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24226"/>
  <mc:AlternateContent xmlns:mc="http://schemas.openxmlformats.org/markup-compatibility/2006">
    <mc:Choice Requires="x15">
      <x15ac:absPath xmlns:x15ac="http://schemas.microsoft.com/office/spreadsheetml/2010/11/ac" url="C:\Users\Mauricio\Dropbox\Projeto Mestrado\NodeXL\6- Co-Hashtags\"/>
    </mc:Choice>
  </mc:AlternateContent>
  <xr:revisionPtr revIDLastSave="0" documentId="13_ncr:11_{116C1891-C682-467C-98E7-ED32AE2AC6FB}" xr6:coauthVersionLast="47" xr6:coauthVersionMax="47" xr10:uidLastSave="{00000000-0000-0000-0000-000000000000}"/>
  <bookViews>
    <workbookView xWindow="-120" yWindow="-120" windowWidth="24240" windowHeight="13020" activeTab="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Export Option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 i="3" l="1"/>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BH3" i="3"/>
  <c r="BH4" i="3"/>
  <c r="BH6" i="3"/>
  <c r="BH7" i="3"/>
  <c r="BH8" i="3"/>
  <c r="BH9" i="3"/>
  <c r="BH10" i="3"/>
  <c r="BH12" i="3"/>
  <c r="BH13" i="3"/>
  <c r="BH14" i="3"/>
  <c r="BH15" i="3"/>
  <c r="BH17" i="3"/>
  <c r="BH18" i="3"/>
  <c r="BH19" i="3"/>
  <c r="BH20" i="3"/>
  <c r="BH23" i="3"/>
  <c r="BH24" i="3"/>
  <c r="BH25" i="3"/>
  <c r="BH27" i="3"/>
  <c r="BH28" i="3"/>
  <c r="BH29" i="3"/>
  <c r="BH30" i="3"/>
  <c r="BH31" i="3"/>
  <c r="BH32" i="3"/>
  <c r="BH33" i="3"/>
  <c r="BH34" i="3"/>
  <c r="BH35" i="3"/>
  <c r="BH36" i="3"/>
  <c r="BH37" i="3"/>
  <c r="BH38" i="3"/>
  <c r="BH39" i="3"/>
  <c r="BH40" i="3"/>
  <c r="BH41" i="3"/>
  <c r="BH42" i="3"/>
  <c r="BH43" i="3"/>
  <c r="BH45" i="3"/>
  <c r="BH46" i="3"/>
  <c r="BH47" i="3"/>
  <c r="BH48" i="3"/>
  <c r="BH49" i="3"/>
  <c r="BH50" i="3"/>
  <c r="BH51" i="3"/>
  <c r="BH52" i="3"/>
  <c r="BH53" i="3"/>
  <c r="BH54" i="3"/>
  <c r="BH55" i="3"/>
  <c r="BH56" i="3"/>
  <c r="BH57" i="3"/>
  <c r="BH58" i="3"/>
  <c r="BH59" i="3"/>
  <c r="BH60" i="3"/>
  <c r="BH61" i="3"/>
  <c r="BH62" i="3"/>
  <c r="BH63" i="3"/>
  <c r="BH64" i="3"/>
  <c r="BH65" i="3"/>
  <c r="BH66" i="3"/>
  <c r="BH67" i="3"/>
  <c r="BH69" i="3"/>
  <c r="BH70" i="3"/>
  <c r="BH71" i="3"/>
  <c r="BH72" i="3"/>
  <c r="BH73" i="3"/>
  <c r="BH74" i="3"/>
  <c r="BH75" i="3"/>
  <c r="BH76" i="3"/>
  <c r="BH77" i="3"/>
  <c r="BH79" i="3"/>
  <c r="BH80" i="3"/>
  <c r="BH82" i="3"/>
  <c r="BH83" i="3"/>
  <c r="BH84" i="3"/>
  <c r="BH85" i="3"/>
  <c r="BH87" i="3"/>
  <c r="BH89" i="3"/>
  <c r="BH90" i="3"/>
  <c r="BH91" i="3"/>
  <c r="BH92" i="3"/>
  <c r="BH93" i="3"/>
  <c r="BH94" i="3"/>
  <c r="BH95" i="3"/>
  <c r="BH96" i="3"/>
  <c r="BH97" i="3"/>
  <c r="BH98" i="3"/>
  <c r="BH99" i="3"/>
  <c r="BH100" i="3"/>
  <c r="BH101" i="3"/>
  <c r="BH102" i="3"/>
  <c r="BH103" i="3"/>
  <c r="BH104" i="3"/>
  <c r="BH105" i="3"/>
  <c r="BH106" i="3"/>
  <c r="BH107" i="3"/>
  <c r="BH109" i="3"/>
  <c r="BH110" i="3"/>
  <c r="BH111" i="3"/>
  <c r="BH112" i="3"/>
  <c r="BH113" i="3"/>
  <c r="BH114" i="3"/>
  <c r="BH115" i="3"/>
  <c r="BH116" i="3"/>
  <c r="BH117" i="3"/>
  <c r="BH118" i="3"/>
  <c r="BH119" i="3"/>
  <c r="BH120" i="3"/>
  <c r="BH121" i="3"/>
  <c r="BH123" i="3"/>
  <c r="BH124" i="3"/>
  <c r="BH125" i="3"/>
  <c r="BH126" i="3"/>
  <c r="BH127" i="3"/>
  <c r="BH128" i="3"/>
  <c r="BH129" i="3"/>
  <c r="BH130" i="3"/>
  <c r="BH131" i="3"/>
  <c r="BH132" i="3"/>
  <c r="BH133" i="3"/>
  <c r="BH134" i="3"/>
  <c r="BH135" i="3"/>
  <c r="BH136" i="3"/>
  <c r="BH137" i="3"/>
  <c r="BH139" i="3"/>
  <c r="BH140" i="3"/>
  <c r="BH141" i="3"/>
  <c r="BH145" i="3"/>
  <c r="BH146" i="3"/>
  <c r="BH147" i="3"/>
  <c r="BH148" i="3"/>
  <c r="BH150" i="3"/>
  <c r="BH151" i="3"/>
  <c r="BH152" i="3"/>
  <c r="BH154" i="3"/>
  <c r="BH155" i="3"/>
  <c r="BH156" i="3"/>
  <c r="BH157" i="3"/>
  <c r="BH158" i="3"/>
  <c r="BH159" i="3"/>
  <c r="BH160" i="3"/>
  <c r="BH161" i="3"/>
  <c r="BH162" i="3"/>
  <c r="BH163" i="3"/>
  <c r="BH166" i="3"/>
  <c r="BH169" i="3"/>
  <c r="BH170" i="3"/>
  <c r="BH171" i="3"/>
  <c r="BH172" i="3"/>
  <c r="BH173" i="3"/>
  <c r="BH174" i="3"/>
  <c r="BH175" i="3"/>
  <c r="BH176" i="3"/>
  <c r="BH177" i="3"/>
  <c r="BH178" i="3"/>
  <c r="BH179" i="3"/>
  <c r="BH181" i="3"/>
  <c r="BH182" i="3"/>
  <c r="BH183" i="3"/>
  <c r="BH184" i="3"/>
  <c r="BH185" i="3"/>
  <c r="BH186" i="3"/>
  <c r="BH187" i="3"/>
  <c r="BH188" i="3"/>
  <c r="BH189" i="3"/>
  <c r="BH191" i="3"/>
  <c r="BH192" i="3"/>
  <c r="BH193" i="3"/>
  <c r="BH194" i="3"/>
  <c r="BH196" i="3"/>
  <c r="BH197" i="3"/>
  <c r="BH198" i="3"/>
  <c r="BH199" i="3"/>
  <c r="BH200" i="3"/>
  <c r="BH201" i="3"/>
  <c r="BH202" i="3"/>
  <c r="BH203" i="3"/>
  <c r="BH205" i="3"/>
  <c r="BH207" i="3"/>
  <c r="BH208" i="3"/>
  <c r="BH209" i="3"/>
  <c r="BH210" i="3"/>
  <c r="BH211" i="3"/>
  <c r="BH212" i="3"/>
  <c r="BH213" i="3"/>
  <c r="BH214" i="3"/>
  <c r="BH215" i="3"/>
  <c r="BH216" i="3"/>
  <c r="BH217" i="3"/>
  <c r="BH218" i="3"/>
  <c r="BH220" i="3"/>
  <c r="BH221" i="3"/>
  <c r="BH222" i="3"/>
  <c r="BH223" i="3"/>
  <c r="BH224" i="3"/>
  <c r="BH225" i="3"/>
  <c r="BH226" i="3"/>
  <c r="BH227" i="3"/>
  <c r="BH229" i="3"/>
  <c r="BH230" i="3"/>
  <c r="BH231" i="3"/>
  <c r="BH232" i="3"/>
  <c r="BH233" i="3"/>
  <c r="BH234" i="3"/>
  <c r="BH235" i="3"/>
  <c r="BH236" i="3"/>
  <c r="BH237" i="3"/>
  <c r="BH238" i="3"/>
  <c r="BH239" i="3"/>
  <c r="BH240" i="3"/>
  <c r="BH241" i="3"/>
  <c r="BH242" i="3"/>
  <c r="BH243" i="3"/>
  <c r="BH244" i="3"/>
  <c r="BH245" i="3"/>
  <c r="BH246" i="3"/>
  <c r="BH247" i="3"/>
  <c r="BH249" i="3"/>
  <c r="BH250" i="3"/>
  <c r="BH251" i="3"/>
  <c r="BH252" i="3"/>
  <c r="BH253" i="3"/>
  <c r="BH254" i="3"/>
  <c r="BH255" i="3"/>
  <c r="BH256" i="3"/>
  <c r="BH257" i="3"/>
  <c r="BH258" i="3"/>
  <c r="BH259" i="3"/>
  <c r="BH261" i="3"/>
  <c r="BH262" i="3"/>
  <c r="BH263" i="3"/>
  <c r="BH264" i="3"/>
  <c r="BH265" i="3"/>
  <c r="BH266" i="3"/>
  <c r="BH269" i="3"/>
  <c r="BH270" i="3"/>
  <c r="BH271" i="3"/>
  <c r="BH272" i="3"/>
  <c r="BH273" i="3"/>
  <c r="BH274" i="3"/>
  <c r="BH275" i="3"/>
  <c r="BH276" i="3"/>
  <c r="BH277" i="3"/>
  <c r="BH278" i="3"/>
  <c r="BH281" i="3"/>
  <c r="BH282" i="3"/>
  <c r="BH283" i="3"/>
  <c r="BH284" i="3"/>
  <c r="BH285" i="3"/>
  <c r="BH286" i="3"/>
  <c r="BH287" i="3"/>
  <c r="BH288" i="3"/>
  <c r="BH289" i="3"/>
  <c r="BH290" i="3"/>
  <c r="BH291" i="3"/>
  <c r="BH292" i="3"/>
  <c r="BH293" i="3"/>
  <c r="BH294" i="3"/>
  <c r="BH295" i="3"/>
  <c r="BH297" i="3"/>
  <c r="BH298" i="3"/>
  <c r="BH299" i="3"/>
  <c r="BH300" i="3"/>
  <c r="BH301" i="3"/>
  <c r="BH302" i="3"/>
  <c r="BH303" i="3"/>
  <c r="BH305" i="3"/>
  <c r="BH306" i="3"/>
  <c r="BH307" i="3"/>
  <c r="BH308" i="3"/>
  <c r="BH309" i="3"/>
  <c r="BH310" i="3"/>
  <c r="BH311" i="3"/>
  <c r="BH312" i="3"/>
  <c r="BH313" i="3"/>
  <c r="BH314" i="3"/>
  <c r="BH315" i="3"/>
  <c r="BH316" i="3"/>
  <c r="BH317" i="3"/>
  <c r="BH318" i="3"/>
  <c r="BH319" i="3"/>
  <c r="BH320" i="3"/>
  <c r="BH321" i="3"/>
  <c r="BH322" i="3"/>
  <c r="BH323" i="3"/>
  <c r="BH325" i="3"/>
  <c r="BH326" i="3"/>
  <c r="BH327" i="3"/>
  <c r="BH328" i="3"/>
  <c r="BH329" i="3"/>
  <c r="BH330" i="3"/>
  <c r="BH331" i="3"/>
  <c r="BH332" i="3"/>
  <c r="BH333" i="3"/>
  <c r="BH334" i="3"/>
  <c r="BH337" i="3"/>
  <c r="BH338" i="3"/>
  <c r="BH339" i="3"/>
  <c r="BH340" i="3"/>
  <c r="BH342" i="3"/>
  <c r="BH343" i="3"/>
  <c r="BH344" i="3"/>
  <c r="BH345" i="3"/>
  <c r="BH346" i="3"/>
  <c r="BH347" i="3"/>
  <c r="BH348" i="3"/>
  <c r="BH349" i="3"/>
  <c r="BH350" i="3"/>
  <c r="BH351" i="3"/>
  <c r="BH352" i="3"/>
  <c r="BH353" i="3"/>
  <c r="BH354" i="3"/>
  <c r="BH355" i="3"/>
  <c r="BH356" i="3"/>
  <c r="BH357" i="3"/>
  <c r="BH358" i="3"/>
  <c r="BH359" i="3"/>
  <c r="BH360" i="3"/>
  <c r="BH361" i="3"/>
  <c r="BH362" i="3"/>
  <c r="BH363" i="3"/>
  <c r="BH364" i="3"/>
  <c r="BH366" i="3"/>
  <c r="BH367" i="3"/>
  <c r="BH368" i="3"/>
  <c r="BH370" i="3"/>
  <c r="BH371" i="3"/>
  <c r="BH372" i="3"/>
  <c r="BH373" i="3"/>
  <c r="BH374" i="3"/>
  <c r="BH376" i="3"/>
  <c r="BH377" i="3"/>
  <c r="BH378" i="3"/>
  <c r="BH379" i="3"/>
  <c r="BH380" i="3"/>
  <c r="BH382" i="3"/>
  <c r="BH383" i="3"/>
  <c r="BH384" i="3"/>
  <c r="BH385" i="3"/>
  <c r="BH386" i="3"/>
  <c r="BH387" i="3"/>
  <c r="BH388" i="3"/>
  <c r="BH389" i="3"/>
  <c r="BH390" i="3"/>
  <c r="BH391" i="3"/>
  <c r="BH392" i="3"/>
  <c r="BH393" i="3"/>
  <c r="BH394" i="3"/>
  <c r="BH395" i="3"/>
  <c r="BH396" i="3"/>
  <c r="BH397" i="3"/>
  <c r="BH398" i="3"/>
  <c r="BH399" i="3"/>
  <c r="BH400" i="3"/>
  <c r="BH401" i="3"/>
  <c r="BH402" i="3"/>
  <c r="BH403" i="3"/>
  <c r="BH404" i="3"/>
  <c r="BH405" i="3"/>
  <c r="BH406" i="3"/>
  <c r="BH407" i="3"/>
  <c r="BH408" i="3"/>
  <c r="BH409" i="3"/>
  <c r="BH410" i="3"/>
  <c r="BH411" i="3"/>
  <c r="BH412" i="3"/>
  <c r="BH413" i="3"/>
  <c r="BH414" i="3"/>
  <c r="BH415" i="3"/>
  <c r="BH416" i="3"/>
  <c r="BH417" i="3"/>
  <c r="BH418" i="3"/>
  <c r="BH419" i="3"/>
  <c r="BH420" i="3"/>
  <c r="BH422" i="3"/>
  <c r="BH423" i="3"/>
  <c r="BH424" i="3"/>
  <c r="BH425" i="3"/>
  <c r="BH426" i="3"/>
  <c r="BH427" i="3"/>
  <c r="BH428" i="3"/>
  <c r="BH429" i="3"/>
  <c r="BH430" i="3"/>
  <c r="BH431" i="3"/>
  <c r="BH432" i="3"/>
  <c r="BH433" i="3"/>
  <c r="BH434" i="3"/>
  <c r="BH435" i="3"/>
  <c r="BH436" i="3"/>
  <c r="BH438" i="3"/>
  <c r="BH439" i="3"/>
  <c r="BH440" i="3"/>
  <c r="BH441" i="3"/>
  <c r="BH442" i="3"/>
  <c r="BH444" i="3"/>
  <c r="BH445" i="3"/>
  <c r="BH446" i="3"/>
  <c r="BH447" i="3"/>
  <c r="BH449" i="3"/>
  <c r="BH450" i="3"/>
  <c r="BH451" i="3"/>
  <c r="BH452" i="3"/>
  <c r="BH453" i="3"/>
  <c r="BH454" i="3"/>
  <c r="BH455" i="3"/>
  <c r="BH456" i="3"/>
  <c r="BH457" i="3"/>
  <c r="BH458" i="3"/>
  <c r="BH459" i="3"/>
  <c r="BH460" i="3"/>
  <c r="BH461" i="3"/>
  <c r="BH462" i="3"/>
  <c r="BH463" i="3"/>
  <c r="BH464" i="3"/>
  <c r="BH466" i="3"/>
  <c r="BH467" i="3"/>
  <c r="BH468" i="3"/>
  <c r="BH469" i="3"/>
  <c r="BH470" i="3"/>
  <c r="BH471" i="3"/>
  <c r="BH472" i="3"/>
  <c r="BH473" i="3"/>
  <c r="BH474" i="3"/>
  <c r="BH475" i="3"/>
  <c r="BH476" i="3"/>
  <c r="BH477" i="3"/>
  <c r="BH478" i="3"/>
  <c r="BH479" i="3"/>
  <c r="BH480" i="3"/>
  <c r="BH481" i="3"/>
  <c r="BH482" i="3"/>
  <c r="BH484" i="3"/>
  <c r="BH485" i="3"/>
  <c r="BH486" i="3"/>
  <c r="BH487" i="3"/>
  <c r="BH488" i="3"/>
  <c r="BH489" i="3"/>
  <c r="BH490" i="3"/>
  <c r="BH491" i="3"/>
  <c r="BH492" i="3"/>
  <c r="BH493" i="3"/>
  <c r="BH494" i="3"/>
  <c r="BH495" i="3"/>
  <c r="BH496" i="3"/>
  <c r="BH497" i="3"/>
  <c r="BH498" i="3"/>
  <c r="BH499" i="3"/>
  <c r="BH500" i="3"/>
  <c r="BH501" i="3"/>
  <c r="BH502" i="3"/>
  <c r="BH503" i="3"/>
  <c r="BH504" i="3"/>
  <c r="BH505" i="3"/>
  <c r="BH506" i="3"/>
  <c r="BH507" i="3"/>
  <c r="BH509" i="3"/>
  <c r="BH510" i="3"/>
  <c r="BH511" i="3"/>
  <c r="BH513" i="3"/>
  <c r="BH514" i="3"/>
  <c r="BH515" i="3"/>
  <c r="BH516" i="3"/>
  <c r="BH517" i="3"/>
  <c r="BH518" i="3"/>
  <c r="BH519" i="3"/>
  <c r="BH520" i="3"/>
  <c r="BH521" i="3"/>
  <c r="BH522" i="3"/>
  <c r="BH523" i="3"/>
  <c r="BH524" i="3"/>
  <c r="BH526" i="3"/>
  <c r="BH527" i="3"/>
  <c r="BH528" i="3"/>
  <c r="BH529" i="3"/>
  <c r="BH530" i="3"/>
  <c r="BH531" i="3"/>
  <c r="BH534" i="3"/>
  <c r="BH535" i="3"/>
  <c r="BH536" i="3"/>
  <c r="BH537" i="3"/>
  <c r="BH538" i="3"/>
  <c r="BH539" i="3"/>
  <c r="BH540" i="3"/>
  <c r="BH541" i="3"/>
  <c r="BH542" i="3"/>
  <c r="BH543" i="3"/>
  <c r="BH545" i="3"/>
  <c r="BH546" i="3"/>
  <c r="BH547" i="3"/>
  <c r="BH548" i="3"/>
  <c r="BH549" i="3"/>
  <c r="BH551" i="3"/>
  <c r="BH552" i="3"/>
  <c r="BH553" i="3"/>
  <c r="BH555" i="3"/>
  <c r="BH556" i="3"/>
  <c r="BH557" i="3"/>
  <c r="BH558" i="3"/>
  <c r="BH559" i="3"/>
  <c r="BH560" i="3"/>
  <c r="BH562" i="3"/>
  <c r="BH563" i="3"/>
  <c r="BH564" i="3"/>
  <c r="BH565" i="3"/>
  <c r="BH567" i="3"/>
  <c r="BH568" i="3"/>
  <c r="BH571" i="3"/>
  <c r="BH572" i="3"/>
  <c r="BH573" i="3"/>
  <c r="BH574" i="3"/>
  <c r="BH575" i="3"/>
  <c r="BH576" i="3"/>
  <c r="BH577" i="3"/>
  <c r="BH578" i="3"/>
  <c r="BH579" i="3"/>
  <c r="BH580" i="3"/>
  <c r="BH581" i="3"/>
  <c r="BH582" i="3"/>
  <c r="BH583" i="3"/>
  <c r="BH584" i="3"/>
  <c r="BH585" i="3"/>
  <c r="BH586" i="3"/>
  <c r="BH587" i="3"/>
  <c r="BH588" i="3"/>
  <c r="BH589" i="3"/>
  <c r="BH590" i="3"/>
  <c r="BH591" i="3"/>
  <c r="BH592" i="3"/>
  <c r="BH594" i="3"/>
  <c r="BH595" i="3"/>
  <c r="BH596" i="3"/>
  <c r="BH597" i="3"/>
  <c r="BH598" i="3"/>
  <c r="BH600" i="3"/>
  <c r="BH601" i="3"/>
  <c r="BH602" i="3"/>
  <c r="BH603" i="3"/>
  <c r="BH604" i="3"/>
  <c r="BH605" i="3"/>
  <c r="BH606" i="3"/>
  <c r="BH607" i="3"/>
  <c r="BH608" i="3"/>
  <c r="BH609" i="3"/>
  <c r="BH610" i="3"/>
  <c r="BH611" i="3"/>
  <c r="BH613" i="3"/>
  <c r="BH614" i="3"/>
  <c r="BH615" i="3"/>
  <c r="BH616" i="3"/>
  <c r="BH617" i="3"/>
  <c r="BH618" i="3"/>
  <c r="BH619" i="3"/>
  <c r="BH621" i="3"/>
  <c r="BH622" i="3"/>
  <c r="BH623" i="3"/>
  <c r="BH624" i="3"/>
  <c r="BH625" i="3"/>
  <c r="BH626" i="3"/>
  <c r="BH628" i="3"/>
  <c r="BH630" i="3"/>
  <c r="BH631" i="3"/>
  <c r="BH632" i="3"/>
  <c r="BH634" i="3"/>
  <c r="BH636" i="3"/>
  <c r="BH637" i="3"/>
  <c r="BH638" i="3"/>
  <c r="BH639" i="3"/>
  <c r="BH640" i="3"/>
  <c r="BH641" i="3"/>
  <c r="BH642" i="3"/>
  <c r="BH643" i="3"/>
  <c r="BH644" i="3"/>
  <c r="BH645" i="3"/>
  <c r="BH646" i="3"/>
  <c r="BH647" i="3"/>
  <c r="BH648" i="3"/>
  <c r="BH649" i="3"/>
  <c r="BH650" i="3"/>
  <c r="BH652" i="3"/>
  <c r="BH654" i="3"/>
  <c r="BH655" i="3"/>
  <c r="BH656" i="3"/>
  <c r="BH657" i="3"/>
  <c r="BH658" i="3"/>
  <c r="BH659" i="3"/>
  <c r="BH660" i="3"/>
  <c r="BH661" i="3"/>
  <c r="BH662" i="3"/>
  <c r="BH663" i="3"/>
  <c r="BH664" i="3"/>
  <c r="BH666" i="3"/>
  <c r="BH667" i="3"/>
  <c r="BH669" i="3"/>
  <c r="BH670" i="3"/>
  <c r="BH671" i="3"/>
  <c r="BH672" i="3"/>
  <c r="BH673" i="3"/>
  <c r="BH675" i="3"/>
  <c r="BH676" i="3"/>
  <c r="BH677" i="3"/>
  <c r="BH678" i="3"/>
  <c r="BH679" i="3"/>
  <c r="BH681" i="3"/>
  <c r="BH682" i="3"/>
  <c r="BH683" i="3"/>
  <c r="BH684" i="3"/>
  <c r="BH686" i="3"/>
  <c r="BH687" i="3"/>
  <c r="BH688" i="3"/>
  <c r="BH689" i="3"/>
  <c r="BH690" i="3"/>
  <c r="BH691" i="3"/>
  <c r="BH692" i="3"/>
  <c r="BH693" i="3"/>
  <c r="BH694" i="3"/>
  <c r="BH695" i="3"/>
  <c r="BH696" i="3"/>
  <c r="BH697" i="3"/>
  <c r="BH698" i="3"/>
  <c r="BH699" i="3"/>
  <c r="BH700" i="3"/>
  <c r="BH701" i="3"/>
  <c r="BH702" i="3"/>
  <c r="BH704" i="3"/>
  <c r="BH705" i="3"/>
  <c r="BH707" i="3"/>
  <c r="BH708" i="3"/>
  <c r="BH709" i="3"/>
  <c r="BH711" i="3"/>
  <c r="BH712" i="3"/>
  <c r="BH713" i="3"/>
  <c r="BH714" i="3"/>
  <c r="BH715" i="3"/>
  <c r="BH716" i="3"/>
  <c r="BH717" i="3"/>
  <c r="BH718" i="3"/>
  <c r="BH719" i="3"/>
  <c r="BH722" i="3"/>
  <c r="BH723" i="3"/>
  <c r="BH724" i="3"/>
  <c r="BH725" i="3"/>
  <c r="BH726" i="3"/>
  <c r="BH727" i="3"/>
  <c r="BH728" i="3"/>
  <c r="BH729" i="3"/>
  <c r="BH730" i="3"/>
  <c r="BH731" i="3"/>
  <c r="BH732" i="3"/>
  <c r="BH733" i="3"/>
  <c r="BH734" i="3"/>
  <c r="BH736" i="3"/>
  <c r="BH737" i="3"/>
  <c r="BH738" i="3"/>
  <c r="BH739" i="3"/>
  <c r="BH741" i="3"/>
  <c r="BH743" i="3"/>
  <c r="BH744" i="3"/>
  <c r="BH745" i="3"/>
  <c r="BH748" i="3"/>
  <c r="BH749" i="3"/>
  <c r="BH750" i="3"/>
  <c r="BH751" i="3"/>
  <c r="BH752" i="3"/>
  <c r="BH753" i="3"/>
  <c r="BH754" i="3"/>
  <c r="BH755" i="3"/>
  <c r="BH756" i="3"/>
  <c r="BH757" i="3"/>
  <c r="BH758" i="3"/>
  <c r="BH759" i="3"/>
  <c r="BH760" i="3"/>
  <c r="BH761" i="3"/>
  <c r="BH762" i="3"/>
  <c r="BH763" i="3"/>
  <c r="BH764" i="3"/>
  <c r="BH765" i="3"/>
  <c r="BH766" i="3"/>
  <c r="BH767" i="3"/>
  <c r="BH768" i="3"/>
  <c r="BH769" i="3"/>
  <c r="BH770" i="3"/>
  <c r="BH771" i="3"/>
  <c r="BH772" i="3"/>
  <c r="BH773" i="3"/>
  <c r="BH774" i="3"/>
  <c r="BH775" i="3"/>
  <c r="BH776" i="3"/>
  <c r="BH777" i="3"/>
  <c r="BH778" i="3"/>
  <c r="BH779" i="3"/>
  <c r="BH780" i="3"/>
  <c r="BH781" i="3"/>
  <c r="BH782" i="3"/>
  <c r="BH783" i="3"/>
  <c r="BH784" i="3"/>
  <c r="BH785" i="3"/>
  <c r="BH786" i="3"/>
  <c r="BH787" i="3"/>
  <c r="BH788" i="3"/>
  <c r="BH789" i="3"/>
  <c r="BH791" i="3"/>
  <c r="BH792" i="3"/>
  <c r="BH793" i="3"/>
  <c r="BH794" i="3"/>
  <c r="BH795" i="3"/>
  <c r="BH796" i="3"/>
  <c r="BH797" i="3"/>
  <c r="BH798" i="3"/>
  <c r="BH799" i="3"/>
  <c r="BH800" i="3"/>
  <c r="BH801" i="3"/>
  <c r="BH803" i="3"/>
  <c r="BH804" i="3"/>
  <c r="BH805" i="3"/>
  <c r="BH806" i="3"/>
  <c r="BH807" i="3"/>
  <c r="BH808" i="3"/>
  <c r="BH809" i="3"/>
  <c r="BH810" i="3"/>
  <c r="BH811" i="3"/>
  <c r="BH812" i="3"/>
  <c r="BH813" i="3"/>
  <c r="BH814" i="3"/>
  <c r="BH815" i="3"/>
  <c r="BH817" i="3"/>
  <c r="BH819" i="3"/>
  <c r="BH820" i="3"/>
  <c r="BH821" i="3"/>
  <c r="BH822" i="3"/>
  <c r="BH823" i="3"/>
  <c r="BH824" i="3"/>
  <c r="BH825" i="3"/>
  <c r="BH826" i="3"/>
  <c r="BH827" i="3"/>
  <c r="BH828" i="3"/>
  <c r="BH829" i="3"/>
  <c r="BH830" i="3"/>
  <c r="BH831" i="3"/>
  <c r="BH832" i="3"/>
  <c r="BH833" i="3"/>
  <c r="BH834" i="3"/>
  <c r="BH835" i="3"/>
  <c r="BH836" i="3"/>
  <c r="BH838" i="3"/>
  <c r="BH839" i="3"/>
  <c r="BH840" i="3"/>
  <c r="BH841" i="3"/>
  <c r="BH842" i="3"/>
  <c r="BH843" i="3"/>
  <c r="BH844" i="3"/>
  <c r="BH845" i="3"/>
  <c r="BH846" i="3"/>
  <c r="BH847" i="3"/>
  <c r="BH848" i="3"/>
  <c r="BH849" i="3"/>
  <c r="BH850" i="3"/>
  <c r="BH851" i="3"/>
  <c r="BH852" i="3"/>
  <c r="BH854" i="3"/>
  <c r="BH857" i="3"/>
  <c r="BH858" i="3"/>
  <c r="BH859" i="3"/>
  <c r="BH860" i="3"/>
  <c r="BH862" i="3"/>
  <c r="BH863" i="3"/>
  <c r="BH864" i="3"/>
  <c r="BH865" i="3"/>
  <c r="BH867" i="3"/>
  <c r="BH868" i="3"/>
  <c r="BH869" i="3"/>
  <c r="BH871" i="3"/>
  <c r="BH872" i="3"/>
  <c r="BH873" i="3"/>
  <c r="BH874" i="3"/>
  <c r="BH875" i="3"/>
  <c r="BH876" i="3"/>
  <c r="BH877" i="3"/>
  <c r="BH878" i="3"/>
  <c r="BH879" i="3"/>
  <c r="BH880" i="3"/>
  <c r="BH881" i="3"/>
  <c r="BH882" i="3"/>
  <c r="BH884" i="3"/>
  <c r="BH885" i="3"/>
  <c r="BH886" i="3"/>
  <c r="BH887" i="3"/>
  <c r="BH888" i="3"/>
  <c r="BH890" i="3"/>
  <c r="BH891" i="3"/>
  <c r="BH892" i="3"/>
  <c r="BH893" i="3"/>
  <c r="BH894" i="3"/>
  <c r="BH895" i="3"/>
  <c r="BH896" i="3"/>
  <c r="BH897" i="3"/>
  <c r="BH899" i="3"/>
  <c r="BH900" i="3"/>
  <c r="BH901" i="3"/>
  <c r="BH902" i="3"/>
  <c r="BH903" i="3"/>
  <c r="BH905" i="3"/>
  <c r="BH906" i="3"/>
  <c r="BH907" i="3"/>
  <c r="BH909" i="3"/>
  <c r="BH910" i="3"/>
  <c r="BH911" i="3"/>
  <c r="BH913" i="3"/>
  <c r="BH914" i="3"/>
  <c r="BH915" i="3"/>
  <c r="BH916" i="3"/>
  <c r="BH917" i="3"/>
  <c r="BH918" i="3"/>
  <c r="BH919" i="3"/>
  <c r="BH920" i="3"/>
  <c r="BH922" i="3"/>
  <c r="BH923" i="3"/>
  <c r="BH924" i="3"/>
  <c r="BH925" i="3"/>
  <c r="BH926" i="3"/>
  <c r="BH927" i="3"/>
  <c r="BH928" i="3"/>
  <c r="BH929" i="3"/>
  <c r="BH931" i="3"/>
  <c r="BH932" i="3"/>
  <c r="BH933" i="3"/>
  <c r="BH934" i="3"/>
  <c r="BH935" i="3"/>
  <c r="BH936" i="3"/>
  <c r="BH937" i="3"/>
  <c r="BH940" i="3"/>
  <c r="BH941" i="3"/>
  <c r="BH943" i="3"/>
  <c r="BH944" i="3"/>
  <c r="BH945" i="3"/>
  <c r="BH946" i="3"/>
  <c r="BH947" i="3"/>
  <c r="BH948" i="3"/>
  <c r="BH949" i="3"/>
  <c r="BH950" i="3"/>
  <c r="BH951" i="3"/>
  <c r="BH952" i="3"/>
  <c r="BH953" i="3"/>
  <c r="BH954" i="3"/>
  <c r="BH955" i="3"/>
  <c r="BH956" i="3"/>
  <c r="BH957" i="3"/>
  <c r="BH958" i="3"/>
  <c r="BH959" i="3"/>
  <c r="BH960" i="3"/>
  <c r="BH961" i="3"/>
  <c r="BH962" i="3"/>
  <c r="BH963" i="3"/>
  <c r="BH964" i="3"/>
  <c r="BH966" i="3"/>
  <c r="BH967" i="3"/>
  <c r="BH969" i="3"/>
  <c r="BH970" i="3"/>
  <c r="BH971" i="3"/>
  <c r="BH973" i="3"/>
  <c r="BH974" i="3"/>
  <c r="BH975" i="3"/>
  <c r="BH976" i="3"/>
  <c r="BH977" i="3"/>
  <c r="BH979" i="3"/>
  <c r="BH980" i="3"/>
  <c r="BH981" i="3"/>
  <c r="BH982" i="3"/>
  <c r="BH984" i="3"/>
  <c r="BH985" i="3"/>
  <c r="BH986" i="3"/>
  <c r="BH987" i="3"/>
  <c r="BH988" i="3"/>
  <c r="BH989" i="3"/>
  <c r="BH990" i="3"/>
  <c r="BH992" i="3"/>
  <c r="BH993" i="3"/>
  <c r="BH994" i="3"/>
  <c r="BH995" i="3"/>
  <c r="BH996" i="3"/>
  <c r="BH997" i="3"/>
  <c r="BH998" i="3"/>
  <c r="BH999" i="3"/>
  <c r="BH1000" i="3"/>
  <c r="BH1001" i="3"/>
  <c r="BH1002" i="3"/>
  <c r="BH1003" i="3"/>
  <c r="BH1005" i="3"/>
  <c r="BH1006" i="3"/>
  <c r="BH1007" i="3"/>
  <c r="BH1008" i="3"/>
  <c r="BH1009" i="3"/>
  <c r="BH1011" i="3"/>
  <c r="BH1012" i="3"/>
  <c r="BH1013" i="3"/>
  <c r="BH1014" i="3"/>
  <c r="BH1015" i="3"/>
  <c r="BH1016" i="3"/>
  <c r="BH1017" i="3"/>
  <c r="BH1018" i="3"/>
  <c r="BH1019" i="3"/>
  <c r="BH1021" i="3"/>
  <c r="BH1022" i="3"/>
  <c r="BH1023" i="3"/>
  <c r="BH1024" i="3"/>
  <c r="BH1026" i="3"/>
  <c r="BH1027" i="3"/>
  <c r="BH1028" i="3"/>
  <c r="BH1029" i="3"/>
  <c r="BH1030" i="3"/>
  <c r="BH1031" i="3"/>
  <c r="BH1032" i="3"/>
  <c r="BH1033" i="3"/>
  <c r="BH1034" i="3"/>
  <c r="BH1035" i="3"/>
  <c r="BH1036" i="3"/>
  <c r="BH1037" i="3"/>
  <c r="BH1038" i="3"/>
  <c r="BH1039" i="3"/>
  <c r="BH1043" i="3"/>
  <c r="BH1044" i="3"/>
  <c r="BH1045" i="3"/>
  <c r="BH1046" i="3"/>
  <c r="BH1048" i="3"/>
  <c r="BH1049" i="3"/>
  <c r="BH1050" i="3"/>
  <c r="BH1051" i="3"/>
  <c r="BH1052" i="3"/>
  <c r="BH1053" i="3"/>
  <c r="BH1054" i="3"/>
  <c r="BH1056" i="3"/>
  <c r="BH1057" i="3"/>
  <c r="BH1058" i="3"/>
  <c r="BH1059" i="3"/>
  <c r="BH1060" i="3"/>
  <c r="BH1061" i="3"/>
  <c r="BH1065" i="3"/>
  <c r="BH1068" i="3"/>
  <c r="BH1069" i="3"/>
  <c r="BH1072" i="3"/>
  <c r="BH1073" i="3"/>
  <c r="BH1074" i="3"/>
  <c r="BH1075" i="3"/>
  <c r="BH1077" i="3"/>
  <c r="BH1079" i="3"/>
  <c r="BH1080" i="3"/>
  <c r="BH1081" i="3"/>
  <c r="BH1083" i="3"/>
  <c r="BH1085" i="3"/>
  <c r="BH1086" i="3"/>
  <c r="BH1087" i="3"/>
  <c r="BH1088" i="3"/>
  <c r="BH1089" i="3"/>
  <c r="BH1090" i="3"/>
  <c r="BH1091" i="3"/>
  <c r="BH1092" i="3"/>
  <c r="BH1093" i="3"/>
  <c r="BH1094" i="3"/>
  <c r="BH1095" i="3"/>
  <c r="BH1096" i="3"/>
  <c r="BH1097" i="3"/>
  <c r="BH1098" i="3"/>
  <c r="BH1099" i="3"/>
  <c r="BH1101" i="3"/>
  <c r="BH1102" i="3"/>
  <c r="BH1103" i="3"/>
  <c r="BH1104" i="3"/>
  <c r="BH1105" i="3"/>
  <c r="BH1106" i="3"/>
  <c r="BH1107" i="3"/>
  <c r="BH1108" i="3"/>
  <c r="BH1109" i="3"/>
  <c r="BH1110" i="3"/>
  <c r="BH1111" i="3"/>
  <c r="BH1113" i="3"/>
  <c r="BH1114" i="3"/>
  <c r="BH1115" i="3"/>
  <c r="BH1117" i="3"/>
  <c r="BH1119" i="3"/>
  <c r="BH1120" i="3"/>
  <c r="BH1122" i="3"/>
  <c r="BH1123" i="3"/>
  <c r="BH1124" i="3"/>
  <c r="BH1125" i="3"/>
  <c r="BH1126" i="3"/>
  <c r="BH1127" i="3"/>
  <c r="BH1128" i="3"/>
  <c r="BH1129" i="3"/>
  <c r="BH1130" i="3"/>
  <c r="BH1131" i="3"/>
  <c r="BH1132" i="3"/>
  <c r="BH1133" i="3"/>
  <c r="BH1134" i="3"/>
  <c r="BH1135" i="3"/>
  <c r="BH1136" i="3"/>
  <c r="BH1137" i="3"/>
  <c r="BH1138" i="3"/>
  <c r="BH1140" i="3"/>
  <c r="BH1141" i="3"/>
  <c r="BH1142" i="3"/>
  <c r="BH1145" i="3"/>
  <c r="BH1146" i="3"/>
  <c r="BH1147" i="3"/>
  <c r="BH1148" i="3"/>
  <c r="BH1149" i="3"/>
  <c r="BH1150" i="3"/>
  <c r="BH1152" i="3"/>
  <c r="BH1153" i="3"/>
  <c r="BH1154" i="3"/>
  <c r="BH1155" i="3"/>
  <c r="BH1156" i="3"/>
  <c r="BH1157" i="3"/>
  <c r="BH1158" i="3"/>
  <c r="BH1159" i="3"/>
  <c r="BH1160" i="3"/>
  <c r="BH1161" i="3"/>
  <c r="BH1163" i="3"/>
  <c r="BH1164" i="3"/>
  <c r="BH1165" i="3"/>
  <c r="BH1167" i="3"/>
  <c r="BH1168" i="3"/>
  <c r="BH1169" i="3"/>
  <c r="BH1170" i="3"/>
  <c r="BH1171" i="3"/>
  <c r="BH1172" i="3"/>
  <c r="BH1173" i="3"/>
  <c r="BH1174" i="3"/>
  <c r="BH1175" i="3"/>
  <c r="BH1176" i="3"/>
  <c r="BH1177" i="3"/>
  <c r="BH1178" i="3"/>
  <c r="BH1179" i="3"/>
  <c r="BH1181" i="3"/>
  <c r="BH1182" i="3"/>
  <c r="BH1183" i="3"/>
  <c r="BH1184" i="3"/>
  <c r="BH1185" i="3"/>
  <c r="BH1186" i="3"/>
  <c r="BH1187" i="3"/>
  <c r="BH1189" i="3"/>
  <c r="BH1190" i="3"/>
  <c r="BH1191" i="3"/>
  <c r="BH1192" i="3"/>
  <c r="BH1193" i="3"/>
  <c r="BH1194" i="3"/>
  <c r="BH1195" i="3"/>
  <c r="BH1196" i="3"/>
  <c r="BH1197" i="3"/>
  <c r="BH1198" i="3"/>
  <c r="BH1199" i="3"/>
  <c r="BH1200" i="3"/>
  <c r="BH1201" i="3"/>
  <c r="BH1202" i="3"/>
  <c r="BH1203" i="3"/>
  <c r="BH1204" i="3"/>
  <c r="BH1205" i="3"/>
  <c r="BH1206" i="3"/>
  <c r="BH1207" i="3"/>
  <c r="BH1208" i="3"/>
  <c r="BH1209" i="3"/>
  <c r="BH1211" i="3"/>
  <c r="BH1215" i="3"/>
  <c r="BH1216" i="3"/>
  <c r="BH1217" i="3"/>
  <c r="BH1219" i="3"/>
  <c r="BH1220" i="3"/>
  <c r="BH1221" i="3"/>
  <c r="BH1222" i="3"/>
  <c r="BH1223" i="3"/>
  <c r="BH1225" i="3"/>
  <c r="BH1227" i="3"/>
  <c r="BH1231" i="3"/>
  <c r="BH1232" i="3"/>
  <c r="BH1233" i="3"/>
  <c r="BH1234" i="3"/>
  <c r="BH1235" i="3"/>
  <c r="BH1236" i="3"/>
  <c r="BH1239" i="3"/>
  <c r="BH1240" i="3"/>
  <c r="BH1241" i="3"/>
  <c r="BH1242" i="3"/>
  <c r="BH1243" i="3"/>
  <c r="BH1244" i="3"/>
  <c r="BH1245" i="3"/>
  <c r="BH1246" i="3"/>
  <c r="BH1247" i="3"/>
  <c r="BH1248" i="3"/>
  <c r="BH1249" i="3"/>
  <c r="BH1250" i="3"/>
  <c r="BH1251" i="3"/>
  <c r="BH1252" i="3"/>
  <c r="BH1253" i="3"/>
  <c r="BH1254" i="3"/>
  <c r="BH1255" i="3"/>
  <c r="BH1256" i="3"/>
  <c r="BH1257" i="3"/>
  <c r="BH1259" i="3"/>
  <c r="BH1260" i="3"/>
  <c r="BH1261" i="3"/>
  <c r="BH1262" i="3"/>
  <c r="BH1263" i="3"/>
  <c r="BH1264" i="3"/>
  <c r="BH1265" i="3"/>
  <c r="BH1266" i="3"/>
  <c r="BH1267" i="3"/>
  <c r="BH1268" i="3"/>
  <c r="BH1269" i="3"/>
  <c r="BH1270" i="3"/>
  <c r="BH1271" i="3"/>
  <c r="BH1272" i="3"/>
  <c r="BH1273" i="3"/>
  <c r="BH1274" i="3"/>
  <c r="BH1275" i="3"/>
  <c r="BH1276" i="3"/>
  <c r="BH1277" i="3"/>
  <c r="BH1278" i="3"/>
  <c r="BH1279" i="3"/>
  <c r="BH1280" i="3"/>
  <c r="BH1281" i="3"/>
  <c r="BH1282" i="3"/>
  <c r="BH1283" i="3"/>
  <c r="BH1284" i="3"/>
  <c r="BH1285" i="3"/>
  <c r="BH1286" i="3"/>
  <c r="BH1287" i="3"/>
  <c r="BH1288" i="3"/>
  <c r="BH1289" i="3"/>
  <c r="BH1291" i="3"/>
  <c r="BH1292" i="3"/>
  <c r="BH1293" i="3"/>
  <c r="BH1294" i="3"/>
  <c r="BH1295" i="3"/>
  <c r="BH1297" i="3"/>
  <c r="BH1298" i="3"/>
  <c r="BH1299" i="3"/>
  <c r="BH1300" i="3"/>
  <c r="BH1301" i="3"/>
  <c r="BH1302" i="3"/>
  <c r="BH1304" i="3"/>
  <c r="BH1305" i="3"/>
  <c r="BH1306" i="3"/>
  <c r="BH1307" i="3"/>
  <c r="BH1308" i="3"/>
  <c r="BH1309" i="3"/>
  <c r="BH1310" i="3"/>
  <c r="BH1311" i="3"/>
  <c r="BH1312" i="3"/>
  <c r="BH1313" i="3"/>
  <c r="BH1314" i="3"/>
  <c r="BH1315" i="3"/>
  <c r="BH1316" i="3"/>
  <c r="BH1317" i="3"/>
  <c r="BH1318" i="3"/>
  <c r="BH1319" i="3"/>
  <c r="BH1320" i="3"/>
  <c r="BH1322" i="3"/>
  <c r="BH1323" i="3"/>
  <c r="BH1324" i="3"/>
  <c r="BH1325" i="3"/>
  <c r="BH1326" i="3"/>
  <c r="BH1327" i="3"/>
  <c r="BH1328" i="3"/>
  <c r="BH1329" i="3"/>
  <c r="BH1330" i="3"/>
  <c r="BH1331" i="3"/>
  <c r="BH1334" i="3"/>
  <c r="BH1335" i="3"/>
  <c r="BH1336" i="3"/>
  <c r="BH1337" i="3"/>
  <c r="BH1338" i="3"/>
  <c r="BH1339" i="3"/>
  <c r="BH1340" i="3"/>
  <c r="BH1341" i="3"/>
  <c r="BH1342" i="3"/>
  <c r="BH1343" i="3"/>
  <c r="BH1344" i="3"/>
  <c r="BH1345" i="3"/>
  <c r="BH1346" i="3"/>
  <c r="BH1347" i="3"/>
  <c r="BH1348" i="3"/>
  <c r="BH1349" i="3"/>
  <c r="BH1350" i="3"/>
  <c r="BH1351" i="3"/>
  <c r="BH1352" i="3"/>
  <c r="BH1353" i="3"/>
  <c r="BH1354" i="3"/>
  <c r="BH1355" i="3"/>
  <c r="BH1357" i="3"/>
  <c r="BH1358" i="3"/>
  <c r="BH1359" i="3"/>
  <c r="BH1360" i="3"/>
  <c r="BH1362" i="3"/>
  <c r="BH1363" i="3"/>
  <c r="BH1364" i="3"/>
  <c r="BH1365" i="3"/>
  <c r="BH1367" i="3"/>
  <c r="BH1369" i="3"/>
  <c r="BH1370" i="3"/>
  <c r="BH1371" i="3"/>
  <c r="BH1372" i="3"/>
  <c r="BH1373" i="3"/>
  <c r="BH1374" i="3"/>
  <c r="BH1376" i="3"/>
  <c r="BH1377" i="3"/>
  <c r="BH1378" i="3"/>
  <c r="BH1379" i="3"/>
  <c r="BH1380" i="3"/>
  <c r="BH1381" i="3"/>
  <c r="BH1382" i="3"/>
  <c r="BH1383" i="3"/>
  <c r="BH1384" i="3"/>
  <c r="BH1387" i="3"/>
  <c r="BH1388" i="3"/>
  <c r="BH1390" i="3"/>
  <c r="BH1391" i="3"/>
  <c r="BH1392" i="3"/>
  <c r="BH1393" i="3"/>
  <c r="BH1394" i="3"/>
  <c r="BH1396" i="3"/>
  <c r="BH1397" i="3"/>
  <c r="BH1400" i="3"/>
  <c r="BH1401" i="3"/>
  <c r="BH1402" i="3"/>
  <c r="BH1404" i="3"/>
  <c r="BH1406" i="3"/>
  <c r="BH1408" i="3"/>
  <c r="BH1409" i="3"/>
  <c r="BH1410" i="3"/>
  <c r="BH1411" i="3"/>
  <c r="BH1412" i="3"/>
  <c r="BH1414" i="3"/>
  <c r="BH1415" i="3"/>
  <c r="BH1416" i="3"/>
  <c r="BH1417" i="3"/>
  <c r="BH1418" i="3"/>
  <c r="BH1419" i="3"/>
  <c r="BH1420" i="3"/>
  <c r="BH1421" i="3"/>
  <c r="BH1422" i="3"/>
  <c r="BH1423" i="3"/>
  <c r="BH1424" i="3"/>
  <c r="BH1425" i="3"/>
  <c r="BH1426" i="3"/>
  <c r="BH1427" i="3"/>
  <c r="BH1428" i="3"/>
  <c r="BH1429" i="3"/>
  <c r="BH1430" i="3"/>
  <c r="BH1431" i="3"/>
  <c r="BH1432" i="3"/>
  <c r="BH1433" i="3"/>
  <c r="BH1435" i="3"/>
  <c r="BH1436" i="3"/>
  <c r="BH1437" i="3"/>
  <c r="BH1438" i="3"/>
  <c r="BH1439" i="3"/>
  <c r="BH1440" i="3"/>
  <c r="BH1441" i="3"/>
  <c r="BH1442" i="3"/>
  <c r="BH1443" i="3"/>
  <c r="BH1444" i="3"/>
  <c r="BH1445" i="3"/>
  <c r="BH1448" i="3"/>
  <c r="BH1449" i="3"/>
  <c r="BH1450" i="3"/>
  <c r="BH1451" i="3"/>
  <c r="BH1452" i="3"/>
  <c r="BH1453" i="3"/>
  <c r="BH1454" i="3"/>
  <c r="BH1456" i="3"/>
  <c r="BH1457" i="3"/>
  <c r="BH1458" i="3"/>
  <c r="BH1459" i="3"/>
  <c r="BH1462" i="3"/>
  <c r="BH1463" i="3"/>
  <c r="BH1464" i="3"/>
  <c r="BH1466" i="3"/>
  <c r="BH1467" i="3"/>
  <c r="BH1468" i="3"/>
  <c r="BH1469" i="3"/>
  <c r="BH1471" i="3"/>
  <c r="BH1473" i="3"/>
  <c r="BH1474" i="3"/>
  <c r="BH1475" i="3"/>
  <c r="BH1476" i="3"/>
  <c r="BH1477" i="3"/>
  <c r="BH1478" i="3"/>
  <c r="BH1479" i="3"/>
  <c r="BH1480" i="3"/>
  <c r="BH1481" i="3"/>
  <c r="BH1482" i="3"/>
  <c r="BH1483" i="3"/>
  <c r="BH1484" i="3"/>
  <c r="BH1486" i="3"/>
  <c r="BH1487" i="3"/>
  <c r="BH1488" i="3"/>
  <c r="BH1489" i="3"/>
  <c r="BH1490" i="3"/>
  <c r="BH1491" i="3"/>
  <c r="BH1493" i="3"/>
  <c r="BH1494" i="3"/>
  <c r="BH1495" i="3"/>
  <c r="BH1496" i="3"/>
  <c r="BH1497" i="3"/>
  <c r="BH1498" i="3"/>
  <c r="BH1499" i="3"/>
  <c r="BH1500" i="3"/>
  <c r="BH1501" i="3"/>
  <c r="BH1502" i="3"/>
  <c r="BH1503" i="3"/>
  <c r="BH1504" i="3"/>
  <c r="BH1505" i="3"/>
  <c r="BH1506" i="3"/>
  <c r="BH1507" i="3"/>
  <c r="BH1508" i="3"/>
  <c r="BH1509" i="3"/>
  <c r="BH1510" i="3"/>
  <c r="BH1512" i="3"/>
  <c r="BH1513" i="3"/>
  <c r="BH1514" i="3"/>
  <c r="BH1516" i="3"/>
  <c r="BH1517" i="3"/>
  <c r="BH1518" i="3"/>
  <c r="BH1519" i="3"/>
  <c r="BH1520" i="3"/>
  <c r="BH1521" i="3"/>
  <c r="BH1522" i="3"/>
  <c r="BH1523" i="3"/>
  <c r="BH1524" i="3"/>
  <c r="BH1526" i="3"/>
  <c r="BH1527" i="3"/>
  <c r="BH1528" i="3"/>
  <c r="BH1529" i="3"/>
  <c r="BH1530" i="3"/>
  <c r="BH1531" i="3"/>
  <c r="BH1532" i="3"/>
  <c r="BH1533" i="3"/>
  <c r="BH1534" i="3"/>
  <c r="BH1535" i="3"/>
  <c r="BH1536" i="3"/>
  <c r="BH1537" i="3"/>
  <c r="BH1538" i="3"/>
  <c r="BH1539" i="3"/>
  <c r="BH1540" i="3"/>
  <c r="BH1543" i="3"/>
  <c r="BH1546" i="3"/>
  <c r="BH1547" i="3"/>
  <c r="BH1548" i="3"/>
  <c r="BH1549" i="3"/>
  <c r="BH1551" i="3"/>
  <c r="BH1552" i="3"/>
  <c r="BH1554" i="3"/>
  <c r="BH1555" i="3"/>
  <c r="BH1556" i="3"/>
  <c r="BH1557" i="3"/>
  <c r="BH1558" i="3"/>
  <c r="BH1559" i="3"/>
  <c r="BH1560" i="3"/>
  <c r="BH1561" i="3"/>
  <c r="BH1562" i="3"/>
  <c r="BH1563" i="3"/>
  <c r="BH1564" i="3"/>
  <c r="BH1565" i="3"/>
  <c r="BH1566" i="3"/>
  <c r="BH1567" i="3"/>
  <c r="BH1568" i="3"/>
  <c r="BH1569" i="3"/>
  <c r="BH1570" i="3"/>
  <c r="BH1571" i="3"/>
  <c r="BH1572" i="3"/>
  <c r="BH1573" i="3"/>
  <c r="BH1574" i="3"/>
  <c r="BH1575" i="3"/>
  <c r="BH1576" i="3"/>
  <c r="BH1578" i="3"/>
  <c r="BH1579" i="3"/>
  <c r="BH1580" i="3"/>
  <c r="BH1581" i="3"/>
  <c r="BH1582" i="3"/>
  <c r="BH1584" i="3"/>
  <c r="BH1585" i="3"/>
  <c r="BH1586" i="3"/>
  <c r="BH1587" i="3"/>
  <c r="BH1588" i="3"/>
  <c r="BH1590" i="3"/>
  <c r="BH1591" i="3"/>
  <c r="BH1592" i="3"/>
  <c r="BH1593" i="3"/>
  <c r="BH1594" i="3"/>
  <c r="BH1595" i="3"/>
  <c r="BH1596" i="3"/>
  <c r="BH1597" i="3"/>
  <c r="BH1598" i="3"/>
  <c r="BH1599" i="3"/>
  <c r="BH1600" i="3"/>
  <c r="BH1601" i="3"/>
  <c r="BH1602" i="3"/>
  <c r="BH1603" i="3"/>
  <c r="BH1604" i="3"/>
  <c r="BH1605" i="3"/>
  <c r="BH1606" i="3"/>
  <c r="BH1607" i="3"/>
  <c r="BH1608" i="3"/>
  <c r="BH1609" i="3"/>
  <c r="BH1610" i="3"/>
  <c r="BH1611" i="3"/>
  <c r="BH1612" i="3"/>
  <c r="BH1613" i="3"/>
  <c r="BH1614" i="3"/>
  <c r="BH1615" i="3"/>
  <c r="BH1616" i="3"/>
  <c r="BH1617" i="3"/>
  <c r="BH1618" i="3"/>
  <c r="BH1619" i="3"/>
  <c r="BH1620" i="3"/>
  <c r="BH1621" i="3"/>
  <c r="BH1622" i="3"/>
  <c r="BH1623" i="3"/>
  <c r="BH1624" i="3"/>
  <c r="BH1625" i="3"/>
  <c r="BH1626" i="3"/>
  <c r="BH1627" i="3"/>
  <c r="AW3" i="3"/>
  <c r="AW4" i="3"/>
  <c r="AW6" i="3"/>
  <c r="AW7" i="3"/>
  <c r="AW8" i="3"/>
  <c r="AW9" i="3"/>
  <c r="AW10" i="3"/>
  <c r="AW12" i="3"/>
  <c r="AW14" i="3"/>
  <c r="AW15" i="3"/>
  <c r="AW16" i="3"/>
  <c r="AW17" i="3"/>
  <c r="AW18" i="3"/>
  <c r="AW19" i="3"/>
  <c r="AW20" i="3"/>
  <c r="AW21" i="3"/>
  <c r="AW23" i="3"/>
  <c r="AW27" i="3"/>
  <c r="AW28" i="3"/>
  <c r="AW29" i="3"/>
  <c r="AW30" i="3"/>
  <c r="AW31" i="3"/>
  <c r="AW32" i="3"/>
  <c r="AW33" i="3"/>
  <c r="AW34" i="3"/>
  <c r="AW35" i="3"/>
  <c r="AW38" i="3"/>
  <c r="AW41" i="3"/>
  <c r="AW42" i="3"/>
  <c r="AW45" i="3"/>
  <c r="AW46" i="3"/>
  <c r="AW47" i="3"/>
  <c r="AW49" i="3"/>
  <c r="AW50" i="3"/>
  <c r="AW51" i="3"/>
  <c r="AW52" i="3"/>
  <c r="AW53" i="3"/>
  <c r="AW54" i="3"/>
  <c r="AW55" i="3"/>
  <c r="AW56" i="3"/>
  <c r="AW58" i="3"/>
  <c r="AW59" i="3"/>
  <c r="AW60" i="3"/>
  <c r="AW61" i="3"/>
  <c r="AW62" i="3"/>
  <c r="AW64" i="3"/>
  <c r="AW67" i="3"/>
  <c r="AW69" i="3"/>
  <c r="AW70" i="3"/>
  <c r="AW71" i="3"/>
  <c r="AW73" i="3"/>
  <c r="AW76" i="3"/>
  <c r="AW80" i="3"/>
  <c r="AW82" i="3"/>
  <c r="AW83" i="3"/>
  <c r="AW84" i="3"/>
  <c r="AW86" i="3"/>
  <c r="AW90" i="3"/>
  <c r="AW91" i="3"/>
  <c r="AW92" i="3"/>
  <c r="AW93" i="3"/>
  <c r="AW95" i="3"/>
  <c r="AW96" i="3"/>
  <c r="AW98" i="3"/>
  <c r="AW99" i="3"/>
  <c r="AW100" i="3"/>
  <c r="AW101" i="3"/>
  <c r="AW102" i="3"/>
  <c r="AW103" i="3"/>
  <c r="AW105" i="3"/>
  <c r="AW108" i="3"/>
  <c r="AW109" i="3"/>
  <c r="AW110" i="3"/>
  <c r="AW112" i="3"/>
  <c r="AW115" i="3"/>
  <c r="AW117" i="3"/>
  <c r="AW118" i="3"/>
  <c r="AW119" i="3"/>
  <c r="AW120" i="3"/>
  <c r="AW121" i="3"/>
  <c r="AW122" i="3"/>
  <c r="AW124" i="3"/>
  <c r="AW125" i="3"/>
  <c r="AW126" i="3"/>
  <c r="AW127" i="3"/>
  <c r="AW128" i="3"/>
  <c r="AW129" i="3"/>
  <c r="AW130" i="3"/>
  <c r="AW131" i="3"/>
  <c r="AW132" i="3"/>
  <c r="AW133" i="3"/>
  <c r="AW134" i="3"/>
  <c r="AW135" i="3"/>
  <c r="AW136" i="3"/>
  <c r="AW137" i="3"/>
  <c r="AW139" i="3"/>
  <c r="AW140" i="3"/>
  <c r="AW141" i="3"/>
  <c r="AW142" i="3"/>
  <c r="AW144" i="3"/>
  <c r="AW146" i="3"/>
  <c r="AW147" i="3"/>
  <c r="AW148" i="3"/>
  <c r="AW150" i="3"/>
  <c r="AW151" i="3"/>
  <c r="AW152" i="3"/>
  <c r="AW153" i="3"/>
  <c r="AW154" i="3"/>
  <c r="AW155" i="3"/>
  <c r="AW156" i="3"/>
  <c r="AW157" i="3"/>
  <c r="AW158" i="3"/>
  <c r="AW160" i="3"/>
  <c r="AW161" i="3"/>
  <c r="AW166" i="3"/>
  <c r="AW167" i="3"/>
  <c r="AW169" i="3"/>
  <c r="AW170" i="3"/>
  <c r="AW171" i="3"/>
  <c r="AW172" i="3"/>
  <c r="AW173" i="3"/>
  <c r="AW174" i="3"/>
  <c r="AW176" i="3"/>
  <c r="AW177" i="3"/>
  <c r="AW179" i="3"/>
  <c r="AW181" i="3"/>
  <c r="AW182" i="3"/>
  <c r="AW183" i="3"/>
  <c r="AW184" i="3"/>
  <c r="AW185" i="3"/>
  <c r="AW189" i="3"/>
  <c r="AW191" i="3"/>
  <c r="AW192" i="3"/>
  <c r="AW193" i="3"/>
  <c r="AW194" i="3"/>
  <c r="AW197" i="3"/>
  <c r="AW198" i="3"/>
  <c r="AW199" i="3"/>
  <c r="AW200" i="3"/>
  <c r="AW201" i="3"/>
  <c r="AW202" i="3"/>
  <c r="AW203" i="3"/>
  <c r="AW205" i="3"/>
  <c r="AW206" i="3"/>
  <c r="AW208" i="3"/>
  <c r="AW209" i="3"/>
  <c r="AW211" i="3"/>
  <c r="AW212" i="3"/>
  <c r="AW215" i="3"/>
  <c r="AW216" i="3"/>
  <c r="AW217" i="3"/>
  <c r="AW220" i="3"/>
  <c r="AW221" i="3"/>
  <c r="AW222" i="3"/>
  <c r="AW224" i="3"/>
  <c r="AW225" i="3"/>
  <c r="AW226" i="3"/>
  <c r="AW227" i="3"/>
  <c r="AW230" i="3"/>
  <c r="AW232" i="3"/>
  <c r="AW233" i="3"/>
  <c r="AW235" i="3"/>
  <c r="AW236" i="3"/>
  <c r="AW237" i="3"/>
  <c r="AW238" i="3"/>
  <c r="AW239" i="3"/>
  <c r="AW240" i="3"/>
  <c r="AW241" i="3"/>
  <c r="AW242" i="3"/>
  <c r="AW243" i="3"/>
  <c r="AW244" i="3"/>
  <c r="AW245" i="3"/>
  <c r="AW246" i="3"/>
  <c r="AW247" i="3"/>
  <c r="AW249" i="3"/>
  <c r="AW251" i="3"/>
  <c r="AW252" i="3"/>
  <c r="AW253" i="3"/>
  <c r="AW254" i="3"/>
  <c r="AW256" i="3"/>
  <c r="AW257" i="3"/>
  <c r="AW258" i="3"/>
  <c r="AW259" i="3"/>
  <c r="AW262" i="3"/>
  <c r="AW263" i="3"/>
  <c r="AW264" i="3"/>
  <c r="AW265" i="3"/>
  <c r="AW268" i="3"/>
  <c r="AW269" i="3"/>
  <c r="AW271" i="3"/>
  <c r="AW272" i="3"/>
  <c r="AW273" i="3"/>
  <c r="AW274" i="3"/>
  <c r="AW275" i="3"/>
  <c r="AW276" i="3"/>
  <c r="AW277" i="3"/>
  <c r="AW278" i="3"/>
  <c r="AW281" i="3"/>
  <c r="AW282" i="3"/>
  <c r="AW283" i="3"/>
  <c r="AW285" i="3"/>
  <c r="AW286" i="3"/>
  <c r="AW287" i="3"/>
  <c r="AW288" i="3"/>
  <c r="AW289" i="3"/>
  <c r="AW292" i="3"/>
  <c r="AW293" i="3"/>
  <c r="AW294" i="3"/>
  <c r="AW296" i="3"/>
  <c r="AW297" i="3"/>
  <c r="AW298" i="3"/>
  <c r="AW300" i="3"/>
  <c r="AW301" i="3"/>
  <c r="AW302" i="3"/>
  <c r="AW304" i="3"/>
  <c r="AW305" i="3"/>
  <c r="AW306" i="3"/>
  <c r="AW307" i="3"/>
  <c r="AW308" i="3"/>
  <c r="AW309" i="3"/>
  <c r="AW310" i="3"/>
  <c r="AW311" i="3"/>
  <c r="AW312" i="3"/>
  <c r="AW313" i="3"/>
  <c r="AW314" i="3"/>
  <c r="AW316" i="3"/>
  <c r="AW317" i="3"/>
  <c r="AW318" i="3"/>
  <c r="AW320" i="3"/>
  <c r="AW321" i="3"/>
  <c r="AW322" i="3"/>
  <c r="AW323" i="3"/>
  <c r="AW324" i="3"/>
  <c r="AW326" i="3"/>
  <c r="AW328" i="3"/>
  <c r="AW330" i="3"/>
  <c r="AW332" i="3"/>
  <c r="AW333" i="3"/>
  <c r="AW334" i="3"/>
  <c r="AW335" i="3"/>
  <c r="AW336" i="3"/>
  <c r="AW337" i="3"/>
  <c r="AW338" i="3"/>
  <c r="AW339" i="3"/>
  <c r="AW340" i="3"/>
  <c r="AW342" i="3"/>
  <c r="AW343" i="3"/>
  <c r="AW344" i="3"/>
  <c r="AW345" i="3"/>
  <c r="AW347" i="3"/>
  <c r="AW348" i="3"/>
  <c r="AW349" i="3"/>
  <c r="AW350" i="3"/>
  <c r="AW351" i="3"/>
  <c r="AW353" i="3"/>
  <c r="AW354" i="3"/>
  <c r="AW355" i="3"/>
  <c r="AW356" i="3"/>
  <c r="AW358" i="3"/>
  <c r="AW359" i="3"/>
  <c r="AW360" i="3"/>
  <c r="AW361" i="3"/>
  <c r="AW362" i="3"/>
  <c r="AW364" i="3"/>
  <c r="AW366" i="3"/>
  <c r="AW367" i="3"/>
  <c r="AW368" i="3"/>
  <c r="AW370" i="3"/>
  <c r="AW371" i="3"/>
  <c r="AW372" i="3"/>
  <c r="AW378" i="3"/>
  <c r="AW379" i="3"/>
  <c r="AW380" i="3"/>
  <c r="AW381" i="3"/>
  <c r="AW382" i="3"/>
  <c r="AW383" i="3"/>
  <c r="AW384" i="3"/>
  <c r="AW388" i="3"/>
  <c r="AW389" i="3"/>
  <c r="AW390" i="3"/>
  <c r="AW391" i="3"/>
  <c r="AW392" i="3"/>
  <c r="AW393" i="3"/>
  <c r="AW394" i="3"/>
  <c r="AW396" i="3"/>
  <c r="AW397" i="3"/>
  <c r="AW398" i="3"/>
  <c r="AW399" i="3"/>
  <c r="AW401" i="3"/>
  <c r="AW402" i="3"/>
  <c r="AW403" i="3"/>
  <c r="AW404" i="3"/>
  <c r="AW405" i="3"/>
  <c r="AW407" i="3"/>
  <c r="AW408" i="3"/>
  <c r="AW409" i="3"/>
  <c r="AW410" i="3"/>
  <c r="AW411" i="3"/>
  <c r="AW412" i="3"/>
  <c r="AW413" i="3"/>
  <c r="AW414" i="3"/>
  <c r="AW416" i="3"/>
  <c r="AW418" i="3"/>
  <c r="AW419" i="3"/>
  <c r="AW420" i="3"/>
  <c r="AW422" i="3"/>
  <c r="AW424" i="3"/>
  <c r="AW425" i="3"/>
  <c r="AW426" i="3"/>
  <c r="AW427" i="3"/>
  <c r="AW428" i="3"/>
  <c r="AW429" i="3"/>
  <c r="AW431" i="3"/>
  <c r="AW432" i="3"/>
  <c r="AW433" i="3"/>
  <c r="AW434" i="3"/>
  <c r="AW435" i="3"/>
  <c r="AW436" i="3"/>
  <c r="AW437" i="3"/>
  <c r="AW438" i="3"/>
  <c r="AW439" i="3"/>
  <c r="AW441" i="3"/>
  <c r="AW443" i="3"/>
  <c r="AW444" i="3"/>
  <c r="AW445" i="3"/>
  <c r="AW446" i="3"/>
  <c r="AW447" i="3"/>
  <c r="AW448" i="3"/>
  <c r="AW449" i="3"/>
  <c r="AW450" i="3"/>
  <c r="AW451" i="3"/>
  <c r="AW453" i="3"/>
  <c r="AW455" i="3"/>
  <c r="AW457" i="3"/>
  <c r="AW458" i="3"/>
  <c r="AW459" i="3"/>
  <c r="AW462" i="3"/>
  <c r="AW463" i="3"/>
  <c r="AW464" i="3"/>
  <c r="AW466" i="3"/>
  <c r="AW468" i="3"/>
  <c r="AW469" i="3"/>
  <c r="AW470" i="3"/>
  <c r="AW471" i="3"/>
  <c r="AW472" i="3"/>
  <c r="AW473" i="3"/>
  <c r="AW474" i="3"/>
  <c r="AW475" i="3"/>
  <c r="AW476" i="3"/>
  <c r="AW477" i="3"/>
  <c r="AW478" i="3"/>
  <c r="AW479" i="3"/>
  <c r="AW480" i="3"/>
  <c r="AW481" i="3"/>
  <c r="AW482" i="3"/>
  <c r="AW484" i="3"/>
  <c r="AW485" i="3"/>
  <c r="AW487" i="3"/>
  <c r="AW488" i="3"/>
  <c r="AW490" i="3"/>
  <c r="AW491" i="3"/>
  <c r="AW493" i="3"/>
  <c r="AW494" i="3"/>
  <c r="AW496" i="3"/>
  <c r="AW497" i="3"/>
  <c r="AW498" i="3"/>
  <c r="AW499" i="3"/>
  <c r="AW500" i="3"/>
  <c r="AW501" i="3"/>
  <c r="AW502" i="3"/>
  <c r="AW504" i="3"/>
  <c r="AW505" i="3"/>
  <c r="AW506" i="3"/>
  <c r="AW507" i="3"/>
  <c r="AW509" i="3"/>
  <c r="AW510" i="3"/>
  <c r="AW513" i="3"/>
  <c r="AW514" i="3"/>
  <c r="AW516" i="3"/>
  <c r="AW518" i="3"/>
  <c r="AW519" i="3"/>
  <c r="AW521" i="3"/>
  <c r="AW522" i="3"/>
  <c r="AW523" i="3"/>
  <c r="AW525" i="3"/>
  <c r="AW526" i="3"/>
  <c r="AW527" i="3"/>
  <c r="AW528" i="3"/>
  <c r="AW530" i="3"/>
  <c r="AW531" i="3"/>
  <c r="AW532" i="3"/>
  <c r="AW534" i="3"/>
  <c r="AW535" i="3"/>
  <c r="AW536" i="3"/>
  <c r="AW537" i="3"/>
  <c r="AW539" i="3"/>
  <c r="AW540" i="3"/>
  <c r="AW541" i="3"/>
  <c r="AW542" i="3"/>
  <c r="AW543" i="3"/>
  <c r="AW544" i="3"/>
  <c r="AW545" i="3"/>
  <c r="AW547" i="3"/>
  <c r="AW548" i="3"/>
  <c r="AW549" i="3"/>
  <c r="AW550" i="3"/>
  <c r="AW551" i="3"/>
  <c r="AW552" i="3"/>
  <c r="AW553" i="3"/>
  <c r="AW554" i="3"/>
  <c r="AW555" i="3"/>
  <c r="AW557" i="3"/>
  <c r="AW558" i="3"/>
  <c r="AW560" i="3"/>
  <c r="AW561" i="3"/>
  <c r="AW562" i="3"/>
  <c r="AW564" i="3"/>
  <c r="AW565" i="3"/>
  <c r="AW570" i="3"/>
  <c r="AW571" i="3"/>
  <c r="AW572" i="3"/>
  <c r="AW573" i="3"/>
  <c r="AW574" i="3"/>
  <c r="AW575" i="3"/>
  <c r="AW576" i="3"/>
  <c r="AW577" i="3"/>
  <c r="AW578" i="3"/>
  <c r="AW579" i="3"/>
  <c r="AW580" i="3"/>
  <c r="AW581" i="3"/>
  <c r="AW582" i="3"/>
  <c r="AW584" i="3"/>
  <c r="AW585" i="3"/>
  <c r="AW586" i="3"/>
  <c r="AW587" i="3"/>
  <c r="AW589" i="3"/>
  <c r="AW591" i="3"/>
  <c r="AW592" i="3"/>
  <c r="AW594" i="3"/>
  <c r="AW596" i="3"/>
  <c r="AW597" i="3"/>
  <c r="AW598" i="3"/>
  <c r="AW601" i="3"/>
  <c r="AW603" i="3"/>
  <c r="AW604" i="3"/>
  <c r="AW605" i="3"/>
  <c r="AW606" i="3"/>
  <c r="AW608" i="3"/>
  <c r="AW609" i="3"/>
  <c r="AW611" i="3"/>
  <c r="AW612" i="3"/>
  <c r="AW616" i="3"/>
  <c r="AW617" i="3"/>
  <c r="AW618" i="3"/>
  <c r="AW619" i="3"/>
  <c r="AW621" i="3"/>
  <c r="AW623" i="3"/>
  <c r="AW624" i="3"/>
  <c r="AW625" i="3"/>
  <c r="AW626" i="3"/>
  <c r="AW627" i="3"/>
  <c r="AW629" i="3"/>
  <c r="AW630" i="3"/>
  <c r="AW631" i="3"/>
  <c r="AW636" i="3"/>
  <c r="AW637" i="3"/>
  <c r="AW638" i="3"/>
  <c r="AW639" i="3"/>
  <c r="AW640" i="3"/>
  <c r="AW641" i="3"/>
  <c r="AW642" i="3"/>
  <c r="AW644" i="3"/>
  <c r="AW645" i="3"/>
  <c r="AW646" i="3"/>
  <c r="AW648" i="3"/>
  <c r="AW650" i="3"/>
  <c r="AW651" i="3"/>
  <c r="AW652" i="3"/>
  <c r="AW654" i="3"/>
  <c r="AW656" i="3"/>
  <c r="AW657" i="3"/>
  <c r="AW659" i="3"/>
  <c r="AW660" i="3"/>
  <c r="AW661" i="3"/>
  <c r="AW662" i="3"/>
  <c r="AW664" i="3"/>
  <c r="AW665" i="3"/>
  <c r="AW666" i="3"/>
  <c r="AW667" i="3"/>
  <c r="AW669" i="3"/>
  <c r="AW670" i="3"/>
  <c r="AW671" i="3"/>
  <c r="AW672" i="3"/>
  <c r="AW674" i="3"/>
  <c r="AW675" i="3"/>
  <c r="AW676" i="3"/>
  <c r="AW682" i="3"/>
  <c r="AW688" i="3"/>
  <c r="AW689" i="3"/>
  <c r="AW690" i="3"/>
  <c r="AW692" i="3"/>
  <c r="AW694" i="3"/>
  <c r="AW695" i="3"/>
  <c r="AW697" i="3"/>
  <c r="AW698" i="3"/>
  <c r="AW699" i="3"/>
  <c r="AW700" i="3"/>
  <c r="AW702" i="3"/>
  <c r="AW704" i="3"/>
  <c r="AW705" i="3"/>
  <c r="AW707" i="3"/>
  <c r="AW709" i="3"/>
  <c r="AW712" i="3"/>
  <c r="AW713" i="3"/>
  <c r="AW714" i="3"/>
  <c r="AW715" i="3"/>
  <c r="AW716" i="3"/>
  <c r="AW717" i="3"/>
  <c r="AW718" i="3"/>
  <c r="AW721" i="3"/>
  <c r="AW722" i="3"/>
  <c r="AW723" i="3"/>
  <c r="AW724" i="3"/>
  <c r="AW726" i="3"/>
  <c r="AW727" i="3"/>
  <c r="AW728" i="3"/>
  <c r="AW729" i="3"/>
  <c r="AW730" i="3"/>
  <c r="AW731" i="3"/>
  <c r="AW732" i="3"/>
  <c r="AW737" i="3"/>
  <c r="AW738" i="3"/>
  <c r="AW739" i="3"/>
  <c r="AW740" i="3"/>
  <c r="AW743" i="3"/>
  <c r="AW745" i="3"/>
  <c r="AW746" i="3"/>
  <c r="AW748" i="3"/>
  <c r="AW750" i="3"/>
  <c r="AW751" i="3"/>
  <c r="AW752" i="3"/>
  <c r="AW753" i="3"/>
  <c r="AW755" i="3"/>
  <c r="AW757" i="3"/>
  <c r="AW759" i="3"/>
  <c r="AW760" i="3"/>
  <c r="AW762" i="3"/>
  <c r="AW763" i="3"/>
  <c r="AW764" i="3"/>
  <c r="AW765" i="3"/>
  <c r="AW766" i="3"/>
  <c r="AW767" i="3"/>
  <c r="AW771" i="3"/>
  <c r="AW772" i="3"/>
  <c r="AW773" i="3"/>
  <c r="AW775" i="3"/>
  <c r="AW777" i="3"/>
  <c r="AW778" i="3"/>
  <c r="AW779" i="3"/>
  <c r="AW780" i="3"/>
  <c r="AW781" i="3"/>
  <c r="AW782" i="3"/>
  <c r="AW783" i="3"/>
  <c r="AW786" i="3"/>
  <c r="AW787" i="3"/>
  <c r="AW789" i="3"/>
  <c r="AW791" i="3"/>
  <c r="AW793" i="3"/>
  <c r="AW794" i="3"/>
  <c r="AW795" i="3"/>
  <c r="AW797" i="3"/>
  <c r="AW798" i="3"/>
  <c r="AW799" i="3"/>
  <c r="AW800" i="3"/>
  <c r="AW801" i="3"/>
  <c r="AW802" i="3"/>
  <c r="AW804" i="3"/>
  <c r="AW805" i="3"/>
  <c r="AW806" i="3"/>
  <c r="AW807" i="3"/>
  <c r="AW808" i="3"/>
  <c r="AW809" i="3"/>
  <c r="AW810" i="3"/>
  <c r="AW811" i="3"/>
  <c r="AW812" i="3"/>
  <c r="AW813" i="3"/>
  <c r="AW814" i="3"/>
  <c r="AW815" i="3"/>
  <c r="AW819" i="3"/>
  <c r="AW820" i="3"/>
  <c r="AW821" i="3"/>
  <c r="AW823" i="3"/>
  <c r="AW824" i="3"/>
  <c r="AW825" i="3"/>
  <c r="AW826" i="3"/>
  <c r="AW827" i="3"/>
  <c r="AW828" i="3"/>
  <c r="AW830" i="3"/>
  <c r="AW831" i="3"/>
  <c r="AW834" i="3"/>
  <c r="AW835" i="3"/>
  <c r="AW836" i="3"/>
  <c r="AW837" i="3"/>
  <c r="AW838" i="3"/>
  <c r="AW839" i="3"/>
  <c r="AW841" i="3"/>
  <c r="AW842" i="3"/>
  <c r="AW843" i="3"/>
  <c r="AW844" i="3"/>
  <c r="AW845" i="3"/>
  <c r="AW846" i="3"/>
  <c r="AW847" i="3"/>
  <c r="AW848" i="3"/>
  <c r="AW849" i="3"/>
  <c r="AW850" i="3"/>
  <c r="AW851" i="3"/>
  <c r="AW852" i="3"/>
  <c r="AW853" i="3"/>
  <c r="AW854" i="3"/>
  <c r="AW857" i="3"/>
  <c r="AW858" i="3"/>
  <c r="AW859" i="3"/>
  <c r="AW860" i="3"/>
  <c r="AW862" i="3"/>
  <c r="AW863" i="3"/>
  <c r="AW864" i="3"/>
  <c r="AW865" i="3"/>
  <c r="AW867" i="3"/>
  <c r="AW868" i="3"/>
  <c r="AW871" i="3"/>
  <c r="AW872" i="3"/>
  <c r="AW874" i="3"/>
  <c r="AW875" i="3"/>
  <c r="AW876" i="3"/>
  <c r="AW877" i="3"/>
  <c r="AW878" i="3"/>
  <c r="AW879" i="3"/>
  <c r="AW880" i="3"/>
  <c r="AW881" i="3"/>
  <c r="AW882" i="3"/>
  <c r="AW885" i="3"/>
  <c r="AW886" i="3"/>
  <c r="AW887" i="3"/>
  <c r="AW888" i="3"/>
  <c r="AW889" i="3"/>
  <c r="AW891" i="3"/>
  <c r="AW893" i="3"/>
  <c r="AW901" i="3"/>
  <c r="AW902" i="3"/>
  <c r="AW903" i="3"/>
  <c r="AW906" i="3"/>
  <c r="AW907" i="3"/>
  <c r="AW908" i="3"/>
  <c r="AW909" i="3"/>
  <c r="AW910" i="3"/>
  <c r="AW914" i="3"/>
  <c r="AW915" i="3"/>
  <c r="AW916" i="3"/>
  <c r="AW917" i="3"/>
  <c r="AW922" i="3"/>
  <c r="AW923" i="3"/>
  <c r="AW924" i="3"/>
  <c r="AW925" i="3"/>
  <c r="AW926" i="3"/>
  <c r="AW932" i="3"/>
  <c r="AW933" i="3"/>
  <c r="AW936" i="3"/>
  <c r="AW937" i="3"/>
  <c r="AW938" i="3"/>
  <c r="AW939" i="3"/>
  <c r="AW940" i="3"/>
  <c r="AW941" i="3"/>
  <c r="AW943" i="3"/>
  <c r="AW944" i="3"/>
  <c r="AW945" i="3"/>
  <c r="AW946" i="3"/>
  <c r="AW947" i="3"/>
  <c r="AW948" i="3"/>
  <c r="AW950" i="3"/>
  <c r="AW951" i="3"/>
  <c r="AW952" i="3"/>
  <c r="AW953" i="3"/>
  <c r="AW954" i="3"/>
  <c r="AW955" i="3"/>
  <c r="AW956" i="3"/>
  <c r="AW958" i="3"/>
  <c r="AW959" i="3"/>
  <c r="AW961" i="3"/>
  <c r="AW963" i="3"/>
  <c r="AW965" i="3"/>
  <c r="AW966" i="3"/>
  <c r="AW967" i="3"/>
  <c r="AW969" i="3"/>
  <c r="AW970" i="3"/>
  <c r="AW971" i="3"/>
  <c r="AW973" i="3"/>
  <c r="AW974" i="3"/>
  <c r="AW975" i="3"/>
  <c r="AW977" i="3"/>
  <c r="AW979" i="3"/>
  <c r="AW980" i="3"/>
  <c r="AW982" i="3"/>
  <c r="AW984" i="3"/>
  <c r="AW985" i="3"/>
  <c r="AW986" i="3"/>
  <c r="AW987" i="3"/>
  <c r="AW988" i="3"/>
  <c r="AW989" i="3"/>
  <c r="AW991" i="3"/>
  <c r="AW992" i="3"/>
  <c r="AW993" i="3"/>
  <c r="AW994" i="3"/>
  <c r="AW995" i="3"/>
  <c r="AW996" i="3"/>
  <c r="AW997" i="3"/>
  <c r="AW999" i="3"/>
  <c r="AW1000" i="3"/>
  <c r="AW1001" i="3"/>
  <c r="AW1003" i="3"/>
  <c r="AW1005" i="3"/>
  <c r="AW1006" i="3"/>
  <c r="AW1008" i="3"/>
  <c r="AW1009" i="3"/>
  <c r="AW1011" i="3"/>
  <c r="AW1012" i="3"/>
  <c r="AW1014" i="3"/>
  <c r="AW1015" i="3"/>
  <c r="AW1016" i="3"/>
  <c r="AW1017" i="3"/>
  <c r="AW1018" i="3"/>
  <c r="AW1020" i="3"/>
  <c r="AW1021" i="3"/>
  <c r="AW1022" i="3"/>
  <c r="AW1023" i="3"/>
  <c r="AW1026" i="3"/>
  <c r="AW1027" i="3"/>
  <c r="AW1029" i="3"/>
  <c r="AW1030" i="3"/>
  <c r="AW1031" i="3"/>
  <c r="AW1035" i="3"/>
  <c r="AW1037" i="3"/>
  <c r="AW1039" i="3"/>
  <c r="AW1043" i="3"/>
  <c r="AW1044" i="3"/>
  <c r="AW1045" i="3"/>
  <c r="AW1047" i="3"/>
  <c r="AW1050" i="3"/>
  <c r="AW1051" i="3"/>
  <c r="AW1052" i="3"/>
  <c r="AW1053" i="3"/>
  <c r="AW1054" i="3"/>
  <c r="AW1056" i="3"/>
  <c r="AW1058" i="3"/>
  <c r="AW1059" i="3"/>
  <c r="AW1060" i="3"/>
  <c r="AW1061" i="3"/>
  <c r="AW1065" i="3"/>
  <c r="AW1068" i="3"/>
  <c r="AW1070" i="3"/>
  <c r="AW1071" i="3"/>
  <c r="AW1072" i="3"/>
  <c r="AW1073" i="3"/>
  <c r="AW1074" i="3"/>
  <c r="AW1077" i="3"/>
  <c r="AW1080" i="3"/>
  <c r="AW1081" i="3"/>
  <c r="AW1083" i="3"/>
  <c r="AW1085" i="3"/>
  <c r="AW1086" i="3"/>
  <c r="AW1087" i="3"/>
  <c r="AW1088" i="3"/>
  <c r="AW1089" i="3"/>
  <c r="AW1090" i="3"/>
  <c r="AW1091" i="3"/>
  <c r="AW1092" i="3"/>
  <c r="AW1093" i="3"/>
  <c r="AW1097" i="3"/>
  <c r="AW1099" i="3"/>
  <c r="AW1102" i="3"/>
  <c r="AW1103" i="3"/>
  <c r="AW1106" i="3"/>
  <c r="AW1107" i="3"/>
  <c r="AW1108" i="3"/>
  <c r="AW1109" i="3"/>
  <c r="AW1110" i="3"/>
  <c r="AW1111" i="3"/>
  <c r="AW1113" i="3"/>
  <c r="AW1114" i="3"/>
  <c r="AW1115" i="3"/>
  <c r="AW1116" i="3"/>
  <c r="AW1117" i="3"/>
  <c r="AW1119" i="3"/>
  <c r="AW1120" i="3"/>
  <c r="AW1121" i="3"/>
  <c r="AW1122" i="3"/>
  <c r="AW1124" i="3"/>
  <c r="AW1126" i="3"/>
  <c r="AW1127" i="3"/>
  <c r="AW1128" i="3"/>
  <c r="AW1129" i="3"/>
  <c r="AW1130" i="3"/>
  <c r="AW1131" i="3"/>
  <c r="AW1132" i="3"/>
  <c r="AW1133" i="3"/>
  <c r="AW1134" i="3"/>
  <c r="AW1135" i="3"/>
  <c r="AW1136" i="3"/>
  <c r="AW1137" i="3"/>
  <c r="AW1140" i="3"/>
  <c r="AW1142" i="3"/>
  <c r="AW1143" i="3"/>
  <c r="AW1145" i="3"/>
  <c r="AW1147" i="3"/>
  <c r="AW1148" i="3"/>
  <c r="AW1149" i="3"/>
  <c r="AW1150" i="3"/>
  <c r="AW1152" i="3"/>
  <c r="AW1153" i="3"/>
  <c r="AW1154" i="3"/>
  <c r="AW1155" i="3"/>
  <c r="AW1156" i="3"/>
  <c r="AW1157" i="3"/>
  <c r="AW1158" i="3"/>
  <c r="AW1160" i="3"/>
  <c r="AW1161" i="3"/>
  <c r="AW1162" i="3"/>
  <c r="AW1164" i="3"/>
  <c r="AW1165" i="3"/>
  <c r="AW1168" i="3"/>
  <c r="AW1169" i="3"/>
  <c r="AW1170" i="3"/>
  <c r="AW1171" i="3"/>
  <c r="AW1172" i="3"/>
  <c r="AW1173" i="3"/>
  <c r="AW1175" i="3"/>
  <c r="AW1176" i="3"/>
  <c r="AW1177" i="3"/>
  <c r="AW1181" i="3"/>
  <c r="AW1183" i="3"/>
  <c r="AW1184" i="3"/>
  <c r="AW1185" i="3"/>
  <c r="AW1186" i="3"/>
  <c r="AW1187" i="3"/>
  <c r="AW1189" i="3"/>
  <c r="AW1190" i="3"/>
  <c r="AW1191" i="3"/>
  <c r="AW1192" i="3"/>
  <c r="AW1193" i="3"/>
  <c r="AW1194" i="3"/>
  <c r="AW1195" i="3"/>
  <c r="AW1196" i="3"/>
  <c r="AW1200" i="3"/>
  <c r="AW1201" i="3"/>
  <c r="AW1202" i="3"/>
  <c r="AW1203" i="3"/>
  <c r="AW1204" i="3"/>
  <c r="AW1205" i="3"/>
  <c r="AW1206" i="3"/>
  <c r="AW1208" i="3"/>
  <c r="AW1209" i="3"/>
  <c r="AW1210" i="3"/>
  <c r="AW1211" i="3"/>
  <c r="AW1212" i="3"/>
  <c r="AW1213" i="3"/>
  <c r="AW1215" i="3"/>
  <c r="AW1216" i="3"/>
  <c r="AW1217" i="3"/>
  <c r="AW1218" i="3"/>
  <c r="AW1219" i="3"/>
  <c r="AW1220" i="3"/>
  <c r="AW1221" i="3"/>
  <c r="AW1222" i="3"/>
  <c r="AW1223" i="3"/>
  <c r="AW1232" i="3"/>
  <c r="AW1233" i="3"/>
  <c r="AW1234" i="3"/>
  <c r="AW1235" i="3"/>
  <c r="AW1239" i="3"/>
  <c r="AW1240" i="3"/>
  <c r="AW1241" i="3"/>
  <c r="AW1242" i="3"/>
  <c r="AW1244" i="3"/>
  <c r="AW1245" i="3"/>
  <c r="AW1246" i="3"/>
  <c r="AW1247" i="3"/>
  <c r="AW1248" i="3"/>
  <c r="AW1249" i="3"/>
  <c r="AW1250" i="3"/>
  <c r="AW1251" i="3"/>
  <c r="AW1252" i="3"/>
  <c r="AW1254" i="3"/>
  <c r="AW1255" i="3"/>
  <c r="AW1256" i="3"/>
  <c r="AW1257" i="3"/>
  <c r="AW1258" i="3"/>
  <c r="AW1259" i="3"/>
  <c r="AW1260" i="3"/>
  <c r="AW1261" i="3"/>
  <c r="AW1263" i="3"/>
  <c r="AW1265" i="3"/>
  <c r="AW1267" i="3"/>
  <c r="AW1268" i="3"/>
  <c r="AW1270" i="3"/>
  <c r="AW1271" i="3"/>
  <c r="AW1273" i="3"/>
  <c r="AW1276" i="3"/>
  <c r="AW1279" i="3"/>
  <c r="AW1280" i="3"/>
  <c r="AW1282" i="3"/>
  <c r="AW1283" i="3"/>
  <c r="AW1284" i="3"/>
  <c r="AW1285" i="3"/>
  <c r="AW1286" i="3"/>
  <c r="AW1287" i="3"/>
  <c r="AW1288" i="3"/>
  <c r="AW1289" i="3"/>
  <c r="AW1290" i="3"/>
  <c r="AW1294" i="3"/>
  <c r="AW1297" i="3"/>
  <c r="AW1299" i="3"/>
  <c r="AW1300" i="3"/>
  <c r="AW1301" i="3"/>
  <c r="AW1302" i="3"/>
  <c r="AW1304" i="3"/>
  <c r="AW1305" i="3"/>
  <c r="AW1306" i="3"/>
  <c r="AW1307" i="3"/>
  <c r="AW1308" i="3"/>
  <c r="AW1309" i="3"/>
  <c r="AW1310" i="3"/>
  <c r="AW1312" i="3"/>
  <c r="AW1313" i="3"/>
  <c r="AW1314" i="3"/>
  <c r="AW1315" i="3"/>
  <c r="AW1316" i="3"/>
  <c r="AW1317" i="3"/>
  <c r="AW1318" i="3"/>
  <c r="AW1320" i="3"/>
  <c r="AW1323" i="3"/>
  <c r="AW1325" i="3"/>
  <c r="AW1327" i="3"/>
  <c r="AW1328" i="3"/>
  <c r="AW1329" i="3"/>
  <c r="AW1330" i="3"/>
  <c r="AW1331" i="3"/>
  <c r="AW1333" i="3"/>
  <c r="AW1334" i="3"/>
  <c r="AW1335" i="3"/>
  <c r="AW1336" i="3"/>
  <c r="AW1339" i="3"/>
  <c r="AW1341" i="3"/>
  <c r="AW1342" i="3"/>
  <c r="AW1343" i="3"/>
  <c r="AW1344" i="3"/>
  <c r="AW1345" i="3"/>
  <c r="AW1346" i="3"/>
  <c r="AW1347" i="3"/>
  <c r="AW1350" i="3"/>
  <c r="AW1351" i="3"/>
  <c r="AW1352" i="3"/>
  <c r="AW1353" i="3"/>
  <c r="AW1354" i="3"/>
  <c r="AW1355" i="3"/>
  <c r="AW1357" i="3"/>
  <c r="AW1358" i="3"/>
  <c r="AW1359" i="3"/>
  <c r="AW1360" i="3"/>
  <c r="AW1361" i="3"/>
  <c r="AW1362" i="3"/>
  <c r="AW1363" i="3"/>
  <c r="AW1365" i="3"/>
  <c r="AW1366" i="3"/>
  <c r="AW1367" i="3"/>
  <c r="AW1369" i="3"/>
  <c r="AW1370" i="3"/>
  <c r="AW1371" i="3"/>
  <c r="AW1372" i="3"/>
  <c r="AW1373" i="3"/>
  <c r="AW1374" i="3"/>
  <c r="AW1376" i="3"/>
  <c r="AW1377" i="3"/>
  <c r="AW1378" i="3"/>
  <c r="AW1379" i="3"/>
  <c r="AW1381" i="3"/>
  <c r="AW1382" i="3"/>
  <c r="AW1383" i="3"/>
  <c r="AW1384" i="3"/>
  <c r="AW1385" i="3"/>
  <c r="AW1390" i="3"/>
  <c r="AW1392" i="3"/>
  <c r="AW1393" i="3"/>
  <c r="AW1395" i="3"/>
  <c r="AW1396" i="3"/>
  <c r="AW1397" i="3"/>
  <c r="AW1398" i="3"/>
  <c r="AW1400" i="3"/>
  <c r="AW1401" i="3"/>
  <c r="AW1402" i="3"/>
  <c r="AW1403" i="3"/>
  <c r="AW1404" i="3"/>
  <c r="AW1406" i="3"/>
  <c r="AW1407" i="3"/>
  <c r="AW1409" i="3"/>
  <c r="AW1411" i="3"/>
  <c r="AW1412" i="3"/>
  <c r="AW1413" i="3"/>
  <c r="AW1414" i="3"/>
  <c r="AW1415" i="3"/>
  <c r="AW1416" i="3"/>
  <c r="AW1418" i="3"/>
  <c r="AW1419" i="3"/>
  <c r="AW1420" i="3"/>
  <c r="AW1421" i="3"/>
  <c r="AW1422" i="3"/>
  <c r="AW1423" i="3"/>
  <c r="AW1424" i="3"/>
  <c r="AW1425" i="3"/>
  <c r="AW1426" i="3"/>
  <c r="AW1427" i="3"/>
  <c r="AW1428" i="3"/>
  <c r="AW1432" i="3"/>
  <c r="AW1433" i="3"/>
  <c r="AW1434" i="3"/>
  <c r="AW1435" i="3"/>
  <c r="AW1436" i="3"/>
  <c r="AW1437" i="3"/>
  <c r="AW1438" i="3"/>
  <c r="AW1439" i="3"/>
  <c r="AW1441" i="3"/>
  <c r="AW1442" i="3"/>
  <c r="AW1443" i="3"/>
  <c r="AW1444" i="3"/>
  <c r="AW1445" i="3"/>
  <c r="AW1446" i="3"/>
  <c r="AW1448" i="3"/>
  <c r="AW1450" i="3"/>
  <c r="AW1452" i="3"/>
  <c r="AW1453" i="3"/>
  <c r="AW1457" i="3"/>
  <c r="AW1458" i="3"/>
  <c r="AW1459" i="3"/>
  <c r="AW1463" i="3"/>
  <c r="AW1468" i="3"/>
  <c r="AW1469" i="3"/>
  <c r="AW1471" i="3"/>
  <c r="AW1472" i="3"/>
  <c r="AW1473" i="3"/>
  <c r="AW1475" i="3"/>
  <c r="AW1476" i="3"/>
  <c r="AW1477" i="3"/>
  <c r="AW1480" i="3"/>
  <c r="AW1481" i="3"/>
  <c r="AW1482" i="3"/>
  <c r="AW1483" i="3"/>
  <c r="AW1484" i="3"/>
  <c r="AW1485" i="3"/>
  <c r="AW1486" i="3"/>
  <c r="AW1487" i="3"/>
  <c r="AW1488" i="3"/>
  <c r="AW1489" i="3"/>
  <c r="AW1490" i="3"/>
  <c r="AW1491" i="3"/>
  <c r="AW1493" i="3"/>
  <c r="AW1494" i="3"/>
  <c r="AW1498" i="3"/>
  <c r="AW1500" i="3"/>
  <c r="AW1501" i="3"/>
  <c r="AW1502" i="3"/>
  <c r="AW1503" i="3"/>
  <c r="AW1505" i="3"/>
  <c r="AW1506" i="3"/>
  <c r="AW1507" i="3"/>
  <c r="AW1508" i="3"/>
  <c r="AW1509" i="3"/>
  <c r="AW1510" i="3"/>
  <c r="AW1512" i="3"/>
  <c r="AW1514" i="3"/>
  <c r="AW1516" i="3"/>
  <c r="AW1517" i="3"/>
  <c r="AW1518" i="3"/>
  <c r="AW1519" i="3"/>
  <c r="AW1520" i="3"/>
  <c r="AW1521" i="3"/>
  <c r="AW1522" i="3"/>
  <c r="AW1523" i="3"/>
  <c r="AW1524" i="3"/>
  <c r="AW1527" i="3"/>
  <c r="AW1528" i="3"/>
  <c r="AW1530" i="3"/>
  <c r="AW1531" i="3"/>
  <c r="AW1532" i="3"/>
  <c r="AW1533" i="3"/>
  <c r="AW1536" i="3"/>
  <c r="AW1537" i="3"/>
  <c r="AW1538" i="3"/>
  <c r="AW1540" i="3"/>
  <c r="AW1541" i="3"/>
  <c r="AW1543" i="3"/>
  <c r="AW1546" i="3"/>
  <c r="AW1547" i="3"/>
  <c r="AW1548" i="3"/>
  <c r="AW1549" i="3"/>
  <c r="AW1550" i="3"/>
  <c r="AW1551" i="3"/>
  <c r="AW1552" i="3"/>
  <c r="AW1553" i="3"/>
  <c r="AW1554" i="3"/>
  <c r="AW1555" i="3"/>
  <c r="AW1556" i="3"/>
  <c r="AW1557" i="3"/>
  <c r="AW1558" i="3"/>
  <c r="AW1559" i="3"/>
  <c r="AW1560" i="3"/>
  <c r="AW1562" i="3"/>
  <c r="AW1563" i="3"/>
  <c r="AW1564" i="3"/>
  <c r="AW1566" i="3"/>
  <c r="AW1567" i="3"/>
  <c r="AW1568" i="3"/>
  <c r="AW1569" i="3"/>
  <c r="AW1570" i="3"/>
  <c r="AW1571" i="3"/>
  <c r="AW1572" i="3"/>
  <c r="AW1573" i="3"/>
  <c r="AW1574" i="3"/>
  <c r="AW1575" i="3"/>
  <c r="AW1578" i="3"/>
  <c r="AW1579" i="3"/>
  <c r="AW1582" i="3"/>
  <c r="AW1583" i="3"/>
  <c r="AW1584" i="3"/>
  <c r="AW1585" i="3"/>
  <c r="AW1586" i="3"/>
  <c r="AW1587" i="3"/>
  <c r="AW1588" i="3"/>
  <c r="AW1590" i="3"/>
  <c r="AW1593" i="3"/>
  <c r="AW1594" i="3"/>
  <c r="AW1595" i="3"/>
  <c r="AW1597" i="3"/>
  <c r="AW1598" i="3"/>
  <c r="AW1599" i="3"/>
  <c r="AW1600" i="3"/>
  <c r="AW1601" i="3"/>
  <c r="AW1602" i="3"/>
  <c r="AW1603" i="3"/>
  <c r="AW1604" i="3"/>
  <c r="AW1606" i="3"/>
  <c r="AW1608" i="3"/>
  <c r="AW1609" i="3"/>
  <c r="AW1611" i="3"/>
  <c r="AW1612" i="3"/>
  <c r="AW1613" i="3"/>
  <c r="AW1614" i="3"/>
  <c r="AW1615" i="3"/>
  <c r="AW1616" i="3"/>
  <c r="AW1617" i="3"/>
  <c r="AW1618" i="3"/>
  <c r="AW1619" i="3"/>
  <c r="AW1622" i="3"/>
  <c r="AW1623" i="3"/>
  <c r="AW1625" i="3"/>
  <c r="AW1627" i="3"/>
  <c r="AT9" i="3"/>
  <c r="AT56" i="3"/>
  <c r="AT59" i="3"/>
  <c r="AT61" i="3"/>
  <c r="AT79" i="3"/>
  <c r="AT94" i="3"/>
  <c r="AT99" i="3"/>
  <c r="AT104" i="3"/>
  <c r="AT111" i="3"/>
  <c r="AT118" i="3"/>
  <c r="AT124" i="3"/>
  <c r="AT137" i="3"/>
  <c r="AT176" i="3"/>
  <c r="AT191" i="3"/>
  <c r="AT198" i="3"/>
  <c r="AT204" i="3"/>
  <c r="AT220" i="3"/>
  <c r="AT226" i="3"/>
  <c r="AT258" i="3"/>
  <c r="AT281" i="3"/>
  <c r="AT285" i="3"/>
  <c r="AT286" i="3"/>
  <c r="AT301" i="3"/>
  <c r="AT311" i="3"/>
  <c r="AT331" i="3"/>
  <c r="AT334" i="3"/>
  <c r="AT344" i="3"/>
  <c r="AT349" i="3"/>
  <c r="AT366" i="3"/>
  <c r="AT378" i="3"/>
  <c r="AT379" i="3"/>
  <c r="AT398" i="3"/>
  <c r="AT404" i="3"/>
  <c r="AT405" i="3"/>
  <c r="AT453" i="3"/>
  <c r="AT469" i="3"/>
  <c r="AT499" i="3"/>
  <c r="AT517" i="3"/>
  <c r="AT546" i="3"/>
  <c r="AT551" i="3"/>
  <c r="AT561" i="3"/>
  <c r="AT562" i="3"/>
  <c r="AT567" i="3"/>
  <c r="AT574" i="3"/>
  <c r="AT591" i="3"/>
  <c r="AT632" i="3"/>
  <c r="AT645" i="3"/>
  <c r="AT655" i="3"/>
  <c r="AT667" i="3"/>
  <c r="AT682" i="3"/>
  <c r="AT687" i="3"/>
  <c r="AT689" i="3"/>
  <c r="AT736" i="3"/>
  <c r="AT738" i="3"/>
  <c r="AT762" i="3"/>
  <c r="AT773" i="3"/>
  <c r="AT795" i="3"/>
  <c r="AT796" i="3"/>
  <c r="AT800" i="3"/>
  <c r="AT805" i="3"/>
  <c r="AT809" i="3"/>
  <c r="AT811" i="3"/>
  <c r="AT813" i="3"/>
  <c r="AT814" i="3"/>
  <c r="AT836" i="3"/>
  <c r="AT863" i="3"/>
  <c r="AT942" i="3"/>
  <c r="AT947" i="3"/>
  <c r="AT950" i="3"/>
  <c r="AT952" i="3"/>
  <c r="AT958" i="3"/>
  <c r="AT960" i="3"/>
  <c r="AT966" i="3"/>
  <c r="AT971" i="3"/>
  <c r="AT974" i="3"/>
  <c r="AT978" i="3"/>
  <c r="AT982" i="3"/>
  <c r="AT994" i="3"/>
  <c r="AT1007" i="3"/>
  <c r="AT1024" i="3"/>
  <c r="AT1029" i="3"/>
  <c r="AT1041" i="3"/>
  <c r="AT1134" i="3"/>
  <c r="AT1137" i="3"/>
  <c r="AT1160" i="3"/>
  <c r="AT1167" i="3"/>
  <c r="AT1174" i="3"/>
  <c r="AT1202" i="3"/>
  <c r="AT1233" i="3"/>
  <c r="AT1253" i="3"/>
  <c r="AT1316" i="3"/>
  <c r="AT1318" i="3"/>
  <c r="AT1326" i="3"/>
  <c r="AT1334" i="3"/>
  <c r="AT1388" i="3"/>
  <c r="AT1390" i="3"/>
  <c r="AT1413" i="3"/>
  <c r="AT1429" i="3"/>
  <c r="AT1443" i="3"/>
  <c r="AT1459" i="3"/>
  <c r="AT1468" i="3"/>
  <c r="AT1481" i="3"/>
  <c r="AT1490" i="3"/>
  <c r="AT1495" i="3"/>
  <c r="AT1496" i="3"/>
  <c r="AT1512" i="3"/>
  <c r="AT1518" i="3"/>
  <c r="AT1529" i="3"/>
  <c r="AT1539" i="3"/>
  <c r="AT1557" i="3"/>
  <c r="AT1577" i="3"/>
  <c r="AT1590" i="3"/>
  <c r="AT1608" i="3"/>
  <c r="AT1623" i="3"/>
  <c r="AS9" i="3"/>
  <c r="AS56" i="3"/>
  <c r="AS59" i="3"/>
  <c r="AS61" i="3"/>
  <c r="AS79" i="3"/>
  <c r="AS94" i="3"/>
  <c r="AS99" i="3"/>
  <c r="AS104" i="3"/>
  <c r="AS111" i="3"/>
  <c r="AS118" i="3"/>
  <c r="AS124" i="3"/>
  <c r="AS137" i="3"/>
  <c r="AS176" i="3"/>
  <c r="AS191" i="3"/>
  <c r="AS198" i="3"/>
  <c r="AS204" i="3"/>
  <c r="AS220" i="3"/>
  <c r="AS226" i="3"/>
  <c r="AS258" i="3"/>
  <c r="AS281" i="3"/>
  <c r="AS285" i="3"/>
  <c r="AS286" i="3"/>
  <c r="AS301" i="3"/>
  <c r="AS311" i="3"/>
  <c r="AS331" i="3"/>
  <c r="AS334" i="3"/>
  <c r="AS344" i="3"/>
  <c r="AS349" i="3"/>
  <c r="AS366" i="3"/>
  <c r="AS378" i="3"/>
  <c r="AS379" i="3"/>
  <c r="AS398" i="3"/>
  <c r="AS404" i="3"/>
  <c r="AS405" i="3"/>
  <c r="AS453" i="3"/>
  <c r="AS469" i="3"/>
  <c r="AS499" i="3"/>
  <c r="AS517" i="3"/>
  <c r="AS546" i="3"/>
  <c r="AS551" i="3"/>
  <c r="AS561" i="3"/>
  <c r="AS562" i="3"/>
  <c r="AS567" i="3"/>
  <c r="AS574" i="3"/>
  <c r="AS591" i="3"/>
  <c r="AS632" i="3"/>
  <c r="AS645" i="3"/>
  <c r="AS655" i="3"/>
  <c r="AS667" i="3"/>
  <c r="AS682" i="3"/>
  <c r="AS687" i="3"/>
  <c r="AS689" i="3"/>
  <c r="AS736" i="3"/>
  <c r="AS738" i="3"/>
  <c r="AS762" i="3"/>
  <c r="AS773" i="3"/>
  <c r="AS795" i="3"/>
  <c r="AS796" i="3"/>
  <c r="AS800" i="3"/>
  <c r="AS805" i="3"/>
  <c r="AS809" i="3"/>
  <c r="AS811" i="3"/>
  <c r="AS813" i="3"/>
  <c r="AS814" i="3"/>
  <c r="AS836" i="3"/>
  <c r="AS863" i="3"/>
  <c r="AS942" i="3"/>
  <c r="AS947" i="3"/>
  <c r="AS950" i="3"/>
  <c r="AS952" i="3"/>
  <c r="AS958" i="3"/>
  <c r="AS960" i="3"/>
  <c r="AS966" i="3"/>
  <c r="AS971" i="3"/>
  <c r="AS974" i="3"/>
  <c r="AS978" i="3"/>
  <c r="AS982" i="3"/>
  <c r="AS994" i="3"/>
  <c r="AS1007" i="3"/>
  <c r="AS1024" i="3"/>
  <c r="AS1029" i="3"/>
  <c r="AS1041" i="3"/>
  <c r="AS1134" i="3"/>
  <c r="AS1137" i="3"/>
  <c r="AS1160" i="3"/>
  <c r="AS1167" i="3"/>
  <c r="AS1174" i="3"/>
  <c r="AS1202" i="3"/>
  <c r="AS1233" i="3"/>
  <c r="AS1253" i="3"/>
  <c r="AS1316" i="3"/>
  <c r="AS1318" i="3"/>
  <c r="AS1326" i="3"/>
  <c r="AS1334" i="3"/>
  <c r="AS1388" i="3"/>
  <c r="AS1390" i="3"/>
  <c r="AS1413" i="3"/>
  <c r="AS1429" i="3"/>
  <c r="AS1443" i="3"/>
  <c r="AS1459" i="3"/>
  <c r="AS1468" i="3"/>
  <c r="AS1481" i="3"/>
  <c r="AS1490" i="3"/>
  <c r="AS1495" i="3"/>
  <c r="AS1496" i="3"/>
  <c r="AS1512" i="3"/>
  <c r="AS1518" i="3"/>
  <c r="AS1529" i="3"/>
  <c r="AS1539" i="3"/>
  <c r="AS1557" i="3"/>
  <c r="AS1577" i="3"/>
  <c r="AS1590" i="3"/>
  <c r="AS1608" i="3"/>
  <c r="AS1623" i="3"/>
  <c r="AQ3" i="3"/>
  <c r="AQ4" i="3"/>
  <c r="AQ6" i="3"/>
  <c r="AQ7" i="3"/>
  <c r="AQ8" i="3"/>
  <c r="AQ9" i="3"/>
  <c r="AQ10" i="3"/>
  <c r="AQ12" i="3"/>
  <c r="AQ14" i="3"/>
  <c r="AQ15" i="3"/>
  <c r="AQ16" i="3"/>
  <c r="AQ17" i="3"/>
  <c r="AQ18" i="3"/>
  <c r="AQ19" i="3"/>
  <c r="AQ20" i="3"/>
  <c r="AQ21" i="3"/>
  <c r="AQ23" i="3"/>
  <c r="AQ27" i="3"/>
  <c r="AQ28" i="3"/>
  <c r="AQ29" i="3"/>
  <c r="AQ30" i="3"/>
  <c r="AQ31" i="3"/>
  <c r="AQ32" i="3"/>
  <c r="AQ33" i="3"/>
  <c r="AQ34" i="3"/>
  <c r="AQ35" i="3"/>
  <c r="AQ38" i="3"/>
  <c r="AQ41" i="3"/>
  <c r="AQ42" i="3"/>
  <c r="AQ45" i="3"/>
  <c r="AQ46" i="3"/>
  <c r="AQ47" i="3"/>
  <c r="AQ49" i="3"/>
  <c r="AQ50" i="3"/>
  <c r="AQ51" i="3"/>
  <c r="AQ52" i="3"/>
  <c r="AQ53" i="3"/>
  <c r="AQ54" i="3"/>
  <c r="AQ55" i="3"/>
  <c r="AQ56" i="3"/>
  <c r="AQ58" i="3"/>
  <c r="AQ59" i="3"/>
  <c r="AQ60" i="3"/>
  <c r="AQ61" i="3"/>
  <c r="AQ62" i="3"/>
  <c r="AQ64" i="3"/>
  <c r="AQ67" i="3"/>
  <c r="AQ69" i="3"/>
  <c r="AQ70" i="3"/>
  <c r="AQ71" i="3"/>
  <c r="AQ73" i="3"/>
  <c r="AQ76" i="3"/>
  <c r="AQ80" i="3"/>
  <c r="AQ82" i="3"/>
  <c r="AQ83" i="3"/>
  <c r="AQ84" i="3"/>
  <c r="AQ86" i="3"/>
  <c r="AQ90" i="3"/>
  <c r="AQ91" i="3"/>
  <c r="AQ92" i="3"/>
  <c r="AQ93" i="3"/>
  <c r="AQ95" i="3"/>
  <c r="AQ96" i="3"/>
  <c r="AQ98" i="3"/>
  <c r="AQ99" i="3"/>
  <c r="AQ100" i="3"/>
  <c r="AQ101" i="3"/>
  <c r="AQ102" i="3"/>
  <c r="AQ103" i="3"/>
  <c r="AQ105" i="3"/>
  <c r="AQ108" i="3"/>
  <c r="AQ109" i="3"/>
  <c r="AQ110" i="3"/>
  <c r="AQ112" i="3"/>
  <c r="AQ115" i="3"/>
  <c r="AQ117" i="3"/>
  <c r="AQ118" i="3"/>
  <c r="AQ119" i="3"/>
  <c r="AQ120" i="3"/>
  <c r="AQ121" i="3"/>
  <c r="AQ122" i="3"/>
  <c r="AQ124" i="3"/>
  <c r="AQ125" i="3"/>
  <c r="AQ126" i="3"/>
  <c r="AQ127" i="3"/>
  <c r="AQ128" i="3"/>
  <c r="AQ129" i="3"/>
  <c r="AQ130" i="3"/>
  <c r="AQ131" i="3"/>
  <c r="AQ132" i="3"/>
  <c r="AQ133" i="3"/>
  <c r="AQ134" i="3"/>
  <c r="AQ135" i="3"/>
  <c r="AQ136" i="3"/>
  <c r="AQ137" i="3"/>
  <c r="AQ139" i="3"/>
  <c r="AQ140" i="3"/>
  <c r="AQ141" i="3"/>
  <c r="AQ142" i="3"/>
  <c r="AQ144" i="3"/>
  <c r="AQ146" i="3"/>
  <c r="AQ147" i="3"/>
  <c r="AQ148" i="3"/>
  <c r="AQ150" i="3"/>
  <c r="AQ151" i="3"/>
  <c r="AQ152" i="3"/>
  <c r="AQ153" i="3"/>
  <c r="AQ154" i="3"/>
  <c r="AQ155" i="3"/>
  <c r="AQ156" i="3"/>
  <c r="AQ157" i="3"/>
  <c r="AQ158" i="3"/>
  <c r="AQ160" i="3"/>
  <c r="AQ161" i="3"/>
  <c r="AQ166" i="3"/>
  <c r="AQ167" i="3"/>
  <c r="AQ169" i="3"/>
  <c r="AQ170" i="3"/>
  <c r="AQ171" i="3"/>
  <c r="AQ172" i="3"/>
  <c r="AQ173" i="3"/>
  <c r="AQ174" i="3"/>
  <c r="AQ176" i="3"/>
  <c r="AQ177" i="3"/>
  <c r="AQ179" i="3"/>
  <c r="AQ181" i="3"/>
  <c r="AQ182" i="3"/>
  <c r="AQ183" i="3"/>
  <c r="AQ184" i="3"/>
  <c r="AQ185" i="3"/>
  <c r="AQ189" i="3"/>
  <c r="AQ191" i="3"/>
  <c r="AQ192" i="3"/>
  <c r="AQ193" i="3"/>
  <c r="AQ194" i="3"/>
  <c r="AQ197" i="3"/>
  <c r="AQ198" i="3"/>
  <c r="AQ199" i="3"/>
  <c r="AQ200" i="3"/>
  <c r="AQ201" i="3"/>
  <c r="AQ202" i="3"/>
  <c r="AQ203" i="3"/>
  <c r="AQ205" i="3"/>
  <c r="AQ206" i="3"/>
  <c r="AQ208" i="3"/>
  <c r="AQ209" i="3"/>
  <c r="AQ211" i="3"/>
  <c r="AQ212" i="3"/>
  <c r="AQ215" i="3"/>
  <c r="AQ216" i="3"/>
  <c r="AQ217" i="3"/>
  <c r="AQ220" i="3"/>
  <c r="AQ221" i="3"/>
  <c r="AQ222" i="3"/>
  <c r="AQ224" i="3"/>
  <c r="AQ225" i="3"/>
  <c r="AQ226" i="3"/>
  <c r="AQ227" i="3"/>
  <c r="AQ230" i="3"/>
  <c r="AQ232" i="3"/>
  <c r="AQ233" i="3"/>
  <c r="AQ235" i="3"/>
  <c r="AQ236" i="3"/>
  <c r="AQ237" i="3"/>
  <c r="AQ238" i="3"/>
  <c r="AQ239" i="3"/>
  <c r="AQ240" i="3"/>
  <c r="AQ241" i="3"/>
  <c r="AQ242" i="3"/>
  <c r="AQ243" i="3"/>
  <c r="AQ244" i="3"/>
  <c r="AQ245" i="3"/>
  <c r="AQ246" i="3"/>
  <c r="AQ247" i="3"/>
  <c r="AQ249" i="3"/>
  <c r="AQ251" i="3"/>
  <c r="AQ252" i="3"/>
  <c r="AQ253" i="3"/>
  <c r="AQ254" i="3"/>
  <c r="AQ256" i="3"/>
  <c r="AQ257" i="3"/>
  <c r="AQ258" i="3"/>
  <c r="AQ259" i="3"/>
  <c r="AQ262" i="3"/>
  <c r="AQ263" i="3"/>
  <c r="AQ264" i="3"/>
  <c r="AQ265" i="3"/>
  <c r="AQ268" i="3"/>
  <c r="AQ269" i="3"/>
  <c r="AQ271" i="3"/>
  <c r="AQ272" i="3"/>
  <c r="AQ273" i="3"/>
  <c r="AQ274" i="3"/>
  <c r="AQ275" i="3"/>
  <c r="AQ276" i="3"/>
  <c r="AQ277" i="3"/>
  <c r="AQ278" i="3"/>
  <c r="AQ281" i="3"/>
  <c r="AQ282" i="3"/>
  <c r="AQ283" i="3"/>
  <c r="AQ285" i="3"/>
  <c r="AQ286" i="3"/>
  <c r="AQ287" i="3"/>
  <c r="AQ288" i="3"/>
  <c r="AQ289" i="3"/>
  <c r="AQ292" i="3"/>
  <c r="AQ293" i="3"/>
  <c r="AQ294" i="3"/>
  <c r="AQ296" i="3"/>
  <c r="AQ297" i="3"/>
  <c r="AQ298" i="3"/>
  <c r="AQ300" i="3"/>
  <c r="AQ301" i="3"/>
  <c r="AQ302" i="3"/>
  <c r="AQ304" i="3"/>
  <c r="AQ305" i="3"/>
  <c r="AQ306" i="3"/>
  <c r="AQ307" i="3"/>
  <c r="AQ308" i="3"/>
  <c r="AQ309" i="3"/>
  <c r="AQ310" i="3"/>
  <c r="AQ311" i="3"/>
  <c r="AQ312" i="3"/>
  <c r="AQ313" i="3"/>
  <c r="AQ314" i="3"/>
  <c r="AQ316" i="3"/>
  <c r="AQ317" i="3"/>
  <c r="AQ318" i="3"/>
  <c r="AQ320" i="3"/>
  <c r="AQ321" i="3"/>
  <c r="AQ322" i="3"/>
  <c r="AQ323" i="3"/>
  <c r="AQ324" i="3"/>
  <c r="AQ326" i="3"/>
  <c r="AQ328" i="3"/>
  <c r="AQ330" i="3"/>
  <c r="AQ332" i="3"/>
  <c r="AQ333" i="3"/>
  <c r="AQ334" i="3"/>
  <c r="AQ335" i="3"/>
  <c r="AQ336" i="3"/>
  <c r="AQ337" i="3"/>
  <c r="AQ338" i="3"/>
  <c r="AQ339" i="3"/>
  <c r="AQ340" i="3"/>
  <c r="AQ342" i="3"/>
  <c r="AQ343" i="3"/>
  <c r="AQ344" i="3"/>
  <c r="AQ345" i="3"/>
  <c r="AQ347" i="3"/>
  <c r="AQ348" i="3"/>
  <c r="AQ349" i="3"/>
  <c r="AQ350" i="3"/>
  <c r="AQ351" i="3"/>
  <c r="AQ353" i="3"/>
  <c r="AQ354" i="3"/>
  <c r="AQ355" i="3"/>
  <c r="AQ356" i="3"/>
  <c r="AQ358" i="3"/>
  <c r="AQ359" i="3"/>
  <c r="AQ360" i="3"/>
  <c r="AQ361" i="3"/>
  <c r="AQ362" i="3"/>
  <c r="AQ364" i="3"/>
  <c r="AQ366" i="3"/>
  <c r="AQ367" i="3"/>
  <c r="AQ368" i="3"/>
  <c r="AQ370" i="3"/>
  <c r="AQ371" i="3"/>
  <c r="AQ372" i="3"/>
  <c r="AQ378" i="3"/>
  <c r="AQ379" i="3"/>
  <c r="AQ380" i="3"/>
  <c r="AQ381" i="3"/>
  <c r="AQ382" i="3"/>
  <c r="AQ383" i="3"/>
  <c r="AQ384" i="3"/>
  <c r="AQ388" i="3"/>
  <c r="AQ389" i="3"/>
  <c r="AQ390" i="3"/>
  <c r="AQ391" i="3"/>
  <c r="AQ392" i="3"/>
  <c r="AQ393" i="3"/>
  <c r="AQ394" i="3"/>
  <c r="AQ396" i="3"/>
  <c r="AQ397" i="3"/>
  <c r="AQ398" i="3"/>
  <c r="AQ399" i="3"/>
  <c r="AQ401" i="3"/>
  <c r="AQ402" i="3"/>
  <c r="AQ403" i="3"/>
  <c r="AQ404" i="3"/>
  <c r="AQ405" i="3"/>
  <c r="AQ407" i="3"/>
  <c r="AQ408" i="3"/>
  <c r="AQ409" i="3"/>
  <c r="AQ410" i="3"/>
  <c r="AQ411" i="3"/>
  <c r="AQ412" i="3"/>
  <c r="AQ413" i="3"/>
  <c r="AQ414" i="3"/>
  <c r="AQ416" i="3"/>
  <c r="AQ418" i="3"/>
  <c r="AQ419" i="3"/>
  <c r="AQ420" i="3"/>
  <c r="AQ422" i="3"/>
  <c r="AQ424" i="3"/>
  <c r="AQ425" i="3"/>
  <c r="AQ426" i="3"/>
  <c r="AQ427" i="3"/>
  <c r="AQ428" i="3"/>
  <c r="AQ429" i="3"/>
  <c r="AQ431" i="3"/>
  <c r="AQ432" i="3"/>
  <c r="AQ433" i="3"/>
  <c r="AQ434" i="3"/>
  <c r="AQ435" i="3"/>
  <c r="AQ436" i="3"/>
  <c r="AQ437" i="3"/>
  <c r="AQ438" i="3"/>
  <c r="AQ439" i="3"/>
  <c r="AQ441" i="3"/>
  <c r="AQ443" i="3"/>
  <c r="AQ444" i="3"/>
  <c r="AQ445" i="3"/>
  <c r="AQ446" i="3"/>
  <c r="AQ447" i="3"/>
  <c r="AQ448" i="3"/>
  <c r="AQ449" i="3"/>
  <c r="AQ450" i="3"/>
  <c r="AQ451" i="3"/>
  <c r="AQ453" i="3"/>
  <c r="AQ455" i="3"/>
  <c r="AQ457" i="3"/>
  <c r="AQ458" i="3"/>
  <c r="AQ459" i="3"/>
  <c r="AQ462" i="3"/>
  <c r="AQ463" i="3"/>
  <c r="AQ464" i="3"/>
  <c r="AQ466" i="3"/>
  <c r="AQ468" i="3"/>
  <c r="AQ469" i="3"/>
  <c r="AQ470" i="3"/>
  <c r="AQ471" i="3"/>
  <c r="AQ472" i="3"/>
  <c r="AQ473" i="3"/>
  <c r="AQ474" i="3"/>
  <c r="AQ475" i="3"/>
  <c r="AQ476" i="3"/>
  <c r="AQ477" i="3"/>
  <c r="AQ478" i="3"/>
  <c r="AQ479" i="3"/>
  <c r="AQ480" i="3"/>
  <c r="AQ481" i="3"/>
  <c r="AQ482" i="3"/>
  <c r="AQ484" i="3"/>
  <c r="AQ485" i="3"/>
  <c r="AQ487" i="3"/>
  <c r="AQ488" i="3"/>
  <c r="AQ490" i="3"/>
  <c r="AQ491" i="3"/>
  <c r="AQ493" i="3"/>
  <c r="AQ494" i="3"/>
  <c r="AQ496" i="3"/>
  <c r="AQ497" i="3"/>
  <c r="AQ498" i="3"/>
  <c r="AQ499" i="3"/>
  <c r="AQ500" i="3"/>
  <c r="AQ501" i="3"/>
  <c r="AQ502" i="3"/>
  <c r="AQ504" i="3"/>
  <c r="AQ505" i="3"/>
  <c r="AQ506" i="3"/>
  <c r="AQ507" i="3"/>
  <c r="AQ509" i="3"/>
  <c r="AQ510" i="3"/>
  <c r="AQ513" i="3"/>
  <c r="AQ514" i="3"/>
  <c r="AQ516" i="3"/>
  <c r="AQ518" i="3"/>
  <c r="AQ519" i="3"/>
  <c r="AQ521" i="3"/>
  <c r="AQ522" i="3"/>
  <c r="AQ523" i="3"/>
  <c r="AQ525" i="3"/>
  <c r="AQ526" i="3"/>
  <c r="AQ527" i="3"/>
  <c r="AQ528" i="3"/>
  <c r="AQ530" i="3"/>
  <c r="AQ531" i="3"/>
  <c r="AQ532" i="3"/>
  <c r="AQ534" i="3"/>
  <c r="AQ535" i="3"/>
  <c r="AQ536" i="3"/>
  <c r="AQ537" i="3"/>
  <c r="AQ539" i="3"/>
  <c r="AQ540" i="3"/>
  <c r="AQ541" i="3"/>
  <c r="AQ542" i="3"/>
  <c r="AQ543" i="3"/>
  <c r="AQ544" i="3"/>
  <c r="AQ545" i="3"/>
  <c r="AQ547" i="3"/>
  <c r="AQ548" i="3"/>
  <c r="AQ549" i="3"/>
  <c r="AQ550" i="3"/>
  <c r="AQ551" i="3"/>
  <c r="AQ552" i="3"/>
  <c r="AQ553" i="3"/>
  <c r="AQ554" i="3"/>
  <c r="AQ555" i="3"/>
  <c r="AQ557" i="3"/>
  <c r="AQ558" i="3"/>
  <c r="AQ560" i="3"/>
  <c r="AQ561" i="3"/>
  <c r="AQ562" i="3"/>
  <c r="AQ564" i="3"/>
  <c r="AQ565" i="3"/>
  <c r="AQ570" i="3"/>
  <c r="AQ571" i="3"/>
  <c r="AQ572" i="3"/>
  <c r="AQ573" i="3"/>
  <c r="AQ574" i="3"/>
  <c r="AQ575" i="3"/>
  <c r="AQ576" i="3"/>
  <c r="AQ577" i="3"/>
  <c r="AQ578" i="3"/>
  <c r="AQ579" i="3"/>
  <c r="AQ580" i="3"/>
  <c r="AQ581" i="3"/>
  <c r="AQ582" i="3"/>
  <c r="AQ584" i="3"/>
  <c r="AQ585" i="3"/>
  <c r="AQ586" i="3"/>
  <c r="AQ587" i="3"/>
  <c r="AQ589" i="3"/>
  <c r="AQ591" i="3"/>
  <c r="AQ592" i="3"/>
  <c r="AQ594" i="3"/>
  <c r="AQ596" i="3"/>
  <c r="AQ597" i="3"/>
  <c r="AQ598" i="3"/>
  <c r="AQ601" i="3"/>
  <c r="AQ603" i="3"/>
  <c r="AQ604" i="3"/>
  <c r="AQ605" i="3"/>
  <c r="AQ606" i="3"/>
  <c r="AQ608" i="3"/>
  <c r="AQ609" i="3"/>
  <c r="AQ611" i="3"/>
  <c r="AQ612" i="3"/>
  <c r="AQ616" i="3"/>
  <c r="AQ617" i="3"/>
  <c r="AQ618" i="3"/>
  <c r="AQ619" i="3"/>
  <c r="AQ621" i="3"/>
  <c r="AQ623" i="3"/>
  <c r="AQ624" i="3"/>
  <c r="AQ625" i="3"/>
  <c r="AQ626" i="3"/>
  <c r="AQ627" i="3"/>
  <c r="AQ629" i="3"/>
  <c r="AQ630" i="3"/>
  <c r="AQ631" i="3"/>
  <c r="AQ636" i="3"/>
  <c r="AQ637" i="3"/>
  <c r="AQ638" i="3"/>
  <c r="AQ639" i="3"/>
  <c r="AQ640" i="3"/>
  <c r="AQ641" i="3"/>
  <c r="AQ642" i="3"/>
  <c r="AQ644" i="3"/>
  <c r="AQ645" i="3"/>
  <c r="AQ646" i="3"/>
  <c r="AQ648" i="3"/>
  <c r="AQ650" i="3"/>
  <c r="AQ651" i="3"/>
  <c r="AQ652" i="3"/>
  <c r="AQ654" i="3"/>
  <c r="AQ656" i="3"/>
  <c r="AQ657" i="3"/>
  <c r="AQ659" i="3"/>
  <c r="AQ660" i="3"/>
  <c r="AQ661" i="3"/>
  <c r="AQ662" i="3"/>
  <c r="AQ664" i="3"/>
  <c r="AQ665" i="3"/>
  <c r="AQ666" i="3"/>
  <c r="AQ667" i="3"/>
  <c r="AQ669" i="3"/>
  <c r="AQ670" i="3"/>
  <c r="AQ671" i="3"/>
  <c r="AQ672" i="3"/>
  <c r="AQ674" i="3"/>
  <c r="AQ675" i="3"/>
  <c r="AQ676" i="3"/>
  <c r="AQ682" i="3"/>
  <c r="AQ688" i="3"/>
  <c r="AQ689" i="3"/>
  <c r="AQ690" i="3"/>
  <c r="AQ692" i="3"/>
  <c r="AQ694" i="3"/>
  <c r="AQ695" i="3"/>
  <c r="AQ697" i="3"/>
  <c r="AQ698" i="3"/>
  <c r="AQ699" i="3"/>
  <c r="AQ700" i="3"/>
  <c r="AQ702" i="3"/>
  <c r="AQ704" i="3"/>
  <c r="AQ705" i="3"/>
  <c r="AQ707" i="3"/>
  <c r="AQ709" i="3"/>
  <c r="AQ712" i="3"/>
  <c r="AQ713" i="3"/>
  <c r="AQ714" i="3"/>
  <c r="AQ715" i="3"/>
  <c r="AQ716" i="3"/>
  <c r="AQ717" i="3"/>
  <c r="AQ718" i="3"/>
  <c r="AQ721" i="3"/>
  <c r="AQ722" i="3"/>
  <c r="AQ723" i="3"/>
  <c r="AQ724" i="3"/>
  <c r="AQ726" i="3"/>
  <c r="AQ727" i="3"/>
  <c r="AQ728" i="3"/>
  <c r="AQ729" i="3"/>
  <c r="AQ730" i="3"/>
  <c r="AQ731" i="3"/>
  <c r="AQ732" i="3"/>
  <c r="AQ737" i="3"/>
  <c r="AQ738" i="3"/>
  <c r="AQ739" i="3"/>
  <c r="AQ740" i="3"/>
  <c r="AQ743" i="3"/>
  <c r="AQ745" i="3"/>
  <c r="AQ746" i="3"/>
  <c r="AQ748" i="3"/>
  <c r="AQ750" i="3"/>
  <c r="AQ751" i="3"/>
  <c r="AQ752" i="3"/>
  <c r="AQ753" i="3"/>
  <c r="AQ755" i="3"/>
  <c r="AQ757" i="3"/>
  <c r="AQ759" i="3"/>
  <c r="AQ760" i="3"/>
  <c r="AQ762" i="3"/>
  <c r="AQ763" i="3"/>
  <c r="AQ764" i="3"/>
  <c r="AQ765" i="3"/>
  <c r="AQ766" i="3"/>
  <c r="AQ767" i="3"/>
  <c r="AQ771" i="3"/>
  <c r="AQ772" i="3"/>
  <c r="AQ773" i="3"/>
  <c r="AQ775" i="3"/>
  <c r="AQ777" i="3"/>
  <c r="AQ778" i="3"/>
  <c r="AQ779" i="3"/>
  <c r="AQ780" i="3"/>
  <c r="AQ781" i="3"/>
  <c r="AQ782" i="3"/>
  <c r="AQ783" i="3"/>
  <c r="AQ786" i="3"/>
  <c r="AQ787" i="3"/>
  <c r="AQ789" i="3"/>
  <c r="AQ791" i="3"/>
  <c r="AQ793" i="3"/>
  <c r="AQ794" i="3"/>
  <c r="AQ795" i="3"/>
  <c r="AQ797" i="3"/>
  <c r="AQ798" i="3"/>
  <c r="AQ799" i="3"/>
  <c r="AQ800" i="3"/>
  <c r="AQ801" i="3"/>
  <c r="AQ802" i="3"/>
  <c r="AQ804" i="3"/>
  <c r="AQ805" i="3"/>
  <c r="AQ806" i="3"/>
  <c r="AQ807" i="3"/>
  <c r="AQ808" i="3"/>
  <c r="AQ809" i="3"/>
  <c r="AQ810" i="3"/>
  <c r="AQ811" i="3"/>
  <c r="AQ812" i="3"/>
  <c r="AQ813" i="3"/>
  <c r="AQ814" i="3"/>
  <c r="AQ815" i="3"/>
  <c r="AQ819" i="3"/>
  <c r="AQ820" i="3"/>
  <c r="AQ821" i="3"/>
  <c r="AQ823" i="3"/>
  <c r="AQ824" i="3"/>
  <c r="AQ825" i="3"/>
  <c r="AQ826" i="3"/>
  <c r="AQ827" i="3"/>
  <c r="AQ828" i="3"/>
  <c r="AQ830" i="3"/>
  <c r="AQ831" i="3"/>
  <c r="AQ834" i="3"/>
  <c r="AQ835" i="3"/>
  <c r="AQ836" i="3"/>
  <c r="AQ837" i="3"/>
  <c r="AQ838" i="3"/>
  <c r="AQ839" i="3"/>
  <c r="AQ841" i="3"/>
  <c r="AQ842" i="3"/>
  <c r="AQ843" i="3"/>
  <c r="AQ844" i="3"/>
  <c r="AQ845" i="3"/>
  <c r="AQ846" i="3"/>
  <c r="AQ847" i="3"/>
  <c r="AQ848" i="3"/>
  <c r="AQ849" i="3"/>
  <c r="AQ850" i="3"/>
  <c r="AQ851" i="3"/>
  <c r="AQ852" i="3"/>
  <c r="AQ853" i="3"/>
  <c r="AQ854" i="3"/>
  <c r="AQ857" i="3"/>
  <c r="AQ858" i="3"/>
  <c r="AQ859" i="3"/>
  <c r="AQ860" i="3"/>
  <c r="AQ862" i="3"/>
  <c r="AQ863" i="3"/>
  <c r="AQ864" i="3"/>
  <c r="AQ865" i="3"/>
  <c r="AQ867" i="3"/>
  <c r="AQ868" i="3"/>
  <c r="AQ871" i="3"/>
  <c r="AQ872" i="3"/>
  <c r="AQ874" i="3"/>
  <c r="AQ875" i="3"/>
  <c r="AQ876" i="3"/>
  <c r="AQ877" i="3"/>
  <c r="AQ878" i="3"/>
  <c r="AQ879" i="3"/>
  <c r="AQ880" i="3"/>
  <c r="AQ881" i="3"/>
  <c r="AQ882" i="3"/>
  <c r="AQ885" i="3"/>
  <c r="AQ886" i="3"/>
  <c r="AQ887" i="3"/>
  <c r="AQ888" i="3"/>
  <c r="AQ889" i="3"/>
  <c r="AQ891" i="3"/>
  <c r="AQ893" i="3"/>
  <c r="AQ901" i="3"/>
  <c r="AQ902" i="3"/>
  <c r="AQ903" i="3"/>
  <c r="AQ906" i="3"/>
  <c r="AQ907" i="3"/>
  <c r="AQ908" i="3"/>
  <c r="AQ909" i="3"/>
  <c r="AQ910" i="3"/>
  <c r="AQ914" i="3"/>
  <c r="AQ915" i="3"/>
  <c r="AQ916" i="3"/>
  <c r="AQ917" i="3"/>
  <c r="AQ922" i="3"/>
  <c r="AQ923" i="3"/>
  <c r="AQ924" i="3"/>
  <c r="AQ925" i="3"/>
  <c r="AQ926" i="3"/>
  <c r="AQ932" i="3"/>
  <c r="AQ933" i="3"/>
  <c r="AQ936" i="3"/>
  <c r="AQ937" i="3"/>
  <c r="AQ938" i="3"/>
  <c r="AQ939" i="3"/>
  <c r="AQ940" i="3"/>
  <c r="AQ941" i="3"/>
  <c r="AQ943" i="3"/>
  <c r="AQ944" i="3"/>
  <c r="AQ945" i="3"/>
  <c r="AQ946" i="3"/>
  <c r="AQ947" i="3"/>
  <c r="AQ948" i="3"/>
  <c r="AQ950" i="3"/>
  <c r="AQ951" i="3"/>
  <c r="AQ952" i="3"/>
  <c r="AQ953" i="3"/>
  <c r="AQ954" i="3"/>
  <c r="AQ955" i="3"/>
  <c r="AQ956" i="3"/>
  <c r="AQ958" i="3"/>
  <c r="AQ959" i="3"/>
  <c r="AQ961" i="3"/>
  <c r="AQ963" i="3"/>
  <c r="AQ965" i="3"/>
  <c r="AQ966" i="3"/>
  <c r="AQ967" i="3"/>
  <c r="AQ969" i="3"/>
  <c r="AQ970" i="3"/>
  <c r="AQ971" i="3"/>
  <c r="AQ973" i="3"/>
  <c r="AQ974" i="3"/>
  <c r="AQ975" i="3"/>
  <c r="AQ977" i="3"/>
  <c r="AQ979" i="3"/>
  <c r="AQ980" i="3"/>
  <c r="AQ982" i="3"/>
  <c r="AQ984" i="3"/>
  <c r="AQ985" i="3"/>
  <c r="AQ986" i="3"/>
  <c r="AQ987" i="3"/>
  <c r="AQ988" i="3"/>
  <c r="AQ989" i="3"/>
  <c r="AQ991" i="3"/>
  <c r="AQ992" i="3"/>
  <c r="AQ993" i="3"/>
  <c r="AQ994" i="3"/>
  <c r="AQ995" i="3"/>
  <c r="AQ996" i="3"/>
  <c r="AQ997" i="3"/>
  <c r="AQ999" i="3"/>
  <c r="AQ1000" i="3"/>
  <c r="AQ1001" i="3"/>
  <c r="AQ1003" i="3"/>
  <c r="AQ1005" i="3"/>
  <c r="AQ1006" i="3"/>
  <c r="AQ1008" i="3"/>
  <c r="AQ1009" i="3"/>
  <c r="AQ1011" i="3"/>
  <c r="AQ1012" i="3"/>
  <c r="AQ1014" i="3"/>
  <c r="AQ1015" i="3"/>
  <c r="AQ1016" i="3"/>
  <c r="AQ1017" i="3"/>
  <c r="AQ1018" i="3"/>
  <c r="AQ1020" i="3"/>
  <c r="AQ1021" i="3"/>
  <c r="AQ1022" i="3"/>
  <c r="AQ1023" i="3"/>
  <c r="AQ1026" i="3"/>
  <c r="AQ1027" i="3"/>
  <c r="AQ1029" i="3"/>
  <c r="AQ1030" i="3"/>
  <c r="AQ1031" i="3"/>
  <c r="AQ1035" i="3"/>
  <c r="AQ1037" i="3"/>
  <c r="AQ1039" i="3"/>
  <c r="AQ1043" i="3"/>
  <c r="AQ1044" i="3"/>
  <c r="AQ1045" i="3"/>
  <c r="AQ1047" i="3"/>
  <c r="AQ1050" i="3"/>
  <c r="AQ1051" i="3"/>
  <c r="AQ1052" i="3"/>
  <c r="AQ1053" i="3"/>
  <c r="AQ1054" i="3"/>
  <c r="AQ1056" i="3"/>
  <c r="AQ1058" i="3"/>
  <c r="AQ1059" i="3"/>
  <c r="AQ1060" i="3"/>
  <c r="AQ1061" i="3"/>
  <c r="AQ1065" i="3"/>
  <c r="AQ1068" i="3"/>
  <c r="AQ1070" i="3"/>
  <c r="AQ1071" i="3"/>
  <c r="AQ1072" i="3"/>
  <c r="AQ1073" i="3"/>
  <c r="AQ1074" i="3"/>
  <c r="AQ1077" i="3"/>
  <c r="AQ1080" i="3"/>
  <c r="AQ1081" i="3"/>
  <c r="AQ1083" i="3"/>
  <c r="AQ1085" i="3"/>
  <c r="AQ1086" i="3"/>
  <c r="AQ1087" i="3"/>
  <c r="AQ1088" i="3"/>
  <c r="AQ1089" i="3"/>
  <c r="AQ1090" i="3"/>
  <c r="AQ1091" i="3"/>
  <c r="AQ1092" i="3"/>
  <c r="AQ1093" i="3"/>
  <c r="AQ1097" i="3"/>
  <c r="AQ1099" i="3"/>
  <c r="AQ1102" i="3"/>
  <c r="AQ1103" i="3"/>
  <c r="AQ1106" i="3"/>
  <c r="AQ1107" i="3"/>
  <c r="AQ1108" i="3"/>
  <c r="AQ1109" i="3"/>
  <c r="AQ1110" i="3"/>
  <c r="AQ1111" i="3"/>
  <c r="AQ1113" i="3"/>
  <c r="AQ1114" i="3"/>
  <c r="AQ1115" i="3"/>
  <c r="AQ1116" i="3"/>
  <c r="AQ1117" i="3"/>
  <c r="AQ1119" i="3"/>
  <c r="AQ1120" i="3"/>
  <c r="AQ1121" i="3"/>
  <c r="AQ1122" i="3"/>
  <c r="AQ1124" i="3"/>
  <c r="AQ1126" i="3"/>
  <c r="AQ1127" i="3"/>
  <c r="AQ1128" i="3"/>
  <c r="AQ1129" i="3"/>
  <c r="AQ1130" i="3"/>
  <c r="AQ1131" i="3"/>
  <c r="AQ1132" i="3"/>
  <c r="AQ1133" i="3"/>
  <c r="AQ1134" i="3"/>
  <c r="AQ1135" i="3"/>
  <c r="AQ1136" i="3"/>
  <c r="AQ1137" i="3"/>
  <c r="AQ1140" i="3"/>
  <c r="AQ1142" i="3"/>
  <c r="AQ1143" i="3"/>
  <c r="AQ1145" i="3"/>
  <c r="AQ1147" i="3"/>
  <c r="AQ1148" i="3"/>
  <c r="AQ1149" i="3"/>
  <c r="AQ1150" i="3"/>
  <c r="AQ1152" i="3"/>
  <c r="AQ1153" i="3"/>
  <c r="AQ1154" i="3"/>
  <c r="AQ1155" i="3"/>
  <c r="AQ1156" i="3"/>
  <c r="AQ1157" i="3"/>
  <c r="AQ1158" i="3"/>
  <c r="AQ1160" i="3"/>
  <c r="AQ1161" i="3"/>
  <c r="AQ1162" i="3"/>
  <c r="AQ1164" i="3"/>
  <c r="AQ1165" i="3"/>
  <c r="AQ1168" i="3"/>
  <c r="AQ1169" i="3"/>
  <c r="AQ1170" i="3"/>
  <c r="AQ1171" i="3"/>
  <c r="AQ1172" i="3"/>
  <c r="AQ1173" i="3"/>
  <c r="AQ1175" i="3"/>
  <c r="AQ1176" i="3"/>
  <c r="AQ1177" i="3"/>
  <c r="AQ1181" i="3"/>
  <c r="AQ1183" i="3"/>
  <c r="AQ1184" i="3"/>
  <c r="AQ1185" i="3"/>
  <c r="AQ1186" i="3"/>
  <c r="AQ1187" i="3"/>
  <c r="AQ1189" i="3"/>
  <c r="AQ1190" i="3"/>
  <c r="AQ1191" i="3"/>
  <c r="AQ1192" i="3"/>
  <c r="AQ1193" i="3"/>
  <c r="AQ1194" i="3"/>
  <c r="AQ1195" i="3"/>
  <c r="AQ1196" i="3"/>
  <c r="AQ1200" i="3"/>
  <c r="AQ1201" i="3"/>
  <c r="AQ1202" i="3"/>
  <c r="AQ1203" i="3"/>
  <c r="AQ1204" i="3"/>
  <c r="AQ1205" i="3"/>
  <c r="AQ1206" i="3"/>
  <c r="AQ1208" i="3"/>
  <c r="AQ1209" i="3"/>
  <c r="AQ1210" i="3"/>
  <c r="AQ1211" i="3"/>
  <c r="AQ1212" i="3"/>
  <c r="AQ1213" i="3"/>
  <c r="AQ1215" i="3"/>
  <c r="AQ1216" i="3"/>
  <c r="AQ1217" i="3"/>
  <c r="AQ1218" i="3"/>
  <c r="AQ1219" i="3"/>
  <c r="AQ1220" i="3"/>
  <c r="AQ1221" i="3"/>
  <c r="AQ1222" i="3"/>
  <c r="AQ1223" i="3"/>
  <c r="AQ1232" i="3"/>
  <c r="AQ1233" i="3"/>
  <c r="AQ1234" i="3"/>
  <c r="AQ1235" i="3"/>
  <c r="AQ1239" i="3"/>
  <c r="AQ1240" i="3"/>
  <c r="AQ1241" i="3"/>
  <c r="AQ1242" i="3"/>
  <c r="AQ1244" i="3"/>
  <c r="AQ1245" i="3"/>
  <c r="AQ1246" i="3"/>
  <c r="AQ1247" i="3"/>
  <c r="AQ1248" i="3"/>
  <c r="AQ1249" i="3"/>
  <c r="AQ1250" i="3"/>
  <c r="AQ1251" i="3"/>
  <c r="AQ1252" i="3"/>
  <c r="AQ1254" i="3"/>
  <c r="AQ1255" i="3"/>
  <c r="AQ1256" i="3"/>
  <c r="AQ1257" i="3"/>
  <c r="AQ1258" i="3"/>
  <c r="AQ1259" i="3"/>
  <c r="AQ1260" i="3"/>
  <c r="AQ1261" i="3"/>
  <c r="AQ1263" i="3"/>
  <c r="AQ1265" i="3"/>
  <c r="AQ1267" i="3"/>
  <c r="AQ1268" i="3"/>
  <c r="AQ1270" i="3"/>
  <c r="AQ1271" i="3"/>
  <c r="AQ1273" i="3"/>
  <c r="AQ1276" i="3"/>
  <c r="AQ1279" i="3"/>
  <c r="AQ1280" i="3"/>
  <c r="AQ1282" i="3"/>
  <c r="AQ1283" i="3"/>
  <c r="AQ1284" i="3"/>
  <c r="AQ1285" i="3"/>
  <c r="AQ1286" i="3"/>
  <c r="AQ1287" i="3"/>
  <c r="AQ1288" i="3"/>
  <c r="AQ1289" i="3"/>
  <c r="AQ1290" i="3"/>
  <c r="AQ1294" i="3"/>
  <c r="AQ1297" i="3"/>
  <c r="AQ1299" i="3"/>
  <c r="AQ1300" i="3"/>
  <c r="AQ1301" i="3"/>
  <c r="AQ1302" i="3"/>
  <c r="AQ1304" i="3"/>
  <c r="AQ1305" i="3"/>
  <c r="AQ1306" i="3"/>
  <c r="AQ1307" i="3"/>
  <c r="AQ1308" i="3"/>
  <c r="AQ1309" i="3"/>
  <c r="AQ1310" i="3"/>
  <c r="AQ1312" i="3"/>
  <c r="AQ1313" i="3"/>
  <c r="AQ1314" i="3"/>
  <c r="AQ1315" i="3"/>
  <c r="AQ1316" i="3"/>
  <c r="AQ1317" i="3"/>
  <c r="AQ1318" i="3"/>
  <c r="AQ1320" i="3"/>
  <c r="AQ1323" i="3"/>
  <c r="AQ1325" i="3"/>
  <c r="AQ1327" i="3"/>
  <c r="AQ1328" i="3"/>
  <c r="AQ1329" i="3"/>
  <c r="AQ1330" i="3"/>
  <c r="AQ1331" i="3"/>
  <c r="AQ1333" i="3"/>
  <c r="AQ1334" i="3"/>
  <c r="AQ1335" i="3"/>
  <c r="AQ1336" i="3"/>
  <c r="AQ1339" i="3"/>
  <c r="AQ1341" i="3"/>
  <c r="AQ1342" i="3"/>
  <c r="AQ1343" i="3"/>
  <c r="AQ1344" i="3"/>
  <c r="AQ1345" i="3"/>
  <c r="AQ1346" i="3"/>
  <c r="AQ1347" i="3"/>
  <c r="AQ1350" i="3"/>
  <c r="AQ1351" i="3"/>
  <c r="AQ1352" i="3"/>
  <c r="AQ1353" i="3"/>
  <c r="AQ1354" i="3"/>
  <c r="AQ1355" i="3"/>
  <c r="AQ1357" i="3"/>
  <c r="AQ1358" i="3"/>
  <c r="AQ1359" i="3"/>
  <c r="AQ1360" i="3"/>
  <c r="AQ1361" i="3"/>
  <c r="AQ1362" i="3"/>
  <c r="AQ1363" i="3"/>
  <c r="AQ1365" i="3"/>
  <c r="AQ1366" i="3"/>
  <c r="AQ1367" i="3"/>
  <c r="AQ1369" i="3"/>
  <c r="AQ1370" i="3"/>
  <c r="AQ1371" i="3"/>
  <c r="AQ1372" i="3"/>
  <c r="AQ1373" i="3"/>
  <c r="AQ1374" i="3"/>
  <c r="AQ1376" i="3"/>
  <c r="AQ1377" i="3"/>
  <c r="AQ1378" i="3"/>
  <c r="AQ1379" i="3"/>
  <c r="AQ1381" i="3"/>
  <c r="AQ1382" i="3"/>
  <c r="AQ1383" i="3"/>
  <c r="AQ1384" i="3"/>
  <c r="AQ1385" i="3"/>
  <c r="AQ1390" i="3"/>
  <c r="AQ1392" i="3"/>
  <c r="AQ1393" i="3"/>
  <c r="AQ1395" i="3"/>
  <c r="AQ1396" i="3"/>
  <c r="AQ1397" i="3"/>
  <c r="AQ1398" i="3"/>
  <c r="AQ1400" i="3"/>
  <c r="AQ1401" i="3"/>
  <c r="AQ1402" i="3"/>
  <c r="AQ1403" i="3"/>
  <c r="AQ1404" i="3"/>
  <c r="AQ1406" i="3"/>
  <c r="AQ1407" i="3"/>
  <c r="AQ1409" i="3"/>
  <c r="AQ1411" i="3"/>
  <c r="AQ1412" i="3"/>
  <c r="AQ1413" i="3"/>
  <c r="AQ1414" i="3"/>
  <c r="AQ1415" i="3"/>
  <c r="AQ1416" i="3"/>
  <c r="AQ1418" i="3"/>
  <c r="AQ1419" i="3"/>
  <c r="AQ1420" i="3"/>
  <c r="AQ1421" i="3"/>
  <c r="AQ1422" i="3"/>
  <c r="AQ1423" i="3"/>
  <c r="AQ1424" i="3"/>
  <c r="AQ1425" i="3"/>
  <c r="AQ1426" i="3"/>
  <c r="AQ1427" i="3"/>
  <c r="AQ1428" i="3"/>
  <c r="AQ1432" i="3"/>
  <c r="AQ1433" i="3"/>
  <c r="AQ1434" i="3"/>
  <c r="AQ1435" i="3"/>
  <c r="AQ1436" i="3"/>
  <c r="AQ1437" i="3"/>
  <c r="AQ1438" i="3"/>
  <c r="AQ1439" i="3"/>
  <c r="AQ1441" i="3"/>
  <c r="AQ1442" i="3"/>
  <c r="AQ1443" i="3"/>
  <c r="AQ1444" i="3"/>
  <c r="AQ1445" i="3"/>
  <c r="AQ1446" i="3"/>
  <c r="AQ1448" i="3"/>
  <c r="AQ1450" i="3"/>
  <c r="AQ1452" i="3"/>
  <c r="AQ1453" i="3"/>
  <c r="AQ1457" i="3"/>
  <c r="AQ1458" i="3"/>
  <c r="AQ1459" i="3"/>
  <c r="AQ1463" i="3"/>
  <c r="AQ1468" i="3"/>
  <c r="AQ1469" i="3"/>
  <c r="AQ1471" i="3"/>
  <c r="AQ1472" i="3"/>
  <c r="AQ1473" i="3"/>
  <c r="AQ1475" i="3"/>
  <c r="AQ1476" i="3"/>
  <c r="AQ1477" i="3"/>
  <c r="AQ1480" i="3"/>
  <c r="AQ1481" i="3"/>
  <c r="AQ1482" i="3"/>
  <c r="AQ1483" i="3"/>
  <c r="AQ1484" i="3"/>
  <c r="AQ1485" i="3"/>
  <c r="AQ1486" i="3"/>
  <c r="AQ1487" i="3"/>
  <c r="AQ1488" i="3"/>
  <c r="AQ1489" i="3"/>
  <c r="AQ1490" i="3"/>
  <c r="AQ1491" i="3"/>
  <c r="AQ1493" i="3"/>
  <c r="AQ1494" i="3"/>
  <c r="AQ1498" i="3"/>
  <c r="AQ1500" i="3"/>
  <c r="AQ1501" i="3"/>
  <c r="AQ1502" i="3"/>
  <c r="AQ1503" i="3"/>
  <c r="AQ1505" i="3"/>
  <c r="AQ1506" i="3"/>
  <c r="AQ1507" i="3"/>
  <c r="AQ1508" i="3"/>
  <c r="AQ1509" i="3"/>
  <c r="AQ1510" i="3"/>
  <c r="AQ1512" i="3"/>
  <c r="AQ1514" i="3"/>
  <c r="AQ1516" i="3"/>
  <c r="AQ1517" i="3"/>
  <c r="AQ1518" i="3"/>
  <c r="AQ1519" i="3"/>
  <c r="AQ1520" i="3"/>
  <c r="AQ1521" i="3"/>
  <c r="AQ1522" i="3"/>
  <c r="AQ1523" i="3"/>
  <c r="AQ1524" i="3"/>
  <c r="AQ1527" i="3"/>
  <c r="AQ1528" i="3"/>
  <c r="AQ1530" i="3"/>
  <c r="AQ1531" i="3"/>
  <c r="AQ1532" i="3"/>
  <c r="AQ1533" i="3"/>
  <c r="AQ1536" i="3"/>
  <c r="AQ1537" i="3"/>
  <c r="AQ1538" i="3"/>
  <c r="AQ1540" i="3"/>
  <c r="AQ1541" i="3"/>
  <c r="AQ1543" i="3"/>
  <c r="AQ1546" i="3"/>
  <c r="AQ1547" i="3"/>
  <c r="AQ1548" i="3"/>
  <c r="AQ1549" i="3"/>
  <c r="AQ1550" i="3"/>
  <c r="AQ1551" i="3"/>
  <c r="AQ1552" i="3"/>
  <c r="AQ1553" i="3"/>
  <c r="AQ1554" i="3"/>
  <c r="AQ1555" i="3"/>
  <c r="AQ1556" i="3"/>
  <c r="AQ1557" i="3"/>
  <c r="AQ1558" i="3"/>
  <c r="AQ1559" i="3"/>
  <c r="AQ1560" i="3"/>
  <c r="AQ1562" i="3"/>
  <c r="AQ1563" i="3"/>
  <c r="AQ1564" i="3"/>
  <c r="AQ1566" i="3"/>
  <c r="AQ1567" i="3"/>
  <c r="AQ1568" i="3"/>
  <c r="AQ1569" i="3"/>
  <c r="AQ1570" i="3"/>
  <c r="AQ1571" i="3"/>
  <c r="AQ1572" i="3"/>
  <c r="AQ1573" i="3"/>
  <c r="AQ1574" i="3"/>
  <c r="AQ1575" i="3"/>
  <c r="AQ1578" i="3"/>
  <c r="AQ1579" i="3"/>
  <c r="AQ1582" i="3"/>
  <c r="AQ1583" i="3"/>
  <c r="AQ1584" i="3"/>
  <c r="AQ1585" i="3"/>
  <c r="AQ1586" i="3"/>
  <c r="AQ1587" i="3"/>
  <c r="AQ1588" i="3"/>
  <c r="AQ1590" i="3"/>
  <c r="AQ1593" i="3"/>
  <c r="AQ1594" i="3"/>
  <c r="AQ1595" i="3"/>
  <c r="AQ1597" i="3"/>
  <c r="AQ1598" i="3"/>
  <c r="AQ1599" i="3"/>
  <c r="AQ1600" i="3"/>
  <c r="AQ1601" i="3"/>
  <c r="AQ1602" i="3"/>
  <c r="AQ1603" i="3"/>
  <c r="AQ1604" i="3"/>
  <c r="AQ1606" i="3"/>
  <c r="AQ1608" i="3"/>
  <c r="AQ1609" i="3"/>
  <c r="AQ1611" i="3"/>
  <c r="AQ1612" i="3"/>
  <c r="AQ1613" i="3"/>
  <c r="AQ1614" i="3"/>
  <c r="AQ1615" i="3"/>
  <c r="AQ1616" i="3"/>
  <c r="AQ1617" i="3"/>
  <c r="AQ1618" i="3"/>
  <c r="AQ1619" i="3"/>
  <c r="AQ1622" i="3"/>
  <c r="AQ1623" i="3"/>
  <c r="AQ1625" i="3"/>
  <c r="AQ1627" i="3"/>
  <c r="AP3" i="3"/>
  <c r="AP4" i="3"/>
  <c r="AP6" i="3"/>
  <c r="AP7" i="3"/>
  <c r="AP8" i="3"/>
  <c r="AP9" i="3"/>
  <c r="AP10" i="3"/>
  <c r="AP12" i="3"/>
  <c r="AP14" i="3"/>
  <c r="AP15" i="3"/>
  <c r="AP16" i="3"/>
  <c r="AP17" i="3"/>
  <c r="AP18" i="3"/>
  <c r="AP19" i="3"/>
  <c r="AP20" i="3"/>
  <c r="AP21" i="3"/>
  <c r="AP23" i="3"/>
  <c r="AP27" i="3"/>
  <c r="AP28" i="3"/>
  <c r="AP29" i="3"/>
  <c r="AP30" i="3"/>
  <c r="AP31" i="3"/>
  <c r="AP32" i="3"/>
  <c r="AP33" i="3"/>
  <c r="AP34" i="3"/>
  <c r="AP35" i="3"/>
  <c r="AP38" i="3"/>
  <c r="AP41" i="3"/>
  <c r="AP42" i="3"/>
  <c r="AP45" i="3"/>
  <c r="AP46" i="3"/>
  <c r="AP47" i="3"/>
  <c r="AP49" i="3"/>
  <c r="AP50" i="3"/>
  <c r="AP51" i="3"/>
  <c r="AP52" i="3"/>
  <c r="AP53" i="3"/>
  <c r="AP54" i="3"/>
  <c r="AP55" i="3"/>
  <c r="AP56" i="3"/>
  <c r="AP58" i="3"/>
  <c r="AP59" i="3"/>
  <c r="AP60" i="3"/>
  <c r="AP61" i="3"/>
  <c r="AP62" i="3"/>
  <c r="AP64" i="3"/>
  <c r="AP67" i="3"/>
  <c r="AP69" i="3"/>
  <c r="AP70" i="3"/>
  <c r="AP71" i="3"/>
  <c r="AP73" i="3"/>
  <c r="AP76" i="3"/>
  <c r="AP80" i="3"/>
  <c r="AP82" i="3"/>
  <c r="AP83" i="3"/>
  <c r="AP84" i="3"/>
  <c r="AP86" i="3"/>
  <c r="AP90" i="3"/>
  <c r="AP91" i="3"/>
  <c r="AP92" i="3"/>
  <c r="AP93" i="3"/>
  <c r="AP95" i="3"/>
  <c r="AP96" i="3"/>
  <c r="AP98" i="3"/>
  <c r="AP99" i="3"/>
  <c r="AP100" i="3"/>
  <c r="AP101" i="3"/>
  <c r="AP102" i="3"/>
  <c r="AP103" i="3"/>
  <c r="AP105" i="3"/>
  <c r="AP108" i="3"/>
  <c r="AP109" i="3"/>
  <c r="AP110" i="3"/>
  <c r="AP112" i="3"/>
  <c r="AP115" i="3"/>
  <c r="AP117" i="3"/>
  <c r="AP118" i="3"/>
  <c r="AP119" i="3"/>
  <c r="AP120" i="3"/>
  <c r="AP121" i="3"/>
  <c r="AP122" i="3"/>
  <c r="AP124" i="3"/>
  <c r="AP125" i="3"/>
  <c r="AP126" i="3"/>
  <c r="AP127" i="3"/>
  <c r="AP128" i="3"/>
  <c r="AP129" i="3"/>
  <c r="AP130" i="3"/>
  <c r="AP131" i="3"/>
  <c r="AP132" i="3"/>
  <c r="AP133" i="3"/>
  <c r="AP134" i="3"/>
  <c r="AP135" i="3"/>
  <c r="AP136" i="3"/>
  <c r="AP137" i="3"/>
  <c r="AP139" i="3"/>
  <c r="AP140" i="3"/>
  <c r="AP141" i="3"/>
  <c r="AP142" i="3"/>
  <c r="AP144" i="3"/>
  <c r="AP146" i="3"/>
  <c r="AP147" i="3"/>
  <c r="AP148" i="3"/>
  <c r="AP150" i="3"/>
  <c r="AP151" i="3"/>
  <c r="AP152" i="3"/>
  <c r="AP153" i="3"/>
  <c r="AP154" i="3"/>
  <c r="AP155" i="3"/>
  <c r="AP156" i="3"/>
  <c r="AP157" i="3"/>
  <c r="AP158" i="3"/>
  <c r="AP160" i="3"/>
  <c r="AP161" i="3"/>
  <c r="AP166" i="3"/>
  <c r="AP167" i="3"/>
  <c r="AP169" i="3"/>
  <c r="AP170" i="3"/>
  <c r="AP171" i="3"/>
  <c r="AP172" i="3"/>
  <c r="AP173" i="3"/>
  <c r="AP174" i="3"/>
  <c r="AP176" i="3"/>
  <c r="AP177" i="3"/>
  <c r="AP179" i="3"/>
  <c r="AP181" i="3"/>
  <c r="AP182" i="3"/>
  <c r="AP183" i="3"/>
  <c r="AP184" i="3"/>
  <c r="AP185" i="3"/>
  <c r="AP189" i="3"/>
  <c r="AP191" i="3"/>
  <c r="AP192" i="3"/>
  <c r="AP193" i="3"/>
  <c r="AP194" i="3"/>
  <c r="AP197" i="3"/>
  <c r="AP198" i="3"/>
  <c r="AP199" i="3"/>
  <c r="AP200" i="3"/>
  <c r="AP201" i="3"/>
  <c r="AP202" i="3"/>
  <c r="AP203" i="3"/>
  <c r="AP205" i="3"/>
  <c r="AP206" i="3"/>
  <c r="AP208" i="3"/>
  <c r="AP209" i="3"/>
  <c r="AP211" i="3"/>
  <c r="AP212" i="3"/>
  <c r="AP215" i="3"/>
  <c r="AP216" i="3"/>
  <c r="AP217" i="3"/>
  <c r="AP220" i="3"/>
  <c r="AP221" i="3"/>
  <c r="AP222" i="3"/>
  <c r="AP224" i="3"/>
  <c r="AP225" i="3"/>
  <c r="AP226" i="3"/>
  <c r="AP227" i="3"/>
  <c r="AP230" i="3"/>
  <c r="AP232" i="3"/>
  <c r="AP233" i="3"/>
  <c r="AP235" i="3"/>
  <c r="AP236" i="3"/>
  <c r="AP237" i="3"/>
  <c r="AP238" i="3"/>
  <c r="AP239" i="3"/>
  <c r="AP240" i="3"/>
  <c r="AP241" i="3"/>
  <c r="AP242" i="3"/>
  <c r="AP243" i="3"/>
  <c r="AP244" i="3"/>
  <c r="AP245" i="3"/>
  <c r="AP246" i="3"/>
  <c r="AP247" i="3"/>
  <c r="AP249" i="3"/>
  <c r="AP251" i="3"/>
  <c r="AP252" i="3"/>
  <c r="AP253" i="3"/>
  <c r="AP254" i="3"/>
  <c r="AP256" i="3"/>
  <c r="AP257" i="3"/>
  <c r="AP258" i="3"/>
  <c r="AP259" i="3"/>
  <c r="AP262" i="3"/>
  <c r="AP263" i="3"/>
  <c r="AP264" i="3"/>
  <c r="AP265" i="3"/>
  <c r="AP268" i="3"/>
  <c r="AP269" i="3"/>
  <c r="AP271" i="3"/>
  <c r="AP272" i="3"/>
  <c r="AP273" i="3"/>
  <c r="AP274" i="3"/>
  <c r="AP275" i="3"/>
  <c r="AP276" i="3"/>
  <c r="AP277" i="3"/>
  <c r="AP278" i="3"/>
  <c r="AP281" i="3"/>
  <c r="AP282" i="3"/>
  <c r="AP283" i="3"/>
  <c r="AP285" i="3"/>
  <c r="AP286" i="3"/>
  <c r="AP287" i="3"/>
  <c r="AP288" i="3"/>
  <c r="AP289" i="3"/>
  <c r="AP292" i="3"/>
  <c r="AP293" i="3"/>
  <c r="AP294" i="3"/>
  <c r="AP296" i="3"/>
  <c r="AP297" i="3"/>
  <c r="AP298" i="3"/>
  <c r="AP300" i="3"/>
  <c r="AP301" i="3"/>
  <c r="AP302" i="3"/>
  <c r="AP304" i="3"/>
  <c r="AP305" i="3"/>
  <c r="AP306" i="3"/>
  <c r="AP307" i="3"/>
  <c r="AP308" i="3"/>
  <c r="AP309" i="3"/>
  <c r="AP310" i="3"/>
  <c r="AP311" i="3"/>
  <c r="AP312" i="3"/>
  <c r="AP313" i="3"/>
  <c r="AP314" i="3"/>
  <c r="AP316" i="3"/>
  <c r="AP317" i="3"/>
  <c r="AP318" i="3"/>
  <c r="AP320" i="3"/>
  <c r="AP321" i="3"/>
  <c r="AP322" i="3"/>
  <c r="AP323" i="3"/>
  <c r="AP324" i="3"/>
  <c r="AP326" i="3"/>
  <c r="AP328" i="3"/>
  <c r="AP330" i="3"/>
  <c r="AP332" i="3"/>
  <c r="AP333" i="3"/>
  <c r="AP334" i="3"/>
  <c r="AP335" i="3"/>
  <c r="AP336" i="3"/>
  <c r="AP337" i="3"/>
  <c r="AP338" i="3"/>
  <c r="AP339" i="3"/>
  <c r="AP340" i="3"/>
  <c r="AP342" i="3"/>
  <c r="AP343" i="3"/>
  <c r="AP344" i="3"/>
  <c r="AP345" i="3"/>
  <c r="AP347" i="3"/>
  <c r="AP348" i="3"/>
  <c r="AP349" i="3"/>
  <c r="AP350" i="3"/>
  <c r="AP351" i="3"/>
  <c r="AP353" i="3"/>
  <c r="AP354" i="3"/>
  <c r="AP355" i="3"/>
  <c r="AP356" i="3"/>
  <c r="AP358" i="3"/>
  <c r="AP359" i="3"/>
  <c r="AP360" i="3"/>
  <c r="AP361" i="3"/>
  <c r="AP362" i="3"/>
  <c r="AP364" i="3"/>
  <c r="AP366" i="3"/>
  <c r="AP367" i="3"/>
  <c r="AP368" i="3"/>
  <c r="AP370" i="3"/>
  <c r="AP371" i="3"/>
  <c r="AP372" i="3"/>
  <c r="AP378" i="3"/>
  <c r="AP379" i="3"/>
  <c r="AP380" i="3"/>
  <c r="AP381" i="3"/>
  <c r="AP382" i="3"/>
  <c r="AP383" i="3"/>
  <c r="AP384" i="3"/>
  <c r="AP388" i="3"/>
  <c r="AP389" i="3"/>
  <c r="AP390" i="3"/>
  <c r="AP391" i="3"/>
  <c r="AP392" i="3"/>
  <c r="AP393" i="3"/>
  <c r="AP394" i="3"/>
  <c r="AP396" i="3"/>
  <c r="AP397" i="3"/>
  <c r="AP398" i="3"/>
  <c r="AP399" i="3"/>
  <c r="AP401" i="3"/>
  <c r="AP402" i="3"/>
  <c r="AP403" i="3"/>
  <c r="AP404" i="3"/>
  <c r="AP405" i="3"/>
  <c r="AP407" i="3"/>
  <c r="AP408" i="3"/>
  <c r="AP409" i="3"/>
  <c r="AP410" i="3"/>
  <c r="AP411" i="3"/>
  <c r="AP412" i="3"/>
  <c r="AP413" i="3"/>
  <c r="AP414" i="3"/>
  <c r="AP416" i="3"/>
  <c r="AP418" i="3"/>
  <c r="AP419" i="3"/>
  <c r="AP420" i="3"/>
  <c r="AP422" i="3"/>
  <c r="AP424" i="3"/>
  <c r="AP425" i="3"/>
  <c r="AP426" i="3"/>
  <c r="AP427" i="3"/>
  <c r="AP428" i="3"/>
  <c r="AP429" i="3"/>
  <c r="AP431" i="3"/>
  <c r="AP432" i="3"/>
  <c r="AP433" i="3"/>
  <c r="AP434" i="3"/>
  <c r="AP435" i="3"/>
  <c r="AP436" i="3"/>
  <c r="AP437" i="3"/>
  <c r="AP438" i="3"/>
  <c r="AP439" i="3"/>
  <c r="AP441" i="3"/>
  <c r="AP443" i="3"/>
  <c r="AP444" i="3"/>
  <c r="AP445" i="3"/>
  <c r="AP446" i="3"/>
  <c r="AP447" i="3"/>
  <c r="AP448" i="3"/>
  <c r="AP449" i="3"/>
  <c r="AP450" i="3"/>
  <c r="AP451" i="3"/>
  <c r="AP453" i="3"/>
  <c r="AP455" i="3"/>
  <c r="AP457" i="3"/>
  <c r="AP458" i="3"/>
  <c r="AP459" i="3"/>
  <c r="AP462" i="3"/>
  <c r="AP463" i="3"/>
  <c r="AP464" i="3"/>
  <c r="AP466" i="3"/>
  <c r="AP468" i="3"/>
  <c r="AP469" i="3"/>
  <c r="AP470" i="3"/>
  <c r="AP471" i="3"/>
  <c r="AP472" i="3"/>
  <c r="AP473" i="3"/>
  <c r="AP474" i="3"/>
  <c r="AP475" i="3"/>
  <c r="AP476" i="3"/>
  <c r="AP477" i="3"/>
  <c r="AP478" i="3"/>
  <c r="AP479" i="3"/>
  <c r="AP480" i="3"/>
  <c r="AP481" i="3"/>
  <c r="AP482" i="3"/>
  <c r="AP484" i="3"/>
  <c r="AP485" i="3"/>
  <c r="AP487" i="3"/>
  <c r="AP488" i="3"/>
  <c r="AP490" i="3"/>
  <c r="AP491" i="3"/>
  <c r="AP493" i="3"/>
  <c r="AP494" i="3"/>
  <c r="AP496" i="3"/>
  <c r="AP497" i="3"/>
  <c r="AP498" i="3"/>
  <c r="AP499" i="3"/>
  <c r="AP500" i="3"/>
  <c r="AP501" i="3"/>
  <c r="AP502" i="3"/>
  <c r="AP504" i="3"/>
  <c r="AP505" i="3"/>
  <c r="AP506" i="3"/>
  <c r="AP507" i="3"/>
  <c r="AP509" i="3"/>
  <c r="AP510" i="3"/>
  <c r="AP513" i="3"/>
  <c r="AP514" i="3"/>
  <c r="AP516" i="3"/>
  <c r="AP518" i="3"/>
  <c r="AP519" i="3"/>
  <c r="AP521" i="3"/>
  <c r="AP522" i="3"/>
  <c r="AP523" i="3"/>
  <c r="AP525" i="3"/>
  <c r="AP526" i="3"/>
  <c r="AP527" i="3"/>
  <c r="AP528" i="3"/>
  <c r="AP530" i="3"/>
  <c r="AP531" i="3"/>
  <c r="AP532" i="3"/>
  <c r="AP534" i="3"/>
  <c r="AP535" i="3"/>
  <c r="AP536" i="3"/>
  <c r="AP537" i="3"/>
  <c r="AP539" i="3"/>
  <c r="AP540" i="3"/>
  <c r="AP541" i="3"/>
  <c r="AP542" i="3"/>
  <c r="AP543" i="3"/>
  <c r="AP544" i="3"/>
  <c r="AP545" i="3"/>
  <c r="AP547" i="3"/>
  <c r="AP548" i="3"/>
  <c r="AP549" i="3"/>
  <c r="AP550" i="3"/>
  <c r="AP551" i="3"/>
  <c r="AP552" i="3"/>
  <c r="AP553" i="3"/>
  <c r="AP554" i="3"/>
  <c r="AP555" i="3"/>
  <c r="AP557" i="3"/>
  <c r="AP558" i="3"/>
  <c r="AP560" i="3"/>
  <c r="AP561" i="3"/>
  <c r="AP562" i="3"/>
  <c r="AP564" i="3"/>
  <c r="AP565" i="3"/>
  <c r="AP570" i="3"/>
  <c r="AP571" i="3"/>
  <c r="AP572" i="3"/>
  <c r="AP573" i="3"/>
  <c r="AP574" i="3"/>
  <c r="AP575" i="3"/>
  <c r="AP576" i="3"/>
  <c r="AP577" i="3"/>
  <c r="AP578" i="3"/>
  <c r="AP579" i="3"/>
  <c r="AP580" i="3"/>
  <c r="AP581" i="3"/>
  <c r="AP582" i="3"/>
  <c r="AP584" i="3"/>
  <c r="AP585" i="3"/>
  <c r="AP586" i="3"/>
  <c r="AP587" i="3"/>
  <c r="AP589" i="3"/>
  <c r="AP591" i="3"/>
  <c r="AP592" i="3"/>
  <c r="AP594" i="3"/>
  <c r="AP596" i="3"/>
  <c r="AP597" i="3"/>
  <c r="AP598" i="3"/>
  <c r="AP601" i="3"/>
  <c r="AP603" i="3"/>
  <c r="AP604" i="3"/>
  <c r="AP605" i="3"/>
  <c r="AP606" i="3"/>
  <c r="AP608" i="3"/>
  <c r="AP609" i="3"/>
  <c r="AP611" i="3"/>
  <c r="AP612" i="3"/>
  <c r="AP616" i="3"/>
  <c r="AP617" i="3"/>
  <c r="AP618" i="3"/>
  <c r="AP619" i="3"/>
  <c r="AP621" i="3"/>
  <c r="AP623" i="3"/>
  <c r="AP624" i="3"/>
  <c r="AP625" i="3"/>
  <c r="AP626" i="3"/>
  <c r="AP627" i="3"/>
  <c r="AP629" i="3"/>
  <c r="AP630" i="3"/>
  <c r="AP631" i="3"/>
  <c r="AP636" i="3"/>
  <c r="AP637" i="3"/>
  <c r="AP638" i="3"/>
  <c r="AP639" i="3"/>
  <c r="AP640" i="3"/>
  <c r="AP641" i="3"/>
  <c r="AP642" i="3"/>
  <c r="AP644" i="3"/>
  <c r="AP645" i="3"/>
  <c r="AP646" i="3"/>
  <c r="AP648" i="3"/>
  <c r="AP650" i="3"/>
  <c r="AP651" i="3"/>
  <c r="AP652" i="3"/>
  <c r="AP654" i="3"/>
  <c r="AP656" i="3"/>
  <c r="AP657" i="3"/>
  <c r="AP659" i="3"/>
  <c r="AP660" i="3"/>
  <c r="AP661" i="3"/>
  <c r="AP662" i="3"/>
  <c r="AP664" i="3"/>
  <c r="AP665" i="3"/>
  <c r="AP666" i="3"/>
  <c r="AP667" i="3"/>
  <c r="AP669" i="3"/>
  <c r="AP670" i="3"/>
  <c r="AP671" i="3"/>
  <c r="AP672" i="3"/>
  <c r="AP674" i="3"/>
  <c r="AP675" i="3"/>
  <c r="AP676" i="3"/>
  <c r="AP682" i="3"/>
  <c r="AP688" i="3"/>
  <c r="AP689" i="3"/>
  <c r="AP690" i="3"/>
  <c r="AP692" i="3"/>
  <c r="AP694" i="3"/>
  <c r="AP695" i="3"/>
  <c r="AP697" i="3"/>
  <c r="AP698" i="3"/>
  <c r="AP699" i="3"/>
  <c r="AP700" i="3"/>
  <c r="AP702" i="3"/>
  <c r="AP704" i="3"/>
  <c r="AP705" i="3"/>
  <c r="AP707" i="3"/>
  <c r="AP709" i="3"/>
  <c r="AP712" i="3"/>
  <c r="AP713" i="3"/>
  <c r="AP714" i="3"/>
  <c r="AP715" i="3"/>
  <c r="AP716" i="3"/>
  <c r="AP717" i="3"/>
  <c r="AP718" i="3"/>
  <c r="AP721" i="3"/>
  <c r="AP722" i="3"/>
  <c r="AP723" i="3"/>
  <c r="AP724" i="3"/>
  <c r="AP726" i="3"/>
  <c r="AP727" i="3"/>
  <c r="AP728" i="3"/>
  <c r="AP729" i="3"/>
  <c r="AP730" i="3"/>
  <c r="AP731" i="3"/>
  <c r="AP732" i="3"/>
  <c r="AP737" i="3"/>
  <c r="AP738" i="3"/>
  <c r="AP739" i="3"/>
  <c r="AP740" i="3"/>
  <c r="AP743" i="3"/>
  <c r="AP745" i="3"/>
  <c r="AP746" i="3"/>
  <c r="AP748" i="3"/>
  <c r="AP750" i="3"/>
  <c r="AP751" i="3"/>
  <c r="AP752" i="3"/>
  <c r="AP753" i="3"/>
  <c r="AP755" i="3"/>
  <c r="AP757" i="3"/>
  <c r="AP759" i="3"/>
  <c r="AP760" i="3"/>
  <c r="AP762" i="3"/>
  <c r="AP763" i="3"/>
  <c r="AP764" i="3"/>
  <c r="AP765" i="3"/>
  <c r="AP766" i="3"/>
  <c r="AP767" i="3"/>
  <c r="AP771" i="3"/>
  <c r="AP772" i="3"/>
  <c r="AP773" i="3"/>
  <c r="AP775" i="3"/>
  <c r="AP777" i="3"/>
  <c r="AP778" i="3"/>
  <c r="AP779" i="3"/>
  <c r="AP780" i="3"/>
  <c r="AP781" i="3"/>
  <c r="AP782" i="3"/>
  <c r="AP783" i="3"/>
  <c r="AP786" i="3"/>
  <c r="AP787" i="3"/>
  <c r="AP789" i="3"/>
  <c r="AP791" i="3"/>
  <c r="AP793" i="3"/>
  <c r="AP794" i="3"/>
  <c r="AP795" i="3"/>
  <c r="AP797" i="3"/>
  <c r="AP798" i="3"/>
  <c r="AP799" i="3"/>
  <c r="AP800" i="3"/>
  <c r="AP801" i="3"/>
  <c r="AP802" i="3"/>
  <c r="AP804" i="3"/>
  <c r="AP805" i="3"/>
  <c r="AP806" i="3"/>
  <c r="AP807" i="3"/>
  <c r="AP808" i="3"/>
  <c r="AP809" i="3"/>
  <c r="AP810" i="3"/>
  <c r="AP811" i="3"/>
  <c r="AP812" i="3"/>
  <c r="AP813" i="3"/>
  <c r="AP814" i="3"/>
  <c r="AP815" i="3"/>
  <c r="AP819" i="3"/>
  <c r="AP820" i="3"/>
  <c r="AP821" i="3"/>
  <c r="AP823" i="3"/>
  <c r="AP824" i="3"/>
  <c r="AP825" i="3"/>
  <c r="AP826" i="3"/>
  <c r="AP827" i="3"/>
  <c r="AP828" i="3"/>
  <c r="AP830" i="3"/>
  <c r="AP831" i="3"/>
  <c r="AP834" i="3"/>
  <c r="AP835" i="3"/>
  <c r="AP836" i="3"/>
  <c r="AP837" i="3"/>
  <c r="AP838" i="3"/>
  <c r="AP839" i="3"/>
  <c r="AP841" i="3"/>
  <c r="AP842" i="3"/>
  <c r="AP843" i="3"/>
  <c r="AP844" i="3"/>
  <c r="AP845" i="3"/>
  <c r="AP846" i="3"/>
  <c r="AP847" i="3"/>
  <c r="AP848" i="3"/>
  <c r="AP849" i="3"/>
  <c r="AP850" i="3"/>
  <c r="AP851" i="3"/>
  <c r="AP852" i="3"/>
  <c r="AP853" i="3"/>
  <c r="AP854" i="3"/>
  <c r="AP857" i="3"/>
  <c r="AP858" i="3"/>
  <c r="AP859" i="3"/>
  <c r="AP860" i="3"/>
  <c r="AP862" i="3"/>
  <c r="AP863" i="3"/>
  <c r="AP864" i="3"/>
  <c r="AP865" i="3"/>
  <c r="AP867" i="3"/>
  <c r="AP868" i="3"/>
  <c r="AP871" i="3"/>
  <c r="AP872" i="3"/>
  <c r="AP874" i="3"/>
  <c r="AP875" i="3"/>
  <c r="AP876" i="3"/>
  <c r="AP877" i="3"/>
  <c r="AP878" i="3"/>
  <c r="AP879" i="3"/>
  <c r="AP880" i="3"/>
  <c r="AP881" i="3"/>
  <c r="AP882" i="3"/>
  <c r="AP885" i="3"/>
  <c r="AP886" i="3"/>
  <c r="AP887" i="3"/>
  <c r="AP888" i="3"/>
  <c r="AP889" i="3"/>
  <c r="AP891" i="3"/>
  <c r="AP893" i="3"/>
  <c r="AP901" i="3"/>
  <c r="AP902" i="3"/>
  <c r="AP903" i="3"/>
  <c r="AP906" i="3"/>
  <c r="AP907" i="3"/>
  <c r="AP908" i="3"/>
  <c r="AP909" i="3"/>
  <c r="AP910" i="3"/>
  <c r="AP914" i="3"/>
  <c r="AP915" i="3"/>
  <c r="AP916" i="3"/>
  <c r="AP917" i="3"/>
  <c r="AP922" i="3"/>
  <c r="AP923" i="3"/>
  <c r="AP924" i="3"/>
  <c r="AP925" i="3"/>
  <c r="AP926" i="3"/>
  <c r="AP932" i="3"/>
  <c r="AP933" i="3"/>
  <c r="AP936" i="3"/>
  <c r="AP937" i="3"/>
  <c r="AP938" i="3"/>
  <c r="AP939" i="3"/>
  <c r="AP940" i="3"/>
  <c r="AP941" i="3"/>
  <c r="AP943" i="3"/>
  <c r="AP944" i="3"/>
  <c r="AP945" i="3"/>
  <c r="AP946" i="3"/>
  <c r="AP947" i="3"/>
  <c r="AP948" i="3"/>
  <c r="AP950" i="3"/>
  <c r="AP951" i="3"/>
  <c r="AP952" i="3"/>
  <c r="AP953" i="3"/>
  <c r="AP954" i="3"/>
  <c r="AP955" i="3"/>
  <c r="AP956" i="3"/>
  <c r="AP958" i="3"/>
  <c r="AP959" i="3"/>
  <c r="AP961" i="3"/>
  <c r="AP963" i="3"/>
  <c r="AP965" i="3"/>
  <c r="AP966" i="3"/>
  <c r="AP967" i="3"/>
  <c r="AP969" i="3"/>
  <c r="AP970" i="3"/>
  <c r="AP971" i="3"/>
  <c r="AP973" i="3"/>
  <c r="AP974" i="3"/>
  <c r="AP975" i="3"/>
  <c r="AP977" i="3"/>
  <c r="AP979" i="3"/>
  <c r="AP980" i="3"/>
  <c r="AP982" i="3"/>
  <c r="AP984" i="3"/>
  <c r="AP985" i="3"/>
  <c r="AP986" i="3"/>
  <c r="AP987" i="3"/>
  <c r="AP988" i="3"/>
  <c r="AP989" i="3"/>
  <c r="AP991" i="3"/>
  <c r="AP992" i="3"/>
  <c r="AP993" i="3"/>
  <c r="AP994" i="3"/>
  <c r="AP995" i="3"/>
  <c r="AP996" i="3"/>
  <c r="AP997" i="3"/>
  <c r="AP999" i="3"/>
  <c r="AP1000" i="3"/>
  <c r="AP1001" i="3"/>
  <c r="AP1003" i="3"/>
  <c r="AP1005" i="3"/>
  <c r="AP1006" i="3"/>
  <c r="AP1008" i="3"/>
  <c r="AP1009" i="3"/>
  <c r="AP1011" i="3"/>
  <c r="AP1012" i="3"/>
  <c r="AP1014" i="3"/>
  <c r="AP1015" i="3"/>
  <c r="AP1016" i="3"/>
  <c r="AP1017" i="3"/>
  <c r="AP1018" i="3"/>
  <c r="AP1020" i="3"/>
  <c r="AP1021" i="3"/>
  <c r="AP1022" i="3"/>
  <c r="AP1023" i="3"/>
  <c r="AP1026" i="3"/>
  <c r="AP1027" i="3"/>
  <c r="AP1029" i="3"/>
  <c r="AP1030" i="3"/>
  <c r="AP1031" i="3"/>
  <c r="AP1035" i="3"/>
  <c r="AP1037" i="3"/>
  <c r="AP1039" i="3"/>
  <c r="AP1043" i="3"/>
  <c r="AP1044" i="3"/>
  <c r="AP1045" i="3"/>
  <c r="AP1047" i="3"/>
  <c r="AP1050" i="3"/>
  <c r="AP1051" i="3"/>
  <c r="AP1052" i="3"/>
  <c r="AP1053" i="3"/>
  <c r="AP1054" i="3"/>
  <c r="AP1056" i="3"/>
  <c r="AP1058" i="3"/>
  <c r="AP1059" i="3"/>
  <c r="AP1060" i="3"/>
  <c r="AP1061" i="3"/>
  <c r="AP1065" i="3"/>
  <c r="AP1068" i="3"/>
  <c r="AP1070" i="3"/>
  <c r="AP1071" i="3"/>
  <c r="AP1072" i="3"/>
  <c r="AP1073" i="3"/>
  <c r="AP1074" i="3"/>
  <c r="AP1077" i="3"/>
  <c r="AP1080" i="3"/>
  <c r="AP1081" i="3"/>
  <c r="AP1083" i="3"/>
  <c r="AP1085" i="3"/>
  <c r="AP1086" i="3"/>
  <c r="AP1087" i="3"/>
  <c r="AP1088" i="3"/>
  <c r="AP1089" i="3"/>
  <c r="AP1090" i="3"/>
  <c r="AP1091" i="3"/>
  <c r="AP1092" i="3"/>
  <c r="AP1093" i="3"/>
  <c r="AP1097" i="3"/>
  <c r="AP1099" i="3"/>
  <c r="AP1102" i="3"/>
  <c r="AP1103" i="3"/>
  <c r="AP1106" i="3"/>
  <c r="AP1107" i="3"/>
  <c r="AP1108" i="3"/>
  <c r="AP1109" i="3"/>
  <c r="AP1110" i="3"/>
  <c r="AP1111" i="3"/>
  <c r="AP1113" i="3"/>
  <c r="AP1114" i="3"/>
  <c r="AP1115" i="3"/>
  <c r="AP1116" i="3"/>
  <c r="AP1117" i="3"/>
  <c r="AP1119" i="3"/>
  <c r="AP1120" i="3"/>
  <c r="AP1121" i="3"/>
  <c r="AP1122" i="3"/>
  <c r="AP1124" i="3"/>
  <c r="AP1126" i="3"/>
  <c r="AP1127" i="3"/>
  <c r="AP1128" i="3"/>
  <c r="AP1129" i="3"/>
  <c r="AP1130" i="3"/>
  <c r="AP1131" i="3"/>
  <c r="AP1132" i="3"/>
  <c r="AP1133" i="3"/>
  <c r="AP1134" i="3"/>
  <c r="AP1135" i="3"/>
  <c r="AP1136" i="3"/>
  <c r="AP1137" i="3"/>
  <c r="AP1140" i="3"/>
  <c r="AP1142" i="3"/>
  <c r="AP1143" i="3"/>
  <c r="AP1145" i="3"/>
  <c r="AP1147" i="3"/>
  <c r="AP1148" i="3"/>
  <c r="AP1149" i="3"/>
  <c r="AP1150" i="3"/>
  <c r="AP1152" i="3"/>
  <c r="AP1153" i="3"/>
  <c r="AP1154" i="3"/>
  <c r="AP1155" i="3"/>
  <c r="AP1156" i="3"/>
  <c r="AP1157" i="3"/>
  <c r="AP1158" i="3"/>
  <c r="AP1160" i="3"/>
  <c r="AP1161" i="3"/>
  <c r="AP1162" i="3"/>
  <c r="AP1164" i="3"/>
  <c r="AP1165" i="3"/>
  <c r="AP1168" i="3"/>
  <c r="AP1169" i="3"/>
  <c r="AP1170" i="3"/>
  <c r="AP1171" i="3"/>
  <c r="AP1172" i="3"/>
  <c r="AP1173" i="3"/>
  <c r="AP1175" i="3"/>
  <c r="AP1176" i="3"/>
  <c r="AP1177" i="3"/>
  <c r="AP1181" i="3"/>
  <c r="AP1183" i="3"/>
  <c r="AP1184" i="3"/>
  <c r="AP1185" i="3"/>
  <c r="AP1186" i="3"/>
  <c r="AP1187" i="3"/>
  <c r="AP1189" i="3"/>
  <c r="AP1190" i="3"/>
  <c r="AP1191" i="3"/>
  <c r="AP1192" i="3"/>
  <c r="AP1193" i="3"/>
  <c r="AP1194" i="3"/>
  <c r="AP1195" i="3"/>
  <c r="AP1196" i="3"/>
  <c r="AP1200" i="3"/>
  <c r="AP1201" i="3"/>
  <c r="AP1202" i="3"/>
  <c r="AP1203" i="3"/>
  <c r="AP1204" i="3"/>
  <c r="AP1205" i="3"/>
  <c r="AP1206" i="3"/>
  <c r="AP1208" i="3"/>
  <c r="AP1209" i="3"/>
  <c r="AP1210" i="3"/>
  <c r="AP1211" i="3"/>
  <c r="AP1212" i="3"/>
  <c r="AP1213" i="3"/>
  <c r="AP1215" i="3"/>
  <c r="AP1216" i="3"/>
  <c r="AP1217" i="3"/>
  <c r="AP1218" i="3"/>
  <c r="AP1219" i="3"/>
  <c r="AP1220" i="3"/>
  <c r="AP1221" i="3"/>
  <c r="AP1222" i="3"/>
  <c r="AP1223" i="3"/>
  <c r="AP1232" i="3"/>
  <c r="AP1233" i="3"/>
  <c r="AP1234" i="3"/>
  <c r="AP1235" i="3"/>
  <c r="AP1239" i="3"/>
  <c r="AP1240" i="3"/>
  <c r="AP1241" i="3"/>
  <c r="AP1242" i="3"/>
  <c r="AP1244" i="3"/>
  <c r="AP1245" i="3"/>
  <c r="AP1246" i="3"/>
  <c r="AP1247" i="3"/>
  <c r="AP1248" i="3"/>
  <c r="AP1249" i="3"/>
  <c r="AP1250" i="3"/>
  <c r="AP1251" i="3"/>
  <c r="AP1252" i="3"/>
  <c r="AP1254" i="3"/>
  <c r="AP1255" i="3"/>
  <c r="AP1256" i="3"/>
  <c r="AP1257" i="3"/>
  <c r="AP1258" i="3"/>
  <c r="AP1259" i="3"/>
  <c r="AP1260" i="3"/>
  <c r="AP1261" i="3"/>
  <c r="AP1263" i="3"/>
  <c r="AP1265" i="3"/>
  <c r="AP1267" i="3"/>
  <c r="AP1268" i="3"/>
  <c r="AP1270" i="3"/>
  <c r="AP1271" i="3"/>
  <c r="AP1273" i="3"/>
  <c r="AP1276" i="3"/>
  <c r="AP1279" i="3"/>
  <c r="AP1280" i="3"/>
  <c r="AP1282" i="3"/>
  <c r="AP1283" i="3"/>
  <c r="AP1284" i="3"/>
  <c r="AP1285" i="3"/>
  <c r="AP1286" i="3"/>
  <c r="AP1287" i="3"/>
  <c r="AP1288" i="3"/>
  <c r="AP1289" i="3"/>
  <c r="AP1290" i="3"/>
  <c r="AP1294" i="3"/>
  <c r="AP1297" i="3"/>
  <c r="AP1299" i="3"/>
  <c r="AP1300" i="3"/>
  <c r="AP1301" i="3"/>
  <c r="AP1302" i="3"/>
  <c r="AP1304" i="3"/>
  <c r="AP1305" i="3"/>
  <c r="AP1306" i="3"/>
  <c r="AP1307" i="3"/>
  <c r="AP1308" i="3"/>
  <c r="AP1309" i="3"/>
  <c r="AP1310" i="3"/>
  <c r="AP1312" i="3"/>
  <c r="AP1313" i="3"/>
  <c r="AP1314" i="3"/>
  <c r="AP1315" i="3"/>
  <c r="AP1316" i="3"/>
  <c r="AP1317" i="3"/>
  <c r="AP1318" i="3"/>
  <c r="AP1320" i="3"/>
  <c r="AP1323" i="3"/>
  <c r="AP1325" i="3"/>
  <c r="AP1327" i="3"/>
  <c r="AP1328" i="3"/>
  <c r="AP1329" i="3"/>
  <c r="AP1330" i="3"/>
  <c r="AP1331" i="3"/>
  <c r="AP1333" i="3"/>
  <c r="AP1334" i="3"/>
  <c r="AP1335" i="3"/>
  <c r="AP1336" i="3"/>
  <c r="AP1339" i="3"/>
  <c r="AP1341" i="3"/>
  <c r="AP1342" i="3"/>
  <c r="AP1343" i="3"/>
  <c r="AP1344" i="3"/>
  <c r="AP1345" i="3"/>
  <c r="AP1346" i="3"/>
  <c r="AP1347" i="3"/>
  <c r="AP1350" i="3"/>
  <c r="AP1351" i="3"/>
  <c r="AP1352" i="3"/>
  <c r="AP1353" i="3"/>
  <c r="AP1354" i="3"/>
  <c r="AP1355" i="3"/>
  <c r="AP1357" i="3"/>
  <c r="AP1358" i="3"/>
  <c r="AP1359" i="3"/>
  <c r="AP1360" i="3"/>
  <c r="AP1361" i="3"/>
  <c r="AP1362" i="3"/>
  <c r="AP1363" i="3"/>
  <c r="AP1365" i="3"/>
  <c r="AP1366" i="3"/>
  <c r="AP1367" i="3"/>
  <c r="AP1369" i="3"/>
  <c r="AP1370" i="3"/>
  <c r="AP1371" i="3"/>
  <c r="AP1372" i="3"/>
  <c r="AP1373" i="3"/>
  <c r="AP1374" i="3"/>
  <c r="AP1376" i="3"/>
  <c r="AP1377" i="3"/>
  <c r="AP1378" i="3"/>
  <c r="AP1379" i="3"/>
  <c r="AP1381" i="3"/>
  <c r="AP1382" i="3"/>
  <c r="AP1383" i="3"/>
  <c r="AP1384" i="3"/>
  <c r="AP1385" i="3"/>
  <c r="AP1390" i="3"/>
  <c r="AP1392" i="3"/>
  <c r="AP1393" i="3"/>
  <c r="AP1395" i="3"/>
  <c r="AP1396" i="3"/>
  <c r="AP1397" i="3"/>
  <c r="AP1398" i="3"/>
  <c r="AP1400" i="3"/>
  <c r="AP1401" i="3"/>
  <c r="AP1402" i="3"/>
  <c r="AP1403" i="3"/>
  <c r="AP1404" i="3"/>
  <c r="AP1406" i="3"/>
  <c r="AP1407" i="3"/>
  <c r="AP1409" i="3"/>
  <c r="AP1411" i="3"/>
  <c r="AP1412" i="3"/>
  <c r="AP1413" i="3"/>
  <c r="AP1414" i="3"/>
  <c r="AP1415" i="3"/>
  <c r="AP1416" i="3"/>
  <c r="AP1418" i="3"/>
  <c r="AP1419" i="3"/>
  <c r="AP1420" i="3"/>
  <c r="AP1421" i="3"/>
  <c r="AP1422" i="3"/>
  <c r="AP1423" i="3"/>
  <c r="AP1424" i="3"/>
  <c r="AP1425" i="3"/>
  <c r="AP1426" i="3"/>
  <c r="AP1427" i="3"/>
  <c r="AP1428" i="3"/>
  <c r="AP1432" i="3"/>
  <c r="AP1433" i="3"/>
  <c r="AP1434" i="3"/>
  <c r="AP1435" i="3"/>
  <c r="AP1436" i="3"/>
  <c r="AP1437" i="3"/>
  <c r="AP1438" i="3"/>
  <c r="AP1439" i="3"/>
  <c r="AP1441" i="3"/>
  <c r="AP1442" i="3"/>
  <c r="AP1443" i="3"/>
  <c r="AP1444" i="3"/>
  <c r="AP1445" i="3"/>
  <c r="AP1446" i="3"/>
  <c r="AP1448" i="3"/>
  <c r="AP1450" i="3"/>
  <c r="AP1452" i="3"/>
  <c r="AP1453" i="3"/>
  <c r="AP1457" i="3"/>
  <c r="AP1458" i="3"/>
  <c r="AP1459" i="3"/>
  <c r="AP1463" i="3"/>
  <c r="AP1468" i="3"/>
  <c r="AP1469" i="3"/>
  <c r="AP1471" i="3"/>
  <c r="AP1472" i="3"/>
  <c r="AP1473" i="3"/>
  <c r="AP1475" i="3"/>
  <c r="AP1476" i="3"/>
  <c r="AP1477" i="3"/>
  <c r="AP1480" i="3"/>
  <c r="AP1481" i="3"/>
  <c r="AP1482" i="3"/>
  <c r="AP1483" i="3"/>
  <c r="AP1484" i="3"/>
  <c r="AP1485" i="3"/>
  <c r="AP1486" i="3"/>
  <c r="AP1487" i="3"/>
  <c r="AP1488" i="3"/>
  <c r="AP1489" i="3"/>
  <c r="AP1490" i="3"/>
  <c r="AP1491" i="3"/>
  <c r="AP1493" i="3"/>
  <c r="AP1494" i="3"/>
  <c r="AP1498" i="3"/>
  <c r="AP1500" i="3"/>
  <c r="AP1501" i="3"/>
  <c r="AP1502" i="3"/>
  <c r="AP1503" i="3"/>
  <c r="AP1505" i="3"/>
  <c r="AP1506" i="3"/>
  <c r="AP1507" i="3"/>
  <c r="AP1508" i="3"/>
  <c r="AP1509" i="3"/>
  <c r="AP1510" i="3"/>
  <c r="AP1512" i="3"/>
  <c r="AP1514" i="3"/>
  <c r="AP1516" i="3"/>
  <c r="AP1517" i="3"/>
  <c r="AP1518" i="3"/>
  <c r="AP1519" i="3"/>
  <c r="AP1520" i="3"/>
  <c r="AP1521" i="3"/>
  <c r="AP1522" i="3"/>
  <c r="AP1523" i="3"/>
  <c r="AP1524" i="3"/>
  <c r="AP1527" i="3"/>
  <c r="AP1528" i="3"/>
  <c r="AP1530" i="3"/>
  <c r="AP1531" i="3"/>
  <c r="AP1532" i="3"/>
  <c r="AP1533" i="3"/>
  <c r="AP1536" i="3"/>
  <c r="AP1537" i="3"/>
  <c r="AP1538" i="3"/>
  <c r="AP1540" i="3"/>
  <c r="AP1541" i="3"/>
  <c r="AP1543" i="3"/>
  <c r="AP1546" i="3"/>
  <c r="AP1547" i="3"/>
  <c r="AP1548" i="3"/>
  <c r="AP1549" i="3"/>
  <c r="AP1550" i="3"/>
  <c r="AP1551" i="3"/>
  <c r="AP1552" i="3"/>
  <c r="AP1553" i="3"/>
  <c r="AP1554" i="3"/>
  <c r="AP1555" i="3"/>
  <c r="AP1556" i="3"/>
  <c r="AP1557" i="3"/>
  <c r="AP1558" i="3"/>
  <c r="AP1559" i="3"/>
  <c r="AP1560" i="3"/>
  <c r="AP1562" i="3"/>
  <c r="AP1563" i="3"/>
  <c r="AP1564" i="3"/>
  <c r="AP1566" i="3"/>
  <c r="AP1567" i="3"/>
  <c r="AP1568" i="3"/>
  <c r="AP1569" i="3"/>
  <c r="AP1570" i="3"/>
  <c r="AP1571" i="3"/>
  <c r="AP1572" i="3"/>
  <c r="AP1573" i="3"/>
  <c r="AP1574" i="3"/>
  <c r="AP1575" i="3"/>
  <c r="AP1578" i="3"/>
  <c r="AP1579" i="3"/>
  <c r="AP1582" i="3"/>
  <c r="AP1583" i="3"/>
  <c r="AP1584" i="3"/>
  <c r="AP1585" i="3"/>
  <c r="AP1586" i="3"/>
  <c r="AP1587" i="3"/>
  <c r="AP1588" i="3"/>
  <c r="AP1590" i="3"/>
  <c r="AP1593" i="3"/>
  <c r="AP1594" i="3"/>
  <c r="AP1595" i="3"/>
  <c r="AP1597" i="3"/>
  <c r="AP1598" i="3"/>
  <c r="AP1599" i="3"/>
  <c r="AP1600" i="3"/>
  <c r="AP1601" i="3"/>
  <c r="AP1602" i="3"/>
  <c r="AP1603" i="3"/>
  <c r="AP1604" i="3"/>
  <c r="AP1606" i="3"/>
  <c r="AP1608" i="3"/>
  <c r="AP1609" i="3"/>
  <c r="AP1611" i="3"/>
  <c r="AP1612" i="3"/>
  <c r="AP1613" i="3"/>
  <c r="AP1614" i="3"/>
  <c r="AP1615" i="3"/>
  <c r="AP1616" i="3"/>
  <c r="AP1617" i="3"/>
  <c r="AP1618" i="3"/>
  <c r="AP1619" i="3"/>
  <c r="AP1622" i="3"/>
  <c r="AP1623" i="3"/>
  <c r="AP1625" i="3"/>
  <c r="AP1627" i="3"/>
  <c r="AO258" i="3"/>
  <c r="AO281" i="3"/>
  <c r="AO301" i="3"/>
  <c r="AO517" i="3"/>
  <c r="AO632" i="3"/>
  <c r="AO645" i="3"/>
  <c r="AO689" i="3"/>
  <c r="AO1577" i="3"/>
  <c r="AO1590" i="3"/>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58" i="1"/>
  <c r="AV1759" i="1"/>
  <c r="AV1760" i="1"/>
  <c r="AV1761" i="1"/>
  <c r="AV1762" i="1"/>
  <c r="AV1763" i="1"/>
  <c r="AV1764" i="1"/>
  <c r="AV1765" i="1"/>
  <c r="AV1766" i="1"/>
  <c r="AV1767" i="1"/>
  <c r="AV1768" i="1"/>
  <c r="AV1769" i="1"/>
  <c r="AV1770" i="1"/>
  <c r="AV1771" i="1"/>
  <c r="AV1772" i="1"/>
  <c r="AV1773" i="1"/>
  <c r="AV1774" i="1"/>
  <c r="AV1775" i="1"/>
  <c r="AV1776" i="1"/>
  <c r="AV1777" i="1"/>
  <c r="AV1778" i="1"/>
  <c r="AV1779" i="1"/>
  <c r="AV1780" i="1"/>
  <c r="AV1781" i="1"/>
  <c r="AV1782" i="1"/>
  <c r="AV1783" i="1"/>
  <c r="AV1784" i="1"/>
  <c r="AV1785" i="1"/>
  <c r="AV1786" i="1"/>
  <c r="AV1787" i="1"/>
  <c r="AV1788" i="1"/>
  <c r="AV1789" i="1"/>
  <c r="AV1790" i="1"/>
  <c r="AV1791" i="1"/>
  <c r="AV1792" i="1"/>
  <c r="AV1793" i="1"/>
  <c r="AV1794" i="1"/>
  <c r="AV1795" i="1"/>
  <c r="AV1796" i="1"/>
  <c r="AV1797" i="1"/>
  <c r="AV1798" i="1"/>
  <c r="AV1799" i="1"/>
  <c r="AV1800" i="1"/>
  <c r="AV1801" i="1"/>
  <c r="AV1802" i="1"/>
  <c r="AV1803" i="1"/>
  <c r="AV1804" i="1"/>
  <c r="AV1805" i="1"/>
  <c r="AV1806" i="1"/>
  <c r="AV1807" i="1"/>
  <c r="AV1808" i="1"/>
  <c r="AV1809" i="1"/>
  <c r="AV1810" i="1"/>
  <c r="AV1811" i="1"/>
  <c r="AV1812" i="1"/>
  <c r="AV1813" i="1"/>
  <c r="AV1814" i="1"/>
  <c r="AV1815" i="1"/>
  <c r="AV1816" i="1"/>
  <c r="AV1817" i="1"/>
  <c r="AV1818" i="1"/>
  <c r="AV1819" i="1"/>
  <c r="AV1820" i="1"/>
  <c r="AV1821" i="1"/>
  <c r="AV1822" i="1"/>
  <c r="AV1823" i="1"/>
  <c r="AV1824" i="1"/>
  <c r="AV1825" i="1"/>
  <c r="AV1826" i="1"/>
  <c r="AV1827" i="1"/>
  <c r="AV1828" i="1"/>
  <c r="AV1829" i="1"/>
  <c r="AV1830" i="1"/>
  <c r="AV1831" i="1"/>
  <c r="AV1832" i="1"/>
  <c r="AV1833" i="1"/>
  <c r="AV1834" i="1"/>
  <c r="AV1835" i="1"/>
  <c r="AV1836" i="1"/>
  <c r="AV1837" i="1"/>
  <c r="AV1838" i="1"/>
  <c r="AV1839" i="1"/>
  <c r="AV1840" i="1"/>
  <c r="AV1841" i="1"/>
  <c r="AV1842" i="1"/>
  <c r="AV1843" i="1"/>
  <c r="AV1844" i="1"/>
  <c r="AV1845" i="1"/>
  <c r="AV1846" i="1"/>
  <c r="AV1847" i="1"/>
  <c r="AV1848" i="1"/>
  <c r="AV1849" i="1"/>
  <c r="AV1850" i="1"/>
  <c r="AV1851" i="1"/>
  <c r="AV1852" i="1"/>
  <c r="AV1853" i="1"/>
  <c r="AV1854" i="1"/>
  <c r="AV1855" i="1"/>
  <c r="AV1856" i="1"/>
  <c r="AV1857" i="1"/>
  <c r="AV1858" i="1"/>
  <c r="AV1859" i="1"/>
  <c r="AV1860" i="1"/>
  <c r="AV1861" i="1"/>
  <c r="AV1862" i="1"/>
  <c r="AV1863" i="1"/>
  <c r="AV1864" i="1"/>
  <c r="AV1865" i="1"/>
  <c r="AV1866" i="1"/>
  <c r="AV1867" i="1"/>
  <c r="AV1868" i="1"/>
  <c r="AV1869" i="1"/>
  <c r="AV1870" i="1"/>
  <c r="AV1871" i="1"/>
  <c r="AV1872" i="1"/>
  <c r="AV1873" i="1"/>
  <c r="AV1874" i="1"/>
  <c r="AV1875" i="1"/>
  <c r="AV1876" i="1"/>
  <c r="AV1877" i="1"/>
  <c r="AV1878" i="1"/>
  <c r="AV1879" i="1"/>
  <c r="AV1880" i="1"/>
  <c r="AV1881" i="1"/>
  <c r="AV1882" i="1"/>
  <c r="AV1883" i="1"/>
  <c r="AV1884" i="1"/>
  <c r="AV1885" i="1"/>
  <c r="AV1886" i="1"/>
  <c r="AV1887" i="1"/>
  <c r="AV1888" i="1"/>
  <c r="AV1889" i="1"/>
  <c r="AV1890" i="1"/>
  <c r="AV1891" i="1"/>
  <c r="AV1892"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19" i="1"/>
  <c r="AV1920" i="1"/>
  <c r="AV1921" i="1"/>
  <c r="AV1922" i="1"/>
  <c r="AV1923" i="1"/>
  <c r="AV1924" i="1"/>
  <c r="AV1925" i="1"/>
  <c r="AV1926" i="1"/>
  <c r="AV1927" i="1"/>
  <c r="AV1928" i="1"/>
  <c r="AV1929" i="1"/>
  <c r="AV1930" i="1"/>
  <c r="AV1931" i="1"/>
  <c r="AV1932" i="1"/>
  <c r="AV1933" i="1"/>
  <c r="AV1934" i="1"/>
  <c r="AV1935" i="1"/>
  <c r="AV1936" i="1"/>
  <c r="AV1937" i="1"/>
  <c r="AV1938" i="1"/>
  <c r="AV1939" i="1"/>
  <c r="AV1940" i="1"/>
  <c r="AV1941" i="1"/>
  <c r="AV1942" i="1"/>
  <c r="AV1943"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2" i="1"/>
  <c r="AV1973" i="1"/>
  <c r="AV1974" i="1"/>
  <c r="AV1975" i="1"/>
  <c r="AV1976" i="1"/>
  <c r="AV1977" i="1"/>
  <c r="AV1978" i="1"/>
  <c r="AV1979" i="1"/>
  <c r="AV1980" i="1"/>
  <c r="AV1981" i="1"/>
  <c r="AV1982" i="1"/>
  <c r="AV1983" i="1"/>
  <c r="AV1984" i="1"/>
  <c r="AV1985" i="1"/>
  <c r="AV1986" i="1"/>
  <c r="AV1987" i="1"/>
  <c r="AV1988" i="1"/>
  <c r="AV1989" i="1"/>
  <c r="AV1990" i="1"/>
  <c r="AV1991" i="1"/>
  <c r="AV1992" i="1"/>
  <c r="AV1993" i="1"/>
  <c r="AV1994" i="1"/>
  <c r="AV1995" i="1"/>
  <c r="AV1996" i="1"/>
  <c r="AV1997" i="1"/>
  <c r="AV1998" i="1"/>
  <c r="AV1999" i="1"/>
  <c r="AV2000" i="1"/>
  <c r="AV2001" i="1"/>
  <c r="AV2002" i="1"/>
  <c r="AV2003" i="1"/>
  <c r="AV2004" i="1"/>
  <c r="AV2005" i="1"/>
  <c r="AV2006" i="1"/>
  <c r="AV2007" i="1"/>
  <c r="AV2008" i="1"/>
  <c r="AV2009" i="1"/>
  <c r="AV2010" i="1"/>
  <c r="AV2011" i="1"/>
  <c r="AV2012" i="1"/>
  <c r="AV2013" i="1"/>
  <c r="AV2014" i="1"/>
  <c r="AV2015" i="1"/>
  <c r="AV2016" i="1"/>
  <c r="AV2017" i="1"/>
  <c r="AV2018" i="1"/>
  <c r="AV2019" i="1"/>
  <c r="AV2020" i="1"/>
  <c r="AV2021" i="1"/>
  <c r="AV2022" i="1"/>
  <c r="AV2023" i="1"/>
  <c r="AV2024" i="1"/>
  <c r="AV2025" i="1"/>
  <c r="AV2026" i="1"/>
  <c r="AV2027" i="1"/>
  <c r="AV2028" i="1"/>
  <c r="AV2029" i="1"/>
  <c r="AV2030" i="1"/>
  <c r="AV2031" i="1"/>
  <c r="AV2032" i="1"/>
  <c r="AV2033" i="1"/>
  <c r="AV2034" i="1"/>
  <c r="AV2035" i="1"/>
  <c r="AV2036" i="1"/>
  <c r="AV2037" i="1"/>
  <c r="AV2038" i="1"/>
  <c r="AV2039" i="1"/>
  <c r="AV2040" i="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V2142" i="1"/>
  <c r="AV2143" i="1"/>
  <c r="AV2144" i="1"/>
  <c r="AV2145" i="1"/>
  <c r="AV2146" i="1"/>
  <c r="AV2147" i="1"/>
  <c r="AV2148" i="1"/>
  <c r="AV2149" i="1"/>
  <c r="AV2150" i="1"/>
  <c r="AV2151" i="1"/>
  <c r="AV2152" i="1"/>
  <c r="AV2153" i="1"/>
  <c r="AV2154" i="1"/>
  <c r="AV2155" i="1"/>
  <c r="AV2156" i="1"/>
  <c r="AV2157" i="1"/>
  <c r="AV2158" i="1"/>
  <c r="AV2159" i="1"/>
  <c r="AV2160" i="1"/>
  <c r="AV2161" i="1"/>
  <c r="AV2162" i="1"/>
  <c r="AV2163" i="1"/>
  <c r="AV2164" i="1"/>
  <c r="AV2165" i="1"/>
  <c r="AV2166" i="1"/>
  <c r="AV2167" i="1"/>
  <c r="AV2168" i="1"/>
  <c r="AV2169" i="1"/>
  <c r="AV2170" i="1"/>
  <c r="AV2171" i="1"/>
  <c r="AV2172" i="1"/>
  <c r="AV2173" i="1"/>
  <c r="AV2174" i="1"/>
  <c r="AV2175" i="1"/>
  <c r="AV2176" i="1"/>
  <c r="AV2177" i="1"/>
  <c r="AV2178" i="1"/>
  <c r="AV2179" i="1"/>
  <c r="AV2180" i="1"/>
  <c r="AV2181" i="1"/>
  <c r="AV2182" i="1"/>
  <c r="AV2183" i="1"/>
  <c r="AV2184" i="1"/>
  <c r="AV2185" i="1"/>
  <c r="AV2186" i="1"/>
  <c r="AV2187" i="1"/>
  <c r="AV2188" i="1"/>
  <c r="AV2189" i="1"/>
  <c r="AV2190" i="1"/>
  <c r="AV2191" i="1"/>
  <c r="AV2192" i="1"/>
  <c r="AV2193" i="1"/>
  <c r="AV2194" i="1"/>
  <c r="AV2195" i="1"/>
  <c r="AV2196" i="1"/>
  <c r="AV2197" i="1"/>
  <c r="AV2198" i="1"/>
  <c r="AV2199" i="1"/>
  <c r="AV2200" i="1"/>
  <c r="AV2201" i="1"/>
  <c r="AV2202" i="1"/>
  <c r="AV2203" i="1"/>
  <c r="AV2204" i="1"/>
  <c r="AV2205" i="1"/>
  <c r="AV2206" i="1"/>
  <c r="AV2207" i="1"/>
  <c r="AV2208" i="1"/>
  <c r="AV2209" i="1"/>
  <c r="AV2210" i="1"/>
  <c r="AV2211" i="1"/>
  <c r="AV2212" i="1"/>
  <c r="AV2213" i="1"/>
  <c r="AV2214" i="1"/>
  <c r="AV2215" i="1"/>
  <c r="AV2216" i="1"/>
  <c r="AV2217" i="1"/>
  <c r="AV2218" i="1"/>
  <c r="AV2219" i="1"/>
  <c r="AV2220" i="1"/>
  <c r="AV2221" i="1"/>
  <c r="AV2222" i="1"/>
  <c r="AV2223" i="1"/>
  <c r="AV2224" i="1"/>
  <c r="AV2225" i="1"/>
  <c r="AV2226" i="1"/>
  <c r="AV2227" i="1"/>
  <c r="AV2228" i="1"/>
  <c r="AV2229" i="1"/>
  <c r="AV2230" i="1"/>
  <c r="AV2231" i="1"/>
  <c r="AV2232" i="1"/>
  <c r="AV2233" i="1"/>
  <c r="AV2234" i="1"/>
  <c r="AV2235" i="1"/>
  <c r="AV2236" i="1"/>
  <c r="AV2237" i="1"/>
  <c r="AV2238" i="1"/>
  <c r="AV2239" i="1"/>
  <c r="AV2240" i="1"/>
  <c r="AV2241" i="1"/>
  <c r="AV2242" i="1"/>
  <c r="AV2243" i="1"/>
  <c r="AV2244" i="1"/>
  <c r="AV2245" i="1"/>
  <c r="AV2246" i="1"/>
  <c r="AV2247" i="1"/>
  <c r="AV2248" i="1"/>
  <c r="AV2249" i="1"/>
  <c r="AV2250" i="1"/>
  <c r="AV2251" i="1"/>
  <c r="AV2252" i="1"/>
  <c r="AV2253" i="1"/>
  <c r="AV2254" i="1"/>
  <c r="AV2255" i="1"/>
  <c r="AV2256" i="1"/>
  <c r="AV2257" i="1"/>
  <c r="AV2258" i="1"/>
  <c r="AV2259" i="1"/>
  <c r="AV2260" i="1"/>
  <c r="AV2261" i="1"/>
  <c r="AV2262" i="1"/>
  <c r="AV2263" i="1"/>
  <c r="AV2264" i="1"/>
  <c r="AV2265" i="1"/>
  <c r="AV2266" i="1"/>
  <c r="AV2267" i="1"/>
  <c r="AV2268" i="1"/>
  <c r="AV2269" i="1"/>
  <c r="AV2270" i="1"/>
  <c r="AV2271" i="1"/>
  <c r="AV2272" i="1"/>
  <c r="AV2273" i="1"/>
  <c r="AV2274" i="1"/>
  <c r="AV2275" i="1"/>
  <c r="AV2276" i="1"/>
  <c r="AV2277" i="1"/>
  <c r="AV2278" i="1"/>
  <c r="AV2279" i="1"/>
  <c r="AV2280" i="1"/>
  <c r="AV2281" i="1"/>
  <c r="AV2282" i="1"/>
  <c r="AV2283" i="1"/>
  <c r="AV2284" i="1"/>
  <c r="AV2285" i="1"/>
  <c r="AV2286" i="1"/>
  <c r="AV2287" i="1"/>
  <c r="AV2288" i="1"/>
  <c r="AV2289" i="1"/>
  <c r="AV2290" i="1"/>
  <c r="AV2291" i="1"/>
  <c r="AV2292" i="1"/>
  <c r="AV2293" i="1"/>
  <c r="AV2294" i="1"/>
  <c r="AV2295" i="1"/>
  <c r="AV2296" i="1"/>
  <c r="AV2297" i="1"/>
  <c r="AV2298" i="1"/>
  <c r="AV2299" i="1"/>
  <c r="AV2300" i="1"/>
  <c r="AV2301" i="1"/>
  <c r="AV2302" i="1"/>
  <c r="AV2303" i="1"/>
  <c r="AV2304" i="1"/>
  <c r="AV2305" i="1"/>
  <c r="AV2306" i="1"/>
  <c r="AV2307" i="1"/>
  <c r="AV2308" i="1"/>
  <c r="AV2309" i="1"/>
  <c r="AV2310" i="1"/>
  <c r="AV2311" i="1"/>
  <c r="AV2312" i="1"/>
  <c r="AV2313" i="1"/>
  <c r="AV2314" i="1"/>
  <c r="AV2315" i="1"/>
  <c r="AV2316" i="1"/>
  <c r="AV2317" i="1"/>
  <c r="AV2318" i="1"/>
  <c r="AV2319" i="1"/>
  <c r="AV2320" i="1"/>
  <c r="AV2321" i="1"/>
  <c r="AV2322" i="1"/>
  <c r="AV2323" i="1"/>
  <c r="AV2324" i="1"/>
  <c r="AV2325" i="1"/>
  <c r="AV2326" i="1"/>
  <c r="AV2327" i="1"/>
  <c r="AV2328" i="1"/>
  <c r="AV2329" i="1"/>
  <c r="AV2330" i="1"/>
  <c r="AV2331" i="1"/>
  <c r="AV2332" i="1"/>
  <c r="AV2333" i="1"/>
  <c r="AV2334" i="1"/>
  <c r="AV2335" i="1"/>
  <c r="AV2336" i="1"/>
  <c r="AV2337" i="1"/>
  <c r="AV2338" i="1"/>
  <c r="AV2339" i="1"/>
  <c r="AV2340" i="1"/>
  <c r="AV2341" i="1"/>
  <c r="AV2342" i="1"/>
  <c r="AV2343" i="1"/>
  <c r="AV2344" i="1"/>
  <c r="AV2345" i="1"/>
  <c r="AV2346" i="1"/>
  <c r="AV2347" i="1"/>
  <c r="AV2348" i="1"/>
  <c r="AV2349" i="1"/>
  <c r="AV2350" i="1"/>
  <c r="AV2351" i="1"/>
  <c r="AV2352" i="1"/>
  <c r="AV2353" i="1"/>
  <c r="AV2354" i="1"/>
  <c r="AV2355" i="1"/>
  <c r="AV2356" i="1"/>
  <c r="AV2357" i="1"/>
  <c r="AV2358" i="1"/>
  <c r="AV2359" i="1"/>
  <c r="AV2360" i="1"/>
  <c r="AV2361" i="1"/>
  <c r="AV2362" i="1"/>
  <c r="AV2363" i="1"/>
  <c r="AV2364" i="1"/>
  <c r="AV2365" i="1"/>
  <c r="AV2366" i="1"/>
  <c r="AV2367" i="1"/>
  <c r="AV2368" i="1"/>
  <c r="AV2369" i="1"/>
  <c r="AV2370" i="1"/>
  <c r="AV2371" i="1"/>
  <c r="AV2372" i="1"/>
  <c r="AV2373" i="1"/>
  <c r="AV2374" i="1"/>
  <c r="AV2375" i="1"/>
  <c r="AV2376" i="1"/>
  <c r="AV2377" i="1"/>
  <c r="AV2378" i="1"/>
  <c r="AV2379" i="1"/>
  <c r="AV2380" i="1"/>
  <c r="AV2381" i="1"/>
  <c r="AV2382" i="1"/>
  <c r="AV2383" i="1"/>
  <c r="AV2384" i="1"/>
  <c r="AV2385" i="1"/>
  <c r="AV2386" i="1"/>
  <c r="AV2387" i="1"/>
  <c r="AV2388" i="1"/>
  <c r="AV2389" i="1"/>
  <c r="AV2390" i="1"/>
  <c r="AV2391" i="1"/>
  <c r="AV2392" i="1"/>
  <c r="AV2393" i="1"/>
  <c r="AV2394" i="1"/>
  <c r="AV2395" i="1"/>
  <c r="AV2396" i="1"/>
  <c r="AV2397" i="1"/>
  <c r="AV2398" i="1"/>
  <c r="AV2399" i="1"/>
  <c r="AV2400" i="1"/>
  <c r="AV2401" i="1"/>
  <c r="AV2402" i="1"/>
  <c r="AV2403" i="1"/>
  <c r="AV2404" i="1"/>
  <c r="AV2405" i="1"/>
  <c r="AV2406" i="1"/>
  <c r="AV2407" i="1"/>
  <c r="AV2408" i="1"/>
  <c r="AV2409" i="1"/>
  <c r="AV2410" i="1"/>
  <c r="AV2411" i="1"/>
  <c r="AV2412" i="1"/>
  <c r="AV2413" i="1"/>
  <c r="AV2414" i="1"/>
  <c r="AV2415" i="1"/>
  <c r="AV2416" i="1"/>
  <c r="AV2417" i="1"/>
  <c r="AV2418" i="1"/>
  <c r="AV2419" i="1"/>
  <c r="AV2420" i="1"/>
  <c r="AV2421" i="1"/>
  <c r="AV2422" i="1"/>
  <c r="AV2423" i="1"/>
  <c r="AV2424" i="1"/>
  <c r="AV2425" i="1"/>
  <c r="AV2426" i="1"/>
  <c r="AV2427" i="1"/>
  <c r="AV2428" i="1"/>
  <c r="AV2429" i="1"/>
  <c r="AV2430" i="1"/>
  <c r="AV2431" i="1"/>
  <c r="AV2432" i="1"/>
  <c r="AV2433" i="1"/>
  <c r="AV2434" i="1"/>
  <c r="AV2435" i="1"/>
  <c r="AV2436" i="1"/>
  <c r="AV2437" i="1"/>
  <c r="AV2438" i="1"/>
  <c r="AV2439" i="1"/>
  <c r="AV2440" i="1"/>
  <c r="AV2441" i="1"/>
  <c r="AV2442" i="1"/>
  <c r="AV2443" i="1"/>
  <c r="AV2444" i="1"/>
  <c r="AV2445" i="1"/>
  <c r="AV2446" i="1"/>
  <c r="AV2447" i="1"/>
  <c r="AV2448" i="1"/>
  <c r="AV2449" i="1"/>
  <c r="AV2450" i="1"/>
  <c r="AV2451" i="1"/>
  <c r="AV2452" i="1"/>
  <c r="AV2453" i="1"/>
  <c r="AV2454" i="1"/>
  <c r="AV2455" i="1"/>
  <c r="AV2456" i="1"/>
  <c r="AV2457" i="1"/>
  <c r="AV2458" i="1"/>
  <c r="AV2459" i="1"/>
  <c r="AV2460" i="1"/>
  <c r="AV2461" i="1"/>
  <c r="AV2462" i="1"/>
  <c r="AV2463" i="1"/>
  <c r="AV2464" i="1"/>
  <c r="AV2465" i="1"/>
  <c r="AV2466" i="1"/>
  <c r="AV2467" i="1"/>
  <c r="AV2468" i="1"/>
  <c r="AV2469" i="1"/>
  <c r="AV2470" i="1"/>
  <c r="AV2471" i="1"/>
  <c r="AV2472" i="1"/>
  <c r="AV2473" i="1"/>
  <c r="AV2474" i="1"/>
  <c r="AV2475" i="1"/>
  <c r="AV2476" i="1"/>
  <c r="AV2477" i="1"/>
  <c r="AV2478" i="1"/>
  <c r="AV2479" i="1"/>
  <c r="AV2480" i="1"/>
  <c r="AV2481" i="1"/>
  <c r="AV2482" i="1"/>
  <c r="AV2483" i="1"/>
  <c r="AV2484" i="1"/>
  <c r="AV2485" i="1"/>
  <c r="AV2486" i="1"/>
  <c r="AV2487" i="1"/>
  <c r="AV2488" i="1"/>
  <c r="AV2489" i="1"/>
  <c r="AV2490" i="1"/>
  <c r="AV2491" i="1"/>
  <c r="AV2492" i="1"/>
  <c r="AV2493" i="1"/>
  <c r="AV2494" i="1"/>
  <c r="AV2495" i="1"/>
  <c r="AV2496" i="1"/>
  <c r="AV2497" i="1"/>
  <c r="AV2498" i="1"/>
  <c r="AV2499" i="1"/>
  <c r="AV2500" i="1"/>
  <c r="AV2501" i="1"/>
  <c r="AV2502" i="1"/>
  <c r="AV2503" i="1"/>
  <c r="AV2504" i="1"/>
  <c r="AV2505" i="1"/>
  <c r="AV2506" i="1"/>
  <c r="AV2507" i="1"/>
  <c r="AV2508" i="1"/>
  <c r="AV2509" i="1"/>
  <c r="AV2510" i="1"/>
  <c r="AV2511" i="1"/>
  <c r="AV2512" i="1"/>
  <c r="AV2513" i="1"/>
  <c r="AV2514" i="1"/>
  <c r="AV2515" i="1"/>
  <c r="AV2516" i="1"/>
  <c r="AV2517" i="1"/>
  <c r="AV2518" i="1"/>
  <c r="AV2519" i="1"/>
  <c r="AV2520" i="1"/>
  <c r="AV2521" i="1"/>
  <c r="AV2522" i="1"/>
  <c r="AV2523" i="1"/>
  <c r="AV2524" i="1"/>
  <c r="AV2525" i="1"/>
  <c r="AV2526" i="1"/>
  <c r="AV2527" i="1"/>
  <c r="AV2528" i="1"/>
  <c r="AV2529" i="1"/>
  <c r="AV2530" i="1"/>
  <c r="AV2531" i="1"/>
  <c r="AV2532" i="1"/>
  <c r="AV2533" i="1"/>
  <c r="AV2534" i="1"/>
  <c r="AV2535" i="1"/>
  <c r="AV2536" i="1"/>
  <c r="AV2537" i="1"/>
  <c r="AV2538" i="1"/>
  <c r="AV2539" i="1"/>
  <c r="AV2540" i="1"/>
  <c r="AV2541" i="1"/>
  <c r="AV2542" i="1"/>
  <c r="AV2543" i="1"/>
  <c r="AV2544" i="1"/>
  <c r="AV2545" i="1"/>
  <c r="AV2546" i="1"/>
  <c r="AV2547" i="1"/>
  <c r="AV2548" i="1"/>
  <c r="AV2549" i="1"/>
  <c r="AV2550" i="1"/>
  <c r="AV2551" i="1"/>
  <c r="AV2552" i="1"/>
  <c r="AV2553" i="1"/>
  <c r="AV2554" i="1"/>
  <c r="AV2555" i="1"/>
  <c r="AV2556" i="1"/>
  <c r="AV2557" i="1"/>
  <c r="AV2558" i="1"/>
  <c r="AV2559" i="1"/>
  <c r="AV2560" i="1"/>
  <c r="AV2561" i="1"/>
  <c r="AV2562" i="1"/>
  <c r="AV2563" i="1"/>
  <c r="AV2564" i="1"/>
  <c r="AV2565" i="1"/>
  <c r="AV2566" i="1"/>
  <c r="AV2567" i="1"/>
  <c r="AV2568" i="1"/>
  <c r="AV2569" i="1"/>
  <c r="AV2570" i="1"/>
  <c r="AV2571" i="1"/>
  <c r="AV2572" i="1"/>
  <c r="AV2573" i="1"/>
  <c r="AV2574" i="1"/>
  <c r="AV2575" i="1"/>
  <c r="AV2576" i="1"/>
  <c r="AV2577" i="1"/>
  <c r="AV2578" i="1"/>
  <c r="AV2579" i="1"/>
  <c r="AV2580" i="1"/>
  <c r="AV2581" i="1"/>
  <c r="AV2582" i="1"/>
  <c r="AV2583" i="1"/>
  <c r="AV2584" i="1"/>
  <c r="AV2585" i="1"/>
  <c r="AV2586" i="1"/>
  <c r="AV2587" i="1"/>
  <c r="AV2588" i="1"/>
  <c r="AV2589" i="1"/>
  <c r="AV2590" i="1"/>
  <c r="AV2591" i="1"/>
  <c r="AV2592" i="1"/>
  <c r="AV2593" i="1"/>
  <c r="AV2594" i="1"/>
  <c r="AV2595" i="1"/>
  <c r="AV2596" i="1"/>
  <c r="AV2597" i="1"/>
  <c r="AV2598" i="1"/>
  <c r="AV2599" i="1"/>
  <c r="AV2600" i="1"/>
  <c r="AV2601" i="1"/>
  <c r="AV2602" i="1"/>
  <c r="AV2603" i="1"/>
  <c r="AV2604" i="1"/>
  <c r="AV2605" i="1"/>
  <c r="AV2606" i="1"/>
  <c r="AV2607" i="1"/>
  <c r="AV2608" i="1"/>
  <c r="AV2609" i="1"/>
  <c r="AV2610" i="1"/>
  <c r="AV2611" i="1"/>
  <c r="AV2612" i="1"/>
  <c r="AV2613" i="1"/>
  <c r="AV2614" i="1"/>
  <c r="AV2615" i="1"/>
  <c r="AV2616" i="1"/>
  <c r="AV2617" i="1"/>
  <c r="AV2618" i="1"/>
  <c r="AV2619" i="1"/>
  <c r="AV2620" i="1"/>
  <c r="AV2621" i="1"/>
  <c r="AV2622" i="1"/>
  <c r="AV2623" i="1"/>
  <c r="AV2624" i="1"/>
  <c r="AV2625" i="1"/>
  <c r="AV2626" i="1"/>
  <c r="AV2627" i="1"/>
  <c r="AV2628" i="1"/>
  <c r="AV2629" i="1"/>
  <c r="AV2630" i="1"/>
  <c r="AV2631" i="1"/>
  <c r="AV2632" i="1"/>
  <c r="AV2633" i="1"/>
  <c r="AV2634" i="1"/>
  <c r="AV2635" i="1"/>
  <c r="AV2636" i="1"/>
  <c r="AV2637" i="1"/>
  <c r="AV2638" i="1"/>
  <c r="AV2639" i="1"/>
  <c r="AV2640" i="1"/>
  <c r="AV2641" i="1"/>
  <c r="AV2642" i="1"/>
  <c r="AV2643" i="1"/>
  <c r="AV2644" i="1"/>
  <c r="AV2645" i="1"/>
  <c r="AV2646" i="1"/>
  <c r="AV2647" i="1"/>
  <c r="AV2648" i="1"/>
  <c r="AV2649" i="1"/>
  <c r="AV2650" i="1"/>
  <c r="AV2651" i="1"/>
  <c r="AV2652" i="1"/>
  <c r="AV2653" i="1"/>
  <c r="AV2654" i="1"/>
  <c r="AV2655" i="1"/>
  <c r="AV2656" i="1"/>
  <c r="AV2657" i="1"/>
  <c r="AV2658" i="1"/>
  <c r="AV2659" i="1"/>
  <c r="AV2660" i="1"/>
  <c r="AV2661" i="1"/>
  <c r="AV2662" i="1"/>
  <c r="AV2663" i="1"/>
  <c r="AV2664" i="1"/>
  <c r="AV2665" i="1"/>
  <c r="AV2666" i="1"/>
  <c r="AV2667" i="1"/>
  <c r="AV2668" i="1"/>
  <c r="AV2669" i="1"/>
  <c r="AV2670" i="1"/>
  <c r="AV2671" i="1"/>
  <c r="AV2672" i="1"/>
  <c r="AV2673" i="1"/>
  <c r="AV2674" i="1"/>
  <c r="AV2675" i="1"/>
  <c r="AV2676" i="1"/>
  <c r="AV2677" i="1"/>
  <c r="AV2678" i="1"/>
  <c r="AV2679" i="1"/>
  <c r="AV2680" i="1"/>
  <c r="AV2681" i="1"/>
  <c r="AV2682" i="1"/>
  <c r="AV2683" i="1"/>
  <c r="AV2684" i="1"/>
  <c r="AV2685" i="1"/>
  <c r="AV2686" i="1"/>
  <c r="AV2687" i="1"/>
  <c r="AV2688" i="1"/>
  <c r="AV2689" i="1"/>
  <c r="AV2690"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6" i="1"/>
  <c r="AV2717" i="1"/>
  <c r="AV2718" i="1"/>
  <c r="AV2719" i="1"/>
  <c r="AV2720" i="1"/>
  <c r="AV2721" i="1"/>
  <c r="AV2722" i="1"/>
  <c r="AV2723" i="1"/>
  <c r="AV2724" i="1"/>
  <c r="AV2725" i="1"/>
  <c r="AV2726" i="1"/>
  <c r="AV2727" i="1"/>
  <c r="AV2728" i="1"/>
  <c r="AV2729" i="1"/>
  <c r="AV2730" i="1"/>
  <c r="AV2731" i="1"/>
  <c r="AV2732" i="1"/>
  <c r="AV2733" i="1"/>
  <c r="AV2734" i="1"/>
  <c r="AV2735" i="1"/>
  <c r="AV2736" i="1"/>
  <c r="AV2737" i="1"/>
  <c r="AV2738" i="1"/>
  <c r="AV2739" i="1"/>
  <c r="AV2740" i="1"/>
  <c r="AV2741" i="1"/>
  <c r="AV2742" i="1"/>
  <c r="AV2743" i="1"/>
  <c r="AV2744" i="1"/>
  <c r="AV2745" i="1"/>
  <c r="AV2746" i="1"/>
  <c r="AV2747" i="1"/>
  <c r="AV2748" i="1"/>
  <c r="AV2749" i="1"/>
  <c r="AV2750" i="1"/>
  <c r="AV2751" i="1"/>
  <c r="AV2752" i="1"/>
  <c r="AV2753" i="1"/>
  <c r="AV2754" i="1"/>
  <c r="AV2755" i="1"/>
  <c r="AV2756" i="1"/>
  <c r="AV2757" i="1"/>
  <c r="AV2758" i="1"/>
  <c r="AV2759" i="1"/>
  <c r="AV2760" i="1"/>
  <c r="AV2761" i="1"/>
  <c r="AV2762" i="1"/>
  <c r="AV2763" i="1"/>
  <c r="AV2764" i="1"/>
  <c r="AV2765" i="1"/>
  <c r="AV2766" i="1"/>
  <c r="AV2767" i="1"/>
  <c r="AV2768" i="1"/>
  <c r="AV2769" i="1"/>
  <c r="AV2770" i="1"/>
  <c r="AV2771" i="1"/>
  <c r="AV2772" i="1"/>
  <c r="AV2773" i="1"/>
  <c r="AV2774" i="1"/>
  <c r="AV2775" i="1"/>
  <c r="AV2776" i="1"/>
  <c r="AV2777" i="1"/>
  <c r="AV2778" i="1"/>
  <c r="AV2779" i="1"/>
  <c r="AV2780" i="1"/>
  <c r="AV2781" i="1"/>
  <c r="AV2782" i="1"/>
  <c r="AV2783" i="1"/>
  <c r="AV2784" i="1"/>
  <c r="AV2785" i="1"/>
  <c r="AV2786" i="1"/>
  <c r="AV2787" i="1"/>
  <c r="AV2788" i="1"/>
  <c r="AV2789" i="1"/>
  <c r="AV2790" i="1"/>
  <c r="AV2791" i="1"/>
  <c r="AV2792" i="1"/>
  <c r="AV2793" i="1"/>
  <c r="AV2794" i="1"/>
  <c r="AV2795" i="1"/>
  <c r="AV2796" i="1"/>
  <c r="AV2797" i="1"/>
  <c r="AV2798" i="1"/>
  <c r="AV2799" i="1"/>
  <c r="AV2800" i="1"/>
  <c r="AV2801" i="1"/>
  <c r="AV2802" i="1"/>
  <c r="AV2803" i="1"/>
  <c r="AV2804" i="1"/>
  <c r="AV2805" i="1"/>
  <c r="AV2806" i="1"/>
  <c r="AV2807" i="1"/>
  <c r="AV2808" i="1"/>
  <c r="AV2809" i="1"/>
  <c r="AV2810" i="1"/>
  <c r="AV2811" i="1"/>
  <c r="AV2812" i="1"/>
  <c r="AV2813" i="1"/>
  <c r="AV2814" i="1"/>
  <c r="AV2815" i="1"/>
  <c r="AV2816" i="1"/>
  <c r="AV2817" i="1"/>
  <c r="AV2818" i="1"/>
  <c r="AV2819" i="1"/>
  <c r="AV2820" i="1"/>
  <c r="AV2821" i="1"/>
  <c r="AV2822" i="1"/>
  <c r="AV2823" i="1"/>
  <c r="AV2824" i="1"/>
  <c r="AV2825" i="1"/>
  <c r="AV2826" i="1"/>
  <c r="AV2827" i="1"/>
  <c r="AV2828" i="1"/>
  <c r="AV2829" i="1"/>
  <c r="AV2830" i="1"/>
  <c r="AV2831" i="1"/>
  <c r="AV2832" i="1"/>
  <c r="AV2833" i="1"/>
  <c r="AV2834" i="1"/>
  <c r="AV2835" i="1"/>
  <c r="AV2836" i="1"/>
  <c r="AV2837" i="1"/>
  <c r="AV2838" i="1"/>
  <c r="AV2839" i="1"/>
  <c r="AV2840" i="1"/>
  <c r="AV2841" i="1"/>
  <c r="AV2842" i="1"/>
  <c r="AV2843" i="1"/>
  <c r="AV2844" i="1"/>
  <c r="AV2845" i="1"/>
  <c r="AV2846" i="1"/>
  <c r="AV2847" i="1"/>
  <c r="AV2848" i="1"/>
  <c r="AV2849" i="1"/>
  <c r="AV2850" i="1"/>
  <c r="AV2851" i="1"/>
  <c r="AV2852" i="1"/>
  <c r="AV2853" i="1"/>
  <c r="AV2854" i="1"/>
  <c r="AV2855" i="1"/>
  <c r="AV2856" i="1"/>
  <c r="AV2857" i="1"/>
  <c r="AV2858" i="1"/>
  <c r="AV2859" i="1"/>
  <c r="AV2860" i="1"/>
  <c r="AV2861" i="1"/>
  <c r="AV2862" i="1"/>
  <c r="AV2863" i="1"/>
  <c r="AV2864" i="1"/>
  <c r="AV2865" i="1"/>
  <c r="AV2866" i="1"/>
  <c r="AV2867" i="1"/>
  <c r="AV2868" i="1"/>
  <c r="AV2869" i="1"/>
  <c r="AV2870" i="1"/>
  <c r="AV2871" i="1"/>
  <c r="AV2872" i="1"/>
  <c r="AV2873" i="1"/>
  <c r="AV2874" i="1"/>
  <c r="AV2875" i="1"/>
  <c r="AV2876" i="1"/>
  <c r="AV2877" i="1"/>
  <c r="AV2878" i="1"/>
  <c r="AV2879" i="1"/>
  <c r="AV2880" i="1"/>
  <c r="AV2881" i="1"/>
  <c r="AV2882" i="1"/>
  <c r="AV2883" i="1"/>
  <c r="AV2884" i="1"/>
  <c r="AV2885" i="1"/>
  <c r="AV2886" i="1"/>
  <c r="AV2887" i="1"/>
  <c r="AV2888" i="1"/>
  <c r="AV2889" i="1"/>
  <c r="AV2890" i="1"/>
  <c r="AV2891" i="1"/>
  <c r="AV2892" i="1"/>
  <c r="AV2893" i="1"/>
  <c r="AV2894" i="1"/>
  <c r="AV2895" i="1"/>
  <c r="AV2896" i="1"/>
  <c r="AV2897" i="1"/>
  <c r="AV2898" i="1"/>
  <c r="AV2899" i="1"/>
  <c r="AV2900" i="1"/>
  <c r="AV2901" i="1"/>
  <c r="AV2902" i="1"/>
  <c r="AV2903" i="1"/>
  <c r="AV2904" i="1"/>
  <c r="AV2905" i="1"/>
  <c r="AV2906" i="1"/>
  <c r="AV2907" i="1"/>
  <c r="AV2908" i="1"/>
  <c r="AV2909" i="1"/>
  <c r="AV2910" i="1"/>
  <c r="AV2911" i="1"/>
  <c r="AV2912" i="1"/>
  <c r="AV2913" i="1"/>
  <c r="AV2914" i="1"/>
  <c r="AV2915" i="1"/>
  <c r="AV2916" i="1"/>
  <c r="AV2917" i="1"/>
  <c r="AV2918" i="1"/>
  <c r="AV2919" i="1"/>
  <c r="AV2920" i="1"/>
  <c r="AV2921" i="1"/>
  <c r="AV2922" i="1"/>
  <c r="AV2923" i="1"/>
  <c r="AV2924" i="1"/>
  <c r="AV2925" i="1"/>
  <c r="AV2926" i="1"/>
  <c r="AV2927" i="1"/>
  <c r="AV2928" i="1"/>
  <c r="AV2929" i="1"/>
  <c r="AV2930" i="1"/>
  <c r="AV2931" i="1"/>
  <c r="AV2932" i="1"/>
  <c r="AV2933" i="1"/>
  <c r="AV2934" i="1"/>
  <c r="AV2935" i="1"/>
  <c r="AV2936" i="1"/>
  <c r="AV2937" i="1"/>
  <c r="AV2938" i="1"/>
  <c r="AV2939" i="1"/>
  <c r="AV2940" i="1"/>
  <c r="AV2941" i="1"/>
  <c r="AV2942" i="1"/>
  <c r="AV2943" i="1"/>
  <c r="AV2944" i="1"/>
  <c r="AV2945" i="1"/>
  <c r="AV2946" i="1"/>
  <c r="AV2947" i="1"/>
  <c r="AV2948" i="1"/>
  <c r="AV2949" i="1"/>
  <c r="AV2950" i="1"/>
  <c r="AV2951" i="1"/>
  <c r="AV2952" i="1"/>
  <c r="AV2953" i="1"/>
  <c r="AV2954" i="1"/>
  <c r="AV2955" i="1"/>
  <c r="AV2956" i="1"/>
  <c r="AV2957" i="1"/>
  <c r="AV2958" i="1"/>
  <c r="AV2959" i="1"/>
  <c r="AV2960" i="1"/>
  <c r="AV2961" i="1"/>
  <c r="AV2962" i="1"/>
  <c r="AV2963" i="1"/>
  <c r="AV2964" i="1"/>
  <c r="AV2965" i="1"/>
  <c r="AV2966" i="1"/>
  <c r="AV2967" i="1"/>
  <c r="AV2968" i="1"/>
  <c r="AV2969" i="1"/>
  <c r="AV2970" i="1"/>
  <c r="AV2971" i="1"/>
  <c r="AV2972" i="1"/>
  <c r="AV2973" i="1"/>
  <c r="AV2974" i="1"/>
  <c r="AV2975" i="1"/>
  <c r="AV2976" i="1"/>
  <c r="AV2977" i="1"/>
  <c r="AV2978" i="1"/>
  <c r="AV2979" i="1"/>
  <c r="AV2980" i="1"/>
  <c r="AV2981" i="1"/>
  <c r="AV2982" i="1"/>
  <c r="AV2983" i="1"/>
  <c r="AV2984" i="1"/>
  <c r="AV2985" i="1"/>
  <c r="AV2986" i="1"/>
  <c r="AV2987" i="1"/>
  <c r="AV2988" i="1"/>
  <c r="AV2989" i="1"/>
  <c r="AV2990" i="1"/>
  <c r="AV2991" i="1"/>
  <c r="AV2992" i="1"/>
  <c r="AV2993" i="1"/>
  <c r="AV2994" i="1"/>
  <c r="AV2995" i="1"/>
  <c r="AV2996" i="1"/>
  <c r="AV2997" i="1"/>
  <c r="AV2998" i="1"/>
  <c r="AV2999" i="1"/>
  <c r="AV3000" i="1"/>
  <c r="AV3001" i="1"/>
  <c r="AV3002" i="1"/>
  <c r="AV3003" i="1"/>
  <c r="AV3004" i="1"/>
  <c r="AV3005" i="1"/>
  <c r="AV3006" i="1"/>
  <c r="AV3007" i="1"/>
  <c r="AV3008" i="1"/>
  <c r="AV3009" i="1"/>
  <c r="AV3010" i="1"/>
  <c r="AV3011" i="1"/>
  <c r="AV3012" i="1"/>
  <c r="AV3013" i="1"/>
  <c r="AV3014" i="1"/>
  <c r="AV3015" i="1"/>
  <c r="AV3016" i="1"/>
  <c r="AV3017" i="1"/>
  <c r="AV3018" i="1"/>
  <c r="AV3019" i="1"/>
  <c r="AV3020" i="1"/>
  <c r="AV3021" i="1"/>
  <c r="AV3022" i="1"/>
  <c r="AV3023" i="1"/>
  <c r="AV3024" i="1"/>
  <c r="AV3025" i="1"/>
  <c r="AV3026" i="1"/>
  <c r="AV3027" i="1"/>
  <c r="AV3028" i="1"/>
  <c r="AV3029" i="1"/>
  <c r="AV3030" i="1"/>
  <c r="AV3031" i="1"/>
  <c r="AV3032" i="1"/>
  <c r="AV3033" i="1"/>
  <c r="AV3034" i="1"/>
  <c r="AV3035" i="1"/>
  <c r="AV3036" i="1"/>
  <c r="AV3037" i="1"/>
  <c r="AV3038" i="1"/>
  <c r="AV3039" i="1"/>
  <c r="AV3040" i="1"/>
  <c r="AV3041" i="1"/>
  <c r="AV3042" i="1"/>
  <c r="AV3043" i="1"/>
  <c r="AV3044" i="1"/>
  <c r="AV3045" i="1"/>
  <c r="AV3046" i="1"/>
  <c r="AV3047" i="1"/>
  <c r="AV3048" i="1"/>
  <c r="AV3049" i="1"/>
  <c r="AV3050" i="1"/>
  <c r="AV3051" i="1"/>
  <c r="AV3052" i="1"/>
  <c r="AV3053" i="1"/>
  <c r="AV3054" i="1"/>
  <c r="AV3055" i="1"/>
  <c r="AV3056" i="1"/>
  <c r="AV3057" i="1"/>
  <c r="AV3058" i="1"/>
  <c r="AV3059" i="1"/>
  <c r="AV3060" i="1"/>
  <c r="AV3061" i="1"/>
  <c r="AV3062" i="1"/>
  <c r="AV3063" i="1"/>
  <c r="AV3064" i="1"/>
  <c r="AV3065" i="1"/>
  <c r="AV3066" i="1"/>
  <c r="AV3067" i="1"/>
  <c r="AV3068" i="1"/>
  <c r="AV3069" i="1"/>
  <c r="AV3070" i="1"/>
  <c r="AV3071" i="1"/>
  <c r="AV3072" i="1"/>
  <c r="AV3073" i="1"/>
  <c r="AV3074" i="1"/>
  <c r="AV3075" i="1"/>
  <c r="AV3076" i="1"/>
  <c r="AV3077" i="1"/>
  <c r="AV3078" i="1"/>
  <c r="AV3079" i="1"/>
  <c r="AV3080" i="1"/>
  <c r="AV3081" i="1"/>
  <c r="AV3082" i="1"/>
  <c r="AV3083" i="1"/>
  <c r="AV3084" i="1"/>
  <c r="AV3085" i="1"/>
  <c r="AV3086" i="1"/>
  <c r="AV3087" i="1"/>
  <c r="AV3088" i="1"/>
  <c r="AV3089" i="1"/>
  <c r="AV3090" i="1"/>
  <c r="AV3091" i="1"/>
  <c r="AV3092" i="1"/>
  <c r="AV3093" i="1"/>
  <c r="AV3094" i="1"/>
  <c r="AV3095" i="1"/>
  <c r="AV3096" i="1"/>
  <c r="AV3097" i="1"/>
  <c r="AV3098" i="1"/>
  <c r="AV3099" i="1"/>
  <c r="AV3100" i="1"/>
  <c r="AV3101" i="1"/>
  <c r="AV3102" i="1"/>
  <c r="AV3103" i="1"/>
  <c r="AV3104" i="1"/>
  <c r="AV3105" i="1"/>
  <c r="AV3106" i="1"/>
  <c r="AV3107" i="1"/>
  <c r="AV3108" i="1"/>
  <c r="AV3109" i="1"/>
  <c r="AV3110" i="1"/>
  <c r="AV3111" i="1"/>
  <c r="AV3112" i="1"/>
  <c r="AV3113" i="1"/>
  <c r="AV3114" i="1"/>
  <c r="AV3115" i="1"/>
  <c r="AV3116" i="1"/>
  <c r="AV3117" i="1"/>
  <c r="AV3118" i="1"/>
  <c r="AV3119" i="1"/>
  <c r="AV3120" i="1"/>
  <c r="AV3121" i="1"/>
  <c r="AV3122" i="1"/>
  <c r="AV3123" i="1"/>
  <c r="AV3124" i="1"/>
  <c r="AV3125" i="1"/>
  <c r="AV3126" i="1"/>
  <c r="AV3127" i="1"/>
  <c r="AV3128" i="1"/>
  <c r="AV3129" i="1"/>
  <c r="AV3130" i="1"/>
  <c r="AV3131" i="1"/>
  <c r="AV3132" i="1"/>
  <c r="AV3133" i="1"/>
  <c r="AV3134" i="1"/>
  <c r="AV3135" i="1"/>
  <c r="AV3136" i="1"/>
  <c r="AV3137" i="1"/>
  <c r="AV3138" i="1"/>
  <c r="AV3139" i="1"/>
  <c r="AV3140" i="1"/>
  <c r="AV3141" i="1"/>
  <c r="AV3142" i="1"/>
  <c r="AV3143" i="1"/>
  <c r="AV3144" i="1"/>
  <c r="AV3145" i="1"/>
  <c r="AV3146" i="1"/>
  <c r="AV3147" i="1"/>
  <c r="AV3148" i="1"/>
  <c r="AV3149" i="1"/>
  <c r="AV3150" i="1"/>
  <c r="AV3151" i="1"/>
  <c r="AV3152" i="1"/>
  <c r="AV3153" i="1"/>
  <c r="AV3154" i="1"/>
  <c r="AV3155" i="1"/>
  <c r="AV3156" i="1"/>
  <c r="AV3157" i="1"/>
  <c r="AV3158" i="1"/>
  <c r="AV3159" i="1"/>
  <c r="AV3160" i="1"/>
  <c r="AV3161" i="1"/>
  <c r="AV3162" i="1"/>
  <c r="AV3163" i="1"/>
  <c r="AV3164" i="1"/>
  <c r="AV3165" i="1"/>
  <c r="AV3166" i="1"/>
  <c r="AV3167" i="1"/>
  <c r="AV3168" i="1"/>
  <c r="AV3169" i="1"/>
  <c r="AV3170" i="1"/>
  <c r="AV3171" i="1"/>
  <c r="AV3172" i="1"/>
  <c r="AV3173" i="1"/>
  <c r="AV3174" i="1"/>
  <c r="AV3175" i="1"/>
  <c r="AV3176" i="1"/>
  <c r="AV3177" i="1"/>
  <c r="AV3178" i="1"/>
  <c r="AV3179" i="1"/>
  <c r="AV3180" i="1"/>
  <c r="AV3181" i="1"/>
  <c r="AV3182" i="1"/>
  <c r="AV3183" i="1"/>
  <c r="AV3184" i="1"/>
  <c r="AV3185" i="1"/>
  <c r="AV3186" i="1"/>
  <c r="AV3187" i="1"/>
  <c r="AV3188" i="1"/>
  <c r="AV3189" i="1"/>
  <c r="AV3190" i="1"/>
  <c r="AV3191" i="1"/>
  <c r="AV3192" i="1"/>
  <c r="AV3193" i="1"/>
  <c r="AV3194" i="1"/>
  <c r="AV3195" i="1"/>
  <c r="AV3196" i="1"/>
  <c r="AV3197" i="1"/>
  <c r="AV3198" i="1"/>
  <c r="AV3199" i="1"/>
  <c r="AV3200" i="1"/>
  <c r="AV3201" i="1"/>
  <c r="AV3202" i="1"/>
  <c r="AV3203" i="1"/>
  <c r="AV3204" i="1"/>
  <c r="AV3205" i="1"/>
  <c r="AV3206" i="1"/>
  <c r="AV3207" i="1"/>
  <c r="AV3208" i="1"/>
  <c r="AV3209" i="1"/>
  <c r="AV3210" i="1"/>
  <c r="AV3211" i="1"/>
  <c r="AV3212" i="1"/>
  <c r="AV3213" i="1"/>
  <c r="AV3214" i="1"/>
  <c r="AV3215" i="1"/>
  <c r="AV3216" i="1"/>
  <c r="AV3217" i="1"/>
  <c r="AV3218" i="1"/>
  <c r="AV3219" i="1"/>
  <c r="AV3220" i="1"/>
  <c r="AV3221" i="1"/>
  <c r="AV3222" i="1"/>
  <c r="AV3223" i="1"/>
  <c r="AV3224" i="1"/>
  <c r="AV3225" i="1"/>
  <c r="AV3226" i="1"/>
  <c r="AV3227" i="1"/>
  <c r="AV3228" i="1"/>
  <c r="AV3229" i="1"/>
  <c r="AV3230" i="1"/>
  <c r="AV3231" i="1"/>
  <c r="AV3232" i="1"/>
  <c r="AV3233" i="1"/>
  <c r="AV3234" i="1"/>
  <c r="AV3235" i="1"/>
  <c r="AV3236" i="1"/>
  <c r="AV3237" i="1"/>
  <c r="AV3238" i="1"/>
  <c r="AV3239" i="1"/>
  <c r="AV3240" i="1"/>
  <c r="AV3241" i="1"/>
  <c r="AV3242" i="1"/>
  <c r="AV3243" i="1"/>
  <c r="AV3244" i="1"/>
  <c r="AV3245" i="1"/>
  <c r="AV3246" i="1"/>
  <c r="AV3247" i="1"/>
  <c r="AV3248" i="1"/>
  <c r="AV3249" i="1"/>
  <c r="AV3250" i="1"/>
  <c r="AV3251" i="1"/>
  <c r="AV3252" i="1"/>
  <c r="AV3253" i="1"/>
  <c r="AV3254" i="1"/>
  <c r="AV3255" i="1"/>
  <c r="AV3256" i="1"/>
  <c r="AV3257" i="1"/>
  <c r="AV3258" i="1"/>
  <c r="AV3259" i="1"/>
  <c r="AV3260" i="1"/>
  <c r="AV3261" i="1"/>
  <c r="AV3262" i="1"/>
  <c r="AV3263" i="1"/>
  <c r="AV3264" i="1"/>
  <c r="AV3265" i="1"/>
  <c r="AV3266" i="1"/>
  <c r="AV3267" i="1"/>
  <c r="AV3268" i="1"/>
  <c r="AV3269" i="1"/>
  <c r="AV3270" i="1"/>
  <c r="AV3271" i="1"/>
  <c r="AV3272" i="1"/>
  <c r="AV3273" i="1"/>
  <c r="AV3274" i="1"/>
  <c r="AV3275" i="1"/>
  <c r="AV3276" i="1"/>
  <c r="AV3277" i="1"/>
  <c r="AV3278" i="1"/>
  <c r="AV3279" i="1"/>
  <c r="AV3280" i="1"/>
  <c r="AV3281" i="1"/>
  <c r="AV3282" i="1"/>
  <c r="AV3283" i="1"/>
  <c r="AV3284" i="1"/>
  <c r="AV3285" i="1"/>
  <c r="AV3286" i="1"/>
  <c r="AV3287" i="1"/>
  <c r="AV3288" i="1"/>
  <c r="AV3289" i="1"/>
  <c r="AV3290" i="1"/>
  <c r="AV3291" i="1"/>
  <c r="AV3292" i="1"/>
  <c r="AV3293" i="1"/>
  <c r="AV3294" i="1"/>
  <c r="AV3295" i="1"/>
  <c r="AV3296" i="1"/>
  <c r="AV3297" i="1"/>
  <c r="AV3298" i="1"/>
  <c r="AV3299" i="1"/>
  <c r="AV3300" i="1"/>
  <c r="AV3301" i="1"/>
  <c r="AV3302" i="1"/>
  <c r="AV3303" i="1"/>
  <c r="AV3304" i="1"/>
  <c r="AV3305" i="1"/>
  <c r="AV3306" i="1"/>
  <c r="AV3307" i="1"/>
  <c r="AV3308" i="1"/>
  <c r="AV3309" i="1"/>
  <c r="AV3310" i="1"/>
  <c r="AV3311" i="1"/>
  <c r="AV3312" i="1"/>
  <c r="AV3313" i="1"/>
  <c r="AV3314" i="1"/>
  <c r="AV3315" i="1"/>
  <c r="AV3316" i="1"/>
  <c r="AV3317" i="1"/>
  <c r="AV3318" i="1"/>
  <c r="AV3319" i="1"/>
  <c r="AV3320" i="1"/>
  <c r="AV3321" i="1"/>
  <c r="AV3322" i="1"/>
  <c r="AV3323" i="1"/>
  <c r="AV3324" i="1"/>
  <c r="AV3325" i="1"/>
  <c r="AV3326" i="1"/>
  <c r="AV3327" i="1"/>
  <c r="AV3328" i="1"/>
  <c r="AV3329" i="1"/>
  <c r="AV3330" i="1"/>
  <c r="AV3331" i="1"/>
  <c r="AV3332" i="1"/>
  <c r="AV3333" i="1"/>
  <c r="AV3334" i="1"/>
  <c r="AV3335" i="1"/>
  <c r="AV3336" i="1"/>
  <c r="AV3337" i="1"/>
  <c r="AV3338" i="1"/>
  <c r="AV3339" i="1"/>
  <c r="AV3340" i="1"/>
  <c r="AV3341" i="1"/>
  <c r="AV3342" i="1"/>
  <c r="AV3343" i="1"/>
  <c r="AV3344" i="1"/>
  <c r="AV3345" i="1"/>
  <c r="AV3346" i="1"/>
  <c r="AV3347" i="1"/>
  <c r="AV3348" i="1"/>
  <c r="AV3349" i="1"/>
  <c r="AV3350" i="1"/>
  <c r="AV3351" i="1"/>
  <c r="AV3352" i="1"/>
  <c r="AV3353" i="1"/>
  <c r="AV3354" i="1"/>
  <c r="AV3355" i="1"/>
  <c r="AV3356" i="1"/>
  <c r="AV3357" i="1"/>
  <c r="AV3358" i="1"/>
  <c r="AV3359" i="1"/>
  <c r="AV3360" i="1"/>
  <c r="AV3361" i="1"/>
  <c r="AV3362" i="1"/>
  <c r="AV3363" i="1"/>
  <c r="AV3364" i="1"/>
  <c r="AV3365" i="1"/>
  <c r="AV3366" i="1"/>
  <c r="AV3367" i="1"/>
  <c r="AV3368" i="1"/>
  <c r="AV3369" i="1"/>
  <c r="AV3370" i="1"/>
  <c r="AV3371" i="1"/>
  <c r="AV3372" i="1"/>
  <c r="AV3373" i="1"/>
  <c r="AV3374" i="1"/>
  <c r="AV3375" i="1"/>
  <c r="AV3376" i="1"/>
  <c r="AV3377" i="1"/>
  <c r="AV3378" i="1"/>
  <c r="AV3379" i="1"/>
  <c r="AV3380" i="1"/>
  <c r="AV3381" i="1"/>
  <c r="AV3382" i="1"/>
  <c r="AV3383" i="1"/>
  <c r="AV3384" i="1"/>
  <c r="AV3385" i="1"/>
  <c r="AV3386" i="1"/>
  <c r="AV3387" i="1"/>
  <c r="AV3388" i="1"/>
  <c r="AV3389" i="1"/>
  <c r="AV3390" i="1"/>
  <c r="AV3391" i="1"/>
  <c r="AV3392" i="1"/>
  <c r="AV3393" i="1"/>
  <c r="AV3394" i="1"/>
  <c r="AV3395" i="1"/>
  <c r="AV3396" i="1"/>
  <c r="AV3397" i="1"/>
  <c r="AV3398" i="1"/>
  <c r="AV3399" i="1"/>
  <c r="AV3400" i="1"/>
  <c r="AV3401" i="1"/>
  <c r="AV3402" i="1"/>
  <c r="AV3403" i="1"/>
  <c r="AV3404" i="1"/>
  <c r="AV3405" i="1"/>
  <c r="AV3406" i="1"/>
  <c r="AV3407" i="1"/>
  <c r="AV3408" i="1"/>
  <c r="AV3409" i="1"/>
  <c r="AV3410" i="1"/>
  <c r="AV3411" i="1"/>
  <c r="AV3412" i="1"/>
  <c r="AV3413" i="1"/>
  <c r="AV3414" i="1"/>
  <c r="AV3415" i="1"/>
  <c r="AV3416" i="1"/>
  <c r="AV3417" i="1"/>
  <c r="AV3418" i="1"/>
  <c r="AV3419" i="1"/>
  <c r="AV3420" i="1"/>
  <c r="AV3421" i="1"/>
  <c r="AV3422" i="1"/>
  <c r="AV3423" i="1"/>
  <c r="AV3424" i="1"/>
  <c r="AV3425" i="1"/>
  <c r="AV3426" i="1"/>
  <c r="AV3427" i="1"/>
  <c r="AV3428" i="1"/>
  <c r="AV3429" i="1"/>
  <c r="AV3430" i="1"/>
  <c r="AV3431" i="1"/>
  <c r="AV3432" i="1"/>
  <c r="AV3433" i="1"/>
  <c r="AV3434" i="1"/>
  <c r="AV3435" i="1"/>
  <c r="AV3436" i="1"/>
  <c r="AV3437" i="1"/>
  <c r="AV3438" i="1"/>
  <c r="AV3439" i="1"/>
  <c r="AV3440" i="1"/>
  <c r="AV3441" i="1"/>
  <c r="AV3442" i="1"/>
  <c r="AV3443" i="1"/>
  <c r="AV3444" i="1"/>
  <c r="AV3445" i="1"/>
  <c r="AV3446" i="1"/>
  <c r="AV3447" i="1"/>
  <c r="AV3448" i="1"/>
  <c r="AV3449" i="1"/>
  <c r="AV3450" i="1"/>
  <c r="AV3451" i="1"/>
  <c r="AV3452" i="1"/>
  <c r="AV3453" i="1"/>
  <c r="AV3454" i="1"/>
  <c r="AV3455" i="1"/>
  <c r="AV3456" i="1"/>
  <c r="AV3457" i="1"/>
  <c r="AV3458" i="1"/>
  <c r="AV3459" i="1"/>
  <c r="AV3460" i="1"/>
  <c r="AV3461" i="1"/>
  <c r="AV3462" i="1"/>
  <c r="AV3463" i="1"/>
  <c r="AV3464" i="1"/>
  <c r="AV3465" i="1"/>
  <c r="AV3466" i="1"/>
  <c r="AV3467" i="1"/>
  <c r="AV3468" i="1"/>
  <c r="AV3469" i="1"/>
  <c r="AV3470" i="1"/>
  <c r="AV3471" i="1"/>
  <c r="AV3472" i="1"/>
  <c r="AV3473" i="1"/>
  <c r="AV3474" i="1"/>
  <c r="AV3475" i="1"/>
  <c r="AV3476" i="1"/>
  <c r="AV3477" i="1"/>
  <c r="AV3478" i="1"/>
  <c r="AV3479" i="1"/>
  <c r="AV3480" i="1"/>
  <c r="AV3481" i="1"/>
  <c r="AV3482" i="1"/>
  <c r="AV3483" i="1"/>
  <c r="AV3484" i="1"/>
  <c r="AV3485" i="1"/>
  <c r="AV3486" i="1"/>
  <c r="AV3487" i="1"/>
  <c r="AV3488" i="1"/>
  <c r="AV3489" i="1"/>
  <c r="AV3490" i="1"/>
  <c r="AV3491" i="1"/>
  <c r="AV3492" i="1"/>
  <c r="AV3493" i="1"/>
  <c r="AV3494" i="1"/>
  <c r="AV3495" i="1"/>
  <c r="AV3496" i="1"/>
  <c r="AV3497" i="1"/>
  <c r="AV3498" i="1"/>
  <c r="AV3499" i="1"/>
  <c r="AV3500" i="1"/>
  <c r="AV3501" i="1"/>
  <c r="AV3502" i="1"/>
  <c r="AV3503" i="1"/>
  <c r="AV3504" i="1"/>
  <c r="AV3505" i="1"/>
  <c r="AV3506" i="1"/>
  <c r="AV3507" i="1"/>
  <c r="AV3508" i="1"/>
  <c r="AV3509" i="1"/>
  <c r="AV3510" i="1"/>
  <c r="AV3511" i="1"/>
  <c r="AV3512" i="1"/>
  <c r="AV3513" i="1"/>
  <c r="AV3514" i="1"/>
  <c r="AV3515" i="1"/>
  <c r="AV3516" i="1"/>
  <c r="AV3517" i="1"/>
  <c r="AV3518" i="1"/>
  <c r="AV3519" i="1"/>
  <c r="AV3520" i="1"/>
  <c r="AV3521" i="1"/>
  <c r="AV3522" i="1"/>
  <c r="AV3523" i="1"/>
  <c r="AV3524" i="1"/>
  <c r="AV3525" i="1"/>
  <c r="AV3526" i="1"/>
  <c r="AV3527" i="1"/>
  <c r="AV3528" i="1"/>
  <c r="AV3529" i="1"/>
  <c r="AV3530" i="1"/>
  <c r="AV3531" i="1"/>
  <c r="AV3532" i="1"/>
  <c r="AV3533" i="1"/>
  <c r="AV3534" i="1"/>
  <c r="AV3535" i="1"/>
  <c r="AV3536" i="1"/>
  <c r="AV3537" i="1"/>
  <c r="AV3538" i="1"/>
  <c r="AV3539" i="1"/>
  <c r="AV3540" i="1"/>
  <c r="AV3541" i="1"/>
  <c r="AV3542" i="1"/>
  <c r="AV3543" i="1"/>
  <c r="AV3544" i="1"/>
  <c r="AV3545" i="1"/>
  <c r="AV3546" i="1"/>
  <c r="AV3547" i="1"/>
  <c r="AV3548" i="1"/>
  <c r="AV3549" i="1"/>
  <c r="AV3550" i="1"/>
  <c r="AV3551" i="1"/>
  <c r="AV3552" i="1"/>
  <c r="AV3553" i="1"/>
  <c r="AV3554" i="1"/>
  <c r="AV3555" i="1"/>
  <c r="AV3556" i="1"/>
  <c r="AV3557" i="1"/>
  <c r="AV3558" i="1"/>
  <c r="AV3559" i="1"/>
  <c r="AV3560" i="1"/>
  <c r="AV3561" i="1"/>
  <c r="AV3562" i="1"/>
  <c r="AV3563" i="1"/>
  <c r="AV3564" i="1"/>
  <c r="AV3565" i="1"/>
  <c r="AV3566" i="1"/>
  <c r="AV3567" i="1"/>
  <c r="AV3568" i="1"/>
  <c r="AV3569" i="1"/>
  <c r="AV3570" i="1"/>
  <c r="AV3571" i="1"/>
  <c r="AV3572" i="1"/>
  <c r="AV3573" i="1"/>
  <c r="AV3574" i="1"/>
  <c r="AV3575" i="1"/>
  <c r="AV3576" i="1"/>
  <c r="AV3577" i="1"/>
  <c r="AV3578" i="1"/>
  <c r="AV3579" i="1"/>
  <c r="AV3580" i="1"/>
  <c r="AV3581" i="1"/>
  <c r="AV3582" i="1"/>
  <c r="AV3583" i="1"/>
  <c r="AV3584" i="1"/>
  <c r="AV3585" i="1"/>
  <c r="AV3586" i="1"/>
  <c r="AV3587" i="1"/>
  <c r="AV3588" i="1"/>
  <c r="AV3589" i="1"/>
  <c r="AV3590" i="1"/>
  <c r="AV3591" i="1"/>
  <c r="AV3592" i="1"/>
  <c r="AV3593" i="1"/>
  <c r="AV3594" i="1"/>
  <c r="AV3595" i="1"/>
  <c r="AV3596" i="1"/>
  <c r="AV3597" i="1"/>
  <c r="AV3598" i="1"/>
  <c r="AV3599" i="1"/>
  <c r="AV3600" i="1"/>
  <c r="AV3601" i="1"/>
  <c r="AV3602" i="1"/>
  <c r="AV3603" i="1"/>
  <c r="AV3604" i="1"/>
  <c r="AV3605" i="1"/>
  <c r="AV3606" i="1"/>
  <c r="AV3607" i="1"/>
  <c r="AV3608" i="1"/>
  <c r="AV3609" i="1"/>
  <c r="AV3610" i="1"/>
  <c r="AV3611" i="1"/>
  <c r="AV3612" i="1"/>
  <c r="AV3613" i="1"/>
  <c r="AV3614" i="1"/>
  <c r="AV3615" i="1"/>
  <c r="AV3616" i="1"/>
  <c r="AV3617" i="1"/>
  <c r="AV3618" i="1"/>
  <c r="AV3619" i="1"/>
  <c r="AV3620" i="1"/>
  <c r="AV3621" i="1"/>
  <c r="AV3622" i="1"/>
  <c r="AV3623" i="1"/>
  <c r="AV3624" i="1"/>
  <c r="AV3625" i="1"/>
  <c r="AV3626" i="1"/>
  <c r="AV3627" i="1"/>
  <c r="AV3628" i="1"/>
  <c r="AV3629" i="1"/>
  <c r="AV3630" i="1"/>
  <c r="AV3631" i="1"/>
  <c r="AV3632" i="1"/>
  <c r="AV3633" i="1"/>
  <c r="AV3634" i="1"/>
  <c r="AV3635" i="1"/>
  <c r="AV3636" i="1"/>
  <c r="AV3637" i="1"/>
  <c r="AV3638" i="1"/>
  <c r="AV3639" i="1"/>
  <c r="AV3640" i="1"/>
  <c r="AV3641" i="1"/>
  <c r="AV3642" i="1"/>
  <c r="AV3643" i="1"/>
  <c r="AV3644" i="1"/>
  <c r="AV3645" i="1"/>
  <c r="AV3646" i="1"/>
  <c r="AV3647" i="1"/>
  <c r="AV3648" i="1"/>
  <c r="AV3649" i="1"/>
  <c r="AV3650" i="1"/>
  <c r="AV3651" i="1"/>
  <c r="AV3652" i="1"/>
  <c r="AV3653" i="1"/>
  <c r="AV3654" i="1"/>
  <c r="AV3655" i="1"/>
  <c r="AV3656" i="1"/>
  <c r="AV3657" i="1"/>
  <c r="AV3658" i="1"/>
  <c r="AV3659" i="1"/>
  <c r="AV3660" i="1"/>
  <c r="AV3661" i="1"/>
  <c r="AV3662" i="1"/>
  <c r="AV3663" i="1"/>
  <c r="AV3664" i="1"/>
  <c r="AV3665" i="1"/>
  <c r="AV3666" i="1"/>
  <c r="AV3667" i="1"/>
  <c r="AV3668" i="1"/>
  <c r="AV3669" i="1"/>
  <c r="AV3670" i="1"/>
  <c r="AV3671" i="1"/>
  <c r="AV3672" i="1"/>
  <c r="AV3673" i="1"/>
  <c r="AV3674" i="1"/>
  <c r="AV3675" i="1"/>
  <c r="AV3676" i="1"/>
  <c r="AV3677" i="1"/>
  <c r="AV3678" i="1"/>
  <c r="AV3679" i="1"/>
  <c r="AV3680" i="1"/>
  <c r="AV3681" i="1"/>
  <c r="AV3682" i="1"/>
  <c r="AV3683" i="1"/>
  <c r="AV3684" i="1"/>
  <c r="AV3685" i="1"/>
  <c r="AV3686" i="1"/>
  <c r="AV3687" i="1"/>
  <c r="AV3688" i="1"/>
  <c r="AV3689" i="1"/>
  <c r="AV3690" i="1"/>
  <c r="AV3691" i="1"/>
  <c r="AV3692" i="1"/>
  <c r="AV3693" i="1"/>
  <c r="AV3694" i="1"/>
  <c r="AV3695" i="1"/>
  <c r="AV3696" i="1"/>
  <c r="AV3697" i="1"/>
  <c r="AV3698" i="1"/>
  <c r="AV3699" i="1"/>
  <c r="AV3700" i="1"/>
  <c r="AV3701" i="1"/>
  <c r="AV3702" i="1"/>
  <c r="AV3703" i="1"/>
  <c r="AV3704" i="1"/>
  <c r="AV3705" i="1"/>
  <c r="AV3706" i="1"/>
  <c r="AV3707" i="1"/>
  <c r="AV3708" i="1"/>
  <c r="AV3709" i="1"/>
  <c r="AV3710" i="1"/>
  <c r="AV3711" i="1"/>
  <c r="AV3712" i="1"/>
  <c r="AV3713" i="1"/>
  <c r="AV3714" i="1"/>
  <c r="AV3715" i="1"/>
  <c r="AV3716" i="1"/>
  <c r="AV3717" i="1"/>
  <c r="AV3718" i="1"/>
  <c r="AV3719" i="1"/>
  <c r="AV3720" i="1"/>
  <c r="AV3721" i="1"/>
  <c r="AV3722" i="1"/>
  <c r="AV3723" i="1"/>
  <c r="AV3724" i="1"/>
  <c r="AV3725" i="1"/>
  <c r="AV3726" i="1"/>
  <c r="AV3727" i="1"/>
  <c r="AV3728" i="1"/>
  <c r="AV3729" i="1"/>
  <c r="AV3730" i="1"/>
  <c r="AV3731" i="1"/>
  <c r="AV3732" i="1"/>
  <c r="AV3733" i="1"/>
  <c r="AV3734" i="1"/>
  <c r="AV3735" i="1"/>
  <c r="AV3736" i="1"/>
  <c r="AV3737" i="1"/>
  <c r="AV3738" i="1"/>
  <c r="AV3739" i="1"/>
  <c r="AV3740" i="1"/>
  <c r="AV3741" i="1"/>
  <c r="AV3742" i="1"/>
  <c r="AV3743" i="1"/>
  <c r="AV3744" i="1"/>
  <c r="AV3745" i="1"/>
  <c r="AV3746" i="1"/>
  <c r="AV3747" i="1"/>
  <c r="AV3748" i="1"/>
  <c r="AV3749" i="1"/>
  <c r="AV3750" i="1"/>
  <c r="AV3751" i="1"/>
  <c r="AV3752" i="1"/>
  <c r="AV3753" i="1"/>
  <c r="AV3754" i="1"/>
  <c r="AV3755" i="1"/>
  <c r="AV3756" i="1"/>
  <c r="AV3757" i="1"/>
  <c r="AV3758" i="1"/>
  <c r="AV3759" i="1"/>
  <c r="AV3760" i="1"/>
  <c r="AV3761" i="1"/>
  <c r="AV3762" i="1"/>
  <c r="AV3763" i="1"/>
  <c r="AV3764" i="1"/>
  <c r="AV3765" i="1"/>
  <c r="AV3766" i="1"/>
  <c r="AV3767" i="1"/>
  <c r="AV3768" i="1"/>
  <c r="AV3769" i="1"/>
  <c r="AV3770" i="1"/>
  <c r="AV3771" i="1"/>
  <c r="AV3772" i="1"/>
  <c r="AV3773" i="1"/>
  <c r="AV3774" i="1"/>
  <c r="AV3775" i="1"/>
  <c r="AV3776" i="1"/>
  <c r="AV3777" i="1"/>
  <c r="AV3778" i="1"/>
  <c r="AV3779" i="1"/>
  <c r="AV3780" i="1"/>
  <c r="AV3781" i="1"/>
  <c r="AV3782" i="1"/>
  <c r="AV3783" i="1"/>
  <c r="AV3784" i="1"/>
  <c r="AV3785" i="1"/>
  <c r="AV3786" i="1"/>
  <c r="AV3787" i="1"/>
  <c r="AV3788" i="1"/>
  <c r="AV3789" i="1"/>
  <c r="AV3790" i="1"/>
  <c r="AV3791" i="1"/>
  <c r="AV3792" i="1"/>
  <c r="AV3793" i="1"/>
  <c r="AV3794" i="1"/>
  <c r="AV3795" i="1"/>
  <c r="AV3796" i="1"/>
  <c r="AV3797" i="1"/>
  <c r="AV3798" i="1"/>
  <c r="AV3799" i="1"/>
  <c r="AV3800" i="1"/>
  <c r="AV3801" i="1"/>
  <c r="AV3802" i="1"/>
  <c r="AV3803" i="1"/>
  <c r="AV3804" i="1"/>
  <c r="AV3805" i="1"/>
  <c r="AV3806" i="1"/>
  <c r="AV3807" i="1"/>
  <c r="AV3808" i="1"/>
  <c r="AV3809" i="1"/>
  <c r="AV3810" i="1"/>
  <c r="AV3811" i="1"/>
  <c r="AV3812" i="1"/>
  <c r="AV3813" i="1"/>
  <c r="AV3814" i="1"/>
  <c r="AV3815" i="1"/>
  <c r="AV3816" i="1"/>
  <c r="AV3817" i="1"/>
  <c r="AV3818" i="1"/>
  <c r="AV3819" i="1"/>
  <c r="AV3820" i="1"/>
  <c r="AV3821" i="1"/>
  <c r="AV3822" i="1"/>
  <c r="AV3823" i="1"/>
  <c r="AV3824" i="1"/>
  <c r="AV3825" i="1"/>
  <c r="AV3826" i="1"/>
  <c r="AV3827" i="1"/>
  <c r="AV3828" i="1"/>
  <c r="AV3829" i="1"/>
  <c r="AV3830" i="1"/>
  <c r="AV3831" i="1"/>
  <c r="AV3832" i="1"/>
  <c r="AV3833" i="1"/>
  <c r="AV3834" i="1"/>
  <c r="AV3835" i="1"/>
  <c r="AV3836" i="1"/>
  <c r="AV3837" i="1"/>
  <c r="AV3838" i="1"/>
  <c r="AV3839" i="1"/>
  <c r="AV3840" i="1"/>
  <c r="AV3841" i="1"/>
  <c r="AV3842" i="1"/>
  <c r="AV3843" i="1"/>
  <c r="AV3844" i="1"/>
  <c r="AV3845" i="1"/>
  <c r="AV3846" i="1"/>
  <c r="AV3847" i="1"/>
  <c r="AV3848" i="1"/>
  <c r="AV3849" i="1"/>
  <c r="AV3850" i="1"/>
  <c r="AV3851" i="1"/>
  <c r="AV3852" i="1"/>
  <c r="AV3853" i="1"/>
  <c r="AV3854" i="1"/>
  <c r="AV3855" i="1"/>
  <c r="AV3856" i="1"/>
  <c r="AV3857" i="1"/>
  <c r="AV3858" i="1"/>
  <c r="AV3859" i="1"/>
  <c r="AV3860" i="1"/>
  <c r="AV3861" i="1"/>
  <c r="AV3862" i="1"/>
  <c r="AV3863" i="1"/>
  <c r="AV3864" i="1"/>
  <c r="AV3865" i="1"/>
  <c r="AV3866" i="1"/>
  <c r="AV3867" i="1"/>
  <c r="AV3868" i="1"/>
  <c r="AV3869" i="1"/>
  <c r="AV3870" i="1"/>
  <c r="AV3871" i="1"/>
  <c r="AV3872" i="1"/>
  <c r="AV3873" i="1"/>
  <c r="AV3874" i="1"/>
  <c r="AV3875" i="1"/>
  <c r="AV3876" i="1"/>
  <c r="AV3877" i="1"/>
  <c r="AV3878" i="1"/>
  <c r="AV3879" i="1"/>
  <c r="AV3880" i="1"/>
  <c r="AV3881" i="1"/>
  <c r="AV3882" i="1"/>
  <c r="AV3883" i="1"/>
  <c r="AV3884" i="1"/>
  <c r="AV3885" i="1"/>
  <c r="AV3886" i="1"/>
  <c r="AV3887" i="1"/>
  <c r="AV3888" i="1"/>
  <c r="AV3889" i="1"/>
  <c r="AV3890" i="1"/>
  <c r="AV3891" i="1"/>
  <c r="AV3892" i="1"/>
  <c r="AV3893" i="1"/>
  <c r="AV3894" i="1"/>
  <c r="AV3895" i="1"/>
  <c r="AV3896" i="1"/>
  <c r="AV3897" i="1"/>
  <c r="AV3898" i="1"/>
  <c r="AV3899" i="1"/>
  <c r="AV3900" i="1"/>
  <c r="AV3901" i="1"/>
  <c r="AV3902" i="1"/>
  <c r="AV3903" i="1"/>
  <c r="AV3904" i="1"/>
  <c r="AV3905" i="1"/>
  <c r="AV3906" i="1"/>
  <c r="AV3907" i="1"/>
  <c r="AV3908" i="1"/>
  <c r="AV3909" i="1"/>
  <c r="AV3910" i="1"/>
  <c r="AV3911" i="1"/>
  <c r="AV3912" i="1"/>
  <c r="AV3913" i="1"/>
  <c r="AV3914" i="1"/>
  <c r="AV3915" i="1"/>
  <c r="AV3916" i="1"/>
  <c r="AV3917" i="1"/>
  <c r="AV3918" i="1"/>
  <c r="AV3919" i="1"/>
  <c r="AV3920" i="1"/>
  <c r="AV3921" i="1"/>
  <c r="AV3922" i="1"/>
  <c r="AV3923" i="1"/>
  <c r="AV3924" i="1"/>
  <c r="AV3925" i="1"/>
  <c r="AV3926" i="1"/>
  <c r="AV3927" i="1"/>
  <c r="AV3928" i="1"/>
  <c r="AV3929" i="1"/>
  <c r="AV3930" i="1"/>
  <c r="AV3931" i="1"/>
  <c r="AV3932" i="1"/>
  <c r="AV3933" i="1"/>
  <c r="AV3934" i="1"/>
  <c r="AV3935" i="1"/>
  <c r="AV3936" i="1"/>
  <c r="AV3937" i="1"/>
  <c r="AV3938" i="1"/>
  <c r="AV3939" i="1"/>
  <c r="AV3940" i="1"/>
  <c r="AV3941" i="1"/>
  <c r="AV3942" i="1"/>
  <c r="AV3943" i="1"/>
  <c r="AV3944" i="1"/>
  <c r="AV3945" i="1"/>
  <c r="AV3946" i="1"/>
  <c r="AV3947" i="1"/>
  <c r="AV3948" i="1"/>
  <c r="AV3949" i="1"/>
  <c r="AV3950" i="1"/>
  <c r="AV3951" i="1"/>
  <c r="AV3952" i="1"/>
  <c r="AV3953" i="1"/>
  <c r="AV3954" i="1"/>
  <c r="AV3955" i="1"/>
  <c r="AV3956" i="1"/>
  <c r="AV3957" i="1"/>
  <c r="AV3958" i="1"/>
  <c r="AV3959" i="1"/>
  <c r="AV3960" i="1"/>
  <c r="AV3961" i="1"/>
  <c r="AV3962" i="1"/>
  <c r="AV3963" i="1"/>
  <c r="AV3964" i="1"/>
  <c r="AV3965" i="1"/>
  <c r="AV3966" i="1"/>
  <c r="AV3967" i="1"/>
  <c r="AV3968" i="1"/>
  <c r="AV3969" i="1"/>
  <c r="AV3970" i="1"/>
  <c r="AV3971" i="1"/>
  <c r="AV3972" i="1"/>
  <c r="AV3973" i="1"/>
  <c r="AV3974" i="1"/>
  <c r="AV3975" i="1"/>
  <c r="AV3976" i="1"/>
  <c r="AV3977" i="1"/>
  <c r="AV3978" i="1"/>
  <c r="AV3979" i="1"/>
  <c r="AV3980" i="1"/>
  <c r="AV3981" i="1"/>
  <c r="AV3982" i="1"/>
  <c r="AV3983" i="1"/>
  <c r="AV3984" i="1"/>
  <c r="AV3985" i="1"/>
  <c r="AV3986" i="1"/>
  <c r="AV3987" i="1"/>
  <c r="AV3988" i="1"/>
  <c r="AV3989" i="1"/>
  <c r="AV3990" i="1"/>
  <c r="AV3991" i="1"/>
  <c r="AV3992" i="1"/>
  <c r="AV3993" i="1"/>
  <c r="AV3994" i="1"/>
  <c r="AV3995" i="1"/>
  <c r="AV3996" i="1"/>
  <c r="AV3997" i="1"/>
  <c r="AV3998" i="1"/>
  <c r="AV3999" i="1"/>
  <c r="AV4000" i="1"/>
  <c r="AV4001" i="1"/>
  <c r="AV4002" i="1"/>
  <c r="AV4003" i="1"/>
  <c r="AV4004" i="1"/>
  <c r="AV4005" i="1"/>
  <c r="AV4006" i="1"/>
  <c r="AV4007" i="1"/>
  <c r="AV4008" i="1"/>
  <c r="AV4009" i="1"/>
  <c r="AV4010" i="1"/>
  <c r="AV4011" i="1"/>
  <c r="AV4012" i="1"/>
  <c r="AV4013" i="1"/>
  <c r="AV4014" i="1"/>
  <c r="AV4015" i="1"/>
  <c r="AV4016" i="1"/>
  <c r="AV4017" i="1"/>
  <c r="AV4018" i="1"/>
  <c r="AV4019" i="1"/>
  <c r="AV4020" i="1"/>
  <c r="AV4021" i="1"/>
  <c r="AV4022" i="1"/>
  <c r="AV4023" i="1"/>
  <c r="AV4024" i="1"/>
  <c r="AV4025" i="1"/>
  <c r="AV4026" i="1"/>
  <c r="AV4027" i="1"/>
  <c r="AV4028" i="1"/>
  <c r="AV4029" i="1"/>
  <c r="AV4030" i="1"/>
  <c r="AV4031" i="1"/>
  <c r="AV4032" i="1"/>
  <c r="AV4033" i="1"/>
  <c r="AV4034" i="1"/>
  <c r="AV4035" i="1"/>
  <c r="AV4036" i="1"/>
  <c r="AV4037" i="1"/>
  <c r="AV4038" i="1"/>
  <c r="AV4039" i="1"/>
  <c r="AV4040" i="1"/>
  <c r="AV4041" i="1"/>
  <c r="AV4042" i="1"/>
  <c r="AV4043" i="1"/>
  <c r="AV4044" i="1"/>
  <c r="AV4045" i="1"/>
  <c r="AV4046" i="1"/>
  <c r="AV4047" i="1"/>
  <c r="AV4048" i="1"/>
  <c r="AV4049" i="1"/>
  <c r="AV4050" i="1"/>
  <c r="AV4051" i="1"/>
  <c r="AV4052" i="1"/>
  <c r="AV4053" i="1"/>
  <c r="AV4054" i="1"/>
  <c r="AV4055" i="1"/>
  <c r="AV4056" i="1"/>
  <c r="AV4057" i="1"/>
  <c r="AV4058" i="1"/>
  <c r="AV4059" i="1"/>
  <c r="AV4060" i="1"/>
  <c r="AV4061" i="1"/>
  <c r="AV4062" i="1"/>
  <c r="AV4063" i="1"/>
  <c r="AV4064" i="1"/>
  <c r="AV4065" i="1"/>
  <c r="AV4066" i="1"/>
  <c r="AV4067" i="1"/>
  <c r="AV4068" i="1"/>
  <c r="AV4069" i="1"/>
  <c r="AV4070" i="1"/>
  <c r="AV4071" i="1"/>
  <c r="AV4072" i="1"/>
  <c r="AV4073" i="1"/>
  <c r="AV4074" i="1"/>
  <c r="AV4075" i="1"/>
  <c r="AV4076" i="1"/>
  <c r="AV4077" i="1"/>
  <c r="AV4078" i="1"/>
  <c r="AV4079" i="1"/>
  <c r="AV4080" i="1"/>
  <c r="AV4081" i="1"/>
  <c r="AV4082" i="1"/>
  <c r="AV4083" i="1"/>
  <c r="AV4084" i="1"/>
  <c r="AV4085" i="1"/>
  <c r="AV4086" i="1"/>
  <c r="AV4087" i="1"/>
  <c r="AV4088" i="1"/>
  <c r="AV4089" i="1"/>
  <c r="AV4090" i="1"/>
  <c r="AV4091" i="1"/>
  <c r="AV4092" i="1"/>
  <c r="AV4093" i="1"/>
  <c r="AV4094" i="1"/>
  <c r="AV4095" i="1"/>
  <c r="AV4096" i="1"/>
  <c r="AV4097" i="1"/>
  <c r="AV4098" i="1"/>
  <c r="AV4099" i="1"/>
  <c r="AV4100" i="1"/>
  <c r="AV4101" i="1"/>
  <c r="AV4102" i="1"/>
  <c r="AV4103" i="1"/>
  <c r="AV4104" i="1"/>
  <c r="AV4105" i="1"/>
  <c r="AV4106" i="1"/>
  <c r="AV4107" i="1"/>
  <c r="AV4108" i="1"/>
  <c r="AV4109" i="1"/>
  <c r="AV4110" i="1"/>
  <c r="AV4111" i="1"/>
  <c r="AV4112" i="1"/>
  <c r="AV4113" i="1"/>
  <c r="AV4114" i="1"/>
  <c r="AV4115" i="1"/>
  <c r="AV4116" i="1"/>
  <c r="AV4117" i="1"/>
  <c r="AV4118" i="1"/>
  <c r="AV4119" i="1"/>
  <c r="AV4120" i="1"/>
  <c r="AV4121" i="1"/>
  <c r="AV4122" i="1"/>
  <c r="AV4123" i="1"/>
  <c r="AV4124" i="1"/>
  <c r="AV4125" i="1"/>
  <c r="AV4126" i="1"/>
  <c r="AV4127" i="1"/>
  <c r="AV4128" i="1"/>
  <c r="AV4129" i="1"/>
  <c r="AV4130" i="1"/>
  <c r="AV4131" i="1"/>
  <c r="AV4132" i="1"/>
  <c r="AV4133" i="1"/>
  <c r="AV4134" i="1"/>
  <c r="AV4135" i="1"/>
  <c r="AV4136" i="1"/>
  <c r="AV4137" i="1"/>
  <c r="AV4138" i="1"/>
  <c r="AV4139" i="1"/>
  <c r="AV4140" i="1"/>
  <c r="AV4141" i="1"/>
  <c r="AV4142" i="1"/>
  <c r="AV4143" i="1"/>
  <c r="AV4144" i="1"/>
  <c r="AV4145" i="1"/>
  <c r="AV4146" i="1"/>
  <c r="AV4147" i="1"/>
  <c r="AV4148" i="1"/>
  <c r="AV4149" i="1"/>
  <c r="AV4150" i="1"/>
  <c r="AV4151" i="1"/>
  <c r="AV4152" i="1"/>
  <c r="AV4153" i="1"/>
  <c r="AV4154" i="1"/>
  <c r="AV4155" i="1"/>
  <c r="AV4156" i="1"/>
  <c r="AV4157" i="1"/>
  <c r="AV4158" i="1"/>
  <c r="AV4159" i="1"/>
  <c r="AV4160" i="1"/>
  <c r="AV4161" i="1"/>
  <c r="AV4162" i="1"/>
  <c r="AV4163" i="1"/>
  <c r="AV4164" i="1"/>
  <c r="AV4165" i="1"/>
  <c r="AV4166" i="1"/>
  <c r="AV4167" i="1"/>
  <c r="AV4168" i="1"/>
  <c r="AV4169" i="1"/>
  <c r="AV4170" i="1"/>
  <c r="AV4171" i="1"/>
  <c r="AV4172" i="1"/>
  <c r="AV4173" i="1"/>
  <c r="AV4174" i="1"/>
  <c r="AV4175" i="1"/>
  <c r="AV4176" i="1"/>
  <c r="AV4177" i="1"/>
  <c r="AV4178" i="1"/>
  <c r="AV4179" i="1"/>
  <c r="AV4180" i="1"/>
  <c r="AV4181" i="1"/>
  <c r="AV4182" i="1"/>
  <c r="AV4183" i="1"/>
  <c r="AV4184" i="1"/>
  <c r="AV4185"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X3" i="1"/>
  <c r="X17" i="1"/>
  <c r="X19" i="1"/>
  <c r="X24" i="1"/>
  <c r="X42" i="1"/>
  <c r="X43" i="1"/>
  <c r="X49" i="1"/>
  <c r="X90" i="1"/>
  <c r="X91" i="1"/>
  <c r="X93" i="1"/>
  <c r="X94" i="1"/>
  <c r="X95" i="1"/>
  <c r="X101" i="1"/>
  <c r="X102" i="1"/>
  <c r="X108" i="1"/>
  <c r="X163" i="1"/>
  <c r="X164" i="1"/>
  <c r="X165" i="1"/>
  <c r="X166" i="1"/>
  <c r="X169" i="1"/>
  <c r="X179" i="1"/>
  <c r="X180" i="1"/>
  <c r="X181" i="1"/>
  <c r="X182" i="1"/>
  <c r="X183" i="1"/>
  <c r="X184" i="1"/>
  <c r="X185" i="1"/>
  <c r="X186" i="1"/>
  <c r="X195" i="1"/>
  <c r="X196" i="1"/>
  <c r="X211" i="1"/>
  <c r="X212" i="1"/>
  <c r="X213" i="1"/>
  <c r="X219" i="1"/>
  <c r="X255" i="1"/>
  <c r="X256" i="1"/>
  <c r="X257" i="1"/>
  <c r="X263" i="1"/>
  <c r="X264" i="1"/>
  <c r="X281" i="1"/>
  <c r="X282" i="1"/>
  <c r="X283" i="1"/>
  <c r="X284" i="1"/>
  <c r="X285" i="1"/>
  <c r="X286" i="1"/>
  <c r="X290" i="1"/>
  <c r="X298" i="1"/>
  <c r="X304" i="1"/>
  <c r="X305" i="1"/>
  <c r="X306" i="1"/>
  <c r="X307" i="1"/>
  <c r="X308" i="1"/>
  <c r="X309" i="1"/>
  <c r="X310" i="1"/>
  <c r="X311" i="1"/>
  <c r="X313" i="1"/>
  <c r="X314" i="1"/>
  <c r="X315" i="1"/>
  <c r="X316" i="1"/>
  <c r="X326" i="1"/>
  <c r="X349" i="1"/>
  <c r="X350" i="1"/>
  <c r="X351" i="1"/>
  <c r="X358" i="1"/>
  <c r="X365" i="1"/>
  <c r="X367" i="1"/>
  <c r="X369" i="1"/>
  <c r="X370" i="1"/>
  <c r="X371" i="1"/>
  <c r="X372" i="1"/>
  <c r="X373" i="1"/>
  <c r="X374" i="1"/>
  <c r="X376" i="1"/>
  <c r="X391" i="1"/>
  <c r="X392" i="1"/>
  <c r="X393" i="1"/>
  <c r="X394" i="1"/>
  <c r="X395" i="1"/>
  <c r="X396" i="1"/>
  <c r="X397" i="1"/>
  <c r="X401" i="1"/>
  <c r="X409" i="1"/>
  <c r="X413" i="1"/>
  <c r="X417" i="1"/>
  <c r="X418" i="1"/>
  <c r="X419" i="1"/>
  <c r="X420" i="1"/>
  <c r="X422" i="1"/>
  <c r="X425" i="1"/>
  <c r="X426" i="1"/>
  <c r="X427" i="1"/>
  <c r="X430" i="1"/>
  <c r="X431" i="1"/>
  <c r="X432" i="1"/>
  <c r="X433" i="1"/>
  <c r="X434" i="1"/>
  <c r="X435" i="1"/>
  <c r="X436" i="1"/>
  <c r="X437" i="1"/>
  <c r="X438" i="1"/>
  <c r="X439" i="1"/>
  <c r="X440" i="1"/>
  <c r="X441" i="1"/>
  <c r="X442" i="1"/>
  <c r="X447" i="1"/>
  <c r="X448" i="1"/>
  <c r="X449" i="1"/>
  <c r="X450" i="1"/>
  <c r="X451" i="1"/>
  <c r="X452" i="1"/>
  <c r="X453" i="1"/>
  <c r="X454" i="1"/>
  <c r="X463" i="1"/>
  <c r="X464" i="1"/>
  <c r="X465" i="1"/>
  <c r="X466" i="1"/>
  <c r="X467" i="1"/>
  <c r="X473" i="1"/>
  <c r="X474" i="1"/>
  <c r="X475" i="1"/>
  <c r="X476" i="1"/>
  <c r="X477" i="1"/>
  <c r="X481" i="1"/>
  <c r="X482" i="1"/>
  <c r="X483" i="1"/>
  <c r="X484" i="1"/>
  <c r="X485" i="1"/>
  <c r="X490" i="1"/>
  <c r="X491" i="1"/>
  <c r="X492" i="1"/>
  <c r="X493" i="1"/>
  <c r="X501" i="1"/>
  <c r="X502" i="1"/>
  <c r="X503" i="1"/>
  <c r="X509" i="1"/>
  <c r="X510" i="1"/>
  <c r="X511" i="1"/>
  <c r="X512" i="1"/>
  <c r="X513" i="1"/>
  <c r="X521" i="1"/>
  <c r="X522" i="1"/>
  <c r="X523" i="1"/>
  <c r="X524" i="1"/>
  <c r="X525" i="1"/>
  <c r="X531" i="1"/>
  <c r="X532" i="1"/>
  <c r="X537" i="1"/>
  <c r="X538" i="1"/>
  <c r="X547" i="1"/>
  <c r="X548" i="1"/>
  <c r="X549" i="1"/>
  <c r="X552" i="1"/>
  <c r="X561" i="1"/>
  <c r="X562" i="1"/>
  <c r="X569" i="1"/>
  <c r="X570" i="1"/>
  <c r="X571" i="1"/>
  <c r="X572" i="1"/>
  <c r="X575" i="1"/>
  <c r="X578" i="1"/>
  <c r="X580" i="1"/>
  <c r="X581" i="1"/>
  <c r="X582" i="1"/>
  <c r="X585" i="1"/>
  <c r="X586" i="1"/>
  <c r="X587" i="1"/>
  <c r="X588" i="1"/>
  <c r="X590" i="1"/>
  <c r="X591" i="1"/>
  <c r="X601" i="1"/>
  <c r="X602" i="1"/>
  <c r="X604" i="1"/>
  <c r="X605" i="1"/>
  <c r="X606" i="1"/>
  <c r="X619" i="1"/>
  <c r="X634" i="1"/>
  <c r="X635" i="1"/>
  <c r="X636" i="1"/>
  <c r="X644" i="1"/>
  <c r="X645" i="1"/>
  <c r="X646" i="1"/>
  <c r="X647" i="1"/>
  <c r="X648" i="1"/>
  <c r="X649" i="1"/>
  <c r="X650" i="1"/>
  <c r="X651" i="1"/>
  <c r="X652" i="1"/>
  <c r="X653" i="1"/>
  <c r="X654" i="1"/>
  <c r="X655" i="1"/>
  <c r="X656" i="1"/>
  <c r="X657" i="1"/>
  <c r="X658" i="1"/>
  <c r="X659" i="1"/>
  <c r="X662" i="1"/>
  <c r="X664" i="1"/>
  <c r="X665" i="1"/>
  <c r="X666" i="1"/>
  <c r="X667" i="1"/>
  <c r="X668" i="1"/>
  <c r="X669" i="1"/>
  <c r="X670" i="1"/>
  <c r="X672" i="1"/>
  <c r="X673" i="1"/>
  <c r="X677" i="1"/>
  <c r="X686" i="1"/>
  <c r="X690" i="1"/>
  <c r="X691" i="1"/>
  <c r="X696" i="1"/>
  <c r="X697" i="1"/>
  <c r="X698" i="1"/>
  <c r="X699" i="1"/>
  <c r="X700" i="1"/>
  <c r="X701" i="1"/>
  <c r="X706" i="1"/>
  <c r="X708" i="1"/>
  <c r="X712" i="1"/>
  <c r="X715" i="1"/>
  <c r="X716" i="1"/>
  <c r="X717" i="1"/>
  <c r="X719" i="1"/>
  <c r="X721" i="1"/>
  <c r="X723" i="1"/>
  <c r="X724" i="1"/>
  <c r="X726" i="1"/>
  <c r="X729" i="1"/>
  <c r="X731" i="1"/>
  <c r="X732" i="1"/>
  <c r="X736" i="1"/>
  <c r="X737" i="1"/>
  <c r="X738" i="1"/>
  <c r="X739" i="1"/>
  <c r="X740" i="1"/>
  <c r="X741" i="1"/>
  <c r="X743" i="1"/>
  <c r="X744" i="1"/>
  <c r="X745" i="1"/>
  <c r="X748" i="1"/>
  <c r="X749" i="1"/>
  <c r="X750" i="1"/>
  <c r="X751" i="1"/>
  <c r="X752" i="1"/>
  <c r="X753" i="1"/>
  <c r="X754" i="1"/>
  <c r="X755" i="1"/>
  <c r="X756" i="1"/>
  <c r="X757" i="1"/>
  <c r="X758" i="1"/>
  <c r="X759" i="1"/>
  <c r="X764" i="1"/>
  <c r="X771" i="1"/>
  <c r="X772" i="1"/>
  <c r="X773" i="1"/>
  <c r="X774" i="1"/>
  <c r="X775" i="1"/>
  <c r="X776" i="1"/>
  <c r="X777" i="1"/>
  <c r="X778" i="1"/>
  <c r="X779" i="1"/>
  <c r="X782" i="1"/>
  <c r="X783" i="1"/>
  <c r="X787" i="1"/>
  <c r="X790" i="1"/>
  <c r="X791" i="1"/>
  <c r="X807" i="1"/>
  <c r="X809" i="1"/>
  <c r="X810" i="1"/>
  <c r="X815" i="1"/>
  <c r="X816" i="1"/>
  <c r="X817" i="1"/>
  <c r="X818" i="1"/>
  <c r="X821" i="1"/>
  <c r="X823" i="1"/>
  <c r="X824" i="1"/>
  <c r="X825" i="1"/>
  <c r="X826" i="1"/>
  <c r="X827" i="1"/>
  <c r="X828" i="1"/>
  <c r="X829" i="1"/>
  <c r="X830" i="1"/>
  <c r="X831" i="1"/>
  <c r="X832" i="1"/>
  <c r="X833" i="1"/>
  <c r="X834" i="1"/>
  <c r="X835" i="1"/>
  <c r="X836" i="1"/>
  <c r="X837" i="1"/>
  <c r="X838" i="1"/>
  <c r="X839" i="1"/>
  <c r="X840" i="1"/>
  <c r="X841" i="1"/>
  <c r="X842" i="1"/>
  <c r="X843" i="1"/>
  <c r="X844" i="1"/>
  <c r="X846" i="1"/>
  <c r="X849" i="1"/>
  <c r="X850" i="1"/>
  <c r="X851" i="1"/>
  <c r="X852" i="1"/>
  <c r="X858" i="1"/>
  <c r="X859" i="1"/>
  <c r="X862" i="1"/>
  <c r="X863" i="1"/>
  <c r="X869" i="1"/>
  <c r="X871" i="1"/>
  <c r="X879" i="1"/>
  <c r="X891" i="1"/>
  <c r="X892" i="1"/>
  <c r="X893" i="1"/>
  <c r="X908" i="1"/>
  <c r="X911" i="1"/>
  <c r="X917" i="1"/>
  <c r="X922" i="1"/>
  <c r="X923" i="1"/>
  <c r="X924" i="1"/>
  <c r="X925" i="1"/>
  <c r="X926" i="1"/>
  <c r="X927" i="1"/>
  <c r="X928" i="1"/>
  <c r="X929" i="1"/>
  <c r="X930" i="1"/>
  <c r="X931" i="1"/>
  <c r="X932" i="1"/>
  <c r="X933" i="1"/>
  <c r="X935" i="1"/>
  <c r="X936" i="1"/>
  <c r="X938" i="1"/>
  <c r="X939" i="1"/>
  <c r="X940" i="1"/>
  <c r="X941" i="1"/>
  <c r="X942" i="1"/>
  <c r="X943" i="1"/>
  <c r="X944" i="1"/>
  <c r="X945" i="1"/>
  <c r="X947" i="1"/>
  <c r="X948" i="1"/>
  <c r="X949" i="1"/>
  <c r="X952" i="1"/>
  <c r="X957" i="1"/>
  <c r="X966" i="1"/>
  <c r="X968" i="1"/>
  <c r="X993" i="1"/>
  <c r="X1006" i="1"/>
  <c r="X1050" i="1"/>
  <c r="X1087" i="1"/>
  <c r="X1098" i="1"/>
  <c r="X1131" i="1"/>
  <c r="X1133" i="1"/>
  <c r="X1138" i="1"/>
  <c r="X1143" i="1"/>
  <c r="X1155" i="1"/>
  <c r="X1163" i="1"/>
  <c r="X1165" i="1"/>
  <c r="X1166" i="1"/>
  <c r="X1167" i="1"/>
  <c r="X1168" i="1"/>
  <c r="X1170" i="1"/>
  <c r="X1180" i="1"/>
  <c r="X1181" i="1"/>
  <c r="X1183" i="1"/>
  <c r="X1186" i="1"/>
  <c r="X1187" i="1"/>
  <c r="X1192" i="1"/>
  <c r="X1194" i="1"/>
  <c r="X1200" i="1"/>
  <c r="X1268" i="1"/>
  <c r="X1270" i="1"/>
  <c r="X1281" i="1"/>
  <c r="X1282" i="1"/>
  <c r="X1288" i="1"/>
  <c r="X1291" i="1"/>
  <c r="X1292" i="1"/>
  <c r="X1293" i="1"/>
  <c r="X1294" i="1"/>
  <c r="X1295" i="1"/>
  <c r="X1296" i="1"/>
  <c r="X1297" i="1"/>
  <c r="X1298" i="1"/>
  <c r="X1299" i="1"/>
  <c r="X1300" i="1"/>
  <c r="X1301" i="1"/>
  <c r="X1302" i="1"/>
  <c r="X1303" i="1"/>
  <c r="X1304" i="1"/>
  <c r="X1305" i="1"/>
  <c r="X1306" i="1"/>
  <c r="X1307" i="1"/>
  <c r="X1308" i="1"/>
  <c r="X1309" i="1"/>
  <c r="X1310" i="1"/>
  <c r="X1311" i="1"/>
  <c r="X1312" i="1"/>
  <c r="X1317" i="1"/>
  <c r="X1321" i="1"/>
  <c r="X1325" i="1"/>
  <c r="X1328" i="1"/>
  <c r="X1338" i="1"/>
  <c r="X1340" i="1"/>
  <c r="X1342" i="1"/>
  <c r="X1343" i="1"/>
  <c r="X1344" i="1"/>
  <c r="X1347" i="1"/>
  <c r="X1363" i="1"/>
  <c r="X1364" i="1"/>
  <c r="X1366" i="1"/>
  <c r="X1367" i="1"/>
  <c r="X1368" i="1"/>
  <c r="X1369" i="1"/>
  <c r="X1371" i="1"/>
  <c r="X1372" i="1"/>
  <c r="X1373" i="1"/>
  <c r="X1374" i="1"/>
  <c r="X1375" i="1"/>
  <c r="X1379" i="1"/>
  <c r="X1380" i="1"/>
  <c r="X1381" i="1"/>
  <c r="X1382" i="1"/>
  <c r="X1383" i="1"/>
  <c r="X1384" i="1"/>
  <c r="X1385" i="1"/>
  <c r="X1386" i="1"/>
  <c r="X1388" i="1"/>
  <c r="X1389" i="1"/>
  <c r="X1400" i="1"/>
  <c r="X1401" i="1"/>
  <c r="X1402" i="1"/>
  <c r="X1403" i="1"/>
  <c r="X1404" i="1"/>
  <c r="X1407" i="1"/>
  <c r="X1410" i="1"/>
  <c r="X1411" i="1"/>
  <c r="X1418" i="1"/>
  <c r="X1425" i="1"/>
  <c r="X1426" i="1"/>
  <c r="X1428" i="1"/>
  <c r="X1434" i="1"/>
  <c r="X1439" i="1"/>
  <c r="X1442" i="1"/>
  <c r="X1446" i="1"/>
  <c r="X1448" i="1"/>
  <c r="X1449" i="1"/>
  <c r="X1455" i="1"/>
  <c r="X1456" i="1"/>
  <c r="X1457" i="1"/>
  <c r="X1461" i="1"/>
  <c r="X1462" i="1"/>
  <c r="X1463" i="1"/>
  <c r="X1464" i="1"/>
  <c r="X1465" i="1"/>
  <c r="X1466" i="1"/>
  <c r="X1467" i="1"/>
  <c r="X1474" i="1"/>
  <c r="X1475" i="1"/>
  <c r="X1476" i="1"/>
  <c r="X1477" i="1"/>
  <c r="X1478" i="1"/>
  <c r="X1480" i="1"/>
  <c r="X1481" i="1"/>
  <c r="X1482" i="1"/>
  <c r="X1483" i="1"/>
  <c r="X1484" i="1"/>
  <c r="X1485" i="1"/>
  <c r="X1486" i="1"/>
  <c r="X1487" i="1"/>
  <c r="X1488" i="1"/>
  <c r="X1489" i="1"/>
  <c r="X1490" i="1"/>
  <c r="X1491" i="1"/>
  <c r="X1492" i="1"/>
  <c r="X1493" i="1"/>
  <c r="X1494" i="1"/>
  <c r="X1495" i="1"/>
  <c r="X1499" i="1"/>
  <c r="X1503" i="1"/>
  <c r="X1508" i="1"/>
  <c r="X1517" i="1"/>
  <c r="X1518" i="1"/>
  <c r="X1519"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9" i="1"/>
  <c r="X1560" i="1"/>
  <c r="X1561" i="1"/>
  <c r="X1563" i="1"/>
  <c r="X1567" i="1"/>
  <c r="X1568" i="1"/>
  <c r="X1569" i="1"/>
  <c r="X1570" i="1"/>
  <c r="X1571" i="1"/>
  <c r="X1572" i="1"/>
  <c r="X1573" i="1"/>
  <c r="X1574" i="1"/>
  <c r="X1575" i="1"/>
  <c r="X1576" i="1"/>
  <c r="X1577" i="1"/>
  <c r="X1578" i="1"/>
  <c r="X1579" i="1"/>
  <c r="X1580" i="1"/>
  <c r="X1581" i="1"/>
  <c r="X1582" i="1"/>
  <c r="X1583" i="1"/>
  <c r="X1595" i="1"/>
  <c r="X1596" i="1"/>
  <c r="X1597" i="1"/>
  <c r="X1598" i="1"/>
  <c r="X1599" i="1"/>
  <c r="X1600" i="1"/>
  <c r="X1602" i="1"/>
  <c r="X1603" i="1"/>
  <c r="X1604" i="1"/>
  <c r="X1605" i="1"/>
  <c r="X1630" i="1"/>
  <c r="X1636" i="1"/>
  <c r="X1638"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6" i="1"/>
  <c r="X1667" i="1"/>
  <c r="X1671" i="1"/>
  <c r="X1678" i="1"/>
  <c r="X1680" i="1"/>
  <c r="X1685" i="1"/>
  <c r="X1686" i="1"/>
  <c r="X1689" i="1"/>
  <c r="X1694" i="1"/>
  <c r="X1695" i="1"/>
  <c r="X1696"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3" i="1"/>
  <c r="X1724" i="1"/>
  <c r="X1725" i="1"/>
  <c r="X1727" i="1"/>
  <c r="X1731" i="1"/>
  <c r="X1733" i="1"/>
  <c r="X1734" i="1"/>
  <c r="X1736" i="1"/>
  <c r="X1737" i="1"/>
  <c r="X1738" i="1"/>
  <c r="X1741" i="1"/>
  <c r="X1747" i="1"/>
  <c r="X1756" i="1"/>
  <c r="X1757" i="1"/>
  <c r="X1758" i="1"/>
  <c r="X1759" i="1"/>
  <c r="X1760" i="1"/>
  <c r="X1761" i="1"/>
  <c r="X1762" i="1"/>
  <c r="X1767" i="1"/>
  <c r="X1771" i="1"/>
  <c r="X1772" i="1"/>
  <c r="X1773" i="1"/>
  <c r="X1774" i="1"/>
  <c r="X1775" i="1"/>
  <c r="X1776" i="1"/>
  <c r="X1777" i="1"/>
  <c r="X1829" i="1"/>
  <c r="X1835" i="1"/>
  <c r="X1836" i="1"/>
  <c r="X1838" i="1"/>
  <c r="X1839" i="1"/>
  <c r="X1840" i="1"/>
  <c r="X1841" i="1"/>
  <c r="X1842" i="1"/>
  <c r="X1843" i="1"/>
  <c r="X1844" i="1"/>
  <c r="X1845" i="1"/>
  <c r="X1846" i="1"/>
  <c r="X1847" i="1"/>
  <c r="X1848" i="1"/>
  <c r="X1852" i="1"/>
  <c r="X1859" i="1"/>
  <c r="X1863" i="1"/>
  <c r="X1864" i="1"/>
  <c r="X1870" i="1"/>
  <c r="X1876" i="1"/>
  <c r="X1879" i="1"/>
  <c r="X1886" i="1"/>
  <c r="X1887" i="1"/>
  <c r="X1893" i="1"/>
  <c r="X1894" i="1"/>
  <c r="X1898" i="1"/>
  <c r="X1899" i="1"/>
  <c r="X1900" i="1"/>
  <c r="X1901" i="1"/>
  <c r="X1902" i="1"/>
  <c r="X1938" i="1"/>
  <c r="X1939" i="1"/>
  <c r="X1971" i="1"/>
  <c r="X1973" i="1"/>
  <c r="X1976" i="1"/>
  <c r="X1989" i="1"/>
  <c r="X1990" i="1"/>
  <c r="X1991" i="1"/>
  <c r="X1992" i="1"/>
  <c r="X1993" i="1"/>
  <c r="X1994" i="1"/>
  <c r="X1995" i="1"/>
  <c r="X2013" i="1"/>
  <c r="X2014" i="1"/>
  <c r="X2047" i="1"/>
  <c r="X2049" i="1"/>
  <c r="X2050" i="1"/>
  <c r="X2051" i="1"/>
  <c r="X2060" i="1"/>
  <c r="X2061" i="1"/>
  <c r="X2062" i="1"/>
  <c r="X2063" i="1"/>
  <c r="X2064" i="1"/>
  <c r="X2065" i="1"/>
  <c r="X2066" i="1"/>
  <c r="X2067" i="1"/>
  <c r="X2072" i="1"/>
  <c r="X2073" i="1"/>
  <c r="X2074" i="1"/>
  <c r="X2075" i="1"/>
  <c r="X2076" i="1"/>
  <c r="X2077" i="1"/>
  <c r="X2078" i="1"/>
  <c r="X2079" i="1"/>
  <c r="X2080" i="1"/>
  <c r="X2081" i="1"/>
  <c r="X2082" i="1"/>
  <c r="X2083" i="1"/>
  <c r="X2084" i="1"/>
  <c r="X2085" i="1"/>
  <c r="X2086" i="1"/>
  <c r="X2088" i="1"/>
  <c r="X2090" i="1"/>
  <c r="X2091" i="1"/>
  <c r="X2092" i="1"/>
  <c r="X2093" i="1"/>
  <c r="X2095" i="1"/>
  <c r="X2096" i="1"/>
  <c r="X2097" i="1"/>
  <c r="X2106" i="1"/>
  <c r="X2109" i="1"/>
  <c r="X2112" i="1"/>
  <c r="X2113" i="1"/>
  <c r="X2114" i="1"/>
  <c r="X2116" i="1"/>
  <c r="X2120" i="1"/>
  <c r="X2121" i="1"/>
  <c r="X2122" i="1"/>
  <c r="X2123" i="1"/>
  <c r="X2124" i="1"/>
  <c r="X2125" i="1"/>
  <c r="X2126" i="1"/>
  <c r="X2127" i="1"/>
  <c r="X2128" i="1"/>
  <c r="X2131" i="1"/>
  <c r="X2136" i="1"/>
  <c r="X2138" i="1"/>
  <c r="X2142" i="1"/>
  <c r="X2155" i="1"/>
  <c r="X2158" i="1"/>
  <c r="X2159" i="1"/>
  <c r="X2164" i="1"/>
  <c r="X2166" i="1"/>
  <c r="X2168" i="1"/>
  <c r="X2174" i="1"/>
  <c r="X2175" i="1"/>
  <c r="X2176" i="1"/>
  <c r="X2177" i="1"/>
  <c r="X2178" i="1"/>
  <c r="X2179" i="1"/>
  <c r="X2180" i="1"/>
  <c r="X2181" i="1"/>
  <c r="X2182" i="1"/>
  <c r="X2184" i="1"/>
  <c r="X2185" i="1"/>
  <c r="X2186" i="1"/>
  <c r="X2187" i="1"/>
  <c r="X2188" i="1"/>
  <c r="X2189" i="1"/>
  <c r="X2190" i="1"/>
  <c r="X2191" i="1"/>
  <c r="X2192" i="1"/>
  <c r="X2193" i="1"/>
  <c r="X2194" i="1"/>
  <c r="X2195" i="1"/>
  <c r="X2196" i="1"/>
  <c r="X2197" i="1"/>
  <c r="X2198" i="1"/>
  <c r="X2205" i="1"/>
  <c r="X2208" i="1"/>
  <c r="X2216" i="1"/>
  <c r="X2217" i="1"/>
  <c r="X2218" i="1"/>
  <c r="X2219" i="1"/>
  <c r="X2220" i="1"/>
  <c r="X2223" i="1"/>
  <c r="X2225" i="1"/>
  <c r="X2226" i="1"/>
  <c r="X2227" i="1"/>
  <c r="X2228" i="1"/>
  <c r="X2229" i="1"/>
  <c r="X2231" i="1"/>
  <c r="X2234" i="1"/>
  <c r="X2235" i="1"/>
  <c r="X2236" i="1"/>
  <c r="X2239" i="1"/>
  <c r="X2241" i="1"/>
  <c r="X2242" i="1"/>
  <c r="X2248" i="1"/>
  <c r="X2263" i="1"/>
  <c r="X2264" i="1"/>
  <c r="X2265" i="1"/>
  <c r="X2266" i="1"/>
  <c r="X2267" i="1"/>
  <c r="X2270" i="1"/>
  <c r="X2271" i="1"/>
  <c r="X2272" i="1"/>
  <c r="X2273" i="1"/>
  <c r="X2274" i="1"/>
  <c r="X2275" i="1"/>
  <c r="X2276" i="1"/>
  <c r="X2277" i="1"/>
  <c r="X2278" i="1"/>
  <c r="X2279" i="1"/>
  <c r="X2281" i="1"/>
  <c r="X2283" i="1"/>
  <c r="X2284" i="1"/>
  <c r="X2285" i="1"/>
  <c r="X2286" i="1"/>
  <c r="X2287" i="1"/>
  <c r="X2288" i="1"/>
  <c r="X2289" i="1"/>
  <c r="X2291" i="1"/>
  <c r="X2292" i="1"/>
  <c r="X2295" i="1"/>
  <c r="X2296" i="1"/>
  <c r="X2297" i="1"/>
  <c r="X2309" i="1"/>
  <c r="X2319" i="1"/>
  <c r="X2322" i="1"/>
  <c r="X2323" i="1"/>
  <c r="X2325" i="1"/>
  <c r="X2328" i="1"/>
  <c r="X2334" i="1"/>
  <c r="X2335" i="1"/>
  <c r="X2336" i="1"/>
  <c r="X2358" i="1"/>
  <c r="X2359" i="1"/>
  <c r="X2361" i="1"/>
  <c r="X2368" i="1"/>
  <c r="X2371" i="1"/>
  <c r="X2373" i="1"/>
  <c r="X2389" i="1"/>
  <c r="X2412" i="1"/>
  <c r="X2417" i="1"/>
  <c r="X2418" i="1"/>
  <c r="X2422" i="1"/>
  <c r="X2423" i="1"/>
  <c r="X2424" i="1"/>
  <c r="X2425" i="1"/>
  <c r="X2860" i="1"/>
  <c r="X2861" i="1"/>
  <c r="X2864" i="1"/>
  <c r="X2865" i="1"/>
  <c r="X2866" i="1"/>
  <c r="X2867" i="1"/>
  <c r="X2876" i="1"/>
  <c r="X2877" i="1"/>
  <c r="X2880" i="1"/>
  <c r="X2881" i="1"/>
  <c r="X2883" i="1"/>
  <c r="X2884" i="1"/>
  <c r="X2885" i="1"/>
  <c r="X2886" i="1"/>
  <c r="X2887" i="1"/>
  <c r="X2888" i="1"/>
  <c r="X2890" i="1"/>
  <c r="X2891" i="1"/>
  <c r="X2894" i="1"/>
  <c r="X2895" i="1"/>
  <c r="X2896" i="1"/>
  <c r="X2904" i="1"/>
  <c r="X2912" i="1"/>
  <c r="X2913" i="1"/>
  <c r="X2914" i="1"/>
  <c r="X2915" i="1"/>
  <c r="X2916" i="1"/>
  <c r="X2917" i="1"/>
  <c r="X2918" i="1"/>
  <c r="X2919" i="1"/>
  <c r="X2920" i="1"/>
  <c r="X2921" i="1"/>
  <c r="X2922" i="1"/>
  <c r="X2923" i="1"/>
  <c r="X2924" i="1"/>
  <c r="X2925" i="1"/>
  <c r="X2926" i="1"/>
  <c r="X2927" i="1"/>
  <c r="X2928" i="1"/>
  <c r="X2929" i="1"/>
  <c r="X2930" i="1"/>
  <c r="X2931" i="1"/>
  <c r="X2932" i="1"/>
  <c r="X2937" i="1"/>
  <c r="X2939" i="1"/>
  <c r="X2942" i="1"/>
  <c r="X2944" i="1"/>
  <c r="X2953" i="1"/>
  <c r="X2954" i="1"/>
  <c r="X2957" i="1"/>
  <c r="X2958" i="1"/>
  <c r="X2959" i="1"/>
  <c r="X2960" i="1"/>
  <c r="X2962" i="1"/>
  <c r="X2964" i="1"/>
  <c r="X2978" i="1"/>
  <c r="X2979" i="1"/>
  <c r="X2980" i="1"/>
  <c r="X2986" i="1"/>
  <c r="X2997" i="1"/>
  <c r="X3001" i="1"/>
  <c r="X3007" i="1"/>
  <c r="X3008" i="1"/>
  <c r="X3009" i="1"/>
  <c r="X3010" i="1"/>
  <c r="X3014" i="1"/>
  <c r="X3015" i="1"/>
  <c r="X3016" i="1"/>
  <c r="X3020" i="1"/>
  <c r="X3021" i="1"/>
  <c r="X3029" i="1"/>
  <c r="X3030" i="1"/>
  <c r="X3033" i="1"/>
  <c r="X3034" i="1"/>
  <c r="X3035" i="1"/>
  <c r="X3037" i="1"/>
  <c r="X3046" i="1"/>
  <c r="X3067" i="1"/>
  <c r="X3069" i="1"/>
  <c r="X3071" i="1"/>
  <c r="X3072" i="1"/>
  <c r="X3073" i="1"/>
  <c r="X3074" i="1"/>
  <c r="X3076" i="1"/>
  <c r="X3086" i="1"/>
  <c r="X3087" i="1"/>
  <c r="X3099"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6" i="1"/>
  <c r="X3147" i="1"/>
  <c r="X3148" i="1"/>
  <c r="X3149" i="1"/>
  <c r="X3150" i="1"/>
  <c r="X3151" i="1"/>
  <c r="X3152" i="1"/>
  <c r="X3153" i="1"/>
  <c r="X3154" i="1"/>
  <c r="X3155" i="1"/>
  <c r="X3158" i="1"/>
  <c r="X3167" i="1"/>
  <c r="X3168" i="1"/>
  <c r="X3169" i="1"/>
  <c r="X3172" i="1"/>
  <c r="X3175" i="1"/>
  <c r="X3176" i="1"/>
  <c r="X3177" i="1"/>
  <c r="X3178" i="1"/>
  <c r="X3182" i="1"/>
  <c r="X3183" i="1"/>
  <c r="X3184" i="1"/>
  <c r="X3185" i="1"/>
  <c r="X3186" i="1"/>
  <c r="X3191" i="1"/>
  <c r="X3193" i="1"/>
  <c r="X3194" i="1"/>
  <c r="X3196" i="1"/>
  <c r="X3197" i="1"/>
  <c r="X3198" i="1"/>
  <c r="X3199" i="1"/>
  <c r="X3200" i="1"/>
  <c r="X3201" i="1"/>
  <c r="X3202" i="1"/>
  <c r="X3213" i="1"/>
  <c r="X3223" i="1"/>
  <c r="X3224" i="1"/>
  <c r="X3226" i="1"/>
  <c r="X3227" i="1"/>
  <c r="X3230" i="1"/>
  <c r="X3231" i="1"/>
  <c r="X3235" i="1"/>
  <c r="X3236" i="1"/>
  <c r="X3237" i="1"/>
  <c r="X3241" i="1"/>
  <c r="X3242" i="1"/>
  <c r="X3243" i="1"/>
  <c r="X3244" i="1"/>
  <c r="X3245" i="1"/>
  <c r="X3248" i="1"/>
  <c r="X3254" i="1"/>
  <c r="X3255" i="1"/>
  <c r="X3256" i="1"/>
  <c r="X3257" i="1"/>
  <c r="X3258" i="1"/>
  <c r="X3259" i="1"/>
  <c r="X3265" i="1"/>
  <c r="X3266" i="1"/>
  <c r="X3267" i="1"/>
  <c r="X3268" i="1"/>
  <c r="X3270" i="1"/>
  <c r="X3271" i="1"/>
  <c r="X3272" i="1"/>
  <c r="X3273" i="1"/>
  <c r="X3276" i="1"/>
  <c r="X3277" i="1"/>
  <c r="X3296" i="1"/>
  <c r="X3302" i="1"/>
  <c r="X3303" i="1"/>
  <c r="X3304" i="1"/>
  <c r="X3305" i="1"/>
  <c r="X3306" i="1"/>
  <c r="X3307" i="1"/>
  <c r="X3308" i="1"/>
  <c r="X3309" i="1"/>
  <c r="X3310" i="1"/>
  <c r="X3311" i="1"/>
  <c r="X3312" i="1"/>
  <c r="X3322" i="1"/>
  <c r="X3328" i="1"/>
  <c r="X3329" i="1"/>
  <c r="X3330" i="1"/>
  <c r="X3331" i="1"/>
  <c r="X3341" i="1"/>
  <c r="X3342" i="1"/>
  <c r="X3344" i="1"/>
  <c r="X3345" i="1"/>
  <c r="X3346" i="1"/>
  <c r="X3347" i="1"/>
  <c r="X3349" i="1"/>
  <c r="X3350" i="1"/>
  <c r="X3351" i="1"/>
  <c r="X3352" i="1"/>
  <c r="X3353" i="1"/>
  <c r="X3354" i="1"/>
  <c r="X3355" i="1"/>
  <c r="X3424" i="1"/>
  <c r="X3425" i="1"/>
  <c r="X3432" i="1"/>
  <c r="X3436" i="1"/>
  <c r="X3446" i="1"/>
  <c r="X3448" i="1"/>
  <c r="X3454" i="1"/>
  <c r="X3456" i="1"/>
  <c r="X3457" i="1"/>
  <c r="X3466" i="1"/>
  <c r="X3475" i="1"/>
  <c r="X3476" i="1"/>
  <c r="X3477" i="1"/>
  <c r="X3479" i="1"/>
  <c r="X3480" i="1"/>
  <c r="X3485" i="1"/>
  <c r="X3488" i="1"/>
  <c r="X3489" i="1"/>
  <c r="X3490" i="1"/>
  <c r="X3492" i="1"/>
  <c r="X3496" i="1"/>
  <c r="X3500" i="1"/>
  <c r="X3501" i="1"/>
  <c r="X3504" i="1"/>
  <c r="X3505" i="1"/>
  <c r="X3506" i="1"/>
  <c r="X3507" i="1"/>
  <c r="X3515" i="1"/>
  <c r="X3516" i="1"/>
  <c r="X3517" i="1"/>
  <c r="X3519" i="1"/>
  <c r="X3520" i="1"/>
  <c r="X3523" i="1"/>
  <c r="X3524" i="1"/>
  <c r="X3525" i="1"/>
  <c r="X3526" i="1"/>
  <c r="X3527" i="1"/>
  <c r="X3528" i="1"/>
  <c r="X3530" i="1"/>
  <c r="X3531" i="1"/>
  <c r="X3535" i="1"/>
  <c r="X3538" i="1"/>
  <c r="X3540" i="1"/>
  <c r="X3541" i="1"/>
  <c r="X3542" i="1"/>
  <c r="X3543" i="1"/>
  <c r="X3544" i="1"/>
  <c r="X3545" i="1"/>
  <c r="X3546" i="1"/>
  <c r="X3547" i="1"/>
  <c r="X3548" i="1"/>
  <c r="X3549" i="1"/>
  <c r="X3550" i="1"/>
  <c r="X3551" i="1"/>
  <c r="X3556" i="1"/>
  <c r="X3559" i="1"/>
  <c r="X3560" i="1"/>
  <c r="X3561" i="1"/>
  <c r="X3562" i="1"/>
  <c r="X3563" i="1"/>
  <c r="X3574" i="1"/>
  <c r="X3575" i="1"/>
  <c r="X3576" i="1"/>
  <c r="X3577" i="1"/>
  <c r="X3578" i="1"/>
  <c r="X3579" i="1"/>
  <c r="X3591" i="1"/>
  <c r="X3592" i="1"/>
  <c r="X3593" i="1"/>
  <c r="X3597" i="1"/>
  <c r="X3598" i="1"/>
  <c r="X3599" i="1"/>
  <c r="X3600" i="1"/>
  <c r="X3601" i="1"/>
  <c r="X3602" i="1"/>
  <c r="X3603" i="1"/>
  <c r="X3604" i="1"/>
  <c r="X3605" i="1"/>
  <c r="X3606" i="1"/>
  <c r="X3607" i="1"/>
  <c r="X3608" i="1"/>
  <c r="X3609" i="1"/>
  <c r="X3610" i="1"/>
  <c r="X3611" i="1"/>
  <c r="X3612" i="1"/>
  <c r="X3613" i="1"/>
  <c r="X3614" i="1"/>
  <c r="X3615" i="1"/>
  <c r="X3617" i="1"/>
  <c r="X3618" i="1"/>
  <c r="X3622" i="1"/>
  <c r="X3631" i="1"/>
  <c r="X3637" i="1"/>
  <c r="X3638" i="1"/>
  <c r="X3639" i="1"/>
  <c r="X3640" i="1"/>
  <c r="X3641" i="1"/>
  <c r="X3642" i="1"/>
  <c r="X3643" i="1"/>
  <c r="X3644" i="1"/>
  <c r="X3645" i="1"/>
  <c r="X3646" i="1"/>
  <c r="X3647" i="1"/>
  <c r="X3648" i="1"/>
  <c r="X3649" i="1"/>
  <c r="X3650" i="1"/>
  <c r="X3651" i="1"/>
  <c r="X3652" i="1"/>
  <c r="X3653" i="1"/>
  <c r="X3654" i="1"/>
  <c r="X3655" i="1"/>
  <c r="X3661" i="1"/>
  <c r="X3662" i="1"/>
  <c r="X3663" i="1"/>
  <c r="X3664" i="1"/>
  <c r="X3665" i="1"/>
  <c r="X3667" i="1"/>
  <c r="X3668" i="1"/>
  <c r="X3669" i="1"/>
  <c r="X3670" i="1"/>
  <c r="X3672" i="1"/>
  <c r="X3674" i="1"/>
  <c r="X3675" i="1"/>
  <c r="X3676" i="1"/>
  <c r="X3677" i="1"/>
  <c r="X3679" i="1"/>
  <c r="X3687" i="1"/>
  <c r="X3688" i="1"/>
  <c r="X3689" i="1"/>
  <c r="X3692" i="1"/>
  <c r="X3693" i="1"/>
  <c r="X3694" i="1"/>
  <c r="X3702" i="1"/>
  <c r="X3706" i="1"/>
  <c r="X3707" i="1"/>
  <c r="X3710" i="1"/>
  <c r="X3711" i="1"/>
  <c r="X3712" i="1"/>
  <c r="X3713" i="1"/>
  <c r="X3714" i="1"/>
  <c r="X3715" i="1"/>
  <c r="X3717" i="1"/>
  <c r="X3718" i="1"/>
  <c r="X3725" i="1"/>
  <c r="X3726" i="1"/>
  <c r="X3729" i="1"/>
  <c r="X3733" i="1"/>
  <c r="X3734" i="1"/>
  <c r="X3735" i="1"/>
  <c r="X3736" i="1"/>
  <c r="X3737" i="1"/>
  <c r="X3740" i="1"/>
  <c r="X3742" i="1"/>
  <c r="X3743" i="1"/>
  <c r="X3745" i="1"/>
  <c r="X3749" i="1"/>
  <c r="X3751" i="1"/>
  <c r="X3752" i="1"/>
  <c r="X3753" i="1"/>
  <c r="X3754" i="1"/>
  <c r="X3760" i="1"/>
  <c r="X3762" i="1"/>
  <c r="X3763" i="1"/>
  <c r="X3764" i="1"/>
  <c r="X3773" i="1"/>
  <c r="X3778" i="1"/>
  <c r="X3779" i="1"/>
  <c r="X3795" i="1"/>
  <c r="X3799" i="1"/>
  <c r="X3800" i="1"/>
  <c r="X3801" i="1"/>
  <c r="X3802" i="1"/>
  <c r="X3803" i="1"/>
  <c r="X3804" i="1"/>
  <c r="X3810" i="1"/>
  <c r="X3811" i="1"/>
  <c r="X3831" i="1"/>
  <c r="X3834" i="1"/>
  <c r="X3836" i="1"/>
  <c r="X3837" i="1"/>
  <c r="X3838" i="1"/>
  <c r="X3841" i="1"/>
  <c r="X3842" i="1"/>
  <c r="X3852" i="1"/>
  <c r="X3853" i="1"/>
  <c r="X3856" i="1"/>
  <c r="X3857" i="1"/>
  <c r="X3858" i="1"/>
  <c r="X3859" i="1"/>
  <c r="X3860" i="1"/>
  <c r="X3861" i="1"/>
  <c r="X3862" i="1"/>
  <c r="X3863" i="1"/>
  <c r="X3864" i="1"/>
  <c r="X3866" i="1"/>
  <c r="X3867" i="1"/>
  <c r="X3872" i="1"/>
  <c r="X3874" i="1"/>
  <c r="X3876" i="1"/>
  <c r="X3877" i="1"/>
  <c r="X3884" i="1"/>
  <c r="X3885" i="1"/>
  <c r="X3886" i="1"/>
  <c r="X3887" i="1"/>
  <c r="X3891" i="1"/>
  <c r="X3892" i="1"/>
  <c r="X3895" i="1"/>
  <c r="X3897" i="1"/>
  <c r="X3898" i="1"/>
  <c r="X3899" i="1"/>
  <c r="X3900" i="1"/>
  <c r="X3901" i="1"/>
  <c r="X3918" i="1"/>
  <c r="X3927" i="1"/>
  <c r="X3928" i="1"/>
  <c r="X3929" i="1"/>
  <c r="X3930" i="1"/>
  <c r="X3931" i="1"/>
  <c r="X3932" i="1"/>
  <c r="X3933" i="1"/>
  <c r="X3934" i="1"/>
  <c r="X3935" i="1"/>
  <c r="X3936" i="1"/>
  <c r="X3939" i="1"/>
  <c r="X3940" i="1"/>
  <c r="X3941" i="1"/>
  <c r="X3942" i="1"/>
  <c r="X3943" i="1"/>
  <c r="X3948" i="1"/>
  <c r="X3949" i="1"/>
  <c r="X3950" i="1"/>
  <c r="X3951" i="1"/>
  <c r="X3952" i="1"/>
  <c r="X3958" i="1"/>
  <c r="X3959" i="1"/>
  <c r="X3960" i="1"/>
  <c r="X3961" i="1"/>
  <c r="X3962" i="1"/>
  <c r="X3963" i="1"/>
  <c r="X3964" i="1"/>
  <c r="X3972" i="1"/>
  <c r="X3973" i="1"/>
  <c r="X3974" i="1"/>
  <c r="X3975" i="1"/>
  <c r="X3977" i="1"/>
  <c r="X3978" i="1"/>
  <c r="X3979" i="1"/>
  <c r="X3982" i="1"/>
  <c r="X3983" i="1"/>
  <c r="X3985" i="1"/>
  <c r="X3986" i="1"/>
  <c r="X3988" i="1"/>
  <c r="X3989" i="1"/>
  <c r="X3991" i="1"/>
  <c r="X3992" i="1"/>
  <c r="X3993" i="1"/>
  <c r="X3994" i="1"/>
  <c r="X3996" i="1"/>
  <c r="X3997" i="1"/>
  <c r="X3998" i="1"/>
  <c r="X3999" i="1"/>
  <c r="X4000" i="1"/>
  <c r="X4001" i="1"/>
  <c r="X4002" i="1"/>
  <c r="X4003" i="1"/>
  <c r="X4004" i="1"/>
  <c r="X4005" i="1"/>
  <c r="X4006" i="1"/>
  <c r="X4007" i="1"/>
  <c r="X4008" i="1"/>
  <c r="X4009" i="1"/>
  <c r="X4011" i="1"/>
  <c r="X4012" i="1"/>
  <c r="X4013" i="1"/>
  <c r="X4015" i="1"/>
  <c r="X4017" i="1"/>
  <c r="X4018" i="1"/>
  <c r="X4019" i="1"/>
  <c r="X4020" i="1"/>
  <c r="X4023" i="1"/>
  <c r="X4024" i="1"/>
  <c r="X4026" i="1"/>
  <c r="X4027" i="1"/>
  <c r="X4029" i="1"/>
  <c r="X4030" i="1"/>
  <c r="X4031" i="1"/>
  <c r="X4035" i="1"/>
  <c r="X4038" i="1"/>
  <c r="X4039" i="1"/>
  <c r="X4041" i="1"/>
  <c r="X4045" i="1"/>
  <c r="X4046" i="1"/>
  <c r="X4047" i="1"/>
  <c r="X4049" i="1"/>
  <c r="X4050" i="1"/>
  <c r="X4055" i="1"/>
  <c r="X4056" i="1"/>
  <c r="X4057" i="1"/>
  <c r="X4058" i="1"/>
  <c r="X4059" i="1"/>
  <c r="X4061" i="1"/>
  <c r="X4062" i="1"/>
  <c r="X4063" i="1"/>
  <c r="X4067" i="1"/>
  <c r="X4069" i="1"/>
  <c r="X4071" i="1"/>
  <c r="X4072" i="1"/>
  <c r="X4074" i="1"/>
  <c r="X4075" i="1"/>
  <c r="X4077" i="1"/>
  <c r="X4090" i="1"/>
  <c r="X4099" i="1"/>
  <c r="X4100" i="1"/>
  <c r="X4122" i="1"/>
  <c r="X4123" i="1"/>
  <c r="X4124" i="1"/>
  <c r="X4130" i="1"/>
  <c r="X4133" i="1"/>
  <c r="X4135" i="1"/>
  <c r="X4143" i="1"/>
  <c r="X4144" i="1"/>
  <c r="X4145" i="1"/>
  <c r="X4146" i="1"/>
  <c r="X4147" i="1"/>
  <c r="X4148" i="1"/>
  <c r="X4149" i="1"/>
  <c r="X4150" i="1"/>
  <c r="X4151" i="1"/>
  <c r="X4152" i="1"/>
  <c r="X4153" i="1"/>
  <c r="X4172" i="1"/>
  <c r="X4173" i="1"/>
  <c r="X4174" i="1"/>
  <c r="X4175" i="1"/>
  <c r="X4182" i="1"/>
  <c r="X4183" i="1"/>
  <c r="X4184" i="1"/>
  <c r="X4185" i="1"/>
  <c r="Q562" i="1"/>
  <c r="Q3622" i="1"/>
  <c r="Q3723" i="1"/>
  <c r="B159" i="7" l="1"/>
  <c r="B158" i="7"/>
  <c r="B161" i="7"/>
  <c r="B160" i="7"/>
  <c r="P36" i="7"/>
  <c r="Q36" i="7" s="1"/>
  <c r="P2" i="7"/>
  <c r="B173" i="7"/>
  <c r="B172" i="7"/>
  <c r="B175" i="7"/>
  <c r="B174" i="7"/>
  <c r="R36" i="7"/>
  <c r="S36" i="7" s="1"/>
  <c r="R2" i="7"/>
  <c r="B145" i="7"/>
  <c r="B144" i="7"/>
  <c r="B147" i="7"/>
  <c r="B146" i="7"/>
  <c r="N36" i="7"/>
  <c r="O36" i="7" s="1"/>
  <c r="N2" i="7"/>
  <c r="B131" i="7"/>
  <c r="B130" i="7"/>
  <c r="B117" i="7"/>
  <c r="B116" i="7"/>
  <c r="B133" i="7"/>
  <c r="B132" i="7"/>
  <c r="L36" i="7"/>
  <c r="M36" i="7" s="1"/>
  <c r="L2" i="7"/>
  <c r="B103" i="7"/>
  <c r="B102" i="7"/>
  <c r="B89" i="7"/>
  <c r="B88" i="7"/>
  <c r="B119" i="7"/>
  <c r="B118" i="7"/>
  <c r="J36" i="7"/>
  <c r="K36" i="7" s="1"/>
  <c r="J2" i="7"/>
  <c r="B105" i="7"/>
  <c r="B104" i="7"/>
  <c r="H36" i="7"/>
  <c r="I36" i="7" s="1"/>
  <c r="H2" i="7"/>
  <c r="B91" i="7"/>
  <c r="B90" i="7"/>
  <c r="F36" i="7"/>
  <c r="G36" i="7" s="1"/>
  <c r="F2" i="7"/>
  <c r="B75" i="7"/>
  <c r="B74" i="7"/>
  <c r="B77" i="7"/>
  <c r="B76" i="7"/>
  <c r="T36"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8" i="7"/>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S34" i="7"/>
  <c r="S35" i="7"/>
  <c r="I34" i="7"/>
  <c r="I35" i="7"/>
  <c r="T35" i="7"/>
  <c r="N35" i="7"/>
  <c r="J35" i="7"/>
  <c r="F35" i="7"/>
  <c r="U35" i="7"/>
  <c r="O34" i="7" l="1"/>
  <c r="O35" i="7"/>
  <c r="G34" i="7"/>
  <c r="G35" i="7"/>
  <c r="K34" i="7"/>
  <c r="K35" i="7"/>
  <c r="U3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<sst xmlns="http://schemas.openxmlformats.org/spreadsheetml/2006/main" count="88842" uniqueCount="30793">
  <si>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</si>
  <si>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</si>
  <si>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</si>
  <si>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</si>
  <si>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</si>
  <si>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</si>
  <si>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</si>
  <si>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</si>
  <si>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</si>
  <si>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</si>
  <si>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</si>
  <si>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</si>
  <si>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</si>
  <si>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</si>
  <si>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</si>
  <si>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</si>
  <si>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</si>
  <si>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</si>
  <si>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</si>
  <si>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</si>
  <si>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</si>
  <si>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</si>
  <si>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</si>
  <si>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</si>
  <si>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</si>
  <si>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</si>
  <si>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</si>
  <si>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</si>
  <si>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</si>
  <si>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</si>
  <si>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</si>
  <si>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</si>
  <si>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</si>
  <si>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</si>
  <si>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</si>
  <si>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</si>
  <si>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</si>
  <si>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</si>
  <si>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</si>
  <si>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</si>
  <si>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</si>
  <si>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</si>
  <si>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</si>
  <si>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</si>
  <si>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</si>
  <si>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</si>
  <si>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</si>
  <si>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</si>
  <si>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</si>
  <si>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</si>
  <si>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</si>
  <si>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</si>
  <si>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</si>
  <si>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</si>
  <si>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</si>
  <si>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</si>
  <si>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</si>
  <si>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</si>
  <si>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</si>
  <si>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</si>
  <si>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</si>
  <si>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</si>
  <si>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</si>
  <si>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</si>
  <si>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</si>
  <si>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</si>
  <si>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</si>
  <si>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</si>
  <si>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</si>
  <si>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</si>
  <si>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</si>
  <si>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</si>
  <si>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</si>
  <si>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</si>
  <si>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</si>
  <si>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</si>
  <si>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</si>
  <si>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</si>
  <si>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</si>
  <si>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</si>
  <si>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</si>
  <si>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</si>
  <si>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</si>
  <si>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</si>
  <si>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</si>
  <si>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</si>
  <si>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</si>
  <si>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</si>
  <si>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</si>
  <si>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</si>
  <si>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</si>
  <si>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</si>
  <si>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</si>
  <si>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</si>
  <si>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</si>
  <si>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</si>
  <si>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</si>
  <si>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</si>
  <si>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</si>
  <si>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</si>
  <si>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</si>
  <si>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</si>
  <si>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</si>
  <si>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</si>
  <si>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</si>
  <si>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</si>
  <si>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</si>
  <si>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</si>
  <si>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</si>
  <si>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</si>
  <si>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</si>
  <si>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</si>
  <si>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</si>
  <si>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</si>
  <si>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</si>
  <si>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</si>
  <si>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</si>
  <si>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</si>
  <si>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</si>
  <si>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</si>
  <si>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</si>
  <si>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</si>
  <si>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</si>
  <si>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</si>
  <si>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</si>
  <si>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</si>
  <si>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</si>
  <si>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</si>
  <si>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</si>
  <si>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</si>
  <si>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</si>
  <si>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</si>
  <si>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</si>
  <si>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</si>
  <si>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</si>
  <si>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</si>
  <si>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</si>
  <si>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</si>
  <si>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</si>
  <si>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</si>
  <si>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</si>
  <si>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</si>
  <si>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</si>
  <si>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</si>
  <si>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</si>
  <si>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</si>
  <si>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</si>
  <si>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</si>
  <si>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</si>
  <si>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</si>
  <si>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</si>
  <si>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</si>
  <si>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</si>
  <si>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</si>
  <si>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</si>
  <si>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</si>
  <si>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</si>
  <si>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</si>
  <si>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</si>
  <si>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</si>
  <si>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</si>
  <si>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</si>
  <si>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</si>
  <si>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</si>
  <si>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</si>
  <si>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</si>
  <si>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</si>
  <si>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</si>
  <si>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</si>
  <si>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</si>
  <si>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</si>
  <si>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</si>
  <si>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</si>
  <si>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</si>
  <si>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</si>
  <si>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</si>
  <si>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</si>
  <si>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</si>
  <si>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</si>
  <si>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</si>
  <si>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Retweet Count</t>
  </si>
  <si>
    <t>Favorite Count</t>
  </si>
  <si>
    <t>Reply Count</t>
  </si>
  <si>
    <t>Quote Count</t>
  </si>
  <si>
    <t>Impression Count</t>
  </si>
  <si>
    <t>Hashtags in Tweet</t>
  </si>
  <si>
    <t>URLs in Tweet</t>
  </si>
  <si>
    <t>Domains in Tweet</t>
  </si>
  <si>
    <t>Mentions in Tweet</t>
  </si>
  <si>
    <t>Media in Tweet</t>
  </si>
  <si>
    <t>Media Type</t>
  </si>
  <si>
    <t>Source</t>
  </si>
  <si>
    <t>Language</t>
  </si>
  <si>
    <t>Twitter Page for Tweet</t>
  </si>
  <si>
    <t>Tweet Date (UTC)</t>
  </si>
  <si>
    <t>Date</t>
  </si>
  <si>
    <t>Time</t>
  </si>
  <si>
    <t>Possibly Sensitive</t>
  </si>
  <si>
    <t>Place Bounding Box</t>
  </si>
  <si>
    <t>Place Country</t>
  </si>
  <si>
    <t>Place Country Code</t>
  </si>
  <si>
    <t>Place Full Name</t>
  </si>
  <si>
    <t>Place ID</t>
  </si>
  <si>
    <t>Place Name</t>
  </si>
  <si>
    <t>Place Type</t>
  </si>
  <si>
    <t>Media Key</t>
  </si>
  <si>
    <t>Media Duration (ms)</t>
  </si>
  <si>
    <t>Media Height</t>
  </si>
  <si>
    <t>Media Width</t>
  </si>
  <si>
    <t>Media View Count</t>
  </si>
  <si>
    <t>Tweet Image File</t>
  </si>
  <si>
    <t>Imported ID</t>
  </si>
  <si>
    <t>Conversation ID</t>
  </si>
  <si>
    <t>In Reply To User ID</t>
  </si>
  <si>
    <t>In Reply To Tweet ID</t>
  </si>
  <si>
    <t>Quoted Status ID</t>
  </si>
  <si>
    <t>Retweet ID</t>
  </si>
  <si>
    <t>Unified Twitter ID</t>
  </si>
  <si>
    <t>Author ID</t>
  </si>
  <si>
    <t>Poll ID</t>
  </si>
  <si>
    <t>Poll Options</t>
  </si>
  <si>
    <t>Poll Duration</t>
  </si>
  <si>
    <t>Poll End Date</t>
  </si>
  <si>
    <t>Poll Voting Status</t>
  </si>
  <si>
    <t>autobahn1872094</t>
  </si>
  <si>
    <t>tioferini</t>
  </si>
  <si>
    <t>raph4</t>
  </si>
  <si>
    <t>iberoam_xyz</t>
  </si>
  <si>
    <t>leonardope36474</t>
  </si>
  <si>
    <t>luizfabcruz</t>
  </si>
  <si>
    <t>damasiobaixada</t>
  </si>
  <si>
    <t>luhaoshop</t>
  </si>
  <si>
    <t>tvliberal</t>
  </si>
  <si>
    <t>elkedesigner</t>
  </si>
  <si>
    <t>fernandozaidan</t>
  </si>
  <si>
    <t>wictorbispo2020</t>
  </si>
  <si>
    <t>joxj0hn</t>
  </si>
  <si>
    <t>guarulhosonline</t>
  </si>
  <si>
    <t>gfpandolfo</t>
  </si>
  <si>
    <t>falecomromulo</t>
  </si>
  <si>
    <t>idealprojetos</t>
  </si>
  <si>
    <t>linkarbio</t>
  </si>
  <si>
    <t>wmjm1234</t>
  </si>
  <si>
    <t>night7xr</t>
  </si>
  <si>
    <t>vtpodcast_</t>
  </si>
  <si>
    <t>criadordeideias</t>
  </si>
  <si>
    <t>roberto_unger_</t>
  </si>
  <si>
    <t>wagner3m</t>
  </si>
  <si>
    <t>innovadores35</t>
  </si>
  <si>
    <t>gemeosinvestem</t>
  </si>
  <si>
    <t>blumenauagora</t>
  </si>
  <si>
    <t>taniazambon_itz</t>
  </si>
  <si>
    <t>joaozinhodobeck</t>
  </si>
  <si>
    <t>comatletas_l</t>
  </si>
  <si>
    <t>sebrae</t>
  </si>
  <si>
    <t>luizalvaro</t>
  </si>
  <si>
    <t>agitomais</t>
  </si>
  <si>
    <t>aci_scs</t>
  </si>
  <si>
    <t>dqapevidracaria</t>
  </si>
  <si>
    <t>_wsreis</t>
  </si>
  <si>
    <t>alfagates</t>
  </si>
  <si>
    <t>gabriel97ap</t>
  </si>
  <si>
    <t>dr_renatolisboa</t>
  </si>
  <si>
    <t>andrebianchim8</t>
  </si>
  <si>
    <t>jfugice</t>
  </si>
  <si>
    <t>alexbucefalo90</t>
  </si>
  <si>
    <t>motivandoleoes</t>
  </si>
  <si>
    <t>williansantos__</t>
  </si>
  <si>
    <t>maaria__fer</t>
  </si>
  <si>
    <t>ocapitaldigital</t>
  </si>
  <si>
    <t>pciconcursos</t>
  </si>
  <si>
    <t>agencia_noimd</t>
  </si>
  <si>
    <t>drwrocha</t>
  </si>
  <si>
    <t>vagasdesalvador</t>
  </si>
  <si>
    <t>digital4grow</t>
  </si>
  <si>
    <t>linsdoceara</t>
  </si>
  <si>
    <t>focanoimposto</t>
  </si>
  <si>
    <t>ciem_sde</t>
  </si>
  <si>
    <t>flaviopavanelli</t>
  </si>
  <si>
    <t>ysllaoliveira</t>
  </si>
  <si>
    <t>sejatuavontade</t>
  </si>
  <si>
    <t>ppspencersoares</t>
  </si>
  <si>
    <t>grasimancini</t>
  </si>
  <si>
    <t>thiag0_sillva</t>
  </si>
  <si>
    <t>portalconvenios</t>
  </si>
  <si>
    <t>lu_ravi2</t>
  </si>
  <si>
    <t>agoratalks</t>
  </si>
  <si>
    <t>antonellampaiva</t>
  </si>
  <si>
    <t>isabellampassos</t>
  </si>
  <si>
    <t>cnpjlucrativo</t>
  </si>
  <si>
    <t>markusvital11</t>
  </si>
  <si>
    <t>gilsonc59351308</t>
  </si>
  <si>
    <t>manframing</t>
  </si>
  <si>
    <t>roddrigomoraes1</t>
  </si>
  <si>
    <t>victorb_l</t>
  </si>
  <si>
    <t>qualificae</t>
  </si>
  <si>
    <t>maradib10</t>
  </si>
  <si>
    <t>sonogama</t>
  </si>
  <si>
    <t>jqlntls</t>
  </si>
  <si>
    <t>nalydja_gomes</t>
  </si>
  <si>
    <t>beckamaced0</t>
  </si>
  <si>
    <t>sucessoativado</t>
  </si>
  <si>
    <t>megeam</t>
  </si>
  <si>
    <t>panthermkt</t>
  </si>
  <si>
    <t>divulgabasicos</t>
  </si>
  <si>
    <t>bitalk_podcast</t>
  </si>
  <si>
    <t>drleandroq</t>
  </si>
  <si>
    <t>odileygoncalves</t>
  </si>
  <si>
    <t>pdofranchising</t>
  </si>
  <si>
    <t>panflixoficial</t>
  </si>
  <si>
    <t>vrmarson</t>
  </si>
  <si>
    <t>rcnonline_sc</t>
  </si>
  <si>
    <t>fabiosrme</t>
  </si>
  <si>
    <t>lucianogaliotto</t>
  </si>
  <si>
    <t>itaboraisantos</t>
  </si>
  <si>
    <t>jinggaweb_br</t>
  </si>
  <si>
    <t>empreendegoias</t>
  </si>
  <si>
    <t>sandroveiga_</t>
  </si>
  <si>
    <t>raphacoe</t>
  </si>
  <si>
    <t>bazardot</t>
  </si>
  <si>
    <t>igornorado</t>
  </si>
  <si>
    <t>goakira_</t>
  </si>
  <si>
    <t>expoedite</t>
  </si>
  <si>
    <t>maismillionario</t>
  </si>
  <si>
    <t>economia_cafe</t>
  </si>
  <si>
    <t>isoservice</t>
  </si>
  <si>
    <t>peqempresas</t>
  </si>
  <si>
    <t>kyah_borges</t>
  </si>
  <si>
    <t>voxcognitiva</t>
  </si>
  <si>
    <t>sudecobr</t>
  </si>
  <si>
    <t>thanerm</t>
  </si>
  <si>
    <t>infobr_sistemas</t>
  </si>
  <si>
    <t>correiopopular_</t>
  </si>
  <si>
    <t>diegohnrq447</t>
  </si>
  <si>
    <t>coolifebrasil</t>
  </si>
  <si>
    <t>raullsantiago</t>
  </si>
  <si>
    <t>damahcast</t>
  </si>
  <si>
    <t>oseiasgomesof</t>
  </si>
  <si>
    <t>luizaandreiaaa</t>
  </si>
  <si>
    <t>oabpara</t>
  </si>
  <si>
    <t>andre_lug</t>
  </si>
  <si>
    <t>paulove52445139</t>
  </si>
  <si>
    <t>jorgeaguiarmm</t>
  </si>
  <si>
    <t>bacelarcontabil</t>
  </si>
  <si>
    <t>entornohoje</t>
  </si>
  <si>
    <t>editoragente</t>
  </si>
  <si>
    <t>bancadahiphop</t>
  </si>
  <si>
    <t>pablocmara41553</t>
  </si>
  <si>
    <t>sammuelfogaca</t>
  </si>
  <si>
    <t>oericaugusto</t>
  </si>
  <si>
    <t>luizansouto</t>
  </si>
  <si>
    <t>rebeliaocryptos</t>
  </si>
  <si>
    <t>sicoob_amazonia</t>
  </si>
  <si>
    <t>falavinhanext</t>
  </si>
  <si>
    <t>servicesvb30732</t>
  </si>
  <si>
    <t>cherto</t>
  </si>
  <si>
    <t>vitorvalim</t>
  </si>
  <si>
    <t>ecomnapratica</t>
  </si>
  <si>
    <t>degusteadega</t>
  </si>
  <si>
    <t>striglab</t>
  </si>
  <si>
    <t>andreltrs</t>
  </si>
  <si>
    <t>pucgenesis</t>
  </si>
  <si>
    <t>atrativaconta</t>
  </si>
  <si>
    <t>brpaisdigital</t>
  </si>
  <si>
    <t>palmeirajanine</t>
  </si>
  <si>
    <t>diorgenesadvoca</t>
  </si>
  <si>
    <t>glitchkitschas</t>
  </si>
  <si>
    <t>fabysampaio_1</t>
  </si>
  <si>
    <t>tomoliveirafc</t>
  </si>
  <si>
    <t>jutorrecilas</t>
  </si>
  <si>
    <t>sbresults</t>
  </si>
  <si>
    <t>bindwayspartner</t>
  </si>
  <si>
    <t>fitinsur</t>
  </si>
  <si>
    <t>profitoclub</t>
  </si>
  <si>
    <t>barrazine</t>
  </si>
  <si>
    <t>comempresaria</t>
  </si>
  <si>
    <t>dwlcompany</t>
  </si>
  <si>
    <t>softexbr</t>
  </si>
  <si>
    <t>riosdenoticias</t>
  </si>
  <si>
    <t>omieoficial</t>
  </si>
  <si>
    <t>portalgcd</t>
  </si>
  <si>
    <t>ig</t>
  </si>
  <si>
    <t>tio_jobs</t>
  </si>
  <si>
    <t>guidupas</t>
  </si>
  <si>
    <t>gestaumdigital</t>
  </si>
  <si>
    <t>mercadoeconsumo</t>
  </si>
  <si>
    <t>poder_viril</t>
  </si>
  <si>
    <t>patriciacvidal</t>
  </si>
  <si>
    <t>raiamzices</t>
  </si>
  <si>
    <t>ffc_designer</t>
  </si>
  <si>
    <t>eduardoduka</t>
  </si>
  <si>
    <t>_wmbmarketing</t>
  </si>
  <si>
    <t>helioramosjr</t>
  </si>
  <si>
    <t>welingtonseraf1</t>
  </si>
  <si>
    <t>fredericomark</t>
  </si>
  <si>
    <t>assembleia_ce</t>
  </si>
  <si>
    <t>vagaspelomundo</t>
  </si>
  <si>
    <t>oportoneto</t>
  </si>
  <si>
    <t>antonio_twittes</t>
  </si>
  <si>
    <t>jovempansjc</t>
  </si>
  <si>
    <t>conectafreela</t>
  </si>
  <si>
    <t>sipagbrasil</t>
  </si>
  <si>
    <t>automatizeig</t>
  </si>
  <si>
    <t>terinov1</t>
  </si>
  <si>
    <t>chicasbiless</t>
  </si>
  <si>
    <t>elke_pimentel</t>
  </si>
  <si>
    <t>sigguimares</t>
  </si>
  <si>
    <t>oktoberblog</t>
  </si>
  <si>
    <t>83abbeyroad</t>
  </si>
  <si>
    <t>silvanarosaofic</t>
  </si>
  <si>
    <t>michaelgodoy</t>
  </si>
  <si>
    <t>fellipe_1989</t>
  </si>
  <si>
    <t>jessisfonseca</t>
  </si>
  <si>
    <t>beabatributario</t>
  </si>
  <si>
    <t>tom_santiagobr</t>
  </si>
  <si>
    <t>sdnewscatalao</t>
  </si>
  <si>
    <t>cortesdariqueza</t>
  </si>
  <si>
    <t>expertdigitals</t>
  </si>
  <si>
    <t>marciof44736695</t>
  </si>
  <si>
    <t>daniel1995rj</t>
  </si>
  <si>
    <t>jocacamargo2020</t>
  </si>
  <si>
    <t>nextracker</t>
  </si>
  <si>
    <t>onlyisba</t>
  </si>
  <si>
    <t>dantas_daniel_</t>
  </si>
  <si>
    <t>delbraspar</t>
  </si>
  <si>
    <t>chupp_bayyy</t>
  </si>
  <si>
    <t>buzzbytebr</t>
  </si>
  <si>
    <t>williamhuntbr</t>
  </si>
  <si>
    <t>ianworcman</t>
  </si>
  <si>
    <t>silvanamendes9</t>
  </si>
  <si>
    <t>sebraepb</t>
  </si>
  <si>
    <t>valeumaprosa</t>
  </si>
  <si>
    <t>marciokarsten</t>
  </si>
  <si>
    <t>infographya_</t>
  </si>
  <si>
    <t>juniorl737</t>
  </si>
  <si>
    <t>seu_dinheiro_br</t>
  </si>
  <si>
    <t>oadailsonsantos</t>
  </si>
  <si>
    <t>criativaonline1</t>
  </si>
  <si>
    <t>fgv_eaesp</t>
  </si>
  <si>
    <t>barbi_contabil</t>
  </si>
  <si>
    <t>passomilionari0</t>
  </si>
  <si>
    <t>recebeaqui</t>
  </si>
  <si>
    <t>agiwork</t>
  </si>
  <si>
    <t>capitaldajoia</t>
  </si>
  <si>
    <t>paulotec96</t>
  </si>
  <si>
    <t>grupo_centercon</t>
  </si>
  <si>
    <t>paineiraa</t>
  </si>
  <si>
    <t>indanna_gestao</t>
  </si>
  <si>
    <t>fortinetbrasil</t>
  </si>
  <si>
    <t>jornalcontabil_</t>
  </si>
  <si>
    <t>fenaconfed</t>
  </si>
  <si>
    <t>alfeojr</t>
  </si>
  <si>
    <t>ggianni</t>
  </si>
  <si>
    <t>rschollemberg</t>
  </si>
  <si>
    <t>filomenasilva_</t>
  </si>
  <si>
    <t>anoticiapt</t>
  </si>
  <si>
    <t>thaysastaniski</t>
  </si>
  <si>
    <t>marcelozuin</t>
  </si>
  <si>
    <t>lu_buscaroli</t>
  </si>
  <si>
    <t>humbertadvogado</t>
  </si>
  <si>
    <t>magnettomkt</t>
  </si>
  <si>
    <t>janikingbr</t>
  </si>
  <si>
    <t>quemaraseria</t>
  </si>
  <si>
    <t>aesebschool</t>
  </si>
  <si>
    <t>laserchiprj</t>
  </si>
  <si>
    <t>najulinharees</t>
  </si>
  <si>
    <t>swissnexbrazil</t>
  </si>
  <si>
    <t>solvitsc</t>
  </si>
  <si>
    <t>blogconvidado</t>
  </si>
  <si>
    <t>takesdoferini</t>
  </si>
  <si>
    <t>ifmgcongonhas</t>
  </si>
  <si>
    <t>an_mktdigital</t>
  </si>
  <si>
    <t>carlossantosven</t>
  </si>
  <si>
    <t>hypebr7</t>
  </si>
  <si>
    <t>stanley_bittar</t>
  </si>
  <si>
    <t>caesgatos</t>
  </si>
  <si>
    <t>almirrizzatto</t>
  </si>
  <si>
    <t>blakeshadow2126</t>
  </si>
  <si>
    <t>kaua_da027</t>
  </si>
  <si>
    <t>dantao__lindao</t>
  </si>
  <si>
    <t>chatprivado_</t>
  </si>
  <si>
    <t>anderso89334776</t>
  </si>
  <si>
    <t>govparaiba</t>
  </si>
  <si>
    <t>syscoin_space</t>
  </si>
  <si>
    <t>ewertonkleber5</t>
  </si>
  <si>
    <t>cryptoherobr</t>
  </si>
  <si>
    <t>negociosterapia</t>
  </si>
  <si>
    <t>semmassagem5</t>
  </si>
  <si>
    <t>perfilcombrasil</t>
  </si>
  <si>
    <t>jonamenezes</t>
  </si>
  <si>
    <t>in9midia</t>
  </si>
  <si>
    <t>tapasdonegao</t>
  </si>
  <si>
    <t>awkangelo</t>
  </si>
  <si>
    <t>revistaesquinas</t>
  </si>
  <si>
    <t>mais_superior</t>
  </si>
  <si>
    <t>combo5ebooks</t>
  </si>
  <si>
    <t>sebraebahia</t>
  </si>
  <si>
    <t>mcvarnieri</t>
  </si>
  <si>
    <t>russelldobrasil</t>
  </si>
  <si>
    <t>absorvendermico</t>
  </si>
  <si>
    <t>empreended0r_</t>
  </si>
  <si>
    <t>camarasaopaulo</t>
  </si>
  <si>
    <t>uaberta</t>
  </si>
  <si>
    <t>workspacecurit1</t>
  </si>
  <si>
    <t>pipsnacks75</t>
  </si>
  <si>
    <t>americans__real</t>
  </si>
  <si>
    <t>valterlobo1</t>
  </si>
  <si>
    <t>dinheironosaco</t>
  </si>
  <si>
    <t>jcrioclaro</t>
  </si>
  <si>
    <t>arno_rocha</t>
  </si>
  <si>
    <t>mattheus22</t>
  </si>
  <si>
    <t>milionarioscty</t>
  </si>
  <si>
    <t>altaidestorres</t>
  </si>
  <si>
    <t>jorgerafaelcont</t>
  </si>
  <si>
    <t>evandrolima395</t>
  </si>
  <si>
    <t>rulosro</t>
  </si>
  <si>
    <t>pradooluu</t>
  </si>
  <si>
    <t>filipefcf</t>
  </si>
  <si>
    <t>ornilolundgren</t>
  </si>
  <si>
    <t>jonatha_timao</t>
  </si>
  <si>
    <t>gastrocombr</t>
  </si>
  <si>
    <t>fernandomelodn</t>
  </si>
  <si>
    <t>fetrabalho1</t>
  </si>
  <si>
    <t>adalbertopcjr</t>
  </si>
  <si>
    <t>spaceapps_khi</t>
  </si>
  <si>
    <t>carloso36490707</t>
  </si>
  <si>
    <t>diretogroup</t>
  </si>
  <si>
    <t>andersondiego6</t>
  </si>
  <si>
    <t>socanterle</t>
  </si>
  <si>
    <t>salomaoferretti</t>
  </si>
  <si>
    <t>bibliotecacq</t>
  </si>
  <si>
    <t>saassalescombr</t>
  </si>
  <si>
    <t>einvestidor</t>
  </si>
  <si>
    <t>heitormauricio_</t>
  </si>
  <si>
    <t>diario_comercio</t>
  </si>
  <si>
    <t>leonardo_leao3</t>
  </si>
  <si>
    <t>cleber_neris</t>
  </si>
  <si>
    <t>rafaelmilagre</t>
  </si>
  <si>
    <t>agenciafapesp</t>
  </si>
  <si>
    <t>freeclassific</t>
  </si>
  <si>
    <t>euhellenpereira</t>
  </si>
  <si>
    <t>eudanielpena</t>
  </si>
  <si>
    <t>yacov_mutombene</t>
  </si>
  <si>
    <t>sebraegoias</t>
  </si>
  <si>
    <t>nelberezendevfa</t>
  </si>
  <si>
    <t>cbnoficial</t>
  </si>
  <si>
    <t>paulocbastos</t>
  </si>
  <si>
    <t>investindobem_</t>
  </si>
  <si>
    <t>raio_lima</t>
  </si>
  <si>
    <t>nitriomcti</t>
  </si>
  <si>
    <t>nilsonmarques22</t>
  </si>
  <si>
    <t>rejannefranca</t>
  </si>
  <si>
    <t>advicestreinam1</t>
  </si>
  <si>
    <t>suruuuuyo</t>
  </si>
  <si>
    <t>estadaoimoveis</t>
  </si>
  <si>
    <t>ecommerce_br</t>
  </si>
  <si>
    <t>aquarianae_etc</t>
  </si>
  <si>
    <t>venezianolopes</t>
  </si>
  <si>
    <t>msiqueirarafael</t>
  </si>
  <si>
    <t>jovempanentrete</t>
  </si>
  <si>
    <t>bastetmktbr</t>
  </si>
  <si>
    <t>negocproflucrat</t>
  </si>
  <si>
    <t>nanaydeliz</t>
  </si>
  <si>
    <t>mariade10544965</t>
  </si>
  <si>
    <t>juveradvesports</t>
  </si>
  <si>
    <t>inpibrasil</t>
  </si>
  <si>
    <t>wescleygarcia</t>
  </si>
  <si>
    <t>williambcunha</t>
  </si>
  <si>
    <t>odisseiaalfa</t>
  </si>
  <si>
    <t>ibahia</t>
  </si>
  <si>
    <t>aryyandrade</t>
  </si>
  <si>
    <t>brltrabalhador</t>
  </si>
  <si>
    <t>gomalga</t>
  </si>
  <si>
    <t>arnaldopoggi</t>
  </si>
  <si>
    <t>queijodalagoamg</t>
  </si>
  <si>
    <t>denvermoura</t>
  </si>
  <si>
    <t>top1mktdigital</t>
  </si>
  <si>
    <t>semana_inovacao</t>
  </si>
  <si>
    <t>trendnuggetcom</t>
  </si>
  <si>
    <t>vinioescritor</t>
  </si>
  <si>
    <t>web_design_mogi</t>
  </si>
  <si>
    <t>liindaoss</t>
  </si>
  <si>
    <t>subackuponline</t>
  </si>
  <si>
    <t>goncalvesadvs</t>
  </si>
  <si>
    <t>ricamconsult</t>
  </si>
  <si>
    <t>darkin_lf</t>
  </si>
  <si>
    <t>agenciasertao_</t>
  </si>
  <si>
    <t>q20anon30</t>
  </si>
  <si>
    <t>programapanico</t>
  </si>
  <si>
    <t>pauloyossimi</t>
  </si>
  <si>
    <t>9s_fora</t>
  </si>
  <si>
    <t>minumenergia</t>
  </si>
  <si>
    <t>ferininja</t>
  </si>
  <si>
    <t>businessopb</t>
  </si>
  <si>
    <t>mdofranchising</t>
  </si>
  <si>
    <t>sinco_brasil</t>
  </si>
  <si>
    <t>rataoclipes</t>
  </si>
  <si>
    <t>gnadipeh</t>
  </si>
  <si>
    <t>papobiz</t>
  </si>
  <si>
    <t>dudumesquita</t>
  </si>
  <si>
    <t>abcgovbr</t>
  </si>
  <si>
    <t>makifalida</t>
  </si>
  <si>
    <t>cristia37011713</t>
  </si>
  <si>
    <t>lucianogal14001</t>
  </si>
  <si>
    <t>zanettijeff</t>
  </si>
  <si>
    <t>dotnetinstitute</t>
  </si>
  <si>
    <t>marcelostrama_</t>
  </si>
  <si>
    <t>alexpintor_foz</t>
  </si>
  <si>
    <t>ootimistajornal</t>
  </si>
  <si>
    <t>felipelegado</t>
  </si>
  <si>
    <t>theinfoveritas</t>
  </si>
  <si>
    <t>eliaslealmkt</t>
  </si>
  <si>
    <t>tavorecife</t>
  </si>
  <si>
    <t>danielsmcontab</t>
  </si>
  <si>
    <t>murilo_business</t>
  </si>
  <si>
    <t>samuelvcjunior</t>
  </si>
  <si>
    <t>antoniodisouza</t>
  </si>
  <si>
    <t>mere_lani</t>
  </si>
  <si>
    <t>thaylajasmim1</t>
  </si>
  <si>
    <t>desk_coworking</t>
  </si>
  <si>
    <t>ghostwebdigital</t>
  </si>
  <si>
    <t>mujeresswfl</t>
  </si>
  <si>
    <t>aguiaestrategia</t>
  </si>
  <si>
    <t>gleydsonfdutra</t>
  </si>
  <si>
    <t>guto_sales1</t>
  </si>
  <si>
    <t>santos_agora</t>
  </si>
  <si>
    <t>morgado996</t>
  </si>
  <si>
    <t>edbrindes</t>
  </si>
  <si>
    <t>gopage_</t>
  </si>
  <si>
    <t>redepiubr</t>
  </si>
  <si>
    <t>hiperretail</t>
  </si>
  <si>
    <t>percycamilo034</t>
  </si>
  <si>
    <t>digitalistaofic</t>
  </si>
  <si>
    <t>sheron_goveia</t>
  </si>
  <si>
    <t>rafael_opreis</t>
  </si>
  <si>
    <t>desafio75dias</t>
  </si>
  <si>
    <t>guedesia</t>
  </si>
  <si>
    <t>julyano_ma51484</t>
  </si>
  <si>
    <t>marclopezweb</t>
  </si>
  <si>
    <t>hilucasprado</t>
  </si>
  <si>
    <t>allbatrozcont</t>
  </si>
  <si>
    <t>alison__correia</t>
  </si>
  <si>
    <t>samarapaiva_a</t>
  </si>
  <si>
    <t>confeitariaana</t>
  </si>
  <si>
    <t>cursodamasio</t>
  </si>
  <si>
    <t>marcosrroficial</t>
  </si>
  <si>
    <t>nuvemerp</t>
  </si>
  <si>
    <t>sthoudt</t>
  </si>
  <si>
    <t>mrdt88</t>
  </si>
  <si>
    <t>amadorubenn</t>
  </si>
  <si>
    <t>originalsantt</t>
  </si>
  <si>
    <t>jefferson_cxc</t>
  </si>
  <si>
    <t>tarcisiovmiran1</t>
  </si>
  <si>
    <t>mundodmarketing</t>
  </si>
  <si>
    <t>plat_espinosa</t>
  </si>
  <si>
    <t>midiastudio</t>
  </si>
  <si>
    <t>portalgp1</t>
  </si>
  <si>
    <t>pixeldigitalab</t>
  </si>
  <si>
    <t>rogerpost66</t>
  </si>
  <si>
    <t>rafaelamorimofc</t>
  </si>
  <si>
    <t>ricardo83976752</t>
  </si>
  <si>
    <t>oteroking</t>
  </si>
  <si>
    <t>leocrunfli_mkt</t>
  </si>
  <si>
    <t>coppolacontabil</t>
  </si>
  <si>
    <t>ferr_explorer</t>
  </si>
  <si>
    <t>jeovanibcosta</t>
  </si>
  <si>
    <t>terezaomozama</t>
  </si>
  <si>
    <t>othomazmaciel</t>
  </si>
  <si>
    <t>compraintelige3</t>
  </si>
  <si>
    <t>rocketmediapnz</t>
  </si>
  <si>
    <t>corumbaonline1</t>
  </si>
  <si>
    <t>realpauloborba</t>
  </si>
  <si>
    <t>luisdepilmen</t>
  </si>
  <si>
    <t>portal_viva</t>
  </si>
  <si>
    <t>parasubiculum</t>
  </si>
  <si>
    <t>uflabr</t>
  </si>
  <si>
    <t>campuspartybra</t>
  </si>
  <si>
    <t>ia_matheuss</t>
  </si>
  <si>
    <t>deyvidbueno</t>
  </si>
  <si>
    <t>jucemaoficial</t>
  </si>
  <si>
    <t>canalstevejob</t>
  </si>
  <si>
    <t>fosofamiliasv</t>
  </si>
  <si>
    <t>mvcosta22</t>
  </si>
  <si>
    <t>tarcisosouza</t>
  </si>
  <si>
    <t>metalogsoft</t>
  </si>
  <si>
    <t>captablebrasil</t>
  </si>
  <si>
    <t>tecminho</t>
  </si>
  <si>
    <t>espetoflex</t>
  </si>
  <si>
    <t>willianpsouz</t>
  </si>
  <si>
    <t>fronteira_livre</t>
  </si>
  <si>
    <t>abes_software</t>
  </si>
  <si>
    <t>tankkerbr</t>
  </si>
  <si>
    <t>pabloberom</t>
  </si>
  <si>
    <t>bmarketingnew</t>
  </si>
  <si>
    <t>iedfam</t>
  </si>
  <si>
    <t>haraujomkt</t>
  </si>
  <si>
    <t>guerinocolatina</t>
  </si>
  <si>
    <t>acontecendoaqui</t>
  </si>
  <si>
    <t>armandomarcos</t>
  </si>
  <si>
    <t>solutions_iti</t>
  </si>
  <si>
    <t>founderluanda</t>
  </si>
  <si>
    <t>agenciacapella</t>
  </si>
  <si>
    <t>vikainvest</t>
  </si>
  <si>
    <t>danilorecco</t>
  </si>
  <si>
    <t>moncave_space</t>
  </si>
  <si>
    <t>jonathanprobr</t>
  </si>
  <si>
    <t>granjanews</t>
  </si>
  <si>
    <t>rodrigo9231101</t>
  </si>
  <si>
    <t>jjempreendedor</t>
  </si>
  <si>
    <t>alinevcruz</t>
  </si>
  <si>
    <t>epocanegocios</t>
  </si>
  <si>
    <t>agromp</t>
  </si>
  <si>
    <t>feeicompete2030</t>
  </si>
  <si>
    <t>sebrae_ma</t>
  </si>
  <si>
    <t>ci_da_gow</t>
  </si>
  <si>
    <t>cristianrbtc</t>
  </si>
  <si>
    <t>visionarybossk</t>
  </si>
  <si>
    <t>luis_orefice</t>
  </si>
  <si>
    <t>facompcast</t>
  </si>
  <si>
    <t>lopesvmoficial</t>
  </si>
  <si>
    <t>laperch28</t>
  </si>
  <si>
    <t>ativutecnologia</t>
  </si>
  <si>
    <t>costanortenews</t>
  </si>
  <si>
    <t>_aplenitude</t>
  </si>
  <si>
    <t>ok_tudo_bem</t>
  </si>
  <si>
    <t>sebraeto</t>
  </si>
  <si>
    <t>mik4eyso3</t>
  </si>
  <si>
    <t>brasil61_</t>
  </si>
  <si>
    <t>valoramazonico</t>
  </si>
  <si>
    <t>jeronimolucindo</t>
  </si>
  <si>
    <t>somosavante70</t>
  </si>
  <si>
    <t>sanches92512</t>
  </si>
  <si>
    <t>danielbrsoares</t>
  </si>
  <si>
    <t>diamantebruto_</t>
  </si>
  <si>
    <t>impressosrp</t>
  </si>
  <si>
    <t>_mayconalmeida_</t>
  </si>
  <si>
    <t>enoticiapara</t>
  </si>
  <si>
    <t>wtvbrasil</t>
  </si>
  <si>
    <t>danielborgesrj</t>
  </si>
  <si>
    <t>pronewsai</t>
  </si>
  <si>
    <t>celsoteixeiraaa</t>
  </si>
  <si>
    <t>brandingthiel</t>
  </si>
  <si>
    <t>niteroipref</t>
  </si>
  <si>
    <t>coddymoda</t>
  </si>
  <si>
    <t>dcconsultorias</t>
  </si>
  <si>
    <t>gpaivacfpaiva</t>
  </si>
  <si>
    <t>beebeey_</t>
  </si>
  <si>
    <t>diasriccardo</t>
  </si>
  <si>
    <t>craceara</t>
  </si>
  <si>
    <t>digital_online_</t>
  </si>
  <si>
    <t>jullieziiinha</t>
  </si>
  <si>
    <t>cpcibarra1</t>
  </si>
  <si>
    <t>fer_scatolin</t>
  </si>
  <si>
    <t>escolatgeracao</t>
  </si>
  <si>
    <t>logistingdigits</t>
  </si>
  <si>
    <t>eduardomads</t>
  </si>
  <si>
    <t>ganheijogando</t>
  </si>
  <si>
    <t>pde360</t>
  </si>
  <si>
    <t>steffynotion</t>
  </si>
  <si>
    <t>hpgmmed</t>
  </si>
  <si>
    <t>marcosmentoria</t>
  </si>
  <si>
    <t>vitornascimen</t>
  </si>
  <si>
    <t>easycoboficial</t>
  </si>
  <si>
    <t>diariodominho</t>
  </si>
  <si>
    <t>40_emais</t>
  </si>
  <si>
    <t>angelv0108</t>
  </si>
  <si>
    <t>kenya_juli</t>
  </si>
  <si>
    <t>luciferrogue</t>
  </si>
  <si>
    <t>luizthiagoma</t>
  </si>
  <si>
    <t>orestesleal1</t>
  </si>
  <si>
    <t>auddas_</t>
  </si>
  <si>
    <t>wydenaracatuba</t>
  </si>
  <si>
    <t>mosscaxyz</t>
  </si>
  <si>
    <t>mbuenomr</t>
  </si>
  <si>
    <t>grupo2mi</t>
  </si>
  <si>
    <t>desouzasc</t>
  </si>
  <si>
    <t>maquininhaton1</t>
  </si>
  <si>
    <t>fincatchoficial</t>
  </si>
  <si>
    <t>focuscontabili2</t>
  </si>
  <si>
    <t>sr__info</t>
  </si>
  <si>
    <t>sebrae_pr</t>
  </si>
  <si>
    <t>certform</t>
  </si>
  <si>
    <t>anderson_ajon</t>
  </si>
  <si>
    <t>cra_es</t>
  </si>
  <si>
    <t>gazetaexpressa</t>
  </si>
  <si>
    <t>lucasalexneves1</t>
  </si>
  <si>
    <t>nossomeio</t>
  </si>
  <si>
    <t>gestaolideranca</t>
  </si>
  <si>
    <t>sobre_rodrigo</t>
  </si>
  <si>
    <t>jornal_panorama</t>
  </si>
  <si>
    <t>moura_marcas</t>
  </si>
  <si>
    <t>geovanaamuller</t>
  </si>
  <si>
    <t>vinnyvads</t>
  </si>
  <si>
    <t>porconildo</t>
  </si>
  <si>
    <t>rresendeoficial</t>
  </si>
  <si>
    <t>fecomercioto</t>
  </si>
  <si>
    <t>galassolobo</t>
  </si>
  <si>
    <t>milaadm</t>
  </si>
  <si>
    <t>vhbmartins</t>
  </si>
  <si>
    <t>governodabahia</t>
  </si>
  <si>
    <t>apeccoficial</t>
  </si>
  <si>
    <t>roberto_vilela</t>
  </si>
  <si>
    <t>leiamoneytimes</t>
  </si>
  <si>
    <t>rfiguralima</t>
  </si>
  <si>
    <t>sonoticiaboaofc</t>
  </si>
  <si>
    <t>pablounindo</t>
  </si>
  <si>
    <t>thetryum</t>
  </si>
  <si>
    <t>peuquerio</t>
  </si>
  <si>
    <t>josuemarks_ofc</t>
  </si>
  <si>
    <t>fernandovitolo</t>
  </si>
  <si>
    <t>execsy</t>
  </si>
  <si>
    <t>conexoamaznica1</t>
  </si>
  <si>
    <t>bitcoinecashbr</t>
  </si>
  <si>
    <t>mundoprodutos</t>
  </si>
  <si>
    <t>lavidaparada</t>
  </si>
  <si>
    <t>aligombr</t>
  </si>
  <si>
    <t>portalvalentlna</t>
  </si>
  <si>
    <t>paullosergioz7</t>
  </si>
  <si>
    <t>ludsonsilva15</t>
  </si>
  <si>
    <t>obrasdigitais</t>
  </si>
  <si>
    <t>valormilionario</t>
  </si>
  <si>
    <t>bernardokikuthi</t>
  </si>
  <si>
    <t>futuroservicos</t>
  </si>
  <si>
    <t>robfelix</t>
  </si>
  <si>
    <t>opretojohn</t>
  </si>
  <si>
    <t>pauloro15660532</t>
  </si>
  <si>
    <t>delicias_dmaria</t>
  </si>
  <si>
    <t>andrecolles</t>
  </si>
  <si>
    <t>fabriziohraofc</t>
  </si>
  <si>
    <t>turismoportugal</t>
  </si>
  <si>
    <t>tvsenado</t>
  </si>
  <si>
    <t>jc_rs</t>
  </si>
  <si>
    <t>haruki_br</t>
  </si>
  <si>
    <t>tmota_contabil</t>
  </si>
  <si>
    <t>viktorrossa</t>
  </si>
  <si>
    <t>todxsbrasil</t>
  </si>
  <si>
    <t>tomasacentuado</t>
  </si>
  <si>
    <t>veritascuritiba</t>
  </si>
  <si>
    <t>grifoart</t>
  </si>
  <si>
    <t>buuk_ad</t>
  </si>
  <si>
    <t>garciaimoveis</t>
  </si>
  <si>
    <t>passanuma</t>
  </si>
  <si>
    <t>iberezanski</t>
  </si>
  <si>
    <t>tax_infinity</t>
  </si>
  <si>
    <t>wkalaes</t>
  </si>
  <si>
    <t>fernandoxucrobr</t>
  </si>
  <si>
    <t>chatguruoficial</t>
  </si>
  <si>
    <t>cupomention</t>
  </si>
  <si>
    <t>profcrisricardo</t>
  </si>
  <si>
    <t>fluir_ibg</t>
  </si>
  <si>
    <t>smartweb_info</t>
  </si>
  <si>
    <t>revininvest</t>
  </si>
  <si>
    <t>prefesaraquari</t>
  </si>
  <si>
    <t>prodcastexplore</t>
  </si>
  <si>
    <t>samuelg07559905</t>
  </si>
  <si>
    <t>vegasstore14</t>
  </si>
  <si>
    <t>ericjolopes</t>
  </si>
  <si>
    <t>sing_comunica</t>
  </si>
  <si>
    <t>mercadoerotico1</t>
  </si>
  <si>
    <t>gabrielispoiler</t>
  </si>
  <si>
    <t>galaxpay</t>
  </si>
  <si>
    <t>jornaldooeste</t>
  </si>
  <si>
    <t>gleycontorquato</t>
  </si>
  <si>
    <t>giovanimattoss</t>
  </si>
  <si>
    <t>nandotosi</t>
  </si>
  <si>
    <t>uerj_oficial</t>
  </si>
  <si>
    <t>kleber_zonaro</t>
  </si>
  <si>
    <t>rikypai</t>
  </si>
  <si>
    <t>campos_machado</t>
  </si>
  <si>
    <t>efraimfilho</t>
  </si>
  <si>
    <t>affiliatetiki</t>
  </si>
  <si>
    <t>voz_do_litoral</t>
  </si>
  <si>
    <t>marciopominaj</t>
  </si>
  <si>
    <t>raquelsampaiors</t>
  </si>
  <si>
    <t>clsomon</t>
  </si>
  <si>
    <t>dinheirama</t>
  </si>
  <si>
    <t>negociosenvnzla</t>
  </si>
  <si>
    <t>joaodabipo</t>
  </si>
  <si>
    <t>mpatinha</t>
  </si>
  <si>
    <t>lieneide</t>
  </si>
  <si>
    <t>paitadoscortes</t>
  </si>
  <si>
    <t>tecnologiastek</t>
  </si>
  <si>
    <t>prefsjs</t>
  </si>
  <si>
    <t>josiel_at</t>
  </si>
  <si>
    <t>sebraenodf</t>
  </si>
  <si>
    <t>nerimarmendes</t>
  </si>
  <si>
    <t>letciamachador3</t>
  </si>
  <si>
    <t>magnabarbosa10</t>
  </si>
  <si>
    <t>exito_oficial</t>
  </si>
  <si>
    <t>crismartinin2</t>
  </si>
  <si>
    <t>dishumor</t>
  </si>
  <si>
    <t>acasolhepague</t>
  </si>
  <si>
    <t>escolariopreto</t>
  </si>
  <si>
    <t>alamin42213</t>
  </si>
  <si>
    <t>grupojbg3</t>
  </si>
  <si>
    <t>rafaelr36886877</t>
  </si>
  <si>
    <t>bbgtelecom_</t>
  </si>
  <si>
    <t>barbosamari_</t>
  </si>
  <si>
    <t>josivalbezerra</t>
  </si>
  <si>
    <t>alexandre_koch</t>
  </si>
  <si>
    <t>ricgaldino</t>
  </si>
  <si>
    <t>tribuna_hoje</t>
  </si>
  <si>
    <t>tipzar_io</t>
  </si>
  <si>
    <t>santannareal_</t>
  </si>
  <si>
    <t>lfscontadora</t>
  </si>
  <si>
    <t>beto9andrades</t>
  </si>
  <si>
    <t>viccarijonny</t>
  </si>
  <si>
    <t>smartdefenceidd</t>
  </si>
  <si>
    <t>caiiohenriquetv</t>
  </si>
  <si>
    <t>sindpdce</t>
  </si>
  <si>
    <t>hiltonboss90841</t>
  </si>
  <si>
    <t>lincoln2pac</t>
  </si>
  <si>
    <t>angelomcanuto</t>
  </si>
  <si>
    <t>maraisamatos</t>
  </si>
  <si>
    <t>learnknowd</t>
  </si>
  <si>
    <t>tiagofr29</t>
  </si>
  <si>
    <t>allandonega</t>
  </si>
  <si>
    <t>jhonata0ficial</t>
  </si>
  <si>
    <t>carufernandes</t>
  </si>
  <si>
    <t>imcubaangola</t>
  </si>
  <si>
    <t>zacombisk</t>
  </si>
  <si>
    <t>easybiznegocios</t>
  </si>
  <si>
    <t>setor_saude</t>
  </si>
  <si>
    <t>jerlan_7</t>
  </si>
  <si>
    <t>mindtekbr</t>
  </si>
  <si>
    <t>awebmor</t>
  </si>
  <si>
    <t>dolcarajas</t>
  </si>
  <si>
    <t>victorgaete</t>
  </si>
  <si>
    <t>em_com</t>
  </si>
  <si>
    <t>briandordevic</t>
  </si>
  <si>
    <t>jbcanovas</t>
  </si>
  <si>
    <t>universidaderat</t>
  </si>
  <si>
    <t>thiagoireland</t>
  </si>
  <si>
    <t>nimzoindia__</t>
  </si>
  <si>
    <t>radunz_carlos</t>
  </si>
  <si>
    <t>diogo_andreia32</t>
  </si>
  <si>
    <t>andrea0170</t>
  </si>
  <si>
    <t>henriquearake</t>
  </si>
  <si>
    <t>wagnerreisch</t>
  </si>
  <si>
    <t>byjonesarruda</t>
  </si>
  <si>
    <t>pedrohcmeira</t>
  </si>
  <si>
    <t>tudosoonline</t>
  </si>
  <si>
    <t>novaeraestrateg</t>
  </si>
  <si>
    <t>sorayaguillenl</t>
  </si>
  <si>
    <t>alanpernanchini</t>
  </si>
  <si>
    <t>roabreu93</t>
  </si>
  <si>
    <t>universidadefm</t>
  </si>
  <si>
    <t>eclcontabil</t>
  </si>
  <si>
    <t>murilogaldinopb</t>
  </si>
  <si>
    <t>hofmkt</t>
  </si>
  <si>
    <t>proffavoretto</t>
  </si>
  <si>
    <t>metalomega</t>
  </si>
  <si>
    <t>ricardorocha_rr</t>
  </si>
  <si>
    <t>orcose</t>
  </si>
  <si>
    <t>andlopezga</t>
  </si>
  <si>
    <t>markj_ohnson</t>
  </si>
  <si>
    <t>fernando_fotos</t>
  </si>
  <si>
    <t>brunogomez_ofc</t>
  </si>
  <si>
    <t>u_madeira</t>
  </si>
  <si>
    <t>vaniofortes</t>
  </si>
  <si>
    <t>mj_empreendedor</t>
  </si>
  <si>
    <t>centrosbdc</t>
  </si>
  <si>
    <t>expandindo23</t>
  </si>
  <si>
    <t>ricard0agt</t>
  </si>
  <si>
    <t>baruerinaweb</t>
  </si>
  <si>
    <t>correa899</t>
  </si>
  <si>
    <t>presleyson</t>
  </si>
  <si>
    <t>drarenatamatias</t>
  </si>
  <si>
    <t>paulodallanoram</t>
  </si>
  <si>
    <t>franchise_store</t>
  </si>
  <si>
    <t>expressstore05</t>
  </si>
  <si>
    <t>cesarlandivar2</t>
  </si>
  <si>
    <t>mdftecnologia</t>
  </si>
  <si>
    <t>econusabr</t>
  </si>
  <si>
    <t>bravacapital</t>
  </si>
  <si>
    <t>pontocom_new</t>
  </si>
  <si>
    <t>magominimalista</t>
  </si>
  <si>
    <t>oleonardodantas</t>
  </si>
  <si>
    <t>ipm_solution</t>
  </si>
  <si>
    <t>autonewsbr</t>
  </si>
  <si>
    <t>mateuscosta781</t>
  </si>
  <si>
    <t>bastian_h5</t>
  </si>
  <si>
    <t>memeirosm</t>
  </si>
  <si>
    <t>vidigalsergio</t>
  </si>
  <si>
    <t>tribunapr</t>
  </si>
  <si>
    <t>marco_qgnet</t>
  </si>
  <si>
    <t>crisiloose</t>
  </si>
  <si>
    <t>gisellivieira</t>
  </si>
  <si>
    <t>capedebr</t>
  </si>
  <si>
    <t>fasqueindia</t>
  </si>
  <si>
    <t>cidamuniz</t>
  </si>
  <si>
    <t>profpcavalcante</t>
  </si>
  <si>
    <t>oconfeiteirodig</t>
  </si>
  <si>
    <t>webcermkt</t>
  </si>
  <si>
    <t>blogfalandotech</t>
  </si>
  <si>
    <t>sahmarroni</t>
  </si>
  <si>
    <t>webthomaz</t>
  </si>
  <si>
    <t>cttmauricio</t>
  </si>
  <si>
    <t>fabriziobijottl</t>
  </si>
  <si>
    <t>anne_clm07</t>
  </si>
  <si>
    <t>brainbriliant</t>
  </si>
  <si>
    <t>fapesq_pb</t>
  </si>
  <si>
    <t>carbiowaqued</t>
  </si>
  <si>
    <t>ricardobaratela</t>
  </si>
  <si>
    <t>cristian_huff</t>
  </si>
  <si>
    <t>dattabusiness</t>
  </si>
  <si>
    <t>jorginhoemonica</t>
  </si>
  <si>
    <t>domingostsucane</t>
  </si>
  <si>
    <t>paulinhothor</t>
  </si>
  <si>
    <t>valuehostbrasil</t>
  </si>
  <si>
    <t>unifesp</t>
  </si>
  <si>
    <t>marcoantoniorfs</t>
  </si>
  <si>
    <t>pwnluanda</t>
  </si>
  <si>
    <t>fundacaobb</t>
  </si>
  <si>
    <t>freelucasg</t>
  </si>
  <si>
    <t>luzimarcarp</t>
  </si>
  <si>
    <t>rev_sambiental</t>
  </si>
  <si>
    <t>caboverdigital</t>
  </si>
  <si>
    <t>renanbarbalho_</t>
  </si>
  <si>
    <t>cortesvisionari</t>
  </si>
  <si>
    <t>juntosaosucesso</t>
  </si>
  <si>
    <t>quickeningmkt</t>
  </si>
  <si>
    <t>cabimbacorporat</t>
  </si>
  <si>
    <t>pt_rrnacional</t>
  </si>
  <si>
    <t>baracho_ka59892</t>
  </si>
  <si>
    <t>gaby_nunes142</t>
  </si>
  <si>
    <t>naseemjamaa</t>
  </si>
  <si>
    <t>6villcam</t>
  </si>
  <si>
    <t>cristinersoares</t>
  </si>
  <si>
    <t>kevinkleinreal</t>
  </si>
  <si>
    <t>celsodomingos</t>
  </si>
  <si>
    <t>sarah_sant1261</t>
  </si>
  <si>
    <t>mackenzie1870</t>
  </si>
  <si>
    <t>lerlanger</t>
  </si>
  <si>
    <t>geckocripto</t>
  </si>
  <si>
    <t>c4rim</t>
  </si>
  <si>
    <t>nilofalves</t>
  </si>
  <si>
    <t>cascaistiago</t>
  </si>
  <si>
    <t>superjovem8</t>
  </si>
  <si>
    <t>the_nomadship</t>
  </si>
  <si>
    <t>pmibahia</t>
  </si>
  <si>
    <t>anbabrasilarabe</t>
  </si>
  <si>
    <t>leobegin</t>
  </si>
  <si>
    <t>mspontocom</t>
  </si>
  <si>
    <t>sebraeminas</t>
  </si>
  <si>
    <t>sebraesp</t>
  </si>
  <si>
    <t>pegntv</t>
  </si>
  <si>
    <t>sebraems</t>
  </si>
  <si>
    <t>basjoilson</t>
  </si>
  <si>
    <t>betacodexpress</t>
  </si>
  <si>
    <t>diegoskda</t>
  </si>
  <si>
    <t>sharlotsandim1</t>
  </si>
  <si>
    <t>rhupgrade</t>
  </si>
  <si>
    <t>urtado_cesar</t>
  </si>
  <si>
    <t>iqoption_pt</t>
  </si>
  <si>
    <t>santoscancio</t>
  </si>
  <si>
    <t>liibebox</t>
  </si>
  <si>
    <t>alejodicovsky</t>
  </si>
  <si>
    <t>serraempauta</t>
  </si>
  <si>
    <t>omatheusbonitao</t>
  </si>
  <si>
    <t>viniciusown</t>
  </si>
  <si>
    <t>sandrapedroso</t>
  </si>
  <si>
    <t>andersonkouzaca</t>
  </si>
  <si>
    <t>maynardbarreto</t>
  </si>
  <si>
    <t>diegoaraujots</t>
  </si>
  <si>
    <t>blogdohiel</t>
  </si>
  <si>
    <t>hablasraiam</t>
  </si>
  <si>
    <t>rodrigobru25208</t>
  </si>
  <si>
    <t>governodoamapa</t>
  </si>
  <si>
    <t>eloconsultoria_</t>
  </si>
  <si>
    <t>leoamachado</t>
  </si>
  <si>
    <t>manoelsantosmkt</t>
  </si>
  <si>
    <t>kainanbelato</t>
  </si>
  <si>
    <t>vowtecommerce</t>
  </si>
  <si>
    <t>brmarquespro</t>
  </si>
  <si>
    <t>alphazinfoda</t>
  </si>
  <si>
    <t>daroltbruno</t>
  </si>
  <si>
    <t>k12prospects</t>
  </si>
  <si>
    <t>jc_james_clark</t>
  </si>
  <si>
    <t>empire_blues</t>
  </si>
  <si>
    <t>startupblogpt</t>
  </si>
  <si>
    <t>seappara</t>
  </si>
  <si>
    <t>ai_porto</t>
  </si>
  <si>
    <t>meioemensagem</t>
  </si>
  <si>
    <t>eusoureggi</t>
  </si>
  <si>
    <t>prefcriciuma</t>
  </si>
  <si>
    <t>andrelajst</t>
  </si>
  <si>
    <t>esteticadieny</t>
  </si>
  <si>
    <t>pedromar1no</t>
  </si>
  <si>
    <t>exemplusconsult</t>
  </si>
  <si>
    <t>organico27643</t>
  </si>
  <si>
    <t>lionsmarcas</t>
  </si>
  <si>
    <t>diegoalvesfot</t>
  </si>
  <si>
    <t>jennybunny222</t>
  </si>
  <si>
    <t>jornaltribunaa</t>
  </si>
  <si>
    <t>economicnewsbr</t>
  </si>
  <si>
    <t>pravaler</t>
  </si>
  <si>
    <t>bolchenik</t>
  </si>
  <si>
    <t>governodorn</t>
  </si>
  <si>
    <t>bbcnews</t>
  </si>
  <si>
    <t>alexandrecruz</t>
  </si>
  <si>
    <t>natisoares66</t>
  </si>
  <si>
    <t>dafdaf1313</t>
  </si>
  <si>
    <t>seniorconsbr</t>
  </si>
  <si>
    <t>illuminiumnativ</t>
  </si>
  <si>
    <t>_portalopoder</t>
  </si>
  <si>
    <t>maiafilippe</t>
  </si>
  <si>
    <t>vidasimples</t>
  </si>
  <si>
    <t>sebraepe</t>
  </si>
  <si>
    <t>limclown</t>
  </si>
  <si>
    <t>naoehoproblem</t>
  </si>
  <si>
    <t>tartarott</t>
  </si>
  <si>
    <t>riansousa_ofc</t>
  </si>
  <si>
    <t>versa_brasil</t>
  </si>
  <si>
    <t>yagorei96433928</t>
  </si>
  <si>
    <t>frontendcee</t>
  </si>
  <si>
    <t>cakecomunicacao</t>
  </si>
  <si>
    <t>ibti_ict</t>
  </si>
  <si>
    <t>udesc_esag</t>
  </si>
  <si>
    <t>mediaribeiro</t>
  </si>
  <si>
    <t>maraujocontabil</t>
  </si>
  <si>
    <t>mwanamukongo</t>
  </si>
  <si>
    <t>divulgaragencia</t>
  </si>
  <si>
    <t>nebulahousetech</t>
  </si>
  <si>
    <t>rotafruticultu1</t>
  </si>
  <si>
    <t>joaonetoupcont</t>
  </si>
  <si>
    <t>rascunhoagencia</t>
  </si>
  <si>
    <t>anapauladahlke</t>
  </si>
  <si>
    <t>nick_piercing</t>
  </si>
  <si>
    <t>lojaxiririca</t>
  </si>
  <si>
    <t>sistemaischolar</t>
  </si>
  <si>
    <t>tropicalhub</t>
  </si>
  <si>
    <t>economiasc1</t>
  </si>
  <si>
    <t>fcqadvogados</t>
  </si>
  <si>
    <t>aires_nunes</t>
  </si>
  <si>
    <t>domingo36416058</t>
  </si>
  <si>
    <t>empresasjornal</t>
  </si>
  <si>
    <t>feriniinsights</t>
  </si>
  <si>
    <t>universalctb</t>
  </si>
  <si>
    <t>jomar_falcao</t>
  </si>
  <si>
    <t>gabypanizcoach</t>
  </si>
  <si>
    <t>prefmanaus</t>
  </si>
  <si>
    <t>traderwedson</t>
  </si>
  <si>
    <t>ivonesilva</t>
  </si>
  <si>
    <t>salvadorsefaz</t>
  </si>
  <si>
    <t>lucasmirandaad</t>
  </si>
  <si>
    <t>rogeriowilbert</t>
  </si>
  <si>
    <t>tvcultura</t>
  </si>
  <si>
    <t>esceips</t>
  </si>
  <si>
    <t>colaboraprojeto</t>
  </si>
  <si>
    <t>keevosolucoes</t>
  </si>
  <si>
    <t>contabilocd</t>
  </si>
  <si>
    <t>notic_entretmto</t>
  </si>
  <si>
    <t>abimarburitijr</t>
  </si>
  <si>
    <t>performandovida</t>
  </si>
  <si>
    <t>kenlobr</t>
  </si>
  <si>
    <t>expofavelaceara</t>
  </si>
  <si>
    <t>p_prefeitura</t>
  </si>
  <si>
    <t>chefpizzaiolo</t>
  </si>
  <si>
    <t>raulluis09kkii</t>
  </si>
  <si>
    <t>gabriel1071883</t>
  </si>
  <si>
    <t>fxbankbr</t>
  </si>
  <si>
    <t>itamar_borges</t>
  </si>
  <si>
    <t>xscavuzzi</t>
  </si>
  <si>
    <t>omelhortrato</t>
  </si>
  <si>
    <t>mundocoop</t>
  </si>
  <si>
    <t>literarysink</t>
  </si>
  <si>
    <t>vini_rocha2001</t>
  </si>
  <si>
    <t>audifaz_</t>
  </si>
  <si>
    <t>nandabarbosacrf</t>
  </si>
  <si>
    <t>guedinhajo</t>
  </si>
  <si>
    <t>fabiolaterapia</t>
  </si>
  <si>
    <t>realvictorhugog</t>
  </si>
  <si>
    <t>fortmetalurgica</t>
  </si>
  <si>
    <t>soudiegooliveir</t>
  </si>
  <si>
    <t>empreendacg</t>
  </si>
  <si>
    <t>blogtemevento</t>
  </si>
  <si>
    <t>vagner_caldas</t>
  </si>
  <si>
    <t>e_markar</t>
  </si>
  <si>
    <t>rcaio_03</t>
  </si>
  <si>
    <t>ventiladorfs</t>
  </si>
  <si>
    <t>sejadonnes</t>
  </si>
  <si>
    <t>hesseldjones</t>
  </si>
  <si>
    <t>amamosavidareal</t>
  </si>
  <si>
    <t>apo_source_pt</t>
  </si>
  <si>
    <t>tatianafedatto_</t>
  </si>
  <si>
    <t>falabarreiras</t>
  </si>
  <si>
    <t>prefeitura_poa</t>
  </si>
  <si>
    <t>growingscape</t>
  </si>
  <si>
    <t>jecikaoli</t>
  </si>
  <si>
    <t>publicados01</t>
  </si>
  <si>
    <t>innov_empreenda</t>
  </si>
  <si>
    <t>bangurgentenews</t>
  </si>
  <si>
    <t>nossobairrojpa</t>
  </si>
  <si>
    <t>marielebla84671</t>
  </si>
  <si>
    <t>abravidro</t>
  </si>
  <si>
    <t>ocaminhooposto</t>
  </si>
  <si>
    <t>psicauan</t>
  </si>
  <si>
    <t>novo30santos</t>
  </si>
  <si>
    <t>emilianobsantos</t>
  </si>
  <si>
    <t>odvixo</t>
  </si>
  <si>
    <t>lobscontabilid1</t>
  </si>
  <si>
    <t>iapmei</t>
  </si>
  <si>
    <t>chaveiroponte</t>
  </si>
  <si>
    <t>claudioedantas</t>
  </si>
  <si>
    <t>d_fontenelle</t>
  </si>
  <si>
    <t>carreiraprof_cp</t>
  </si>
  <si>
    <t>wagnerg05929100</t>
  </si>
  <si>
    <t>diogo_alt_tab</t>
  </si>
  <si>
    <t>totalservicecon</t>
  </si>
  <si>
    <t>prozaccomlimao</t>
  </si>
  <si>
    <t>odilondeborba</t>
  </si>
  <si>
    <t>damasioaracatub</t>
  </si>
  <si>
    <t>melquilima_</t>
  </si>
  <si>
    <t>project1porcent</t>
  </si>
  <si>
    <t>nicolasworkonli</t>
  </si>
  <si>
    <t>fraseswinbr</t>
  </si>
  <si>
    <t>8nineteenprolab</t>
  </si>
  <si>
    <t>criarteitu</t>
  </si>
  <si>
    <t>fabricioviana</t>
  </si>
  <si>
    <t>cleverlacerda</t>
  </si>
  <si>
    <t>jailson_da</t>
  </si>
  <si>
    <t>_amandasantos09</t>
  </si>
  <si>
    <t>cris91390163</t>
  </si>
  <si>
    <t>matheusarzua</t>
  </si>
  <si>
    <t>orbiconecta</t>
  </si>
  <si>
    <t>g1</t>
  </si>
  <si>
    <t>ederson_melo</t>
  </si>
  <si>
    <t>adriano0406038</t>
  </si>
  <si>
    <t>governope</t>
  </si>
  <si>
    <t>unhasdedeusa</t>
  </si>
  <si>
    <t>cufa_es</t>
  </si>
  <si>
    <t>hojemaisata</t>
  </si>
  <si>
    <t>mais_educativa</t>
  </si>
  <si>
    <t>clmcontroller</t>
  </si>
  <si>
    <t>evolucaoge</t>
  </si>
  <si>
    <t>abrahosting</t>
  </si>
  <si>
    <t>alereiscontador</t>
  </si>
  <si>
    <t>_martcon</t>
  </si>
  <si>
    <t>vautomatizar</t>
  </si>
  <si>
    <t>carquimilion</t>
  </si>
  <si>
    <t>juristecadv</t>
  </si>
  <si>
    <t>esmktdigital</t>
  </si>
  <si>
    <t>revistaatoz</t>
  </si>
  <si>
    <t>psdweb</t>
  </si>
  <si>
    <t>celsomellani</t>
  </si>
  <si>
    <t>pref_anchietaes</t>
  </si>
  <si>
    <t>alinesabrinax</t>
  </si>
  <si>
    <t>walves__</t>
  </si>
  <si>
    <t>dcomercio1</t>
  </si>
  <si>
    <t>nazareamarga</t>
  </si>
  <si>
    <t>cufa_brasil</t>
  </si>
  <si>
    <t>kamayvc</t>
  </si>
  <si>
    <t>pinkainnovacion</t>
  </si>
  <si>
    <t>parthquote</t>
  </si>
  <si>
    <t>douglas_scn</t>
  </si>
  <si>
    <t>rapperpirata</t>
  </si>
  <si>
    <t>carvalho_rick</t>
  </si>
  <si>
    <t>caioneto2</t>
  </si>
  <si>
    <t>pacosantos56370</t>
  </si>
  <si>
    <t>tatifeuanalista</t>
  </si>
  <si>
    <t>aninhaperfil8</t>
  </si>
  <si>
    <t>hachicasamais</t>
  </si>
  <si>
    <t>sulminastv</t>
  </si>
  <si>
    <t>upsilontoledo</t>
  </si>
  <si>
    <t>scalodigital</t>
  </si>
  <si>
    <t>cidade_ama</t>
  </si>
  <si>
    <t>prmarcosbomfim</t>
  </si>
  <si>
    <t>julioreis78</t>
  </si>
  <si>
    <t>__mentesucesso</t>
  </si>
  <si>
    <t>uninterpicos</t>
  </si>
  <si>
    <t>costamiguel1984</t>
  </si>
  <si>
    <t>imprensaberta</t>
  </si>
  <si>
    <t>penedagerestv</t>
  </si>
  <si>
    <t>alexkid18734651</t>
  </si>
  <si>
    <t>beyourscompany</t>
  </si>
  <si>
    <t>tempodenegocio</t>
  </si>
  <si>
    <t>newscatarina</t>
  </si>
  <si>
    <t>onjornal1</t>
  </si>
  <si>
    <t>barbara_alcan</t>
  </si>
  <si>
    <t>workshopdantas</t>
  </si>
  <si>
    <t>diarioudi</t>
  </si>
  <si>
    <t>rodrigo_diario</t>
  </si>
  <si>
    <t>bahiacamaroess</t>
  </si>
  <si>
    <t>radio1029</t>
  </si>
  <si>
    <t>unespfeis</t>
  </si>
  <si>
    <t>patercontabil</t>
  </si>
  <si>
    <t>acess_moon</t>
  </si>
  <si>
    <t>marcosliotti</t>
  </si>
  <si>
    <t>virtualeestudio</t>
  </si>
  <si>
    <t>fredmacedof</t>
  </si>
  <si>
    <t>digitalgomito</t>
  </si>
  <si>
    <t>brinjshater</t>
  </si>
  <si>
    <t>lucianotokikawa</t>
  </si>
  <si>
    <t>inventivosco</t>
  </si>
  <si>
    <t>sebraepa</t>
  </si>
  <si>
    <t>vibescia</t>
  </si>
  <si>
    <t>iamgiovannagama</t>
  </si>
  <si>
    <t>g2mix_franquias</t>
  </si>
  <si>
    <t>criardigital</t>
  </si>
  <si>
    <t>elivretek</t>
  </si>
  <si>
    <t>hugosilveirab</t>
  </si>
  <si>
    <t>bozappfood</t>
  </si>
  <si>
    <t>campoli1979</t>
  </si>
  <si>
    <t>joseguilhermeft</t>
  </si>
  <si>
    <t>mktcomsucesso</t>
  </si>
  <si>
    <t>bvenf</t>
  </si>
  <si>
    <t>historia_md1</t>
  </si>
  <si>
    <t>thiagobudni</t>
  </si>
  <si>
    <t>faeca</t>
  </si>
  <si>
    <t>lumosconnectmkt</t>
  </si>
  <si>
    <t>crfaugustoo</t>
  </si>
  <si>
    <t>ysenselaguna</t>
  </si>
  <si>
    <t>tmjuntos</t>
  </si>
  <si>
    <t>_013julia</t>
  </si>
  <si>
    <t>fastcompanybra</t>
  </si>
  <si>
    <t>camiladalmaso7</t>
  </si>
  <si>
    <t>simoeslelaa</t>
  </si>
  <si>
    <t>atilamiller</t>
  </si>
  <si>
    <t>martinhagondim</t>
  </si>
  <si>
    <t>tatunotoco</t>
  </si>
  <si>
    <t>jandertabosa</t>
  </si>
  <si>
    <t>3079destilados</t>
  </si>
  <si>
    <t>danielramicazzi</t>
  </si>
  <si>
    <t>machadodb_</t>
  </si>
  <si>
    <t>planbhangout</t>
  </si>
  <si>
    <t>eujuliochaves</t>
  </si>
  <si>
    <t>dicasdeumadm</t>
  </si>
  <si>
    <t>tai_follmann</t>
  </si>
  <si>
    <t>digitalblack_</t>
  </si>
  <si>
    <t>thiagoithiro</t>
  </si>
  <si>
    <t>matmitzz</t>
  </si>
  <si>
    <t>thiagomotaadv</t>
  </si>
  <si>
    <t>ludgerocontato</t>
  </si>
  <si>
    <t>alphagraphicsbr</t>
  </si>
  <si>
    <t>ricardo_matos_</t>
  </si>
  <si>
    <t>elivansantos_18</t>
  </si>
  <si>
    <t>iniav_ip</t>
  </si>
  <si>
    <t>itatiaiajf</t>
  </si>
  <si>
    <t>quempodepodi</t>
  </si>
  <si>
    <t>gorn2023</t>
  </si>
  <si>
    <t>danielemiliano</t>
  </si>
  <si>
    <t>plataformacda</t>
  </si>
  <si>
    <t>tapejaraexpo</t>
  </si>
  <si>
    <t>folettojuliana</t>
  </si>
  <si>
    <t>ghitswh_</t>
  </si>
  <si>
    <t>silwadigital</t>
  </si>
  <si>
    <t>shannonwoo20449</t>
  </si>
  <si>
    <t>riomaframix</t>
  </si>
  <si>
    <t>i_trentini</t>
  </si>
  <si>
    <t>bila_morena</t>
  </si>
  <si>
    <t>smart_citiespt</t>
  </si>
  <si>
    <t>dayanamazini</t>
  </si>
  <si>
    <t>rafaribeironet</t>
  </si>
  <si>
    <t>izisfilipaldi</t>
  </si>
  <si>
    <t>eunaedson</t>
  </si>
  <si>
    <t>brasilia_radar</t>
  </si>
  <si>
    <t>contatosbera</t>
  </si>
  <si>
    <t>designergaby06</t>
  </si>
  <si>
    <t>aleatoriando_o</t>
  </si>
  <si>
    <t>mindlabcast</t>
  </si>
  <si>
    <t>olavoauemidia</t>
  </si>
  <si>
    <t>acccancercenter</t>
  </si>
  <si>
    <t>hss_vendamais</t>
  </si>
  <si>
    <t>nelberezende</t>
  </si>
  <si>
    <t>fc_ul</t>
  </si>
  <si>
    <t>wyzalecx</t>
  </si>
  <si>
    <t>forbesbr</t>
  </si>
  <si>
    <t>eufelipeacosta</t>
  </si>
  <si>
    <t>ipforce_telecom</t>
  </si>
  <si>
    <t>leopuglia</t>
  </si>
  <si>
    <t>visaooeste</t>
  </si>
  <si>
    <t>tiagotmr_7</t>
  </si>
  <si>
    <t>rfmh_design</t>
  </si>
  <si>
    <t>rferreirasbc</t>
  </si>
  <si>
    <t>mvpd14</t>
  </si>
  <si>
    <t>bemmercearia19</t>
  </si>
  <si>
    <t>inovahcfmusp</t>
  </si>
  <si>
    <t>starbetsrj</t>
  </si>
  <si>
    <t>sellabvarejo</t>
  </si>
  <si>
    <t>kamba_rico</t>
  </si>
  <si>
    <t>pedrocontreira5</t>
  </si>
  <si>
    <t>suzanavalerios</t>
  </si>
  <si>
    <t>charlesdematos5</t>
  </si>
  <si>
    <t>prospeconomica</t>
  </si>
  <si>
    <t>jubslingeries</t>
  </si>
  <si>
    <t>imovinvestbr</t>
  </si>
  <si>
    <t>claudiasouzaad</t>
  </si>
  <si>
    <t>daniel_consig</t>
  </si>
  <si>
    <t>douglaswebp</t>
  </si>
  <si>
    <t>cdlsaocaetano</t>
  </si>
  <si>
    <t>ogabrielaugust</t>
  </si>
  <si>
    <t>conceitoking</t>
  </si>
  <si>
    <t>tagusvalley_pt</t>
  </si>
  <si>
    <t>rodrigoklyngerr</t>
  </si>
  <si>
    <t>viniciu80206889</t>
  </si>
  <si>
    <t>portalsbn</t>
  </si>
  <si>
    <t>anabrazilkorea</t>
  </si>
  <si>
    <t>eseg_oficial</t>
  </si>
  <si>
    <t>mpsrobotica</t>
  </si>
  <si>
    <t>grupoadvanced</t>
  </si>
  <si>
    <t>lojazerodoze</t>
  </si>
  <si>
    <t>andersonexpo5</t>
  </si>
  <si>
    <t>gustavo25867079</t>
  </si>
  <si>
    <t>turankurnaz</t>
  </si>
  <si>
    <t>maiconalberttt</t>
  </si>
  <si>
    <t>sebraers</t>
  </si>
  <si>
    <t>blogdoklyngerr</t>
  </si>
  <si>
    <t>thalesbrandao</t>
  </si>
  <si>
    <t>fgaugustus</t>
  </si>
  <si>
    <t>afropython</t>
  </si>
  <si>
    <t>juliomj85</t>
  </si>
  <si>
    <t>regivnia4</t>
  </si>
  <si>
    <t>lucianojap77</t>
  </si>
  <si>
    <t>q_assist</t>
  </si>
  <si>
    <t>elianenramin</t>
  </si>
  <si>
    <t>acese_</t>
  </si>
  <si>
    <t>gabriel87737044</t>
  </si>
  <si>
    <t>noticenter</t>
  </si>
  <si>
    <t>androidfinal</t>
  </si>
  <si>
    <t>instpropague</t>
  </si>
  <si>
    <t>giovaniaandre</t>
  </si>
  <si>
    <t>eumarlussantos</t>
  </si>
  <si>
    <t>sandriellysan20</t>
  </si>
  <si>
    <t>ashentharakag</t>
  </si>
  <si>
    <t>henrikubota</t>
  </si>
  <si>
    <t>eupaulateles</t>
  </si>
  <si>
    <t>newsfranchising</t>
  </si>
  <si>
    <t>humansnocontext</t>
  </si>
  <si>
    <t>tottysouza</t>
  </si>
  <si>
    <t>portalsigamais</t>
  </si>
  <si>
    <t>joselucasstz</t>
  </si>
  <si>
    <t>ossandaliber</t>
  </si>
  <si>
    <t>kleysller</t>
  </si>
  <si>
    <t>oelberdomingos</t>
  </si>
  <si>
    <t>finep</t>
  </si>
  <si>
    <t>faperj</t>
  </si>
  <si>
    <t>ufrnbr</t>
  </si>
  <si>
    <t>ricardoutsider</t>
  </si>
  <si>
    <t>leao_alexandre</t>
  </si>
  <si>
    <t>iconeeditora</t>
  </si>
  <si>
    <t>rtpnoticias</t>
  </si>
  <si>
    <t>dvitoroficial</t>
  </si>
  <si>
    <t>betacodex_pt</t>
  </si>
  <si>
    <t>b2h_marketing</t>
  </si>
  <si>
    <t>aguaminalinda</t>
  </si>
  <si>
    <t>empreendertv</t>
  </si>
  <si>
    <t>sitetnonline</t>
  </si>
  <si>
    <t>prefcg</t>
  </si>
  <si>
    <t>digitalbussin</t>
  </si>
  <si>
    <t>moneyiinvest</t>
  </si>
  <si>
    <t>pedroconda87</t>
  </si>
  <si>
    <t>_podebem</t>
  </si>
  <si>
    <t>luisnamura</t>
  </si>
  <si>
    <t>felipegodoy</t>
  </si>
  <si>
    <t>sofiaresolve</t>
  </si>
  <si>
    <t>aciaanapolis</t>
  </si>
  <si>
    <t>metropoledigi</t>
  </si>
  <si>
    <t>pptnaocompila</t>
  </si>
  <si>
    <t>diogenes1608</t>
  </si>
  <si>
    <t>niavitic</t>
  </si>
  <si>
    <t>negimarjr</t>
  </si>
  <si>
    <t>biscaromaia</t>
  </si>
  <si>
    <t>cbcardoso01</t>
  </si>
  <si>
    <t>bi4all_official</t>
  </si>
  <si>
    <t>robsonpenha86</t>
  </si>
  <si>
    <t>renanlimaads</t>
  </si>
  <si>
    <t>jornaldaki</t>
  </si>
  <si>
    <t>fatimashaikh73</t>
  </si>
  <si>
    <t>klebyston</t>
  </si>
  <si>
    <t>raf_sobrehomem</t>
  </si>
  <si>
    <t>_itsmeantonio</t>
  </si>
  <si>
    <t>anatolyquest</t>
  </si>
  <si>
    <t>focusjor</t>
  </si>
  <si>
    <t>pedroh_mrtns</t>
  </si>
  <si>
    <t>icothomaz</t>
  </si>
  <si>
    <t>95gospel_ofc1</t>
  </si>
  <si>
    <t>bphub1</t>
  </si>
  <si>
    <t>cufa_rio</t>
  </si>
  <si>
    <t>criacaodesites9</t>
  </si>
  <si>
    <t>felixjrsilvaco1</t>
  </si>
  <si>
    <t>n3coworking</t>
  </si>
  <si>
    <t>erikpenna</t>
  </si>
  <si>
    <t>evovendsho</t>
  </si>
  <si>
    <t>feitosaafranio1</t>
  </si>
  <si>
    <t>alnanet</t>
  </si>
  <si>
    <t>welberlsantana</t>
  </si>
  <si>
    <t>lxerox</t>
  </si>
  <si>
    <t>obernardo_lima</t>
  </si>
  <si>
    <t>abner_ramos01</t>
  </si>
  <si>
    <t>guiadeti</t>
  </si>
  <si>
    <t>samiratoraman_</t>
  </si>
  <si>
    <t>jraraujjo</t>
  </si>
  <si>
    <t>economiavalendo</t>
  </si>
  <si>
    <t>ctcvcoimbra</t>
  </si>
  <si>
    <t>diariodegoias</t>
  </si>
  <si>
    <t>institutoilan</t>
  </si>
  <si>
    <t>mdicoficial</t>
  </si>
  <si>
    <t>conatecontabil</t>
  </si>
  <si>
    <t>alexxberard</t>
  </si>
  <si>
    <t>pi_sebrae</t>
  </si>
  <si>
    <t>pd_negocio</t>
  </si>
  <si>
    <t>revistagc1</t>
  </si>
  <si>
    <t>pabloguzmandice</t>
  </si>
  <si>
    <t>san_thosed</t>
  </si>
  <si>
    <t>sobrancelhassd</t>
  </si>
  <si>
    <t>diplomaciabusi1</t>
  </si>
  <si>
    <t>pixtvhd</t>
  </si>
  <si>
    <t>brunno_brss</t>
  </si>
  <si>
    <t>assespromg</t>
  </si>
  <si>
    <t>viravirtual</t>
  </si>
  <si>
    <t>cmmoita</t>
  </si>
  <si>
    <t>sxocopywriter</t>
  </si>
  <si>
    <t>santaguedaroma</t>
  </si>
  <si>
    <t>diarinho</t>
  </si>
  <si>
    <t>age_rio</t>
  </si>
  <si>
    <t>savoastudio</t>
  </si>
  <si>
    <t>fasamazonia</t>
  </si>
  <si>
    <t>yesecosystem</t>
  </si>
  <si>
    <t>salesuillian</t>
  </si>
  <si>
    <t>ismael_colosi</t>
  </si>
  <si>
    <t>jfpoliticsunite</t>
  </si>
  <si>
    <t>carpegiani_adv</t>
  </si>
  <si>
    <t>realizedestinos</t>
  </si>
  <si>
    <t>boqnews</t>
  </si>
  <si>
    <t>mesorregional</t>
  </si>
  <si>
    <t>bancadapsdbrs</t>
  </si>
  <si>
    <t>megatic_pt</t>
  </si>
  <si>
    <t>ph_pires</t>
  </si>
  <si>
    <t>padraojuridico</t>
  </si>
  <si>
    <t>naadademais_</t>
  </si>
  <si>
    <t>hyperdrivebr</t>
  </si>
  <si>
    <t>irapuabeltrao</t>
  </si>
  <si>
    <t>dua80rte</t>
  </si>
  <si>
    <t>karytonn</t>
  </si>
  <si>
    <t>renatapereiraa7</t>
  </si>
  <si>
    <t>drimendes_ofc</t>
  </si>
  <si>
    <t>inovatechy</t>
  </si>
  <si>
    <t>netodepaulla</t>
  </si>
  <si>
    <t>serranossa</t>
  </si>
  <si>
    <t>fatos_pro</t>
  </si>
  <si>
    <t>fgveaespesquisa</t>
  </si>
  <si>
    <t>jonpadilha</t>
  </si>
  <si>
    <t>edsoncontador_</t>
  </si>
  <si>
    <t>tiagopradoofc</t>
  </si>
  <si>
    <t>drivethrua</t>
  </si>
  <si>
    <t>dionedealmeida1</t>
  </si>
  <si>
    <t>diempcefetrj</t>
  </si>
  <si>
    <t>opodmais</t>
  </si>
  <si>
    <t>enapgovbr</t>
  </si>
  <si>
    <t>sccsbtoficial</t>
  </si>
  <si>
    <t>shortsdoraiam</t>
  </si>
  <si>
    <t>marcia23403</t>
  </si>
  <si>
    <t>fatorleo</t>
  </si>
  <si>
    <t>cortesrato</t>
  </si>
  <si>
    <t>sistemafaemg</t>
  </si>
  <si>
    <t>mdali86465915</t>
  </si>
  <si>
    <t>moginewsonline</t>
  </si>
  <si>
    <t>tradewebbrasil</t>
  </si>
  <si>
    <t>brazilmineral</t>
  </si>
  <si>
    <t>oworldreal</t>
  </si>
  <si>
    <t>fl_floripa</t>
  </si>
  <si>
    <t>aroldogueiros</t>
  </si>
  <si>
    <t>negociosbelem</t>
  </si>
  <si>
    <t>adrigomezconsul</t>
  </si>
  <si>
    <t>carloshoyoslde</t>
  </si>
  <si>
    <t>galerapod</t>
  </si>
  <si>
    <t>radeon87449</t>
  </si>
  <si>
    <t>tapajosdefato</t>
  </si>
  <si>
    <t>folhageral</t>
  </si>
  <si>
    <t>filipeschitino</t>
  </si>
  <si>
    <t>_zhenniq</t>
  </si>
  <si>
    <t>kentechbr</t>
  </si>
  <si>
    <t>cidorodrigues</t>
  </si>
  <si>
    <t>rafaelporcari</t>
  </si>
  <si>
    <t>made_hits</t>
  </si>
  <si>
    <t>certificad95001</t>
  </si>
  <si>
    <t>andrbragagonal1</t>
  </si>
  <si>
    <t>robbson</t>
  </si>
  <si>
    <t>vaniacolunista</t>
  </si>
  <si>
    <t>jucepar2</t>
  </si>
  <si>
    <t>mendes62071219</t>
  </si>
  <si>
    <t>jrhopf</t>
  </si>
  <si>
    <t>adilsonp10</t>
  </si>
  <si>
    <t>andradegui19_</t>
  </si>
  <si>
    <t>jovempannews</t>
  </si>
  <si>
    <t>correiodeminas</t>
  </si>
  <si>
    <t>romerorodrigues</t>
  </si>
  <si>
    <t>marcioitshow</t>
  </si>
  <si>
    <t>juheinakarina</t>
  </si>
  <si>
    <t>ricardosousapro</t>
  </si>
  <si>
    <t>lob_mau</t>
  </si>
  <si>
    <t>djpinvestimento</t>
  </si>
  <si>
    <t>srgioro66037268</t>
  </si>
  <si>
    <t>mwataimperador</t>
  </si>
  <si>
    <t>contas_online</t>
  </si>
  <si>
    <t>risecluboficial</t>
  </si>
  <si>
    <t>claudiopalerm13</t>
  </si>
  <si>
    <t>helenanenachic</t>
  </si>
  <si>
    <t>portopublicidad</t>
  </si>
  <si>
    <t>jornal_cultura</t>
  </si>
  <si>
    <t>apostilac</t>
  </si>
  <si>
    <t>lideglobal</t>
  </si>
  <si>
    <t>funep</t>
  </si>
  <si>
    <t>erikasmotta</t>
  </si>
  <si>
    <t>culturaalterna5</t>
  </si>
  <si>
    <t>onegotk</t>
  </si>
  <si>
    <t>hdiasboss</t>
  </si>
  <si>
    <t>luisfab85147320</t>
  </si>
  <si>
    <t>apexbrasil</t>
  </si>
  <si>
    <t>divyab_nyc</t>
  </si>
  <si>
    <t>pretonidacio</t>
  </si>
  <si>
    <t>rdconsultoria</t>
  </si>
  <si>
    <t>fortalezaplanet</t>
  </si>
  <si>
    <t>danyelzin_anjs</t>
  </si>
  <si>
    <t>dinero_enaccion</t>
  </si>
  <si>
    <t>sectibahia</t>
  </si>
  <si>
    <t>jornal_blumenau</t>
  </si>
  <si>
    <t>chicosabetudo</t>
  </si>
  <si>
    <t>nunih</t>
  </si>
  <si>
    <t>assimdisseojoao</t>
  </si>
  <si>
    <t>blockchain_rio</t>
  </si>
  <si>
    <t>techreview_es</t>
  </si>
  <si>
    <t>deciolimapt</t>
  </si>
  <si>
    <t>youtube</t>
  </si>
  <si>
    <t>canalq</t>
  </si>
  <si>
    <t>obruneus</t>
  </si>
  <si>
    <t>editorasenacsp</t>
  </si>
  <si>
    <t>estudioglab</t>
  </si>
  <si>
    <t>itau</t>
  </si>
  <si>
    <t>midregional</t>
  </si>
  <si>
    <t>marcelocherto</t>
  </si>
  <si>
    <t>tomoliveira</t>
  </si>
  <si>
    <t>dellnobrasil</t>
  </si>
  <si>
    <t>dell</t>
  </si>
  <si>
    <t>aguiarthur</t>
  </si>
  <si>
    <t>naah_vasc</t>
  </si>
  <si>
    <t>fellipeferini</t>
  </si>
  <si>
    <t>ab</t>
  </si>
  <si>
    <t>valoreconomico</t>
  </si>
  <si>
    <t>seteit</t>
  </si>
  <si>
    <t>cni_br</t>
  </si>
  <si>
    <t>giugiumaneira</t>
  </si>
  <si>
    <t>eiainnovate</t>
  </si>
  <si>
    <t>ipssetubal</t>
  </si>
  <si>
    <t>univdecoimbra</t>
  </si>
  <si>
    <t>nikolas_dm</t>
  </si>
  <si>
    <t>comunadavid</t>
  </si>
  <si>
    <t>eciocosta</t>
  </si>
  <si>
    <t>unifacol</t>
  </si>
  <si>
    <t>iq_usp</t>
  </si>
  <si>
    <t>fcfusp</t>
  </si>
  <si>
    <t>usponline</t>
  </si>
  <si>
    <t>uporto</t>
  </si>
  <si>
    <t>ufscaroficial</t>
  </si>
  <si>
    <t>miltonjung</t>
  </si>
  <si>
    <t>markmoraislaw</t>
  </si>
  <si>
    <t>linkedin</t>
  </si>
  <si>
    <t>acadbrasil</t>
  </si>
  <si>
    <t>filicroval</t>
  </si>
  <si>
    <t>heyrobinai</t>
  </si>
  <si>
    <t>northstarbrain</t>
  </si>
  <si>
    <t>pauloaraujotwt</t>
  </si>
  <si>
    <t>romeuzema</t>
  </si>
  <si>
    <t>emater_minas</t>
  </si>
  <si>
    <t>agriculturamg</t>
  </si>
  <si>
    <t>governomg</t>
  </si>
  <si>
    <t>camilafarani</t>
  </si>
  <si>
    <t>gustavomehl</t>
  </si>
  <si>
    <t>lukahwy</t>
  </si>
  <si>
    <t>caiofranca_</t>
  </si>
  <si>
    <t>byd_brasil</t>
  </si>
  <si>
    <t>florida</t>
  </si>
  <si>
    <t>descomplica</t>
  </si>
  <si>
    <t>tim</t>
  </si>
  <si>
    <t>forbes_portugal</t>
  </si>
  <si>
    <t>aestrelaleonina</t>
  </si>
  <si>
    <t>ilisp_org</t>
  </si>
  <si>
    <t>patent_eu</t>
  </si>
  <si>
    <t>spreaker</t>
  </si>
  <si>
    <t>founding</t>
  </si>
  <si>
    <t>mayradias</t>
  </si>
  <si>
    <t>felipe</t>
  </si>
  <si>
    <t>geracaodevalor</t>
  </si>
  <si>
    <t>corrupcaomemes</t>
  </si>
  <si>
    <t>sepromiba</t>
  </si>
  <si>
    <t>goncalopcruz</t>
  </si>
  <si>
    <t>vasco__varela</t>
  </si>
  <si>
    <t>williancorrea</t>
  </si>
  <si>
    <t>zequinhamarinho</t>
  </si>
  <si>
    <t>senadofederal</t>
  </si>
  <si>
    <t>irajasenador</t>
  </si>
  <si>
    <t>wevertonrocha</t>
  </si>
  <si>
    <t>ufoisis</t>
  </si>
  <si>
    <t>confapbr</t>
  </si>
  <si>
    <t>cnpq_oficial</t>
  </si>
  <si>
    <t>vidapegueleve</t>
  </si>
  <si>
    <t>vivobr</t>
  </si>
  <si>
    <t>cegadede</t>
  </si>
  <si>
    <t>hilton</t>
  </si>
  <si>
    <t>hcpa_</t>
  </si>
  <si>
    <t>moisesleal</t>
  </si>
  <si>
    <t>notionhq</t>
  </si>
  <si>
    <t>grammarly</t>
  </si>
  <si>
    <t>evernote</t>
  </si>
  <si>
    <t>canva</t>
  </si>
  <si>
    <t>buffer</t>
  </si>
  <si>
    <t>hubstaff</t>
  </si>
  <si>
    <t>rocketchat</t>
  </si>
  <si>
    <t>nasthadja</t>
  </si>
  <si>
    <t>robertoljustus</t>
  </si>
  <si>
    <t>poubelruyter</t>
  </si>
  <si>
    <t>denisferreira</t>
  </si>
  <si>
    <t>yurigambogi</t>
  </si>
  <si>
    <t>duchapeu</t>
  </si>
  <si>
    <t>andregaidzinski</t>
  </si>
  <si>
    <t>farialimaelevat</t>
  </si>
  <si>
    <t>juliatolipan</t>
  </si>
  <si>
    <t>fuckyoudeus</t>
  </si>
  <si>
    <t>senaims</t>
  </si>
  <si>
    <t>senainacional</t>
  </si>
  <si>
    <t>fgvcepi</t>
  </si>
  <si>
    <t>fundadorstartup</t>
  </si>
  <si>
    <t>canalmeusucesso</t>
  </si>
  <si>
    <t>onumulheresbr</t>
  </si>
  <si>
    <t>mdemulher</t>
  </si>
  <si>
    <t>papoempreenda</t>
  </si>
  <si>
    <t>cocacola_br</t>
  </si>
  <si>
    <t>empreenderprodu</t>
  </si>
  <si>
    <t>redeinovacao</t>
  </si>
  <si>
    <t>uspinovacao</t>
  </si>
  <si>
    <t>startup_br</t>
  </si>
  <si>
    <t>btgpactual</t>
  </si>
  <si>
    <t>jornal_empreend</t>
  </si>
  <si>
    <t>fpecongresso</t>
  </si>
  <si>
    <t>uniderpoficial</t>
  </si>
  <si>
    <t>ucdboficial</t>
  </si>
  <si>
    <t>empreendedor</t>
  </si>
  <si>
    <t>unicampoficial</t>
  </si>
  <si>
    <t>souempresario</t>
  </si>
  <si>
    <t>inovacaotecnolo</t>
  </si>
  <si>
    <t>iartificial_</t>
  </si>
  <si>
    <t>blog_de_ia</t>
  </si>
  <si>
    <t>intartuncp</t>
  </si>
  <si>
    <t>startupmagpt</t>
  </si>
  <si>
    <t>sistemafiems</t>
  </si>
  <si>
    <t>enegnt</t>
  </si>
  <si>
    <t>aliancaempreend</t>
  </si>
  <si>
    <t>sempreendedores</t>
  </si>
  <si>
    <t>sebraerj</t>
  </si>
  <si>
    <t>bernardozamijov</t>
  </si>
  <si>
    <t>angraofficial</t>
  </si>
  <si>
    <t>g1rio</t>
  </si>
  <si>
    <t>gov_mcti</t>
  </si>
  <si>
    <t>nunodosudoeste</t>
  </si>
  <si>
    <t>negocioscomia</t>
  </si>
  <si>
    <t>g1amazonas</t>
  </si>
  <si>
    <t>sonhadores_dm</t>
  </si>
  <si>
    <t>siftj_brasil</t>
  </si>
  <si>
    <t>cufabrasil</t>
  </si>
  <si>
    <t>udesc</t>
  </si>
  <si>
    <t>fernandarocha</t>
  </si>
  <si>
    <t>walassi</t>
  </si>
  <si>
    <t>orafaelarruda</t>
  </si>
  <si>
    <t>celsomogari</t>
  </si>
  <si>
    <t>contadorceo</t>
  </si>
  <si>
    <t>reginacase</t>
  </si>
  <si>
    <t>adrianapreta</t>
  </si>
  <si>
    <t>kond</t>
  </si>
  <si>
    <t>afdb_group</t>
  </si>
  <si>
    <t>alibabagroup</t>
  </si>
  <si>
    <t>foundation_ma</t>
  </si>
  <si>
    <t>africa_heroes</t>
  </si>
  <si>
    <t>complexodeepico</t>
  </si>
  <si>
    <t>quatrorodas</t>
  </si>
  <si>
    <t>aleweimer</t>
  </si>
  <si>
    <t>isthetito</t>
  </si>
  <si>
    <t>daidson_</t>
  </si>
  <si>
    <t>amazonbrasil</t>
  </si>
  <si>
    <t>expofavela</t>
  </si>
  <si>
    <t>tvglobo</t>
  </si>
  <si>
    <t>celsoathayde</t>
  </si>
  <si>
    <t>expofavelarj</t>
  </si>
  <si>
    <t>cidadedasartes_</t>
  </si>
  <si>
    <t>st_one_io</t>
  </si>
  <si>
    <t>dineramaapp</t>
  </si>
  <si>
    <t>autazatech</t>
  </si>
  <si>
    <t>agtrace1</t>
  </si>
  <si>
    <t>pixforce_</t>
  </si>
  <si>
    <t>implantait</t>
  </si>
  <si>
    <t>marcoprestes</t>
  </si>
  <si>
    <t>nubbi</t>
  </si>
  <si>
    <t>mvlemos</t>
  </si>
  <si>
    <t>samiramalho</t>
  </si>
  <si>
    <t>sebraepi</t>
  </si>
  <si>
    <t>lulaoficial</t>
  </si>
  <si>
    <t>roxmo</t>
  </si>
  <si>
    <t>rmotta2</t>
  </si>
  <si>
    <t>dramaticami</t>
  </si>
  <si>
    <t>rubensmagno</t>
  </si>
  <si>
    <t>thallesiwataa</t>
  </si>
  <si>
    <t>leonardo1opes</t>
  </si>
  <si>
    <t>soc_ponto_verde</t>
  </si>
  <si>
    <t>novaempreende</t>
  </si>
  <si>
    <t>euhubin</t>
  </si>
  <si>
    <t>lisboaenova</t>
  </si>
  <si>
    <t>portugalventure</t>
  </si>
  <si>
    <t>assembleiago</t>
  </si>
  <si>
    <t>teclabs</t>
  </si>
  <si>
    <t>gabriehnb</t>
  </si>
  <si>
    <t>apercom</t>
  </si>
  <si>
    <t>jedsoncalvi</t>
  </si>
  <si>
    <t>botafogo</t>
  </si>
  <si>
    <t>centelhabr</t>
  </si>
  <si>
    <t>fundacaocerti</t>
  </si>
  <si>
    <t>banrisul</t>
  </si>
  <si>
    <t>sofisadireto</t>
  </si>
  <si>
    <t>cresol_coop</t>
  </si>
  <si>
    <t>acatesc</t>
  </si>
  <si>
    <t>acirs</t>
  </si>
  <si>
    <t>sebraece</t>
  </si>
  <si>
    <t>unionradionet</t>
  </si>
  <si>
    <t>vladivillegastv</t>
  </si>
  <si>
    <t>luisvicenteleon</t>
  </si>
  <si>
    <t>fedecamaras</t>
  </si>
  <si>
    <t>geraldoalckmin</t>
  </si>
  <si>
    <t>marxismobr</t>
  </si>
  <si>
    <t>rbecampo</t>
  </si>
  <si>
    <t>marx_brasil</t>
  </si>
  <si>
    <t>ufmgeducativa</t>
  </si>
  <si>
    <t>unisinos</t>
  </si>
  <si>
    <t>ufrgsnoticias</t>
  </si>
  <si>
    <t>receitafederal</t>
  </si>
  <si>
    <t>hubgoias</t>
  </si>
  <si>
    <t>only_office</t>
  </si>
  <si>
    <t>sidneisilva</t>
  </si>
  <si>
    <t>portalitshow</t>
  </si>
  <si>
    <t>polishop</t>
  </si>
  <si>
    <t>tucco_oficial</t>
  </si>
  <si>
    <t>Mentions</t>
  </si>
  <si>
    <t>Replies to</t>
  </si>
  <si>
    <t>Retweet</t>
  </si>
  <si>
    <t>Quote</t>
  </si>
  <si>
    <t>MentionsInRetweet</t>
  </si>
  <si>
    <t>MentionsInReplyTo</t>
  </si>
  <si>
    <t>Immersive Experience Chery Airyzer 8
Global automobile trade（China） Car trader WhatsApp at +17202705204
#cheryarrizo8 #carrosdeluxo #carrosesportivos #carrodeluxo #carroesportivo #carroeletrico #arrizo6 #marketingdigitalbrasil #marketingdeconteudo #empreendedorismo… https://t.co/aM1U20So8i</t>
  </si>
  <si>
    <t>Como viralizar !!!
.
.
#ferini #MarketingDigital #sucesso #empreendedorismo #Mindset #riqueza https://t.co/9OO1dKbtMJ</t>
  </si>
  <si>
    <t>Os próximos bilionários !!!
.
.
#ferini #MarketingDigital #sucesso #empreendedorismo #Mindset #riqueza https://t.co/31412qbnKN</t>
  </si>
  <si>
    <t>Como ficar rico com investimentos !!!! 💸
.
.
#ferini #Investimentos #primorico #mindset #riqueza #empreendedorismo https://t.co/o4nnTQ3mhe</t>
  </si>
  <si>
    <t>Dicas para diminuir a procrastinação 🧠
.
.
#ferini #procrastinacao #Mindset #Riqueza #empreendedorismo https://t.co/g1Jj5EEJrU</t>
  </si>
  <si>
    <t>Como identificar tendências no Marketing Digital 🧠🥂
.
.
#ferini #MarketingDigital #mindset #empreendedorismo #dinheiro https://t.co/VoAoACPeaz</t>
  </si>
  <si>
    <t>O que aconteceria com os PEQUENOS COMÉRCIOS e LOJAS no SOCIALISMO Brasileiro?
Curtiu? Socializa esse RT e se ainda não seguia, siga nozes!
O professor @assimdisseojoao, a poderosa @nunih e até o @Raph4 =)
#Empresário #Empreender #Empreendedorismo #Liberdade #JoaoCarvalho https://t.co/s70ANTfeZJ</t>
  </si>
  <si>
    <t>Trilha #DeSci Rio do @blockchain_rio pronta ! Venha discutir com a gente sobre #inovação, #empreendedorismo, #ciência, #saúde, #blockchain, #privacidade, #educação, #genômica, #desci
🗓️ Quarta 13/09
⏱️10h - meiodia
🎯 @blockchain_rio no ExpoMAG https://t.co/RZrevKdMOa</t>
  </si>
  <si>
    <t>3. Considere promoções especiais 🎉
4. Revise estratégias de marketing 📢
5. Reforce atendimento ao cliente 👥
Adapte-se e vença os desafios! 💪 #Empreendedorismo #Vendas #ecomerce #vendas</t>
  </si>
  <si>
    <t>Poderosa frase: "Filho, o seu avô foi um homem de muita coragem. Você precisa ser ainda mais."
#Chamado: 🔥❤️💪🏽
#Legado: Cultive a coragem, supere os desafios do seu tempo e honre os seus antepassados! 
#Execução: 🔝 Go 🦁🚀
#coragem #honra #inspiração #trabalho #empreendedorismo</t>
  </si>
  <si>
    <t>Já está no ar a temporada sobre #Advocacia #Empreendedora do #Podcast #Damásio com Ciro Dias e Leandro Leão! Venha se aprofundar sobre o mundo dos negócios para a área de #Direito.
 Confira no: 
YouTube: https://t.co/mItgL847U3 
#podcastdamásio #empreendedorismo #podcastdireito https://t.co/IoYc5ihHin</t>
  </si>
  <si>
    <t>Está preparado para crises nas redes sociais? Descubra como as empresas podem se proteger e evitar danos à sua reputação online. Leia o artigo completo no Blog da LuHao! #gerenciamentodecrises #redessociais #reputaçãoonline #prevençãodecrises #empreendedorismo https://t.co/1zopSHElf1</t>
  </si>
  <si>
    <t>➡️ A jornalista Giluí Sóter, do #g1Pará, concorre na categoria texto; já Gustavo Ferreira, da #TVLiberal, concorre na categoria vídeo.
🔗 Reveja as reportagens em: https://t.co/SEePuU6ncv
#PremioSebraedeJornalismo #PSJ #Amazônia #Abacaxi #Moda #Empreendedorismo #Mulheres</t>
  </si>
  <si>
    <t>O Cartão Interativo em PDF é uma oportunidade para você enviar a seu cliente (ou fornecedor),  por Whatsapp ou e-mail,  todas as informações da sua empresa centralizadas em um  único arquivo!
#empreendedorismo #negócios #vendas #gráfica #artegrafica #elkedesign #brasil https://t.co/grEoLF9hoQ</t>
  </si>
  <si>
    <t>Esta realmente é uma frase de efeito: "Priorizar é o poder de direcionar recursos para onde realmente importa". E tem muito a ver como tema Tríade da Gestão.
#priorizaçãoestratégica
#projetos
#Empreendedorismo
#Produtividade
#ResultadosSustentáveis
#Equipealinhada https://t.co/GNuvLZFXxG</t>
  </si>
  <si>
    <t>A vida lhe exige competência de ação, o que vai na prova não vai na vida!
#wfb
#wictorbispo
#desejo
#persistencia
#livros
#conhecimento
#sabedoria
#2023
#gestao
#negocios
#empreendedorismo
#inteligenciamotivacional
#vivacomproposito
#vivaparaDeus</t>
  </si>
  <si>
    <t>🚀 Acredito na força do empreendedorismo e na liberdade econômica para impulsionar o nosso país. Juntos, podemos construir um Brasil mais forte e próspero. #EuSigoBolsonaro #Bitcoin #Empreendedorismo</t>
  </si>
  <si>
    <t>Centro Paula Souza abre inscrições para curso online gratuito de empreendedorismo. #Acelera #cursogratuito #empreendedorismo #EscoladeInovadores #etecs #extensão #fatecs #InovaCPS
https://t.co/UH5zwEbnSc</t>
  </si>
  <si>
    <t>Bombeiros faz projeto piloto de atendimento pelo CHABOT
#pandolfo #vendamaisagora #marketingdigital #chatbot #automacao #empreendedorismo #empresa #digital #chatgpt https://t.co/UGkichsmgv</t>
  </si>
  <si>
    <t>o que realmente seu cliente gosta? você sabe?
#pandolfo #vendamaisagora #marketingdigital #chatbot #automacao #empreendedorismo #empresa #digital #chatgpt https://t.co/vst8hHg94N</t>
  </si>
  <si>
    <t>Como medir a eficácia de uma chatbot?
#pandolfo #vendamaisagora #marketingdigital #chatbot #automacao #empreendedorismo #empresa #digital #chatgpt https://t.co/eIWWCAEkb6</t>
  </si>
  <si>
    <t>Liberte-se do MEDO!
#pandolfo #vendamaisagora #marketingdigital #chatbot #automacao #empreendedorismo #empresa #digital #chatgpt https://t.co/An9Wb92LgB</t>
  </si>
  <si>
    <t>Cuidado você que passa trote nos bombeiros.🔥
#pandolfo #vendamaisagora #marketingdigital #chatbot #automacao #empreendedorismo #empresa #digital #chatgpt https://t.co/70QXIFNJUx</t>
  </si>
  <si>
    <t>Atenção funcionários o recado é para vocês! 
#pandolfo #vendamaisagora #marketingdigital #chatbot #automacao #empreendedorismo #empresa #digital #chatgpt https://t.co/738rIgvhAR</t>
  </si>
  <si>
    <t>Jogue com estilo, jogue com conforto! Nossos campos society com grama sintética são a combinação perfeita de desempenho. Marque golaços em meio à qualidade Arbustus! ⚽🌱
#gramasintetica #gramasintética
#futebol  #fut7 #empreendedorismo #negocioproprio
#fut7brasil  #futebol https://t.co/21K9h6GwYE</t>
  </si>
  <si>
    <t>Vale a pena investir em um campo society em grama sintética? Confira o depoimento de nosso cliente Paulo⚽ 
#gramasintetica #gramasintética
#futebol  #fut7 #empreendedorismo #negocioproprio
#fut7brasil  #futebol #fut7cearense  #ligace7  #ligacefut7 #fpbf7 #futebol7 #inf7 https://t.co/8qqC4SJjSR</t>
  </si>
  <si>
    <t>Cada dia é uma página em branco para escrevermos nossa história de sucesso. Mantenha-se motivado e faça cada capítulo valer a pena! 📖💪
#gramasintetica #gramasintética
#futebol  #fut7 #empreendedorismo #negocioproprio
#fut7brasil  #futebol #fut7cearense  #ligace7  #ligacefut7 https://t.co/OlSL2z2Nwf</t>
  </si>
  <si>
    <t>Como fazer o contrapiso da maneira correta?
#gramasintetica #gramasintética
#futebol  #fut7 #empreendedorismo #negocioproprio
#fut7brasil  #futebol #fut7cearense  #ligace7  #ligacefut7 #fpbf7 #futebol7 #inf7 #gramasinteticapreço #fabricagramasintetica 
#gramasinteticafutebol https://t.co/qrPMj4YVHC</t>
  </si>
  <si>
    <t>Qual a durabilidade de um gramado sintético? Qual o tempo de retorno?
#gramasintetica #gramasintética
#futebol  #fut7 #empreendedorismo #negocioproprio
#fut7brasil  #futebol #fut7cearense  #ligace7  #ligacefut7 #fpbf7 #futebol7 #inf7 #gramasinteticapreço #fabricagramasintetica https://t.co/L5ypieaMpx</t>
  </si>
  <si>
    <t>Qual a durabilidade de um gramado sintético? Qual o tempo de retorno?
#gramasintetica #gramasintética
#futebol  #fut7 #empreendedorismo #negocioproprio
#fut7brasil  #futebol #fut7cearense  #ligace7  #ligacefut7 #fpbf7 #futebol7 #inf7 #gramasinteticapreço #fabricagramasintetica https://t.co/K2jdfg1Use</t>
  </si>
  <si>
    <t>Nossos campos, montados em todo o Brasil, são referência de qualidade e excelência! Está planejando investir em um capo society? Fala conosco que podemos te ajudar!
#gramasintetica #gramasintética
#futebol  #fut7 #empreendedorismo #negocioproprio
#fut7brasil  #futebol https://t.co/Rf9IluZ3SA</t>
  </si>
  <si>
    <t>Há 12 anos no mercado transformando sonhos em realidade, com nossos mais de 40 modelos de grama sintética você vai mais longe! Não vai no chute, na hora de fazer seu campo, faz com quem entende!⚽✅
#gramasintetica #gramasintética
#futebol  #fut7 #empreendedorismo https://t.co/QANah6Yffp</t>
  </si>
  <si>
    <t>#gramasintetica #gramasintética
#futebol  #fut7 #empreendedorismo #negocioproprio
#fut7brasil  #futebol #fut7cearense  #ligace7  #ligacefut7 #fpbf7 #futebol7 #inf7 #gramasinteticapreço #fabricagramasintetica 
#gramasinteticafutebol  #gramasinteticasociety #futebolamador https://t.co/9OPibLy9ya</t>
  </si>
  <si>
    <t>#idealprojetos #projetos  #arquitetura #comercial #Empresarial #empreendedorismo  #integração #sala #loja #empresa  #interiores #fachadas #layout #moveis #planejados #decoração #decor #iluminação #conforto #ambiental #obra #reforma #espaços #integrados #aceitamoscartoes  #Brasil https://t.co/nzkEugD7Tm</t>
  </si>
  <si>
    <t>Em cada desafio, uma oportunidade espera para ser descoberta. Nesta terça-feira, olhe além dos obstáculos e encontre seu caminho para o sucesso! 💼🌟
#TerçaDeOportunidades #Empreendedorismo #VisãoDeFuturo #MicroEmpreendedores #InspiraçãoEmpresarial #DesafiosEOportunidades https://t.co/BAbBgoSrLe</t>
  </si>
  <si>
    <t>I just posted "#empreendedorismo #marketingdigital #vendas #funil#fe https://app.moneti..." on Reddit
https://t.co/w0ubMMQoit</t>
  </si>
  <si>
    <t>Acesse já!
https://t.co/ahx6iaOzqb
#MarketingDigital #empreendedorismo #curso #aprendafazer https://t.co/agqoFJBcnd</t>
  </si>
  <si>
    <t>O que vale mais? O @ da internet ou o @ do boi? 🐴💸👏🏻🤝
#empreender #empreendedorismo #alexfilhomp #vaqueiro #vaquejada https://t.co/6qq0XGxIl5</t>
  </si>
  <si>
    <t>Veja o Carrossel. Veja no Instagram.
Saiba mais sobre a história empreendedora de Joaquim Oliveira.
#fundador #40anos #história #empreendedorismo #ocriadordeideias https://t.co/7oF4ng5rCx</t>
  </si>
  <si>
    <t>🇧🇷💪 Pequenos empreendedores, trabalhadores e guardiões de valores. Que os políticos aprendam: É hora de valorizar quem faz a diferença na base da sociedade. 🙌 
#Empreendedorismo #ForçaBrasil #FuturoPromissor https://t.co/BG5cZ4pftB</t>
  </si>
  <si>
    <t>Preparando umas oficinas muito bacanas para rodar nas universidades e organizações de apoio ao empreendedor agora no segundo semestre!
#culturaempreendedora #empreendedorismo #startups</t>
  </si>
  <si>
    <t>Estruturando 3 Business Expeditions até o final de 2023!
#culturaempreendedora #negocios #empresarios #empreendedorismo</t>
  </si>
  <si>
    <t>A @techreview_es  está procurando as mentes mais brilhantes de #LATAM para reconhecê-las com os prêmios #IU35LATAM2023🌎
Cadastre-se aqui: https://t.co/tamkk5yTUE
✅ As inscrições estarão abertas até 19 de julho!
#inovação #empreendedorismo #tecnologia https://t.co/bIZ9KvDgcN</t>
  </si>
  <si>
    <t>Esses são as 5 pessoas que são mais bem assalariadas do mundo todo, todos eles são CEOs de suas respectivas empresas! Comenta aí o que você faria com um salário desses #salário #dinheiro #empreendedorismo https://t.co/WlzfUSxaOP</t>
  </si>
  <si>
    <t>Podcast Mulheres de Negócios  - Dra.Carla Bianca,  empreendedora.
Entrevista completa no canal do Youtube da Clube FM Blumenau.
 #mulheresdenegocios #clubefmblumenau #empreendedorismo #mulher #blumenau https://t.co/38h0ARBi33</t>
  </si>
  <si>
    <t>Podcast Mulheres de Negócios  - Ivelissa Tavares,  Psicóloga e empreendedora.
 #mulheresdenegocios #podcast #clubefmblumenau #empreendedorismo #empreender https://t.co/3wcIySXBfn</t>
  </si>
  <si>
    <t>Podcast Mulheres de Negócios - Dra.Carla Bianca,  empreendedora.
 #clubefmblumenau #empreendedorismo #negocios #mulher #blumenau https://t.co/Jxjtj3Htdj</t>
  </si>
  <si>
    <t>Podcast Clube Entrevista com James Tiedtt,  proprietário da Look Óptica.
#clubefmblumenau #podcast #lookóptica #entrevista #empreendedorismo https://t.co/s1PzLCEFTb</t>
  </si>
  <si>
    <t>Podcast Clube Entrevista com James Tiedtt,  proprietário da Look Óptica.
 #clubefmblumenau #entrevista #lookoptica #podcast #empreendedorismo https://t.co/WeNB2zebFB</t>
  </si>
  <si>
    <t>Corte Podcast "Clube Vip" com Alzira Schmitz Micheluzzi,  empresária e proprietária da Nina Chloë.
#empreendedorismo #moda #estilo #oculos #clubefmblumenau https://t.co/kU0yiGHvRR</t>
  </si>
  <si>
    <t>Podcast Clube Vip com ANDREA OLIVEIRA, Cabelereira Profissional e criadora de conteúdo digital.
#beleza #empreendedorismo #entrevista #podcast
#clubefmblumenau https://t.co/hE8Qe57bXD</t>
  </si>
  <si>
    <t>Podcast Clube Vip com ANDREA OLIVEIRA, Cabelereira Profissional e criadora de conteúdo digital.
#beleza #empreendedorismo #entrevista #podcast
#clubefmblumenau https://t.co/fxAXrObxgk</t>
  </si>
  <si>
    <t>Podcast Clube Vip com ANDREA OLIVEIRA, Cabelereira Profissional e criadora de conteúdo digital.
#beleza #empreendedorismo #entrevista #podcast
#clubefmblumenau https://t.co/yLayvcO9Cz</t>
  </si>
  <si>
    <t>Podcast Clube Vip com ANDREA OLIVEIRA, Cabelereira Profissionale criadora de conteúdo digital.
#beleza #empreendedorismo #entrevista #podcast
#clubefmblumenau https://t.co/UTvow3jK24</t>
  </si>
  <si>
    <t>Podcast Clube Vip com ANDREA OLIVEIRA, Cabelereira Profissionale criadora de conteúdo digital.
#beleza #empreendedorismo #entrevista #podcast
#clubefmblumenau https://t.co/8yYCu8XfjT</t>
  </si>
  <si>
    <t>Podcast Clube Vip com ANDREA OLIVEIRA, Cabelereira Profissionale criadora de conteúdo digital.
#beleza #empreendedorismo #entrevista #podcast
#clubefmblumenau https://t.co/NW3UQBBIMZ</t>
  </si>
  <si>
    <t>...crescer seu negócio pelo mundo.💖
Barbie é um exemplo do tipo de estratégia de marketing que faz com que seu cliente nem pense no concorrente.📉
Continue acompanhando o Business Hunters em tempo real pelo nossos stories!🦈
#Barbie #Negocios #Empreendedor #BusinessHunters</t>
  </si>
  <si>
    <t>...exclusivo Líder Training em Cancún ☀️🙌🏼
Acompanhe em tempo real, em nossos stories! 📲
#BusinessHunters #Negócios #Estrategias #Empreendedorismo</t>
  </si>
  <si>
    <t>...excelência. Ao implementar estratégias de negócio, é importante avaliar seus resultados, identificar o que funciona e o que pode ser aprimorado!
"Nada muda. Eu mudo. Tudo muda". - Tânia Zambon
#Empreendedorismo #Negócios #SucessoNosNegócios #EstratégiaDeNegócio  #Empresa</t>
  </si>
  <si>
    <t>Não existe uma empresa até que ocorra uma venda 💰📈
Entenda agora mesmo o passo a passo das vendas que levarão o seu negócio a alcançar super metas! 🎯
Deslize para o lado e confira os passos que impulsionam a sua empresa rumo ao topo! 🚀
#Empreendedorismo #Vendas #Negócios https://t.co/WrKDuZQf4K</t>
  </si>
  <si>
    <t>...tranformou a empresa de mais de um milhão de alunos.💼
Inscreva-se agora e seja o próximo case de sucesso do Instituto Tânia Zambon no Business Hunters! 🎥
#Network #Negócios #Business #Empreendedorismo #BusinessHunters</t>
  </si>
  <si>
    <t>...Business Hurters e descubra como potencializar seu sucesso empresarial! 💼💡
#Business #Negócios #Empreendedorismo #Network</t>
  </si>
  <si>
    <t>...não estão apenas sonhando, mas alcançando resultados concretos.
"Enquanto uns contam historias, nós mostramos resultados!" 👊🏼
Comente "eu quero" para garantir a transformação do seu negócio. 
#MétodoTâniaZambon #Turma115 #TransformaçãoDeNegócio #Negócios #Empreendedorismo</t>
  </si>
  <si>
    <t>...mudar os seus negócios!
#BusinessHunters #Negócios #Empreendedorismo #Estratégias</t>
  </si>
  <si>
    <t>...tubarões estão prontos para uma jornada de ação, comprometimento e resultados extraordinários. O planejamento dos milionários está em andamento, e o sucesso é a trilha que seguimos. 🚀
#UniversidadeDeNegócios #Planejamento #Ação #ResultadosExtraordinários #Empreendedorismo https://t.co/HLdNelMiPH</t>
  </si>
  <si>
    <t>...empreendimento para o sucesso absoluto.
Se você deseja saber mais sobre o Business Hunters e garantir o seu lugar, acesse o link na BIO e confira todos os detalhes!
#BusinessHunters #ContagemRegressiva #Networking #Empreendedorismo #Negócios</t>
  </si>
  <si>
    <t>...conhecimentos que impulsionarão o seu negócio! ✨
#BusinessHunters #ContagemRegressiva #Networking #Empreendedorismo</t>
  </si>
  <si>
    <t>...deixar suas ideias fluírem como nunca antes. 🤯
Saiba mais sobre como superar esses obstáculos em "Foco na Solução" e comece a criar um futuro mais criativo e inspirador.
#foconasolução #empreendedorismo #criatividade https://t.co/X5pMmuHceS</t>
  </si>
  <si>
    <t>É hoje, que vocês vão acompanhar o quanto nossos alunos aumentaram o faturamento e como suas vidas mudaram depois do Método Tânia Zambon 🦈
Acompanhe nos stories, você vai ver que
SIM, É POSSÍVEL!💪🏼
#Empreendedorismo #MétodoTâniaZambon #AumetarFaturamento #Negócios https://t.co/e7HU3wfRPB</t>
  </si>
  <si>
    <t>...valiosos e aplique essas táticas em tempo real em seu próprio negócio.
🎟️🔥 Garanta já o seu lugar e participe dessa experiência única pelo link em nossa BIO!
#Networking #Empreendedorismo #Negócios #Business #Mercado</t>
  </si>
  <si>
    <t>...forma gratuita.
Acesse o link na BIO para entrar em nosso grupo do WhatsApp e ficar por dentro de tudo sobre a nossa live!
#Negocios #Empreendedorismo #EstrategiasDeMarketing #Marketing #LiveHoje #ConvidadoEspecial</t>
  </si>
  <si>
    <t>...com os melhores e tirar suas dúvidas ao vivo! Venha fazer parte dessa experiência de forma gratuita.
Acesse o link na BIO para entrar em nosso grupo do WhatsApp e ficar por dentro de tudo sobre a nossa live!
#Negocios #Empreendedorismo  #EstrategiasDeMarketing #Marketing</t>
  </si>
  <si>
    <t>...da Universidade de Negócios em Setembro dia 18, e faça do seu crescimento empresarial, escalonável! 🚀🌟
Comente “Eu vou” para uma mudança de vida! 🫱🏼‍🫲🏾✨
#CrescimentoEmpresarial #Negócios #UniversidadeDeNegócios #Network #Empreendedorismo</t>
  </si>
  <si>
    <t>...ponte que te leva de um lugar para outro, conectando sonhos e alcançando objetivos. ✨️
#Estratégias #PNL #Empreendedorismo #Objetivo #Sonhos</t>
  </si>
  <si>
    <t>...impulsionar a sua empresa.
Não perca esta oportunidade! Garanta já o seu lugar no Business Hunters. Resgate o seu ingresso através do link na BIO e participe deste evento incrível!
#BusinessHunters #ContagemRegressiva #Networking #Empreendedorismo #Negócios</t>
  </si>
  <si>
    <t>...experiências únicas.
Clique no link da BIO para reservar a vaga que mudará o resultado do seu futuro. ☝🏻
#Empreendedorismo #EstratégiasDeNegócios #Business #Negócios #Network</t>
  </si>
  <si>
    <t>...pessoa de sucesso, com supermetas batidas, sendo referencia em sua área, realizada com seu negócio e prosperando.
A oportunidade bate em sua porta, mas quem gira a maçaneta é você. 😉
#Empreendedorismo #Estratégias #Esperanças #EmpodereSeuFuturo #MestreDoSeuDestino #Metas</t>
  </si>
  <si>
    <t>Plantei maconha na floreira da minha mãe sem ela saber, agora tô esperando semear #Empresarios #empreendedor #pequenasempresasgramdesnegocios</t>
  </si>
  <si>
    <t>😄Gostou do vídeo deixa sua curtida👍,siga nossa página,repost,todos os dias tem cortes da live com atletas e artistas, apresentação Marcelo negão.
#redessociais #marketingdigital #lives #marketing #socialmedia #instagram #midiassociais #publicidade #resenha #empreendedorismo https://t.co/jlsahsDOLi</t>
  </si>
  <si>
    <t>😄Gostou do vídeo deixa sua curtida👍,siga nossa página,repost,todos os dias tem cortes da live com atletas e artistas, apresentação Marcelo negão.
#redessociais #marketingdigital #lives #marketing #socialmedia #instagram #midiassociais #publicidade #resenha #empreendedorismo https://t.co/rsY9fljDSz</t>
  </si>
  <si>
    <t>😄Gostou do vídeo deixa sua curtida👍,siga nossa página,repost,todos os dias tem cortes da live com atletas e artistas, apresentação Marcelo negão.
#redessociais #marketingdigital #lives #marketing #socialmedia #instagram #midiassociais #publicidade #resenha #empreendedorismo https://t.co/FqS8lCtFSA</t>
  </si>
  <si>
    <t>Com a missão de promover competitividade e desenvolvimento sustentável dos pequenos negócios, nosso presidente, @Deciolimapt, reforça a importância de você saber que pode contar com nosso suporte para alavancar seu empreendimento. 🤝🚀
#Sebrae #Empreendedorismo #Crescimento https://t.co/CgHBG5P3Ub</t>
  </si>
  <si>
    <t>A caravana Sebrae Pelo Brasil desembarcou desta vez em terras piauienses! ✈️💙
▶️ Aperte o play e conheça a trajetória empreendedora da Raimundinha Teixeira, presidente da COOPERART. 
#Sebrae #Empreendedorismo #Startup #Inovação #Piauí
@deciolimapt https://t.co/TKdelKejvW</t>
  </si>
  <si>
    <t>Tenham paciência e determinação na escolha do seu ponto comercial. Se tudo der certo, você ficará lá por muito tempo #empreendedorismo https://t.co/K4Z1QJsBxZ</t>
  </si>
  <si>
    <t>Sala Mineira Itinerante oferece serviços essenciais e destaca cuidados com a saúde bucal.
Leia esta reportagem em:
https://t.co/ZRvtoSHuAo
#itabirito #agualimpa #SalaMineiraItinerante #salamineiraitineranteemagualimpa #empreendedorismo</t>
  </si>
  <si>
    <t>🤝E não podemos deixar de mostrar alguns dos cliques do nosso Evento de hoje, não é mesmo?! 
Arrasta para o lado e confira, pois foi o Café Empresarial um sucesso! 📸
#aci #cafeempresarial #suaempresa #batepapo #evento #empreendedorismo https://t.co/zX3px4IXJf</t>
  </si>
  <si>
    <t>Guarda corpo
📍 Rio e Grande Rio.
📲(21) 99266-4889.
Link do Whatsapp: https://t.co/G32SKzOydB
#DQAPE #serralheiro #serralheria  #vidraçaria #portão #aluminio #vidraceiro #vidro #blindex #duquedecaxias #riodejaneiro #xerem #rj #gw #empreendedorismo #reels #viral #glass https://t.co/rO6IB1pqHf</t>
  </si>
  <si>
    <t>Fechamento de Fachada.
📍 Rio e Grande Rio.
📲(21) 99266-4889.
Link do Whatsapp: https://t.co/G32SKzOydB
#DQAPE #serralheiro #serralheria  #vidraçaria #portão #porta #aluminio #vidraceiro #vidro #blindex #duquedecaxias #riodejaneiro #xerem #rj #gw #empreendedorismo #reels https://t.co/BqDiLoxwGj</t>
  </si>
  <si>
    <t>Essa é a proposta ideal para você que deseja ter resultado de verdade com o mercado de dropshipping
https://t.co/fOcAQUdc28
#dropshipping #lojainteligente #MarketingDigital #empreendedorismo https://t.co/u8lk2md26o</t>
  </si>
  <si>
    <t>🔒🔐 5 Motivos para Adequar sua Empresa à LGPD! 🔐🔒
1️⃣ Proteção dos Dados
2️⃣ Evite Multas e Penalidades
3️⃣ Imagem Positiva
4️⃣ Aumente a Fidelidade
5️⃣ Competitividade
🚀💼 #LGPD #ProteçãoDeDados #Privacidade #Empreendedorismo #SegurançaDigital https://t.co/aS5qxYXzzb</t>
  </si>
  <si>
    <t>Chegou a hora de tirar o seu processo de adequação à Lei Geral de Proteção de Dados da gaveta.
Conheça um pouco mais do nosso trabalho, agende sua reunião com nossa equipe comercial.
#LGPD #ProteçãoDeDados #Privacidade #Empreendedorismo #SegurançaDigital https://t.co/6G7ujkWbWN</t>
  </si>
  <si>
    <t>No futuro, vc vai ser grato ao seu eu de agora ou não? Sei que oportunidades não são igualitárias e que elas podem ser a diferença entre o sucesso e o fracasso, mas você pode fazer coisas que te colocam em rota de colisão com as oportunidades.#motivacao #sucesso #empreendedorismo https://t.co/Jdz4ebJl9b</t>
  </si>
  <si>
    <t>Melhor que picanha!? 😅🤪
Brincadeiras a parte, esse site é o empurrão que você precisava sem gastar muito e abrir novas oportunidades de trabalho para você. Confere lá e me fala aqui nos comentários o que vc achou 👍🏻😉
#tecnologia #dicas #cursosgratuitos #empreendedorismo https://t.co/6Iwk0X0ACb</t>
  </si>
  <si>
    <t>#rh #brasil #treinamento #business #trabalho #recursoshumanos #work #contabilidade #empresa #qualidadedevida #coaching #gestaodepessoas #sucesso #sãopaulo #sp #empreendedorismo #liderança #br https://t.co/QUz1gh87Zb</t>
  </si>
  <si>
    <t>#varejo #empreendedorismo #negocios 
Latam Retail Show 2023:
https://t.co/ZSKeakg22F https://t.co/pzu30qTZAn</t>
  </si>
  <si>
    <t>Abrir Empresa No Panamá – Morar No Panamá – Residência No Panamá Vale A Pena Morar No Panamá 2023? #panama #morarnopana #negocios #empreendedorismo 
Acesse agora:
https://t.co/ZBHZfY0rph https://t.co/mv90i0hUlB</t>
  </si>
  <si>
    <t>Vem entender como funciona uma cidade 15 minutos e será que isso funcionaria na sua?
#empreendedorismo #marketing #negocios #neg#empreendedor #negocio #franquias #empreender #empreendedorismodigital https://t.co/KnBuoMt4Nd</t>
  </si>
  <si>
    <t>4 dicas para você ficar de olho, para saber se vale a pena ou não investir em uma franquia
#meunegocio #empreendedorismo #empreender #franquias #franchising . https://t.co/ulU2il7faR</t>
  </si>
  <si>
    <t>8 negócios que dão certo em QUALQUER LUGAR
#Franquia #Negócios #MeuNegócio #Empreender #Empreendedorismo #Youtube #JoseFugice https://t.co/oRCjXruPdO</t>
  </si>
  <si>
    <t>Fica a reflexão
#goakira #josefugice #franquias #franchising #varejo #negocios #investimentos #empreendedorismo #reflexao https://t.co/JSVsLJ3Ibc</t>
  </si>
  <si>
    <t>Lembre-se de que empreender requer dedicação, planejamento e trabalho árduo, mas os benefícios podem ser recompensadores. Se você tem uma ideia que te empolga, considere explorar o mundo do empreendedorismo e criar seu próprio negócio! 🚀 #Empreendedorismo #NegócioPróprio https://t.co/vclwIxQdqL</t>
  </si>
  <si>
    <t>Você já conhece o portal e o Podcast Central do Varejo?
Confira esse vídeo e vem conhecer nosso portal! Disponível em https://t.co/f6Y2AtZCl3 
#empreendedorismo #marketing #negocios #neg #empreendedor #negocio #franquias #empreender #empreendedorismodigital #CentralDoVarejo https://t.co/loCWx2Tp1c</t>
  </si>
  <si>
    <t>Já ouviu falar em franquia das galáxias? 😎
Vem conferir esse vídeo com as melhores franquias de até R$ 3 mil reais e investir ainda esse ano!
#Franquia #Franquias #MeuNegócio #Empreender #Empreendedorismo #Negócios #GuardiõesDaGalaxia #Marvel #JoseFugice https://t.co/WLfGDdz3fD</t>
  </si>
  <si>
    <t>"Isolado fisicamente e ativo socialmente"
#podcast #varejo #ecommerce #negocios #Empreender #empreendedorismo #meunegocio https://t.co/f0sXFs9cdR</t>
  </si>
  <si>
    <t>Ser empreendedor envolve assumir riscos, mas existem maneiras de minimizá-los e eu te conto nesse carrossel como fazer isso. Deslize para saber mais. 
#meunegocio #empreendedorismo #empreender #franquias #franchising https://t.co/qKxoOlBfLz</t>
  </si>
  <si>
    <t>Será mesmo que é seguro investir em franquia? Vem conferir esse post para não ter mais medo de investir seu dinheiro
#Franquia #Franquias #iphone #iphone15 #Apple #Tecnologia #Negócios #MeuNegócio #Empreender #Empreendedorismo https://t.co/3fmjZLu1NR</t>
  </si>
  <si>
    <t>Escolher a franquia certa é um passo importante para o seu sucesso empresarial. Não tenha pressa, faça uma escolha informada! 
#goakira #josefugice #canaljf #franquias #franchising #varejo #negocios #investimentos #empreendedorismo https://t.co/US5RawKBqu</t>
  </si>
  <si>
    <t>VÍDEO NOVO NO CANAL!
Vem conferir o vídeo completo no Youtube!
#Franquia #Franquias #MeuNegócio #Empreender #Empreendedorismo https://t.co/iL31CCoMdJ</t>
  </si>
  <si>
    <t>É apaixonado pelo setor automotivo e não sabe o que fazer para empreender na área?  Então se liga nesses 4 negócios com automóveis para ganhar dinheiro em 2023!
#youtube #meunegocio #empreendedorismo #empreender #franquias #franchising https://t.co/vK5Lsq13Qm</t>
  </si>
  <si>
    <t>Nada melhor que começar a semana motivado para colocar os planos em ação.
Frase do ex-presidente dos EUA, Barack Obama. 
#empreendedorismo #barackobama #obama #meunegocio #empreender #motivacao #inspiracao #motivacional https://t.co/iGZ0u90Wgn</t>
  </si>
  <si>
    <t>Você já conhece a história do Barack Obama? 
No filme Barry, acompanhamos a trajetória do ex-presidente dos EUA para se tornar um dos homens mais influentes do mercado corporativo e do mundo.
#filme #dicadefilme #empreendedorismo #inspiracao #empreededor #obama #barackobama https://t.co/JH2g0zUo6W</t>
  </si>
  <si>
    <t>Comenta aqui, qual habilidade eu esqueci de mencionar
#Franquia #Franquias #Franqueado #MeuNegócio #Empreendedorismo https://t.co/Za8m5NG8u0</t>
  </si>
  <si>
    <t>Nem sempre é fácil tomar a decisão de empreender, mas alguns sinais podem indicar que você está pronto para essa jornada de sucesso. 
#goakira #josefugice #canaljf #franquias #franchising #varejo #negocios #investimentos #empreendedorismo https://t.co/KZGz4ZTXos</t>
  </si>
  <si>
    <t>Minha equipe pode te ajudar a encontrar o ponto comercial ideal para a sua empresa.
#goakira #josefugice #franquias #franchising #varejo #negocios #pontocomercial #geomarketing #empreendedorismo https://t.co/ca5axueQTv</t>
  </si>
  <si>
    <t>VÍDEO NOVO NO CANAL!!!
6 Franquias para te enriquecer! Assista o vídeo completo no Youtube
#Youtube #Franquia #Franquias #Empreender #Empreendedorismo #JoseFugice #MeuNegócio https://t.co/S1hUtsAIhL</t>
  </si>
  <si>
    <t>Tem gente que prefere empreender sozinho e tem gente que prefere empreender com sócio. 
Seja lá qual você for, esse vídeo é para você!
#Negócios #Franquias #Franquia #Empreender #Empreendedorismo #MeuNegócio https://t.co/DMRIfksQ7Z</t>
  </si>
  <si>
    <t>DICA BÔNUS! 
Seja afiliado de um grande Market Place, como Amazon, Magalu entre outros, assim sempre que alguém fizer uma compra no app com seu link, você vai ganhar uma comissão por isso, gerando uma boa renda extra.
#MeuNegócio #RendaExtra #Aplicativos #Empreendedorismo https://t.co/sGunku7PLt</t>
  </si>
  <si>
    <t>Vídeo novo no canal!
Franquias para empreendedores iniciantes!
Link do vídeo na bio e no meu canal do Youtube
#Franquia #Franquias #Empreender #Empreendedorismo https://t.co/nI5CyoZBvh</t>
  </si>
  <si>
    <t>Com tantas franquias no Brasil, você já escolheu a sua?
#Franquia #Empreender #Empreendedorismo #MeuNegócio #InvestirEmFranquia #Investir #Investimento https://t.co/1wd84DpZX1</t>
  </si>
  <si>
    <t>Investir em uma franquia pode ser uma opção mais segura do que começar um negócio do zero, devido a várias razões. 
#goakira #josefugice #franquias #franchising #varejo #negocios #investimentos #empreendedorismo https://t.co/DbofkzGmhN</t>
  </si>
  <si>
    <t>É difícil crescer como empresa quando um modelo de negócios não é estabelecido. 
#goakira #josefugice #franquias #franchising #varejo #negocios #investimentos #planodenegocios #empreendedorismo https://t.co/L5vws3S058</t>
  </si>
  <si>
    <t>🚨GRAVE🚨: Qual desses você escolheria? 😱
#Franquia #NegócioPróprio #EMpreender #Empreendedorismo https://t.co/zdpNEIMDKS</t>
  </si>
  <si>
    <t>Você já imaginava que essas são as maiores franquias em unidades do Brasil?
#Franquia #Franquias #Franchising #Empreendedorismo #MeuNegócio #InvestiremFranquia https://t.co/syyo7nYxgx</t>
  </si>
  <si>
    <t>Quem dá dinheiro é pai e mãe e olhe lá! Franquia não dá dinheiro, ela faz dinheiro por meio dos resultados gerados pela sua gestão e vendas. 
#goakira #josefugice #franquias #franchising #varejo #negocios #investimentos #empreendedorismo https://t.co/iRsOap8PDZ</t>
  </si>
  <si>
    <t>Para assistir ou escutar o episódio completo, acesse nosso YouTube ou busque pela Central do Varejo mas suas plataformas favoritas de streaming
#Podcast #Empreender #Empreendedorismo #Varejo #CentralDoVarejo #MeuNegocio #Ecommerce https://t.co/wetaYyPVEi</t>
  </si>
  <si>
    <t>Confia! 
Quem conhece alguém assim?
#empreendedorismo #marketing #negocios #neg #empreendedor #negocio #franquias #empreender #empreendedorismodigital https://t.co/wWeR9JSgCV</t>
  </si>
  <si>
    <t>Deixe seu voto nos comentários e compartilhe sua opção favorita! 👇💬
#habitosdeconsumo #consumo #negocioslocais #produtosartesanais #consumoconsciente #sustentabilidade #empreendedorismo https://t.co/yscKiQP7o4</t>
  </si>
  <si>
    <t>Procurando uma oportunidade de negócio lucrativa e com baixo investimento? As franquias baratas dessa lista são a resposta para você! Deslize para ver mais.
#franquias #franchising #oportunidadesoeinvestimento #empreendedorismo #investimento #franquiasbaratas https://t.co/buWAOjakmY</t>
  </si>
  <si>
    <t>Você está investindo em conhecimento?
#Negócios #Franquias #Franquia #MeuNegócio #Empreender #Empreendedorismo #Conhecimento https://t.co/aqXQn510Pk</t>
  </si>
  <si>
    <t>Brasil pula da 12º para a 7º colocação no Ranking de negócios com mais de 3,5 anos.
#Empreender #Empreendedorismo #MeuNegócio #Franquia #Franquias https://t.co/j0F1EpEu3s</t>
  </si>
  <si>
    <t>Confira a seguir 3 pontos que provam que franquia podem sim valer a pena. 
#goakira #josefugice #franquias #franchising #varejo #negocios #investimentos #empreendedorismo https://t.co/WO4uk913kd</t>
  </si>
  <si>
    <t>O verdadeiro sucesso de um negócio depende apenas do seu trabalho, do seu suor e da sua força de vontade.
#Negócios #Empreender #Franquias #FranquiasEmAlta #MeuNegócio #Empreendedorismo https://t.co/gfBuHfUQoq</t>
  </si>
  <si>
    <t>Além de vídeos no Youtube, Podcast e conteúdo em redes sociais, também faço algumas palestras. Com conteúdos motivacionais e de conhecimento, para seus franqueados e para o seu negócio.
#Palestra #Palestrante #Palestras #Negócio #Empreender #Empreendedorismo #MeuNegócio https://t.co/F1XK701TJd</t>
  </si>
  <si>
    <t>Quem quer investir com segurança, investe em franquias. Quer saber qual marca escolher? Acesse o link da bio e fale com um dos especialistas da minha equipe no Ecossistema Goakira! 
#goakira #josefugice #franquias #franchising #varejo #negocios #investimentos #empreendedorismo https://t.co/OBj5vAJdNH</t>
  </si>
  <si>
    <t>Tá pensando que meu canal é só para falar de franquias? Aproveita o fim de semana, para conhecer todas essas opções de renda extra
#RendaExtra #GanharDinheiro #MeuNegócio #Empreendedorismo https://t.co/RRLIuAEkm6</t>
  </si>
  <si>
    <t>Porque yo soy Barbie empresaria 💅😅
#empresas #empresarios #emprendedores #empreendedorismo #emprender #Negocios https://t.co/L1fs476wRS</t>
  </si>
  <si>
    <t>Nem sempre ganhamos as nossas batalhas, nem sempre vencemos nossos medos, nem sempre somos capazes de sermos mais forte.
#motivacao #foco #motivacaoemfrases #motivacaodiaria #empreendedorismo #motivacao24h #motivacaododia #motivacaosempre #motivacaoetudo #motivação https://t.co/NaPQKdmfUj</t>
  </si>
  <si>
    <t>As falhas são inevitáveis para os seres humanos, mas em vez de ficarmos tristes, devemos usá-las como oportunidades de aprendizado e fortalecimento. É por meio das falhas que aprendemos e crescemos.
#motivacao #foco #motivacaoemfrases #motivacaodiaria #empreendedorismo https://t.co/1bwFzonMvb</t>
  </si>
  <si>
    <t>Focar constantemente nos problemas apenas leva à perda de motivação e vontade de perseguir nossos sonhos. Em vez disso, é mais eficaz concentrar-se nas soluções.
#motivacao #foco #motivacaoemfrases #motivacaodiaria #empreendedorismo https://t.co/xScAngsYHt</t>
  </si>
  <si>
    <t>NINGUÉM PODE BATER A PORTA NA SUA CARA, SE VOCÊ É O DONO DA PORTA
#empreendedorismo #negociosdigitais #determinação #estilodevida #forbes #forbesbrasil #KerbyJeanRaymond https://t.co/R6ct5EvF2f</t>
  </si>
  <si>
    <t>vendendo meus livros por preço de banana fiz 100 reais em 15 min 🙏🏻🙏🏻🙏🏻 #empreendedorismo</t>
  </si>
  <si>
    <t>O capitalismo é como uma peça criativa, onde a ideia nunca está pronta, mas sempre pronta para melhorar. #ocapitaldigital #livre #livremercado #livreiniciativa #empreendedorismo #NovosDesafios #Negocios</t>
  </si>
  <si>
    <t>Aproveite nosso conteúdo, é gratuito!
⚠️ Salve e compartilhe!
.
.
#pciconcursos #motiva #motivacao #concursos #foco #sucesso #empreendedorismo #fitness #marketingdigital #amor #brasil #concursopublico #motivation #empreender #motivacional #frases #treino #inspira #deus #vida https://t.co/V2KIUVyMwv</t>
  </si>
  <si>
    <t>⚠️ Salve e compartilhe!
.
.
#pciconcursos #motiva #motivacao #concursos #foco #sucesso #empreendedorismo #fitness #marketingdigital #amor #brasil #concursopublico #motivation #empreender #motivacional #frases #treino #inspira #deus #vida #ao #determina #saude #bomdia #dinheiro https://t.co/VZup5UhJjv</t>
  </si>
  <si>
    <t>⚠️ Salve e compartilhe!
.
.
#pciconcursos #motiva #motivacao #concursos #foco #sucesso #empreendedorismo #fitness #marketingdigital #amor #brasil #concursopublico #motivation #empreender #motivacional #frases #treino #inspira #deus #vida #determina #saude #português #gramática https://t.co/kMwsQgyYiD</t>
  </si>
  <si>
    <t>Causas de exclusão da ilicitude
⚠️ Salve e compartilhe!
.
.
#pciconcursos #motiva #motivacao #concursos #foco #sucesso #empreendedorismo #fitness #marketingdigital #amor #brasil #concursopublico #motivation #empreender #motivacional #frases #treino #inspira #deus #vida #ao https://t.co/cKlxZeuYKw</t>
  </si>
  <si>
    <t>Final de semana e o concurseiro fica como?
.
.
#pciconcursos #motiva #motivacao #concursos #foco #sucesso #empreendedorismo #fitness #marketingdigital #amor #brasil #concursopublico #motivation #empreender #motivacional #frases #treino #inspira #deus #vida #ao #determina #saude https://t.co/rMw2HWpBCB</t>
  </si>
  <si>
    <t>É sobre merecimento, né?
.
.
#pciconcursos #motiva #motivacao #concursos #foco #sucesso #empreendedorismo #fitness #marketingdigital #amor #brasil #concursopublico #motivation #empreender #motivacional #frases #treino #inspira #deus #vida #ao #determina #saude #bomdia #dinheiro https://t.co/oHZTk9XdgL</t>
  </si>
  <si>
    <t>⚠️ Salve e compartilhe!
.
.
#pciconcursos #motiva #motivacao #concursos #foco #sucesso #empreendedorismo #fitness #marketingdigital #amor #brasil #concursopublico #motivation #empreender #motivacional #frases #treino #inspira #deus #vida #ao #determina #saude #bomdia #dinheiro https://t.co/gWuWjvbsnk</t>
  </si>
  <si>
    <t>Quem vai de primeira viagem? 😂
.
.
#pciconcursos #motiva #motivacao #concursos #foco #sucesso #empreendedorismo #fitness #marketingdigital #amor #brasil #concursopublico #motivation #empreender #motivacional #frases #treino #inspira #deus #vida #ao #determina #saude #bomdia https://t.co/4UM52Zjqne</t>
  </si>
  <si>
    <t>⚠️ Salve e compartilhe!
.
.
#pciconcursos #motiva #motivacao #concursos #foco #sucesso #empreendedorismo #fitness #marketingdigital #amor #brasil #concursopublico #motivation #empreender #motivacional #frases #treino #inspira #deus #vida #ao #determina #saude #bomdia #dinheiro https://t.co/ZRd7IZm1Ie</t>
  </si>
  <si>
    <t>⚠️ Salve e compartilhe!
.
.
#pciconcursos #motiva #motivacao #concursos #foco #sucesso #empreendedorismo #fitness #marketingdigital #amor #brasil #concursopublico #motivation #empreender #motivacional #frases #treino #inspira #deus #vida #ao #determina #saude #bomdia #dinheiro https://t.co/zABnLOR7QT</t>
  </si>
  <si>
    <t>⚠️ Salve e compartilhe!
.
.
#pciconcursos #motiva #motivacao #concursos #foco #sucesso #empreendedorismo #fitness #marketingdigital #amor #brasil #concursopublico #motivation #empreender #motivacional #frases #treino #inspira #deus #vida #ao #determina #saude #bomdia #dinheiro https://t.co/v34AuaemDO</t>
  </si>
  <si>
    <t>⚠️ Salve e compartilhe!
.
.
#pciconcursos #motiva #motivacao #concursos #foco #sucesso #empreendedorismo #fitness #marketingdigital #amor #brasil #concursopublico #motivation #empreender #motivacional #frases #treino #inspira #deus #vida #ao #determina #saude #bomdia #dinheiro https://t.co/qHL7mY9KTl</t>
  </si>
  <si>
    <t>Eu tenho meus valores kkk
.
.
#pciconcursos #motiva #motivacao #concursos #foco #sucesso #empreendedorismo #fitness #marketingdigital #amor #brasil #concursopublico #motivation #empreender #motivacional #frases #treino #inspira #deus #vida #ao #determina #saude #bomdia #dinheiro https://t.co/I5dec2GgSz</t>
  </si>
  <si>
    <t>⚠️ Salve e compartilhe!
.
.
#pciconcursos #motiva #motivacao #concursos #foco #sucesso #empreendedorismo #fitness #marketingdigital #amor #brasil #concursopublico #motivation #empreender #motivacional #frases #treino #inspira #deus #vida #ao #determina #saude #bomdia #dinheiro https://t.co/TqworTahbJ</t>
  </si>
  <si>
    <t>https://t.co/6w1fIEtR0C
#maturi #festival #trabalho #empreendedorismo #networking #oficinas #workshop #palestras</t>
  </si>
  <si>
    <t>SUPLEMENTOS DO SUCESSO #marketingdigital #empreendedorismo #vendasonline... https://t.co/wsC2lenkaK via @YouTube</t>
  </si>
  <si>
    <t>#empreendedorismo #marketingdigital #vendas #funil#fe https://app.moneti... https://t.co/nG82eapasQ via @YouTube</t>
  </si>
  <si>
    <t>🎯Fofoca Saudável de Hoje!🎯📌🍀✅
#FofocadoBem 
...
🎯Fofoca: você já está vencendo. ✨🪄 
#Vaga -
#Professor Assistente - #Empreendedorismo.
Ide:  https://t.co/bqqwyiZX0k</t>
  </si>
  <si>
    <t>“Content is not king, but a president elected by the votes of those whom it aims to rule.”
#empreendedorismo #empreender #empreendendo #empreendertransforma #empresarios #praxedesmkt27051greennn #blogger #digitalinfluencer #instagram #olhosazuis</t>
  </si>
  <si>
    <t>#Repost @desvendandonegocios
Porque o Brasil ainda precisa importar petróleo?
Gostou do conteúdo? compartilhe e siga @desvendandonegocios
#empreendedorismo #empresas #negócios #administração #desvendandonegocios #curiosidadesdenegocios #petroleo #commodities #exportações https://t.co/JRU0eaqWNA</t>
  </si>
  <si>
    <t>💡 Empreendedores, essa é para vocês! 🚀 Conhecimento sobre questões tributárias é poder. Não subestime a importância desse assunto para o sucesso do seu negócio. #empreendedorismo #tributação
https://t.co/Ibxcv4oCww</t>
  </si>
  <si>
    <t>Recuerda ser constante, paciente y enfócate en construir relaciones auténticas y significativas.
 #Innovacion #empreendedorismo #emprendedores #coworking #networking #emprendimiento</t>
  </si>
  <si>
    <t>¿Ya tienes tu plan de negocio?
#emprendedores #empreendedorismo</t>
  </si>
  <si>
    <t>#Innovacion #santodomingoeste #empreendedorismo #emprendedores</t>
  </si>
  <si>
    <t>La innovación disruptiva cambia formas y procesos. Puede crear nuevos productos o servicios, o modificar los existentes de manera radical.
#paradadelacultura #CentrodeinnovacionSDE #Innovacion #santodomingoeste #empreendedorismo #emprendedores #coworking https://t.co/1Y0ZV9N10r</t>
  </si>
  <si>
    <t>¿Conocías sobre emprendimiento social? Te contamos de manera resumida de que se trata y su impacto en nuestro día a día.
#paradadelacultura #CentrodeinnovacionSDE #Innovacion #santodomingoeste #empreendedorismo #emprendedores #coworking #networking #emprendimiento https://t.co/tlL1bbYSed</t>
  </si>
  <si>
    <t>Descubra a fórmula do sucesso: estratégia consistente + inovação contínua = crescimento sustentável. #negócios #empreendedorismo #crescimento</t>
  </si>
  <si>
    <t>"Desbravar novos horizontes, inovar constantemente e buscar a excelência são os pilares para o crescimento empresarial. #Empreendedorismo #Inovação #Crescimento"</t>
  </si>
  <si>
    <t>RT @mere_lani: Dinossauros 🦖🦕
#confeiteira #maesfesteiras #bolodorio #mãosdefada #empresária #bolosdecorados#bolosdepotegourmet #empreended…</t>
  </si>
  <si>
    <t>COMO FICAR MILIONÁRIO EM 2023 #RICO #MILIONÁRIO #EMPREENDEDOR #EMPREENDER https://t.co/ykWU6n9cq8</t>
  </si>
  <si>
    <t>EMPREENDEDORISMO E INOVAÇÃO: 07 a 13/07/2023 #empreendedorismo #inovação... https://t.co/Lmbj3xoUvz via @YouTube</t>
  </si>
  <si>
    <t>EMPREENDEDORISMO E INOVAÇÃO: 07 a 13/07/2023 #empreendedorismo #inovação... https://t.co/8PxvrTKF0X via @YouTube</t>
  </si>
  <si>
    <t>INOVA+ NEWS:BNDES/CAPES/EMPREENDEDORISMO #bndes #caps #empreendedorismo #bid #pequenosnegócios #Amazônia #RenomadoProfessor #UNL #atividades #PPGCOM #Fabico #Simpósio
https://t.co/UYsnQb1DJA via @YouTube</t>
  </si>
  <si>
    <t>Neuroplasticidade + lei da atração + feng shui = sucesso%21
#neuroarquitetura #prosperidade #empreendedorismo https://t.co/M8cS2nQh0D</t>
  </si>
  <si>
    <t>Descubra uma oportunidade única para transformar sua vida%21%21%21 🤑🍃🗝️🧡
#meunovopost #empreendedorismo #doterra https://t.co/dx7L2TGoDI</t>
  </si>
  <si>
    <t>Venha fazer parte da Família mais caseira do YouTube 
#empreendedorismo
#youtube 
#instagram
https://t.co/7LCSDNA55W</t>
  </si>
  <si>
    <t>A #Bahia testemunhou em 2022 um notável avanço no campo do #cooperativismo, que gerou um faturamento expressivo de R$ 7,5 bi. Os dados desse cenário promissor foram divulgados pelo #Oceb.
Saiba mais: https://t.co/fVTLgfPjBz
#Cooperativa #Faturamento #Economia #Empreendedorismo</t>
  </si>
  <si>
    <t>Os empreendedores poderão acessar crédito acessível e orientação técnica ainda no segundo semestre, graças à reabertura da linha #Microcrédito Caixa Repasse pela #Caixa Econômica Federal.
Saiba +: https://t.co/1EsHugwdGg
#LinhaDeCrédito #MEI #Microempreendedor #Empreendedorismo</t>
  </si>
  <si>
    <t>RT @mere_lani: Confeitaria artesanal🍰
#confeiteira #maesfesteiras #bolodorio #mãosdefada #empresária #bolosdecorados#bolosdepotegourmet #em…</t>
  </si>
  <si>
    <t>RT @mere_lani: Jasmine💙
#confeiteira #maesfesteiras #bolodorio #mãosdefada #empresária #bolosdecorados#bolosdepotegourmet #empreendedorismo…</t>
  </si>
  <si>
    <t>RT @mere_lani: Marsha e o urso🩷
#confeiteira #maesfesteiras #bolodorio #mãosdefada #empresária #bolosdecorados#bolosdepotegourmet #empreend…</t>
  </si>
  <si>
    <t>Network vale mais do que dinheiro?💸
Siga para mais conteúdo relevante...
Podcast completo no canal do YouTube do @agoratalks 
#MarketingDigital #empreendedorismo #dinheiroonline #podcast #networking https://t.co/o5UGd6qwMH</t>
  </si>
  <si>
    <t>O que não fazer na jornada ao primeiro milhão ? Siga para mais conteúdo relevante...
#MarketingDigital #podcast #networking #empreendedorismo #motivaçao https://t.co/PvjAL8UoBe</t>
  </si>
  <si>
    <t>Apenas comece com o básico...
#marketingdigital #empreendedorismo #podcast #agoratalks #corte https://t.co/sgrVGbWKEz</t>
  </si>
  <si>
    <t>fala sobre como começar no marketing digital.
Episódio completo em nosso canal, link na Bio🔗
#marketingdigital #empreendedorismo #ganhardinheironainternet #trafegopago #MarketingDigital https://t.co/HTgKkN1oMB</t>
  </si>
  <si>
    <t>SE VOCÊ É AFILIADO
INFOPRODUTOR OU
AUTÔNOMO E ESTÁ
TENDO DIFICULDADES
PARA GERAR VENDAS, O
GRANDE PROBLEMA
PODE ESTAR
RELACIONADO AOS
SEUS CRIATIVOS QUE
NÃO ESTÃO
CONVERTENDO.
Experimente nosso Acervo AntiBlock ⬇️
https://t.co/bIdommH1Pk
#empreendedorismo #afiliados #marketing https://t.co/kXZVOHdq3L</t>
  </si>
  <si>
    <t>Uso de celulares têm corrompido a infância da geração alpha. https://t.co/iEiovLZFlp sobre a crescente adultização da criança. #Sociedade #Infancia #Psicologia #Ansiedade #Empreendedorismo</t>
  </si>
  <si>
    <t>Torne-se o autor da sua própria história de cura e transformação!
🎶 | Pablo Maçal
#empreendedorismo #negócios #mindset https://t.co/MKLogWktAB</t>
  </si>
  <si>
    <t>Não busque soluções rápidas, mas sim um processo de crescimento genuíno que resultará em uma vida abundante.
🎶 | Pablo Maçal
#negocios #viralvideo #empreendedorismo https://t.co/pcurJuBDmg</t>
  </si>
  <si>
    <t>Gran lunes... sigue dando pasos de peque-gran motivaciones.
#empreendedorismo #emprendimiento #motivacion #inspiración #libertad #libertadfinanciera #networker #befree https://t.co/qo8YT3y3tr</t>
  </si>
  <si>
    <t>#oamorvenceu 
#empreendedorismo https://t.co/fwpn9eVwQm</t>
  </si>
  <si>
    <t>Não queiras ser a pessoa mais inteligente do grupo, refaz as tuas amizades com pessoas que te possam beneficiar a nível social, financeiro.
#empreendedorismo #masculinidade</t>
  </si>
  <si>
    <t>Empreender e investir te trará uma vida mais livre, mas não menos desafiadora. 
#investimentos #dividendos #empreendedor #Marketing</t>
  </si>
  <si>
    <t>Insight do dia: Quanto mais você alinhar sua responsabilidade, risco e estratégia, você estará projetando o sucesso de sua empresa. #empreendedorismo #business</t>
  </si>
  <si>
    <t>Você é capaz de fazer o que você quiser, ainda que você não saiba bem o que quer.
#motivação #foco #sucesso #empreendedorismo #inspiração #pensamentopositivo https://t.co/uf0u1vGM6H</t>
  </si>
  <si>
    <t>Valorize cada passinho, cada mudança, por menor que seja, cada coisinha do dia a dia. Nossa vida é um conjunto de pequenas coisinhas que nos fazem grandes.
#motivação #foco #sucesso #empreendedorismo #inspiração #pensamentopositivo https://t.co/hRfegoLViz</t>
  </si>
  <si>
    <t>#nathansfamous #SandaraPark #23point5 #acessorios #art #arte #amorpropio #autoestima #brasil #confira #empreendedorismo #sjrp https://t.co/YLQOS8rgb0</t>
  </si>
  <si>
    <t>Kkkkkkk
Para quem lembra do vídeo...
.
.
#sonogama
#gama
#gamadf
#Gamaiada
#Empreendedor
#Orelhao https://t.co/DtcU9qSfva</t>
  </si>
  <si>
    <t>chegar pro cara que vai de ônibus em ônibus vendendo paçoquinha e falar que se ele se esforçar bastante um dia será rico #empreendedorismo</t>
  </si>
  <si>
    <t>📲 Marque alguém que precisa desse impulso de liderança e compartilhe esse conteúdo para ajudar a transformar mais vidas! 💙✨
#LiderançaEfetiva #DesenvolvimentoDeEquipes #SucessoProfissional #Produtividade #Motivação #LíderesDeSucesso #CoachDeLiderança #Empreendedorismo https://t.co/17BV9PpcEK</t>
  </si>
  <si>
    <t>"🌟 Estou correndo atrás do meu sonho de ajudar minha família e, ao mesmo tempo, ter minha própria loja. Venha conferir os produtos incríveis que temos na #ShopReblui e faça parte dessa jornada conosco! 💪✨ #RealizandoSonhos #Empreendedorismo" https://t.co/XOerfLx4Su</t>
  </si>
  <si>
    <t>#sucesso #shorts #empreendedorismo #youtube #motivação https://t.co/QcX8Akk8nK via @YouTube</t>
  </si>
  <si>
    <t>#motivação #sucesso #empreendedorismo #viral #shorts https://t.co/8q7u5xSHex via @YouTube</t>
  </si>
  <si>
    <t>#sucesso #empreendedorismo  #motivação #lifestyle #shorts  #youtube #you... https://t.co/pbRipjmUmp via @YouTube</t>
  </si>
  <si>
    <t>Esse é o futuro que queremos? É esse o tipo de país que queremos construir, que usa a força para rechaçar o #empreendedorismo?</t>
  </si>
  <si>
    <t>#pracegover "A melhor maneira de começar alguma coisa é parar de falar e dar o primeiro passo." Walt Disney
#iniciativa #empreendedorismo #panthermkt https://t.co/FyUQEkslav</t>
  </si>
  <si>
    <t>#pracegover “Planejamento de longo prazo não lida com decisões futuras, mas com um futuro de decisões presentes” Peter Drucker
#gestão #planejamento #empreendedorismo #panthermkt https://t.co/i6p5qR2wI1</t>
  </si>
  <si>
    <t>O que o Business Model Canvas pode fazer pelo seu negócio ou projeto?
#empreendedorismo #negocios #gestão #pequenasempresas #panthermkt https://t.co/4wVcUntZNP</t>
  </si>
  <si>
    <t>#pracegover “Não existe momento ruim para começar um negócio. A não ser que você queira começar um medíocre” Gary Vaynerchuck
#motivação #empreendedorismo #pequenasempresas #negocioslocais #panthermkt https://t.co/6Kztg48AFh</t>
  </si>
  <si>
    <t>https://t.co/NvOTY750HC
#ebook #jardinagem #negócios #planta #mei #empreendedorismo #basicosStore #brasil</t>
  </si>
  <si>
    <t>VIDEOLOG ⚔️ YOUTUBE 
Podes ver o episódio completo c/ Ariel Alexandre no nosso canal de YouTube e todas as plataformas de áudio 🎧
Também estamos no @canalq
#bitalk #podcast #empreendedorismo #canalq #portugal #negocios #youtube #videolog #google #portadosfundos #filipeneto https://t.co/lo4Paxqwmo</t>
  </si>
  <si>
    <t>A IMPORTÂNCIA DO #ECOSSISTEMA DE S#TARTUPS 🚀🚀🚀
Podes ver o episódio completo c/ Ariel Alexandre no nosso canal de YouTube e todas as plataformas de áudio 🎧
Também estamos no @canalq
#bitalk #podcast #empreendedorismo #canalq #negocios #ecosistemastartup https://t.co/H5VuOIUXPb</t>
  </si>
  <si>
    <t>CHULOS NO MUNDO #WEB3.0 💸💸💸
Podes ver o episódio completo c/ Ariel Alexandre no nosso canal de YouTube e todas as plataformas de áudio 🎧
Também estamos no @canalq
#bitalk #podcast #empreendedorismo #canalq #negocios #bitcoin #blockchain #easymoney #dinheiro https://t.co/wxaC3j7Yfw</t>
  </si>
  <si>
    <t>GUERRA  #APPLE ⚔️ #SAMSUNG 
Podes ver o episódio completo c/ Luís Ferreira no nosso canal de YouTube e todas as plataformas de áudio 🎧
Também estamos no @canalq
#bitalk #podcast #empreendedorismo #canalq #portugal #patentes #patent #patenttroll #patentree https://t.co/8m2H0jA2Lw</t>
  </si>
  <si>
    <t>USAR #PATENTES COMO ARMA 🤬
Podes ver o episódio completo c/ Luís Ferreira no nosso canal de YouTube e todas as plataformas de áudio 🎧
Também estamos no @canalq
#bitalk #podcast #empreendedorismo #canalq #portugal #businesspodcast #negocios #patent #patenttroll #patentree https://t.co/wwyZohRHv9</t>
  </si>
  <si>
    <t>Que armas são estas que as empresas usam para lutar umas contra as outras? 
Hoje às 23h no @canalq
#bitalk #podcast #empreendedorismo #canalq #portugal #businesspodcast #business #negocios #patentes #patent #patenttroll #patentree https://t.co/RorSsO2piT</t>
  </si>
  <si>
    <t>Hoje recebemos Luís Ferreira um especialista em "patentês" 👀 
Afinal o que é uma patente e para que serve? É caro obter uma patente? O que são Patent Trolls? 
Hoje às 23h no @canalq
#bitalk #podcast #empreendedorismo #canalq #patentes #patent #patenttroll #patentree https://t.co/RcfU9yMWEi</t>
  </si>
  <si>
    <t>Neste bitalk vamos revelar os segredos sujos da indústria química, como estes estão presentes no nosso dia-a-dia, nos nossos alimentos e nas nossas casas. 😱
Hoje às 23h no @canalq
#bitalk #podcast #empreendedorismo #chemitek #quimicos #eco #biologico #industriaquimica https://t.co/bJZnwg0oLu</t>
  </si>
  <si>
    <t>O César Martins é um empreendedor que adora o mundo das nanopartículas, Doutorado em Nanotecnologia e CEO da ChemiTek, César partilhou connosco a sua jornada de empreendedor e como as vezes aprendemos da pior maneira.
Hoje às 23h no @canalq
#bitalk #podcast #empreendedorismo https://t.co/kktUl5qfhA</t>
  </si>
  <si>
    <t>A MOTIVAÇÃO SECRETA POR TRÁS DA #CORRIDAESPACIAL 🚀🌙 
Podes ver o episódio completo c/ Bruno Carvalho no nosso canal de YouTube e todas as plataformas de áudio 🎧
Também estamos no @canalq
#bitalk #podcast #empreendedorismo #canalq #portugal #negocios #espaço #space #satelites https://t.co/qJWw9zPTRL</t>
  </si>
  <si>
    <t>VIVER O #ECOSSISTEMA DE #STARTUPS EM #SÃOFRANCISCO 🌉
Podes ver o episódio completo c/ Ariel Alexandre no  YouTube e todas as plataformas de áudio 🎧
Também estamos no @canalq
#bitalk #podcast #empreendedorismo #canalq #negocios  #inovação #economia #ecossistemadestartups https://t.co/jXqEQeJ9iJ</t>
  </si>
  <si>
    <t>#POWERLAW 🤑🤑🤑
Podes ver o episódio completo c/ Ariel Alexandre no nosso canal de YouTube e todas as plataformas de áudio 🎧
Também estamos no @canalq
#bitalk #podcast #empreendedorismo #canalq #portugal #businesspodcast #business #negocios #startups #investimento https://t.co/ZRtIbTL7Ul</t>
  </si>
  <si>
    <t>#ENERGIASOLAR NÃO É ASSIM TÃO GREEN COMO PARECE 🤯
Episódio completo c/ César Martins no nosso canal de YouTube e todas as plataformas de áudio 🎧
Também estamos no @canalq
#bitalk #podcast #empreendedorismo #canalq #portugal #negocios #energia #energiasrenovaveis https://t.co/YRectvBlwd</t>
  </si>
  <si>
    <t>QUEM GANHA A NOVA CORRIDA À #LUA? 🌙
Podes ver o episódio completo c/ Bruno Carvalho no nosso canal de YouTube e todas as plataformas de áudio 🎧
Também estamos no @canalq
#bitalk #podcast #empreendedorismo #canalq #portugal #espaço #space #corridaàlua #spacex #elonmusk https://t.co/42P7OdqFmc</t>
  </si>
  <si>
    <t>#VIDEOLOG VEIO PRIMEIRO QUE O #YOUTUBE 👀
Episódio completo c/ Ariel Alexandre no  YouTube e todas as plataformas de áudio 🎧
Também estamos no @canalq
#bitalk #podcast #empreendedorismo #canalq #portugal #businesspodcast #business #negocios #google https://t.co/rvJPf5MwKO</t>
  </si>
  <si>
    <t>CRIAR UM #BANCO PARA A FILHA 🏦👧💵
Episódio completo c/ Ariel Alexandre no YouTube e todas as plataformas de áudio 🎧
Também estamos no @canalq
#bitalk #podcast #empreendedorismo #canalq #negocios #sofiasbank #omeubanco #literaciafinanceira #app #google https://t.co/B4PldcMwvL</t>
  </si>
  <si>
    <t>Ariel Alexandre 
Hoje às 23h no @canalq
#bitalk #podcast #empreendedorismo #canalq #portugal  #negocios #web3 #makemoneyoline https://t.co/0vyWoSeq1A</t>
  </si>
  <si>
    <t>O Bitalk desta semana é para os verdadeiros apaixonados pela Web com um convidado que tem um gosto especial em criar empresas e produtos fáceis de usar e escaláveis.
Hoje às 23h no @canalq
#bitalk #podcast #empreendedorismo #canalq #portugal #negocios #web3 #makemoneyoline https://t.co/IzO9hxDKtp</t>
  </si>
  <si>
    <t>Preparados para um Bitalk espacial? 
Esta semana recebemos o Bruno Carvalho, Director da D-Orbit, que nos vem falar da nova corrida ao espaço!
Hoje às 23h no @canalq
#bitalk #podcast #empreendedorismo #canalq #portugal #negocios #espaço #space #satelites https://t.co/lomz9zLXd5</t>
  </si>
  <si>
    <t>Preparados para um Bitalk espacial? 
Esta semana recebemos um convidado que nos vem falar da nova corrida ao espaço! O Bruno é Diretor da D-Orbit.
Hoje às 23h no @canalq
#bitalk #podcast #empreendedorismo #canalq #portugal #negocios #espaço #space #satelites #orbita https://t.co/rY1W4uoH84</t>
  </si>
  <si>
    <t>#ÉTICA NOS #NEGÓCIOS 😈😇
Podes ver o episódio completo c/ Ariel Alexandre no nosso canal de YouTube e todas as plataformas de áudio 🎧
Também estamos no @canalq
#bitalk #podcast #empreendedorismo #canalq ##businesspodcast #business  #jogodosnegócios #web3 https://t.co/h365LZtgm7</t>
  </si>
  <si>
    <t>ALIMENTOS CHEIOS DE ADITIVOS 😱
Podes ver o episódio completo c/ César Martins no nosso canal de YouTube e todas as plataformas de áudio 🎧
Também estamos no @canalq
#bitalk #podcast #empreendedorismo #canalq #portugal #negocios #quimicos #chemitek #alimentos https://t.co/LDn9uN17Fu</t>
  </si>
  <si>
    <t>O FALSO “ECO” ♻️
Podes ver o episódio completo c/ César Martins no nosso canal de YouTube e todas as plataformas de áudio 🎧
Também estamos no @canalq
#bitalk #podcast #empreendedorismo #canalq #portugal #businesspodcast #business #negocios #eco #biologico #greenwash https://t.co/DtyMb0D4Gm</t>
  </si>
  <si>
    <t>OS #ALIENS EXISTEM? 👽🛸
Podes ver o episódio completo c/ Bruno Carvalho no nosso canal de YouTube e todas as plataformas de áudio 🎧
Também estamos no @canalq
#bitalk #podcast #empreendedorismo #canalq #portugal  #espaço #space #satelites #orbita #extraterrestes https://t.co/wmjq3CxJ4D</t>
  </si>
  <si>
    <t>A TERRA É PLANA 👀
Podes ver o episódio completo c/ Bruno Carvalho no nosso canal de YouTube e todas as plataformas de áudio 🎧
Também estamos no @canalq
#bitalk #podcast #empreendedorismo #canalq #portugal #businesspodcast #business #negocios #espaço #space #satelites #orbita https://t.co/1IvqH8CYAp</t>
  </si>
  <si>
    <t>CHINA ULTRAPASSA OS EUA 🇨🇳⚔️🇺🇸
Podes ver o episódio completo c/ Luís Ferreira no nosso canal de YouTube e todas as plataformas de áudio 🎧
Também estamos no @canalq
#bitalk #podcast #empreendedorismo #canalq  #patentes #patent #patenttroll #patentree https://t.co/VMQd7xXihw</t>
  </si>
  <si>
    <t>#GOOGLE ROUBOU O #GOOGLEMAPS 🤯
Podes ver o episódio completo c/ Luís Ferreira no nosso canal de YouTube e todas as plataformas de áudio 🎧
Também estamos no @canalq
#bitalk #podcast #empreendedorismo #canalq #portugal  #patentes #patent #patenttroll #patentree https://t.co/8z28YcBqNN</t>
  </si>
  <si>
    <t>VAMOS SER PROCESSADOS PELA COCA-COLA 👀
Precisamos de um especialista!! 🙌
O que faz pior o Açúcar ou o Aspartame? 🤔
#bitalk #podcast #empreendedorismo #canalq #portugal #businesspodcast #business #negocios #cocacola https://t.co/hXAqIqA1KV</t>
  </si>
  <si>
    <t>QUAL A #PATENTE QUE TE DEU MAIS #DINHEIRO 👀 💰💰💰
No nosso #bitalk com o Luís fomos diretos à questão! Afinal quanto dinheiro é que se faz com patentes?
 #podcast #empreendedorismo #canalq #portugal  #patent #patenttroll #patentree https://t.co/VWxCq5V0Zk</t>
  </si>
  <si>
    <t>O QUE É UMA REVERSÃO? 🤔
Episódio completo c/ César Martins no canal de YouTube e todas as plataformas de áudio 🎧
#bitalk #podcast #empreendedorismo #canalq #portugal #businesspodcast #business #negocios #finanças #divida #impostos https://t.co/GbW62OA7Ly</t>
  </si>
  <si>
    <t>⚠️ ÚLTIMA HORA 
 EMPREENDEDOR CAUSA ACIDENTE FATAL 😱
Episódio completo c/ César Martins no canal de YouTube e todas as plataformas de áudio 
#bitalk #podcast #empreendedorismo #canalq #portugal #businesspodcast #business #negocios #acidente #empreendedor #cartadeempreendedor https://t.co/qs7YvY4xQH</t>
  </si>
  <si>
    <t>TRANSFORMAR A GRAVIDADE EM ENERGIA ⚡️⚡️⚡️⚡️
Bitalkers o Serra deixou um pedido no podcast acerca deste tema, ficamos à espera de resposta. 😁
#bitalk #podcast #empreendedorismo #canalq #portugal #negocios #energia #energiasalternativas #energiasrenovaveis https://t.co/s1dqmUx3iA</t>
  </si>
  <si>
    <t>PRIMEIRO IMPOSTOS DEPOIS O RESTO 🥵
Episódio completo c/ César Martins no canal de YouTube e todas as plataformas de áudio 🎧
#bitalk #podcast #empreendedorismo #canalq #portugal #businesspodcast #business #negocios #impostos #finanças #robinhood https://t.co/Zi4iNhHqj7</t>
  </si>
  <si>
    <t>RT @ForbesBR: #HenryFord foi um #empreendedor e engenheiro mecânico norte-americano e o fundador da Ford Motor Company. Foi a partir da ind…</t>
  </si>
  <si>
    <t>Não espere por oportunidades extraordinárias. Agarre ocasiões comuns e torne-as grandes!
Os fracos esperam por oportunidades, os fortes criam-nas."
Orison Swett Marden
#motivação #empreendedorismo</t>
  </si>
  <si>
    <t>Sonha em ser franqueado Bob's? Sinta o sabor do sucesso conosco. Para empreendedores apaixonados por comida. Não perca essa chance única!
#franquiabobs #empreendedorismo #franquiasdealimentação
 https://t.co/NIbVPGH6de</t>
  </si>
  <si>
    <t>Descubra a Baff's Salgaderia, marca que conquista corações com sabores únicos. Quer ser parte da família Baff's? 
https://t.co/jmMDsRdwLr
#baffssalgaderia #franquiasdealimentação #empreendedorismo</t>
  </si>
  <si>
    <t>Conheça os termos-chave que moldam o sucesso no franchising. 💼🤝
#Franchising #Empreendedorismo #TermosDoFranchising #PortaldoFranchising
https://t.co/pbQuQys15K</t>
  </si>
  <si>
    <t>#PapoComOAnjo 😇
João Kepler conversa com Theo Braga, CEO da Smart Money Education
Investidor conta quais são diferenças do empreendedor para o empresário
📺 Baixe agora. É grátis.
#TheoBraga #Empreendedor #Empresário https://t.co/jcmm1o50NW</t>
  </si>
  <si>
    <t>#SOSEmpreendedor 🆘
No programa desta semana, Fernando Seabra revelou todas suas dificuldades enfrentadas até se tornar empreendedor e trouxe inspiração com suas histórias de superação
📺 Baixe agora. É grátis.
#FernandoSeabra #Empreendedor #Sucesso https://t.co/zU26sufs0E</t>
  </si>
  <si>
    <t>#News 📰
Mercado de moda plus size ganha cada vez mais espaço no Brasil; pequenos empresários desafiam preconceitos e impulsionam segmento
📺 Baixe agora. É grátis.
#moda #plussize #Brasil #empreendedorismo https://t.co/6izfOfGa4j</t>
  </si>
  <si>
    <t>#SOSEmpreendedor 🆘
Alfredo Soares, fundador da G4 Educação, explica a importância de um case para desenvolvimento do negócio
📺 Baixe agora. É grátis.
#entrevista #empreendedorismo #case https://t.co/Lke9dRvJNV</t>
  </si>
  <si>
    <t>Os negócios são conduzidos por pessoas e, portanto, compreender as pessoas é essencial para compreender os negócios.
#empreendedorismo #gestao #gestaodepessoas #empresas #startup https://t.co/69KoazRyfX</t>
  </si>
  <si>
    <t>➡️ Eventos promovidos por entidades empresariais reuniram mulheres líderes de todas as regiões de Santa Catarina
#RCNIMPRESSA #EMPREENDEDORISMO #FEMININO
Saiba Mais 👇
https://t.co/sYqK7LTzIG https://t.co/6qtZ1MCHzr</t>
  </si>
  <si>
    <t>➡️ Iniciativa reconhece as melhores iniciativas públicas de estímulo ao empreendedorismo
Saiba Mais 👇
https://t.co/BvJv8ZIq8I
#SEBRAE #Empreendedorismo</t>
  </si>
  <si>
    <t>Não ouse pensar pequeno — dá para ter os pés no chão e voar longe quando se tem uma convicção de aço! Vamos em frente 🚀
#motivacional #convicção #negócios #empreendedorismo #startup #superhuman https://t.co/42wB1clBcQ</t>
  </si>
  <si>
    <t>Ninguém vai colocar a mão na massa por você!
Arregace as mangas, foque nos seus objetivos, cerque-se de pessoas competentes e tire seu projeto do papel HOJE!
Bom sábado 💪🏻💪🏻
#sabadou #empreendedorismo #negócios #accountability #motivacional #oportunidades https://t.co/dmj5igg4Bz</t>
  </si>
  <si>
    <t>A coragem de enfrentar o desconhecido, encarar riscos e desafiar o convencional define a trajetória do sucesso. O medo da incerteza é nosso inimigo mais traiçoeiro.
#coragem #tomadadedecisão #empreendedorismo #pessoas #RH #negócios #estratégia https://t.co/4WjZe4cEMS</t>
  </si>
  <si>
    <t>A coragem de enfrentar o desconhecido, encarar riscos e desafiar o convencional define a trajetória do sucesso. O medo da incerteza é nosso inimigo mais traiçoeiro.
#coragem #tomadadedecisão #empreendedorismo #pessoas #RH #negócios #estratégia https://t.co/TYLTuFUwCT</t>
  </si>
  <si>
    <t>experimente #sucesso #vida #foco #motivação #empreendedorismo https://t.co/CABhKX5P7m</t>
  </si>
  <si>
    <t>5 atitudes MADURAS que poucos têm #sucesso #vida #foco #motivacional #empreendedorismo https://t.co/GqkrN65set</t>
  </si>
  <si>
    <t>O LADRÕES não leem #sucesso #motivação #foco #vida #empreendedorismo https://t.co/wG0Z56DlCw</t>
  </si>
  <si>
    <t>Verdades que você PRECISA escutar hoje #sucesso #foco #vida #motivacional #empreendedorismo https://t.co/F7TADAe3hl</t>
  </si>
  <si>
    <t>4 Formas de ser visto como AUTORIDADE #sucesso #foco #vida #motivação #empreendedorismo https://t.co/6PenqcBQvP</t>
  </si>
  <si>
    <t>6 verdades BRUTALMENTE honestas #sucesso #vida #foco #motivação #empreendedorismo https://t.co/KmFsorX9dg</t>
  </si>
  <si>
    <t>4 HÁBITOS que te tornarão irreconhecível em um mês #sucesso #vida #foco #motivação #empreendedor https://t.co/Ayxe6VXoUR</t>
  </si>
  <si>
    <t>4 PONTOS de vista que te ajudam em uma NEGOCIAÇÃO #sucesso #vida #foco #empreendedorismo #motiva https://t.co/iix1LkrBKT</t>
  </si>
  <si>
    <t>Como a cultura influencia #sucesso #foco #vida #motivacional #empreendedorismo https://t.co/qruXYB34sW</t>
  </si>
  <si>
    <t>4 comportamentos QUE VOCÊ FAZ que afasta as pessoas #sucesso #vida #foco #motivação #empreendedor https://t.co/4JXTbf3Okc</t>
  </si>
  <si>
    <t>4 ENSINAMENTOS para você levar para a VIDA TODA #sucesso #foco #vida #motivação #empreendedorismo https://t.co/TEZmHryGIY</t>
  </si>
  <si>
    <t>8 Atitudes de pessoas de RESPEITO #sucesso #foco #motivação #vida #empreendedorismo https://t.co/3dw820I6Gl</t>
  </si>
  <si>
    <t>Acesse: https://t.co/lC3obLeEUd 
#Investimentos #liberdadefinanceira #trader #empreendedorismo #empreendedorismodigital #empreendedordesucesso #estrategia #estrategiasdemercadeo #persistencia #consistencia #sucesso #qualidadedevida #miamibeach #bmfbovespa #forex #sucesso https://t.co/bQ20ShlPfA</t>
  </si>
  <si>
    <t>Quer impulsionar a sua empresa e alcançar mais clientes?
Dá uma olhadinha no nosso site 👉 https://t.co/0dExWSafbg
.
#marketingdigital #sites #desenvolvimentoweb #redessociais #viral #empreendedorismo https://t.co/qoxC3Ni79e</t>
  </si>
  <si>
    <t>Saiba mais, acesse o nosso site 🔗 https://t.co/0dExWSafbg 🔗
.
.
.
#desenvolvimentoweb #sites #landingpage #hotsites #web #redessociais #mei #empreendedorismo #sebrae #viral https://t.co/s2qesZ0ssO</t>
  </si>
  <si>
    <t>Já pensou em apresentar os seus produtos ou serviços aos seus clientes de forma profissional?
Acesse o nosso site e saiba mais!
https://t.co/0dExWSafbg
Somos a JinggaWeb, a laranjinha digital 🍊🥰
.
#sites #landingpage #web #redessociais #mei #empreendedorismo #sebrae https://t.co/vYMcbhmtoM</t>
  </si>
  <si>
    <t>EMPREENDEDORISMO: de julho de 2021 a julho de 2023, o Crédito Social chegou a 8.752 goianos, somando investimento de mais de R$ 19 milhões. #empreendedorismo #Goiás https://t.co/0fRZTFaSlP</t>
  </si>
  <si>
    <t>EMPREENDEDORISMO: depois de deixar emprego em loja de calçados, empreendedora goiana abre confeitaria e agora inicia projeto de ampliar a sua própria fábrica. #empreendedorismo #confeitaria #Goiás https://t.co/UwkFFTPyrk</t>
  </si>
  <si>
    <t>#liberdadefinanceira 
#rendavariavel #rendapassiva 
#educacaofinanceira #investimento
#independênnciafinanceira #economia #criptomoedas #motivação #atualidades  #desenvolvimentopessoal
#desenvolvimentoprofissional
#empreendedorismo 
#utilidadepública #curiosidades #reels #viral https://t.co/W252zk4SeX</t>
  </si>
  <si>
    <t>As pessoas buscam mais uma instrução de como viver do que a verdade porque descobrir a verdade para cada situação demora e causa sofrimento. Empreender é ter força e coragem para enfrentar a verdade todo o tempo. 
#empreendedorismo #startups #educacao</t>
  </si>
  <si>
    <t>“Cantando espalharei por toda parte,
Se a tanto me ajudar o engenho e arte.” Os Lusíadas, Camões. - A felicidade atrelada ao resultado da construção (engenho) com a invenção (arte) #startups #empreendedorismo</t>
  </si>
  <si>
    <t>EDUP EP-MS1559 Wireless Networking Video Audio 300Mbps Wireless 802.11n USB Adapter Network Card
https://t.co/HmkaSoKDPe
#music #bluetooth #technology #headset #tech #business #marketing #entrepreneur #success #motivation #party #hiphop #schweinbeck #atlanta #empreendedorismo https://t.co/SGE00utaeb</t>
  </si>
  <si>
    <t>@obruneus Coloca em pacotinhos e vende em dark room #empreendedorismo</t>
  </si>
  <si>
    <t>"Isolado fisicamente e ativo socialmente"
#podcast #varejo #ecommerce #negocios #Empreender #empreendedorismo #meunegocio https://t.co/N7uNQ2IZSn</t>
  </si>
  <si>
    <t>Para assistir ou escutar o episódio completo, acesse nosso YouTube ou busque pela Central do Varejo mas suas plataformas favoritas de streaming
#Podcast #Empreender #Empreendedorismo #Varejo #CentralDoVarejo #MeuNegocio #Ecommerce https://t.co/oB82lyx5Te</t>
  </si>
  <si>
    <t>Produto apresentado na feira ExpoEdite no dia 06/07,  trabalho confeccionado por aluno empreendedor do 1°A.  São peças  bem elaboradas e com material de qualidade. Uma coleção de Amigurumis e pelúcias feitas a mão. 
#empreendedorismo #Amigurumis #cultura #joves https://t.co/8viaANr7T4</t>
  </si>
  <si>
    <t>Como planejado, terminei ontem de ler este livro.
#Comportamento do Consumidor, da @editorasenacsp, escrito de forma bastante didática e objetiva pela autora Angela Halat.
Aprendi muito com ele além de me dar vários insights interessantes.
#Vendas #Finanças #Empreendedorismo https://t.co/G2jT37uMQ9</t>
  </si>
  <si>
    <t>O objetivo primário de uma organização, de forma geral, é determinar circunstâncias favoráveis de mercado e usar seus recursos para que valor seja criado para clientes e acionistas.
#empresa #empreendedorismo</t>
  </si>
  <si>
    <t>Sonhe grande, mas comece pequeno. Todo grande empreendimento começa com um primeiro passo. #Empreendedorismo</t>
  </si>
  <si>
    <t>Acabei de ler este livro e recomendo demais.
Além de aprender os passos para criar do zero minha startup aprendi até a investir  startups. 
Parabéns e origado ao autor.
#empreendedorismo #sonhogrande https://t.co/aBQh46W3KI</t>
  </si>
  <si>
    <t>Hoje meu aprendizado foi sobre MVP, 
É... Estudar pra caramba também faz parte do projeto #Mais1Milionário kkk
#empreendedorismo #foconoobjetivo #milhao</t>
  </si>
  <si>
    <t>Bom dia, empreendedores! Hoje é um novo dia para buscar oportunidades, aprender e avançar em direção aos nossos sonhos financeiros. Vamos com tudo! 💼🌟 #BomDia #Empreendedorismo</t>
  </si>
  <si>
    <t>💼💰 Estou determinado a alcançar meu objetivo de faturar 1 milhão de reais e estou pronto para compartilhar minha jornada com vocês! Segue aí para acompanhar cada passo rumo à independência financeira! 🔥
#MotivaçãoFinanceira #Empreendedorismo #NegóciosRentáveis</t>
  </si>
  <si>
    <t>de aplicativos e da comunidade em geral é essencial para o sucesso desse projeto.
#Economia
#Finanças
#Investimentos
#Dinheiro
#Negócios
#MercadoFinanceiro
#GestãoFinanceira
#EducaçãoFinanceira
#Empreendedorismo
#PlanejamentoFinanceiro
#CrescimentoEconômico</t>
  </si>
  <si>
    <t>" O sucesso nos negócios é resultado de pensar grande, agir com coragem, e perseverar diante dos desafios"
#SucessoNosNegócios #PensarGrande #AgirComCoragem #Perseverança #Empreendedorismo #GestãoDeNegócios #MetasAudaciosas #Resiliência #Oportunidades #Ação https://t.co/uwCLN7srhB</t>
  </si>
  <si>
    <t>Conheça as metodologias e estratégias mais usadas para profissionalizar a gestão de pequenas e médias empresas https://t.co/W1oL8Op1n8 #ItauEmpresas #PEGN #ferramentas #empreendedorismo 
#Apresentado por @EstudioGlab</t>
  </si>
  <si>
    <t>Da análise do público ao uso da inteligência artificial, veja como impulsionar vendas e fidelizar clientes na Black Friday, uma das principais datas do varejo https://t.co/62EpqA4oIM #ItauEmpresas #PEGN #empreendedorismo #ecommerce #blackfriday
#Patrocinado por @itau</t>
  </si>
  <si>
    <t>Recomendações de consultor do Sebrae realçam o contato com o cliente como um dos maiores diferenciais competitivos de pequenas empresas. Saiba como utilizá-lo! https://t.co/2JtrSpiwnA #ItauEmpresas #PEGN #empreendedorismo #cliente #clientela
#Patrocinado por @itau</t>
  </si>
  <si>
    <t>Do controle financeiro à ampliação de equipes, veja como preparar a operação para o aumento de pedidos e para a chegada de novos clientes no período de festas https://t.co/fGafmIny8W #ItauEmpresas #PEGN #empreendedorismo #vendas #fimdeano
#Patrocinado por @itau</t>
  </si>
  <si>
    <t>Da ampliação do networking ao impulsionamento de vendas, conheça as oportunidades e estratégias para explorar o potencial de ações como workshops, degustações e encontros de relacionamento. #ItauEmpresas #PEGN #empreendedorismo 
Apresentado por @itau https://t.co/xhGpJ443qj https://t.co/CtkurM2t5m</t>
  </si>
  <si>
    <t>Conheça as oportunidades e os desafios do empreendedorismo na maturidade e entenda como a experiência profissional explica a taxa de sobrevivência bem maior dessas empresas https://t.co/KXynlNejzI  #ItauEmpresas #PEGN #empreendedorismo #maturidade
#Patrocinado por @itau</t>
  </si>
  <si>
    <t>Especialista em e-commerce dá dicas para quem está começando ou pretende ampliar a presença no comércio eletrônico. https://t.co/RUP9aKvbpg #ItauEmpresas #PEGN #empreendedorismo #ecommerce #vendasonline #comercioeletronico
#Patrocinado por @itau</t>
  </si>
  <si>
    <t>Conheça alguns instrumentos importantes para identificar oportunidades de melhoria no seu negócio com base na satisfação - ou não - dos seus clientes. #ItauEmpresas #PEGN #empreendedorismo #cliente #satisfacaodocliente
Apresentado por @itau
https://t.co/0ulsNFmtVT</t>
  </si>
  <si>
    <t>Escritora Câmara Brasileira do Livro, Jornalista, Empreendedora, Home Office nas horas vagas tento ocupar meu tempo ao máximo com meu esforço e dedicação Busco Aprender a cada dia uma nova conquista e oportunidade, Sem deixar Minha Essência e Feminilidade de lado, Seja Bem Vindo! https://t.co/A9kgjyf17b</t>
  </si>
  <si>
    <t>Acesso aos E-Books Informativos. Se quiser Saber Mais sobre este conteúdo Clique no Link abaixo 👉https://t.co/Apyf1L8LIe #Jornalismo #Imprensa #Literatura #Leitura #Empreendedorismo #homeoffice #Kyah_Borges #Prabhas #FilmeseSéries #CinemaUpdate #Cinema #Prabhas</t>
  </si>
  <si>
    <t>As tendências e inovações em Business Intelligence (BI) estão em constante evolução para atender às demandas do mercado em um mundo cada vez mais orientado por dados.
https://t.co/0ngiimqThE
#bi #dados #empreendedor #recursos #tecnologiadainformacao #LGPD</t>
  </si>
  <si>
    <t>Caravana da Sudeco está na capital de Mato Grosso, Cuiabá, neste sexta-feira (22).
Acesse: https://t.co/Vduo9EltQU
@governodobrasil
@midregional
@rosemodesto
#sudeco #MT #FCO #fdco #governo #cuiaba  #centrooeste #credito #caravana #agricultura #desenvolvimento #empreendedorismo</t>
  </si>
  <si>
    <t>Caravana da Sudeco está na capital de Mato Grosso, Cuiabá, neste sexta-feira (22)
Acesse: https://t.co/Vduo9EltQU
@governodobrasil
@midregional
@rosemodesto
#sudeco #MT #FCO #fdco #governo #cuiaba #centrooeste #credito #caravana #agricultura #desenvolvimento #empreendedorismo https://t.co/HpruJ5oqml</t>
  </si>
  <si>
    <t>"Quer ter seu próprio negócio fitness? Seja franqueado da Body Health Wellness Center em Varginha-MG! Marca consolidada, suporte completo, treinamentos exclusivos, equipamentos de qualidade e modelo de negócio rentável #franquia #fitness #empreendedorismo" https://t.co/KE5RNZBhzp</t>
  </si>
  <si>
    <t>👉🏢🤝 Invista na franquia Body Health: sucesso comprovado, suporte completo, tecnologia avançada, crescimento, satisfação do cliente. Torne-se franqueado e alcance o sucesso! #FranquiaBodyHealth #Suporte #Tecnologia #Crescimento #SatisfaçãoCliente #Investimento #Empreendedorismo https://t.co/GhYoVCi9Zr</t>
  </si>
  <si>
    <t>"Quer ter seu próprio negócio fitness? Seja franqueado da Body Health Wellness Center em Varginha-MG! Marca consolidada, suporte completo, treinamentos exclusivos, equipamentos de qualidade e modelo de negócio rentável #franquia #fitness #empreendedorismo" https://t.co/rxGDuOHFCj</t>
  </si>
  <si>
    <t>👉🏢🤝 Invista na franquia Body Health: sucesso comprovado, suporte completo, tecnologia avançada, crescimento, satisfação do cliente. Torne-se franqueado e alcance o sucesso! #FranquiaBodyHealth #Suporte #Tecnologia #Crescimento #SatisfaçãoCliente #Investimento #Empreendedorismo https://t.co/dbIgu3t3qh</t>
  </si>
  <si>
    <t>👉🏢🤝 Invista na franquia Body Health: sucesso comprovado, suporte completo, tecnologia avançada, crescimento, satisfação do cliente. Torne-se franqueado e alcance o sucesso! #FranquiaBodyHealth #Suporte #Tecnologia #Crescimento #SatisfaçãoCliente #Investimento #Empreendedorismo https://t.co/eeyVUsFn7P</t>
  </si>
  <si>
    <t>Quer abrir uma academia, mas não sabe por onde começar? Conheça as vantagens de investir em uma franquia consolidada! Suporte completo desde a escolha do ponto até a gestão do negócio. Faça parte desse mercado em crescimento! #franquia #academia #empreendedorismo" #negócio https://t.co/19WZa9ls4l</t>
  </si>
  <si>
    <t>Quer abrir uma academia, mas não sabe por onde começar? Conheça as vantagens de investir em uma franquia consolidada! Suporte completo desde a escolha do ponto até a gestão do negócio. Faça parte desse mercado em crescimento! #franquia #academia #empreendedorismo" #negócio https://t.co/osF7XbgO5o</t>
  </si>
  <si>
    <t>👉🏢🤝 Invista na franquia Body Health: sucesso comprovado, suporte completo, tecnologia avançada, crescimento, satisfação do cliente. Torne-se franqueado e alcance o sucesso! #FranquiaBodyHealth #Suporte #Tecnologia #Crescimento #SatisfaçãoCliente #Investimento #Empreendedorismo https://t.co/jLOBlzJOW4</t>
  </si>
  <si>
    <t>#mudancasdehabitos #resultadospositivos
✅Pequenas mudanças, resultados impressionantes. Não importa quais sejam seus objetivos, Hábitos Atômicos oferece um método eficaz para você se aprimorar todos os dias. #hábitosatómicos
😉Fica a DICA❗
#iNotes #dicasdelivros
#empreendedor https://t.co/hxj1Xe1ciP</t>
  </si>
  <si>
    <t>Affonso destaca atuação de agroindústrias
https://t.co/XNiQ6bNzwH
#Empreendedorismo #Agroindustrias #JornalCP #CorreioPopular https://t.co/n9PLWT0Eas</t>
  </si>
  <si>
    <t>Olá, pessoal! Hoje vamos falar sobre um tema importante no mundo dos negócios: a dissolução parcial de sociedade segundo... Continua⚖️
#DiegoHenrique #inhumas  #inhumasgo #Goiania #advogado 
#DissoluçãoParcial #LegislaçãoBrasileira #Negócios #Empreendedorismo #SociedadeComercial https://t.co/2pJxGYJuDr</t>
  </si>
  <si>
    <t>📈💪 Definir KPIs eficazes é essencial para o sucesso do seu negócio. Siga esses passos e tenha uma base sólida para medir e melhorar o desempenho da sua empresa!
 #resultados    #análisedesempenho #tomadedecisões #gestão #estratégia #negócios  #planejamento #empreendedorismo</t>
  </si>
  <si>
    <t>Quem vamos nesse encontro, aqui?
#negocios #empreendedorismo. 🥰 https://t.co/WX7QuoQgNc</t>
  </si>
  <si>
    <t>⚠️📢 DATA DO NOSSO VIGÉSIMO SEXTO EPISÓDIO, #26 DO DAMAH_CAST 🎙🎧 17/07, SEGUNDA ÁS 20h30min📢⚠️
#podcast #trending #brasil #damahcast #RS  #dança  #carnaval #canoas #mães #viladoiapi #atleta #carnavalesca #negras #maedeatleta #maesnegras #passista #madrinha #empreendedorismo https://t.co/tmZMpBVk1j</t>
  </si>
  <si>
    <t>Devemos nos manter firmes e perseverantes sempre, pois a jornada é cheia de altos e baixos.
Mantenha sua constância e sua fé, assim você chegará ao topo!
#oseiasgomes #palestrante #editoragente #gestaofacil #negocioescalavel #empreendedorismo #determinação #negocios… https://t.co/yKx6WPfbue</t>
  </si>
  <si>
    <t>O que é propósito?
Eu sempre defendi, como empreendedor, que todo negócio deve ter um propósito bem definido. 
Para entender mais sobre o assunto assista ao reels!
#oseiasgomes #palestrante #editoragente #gestaofacil #megocioescalavel #empreendedorismo #negócios #propósito https://t.co/fcarqbt8ej</t>
  </si>
  <si>
    <t>Valorize todos momentos de sua vida!
Busque a plenitude de suas ações, para chegar na prosperidade, aproveitando cada experiência no caminho!
#oseiasgomes #palestrante #editoragente #gestaofacil #negocioescalavel #empreendedorismo #motivacional #fragilidade https://t.co/ianBm8D8sd</t>
  </si>
  <si>
    <t>Seja confiante!
Com determinação e planejamento, você pode ultrapassar qualquer barreira!
#OseiasGomes #palestrante #EditoraGente #GestãoFácil #negocioescalavel #empreendedorismo #negócios #sucesso #motivacional #determinação #topo https://t.co/n7qeYsGOBi</t>
  </si>
  <si>
    <t>Entenda o poder de consumo!
Seu negócio precisa ser abrangente para atingir um público maior.
Entenda sobre como o poder do consumo pode influenciar em sua escala assistindo esse reels!
#oseiasgomes #palestrante #EditoraGente #GestãoFácil #negocioeacalavel #empreendedorismo… https://t.co/OKwC4zVKkX</t>
  </si>
  <si>
    <t>É assim que se começa a jornada para o sucesso!
Correr riscos são necessários, e quando se começa um negócio você precisa ter coragem para assumi-los!
#OseiasGomes #palestrante #EditoraGente #GestãoFácil #negocioescalavel #empreendedorismo #negócios #sucesso #motivacional https://t.co/95CvMOfvCf</t>
  </si>
  <si>
    <t>Qualquer um pode ser empreendedor, basta ser inconformado!
Eu como empreendedor, sou inconformado, ou seja, sempre busco melhorar e evoluir, não importa a situação!
#oseiasgomes #palestrante #editoragente #gestaofacil #negocioescalavel #empreendedorismo #sucesso #negocios… https://t.co/1zkAixk6pE</t>
  </si>
  <si>
    <t>Sua mente deve ser fértil em ideias!
Inovar é criar algo novo como se esse algo já existisse, e um bom empreendedor sempre inova.
Deixo suas ideias florescerem, antes do seu negócio ser real ele primeiro precisa se concretizar em sua mente!
#Empreendedorismo #HistóriaDeSucesso… https://t.co/rwctPRxxxI</t>
  </si>
  <si>
    <t>Como ser um líder extraordinário?
Nesse pequeno vídeo eu cito algum dos fatores que fazem um líder extraordinário.
Assista e aprenda um pouco mais sobre como ser um líder melhor!
#Empreendedorismo #HistóriaDeSucesso
#OseiasGomes #EditoraGente #GestãoFácil #NegocioEscalavel… https://t.co/2sKeA8WK1Y</t>
  </si>
  <si>
    <t>Valorize a sua jornada!
Como eu sempre digo "ainda estou taxeando na pista", isso quer dizer que minha jornada de aprendizado e crescimento é constante.
O sucesso não está no fim, está no processo.
#Empreendedorismo #HistóriaDeSucesso
#OseiasGomes #EditoraGente #GestãoFácil… https://t.co/jVVMoOXK9o</t>
  </si>
  <si>
    <t>O importante é ser diferente!
O mercado quer ser surpreendido com coisas novas, e não obsoletas.
Para ser o melhor, basta ser inovador!
#oseiasgomes #palestrante #EditoraGente #GestãoFácil #negocioeacalavel #empreendedorismo #negócios #inovação #empresas #diferente #inovação https://t.co/7kYHnzvCcv</t>
  </si>
  <si>
    <t>Você conhece o sujeito campal?
Nesse pequeno vídeo eu explico um pouco sobre esse arquétipo e suas características no mundo empreendedor.
Assista ao vídeo!
#Empreendedorismo #HistóriaDeSucesso
#OseiasGomes #EditoraGente #GestãoFácil #NegocioEscalavel… https://t.co/B2BtEeejRw</t>
  </si>
  <si>
    <t>Você conhece o sujeito campal?
Nesse pequeno vídeo eu explico um pouco sobre esse arquétipo e suas características no mundo empreendedor.
Assista ao vídeo!
#Empreendedorismo #HistóriaDeSucesso
#OseiasGomes #EditoraGente #GestãoFácil #NegocioEscalavel… https://t.co/hBEFEPCBeS</t>
  </si>
  <si>
    <t>Sempre enxergue além do horizonte!
A conquista e a aventura não podem ser alcançadas se você não sair de sua área de segurança.
Se desafie e sempre evolua!
#Empreendedorismo #HistóriaDeSucesso
#OseiasGomes #EditoraGente #GestãoFácil #NegocioEscalavel… https://t.co/0eaV0qqoY7</t>
  </si>
  <si>
    <t>Você conhece o sujeito alpinistal?
Nesse vídeo eu explico um pouco sobre esse arquétipo e suas características no mundo empreendedor.
Assista ao vídeo!
#Empreendedorismo #HistóriaDeSucesso
#OseiasGomes #EditoraGente #GestãoFácil #NegocioEscalavel… https://t.co/jdrckUIRK7</t>
  </si>
  <si>
    <t>🚀 Descubra o Segredo para Revolucionar Seu Negócio! 💡
Estas 3 dicas essenciais são a chave para desbloquear o potencial máximo do seu empreendimento. 
Assista ao vídeo!
.
.
.
#Empreendedorismo #Sucesso #Estratégia #OseiasGomes #EditoraGente #GestãoEficiente #NegócioInovador… https://t.co/KwiZlAEL2i</t>
  </si>
  <si>
    <t>🚀 Posicione-se com coragem no mercado! 🌍
Ser disruptivo pode gerar críticas, mas lembre-se: grandes inovações surgem de ideias audaciosas. Henry Ford é um exemplo disso! 
Dê play no reels e inspire-se!
.
.
.
#Empreendedorismo #Sucesso #Estratégia #OseiasGomes #EditoraGente… https://t.co/oWMBusbpXO</t>
  </si>
  <si>
    <t>🤔 Empreendedor Campal ou Alpinista: qual é você? 🌄🏔️
Esses dois tipos de empreendedores têm suas peculiaridades, forças e desafios. 
Dê play no vídeo e descubra qual sua essência empreendedora!
.
.
.
#Empreendedorismo #Sucesso #Estratégia #OseiasGomes #EditoraGente… https://t.co/eXksHCcFFk</t>
  </si>
  <si>
    <t>A ética no empreendedorismo https://t.co/EQH5llbGXo #empreendedorismo #empreendedores</t>
  </si>
  <si>
    <t>Todo empreendedor deve persistir https://t.co/w2qmfFqK4w #empreendedorismo</t>
  </si>
  <si>
    <t>Vagas ilimitadas! Não perca esta oportunidade de trocar ideias, aprender e ampliar sua rede de contatos. Te esperamos lá! 💼🤝
Formulário para inscrição:
https://t.co/zC9MF7XYgM
#EncontroDeNetworking #ConexõesJurídicas
#Gestão
#Inovação
#Empreendedorismo
#DeMãosDadasComOFuturo https://t.co/x05iNwcJpv</t>
  </si>
  <si>
    <t>Você está mais ficado em métricas de vaidade ou métricas de verdade?
#negocios #empreendedorismo #marketingdigital https://t.co/uUT5kkEBYV</t>
  </si>
  <si>
    <t>O caminho do empreendedorismo é desafiador, mas cada obstáculo é uma oportunidade de crescimento e conquista.
#empreendedor #marketingdigital #selfmademan #business</t>
  </si>
  <si>
    <t>Pensamento Positivo é a chave que abre as portas para realizações!
#mastermind #ocodigomastermind #sucesso #jorgeaguiaroficial #vencedor #psicanalise #empreendedor #napoleonhill #vendas https://t.co/m5ceaXMReC</t>
  </si>
  <si>
    <t>Não existe desculpa para quem faz acontecer!
Não fique parado esperando, vá atrás pois eles estão precisando do seu serviço ou produto.
#sucesso #crescimento #napoleonhill #jorgeaguiaroficial #empreendedor #emprendedores https://t.co/gDdf66xG3w</t>
  </si>
  <si>
    <t>💡 Não espere pelo cenário ideal para realizar seus sonhos. Comece com o que tem ao seu alcance. Na Bacelar, ajudamos a tornar seus sonhos realidade. Transforme oportunidades em sucesso. Contate-nos e comece sua jornada agora! 🚀💼#empreendedorismo #negócios #oportunidades https://t.co/wTRfuyCUpR</t>
  </si>
  <si>
    <t>Quem gosta de praticidade no dia a dia consegue resolver tudo no App e ainda tem conta digital gratuita. Vem pra Cora! 💖
#dicacontabil #contapj #bancocora #sejacora #sebrae #empreendedorismo #contabilidadedigital https://t.co/ojI6fXMIjJ</t>
  </si>
  <si>
    <t>Programa de #empreendedorismo rural para jovens é chancelado e segue para sanção do Executivo
https://t.co/Hv1BkYEe8G</t>
  </si>
  <si>
    <t>Se você quer saber como estar mais conectado aos membros do seu time e assim poder ter novas oportunidades de crescimento, o livro de @newtonjuniorpro é para você!
#ecossistema #lideranca #carreira #bookgram #negocios #empreendedorismo #empresa #livro #sucesso #enriquecimento https://t.co/o0bId2a7mu</t>
  </si>
  <si>
    <t>O Rapper Pirata traz importantes reflexões sobre políticas de juventude, economia e cultura na cidade de São Paulo. Em suas músicas e entrevistas, ele tem defendido a importância de políticas públicas   #PirataSP . #juventude #economia #cultura #empreendedorismo #SãoPaulo https://t.co/QQj3VrLI94</t>
  </si>
  <si>
    <t>"Seja corajoso o suficiente para seguir seus sonhos e empreender. 
O caminho pode ser desafiador, mas com determinação e paixão, você pode conquistar grandes realizações. 
Acredite em si mesmo e nunca desista!"
#Motivação #Empreendedorismo #SonhosRealizados #Persistência</t>
  </si>
  <si>
    <t>Se a roda já está girando e está tendo resultado, não há necessidade de eu mudar a roda apenas fazer com que ela continue rodando.
Você tem tentado criar algo ou melhor o que já existe?!?
#empreendedorismo #Lider</t>
  </si>
  <si>
    <t>Se você não está buscando a solução então você é parte do problema!!
@professorjuniorgroth
#empreender #empreendedor #empresário #vendedor #motivacao</t>
  </si>
  <si>
    <t>Deus, nos dê sabedoria 🙏🏼
#Deus #sabedoria #motivacao #motivação #motivandopessoas #motivandovidas #inspiração #inspirandopessoas #inspirandovodas #empreendedor #empreendedores https://t.co/G2A1Uu5MwT</t>
  </si>
  <si>
    <t>Gostou 👍? Dê uma olhada nos outros conteúdos 👇
@oEricAugusto
Quer que eu compartilhe o vídeo completo? 🙏
#viverdeinternet #viverdodigital #empreendedordigital #empreendedorismo #motivacao #ganhardinheiro #mentalidade #prosperidade #amor #deus
Fonte: https://t.co/6DHsgZPx7O https://t.co/PQak5RRTaO</t>
  </si>
  <si>
    <t>hj entrevistei uma mulher que aos 17 começou a escovar o cabelo das amigas da comunidade onde vive por brincadeira. hj, aos 31, é  referência no megahair. Tô impactada com sua determinação. mudei meu dia depois desse encontro...
#empreendedorismo 
#jornalismo</t>
  </si>
  <si>
    <t>Alerta: Bitcoin e criptomoedas 
Fique esperto agora!
https://t.co/e41MuXEXX6 via @YouTube 
#criptomoedas #bitcoin #investimento #dinheiro #blockchain #empreendedorismo #trader #forex #sucesso #marketing #marketingdigital #mercadofinanceiro #investimentos #bitcoinbrasil #bitcoins</t>
  </si>
  <si>
    <t>Conheça a inspiradora história de Inês Aparecida proprietária da fábrica VELAS AURORA, uma empreendedora de sucesso que saiu de Mariluz/PR há mais de 20 anos para montar sua fábrica de velas em Porto Velho/RO.
#Velas #Decoração #Empreendedorismo #NegócioFamiliar https://t.co/0BhtyjJz25</t>
  </si>
  <si>
    <t>Para saber mais, acesse: https://t.co/bAFw9XQKH3
#contabilidade #erroscontábeis #gestãofinanceira #resultados #sucessoempresarial #otimização #empreendedorismo https://t.co/uTIOXryX9z</t>
  </si>
  <si>
    <t>Para saber mais, acesse nosso blog: https://t.co/dSvFyJ6oRJ
#ImpostosEmpresariais #ObrigaçõesFiscais #ConformidadeFiscal #Contabilidade #GestãoFinanceira #Empreendedorismo https://t.co/rjyAbsXi3u</t>
  </si>
  <si>
    <t>Para saber mais, acesse: https://t.co/xMOgMTo3Nt
#NotíciaTributária #ICMS #PIS #COFINS #TeseTributária #DebateTributário #Negócios #Empreendedorismo https://t.co/d3ba7BLcJq</t>
  </si>
  <si>
    <t>Para saber mais, acesse: https://t.co/oiMEawBJvk
#dicas #visãoestrategica #empreendedorismo #propósito #análise https://t.co/ezwMtC1v7M</t>
  </si>
  <si>
    <t>Para saber mais, acesse: https://t.co/tsXSj0gJw9
#bpo #bpoFinanceiro #terceirizaçãoFinanceira #gestãofinanceira #reduçãodecustos #eficiência #contabilidade #finanças #negócios #empreendedorismo #consultoriafinanceira #sucessoempresarial https://t.co/eYA7BDZ7Pt</t>
  </si>
  <si>
    <t>Para saber mais, acesse: https://t.co/51tbedhj8h
#TecnologiaNosNegocios #Inovacao #Empreendedorismo #Estrategia #TecnologiaEInovacao #NegociosOnline #SucessoEmpresarial #InstagramEmpreendedor https://t.co/xZT9tTxBac</t>
  </si>
  <si>
    <t>Confira nossas dicas para escolher o ERP certo para o seu negócio!
#empresa #empreendedorismo #gestão #gestãoempresarial #erp https://t.co/gm9trsf5eS</t>
  </si>
  <si>
    <t>Para saber mais, acesse: https://t.co/Ci9dWE6Xl0
#fisco #impostos #obrigacoesfiscais #gestaofiscal #empreendedorismo #financasempresariais #gestaocontabil #contabilidade #regularidadefiscal #empresarios #dicasfinanceiras #sucessoempresarial https://t.co/ss5LsE9QzA</t>
  </si>
  <si>
    <t>VBE SERVICES prioritizes your customer’s problems and gives them solutions accordingly.
.
.
.
.
#CallCenterExcellence #CustomerServicePros #CustomerDelight #CustomerFirst#bpo #work #bhfyp #business #marketing #job #empreendedorismo #technology #workfromhome #sales #businessowner https://t.co/8tJXs79D1p</t>
  </si>
  <si>
    <t>Você deseja ter sucesso na sua vida profissional?
Então saiba que isso demanda tempo e esforço.
Confira o episódio completo do @excepcionaispodcast com participação do CEO da Cherto Consultoria, @marcelocherto.
#franquia #franchising #expansaodenegocios #empreendedorismo https://t.co/uRb5WSNfge</t>
  </si>
  <si>
    <t>Os empreendedores costumam pensar desta maneira.
Veja o que o @marcelocherto pensa sobre isso neste trecho do @excepcionaispodcast.
#franquia #franchising #expansaodenegocios #empreendedorismo #empreender #podcast #excepcionaispodcast #legislaçãotributaria #impostos https://t.co/Z4685RXKbI</t>
  </si>
  <si>
    <t>O custo do transporte pode te afetar!
Por que o sistema pode ajudar a sua loja a lucrar mais?
É a dica que o @marcelocherto deixou na sua participação no @excepcionaispodcast.
E você? Concorda com isso?
#franquia #franchising #expansaodenegocios #empreendedorismo #empreender https://t.co/uckXDuO9Lo</t>
  </si>
  <si>
    <t>Como é possível adaptar sua marca sem que ela perca seu DNA característico?
É sobre isso que o @marcelocherto fala neste trecho do @excepcionaispodcast.
#franquia #franchising #expansaodenegocios #empreendedorismo #empreender #podcast #excepcionaispodcast #mudanças https://t.co/kaqqsNf4Bq</t>
  </si>
  <si>
    <t>Neste episódio do @excepcionaispodcast, o @marcelocherto nos incentiva a dar uma passo para trás antes de solucionar complicações.
#franquia #franchising #expansaodenegocios #empreendedorismo #empreender #podcast #excepcionaispodcast #problemas #solução #problemsolving https://t.co/77dzeawVMw</t>
  </si>
  <si>
    <t>Tudo se inicia com o planejamento!
É sobre a importância de estabelecer e saber quando mudar este plano que o @marcelocherto fala neste trecho do @excepcionaispodcast.
#franquia #franchising #expansaodenegocios #empreendedorismo #empreender #podcast #excepcionaispodcast https://t.co/mVyfZ16ZnA</t>
  </si>
  <si>
    <t>O Habib's nasceu de uma tragédia.
Conheça mais sobre a história desta e de outras marcas que hoje são redes de franquia acompanhando o perfil da Cherto Consultoria!
#franquia #franchising #expansaodenegocios #empreendedorismo #empreender #podcast #excepcionaispodcast #habibs https://t.co/xe9pEL7Mp3</t>
  </si>
  <si>
    <t>Pessoal, em parceria com a Jucec, lançamos em Caucaia o Programa Empresa Mais Simples. Agora, os empreenderes com negócios de baixo risco podem abrir sua empresa em até 5 minutos. Bacana, não é? Basta acessar o portal da Jucec. 
 #Caucaia #PrefeituradeCaucaia #Empreendedorismo</t>
  </si>
  <si>
    <t>Ouvimos vocês e, este mês, temos aulas e cursos com aquele tema quente sendo liberados para alunos. Confere só o que vem por aí...
#dropshipping #ecommercebr #empreendedorismo https://t.co/UpOfAOwjRt</t>
  </si>
  <si>
    <t>Fala Galera!
Estamos online e te convidamos a fazer parte da nossa história! Deguste esta experiência conosco. 🍷✨
#vinho #destilado #adega #degusteadega #degustevinhosedestilados
#empreendedorismo https://t.co/dLUuPfzKbt</t>
  </si>
  <si>
    <t>Sua vida é você quem vive, sua criação é você quem faz, sua marca é você quem deixa.
E AH: Nós estamos por aqui pra te ajudar nesse caminho ;)
#criatividade #autoconhecimento #publicidade #empreendedorismo #marcas #marketing https://t.co/QSPnyfrWWf</t>
  </si>
  <si>
    <t>Do livro A tríade do tempo
#livro #atriadedotempo #mentalidade #leitura #empreendedor #atraircoisasboas #amoler #amolivros https://t.co/CageOOQGZC</t>
  </si>
  <si>
    <t>A chamada de setembro já está aberta para novas startups que querem fazer parte do ecossistema de inovação do Gênesis!
#genesispucrio #startups #incubadoradeempresas #empreendedorismo https://t.co/ZycXQN7l9E</t>
  </si>
  <si>
    <t>Google anunciou que ampliou a disponibilidade da Plataforma Napp, desenvolvida em parceria com a Napp Solutions, para pequenos negócios brasileiros. Leia a matéria na integra: https://t.co/Y0i5UW2SzT #google #googlemeunegocio #napp #empreendedorismo #empreendedor #brasil #viral https://t.co/GdM4bB0Q79</t>
  </si>
  <si>
    <t>Como o BNDES pretende financiar a inovação e promover a 'neoindustrialização' do país? Leia a entrevista!
https://t.co/MX3A02KkUQ
#iot #industria #transformacaodigital
#inovacao #empreendedorismo #brasilpaisdigital</t>
  </si>
  <si>
    <t>📣BR Angels prepara investimentos de até R$ 3 milhões para #startups do programa Capital Empreendedor, do Sebrae
https://t.co/t4nk9XCCBA
#inovacao #empreendedorismo #brasilpaisdigital</t>
  </si>
  <si>
    <t>Meu novo trabalho: cliente motoboy inovador deu a ideia e eu embarquei nela. Criamos essa arte com QR Code para agilizar o pagamento dxs passageirxs. #memes #trendviral #viralreels #autonomo #empreendedor #produto #inovação #qrcode #brunomars #cometobrazil #bruninho #thetown https://t.co/bmp5x4Zkoo</t>
  </si>
  <si>
    <t>#imposto #tributo #dinheiro #financas #empresas #empresario #empreendedorismo #negocios #servicos #industria #comercio https://t.co/1aCSBivNUA</t>
  </si>
  <si>
    <t>#empreendedorismo no 📍RJ é tipo: https://t.co/44YvoGKmBr</t>
  </si>
  <si>
    <t>Sua vida é um jogo de xadrez? ♟️
Confira o texto completo em meu Instagram:
https://t.co/wvEn79SJj3
#brasileirosemorlando #brasileirosnoseua #empreendedorismofeminino
#brasileirosnoseua
#empreendedorismo
#brasileirosemboston
#mulheresprotagonistas https://t.co/MarqbyFNri</t>
  </si>
  <si>
    <t>O filme da Barbie ainda não estreou, mas já é um sucesso.
E, você Protagonista, pode aprender muito com esse lançamento!
Veja o que essas marcas já fizeram e se inspire para o seu negócio.
#buzzmarketing #protagonismo #empreendedorismo #florida #brasileirosnoseua https://t.co/ONzKu9E0hc</t>
  </si>
  <si>
    <t>Que maravilhoso esse evento em Orlando 🇺🇸 , que energia, que conexão, que mulheres fantásticas!
Tudo para honra e glória de Deus!
Muitas vidas impactadas com esse movimento Mulher Protagonistas!
#empreendedorismofeminino
#brasileirosnoseua
#empreendedorismo https://t.co/RdI9nXSa71</t>
  </si>
  <si>
    <t>Você é hoje o reflexo da jornada que viveu.
Reflita e veja se precisa ajustar a rota para protagonizar !
#brasileirosemmiami #brasileirosemorlando #brasileirosnoseua #empreendedorismofeminino
#brasileirosnoseua
#empreendedorismo
#brasileirosemboston
#mulheresprotagonistas https://t.co/WtJOecYGBG</t>
  </si>
  <si>
    <t>Mande para sua amiga que precisa ler isso no dia de hoje.
#brasileirosemmiami #brasileirosemorlando #brasileirosnoseua #empreendedorismofeminino
#brasileirosnoseua
#empreendedorismo
#brasileirosemboston https://t.co/ByVFiOw19u</t>
  </si>
  <si>
    <t>Você concorda? 🤔
#brasileirosemmiami #brasileirosemorlando #brasileirosnoseua #empreendedorismofeminino
#brasileirosnoseua
#empreendedorismo
#brasileirosemboston
#mulheresprotagonistas
#protagoinstas #clubmulherprotagonista #mentoria https://t.co/kgwhxaQ4ec</t>
  </si>
  <si>
    <t>#tbt da nossa Primeira Imersão do Mulher Protagonista Academy📷
📷14 de Outubro será nossa terceira Imersão, estão preparadas?
#autoconfiança #metas #propósito #celebração #sejaprotagonista
#brasileirosemorlando  #empreendedorismofeminino
#empreendedorismo #mulheresprotagonistas https://t.co/Pue2Wc5ueP</t>
  </si>
  <si>
    <t>Liberte-se das amarras que limitam seu crescimento.
E seja Protagonista!
Arraste par ao lado e veja como você pode se libertar!
#brasileirosemmiami #brasileirosemorlando #brasileirosnoseua #empreendedorismofeminino
#brasileirosnoseua
#empreendedorismo
#brasileirosemboston https://t.co/w3555cgLwR</t>
  </si>
  <si>
    <t>🌟 Quer mudar de vida? Então, permita-me compartilhar quatro passos poderosos que podem ajudar você a trilhar esse caminho de crescimento e transformação.
Confira o texto completo em meu Instagram:
https://t.co/Jm1DwNe5lM
#empreendedorismo https://t.co/UjRlRE9MXZ</t>
  </si>
  <si>
    <t>✅ Me siga @tomoliveira para ficar atualizado.
Bora voar ? 🚀
#marketingdigital #digitalmarketing #negóciosonline #empreendedorismo #desenvolvimentopessoal #autoaperfeiçoamento #motivação #sucesso #inovação #mindset https://t.co/9qlcqp7Uwh</t>
  </si>
  <si>
    <t>"Você pode está desempregado, mas 
nunca deve está desocupado."
✅ Me siga @tomoliveira para ficar atualizado.
#marketingdigital #digitalmarketing #negóciosonline #empreendedorismo #desenvolvimentopessoal #autoaperfeiçoamento #motivação #sucesso #inovação #mindset https://t.co/b1nzOBdGVq</t>
  </si>
  <si>
    <t>Empreender, maternar e amar! ❤️
.
.
#vamosjuntas #compartilhandoideias #maes #maternidade #mktdigital #empreendedorismo #amor #relações</t>
  </si>
  <si>
    <t>🚀 Precisando de Estratégias para Crescer o Seu Negócio? 💼💡
https://t.co/zhNYtXo1zt
 #CrescimentoDeNegócios #EstratégiasEmpresariais #SucessoEmpresarial #GestãoDeNegócios #Empreendedorismo #MetasDeNegócios #DesenvolvimentoProfissional #Inovação #EstratégiasDeCrescimento</t>
  </si>
  <si>
    <t>👨‍💻 Encontre sócios e parceiros para criar startups e negócios juntos  como Sócios, profissionais de todas as áreas para evoluir qualquer tipo  de projeto.
#startups #empreendedorismo  #empreender #negócios #emprego #trabalho #oportunidade #socios  #parceria #SóciosDeNegócio https://t.co/U1dQ4uXY1j</t>
  </si>
  <si>
    <t>Entre os dias 03 a 06 de outubro acontecerá no Pier Maúa o maior evento de tecnologia, inovação e negócios da América Latina: RIO INNOVATION WEEK com mentes inspiradoras e brilhantes no mercado.
#RioInnovationWeek #Tecnologia #Inovação #Startups #Seguradoras #Empreendedorismo https://t.co/B7OZmWXkIK</t>
  </si>
  <si>
    <t>Projeto no Sandbox Regulatório da CVM tokeniza R$ 2,5 milhões em plantio da Radix Florestal. Projetos de tokenização avançam no Brasil.
#mercadofinanceiro #investimentos #bolsadevalores #trading #mercadoacões #rendavariável #rendafixa #estratégia #empreendedorismo #tokenizacao🔥 https://t.co/3xeO75LqQ0</t>
  </si>
  <si>
    <t>Empreender no Brasil ainda é desafiador, mas certamente possível; eis algumas orientações para o jovem empreendedor #Empreendedorismo https://t.co/ieyDBg3p66 https://t.co/RKwaWnAxP2</t>
  </si>
  <si>
    <t>Quem gera 80% dos empregos no Brasil é o pequenop empresário, não são os políticos ou o governo do turno. #Empreendedorismo https://t.co/tOtR6fHhuA https://t.co/Uk88Mdbv08</t>
  </si>
  <si>
    <t>Vai empreender? Confira 5 livros que ensinam lições valiosas para quem quer empreender #Empreendedorismo #empreender https://t.co/eymY37DS23 https://t.co/bmzhwI0qWQ</t>
  </si>
  <si>
    <t>Recreio Shopping vai sediar edição da Feira do Empreendedor em setembro! #recreioshopping #empreendedorismo https://t.co/XQedzoMVdz https://t.co/T6cm3ltLwi</t>
  </si>
  <si>
    <t>RT @Barrazine: Recreio Shopping vai sediar edição da Feira do Empreendedor em setembro! #recreioshopping #empreendedorismo https://t.co/XQe…</t>
  </si>
  <si>
    <t>Dia da Árvore: dicas de franquias para colaborar com o reflorestamento do meio ambiente. 5àsec e Calçados Bibi são exemplos de marcas que respeitam a natureza #empreendedorismo #5asec https://t.co/ZSd7X7C6Tn</t>
  </si>
  <si>
    <t>RT @Barrazine: Dia da Árvore: dicas de franquias para colaborar com o reflorestamento do meio ambiente. 5àsec e Calçados Bibi são exemplos…</t>
  </si>
  <si>
    <t>RT @Barrazine: Você sonha com o Brasil chegando a níveis socioeconômicos de primeiro mundo? O fortalecimento do empreendedorismo pode desem…</t>
  </si>
  <si>
    <t>Você sonha com o Brasil chegando a níveis socioeconômicos de primeiro mundo? O fortalecimento do empreendedorismo pode desempenhar papel crítico na realização desse objetivo. Pequenos empreendedores geram 85% das vagas de emprego.
#empreendedorismo https://t.co/tOtR6fHhuA https://t.co/fv6sO3krSU</t>
  </si>
  <si>
    <t>Empreender no Brasil ainda é desafiador, mas certamente possível; eis algumas orientações para o jovem empreendedor #Empreendedorismo https://t.co/ieyDBg3p66</t>
  </si>
  <si>
    <t>Quer ser um pequeno empresário? 5 dicas de como se tornar MEI. #Empreendedorismo #MEI https://t.co/eVLEp73inV https://t.co/AYUvqOHCm9</t>
  </si>
  <si>
    <t>Les compartimos un fragmento de Rebeca Hwang, conocida por ser una emprendedora serial y experta en IA 🌐
#emprendedor #empreendedorismo #resiliencia #rebecahwang #tecnologia https://t.co/PybG766H3p</t>
  </si>
  <si>
    <t>Seja protagonista do seu próprio sucesso com a DWL Company!
Fale com a nossa equipe hoje mesmo:
- Email: atendimento@dwlcompany.com
- Telefones: (11) 5108-0044
- WhatsApp: (31) 98989-8888
#dwlcompany
#novadwl
#distribuidores
#empreendedor
#empreendedorismo https://t.co/rWJA7l2KEr</t>
  </si>
  <si>
    <t>Acesse o site e garanta a sua vaga: https://t.co/cajKNHQhtP 
Novo prazo de inscrições: 20/09 
Não perca tempo! Essa é a reta final. 
#softex #softexnacional #suframa #empreendemais #amazonia #empreendedorismo #startups</t>
  </si>
  <si>
    <t>#EMPREENDEDORISMO | 🪙 Em entrevista à Rádio Rios FM 95,7, o presidente do Grupo TVLAR, Antônio Azevedo, comentou sobre alguns pontos que levam ao sucesso de uma empresa e a necessidade de valorizar o viés social e ambiental de um empreendimento. 
https://t.co/7Qx2KnOuWA</t>
  </si>
  <si>
    <t>Confira todos os detalhes na nossa página especial: https://t.co/njh12ES8AD
#LibereSeuCrescimento #Empreendedorismo #Negócios</t>
  </si>
  <si>
    <t>✨ Invista em seu futuro:
A https://t.co/fXQovLkHy2 é uma excelente oportunidade para adquirir novas habilidades e se destacar. Acesse agora mesmo e comece sua jornada de aprendizado! 🚀🎯
#OmieAcademy #EducaçãoOnline #Empreendedorismo #Contabilidade #GestãoDeNegócios</t>
  </si>
  <si>
    <t>#empreendedorismo 📍 “Inovação e Criatividade para a Resolução de Problemas” é tema de palestra gratuita, no CINF 
🔗 https://t.co/V5ixT7lXuo</t>
  </si>
  <si>
    <t>#empreendedorismo 📍 Com foco na internacionalização, empreendedores do Alto Vale podem se inscrever na Missão Lisboa/Portugal WebSummit 2023 
🔗 https://t.co/sHY3AtNAZ5</t>
  </si>
  <si>
    <t>#empreendedorismo 📍 Câmara de Vereadores de Rio do Sul faz entrega da Comenda Jovem Empreendedor do Ano 
🔗 https://t.co/fz1z4pbC3d</t>
  </si>
  <si>
    <t>Empreendedores apresentam solução que promete combater o intestino preso e salvar muitas pessoas de passar constrangimento na "hora H".
#PortaliG #SharkTank #Empreendedorismo
https://t.co/GY9imbGmIM</t>
  </si>
  <si>
    <t>Jaja tem a live diária Café com o Tio, onde compartilhamos nossos problemas, soluções e também fazemos algumas fofocas kkkkkk.
Bora!
https://t.co/6XPdfr1Uu4
#laravel #php #programacao #webdeveloper #carreira #empreendedorismo</t>
  </si>
  <si>
    <t>Bora bater um papo sobre side-projects?
Link da live:
https://t.co/jCNywTjzLx
#programacao #laravel #php #devops #tecnologia #empregos #empreendedorismo #carreira</t>
  </si>
  <si>
    <t>Jaja tem Café com o Tio no youtube. A ideia é trocarmos conhecimentos compartilhando nossas dificuldades do dia-a-dia.
Link da live:
https://t.co/6jUOmfDszv
#programacao #laravel #php #web #carreira #empreendedorismo</t>
  </si>
  <si>
    <t>Bora de live galera?
O Tio quer mostrar umas paradas doidas pra vocês hoje.
Link da live:
https://t.co/3ZRafBR5KF
#programing #programacao #php #laravel #devops #frontend #backend #empregos #carreira #empreendedorismo</t>
  </si>
  <si>
    <t>Bora de live então?
Falar um pouco de programação e dar uma fofocada? 😅
Link da live:
https://t.co/dmMXTqRtj9
#laravel #php #devops #empregos #carreira #empreendedorismo</t>
  </si>
  <si>
    <t>RT @inovatechy: O OnlyOffice DocSpace é uma ferramenta poderosa para empresas que buscam melhorar a colaboração e a produtividade.
@only_o…</t>
  </si>
  <si>
    <t>RT @inovatechy: Análise: Servidor Torre Dell PowerEdge T150
@Dell @DellnoBrasil #servidor #empresa #empresas #empreendedor #empreendedores…</t>
  </si>
  <si>
    <t>Atenção! A nota fiscal é obrigatória para garantir a legalidade e o crescimento do seu negócio. 📈💼 Saiba tudo sobre essa importante obrigação no nosso blog. Link na bio ou acessando https://t.co/soOmQb4NHz 👆✍️ 
#MEI #NotaFiscal #Empreendedorismo #GestaumDigital https://t.co/w1O9r4nCig</t>
  </si>
  <si>
    <t>O MEI está chegando ao fim, e isso traz desafios e oportunidades para empreendedores como nós. Vamos nos informar, nos adaptar e continuar a construir nossos sonhos de negócios. 💼💪 
Saiba mais em: https://t.co/MNCNQ4KAc6 
#Empreendedorismo #MEI2023 #Adaptação https://t.co/NNNiHxJpn5</t>
  </si>
  <si>
    <t>Decidir entre ser um Secretário autônomo, um profissional liberal ou abrir minha própria empresa? 🤔💼 É hora de escrever meu próprio capítulo na história profissional! 🚀 
Saiba mais em: https://t.co/Z0VvZR3rU4 
#EscolhasProfissionais #NovosDesafios #Empreendedorismo https://t.co/mPFvpX24iF</t>
  </si>
  <si>
    <t>Desbravando o Caminho do Empreendedorismo em 2023: Tudo sobre o Novo Limite de Faturamento MEI. 🚀 
Saiba mais em: https://t.co/I2BP1fmnOv 
#MEI2023 #Empreendedorismo #GestaumDigital https://t.co/MKeZ0WPJc2</t>
  </si>
  <si>
    <t>O Mercado Livre está investindo nos empreendedores de um dos maiores centros de tendência de moda do País, o Brás.
Para ler o conteúdo completo, clique no link abaixo.
https://t.co/hj3XyZQE8E
#mercadoeconsumo #ecommerce #varejo #moda #empreendedorismo https://t.co/lyaLhDjr2K</t>
  </si>
  <si>
    <t>No esclarecedor artigo, Rodrigo Maia dos Santos, CEO da Gonow1, aborda uma questão intrigante: o problema da sua equipe pode ser você.
Para ler o conteúdo completo, clique no link abaixo.
https://t.co/mKB5ulQE9g
#mercadoeconsumo #varejo #liderança #empreendedorismo #gestão https://t.co/I8b608dqtU</t>
  </si>
  <si>
    <t>As mulheres representam mais de 45% dos CNPJs ativos como Microempreendedor Individual em pelo menos quatro capitais brasileiras.
Para ler o conteúdo completo, clique no link abaixo.
https://t.co/AmhVq76siZ
#mercadoeconsumo #economia #varejo #pesquisa #empreendedorismo https://t.co/qSfWx587pW</t>
  </si>
  <si>
    <t>A marca pretende divulgar as criações dos participantes em suas redes sociais e oferecer benefícios e vantagens ao longo de todo o projeto.
Para ler o conteúdo completo, clique no link abaixo.
https://t.co/A8PbNJywE6
#mercadoeconsumo #foodservice #varejo #empreendedorismo https://t.co/O7qXZnwEuW</t>
  </si>
  <si>
    <t>@naah_vasc @Aguiarthur "Essa novinha está sabendo aproveitar as oportunidades digitais, hein? 💻💰👏 #empreendedorismo #trends"</t>
  </si>
  <si>
    <t>Lembrancinha de Batismo 📿. #Soap #handmade #soapfavors #artesanato #jabones #saboneteartesanal #empreendedorismo #batism https://t.co/byPaSughB5</t>
  </si>
  <si>
    <t>Expanda seus horizontes: Abra um canal no YouTube e supere limites!
#empreendedorismo #raiam #raiamsantos #marketingdigital https://t.co/mmNpjZpKqO</t>
  </si>
  <si>
    <t>Não contrate designer fixo
Economize dinheiro e aumente a eficiência
#identidadevisual #logotipo #design #logo #designgrafico #o #designergrafico #marketingdigital #marketing #designer #logomarca #branding #publicidade #graphicdesign #marca #socialmedia #empreendedorismo https://t.co/Xbfw7sFmBq</t>
  </si>
  <si>
    <t>Precisando dar um UP nas suas redes sociais? 
#midiassociais #marketingdigital #o #marketing #redessociais #socialmedia #publicidade #empreendedorismo #design #brasil #instagram #designergrafico #mktdigital #designgrafico #propaganda #identidadevisual #designer #logotipo #logo https://t.co/37cU5ad7DS</t>
  </si>
  <si>
    <t>Designer, tire suas ideias da cabeça!!!
#midiassociais #marketingdigital #marketing #redessociais #socialmedia #publicidade #empreendedorismo #design #brasil #instagram #designergrafico #mktdigital #designgrafico #propaganda #identidadevisual #designer #logotipo #marketing #logo https://t.co/d5GJrU66ed</t>
  </si>
  <si>
    <t>7 filmes que vão despertar a sua mente milionária
#sucesso #mentalidade #desenvolvimentopessoal #empreendedorismo #marketingdigital https://t.co/TgdltWwRWd</t>
  </si>
  <si>
    <t>6 maneiras para comandar respeito. 
#sucesso #mentalidade #desenvolvimentopessoal #empreendedorismo #marketingdigital
#TikTok 
https://t.co/IXDBTTlp46</t>
  </si>
  <si>
    <t>Na formatura de sua filha, um pai decidiu presenteá-la com um carro e uma incrível lição.
#sucesso #mentalidade #desenvolvimentopessoal #empreendedorismo #marketingdigital 
#TikTok
https://t.co/rPGEjt4cFn</t>
  </si>
  <si>
    <t>4 hábitos simples para viver uma vida infeliz. 
#sucesso #mentalidade #desenvolvimentopessoal #empreendedorismo #marketingdigital
#TikTok 
https://t.co/7YyafO8cN9</t>
  </si>
  <si>
    <t>5 lições que eu gostaria de ter aprendido antes na vida. 
#sucesso #mentalidade #desenvolvimentopessoal #empreendedorismo #marketingdigital
#TikTok 
https://t.co/MBjKTS5Uox</t>
  </si>
  <si>
    <t>5 atitudes para ter uma autoconfiança poderosa.
#sucesso #mentalidade #desenvolvimentopessoal #empreendedorismo #marketingdigital
#TikTok https://t.co/M7NUiMKuhg</t>
  </si>
  <si>
    <t>7 Sinais de que você é diferente das 99% das pessoas e que está no caminho certo
#sucesso #mentalidade #desenvolvimentopessoal #empreendedorismo #marketingdigital https://t.co/M4QNKqzf8J</t>
  </si>
  <si>
    <t>6 Hábitos que irão melhorar o seu dia segundo a bíblia.
#sucesso #mentalidade #desenvolvimentopessoal #empreendedorismo #marketingdigital https://t.co/O0mBXSmoaV</t>
  </si>
  <si>
    <t>5 séries que vão te inspirar a fazer parte do 1% 
#sucesso #mentalidade #desenvolvimentopessoal #empreendedorismo #marketingdigital https://t.co/2hljxXtCHg</t>
  </si>
  <si>
    <t>5 momentos em que é melhor você ficar em silêncio. 
#sucesso #mentalidade #desenvolvimentopessoal #empreendedorismo #marketingdigital https://t.co/Se6NKXWxcP</t>
  </si>
  <si>
    <t>5 livros obrigatórios para quem quer se tornar o 1%. 
#sucesso #mentalidade #desenvolvimentopessoal #empreendedorismo #marketingdigital https://t.co/CVrYVCD0hI</t>
  </si>
  <si>
    <t>4 passos para se tornar 10x mais produtivo. 
#sucesso #mentalidade #desenvolvimentopessoal #empreendedorismo #marketingdigital 
#TikTok 
https://t.co/SHC29xZxwX</t>
  </si>
  <si>
    <t>Aprenda a fazer as perguntas certas.
#sucesso #mentalidade #desenvolvimentopessoal #empreendedorismo #marketingdigital 
#TikTok 
https://t.co/C2mITCoYcV</t>
  </si>
  <si>
    <t>6 truques psicológicos para se tornar uma pessoa mais atraente e sedutora. 
 #sucesso #mentalidade #desenvolvimentopessoal #empreendedorismo #marketingdigital
#TikTok https://t.co/9VfMgO1MYU</t>
  </si>
  <si>
    <t>5 passos para fazer um detox de dopamina.
#sucesso #mentalidade #desenvolvimentopessoal #empreendedorismo #marketingdigital
#TikTok https://t.co/aBe77FXmdq</t>
  </si>
  <si>
    <t>5 livros que te transformarção em uma pessoa poderosa 
#sucesso #mentalidade #desenvolvimentopessoal #empreendedorismo #marketingdigital
#TikTok https://t.co/lXWYM8mLlt</t>
  </si>
  <si>
    <t>É só assim que você vai sair da corrida dos ratos 
#sucesso #mentalidade #desenvolvimentopessoal #empreendedorismo #marketingdigital https://t.co/HW0ONucORM</t>
  </si>
  <si>
    <t>12  lições bíblicas para ter um relacionamento mais feliz
#sucesso #mentalidade #desenvolvimentopessoal #empreendedorismo #marketingdigital https://t.co/peSTRxziFG</t>
  </si>
  <si>
    <t>7 livros que vão te ensinar a ter uma comunicação poderosa.
#sucesso #mentalidade #desenvolvimentopessoal #empreendedorismo #marketingdigital https://t.co/Nmp16sLHFO</t>
  </si>
  <si>
    <t>7 coisas que você precisa fazer nos seus 20 e poucos anos. 
#sucesso #mentalidade #desenvolvimentopessoal #empreendedorismo #marketingdigital
#TikTok https://t.co/vZWxMa3cVi</t>
  </si>
  <si>
    <t>4 lições para repensar a sua vida.
#sucesso #mentalidade #desenvolvimentopessoal #empreendedorismo #marketingdigital
#TikTok 
https://t.co/0cSxrnlFQR</t>
  </si>
  <si>
    <t>4 livros sobre inteligência emocional e persuasão que todos deveriam ler. 
#sucesso #mentalidade #desenvolvimentopessoal #empreendedorismo #marketingdigital 
#Tiktok 
https://t.co/rb0bHRJGF8</t>
  </si>
  <si>
    <t>Cada um tem seu tempo. 
#sucesso #mentalidade #desenvolvimentopessoal #empreendedorismo #marketingdigital
#TikTok https://t.co/poqyO73IYL</t>
  </si>
  <si>
    <t>Vigie seus pensamentos.
#sucesso #mentalidade #desenvolvimentopessoal #empreendedorismo #marketingdigital
#TikTok https://t.co/mTuXLlA5kM</t>
  </si>
  <si>
    <t>8 frases sobre Vendas que vão te ensinar a fazer dinheiro mais do que 4 anos de faculdade
#sucesso #mentalidade #desenvolvimentopessoal #empreendedorismo #marketingdigital https://t.co/M1nt8S4u3X</t>
  </si>
  <si>
    <t>11 regras para ser reconhecido como um homem de alto valor
#sucesso #mentalidade #desenvolvimentopessoal #empreendedorismo #marketingdigital https://t.co/23kSI4ZRqE</t>
  </si>
  <si>
    <t>6 atitudes que farão as pessoas respeitarem você imediatamente.
#sucesso #mentalidade #desenvolvimentopessoal #empreendedorismo #marketingdigital https://t.co/SjyF9ZvATA</t>
  </si>
  <si>
    <t>5 mandamentos para se tornar o 1%.
#sucesso #mentalidade #desenvolvimentopessoal #empreendedorismo #marketingdigital https://t.co/KQ2vCbQSRg</t>
  </si>
  <si>
    <t>A batalha que você se recusa a enfrentar é a batalha que seus filhos irão enfrentar. 
#sucesso #mentalidade #desenvolvimentopessoal #empreendedorismo #marketingdigital
#TikTok 
https://t.co/fKH4vVnyjT</t>
  </si>
  <si>
    <t>Essa é a melhor cena de filme que eu já vi. 
#sucesso #mentalidade #desenvolvimentopessoal #empreendedorismo #marketingdigital
#TikTok https://t.co/TQ1Hlcp5UX</t>
  </si>
  <si>
    <t>8 verdades difíceis de engolir. 
 #sucesso #mentalidade #desenvolvimentopessoal #empreendedorismo #marketingdigital
#TikTok https://t.co/fZMTDjqhSf</t>
  </si>
  <si>
    <t>4 lições profundas que todo mundo deveria aprender antes de entrar em um relacionamento.
 #sucesso #mentalidade #desenvolvimentopessoal #empreendedorismo #marketingdigital 
#TikTok https://t.co/8s0HHpVkcJ</t>
  </si>
  <si>
    <t>5 passos para gerar uma boa primeira impressão
#sucesso #mentalidade #desenvolvimentopessoal #empreendedorismo #marketingdigital https://t.co/lAnxLk9tEF</t>
  </si>
  <si>
    <t>9 sinais de maturidade espiritual
#sucesso #mentalidade #desenvolvimentopessoal #empreendedorismo #marketingdigital https://t.co/r0PsZ22NgJ</t>
  </si>
  <si>
    <t>10 Princípios que te farão prosperar na vida
#sucesso #mentalidade #desenvolvimentopessoal #empreendedorismo #marketingdigital https://t.co/nmEF4UskZb</t>
  </si>
  <si>
    <t>Caso ninguém tenha dito isso hoje.
#sucesso #mentalidade #desenvolvimentopessoal #empreendedorismo #marketingdigital https://t.co/NQB67F2HbD</t>
  </si>
  <si>
    <t>5 Livros que te ensinarão a convencer qualquer pessoa.
#sucesso #mentalidade #desenvolvimentopessoal #empreendedorismo #marketingdigital https://t.co/oPAp2YAHLx</t>
  </si>
  <si>
    <t>5‌ lições que eu gostaria de ter aprendido nos meus 20 e poucos anos.
#sucesso #mentalidade #desenvolvimentopessoal #empreendedorismo #marketingdigital https://t.co/xn5s3Tpn7Z</t>
  </si>
  <si>
    <t>7 atitudes que farão você evoluir 10 anos em 1. 
#sucesso #mentalidade #desenvolvimentopessoal #empreendedorismo #marketingdigital https://t.co/eLCnf6U8ys</t>
  </si>
  <si>
    <t>7 perguntas para fazer para o seu pai antes que seja tarde demais 
#sucesso #mentalidade #desenvolvimentopessoal #empreendedorismo #marketingdigital
#TikTok https://t.co/8nOrTaBr44</t>
  </si>
  <si>
    <t>5 coisas que você só percebe quando se sente mais velho. 
#sucesso #mentalidade #desenvolvimentopessoal #empreendedorismo #marketingdigital
#TikTok 
https://t.co/SXryI1Nlhc</t>
  </si>
  <si>
    <t>4 passos para se tornar  uma pessoa mais carismática. 
#sucesso #mentalidade #desenvolvimentopessoal #empreendedorismo #marketingdigital
#TikTok https://t.co/QRJWbuvdpz</t>
  </si>
  <si>
    <t>5 maneiras de comandar respeito.
#sucesso #mentalidade #desenvolvimentopessoal #empreendedorismo #marketingdigital https://t.co/8zFnryLgNG</t>
  </si>
  <si>
    <t>5 dicas para parar de ser escravo das suas emoções.
#sucesso #mentalidade #desenvolvimentopessoal #empreendedorismo #marketingdigital https://t.co/0rquYgYjWa</t>
  </si>
  <si>
    <t>7 códigos de conduta para aumentar sua confiança
#sucesso #mentalidade #desenvolvimentopessoal #empreendedorismo #marketingdigital https://t.co/bDlEQGkedf</t>
  </si>
  <si>
    <t>8 dicas para ter uma semana acima da média
#sucesso #mentalidade #desenvolvimentopessoal #empreendedorismo #marketingdigital https://t.co/hxVEmA28I2</t>
  </si>
  <si>
    <t>5 afirmações para reprogramar o seu cérebro poderosamente
#sucesso #mentalidade #desenvolvimentopessoal #empreendedorismo #marketingdigital https://t.co/mDo9Mc5bcY</t>
  </si>
  <si>
    <t>7 perguntas para fazer para a sua mãe antes que seja tarde demais. 
#sucesso #mentalidade #desenvolvimentopessoal #empreendedorismo #marketingdigital
#TikTok https://t.co/FebqTkgC9L</t>
  </si>
  <si>
    <t>5 sinais de baixa autoestima. 
#sucesso #mentalidade #desenvolvimentopessoal #empreendedorismo #marketingdigital
#Tiktok 
https://t.co/W5GGuKXf7h</t>
  </si>
  <si>
    <t>É você que vai quebrar esse ciclo. 
#sucesso #mentalidade #desenvolvimentopessoal #empreendedorismo #marketingdigital
#TikTok https://t.co/8q51Gj3gBZ</t>
  </si>
  <si>
    <t>Torne-se um milionário antes de ter o primeiro milhão. 
#sucesso #mentalidade #desenvolvimentopessoal #empreendedorismo #marketingdigital
#TikTok https://t.co/v5Rc0ODze6</t>
  </si>
  <si>
    <t>4 Atitudes para se tornar mentalmente forte. 
#sucesso #mentalidade #desenvolvimentopessoal #empreendedorismo #marketingdigital
#TikTok https://t.co/5sOgzQvjXD</t>
  </si>
  <si>
    <t>7 sinais que o seu relacionamento vai dar certo.
#sucesso #mentalidade #desenvolvimentopessoal #empreendedorismo #marketingdigita https://t.co/HbsyvO9xGu</t>
  </si>
  <si>
    <t>Fiz essa rotina matinal por 30 dias e mudei a minha vida
#sucesso #mentalidade #desenvolvimentopessoal #empreendedorismo #marketingdigital https://t.co/6SKSlrI2Kk</t>
  </si>
  <si>
    <t>4 sinais que você é inteligente e acima da média.
#sucesso #mentalidade #desenvolvimentopessoal #empreendedorismo #marketingdigital https://t.co/n4jr9K5dNl</t>
  </si>
  <si>
    <t>Essa é a melhor maneira de você ser mais autodisciplinado e motivado. 
Trecho da aula 02 - Dominando a inteligência emocional 
#sucesso #mentalidade #desenvolvimentopessoal #empreendedorismo #marketingdigital https://t.co/CGewADtQT4</t>
  </si>
  <si>
    <t>5 truques psicológicos que farão as pessoas respeitarem você imediatamente.
#sucesso #mentalidade #desenvolvimentopessoal #empreendedorismo #marketingdigital https://t.co/Ca7abkre11</t>
  </si>
  <si>
    <t>Se você começar hoje
#sucesso #mentalidade #desenvolvimentopessoal #empreendedorismo #marketingdigital https://t.co/csdFiJnTL4</t>
  </si>
  <si>
    <t>10 regras para proteger o seu relacionamento
#sucesso #mentalidade #desenvolvimentopessoal #empreendedorismo #marketingdigital https://t.co/1ZqAX9J51V</t>
  </si>
  <si>
    <t>7 perguntas que irão aumentar a conexão no seu relacionamento  
#sucesso #mentalidade #desenvolvimentopessoal #empreendedorismo #marketingdigital
#TikTok https://t.co/suO44VolpU</t>
  </si>
  <si>
    <t>Essas são 5 maneiras  de você começar uma conversa que faz todos pararem 
e o que estão fazendo para te ouvir.
#sucesso #mentalidade #desenvolvimentopessoal #empreendedorismo #marketingdigital
#TikTok https://t.co/faWB4pNBKW</t>
  </si>
  <si>
    <t>4 atitudes para começar a reinar sobre as suas emoções. 
#sucesso #mentalidade #desenvolvimentopessoal #empreendedorismo #marketingdigital
#TikTok https://t.co/7VqBQux6NN</t>
  </si>
  <si>
    <t>4 hábitos da minha rotina matinal que me fizeram alcançar o meu primeiro milhão aos 27 anos. 
#sucesso #mentalidade #desenvolvimentopessoal #empreendedorismo #marketingdigital
#TikTok 
https://t.co/Nu8qAX1JLr</t>
  </si>
  <si>
    <t>6 leis que irão te colocar no topo 1% 
#sucesso #mentalidade #desenvolvimentopessoal #empreendedorismo #marketingdigital
#TikTok https://t.co/BjQ913H3k0</t>
  </si>
  <si>
    <t>Esse é o primeiro passo para você se tornar uma pessoa autoconfiante.
#sucesso #mentalidade #desenvolvimentopessoal #empreendedorismo #marketingdigital https://t.co/CQXgzsBRgd</t>
  </si>
  <si>
    <t>5 hábitos para ficar motivado todos os dias
#sucesso #mentalidade #desenvolvimentopessoal #empreendedorismo #marketingdigital https://t.co/qS7gsH8RFh</t>
  </si>
  <si>
    <t>4 Livros que farão uma transformação profunda na sua vida.
#sucesso #mentalidade #desenvolvimentopessoal #empreendedorismo #marketingdigital https://t.co/N1DPUBsCA3</t>
  </si>
  <si>
    <t>6 livros para ler antes dos 30 anos
#sucesso #mentalidade #desenvolvimentopessoal #empreendedorismo #marketingdigital https://t.co/pUE9C3HVRo</t>
  </si>
  <si>
    <t>5 verdades difíceis de engolir que eu gostaria de saber nos meus 20 e poucos anos
#sucesso #mentalidade #desenvolvimentopessoal #empreendedorismo #marketingdigital https://t.co/rifZpb7VmT</t>
  </si>
  <si>
    <t>4 lições para repensar a sua vida.
 #sucesso #mentalidade #desenvolvimentopessoal #empreendedorismo #marketingdigital
#TikTok https://t.co/btzTcjFRqM</t>
  </si>
  <si>
    <t>5 coisas que você precisa ouvir hoje. 
#sucesso #mentalidade #desenvolvimentopessoal #empreendedorismo #marketingdigital
#TikTok https://t.co/kdMl4Nqrul</t>
  </si>
  <si>
    <t>Para manter uma franquia bem-sucedida, é crucial investir na capacitação e treinamento contínuo dos franqueados e suas equipes. 
Para saber mais, conheça a Franchise Store pelo link da BIO. 
#FranchiseStore #Franquias #Empreendedorismo https://t.co/mXKDSl8Bto</t>
  </si>
  <si>
    <t>#viveralgonovo #sucesso #motivação #crescimento  #foco #empreendedorismo #inspiração #liderança
#oportunidade #eusoucapaz  #determinação #sonhos #fazeracontecer #upgradenasuavida https://t.co/Fi274t30MB</t>
  </si>
  <si>
    <t>Já comprou um curso de como ganhar dinheiro, quando na verdade o curso ensina como vender o curso dele? 
#coachs #renda #extra #dinheiro #modafeminina #gourmet #sucesso #natal #comunidade #moda #cerveja #empreendedorismo #amigos</t>
  </si>
  <si>
    <t>#Empreendedorismo Roda de conversa aborda empreendedorismo e impacto social
📎Leia mais: https://t.co/cfCsG5CKWn
#Alece #LegislativoCE https://t.co/wpWBD5EPke</t>
  </si>
  <si>
    <t>Empreendedorismo feminino: 4 modalidades tem crescido: descubra os desafios e as oportunidades! Leia a coluna da psicóloga Vanessa Ferreira
https://t.co/DQTQuyGmvN
#Carreira #MercadoDeTrabalho #Empreendedorismo #MulheresEmpreendedoras</t>
  </si>
  <si>
    <t>🎯 DICA PARA O SEU FINAL DE SEMANA!
Mantenha a calma e procure o lado positivo até nos momentos mais difíceis. 
.
.
.
.
.
#Vendas #oportunidades #negócios #empreendedor #visão #resiliência #OPoderDasVendas 🔥 https://t.co/g2Q8lNtPQl</t>
  </si>
  <si>
    <t>Avalie as situações com informações reais e concretas. 
O “me falaram”, “me contaram” e o “me disseram” tem o poder avassalador de interromper carreiras e negócios.
.
.
.
.
.
#Foco #Empreendedorismo #Vendas #OPoderDasVendas 🔥 https://t.co/yhg8zQ39LO</t>
  </si>
  <si>
    <t>Já salva e compartilha com toda a equipe! 
.
.
.
.
.
#empreendedorismo #equipe #clientes #varejo #vendas #OPoderDasVendas 🔥 https://t.co/DQ5tl3MS0I</t>
  </si>
  <si>
    <t>Primeiramente bom dia. 
Segundamente é verdade. 
🤣🤣🤣
.
.
.
.
.
#Vendas #empreendedorismo #chefe #negocio #patrão #funcional #meme #emprendedores #OPoderDasVendas 🔥 https://t.co/0CKC2HoMj9</t>
  </si>
  <si>
    <t>Baseado em fatos reais! 
E por aí, tem alguma história boa de empreendedor para contar? 
.
.
.
.
.
#empreendedorismo #empreender #empreenda #empreendedor #negocios #negociopropio #vendas #OPoderDasVendas 🔥 https://t.co/h2ectLC6I9</t>
  </si>
  <si>
    <t>O que é ser empreendedor?
#empreendedorismo #parentalidade https://t.co/0gPDFR59uX</t>
  </si>
  <si>
    <t>À luz da Programação Neurolinguística, o que fizemos neste episódio foi uma generalização de quatro grandes padrões humanos associando-os ao empreendedorismo.
Para ouvi-lo na íntegra basta procurar em qualquer motor de busca por "Podcast Liberdade a Dois 23"
#empreendedorismo https://t.co/YdC5gEGXuk</t>
  </si>
  <si>
    <t>A Roselyn Silva é um dos melhores exemplos que conheço de quem olha para a sua cultura e raízes de uma forma muito diferente da maioria de nós.
A Roselyn olha para a sua cultura e raízes com carinho, com amor, com visão, com paixão.
#moda #empreendedorismo #africa https://t.co/z6aipLwK3A</t>
  </si>
  <si>
    <t>Falando de Negócios com Cláudia A. C. Cardoso, proprietária do Empório Novos Sabores https://t.co/9rab5ZEttD
#falandodenegocios #empreendedorismo #jovempan https://t.co/o5TtnPFrMw</t>
  </si>
  <si>
    <t>💼 Quer ter sucesso como freelancer? 🌟 Aprenda as melhores dicas para brilhar no mundo freelancer! 💪 Descubra como atrair clientes, construir sua reputação e alcançar o sucesso! ✨ Vamos juntos ao topo! 👉 https://t.co/luds8AUXl0 #Freelancer #Sucesso #Dicas #Empreendedorismo https://t.co/VV9hHipDNe</t>
  </si>
  <si>
    <t>Explore um mundo de oportunidades! 🌍💼 Descubra Trabalhos Freelances em Diversas Áreas e abra portas para sua jornada 
https://t.co/3AO1e7CpCi
#freelancer. #conectafreela #empreendedorismo #trabalhofreelancer #trabalhoremoto #vidafreela</t>
  </si>
  <si>
    <t>Se você pudesse escolher apenas um emoji para representar sua vida de empreendedor(a) para sempre, qual seria?
Eu começo: 💰
#DiaMundialdoEmoji #empreendedorismo https://t.co/NoqEK3w5ql</t>
  </si>
  <si>
    <t>Com o MegaSipaguito em ação, o empreendedor não precisa ter medo de mergulhos profundos no agitado (e nada fácil) mar do #empreendedorismo. 🌊🤯
#estreia #cinema #megatubarão https://t.co/J9ZZBHuKDc</t>
  </si>
  <si>
    <t>Somos a maquininha do #cooperativismo e oferecemos soluções de pagamento sob medida para todo tipo de negócio. 🤩
Quer saber como podemos te ajudar a impulsionar suas vendas? Acesse o site: https://t.co/qGnh5aubRy
#Sipag #Sicoob #empreendedorismo #negócios</t>
  </si>
  <si>
    <t>O #Sipaguito gamer tá on! 👾 Hoje é o #DiadoGamer e o nosso grão-mestre favorito já está com a roupa para enfrentar todos os desafios do mundo do #empreendedorismo.
E ai, bora um duo? 😉 https://t.co/fYamXcrN8c</t>
  </si>
  <si>
    <t>Os #leoninos também são criativos e inovadores, porém precisam tomar cuidado para o excesso de confiança não gerar transtornos. No #empreendedorismo é sempre importante analisar os cenários e ponderar as decisões. https://t.co/rAbW4BaTSV</t>
  </si>
  <si>
    <t>Aumente sua produtividade e impulsione seus resultados. Estamos prontos para ajudar você a conquistar o sucesso! 💪🚀💼
#automacao #empreendedorismo #produtividade #Microsoft #ferramentasdegestao</t>
  </si>
  <si>
    <t>3.º aniversário do TERINOV
O TERINOV comemorou, na passada quinta-feira, dia 13 de julho, três anos da sua inauguração
#TERINOV #sciencepark #azores #ecossistemacientífico #ecossistemaempresarial #empreendedorismo #empreendernosAçores #science #technology #innovation https://t.co/5MamWKtRB3</t>
  </si>
  <si>
    <t>Partilha-se a entrevista do Diário Insular ao diretor executivo do TERINOV, Duarte Pimentel, sobre o 3º Aniversário do Parque. 
#TERINOV #sciencepark #azores #ecossistemacientífico #ecossistemaempresarial #empreendedorismo #empreendernosAçores #science #technology #innovation https://t.co/eHalgA0xts</t>
  </si>
  <si>
    <t>Les invitamos a que formen parte de la feria informativa LGBT 🏳️‍🌈
Inscríbete por mensaje a este perfil. #lgbtq🌈 #empreendedorismo https://t.co/YdZvOlKK5L</t>
  </si>
  <si>
    <t>Hoje é dia de palestra com mulheres incríveis, o empreendedorismo feminino me proporciona experiências maravilhosas! #empreendedorismo #empreendedorismofeminino https://t.co/EDnkTP2rGE</t>
  </si>
  <si>
    <t>Qual sua estratégia? Proteção de dados é elemento que você insere na estratégia do começo, como uma forma de alavancar! 
#advogado #advogada #lgpd #lgpdbrasil #lgpdparaempresas #lgpdnaprática #empreendedorismo #escritoriodeadvocacia #rj https://t.co/vN1vA4AMhT</t>
  </si>
  <si>
    <t>#empreendedorismo É, meu povo! Não romantizamos o empreender por aqui! Somos uma dupla e tanto. Mesmo com todos os desafios, a gente ama viver do nosso sonho. &amp;gt;&amp;gt;&amp;gt;
https://t.co/WEZj7Jw0Ts</t>
  </si>
  <si>
    <t>Como a máxima que nos diz: o mundo pode ser tão grande quanto você quiser que ele seja!
Me conta, quais roteiros no mundo me recomendaria?  E por que ? 
#travel #trip #viagem #liberdadefinanceira #empreendedorismo #mentoriadecarreira https://t.co/LvDyFPAS4h</t>
  </si>
  <si>
    <t>🌟💸 Quer descobrir o segredo para vender todos os dias e conquistar a tão sonhada liberdade financeira? Então, diga #quero nos comentários e me chame no zap! 💪📲 
 #vendasonline #rendaextra #empreendedor #sucesso #trabalheemcasa #negóciosonline #dinheiro #liberdade #metas #obje https://t.co/7pX0gSczsu</t>
  </si>
  <si>
    <t>Sigo em busca de realização e propósito. O início de uma carreira que me inspira e motiva! 
#itapema #balneariocamboriu #portobelo #empreendedorismo #corretordeimoveis #investimentos #litoralcatarinense #otaciliocosta #donpizza https://t.co/URuhCVnEtz</t>
  </si>
  <si>
    <t>🦁 Quais são os tipos de importações? 🚢 Veja nesse vídeo os tipos de modalidades de importações que sua empresa pode atuar no ramo de importação e exportação. #beabatributario #emersonaparecidomacedo #empreendedorismo #planejamentofiscal #lucratividade https://t.co/xRy87sBR5W</t>
  </si>
  <si>
    <t>21 97702-2118  chat via WhatsApp #oportunidades #empreendedorismo #empreendedoras #empreender #negocios https://t.co/fIxyMK7xuV</t>
  </si>
  <si>
    <t>Vice-governador participou de inauguração da nova sede regional do Sebrae, em Aparecida de Goiânia.
#GOIAS #empreendedorismo
https://t.co/bjwPwEpspi</t>
  </si>
  <si>
    <t>"Ser pai me motivou a me tornar um empresário nessa área", compartilha Rodrigo, ressaltando a importância de oferecer um ambiente seguro, acolhedor e comprometido com a educação para as crianças em seus primeiros anos de vida.
#empreendedorismo 
https://t.co/MfEjT3bjue</t>
  </si>
  <si>
    <t>Com o perfil Keka Pelo Mundo no Instagram, a influencer mostra rotina, viagens e roteiros de suas aventuras.
#Influencer #kekapelomundo #empreendedorismo 
https://t.co/Uz3KVI4H4M</t>
  </si>
  <si>
    <t>40 empreendedoras comercializam produtos de moda, gastronomia, artesanato e artes plásticas.
#anhanguera #empreendedorismo  
https://t.co/wI3O9rWHZu</t>
  </si>
  <si>
    <t>Se você fizer isso todos os bancos vão te amar 💵!
#bancos #milhasaereas #cartaodecredito #empreendedorismo #ferini @FellipeFerini https://t.co/8c3M0kRAQm</t>
  </si>
  <si>
    <t>🌟 Gratidão imensa aos brilhantes alunos que fizeram parte do Curso Presencial de Negócios Digitais para Empreendedores da Expert Digital! 🙌✨
#curso #empreendedorismo #negociosdigitais https://t.co/qT42nVVWor</t>
  </si>
  <si>
    <t>#Informatica #TransformacaoProfissional #Conhecimento #Empreendedorismo #Computadores #JornadaDeSucesso #Inspiração #CarreiraBrilhante #DesenvolvimentoPessoal
Da Ignorância à Transformação: Como o Conhecimento em Informática Mudou Minha Carreira
https://t.co/VWBCusWl3V</t>
  </si>
  <si>
    <t>pobre não pode se divertir kkkkk então vamos trabalhar #primorico
#dinheiro #sucesso #empreendedorismo #empreender #empreendedor #marketingdigital #motivação #brasil #foco #liderança #negocios #marketing https://t.co/h5ql6KManf</t>
  </si>
  <si>
    <t>Não adianta tapar o sol com a peneira, isso é enxugar gelo!!!
#ConsciênciaAmbiental
#MatemáticaFinanceira.
#Empreendedorismo. https://t.co/0yonfjZYTl</t>
  </si>
  <si>
    <t>Em Várzea da Palma (MG), a energia solar trouxe muito mais do que desenvolvimento econômico.  Entenda no novo episódio de Do Ouro ao Sol.
https://t.co/MjeCnXwM1D
#DoOuroAoSol #Nextracker #Empreendedorismo #Inclusao #Diversidade #EnergiaSolar https://t.co/LjTgk2qvED</t>
  </si>
  <si>
    <t>RT @sebraegoias: O nosso mais novo brasileiro Bruno Mars já ta sabendo onde vai encontrar as soluções de empreendedorismo! 🗣️
Come to Sebr…</t>
  </si>
  <si>
    <t>Daniel Dantas-Navegando em Tendências Emergentes na Economia Brasileira. https://t.co/Gb2oolTAYd
#DanielDantas #DanielValenteDantas #Banqueiro #Empreendedor https://t.co/qLPl079id6</t>
  </si>
  <si>
    <t>Scaling Up: Estratégias para Crescer Sua Startup Brasileira com Daniel Dantas. https://t.co/YpZVw76lss
#DanielValenteDantas #danieldantas #banqueiro #empreendedor https://t.co/rDOQViYfK7</t>
  </si>
  <si>
    <t>O Poder do Networking Construindo Conexões na Comunidade Empresarial Brasileira por Daniel Dantas. https://t.co/r35eIpvakx
#DanielValenteDantas #danieldantas #banqueiro #empreendedor https://t.co/98qqwngVt4</t>
  </si>
  <si>
    <t>Nossa Delegação representou o Brasil na Reunião Ministerial da #OCDE sobre #PMEs e #Empreendedorismo nos dias  27 e 28/6. Entre os temas discutidos, como aumentar a resiliência das PMEs a futuras crises, inclusão, transição verde e digital e acesso a financiamento. https://t.co/QECdBAqhpD</t>
  </si>
  <si>
    <t>the largest hackathon is at 7 to 8 oct markup calendar
#empreendedorismo #startup #technology #learning #tech #covid #engineering #innovation #code #nasa #startups #programming #coding #python #developer #java #stem #hacked #javascript</t>
  </si>
  <si>
    <t>🤖 O futuro da humanidade como ciborgues!
🚀Você acha que o Elon Musk está exagerando ou você concorda com ele?
Link → https://t.co/HEDLHPVDty
#elonmusk #elonmuskbrasil #android #iphone #negocios #empreendedorismo #amagiadomundodosnegocios</t>
  </si>
  <si>
    <t>🔥PROMOÇÃO: Descubra como desbloquear sua Liberdade Financeira de uma vez por todas:
https://t.co/Bi0RwAaIzQ
#reflexao #sucesso #coragem #pensamentos #motivação #desenvolvimentopessoal #mentalidadedesucesso #empreendedor https://t.co/YktQ5QDYRT</t>
  </si>
  <si>
    <t>🔥PROMOÇÃO: Descubra como desbloquear sua Liberdade Financeira de uma vez por todas:
https://t.co/Bi0RwAaIzQ
#conhecimento #mentemilionaria #reflexao #sucesso #pensamentos #motivação #mentalidadedesucesso #investimento #empreendedorismo #WilliamHuntBrasil https://t.co/xsLXncYTSX</t>
  </si>
  <si>
    <t>Descubra como desbloquear sua Liberdade Financeira de uma vez por todas:
https://t.co/SpzFKRwovx
#reflexao #sucesso #pensamentos #motivação #desenvolvimentopessoal #mentalidadedesucesso #empreendedorismo #WilliamHuntBrasil https://t.co/gqQc5las58</t>
  </si>
  <si>
    <t>#pararefletir 💭
Se você for esperar pelas condições perfeitas, nunca vai fazer nada...
Agora é a hora de agir. Corra atrás dos seus sonhos e objetivos, faça acontecer!
#reflexao #sucesso #motivacao #desenvolvimentopessoal #mentalidadedesucesso #empreendedor #empreendedorismo https://t.co/SkJcffp8GI</t>
  </si>
  <si>
    <t>🔥PROMOÇÃO: Descubra como desbloquear sua Liberdade Financeira de uma vez por todas:
https://t.co/Bi0RwAaIzQ
#reflexao #sucesso #motivação #finanças #financas #riqueza #finançaspessoais #mentalidadedesucesso #empreendedorismo https://t.co/FhVOtufwr8</t>
  </si>
  <si>
    <t>🔥PROMOÇÃO: Descubra como desbloquear sua Liberdade Financeira de uma vez por todas:
https://t.co/Bi0RwAbgpo
#sonhos #planejamentofinanceiro #reflexao #sucesso #motivação #mentalidadedesucesso #empreendedor https://t.co/G130Djnya6</t>
  </si>
  <si>
    <t>É assim que funxiona o programa de parceria do youtube, mais conhecido como MONETIZAÇÃO! 🚀
Me conta aqui, seu canal já é monetizado? 💸
#youtuber #monetização #ianworcman #empreendedorismo #empreendedor #marketing #marketingdigital #comoganhardinheironainternet #comoganhar https://t.co/XIali8HhgU</t>
  </si>
  <si>
    <t>A contabilidade é um grande mistério para muitos empreendedores. Aprenda a usar seu orçamento de forma eficaz para melhorar a gestão financeira de sua empresa. #Contabilidade #Empreendedorismo #GestãoFinanceira</t>
  </si>
  <si>
    <t>Bom dia, empreendedores destemidos! 🚀🌟 
Hoje é dia de brilhar como estrelas e transformar seus negócios em verdadeiros hits! 💃🕺 
Preparados para arrasar nesse sabadão com muitas vendas?
#sebraepb #empreendedorismo</t>
  </si>
  <si>
    <t>💡✨ A Lumina Labs é um projeto dedicado a capacitar e celebrar mulheres empreendedoras incríveis, veja a nossa prosa com uma das fundadoras ✨💡#valeumaprosa #EmpreendedorismoFeminino #Taubate #empreendedor #ILoveMyBody https://t.co/yzhvn6jCd2</t>
  </si>
  <si>
    <t>O QUE EU FAÇO PROFISSIONALMENTE
Estou na estrada há muito tempo. Nunca deixei de empreender e, constantemente, enriqueço experiência como consultor.
#currículo #empreendedor #professor #história #consultoria #mentoria #marketing #estratégia #projetos#marciokasten https://t.co/zhEXy4BH5v</t>
  </si>
  <si>
    <t>Atenção, empreendedor! 📢
A Infographya pode te ajudar a fidelizar clientes. 🤝
Entre em contato conosco agora mesmo e saiba mais! 🙇🏻‍♂️
#infographya #comunicação #agência #negócio #empreendedorismo #fidelização #clientes https://t.co/tZ8m1v8WHj</t>
  </si>
  <si>
    <t>#ai #aiartwork #hotmart #empreendedorismo #abrahamlincoln #madmax #leonardoai #entrepeneur https://t.co/baMXM28UBX</t>
  </si>
  <si>
    <t>#videomaker #hotmart #hotnartafiliados #ebook #empreendedorismo #youtuber #entrepreneurs #marketingdigital https://t.co/SuhnagLvMU</t>
  </si>
  <si>
    <t>#hotmart #hotmartafiliados #hotmartbrasil #camaraescura #videographer #MarketingDigital #empreendedorismo https://t.co/LO91YLEmyq</t>
  </si>
  <si>
    <t>Ajudei minha namorada a abrir um negócio, mas terminamos; tenho direito a participação nos lucros dela?
#Dívidas #Empreendedorismo
https://t.co/IoGsEPOf3a</t>
  </si>
  <si>
    <t>Consulta pública de novas regras para registro de empresas termina hoje; veja como participar
#Empreendedorismo
https://t.co/fNEQ7i6J6y</t>
  </si>
  <si>
    <t>Você sabia que não precisa, necessariamente, de mais clientes para vender mais, né?
#Negocios #maisvendas #maisclientes #empreendedorismo #consultoria https://t.co/yOiF36OIGb</t>
  </si>
  <si>
    <t>O Sebrae em Santo Antônio de Jesus realiza nesta quarta-feira (12) um encontro com foco em recursos humanos e gestão de pessoas. Gratuita, a atividade ocorrerá na sede da unidade regional, localizada no prédio do Espaço Empresarial. #Empreendedorismo
https://t.co/b8SzncpCuT</t>
  </si>
  <si>
    <t>A 12ª edição da Super Bahia, maior feira de varejo de alimentos do Norte/Nordeste, encerra nesta quinta-feira, 13, superando todas as expectativas e batendo recordes de público e de geração de negócios. #Bahia #Empreendedorismo #Negócios #Salvador
https://t.co/n0jGA1Winv</t>
  </si>
  <si>
    <t>Estudo de caso mostra que #empreendedor garante sucesso de instituição de #ensino com parcerias estratégicas e experiência no ramo, apesar de estrutura limitada, gastos além do desejado. Leia: https://t.co/jKpCdr7Ers
#educação #empreendedismo #BlogImpacto #DicadeLeituraFGV https://t.co/ptcf7rfGh7</t>
  </si>
  <si>
    <t>🎉 Hoje é o dia do contador! 🎉
A Barbi Contábil parabeniza a todos os profissionais
que cuidam das finanças e da contabilidade das
empresas!💼👏
.
#diadocontador #contabilidade #empresas
#gestãofinanceira #contadores #empreendedorismo
#sucesso #negócios #planejamentofinanceiro https://t.co/B1BSNpHIJC</t>
  </si>
  <si>
    <t>É isso que o mercado digital faz na vida de quem acredita.🚀
Treinamento  completo para quem quer começar na BIO
.
.
.
.
Tags:
#Empreendedorismo #Negócios #Startup #Inovação #Empreender #Sucesso #Estratégia #Marketing #Gestão #Liderança https://t.co/l6HpAdVXqz</t>
  </si>
  <si>
    <t>Acabei de migrar para o X🚀🙅🏻‍♂️
.
.
#empreendedorismo
#gratidão #foco
#motivação</t>
  </si>
  <si>
    <t>💪 Conquiste a estabilidade financeira do seu negócio. Antecipe seus recebíveis com o RecebeAqui! #Empreendedorismo #RecebeAqui</t>
  </si>
  <si>
    <t>Quando você percebe que o mercado está cada vez mais competitivo e precisa se destacar para sobreviver. #Empreendedorismo #Concorrência https://t.co/uH1HrXsPNf</t>
  </si>
  <si>
    <t>🥇 "O fracasso é apenas a oportunidade de começar de novo, desta vez de forma mais inteligente." - Henry Ford #Empreendedorismo #RecebeAqui</t>
  </si>
  <si>
    <t>🤹 Gerir um negócio não é fácil, mas a RecebeAqui pode te ajudar a equilibrar as contas com a antecipação de recebíveis. #Empreendedorismo #RecebeAqui</t>
  </si>
  <si>
    <t>Quando você finalmente ganha um cliente fiel e percebe que precisa trabalhar ainda mais para mantê-lo satisfeito. #Empreendedorismo #Clientes https://t.co/Gtc0Bqb1Sq</t>
  </si>
  <si>
    <t>🚀 "Não deixe o fluxo de caixa atrapalhar o crescimento do seu negócio. Antecipe seus recebíveis com o RecebeAqui! #Empreendedorismo #RecebeAqui"</t>
  </si>
  <si>
    <t>👊 "Não tenha medo de desistir do bom para ir para o ótimo." - John D. Rockefeller #Empreendedorismo #RecebeAqui</t>
  </si>
  <si>
    <t>👏 "Não se preocupe com o fracasso, você só precisa estar certo uma vez." - Drew Houston, fundador do Dropbox #Empreendedorismo #RecebeAqui</t>
  </si>
  <si>
    <t>Quando você fica sem estoque do seu produto mais vendido e precisa lidar com clientes insatisfeitos. #Empreendedorismo #Estoque</t>
  </si>
  <si>
    <t>💼 Gerenciar um negócio não precisa ser complicado. Antecipe seus recebíveis com o RecebeAqui e tenha mais tempo para o que realmente importa. #empreendedorismo  #RecebeAqui
https://t.co/rbZs84TpSL</t>
  </si>
  <si>
    <t>💡 "O sucesso normalmente vem para quem está muito ocupado para procurar por ele." - Henry David Thoreau #Empreendedorismo #RecebeAqui</t>
  </si>
  <si>
    <t>Quando seus clientes prometem que vão comprar seu produto, mas nunca cumprem. #Empreendedorismo https://t.co/6mzaQnE8ue</t>
  </si>
  <si>
    <t>Quando você não tem ideia de como lidar com a papelada e os documentos necessários para abrir uma empresa. #Empreendedorismo #Burocracia</t>
  </si>
  <si>
    <t>Quando você tem que lidar com clientes reclamando do preço, mesmo sabendo que seu produto é justo. #Empreendedorismo #Preço https://t.co/zZE9wBvHE2</t>
  </si>
  <si>
    <t>🎉 Comemore o sucesso do seu negócio hoje mesmo! Antecipe seus recebíveis com o RecebeAqui. #Empreendedorismo #RecebeAqui</t>
  </si>
  <si>
    <t>🚀 "A melhor maneira de prever o futuro é criá-lo." - Peter Drucker #Empreendedorismo #RecebeAqui</t>
  </si>
  <si>
    <t>💡 "Torne-se a pessoa que gostaria de ter como chefe." - Brian Tracy #Empreendedorismo #RecebeAqui</t>
  </si>
  <si>
    <t>💼 Negócios parados por falta de dinheiro? Antecipe seus recebíveis com o RecebeAqui e dê continuidade ao seu negócio. #Empreendedorismo #RecebeAqui</t>
  </si>
  <si>
    <t>Quando você trabalha tanto que se sente esgotado, mas sabe que precisa continuar para manter seu negócio funcionando. #Empreendedorismo #TrabalhoÁrduo https://t.co/pJ9iKwrAeu</t>
  </si>
  <si>
    <t>🚀 "Não encontre falhas, encontre soluções." - Henry Ford #Empreendedorismo #RecebeAqui</t>
  </si>
  <si>
    <t>🚀 "Sempre entregue mais do que esperam de você." - Larry Page, cofundador do Google #Empreendedorismo #RecebeAqui</t>
  </si>
  <si>
    <t>🏆 "O sucesso é a soma de pequenos esforços repetidos dia após dia." - Robert Collier #Empreendedorismo #RecebeAqui</t>
  </si>
  <si>
    <t>Quando você trabalha duro para promover seu negócio nas redes sociais, mas só recebe curtidas de amigos e familiares. #Empreendedorismo #RedesSociais https://t.co/PQMxjv6zfN</t>
  </si>
  <si>
    <t>O que é #ROI? 🧐
🔸#AGIPEDIA é o nosso dicionário de #MarketingDigital, descomplicando termos do mercado digital para você.
#agiwork #trafegopago #socialmedia #tecnologia #desenvolvimento #marketing #seo #kpi #gestao #empreendedorismo #dev https://t.co/gUAfz4xIHF</t>
  </si>
  <si>
    <t>Destaque-se e surpreenda suas clientes com peças da @ab.brutos! 💎😍
Solicite o catálogo!
📲Acesse https://t.co/036mSN3rNc e tenha acesso aos melhores fornecedores de brutos da Capital da Joia Folheada
#capitaldajoia #semijoias #semijoiasdeluxo #empreendedorismo #acessorios https://t.co/CuLIkOjTl6</t>
  </si>
  <si>
    <t>Argola oval em alta fusão! @yesbrutoss ✨
Solicite o catálogo!
📲Acesse https://t.co/036mSN3rNc e tenha acesso aos melhores fornecedores de brutos da Capital da Joia Folheada
#capitaldajoia #semijoias #semijoiasdeluxo #empreendedorismo #acessorios #moda #joias https://t.co/jcGV2SeL4r</t>
  </si>
  <si>
    <t>SUPER em alta! Pra quem ainda não sabe , trabalhamos com uma linha de correntes em alumínio também. @ellomaxcorrentes
📲Acesse https://t.co/036mSN3rNc e tenha acesso aos melhores fornecedores
#capitaldajoia #semijoias #empreendedorismo #acessorios #joias https://t.co/mYkSnluY4y</t>
  </si>
  <si>
    <t>Nunca em hipótese alguma, assine uma revista ou jornal da Globo como @peqempresas @valoreconomico! É pior que vender a alma pro Diabo! Pior que cancelar telefone! Simplesmente sou ignorado igual um trouxa! #empreendedorismo #mercado #mercadofinanceiro #bolsadevalores #Negocios</t>
  </si>
  <si>
    <t>Somos muitos profissionais  parceiros (Adriana Ramalho, SERPA Consulting, Valid). Somados somos mais de 70. Temos de especialistas à doutores. Consultoria especializada. 
#grupocentercon #contabilidade #empreendedor #inovação #tecnologia #jurídico #Rh #conselheiroempresarial https://t.co/eQN7FDjrS9</t>
  </si>
  <si>
    <t>#empreendedor https://t.co/YntLStRJFb</t>
  </si>
  <si>
    <t>RT @mundodmarketing: Saber onde os consumidores de uma marca estão é o primeiro passo para construir conexões reais com esse público
#PME…</t>
  </si>
  <si>
    <t>"Você conhece a importância de separar as finanças pessoais das empresariais? Essa prática ajuda a ter um controle maior sobre o fluxo de caixa e o crescimento do seu negócio! Confira em nosso blog uma matéria completa sobre o assunto. #DicasDeContabilidade #Empreendedorismo"</t>
  </si>
  <si>
    <t>Assistiu ao 8º episódio do Fortinet Brasil #Podcast? Nosso convidado é o Protta, CEO e fundador da @SeteIT, conversamos muito sobre o poder da #Cloud e a importância da resiliência para o #empreendedorismo. 
 Spotify: https://t.co/YEZUpz0Qx2 
 YouTube: https://t.co/Fk6PPPvpZc https://t.co/TOYK0vRf8s</t>
  </si>
  <si>
    <t>Você sabe quais são os documentos para abrir uma empresa e ter seu próprio CNPJ? O processo de abertura de uma empresa começa pelo planejamento do empreendedor. #empresa #empreendedor
https://t.co/5PgZwa7UE6</t>
  </si>
  <si>
    <t>Leia a matéria completa no site Jornal Contábil clicando no link: https://t.co/lqKI2NuHSC
#empreendedorismo #empreendedorismonobrasil https://t.co/VAsD6oyLjf</t>
  </si>
  <si>
    <t>O programa prevê uma série de medidas voltadas ao desenvolvimento do empreendedorismo #empreendedorismo #prompe
https://t.co/lqKI2Nua34</t>
  </si>
  <si>
    <t>A contabilidade é uma parte muito importante de qualquer negócio e envolve o registro, resumo e análise de transações financeiras para fornecer informações precisas e confiáveis para o empreendedor. #empreendedor #contabilidade
https://t.co/dRNeywj95l</t>
  </si>
  <si>
    <t>Hoje você é um empreendedor e está se deparando com uma transformação boa em seus negócios. #mei #empreendedor
https://t.co/4z2jgziwAc</t>
  </si>
  <si>
    <t>Leia a matéria completa no site Jornal Contábil clicando no link: https://t.co/uVfYVIjQSN
#mimosparaclientes #empreendedorismo https://t.co/tDiX7jhoQj</t>
  </si>
  <si>
    <t>Após a formalização, o empreendedor precisa estar atento aos critérios para garantir a regularidade do seu negócio. #mei #empreendedor
https://t.co/Oji2BEraJ4</t>
  </si>
  <si>
    <t>Muito se fala sobre dicas de empreendedorismo ou em como obter melhores resultados para uma empresa. Mas pouco se fala sobre quando chega a hora da decisão de fechar uma organização. #empreendedorismo #negocio #jornalcontabil
https://t.co/vZ8u2NuAzY</t>
  </si>
  <si>
    <t>Ser um empreendedor de sucesso não é tarefa das mais fáceis, aliás, está cada vez mais difícil!  A competitividade no mercado é maior, assim como as pressões e as responsabilidades do empreendedor, que só aumentam. #empresariodesucesso #empreendedor
https://t.co/cIk3qFjWpA</t>
  </si>
  <si>
    <t>Quem não gosta de ganhar um presente e se sentir valorizado? Pensando nisso, oferecer mimos para clientes é uma estratégia para valorizar os relacionamentos comerciais e dar um “up” aos seus negócios. #empreendedorismo #negócios
https://t.co/uVfYVIjQSN</t>
  </si>
  <si>
    <t>Os Microempreendedores Individuais (MEIs) devem se preparar para uma nova obrigação que começa a valer nesta sexta-feira (1º): a emissão da Nota Fiscal de Serviços Eletrônica (NFS-e) padrão nacional. #nfs #empreendedor
https://t.co/a8B2osXdLk</t>
  </si>
  <si>
    <t>A escolha entre MEI (Microempreendedor Individual) e CNPJ (Cadastro Nacional da Pessoa Jurídica) depende das necessidades específicas de cada empreendedor e do tipo de negócio que ele deseja iniciar. #mei #cnpj #empreendedor
https://t.co/wdlTJMXxEA</t>
  </si>
  <si>
    <t>O Microempreendedor Individual (MEI) tem sido uma opção cada vez mais escolhida por pequenos empreendedores que desejam formalizar seus negócios de forma simplificada. #empreendedor #mei
https://t.co/eKKkDV7hTG</t>
  </si>
  <si>
    <t>O cenário para os Microempreendedores Individuais (MEIs) no Brasil está passando por uma possível mudança significativa. #mei #empreendedorismo
https://t.co/QTdVKIiR0e</t>
  </si>
  <si>
    <t>Veja um pouco como foi o coquetel de lançamento da 20ª CONESCAP e 17ª Convenção CRCCE realizado nessa quarta (19/7), em Fortaleza. 
Garanta já o seu ingresso: https://t.co/JR8xKsLHA8
#Conescap #FENACON #Fortaleza #Empreendedorismo #Tecnologia #Contabilidade #Negócios #crcce https://t.co/QAMJBQh4R5</t>
  </si>
  <si>
    <t>A trilha de globalização foi confirmada, tornando a programação da CONESCAP e da Convenção do CRCCE ainda mais especial.
Garanta o seu ingresso: https://t.co/JR8xKsLHA8
#Conescap #20ªCONESCAP #FeiradeNegocios #conhecimento #networking #Empresários #Empreendedorismo #Negócios https://t.co/oRJEC70Hjw</t>
  </si>
  <si>
    <t>Hoje (5/7) o Sebrae, parceiro do Sistema FENACON, completa 51 anos de dedicação ao empreendedorismo brasileiro.
Parabéns, Sebrae! Juntos em prol do microempreendedor. 
#FENACON #Sebrae #51Anos #empreendedorismo #empreendedor https://t.co/SmDYy4z2jR</t>
  </si>
  <si>
    <t>RT @MundoProdutos: ⚡️Oferta Amazon
Finanças para autônomos: Como organizar sua vida e seu dinheiro quando você trabalha por conta própria…</t>
  </si>
  <si>
    <t>Hoje foi dia de participar de mais uma feira de franquias. Desta vez da "Franchiseb2b" realizada em Florianópolis. https://t.co/K275TEohJV #franchising  #franquiasdesucesso  #franquias #legacyfranchising  #consultoria  #empreendedorismo https://t.co/edCEYTMn6n</t>
  </si>
  <si>
    <t>Nuts&amp;amp;Nuts lança a sua franquia. https://t.co/x7WsqHUM2q https://t.co/W9sNC2nu1G #nutsenuts #franchising #franquiasdesucesso #grupowea #legacyfranchising #gilmargianni #gianni #empreendedorismo #alimentosaudável #saúde #franquia</t>
  </si>
  <si>
    <t>Muito orgulho em ter sido o 1º franqueado Flytour do Brasil em 1993 em Caxias do Sul/RS. #franquiasdesucesso #franchising #empreendedorismo #flytour https://t.co/yV9qKOQqA6 -um-faturamento-de-r-400-milhoes-para-r-10-bilhoes-em-2-anos/</t>
  </si>
  <si>
    <t>Franquias crescem 17,2% em 2023 e faturamento bate marca de R$ 50 bi  https://t.co/penoqNwJV9 #franchising #franquiasdesucesso #grupowea #legacyfranchising #gianni #empreendedorismo</t>
  </si>
  <si>
    <t>Grande 3º e último dia de Startup Summit 2023 em Floripa! Looking forward to 2024. #negociosdigitais #consultoria #inovação #startup #empreendedorismo #sebrae #acate #acif #floripa #florianopolis #ucs   https://t.co/nUvfgJV0ix https://t.co/mKOSxhFSam</t>
  </si>
  <si>
    <t>Grande 2º dia de Startup Summit 2023 em Floripa! Continuamos com ótimas conexões por aqui. #negociosdigitais #consultoria #inovação #startup #empreendedorismo  #sebrae #acate #acif #floripa #florianopolis https://t.co/nUvfgJV0ix https://t.co/hSl0JlSQWG</t>
  </si>
  <si>
    <t>Chegou o grande 1º dia! Estamos começando as conexões por aqui. #negociosdigitais #consultoria #inovação #startup #empreendedorismo #sebrae #acate #acif #floripa #florianopolis   https://t.co/nUvfgJVy85 https://t.co/51BrAoTa4v</t>
  </si>
  <si>
    <t>Nos conhecemos a pouco tempo em Biguaçu, porém esse encontro gerou uma sinergia excepcional.
DIEGO BÁRBOSA  DEISE MARINA MEZZAROBA  @RSchollemberg e Gilson Luis Kolenez 
Novidades boas para o #empreendedorismo e #inovação vão surgir desta reunião realiz…https://t.co/DiDdLXm4RL</t>
  </si>
  <si>
    <t>Já está disponível a gravação da "Masterclass: Desperta o teu lado empreendedor". 💻 Para quem não teve a oportunidade de assistir em direto, pode obter o acesso à gravação aqui: https://t.co/IwwbcW67Xt 😁 #Masterclass #hotmart #empreendedorismo</t>
  </si>
  <si>
    <t>A diferença entre o desejo e a concretização, está na profundidade do compromisso. #fazeracontecer #empreendedorismo #foodforthought</t>
  </si>
  <si>
    <t>Conciliar duas atividades profissionais pode parecer demasiado. Mas é possível trabalhar por conta de outrem e ter um negócio próprio. E tem vantagens. #Empreendedorismo #EquilíbrioProfissional #EmpregoENegócioPróprio
https://t.co/ZaLTu1wEQc</t>
  </si>
  <si>
    <t>Ser #empreendedor é uma jornada que exige compromisso e consistência. Não precisas de fazer tudo de uma vez, mas não fazer nada não te levará a lado nenhum. O #sucesso e o #dinheiro não caem do céu. É preciso que dês o teu melhor todos os dias.💪
https://t.co/HTCTwdpNIk</t>
  </si>
  <si>
    <t>O medo é o maior inimigo do empreendedorismo! 😨 Muitos têm ideias brilhantes, mas deixam o receio paralisar o movimento de criação dos seus negócios.  Lembra-te, a coragem é o primeiro passo para o sucesso! 💪✨  #Empreendedorismo #Coragem #Negócios #Sonhos #PortugalEmpreendedor</t>
  </si>
  <si>
    <t>O melhor dia?! Ah, o melhor dia é aquele em que eu acordo e sei que vou trabalhar em algo que me apaixona verdadeiramente. 💛 #empreendedorismo #empreendedoras #empreededorismofeminino #negocios #empreenda #empreender #locução #vozoff #producaodeconteudos #bomdia #terçafeira</t>
  </si>
  <si>
    <t>Para e descansa quando sentires cansaço. Mas jamais quebres o movimento ascendente até que sintas orgulho do teu trabalho e dos teus resultados. #empreender #empreendedorismo #orgulho</t>
  </si>
  <si>
    <t>O Projeto "Wanted - Mais e Melhor Empreendedorismo em Viseu Dão Lafões" visa desafiar jovens e empreendedores
#wanted #empreendedorismo #dao #lafoes #viseudaolafoes #cimvdl #cimviseudaolafoes
@anoticiaPT 
https://t.co/omlniFwbCv</t>
  </si>
  <si>
    <t>Saiba como   cultivar a resiliência necessária para enfrentar os altos e baixos da jornada   empreendedora. A resiliência é a força motriz do sucesso empresarial. 💼💪 #Empreendedorismo #Resiliência #Crescimento</t>
  </si>
  <si>
    <t>Domine as habilidades de negociação que o ajudarão a fechar negócios de sucesso. 💼🤝#Negociação #Sucesso #Empreendedorismo</t>
  </si>
  <si>
    <t>Descubra os benefícios de buscar orientação de mentores especializados. 👥📚#Mentoria #Crescimento #Empreendedorismo</t>
  </si>
  <si>
    <t>Descubra   estratégias para contribuição o crescimento empresarial de maneira   consistente. 🌱💼 #Crescimento #Negócios   #Empreendedorismo</t>
  </si>
  <si>
    <t>Não importa se eu faço muito, se eu não faço o que precisa ser feito! Ocupação não significa produtividade! 
#empreendedor #empreendedorismo 
#procrastinacao</t>
  </si>
  <si>
    <t>Você também está cansado de ver propagandas de grandes que não fazem sentido nenhum? Que parece que fizeram só para chamar a atenção? 
#empreendedorismo #MarketingDigital #marketing #branding</t>
  </si>
  <si>
    <t>Não é sobre o problema mas como solucioná-lo
#mindset #minsetempreendedor #empreendedorismo</t>
  </si>
  <si>
    <t>Empreender é sobre manter a cabeça baixa e achar uma solução não importa o problema. Desistir não é uma opção.
#empreendedorismo #marketingdigital</t>
  </si>
  <si>
    <t>Turismo sustentável nos litorais: incentivar, sim, proibir, jamais!
Saiba porquê neste episódio do nosso quadro “Sustentabilidade em Pauta”, parceria do Ibrades com o Programa Economia Verde para a BandTV.
#empreendedorismo
#meioambiente
#Barbie 
https://t.co/3CSn6VQEwB</t>
  </si>
  <si>
    <t>Força, Fé e Foco! 
💪Não Parar, Não Precipitar e Não Retroceder!
#Sorocaba #saopaulo  #empreendedorismo  #negocios https://t.co/Kr0AgLx5CP</t>
  </si>
  <si>
    <t>Clique no QR Code para saber o que podemos fazer por você
#janikingbrasil #limpezacomercial #limpezaprofissional #franquiadelimpeza #franquiajaniking #empreendedorismo #empreender #novonegocio https://t.co/1Ej3bqA875</t>
  </si>
  <si>
    <t>#quemaraseria se a gente tivesse as ideias originais já engavetados e agora seria ter a coragem (agir com o coração) para discutir as propostas com os parceiros. Quem tem perna vai a Derribadinha... Opa, não era boca? HaHa, também serve, claro. #empreendedorismo https://t.co/jZ5e0zuE55</t>
  </si>
  <si>
    <t>Junte-se a nós amanhã para o Entrepreneurial Initiative of the 21st Executive MBA AESE! 
Não perca esta oportunidade de testemunhar o futuro do empreendedorismo 🚀 https://t.co/fzVDZqQ8Wj
#aesebschool #EMBA #Empreendedorismo #Inovação #Networking https://t.co/tLLH170SHH</t>
  </si>
  <si>
    <t>Junte-se a nós amanhã para o Entrepreneurial Initiative of the 21st Executive MBA AESE! 
Não perca esta oportunidade de testemunhar o futuro do empreendedorismo 🚀 https://t.co/fzVDZqQ8Wj
#aesebschool #EMBA #Empreendedorismo #Inovação #Networking https://t.co/ubkbg0BLbB</t>
  </si>
  <si>
    <t>Temos notícias boas e ruins 📊
 Acesse o link que está no Perfil e confira o post completo nas outras redes sociais!
#laserchip #vemparaLaserchip #solucoesinteligentes #pesquisaecommercebr #ecommercebrasil #sistemadeerp #erp #ecommerce #empreendedorismo https://t.co/DF9HE9OlyI</t>
  </si>
  <si>
    <t>13/07 - Dia do Rock 🤘
🔹 Acesse o link que está no Perfil e confira o post completo no Blog!
#laserchip #vemparaLaserchip #soluçõesinteligentes #diadorock #tipodeempreendedor #empreendedorismo https://t.co/FSIWF1DJkI</t>
  </si>
  <si>
    <t>Bom dia a todos!
Quer saber mais sobre as soluções que a Laserchip pode oferecer ao seu negócio?
🔸 Entre em contato com a Laserchip acessando o link que está no Perfil!
#laserchip #vemparaLaserchip #ecommerce #marketplace #sistemaerp #erp #monteseunegocio #empreendedorismo https://t.co/Pq31PaN1dn</t>
  </si>
  <si>
    <t>🚨🚨🚨🚨🚨🚨🚨🚨🚨🚨🚨
*O PATRÃO FICOU MALUCO* 
*Um(1) Guaracrac e uma(1) paçoca por apenas 2 reais*
*um(1) Guaracrac e uma serenata(1) ou twix(1) por apenas 2,50* 
*salgado(1) com guaravita(1)= 6,50*
*#Deuséodonodolugar*
*#empreendedorismo*
*#abaixoaditadura*</t>
  </si>
  <si>
    <t>Nos dias 27 e 28 de setembro, a @CNI_br junto com o @sebrae vão realizar o Congresso Internacional de Inovação à indústria, com o tema Ecoinovação: rumo ao #empreendedorismo competitivo e saudável.
Se inscreva gratuitamente (evento presencial e online): https://t.co/nHNavSwm1J https://t.co/8sDZpi7MrA</t>
  </si>
  <si>
    <t>🙏 Agradecemos a todos que acompanharam o inspirador 32º episódio do Podcast Viver de Condomínio, com a incrível história de Charles Lima!
🔗 https://t.co/hHX6kiBsFd
#solvitsc #condominio #sindico #orgulhodesersindico #oss #viverdecondomínio #podcast #empreendedorismo https://t.co/09hZbxHwxR</t>
  </si>
  <si>
    <t>4 Maneiras de aumentar suas comissões de afiliado👉https://t.co/0D2ZfgWw2O #afiliado #marketingdeafiliado #programadeafliado #marketingdigital #empreendedoronline #empreendedor #blogueiro #blogueira #ganhardinheiro #rendaonline #negócioonline https://t.co/CLBZdOGuJ7</t>
  </si>
  <si>
    <t>8 Motivos para investir em publicidade online!
👉https://t.co/9cqGtftxUL #empreendedordigital #investirempublicidadeonline #marketingdigital #publicidadeonline #empreendedoronline #negócioonline #marketing #empreendedor https://t.co/KoReNXTWYm</t>
  </si>
  <si>
    <t>5 erros ao trabalhar no exterior
👉https://t.co/3A9E5t1p9x #negócios #nômadedigital #trabalharnoexterior #turismo #trabalhar #trabalho #negócio #negócioonline #marketingdigital #empreendedor https://t.co/yJGV7riZNE</t>
  </si>
  <si>
    <t>Dinheiro é energia #ferini #motivacional #desenvolvimentopessoal #marketingdigital #marketing #empreendedorismo #mindset #liberdadefinanceira #dinheiro #riqueza #prosperidade #foryou #fy #fypシ゚viral #fypシ #f4f
@FellipeFerini https://t.co/0eMMtFOPt9</t>
  </si>
  <si>
    <t>Observe o ambiente e expanda os seus horizontes #ferini #motivacional #desenvolvimentopessoal #marketingdigital #marketing #empreendedorismo #mindset #liberdadefinanceira #dinheiro #riqueza #prosperidade #foryou #fy #fypシ゚viral #fypシ #f4f @FellipeFerini https://t.co/mDoRaHpkB8</t>
  </si>
  <si>
    <t>Dinheiro precisa de movimento #ferini #motivacional #desenvolvimentopessoal #marketingdigital #marketing #empreendedorismo #mindset #liberdadefinanceira #dinheiro #riqueza #prosperidade @FellipeFerini https://t.co/iGvFZSsuA2</t>
  </si>
  <si>
    <t>Você já construiu o seu pote de paz de espírito?
#ferini #motivacional #desenvolvimentopessoal #marketingdigital #marketing #empreendedorismo #mindset #liberdadefinanceira https://t.co/dy83uIydFP</t>
  </si>
  <si>
    <t>5 A transmissão ao vivo será pelo canal IFMG Play, no YouTube. Confira a programação completa, inscreva-se, participe
📷https://t.co/FD0O9xSvhv
#planetaifmg2023 #programação #inscrições #ensino #pesquisa #extensão #inovação #empreendedorismo #internacionalização #cultura #esporte</t>
  </si>
  <si>
    <t>💰Você sonha em empreender, mas tem pouco dinheiro para investir? Não se preocupe! 
Acabamos de publicar no blog da AN, 8 dicas valiosas para iniciar seu negócio sem grandes investimentos. 
#empreendedorismo #negócios #blog https://t.co/AjI80mIinb</t>
  </si>
  <si>
    <t>Faça o que você sabe fazer e o que gosta! #empreender #começar #empreendedor #fazeroquegosta #carlossantosvencedor https://t.co/E0ibpAwDwA</t>
  </si>
  <si>
    <t>Hoje às 20H logo mais LIVE sobre #vendas #empreendedorismo #mentalidade #espiritualidade #carlossantosvencedor saiba mais https://t.co/8pZDXO62GI
https://t.co/10BzHex8z4</t>
  </si>
  <si>
    <t>Podcast CARLOS Santos
Vendas, Empreendedorismo, Mentalidade e Espiritualidade 
#vendas #empreendedorismo #mentalidade #espiritualidade #carlossantosvencedor  https://t.co/8pZDXO62GI
 https://t.co/EV9Tx1wVLh</t>
  </si>
  <si>
    <t>LIVE nesta Segunda 20H Prosperidade 
A História de José do Egito #josedoegito #prosperidade #empreendedorismo #mentalidade #espiritualidade #carlossantosvencedor https://t.co/XQItls75HP</t>
  </si>
  <si>
    <t>Amanhã Sábado dás 10/12H têm Podcast Carlos Santos. Saiba mais 👉 https://t.co/oseXnlBwcL #empreendedorismo #vendas #mentalidade #espiritualidade #podcastcarlossantos</t>
  </si>
  <si>
    <t>Jamais desistam dos seus sonhos ✨
Somos 2K nessa comunidade que já tem o coração de muita gente ❤️‍🔥
Obrigado a todos, vamos juntos por mais, buscando o extraordinário.
#empreendedorismo #camisadetime #futebol #entretenimento https://t.co/oVzsmmDrXN</t>
  </si>
  <si>
    <t>A Stanley’s é uma empresa de EDUCAÇÃO!
O que você criou, do ponto de vista educacional, para o seu negócio?
Assista e me responda se você concorda👇🏻
Não deixe de compartilhar com seu amigo empreendedor 🔥🚀
#empreendedor https://t.co/3kd6ChXGVb</t>
  </si>
  <si>
    <t>Como empreender com sucesso em um mercado tão competitivo e abocanhar uma fatia neste mercado em crescimento? 👩‍⚕️ #cãesegatos #medicinaveterinaria #veterinario #empreendedorismo
https://t.co/MnvilpVoXb</t>
  </si>
  <si>
    <t>🤔 O #empreendedorismo é um terreno fértil para #jornalistas, mas muitos deixam de explorar esse caminho por medo ou falta de incentivo…
🎯 Para te ajudar, desenvolvemos um curso próprio para #comunicadores. Aproveite o desconto de 40%: https://t.co/siZV0Kq8OC https://t.co/PXafdRUeIv</t>
  </si>
  <si>
    <t>📷 O #empreendedorismo é um terreno fértil para #jornalistas, mas muitos deixam de explorar esse caminho por medo ou falta de incentivo…
📷 Para te ajudar, desenvolvemos um curso próprio para #comunicadores. Aproveite o desconto de 40%: https://t.co/siZV0Kq8OC https://t.co/vd9e4keuem</t>
  </si>
  <si>
    <t>Ouvir podcasts  sobre negócios e empreendedorismo é viável?
#Negocios #empreendedorismo</t>
  </si>
  <si>
    <t>📚bilionário da SpaceX  Uma leitura fascinante que revela os segredos por trás das empresas revolucionárias. Prepare-se para inspirar-se com essa história visionária!&amp;gt;&amp;gt;&amp;gt; https://t.co/zBLscAiDxr 
#esseX #ElonMusk #LivroInspirador #Empreendedorismo #Inovação #LeituraImperdível</t>
  </si>
  <si>
    <t>@giugiumaneira Cuidando das cáries que ela ajudou a criar! #empreendedorismo #girlpower</t>
  </si>
  <si>
    <t>Money Money #shorts #mentalidadedesucesso #luxurylifestyle #empreendedor... https://t.co/DLmL5e1Nqh via @YouTube</t>
  </si>
  <si>
    <t>+1 ✅😁✌🏾
#sebraeba
#Negocios 
#empreendedorismo https://t.co/ZtxVWoczyS</t>
  </si>
  <si>
    <t>Governador João Azevêdo prestigia evento do SEBRAE "Líderes em Movimento" e destaca importância do estímulo ao empreendedorismo.
#Paraíba #Empreendedorismo
🔗 https://t.co/NMpVeIk98O https://t.co/H1QkLK0vXN</t>
  </si>
  <si>
    <t>Edição 2023 da Feira de Negócios e Empreendedorismo Paraibano - Fenemp é lançada em Remígio e município sedia evento em outubro.
#Paraíba #Empreendedorismo
🔗 https://t.co/BDmCEZlRDF https://t.co/vZo8WDC8i2</t>
  </si>
  <si>
    <t>Estudantes do curso técnico de ECIT João Úrsulo, em Pedras de Fogo, criaram a Blocon, startaup que busca resolver o descarte inadequado de RCC.
A ideia partiu da participação dos estudantes no programa Ouse Criar, do Governo da Paraíba, Muito massa, né?
#Paraíba #Empreendedorismo https://t.co/Wewc7fbgLB</t>
  </si>
  <si>
    <t>Saiba como a paisagem econômica de pequenas empresas nos EUA será em 2023! 📊 Descubra insights importantes sobre empreendedorismo no nosso novo blog. #Empreendedorismo #PequenasEmpresas #EUA2023
👉 https://t.co/mlmjKV3lAs</t>
  </si>
  <si>
    <t>#RegimeTributário #Negócios #Empreendedorismo #Impostos #SimplesNacional #LucroPresumido #LucroReal https://t.co/CGWQsrQQgc</t>
  </si>
  <si>
    <t>Encerrando mais uma semana por aqui! #CryptoHero #empreendedorismo https://t.co/Mapo2nNdeh</t>
  </si>
  <si>
    <t>https://t.co/6LQDNgCaNs
#Motivation #Sucesso #empreendedorismo https://t.co/Cn5NfCRmk9</t>
  </si>
  <si>
    <t>Colocar uma música aqui seria um pecado esse som original é a trilha sonora do trabalho Duro,  do planejamento do sonho saindo do Papel !!! #empreendedor #empreendimento #sonhos #foodblogger #instafood #containerhouse #restaurantes https://t.co/KpL11byuSj</t>
  </si>
  <si>
    <t>#brasil #Empreendedorismo #empregos #Lula #ministério 
https://t.co/NSHebTu8VD</t>
  </si>
  <si>
    <t>#Campo #DesenvolvimentoRural #Empreendedorismo #Jovens 
https://t.co/1hesjzMzuA</t>
  </si>
  <si>
    <t>Não espere por oportunidades, crie-as! Seja proativo e persistente em alcançar seus objetivos. 💡🙌🏼 #oportunidades #empreendedorismo #foc https://t.co/vgiDGZbDGE</t>
  </si>
  <si>
    <t>A mídia Dooh é uma excelente  opção para o setor hoteleiro e pode ajudar a fidelizar seus hóspedes através de uma experiência aprimorada.
#midiadooh  #midiaindoor    #mktdigital  #publicidade   #in9midia  #empreendedorismo #neonews #sinalizacaodigital #hoteis #tvcorporativa https://t.co/Crj9CgC1LC</t>
  </si>
  <si>
    <t>agregue VALOR na vida das pessoas #dinheiro #empreendedorismo #MarketingDigital #sucesso #raiamsantos https://t.co/HQYd2vQd8k</t>
  </si>
  <si>
    <t>EU GANHO DE 3MIL A 5MIL P/MÊS, VENHA GANHAR TAMBÉM! ESTOU DISPONIBILIZANO UM MINI CURSO GRATUITO. ENTÃO NÃO PERCA ESSA CHANCE! POIS É A ÚNICA.
              👇 LINK ABAIXO👇
       https://t.co/Oygu6U2Jis
#emprender #empreendedorismo #rendaextra #MarketingDigital #dinheiro</t>
  </si>
  <si>
    <t>Conheça Easie, imigrante haitiano que busca melhores oportunidades e atua como vendedor de roupas no Brás.
Leia o perfil completo no site! #esquinas #revistaesquinas #imigração #haiti #empreendedor
https://t.co/s3um5vclrG</t>
  </si>
  <si>
    <t>😍 Durante três semanas, estudantes do @IPSsetubal  participaram num programa intensivo de inovação para “moldar o futuro” - @EIAinnovate!
Sabe mais, aqui 👇
#maissuperior #estudantes #ensinosuperior #empreendedorismo 
https://t.co/Wy9fFvsP0N</t>
  </si>
  <si>
    <t>😀 Transformar ideias em negócios é o mote da 1ª edição do programa educativo da @UnivdeCoimbra, estimulando o empreendedorismo na comunidade académica.
Sabe mais, aqui 👇
#maissuperior #empreendedorismo #ideias #cursosonline #negócios #competências
https://t.co/4F17mVKWfJ</t>
  </si>
  <si>
    <t>Confira!
Adquira hoje mesmo até 5 eBooks Exclusivos sobre finanças, empreendedorismo e desenvolvimento pessoal. Acesse já: https://t.co/yStvF33NEh
#ebook #ebooks #livro #pdf #livrodigital #livros #livrosdigitais #hotmart #kindle #marketing #empreendedorismo #finanças #leitura https://t.co/b3wTDbugKl</t>
  </si>
  <si>
    <t>O dia do cliente é mais uma oportunidade de reforçarmos os laços e demonstrarmos o quanto você é importante para a gente. O Sebrae Bahia agradece a escolha diária e deseja um feliz dia! 🩵 #Sebrae #SebraeBahia #DiaDoCliente #Empreendedorismo https://t.co/aQzET6wwtr</t>
  </si>
  <si>
    <t>Sebrae promove encontro empresarial para segmento de panificação. Durante o evento, os empresários terão acesso a soluções oferecidas especificamente para panificadoras. Inscrições: https://t.co/XEZgTLpghV #SebraeBahia #Panificação #Empreendedorismo</t>
  </si>
  <si>
    <t>Como usar competências empreendedoras a favor da sua carreira?
Leia o artigo https://t.co/GaUQ1Yuho1 e conheça melhor o tema.
#carreira #desenvolvimento #trabalho #empreendedorismo https://t.co/qsimoMK7ob</t>
  </si>
  <si>
    <t>Impulsione sua startup com o investimento anjo! 🚀
Descubra tudo que você precisa saber no artigo completo em nosso site. Acesse agora mesmo: https://t.co/ZgR349tVS6
#takingyoufurther #investimentoanjo #startups #empreendedorismo #investimento</t>
  </si>
  <si>
    <t>Mais um Reconhecimento !!
@inovativahub @impacthubbrasil
 #empreendedorismo #absorventedérmico #sondagástrica  #pioneiro #saúde #gastrostomia #inovação  #farmix #distribuidorafarmix #gastrotomy #Abradilan #uniaoquimica.oficial #sebraeba https://t.co/w7HLTMUW9z</t>
  </si>
  <si>
    <t>"Busque a prosperidade não apenas como um fim, mas como o meio para realizar seus objetivos, impactar vidas e criar oportunidades. O dinheiro é uma ferramenta que amplifica seu potencial de fazer o bem no mundo."
.
.
.
#rendaextra #renda #empreendedorismo #empreender https://t.co/IVd7uKc0ZU</t>
  </si>
  <si>
    <t>#JornaldaCâmara: #Empreendedorismo Feminino é destaque em #Workshop
https://t.co/Gimu2ZD3zz</t>
  </si>
  <si>
    <t>📌  Gostaria de aprofundar temas na área do empreendedorismo e desenvolvimento de projetos inovadores?
✍  Candidate-se à 1ª edição deste mestrado até 13 de agosto!
👉  Saiba mais https://t.co/71BDz28IBq  
#UAb #mestrado #empreendedorismo #globalização https://t.co/DLpdu5VWaw</t>
  </si>
  <si>
    <t>O prazo de submissão dos resumos de comunicações foi prolongado até 20 de setembro!
📷Mais informações: https://t.co/4S6KtWoyLm
#UAb #UESC #educação #empreendedorismo #cidadania https://t.co/7VflXkgRW1</t>
  </si>
  <si>
    <t>Trabalhe em um coworking bem localizado para reduzir o estresse! Venha para o Work Space Curitiba.
Entre em contato: (41)99208-4552⠀⠀
https://t.co/YqUG0WFP4Q ⠀⠀
⠀⠀
#conexões #workspace #coworking #curitiba #startup #empreendedor #inovação #networking #empreendedorismo https://t.co/03RgIlUXHn</t>
  </si>
  <si>
    <t>Conecte-se com profissionais talentosos, faça networking e expanda suas oportunidades no nosso coworking.
Entre em contato: (41)99208-4552⠀⠀
https://t.co/YqUG0WFP4Q ⠀⠀
⠀⠀
#conexões #workspace #coworking #curitiba #startup #empreendedor #inovação #networking https://t.co/CeLUVX8xV2</t>
  </si>
  <si>
    <t>Alugar um espaço de reunião conosco é mais econômico do que alugar uma sala de reunião tradicional em um escritório convencional. 
(41)99208-4552
https://t.co/YqUG0WFP4Q 
#conexões #workspace #coworking #curitiba #startup #empreendedor #inovação #networking #empreendedorismo https://t.co/J5FzlmBI77</t>
  </si>
  <si>
    <t>O seu trabalho será muito mais produtivo aqui no WSC. Nós temos total infraestrutura para sua tranquilidade.
Entre em contato: (41)99208-4552⠀
https://t.co/YqUG0WFP4Q ⠀⠀
⠀⠀
#conexões #workspace #coworking #curitiba #startup #empreendedor #inovação #networking https://t.co/7Dli9wiosM</t>
  </si>
  <si>
    <t>Melhore seu networking, conheça novas pessoas, novos ambientes, aumente os resultados e a criatividade. Venha para o Work Space Curitiba!
Faça contato e saiba mais
(41)99208-4552⠀
https://t.co/YqUG0WFP4Q ⠀⠀
⠀⠀
#conexões #workspace #coworking #curitiba #startup #empreendedor https://t.co/C9EGDlJvjY</t>
  </si>
  <si>
    <t>Aqui no Coworking Work Space Curitiba tem tudo o que você precisa para realizar a sua reunião profissional, venha conhecer! Faça contato.
(41) 99208-4552 ⠀
https://t.co/YqUG0WFP4Q ⠀
⠀⠀
#conexões #workspace #coworking #curitiba #startup #empreendedor #inovação #networking https://t.co/snFhDmaabh</t>
  </si>
  <si>
    <t>Estamos na torcida pela Seleção Brasileira de Futebol Feminino, esta Copa é nossa!!!!
Se você também está, dê seu like.
(41)99208-4552⠀
https://t.co/YqUG0WFP4Q ⠀
⠀⠀
#conexões #workspace #coworking #curitiba #startup #empreendedor #inovação #networking #futebolfeminino https://t.co/VmMfbLFY4S</t>
  </si>
  <si>
    <t>Seja parte de uma comunidade dinâmica e inspiradora. Descubra o poder do coworking! Venha para o Work Space Curitiba.
Entre em contato: (41)99208-4552⠀
https://t.co/YqUG0WFP4Q ⠀
⠀⠀
#conexões #workspace #coworking #curitiba #startup #empreendedor #inovação #networking https://t.co/9VINoqOBJy</t>
  </si>
  <si>
    <t>A chegada da Primavera nos inspira e traz alegria. As flores traduzem as cores da felicidade. Viva a Primavera, seja bem-vinda!
✅(41) 99208-4552 📞 https://t.co/YqUG0WFP4Q 👈⠀⠀
⠀⠀
#conexões #workspace #coworking #curitiba #startup #empreendedor #inovação #networking https://t.co/TWl4k0Mdfm</t>
  </si>
  <si>
    <t>#marketing #business #marketingdigital #digitalmarketing #branding #socialmedia #entrepreneur #socialmediamarketing #design #instagram #advertising #o #smallbusiness #graphicdesign #motivation #love #success #marketingstrategy #seo #digital #empreendedorismo #entrepreneurship https://t.co/Y4js1H4wMc</t>
  </si>
  <si>
    <t>Desejamos a todos os nossos amigos, parceiros e seguidores brasileiros um Feliz Dia da Independência! 🎉🇧🇷 #7deSetembro #Independência #Brasil #Empreendedorismo #Liberdade #SucessoNosNegócios https://t.co/o9SX7KDczP</t>
  </si>
  <si>
    <t>#empreendedorismo #startup https://t.co/3Bt3qkg18Q</t>
  </si>
  <si>
    <t>#bomdia #breastfeeding #coup #earthquake #mensagens #pensamentos #empreendedor #sonhos #Beckysangels #SpiderManDay #Temblor #vunzigewoensdag https://t.co/RSzYTonqFS</t>
  </si>
  <si>
    <t>Influenciadores entram na pauta do empreendedorismo. Kit gratuito do Sebrae com ferramentas de gestão foi disponibilizado para essa categoria. Leia mais em: https://t.co/fmNlb1tnVK #JCRioClaro #RioClaroSP #Sebrae #Empreendedorismo #Influencers https://t.co/3uTEj7pwbl</t>
  </si>
  <si>
    <t>🔒🔍 Sabia que registrar sua marca no INPI é a melhor forma de evitar cópias e plágios? 🚫👀 Garanta a proteção dos seus direitos e fortaleça sua presença no mercado. Não deixe sua marca desprotegida! 😎✨ #INPI #MarcaRegistrada #ProtejaSuaMarca #Empreendedor</t>
  </si>
  <si>
    <t>@nikolas_dm Proibido de trabalhar? Tenho uma solução:
1 - comprar uma cesta;
2 - comprar um saco de jujuba
3 - escolher o sinal mais próximo da casa dele e começar a vender no sinal.
#empreendedorismo</t>
  </si>
  <si>
    <t>Não permita que as opiniões dos outros ditem o seu caminho. Mantenha-se fiel à sua ambição e busque a excelência em cada passo. A estrada para o sucesso é pavimentada com determinação e autenticidade.
#sucesso #ambicao #empreendedorismo #negocios #dinheiro https://t.co/cvcEvYkEez</t>
  </si>
  <si>
    <t>Na jornada empreendedora, não se contente com pouco. Nade com os tubarões e deixe as sardinhas para trás! 🦈
#empreendedorismo #altaperformance 
#tubarao #shark https://t.co/eNc3Vo4KB0</t>
  </si>
  <si>
    <t>Espero que esses passos ajudem você a alcançar seus objetivos e sucesso na vida. Boa sorte!
#negocios
#empreendedorismo
#marketing
#vendas
#sucesso
#dicas https://t.co/Rlg4wHg4qF</t>
  </si>
  <si>
    <t>Empreender é uma jornada cheia de desafios e recompensas. É importante ter uma ideia de negócio que você ama, fazer um plano de negócios, estudar o mercado e se preparar para trabalhar duro.
#empreender #empreendedorismo #negócios
#startup #dicasdeempreendedorismo https://t.co/33wS7gXVqM</t>
  </si>
  <si>
    <t>#empreendedor #empresario #ananindeua  https://t.co/fXQ1Oz0Uu5</t>
  </si>
  <si>
    <t>#empresario #empreendedor #belem #ananindeua #impostos  https://t.co/Co2xsNwc9k</t>
  </si>
  <si>
    <t>#empresario #empreendedor #belem #ananindeua  https://t.co/f9yvn6t4w6</t>
  </si>
  <si>
    <t>#empreendedor #ananindeua  https://t.co/Fhjf4FFPDn</t>
  </si>
  <si>
    <t>#empresario #empreendedor #belem #ananindeua  https://t.co/ipPr1s1bOs</t>
  </si>
  <si>
    <t>#empreendedor #empresario #MEI #belem  https://t.co/yamk6KVSZ8</t>
  </si>
  <si>
    <t>#empreendedor #empresario #MEI #belem #ananindeua  https://t.co/of7Ff6ltQv</t>
  </si>
  <si>
    <t>#empreendedor #empresario #belem #ananindeua  https://t.co/A0wLyNCHVJ</t>
  </si>
  <si>
    <t>#empresario #empreendedor #belem #ananindeua  https://t.co/vEnu3MkrH8</t>
  </si>
  <si>
    <t>Lembre-se de que o #caminho do #empreendedorismo pode ser repleto de obstáculos, mas é também o caminho da realização e do #sucesso. Mantenha-se focado em seus objetivos, perseverando diante das dificuldades e encontrando soluções criativas para superá-las.</t>
  </si>
  <si>
    <t>Bom dia, #empreendedor inspirador!
Que o sol desta #manhã ilumine sua mente com ideias inovadoras e estrangeiras para transformá-las em realidade. Que cada #desafio que você enfrenta hoje seja uma oportunidade de aprendizado e crescimento.</t>
  </si>
  <si>
    <t>✨La comunicación está presente en cada una de las acciones que se realizan en una organización. 
#empreendedorismo #empatia #comunicacion #transformacion #argentina🇦🇷 #buenosaires #instagood #estrategistadigital
https://t.co/niQ93wHJ12</t>
  </si>
  <si>
    <t>✨Hola!!!
Hoy queremos contarles que, para nosotras Emprender es pasión, es trabajar por los sueños. 
#emprendertransforma #empreendedorismo #trabajarenequipo #tendencia #capacitacion #culturadeempresa
https://t.co/fOHsLtubFC</t>
  </si>
  <si>
    <t>🌻¡Feliz comienzo de Primavera!🌻
Comparto el post de hoy
✨¡Tu opinión, tiene valor! ✨Seguramente en alguna oportunidad sentiste que tu opinión no tenía valor.
#21deseptiembre #primavera #comunicación #empreendedorismo #valores https://t.co/vUKx5ERIDi</t>
  </si>
  <si>
    <t>@ComunaDavid #empreendedorismo</t>
  </si>
  <si>
    <t>Sucesso não acontece somente com ideias brilhantes, mas também com a habilidade de validá-las eficazmente! 💡🔍📈 
#ValidaçãoDeIdeias #Empreendedorismo #Inovação</t>
  </si>
  <si>
    <t>Garanhuns! Apaixone-se por ela. FÁBRICA DE VASSOURA ARTESANAL E ECOLÓGIC... https://t.co/PFK18mCclF via @YouTube 
#ecology, #brasil, #garanhuns, #garrafaspet, #vassourasecologicas, #explore,#ornilo, #vidasaudavel,  #empreendedorismo ,#mulheresempreendedoras</t>
  </si>
  <si>
    <t>Nossos livros estão disponíveis para você.
É um prazer fornecer contéudo de qualidade.
No Clube de Autores - https://t.co/OfH6MfsDzj
Na Amazon - https://t.co/ZEw1ZduJXi
 #empreendedorismo #gestaoenegocios #finanças #livrosdenegócios #amoleitura
#livrosdenegócios #livros https://t.co/VDyTbm9UPn</t>
  </si>
  <si>
    <t>Você sabe quem tem direito ao ano de PIS/PASEP?
Não? Então se liga no vídeo!
#ararangua #consultoriaempresarial #empreendedorismo #gestaoenegocios #finanças #aposentados #inss #vemdecimoterceiro #salario #dinheiro #pis #pasep #abono #dinheiro #cef #caixa https://t.co/lJ2lmKilVM</t>
  </si>
  <si>
    <t>A Ital'in House vem se destacando como referência no setor de franquias de alimentação, com resultados e crescimento expressivos.
#Empreendedorismo #Inspirações #ComidaItaliana #CozinhaItaliana #CulináriaItaliana #Franquias #Gastronomia #ItalinHouse
https://t.co/z63jAFerWl</t>
  </si>
  <si>
    <t>Não há como negar que os aplicativos de comida são hoje essenciais tanto para os consumidores, quanto para os restaurantes. 🍕🌭
#Empreendedorismo #FoodService #Delivery #Empreendedores #EntregaDeComida #Gastronomia #Marketplace
https://t.co/NOxoCc72Hs</t>
  </si>
  <si>
    <t>💫 Se você deu o primeiro passo, não pare até alcançar a glória! Lembre-se de que o sucesso não vem sem esforço, mas cada gota de suor valerá a pena.
#JornadaÉpica #SupereSeusLimites #Destemido #VáAlémDoOrdinário #NadaPodePararVocê #empreendedorismo  #negocios https://t.co/wjBBwFZkiZ</t>
  </si>
  <si>
    <t>Desperte seu potencial empreendedor e conquiste o sucesso! Descubra o Marketing Digital, lidere equipes, construa redes poderosas, inove e domine a gestão financeira. Trilhe o caminho do sucesso empresarial! #Empreendedorismo  #Liderança #Networking #Inovação #GestãoFinanceira https://t.co/zdKgOkJHTD</t>
  </si>
  <si>
    <t>Sonhos são chamas que incendeiam a alma em busca do impossível. No mundo dos negócios, correr atrás deles é o combustível que transforma visões em realidade. Desperte seu espírito empreendedor e conquiste o inimaginável! 💪✨ #Negócios #Empreendedorismo #Realização https://t.co/0r497nUYuJ</t>
  </si>
  <si>
    <t>Seja o protagonista da sua jornada digital com Fernando Melo Design! 💥✨  Transforme suas ideias em uma realidade digital de impacto! 💡🌐  #SucessoOnline #TransformaçãoDigital #marketingdigital #empreendedorismo #negocios
#negociosonline https://t.co/fCTzoAvb6c</t>
  </si>
  <si>
    <t>Delegue o poder das redes sociais a especialistas e alcance resultados extraordinários! 💼✨📲 #GestãoDeRedesSociais #MarketingDigital #SucessoOnline #empreendedorismo #flyp #viral #fouyou #Sucesso #Motivação https://t.co/K8TPO05ZaK</t>
  </si>
  <si>
    <t>Valorize suas qualidades, celebre suas conquistas e mantenha-se motivado(a) em busca do sucesso. Foque nos acertos e não se deixe abalar pelos poucos erros. Você é capaz de grandes feitos! 💪✨ #Qualidades #Motivação #Sucesso #Empreendedorismo https://t.co/1NhICrKtRd</t>
  </si>
  <si>
    <t>"Um verdadeiro empreendedor enxerga além dos obstáculos, transformando desafios em oportunidades e sonhos em realidade. Com paixão, perseverança e visão estratégica, construímos o futuro...  #Empreendedorismo #Realização #Sucesso
#Visão #Estratégia #Liderança #SucessoNosNegócios https://t.co/uDDHsZpjjE</t>
  </si>
  <si>
    <t>🌟💡 Dê um up na sua estratégia de mídia social! Contrate um gerente de mídia social especializado!
#MarketingDigital #DesenvolvimentoDeSite #LojaVirtual #GerenciamentoDeRedesSociais #GoogleAds #YouTubeAds
#empreendedorismo  #midiasocial #marketing  #RedesSociais https://t.co/0gcybZXrGW</t>
  </si>
  <si>
    <t>🚀 Transforme oportunidades em sucesso com @FernandoMeloDesign! 🎯 Nosso serviço de Desenvolvimento de Sites, Gerenciamento de Redes Sociais e Google Ads ajudará seu negócio a decolar! 🌟 Assista ao vídeo e descubra como podemos fazer a diferença!  #SucessoComercial #empreendedor https://t.co/MhvqSqiWrR</t>
  </si>
  <si>
    <t>No mundo dos negócios, o sucesso é reservado àqueles que ousam agir. Não espere, vá em frente e conquiste seus objetivos! 💼🚀 #Negócios #Sucesso #inovação #empreendedorismo #SucessoOnline #marketing https://t.co/f7a4KSyr5G</t>
  </si>
  <si>
    <t>🔇🚀 Trabalhe em silêncio, 🤫 o sucesso fará barulho por você! 💼✨
 #SucessoOnline #LojaVirtual #GerenciamentoDeRedesSociais #GoogleAds #YouTubeAds
#empreendedorismo #microempresas #midiasocial #marketing #DesenvolvimentoWeb #GoogleAds #YouTube #RedesSociais https://t.co/Gk4NzJ0m12</t>
  </si>
  <si>
    <t>Desperte seu potencial, conquiste o sucesso! Trace o caminho rumo ao topo e seja o protagonista da sua jornada vitoriosa. Não espere, aja agora e transforme seus sonhos em realidade.  #NegóciosDeResultado #ConquisteSeusSonhos #empreendedorismo #Negocios #Sucesso https://t.co/aeqo79Ohje</t>
  </si>
  <si>
    <t>Consideração de todos os impostos, as empresas brasileiras pagam uma alíquota média de 34%. Em comparação com a média mundial, esse valor é 70% maior do que nos demais países.
--
#impostos #empresas #empreender #empreendedorismo #brasil #tributação #reformatributaria https://t.co/kJWa5HncXa</t>
  </si>
  <si>
    <t>Essa é a dificil vida do empreendedor no Brasil. Trabalho em excesso, burocracia, impostos excessivos, poucos incentivos e um sistema tributário que joga no time adversário.
--
#empreender #empreendedorismo #mpf #receitafederal #pt #imposto #burocracia #liberdade https://t.co/urZxc6kxBN</t>
  </si>
  <si>
    <t>Dois garotos que já fizeram muito mais do que a máquina estatal.
Empreender é recompensador!
--
#empreender #empreendedorismo #estado https://t.co/ld8GXQrhqR</t>
  </si>
  <si>
    <t>II Seminário Papo’s com Café discutirá empreendedorismo em São Luís
https://t.co/ZHrmciHOvo
#cafe #papodecafe #saoluis #slz #empreendedorismo</t>
  </si>
  <si>
    <t>The day we have all been waiting for will soon be here! The day when all of us venture into the midst of space. Mark the dates, young astronauts! October 7 is when the Hackathon begins! Project submissions open at 9:00 A.M and you can submit them till 11:50 P.M (local time).#hack https://t.co/GtARlHdv23</t>
  </si>
  <si>
    <t>"Como implementar o RH na minha empresa?" Essa dúvida, da maioria dos gestores de empresas iniciantes, em fase de crescimento e consolidação, é respondida no guia completo da Talentos Consultoria: https://t.co/HCmH3QdzDo
#empreendedorismo #gestãodepessoas</t>
  </si>
  <si>
    <t>"Todos os grandes empreendedores enfrentaram desafios em sua jornada. Encare os obstáculos como oportunidades de aprendizado e crescimento. Cada tropeço pode ser um degrau para o sucesso."
#empreendedorismo 
https://t.co/dzMXKMaNF2 https://t.co/uihKT8Zik1</t>
  </si>
  <si>
    <t>Satisfação em poder contribuir com a organização de mais um Encontro do administrador da @unifacol. Grato aos palestrantes pelo aceite do convite. @eciocosta #simonealmeida #inovacao #empreendedorismo #negocios #investir #investimentos https://t.co/tKrCT3SMUH</t>
  </si>
  <si>
    <t>Que correria! Mas em tempo pra dizer que domingo saio de férias. Férias de 2 dias. Até quarta!! 😅😅😅😅
#empreendedorismo #semferias</t>
  </si>
  <si>
    <t>Dicas exclusivas para alcançar o sucesso no empreendedorismo! 💼✨
Compartilhando meus insights sobre moda, recursos humanos e crescimento pessoal. Se você está pronto, siga-me e junte-se à minha jornada de conquistas!
#Empreendedorismo #Moda #CrescimentoPessoal</t>
  </si>
  <si>
    <t>Workshop discute inclusão, tecnologia e empreendedorismo em ciências farmacêuticas https://t.co/pV9tn18af4 via @usponline 
@fcfusp @iq_usp​ #inclusão #empreendedorismo #workshop #farmácia #fármacos #medicamentos #profissões #tecnologia</t>
  </si>
  <si>
    <t>A AUSPIN divulga o "Programa Santander Explorer" que oferece, através de mentoria por 12 semanas, ajuda para o participante encontrar a independência financeira que deseja, experimentando o #empreendedorismo como uma opção profissional.
Saiba mais:
https://t.co/IWPByQkoy5</t>
  </si>
  <si>
    <t>🚀 Lutei, errei, mas nunca desisti. No mundo #SaaS, o fracasso não é uma parada; é um ponto de partida. Empreendedores, qual foi o erro que mais ensinou vocês? #empreendedorismo #startups</t>
  </si>
  <si>
    <t>💡 Uma ideia sem ação é apenas um sonho. Nos negócios #SaaS, tomei a ação, paguei o preço e reescrevi as regras. E você? Está pronto para dar vida às suas ideias? #StartYourJourney #empreendedorismo</t>
  </si>
  <si>
    <t>🍰 🥕 Marília Lima fundou a “Cenoradas” na pandemia e hoje possui duas lojas físicas, dois deliveries e uma fábrica #bolos #investimentos #empreendedorismo
https://t.co/PqOpEe6Bew</t>
  </si>
  <si>
    <t>#tcc #produçãocultural #empreendedorismo #academico #tese #faculdades #poemas #literatura #textos
#estudo #relações #escrita #cultura #autoconhecimento #tecnologiadainformação #TI #pesquisa #escritos #posgraduação #sociedade #lugardefala #leitura #doutorado #tccaprovado https://t.co/uNXrb2Bk2E</t>
  </si>
  <si>
    <t>Como está a sua relação com o tempo? E como isso influencia a atuação dos empreendedores?
Leia no artigo desta semana da Marciele Delduque
#empreendedorismo #empreendedor #ressignificar #gestãodotempo
https://t.co/ljexGgsTjf</t>
  </si>
  <si>
    <t>BH vai receber o Fire Festival, produzido pela Hotmart, entre os dias 24 e 26 de agosto, referência em marketing digital, empreendedorismo e inovação.
Saiba mais sobre o evento no nosso link!
#hotmart #firefestival #marketing #empreendedorismo #evento
https://t.co/7M6RnPzZCP</t>
  </si>
  <si>
    <t>Municípios que mais se destacaram na abertura de empresas, no geral, estão em regiões com forte industrialização.
Saiba mais!
#empresas #aberturadeempresas #empreendedorismo #belohorizonte
https://t.co/3ks9cNUkb0</t>
  </si>
  <si>
    <t>A capacitação e atualização gerencial constantes são fundamentais para o sucesso dos negócios.
Leia mais e confira dicas do Sebrae Minas!
#SebraeMGnoDC2023 #empreendedorismo #negócios #capacitação
https://t.co/7svH36upZn</t>
  </si>
  <si>
    <t>Para retratar características físicas e estilo de vida das moradoras do Morro das Pedras, empreendedoras do aglomerado, localizado na Região Oeste da capital mineira, estão criando a “Barbie” do morro.
Confira!
#barbie #empreendedorismo 
https://t.co/UKYnCcfTaa</t>
  </si>
  <si>
    <t>A emissão de nota fiscal no padrão nacional passa a ser obrigatória para MEI a partir desta sexta-feira (1º/9) em todo Brasil!
Saiba o passo a passo para emissão da nota no nosso link!
#mei #empreendedor #notafiscal #microempreendedor 
https://t.co/1qaqfnmHcj</t>
  </si>
  <si>
    <t>A medida teve como objetivo padronizar as emissões e deixar o processo mais simples para os prestadores de serviços.
Leia sobre!
#mei #empreendedorismo #nfs 
https://t.co/jgeMCndQw6</t>
  </si>
  <si>
    <t>Confira a participação do estado neste mercado e as estratégias do Sebrae Minas para apoiar os empreendedores do setor.
Clique no link abaixo!
#sebraeminas #padaria #negócios #panificação #empreendedorismo 
https://t.co/MufL7ejOD8</t>
  </si>
  <si>
    <t>A proposta dos estudantes da Escola Estadual Afonso Pena passa pela valorização da rica história da cidade e do incentivo ao empreendedorismo.
#santabárbara #mineração #diversificação #empreendedorismo
https://t.co/viYR6naoou</t>
  </si>
  <si>
    <t>O empreendedor precisa analisar os impactos negativos do seu negócio e que precisam ser corrigidos, bem como os pontos positivos, do ponto de vista da sustentabilidade.
Veja mais dicas!
#SebraeMGnoDC2023 #empreendedorismo #ESG #MPE
https://t.co/FSSs7DYO00</t>
  </si>
  <si>
    <t>O otimismo em relação à aprovação da reforma tributária é uma variável que favorece a confiança dos empresários.
Confira no site do Diário do Comércio.
#empreendedorismo #minasgerais #empresários #confiança
https://t.co/3nBZGLg2GL</t>
  </si>
  <si>
    <t>É importante que o empreendedor saiba o porquê da necessidade de crédito para escolher a solução mais adequada, evitando o endividamento desnecessário.
Confira mais dicas!
#SebraeMGnoDC2023 #empreendedorismo #crédito #microempreendedor
https://t.co/ktjx1Z6HgQ</t>
  </si>
  <si>
    <t>Confira marcas históricas que o empreendedorismo feminino tem alcançado nos últimos anos!
#liderança #negócios #empreendedorismo #empreendedorismofeminino
https://t.co/R89oA1Bolq</t>
  </si>
  <si>
    <t>O microempreendedor que não regularizar sua situação pode ser excluído do Simples Digital
Leia mais no nosso portal!
#mei #economia #empreendedorismo 
https://t.co/IGhyzhSjfs</t>
  </si>
  <si>
    <t>O Estado acumula 58.856 empresas abertas desde o início do ano, um salto de 9,73% em relação aos mesmos oito meses do ano passado.
Confira mais dados no site do Diário do Comércio.
#empresas #registro #jucemg #comércio #empreendedorismo
https://t.co/NANNyeku2z</t>
  </si>
  <si>
    <t>Com uma programação recheada de ações criadas por moradores das favelas de Minas Gerais e do Brasil, o evento acontece nos dias 15 e 16 de setembro, na sede do Sebrae Minas.
Saiba mais e programe-se!
#expofavela #negócios #empreendedorismo 
https://t.co/LvBsmwbdyu</t>
  </si>
  <si>
    <t>Quase metade dos credores de conglomerados em recuperação judicial no País são pequenos negócios. Minas ocupa a quarta posição.
Entenda sobre.
#pequenosnegócios #negócios #empreendedorismo #americanas #recuperaçãojudicial 
https://t.co/6kkU8hfbtp</t>
  </si>
  <si>
    <t>Conheça essa iniciativa de lideranças femininas em Minas!
#empreendedorismo #saúde #liderançafeminina
https://t.co/G6IYjKpTcf</t>
  </si>
  <si>
    <t>🏛 Frente Parlamentar para ambiente de negócios será lançada na próxima semana - @diario_comercio
#frenteparlamentar #empreendedorismo #minasgerais
https://t.co/EGKx0JHsIK</t>
  </si>
  <si>
    <t>💼 Saiba como ajustar seu plano de negócios - @diario_comercio
#planodenegocios #empreendedorismo #contabilidade
https://t.co/3cnQ69e8oK</t>
  </si>
  <si>
    <t>💳 Cartão de crédito é a principal fonte de financiamento para pequenos empresários - @diario_comercio
#credito #empreendedorismo #investimento
https://t.co/CGEmnrYhOq</t>
  </si>
  <si>
    <t>🤝 Instituto Localiza convida ONGs parceiras para participarem da Expo Favela - @diario_comercio
#expofavelaminas #empreendedorismo #desenvolvimentosocial
https://t.co/jmN8dEQG0r</t>
  </si>
  <si>
    <t>RT @diario_comercio: O microempreendedor que não regularizar sua situação pode ser excluído do Simples Digital
Leia mais no nosso portal!…</t>
  </si>
  <si>
    <t>🎫 Sebrae Minas abre inscrições para o Varejo + Experience - @diario_comercio
#varejoexperience #empreendedorismo #ecommerce
https://t.co/9gGZqFD4Zs</t>
  </si>
  <si>
    <t>@bpo_accountability
#empreendedorismo #foco #objetivos #resultados #gestaofinanceira #bonshábitos #motivação #bpofinanceiro https://t.co/j08vKpAyMF</t>
  </si>
  <si>
    <t>Depois eles vão falar… 🦾
#empreendedorismo #trabalhoduro #marketingdigital #inteligenciaartificial https://t.co/9bYO4UqY9N</t>
  </si>
  <si>
    <t>Laboratório de Inovação e Empreendedorismo em Tecnologia Assistiva, Esporte e Saúde da @ufscaroficial e @UPorto, de Portugal, oferecem o curso on-line #Empreendedorismo 4.0. Programa inclui 252 horas de aulas, além de palestras, oficinas e fóruns. https://t.co/SH65ZNtar2</t>
  </si>
  <si>
    <t>Na próxima quinta-feira, dia 31 de agosto, a #FAPESP realiza evento de encerramento do 24º Programa de Capacitação em #Empreendedorismo de Alta Tecnologia. Das 8h30 às 17h, na sede da Fundação, em São Paulo. Mais informações e link para inscrições em https://t.co/81VLW7zBOk https://t.co/Wa5L7STp49</t>
  </si>
  <si>
    <t>Leads para Planos de Saúde https://t.co/PoCEESAWQ3 #empreendedor "Classificados Grátis"</t>
  </si>
  <si>
    <t>Você tem que ser a pessoa certa, no lugar certo, na hora certa
 #THarvEker #Ossegredosdamentemilionaria #empreendedorismo #livro #book</t>
  </si>
  <si>
    <t>É um novo dia repleto de possibilidades e oportunidades. Como empresários, vamos pra cima enfrentar desafios, buscar soluções criativas e fazer nosso negócio prosperar. 🚀 #empreendedorismo #sucesso #dedicação</t>
  </si>
  <si>
    <t>Lembre-se de que cada desafio é uma oportunidade de crescimento. Mantenha-se resiliente, confie em seu potencial e supere qualquer obstáculo que surgir no caminho. 💪🚀 #empreendedorismo #determinação #resiliência"</t>
  </si>
  <si>
    <t>Apenas 1% da população mundial vai entender
#empreendedorismo 
#yacov https://t.co/8569rsBhgc</t>
  </si>
  <si>
    <t>Organizar as ideias e coletar informações facilitam o entendimento  das ações necessárias, para isso temos o Plano de Negócio e o Modelo de  Negócio. Mas, você sabe para quê cada um serve? 
#sebraegoias #empreendercomvc #empreendercomsebrae #empreendedorismo https://t.co/GzLLxuw2nj</t>
  </si>
  <si>
    <t>Tem planos em elevar sua empresa a outro nível? Então confira essa trilha de cursos selecionados para desenvolver o seu negócio!
📲 Inscreva-se em: https://t.co/wmKygtf4td 
#sebraegoias #empreendercomvc #empreendecomsebrae #empreendedorismo https://t.co/VjzYoxcY4l</t>
  </si>
  <si>
    <t>Tem planos em elevar sua empresa a outro nível? Então confira essa trilha de cursos selecionados para desenvolver o seu negócio!
📲 Inscreva-se em: https://t.co/wmKygtf4td 
#sebraegoias #empreendercomvc #empreendecomsebrae #empreendedorismo https://t.co/p8IRgzIX5h</t>
  </si>
  <si>
    <t>O nosso mais novo brasileiro Bruno Mars já ta sabendo onde vai encontrar as soluções de empreendedorismo! 🗣️
Come to Sebrae ou agende um atendimento gratuito pelo 0800 570 0800 😎📞
#sebraegoias #empreendercomvc #empreendercomsebrae #empreendedorismo https://t.co/JK0Higmmpa</t>
  </si>
  <si>
    <t>A visita dos dirigentes do Sebare Nacional, movimentou a semana! Com  ações e projetos, mostramos uma parte do que é o trabalho do Sebrae  Goiás.
Confira agora no Sebrae em Pauta!
#sebraegoias #empreendercomvc #empreendercomsebrae #empreendedorismo https://t.co/SUsTqCJcDl</t>
  </si>
  <si>
    <t>Precisando dar uma repaginada no seu negócio? Vem que separamos uma  trilha de cursos incríveis para transformar e destacar seu negócio!
📲 Inscreva-se em: https://t.co/wmKygtf4td 
#sebraegoias #empreendercomvc #empreendecomsebrae #empreendedorismo https://t.co/ULFhw8z62I</t>
  </si>
  <si>
    <t>Posicione seu negócio e amplifique seu sucesso! Confira esta trilha de cursos online incríveis para você.
📲 Inscreva-se em: https://t.co/wmKygtfCiL 
#sebraegoias #empreendercomvc #empreendecomsebrae #empreendedorismo https://t.co/lnCcLDO9Zr</t>
  </si>
  <si>
    <t>Quando aplicada de forma estratégica nos negócios, ela pode se tornar uma ferramenta valiosa para impulsionar o desempenho da empresa. 📈
Curtiu as dicas? Deixe aqui nos comentários! 👇🏻
#sebraegoias #empreendercomvc #empreendercomsebrae #empreendedorismo https://t.co/6bo2JMtT8N</t>
  </si>
  <si>
    <t>Semana de destaques no empreendedorismo goiano! Confira na íntegra o Sebrae em Pauta. 🎯
Boa semana! 💙
#sebraegoias #empreendercomvc #empreendercomsebrae #empreendedorismo https://t.co/b0MGYA23QD</t>
  </si>
  <si>
    <t>Ajudando ou atrapalhando, o importante é participar! 😅
Marque aqui alguém que tá precisando de uma ajuda rsrs 😜
#sebraegoias #empreendercomvc #empreendercomsebrae #empreendedorismo https://t.co/ZW7zdckUIV</t>
  </si>
  <si>
    <t>Semana de novidades para o empreendedorismo goiano, venha conferir os destaques nesta edição do Sebrae em Pauta.
Boa semana!
#sebraegoias #empreendercomvc #empreendercomsebrae #empreendedorismo https://t.co/cjvxJvcKwo</t>
  </si>
  <si>
    <t>Sebrae sempre presente na vida do empreendedor, realizando feitos  importantes. Confira os destaques da semana com o Sebrae em Pauta! 🎯😎
#sebraegoias #empreendercomvc #empreendercomsebrae #empreendedorismo https://t.co/BrgVIvV6TI</t>
  </si>
  <si>
    <t>O processo pode ser feito pela internet, por meio do portal Regularize da PGFN
  https://t.co/SzBJMWgJi6
#sebraegoias #empreendercomvc #empreendercomsebrae #empreendedorismo</t>
  </si>
  <si>
    <t>Também será escolhido, entre os 20 finalistas, o vencedor do prêmio  especial “Empreendedorismo Social”, que reconhecerá a melhor matéria  voltada para o tema.  
Estamos na torcida! 💙🙏🏻
 #sebraegoias #empreendercomvc #empreendercomsebrae #empreendedorismo #PSJ</t>
  </si>
  <si>
    <t>Uma trilha de cursos feita para você que estuda a melhor forma de ampliar seu negócio com franquias. 100% online e gratuito!
📲 Inscreva-se em: https://t.co/wmKygtfCiL
#sebraegoias #empreendercomvc #empreendecomsebrae #empreendedorismo https://t.co/u6lrrCYljA</t>
  </si>
  <si>
    <t>Virtual Flight Assessoria 🎯🚀
@nelbevirtual
#empreendedoras #empreendedores #empreendimento #empreendedorismofeminino #empreendedorismo #empresas https://t.co/R9Wwoewgsi</t>
  </si>
  <si>
    <t>Nelbe Virtual Assessoria 
#sonoridade 
#mulhereempreendedora 
#empreendedorismo 
#empreendimento 
#empreendedorismofemininobrasil 
#empreendedorismofemino https://t.co/jR8NOBNM42</t>
  </si>
  <si>
    <t>Virtual Flight Assessoria 🎯🚀
Secretária Presencial e Remota
Precisando de ajuda
Vem com a gente 😉
#mulheresempreendedoras 
#empreendedorismo #empreendedorismofeminino #empreendedoras 
#empreendimento 
#empresarias https://t.co/XUjDnQdnsA</t>
  </si>
  <si>
    <t>Idealizadora @coachviviancarla 
@conexaodelasoficial 
@casa432rosa 
@versospersonalizados 
@regianeleitemk 
@hugofariasfotografia 
A todas as mulheres Empreendedoras vencedoras no seu empreendimento..
#empreendedoras
#empreendedorismo
#mulheresempreendedoras https://t.co/hgPqQlVG5t</t>
  </si>
  <si>
    <t>Quais os principais desafios do empreendedorismo no Brasil? No próximo Mundo Corporativo, @miltonjung recebe Paula Esteves, CEO e fundadora da WorkLover. Participe! Neste sábado (12) por volta das 8h10, ao vivo no Youtube, Face e site da CBN. #MundoCorporativo #Empreendedorismo https://t.co/739NgK4KTT</t>
  </si>
  <si>
    <t>Como superar obstáculos para empreender no Brasil? No próximo Mundo Corporativo, @miltonjung recebe Alder Lima, CEO da Metamazon Solutions. Participe! Sábado (19) por volta das 8h10, no Youtube, Facebook e site da CBN. #MundoCorporativo #MercadoDeTrabalho #Empreendedorismo https://t.co/OUmc4NJcud</t>
  </si>
  <si>
    <t>Qual o papel do empreendedor imobiliário na construção das cidades? No próximo Mundo Corporativo, @miltonjung recebe Luciano Amaral, CEO da Benx Incorporadora. Participe! Sábado (2) a partir das 8h, ao vivo no Youtube, Facebook e site da CBN. #MundoCorporativo #Empreendedorismo https://t.co/3m0XjoI3fa</t>
  </si>
  <si>
    <t>Acorda, Brasil 
Inovar e empreender são ferramentas para construir um caminho vitorioso de políticas válidas para o longo prazo. 
#inovação #desenvolvimento #empreendedorismo #gratidão
Vale a pena ler de novo, artigo de 2017, mas continua atual. 
https://t.co/nlWryJidmy https://t.co/t1mlRpI3RC</t>
  </si>
  <si>
    <t>#historiasdesucesso #jeffbezos #empreendedorismo #Negocios https://t.co/bgqEc1KA7o</t>
  </si>
  <si>
    <t>inovador ou uma experiência personalizada, encontre sua vantagem competitiva e faça com que ela brilhe! ✨💪
Compartilhe nos comentários: qual é o elemento que torna a sua empresa especial? 👇🔥
#Empreendedorismo #Diferenciação #Negocios</t>
  </si>
  <si>
    <t>Não sabe como transformar seu projeto ou inovação tecnológica em um negócio de sucesso? Não se preocupe, estamos aqui para ajudar! 💡
Aqui estão 6 dicas valiosas para guiá-lo nessa jornada!🚀
#negócio #inovação #empreendedor #estrategia https://t.co/9XOAMvQyt2</t>
  </si>
  <si>
    <t>7 - Invista em imóveis 
8 - Invista em commodities.
9 - Dedique tempo a educação financeira e coloque o que aprender em prática. 
10 - Pratique habilidades com o público e comunicação.
#comunicação #empreendedorismo #banco #riqueza #imóveis #commodities</t>
  </si>
  <si>
    <t>"Se sua mente é aberta a ideias divergentes, sua inteligência aumenta. Se é fechada, a ignorância domina."
- Robert Kiyosaki 
em Empreendedorismo não se aprende na Escola
#Empreendedorismo #pairicopaipobre #ideias #inteligência</t>
  </si>
  <si>
    <t>"Administrar uma empresa é um jogo de equipe. A pessoa com o melhor time vence."
Pai Rico
Livro: Empreendedorismo não se aprende na escola
#pairicopaipobre #RobertKiyosaki #empreendedorismo #time #jogo #equipe</t>
  </si>
  <si>
    <t>Bom dia 🇧🇷 
24 de setembro de 2023
#empreendedorismo #conquista #vitória #Brasil https://t.co/xaFJfBRjxN</t>
  </si>
  <si>
    <t>Sei que a mensagem é complexa, mas se você tiver a sabedoria de avaliar os dois lados da moeda + a borda dela, conseguirá entender a plenitude desta frase!
#empreendedorismo #prazo #pairixopaipobre #educação #economia https://t.co/VMvTyecowk</t>
  </si>
  <si>
    <t>A solução para o seu negócio 
Se preocupe com o que realmente importa,  Atualizamos as suas Redes sociais para você!
Nos adicione no 
Whatsapp 21 99119 7530 
#empreendedor  #negócios 
#servicos  #pequenonegocio https://t.co/4SqwOMPtRZ</t>
  </si>
  <si>
    <t>Com o filme Vida de Inseto, abordamos temas como: persistência, inovação, liderança, lidar com emoções e rejeição, a força do grupo.
Leve de uma forma divertida para sua empresa ou escola entrando em contato pelo telefone 1999884-0303.
#dobutdonow #liderança #empreendedorismo</t>
  </si>
  <si>
    <t>Dei um real pra minha mae e ganhei 2 reais #empreendedorismo</t>
  </si>
  <si>
    <t>👔🏢 Um em cada cinco síndicos de São Paulo é empresário
https://t.co/epkpRRr1iR
#síndico #síndicoprofissional #imoveis #investimentoimobiliário #condomínio #mercadoimobiliário #estadão #empreendedorismo</t>
  </si>
  <si>
    <t>🔥 A incrível jornada do Mercado Livre: Stelleo Tolda revela os desafios e sucessos no Fórum E-Commerce Brasil 2023! Descubra como o marketplace se tornou um gigante do e-commerce: https://t.co/YaU9K3iFkJ
#EcommerceBrasil #Ecommerce #MercadoLivre #Empreendedorismo #Inovação https://t.co/XyBzEvv1ds</t>
  </si>
  <si>
    <t>https://t.co/qM97WtnZ0m
O valor arrecadado é em prol da compra de materiais para que eu possa começar a ministrar um mini curso em breve para estudantes de enfermagem.
#Enfermagem #empreendedorismo #nurse #instagram #TwitterFiles #fy</t>
  </si>
  <si>
    <t>O Instagram é sobre constância e criatividade!
#vendas #metas #negocios #estrategias #resultados #vendamais #dicas #empreendedor https://t.co/VsdOU74oOM</t>
  </si>
  <si>
    <t>Você acredita nos processos?
#vendas #metas #negocios #estrategias #resultados #vendamais #dicas #empreendedor https://t.co/LfB9R1g2ak</t>
  </si>
  <si>
    <t>Ei, empreendedor!
Você construiu sua empresa com suor e dedicação, investiu tempo, recursos e fez acontecer.
#vendas #metas #negocios #estrategias #resultados #vendamais #refem #empreendedor https://t.co/70F32IbB99</t>
  </si>
  <si>
    <t>EB2-NIW Aprovado!
Sem RFE
Empresário do setor de refrigeração
Petição protocolada dia 7 de março de 2023
Aprovação dia 13 de julho de 2023
#lawfirm #greencard #imigração #estadosunidos #eb2niw #rafaelsiqueira #empresario #empreendedor #empreendedorismo
@MarkMoraisLaw https://t.co/zSzD5QIc5a</t>
  </si>
  <si>
    <t>EB2-NIW aprovado com RFE
Empresário no segmento de jóias e metais preciosos
Caso protocolado 23/11/22 e aprovado 08/09/23
#lawfirm #markmoraislaw #greencard #imigração #estadosunidos #morarnoseua #visto #eb2 #rafaelsiqueira #empresario #empreendedorismo #empreendedor https://t.co/BWrVEl22lM</t>
  </si>
  <si>
    <t>#DeuMatchJP | Beto Pacheco, o PR mais prestigiado do Brasil, conta como realizou um baile beneficente com R$ 2 mil e arrecadou R$ 1 milhão para a Casa Santa Teresinha
📺 Confira na JP News
#Empresário #BetoPacheco #Brasil #Dinheiro #Lucro #Empreendedorismo 
#CasaSantaTeresinha https://t.co/GL0oWswRhH</t>
  </si>
  <si>
    <t>#DeuMatchJP | Manu Carvalho conversa com Simone Maria, fundadora da marca ‘Miss Victtoria’; empreendedora conta um pouco sobre sua história, família e muito mais!
📺 Confira na JP News
#entrevista #empreendedorismo #pijama #MissVicttoria https://t.co/d0Hc2ofQQs</t>
  </si>
  <si>
    <t>#MulheresPositivas | Natalia Beauty fala sobre trajetória para sair do fracasso até se tornar referência no setor da estética
📺 Confira na JP News
#NataliaBeauty #entrevista #empreendedorismo #beleza https://t.co/6WQt5tr6MS</t>
  </si>
  <si>
    <t>#DeuMatchJP | “A decoração e a moda estão totalmente interligadas”, destaca Giselle Rivkind, diretora de marketing da Breton
📺 Confira na JP News
#mkt #empreendedorismo #Breton https://t.co/nmhKVQjNJc</t>
  </si>
  <si>
    <t>🔥Dificuldade em manter a consistência nas redes sociais? Não se preocupe, todos nós passamos por isso. Confira nossas dicas infalíveis para manter a consistência e aumentar o engajamento!
#novosclientes
#empreendedorismo
#médicos
#advogados
#psicólogos
#empreendedores https://t.co/AldNuKCp8v</t>
  </si>
  <si>
    <t>#novosclientes #empreendedorismo #médicos #advogados #psicólogos #empreendedores #empresários #consultórios #escritórios #impulsioneseunegocio</t>
  </si>
  <si>
    <t>Evite esses erros de design em seus posts! 🎨🚫 1. Texto ilegível - Mantenha-o claro e conciso. 2. Cores que colidem - A harmonia é a chave. 3. Imagens de baixa qualidade - A qualidade importa. 4. Muita informação - Menos é mais.
#novosclientes
#empreendedorismo
#médicos</t>
  </si>
  <si>
    <t>3️⃣ Falta de consistência: a consistência é a chave para construir confiança e manter seu público engajado.
#novosclientes
#empreendedorismo
#médicos
#advogados
#psicólogos
#empreendedores
#empresários
#consultórios
#escritórios
#impulsioneseunegocio</t>
  </si>
  <si>
    <t>4️⃣ Use hashtags de localização para atrair um público local. Lembre-se, as hashtags são uma ferramenta poderosa para aumentar o alcance e o engajamento no Instagram!
#novosclientes #empreendedorismo #médicos #advogados #psicólogos #empreendedores #empresários #consultórios https://t.co/nXsbanmYYA</t>
  </si>
  <si>
    <t>7 MINI FÁBRICA LUCRATIVAS PARA VOCÊ MONTAR NA SUA CASA E GANHAR MUITO! https://t.co/9544SXQB19 via @YouTube 
#rendaextra
#empreendedorismo 
#dicasdesucesso
#ganhardinheiro</t>
  </si>
  <si>
    <t>RT @JovemPanNews: #JornaldaManhã | Quatro em cada dez pequenos negócios usam cartão de crédito para financiar a empresa; empreendedores têm…</t>
  </si>
  <si>
    <t>Artigo sobre regimes financeiros mais comuns para times de eSports, bem como suas vantagens e desvantagens.
#eSports #empreendedorismo #microempreendedorindividual #mei #microempresa #associação #sociedadelimitada #planejamento #estratégico
https://t.co/9du85NmFxC via @LinkedIn</t>
  </si>
  <si>
    <t>#inpibrasil #desenhoindustrial #acordodehaia #industriabrasileira #designnacional #exportações #empreendedorismo</t>
  </si>
  <si>
    <t>Siga acompanhando a série “Acordo de Haia Descomplicado” em nossas redes sociais.
#desenhoindustrial #acordodehaia #acordodehaiadescomplicado #inpibrasil #industriabrasileira #designnacional #exportações #empreendedorismo https://t.co/CeVadqJ1OA</t>
  </si>
  <si>
    <t>#desenhoindustrial #acordodehaia #acordodehaiadescomplicado #inpibrasil #industriabrasileira #designnacional #exportações #empreendedorismo https://t.co/Fd7EPY1KYa</t>
  </si>
  <si>
    <t>Continue acompanhando a série “Acordo de Haia Descomplicado” em nossas redes sociais.
#desenhoindustrial #acordodehaia #acordodehaiadescomplicado #inpibrasil #industriabrasileira #designnacional #exportações #empreendedorismo https://t.co/Juc1F7PRo1</t>
  </si>
  <si>
    <t>#desenhoindustrial #acordodehaia #acordodehaiadescomplicado #inpibrasil #industriabrasileira #designnacional #exportações #empreendedorismo</t>
  </si>
  <si>
    <t>Uma honra contribuir com o nosso setor e fazer parte do time @acadbrasil. 
Seguimos juntos na missão de servir, fomentar e evoluir o nosso setor. 
https://t.co/fegsTaK4f6
#ozeladordeacademias #gestao #empreendedorismo #sistemaconfefcrefs #natalrn #acadbrasil #nextfit https://t.co/gYf5vkXzzz</t>
  </si>
  <si>
    <t>🎯 O planejamento tributário estratégico envolve a análise e otimização dos impostos pagos por uma empresa, levando em consideração suas atividades e objetivos. É importante consultar um especialista na área para obter um planejamento eficiente.
.
.
.
.
.
#empreendedorismo https://t.co/X0Mii70ipB</t>
  </si>
  <si>
    <t>@filicroval Empresário = Solucionador profissional de problemas, assim como um médico é um curador de doenças. #empreendedorismo</t>
  </si>
  <si>
    <t>@heyrobinai Excelente lista de dicas para impulsionar o seu negócio! Aplique o Efeito KFC e mantenha segredos estratégicos, assim como a receita do famoso frango. Sucesso garantido! 💼🚀 #empreendedorismo</t>
  </si>
  <si>
    <t>@NorthstarBrain Uma ótima lista de prompts para impulsionar o crescimento de um negócio solo em 2023! A diversidade de tópicos abordados mostra o quão completo é o guia. Parabéns pela escrita envolvente e informativa! #NegócioSolo #Empreendedorismo</t>
  </si>
  <si>
    <t>Fórum do Comércio' chega a 3ª edição e traz palestras sobre IA 
Evento acontece nos dias 30 e 31 de agosto, às 10h30, na Casa do Comércio
#ibahia #forumdocomercio #empreendedorismo https://t.co/AK0ADDe52L</t>
  </si>
  <si>
    <t>Arte da negociação: veja habilidades essenciais para os empreendedores
Ser capaz de se comunicar claramente é fundamental em qualquer negociação. Veja essa e outras dicas!
#ibahia #empreendedorismo #empreendacomfritzpaixao #negocios https://t.co/a8U7TSnnw7</t>
  </si>
  <si>
    <t>E-commerce: conheça as vantagens da prática para os seus negócios 
Uma das grandes vantagens é a capacidade de coletar e analisar dados sobre o comportamento dos clientes.
#ibahia #fritzpaixao #colunistas #ecommerce #empreendedorismo https://t.co/cpEPUvAb5x</t>
  </si>
  <si>
    <t>Contra o digital? Veja o impacto da tecnologia no empreendedorismo
Confira como aproveitar as oportunidades digitais para crescer ainda mais!
#ibahia  #empreendacomfritzpaixão #empreendedorismo #colunistas https://t.co/IuhXHzomUC</t>
  </si>
  <si>
    <t>Empresária dá dicas para quem deseja empreender na área da gastronomia
Com 13 anos de experiência, Alexandra Barreto destaca a importância em se reinventar e ter coragem
#ibahia #conexoesenegocios #empreendedorismo #colunistas https://t.co/MWgTttqPw9</t>
  </si>
  <si>
    <t>Habilidades? Veja a importância da colaboração e trabalho em equipe
A colaboração permite que essas trocas se complementem, permitindo o alcance de resultados melhores
#ibahia #empreendacomfritzpaixão #colunistas #empreendedorismo https://t.co/IePszQBF8u</t>
  </si>
  <si>
    <t>Trancista dá dicas de empreendedorismo negro: 'Para continuar prosperando'
Rafa Xavier participou de painel sobre economia criativa em evento do YouTube nesta segunda-feira (14), e conversou com o iBahia com exclusividade
#trancista #empreendedorismo https://t.co/aiUujQXq6i</t>
  </si>
  <si>
    <t>Programa Brasil Mais Empreendedor abre inscrições gratuitas em Salvador 
Iniciativa é voltada para jovens baianos residentes em áreas periféricas e que desejem empreender 
#ibahia #empreendedorismo #capacitação https://t.co/pyLuvDUNP1</t>
  </si>
  <si>
    <t>Fórum do Comércio: SDE leva serviço de orientação para MEIs e MPEs
Evento acontece nesta quinta-feira (31), na sede da Fecomércio na Casa do Comércio
#ibahia #empreendedorismo #fecomercio https://t.co/CT1C7lzWCM</t>
  </si>
  <si>
    <t>Entenda a importância de adotar uma mentalidade de sucesso
Para ter uma mente positiva, é necessário definir metas claras, específicas e mensuráveis
#ibahia #empreendacomfritzpaixao #fritzpaixao #colunistas #empreendedorismo #sucesso #mentalidade https://t.co/G6VGGac3Ma</t>
  </si>
  <si>
    <t>Conheça as evoluções do empreendedorismo no século 21
A tecnologia continua a ser um fator-chave; veja outras dicas
#ibahia #empreendedorismo #evoluções https://t.co/yvS3YQnGx6</t>
  </si>
  <si>
    <t>Sebrae realiza 2ª edição da Feira das Pretas no dia 29 de julho
Evento gratuito e de apoio empreendedoras negras terá programação especial com exposição, painéis, mentorias e palestras
#ibahia #empreendedorismo #feiradaspretas https://t.co/N7nfcZYEmL</t>
  </si>
  <si>
    <t>A Águia jamais deixa de voar por conta de um tempo ruim, pensei nisso. 
#boanoite #business #empreendedorismo</t>
  </si>
  <si>
    <t>Evento promovido pela Prefeitura de Cajamar irá oferecer vagas de emprego, nos próximos dias 19 e 20 de julho
#vagasdeemprego #cajamar #prefeituradecajamar #polvilho #empregabilidade #empregos #estudantes #mercadodetrabalho #empreendedorismo
https://t.co/4X56juQkyG https://t.co/VJH5umItjS</t>
  </si>
  <si>
    <t>Confira como a Mercado Diferente conseguiu aumentar o volume de pagamentos em 10% com a nova infraestrutura de pagamentos: https://t.co/Ps7gn5LdjN
#HistoriaDeSucesso #MercadoDiferente #Pagamentos #Crescimento #SucessoEmpresarial #Empreendedorismo #Vendas #Tecnologia</t>
  </si>
  <si>
    <t>Vamos powerizar o mundo fitness! #empreendedorismo #mundofitness #brasil #gestao #arnaldopoggi #mateusbaltar https://t.co/XjLGfhWfZY</t>
  </si>
  <si>
    <t>Sou um #sebraelover de peito aberto e nossa história tá lá na página do @sebrae : 
https://t.co/sYniI6QqlX
Imensamente gradicido!
🧀🚀
@sebraeminas 
@governomg @agriculturamg @emater_minas @RomeuZema @pauloaraujotwt 
Vamo que vamo!
#empreendedorismo 
#tropeirodigital
#sebrae…</t>
  </si>
  <si>
    <t>Em um minuto eu te conto a história do Tropeiro Digital: https://t.co/wKNAWduZ00 Espia!
#inscreva_se #youtube #tropeirodigital #minasgerais #ecommerce #traycommerce #locaweb #sebrae #sebraeminas #empreendedorismo #agronegócio</t>
  </si>
  <si>
    <t>Seu mercado não está saturado, sua mentalidade está. É hora de pensar além dos limites que você mesmo estabeleceu. #empreendedorismo</t>
  </si>
  <si>
    <t>Criamos a tua Loja Online!
https://t.co/DuU4C6oKgb
#ecommercebusiness #EcommerceStore #Portugal #Braga #Porto #Empreendedorismo https://t.co/EKOGcK8Uca</t>
  </si>
  <si>
    <t>Maitê Lourenço na Semana de Inovação 2023!
🔹Fundadora da #BlackRocksStartups
🔹General Partner na YA Ventures
🔹Representante do ODS 9 na ONU
Vem aí uma conversa rica em insights sobre #inovação e #empreendedorismo negro no Brasil.
Inscreva-se: https://t.co/K5WzZjnXbT https://t.co/EncXBpwX4s</t>
  </si>
  <si>
    <t>China promove crescimento da economia privada
https://t.co/T32BqhRnaB
#economia #privada #china #crescimento #empreendedorismo #inovação #tecnologia #investimento #oportunidades
A China anunciou nesta semana uma série de medidas para promover o crescimento da economia privad… https://t.co/oRBT7qDiwE</t>
  </si>
  <si>
    <t>3 formas de como não deixar as adversidades afogarem seus sonhos 
#sonhos #empreender #empreendedorismo #negocios</t>
  </si>
  <si>
    <t>Pense nas vendas como a energia vital dos negócios. 
Elas não são opcionais, mas sim a essência que impulsiona o sucesso. Você está constantemente vendendo: seja um produto incrível, um serviço excepcional ou o valor de escolher o seu caminho. 
 #Vendas #Empreendedorismo</t>
  </si>
  <si>
    <t>Você quer crescer seu negócio online? 💻 A Web Design Mogi é a agência de marketing digital que você precisa! 
Acesse: https://t.co/D9q9aiMtnP
#marketingdigital #webdesign #empreendedorismo #marketingdigitalbrasil #marketingdigitalsp #marketingdigitalmogi #webdesignmogi https://t.co/ERWULJLVlX</t>
  </si>
  <si>
    <t>RT @mere_lani: DPA💙
#confeiteira #maesfesteiras #bolodorio #mãosdefada #empresária #bolosdecorados#bolosdepotegourmet #empreendedorismo  #g…</t>
  </si>
  <si>
    <t>⬇️⬇️⬇️⬇️⬇️⬇️
https://t.co/gVe01d3AaE 
=
#marketingdigital #dicasmarketingdigital
#marketingdigitalparastartups
#marketingdigital #marketing 
#empreendedorismo #digitalmarketing
#socialmedia #instagram #sucesso
#business #negocios #dise
#branding #empreender #a #dinheiro https://t.co/vvCMPF970l</t>
  </si>
  <si>
    <t>1️⃣ Contratos comerciais: Evite riscos, consulte um profissional. 
2️⃣ Direitos trabalhistas: Cumpra a lei, avalie custos. 
3️⃣ Pagamento de tributos: Escolha regime adequado, planeje fornecedores.
#GonçalvesAdvogados #VitoriaES #Advogado #DicasDeSucesso #Empreendedorismo https://t.co/sggHtaMNG0</t>
  </si>
  <si>
    <t>🚀Valorize seus colaboradores. 
🚀Seja flexível. Os resilientes sempre vencem!
🚀Marketing Poderoso. O marketing bem-feito atrai e fideliza clientes. Quer mais dicas? Continue acompanhando a nossa página. #DicasDeSucesso #Empreendedorismo #GonçalvesAdvogados #VitoriaES #Advogado https://t.co/RL7EvAcS4r</t>
  </si>
  <si>
    <t>🚀Visão Clara com propósito bem definido;
🚀Conheça seu público, necessidades e desejos;
🚀Invista em inovação para se destacar da concorrência. 
Quer mais dicas? 
Continue acompanhando a nossa página. #DicasDeSucesso #Empreendedorismo #GonçalvesAdvogados #VitoriaES #Advogado https://t.co/V4RowWa8Q8</t>
  </si>
  <si>
    <t>1⃣ Gestor deve manter a equipe motivada.
2⃣ Pessoas devem buscar aprimorar processos.
3⃣ Execução visando excelência. 
4⃣ Resultado é consequência. Se cada um entender e exercer bem o seu papel, não há limites para o seu sucesso.
#Empreendedorismo #GonçalvesAdvogados #VitoriaES https://t.co/lx1q7y8wNm</t>
  </si>
  <si>
    <t>📉 Os 3 P's da gestão: #2ºP = Processos ✅ Conheça a importância dos processos na gestão de negócios. Garanta eficiência, economia de recursos e qualidade. Fique ligado para o último 'P'. 
#Empreendedorismo #GonçalvesAdvogados #VitoriaES #Advogado https://t.co/YYsLaBNZwT</t>
  </si>
  <si>
    <t>✅ No sucesso empresarial, o primeiro "P" é crucial: Projetos.
✅ Gerir bem projetos exige atenção a 4 fatores: Escopo, Recursos, Tempo e Pessoas.
✅ Fique ligado para os outros 2 Ps da gestão!
#Empreendedorismo #GonçalvesAdvogados #VitoriaES #Negócios https://t.co/gXIoDqB63g</t>
  </si>
  <si>
    <t>1️⃣ Marca Forte: Crie uma marca com valores sólidos. 2️⃣ Planejamento Estratégico: Defina metas claras. 
3️⃣ Persistência e Resiliência: Supere obstáculos.
Aplique essas dicas e eleve seu negócio! 🚀
#DicasDeSucesso #Empreendedorismo #GonçalvesAdvogados #VitoriaES #Advogado https://t.co/V9BkyxtREf</t>
  </si>
  <si>
    <t>Será que o seu cliente está no LinkedIn? Se o seu negócio é B2B, provavelmente, sim. O potencial de oportunidades de negócios na rede é gigante e está sendo desperdiçado por muitas empresas. Entenda melhor.
#linkedinparanegocios #linkedinbrasil #economia #empreendedorismo… https://t.co/1b5wJJLPZc</t>
  </si>
  <si>
    <t>No manual do milionário contém pack de prl, venda em 24h, curso de página de venda, venda manual, curso mentalidade, e muito mais
https://t.co/kTtbtUG2JC
#marketingdigital #Investimentos #kiwify #marketing #plr #empreendedorismo #sucesso https://t.co/ZN4fZIzaBv</t>
  </si>
  <si>
    <t>Nois somos os próximos família
Se você n for mais um preguiço comente "eu" que eu te ensino #kiwify #markentingdigital #viral #plr #dropshipping #marketing #vendas #ebook #empreendedorismo #fyp https://t.co/vb8MUEfvx4</t>
  </si>
  <si>
    <t>Sebrae e Senac promoveram oficina Bootcamp para empresários de Vitória da Conquista #Destaques #Educação #RegiãodeVitóriadaConquista #Empreendedorismo  https://t.co/2vYWRxrAfn https://t.co/sKMpT7VUhN</t>
  </si>
  <si>
    <t>@camilafarani Antes que eu pudesse pensar no segundo erro que cometo, você já me deu a solução para os 5. Uau, isso é ultra-empreendedorismo! Nem eu mesmo consegui pensar nos próximos 3. Obrigado por pensar por mim e já resolver esse meu grande problema. 🙏 #empreendedorismo</t>
  </si>
  <si>
    <t>#Pânico | Foca na Economia: Brasil perde mais de 400 mil empresas no primeiro semestre; Samy Dana te explica mais sobre o assunto
📺 Confira na JP News
#brasil #empreendedorismo #economia https://t.co/lfmxqSMvzL</t>
  </si>
  <si>
    <t>No mundo dos negócios, a escala é um conceito fundamental que desencadeia o crescimento e a expansão de empreendimentos. 
#empreendedorismo #franquia https://t.co/Iy7GtmmO5r</t>
  </si>
  <si>
    <t>🍔 Hambúrguer de Costela com cebola caramelizada e bacon 🥓.
🇯🇵 eu preparei uma receita super rápida na poderosa Chapeira Evitra. 
Feito com Chapeira Evitra 8.0 Master e Fritadeira Elétrica Evitra🔌
#Hambúrguer #hamburgueria #Empreendedorismo #PrimeiroNegócio
#Negócios https://t.co/n3Ha5usnHe</t>
  </si>
  <si>
    <t>🥩 Denver Angus com Shimeji ao Shoyu levemente adocicado. 🍄
🇯🇵Eu preparei uma receita espetacular na poderosa Chapeira Evitra. 
Feito com Chapeira Evitra 8.0 Master e Fogão Industrial Evitra🔥
#Fogo #Cozinhaindustrial #Restaurante #Gastronomia #Evitra #Empreendedorismo https://t.co/1XMklfldHE</t>
  </si>
  <si>
    <t>🐟 “Se a sua empresa está toda desorganizada em todos os departamentos, lembre-se da história do peixe doente. 
O veterinário não trata o peixe, ele trata a água.” 💼💧
#Empreendedorismo #GestãoEmpresarial #Organização #SucessoNosNegócios #CuideDoAmbiente #EmpreendedorDeSucesso https://t.co/vgfbEFI1IH</t>
  </si>
  <si>
    <t>Potencialize suas conversões ao adotar a linguagem e as expressões do seu público-alvo. 🚀✨
 #Empreendedorismo #Negócios #Sucesso #Inovação #Estratégia #Empreender #Transformação https://t.co/lHFtOl0vWf</t>
  </si>
  <si>
    <t>@GustavoMehl Quem fizer uns animes desse caras e cobrar 2 reais cada, fica milionário.. o papo foi dado.. #empreendedorismo</t>
  </si>
  <si>
    <t>DIA DO BLOG
Você sabia que o blog da Minum já está no ar?
🌐 Link na bio! 
#minumenergia #planominum #diadoblog #blog #energiasolar #mercado #contadeluz #sustentabilidade #energialimpa  #microempresa #microempreendedor #empreendedorismo #microempresario #empresario #economia https://t.co/IISKHB1KKF</t>
  </si>
  <si>
    <t>E olha que faltou coisa nessa lista!
Faça a simulação da sua economia em nosso site.
#minumenergia #planominum #energiasolar #sustentabilidade #energialimpa #contadeluz #hotel #dicadehotel #economiadeenergia #empresaverde #empresario #empreendedor https://t.co/Q1ZUC7swjg</t>
  </si>
  <si>
    <t>Os gastos com #energiaeletrica podem representar mais de 40% de custos de produção (Dados: Firjan).
#minumenergia #planominum #contadeluz #assinaturadeenergia #energiasolar #economiadeenergia #sustentabilidade #energialimpa #empreendedor #empresario #microempresa https://t.co/SnZzbGK5s3</t>
  </si>
  <si>
    <t>É simples: indique nossa solução para outras empresas.
Saiba como se tornar um parceiro.
🌐Link na Bio! 
#minumenergia #planominum #rendaextra #parceirominum #energialimpa #indicouganhou #economiadeenergia #energiasolar #sustentabilidade #energialimpa #empreendedor https://t.co/Bmqy0wt1X9</t>
  </si>
  <si>
    <t>Reconheça a sua identidade! ⭐
#ferini #marketingdigital #mindset #mentalidade #empreendedorismo #riqueza https://t.co/bzrKUUF4sp</t>
  </si>
  <si>
    <t>Conserve o seu coração. ♥️⭐
#ferini #marketingdigital #mindset #mentalidade #empreendedorismo #riqueza https://t.co/ijulYW5JAW</t>
  </si>
  <si>
    <t>❌ Não importa quantas vezes fracasses. Tu só precisas de estar certo(a) uma vez, e isso pode mudar tudo. #empreendedorismo</t>
  </si>
  <si>
    <t>Acredita em ti mesmo(a) e no valor que o teu negócio pode trazer para os outros. #empreendedorismo</t>
  </si>
  <si>
    <t>O caminho para o sucesso é tomar a decisão de começar. 👏
#empreendedorismo #marketingdigital #negocios #inspirational</t>
  </si>
  <si>
    <t>✅ O sucesso é a soma de pequenos esforços repetidos diariamente. #empreendedorismo</t>
  </si>
  <si>
    <t>"Conhecer o público alvo é crucial para construir um negócio de sucesso. Investe tempo em identificar qual é o teu público e as suas necessidades." 🙌 #negocio #empreendedorismo #marketingdigital</t>
  </si>
  <si>
    <t>3 Chaves para o Sucesso Empresarial:
👉Inovação Constante
👉Satisfação do Cliente
👉Gestão eficiente
#empreendedorismo #marketingdigital #negocios #inspiração</t>
  </si>
  <si>
    <t>Se esperares até seres muito bom antes de começares, nunca vais começar nada. 🙌
#empreendedor</t>
  </si>
  <si>
    <t>Tudo o que sempre quiseste está do outro lado do teu medo. 
#empreendedorismo #marketingdigital #negocios #Motivation</t>
  </si>
  <si>
    <t>A regra número um para te tornares um empreendedor de sucesso é pensares num problema que desejas resolver. #empreendedorismo</t>
  </si>
  <si>
    <t>🗨️ O empreendedorismo é viver alguns anos da vida como a maioria das pessoas não quer, para passar o resto da vida como a maioria não pode. #empreendedorismo #negocios</t>
  </si>
  <si>
    <t>🛑STOP🛑
Sabias que na #OPB podes fazer um mini curso gratuito que te ajuda a teres a tua Primeira Ideia de Negócio?  😯🤯 - Subscreve gratuitamente aqui: https://t.co/sYEn1yt8R4   #empreendedorismo #portugal https://t.co/fLOuCZSdTi</t>
  </si>
  <si>
    <t>Quem te mentiu a disse que precisas de ter dinheiro para começares um negócio? 😅 Olha só estas dicas... #empreendedorismo #opb</t>
  </si>
  <si>
    <t>4 pilares do empreendedorismo:
👉Visão audaciosa
👉Persistência inabalável
👉Aprendizagem contínua
👉Capacidade de adaptação
#empreendedorismo #marketingdigital #negocios #inspiração</t>
  </si>
  <si>
    <t>👉Torna-te a mudança que queres ver no mundo. 
#empreendedorismo #marketingdigital #negocios #inspiration</t>
  </si>
  <si>
    <t>Não encontres problemas em cada solução, mas sim soluções em cada problema. 🙌
#empreendedorismo #marketingdigital #negocios #inspiração</t>
  </si>
  <si>
    <t>✅ Rodeia-te das pessoas certas, que te desafiem, te inspirem e te façam crescer.
#empreendedorismo #marketingdigital #negocios #inspiration</t>
  </si>
  <si>
    <t>4 Atitudes (que deves adotar) para teres Sucesso:
👉Foco
👉Disciplina
👉Resiliência
👉Mente Inovadora
#empreendedorismo #marketingdigital #negocios</t>
  </si>
  <si>
    <t>🗨️ Permanece focado(a) nos teus objetivos, mas mantém-te aberto(a) a ajustar o caminho quando for preciso. Se surgirem obstáculos, encara-os como oportunidades de crescimento e superação. #negocios #empreendedorismo</t>
  </si>
  <si>
    <t>O segredo de um grande negócio é saber algo que mais ninguém sabe.🔐
#empreendedorismo #marketingdigital #negocios #inspiração</t>
  </si>
  <si>
    <t>4 estratégias para vender mais:
👉 Cria senso de urgência
👉 Abordagem personalizada
👉 Posiciona-te como autoridade
👉 Mostra testemunhos
#empreendedorismo #marketingdigital #negocios #inspiration</t>
  </si>
  <si>
    <t>✅O sucesso de um negócio começa com uma visão clara e a coragem para torná-la realidade. #empreendedorismo #negocios</t>
  </si>
  <si>
    <t>Hábitos diários de sucesso:
👉Visualiza o sucesso
👉Define prioridades
👉Reserva tempo para aprender
#empreendedorismo #marketingdigital #negocios #inspiração</t>
  </si>
  <si>
    <t>👉Transforma fracassos em oportunidades e obstáculos em sucesso. 
#empreendedorismo #marketingdigital #negocios #inspiração</t>
  </si>
  <si>
    <t>Se já pensaste em criar o teu próprio negócio, mas não sabes como começar, o curso gratuito PIN - Primeira Ideia de Negócio é um passo na direção certa. Inscreve-te aqui - https://t.co/sYEn1yt8R4
#negocios #empreendedorismo https://t.co/aPnDcJ5EBp</t>
  </si>
  <si>
    <t>❌ Nunca percas uma oportunidade de aprender com o fracasso. #empreendedorismo</t>
  </si>
  <si>
    <t>Acelera IV 2023 🚀 
#Rumoa1000 #mdo #otica #varejo #franquia #franchising #empreendedorismo #empreendedor #viral #insta https://t.co/IisVZOwqvQ</t>
  </si>
  <si>
    <t>Enxergue além do horizonte e transforme sonhos em realidade. 
#negocios #franquia #sucesso #investimento #ótica #ótico #saude #beleza #bem-estar #empreendedorismo #franchising #mdo #rumoa1000 #óculos #pegn #abf #excelencia #lojas #lentes https://t.co/58cWQK94RL</t>
  </si>
  <si>
    <t>Basicamente é como #empreender no #Brasil... É #tenso, dá #medo mas, no final, dá certo!
#Empreendedor #Sinco #Desde1982 #Tradição #Xeon #41anos #Informatica #DataCenter #Empreendedorismo https://t.co/56R0TeqnyT</t>
  </si>
  <si>
    <t>Se vc não for #criativo, seu #concorrente será. 
Se vc não for #inovador, seus #concorrentes serão.
Se vc não #encantar o seu #consumidor, outros encantarão!
Não importa seu segmento de #mercado, nem sua #estratégia... Para ser #empreendedor, é preciso se #adaptar a cada mudança https://t.co/TVHXThxfZk</t>
  </si>
  <si>
    <t>Comemore os seus sucessos. Veja com humor os seus fracassos.
Sam Walton
#SamWalton #Sinco #41anos #Tradição #Desde1982 #Xeon #Intel #Kingston #Seagate #DataCenter #Servidor #Empreendedor #Empreendedorismo #Informatica #IamIntel https://t.co/NmUHiBeN0P</t>
  </si>
  <si>
    <t>Na crise em alto mar, ninguém dorme até resolver o problema.
Amyr Klink
#AmyrKlink #Sinco #41anos #Tradição #Desde1982 #Xeon #Intel #Kingston #Seagate #DataCenter #Servidor #Empreendedor #Empreendedorismo #Informatica #IamIntel https://t.co/lMVRupAtQK</t>
  </si>
  <si>
    <t>Mesmo que você esteja no caminho certo, será atropelado se ficar sentado nele.
Will Rogers
#WillRogers #Sinco #41anos #Tradição #Desde1982 #Xeon #Intel #Kingston #Seagate #DataCenter #Servidor #Empreendedor #Empreendedorismo #Informatica #IamIntel https://t.co/1VXDz0XPPd</t>
  </si>
  <si>
    <t>Nem sempre quem te chuta quer teu mal!
#Empreendedor #Empreendedorismo #Sinco #Desde1982 #Tradição #41anos #Intel #Xeon #Seagate #Kingston #IamIntel #Informatica #DataCenter #Empreender https://t.co/W7p6mhRwAf</t>
  </si>
  <si>
    <t>100% dos clientes são pessoas. 100% dos funcionários são pessoas. Se você não entende de pessoas, você não entende de negócios.
Simon Sinek
#SimonSinek #Sinco #41anos #Tradição #Desde1982 #Xeon #Intel #Kingston #Seagate #DataCenter #Servidor #Empreendedor #Empreendedorismo https://t.co/wRUY8s3T91</t>
  </si>
  <si>
    <t>Não se aproxime de uma cabra pela frente, de um cavalo por trás ou de um idiota por qualquer dos lados.
Provérbio judeu
#Sinco #41anos #Tradição #Desde1982 #Xeon #Intel #Kingston #Seagate #DataCenter #Servidor #Empreendedor #Empreendedorismo #Informatica #IamIntel https://t.co/F9X0bpXcVs</t>
  </si>
  <si>
    <t>O preço de qualquer coisa é a quantidade de vida que você troca por isso.
Henry David Thoreau
#HenryDavidThoreau #Thoreau #Sinco #41anos #Tradição #Desde1982 #Xeon #Intel #Kingston #Seagate #DataCenter #Servidor #Empreendedor #Empreendedorismo #Informatica #IamIntel https://t.co/9ftFVaHLZB</t>
  </si>
  <si>
    <t>Se quer ir rápido, vá sozinho. Se quer ir longe, vá em grupo.
Provérbio Africano
#ProverbioAfricano #Sinco #41anos #Tradição #Desde1982 #Xeon #Intel #Kingston #Seagate #DataCenter #Servidor #Empreendedor #Empreendedorismo #Informatica #IamIntel https://t.co/OesrKgrI8O</t>
  </si>
  <si>
    <t>Você só é bom se puder fazer o mal e decidir não fazer.
Richard Ford
#RichardFord #Sinco #41anos #Tradição #Desde1982 #Xeon #Intel #Kingston #Seagate #DataCenter #Servidor #Empreendedor #Empreendedorismo #Informatica #IamIntel https://t.co/3fIFME15sw</t>
  </si>
  <si>
    <t>O criador é um arqueiro que dispara na escuridão.
Gustav Mahler
#GustavMahler #Sinco #41anos #Tradição #Desde1982 #Xeon #Intel #Kingston #Seagate #DataCenter #Servidor #Empreendedor #Empreendedorismo #Informatica #IamIntel https://t.co/ps5kbfYAmY</t>
  </si>
  <si>
    <t>Não pode reclamar do escuro, quem não se levanta pra acender a luz!
#Sinco #41anos #Tradição #Desde1982 #Xeon #Intel #Kingston #Seagate #DataCenter #Servidor #Empreendedor #Empreendedorismo #Informatica #IamIntel https://t.co/nfhJ03NlVA</t>
  </si>
  <si>
    <t>Quantas maçãs caíram na cabeça de Newton até ele ter a inspiração?
Robert Frost
#RobertFrost #Sinco #41anos #Tradição #Desde1982 #Xeon #Intel #Kingston #Seagate #DataCenter #Servidor #Empreendedor #Empreendedorismo #Informatica #IamIntel https://t.co/QtfBA44c86</t>
  </si>
  <si>
    <t>Torna-te necessário a alguém!
Ralph Waldo Emerson
#RalphWaldoEmerson #Sinco #41anos #Tradição #Desde1982 #Xeon #Intel #Kingston #Seagate #DataCenter #Servidor #Empreendedor #Empreendedorismo #Informatica #IamIntel https://t.co/LiW1FjFqvE</t>
  </si>
  <si>
    <t>Os loucos às vezes se curam, os imbecis nunca.
Oscar Wilde
#OscarWilde #Sinco #41anos #Tradição #Desde1982 #Xeon #Intel #Kingston #Seagate #DataCenter #Servidor #Empreendedor #Empreendedorismo #Informatica #IamIntel https://t.co/1c3fMdzG9C</t>
  </si>
  <si>
    <t>Pareça fraco quando estiver forte, e forte quando estiver fraco.
Sun Tzu
#SunTzu #Sinco #41anos #Tradição #Desde1982 #Xeon #Intel #Kingston #Seagate #DataCenter #Servidor #Empreendedor #Empreendedorismo #Informatica #IamIntel https://t.co/nHl3aZDrXs</t>
  </si>
  <si>
    <t>Não chore porque acabou. Sorria porque aconteceu.
Dr. Seuss
#DrSeuss #Sinco #41anos #Tradição #Desde1982 #Xeon #Intel #Kingston #Seagate #DataCenter #Servidor #Empreendedor #Empreendedorismo #Informatica #IamIntel https://t.co/VCkpc2CjFB</t>
  </si>
  <si>
    <t>Se você perdeu dinheiro, perdeu pouco. Se perdeu a honra, perdeu muito. Se perdeu a coragem, perdeu tudo.
Vincent Van Gogh
#VanGogh #Sinco #41anos #Tradição #Desde1982 #Xeon #Intel #Kingston #Seagate #DataCenter #Servidor #Empreendedor #Empreendedorismo #Informatica #IamIntel https://t.co/kJ3ip5KWod</t>
  </si>
  <si>
    <t>Eu gosto do impossível porque lá a concorrência é menor.
Walt Disney
#WaltDisney #Disney #Sinco #41anos #Tradição #Desde1982 #Xeon #Intel #Kingston #Seagate #DataCenter #Servidor #Empreendedor #Empreendedorismo #Informatica #IamIntel https://t.co/hODCanmALM</t>
  </si>
  <si>
    <t>Quando a #lagarta disse que iria #voar, todos riram. Exceto as #borboletas.
#Sinco #41anos #Tradição #Desde1982 #Xeon #Intel #Kingston #Seagate #DataCenter #Servidor #Empreendedor #Empreendedorismo #Informatica #IamIntel https://t.co/ed33U34P9W</t>
  </si>
  <si>
    <t>Nenhuma herança é tão rica quanto a honestidade.
William Shakespeare
#Shakespeare #Sinco #41anos #Tradição #Desde1982 #Xeon #Intel #Kingston #Seagate #DataCenter #Servidor #Empreendedor #Empreendedorismo #Informatica #IamIntel https://t.co/nTqnm2ZQj3</t>
  </si>
  <si>
    <t>Quando todos pensam o mesmo, ninguém está pensando.
Walter Lippmann
#WalterLippmann #Sinco #41anos #Tradição #Desde1982 #Xeon #Intel #Kingston #Seagate #DataCenter #Servidor #Empreendedor #Empreendedorismo #Informatica #IamIntel https://t.co/LnQ5gerecN</t>
  </si>
  <si>
    <t>Basicamente é como #empreender no Brasil... Você treina, treina, treina... Pratica, pratica, pratica... É #tenso, dá #medo... Mas, no final, dá tudo certo!
#Empreendedor #Sinco #Desde1982 #Tradição #Xeon #Empreendedorismo https://t.co/i8QQbMmDYK</t>
  </si>
  <si>
    <t>O segredo da vida: Vaca NÃO dá leite!
#Sinco #Desde1982 #Tradição #41anos #Empreendedorismo #Empreendedor #Cortella #MarioSergioCortella https://t.co/fKjArcJ5Qz</t>
  </si>
  <si>
    <t>As mãos que ajudam são mais sagradas que os lábios que rezam.
Madre Teresa de Calcutá
#MadreTeresadeCalcuta #Sinco #41anos #Tradição #Desde1982 #Xeon #Intel #Kingston #Seagate #DataCenter #Servidor #Empreendedor #Empreendedorismo #Informatica #IamIntel https://t.co/5Y3UefZstx</t>
  </si>
  <si>
    <t>Pessoas inteligentes adoram problemas!
#Sinco #41anos #Tradição #Desde1982 #Xeon #Intel #Kingston #Seagate #DataCenter #Servidor #Empreendedor #Empreendedorismo #Informatica #IamIntel https://t.co/KXKUYedAci</t>
  </si>
  <si>
    <t>Feito é melhor que perfeito.
General George S. Patton
#Patton #Sinco #41anos #Tradição #Desde1982 #Xeon #Intel #Kingston #Seagate #DataCenter #Servidor #Empreendedor #Empreendedorismo #Informatica #IamIntel https://t.co/7epbg6nTwu</t>
  </si>
  <si>
    <t>Se eu vi mais longe, foi por estar sobre ombros de gigantes.
Isaac Newton
#IsaacNewton #Sinco #41anos #Tradição #Desde1982 #Xeon #Intel #Kingston #Seagate #DataCenter #Servidor #Empreendedor #Empreendedorismo #Informatica #IamIntel https://t.co/LYNYqfBs1G</t>
  </si>
  <si>
    <t>Há dois tipos de pessoas que não interessam a uma boa empresa: as que não fazem o que se manda e as que só fazem o que se manda.
Henry Ford
#HenryFord #Sinco #41anos #Tradição #Desde1982 #Xeon #Intel #Kingston #Seagate #DataCenter #Servidor #Empreendedor #Empreendedorismo https://t.co/79VWfLTa5C</t>
  </si>
  <si>
    <t>Os dias bons te dão felicidade, os dias ruins te dão experiência. As tentativas te mantém forte, as quedas te mantém humilde. Mas somente a tua vontade e a tua fé te mantém de pé.
#Sinco #Tradição #Desde1982 #Xeon #Intel #Kingston #Seagate #DataCenter #Servidor #Empreendedor https://t.co/dHIlfxsZcK</t>
  </si>
  <si>
    <t>Triunfam aqueles que sabem quando lutar e quando esperar.
Sun Tzu
#SunTzu #ArtedaGuerra #Sinco #41anos #Tradição #Desde1982 #Xeon #Intel #Kingston #Seagate #DataCenter #Servidor #Empreendedor #Empreendedorismo #Informatica #IamIntel https://t.co/KNyNdH8lof</t>
  </si>
  <si>
    <t>O que dá o verdadeiro sentido ao encontro é a busca. E é preciso andar muito para se alcançar o que está perto.
José Saramago
#JoseSaramago #Sinco #41anos #Tradição #Desde1982 #Xeon #Intel #Kingston #Seagate #DataCenter #Servidor #Empreendedor #Empreendedorismo #Informatica https://t.co/HLdrUXccvN</t>
  </si>
  <si>
    <t>Os livros são abelhas que levam o pólen de uma inteligência a outra.
James Russell Lowell
#JamesRussellLowell #Sinco #41anos #Tradição #Desde1982 #Xeon #Intel #Kingston #Seagate #DataCenter #Servidor #Empreendedor #Empreendedorismo #Informatica #IamIntel https://t.co/3nGeFuMzdo</t>
  </si>
  <si>
    <t>Não é a aparência, é a essência. Não é o dinheiro, é a educação. Não é a roupa, é a classe.
Coco Chanel
#CocoChanel #Sinco #41anos #Tradição #Desde1982 #Xeon #Intel #Kingston #Seagate #DataCenter #Servidor #Empreendedor #Empreendedorismo #Informatica #IamIntel https://t.co/OfrOvSs0Yf</t>
  </si>
  <si>
    <t>É como #empreender no Brasil... É #tenso, dá #medo, mas, no final, dá tudo certo!
#Empreendedor #empreendedorismo #Sinco #Desde1982 #Tradição #41anos #Intel #Xeon #Seagate #Kingston #DataCenter #Informatica #IamIntel https://t.co/uWFGof5PYH</t>
  </si>
  <si>
    <t>Não reclame, não se explique! Apenas se apresente e faça o seu melhor.
#Empreender #Empreendedor #Empreendedorismo #Sinco #Desde1982 #Tradição #41anos #Intel #Xeon #Seagate #Kingston #DataCenter #IamIntel https://t.co/6atFlBAjyb</t>
  </si>
  <si>
    <t>São poucos os que se importam, os outros são só curiosos.
José Eugênio Soares
#JoSoares #Sinco #41anos #Tradição #Desde1982 #Xeon #Intel #Kingston #Seagate #DataCenter #Servidor #Empreendedor #Empreendedorismo #Informatica #IamIntel https://t.co/ezY1YIYRRM</t>
  </si>
  <si>
    <t>O saber se aprende com os Mestres. A sabedoria se aprende vivendo.
Cora Coralina
#CoraCoralina #Sinco #41anos #Tradição #Desde1982 #Xeon #Intel #Kingston #Seagate #DataCenter #Servidor #Empreendedor #Empreendedorismo #Informatica #IamIntel https://t.co/btXehzCUMM</t>
  </si>
  <si>
    <t>Algumas pessoas sentem a chuva. Outras apenas ficam molhadas.
Roger Miller
#RogerMiller #Sinco #41anos #Tradição #Desde1982 #Xeon #Intel #Kingston #Seagate #DataCenter #Servidor #Empreendedor #Empreendedorismo #Informatica #IamIntel https://t.co/BRYUfyZaRB</t>
  </si>
  <si>
    <t>Nesse #DiadoCliente, nosso muito #obrigado por toda confiança, fidelidade e amizade!
Nossa maior satisfação é trabalharmos com o que amamos mas, sem clientes, uma empresa vira só um hobby! #Gratidão 
https://t.co/4HZPbTPtID
#Sinco #41anos #Tradição #Desde1982 #empreendedor https://t.co/DkEKAdDx4n</t>
  </si>
  <si>
    <t>O pessimista vê dificuldade em cada oportunidade; o otimista vê oportunidade em cada dificuldade.
Winston Churchill
#WinstonChurchill #Churchill #Sinco #41anos #Tradição #Desde1982 #Xeon #Intel #Kingston #Seagate #DataCenter #Servidor #Empreendedor #Empreendedorismo https://t.co/7LfSgmIiRK</t>
  </si>
  <si>
    <t>Pra #empreender no Brasil é preciso ter muito talento e saber trabalhar em #equipe!
#Empreendedor #teamwork #trabalhoemequipe #Sinco #Desde1982 #Tradição #41anos #Xeon #Informatica #DataCenter https://t.co/g7afPEOYt7</t>
  </si>
  <si>
    <t>Sempre foi fácil odiar e destruir. Construir e estimar é muito mais difícil.
Rainha Elizabeth II
#ElizabethII #QueenElizabethII #Sinco #41anos #Tradição #Desde1982 #Xeon #Intel #Kingston #Seagate #DataCenter #Servidor #Empreendedor #Empreendedorismo #Informatica #IamIntel https://t.co/35kgUTaQu6</t>
  </si>
  <si>
    <t>É como #empreender no Brasil... Assusta, dá medo! As preocupações tomam conta dos seus pensamentos... Mas, no final, dá tudo certo!
#Empreendedor #Sinco #Desde1982 #Tradição #41anos #empreendedorismo #Intel #Xeon #Seagate #Kingston #DataCenter #Informatica #IamIntel https://t.co/NJaerSJyb0</t>
  </si>
  <si>
    <t>Acima de tudo, não perca seu desejo de prosseguir.
Søren Aabye Kierkegaard
#Kierkegaard #Sinco #41anos #Tradição #Desde1982 #Xeon #Intel #Kingston #Seagate #DataCenter #Servidor #Empreendedor #Empreendedorismo #Informatica #IamIntel https://t.co/oVX3np7F4C</t>
  </si>
  <si>
    <t>Só há duas maneiras de viver a vida: a primeira é vivê-la como se os milagres não existissem. A segunda é vivê-la como se tudo fosse milagre.
Albert Einstein
#AlbertEinstein #Einstein #Sinco #Tradição #Desde1982 #Xeon #Intel #Seagate #DataCenter #Empreendedor #Empreendedorismo https://t.co/wD5z2rTKHp</t>
  </si>
  <si>
    <t>Não discuta quando estiver com raiva. Não tome decisões quando estiver triste. Não faça promessas quando estiver feliz.
#Sinco #41anos #Tradição #Desde1982 #Xeon #Intel #Kingston #Seagate #DataCenter #Servidor #Empreendedor #Empreendedorismo #Informatica #IamIntel https://t.co/I3lMUCM37S</t>
  </si>
  <si>
    <t>Sua casa deve ser o antídoto contra o estresse. Não a causa dele!
Peter Walsh
#PeterWalsh #Sinco #41anos #Tradição #Desde1982 #Xeon #Intel #Kingston #Seagate #DataCenter #Servidor #Empreendedor #Empreendedorismo #Informatica #IamIntel https://t.co/UbPZl0jcuz</t>
  </si>
  <si>
    <t>O homem não teria alcançado o possível se não tivesse tentado, repetidas vezes, o impossível.
Max Weber
#MaxWeber #Sinco #41anos #Tradição #Desde1982 #Xeon #Intel #Kingston #Seagate #DataCenter #Servidor #Empreendedor #Empreendedorismo #Informatica #IamIntel https://t.co/UpW6MvkVBb</t>
  </si>
  <si>
    <t>Pessoas bem sucedidas sabem a diferença entre #paciência e #procrastinação.
#Sinco #41anos #Tradição #Desde1982 #Xeon #Intel #Kingston #Seagate #DataCenter #Servidor #Empreendedor #Empreendedorismo #Informatica #IamIntel https://t.co/UHlzA63q2i</t>
  </si>
  <si>
    <t>Se você olhar bem de perto, a maioria dos sucessos que aconteceram da noite para o dia levou muito tempo.
Steve Jobs
#SteveJobs #Jobs #Sinco #41anos #Tradição #Desde1982 #Xeon #Intel #Kingston #Seagate #DataCenter #Servidor #Empreendedor #Empreendedorismo #Informatica #IamIntel https://t.co/GAuOXARoI8</t>
  </si>
  <si>
    <t>Feliz dia do #Técnico em #Telecomunicações!
#Parabéns!  Vocês são operários da maior obra da Humanidade!
#telecom #provedordeinternet #internet #Sinco #41anos #Tradição #Desde1982 #Xeon #Intel #Kingston #Seagate #DataCenter #Servidor #Empreendedor #Empreendedorismo #Informatica https://t.co/oAfr8m70Vz</t>
  </si>
  <si>
    <t>Se um grande homem cair, mesmo depois da queda, ele continua grande.
Sêneca
#Seneca #Sinco #41anos #Tradição #Desde1982 #Xeon #Intel #Kingston #Seagate #DataCenter #Servidor #Empreendedor #Empreendedorismo #Informatica #IamIntel https://t.co/azwe1nFzxm</t>
  </si>
  <si>
    <t>Saber e não fazer, ainda não é saber.
Lao Tsé
#LaoTse #Sinco #41anos #Tradição #Desde1982 #Xeon #Intel #Kingston #Seagate #DataCenter #Servidor #Empreendedor #Empreendedorismo #Informatica #IamIntel https://t.co/HIlxlwrsfq</t>
  </si>
  <si>
    <t>Cavalos de potência vendem carros. O torque vence as corridas.
Carroll Shelby
#CarrollShelby #Shelby #Sinco #41anos #Tradição #Desde1982 #Xeon #Intel #Kingston #Seagate #DataCenter #Servidor #Empreendedor #Empreendedorismo #Informatica #IamIntel https://t.co/OePvzwb2t1</t>
  </si>
  <si>
    <t>Toda segurança de um #Firewall mal configurado!
#Sinco #41anos #Tradição #Desde1982 #Xeon #Intel #NetGate #PfSense #iPCop #OPNsense #ClearOS #Smoothwall #IPFire #FortiGate #LumiunBox #NGFW #Servidores #DataCenter #Informatica #empreendedorismo #empreendedor #IamIntel #Servidor https://t.co/Nk3qMa4oF1</t>
  </si>
  <si>
    <t>Por vezes a vida vai te trazer um erro antigo, só pra ver se você aprendeu a lição!
#Sinco #41anos #Tradição #Desde1982 #Xeon #Intel #Kingston #Seagate #DataCenter #Servidor #Empreendedor #Empreendedorismo #Informatica #IamIntel https://t.co/gaDcqQzJ6L</t>
  </si>
  <si>
    <t>A cultura come a estratégia no café da manhã.
Peter Drucker
#PeterDrucker #Sinco #41anos #Tradição #Desde1982 #Xeon #Intel #Kingston #Seagate #DataCenter #Servidor #Empreendedor #Empreendedorismo #Informatica #IamIntel https://t.co/YpbgOWI58U</t>
  </si>
  <si>
    <t>O tempo coloca cada rei no seu trono e cada palhaço no seu circo!  
#Sinco #41anos #Tradição #Desde1982 #Xeon #Intel #Kingston #Seagate #DataCenter #Servidor #Empreendedor #Empreendedorismo #Informatica #IamIntel https://t.co/sXUP1CHrAy</t>
  </si>
  <si>
    <t>Nossa maior fraqueza é a desistência. O caminho mais certeiro para o sucesso é sempre tentar apenas uma vez mais.
Thomas Edison
#ThomasEdison #ThomasAlvaEdison #Sinco #41anos #Tradição #Desde1982 #Xeon #Intel #Kingston #Seagate #DataCenter #Empreendedor #Empreendedorismo https://t.co/oWjCiaF7i2</t>
  </si>
  <si>
    <t>Bem feito é melhor que bem dito.
Benjamin Franklin
#BenFranklin #BenjaminFranklin #Sinco #41anos #Tradição #Desde1982 #Xeon #Intel #Kingston #Seagate #DataCenter #Servidor #Empreendedor #Empreendedorismo #Informatica #IamIntel https://t.co/xesbSpvwPt</t>
  </si>
  <si>
    <t>Seja sempre mais do que você parece ser e nunca pareça ser mais do que você é.
Angela Merkel
#AngelaMerkel #Sinco #41anos #Tradição #Desde1982 #Xeon #Intel #Kingston #Seagate #DataCenter #Servidor #Empreendedor #Empreendedorismo #Informatica #IamIntel https://t.co/4hAQHfQKhj</t>
  </si>
  <si>
    <t>Se não for certo, não faça. Se não for verdade, não diga.
Marco Aurélio
#Sinco #41anos #Tradição #Desde1982 #Xeon #Intel #Kingston #Seagate #DataCenter #Servidor #Empreendedor #Empreendedorismo #Informatica #IamIntel https://t.co/arFUnIAjvG</t>
  </si>
  <si>
    <t>Concentre-se naquilo que você é bom, delegue todo o resto.
Steve Jobs
#Jobs #SteveJobs #Sinco #41anos #Tradição #Desde1982 #Xeon #Intel #Kingston #Seagate #DataCenter #Servidor #Empreendedor #Empreendedorismo #Informatica #IamIntel https://t.co/THetmKF3y5</t>
  </si>
  <si>
    <t>Somente se aproxima da perfeição quem a procura com constância, sabedoria e, sobretudo humildade.
Jigoro Kano
#JigoroKano #Sinco #41anos #Tradição #Desde1982 #Xeon #Intel #Kingston #Seagate #DataCenter #Servidor #Empreendedor #Empreendedorismo #Informatica #IamIntel https://t.co/RQo8QDIRmZ</t>
  </si>
  <si>
    <t>Você não consegue escapar da responsabilidade de amanhã esquivando-se dela hoje.
Abraham Lincoln
#AbrahamLincoln #AbeLincoln #Sinco #41anos #Tradição #Desde1982 #Xeon #Intel #Kingston #Seagate #DataCenter #Servidor #Empreendedor #Empreendedorismo #Informatica #IamIntel https://t.co/Bz4kXJinIF</t>
  </si>
  <si>
    <t>Não adianta dizer: "Estamos fazendo o melhor que podemos". Temos que conseguir o que quer que seja necessário.
Winston Churchill
#Churchill #SirWinstonChurchill #WinstonChurchill #Sinco #41anos #Tradição #Desde1982 #Xeon #DataCenter #Empreendedor #Empreendedorismo https://t.co/OlpciUxn1u</t>
  </si>
  <si>
    <t>Entendendo em 18 segundos como funciona o sistema #tributario brasileiro!
#Empreendedor #Sinco #Desde1982 #Tradição #41anos #empreendedorismo https://t.co/m8gD8bGhXc</t>
  </si>
  <si>
    <t>Simples assim: Pra #empreender no Brasil, basta aguentar mais que essa porta.
#Sinco #41anos #Tradição #Desde1982 #empreendedorismo #empreendedor https://t.co/U4t3DWLV82</t>
  </si>
  <si>
    <t>Não deixe o que você não pode fazer interferir com o que você pode fazer.
John Wooden
#JohnWooden #Sinco #41anos #Tradição #Desde1982 #Xeon #Intel #Kingston #Seagate #DataCenter #Servidor #Empreendedor #Empreendedorismo #Informatica #IamIntel https://t.co/JfqFrPmqCu</t>
  </si>
  <si>
    <t>É bem melhor ser coautor de coisas brilhantes do que autor solitário de coisas medíocres.
Washington Olivetto
#WashingtonOlivetto #Sinco #41anos #Tradição #Desde1982 #Xeon #Intel #Kingston #Seagate #DataCenter #Servidor #Empreendedor #Empreendedorismo #Informatica #IamIntel https://t.co/uffe4SVrha</t>
  </si>
  <si>
    <t>Às vezes faço o que quero. O restante do tempo faço o que tem que ser feito.
Cícero
#Cicero #Sinco #41anos #Tradição #Desde1982 #Xeon #Intel #Kingston #Seagate #DataCenter #Servidor #Empreendedor #Empreendedorismo #Informatica #IamIntel https://t.co/FRV4xRJ4LL</t>
  </si>
  <si>
    <t>Uma semente cresce sem som, mas uma árvore cai com um ruído enorme. A destruição tem ruído, mas a criação é silenciosa. Esse é o poder do silêncio, crescer silenciosamente.
Confúcio
#Confucio #Sinco #Tradição #Desde1982 #Xeon #Intel #Kingston #Seagate #DataCenter #Empreendedor https://t.co/ezLyIt0scM</t>
  </si>
  <si>
    <t>Quando a educação limita a imaginação, chamamos de adestramento.
Nikola Tesla
#NikolaTesla #Sinco #41anos #Tradição #Desde1982 #Xeon #Intel #Kingston #Seagate #DataCenter #Servidor #Empreendedor #Empreendedorismo #Informatica #IamIntel https://t.co/JWImNn5kGR</t>
  </si>
  <si>
    <t>O prazer no trabalho aperfeiçoa a obra.
Aristóteles
#Aristoteles #Sinco #41anos #Tradição #Desde1982 #Xeon #Intel #Kingston #Seagate #DataCenter #Servidor #Empreendedor #Empreendedorismo #Informatica #IamIntel https://t.co/Y7ECtZatR1</t>
  </si>
  <si>
    <t>Errei mais de 9.000 arremessos na minha carreira. Perdi quase 300 jogos.
Eu tenho uma história repleta de falhas e fracassos em minha vida.
E é exatamente por isso que sou um sucesso.
Michael Jordan
#MichaelJordan #Empreendedor #Empreendedorismo https://t.co/6pR2lw4Iuz</t>
  </si>
  <si>
    <t>Basicamente é como #empreender no Brasil... É #tenso, dá medo mas, no final, dá tudo certo!
Converse com quem está #Desde1982 construindo #Servidores Reais
https://t.co/Y6kl3ZMOwm
#Empreendedor #Sinco #Tradição #Xeon #DataCenter #Empreendedor #empreendedorismo #Informatica https://t.co/zYweuUmttv</t>
  </si>
  <si>
    <t>Basicamente é como #empreender no Brasil... É #tenso, dá #medo mas, no final, dá certo!
#Empreendedor #Sinco #Desde1982 #Tradição #Xeon #41anos #Informatica #DataCenter #Empreendedorismo https://t.co/CTxvUsEncl</t>
  </si>
  <si>
    <t>Tudo fica melhor com um #café na mão!
#Empreendedor #Sinco #Desde1982 #Tradição #empreendedorismo https://t.co/j5JHprNkOQ</t>
  </si>
  <si>
    <t>O medo morre de medo da ação.
#Sinco #41anos #Tradição #Desde1982 #Xeon #Intel #Kingston #Seagate #DataCenter #Servidor #Empreendedor #Empreendedorismo #Informatica #IamIntel https://t.co/1nfrwBCkQd</t>
  </si>
  <si>
    <t>O gênio é composto por 2% de talento e 98% de perseverante aplicação.
Ludwig Van Beethoven
#Beethoven #LudwigVanBeethoven #Sinco #41anos #Tradição #Desde1982 #Xeon #Intel #Kingston #Seagate #DataCenter #Servidor #Empreendedor #Empreendedorismo #Informatica #IamIntel https://t.co/eGuVvHObfC</t>
  </si>
  <si>
    <t>Mais vale cumprir o próprio dharma, ainda que de forma imperfeita, do que cumprir de maneira perfeita o dever de outrem.
Krishna
#Krishna #Sinco #41anos #Tradição #Desde1982 #Xeon #Intel #Kingston #Seagate #DataCenter #Servidor #Empreendedor #Empreendedorismo #Informatica https://t.co/20Z6Q9YXWg</t>
  </si>
  <si>
    <t>Ninguém fica rico com clipes mas trafego orgânico é uma das melhores maneiras de fazer dinheiro sem gastar nada. Se você já tem dinheiro, foque em estudar como vender.
#blackrat #MarketingDigital #dinheiro #empreendedorismo #sucesso</t>
  </si>
  <si>
    <t>Sobre Print on Demand...
#blakrat #MarketingDigital #vendasonline #ganhardinheiro #dinheiro #mentalidade #empreendedorismo #trends #Trending #trend https://t.co/IykYA7q5Tq</t>
  </si>
  <si>
    <t>Quer ganhar dinheiro rápido?
#blackrat #marketingdigital #dinheiro #ganhardinheiro #vendasonline #empreendedorismo #sucesso https://t.co/AczHTf7hn3</t>
  </si>
  <si>
    <t>Esse é o registro de um dia muito especial em que estivemos em treinamento com a empresa Suzano em São Mateus/ES, e iremos atender 1400 mulheres empreendedoras durante 2 anos. 
#cufa #cufaes #empreendedorismo #mulheres #empoderamento #riqueza #favela https://t.co/P12qYxPJsU</t>
  </si>
  <si>
    <t>Pega o telefone e liga!
A conversão das suas vendas depende principalmente da sua comunicação.
. 7% está ligado ao texto
. 38% com o volume, timbre e entonação.
. 55% do que o cliente visualiza.
#Negocios  #empreendedorismo #sucesso #empreender #motivação #liderança https://t.co/Ur3iIMnvPv</t>
  </si>
  <si>
    <t>https://t.co/BmCq81flpa
#consulting #consultoria #Gastronomia #empreendedorismo</t>
  </si>
  <si>
    <t>Após a missão de prospecção, Brasil 🇧🇷 e São Tomé e Príncipe 🇸🇹 elaborarão, juntos, o documento de projeto a ser futuramente assinado pelos dois países.
#CooperaçãoBrasileira #Cooperação #CooperaçãoSulSul #Empreendedorismo #CooperaçãoBrasilSTP https://t.co/7LPiQqxFNV</t>
  </si>
  <si>
    <t>@lukahwy Da pra arrumar um trampo no museu #empreendedorismo</t>
  </si>
  <si>
    <t>🎯🏆
#empreendedorismo #cafetería #superaçao https://t.co/IzG3VFegGf</t>
  </si>
  <si>
    <t>SPLASH TERESÓPOLIS CAFETERIA 🐻
#bebasplash_teresopolis #cafeteria #teresopolis #empreendedorismo https://t.co/sCxMOjGwRK</t>
  </si>
  <si>
    <t>Para viver o propósito, é nescessário suportar o processo!
🎯🏆
.
.
.
.
.
#foconoobjetivo #proposito #processo #empreendedorismo #eusou #vendas #energiapositiva https://t.co/HrgjfTSV1F</t>
  </si>
  <si>
    <t>Fatos psicológicos que vão de DECEPCIONAR #sucesso #vida #foco #motivação #empreendedorismo https://t.co/PTT6t93kxD</t>
  </si>
  <si>
    <t>FAÇA isso por 6 meses que eu Garanto #sucesso #vida #foco #motivação #empreendedorismo https://t.co/hG1FdT3IFX</t>
  </si>
  <si>
    <t>3 coisas que o tempo me ENSINOU #sucesso #vida #foco #motivação #empreendedorismo https://t.co/QOC1otxEnf</t>
  </si>
  <si>
    <t>3 coisas que o tempo me ENSINOU #sucesso #vida #foco #motivação #empreendedorismo https://t.co/ifAT7Ja3ua</t>
  </si>
  <si>
    <t>Deixe o momento A FELICIDADE #sucesso #vida #foco #motivacional #empreendedorismo https://t.co/dqZtBrkQXs</t>
  </si>
  <si>
    <t>Você pensa ou fala DEMAIS sobre o PASSADO?  #sucesso #vida #foco #motivação #empreendedorismo https://t.co/zPXMFxZnIN</t>
  </si>
  <si>
    <t>A vida não fica mais FÁCIL #sucesso #foco #vida #motivação #empreendedorismo https://t.co/kjjdgn2sWA</t>
  </si>
  <si>
    <t>Fatos do seu CÉREBRO que você DEVE saber #sucesso #vida #foco #motivação #empreendedorismo https://t.co/rWc9umusBz</t>
  </si>
  <si>
    <t>Não tenha MEDO de crescer devagar #sucesso #vida #foco #motivacional #empreendedorismo https://t.co/LBQ5VuuI6k</t>
  </si>
  <si>
    <t>4 Formas de ENCARAR  o seu trabalho...#sucesso #foco #motivação #empreendedorismo #vida https://t.co/CH4CBpUWbT</t>
  </si>
  <si>
    <t>3 truques INCRÍVEIS  para impressionar #sucesso #foco #vida #empreendedorismo #psicologia https://t.co/QITvTARTqI</t>
  </si>
  <si>
    <t>3 Ensinamentos que se VOCÊ ESCUTAR... #sucesso #vida #foco #motivacional #empreendedorismo https://t.co/UzlUj7BzNd</t>
  </si>
  <si>
    <t>4 LUGARES onde você NÃO deve desperdiçar energia #sucesso #foco #vida #motivação #empreendedorismo https://t.co/PilfihUHrL</t>
  </si>
  <si>
    <t>3 coisas que FAZEM a tua vida não ir PARA FRENTE #sucesso #foco #vida #motivação #empreendedorismo https://t.co/xcIb5I4wiH</t>
  </si>
  <si>
    <t>VERDADES que vão te SURPREENDER #sucesso #vida #foco #motivação #empreendedorismo #psicologia https://t.co/XiCxbDCXsU</t>
  </si>
  <si>
    <t>Começando a postar agora, vou criar uma frequência aqui no #twitter #empreendedorismo #OnlineLearning #businessIsbusiness #MarketingDigital</t>
  </si>
  <si>
    <t>#boanoite vamos descansar... enquantos muitos dorme outros trabalham... e isso é motivador.
#empreendedorismo #jeffzanetti #ocegomotivador</t>
  </si>
  <si>
    <t>@paullosergioz7 Boa pra cima #empreender #empreendedorismo #afiliados</t>
  </si>
  <si>
    <t>Essa é a Tag que vou usar para divulgar minha palestra probono &amp;gt;&amp;gt; #jeffpalestraprobono #probono #palestra #empreendedorismo</t>
  </si>
  <si>
    <t>Meu nome é Jefferson sou empreendedor digital e sou deficiente visual desde os 16 anos de idade, estou aqui no Twitter para divulgar minha palestra probono que pode ser no formato online ou presencial. #sigame #FolloMe #empreendedorismo #marketingdigital #motivacao #business</t>
  </si>
  <si>
    <t>Seja um empreendedor digital visionário e aproveite o poder da Builderall para alcançar resultados extraordinários! 🚀✨ #Empreendedorismo #Builderall #MarketingDigital #NegóciosOnline #Sucesso</t>
  </si>
  <si>
    <t>Com uma plataforma completa de marketing digital, você tem todas as ferramentas necessárias para criar, automatizar e expandir sua presença online. 🚀✨ #Empreendedorismo #Builderall #MarketingDigital #NegóciosOnline #Sucesso</t>
  </si>
  <si>
    <t>💼💡 Empreender com a Builderall é a chave para transformar suas ideias em negócios de sucesso.🚀✨ #Empreendedorismo #Builderall #MarketingDigital #NegóciosOnline #Sucesso</t>
  </si>
  <si>
    <t>🚀Seja corajoso, persistente e ousado em sua jornada empreendedora. Não tenha medo de falhar, pois cada fracasso é uma oportunidade de aprendizado. Vá em frente e conquiste o sucesso que você merece! 💪✨ #Empreendedorismo #Inovação #Persistência #Ousadia #Sucesso</t>
  </si>
  <si>
    <t>A visão pode te guiar em meio a escuridão... mas quem te guia mesmo são suas decisões!
#empreendedorismo #brasil #business #marketing #marketingdigital</t>
  </si>
  <si>
    <t>Continue em frente mesmo que você caia...
#motivacao #empreendedorismo #MarketingDigital</t>
  </si>
  <si>
    <t>O empreendedorismo é como um quebra-cabeça: requer paciência, criatividade e persistência para unir as peças do sucesso. Encare os desafios com coragem e transforme seus sonhos em realidade. #Empreendedorismo #Sucesso 💼🚀</t>
  </si>
  <si>
    <t>Why Digital Marketing is Important to Learn Today?
.
.
Link:- https://t.co/w34fw3VZI7
.
.
.
.
#digitalmarketing #business #entrepreneur #facebook  #marketingdigital #socialmedia #entrepreneurship #empreendedorismo #startup #digitalmarketing #workfromhome #dotnetinstitute https://t.co/TN53gAwhD0</t>
  </si>
  <si>
    <t>Com emenda parlamentar do deputado @caiofranca_ vem aí o #SimplificaDiadema. Um espaço voltado ao #empreendedor e ao #trabalhador. Vários serviços oferecidos em um único local: #jucesp #empregadiadema #bancodopovo #sebrae #cooperadiadema #polocosmético #saladoempreendedor</t>
  </si>
  <si>
    <t>Você vai aprender uma coisa tá 
 👇https://t.co/Fgzwxe6ret
.
.
#empreendedor</t>
  </si>
  <si>
    <t>Com esse treinamento, você estará apto a aplicar as técnicas e ferramentas necessárias para maximizar o seu engajamento online. Portanto, não perca tempo e faça a sua inscrição pelo link da BIO do @sebraece.🚀
#sebraece #marketing 
#empreendedorismo</t>
  </si>
  <si>
    <t>Quero transformar marcas em experiências significativas, conectando pessoas através do poder do design estratégico. Juntos, vamos construir histórias que impactam o mundo.🔥
#microempresa #começando #empresa #publicidade #marketing #identidadevisual #design #empreendedorismo https://t.co/R0TbJvk4B5</t>
  </si>
  <si>
    <t>🚨 NOTÍCIA: #GAM inicia conversas com investidores para obtenção de financiamento após a oferta da Liontrust ser rejeitada.
A empresa espera encontrar soluções inovadoras para garantir a continuidade de seus projetos. #Finanças #Investimento #Empreendedorismo
Fonte: France 24.</t>
  </si>
  <si>
    <t>🚨 NOTÍCIA: Andrey Melnichenko: "Não faz sentido falar sobre o bem e o mal".
O empresário russo desafia o nosso entendimento sobre o que é certo ou errado. Será que nossas percepções são definitivas? #Empreendedorismo #AndreyMelnichenko #BemEOMal
Fonte: France 24.</t>
  </si>
  <si>
    <t>Olá, estou te convidando para seguir meu perfil na rede social Bom Perfil, essa plataforma preza pela liberdade de expressão! DEMOSTRE seu patriotismo! 🇧🇷 #BomPerfil #RedeSocil #empreendedorismo 
https://t.co/bylh3aoPTt</t>
  </si>
  <si>
    <t>RT @LOBSContabilid1: Apesar de se tratar de uma compensação pelo trabalho, o pró-labore deve ser retirado de forma consciente.
#LobsContab…</t>
  </si>
  <si>
    <t>´ Erros que chamam atenção do fisco´
Siga @danielsmcontabil para dicas contábeis e sobre negócios.
#empreendedorismo #negocios #fisco #receitafederal #omissão #contabil #contabilidade #erro #erros #siga https://t.co/iGILBD4d5c</t>
  </si>
  <si>
    <t>Vem que eu te ensino, link na bio 🤑💸 #rendaextra #MarketingDigital #liberdadefinanceira #sucesso #empreendedorismo https://t.co/rPqOT0XI3C</t>
  </si>
  <si>
    <t>💡 "Não espere por oportunidades, crie-as." 
George Bernard Shaw 🚀 
#Oportunidade #Empreendedorismo #CrieSeuFuturo</t>
  </si>
  <si>
    <t>SEJA BEM VINDO A BAHIA @byd_brasil 🇧🇷
AVANÇA CAMAÇARI!🙅🏽‍♂️🚀🚘
Parabéns a todos os envolvidos nesses grandioso projeto! GANHA A POPULAÇÃO! 👏🏽👏🏽👏🏽👏🏽
#empreendedorismo #emprego #bydauto #seagull #híbridoSong #Dolphin #camaçari #bahia #🇧🇷
https://t.co/SIY2B6iVmo</t>
  </si>
  <si>
    <t>DPA💙
#confeiteira #maesfesteiras #bolodorio #mãosdefada #empresária #bolosdecorados#bolosdepotegourmet #empreendedorismo  #gratidão #avidaehj #TikTok#detetivesdopredioazul #topperdebolo#temasdiversos#jiujitsu #topperdebolopersonalizado #chantinho #chantimixamelia #cores https://t.co/1yLLmYCPfK</t>
  </si>
  <si>
    <t>Confeitaria artesanal🍰
#confeiteira #maesfesteiras #bolodorio #mãosdefada #empresária #bolosdecorados#bolosdepotegourmet #empreendedorismo  #gratidão #avidaehj #TikTok #topperdebolo#temasdiversos#jiujitsu #topperdebolopersonalizado #chantinho #chantimixamelia #cores https://t.co/o5pfNroRt0</t>
  </si>
  <si>
    <t>Marsha e o urso🩷
#confeiteira #maesfesteiras #bolodorio #mãosdefada #empresária #bolosdecorados#bolosdepotegourmet #empreendedorismo  #gratidão #avidaehj #TikTok#marshaeourso #topperdebolo#temasdiversos#jiujitsu #topperdebolopersonalizado #chantinho #chantimixamelia #cores https://t.co/6bYJK6KSf0</t>
  </si>
  <si>
    <t>Bolofofos 🩷
#confeiteira #maesfesteiras #bolodorio #mãosdefada #empresária #bolosdecorados#bolosdepotegourmet #empreendedorismo  #gratidão #avidaehj #TikTok#bolofofos #topperdebolo#temasdiversos#jiujitsu #topperdebolopersonalizado #chantinho #chantimixamelia #cores https://t.co/bhMt2jS4pL</t>
  </si>
  <si>
    <t>Ballons💙
#confeiteira #maesfesteiras #bolodorio #mãosdefada #empresária #bolosdecorados#bolosdepotegourmet #empreendedorismo  #gratidão #avidaehj #TikTok#balloons #topperdebolo#temasdiversos#jiujitsu #topperdebolopersonalizado #chantinho #chantimixamelia #cores https://t.co/OlV4XxH8ea</t>
  </si>
  <si>
    <t>Bolofofos 💙
#confeiteira #maesfesteiras #bolodorio #mãosdefada #empresária #bolosdecorados#bolosdepotegourmet #empreendedorismo  #gratidão #avidaehj #TikTok#bolofofos #topperdebolo#temasdiversos#jiujitsu #topperdebolopersonalizado #chantinho #chantimixamelia #cores https://t.co/5S1iKnGDHV</t>
  </si>
  <si>
    <t>Jasmine💙
#confeiteira #maesfesteiras #bolodorio #mãosdefada #empresária #bolosdecorados#bolosdepotegourmet #empreendedorismo  #gratidão #avidaehj #TikTok#jasmine #topperdebolo#temasdiversos#jiujitsu #topperdebolopersonalizado #chantinho #chantimixamelia #cores https://t.co/gyDyy7CQSJ</t>
  </si>
  <si>
    <t>Dinossauros 🦖🦕
#confeiteira #maesfesteiras #bolodorio #mãosdefada #empresária #bolosdecorados#bolosdepotegourmet #empreendedorismo  #gratidão #avidaehj #TikTok#dinoussauro #topperdebolo#temasdiversos#jiujitsu #topperdebolopersonalizado #chantinho #chantimixamelia #cores https://t.co/5jtu88QXMg</t>
  </si>
  <si>
    <t>Nossa nova série no youtube: Coworking em Minutos.
Nele nosso CEO (Paulo Leite) traz informações, curiosidades e aspectos que envolve o coworking e seus serviços.
https://t.co/jvgfm6rijl
#coworking #empreendedorismo</t>
  </si>
  <si>
    <t>Se liga aqui nessas dicas em como escolher um nome para sua marca!
#ghostweb #empreendedorismo #dicas #tecnologia #viral #f4f #business #marcas #webdesign https://t.co/d6H0nksCrq</t>
  </si>
  <si>
    <t>Seja bem-vindo à Ghost Web Digital!
Somos a parceria ideal para o seu negócio. Com nossa ajuda, sua empresa alcançará novos patamares de sucesso. 🚀✨
.
.
#sucessodigital #marketingdigital #cod #dev #marketing #javascript #developer #empreendedorismo #sucesso #programmer https://t.co/hFDUEbmWDJ</t>
  </si>
  <si>
    <t>¡Gracias por acompañarnos en este maravilloso evento de Zumba junto con @florida.blue en el día de Ayer!
Un placer poder compartirlo con ustedes 🌷🙌
¡Nos vemos en el próximo evento!
#mujer #marketing #mujeresemprendedoras #empreendedorismo #emprenderores #bienestar #accion https://t.co/ALCwBJKjaS</t>
  </si>
  <si>
    <t>Adquirindo o Águia 2.0 você terá acesso ao curso, atualizações e atendimento pelo suporte durante 1 ano. 
#empreendedorismo
#online #trabalho #curso #cursoonline #MarketingDigital #estrategia #estrategiadevendas #plataformadevendas #anuncios #ondecompra</t>
  </si>
  <si>
    <t>Lute com determinação, abrace a vida com paixão, perca com classe e vença com ousadia, porque o mundo pertence a quem se atreve e a vida é muito para ser insignificante.
#motiva #motivacao #foco #sucesso #empreendedorismo #fitness #marketingdigital #amor #brasil #f #Motivation</t>
  </si>
  <si>
    <t>Vim apresentar minha recente conquista, dando continuidade ao aprendizado contínuo com a colaboração da @Tim e da @descomplica,  mais um passo com esse curso enriquecedor e essencial ao meu currículo. #gratidao #lifelonglearning #lideranca #cursos #certificado #empreendedorismo: https://t.co/UePZsA5UEW</t>
  </si>
  <si>
    <t>#EMPREENDEDORISMO 🪡🧵 É NESTE SÁBADO (22)! Quem for à Casa do Artesão, vai aprender a produzir bonecas de pano. As inscrições abrem nesta terça-feira (18). Saiba mais! 👇🏼
https://t.co/ucUBay7OP0</t>
  </si>
  <si>
    <t>#Empreendedorismo 💻 A Sala do empreendedor está em reforma até sexta-feira (18) e nesta semana o atendimento é pelo e-mail empreendedorsantista@santos.sp.gov.br.
📲 Solicitações de alvará inicial, alterações de endereço, atividade e tipo jurídico seguem via plataforma digital.</t>
  </si>
  <si>
    <t>#EMPREENDEDORISMO 👩🏻‍💻📃 Os microempreendedores individuais (MEI) de Santos devem ficar atentos com as alterações para a emissão de notas fiscais de serviço eletrônicas a partir de 1º de setembro. Saiba mais! 👇🏼
https://t.co/Id5JKdlMwu</t>
  </si>
  <si>
    <t>#EMPREENDEDORISMO 💻 As aulas serão de 12 de setembro e 4 de outubro e abordarão vários temas, como para ‘Faça a divulgação certa e atraia mais clientes’ e ‘TikTok: Como inovar na divulgação’.
Informações pelo WhatsApp 13-3208-0026.
https://t.co/qquRx5pFp8</t>
  </si>
  <si>
    <t>#EMPREENDEDORISMO 👩🏽‍💻💰 Feito em Santos e Sebrae abrem 300 vagas e inscrições gratuitas para curso on-line ‘Faça fluxo de caixa e saiba para onde vai o seu dinheiro’. Faça sua inscrição através do link! 👇🏼
https://t.co/u71cUpkJAz</t>
  </si>
  <si>
    <t>#EMPREENDEDORISMO 🥳 Arte em resina é o tema da próxima capacitação GRATUITA, realizada na Casa do Artesão de Santos. Saiba mais! 👇🏼
https://t.co/yBE0pLYWSV</t>
  </si>
  <si>
    <t>#EMPREENDEDORISMO 👨🏼‍🦳👩🏾‍🦳 OPORTUNIDADE PARA TODOS! Neste novo programa, a primeira capacitação terá como tema ‘Empreenda Rápido: Seja um empreendedor com atitudes certeiras – Inteligência Emocional’, que levará os participantes 50+ a compreender como o reconhecimento das emoções.</t>
  </si>
  <si>
    <t>#EMPREENDEDORISMO 💻 O evento vai acontecer O  nesta terça-feira (5), a partir das 19h30, no Centro Cultural, localizado na Passarela do Samba Dráusio da Cruz (Av. Afonso Schmidt s/nº, Castelo). Veja como participar:
https://t.co/bKs54mukgv</t>
  </si>
  <si>
    <t>#EMPREENDEDORISMO 🛍 CINCO ANOS COM MUITAS ATRAÇÕES E SOLIDARIEDADE! Neste fim de semana acontece uma edição especial da feira de economia criativa Gran Expo Bazar, para celebrar os cinco anos do evento. Serão 200 empreendedores da região expondo produtos de diversos segmentos!</t>
  </si>
  <si>
    <t>🎯#AgenciaDeMarketing #Builderall #Empreendedorismo #MarketingDigital
#lifeassist #Turismo #Autoconhecimento</t>
  </si>
  <si>
    <t>Feliz Aniversário Filha!
Muita Luz, Saúde, Conquistas...
.
Te amo!
Beijos, Cheiros...
Papis...
.
#JorgeMorgado #VivaMelhor #Parabéns #Filha
#MarketingDigital #Empreendedorismo #FunnelClub
#voceonlinePONTOxyz
.
#VemComigo #VemProDigital
#builderallPONTOvoceonlinePONTOxyz
. https://t.co/eizyqXIVrY</t>
  </si>
  <si>
    <t>Feliz Aniversário Mamis!
Muita Saúde, Viagens (claro...rss)...
.
Te amo coroa! KKK
Beijos
Do 01 (EU) KKK
.
#JorgeMorgado #VivaMelhor #Parabéns #Mamis
#MarketingDigital #Empreendedorismo #FunnelClub
#voceonlinePONTOxyz
#VemComigo #VemProDigital
#builderallPONTOvoceonlinePONTOxyz
. https://t.co/lQ8UbLkhBY</t>
  </si>
  <si>
    <t>🎯#AgenciaDeMarketing #Builderall #MICTMR #Empreendedorismo #MarketingDigital #TerceiroSetor
#TurmaDoCinema #IndependenciaDoBrasilJM #lifeassist #Turismo
.</t>
  </si>
  <si>
    <t>🚀A todos (as) Administradores!🚀
🤩🤩PARABÉNS!👏👏
.
Linda e Fundamental Profissão!
Uma ideia (projeto) sem uma Gestão de Excelência não vai para frente!
.
#JorgeMorgado
🎯#VemComigo
.
#Administração #MarketingDigital #MorgadoOnline
#BuilderAll #Empreendedorismo #TerceiroSetor
. https://t.co/IgBcas64YV</t>
  </si>
  <si>
    <t>Conheça nossa área de personalização. Encante seus clientes, afinal SEU CLIENTE MERECE UM BRINDE!
#edbrindes #brindes #producao  #seuclientemereceumbrinde #empreendedorismo #empreendedor #brindescorporativos #brindesparaclientes #brindespersonalizados https://t.co/yinpnP2Pkc</t>
  </si>
  <si>
    <t>Mochilas? Chegou as novidades que vão encantar seus Clientes
#edbrindes #brindes #mochilaspersonalizadas #seuclientemereceumbrinde #empreendedorismo #empreendedor #brindescorporativos #brindesparaclientes #brindespersonalizados https://t.co/WLfDWBifmn</t>
  </si>
  <si>
    <t>Como escolher brindes para os Clientes? Essas 3 dicas vão fazer toda a diferença 
#dica #edbrindes #brindes #seuclientemereceumbrinde #empreendedorismo #empreendedor #brindescorporativos #brindesparaclientes #brindespersonalizados https://t.co/UM8ZcfLtNA</t>
  </si>
  <si>
    <t>🎯 Quer conquistar mais clientes? Confira essas 5 estratégias infalíveis! #gopage #vendas #MarketingDigital #empreendedor #site 
https://t.co/tvbCyeGGhg https://t.co/1hCEbpHVT4</t>
  </si>
  <si>
    <t>Confira o depoimento de nosso cliente Hugo Barone sobre a Gopage #gopage #site #marketingdigital #ads #empreendedorismo
https://t.co/pObAxtji6h</t>
  </si>
  <si>
    <t>Com a Rede PIU, você pode expandir seu leque de serviços e atrair cada vez mais clientes para o seu negócio!
Imagine poder oferecer aos seus clientes a praticidade de recarregar créditos para jogos, comprar vouchers de entretenimento e muito mais. #RedePiu #empreendedorismo https://t.co/I17VOS3mJy</t>
  </si>
  <si>
    <t>🗣️ Diogo Valente e Tiago Rebelo, #30under30 os jovens empreendedores num evento da @Forbes_Portugal 
https://t.co/roEPzCkQ4p
#CentraldeCompras #Retalho #Logistica #Distribuição #Empreendedorismo</t>
  </si>
  <si>
    <t>Fique com alguns dos momentos do passado dia 7 de Julho, da inauguração da Incubadora Com.Estrela e da entrega de prémios do Projeto #EstrelaDigital que visa distinguir ideias inovadoras.
#HiperRetail #empreendedorismo #distribuição #retalho #centraldecompras https://t.co/efUx6t4LXH</t>
  </si>
  <si>
    <t>O livre mercado é um ambiente fértil para a inovação e o empreendedorismo. A liberdade de entrada e saída de empresas impulsiona o progresso econômico e a melhoria contínua de produtos e serviços. #Inovação #Empreendedorismo</t>
  </si>
  <si>
    <t>🤔 O #empreendedorismo é um terreno fértil para #jornalistas, mas muitos deixam de explorar esse caminho por medo ou falta de incentivo…
🎯 Para te ajudar, desenvolvemos um curso próprio para #comunicadores. Aproveite o desconto de 40%: https://t.co/SmDMsFsRhz https://t.co/AOVYC7C3u0</t>
  </si>
  <si>
    <t>📷 O #empreendedorismo é um terreno fértil para #jornalistas, mas muitos deixam de explorar esse caminho por medo ou falta de incentivo…
📷 Para te ajudar, desenvolvemos um curso próprio para #comunicadores. Aproveite o desconto de 40%: https://t.co/SmDMsFsRhz https://t.co/XVFXn0euO7</t>
  </si>
  <si>
    <t>Conteúdo completo no Instagram @impulsaopet_ 
#mercadopet #empreendedorismo #empreendedorismopet #treinamento #petshop #empreendedorpet https://t.co/w7GqFvVpdB</t>
  </si>
  <si>
    <t>#fypシ #mercadopet #empreendedorismo #empreendedorismopet #treinamento #petshop #empreendedorpet https://t.co/TH0P5MuRem</t>
  </si>
  <si>
    <t>#mercadopet #empreendedorismo #empreendedorismopet #treinamento #petshop #empreendedorpet #FYP https://t.co/uNb8cGmvuQ</t>
  </si>
  <si>
    <t>#mercadopet #empreendedorismo #empreendedorismopet #treinamento #petshop #empreendedorpet https://t.co/yRIjOOhNv8</t>
  </si>
  <si>
    <t>Apresentamos a vocês o Mercademia Podcast, um espaço onde os universos do empreendedorismo e da academia se encontram. Siga o nosso #Instagram que em breve teremos o primeiro episódio 🚀🎯🎙️
https://t.co/BE250jjtBg 
#MercademiaPodcast #Empreendedorismo #Gestão #Podcast</t>
  </si>
  <si>
    <t>A inovação surge quando você está disposto a questionar o status quo e a abraçar a mudança.
Inovação é a chave para o sucesso nos negócios. Seja curioso, questionador e aberto a novas ideias e abordagens.
#Desafio75Dias #Inovação #Empreendedorismo #Sucesso</t>
  </si>
  <si>
    <t>#DiaDoIrmão  #Edenred #Empreendedor #ImpulsioneSeuNegócio https://t.co/s5Sbwa6n7t</t>
  </si>
  <si>
    <t>Gostou ? Me segue pra mais vídeos como esse. 💰☘️🦋🙌
#harveyspecter #Suits #empreendedor #empreendedorismo #marketingdigital #outlier https://t.co/d4NnbgNZOD</t>
  </si>
  <si>
    <t>Monetiza tu pasión en línea, piensa en: 
- Ofrecer consultorías virtuales
- Cursos en línea 
- Crea productos descargables
 #cursos #cursosonline #empreendedorismo #consultoria #empresa https://t.co/yNXu3FJ19v</t>
  </si>
  <si>
    <t>#mentalmente #saude #saudemental #saudavel #inteligenciaemocional #trabalho #negocios #finanças #empreendedorismo #marketing #marketingdigital #riqueza #dinheiro #rico #brasil</t>
  </si>
  <si>
    <t>Compartilhe essa informação com seus amigos empreendedores e ajude-os a entender as nuances entre MEI e ME. O conhecimento é poder! ☺
#MEI #ME #empreendedorismo #negócios #SimplesNacional #empreender https://t.co/gP3CWSpFHy</t>
  </si>
  <si>
    <t>Thanks Lisa for the testimony. Hope you are having a great day.
#allison #carolpaiffer #palestra #belohorizonte #sebraeefestival #empreendedorismo #investimentos #sharktankbr #dinheiro https://t.co/Bn1EMR4fQd</t>
  </si>
  <si>
    <t>Você faz parte dos 99% das micros e pequenas empresas do País?
Então você precisa entender a importância dos processos e gestões para o crescimento da sua empresa. Me chama aqui, que eu posso lhe ajudar.
#empreendedorismo #gestao #gestor #dicas #microem…https://t.co/LoRIMTfIh9</t>
  </si>
  <si>
    <t>Você não vai acreditar no segredo por trás dessa receita!
#bolos #confeitaria #mulher #empreendedorismo #rendaemcasa #negocios #sobremesas https://t.co/UtybV8uvzC</t>
  </si>
  <si>
    <t>Descubra o segredo de um bolo perfeito!
#bolos #confeitaria #mulher #empreendedorismo #rendaemcasa #negocios #sobremesas https://t.co/qdDOQWrCY7</t>
  </si>
  <si>
    <t>Buddy revela segredos impressionantes da sua doceria 
#bolos #confeitaria #mulher #empreendedorismo #rendaemcasa #negocios #sobremesas https://t.co/ojJ0Yhg60J</t>
  </si>
  <si>
    <t>Quer mais dicas? Me segue e confere o link da bio!
#bolos #confeitaria #mulher #empreendedorismo #rendaemcasa #negocios #sobremesas https://t.co/epUyK9ivEf</t>
  </si>
  <si>
    <t>Link da nossa apostila na bio, aprenda a faturar com bolos!
#bolos #confeitaria #mulher #empreendedorismo #rendaemcasa #negocios #sobremesas https://t.co/oEVRAgPM04</t>
  </si>
  <si>
    <t>Quer aprender a viver da confeitaria? Digita "EU QUERO" nos comentário!
#bolos #confeitaria #mulher #empreendedorismo #rendaemcasa #negocios #sobremesas https://t.co/mJd5djwsGl</t>
  </si>
  <si>
    <t>Incrível essa receita neh, quer aprender essas e muitas outras para viver de confeitaria? Link na Bio
#bolos #confeitaria #mulher #empreendedorismo #rendaemcasa #negocios #sobremesas https://t.co/GKOUWFjagU</t>
  </si>
  <si>
    <t>Bolo Colorido: Como Usar Corantes para Deixar Seus Bolos Vibrantes
#bolos #confeitaria #mulher #empreendedorismo #rendaemcasa #negocios #sobremesas https://t.co/W0Pdt5HIy6</t>
  </si>
  <si>
    <t>Receita incrível neh?Me segue para mais
#bolos #confeitaria #mulher #empreendedorismo #rendaemcasa #negocios #sobremesas #pizza https://t.co/xr7P41A95F</t>
  </si>
  <si>
    <t>Me segue para mais!
#bolos #confeitaria #mulher #empreendedorismo #rendaemcasa #negocios #sobremesas https://t.co/zKiDyzzSKE</t>
  </si>
  <si>
    <t>Bolo incrìvel neh? Me segue para mais!
#bolos #confeitaria #mulher #empreendedorismo #rendaemcasa #negocios #sobremesas https://t.co/QMJVz7Nk1L</t>
  </si>
  <si>
    <t>Quer aprender essa e muitas outras receitas? Link da Bio
#bolos #confeitaria #mulher #empreendedorismo #rendaemcasa #negocios #sobremesas https://t.co/P5HbtY4UHZ</t>
  </si>
  <si>
    <t>Quer faturar muito com bolo? Link na Bio
#bolos #confeitaria #mulher #empreendedorismo #rendaemcasa #negocios #sobremesas https://t.co/RT3J8CjhnK</t>
  </si>
  <si>
    <t>Quer aprender a faturar com bolos? Link na Bio!
#bolos #confeitaria #mulher #empreendedorismo #rendaemcasa #negocios #sobremesas https://t.co/Wldm7JZdnZ</t>
  </si>
  <si>
    <t>Link da Bio para aprender a viver com a confeitaria!
#bolos #confeitaria #mulher #empreendedorismo #rendaemcasa #negocios #sobremesas https://t.co/22IgGPt7UL</t>
  </si>
  <si>
    <t>Para aprender mais dicas como essas Link da Bio!
#bolos #confeitaria #mulher #empreendedorismo #rendaemcasa #negocios #sobremesas https://t.co/CFqWwVL58s</t>
  </si>
  <si>
    <t>Não esqueçe de conferir nosso link na bio e aprenda a faturar com bolo!
#bolos #confeitaria #mulher #empreendedorismo #rendaemcasa #negocios #sobremesas https://t.co/ZqIpRZDjQ1</t>
  </si>
  <si>
    <t>Me segue para mais decorações como essa!
#bolos #confeitaria #mulher #empreendedorismo #rendaemcasa #negocios #sobremesas https://t.co/xkWoE8TPsT</t>
  </si>
  <si>
    <t>Me segue para mais decorações como essa!
#bolos #confeitaria #mulher #empreendedorismo #rendaemcasa #negocios #sobremesas https://t.co/cV8IKyZu0l</t>
  </si>
  <si>
    <t>Quer mais receitas? Link na Bio!
#bolos #confeitaria #mulher #empreendedorismo #rendaemcasa #negocios #sobremesas https://t.co/9JlcVm3ohd</t>
  </si>
  <si>
    <t>Dica de confeitaria incrível! Confere o Link da Bio
#bolos #confeitaria #mulher #empreendedorismo #rendaemcasa #negocios #sobremesas https://t.co/taqcivlXRJ</t>
  </si>
  <si>
    <t>Eai comenta o que achou dessa receitinhas!
#bolos #confeitaria #mulher #empreendedorismo #rendaemcasa #negocios #sobremesas https://t.co/4Z8DuhZ11g</t>
  </si>
  <si>
    <t>🍰Aprenda essas Dica incríveis no meu perfil!
#bolos #confeitaria #mulher #empreendedorismo #rendaemcasa #negocios #sobremesas https://t.co/fjAnLZnTLU</t>
  </si>
  <si>
    <t>Aprenda a viver de confeitaria com nosso ebook, link na bio!
#bolos #confeitaria #mulher #empreendedorismo #rendaemcasa #negocios #sobremesas https://t.co/p1cbi7o35n</t>
  </si>
  <si>
    <t>Quer mais receitas? Link na bio do Instagram!
#bolos #confeitaria #mulher #empreendedorismo #rendaemcasa #negocios #sobremesas https://t.co/Upe2hBIpYD</t>
  </si>
  <si>
    <t>Pegou a dica? Me segue para mais
#bolos #confeitaria #mulher #empreendedorismo #rendaemcasa #negocios #sobremesas https://t.co/P24lMp7vk0</t>
  </si>
  <si>
    <t>O que achou desse bolo decorado?
#bolos #confeitaria #mulher #empreendedorismo #rendaemcasa #negocios #sobremesas https://t.co/c9TPWb2Pvp</t>
  </si>
  <si>
    <t>Bolo incrível neh! Me segue para mais!
#bolos #confeitaria #mulher #empreendedorismo #rendaemcasa #negocios #sobremesas https://t.co/BxgtOT8GH0</t>
  </si>
  <si>
    <t>Me segue para mais dicas como essas!
#bolos #confeitaria #mulher #empreendedorismo #rendaemcasa #negocios #sobremesas https://t.co/11GxKEWhIY</t>
  </si>
  <si>
    <t>Receita incrívell, compartilha com seus amigos para eles fazerem com você!
#bolos #confeitaria #mulher #empreendedorismo #rendaemcasa #negocios #sobremesas https://t.co/j71ZxDKfzq</t>
  </si>
  <si>
    <t>Linda essa decoração neh?Me segue para mais!
#bolos #confeitaria #mulher #empreendedorismo #rendaemcasa #negocios #sobremesas https://t.co/e4qVZWcHnU</t>
  </si>
  <si>
    <t>Cake or Fake?
#bolos #confeitaria #mulher #empreendedorismo #rendaemcasa #negocios #sobremesas https://t.co/nipvpoUFlZ</t>
  </si>
  <si>
    <t>Receita de bolo Matcha!
#bolos #confeitaria #mulher #empreendedorismo #rendaemcasa #negocios #sobremesas https://t.co/itTg86CeQN</t>
  </si>
  <si>
    <t>Bolinho espelhado delicioso! 
#bolos #confeitaria #mulher #empreendedorismo #rendaemcasa #negocios #sobremesas https://t.co/dydDY6Rl3P</t>
  </si>
  <si>
    <t>As receitas fáceis e incríveis que você não imaginava! 
#bolos #confeitaria #mulher #empreendedorismo #rendaemcasa #negocios #sobremesas https://t.co/rYiG2uMVAG</t>
  </si>
  <si>
    <t>Incrível essa receita neh, quer aprender essas e muitas outras para viver de confeitaria? Link na Bio
#bolos #confeitaria #mulher #empreendedorismo #rendaemcasa #negocios #sobremesas https://t.co/crav2jW770</t>
  </si>
  <si>
    <t>Quer aprender receitas deliciosas como essas e transformar isso em um trabalho? Link da Bio
#bolos #confeitaria #mulher #empreendedorismo #rendaemcasa #negocios #sobremesas https://t.co/7xmuCmRB59</t>
  </si>
  <si>
    <t>Quer aprender a viver da confeitaria? Digita "EU QUERO" nos comentário!
#bolos #confeitaria #mulher #empreendedorismo #rendaemcasa #negocios #sobremesas https://t.co/zsmORPnzg1</t>
  </si>
  <si>
    <t>Bolo lindo neh! Quer aprender tudo isso, Link na Bio
#bolos #confeitaria #mulher #empreendedorismo #rendaemcasa #negocios #sobremesas https://t.co/sA6vTS6fAs</t>
  </si>
  <si>
    <t>Bolo da Caixa da Amazon!
#bolos #confeitaria #mulher #empreendedorismo #rendaemcasa #negocios #sobremesas https://t.co/MXpvAVrIkY</t>
  </si>
  <si>
    <t>Cake or Fake?
#bolos #confeitaria #mulher #empreendedorismo #rendaemcasa #negocios #sobremesas https://t.co/KSWeptMfjp</t>
  </si>
  <si>
    <t>Cake or Fake?
#bolos #confeitaria #mulher #empreendedorismo #rendaemcasa #negocios #sobremesas https://t.co/5m58Zy46Ub</t>
  </si>
  <si>
    <t>Descubra o segredo de uma sobremesa irresistível!
#bolos #confeitaria #mulher #empreendedorismo #rendaemcasa #negocios #sobremesas https://t.co/PaaL3cr09v</t>
  </si>
  <si>
    <t>Segredo para fazer o chantilly perfeito 
#bolos #confeitaria #mulher #empreendedorismo #rendaemcasa #negocios #sobremesas https://t.co/dhVF9ZXuGz</t>
  </si>
  <si>
    <t>Eai o que achou desse bolo? Me segue para mais vídeos assim!
#bolos #confeitaria #mulher #empreendedorismo #rendaemcasa #negocios #sobremesas https://t.co/L4aKdD28rc</t>
  </si>
  <si>
    <t>Segredo para transformar Bolacha em Massa Maravilhosa!
#bolos #confeitaria #mulher #empreendedorismo #rendaemcasa #negocios #sobremesas https://t.co/KjbWuQwlUy</t>
  </si>
  <si>
    <t>Transforme bolachas em uma sobremesa irresistível!
#bolos #confeitaria #mulher #empreendedorismo #rendaemcasa #negocios #sobremesas https://t.co/hIDn8HEih6</t>
  </si>
  <si>
    <t>Você não vai acreditar no preço desses bolos! 
#bolos #confeitaria #mulher #empreendedorismo #rendaemcasa #negocios #sobremesas https://t.co/Du4wDETdw1</t>
  </si>
  <si>
    <t>Quer aprender bolos como esses? Digita "EU QUERO"
#bolos #confeitaria #mulher #empreendedorismo #rendaemcasa #negocios #sobremesas https://t.co/0r04qZT64u</t>
  </si>
  <si>
    <t>Quer aprender bolos como esses? Digita "EU QUERO"
#bolos #confeitaria #mulher #empreendedorismo #rendaemcasa #negocios #sobremesas https://t.co/RBlYVXeY9C</t>
  </si>
  <si>
    <t>Quer aprender bolos como esses? Digita "EU QUERO"
#bolos #confeitaria #mulher #empreendedorismo #rendaemcasa #negocios #sobremesas https://t.co/5QjmiAc8J5</t>
  </si>
  <si>
    <t>Quer aprender bolos como esses? Digita "EU QUERO"
#bolos #confeitaria #mulher #empreendedorismo #rendaemcasa #negocios #sobremesas https://t.co/lJRasABVlC</t>
  </si>
  <si>
    <t>Quer aprender bolos como esses? Digita "EU QUERO"
#bolos #confeitaria #mulher #empreendedorismo #rendaemcasa #negocios #sobremesas https://t.co/7Ezo5BbwHX</t>
  </si>
  <si>
    <t>Decoração Lucrativa! Me segue para mais!
#bolos #confeitaria #mulher #empreendedorismo #rendaemcasa #negocios #sobremesas https://t.co/6jvEGoHj6V</t>
  </si>
  <si>
    <t>Decoração Espetacular! Me segue para mais!
#bolos #confeitaria #mulher #empreendedorismo #rendaemcasa #negocios #sobremesas https://t.co/VoLxFSV7hm</t>
  </si>
  <si>
    <t>Decoração Espetacular! Me segue para mais!
#bolos #confeitaria #mulher #empreendedorismo #rendaemcasa #negocios #sobremesas https://t.co/4S7ojboQYi</t>
  </si>
  <si>
    <t>Decoração Impecável! Se inscreve para mais!
#bolos #confeitaria #mulher #empreendedorismo #rendaemcasa #negocios #sobremesas https://t.co/7cHspLuDDZ</t>
  </si>
  <si>
    <t>Decoração Impecável! Se inscreve para mais!
#bolos #confeitaria #mulher #empreendedorismo #rendaemcasa #negocios #sobremesas https://t.co/6y6Hu8gR77</t>
  </si>
  <si>
    <t>Quer mais receitas? Link na bio do Instagram!
#bolos #confeitaria #mulher #empreendedorismo #rendaemcasa #negocios #sobremesas https://t.co/a3jXd94gh2</t>
  </si>
  <si>
    <t>Decoração Incrível! Me segue para mais!
#bolos #confeitaria #mulher #empreendedorismo #rendaemcasa #negocios #sobremesas https://t.co/bs3mX7k2JZ</t>
  </si>
  <si>
    <t>Quer aprender bolos como esses? Digita "EU QUERO"
#bolos #confeitaria #mulher #empreendedorismo #rendaemcasa #negocios #sobremesas https://t.co/T83Pe0hqdM</t>
  </si>
  <si>
    <t>Quer aprender bolos como esses? Digita "EU QUERO"
#bolos #confeitaria #mulher #empreendedorismo #rendaemcasa #negocios #sobremesas https://t.co/0R7CkWSwDw</t>
  </si>
  <si>
    <t>Decoração de bolos mágicos!
#bolos #confeitaria #mulher #empreendedorismo #rendaemcasa #negocios #sobremesas https://t.co/cxbBXGAgtD</t>
  </si>
  <si>
    <t>Quer mais receitas? Link na bio do Instagram!
#bolos #confeitaria #mulher #empreendedorismo #rendaemcasa #negocios #sobremesas https://t.co/qyLkeKRv5i</t>
  </si>
  <si>
    <t>Quer mais receitas? Link na bio do Instagram!
#bolos #confeitaria #mulher #empreendedorismo #rendaemcasa #negocios #sobremesas https://t.co/lJqrje8R8O</t>
  </si>
  <si>
    <t>Decoração maravilhosa, me segue para mais!
#bolos #confeitaria #mulher #empreendedorismo #rendaemcasa #negocios #sobremesas https://t.co/l21sxppH2J</t>
  </si>
  <si>
    <t>Quer a Parte Dois? Me segue para mais!
#bolos #confeitaria #mulher #empreendedorismo #rendaemcasa #negocios #sobremesas https://t.co/JHo5TJdSZG</t>
  </si>
  <si>
    <t>O mundo empresarial vem passando por um cenário revolucionário impulsionado pela inovação e pelo empreendedorismo. 
Leia mais no Blog Damásio: https://t.co/a2dhOYdjYh
#startups #Damásio #empreendedorismo #Direito #direitoempresarial #empresarial https://t.co/EWeC5sBHqY</t>
  </si>
  <si>
    <t>A vida é um constante recomeço. 
Não se de por derrotado e siga adiante. As pedras que hoje atrapalham sua caminhada amanhã enfeitarão a sua estrada.
#caminhada 
#mmn 
#empreendedorismo</t>
  </si>
  <si>
    <t>📢💻 Impulsione a produtividade da sua equipe! Descubra como um sistema ERP pode transformar a forma como você trabalha. 🚀 Leia nosso novo artigo no blog …
Link na bio ou acesse: https://t.co/e0dY2qPIGv
#negócios #empreendedorismo #sucessoempresarial #crescimento #estratégias https://t.co/64IzlW3gX0</t>
  </si>
  <si>
    <t>Quer fazer uma ação de marketing em seu comércio?
A roleta da sorte é uma ótima opção, além de ser divertida os clientes adoram ganhar e participar. 
Ela pode ser personalizar com sua logo marca, com frases e cores. 
#roletadasorte #sorteios #personalizado #empreendedor https://t.co/87Zk8u5BXP</t>
  </si>
  <si>
    <t>R$250 por cômodo
#empreendedores #empreendimento #empreendedor https://t.co/uE75268qw6</t>
  </si>
  <si>
    <t>A VERDADE QUE NINGUÉM TE CONTOU SOBRE CASES DE SUCESSO (DEPOIMENTO). 
Como você tem criado os depoimentos da sua empresa? Me conta nos comentários. 
#amadoruben #acelera-c #vendasonline #facebookads #marketingdigital #empreendedorismo  #maputo #angola #talatona #luanda #6em7 https://t.co/StcVH7KdDQ</t>
  </si>
  <si>
    <t>A verdade que ninguém te contou sobro o Marketing Digital!
#amadoruben #acelera-c #marketingdigital #negocios #publicidade #vendasonline #maputo #luanda #angola #moçambique #talatona #6em7 #empreendedorismo #facebookads https://t.co/cwa9UcvmaM</t>
  </si>
  <si>
    <t>A meta de agora tá habilitado é que uma qualificação ajuda muito a entra no jogo trabalhos temporários e com boa remuneração. Vou subir os investimentos e continua trabalhando pra mim mesmo... 
🧠📈💸 #educaçãofinanceira #negócios #empreendedor #imvestimestos</t>
  </si>
  <si>
    <t>Já passei por tanta coisa nessa vida, que tive que tomar uma decisão: livrar-me do aprisionamento do passado para seguir na direção de uma nova história.
Fp 3:13 [paráfrase minha]
#criatividade #empreendedorismo #inovacao #marketing #tecnologia #sustentabilidade #aracaju https://t.co/ssUipo6f9H</t>
  </si>
  <si>
    <t>Para quem está construindo sua própria história, a luta pode ser sim mais difícil.
Mas valerá a pena!
Desejo que sua semana seja incrível, para fechar setembro com o melhor dos resultados!
#criatividade #empreendedorismo #inovacao #marketing #tecnologia #sustentabilidade https://t.co/S6zHzHzfUj</t>
  </si>
  <si>
    <t>Converse com Contrato PJ Serviços &amp;amp; Recrute no WhatsApp: https://t.co/ypIHeVTJhs
Whatsapp (11)963666701
https://t.co/DSS73kv6mZ
#contadorpj #cltoupj #aberturaempresa #calculadorapj #pejotizacao #cltxpj #dev #desenvolvedor #programador #calcularpj #abrircnpj #mei #empreendedor https://t.co/iamJ3HtYPG</t>
  </si>
  <si>
    <t>🚀🇧🇷 O Futuro do Profissional PJ no Brasil: Um Vislumbre Animador! 💼➡💻 🌟
🔮 Previsões empolgantes para os profissionais PJ no Brasil! Prepare-se para:
brilhante! 🌠👩💻👨💻 #ProfissionalPJ #FuturoBrilhante #Empreendedorismo #Flexibilidade #EducaçãoContinua https://t.co/3pN7oA0dvo</t>
  </si>
  <si>
    <t>Converse com Contrato PJ Serviços &amp;amp; Recrute no WhatsApp: https://t.co/ypIHeVTJhs
Whatsapp (11)963666701
https://t.co/DSS73kv6mZ
#contadorpj #cltoupj #aberturaempresa #calculadorapj #pejotizacao #cltxpj #dev #desenvolvedor #programador #calcularpj #abrircnpj #mei #empreendedor</t>
  </si>
  <si>
    <t>Iniciativa busca inspirar empreendedores brasileiros através de histórias de sucesso no setor supermercadista
#apas #webserie #empreendedorismo #supermercados #video #mundodomarketing #marketingbrasil
https://t.co/wufehzshns</t>
  </si>
  <si>
    <t>Saber onde os consumidores de uma marca estão é o primeiro passo para construir conexões reais com esse público
#PME #empreendedorismo #MarketingDigital #marketing #marketingbrasil #profissionaldemarketing #carreira #mundodomarketing
https://t.co/2Juuhhj96e</t>
  </si>
  <si>
    <t>Quer saber se sua empresa tem algum imposto a ser RESTITUÍDO ? Fale conosco. #plataformaespinosa #assessoriafinanceira #solucaofinanceira #conquistas #sonhos #objetivos #empresa #empresario #empreendedor #empreendedorismo #mentor #restituicaodeimpostos #impostos https://t.co/PiCNeCzP89</t>
  </si>
  <si>
    <t>Precisando alavancar seu negócio? Precisando mais fluxo no seu caixa? Nós temos a solução ANTECIPAÇÃO DE RECEBÍVEIS. #plataformaespinosa #assessoriafinanceira #solucaofinanceira  #empresa #empresario #empreendedor #alavancarseunegocio #credito #antecipacoesderecebivies https://t.co/Mo19RCpMyb</t>
  </si>
  <si>
    <t>Visita a indústria de equipamentos de segurança para liberação de capital de giro. #plataformaespinosa #assessoriafinanceira #solucaofinanceira #empresa #empresario #empreendedor #empreendedorismo #mentor #alternativasdecredito #credito #capitaldegiro #operacaosubsidiadas https://t.co/pMtX58zmJQ</t>
  </si>
  <si>
    <t>Hoje comemoramos 9 anos de existência, ajudamos a realizar muitos sonhos, muitos objetivos e vem muito mais por aí. #plataformaespinosa #assessoriafinanceira #solucaofinanceira #conquistas #sonhos #objetivos #empresa #empresario #empreendedor #empreendedorismo #aniversario #9anos https://t.co/SpeOgj5JLJ</t>
  </si>
  <si>
    <t>Venha bater um papo conosco sem compromisso. Descubra o que fazer pra melhorar a presença do seu Negócio no Ambiente Digital.
WhatsApp: 61 99241-8514
.
#MidiaStudioDesign, #Branding, #Design, #Marketing, #Qualidade, #Estrategia, #Criatividade, #Empreendedorismo, #Negocios https://t.co/OPL4ALJsfK</t>
  </si>
  <si>
    <t>O presidente Décio Lima comemorou o avanço, mas reiterou que deveria ter sido feito bem antes. 
#PortalGP1 #GP1 #Sebrae #Empreendedorismo 
https://t.co/V9jFmEwhux</t>
  </si>
  <si>
    <t>Contáctanos y estaremos encantados de ayudarte
📲+52 462 324 9638
cgarcia@pixeldigitalab.com
Blvrd Díaz Ordaz 1156, Jardines de Irapuato 36660, Irapuato, Gto.
#marketingdigital #innovaciondigital #MarketingEfectivo #estrategiadigital #Expertos #marcasoriginales #empreendedorismo</t>
  </si>
  <si>
    <t>"O Sentido da vida é que ela termina."
- Franz Kafka
Se você já refletiu com nossas mensagens, segue a gente! 😊
🎥 | Série-》After Life
#reflexao #sucesso #foco #filosofia #liberdade #motivacao #mensagem #pensamentos #mindset #mentalidade #prosperidade #vida #empreendedorismo https://t.co/m6tysadPGz</t>
  </si>
  <si>
    <t>Aprenda a fazer dinheiro na internet hoje mesmo!
Clica no link abaixo que vou te ensinar.💰
https://t.co/2akVvscfrT
.
.
.
#sucesso #empreendedorismo #liberdadefinanceira #marketingdigital #afiliado https://t.co/jN3eO2wSPV</t>
  </si>
  <si>
    <t>Aprenda a fazer dinheiro na internet hoje mesmo!
Clica no link abaixo que vou te ensinar.💰
https://t.co/2akVvscfrT
.
.
.
#sucesso #empreendedorismo #liberdadefinanceira #marketingdigital #afiliado https://t.co/4l2VfPStCf</t>
  </si>
  <si>
    <t>E deu certo💰🙏🏽
👉🏽Clica no link abaixo que vou te ensinar a fazer dinheiro ainda hoje usando apenas o seu CELULAR💰🤑
https://t.co/2akVvscfrT
.
.
.
.
.
#empreendedorismo #sucesso #liberdadefinanceira #rendaextra #dinheiroonline https://t.co/5Bhw62If2n</t>
  </si>
  <si>
    <t>Aguardem…
👉🏽Clica no link abaixo que vou te ensinar a fazer dinheiro ainda hoje usando apenas o seu CELULAR💰🤑
https://t.co/2akVvscfrT
.
.
.
.
.
#empreendedorismo #sucesso #liberdadefinanceira #rendaextra #dinheiroonline https://t.co/OlOVvgLskD</t>
  </si>
  <si>
    <t>Uma troca justa pra mim. 
Aprenda a fazer dinheiro na internet hoje mesmo!
Clica no link abaixo que vou te ensinar.💰
https://t.co/AzcXzEYJbR
.
.
.
#sucesso #empreendedorismo #liberdadefinanceira #marketingdigital #afiliados https://t.co/w8rW8U3Fxg</t>
  </si>
  <si>
    <t>Nota zero😂👎🏽
👉🏽Clica no link abaixo que vou te ensinar a fazer dinheiro ainda hoje usando apenas o seu CELULAR💰🤑
https://t.co/2akVvscfrT
.
.
.
.
.
#empreendedorismo #sucesso #liberdadefinanceira #rendaextra #dinheiroonline https://t.co/9yoydv9ncj</t>
  </si>
  <si>
    <t>💰🤫
❓Cansado de viver sem dinheiro?
👉🏽Clica no link abaixo que vou te ensinar a fazer dinheiro ainda hoje usando apenas o seu CELULAR💰🤑
https://t.co/2akVvscfrT
.
.
.
.
.
#empreendedorismo #sucesso #liberdadefinanceira #rendaextra #dinheiroonline https://t.co/O4suAn5ids</t>
  </si>
  <si>
    <t>Mude enquanto a tempo!
👉🏽Clica no link abaixo que vou te ensinar a fazer dinheiro ainda hoje usando apenas o seu CELULAR💰🤑
https://t.co/2akVvscfrT
.
.
.
.
.
#empreendedorismo #sucesso #liberdadefinanceira #rendaextra #dinheiroonline https://t.co/ZYXmQ2ilzT</t>
  </si>
  <si>
    <t>Oque esse cara tá falando?😂
❓Cansado de viver sem dinheiro?
👉🏽Clica no link abaixo que vou te ensinar a fazer dinheiro ainda hoje usando apenas o seu CELULAR💰🤑
https://t.co/2akVvscfrT
.
.
.
.
.
#empreendedorismo #sucesso #liberdadefinanceira #rendaextra #dinheiroonline https://t.co/BZP60wulI3</t>
  </si>
  <si>
    <t>Eu nem vou perder meu tempo😂💰
❓Cansado de viver sem dinheiro?
👉🏽Clica no link abaixo que vou te ensinar a fazer dinheiro ainda hoje usando apenas o seu CELULAR💰🤑
https://t.co/2akVvscfrT
.
.
.
.
.
#empreendedorismo #sucesso #liberdadefinanceira #rendaextra #dinheiroonline https://t.co/0FYy1s37ew</t>
  </si>
  <si>
    <t>❓Cansado de viver sem dinheiro?
👉🏽Clica no link abaixo que vou te ensinar a fazer dinheiro ainda hoje usando apenas o seu CELULAR💰🤑
https://t.co/2akVvscfrT
.
.
.
.
.
#empreendedorismo #sucesso #liberdadefinanceira #rendaextra #dinheiroonline https://t.co/OJtuU8MQBu</t>
  </si>
  <si>
    <t>Eu nunca irei desistir!
❓Cansado de viver sem dinheiro?
👉🏽Clica no link abaixo que vou te ensinar a fazer dinheiro ainda hoje usando apenas o seu CELULAR💰🤑
https://t.co/2akVvscfrT
.
.
.
.
.
#empreendedorismo #sucesso #liberdadefinanceira #rendaextra #dinheiroonline https://t.co/gYusBXKcG7</t>
  </si>
  <si>
    <t>🔱💰
❓Cansado de viver sem dinheiro?
👉🏽Clica no link abaixo que vou te ensinar a fazer dinheiro ainda hoje usando apenas o seu CELULAR💰🤑
https://t.co/2akVvscfrT
.
.
.
.
.
#empreendedorismo #sucesso #liberdadefinanceira #rendaextra #dinheiroonline https://t.co/q44LClvYtg</t>
  </si>
  <si>
    <t>É tão fácil💸🤑
❓Cansado de viver sem dinheiro?
👉🏽Clica no link abaixo que vou te ensinar a fazer dinheiro ainda hoje usando apenas o seu CELULAR💰🤑
https://t.co/2akVvscfrT
.
.
.
.
.
#empreendedorismo #sucesso #liberdadefinanceira #rendaextra #dinheiroonline https://t.co/lqmRfxFhlK</t>
  </si>
  <si>
    <t>Minha rotina preferida🤑
❓Cansado de viver sem dinheiro?
👉🏽Clica no link abaixo que vou te ensinar a fazer dinheiro ainda hoje usando apenas o seu CELULAR💰🤑
https://t.co/2akVvscfrT
.
.
.
.
.
#empreendedorismo #sucesso #liberdadefinanceira #rendaextra #dinheiroonline https://t.co/BSSGlfgbPO</t>
  </si>
  <si>
    <t>🔱💰
❓Cansado de viver sem dinheiro?
👉🏽Clica no link abaixo que vou te ensinar a fazer dinheiro ainda hoje usando apenas o seu CELULAR💰🤑
https://t.co/2akVvscfrT
.
.
.
.
.
#empreendedorismo #sucesso #liberdadefinanceira #rendaextra #dinheiroonline https://t.co/2KdebAYs7z</t>
  </si>
  <si>
    <t>Não perca mais tempo! 
Aprenda a fazer dinheiro na internet hoje mesmo!
Clica no link abaixo que vou te ensinar.💰
https://t.co/2akVvscfrT
.
.
.
#sucesso #empreendedorismo #liberdadefinanceira #marketingdigital #afiliado https://t.co/H2EkcorAKy</t>
  </si>
  <si>
    <t>O primeiro milionário🔱💰
Aprenda a fazer dinheiro na internet hoje mesmo!
Clica no link abaixo que vou te ensinar.💰
https://t.co/2akVvscfrT
.
.
.
#sucesso #empreendedorismo #liberdadefinanceira #marketingdigital #afiliado https://t.co/Ks39pYHKQD</t>
  </si>
  <si>
    <t>Conta quem se arrisca💸🤑
❓Cansado de viver sem dinheiro?
👉🏽Clica no link abaixo que vou te ensinar a fazer dinheiro ainda hoje usando apenas o seu CELULAR💰🤑
https://t.co/2akVvscfrT
.
.
.
.
.
#empreendedorismo #sucesso #liberdadefinanceira #rendaextra #dinheiroonline https://t.co/JTRJIxY2iQ</t>
  </si>
  <si>
    <t>Seja diferente dos outros 💸👨🏽‍💻
❓Cansado de viver sem dinheiro?
👉🏽Clica no link abaixo que vou te ensinar a fazer dinheiro ainda hoje usando apenas o seu CELULAR💰🤑
https://t.co/2akVvscfrT
.
.
.
.
.
#empreendedorismo #sucesso #liberdadefinanceira #rendaextra #dinheiroonline https://t.co/kCewvSRDQW</t>
  </si>
  <si>
    <t>Não caia na matrix 
❓Cansado de viver sem dinheiro?
👉🏽Clica no link abaixo que vou te ensinar a fazer dinheiro ainda hoje usando apenas o seu CELULAR💰🤑
https://t.co/2akVvscfrT
.
.
.
.
.
#empreendedorismo #sucesso #liberdadefinanceira #rendaextra #dinheiroonline https://t.co/0Gv8SkgH1J</t>
  </si>
  <si>
    <t>Jovem aprendiz?
❓Cansado de viver sem dinheiro?
👉🏽Clica no link abaixo que vou te ensinar a fazer dinheiro ainda hoje usando apenas o seu CELULAR💰🤑
https://t.co/AzcXzEYJbR
.
.
.
.
.
#empreendedorismo #sucesso #liberdadefinanceira #rendaextra #dinheiroonline https://t.co/irM0H9nl5d</t>
  </si>
  <si>
    <t>7 HABITOS PARA  NUEVAS OPORTUNIDADES EN TU VIDA💸🤠
#RicardoMiranda #DALEPLAYALAMOR #fypシ #foryoupage #negociosfreedom  #exito #viral #poder  #empreendedorismo #RM #NACION #mentesmillonarias #emprendedores #dinero  #inteligenciafinanciera #finanzaspersonales #riqueza https://t.co/aoiwtRx9PL</t>
  </si>
  <si>
    <t>Seamos LUZ en este MUNDO lleno de tinieblas, con Sabiduría Nación, Inteligencia, Ayuda a nuestro prójimo saldremos adelante Latinoamérica ❤🎹🤠
#RicardoMiranda  #empreendedorismo  #dinero #finanzas #marketingdigital #Tips #labibliadeloso #empresas #negocios  #finanzaspersonales https://t.co/ljGGyB6Oy6</t>
  </si>
  <si>
    <t>#advogados #empreendedorismo https://t.co/A9I5O32yiu</t>
  </si>
  <si>
    <t>Eles derrubaram um avião de propósito! #empreendedorismo #marketing #MarketingDigital https://t.co/Pi3076jfm8</t>
  </si>
  <si>
    <t>Edição de Agosto/2023
#edicaodeagosto #empreendedor #mei #informativo #contabilidade #coppolacontabil #contabilidadesp #crc #cfc
https://t.co/dwVm3Db2KS https://t.co/6bs6eH6cLG</t>
  </si>
  <si>
    <t>Empreender é uma montanha-russa emocional e financeira. 🎢 Vou compartilhar as 3 coisas que busco para lidar com essa jornada. #Empreendedorismo #Resiliência https://t.co/DXcEWk78kJ</t>
  </si>
  <si>
    <t>Opa, cobrança duplicada de ISS que você já pagou? 😱 
Já passei por essa! 
👉 Se liga na dica: reúna os comprovantes e vá na prefeitura. Geralmente, eles resolvem. 
Se não resolverem, fale com um advogado da sua confiança. 👊🏼
#DicaDoDia #Empreendedorismo" https://t.co/ANpKdmt0jn</t>
  </si>
  <si>
    <t>O homeoffice acabou com a conversa de cafezinho em muitos negócios e isso vai balançar a carreira de muita gente, no longo prazo.
#HomeOffice #Empreendedorismo</t>
  </si>
  <si>
    <t>Guia completo para criar um domínio para o site da empresa
https://t.co/sIRLBe5TtM
#domínio #site #registro #presençaonline #empreendedorismo https://t.co/VeKS263hOP</t>
  </si>
  <si>
    <t>#Marketing #marketingdigital #threads #twitter #xdotcom #empreendedorismo</t>
  </si>
  <si>
    <t>👍 Correas de Velcro para Sujeción de Cables.
Ahora podrás tener tus cables en orden.
💵 Precio: 2,50 Usd. Paq. De 10 u
📱 Pedidos al WhatsApp 0987242332 📱
#velcro #cable #orden #escritorio #viernes #computadora #electronics #azogues #negro #correa #empreendedorismo https://t.co/6Kx6Z1Ek6B</t>
  </si>
  <si>
    <t>Criação de Caricatura para o cliente @evaldo_da_melancia_
Orçamento no Link da Bio!
Vem ser #rocketmedia 🔥
#logo #criaçãodelogo #caricatura #agenciademarketing #marketingdigital #dicasparanegocios #empresas #empreendedor #mei https://t.co/JHVYJt0w5P</t>
  </si>
  <si>
    <t>Oficina do Sebrae leva inovação e empreendedorismo à Escola Professor João Babtista em Ladário.
#ladario #empreendedorismo #escola #sebrae
Saiba mais acessando o site:
https://t.co/7GeExJVp77 https://t.co/ufYu7tnCPj</t>
  </si>
  <si>
    <t>👔🇧🇷 Conheça Antônio Ermírio de Moraes, um influente empresário brasileiro nascido em 1928. Sua jornada no mundo dos negócios deixou um legado duradouro para o Brasil. #Empreendedorismo #brasileira https://t.co/IT5QuIXbdE</t>
  </si>
  <si>
    <t>A história de João Gerdau é um testemunho inspirador de coragem, visão e determinação. Sua jornada de emigração a empresário bem-sucedido é um exemplo de como o espírito empreendedor pode moldar o futuro e criar um legado duradouro. 🚀🌍 
#Empreendedorismo #LegadoGerdau</t>
  </si>
  <si>
    <t>Saiba um pouco mais sobre a historia de empreendedorismo e superação de Clovis Tramontina.
Clicando no link abaixo você pode se aprofundar nessa história e apoiar a criação de conteúdo.
#Tramontina #HistóriaDeSucesso #Inspiração #Empreendedorismo
https://t.co/KkgnMD7lD2</t>
  </si>
  <si>
    <t>Sem tabu, sem preconceito.
Agende uma avaliação:
(14) 98207-7277 
#laesteticaebemestar #clinicalaesteticaebemestar #studioladepilacaomasculina #luisdepilacaomasculina #bauru #baurueregiao #014 #gratidao #empreendedor #estetica #homens #homem #homensquesecuidam #homensquecuidam https://t.co/Oii8gNvzij</t>
  </si>
  <si>
    <t>Positividade 😌🙏🏽
#laesteticaebemestar #clinicalaesteticaebemestar #studioladepilacaomasculina #luisdepilacaomasculina #bauru #baurueregiao #sp #014 #gratidao #empreendedor #positividade #motivation https://t.co/qB7z2Izqyu</t>
  </si>
  <si>
    <t>Quem nunca? 😅
#luisdepilacaomasculina #bauru #empreendedor #estética #depilação #meme https://t.co/JyLC4hoS5g</t>
  </si>
  <si>
    <t>Por uma pele mais saudável.
Agende seu horário 
(14) 98207-7277 
#laesteticaebemestar #clinicalaesteticaebemestar #studioladepilacaomasculina #luisdepilacaomasculina #bauru #baurueregiao #sp #014 #gratidao #empreendedor #estetica #homens #homem #homensquesecuidam #limpezadepele https://t.co/5AYxAl1kgM</t>
  </si>
  <si>
    <t>Semana começando...
🙏🏽
#laesteticaebemestar #clinicalaesteticaebemestar #studioladepilacaomasculina #luisdepilacaomasculina #bauru #baurueregiao #sp #014 #gratidao #empreendedor #estetica #homens #homem #homensquecuidam #semanacomeçando #segundafeira https://t.co/JVOzV3Wteo</t>
  </si>
  <si>
    <t>💪🏽
#clinicalaesteticaebemestar  #luisdepilacaomasculina #laesteticaebemestar #empreendedor #gratidão #setembro #motivation #reflexiones https://t.co/zkwDZyeqVW</t>
  </si>
  <si>
    <t>VALORIZAÇÃO, é sobre isso.
🙏🏽
#luisdepilacaomasculina #clinicalaesteticaebemestar #cliente #valor #valorizacao #empreendedor #gratidão #depilação #estética #feedback https://t.co/GFz9q9ffTQ</t>
  </si>
  <si>
    <t>📲 Agende já o seu horário. 
(14) 98207-7277 
#clinicalaesteticaebemestar  #luisdepilacaomasculina #laesteticaebemestar #novidades #setembro  #aniversario #premio #aniversario #bauru #depilação #empreendedor #promocao https://t.co/7yyvOY44Sn</t>
  </si>
  <si>
    <t>🫱🏻‍🫲🏼
#diadocliente #15setembro #cliente #gratidão #laesteticaebemestar #clinicalaesteticaebemestar #luisdepilacaomasculina #empreendedor https://t.co/j5Q0wtW0XH</t>
  </si>
  <si>
    <t>Cotia terá mais uma edição da Feira do Empreendedor Social. Evento acontece neste domingo, das 9 às 17h. Saiba mais em https://t.co/1bI4jR4ZUS #social #feira #empreendedorismo #evento #bazar #portalviva #cotia https://t.co/16xslGhmLr</t>
  </si>
  <si>
    <t>@AEstrelaLeonina Em 2017 recebi esta mesma mensagem da senhora italiana. Zero inovação em 6 anos, o banditismo necessita mais #empreendedorismo</t>
  </si>
  <si>
    <t>#UFLA tem o maior número de empresas juniores do Sul de Minas: movimento estimula ambiente de #inovação e #empreendedorismo
https://t.co/d0pk2GOfqU</t>
  </si>
  <si>
    <t>Estudante, ao planejar suas atividades para o próximo semestre letivo, leve em conta a possibilidade de participar de ações de #empreendedorismo e #inovação. Conheça o que a UFLA oferece na área, busque outras informações e fortaleça sua vivência universitária!
#UFLA https://t.co/26gUSmf9qg</t>
  </si>
  <si>
    <t>A Pró-Reitoria de #Inovação e #Empreendedorismo da UFLA busca parcerias em São Paulo e Florianópolis
Veja a matéria completa em https://t.co/bHxgThbHIy
#UFLA #Notícias</t>
  </si>
  <si>
    <t>UFLA recebe nota máxima em projeto de #empreendedorismo e #inovação
https://t.co/sgr3BoKINa
#UFLA #Notícia</t>
  </si>
  <si>
    <t>🚀 Participe da Escola de Inovadores Fast da Inova CPS na #CPBR15 e transforme suas ideias em negócios sustentáveis por meio da inovação.
Inscreva-se até 28 de julho. Mais informações em nosso site: https://t.co/seNHb4sCgF
 #Empreendedorismo #Inovação #CampusParty https://t.co/CUNEn2G9iB</t>
  </si>
  <si>
    <t>🚫 Do Coliseu Romano 🏛️ ao atual campo de futebol ⚽, um exemplo de como a distração pode impedir o sucesso.
 Aprenda com a história! 💼💡 #Empreendedorismo #FutebolVsNegócios https://t.co/YYj2yBRtla</t>
  </si>
  <si>
    <t>Não há necessidade de comparar um trabalho das 9 às 5 com empreendedorismo ou freelancer.
Como alguém que já fez TODOS os três, posso dizer que o melhor é aquele que se adapta à sua saúde mental e cobre as suas despesas. 🧠💼
#Trabalho #Empreendedorismo #SaúdeMental https://t.co/46n7FpKX5T</t>
  </si>
  <si>
    <t>Você pode criar um negócio digital na área de agronomia oferecendo cursos online, consultorias, e-books, podcasts, webinars ou aplicativos. https://t.co/cMOnznoutY como criar e quais as vantagens #agronomia #negóciosdigitais #empreendedorismo</t>
  </si>
  <si>
    <t>A programação contou com palestrantes especialistas no assunto, do vice-governador, @FelipeCCamarao; do presidente do @ilisp_org, Marcelo Faria e do procurador da @jucepar2, Marcus Vinícius.  
#Maranhao #Seminario #Encontro #Empreendedorismo</t>
  </si>
  <si>
    <t>Juntos, vamos impulsionar a economia do Maranhão e inspirar uma nova geração de empreendedores de sucesso! 🌟👩‍💼💼
 #Jucema #GovernoMA #empreendedorismo #juventude</t>
  </si>
  <si>
    <t>📍 O evento é uma realização do @sebrae no Centro Internacional de Convenções do Brasil (CICB), em Brasília.
#Jucema #GovernoMA #maranhao #empreendedorismo #Transformarjunt</t>
  </si>
  <si>
    <t>✅ Ao contextualizar as melhorias na simplificação do registro de empresas, o presidente da #Jucema destacou a importância da parceria do Sebrae e o @GovernoMA para fomentar o empreendedorismo local.
#GovernoMA #Maranhao #Empreendedorismo</t>
  </si>
  <si>
    <t>TRANSFORMANDO 500R$ EM 5K MÊS
PRENDEDOR ISSO #empreendedorismo #dinheiro #benbvolliefde https://t.co/IeKs07tkU5</t>
  </si>
  <si>
    <t>Por esta razón, FOSOFAMILIA mantiene un constante compromiso en apoyar a las personas emprendedoras, contribuyendo al desarrollo económico del país. 🤝🇸
#Yoemprendo #empreendedorismo #junio #elsalvador🇸🇻 #emprendedores #ElSalvador #emprendedor #2023JuntosVamosAdelante https://t.co/kA59mYSp1j</t>
  </si>
  <si>
    <t>FOSOFAMILIA mantiene un constante compromiso en apoyar a las personas emprendedoras, contribuyendo al desarrollo económico del país. 🤝🇸🇻
#Yoemprendo #empreendedorismo #julio #elsalvador #emprendedores #ElSalvador #emprendedor #2023JuntosVamosAdelant https://t.co/SIHBHQNTSM</t>
  </si>
  <si>
    <t>FOSOFAMILIA mantiene un constante compromiso en apoyar a las personas emprendedoras, contribuyendo al desarrollo económico del país. 🤝🇸
#Yoemprendo #empreendedorismo #Agosto  #emprendedores #ElSalvador #emprendedor #2023JuntosVamosAdelante https://t.co/8hr9Y2IJZl</t>
  </si>
  <si>
    <t>E vamos de mais cliente em busca de dólar 🙏
A regra é clara:
Menos Brasília
Mais Dólar
#investimentos #investimento #empreendedorismo #dolarizaçao https://t.co/tF4Eqgjq6V</t>
  </si>
  <si>
    <t>Identifique e atenda suas prioridades.
#empreendedorismo #empreender 
#aprendizado #educaçaofinanceira https://t.co/EAnjs5Do6L</t>
  </si>
  <si>
    <t>Projetos novo ja disponivel.
Tarpon Springs - FL
Saiba mais:
marcone@unitedexchange.us
#investimento #investimentos #construcaoevenda #empreendedorismo https://t.co/yQLkXslBYu</t>
  </si>
  <si>
    <t>FairView Grande é um projeto imobiliário na região noroeste de Orlando, a beira do lago FairView. Disponível para investidores brasileiros. 
Serão 2 novas torres no total de 110 unidades habitacionais em um dos mercados mais desejados dos EUA.
#Investimentos
#empreendedorismo https://t.co/FbxVFTFJC8</t>
  </si>
  <si>
    <t>Unidade Amazing Explorers em Prosper - Texas. Entregue no final de 2022.
Novas unidades disponíveis para investidores brasileiros. Invista no mercado de educação norte americano. Agende sua reunião.
#Investimentos #empreendedorismo 
#empreender https://t.co/kRQCDX8KbY</t>
  </si>
  <si>
    <t>geração de sustento.
Texto completo em @informeblu
https://t.co/uwdumO9Wrm
#notasdedomingo #empreendedorismo #emprego #negocios #mei</t>
  </si>
  <si>
    <t>Evitar estes erros pode ajudar a garantir o sucesso a longo prazo do seu negócio. 
Insta: https://t.co/AwK3flfTDl
#Empreendedorismo, #Empreender, #Empreendedores, #Startup, #Negocio, #Sucesso, #Networking, #Inspiração, #Crescimento, #Gestão https://t.co/uP0FKTJMG8</t>
  </si>
  <si>
    <t>Descubra os segredos das startups do nosso portfólio
Mensalmente, trazemos uma edição do CapReview com as novidades mais quentes sobre as startups que passaram por aqui!
Confira os destaques da CapReview #08 👇
#startups #mídia #inovação #tecnologia #empreendedorismo https://t.co/nj61LtLbNH</t>
  </si>
  <si>
    <t>Já se interrogou sobre o potencial inovador inexplorado dos jovens migrantes? 💡Conheça o projeto Erasmus+ @PatENT_eu Entrepreneurship for Migrants: https://t.co/VjIpa4aloX  #migrantes #empreendedorismo #inovação</t>
  </si>
  <si>
    <t>𝗖𝘂𝗿𝘀𝗼 "𝗚𝗲𝘀𝘁ã𝗼 𝗱𝗲 𝗣𝗠𝗘"- 📅 início: 19/09| 📍 Braga. ➡️ https://t.co/huTc78ZiSX . formação presencial #gestãopme #negócio #empreendedorismo #pme #gestão #curso #formação https://t.co/NUj9PYLFM1</t>
  </si>
  <si>
    <t>Em outubro, a TecMinho organiza para a #UMinho um conjunto de #talks sobre #empreendedorismo, dirigidas à comunidade académica e alumni. » Programas e inscrições: https://t.co/wEysSE1HIl https://t.co/bDzpMDuiMJ</t>
  </si>
  <si>
    <t>Escolha o melhor presente, escolha EspetoFlex  https://t.co/MA0xxdedND
#churrasco #bbq #churras #espetoflex #empreendedorismo #somosdacarne #agro #diadospais #churrascoemcasa #churrascoemfamilia #pai #presente #aniversario #brasa #futebol #costela #costelao #churrascoecerveja https://t.co/CE4vnCjz5p</t>
  </si>
  <si>
    <t>ACIFI I Alunos de ensino médio visitam Associação Comercial e Empresarial; objetivo é aproximar jovens do mundo dos negócios e do empreendedorismo inovador. #empreendedorismo #inovador #acifi #empreender
https://t.co/iVt66KXhjz</t>
  </si>
  <si>
    <t>BR Angels prepara investimentos de até R＄ 3 milhões para startups do programa Capital Empreendedor, do Sebrae
https://t.co/0ldJlQJzgp
#imovação #startup #criatividade #empreendedorismo</t>
  </si>
  <si>
    <t>BR Angels prepara investimentos de até R＄ 3 milhões para startups do programa Capital Empreendedor, do Sebrae
https://t.co/0ldJlQK75X
#imovação #startup #criatividade #empreendedorismo</t>
  </si>
  <si>
    <t>Vem e embarque no webinar DESVENDANDO A #ESTONIA: um bate-papo sobre #inovacao, #empreendedorismo, internacionalização, #governodigital e mercado europeu. 
Com Katharina Lehmann, Manoel Macedo, Daniel Annenberg, Paulo M. Roque e Rodolfo Fücher
https://t.co/axn4hQsbT1</t>
  </si>
  <si>
    <t>Quando lembram o #empreendedor que ele se baseava em dados de planilhas de #CRM pelo Excel antes do Tankker: https://t.co/4LdAD1caLv</t>
  </si>
  <si>
    <t>Confira a agenda de #eventos de #empreendedorismo e #tecnologia deste mês! 🔥📅
Fique por dentro das últimas tendências e faça conexões valiosas nesses eventos imperdíveis! 
 #networking  #vidcon #campusparty #timeout #startupsfever #digitalks #startupsummit #firefestival https://t.co/eErPbBOzN9</t>
  </si>
  <si>
    <t>Síguenos para más contenido que potencie tu negocio.
#empreendedorismo #marketing #socialmedia #instagram #negocios #empreender
#QueSeSepa https://t.co/PKHO8nYu9b</t>
  </si>
  <si>
    <t>#empreendedorismo #marketingdigital #dicasdemarketing https://t.co/KLNY8Jl8Sl</t>
  </si>
  <si>
    <t>#empreendedorismo #curso #educação #cursoonline https://t.co/WYP8BZflc4</t>
  </si>
  <si>
    <t>#empreendedorismo #marketingdigital #dicasdemarketing https://t.co/DBFyyxTsr7</t>
  </si>
  <si>
    <t>#empreendedorismo #dicasdemarketing #marketingdigital https://t.co/nastBb0gPj</t>
  </si>
  <si>
    <t>#Empreendedorismo #Cursosonline https://t.co/btaMIXIOwB</t>
  </si>
  <si>
    <t>#empreendedorismo #marketingdigital #dicasdemarketing https://t.co/HRopD7CY20</t>
  </si>
  <si>
    <t>#Empreendedorismo #Cursoonline #Educação 
https://t.co/awREWc8V0W</t>
  </si>
  <si>
    <t>#Educação #Cursoonline #Empreendedorismo 
https://t.co/yaqh7wEhTU</t>
  </si>
  <si>
    <t>#motivacional #empreendedorismo #motivação https://t.co/N7zk6JTPN6</t>
  </si>
  <si>
    <t>#empreendedorismo #marketingdigital #dicasdemarketing https://t.co/j4OFVp3zDX</t>
  </si>
  <si>
    <t>#MarketingDigital #empreendedorismo https://t.co/c4KDM89RRQ</t>
  </si>
  <si>
    <t>#motivacional #empreendedorismo #motivação https://t.co/WbgOtpbZNo</t>
  </si>
  <si>
    <t>#empreendedorismo #blogmarketingnew #marketingdigital #tráfegopago #tráfegoorgânico #motivacional #sucesso #finanças https://t.co/EOT8k3up1n</t>
  </si>
  <si>
    <t>#empreendedorismo #blogmarketingnew #marketingdigital #tráfegopago #tráfegoorgânico #motivacional #sucesso #finanças https://t.co/hvE7sauxYZ</t>
  </si>
  <si>
    <t>#empreendedorismo #motivacional #inteligênciaemocional #sucesso #blogmarketingnew #MarketingDigital https://t.co/Dvnh0BAQLs</t>
  </si>
  <si>
    <t>#motivacional #empreendedorismo #motivação https://t.co/azPLl88fs2</t>
  </si>
  <si>
    <t>#motivacional #empreendedorismo #motivação https://t.co/PYBurHoxHf</t>
  </si>
  <si>
    <t>#motivacional #empreendedorismo #motivação https://t.co/4L2YHL5mXz</t>
  </si>
  <si>
    <t>#empreendedorismo #vendasonline #blogmarketingnew #marketingdigital #tráfegopago #tráfegoorgânico https://t.co/Vvxp8bRUMr</t>
  </si>
  <si>
    <t>#empreendedorismo #vendasonline #blogmarketingnew #marketingdigital #tráfegopago #tráfegoorgânico https://t.co/PrCXXgt1Jk</t>
  </si>
  <si>
    <t>#motivacional #empreendedorismo #motivação https://t.co/kdwDZnhU9p</t>
  </si>
  <si>
    <t>Leve seu negócio para o próximo nível e torne-se um Mestre do Instagram!
Aprenda a se destacar da concorrência, criando conteúdos, vídeos e artes incríveis para suas mídias sociais através do Canva.
https://t.co/Wyl95Djwam
#instagram #empreendedorismo #cursoonline https://t.co/02FLjlj76V</t>
  </si>
  <si>
    <t>Descubra como se destacar da concorrência criando posts, logos e templates de forma descomplicada e prática, mesmo sem ter experiência com design.
https://t.co/brp4kOEBwE
#empreendedorismo #canva #MarketingDigital https://t.co/JZWKM9ccLb</t>
  </si>
  <si>
    <t>#Empreendedorismo #Cursoonline #Educação https://t.co/t7yyJrQKBW</t>
  </si>
  <si>
    <t>#Empreendedorismo #Cursosonline #Educação https://t.co/q5JPbxLRsJ</t>
  </si>
  <si>
    <t>📣 New Podcast! "Papéis: Conflitos garantidos nas Empresas Familiares. Por quê?" on @Spreaker #empreendedorismo #empresafamiliar #familiaempresaria #governanca #papeis https://t.co/qgDN5Gdd26</t>
  </si>
  <si>
    <t>Você é a força que impulsiona os seus sonhos. Acredite, persista e conquiste. O caminho pode ser desafiador, mas você é mais forte do que qualquer obstáculo. 💪✨#empreendedorismo #vendas #negociosonline</t>
  </si>
  <si>
    <t>… e informações da maior Exposição Agropecuária de todos os tempos. 
Viva Colatina! 
#colatina #agro #agronegócio #agricultura #empreendedorismo #emprego #renda #economia #show #música #festival #renatoteixeira https://t.co/4R6LQXPhUe</t>
  </si>
  <si>
    <t>ARTIGO | A importância dos 4 Ps do marketing para o seu negócio.
#AcontecendoAqui
#Marketing 
#empreendedorismo
&amp;gt;&amp;gt; https://t.co/NjoOMRX62b &amp;lt;&amp;lt; https://t.co/st3UdmA074</t>
  </si>
  <si>
    <t>Desenhos em estilo cartoon do Raul e Vanessa do canal "Nascido de Novo" . Ao lado algumas das fotos usadas de base, e na imagem seguinte, exemplos de figurinhas para WhatsApp.
 #arteparanegocios #empreendedorismo #designergrafico #mascotepersonalizada #figurinhaswhatsapp https://t.co/vE603qxlni</t>
  </si>
  <si>
    <t>EMPREENDER NO PHYGITAL E O SENTIMENTO DE “SOLITUDINE” 
É necessário fortalecer nossa infraestrutura, criar modelos associativos de colaboração eficientes para conectar empreendedores, investidores, mentores e instituições .
#Empreendedorismo #Inovação #BrasilEmpreendedor https://t.co/r8Dj5N7c46</t>
  </si>
  <si>
    <t>Conheça os 11 #FIAlumni e #startups formados na 5ª edição do Programa de Aceleração de Startups do @FounderLuanda 
RSVP: https://t.co/0mPNOxi1Qc
@founding #Angola #empreendedorismo #FIAlumni
@fiworldwide https://t.co/YthSRegXy1</t>
  </si>
  <si>
    <t>Entregas e delivery, saúde, viagem e gastronomia, varejo online e inteligência artificial. Esses são os cinco setores que estão tendo crescimento significativo em 2023, segundo o site Entrepreneur. #Negócios #Empreendedorismo #Capella https://t.co/jN3DiYWWm5</t>
  </si>
  <si>
    <t>Dica do dia: diversifique suas fontes de renda e minimize riscos. Oportunidades estão onde você as procura! 
#investidor #investing #empreendedor</t>
  </si>
  <si>
    <t>Contrato Social.
A importância para sua empresa!
DANILO RECCO 
Advogado especialista em empresas.
#empresas #empreendedor #advogado #direito https://t.co/2TvXFPZysS</t>
  </si>
  <si>
    <t>Sabia desta diferença?
#empresario #empreendedor https://t.co/IIBWklmY5m</t>
  </si>
  <si>
    <t>Working alone sucks???
Then book a space with us now at Moncave co-working!
10,Wilmer street,ilupeju,Lagos.
#coworking #work #interiordesign #business #entrepreneur #smallbusiness #marketing #realestate #community #entrepreneurship #empreendedorismo #startup #space #office https://t.co/KVnMXUL5L7</t>
  </si>
  <si>
    <t>#Curiosidades #renda #rendaextra #ganhardinheiro #empreendedorismo https://t.co/mOXVh3LoIu</t>
  </si>
  <si>
    <t>Desenvolvimento Econômico e SEBRAE de Jandira promovem visita gratuita a Feira do Empreendedor 2023
https://t.co/YycSLozPnd
#jandira #sebrae #desenvolvimento #economico #feira #empreendedor #visita #gratuita #granjaviana #granjavianna #granjanews #promovem https://t.co/eqkzXqI3Di</t>
  </si>
  <si>
    <t>O empreendedor preso no escritório não cresce!!! #empreendedorismo https://t.co/NPzlCtdH1Q</t>
  </si>
  <si>
    <t>Devemos ser todos consultores em nossas profissões, revolvedores de problemas, enquanto delegamos às máquinas o papel de executor. 
#empreendedor #intraempreendedor #ia</t>
  </si>
  <si>
    <t>Clientes que pedem cada dia uma alteração diferente no contrato: eu tenho #business #empreendedorismo</t>
  </si>
  <si>
    <t>No dia a dia, como distinguir as oportunidades genuínas daquelas que são meros devaneios? Para o empreendedor serial Flavio Pripas, dominar o jogo do #empreendedorismo e dos #negócios é uma mistura intrigante de ciência e arte. Leia em sua coluna de estreia em Época NEGÓCIOS https://t.co/Y7W6CKcBLV</t>
  </si>
  <si>
    <t>Nuno Mangas, Presidente da Comissão Diretiva do COMPETE 2030 na Sessão “Oportunidades de Financiamento”, a decorrer em Leiria no âmbito dos 'encontros da Economia'
#compete2030 #EncontrosdaEconomia #inovacao #empreendedorismo https://t.co/IFmIQk9OsX</t>
  </si>
  <si>
    <t>A  #AEP através do projeto #Desafios5ponto0 apoiou, entre novembro de 2021 e junho de 2023, mais de 200 empreendedores e empresas, constituídas há menos de dois anos, do Norte e Centro de Portugal. Cofinanciado pelo #compete2020 https://t.co/ejNiEyDKxB #euinmyregion #empreendedor https://t.co/0uwSCrvZUN</t>
  </si>
  <si>
    <t>Começou o evento mais importante para os atores do desenvolvimento econômico: o “Transformar Juntos”.
Vamos compartilhar os melhores conteúdos sobre #negócios, #empreendedorismo e #desburocratiação!
Leia mais acessando nossa Agência Sebrae de Notícias: https://t.co/cSSoKPjNAX https://t.co/bltrFsEsDN</t>
  </si>
  <si>
    <t>🤗 Cativar é o primeiro passo pra fidelizar, e no WhatsApp não é diferente. 
❗️Nossa dica é: seja claro, direto e criativo com o seu cliente via mensagem, quebre o gelo e fortaleça essa relação.
🤩Pegou a dica? Partiu praticar! 
#Empreendedorismo #MEI #AtendimentoOnline https://t.co/NlWT5Jg2rm</t>
  </si>
  <si>
    <t>💙 Venha ser consultor (a)!
🗓️As inscrições para o #Sebraetec encerram no próximo dia 11 de agosto  e você não pode ficar de fora!
🔗 Inscreva-se em: https://t.co/RbJjW6ilgV e saiba mais!
#Sebraetec #Empreendedorismo #SebraeMaranhão #GerenciamentoDeEmpreendimento https://t.co/GzBI9dEVhU</t>
  </si>
  <si>
    <t>🗓️ Em dias assim, tudo ganha um brilho diferente pra quem empreende. Afinal, é a oportunidade perfeita pra impulsionar o negócio.🚀
👉 Conta pra gente: quais datas fazem suas vendas decolarem e movimentam seu empreendimento?
#Sebrae #Empreendedorismo #ForaDaCaixa https://t.co/2SPhPc7quc</t>
  </si>
  <si>
    <t>Parece óbvio, mas muita gente não sabe que é importantíssimo separar finanças pessoais das contas da empresa.
Veja as vantagens de manter cada coisa no seu quadrado! 🧶
#Sebrae #Empreendedorismo #MEI https://t.co/LPRSSolZ0W</t>
  </si>
  <si>
    <t>🌬️📚 Os signos do elemento ar estão prontos pra soprar novas ideias no mundo dos negócios! Gêmeos, Libra e Aquário trazem a comunicação, criatividade e a inovação pra suas empreitadas.
#Signos #Gêmeos #Libra #Aquário #Empreendedorismo https://t.co/yHBACtdUAZ</t>
  </si>
  <si>
    <t>👇 Complete a frase "Empreender é…" e mande sua resposta aqui nos comentários!
#EmpreenderÉ #Empreendedorismo #Sebrae #RealizaçãoEmpreendedora</t>
  </si>
  <si>
    <t>Ouvimos Pix? 👂👀
Lançado há menos de três anos, o Pix se tornou um dos principais meios de pagamento. 
Confira em quais situações pode haver cobrança na tarifa! 🙂
Salve e marque aqui quem você acha que precisa ver isso.
#Sebrae #Empreendedorismo #MEI https://t.co/0Zrek9Wycl</t>
  </si>
  <si>
    <t>Confira o curso que preparamos pra você: 👉 https://t.co/Xesioz0DlF
Não perca essa chance de ampliar seus resultados! 🚀
#Sebrae #Negócios #Empreendedorismo #SebraeCursos #CursosOnline #PresençaDigital</t>
  </si>
  <si>
    <t>📱 Dê play pra se motivar com os @os4socios, quatro jovens empreendedores fazendo o corre acontecer! Empreender não é mole, não, mas também é realizador. E pode ser bem menos complicado se você contar com o Sebrae nessa jornada 💙. 
#EmpreendaSim #Empreendedorismo #Sebrae https://t.co/jOcgKWTBw5</t>
  </si>
  <si>
    <t>É um processo contínuo de evolução, no qual cada conquista é motivo de orgulho e incentivo pra alcançar voos ainda mais altos. ✅
👇 Complete a frase "Empreender é…" e mande sua resposta aqui nos comentários!
#EmpreenderÉ #Empreendedorismo #Sebrae #RealizaçãoEmpreendedora</t>
  </si>
  <si>
    <t>Quer impulsionar suas vendas de forma eficiente? 🚀💼 Entenda como utilizar o
WhatsApp Business! 💬✨
👉 Vem conferir!👇
#Sebrae #WhatsAppBusiness #PresençaDigital #Empreendedorismo https://t.co/3xnoshFOAA</t>
  </si>
  <si>
    <t>💌 O WhatsApp pode ser o melhor amigo do seu negócio! Descubra as vantagens da ferramenta e acompanhe as dicas do Sebrae seguindo os nossos perfis nas redes sociais. 
#Superdica #Empreendedorismo #WhatsApp #WhatsAppBusiness #Vendas https://t.co/NrtPuKhyn8</t>
  </si>
  <si>
    <t>Nos dias 23, 24 e 25 de agosto, os maiores nomes do #empreendedorismo, #inovação e #tecnologia estarão no Startup Summit 2023.
 Você (e seu negócio) não podem ficar de fora! 
Faça sua inscrição e garanta seu ingresso online: https://t.co/IxLDo4El8i https://t.co/HB2SLl5NMT</t>
  </si>
  <si>
    <t>Antes de desistir do seu negócio, que tal contar com o apoio do Sebrae pra fazer acontecer? Visite nosso site, descubra os cursos gratuitos e invista no futuro. Ah, e siga o Sebrae no TikTok pra mais dicas de empreendedorismo! 💙
#SdaQuestão #Vendas #Empreendedorismo https://t.co/6hvKIclsxC</t>
  </si>
  <si>
    <t>🔮 Você acredita que seu signo influencia a forma como você empreende? 🤔
#Signos #Áries #Leão #Sagitário #Empreendedorismo https://t.co/hQP3T133A1</t>
  </si>
  <si>
    <t>👉 Clique no link da bio e garanta já sua inscrição! Aproveite pra marcar o @ de alguém que empreende pra dar aquela forcinha! 💪 #ServiçosSebrae #AvaliaçãoDeVendas #PlanejamentoDeVenda #Empreendedorismo
https://t.co/VS2RHTge5J https://t.co/69QUzgb9do</t>
  </si>
  <si>
    <t>🌐 GoWorkers: Onde Oportunidade Encontra Inovação! 🌐
#empreender #empreendedorismo #o #marketingdigital #sucesso #empreendedor #marketing #foco #dinheiro #a #negocios #motiva #brasil #rendaextra #vendas #motivacao #empreendedorismofeminino #business #empreendedorismodigital https://t.co/pO7z8H1g6l</t>
  </si>
  <si>
    <t>🌐 GoWorkers: O Epicentro das Grandes Oportunidades Empresariais! 🌐
#empreender #empreendedorismo #o #marketingdigital #sucesso #empreendedor #marketing #foco #dinheiro #a #negocios #motiva #brasil #rendaextra #vendas #motivacao #empreendedorismofeminino #business https://t.co/FYJbU2HsQl</t>
  </si>
  <si>
    <t>📷 Descanse e Cresça com o Programa de Investimento Exclusivo da GOW! 📷
#oportunidade #o #empreendedorismo #a #sucesso #emprego #trabalho #vendas #brasil #vagas #marketingdigital #rendaextra #dinheiro #investimento #empreender #foco #motiva #empreendedor #empregos #negocios https://t.co/T2wNEElOAC</t>
  </si>
  <si>
    <t>🌟 Turbinando Seus Negócios com o Programa de Investimento Exclusivo da GOW! 🌟
https://t.co/laDaTnuuuK
#oportunidade #o #empreendedorismo #a #sucesso #emprego #trabalho #vendas #brasil #vagas #marketingdigital #rendaextra #dinheiro #investimento #empreender #foco https://t.co/C7aGnsZ5uO</t>
  </si>
  <si>
    <t>🌐 GoWorkers: Onde Humor e Negócios se Misturam de Forma Incrível! 🌐
#empreender #empreendedorismo #o #marketingdigital #sucesso #empreendedor #marketing #foco #dinheiro #a #negocios #motiva #brasil #rendaextra #vendas #motivacao #empreendedorismofeminino #business https://t.co/GHkJ6eCgWB</t>
  </si>
  <si>
    <t>Veja como a rede GOW pode te auxiliar!
https://t.co/laDaTntWFc
#empreender #empreendedorismo #o #marketingdigital #sucesso #empreendedor #marketing #foco #dinheiro #a #negocios #motiva #brasil #rendaextra #vendas #motivacao #empreendedorismofeminino #business https://t.co/5wB6uPGERA</t>
  </si>
  <si>
    <t>Edúcate Financieramente    #empreendedorismo  #motivation #riqueza https://t.co/HMdGGEEfF1 via @YouTube</t>
  </si>
  <si>
    <t>Cuidado com os inimigos, assista até o fim.                                                     #foco #empreendedorismo #marketingdigital #marketing #motivacao #mindset #negocio https://t.co/602FXoePhO</t>
  </si>
  <si>
    <t>O episódio #25 já está disponível em todas as plataformas!
#ufpa #podcast #idopterlabs #inovacao #empreendedorismo #mercado</t>
  </si>
  <si>
    <t>O episódio #25 já tá on no teu agregador de áudio favorito
#ufpa #podcast #idopterlabs #inovacao #empreendedorismo #mercado</t>
  </si>
  <si>
    <t>#Empreendedorismo
#Brasil</t>
  </si>
  <si>
    <t>❤️¡NUEVO VIDEO!❤️
⬇️⬇️⬇️
https://t.co/l9DSK6pBHM 
#iniciatunegocio #empreendedorismo  #emprendedora #comienzatunegocio #dondecomprar #mochilasescolares</t>
  </si>
  <si>
    <t>Se você é um empreendedor buscando o crescimento de seu negócio, lembre-se de que nada é mais rentável do que investir em si mesmo e em seu empreendimento.
Leia mais: https://t.co/Dt8iUAY8w3
#empreendedor #empreendedorismo #sucesso #parcerias</t>
  </si>
  <si>
    <t>Entre cidades mais empreendedoras do Brasil, Santos, São Vicente e Guarujá contam receita do sucesso.
#santos  #saovicente  #guaruja  #empreendedor
https://t.co/C5P6JvNcZi</t>
  </si>
  <si>
    <t>É AMANHÃ! 
Oportunidade perfeita de conexão entre profissionais, troca de experiências e potencializar a carreira na nutrição! 
Vem fazer parte desse movimento o #Nutriminds - com nutricionistas de saúde mental e comportamento. 
#SaúdeMental #Comportamento #Empreendedorismo https://t.co/lgcMD4Be63</t>
  </si>
  <si>
    <t>Aprenda a focar no seu alvo 🤔🤯☕
#reflexaododia 
#pablomarcal 
#desenvolvimentoprofissional 
#empreendedorismo https://t.co/LY2BoqeP4R</t>
  </si>
  <si>
    <t>Quer empreender, mas não sabe por onde começar? 😉 Nosso time de consultores está pronto para te atender. Entre em contato por um dos nossos canais de atendimento. #SebraeTO #Empreendedorismo #LojaSebrae #Empreendedor #canaisdeatendimento #atendimento #suporte #consultoria https://t.co/jCHRch7MwU</t>
  </si>
  <si>
    <t>Daqui a 2 dias acontece o Seminário Neurobusiness, e se você ainda não garantiu o seu passaporte, é melhor correr para não ficar de fora desse grande evento! Garanta seu ingresso: https://t.co/ahX8ARIyvf
#SebraeTO #Empreendedorismo #MenteEmpreendedora #Empreendedor https://t.co/pOoemJtMm5</t>
  </si>
  <si>
    <t>📝Você que é empreendedor ou está começando a empreender não pode deixar de conhecer os conteúdos e materiais que a Loja Sebrae Tocantins oferece para ajudar na sua capacitação. 😉 Não perca tempo! Acesse: https://t.co/zkdkKnGrI4
#SebraeTO #Empreendedorismo #LojaSebrae https://t.co/wjHfaBn80Y</t>
  </si>
  <si>
    <t>📢 Para ajudar empreendedores a expandir os seus negócios, o Sebrae Tocantins realiza em Gurupi, o Seminário Neurobusiness.
Garanta sua vaga e saiba mais como a neurociência pode melhorar o seu negócio.
Ingressos: https://t.co/ahX8ARI0FH
#SebraeTocantins #Empreendedorismo https://t.co/EEtJB6Fzz5</t>
  </si>
  <si>
    <t>"Descubra o segredo para alavancar suas vendas online! #marketing #empreendedor #sucesso Clique no link https://t.co/BO0QyikpGJ saiba como sair dessa vida de merda!! 🔱🧠 https://t.co/O2ogloinm9</t>
  </si>
  <si>
    <t>As inscrições vão até o dia 17 de agosto, na Plataforma Mapas da Cultura.
Leia mais em https://t.co/Jcg77b7Wzs
#Cultura #Empreendedorismo</t>
  </si>
  <si>
    <t>Segundo dados do Sebrae, o Brasil teve 1,2 milhão de empregos gerados em 2023. Do total, 71% (825,4 mil) estão nos pequenos negócios.
Leia mais em https://t.co/myWUQNbHoE
#Economia #Empreendedorismo #Microempresas https://t.co/8c76qpVb16</t>
  </si>
  <si>
    <t>Público alvo são empreendedores, microempreendedores (MEIs), startups e a quem desejar aprender mais sobre conteúdos pragmáticos acerca do empreendedorismo. 
#ValorAmazônico #Empreendedorismo #PrefeituradeManaus #CursoOnline #Marketing #Startups 
https://t.co/03ILUoJek3</t>
  </si>
  <si>
    <t>Cada fase em que um negócio se encontra é um desafio que exige capacidade para chegar se chegar ao próximo nível. Da validação à alta performance, segue o fio 🧶 para entender melhor cada uma delas 👇
#altaperformance #valor #empreendedorismo #empresa #negócios https://t.co/XSRSXdr1gg</t>
  </si>
  <si>
    <t>O Incentivo ao Empreendedorismo na Terceira Idade agora é lei no Amazonas. De autoria da deputada estadual @mayradias , a Lei nº 6.268, de 27 de junho de 2023, foi sancionada pelo governo do estado.
#TerceiraIdade #Inclusão #Empreendedorismo https://t.co/VQVpZVUzdl</t>
  </si>
  <si>
    <t>Visão Milionaria
@geracaodevalor @felipe.titto #milionariostalk #felipetitto #bigbrother #podcast #empreendedorismo #luxurylifestyle #money #lifestyle #carrosdeluxo #marketing #supercarros #affiliatemarketing #milionário #billionaire #trading #aestheticvideo #empreender #carsed https://t.co/36m7b9J1nT</t>
  </si>
  <si>
    <t>📈 Recorde histórico em São Paulo! Agosto de 2023 marcou a abertura de  30.697 empresas no estado e 13.402 na capital. O empreendedorismo está  em alta, impulsionando nossa economia! 💼🚀 #EconomiaSP  #Empreendedorismo https://t.co/8C4dePXmIu</t>
  </si>
  <si>
    <t>Vocês estão prontos para o próximo episódio?!
Espero por você!! 😉
.
.
.
.
#podcast #entrevistas #empreendedorismo #youtube #saocaetanodosul #novosnegocios #diamantebruto #joais #pedraspreciosas https://t.co/RhTh9Y5NIO</t>
  </si>
  <si>
    <t>💰 Aumente seu Faturamento com os miolos de agenda Clean 2024! ✨
https://t.co/fnaMwoPKoU
#revendadeagendas
#miolosdeagenda
#agendas
#cadernos
#planners
#organizacao
#negocioproprio
#empreendedorismo
#oportunidadedenegocio
#independenciafinanceira
#lucratividade https://t.co/SOuBRBN1eP</t>
  </si>
  <si>
    <t>Quando você tem uma meta, o que era obstáculo passa a ser etapa.
#empreendedorismo #brasil #resiliencia #like4likes #like4likes #instagood
https://t.co/wLZ1PRQ28R</t>
  </si>
  <si>
    <t>Programa Brasil Mais Produtivo disponibiliza vagas para inscrição de micro e pequenas empresas na região do Baixo Amazonas
📲 Confira: https://t.co/cmlNiHswey
#ÉNotíciaPará #Empreendedorismo #Economia https://t.co/vgC3xR40AK</t>
  </si>
  <si>
    <t>Nos seis primeiros meses de 2023, o Brasil “perdeu” um total de 427.934 empresas entre micro, pequeno, médio e grande porte no 1º semestre de 2023.
📲 Confira: https: https://t.co/N8YOBexgvU
#ÉNotíciaPará #ÉNotíciaBrasil #empreendedorismo https://t.co/DdKaIdvAUG</t>
  </si>
  <si>
    <t>Hoje 20 horas tem A CASA DO MR VOLPI Inédito! Trazendo hoje o Quadro "Você Faz a Diferença"! Assista no Canal 89 da SoulTV e em https://t.co/r0DCsNoglS - Sensacional! #ACasaDoMrVolpi #Volpi #VoceFazADiferença #Cultura #Empreendedorismo #JS #wtvbrasil https://t.co/7CYeLb7JGg</t>
  </si>
  <si>
    <t>"Persista, supere desafios e torne seus sonhos realidade. O caminho do empreendedorismo é repleto de obstáculos, mas também de oportunidades incríveis. Seja ousado, inovador e nunca deixe de acreditar no seu potencial. #Empreendedorismo #Sonhos #Persistência" https://t.co/dpzmbfiYni</t>
  </si>
  <si>
    <t>Como criar um site usando o chatgpt? #chatgpt #chatgpt3 #chatgpt4 #empresario #empreendedor
https://t.co/tBcHBP5X33</t>
  </si>
  <si>
    <t>Consultoria em Planos de Saúde
Solicite uma COTAÇÃO!
https://t.co/3gJTcpvTmQ
#digitalmarketing #vendasonline #empresas  #saude #marketing #divulgação #empreendedorismo #planosdesaude #marketingdigital #cnpjmei #publicidadeonline #vendas #consultoria #mei #planodesaudeempresarial https://t.co/EaIyKMGqwG</t>
  </si>
  <si>
    <t>Consultoria em Planos de Saúde
https://t.co/myRA0es1kq…
#digitalmarketing #vendasonline #empresas #marketingdigital #divulgação #empreendedorismo #planosdesaude #saopaulo #marketing #publicidadeonline #consultoria #vendas #cnpjmei #planodesaudeempresarial #consultoriaempresarial https://t.co/dYguyOcCn7</t>
  </si>
  <si>
    <t>Consultoria em Planos de Saúde
https://t.co/myRA0es1kq…
#digitalmarketing #vendasonline #empresas #marketingdigital #divulgação #empreendedorismo #planosdesaude #saopaulo #marketing #publicidadeonline #consultoria #vendas #cnpjmei #planodesaudeempresarial #consultoriaempresarial https://t.co/e3lkhnwIn8</t>
  </si>
  <si>
    <t>Consultoria em Planos de Saúde
https://t.co/myRA0es1kq…
#digitalmarketing #vendasonline #empresas #marketingdigital #divulgação #empreendedorismo #planosdesaude #saopaulo #marketing #publicidadeonline #consultoria #vendas #cnpjmei #planodesaudeempresarial #consultoriaempresarial https://t.co/T9kDmp6vDZ</t>
  </si>
  <si>
    <t>Consultoria em Planos de Saúde
https://t.co/myRA0es1kq…
#digitalmarketing #vendasonline #empresas #marketingdigital #divulgação #empreendedorismo #planosdesaude #diadospais #marketing #publicidadeonline #consultoria #cnpjmei #planodesaudeempresarial https://t.co/FofqiyqGmg</t>
  </si>
  <si>
    <t>Consultoria em Planos de Saúde
https://t.co/myRA0es1kq…
#digitalmarketing #vendasonline #empresas #marketingdigital #divulgação #empreendedorismo #planosdesaude #diadospais #marketing #publicidadeonline #consultoria #cnpjmei #planodesaudeempresarial #consultoriaempresarial https://t.co/CY4AeEJBQk</t>
  </si>
  <si>
    <t>Consultoria em Planos de Saúde
https://t.co/3gJTcpvTmQ
#digitalmarketing #vendasonline #empresas #marketingdigital #divulgação #empreendedorismo #planosdesaude #saopaulo #marketing #publicidadeonline #consultoria #vendas #cnpjmei #planodesaudeempresarial #consultoriaempresarial https://t.co/PLiYWaIPif</t>
  </si>
  <si>
    <t>“Vieses cognitivos são atalhos mentais. Então, para otimizar essa energia, usamos atalhos mentais, e aí surgem os erros de julgamento ou vieses cognitivos.” #brandingbrasil #marketingbrasil #empreendedorismo #negocios #startupbrasil #pequenasempresas  https://t.co/qrPJCNA87W</t>
  </si>
  <si>
    <t>“Creator Economy é a capacidade de transformar conteúdo em produto.” #brandingbrasil #marketingbrasil #empreendedorismo #negocios #startupbrasil #pequenasempresas https://t.co/yOEYvvJLKL</t>
  </si>
  <si>
    <t>“Se você está trabalhando no rebranding ou lançando um novo negócio, está se perguntando como escolher a cor da marca.” #brandingbrasil #marketingbrasil #empreendedorismo #negocios #startupbrasil #pequenasempresas  https://t.co/wNy1Uvaztm</t>
  </si>
  <si>
    <t>“Embora o mundo digital esteja em constante evolução, existe algo que não muda, a importância do conteúdo.” #brandingbrasil #marketingbrasil #empreendedorismo #negocios #startupbrasil #pequenasempresas  https://t.co/YStNlwBbic</t>
  </si>
  <si>
    <t>“Estratégia de marca é o plano que alinha os elementos e as ações para atingir seus objetivos de negócios.” #brandingbrasil #marketingbrasil #empreendedorismo #negocios #startupbrasil #pequenasempresas https://t.co/pablEsZKc4</t>
  </si>
  <si>
    <t>“O Instagram investiu em muitos novos formatos nos últimos anos, isso nos permitiu experimentar diferentes maneiras de criar e compartilhar conteúdo.” #brandingbrasil #marketingbrasil #empreendedorismo #negocios #startupbrasil #pequenasempresas https://t.co/0ZLIVIC5dP</t>
  </si>
  <si>
    <t>“Entender quem são as principais pessoas que interagem com sua marca é essencial para manter um negócio de sucesso.” #brandingbrasil #marketingbrasil #empreendedorismo #negocios #startupbrasil #pequenasempresas https://t.co/5CjqD4LOEZ</t>
  </si>
  <si>
    <t>“Quanto mais relevante for o conteúdo para o seu público, mais credibilidade para sua marca.” #brandingbrasil #marketingbrasil #empreendedorismo #negocios #startupbrasil #pequenasempresas  https://t.co/yJ03aUAh4N</t>
  </si>
  <si>
    <t>Nossas aulas de mentorias são uma oportunidade única para aprender com os melhores profissionais da área e fazer networking com outros empreendedores.🗣️
Todos os serviços de forma gratuita, não perca essa chance!😉
#nae #niteroi #empreendedorismo #negócios #mentorias #oficinas</t>
  </si>
  <si>
    <t>Quanto a vendedora precisa bater a meta. #moda #vendedora #blumenau #itensdemoda #compras #empreendedorismo https://t.co/9XVYYwb4KT</t>
  </si>
  <si>
    <t>DESCRIÇÕES DE CARGO
A organização deve definir as descrições de cargo coerentes conforme a necessidade da empresa, baseado nas competências de Escolaridade, Experiência e/ou Treinamentos.
#qualidade #iso #iso9001 #iso90012015 #gestao #empresas #empreendedorismo https://t.co/8oJ0oR4JhK</t>
  </si>
  <si>
    <t>#Comércio  #EmpoderamentoFeminino #Empreendedorismo #Empreendedorismo #EmpreendedorismoFeminino #EquidadeDeGênero #Inovação #Liderança #Negócios #Startup #TransformaçãoDigital #TransformaçãoDigital https://t.co/CC9sjMzbsB</t>
  </si>
  <si>
    <t>@minyeeboy #empreendedorismo</t>
  </si>
  <si>
    <t>Um padraozao veio me add no facebook (sim facebook). Exclui pq nao conhecia.  Fui ver os stories dele.... #empreendedorismo https://t.co/TvKeEx4E1G</t>
  </si>
  <si>
    <t>Participe do nosso Bate Papo de ADM sobre 'Empreendedorismo na era da IA'!  No dia 20 de setembro, às 19h, na Uniasselvi Polo Sobral. O evento é gratuito e oferece certificação de participação. 
#SouADM #CRACEARÁ #Empreendedorismo #InteligênciaArtificial https://t.co/O01RyFiN88</t>
  </si>
  <si>
    <t>CRA-CE Apoia a Semana do Administrador no UniFAP-CE: Celebrando o Empreendedorismo e Inovação
Leia mais em: https://t.co/zIbKeJZFHK
#SouADM #CRACEARÁ #UniFAP #Empreendedorismo #Inovação https://t.co/Vcf3nvRHeU</t>
  </si>
  <si>
    <t>Ganhe dinheiro no conforto da sua casa, sem precisar mostrar o rosto para o mundo online.
#Online #dinheiro #empreendedorismo https://t.co/xoFpHfr1nQ</t>
  </si>
  <si>
    <t>"Desvendando os Segredos da Riqueza: Uma Jornada de Sucesso Financeiro"
#sucesso #empreendedorismo #LIBERDADE https://t.co/hrL4Nuw4De</t>
  </si>
  <si>
    <t>Transforme seu tempo livre em lucro: Descubra como ganhar dinheiro online e conquiste a liberdade financeira que você sempre sonhou! 🤑🚀✨
#Online #livre #empreendedorismo https://t.co/40pWf9Bt7G</t>
  </si>
  <si>
    <t>Não deixe o seu potencial financeiro limitado pelas circunstâncias. Aproveite a era digital e descubra como conquistar uma renda extra online, sem sair de casa.
#MarketingDigital #Internet #ONLINE #Digital #empreendedorismo #rico https://t.co/6BZPBhgDNg</t>
  </si>
  <si>
    <t>Apoie o projeto EMPREENDEDORA SEM NEURA👊🏻
Saiba mais no link⤵️
https://t.co/6nurn0kmI7
.
.
#catarse #apoieoprojeto #apoie
#empreendedorismo #façaparte https://t.co/sf2Pz4tsuv</t>
  </si>
  <si>
    <t>Perdida por el tipo de cambio deducible.
Se vale comprar.
 #empreendedorismo #comerciantes #empresafamiliar #fiscal #emprendedores #empresario https://t.co/TNmkEFcVPq</t>
  </si>
  <si>
    <t>La importancia de contabilizar para deducir.
Se vale compartir.
 #empreendedorismo #comerciantes #empresafamiliar #fiscal #emprendedores #empresario https://t.co/FohdXGBCCc</t>
  </si>
  <si>
    <t>Depreciación financiera?
Se vale compartir.
 #empreendedorismo #comerciantes #empresafamiliar #fiscal #emprendedores #empresario https://t.co/9FnamkyCgR</t>
  </si>
  <si>
    <t>Faltas de los empleados
Tip empresarial
Se vale compartir  #empreendedorismo #comerciantes #empresafamiliar #fiscal #emprendedores #empresario https://t.co/CZYZEjcwUK</t>
  </si>
  <si>
    <t>Fiscalización de cuantas bancarias nuevamente el SAT.
se vale compartir.
 #empreendedorismo #comerciantes #empresafamiliar #fiscal #emprendedores #empresario https://t.co/Eg8pdnmn59</t>
  </si>
  <si>
    <t>Immex y Certificación.
Se vale compartir. #empreendedorismo #comerciantes #empresafamiliar #fiscal #emprendedores #empresario https://t.co/0kQq6HXCN8</t>
  </si>
  <si>
    <t>#vendas #empreendedorismo #treinamento #treinamentodevendas #oplanozero https://t.co/UVRhYLZLZS</t>
  </si>
  <si>
    <t>3 dicas para almoço de negócios.
#vendas #empreendedorismo #mulheresvirtuosas #deus #marketingdigital https://t.co/ETro1m1ovp</t>
  </si>
  <si>
    <t>👩‍💼Por que devemos incentivar o empreendedorismo feminino?
Confira mais detalhes em nosso BLOG 👉
https://t.co/IV32OQEAqT
#empreendedorismo #empreendedorismofeminino #mulheresempreendedoras https://t.co/0XMtKK6DjU</t>
  </si>
  <si>
    <t>📊 Dados sobre o Empreendedorismo Feminino no Brasil
Saiba mais em nosso BLOG 👉 
https://t.co/IV32OQEAqT
#empreendedorismo #empreendedorismofeminino #mulheresempreendedoras https://t.co/cnWOOkHTbV</t>
  </si>
  <si>
    <t>💁‍♂️ Empreendedorismo: o que é e como um curso técnico pode ajudar você a empreender
Saiba mais em nosso Blog 👉 https://t.co/48ZDAq8PZn
#empreendedorismo #cursostécnicos https://t.co/zO1vlGc7zN</t>
  </si>
  <si>
    <t>استكشف عالمًا جديدًا من التجارب المبتكرة مع نظارات الواقع الافتراضي والواقع المعزز! 🌐🕶️
Discover a new world of innovative experiences with Virtual Reality and Augmented Reality glasses! 🌐🕶️
#logistingroup
#logistingdigital
#originalcharacter #drawings #empreendedorismo #m https://t.co/2lzjkhiCFW</t>
  </si>
  <si>
    <t>Don't forget to follow us for more valuable tips and information on content writing and digital marketing. Share your opinions and questions in the comments! 📝💬
#technology #o #print #online #content #seo #original #arte #doodle #originalcharacter #drawings #empreendedorismo #m https://t.co/fnkdTc9cpV</t>
  </si>
  <si>
    <t>#technology #o #print #online #content #seo #original #arte #doodle #originalcharacter #drawings #empreendedorismo #m #instagood #cute #entrepreneur https://t.co/OYB8zlkacN</t>
  </si>
  <si>
    <t>Quando a gente pergunta se os leads estão sendo bem atendidos 🤣
#trafegopago #marketingdigital #empreendedorismo #socialmedia #gestordetrafego #empresario #empresarios https://t.co/v3qfXSGNTQ</t>
  </si>
  <si>
    <t>#frasesmotivacionais #brasil #pensamento #pensamentospositivos #baralhocigano #paz #palavras #repost #gratidao #tar #reflexaododia #mensagens #conselho #ncia #gratid #instafrases #amadurecimento #motivacional #relacionamento #empreendedorismo #jesus #dicas #conselhododia https://t.co/wVdYxN0UxK</t>
  </si>
  <si>
    <t>Mente de empreendedor
#empreendedorismo #aprender #lição #sucesso https://t.co/LFzHeac7hc</t>
  </si>
  <si>
    <t>A importância da pesquisa de palavras-chave
https://t.co/zDc7trd4lw
#Cursos #Capacitações #DesenvolvimentoProfissional #Empreendedorismo #Empreendedorismo #Eventos #Networking #Finanças #Investimentos #Gestão #Marketing #Vendas https://t.co/AvVUs0psfH</t>
  </si>
  <si>
    <t>Técnicas de link building
#Cursos #Capacitações #DesenvolvimentoProfissional #Empreendedorismo #Empreendedorismo #Eventos #Networking #Finanças #Investimentos #Gestão #Marketing #Vendas #pde360 #portaldoempreendedor360
https://t.co/xc8ObqxDRl https://t.co/o1afC1C4gN</t>
  </si>
  <si>
    <t>10 dicas para o SEMrush
https://t.co/ycVE4gygPy
#Cursos #Capacitações #DesenvolvimentoProfissional #Empreendedorismo #Empreendedorismo #Eventos #Networking #Finanças #Investimentos #Gestão #Marketing #Vendas #pde360 #portaldoempreendedor360 https://t.co/L2zYwrONg5</t>
  </si>
  <si>
    <t>Estrutura e arquitetura do site para SEO
https://t.co/2aVLQBbPeG
#Cursos #Capacitações #DesenvolvimentoProfissional #Empreendedorismo #Empreendedorismo #Eventos #Networking #Finanças #Investimentos #Gestão #Marketing #Vendas https://t.co/odkInhoBpb</t>
  </si>
  <si>
    <t>Como o SEMrush pode impulsionar sua estratégia de marketing digital
https://t.co/Vi5F1cX4qC
#Cursos #Capacitações #DesenvolvimentoProfissional #Empreendedorismo #Empreendedorismo #Eventos #Networking #Finanças #Investimentos #Gestão #Marketing #Vendas https://t.co/4KGS7UsjrX</t>
  </si>
  <si>
    <t>A importância dos backlinks
https://t.co/HYLlTZMlpF
#Cursos #Capacitações #DesenvolvimentoProfissional #Empreendedorismo #Eventos #Networking #Finanças #Investimentos #Gestão #Marketing #Vendas #pde360 #portaldoempreendedor360 https://t.co/juTcjzY4kJ</t>
  </si>
  <si>
    <t>Google Analytics: A Ferramenta Essencial para Analisar o Desempenho do seu Site
https://t.co/IIk338WH4C
#Cursos #Capacitações #DesenvolvimentoProfissional #Empreendedorismo #Empreendedorismo #Eventos #Networking #Finanças #Investimentos #Gestão #Marketing #Vendas https://t.co/okec0DbX7R</t>
  </si>
  <si>
    <t>Google PageSpeed Insights: Otimize o Desempenho do seu Site para uma Melhor Experiência do Usuário
https://t.co/Lu2JRU1NLu
#Cursos #Capacitações  #Empreendedorismo #Eventos #Networking #Finanças #Investimentos #Gestão #Marketing #Vendas #pde360 #portaldoempreendedor360 https://t.co/cFZQiBsrA8</t>
  </si>
  <si>
    <t>Algoritmos de busca e principais motores de busca
https://t.co/JZF4FNH91V
#Cursos #Capacitações #DesenvolvimentoProfissional #Empreendedorismo #Empreendedorismo #Eventos #Networking #Finanças #Investimentos #Gestão #Marketing #Vendas #pde360 #portaldoempreendedor360 https://t.co/E2vCt5Bjzd</t>
  </si>
  <si>
    <t>Diferença entre SEO orgânico e pago
https://t.co/yl7zUoBYDa
#Cursos #Capacitações #DesenvolvimentoProfissional #Empreendedorismo #Empreendedorismo #Eventos #Networking #Finanças #Investimentos #Gestão #Marketing #Vendas #pde360 #portaldoempreendedor360 https://t.co/5Pd23w2OFD</t>
  </si>
  <si>
    <t>O que é SEO e sua importância
https://t.co/CDDN3JhEiw
#Cursos #Capacitações #DesenvolvimentoProfissional #Empreendedorismo #Empreendedorismo #Eventos #Networking #Finanças #Investimentos #Gestão #Marketing #Vendas https://t.co/JAhSAp1hTl</t>
  </si>
  <si>
    <t>10 dicas para o Ahrefs
https://t.co/tPBXIlAKkX
#Cursos #Capacitações #DesenvolvimentoProfissional #Empreendedorismo #Eventos #Networking #Finanças #Investimentos #Gestão #Marketing #Vendas #pde360 #portaldoempreendedor360 https://t.co/v0V8PBzhD2</t>
  </si>
  <si>
    <t>Ahrefs: Uma poderosa ferramenta para aprimorar sua estratégia de SEO
https://t.co/YjnMxzJTYT
#Cursos #Capacitações #DesenvolvimentoProfissional #Empreendedorismo #Empreendedorismo #Eventos #Networking #Finanças #Investimentos #Gestão #Marketing #Vendas https://t.co/NxDMhLnyIs</t>
  </si>
  <si>
    <t>Melhores práticas de URL, títulos e meta descrições
https://t.co/mXRYWta27l
#Cursos #Capacitações #DesenvolvimentoProfissional #Empreendedorismo #Empreendedorismo #Eventos #Networking #Finanças #Investimentos #Gestão #Marketing #Vendas https://t.co/MMhFCfM3ze</t>
  </si>
  <si>
    <t>Ferramentas de pesquisa de palavras-chave
https://t.co/r5N0gAToVc
#Cursos #Capacitações #DesenvolvimentoProfissional #Empreendedorismo #Empreendedorismo #Eventos #Networking #Finanças #Investimentos #Gestão #Marketing #Vendas https://t.co/4iz459hgKY</t>
  </si>
  <si>
    <t>Moz Pro: Potencialize sua estratégia de SEO com esta poderosa ferramenta
https://t.co/wXucSzCEWC
#Cursos #Capacitações #DesenvolvimentoProfissional #Empreendedorismo #Eventos #Networking #Finanças #Investimentos #Gestão #Marketing #Vendas #pde360 #portaldoempreendedor360 https://t.co/uwL7jvCKOQ</t>
  </si>
  <si>
    <t>Otimização de conteúdo e uso de palavras-chave
https://t.co/kil6SUV0NN
#Cursos #Capacitações #DesenvolvimentoProfissional #Empreendedorismo #Eventos #Networking #Finanças #Investimentos #Gestão #Marketing #Vendas #pde360 #portaldoempreendedor360 https://t.co/iOoNBgKIRI</t>
  </si>
  <si>
    <t>Avaliação da qualidade dos backlinks
https://t.co/zbBYrgWcOF
#Cursos #Capacitações #DesenvolvimentoProfissional #Empreendedorismo #Empreendedorismo #Eventos #Networking #Finanças #Investimentos #Gestão #Marketing #Vendas https://t.co/3sv0jT7noI</t>
  </si>
  <si>
    <t>Reivindicação e Otimização de Perfis em Diretórios Locais: Aumentando a Visibilidade do seu Negócio Online
https://t.co/cbocFrFihn
#Cursos #Capacitações  #Empreendedorismo #Empreendedorismo #Eventos #Networking #Finanças #Investimentos #Gestão #Marketing #Vendas https://t.co/73oYM94fWe</t>
  </si>
  <si>
    <t>10 dicas para o Google Search Console
https://t.co/IZXNMs9ulx
#Cursos #Capacitações #DesenvolvimentoProfissional #Empreendedorismo #Empreendedorismo #Eventos #Networking #Finanças #Investimentos #Gestão #Marketing #Vendas https://t.co/GeUA2KggD7</t>
  </si>
  <si>
    <t>10 dicas para o Google PageSpeed Insights
https://t.co/Dsf46So786
#Cursos #Capacitações #DesenvolvimentoProfissional #Empreendedorismo #Empreendedorismo #Eventos #Networking #Finanças #Investimentos #Gestão #Marketing #Vendas #pde360 #portaldoempreendedor360 https://t.co/pN57eUnalC</t>
  </si>
  <si>
    <t>O que é SEO e sua importância
https://t.co/CDDN3JhEiw
#Cursos #Capacitações #DesenvolvimentoProfissional #Empreendedorismo #Empreendedorismo #Eventos #Networking #Finanças #Investimentos #Gestão #Marketing #Vendas #pde360 #portaldoempreendedor360 https://t.co/wfWpZv5Dex</t>
  </si>
  <si>
    <t>Estratégias para identificar palavras-chave relevantes
https://t.co/Q8PO0dwUzl
#Cursos #Capacitações #DesenvolvimentoProfissional #Empreendedorismo #Empreendedorismo #Eventos #Networking #Finanças #Investimentos #Gestão #Marketing #Vendas https://t.co/0Ajbr5NEY7</t>
  </si>
  <si>
    <t>Uso correto de cabeçalhos e tags HTML
https://t.co/3VJh73WCoH
#Cursos #Capacitações #DesenvolvimentoProfissional #Empreendedorismo #Eventos #Networking #Finanças #Investimentos #Gestão #Marketing #Vendas #pde360 #portaldoempreendedor360 https://t.co/VT5IGz6Ws8</t>
  </si>
  <si>
    <t>Google Search Console: A Ferramenta Essencial para Otimizar seu Site nos Resultados de Pesquisa
https://t.co/r2fYPhumZA
#Cursos #DesenvolvimentoProfissional #Empreendedorismo #Empreendedorismo #Eventos #Networking #Finanças #Investimentos #Gestão #Marketing #Vendas https://t.co/Imylf6IKSt</t>
  </si>
  <si>
    <t>Os Limites do Microempreendedor Individual no Brasil: Entenda as Regras
https://t.co/7xr1Copsi7
#Cursos #Capacitações #DesenvolvimentoProfissional #Empreendedorismo #Empreendedorismo #Eventos #Networking #Finanças #Investimentos #Gestão #Marketing #Vendas https://t.co/VvOWoVWHx4</t>
  </si>
  <si>
    <t>Análise da concorrência e tendências de pesquisa
https://t.co/JhqwnZiunS
#Cursos #Capacitações #DesenvolvimentoProfissional #Empreendedorismo #Empreendedorismo #Eventos #Networking #Finanças #Investimentos #Gestão #Marketing #Vendas https://t.co/nZI3hUo2ah</t>
  </si>
  <si>
    <t>10 dicas para o Moz Pro
https://t.co/FmMVr9dY8M
#Cursos #Capacitações #DesenvolvimentoProfissional #Empreendedorismo #Eventos #Networking #Finanças #Investimentos #Gestão #Marketing #Vendas #pde360 #portaldoempreendedor360 https://t.co/MaB8Hgcfcs</t>
  </si>
  <si>
    <t>Knowing your target audience is crucial to building a successful business. Take the time to identify who your audience is and what they need.</t>
  </si>
  <si>
    <t>8/ ✈️ A mensagem aqui é clara: persista, acredite e inove! Deixe que essa história dos Post-its seja um lembrete de que suas ideias podem se tornar realidade, mesmo que pareçam simples no início.
 #Criatividade #Persistência #Inovação #Empreendedorismo #Sucesso #KeepFlying 🚀</t>
  </si>
  <si>
    <t>Apenas para as 100 primeiras pessoas. De R$97,00 por apenas R$9,99. Venda muito mais produtos físicos. Corre e garanta a nossa área de membros vip. 
#rendaextra #marketingdigital #empreendedorismo #o #dinheiro #sucesso #empreender #marketing #rendaextraemcasa #hotmart #vendas https://t.co/IV44Jlm8eT</t>
  </si>
  <si>
    <t>Atualizando: uma mais cara q a outra, frio, pequeno e agora com carne crua. 
#empreendedorismo</t>
  </si>
  <si>
    <t>Contar com a Easycob é fácil e descomplicado!
Créditos à recuperar?
📞 02125148983
📧comercial@easycob-n.com.br
#easycob #cobrança #negócios #indústria #empresas #empreendedorismo #b2b #business #companies https://t.co/d5XlgHw72l</t>
  </si>
  <si>
    <t>Confira estas três dicas incríveis sobre gestão de estoque que nós trouxemos e estamos certos de que você ficará surpreso(a)...
https://t.co/9CiY0rYZKR
Créditos à recuperar?
📞 02125148983
📧comercial@easycob-n.com.br
#easycob #negócios #indústria #empresas #empreendedorismo https://t.co/bJtfxxzHeG</t>
  </si>
  <si>
    <t>Temos CERTEZA que depois desse conteúdo, você vai entender nossa língua... https://t.co/heZwnxFnyt
Créditos à recuperar?
📞 02125148983
📧comercial@easycob-n.com.br
#easycob #cobrança #negócios #indústria #empresas #empreendedorismo #b2b #business #companies #cobrança https://t.co/vSdT4UhxCm</t>
  </si>
  <si>
    <t>Break-even point: o que é e como calcular essa dado chave da sua empresa!
https://t.co/UrRbN3B5nN
Créditos à recuperar?
📞 02125148983
📧comercial@easycob-n.com.br
#easycob #cobrança #negócios #indústria #empresas #empreendedorismo #breakeven #glossario https://t.co/hvLmpWyQrQ</t>
  </si>
  <si>
    <t>Um mercado com quase 30 milhões de profissionais! Quer saber qual? Assiste ao vídeo!
É um deles e tem créditos à recuperar?
📞 02125148983
📧comercial@easycob-n.com.br
#easycob #cobrança #negócios #indústria #empresas #empreendedorismo #b2b #business #companies #autonomos https://t.co/sJl75nFihe</t>
  </si>
  <si>
    <t>Como a inovação pode mudar sua empresa? Vem que a gente te conta!
https://t.co/pNC4XA32Du
Créditos à recuperar?
📞 02125148983
📧comercial@easycob-n.com.br
#easycob #cobrança #negócios #indústria #empresas #empreendedorismo #b2b #business #companies https://t.co/cJjrJ7z6HH</t>
  </si>
  <si>
    <t>Condomínios são uma parte relevante da sociedade brasileira! Vem conferir essas curiosidades sobre esses espaços!
Créditos à recuperar?
📞 02125148983
📧comercial@easycob-n.com.br
#easycob #cobrança #negócios #indústria #empresas #empreendedorismo #b2b #business #companies https://t.co/GcqB5MJrGI</t>
  </si>
  <si>
    <t>Quem se garante trabalha em sucess fee! Já sabe o que é?
Créditos à recuperar?
📞 02125148983
📧comercial@easycob-n.com.br
#easycob #cobrança #negócios #indústria #empresas #empreendedorismo #b2b #business #companies #sucess #fee https://t.co/XB86OzPqsX</t>
  </si>
  <si>
    <t>“A maneira de começar é parar de falar e começar a fazer.” - Walt Disney
E por ai, já começou a por os planos em prática?
Créditos à recuperar?
📞 02125148983
📧comercial@easycob-n.com.br
#easycob #cobrança #negócios #indústria #empresas #empreendedorismo #b2b #companies https://t.co/whPy9GokiK</t>
  </si>
  <si>
    <t>Viana Jovens Empreendedores apoia dois projetos com verba global de 40 mil euros
#VianadoCastelo #Jovens #Empreendedorismo 
https://t.co/aiXESYjFPf</t>
  </si>
  <si>
    <t>O QUE FAZER COM OPOSIÇÕES NO INPI
Leia no Site. https://t.co/QdXWwqbm0F
Por Carmem Mosteiro
OPOSIÇÕES, são o que mais assombram um processo de pedido de Registro de Marcas no INPI. E pensamos, o que fazer!?!
#40emais #empreendedorismo</t>
  </si>
  <si>
    <t>Empreendedorismo digital – um mercado em expansão
Leia no Site. https://t.co/5IkbcA18u7
Por Erika Klann
O empreendedorismo digital abriu muitas portas para empresas e empreendedores e não para de crescer. Mas você sabe o que é empreender no digital?
#40emais #empreendedorismo</t>
  </si>
  <si>
    <t>Empreendedor: a sua vida digital está organizada?
Leia no Site. https://t.co/EASJ6ut2Sc
Por Marcio Cabral Jr.
Temos que falar de algo ainda mais importante: a vida digital da sua empresa está toda certinha?
#40emais #empreendedorismo</t>
  </si>
  <si>
    <t>Planejamento Financeiro: o Terror da maioria dos negócios
Leia no Site. https://t.co/DLTSvIdClR
Por Selma Cabral
Agora que já entendemos tudo sobre a organização do seu negócio vamos começar a entender como fazer o Planejamento Financeiro...
#40emais #empreendedorismo</t>
  </si>
  <si>
    <t>Como precificar serviços!
Leia no Site. https://t.co/E6bkLU0NxP
Por Selma Cabral
A precificação de serviços é um enorme desafio para os empreendedores e exige atenção redobrada. 
#40emais #empreendedorismo</t>
  </si>
  <si>
    <t>Como manter a sua equipe engajada?
28 de agosto de 2023 | Leia no Site. https://t.co/4ao6dLTb9q
Por Selma Cabral
Toda empresa sonha em contar com uma equipe de colaboradores engajados, mas é preciso percorrer um longo caminho, pois...
#40emais #empreendedorismo</t>
  </si>
  <si>
    <t>Como precificar o seu produto?
Leia no Site. https://t.co/EcMgdsXrt2
Por Selma Cabral
Agora que já estruturamos todo o nosso negócio e já entendemos como fazer um plano de negócios, vamos aprender a precificar os nossos produtos.
#40emais #empreendedorismo</t>
  </si>
  <si>
    <t>Empreendedor: Todo mundo precisa de um site
Leia no Site. https://t.co/IK2s8bbPhD
Por Marcio Cabral Jr.
Entre os principais elementos que mostram que uma empresa é organizada, séria e comprometida com a qualidade dos seus produtos, está o seu site. 
#40emais #empreendedorismo</t>
  </si>
  <si>
    <t>A importância do Networking
Leia no Site. https://t.co/Na4HEDRe65
Por Selma Cabral
Networking na realidade significa rede de contatos e claro que todos nós já ouvimos falar em diversos momentos...
#40emais #empreendedorismo</t>
  </si>
  <si>
    <t>Cuidado com Parcerias
30 de agosto de 2023 | Leia no Site. https://t.co/yUyS3AlE1X
Por Carmem Mosteiro
Cuidado com parcerias que apareçam para te propor negócios mirabolantes, para te adular ou te prometer sucesso e ganhos que você não imaginou. 
#40emais #empreendedorismo</t>
  </si>
  <si>
    <t>Empreendedor: afinal, o que você quer?
Leia no Site. https://t.co/ftuvDX3p8w
Por Marcio Cabral Jr.
Para tudo que se vai fazer na vida, é importante saber o que quer com isso. Onde você quer chegar. E para o empreendedor, sobretudo aquele que...
#40emais #empreendedorismo</t>
  </si>
  <si>
    <t>Empreendedor: será que vale a pena turbinar?
Leia no Site. https://t.co/Ut6NjWCmAD
Por Marcio Cabral Jr.
É sempre assim: você posta alguma coisa relativa ao seu negócio, e imediatamente a rede vem com uma proposta tentadora...
#40emais #empreendedorismo</t>
  </si>
  <si>
    <t>Resumão do Empreendedor
Leia no Site. https://t.co/Rca1dupS25
Por Selma Cabral
Como prometido fiz uma série de matérias para facilitar a vida de quem deseja abrir o próprio negócio, ser empreendedor, e muitas vezes não sabe nem por onde começar...
#40emais #empreendedorismo</t>
  </si>
  <si>
    <t>Qual a diferença de modelo de negócio e plano de negócios?
Leia no Site. https://t.co/WN9TDNUP9W
Agora que já entendemos e aprendemos a fazer um plano de negócios, precisamos entender a diferença entre plano de negócio e modelo de negócio...
#40emais #empreendedorismo</t>
  </si>
  <si>
    <t>Como montar equipe dos sonhos na sua empresa?
https://t.co/kbOtIpBf3y
Por Selma Cabral
O principal desafio das empresas é montar uma equipe de sucesso para corresponder às expectativas e às demandas necessárias para a realização de um bom trabalho.
#40emais #empreendedorismo</t>
  </si>
  <si>
    <t>Por que é importante fazer um plano de negócios?
Leia no Site. https://t.co/O6GIxw8FkJ
Por Selma Cabral
Para evitar fechar antes da hora é necessário planejar o futuro da empresa e elaborar um bom plano de negócios é fundamental.
#40emais #empreendedorismo</t>
  </si>
  <si>
    <t>Buena película 🎥 que otra me recomiendan ?
#empreendedorismo #emprendedor #emprendimiento https://t.co/qNRlB1WevB</t>
  </si>
  <si>
    <t>Junte-se a nós agora e transforme suas ideias em realidade.
#marketingdigital
#socialmedia
#empreendedorismo
#negocios
#conteudodigital
#seo
#branding
#designgrafico
#inovacao
#inspiracao</t>
  </si>
  <si>
    <t>Vale a pena ter um Sócio? Nike, Google, Microsoft, Apple, Uber e várias outras nasceram de Sócios. Por isso criamos uma plataforma que conecta empreendedores interessados em criar startups e negócios juntos como Sócios.
#empreendedorismo
Bindways, pioneira no Brasil. https://t.co/m8L02qyLqE</t>
  </si>
  <si>
    <t>Agora você tem a chance de iniciar seu próprio projeto ou se juntar a projetos já existentes, com uma equipe que acredita no potencial do negócio.
Plataforma Bindways, pioneira no Brasil.
#empreendedorismo
#inovação
#startup 
#negócios 
#tecnologia 
#bindways
#sócios
#equipe https://t.co/2IxAEGYeUf</t>
  </si>
  <si>
    <t>Aqui você encontrará o sócio ideal para levar seu negócio ao próximo nível.
Plataforma Bindways, pioneira no Brasil.
#Bindways
#Sócios
#Sociedade
#Parceiros
#Negócios
#Empreendedorismo
#Startup
#Inovação
#Tecnologia
#NegócioPróprio
#NovosNegócios
#JuntosSomosMaisFortes https://t.co/pSc3dsmmdM</t>
  </si>
  <si>
    <t>Sócios se encontram aqui!
A primeira plataforma do Brasil focada em buscar sócios para criar negócios e startups juntos.
#Bindways
#Sócios
#Sociedade
#Parceiros
#Negócios
#Empreendedorismo
#Startup
#Inovação
#Tecnologia
#NegócioProprio
#NovosNegócios
#JuntosSomosMaisFortes https://t.co/egx3GDWToI</t>
  </si>
  <si>
    <t>Valores: 💰
Reserva de nome: MT 100.00 + 200.00
Publicação dos estatutos: MT 2820.00/página
Licença Simplificada: 50% do salário mínimo
[Fontes: Código Comercial, Decreto-Lei n⁰ 1/2018 e outros]
Espero que este guia rápido ajude! #Empreendedorismo #GuiadeNegócios 👩‍💼🚀📈</t>
  </si>
  <si>
    <t>Programa Centelha visa estimular a criação de empreendimentos inovadores e disseminar a cultura empreendedora no Brasil. O Programa oferece capacitações, recursos financeiros e outros tipos de suporte. Vamos transformar ideias em negócios de sucesso? #Empreendedorismo #Uerj</t>
  </si>
  <si>
    <t>🚀 Sua jornada para o sucesso começa com a Herbalife. Seja um empreendedor de saúde e bem-estar! 💼 #Empreendedor #HerbalifeBrasil https://t.co/4QusJVKxw1</t>
  </si>
  <si>
    <t>Não perca tempo e torne-se um membro do Auddas League agora mesmo! Saiba mais: https://t.co/9nm394WfKm
.
.
#auddas #auddasleague #consultoria #negocios #business #empreendedorismo #estrategia #gestao #governanca #capital #networking https://t.co/blAhS5PKAQ</t>
  </si>
  <si>
    <t>Participe da Auddas League Live. O evento acontece no dia 25/07, às 20h. Inscreva-se gratuitamente: https://t.co/4hsV9oqwGw
.
.
#webinar #auddas #auddasleague #juliantonioli #consultoria #empresario #empreendedorismo #planejamento #planejamentoestratégico #gestao https://t.co/FksT6R6Tm4</t>
  </si>
  <si>
    <t>Quer aprender mais sobre governança corporativa e os outros três pilares fundamentais em qualquer negócio? Inscreva-se gratuitamente na Auddas League Live: https://t.co/4hsV9or4w4
.
.
#webinar #auddas #auddasleague #juliantonioli #consultoria #empresario #empreendedorismo https://t.co/b8SB7HBMXs</t>
  </si>
  <si>
    <t>Que tal saber mais sobre novas estratégias de vendas online para seu negócio? Baixe nosso material gratuito sobre como aumentar suas vendas com um time de alta performance: https://t.co/kD3okTSjlX
.
.
#auddas #consultoria #negocios #business #empreendedorismo #growth #vendas https://t.co/sa6lb2DOS4</t>
  </si>
  <si>
    <t>Corra, empreendedor! 🏃‍♂️⏳
Faltam apenas 3 dias para garantir sua vaga na 2ª turma do Auddas League! Não perca essa oportunidade única de transformar seu negócio: https://t.co/a4JLBsRaUr
.
.
#auddas #auddasleague #consultoria #business #empreendedorismo #gestao https://t.co/dfcZ2mGC08</t>
  </si>
  <si>
    <t>O Auddas League, programa de formação da Auddas, tem dois módulos completos sobre estratégia, além de muito conteúdo sobre governança, gestão e capital e M&amp;amp;A. Saiba mais sobre o programa: https://t.co/a4JLBsRIJZ
.
.
#auddas #consultoria #negocios #business #empreendedorismo https://t.co/sfdkSyM2Mk</t>
  </si>
  <si>
    <t>DRE significa Demonstração do Resultado do Exercício. Você sabe o que não pode faltar nele? Confira!
.
.
#auddas #consultoria #negocios #business #empreendedorismo #donodenegocio #resultado https://t.co/cE1VZEMZD3</t>
  </si>
  <si>
    <t>Seja um membro do Auddas League, programa de formação para empreendedores mais cobiçado do Brasil: https://t.co/a4JLBsRIJZ
.
.
#auddas #auddasleague #consultoria #business #empreendedorismo #gestao #planejamentoestrategico #governança #capital #curso #networking #workshop https://t.co/Aui1cfE95r</t>
  </si>
  <si>
    <t>Quer saber sobre estratégia, gestão, estruturação de empresas, KPIs, governança, growth hacking, M&amp;amp;A e muito mais?
Conheça a Biblioteca Auddas: https://t.co/24w9VkT2bD
.
.
#auddas #consultoria #negocios #business #empreendedorismo #estrategia #gestao #governanca #growth #kpi https://t.co/ZH3rLWmrrb</t>
  </si>
  <si>
    <t>Evite os obstáculos no caminho para o sucesso da sua startup. Precisa de ajuda para decolar o seu negócio? Consulte um de nossos especialistas: https://t.co/mKaHzQRKQI
.
.
#auddas #consultoria #negocios #business #empreendedorismo #startup #donodenegocio https://t.co/OlGYOjYEeV</t>
  </si>
  <si>
    <t>O curso de EMPREENDEDORISMO está com super promoção neste mês de agosto, aqui no Polo SÃO JOÃO, da Wyden.
Graduação 100% digital.
Faça o #Vestibular pelo link: https://t.co/v34X3XjgJo…
#Graduação #ead #online #Empreendedorismo #araçatuba #wyden #graduacao #digital https://t.co/NN15SOwWgP</t>
  </si>
  <si>
    <t>...networking e parcerias e se manter atualizado. 🤩 Descubra como fazer isso com o curso de Empreendedorismo! #Empreendedorismo #Crescimento #Sucesso #Aprendizado</t>
  </si>
  <si>
    <t>...#Empreendedorismo #Universidade #Mitos</t>
  </si>
  <si>
    <t>...tempo_como-priorizar-tarefas-e-melhorar-organização 🎓 #universitários #empreendedorismo #éxito</t>
  </si>
  <si>
    <t>RT @PlanbHangout: Em breve o Episódio 01 vai ao ar.
Fique ligado!!!
#empreendedorismo #podcast #inovação #ideiascriativas #resiliencia htt…</t>
  </si>
  <si>
    <t>O 5G está chegando. Com velocidades ultra-rápidas, latência mínima e uma capacidade sem precedentes, a nossa maneira de navegar nunca mais será a mesma. O futuro da internet móvel é logo ali!📶📱🚀
#EmpreeendeMais #Empreendedorismo #MídiasSociais #Inovação #Consultoria https://t.co/sZoUCI1fN8</t>
  </si>
  <si>
    <t>Sua única limitação é aquela que estabelece em sua mente.
#sucesso #foco #motivação #motivacao #frases #frasesmotivacionais #empreendedorismo</t>
  </si>
  <si>
    <t>Não importa o quão lento você vá, desde que você não pare. 
#sucesso #foco #motivação #motivacao #frases #frasesmotivacionais #empreendedorismo</t>
  </si>
  <si>
    <t>No meio da dificuldade encontre-se a OPORTUNIDADE.
#sucesso #foco #motivação #motivacao #frases #frasesmotivacionais #empreendedorismo</t>
  </si>
  <si>
    <t>O conhecimento é a única coisa que ninguém pode tirar de você. 
#sucesso #foco #motivação #motivacao #frases #frasesmotivacionais #empreendedorismo</t>
  </si>
  <si>
    <t>Nada é permanente, exceto a mudança.
#sucesso #foco #motivação #motivacao #frases #frasesmotivacionais #empreendedorismo</t>
  </si>
  <si>
    <t>Se você se cansar, aprensa a DESCANSAR, não a DESISTIR.
#sucesso #foco #motivação #motivacao #frases #frasesmotivacionais #empreendedorismo</t>
  </si>
  <si>
    <t>Nenhum obstáculo será grande se sua vontade de vencer for maior.
#sucesso #foco #motivação #motivacao #frases #frasesmotivacionais #empreendedorismo</t>
  </si>
  <si>
    <t>Sonhar grande e sonhar pequeno da o mesmo trabalho. 
#sucesso #foco #motivação #motivacao #frases #frasesmotivacionais #empreendedorismo</t>
  </si>
  <si>
    <t>Direção é muito mais importante que velocidade.
#sucesso #foco #motivação #motivacao #frases #frasesmotivacionais #empreendedorismo</t>
  </si>
  <si>
    <t>Não deixe o medo determinar suas escolhas. 
#sucesso #foco #motivação #motivacao #frases #frasesmotivacionais #empreendedorismo</t>
  </si>
  <si>
    <t>Por trás dos sonhos, há sacrifícios que as pessoas não vêem. 
#sucesso #foco #motivação #motivacao #frases #frasesmotivacionais #empreendedorismo</t>
  </si>
  <si>
    <t>O importante não é VENCER todos os dias, mas sim LUTAR sempre.
#sucesso #foco #motivação #motivacao #frases #frasesmotivacionais #empreendedorismo</t>
  </si>
  <si>
    <t>Garanta Sua Maquininha Comigo Hoje Com 5% De Desconto Ultilizando Meu Link!
•Tá Com Ton, Tá Com Tudo•
Vem Maximizar O Seu Lucro!!!
💚💚💚💚💚💚💚💚💚
#empreendedorismo #empreender #emprendedores #ton #tacomtontacomtudo #marketing https://t.co/T4KRRxk38w</t>
  </si>
  <si>
    <t>Conheça Os Planos E Taxas Do TON!👆🏼
•Tá Com Ton, Tá Com Tudo•
Vem Maximizar O Seu Lucro!!!
💚💚💚💚💚💚💚💚💚
#empreendedorismo #empreender #emprendedores #ton #tacomtontacomtudo #marketing https://t.co/BVPlWb5vdJ</t>
  </si>
  <si>
    <t>A Maquininha Completa Com O Menor preço!  Desconto De 5% E Com Antecipação GRÁTIS Para CPF e CNPJ !!
•Tá Com Ton, Tá Com Tudo•
Vem Maximizar O Seu Lucro!!!
💚💚💚💚💚💚💚💚💚
#empreendedorismo #empreender #emprendedores #ton #tacomtontacomtudo #marketing https://t.co/c7UmJWjpjr</t>
  </si>
  <si>
    <t>Qual Maquininha Combina Com Você ?
Vem Ver As Características De Cada Uma!
•Tá Com Ton, Tá Com Tudo•
Vem Maximizar O Seu Lucro!!!
💚💚💚💚💚💚💚💚💚
#empreendedorismo #empreender #emprendedores #ton #tacomtontacomtudo https://t.co/2VzQ2fNVfs</t>
  </si>
  <si>
    <t>Faça Seu Negócio Crescer Tendo As Menores Taxas E Oferecendo Mais Benefícios Para Seus Clientes.
•Tá Com Ton, Tá Com Tudo•
Vem Maximizar O Seu Lucro!!!
💚💚💚💚💚💚💚💚💚
#empreendedorismo #empreender #emprendedores #ton #tacomtontacomtudo #marketing https://t.co/IjnkEznFAM</t>
  </si>
  <si>
    <t>As Melhores Taxas Do Brasil.
•Tá Com Ton, Tá Com Tudo•
Vem Maximizar O Seu Lucro!!!
💚💚💚💚💚💚💚💚💚
#empreendedorismo #empreender #emprendedores #ton #tacomtontacomtudo #marketing #mercadofinanceiro #ultraton #vendasonline https://t.co/xfJHQ2637W</t>
  </si>
  <si>
    <t>Vem Aproveitar Essa Promoção De Lançamento!
Na Ton Temos Maquininhas Para Pessoas Física E Jurídica Sem Aluguel E Sem Mensalidade.
•Tá Com Ton, Tá Com Tudo•
Vem Maximizar O Seu Lucro!!!
💚💚💚💚💚💚💚💚💚
#empreendedorismo #empreender https://t.co/DiFEgJj6ek</t>
  </si>
  <si>
    <t>Apresentador receberá empreendedores do Mercado Pago que serão destaque no Programa "Os Donos da Bola" durante quatro semanas
#craqueneto #neto #mercadopago #empreendedor https://t.co/MwXvemjOwi</t>
  </si>
  <si>
    <t>Abra sua empresa com segurança e tranquilidade! Venha para a Focus Contabilidade, referência em serviços contábeis.
#contabilidade #atendimento #online #business #negocios #negocio #empresa #empreendimento #empreendedorismo #produtividade https://t.co/af1kRclrjP</t>
  </si>
  <si>
    <t>"📊 Descobrir as métricas e análises que impulsionam meu negócio é super emocionante! #DataDriven #Empreendedorismo 💪🚀"</t>
  </si>
  <si>
    <t>🚀🛒 Conquistar seu espaço no mundo virtual nunca foi tão emocionante! Descubra as melhores estratégias de #ecommerce para decolar suas vendas online! 💥✨ #empreendedorismo #sucesso</t>
  </si>
  <si>
    <t>"🚀🎯 Descubra as melhores estratégias de marketing digital para alavancar seus negócios online! 💼💻 Aprenda a conquistar e engajar seu público-alvo, aumentando sua visibilidade e conversões. 💥✨ #MarketingDigital #Empreendedorismo #SucessoOnline"</t>
  </si>
  <si>
    <t>Quando uma parceria de negócios se torna uma amizade, a gente ganha mais força para crescer, né?! 💙 ​
 ​
Aproveite esse Dia do Amigo e marque aqui aquela pessoa que você sempre torce pelo sucesso! 👇 ​
 ​
#diadoamigo #amizade #amigos #empreender #empreendedorismo #sebraepr https://t.co/WNGE6lR1f4</t>
  </si>
  <si>
    <t>A Feira do Empreendedor te espera com empreendedores experientes e ideias inovadoras nas Salas de Conhecimento 🚀 ​
Inscreva-se e participe: https://t.co/i2p7qE7pmV  ​
​#feiradoempreendedor23 #empreendedorismo #sebraepr https://t.co/rVv0PeuC43</t>
  </si>
  <si>
    <t>#feiradoempreendedor23 #empreendedorismo #sebraepr</t>
  </si>
  <si>
    <t>Vem com a gente descobrir o universo do empreendedorismo na Feira do Empreendedor😉 ​
Garanta seu lugar e inscreva-se gratuitamente: https://t.co/i2p7qE7pmV   ​
#feiradoempreendedor23 #sebraepr #empreendedorismo https://t.co/MhGooUtD95</t>
  </si>
  <si>
    <t>Hoje é o Dia do Rock e nós já separamos algumas sugestões para a sua trilha sonora empreendedora! 🤘 ​
​
Lembrou de alguma música que combina com a jornada dos negócios?  ​
Compartilhe com a gente nos comentários! 👇 ​
​
#diadorock #rock #empreendedorismo #empreender #sebraepr https://t.co/SGSQhFhfle</t>
  </si>
  <si>
    <t>O sábado chegou e junto com ele o 3º dia da Feira do Empreendedor 😎
Confira a programação e anote na agenda os horários das suas palestras favoritas!
Ainda dá tempo de se inscrever: https://t.co/i2p7qE7pmV
#feiradoempreendedor23 #sebraepr #empreendedorismo https://t.co/aAsGGfnaMJ</t>
  </si>
  <si>
    <t>Separe a melhor roupa porque a Feira do Empreendedor está chegando! 👗
Teremos uma loja conceito com as últimas tendências do setor e como empreender em um negócio moderno com novas estratégias.
Inscreva-se: https://t.co/i2p7qE7pmV
#feiradoempreendedor23 #empreendedorismo https://t.co/7GsOEu3Vv1</t>
  </si>
  <si>
    <t>🪙 Aumento de Capital numa Sociedade Anónima: Como contabilizar; Calcular o Prémio de emissão https://t.co/bTMmlXiSbs
📨 geral@certform.pt
#Certform #Formacao #Fiscalidade #Contabilidade #ELearning #CursoOnline #Empreendedorismo #Contador #Contadora #Contabilista https://t.co/ExrY9iaEbi</t>
  </si>
  <si>
    <t>🫧🫧 Destaque-se Profissionalmente com o Mini-MBA em Gestão de Negócios, Empreendedorismo e Alta Performance: https://t.co/aFHjCGFkn2
Live Streaming | 12 julho - 4ª - 19h - 23h
📧 geral@certform.pt
#Certform #Formacao #GestaoNegocios #Empreendedorismo #Fiscalidade #CursoOnline https://t.co/Ni6vp2GEGh</t>
  </si>
  <si>
    <t>CURSO PRÁTICO DE CONTABILIDADE E FISCALIDADE COM INFORMÁTICA APLICADA: live streaming - 287ª Edição https://t.co/3dOpLIpFwW
📧 geral@certform.pt
#Certform #Formacao #Fiscalidade #Contabilidade #ELearning #CursoOnline #Empreendedorismo #Contador #Contadora #Contabilista https://t.co/cneMqJoEIo</t>
  </si>
  <si>
    <t>🧮 Contabilizar aquisição de matérias-primas / mercadorias a países terceiros https://t.co/V45HlJVk1L
📧 geral@certform.pt
#Certform #Formacao #Fiscalidade #Contabilidade #ELearning #CursoOnline #Empreendedorismo #Contador #Contadora #Contabilista https://t.co/7ODYbneb7I</t>
  </si>
  <si>
    <t>📹👩‍🏫 Videoaula: Introdução ao IVA, método do crédito de imposto https://t.co/yXNRn8l2Sf
📧 geral@certform.pt
#Certform #Formacao #Fiscalidade #Contabilidade #ELearning #CursoOnline #Empreendedorismo #Contador #Contadora #Contabilista https://t.co/GvI9d7C6EO</t>
  </si>
  <si>
    <t>💰Fiscalidade IRC - Regime Simplificado determinação matéria coletável - Prep Exame OCC outubro 2023 https://t.co/guSRRIN2Zi
📧 geral@certform.pt 
#Certform #Formacao #Fiscalidade #Contabilidade #ELearning #CursoOnline #Empreendedorismo #Contador #Contadora #Contabilista https://t.co/kqdpQWdYkw</t>
  </si>
  <si>
    <t>🆗 CONFIRMADO: 19 setembro 287ª Edição CURSO PRÁTICO DE CONTABILIDADE E FISCALIDADE live streaming https://t.co/RiekMhm44F
📧 geral@certform.pt
#Certform #Formacao #Fiscalidade #Contabilidade #ELearning #CursoOnline #Empreendedorismo #Contador #Contadora #Contabilista https://t.co/Cz8rdr1PmM</t>
  </si>
  <si>
    <t>💵💶💳 Importações - Contabilização e tratamento do IVA https://t.co/hpruIJlKRJ
📧 geral@certform.pt
#Certform #Formacao #Fiscalidade #Contabilidade #ELearning #CursoOnline #Empreendedorismo #Contador #Contadora #Contabilista https://t.co/efDYTb4d98</t>
  </si>
  <si>
    <t>👩‍🎓 Preparação Exame OCC outubro 2023: Contabilidade Financeira: Reconhecimento Diferenças Câmbio https://t.co/XBK0tK6M0L 
📨 geral@certform.pt
#Certform #Formacao #Fiscalidade #Contabilidade #ELearning #CursoOnline #Empreendedorismo #Contador #Contadora #Contabilista https://t.co/ykzGSMCte3</t>
  </si>
  <si>
    <t>📣📣 MEGA VIDEOAULA sobre IVA - Regras de Localização https://t.co/oABp7plYto
📧 geral@certform.pt
#Certform #Formacao #Fiscalidade #Contabilidade #ELearning #CursoOnline #Empreendedorismo #Contador #Contadora #Contabilista https://t.co/2niwj8p0Xs</t>
  </si>
  <si>
    <t>📹👩‍🏫📊 Vídeo Aula - A constituição de Sociedades Por Quotas - Contabilização https://t.co/Ff00SZivPs
📧 geral@certform.pt
#Certform #Formacao #Fiscalidade #Contabilidade #ELearning #CursoOnline #Empreendedorismo #Contador #Contadora #Contabilista https://t.co/pEeVAp6dZT</t>
  </si>
  <si>
    <t>🆗 Ainda pode fazer a sua inscrição - Confirmado CURSO PRÁTICO DE CONTABILIDADE E FISCALIDADE 19 set https://t.co/LWmGj6buZw
📧 geral@certform.pt
#Certform #Formacao #Fiscalidade #Contabilidade #ELearning #CursoOnline #Empreendedorismo #Contador #Contadora #Contabilista https://t.co/qNilxHZyvj</t>
  </si>
  <si>
    <t>📹👩‍🏫 Videoaula: Preenchimento da Declaração do IVA  https://t.co/1ptIbVe1kv
📧 geral@certform.pt
#Certform #Formacao #Fiscalidade #Contabilidade #ELearning #CursoOnline #Empreendedorismo #Contador #Contadora #Contabilista https://t.co/vTX0VX3dit</t>
  </si>
  <si>
    <t>👩‍🎓 Preparação Exame OCC outubro 2023: Contabilização de Ativos Financeiros 💶 https://t.co/o4AxjGllpj
📧 geral@certform.pt
#Certform #Formacao #Fiscalidade #Contabilidade #ELearning #CursoOnline #Empreendedorismo #Contador #Contadora #Contabilista https://t.co/kOHemPr3XC</t>
  </si>
  <si>
    <t>🧾Curso Prático de Contabilidade e Fiscalidade com Informática Aplicada (live streaming): 12 set 2023 https://t.co/T7japoTm9r 
📧 geral@certform.pt
#Certform #Formacao #Fiscalidade #Contabilidade #ELearning #CursoOnline #Empreendedorismo #Contador #Contadora #Contabilista https://t.co/Wg6xe2MJT8</t>
  </si>
  <si>
    <t>💶 IVA - Exemplos sobre aplicação das regras de localização nas prestações de serviços https://t.co/SDp3uBN24w
📧 geral@certform.pt
#Certform #Formacao #Fiscalidade #Contabilidade #ELearning #CursoOnline #Empreendedorismo #Contador #Contadora #Contabilista https://t.co/vVM3SFecGS</t>
  </si>
  <si>
    <t>🔌🪫🚗 Aquisição de Viaturas 100% elétricas: Como contabilizar e implicações fiscais em IVA e IRC https://t.co/nwdY6F1xlF 
📧 geral@certform.pt
#Certform #Formacao #Fiscalidade #Contabilidade #ELearning #CursoOnline #Empreendedorismo #Contador #Contadora #Contabilista https://t.co/pkphI7Hu0J</t>
  </si>
  <si>
    <t>📈💼🌎Vídeo Aula Exportações: Como contabilizar uma Exportação https://t.co/SaoCKAi9y3
📧 geral@certform.pt
#Certform #Formacao #Fiscalidade #Contabilidade #ELearning #CursoOnline #Empreendedorismo #Contador #Contadora #Contabilista https://t.co/eBQ6I2J8rv</t>
  </si>
  <si>
    <t>👩‍🎓 IVA Localização Transmissões Bens Puras Triangulares vs Falsas Triangulares https://t.co/4NECbUBkyj
Preparação Exame OCC out 2023
geral@certform.pt
#Certform #Formacao #Fiscalidade #Contabilidade #ELearning #CursoOnline #Empreendedorismo #Contador #Contadora #Contabilista https://t.co/hVpZl2zXjm</t>
  </si>
  <si>
    <t>📝Como apurar e contabilizar as diferenças de câmbio: Diferenças de Câmbio Importações USA https://t.co/knsgnrjoMO 
📨 geral@certform.pt
#Certform #Formacao #Fiscalidade #Contabilidade #ELearning #CursoOnline #Empreendedorismo #Contador #Contadora #Contabilista https://t.co/6HcuR7450h</t>
  </si>
  <si>
    <t>Máquina de Sorvete Dupla 6L Funis Máquina de Fazer Sorvete #empreendedor #sorvete #calor #trabalho
https://t.co/LvB42kyvZk</t>
  </si>
  <si>
    <t>Confira a matéria completa em nosso site: https://t.co/DKOClUtrmz
#cra #craes #empreendedorismo https://t.co/gW1VXJiM54</t>
  </si>
  <si>
    <t>MEIs podem emitir notas fiscais de serviço (NFS-e) com mais facilidade.
#MEI #MEIs #NFSe #NFS #NotaFiscal #Empreendedor #Empreendedores 
https://t.co/rmqTsCJsHu</t>
  </si>
  <si>
    <t>📚 Lições dos grandes: Conheça histórias inspiradoras de empreendedores fitness que superaram desafios e conquistaram o sucesso. Aprenda com suas experiências e aplique essas lições no seu próprio negócio.
#Empreendedorismo #Inspiração</t>
  </si>
  <si>
    <t>✨Em conversa com empreendedoras cearenses, a paixão pelos negócios nasceu de motivações pessoais.
#NossoMeio #PortalNossoMeio #Pesquisa #Comunicacao #Empreendedorismo #EmpreendedorismoFeminino #Vocacao #Negocios
https://t.co/6ptn9PRiWy</t>
  </si>
  <si>
    <t>O foco é reunir empresários, gestores e profissionais da saúde que são referência, todos em um ambiente propício para trocas, negócios e parcerias.
#NossoMeio #Gestao #Eventos #BCallenge #Carreira #Empreendedorismo #EscolaDeNegocios #NegociosEmSaude
https://t.co/R7vKQJdzSI</t>
  </si>
  <si>
    <t>#Motivation #desenvolvilmento #liderança #lembrete #empreendedorismo https://t.co/AjcfJt3RCp</t>
  </si>
  <si>
    <t>Fuja dos pensamentos negativos, eles te levam a enxergar dificuldades, pensar pequeno e inibir o seu potencial de crescimento!
Acesse o Site
O link está na Bio
#motivacional #coaching #Negocios #empreendedorismo #Empresarios #empreender #foco #disciplina #sabedoria https://t.co/ugd0IHSKva</t>
  </si>
  <si>
    <t>Qual o caminho que você escolheu?
#engenheirocivil #arquiteto #drywall #empreendedor #construtora #construcaoaseco #gesso #empreender https://t.co/8Um7ZuSiJK</t>
  </si>
  <si>
    <t>Profissionais da educação municipal da Campanha passarão por capacitação em Educação Empreendedora
https://t.co/VTfPXQ6XH2
#jornalpanoramajp #jornalpanorama #panorama #campanha #Educação #empreendedorismo #minasgerais #brasil</t>
  </si>
  <si>
    <t>1/5 📌 "Quer lançar sua própria marca de roupas? A seguir, desvendamos um guia prático de 6 passos para transformar seu sonho em realidade. #Moda #Empreendedorismo
👥1: Defina o público-alvo da sua marca. Quem são as pessoas que se identificarão com suas peças?</t>
  </si>
  <si>
    <t>5️⃣ Está disponível?🌍✅ [5/5]
#negócios #empreendedorismo #marketing #marketingdigital https://t.co/94g6Fh5K7a</t>
  </si>
  <si>
    <t>3️⃣ É único e se destaca dos competidores? 
4️⃣ É facilmente memorável e pronunciável? [4/5]
#negócios #empreendedorismo #marketing #marketingdigital https://t.co/swqqFcv2jx</t>
  </si>
  <si>
    <t>2️⃣ É adaptável e acompanha sua empresa? [3/5]
#Negócios #empreendedorismo #marketing #marketingdigital https://t.co/Kd2lI5Xp2H</t>
  </si>
  <si>
    <t>1️⃣ Ele transmite sua mensagem e emoção? [2/5]
#negócios #empreendedorismo #marketing #marketingdigital https://t.co/wINpexQKkA</t>
  </si>
  <si>
    <t>Quer criar o nome perfeito para sua marca?💡🔍 [1/5]
Faça essas 5 perguntas cruciais: 
#negócios #empreendedorismo #marketing #marketingdigital https://t.co/EM0MyZ89fD</t>
  </si>
  <si>
    <t>📷 Novo artigo disponível!
O que é logomarca? 
Se você tem um negócio próprio ou pretende ter um, esse é um assunto que você precisa conhecer.
Leia agora:
https://t.co/qdi8i1Mj7g
.
.
.
#logo #logomarca #negócios #empreendedorismo https://t.co/c5hzJ1SDZJ</t>
  </si>
  <si>
    <t>Para evitar ter um nome fantasia igual ao de outra empresa, é preciso tomar alguns cuidados, sendo o principal deles registrar seu nome fantasia como marca. .
.
.
#empreendedorismo #negócios #nomefantasia #mouramarcas #marcosmoura https://t.co/cpz34gdtK9</t>
  </si>
  <si>
    <t>Você já pensou em abrir uma empresa e escolher um nome fantasia para a mesma e ficou com dúvida se Nome fantasia pode ser igual de outra empresa?
Se liga nesse artigo.
https://t.co/q3vJY8f0RY
.
#empreendedorismo #negócios #nomefantasia https://t.co/HLz3wN2WCV</t>
  </si>
  <si>
    <t>🔍 Por que o nome da sua empresa importa? 👀
✅O nome da sua empresa é a primeira impressão que você causa nos seus potenciais clientes. É o elemento mais visível e audível da sua identidade visual e verbal. É o que diferencia você dos seus concorrentes. #empreendedorismo https://t.co/evSYp7QWlb</t>
  </si>
  <si>
    <t>ganhei 50 pila pra fazer um pdf #empreendedorismo #empresaria</t>
  </si>
  <si>
    <t>#marketingdigital #rendaextra #trabalho #empreendedorismo #dinheiro 
👇 👇 Você pode gostar desses vídeos também: 👇 👇 👉[Revelei Meus Resultados] Como Afiliado em 1 Ano https://t.co/JWU6dVewtr 👉[Filtrify] A Ferramenta dos Afiliados Profissionais https://t.co/yUKE4DQevy</t>
  </si>
  <si>
    <t>@CorrupcaoMemes sim, hoje o que brilha é o flash do cel do filho filmando as cenas de trabalho da respeitável donzela
tudo diferente mesmo
antes ele não sabia de nada, hoje já ajuda na produção
#empreendedorismo</t>
  </si>
  <si>
    <t>Post completo na rede vizinha:
https://t.co/hxjbmkMyFR
.
#EduardoLeite #EduardoLeite40 #PSB #PSBSantoAndré #PSB40 #empreendedorismo #emprego #geraçãodeemprego #educação #educaçãobásica #educaçãopública #meioambiente #sustentabilidade #politica #rafaelresende #santoandré https://t.co/E9Appr7YPq</t>
  </si>
  <si>
    <t>Fala, minha gente!
.
Agora também estou com um canal no WhatsApp!
.
Se quiser receber em primeira mão conteúdos sobre #Empreendedorismo, #Educação, #GestãoPública, #CiênciasPolíticas e #Política em Geral, é só me seguir no link: https://t.co/sgpLErJxNf 
.
#rafaelresende https://t.co/BHgmUgfmvo</t>
  </si>
  <si>
    <t>Uma homenagem do Sistema Fecomércio Tocantins para aqueles que estão sempre em busca do desenvolvimento do Brasil.
Parabens, comerciante! 👏👏👏
#16deJulho #DiaDoComerciante #Comerciante #Empreendedorismo #fecomercioto https://t.co/xfy0ZBhRVu</t>
  </si>
  <si>
    <t>Me perguntaram hoje, como você aguenta ser empreendedor a tantos anos?
Respondi... não tenho opção de desistir, essa é a minha missão e fim!
#emprendedores 
#empreendedorismo</t>
  </si>
  <si>
    <t>🙀🤔Qual o momento certo para o MEI contratar um contador? Você sabe? Me conta aqui!!
Gostou da dica? Hoje tive ajuda de assistente!
#contador #contadormei #microempreendedorindividual #microempreendedora #microempreendedor #empreendedor 
https://t.co/5KrBcp22HH</t>
  </si>
  <si>
    <t>🌼💡 Um lar amplo, plantas pensadas no seu bem-estar e uma localização prática. Tudo isso para facilitar sua vida. Vamos conhecer agora?
#marketing #vendas #startups #empreendedor #jovemempreendedor #networking #brainstorm #pequenasempresas https://t.co/QSOaChRrtS</t>
  </si>
  <si>
    <t>Ações para desenvolver o #empreendedorismo negro e a cultura afro e indígena baiana são algumas das propostas que englobam a Agenda Bahia de Promoção da Igualdade Racial, lançada nesta quarta (19) pela @SepromiBa . 
Confira no fio o que tem previsto🧶👇 https://t.co/SRJ9JhPJcK</t>
  </si>
  <si>
    <t>✨ Inspirados pelas palavras de Walt Disney, desperte o empreendedor dentro de você e transforme seus sonhos em realidade.
💛 Neste mundo de possibilidades, cada passo conta, cada ideia tem potencial!
#apecc #waltdisney #disney #frase #empreendedorismo https://t.co/10HBgBlvaP</t>
  </si>
  <si>
    <t>nosso trabalho pelas redes sociais e pelo site? Comente aqui se você está aproveitando bem todas essas vantagens que a Apecc tem a oferecer!
#apecc #empreendedorismo #negocios #beneficios #associado</t>
  </si>
  <si>
    <t>auxiliar para download e referência
📧 Registro fácil com seu e-mail
Link para sua inscrição: https://t.co/gBfnlj3kIP
#apecc #empreendedorismo #financeiro #curso #educacao</t>
  </si>
  <si>
    <t>Os pequenos negócios estão liderando a criação de novos empregos! 💼
Leia todos os detalhes na matéria do nosso site:
https://t.co/k0WG2dfwU2
#apec #empreendedorismo #negocios #saopaulo #empregos https://t.co/KqQToCY2rY</t>
  </si>
  <si>
    <t>💻 O Ministério da Educação (MEC) está disponibilizando dezenas de cursos gratuitos para quem deseja aprimorar suas habilidades empreendedoras.
➡ Para acessar os cursos gratuitos do MEC:
https://t.co/pKfWjEcAjL 
#apecc #empreendedorismo #curso #estudos #mec</t>
  </si>
  <si>
    <t>Conteúdos alinhados com a necessidade de seu time de vendas!!!!
Contrate agora!!!
#mentoria #mentor #negocios #mercado #vendas #empreendedorismo #resultado #performance #liderança #orobertovilelaoficial https://t.co/i82efcveM4</t>
  </si>
  <si>
    <t>Dia do chocolate: Kopenhagen ou Brasil Cacau? Uma dessas franquias pode te fazer faturar mais de R$ 1 milhão por ano
#BusinessTimes #Cacau #Empreendedorismo
https://t.co/4XehLczIaS</t>
  </si>
  <si>
    <t>Franquias: Quer sair do Brasil? Veja a marca que te faz lucrar mais de R$ 70 mil ao mês
#BusinessTimes #Empreendedorismo #Empresas
https://t.co/0WaTT7ixxZ</t>
  </si>
  <si>
    <t>5 franquias baratas para investir a partir de R$ 4 mil e lucrar até R$ 105 mil por mês; veja a lista
#ABF #BusinessTimes #Empreendedorismo
https://t.co/PbMF2gfi6k</t>
  </si>
  <si>
    <t>5 franquias baratas para investir a partir de R$ 5 mil e lucrar mais de R$ 183 mil por mês (você não leu errado)
#ABF #BusinessTimes #Empreendedorismo
https://t.co/6ZeMpM0L5p</t>
  </si>
  <si>
    <t>5 franquias para investir a partir de R$ 4 mil e lucrar mais de R$ 128 mil por mês; veja a lista
#BusinessTimes #Empreendedorismo #Empresas
https://t.co/hUmgWfHNmm</t>
  </si>
  <si>
    <t>Empresa fatura R$ 1 milhão após 2 meses de lançamento; conheça a Peach Up
#Empreendedorismo #Empresas #ESG
https://t.co/JnhRoRzam4</t>
  </si>
  <si>
    <t>Fórum de empreendedorismo, torneio de tênis e blockchain: O que movimento o mundo dos negócios
#ColunadaRobertaScrivano #Colunistas #Empreendedorismo
https://t.co/PexsrnhE3I</t>
  </si>
  <si>
    <t>Franquias baratas: Você pode sair do Brasil e ainda lucrar até R$ 134 mil por mês com essas marcas; veja
#ABF #BusinessTimes #Empreendedorismo
https://t.co/awquvLoB2m</t>
  </si>
  <si>
    <t>Franquias de quiosque para investir arrancar ganhos de até R$ 13 mil no mês
#BusinessTimes #Empreendedorismo #Empresas
https://t.co/aWEJtltCX2</t>
  </si>
  <si>
    <t>Franquias baratas (ainda mais baratas): Com lucro acima de R$ 16 mil, marcas têm condições especiais e até 20% de desconto
#ABF #BusinessTimes #Empreendedorismo
https://t.co/9a9XPHdjmw</t>
  </si>
  <si>
    <t>5 franquias para investir e colocar mais de R$ 50 mil no bolso todo mês; veja a lista
#BusinessTimes #Empreendedorismo #Empresas
https://t.co/4DP95eJkvB</t>
  </si>
  <si>
    <t>Franquias baratas: O quanto você precisa desembolsar para ganhar mais de R$ 37 mil todo mês
#ABF #BusinessTimes #Empreendedorismo
https://t.co/qYtKq5g1pp</t>
  </si>
  <si>
    <t>Franquias baratas rendem bons lucros? Conheça a marca que pode te fazer ganhar mais de R$ 183 mil por mês
#ABF #BusinessTimes #Empreendedorismo
https://t.co/ibp9i9UL1C</t>
  </si>
  <si>
    <t>Estética por assinatura à lá Netflix é aposta dos irmãos Leonardo e Leandro Castelo
#Empreendedorismo #Empresas #Serviços
https://t.co/HME8jRswN7</t>
  </si>
  <si>
    <t>5 franquias baratas para investir a partir de R$ 6 mil e lucrar até R$ 90 mil por mês; veja a lista
#BusinessTimes #Empreendedorismo #Empresas
https://t.co/RQt4ejndfY</t>
  </si>
  <si>
    <t>5 franquias para investir a partir de R$ 6 mil e lucrar até R$ 105 mil por mês; veja a lista
#BusinessTimes #Empreendedorismo #Empresas
https://t.co/xRp5TZoEoO</t>
  </si>
  <si>
    <t>Como administrar um restaurante de sucesso, conforme especialista Marcelo Marani
#Empreendedorismo #Empresas #Franquias
https://t.co/XKjQUlzLuG</t>
  </si>
  <si>
    <t>O setor que deve movimentar mais de R$ 102 bilhões ainda este ano; confira #Negócios #Economia #Empreendedorismo
https://t.co/EJ3IksqZYq</t>
  </si>
  <si>
    <t>Série ‘Preservadores no Brasil’, da ECCON Soluções Ambientais, é reconhecida pela ONU
#ColunadaRobertaScrivano #Colunistas #Empreendedorismo
https://t.co/iKyta14Pm0</t>
  </si>
  <si>
    <t>Rei das Franquias, Leonardo e Leandro Castelo, revelam sucesso da Atend Já
#300FranchisingExponencial #BusinessTimes #Empreendedorismo
https://t.co/BtLSi88C1k</t>
  </si>
  <si>
    <t>5 franquias baratas para investir a partir de R$ 500 e lucrar até R$ 105 mil por mês; veja a lista
#ABF #BusinessTimes #Empreendedorismo
https://t.co/vpxatB6tA3</t>
  </si>
  <si>
    <t>Franquias: Quanto você precisa desembolsar para ganhar até R$ 60 mil por mês?
#empresas #Empreendedorismo #franquia #leiamoneytimes
https://t.co/wJJuBB7Eyd</t>
  </si>
  <si>
    <t>Franquias baratas: Quer lucrar alto? Invista nesta marca e ganhe R$ 120 mil todo mês
#ABF #BusinessTimes #Empreendedorismo
https://t.co/kh3T0ZfGyU</t>
  </si>
  <si>
    <t>@vasco__varela @GoncaloPCruz Era o teu partido todo 🥸 #empreendedorismo</t>
  </si>
  <si>
    <t>Brasileiro chega aos EUA sem falar inglês e vira empresário de sucesso. Conversamos com ele. Assista ao Vídeo
https://t.co/QoSh8S5MhQ
#brasileiro #sucesso #empresario #estadosunidos #ingles #persistir #empreendedorismo #video @WillianCorrea</t>
  </si>
  <si>
    <t>Novo app de celular mede febre melhor que termômetro via IA. Veja como funciona
https://t.co/cuEbiAfAoJ
#app #IA #AI #celular #febre #medir #temperatura #termometro #novo #criatividade #empreendedorismo #Tecnologia</t>
  </si>
  <si>
    <t>Olha a virada na vida dessas 4 amigas que foram demitidas juntas! Uniram seus conhecimentos e viraram megaempresárias!
https://t.co/gLm96y2i9v
#amigas #demitidas #empresarias #ricas #virada #vida #começar #boaideia #empreendedorismo</t>
  </si>
  <si>
    <t>APRENDA a CHEGAR em PESSOAS IMPORTANTES! 
.
.
.
.
.
.
#pablomarçal #networking #modelagem #gestão #empreendedorismo #emprendedores https://t.co/CvnozaiGK3</t>
  </si>
  <si>
    <t>#1 MÉTODO IP | APRENDA A FAZER PERGUNTAS | Pablo Marçal 
Link abaixo do vídeo completo!
https://t.co/0cFpTgyylu
.
.
.
#pablomarçal #inteligenciaemocional #perguntas #experiencia #setorempresarial #empreendedorismo #aula https://t.co/2PVD6n7fBL</t>
  </si>
  <si>
    <t>VOCÊ VIVENDO A VIDA DE CACHORRO! #pablo marçal #empreendedorismo #investimento #conhecimento #vida https://t.co/YbsooqhN1W</t>
  </si>
  <si>
    <t>Entenda mais sobre como a Thetryum vai manter as taxas adaptadas para um crescimento saudável e promissor!
 #crescimento #financeiro #sucesso #empreendedorismo #dinheiro #liderança #marketingdigital #oportunidade #empreender https://t.co/dHqmtdyRre</t>
  </si>
  <si>
    <t>RT @thetryum: Entenda mais sobre como a Thetryum vai manter as taxas adaptadas para um crescimento saudável e promissor!
 #crescimento #fi…</t>
  </si>
  <si>
    <t>Postei la no meu insta um conteúdo da hora para vocês empreendedores.
 confere lá ⏭️ https://t.co/W4ZjYLe1fg
#empreendedorismo #MarketingDigital https://t.co/NaqckNlkQe</t>
  </si>
  <si>
    <t>Empreender é para todos?
Corte da entrevista com Carol e Adrai da BTFlex .
🎥 Confira a entrevista na íntegra no YT.
#fernandovitolo #empreendedorismo #empreender #negócios #propósito https://t.co/COp8taAOYH</t>
  </si>
  <si>
    <t>Cada vez mais próximo de um novo mundo de possibilidades. 
https://t.co/hAVveuYSNW
#startup #AI #IA #execsy #empreendedorismo #Negocios #protagonismo #possibilidades #oportunidades</t>
  </si>
  <si>
    <t>Negociador: Malvino Salvador conta o caminho do sucesso como ator e empreendedor
https://t.co/qZmJrhGvJb 
#MalvinoSalvador #empreendedor https://t.co/yq4WakPVl5</t>
  </si>
  <si>
    <t>https://t.co/MY14h1Fyak A plataforma de marketing online que você precisa para ter sucesso
Link: https://t.co/Ig89MQXdmB
#marketingdigital
#marketingonline
#empreendedorismo
#negocioonline
#vendasonline
#funildevendas
#marketingporemail
#paginasdedestino
#automaçao
#systeme.io https://t.co/2RVw1S8Nqt</t>
  </si>
  <si>
    <t>😱Imperdível
Luiza Helena – Mulher do Brasil
R$ 5,99: https://t.co/veacFJzY2G
#empreendedorismo #sucesso #magazineluiza</t>
  </si>
  <si>
    <t>⚡️Oferta Amazon
Empreenda sem fronteiras: Empreenda on-line em qualquer lugar do mundo e viva uma vida com horários flexíveis ganhando mais dinheiro do que jamais imaginou
R$5,99: https://t.co/BcN5phFqFK
#empreender #empreendedorismo #negocios https://t.co/czfqaXnzoj</t>
  </si>
  <si>
    <t>⚡️Oferta Amazon
Finanças para autônomos: Como organizar sua vida e seu dinheiro quando você trabalha por conta própria
R$5,99: https://t.co/NkAYh5WRja
#financas #autonomos #empreendedorismo https://t.co/z3daZJ6olt</t>
  </si>
  <si>
    <t>🚀 Abra sua Empresa com a Aligom! 🚀
Você está pronto para dar um passo importante no seu negócio? Precisa de um CNPJ para garantir mais tranquilidade e segurança nas suas operações?
#Aligom #Empreendedorismo #CNPJ #AberturaDeEmpresas #SucessoEmpresarial https://t.co/twXhbs6Lv1</t>
  </si>
  <si>
    <t>Nota fiscal nacional obrigatória para MEIs: veja como funciona | https://t.co/MkhwAm6dAb #Brasil #negocios #empreendedorismo</t>
  </si>
  <si>
    <t>Já conseguiu gerar suas vendas ou ainda tá tentando gerar sua primeira venda? 
#MarketingDigital #primeiravenda #trafegoorganico #trafegopago    #kiwify #plr #rendaextra #ganhardinheiroonline #milionario #empreendedor</t>
  </si>
  <si>
    <t>E bora estudar mais né 😅📝
#empreendedorismo</t>
  </si>
  <si>
    <t>Se tirarem nosso direito básico de comunicação e hoje com certeza está polarizado na internet milhões de pessoas vão ser prejudicadas desde o #empreendedor até os #influenciadores #digitais.
Não podemos permitir este absurdo.</t>
  </si>
  <si>
    <t>Esta dando tudo errado?Calma!! Comente! Por: Ruyter | #ruyter  #empreendedorismo #vendas #motivacao https://t.co/Gj7YBmkdkG</t>
  </si>
  <si>
    <t>Resolva todos os problemas da sua empresa independente de quantos existam. Se o problema for grande, quebre em partes e resolva conforme a prioridade ou possibilidade. NÃO HÁ UM PROBLEMA QUE NÃO POSSA SER RESOLVIDO!
#empreendedorismo</t>
  </si>
  <si>
    <t>https://t.co/Q0E2HtkhWI
#empreendedor #criadordeconteúdo #cursoonline https://t.co/ydOvgiylyD</t>
  </si>
  <si>
    <t>Esse e meu verdade sonho! Dar a oportunidade de sonhar para aqueles que não tem as mínimas condições de lutar pelos seus sonhos.
Robinson Felix
#sonhar #oportunidade #lutarpelossenhossonhos #empreendedorismo https://t.co/WbxVubpmyH</t>
  </si>
  <si>
    <t>Atuei doze anos como consultor financeiro,  coordenei de implantação de ERPs. Fundei a Clapesme há 2 anos, para simplificar a gestão nas empresas. Estamos Incubados no Hitt e fazemos parte do portfólio da FCJ.
#empreendedor #robinsonfelix  #somosmaisgetao  @hitthub https://t.co/gGJ1rpGvfb</t>
  </si>
  <si>
    <t>Um projeto que empregará 320 pessoas diretamente?
Quanto vale essas pessoas estarem empregadas por 3 anos?
3000 jovens receberem curso de #inovação #tecnologia, #empreendedorismo e #informática básica e no fim receberem um computador para continuar seus estudos ou trabalho?</t>
  </si>
  <si>
    <t>Consistência, disciplina e continuidade.
Junta isso tudo com mais um monte de conteúdo relevante e...
tá pronto !!!
Tem segredo não !!!!  
#caruaru #negocio #empreendedorismo https://t.co/dkFzwawSEx</t>
  </si>
  <si>
    <t>#caruaru #empreendedorismo #negocio https://t.co/P9JEYGe1c3</t>
  </si>
  <si>
    <t>190 anos de emancipação  política. Parabéns  a minha cidade Natal!
#feiradesantana
#Bahia
#Brasil
#empreendedorismo 
#comércio https://t.co/U1flwWa8xZ</t>
  </si>
  <si>
    <t>Consegui 6 reais ontem mostrando a atualização nova do iPhone 😘🙏🏻 #empreendedor</t>
  </si>
  <si>
    <t>🎯📈 Dicas infalíveis para impulsionar seus negócios e conquistar novos clientes! Não perca essa oportunidade de crescer! 💼🚀 #Marketing #Negócios #Empreendedorismo #Sucesso #VocêNoFoco</t>
  </si>
  <si>
    <t>Tourism Co-Lab 2023 | Candidaturas até 24 de setembro
Concurso Nacional de Ideação e Programa de Pré-Aceleração - saiba mais em https://t.co/GzTeRFzmfi
#turismodeportugal #tdp #turismo #business #startups #empresas #empreendedorismo #inovacao #turismosustentável https://t.co/aOXVN7GBvf</t>
  </si>
  <si>
    <t>Tourism Co-Lab 2023 | Sessão de lançamento: amanhã às 17h
Formato híbrido, conta com a participação, entre outros, do Presidente do Turismo de Portugal, Carlos Abade - https://t.co/39rtG3Ketu 
#turismodeportugal #tdp #turismo #startups #TourismCoLab #empreendedorismo #inovação https://t.co/grgzkplsNb</t>
  </si>
  <si>
    <t>Rocket Booster 2023/2024 | Candidaturas até 17 de setembro
Programa internacional de aceleração - saiba mais em https://t.co/Dh1km9pmrf
#turismodeportugal #tdp #turismo #business #startups #empresas #empreendedorismo #inovacao #turismosustentável #sustentabilidade https://t.co/5Vz9M6dtRR</t>
  </si>
  <si>
    <t>From Start-to-Table 2023 | candidaturas até 1 de outubro
Programa internacional de aceleração. Vai selecionar até 20 #startups com soluções para o ecossistema da #restauração - https://t.co/hEAK0P7iwP
#turismodeportugal #tdp #turismo #empresas #empreendedorismo #inovação https://t.co/77cOWeIIPn</t>
  </si>
  <si>
    <t>Tourism Co-Lab 2023 | ⚠ Candidaturas até 24 de setembro ⚠
Concurso Nacional de Ideação e Programa de Pré-Aceleração - saiba mais em https://t.co/GzTeRFzmfi 
#turismodeportugal #tdp #turismo #business #startups #empresas #empreendedorismo #inovacao #turismosustentável https://t.co/RLsb8R2S3b</t>
  </si>
  <si>
    <t>Tourism UP 2023 | candidaturas até 4 outubro
Captar 15 startups com soluções inovadoras na área do turismo, com incidência nos territórios de baixa densidade - https://t.co/FDeEpxkO4n
#turismodeportugal #tdp #turismo #startups #empresas #empreendedorismo #inovacao https://t.co/e7Pn8P6wEt</t>
  </si>
  <si>
    <t>Aceler@Tech in Portugal | Candidaturas até 15 setembro
Programa internacional - 20 #startups para trabalhar na solução de desafios e desenvolvimento de áreas estratégicas do #turismo - https://t.co/GuS7hJRrix
#turismodeportugal #tdp #empreendedorismo #inovacao #sustentabilidade https://t.co/oSclbTABj8</t>
  </si>
  <si>
    <t>#Empreendedorismo l Política de incentivo ao empreendedorismo do jovem do campo é aprovada no @SenadoFederal e vai à sanção. Relatado pelo senador @ZequinhaMarinho, o projeto tem o objetivo de garantir a permanência de jovens no meio rural.
#agricultura
#trabalho https://t.co/sAQTM3MldB</t>
  </si>
  <si>
    <t>#Empreendedorismo | Programa de crédito ao jovem empreendedor pode ser votado nesta terça-feira (22) na Comissão de Assuntos Econômicos (CAE). É direcionado a jovens de 18 a 29 anos de idade. O #PL678_2019 é do senador @wevertonrocha e tem como relator o senador @irajasenador. https://t.co/AtbcQvTMhw</t>
  </si>
  <si>
    <t>Ao vivo: audiência pública da Comissão de Ciência e Tecnologia para debater o Marco Legal das #Startups e do #Empreendedorismo Inovador.    https://t.co/v2Fn96jHsy</t>
  </si>
  <si>
    <t>A Comissão de Assuntos Econômicos aprovou o #PL3008_2020, que prevê recursos do #FAT para economia solidária. A matéria segue para análise do Plenário. Os senadores também aprovaram o #PL904_2023, que favorece o #empreendedorismo feminino. https://t.co/GS6QaDB5qX</t>
  </si>
  <si>
    <t>Pauta | #CPMI8deJaneiro vota requerimento que solicita relatórios da #Abin sobre acampamentos e manifestações. Comissão de Relações Exteriores analisa acordos internacionais. Plenário avalia o #PL2458_2019, que institui a Semana Nacional do #Empreendedorismo Feminino. https://t.co/jG18A2vxsW</t>
  </si>
  <si>
    <t>#EmDiscussão l Há dois anos, o Brasil ganhava o Marco Legal do Empreendedorismo. O objetivo era facilitar o desenvolvimento de empresas de alta tecnologia, as #startups. Os avanços e entraves dessa lei são o tema do programa Em Discussão.
#tecnologia
#empreendedorismo https://t.co/cZjYt9a0bZ</t>
  </si>
  <si>
    <t>#Empreendedorismo: Prefeitura de Santa Maria cria lei para oferecer incentivos fiscais
https://t.co/H4A39Xxkf9</t>
  </si>
  <si>
    <t>#Empreendedorismo: Natural de Novo Hamburgo, Martins falou sobre a infância difícil e de como ele conseguiu se tornar um empresário
https://t.co/paOTEDctlY</t>
  </si>
  <si>
    <t>#Empreendedorismo: Primeira edição do Taquara Summit leva público superior a 1,2 mil pessoas ao Centro de Eventos da Faccat
https://t.co/Rs1RMj8hY5</t>
  </si>
  <si>
    <t>#Empreendedorismo: "Empreender Para Crescer" conta com um cronograma de cursos e palestras que irá contemplar centenas de trabalhadores da reciclagem
https://t.co/MnHFTtYkl1</t>
  </si>
  <si>
    <t>#Empreendedorismo: Pelotas recebe projeto estadual para micro e pequenas empresas
https://t.co/2dwOfTzalb</t>
  </si>
  <si>
    <t>#Empreendedorismo: Localizada na zona industrial de Canoas, a Maxiforja faz as economias gaúcha e brasileira girarem
https://t.co/7cYkhTOTPZ</t>
  </si>
  <si>
    <t>#Empreendedorismo: O projeto Caravanas oferece capacitações gratuitas em várias regiões do Rio Grande do Sul
https://t.co/bc5JPkAUmb</t>
  </si>
  <si>
    <t>RT @sebraesp: #Atenção, Prefeituras com iniciativas para apoiar o empreendedorismo e os pequenos negócios: as inscrições para o Prêmio Pref…</t>
  </si>
  <si>
    <t>Vem ser TMota.
Somos a contabilidade que te ajuda a crescer.
☎ Telefone: (11) 2833-0180
📱 WhatsApp: (11) 94500-9514
⠀
#tmota #contabilidade #empreendedor #meunegocio #minhaempresa #consultoria #sucesso https://t.co/MfyZb41FRL</t>
  </si>
  <si>
    <t>É por isso que você vai crescendo.
ENTRE AGORA MESMO: https://t.co/2cyfA921IQ 
ME ACOMPANHE NO INSTAGRAM: https://t.co/g54fQOJ1vc 
#empreender #empreendedorismo #curitiba #desenvolvimento https://t.co/9xGixG2lTr</t>
  </si>
  <si>
    <t>Descanse, não desista!
ENTRE AGORA MESMO: https://t.co/2cyfA921IQ 
ME ACOMPANHE NO INSTAGRAM: https://t.co/g54fQOJ1vc 
#empreender #empreendedorismo #curitiba #desenvolvimento https://t.co/2jdikn1tIN</t>
  </si>
  <si>
    <t>Quem não confia trabalha em dobro.
ENTRE AGORA MESMO: https://t.co/2cyfA921IQ 
ME ACOMPANHE NO INSTAGRAM: https://t.co/g54fQOJ1vc 
#empreender #empreendedorismo #curitiba #desenvolvimento https://t.co/62HsOsvBIf</t>
  </si>
  <si>
    <t>Aprove apenas um período
ENTRE AGORA MESMO: https://t.co/2cyfA921IQ
ME ACOMPANHE NO INSTAGRAM: https://t.co/g54fQOJ1vc
#empreender #empreendedorismo #curitiba #desenvolvimento https://t.co/Cw5RjNQHGk</t>
  </si>
  <si>
    <t>O empresário pode não trabalhar?
ENTRE AGORA MESMO: https://t.co/2cyfA921IQ 
ME ACOMPANHE NO INSTAGRAM: https://t.co/g54fQOJ1vc
 #empreender #empreendedorismo #curitiba #desenvolvimento https://t.co/1PzIlztAj7</t>
  </si>
  <si>
    <t>Muito ou pouco dinheiro é a mesma coisa.
ENTRE AGORA MESMO: https://t.co/2cyfA92zyo
ME ACOMPANHE NO INSTAGRAM: https://t.co/g54fQOJzkK
#empreender #empreendedorismo #curitiba #desenvolvimento https://t.co/919qj3VvbK</t>
  </si>
  <si>
    <t>Você tem que saber lidar com isso.
ENTRE AGORA MESMO: https://t.co/2cyfA92zyo   
ME ACOMPANHE NO INSTAGRAM: https://t.co/g54fQOJzkK 
#empreender #empreendedorismo #curitiba #desenvolvimento https://t.co/L3wqlf8eMh</t>
  </si>
  <si>
    <t>A importância do setor comercial.
ENTRE AGORA MESMO: https://t.co/2cyfA921IQ
ME ACOMPANHE NO INSTAGRAM: https://t.co/g54fQOJ1vc
 #empreender #empreendedorismo #curitiba #desenvolvimento https://t.co/S6ZYS6Q0UD</t>
  </si>
  <si>
    <t>Vamos isolar o medo.
ENTRE AGORA MESMO: https://t.co/2cyfA921IQ  
 ME ACOMPANHE NO INSTAGRAM: https://t.co/g54fQOJ1vc
#empreender #empreendedorismo #curitiba #desenvolvimento https://t.co/QSHKl0q3UR</t>
  </si>
  <si>
    <t>O offline em alta novamente.
ENTRE AGORA MESMO: https://t.co/2cyfA921IQ 
ME ACOMPANHE NO INSTAGRAM: https://t.co/g54fQOJ1vc
 #empreender #empreendedorismo #curitiba #desenvolvimento https://t.co/cNbFo2FIN2</t>
  </si>
  <si>
    <t>As 3 funções do dinheiro.
ENTRE AGORA MESMO: https://t.co/2cyfA921IQ
ME ACOMPANHE NO INSTAGRAM: https://t.co/g54fQOJ1vc 
#empreender #empreendedorismo #curitiba #desenvolvimento https://t.co/04VbtNk7TH</t>
  </si>
  <si>
    <t>Fica barato colocar gente para te ajudar.
ENTRE AGORA MESMO: https://t.co/2cyfA921IQ  
ME ACOMPANHE NO INSTAGRAM: https://t.co/g54fQOJ1vc 
#empreender #empreendedorismo #curitiba #desenvolvimento https://t.co/xjojKAwOfp</t>
  </si>
  <si>
    <t>Para saber se sua empresa tem futuro, é se ela dá dinheiro ou não.
ENTRE AGORA MESMO: https://t.co/2cyfA921IQ 
ME ACOMPANHE NO INSTAGRAM: https://t.co/g54fQOJ1vc
 #empreender #empreendedorismo #curitiba #desenvolvimento https://t.co/U76i2LliUP</t>
  </si>
  <si>
    <t>Eu nunca falo se dá certo ou não sem ter testado.
ENTRE AGORA MESMO: https://t.co/2cyfA92zyo
ME ACOMPANHE NO INSTAGRAM: https://t.co/g54fQOJzkK
 #empreender #empreendedorismo #curitiba #desenvolvimento https://t.co/nPRmtUzXEV</t>
  </si>
  <si>
    <t>O meu início no mundo do empreendedorismo.
ENTRE AGORA MESMO: https://t.co/2cyfA921IQ
ME ACOMPANHE NO INSTAGRAM: https://t.co/g54fQOJ1vc
#empreender #empreendedorismo #curitiba #desenvolvimento https://t.co/mAIwLyWdP8</t>
  </si>
  <si>
    <t>Ache as pessoas certas para fazerem por você.
ENTRE AGORA MESMO: https://t.co/2cyfA921IQ  
ME ACOMPANHE NO INSTAGRAM: https://t.co/g54fQOJ1vc
 #empreender #empreendedorismo #curitiba #desenvolvimento https://t.co/tPxYnDmobp</t>
  </si>
  <si>
    <t>O empresário tem liberdade de tempo.
ENTRE AGORA MESMO: https://t.co/2cyfA921IQ
ME ACOMPANHE NO INSTAGRAM: https://t.co/g54fQOJ1vc 
#empreender #empreendedorismo #curitiba #desenvolvimento https://t.co/i2ULBO2Fwa</t>
  </si>
  <si>
    <t>VOCÊ REPLICA COM O SEU JEITO.
ENTRE AGORA MESMO: https://t.co/2cyfA921IQ  
 ME ACOMPANHE NO INSTAGRAM: https://t.co/g54fQOJ1vc 
#empreender #empreendedorismo #curitiba #desenvolvimento https://t.co/LqSsH6ReuC</t>
  </si>
  <si>
    <t>As vezes você tem que tirar o gatilho.  
ENTRE AGORA MESMO: https://t.co/2cyfA921IQ   ME ACOMPANHE NO INSTAGRAM: https://t.co/g54fQOJ1vc
  #empreender #empreendedorismo #curitiba #desenvolvimento https://t.co/HmuTvtfkkA</t>
  </si>
  <si>
    <t>Não perca a oportunidade de se vender...  
ENTRE AGORA MESMO: https://t.co/2cyfA921IQ   ME ACOMPANHE NO INSTAGRAM: https://t.co/g54fQOJ1vc  
#empreender #empreendedorismo #curitiba #desenvolvimento https://t.co/ch2RVAqqrk</t>
  </si>
  <si>
    <t>Não esbanje suas conquistas.
ENTRE AGORA MESMO: https://t.co/2cyfA92zyo
ME ACOMPANHE NO INSTAGRAM: https://t.co/g54fQOJzkK
#empreender #empreendedorismo #curitiba #desenvolvimento https://t.co/YC4PHnBYPl</t>
  </si>
  <si>
    <t>Você tem que promover o empreendedorismo para seus funcionários.
ENTRE AGORA MESMO: https://t.co/2cyfA921IQ 
ME ACOMPANHE NO INSTAGRAM: https://t.co/g54fQOJ1vc
 #empreender #empreendedorismo #curitiba #desenvolvimento https://t.co/SHuv20EG8P</t>
  </si>
  <si>
    <t>Eu achei meu propósito na mentoria que eu fiz.
ENTRE AGORA MESMO: https://t.co/2cyfA921IQ 
ME ACOMPANHE NO INSTAGRAM: https://t.co/g54fQOJ1vc
 #empreender #empreendedorismo #curitiba #desenvolvimento https://t.co/oHi2MfcEJy</t>
  </si>
  <si>
    <t>Não posso te dar certeza do 50% do lucro.
ENTRE AGORA MESMO: https://t.co/2cyfA921IQ  
ME ACOMPANHE NO INSTAGRAM: https://t.co/g54fQOJ1vc
 #empreender #empreendedorismo #curitiba #desenvolvimento https://t.co/xpdTfc5WXA</t>
  </si>
  <si>
    <t>Foque no agora.
ENTRE AGORA MESMO: https://t.co/2cyfA921IQ
ME ACOMPANHE NO INSTAGRAM: https://t.co/g54fQOJ1vc
#empreender #empreendedorismo #curitiba #desenvolvimento https://t.co/8rq1sxQY8Z</t>
  </si>
  <si>
    <t>Os dois tipos de empreendedor.
ENTRE AGORA MESMO: https://t.co/2cyfA921IQ
ME ACOMPANHE NO INSTAGRAM: https://t.co/g54fQOJ1vc
#empreender #empreendedorismo #curitiba #desenvolvimento https://t.co/i8dS4YYCMt</t>
  </si>
  <si>
    <t>Não espere a oportunidade.
ENTRE AGORA MESMO: https://t.co/2cyfA921IQ
ME ACOMPANHE NO INSTAGRAM: https://t.co/g54fQOJ1vc
#empreender #empreendedorismo #curitiba #desenvolvimento https://t.co/gLQ8z9rNSi</t>
  </si>
  <si>
    <t>A verdadeira liberdade financeira.
ENTRE AGORA MESMO: https://t.co/2cyfA921IQ   
ME ACOMPANHE NO INSTAGRAM: https://t.co/g54fQOJ1vc
 #empreender #empreendedorismo #curitiba #desenvolvimento https://t.co/m4iEthAwBV</t>
  </si>
  <si>
    <t>Você sabe qual é o pensamento do empresário?
ENTRE AGORA MESMO: https://t.co/2cyfA921IQ  
ME ACOMPANHE NO INSTAGRAM: https://t.co/g54fQOJ1vc 
#empreender #empreendedorismo #curitiba #desenvolvimento https://t.co/WeI2d5MxAI</t>
  </si>
  <si>
    <t>O empreendedor tem que ser antifrágil.
ENTRE AGORA MESMO: https://t.co/2cyfA921IQ 
ME ACOMPANHE NO INSTAGRAM: https://t.co/g54fQOJ1vc 
#empreender #empreendedorismo #curitiba #desenvolvimento https://t.co/3ehvwQ1eM2</t>
  </si>
  <si>
    <t>Eu só dou bola para o que dá certo.
ENTRE AGORA MESMO: https://t.co/2cyfA921IQ   
ME ACOMPANHE NO INSTAGRAM: https://t.co/g54fQOJ1vc
 #empreender #empreendedorismo #curitiba #desenvolvimento https://t.co/88JQXaO8Px</t>
  </si>
  <si>
    <t>A vida do empreendedor no começo...
ENTRE AGORA MESMO: https://t.co/2cyfA921IQ
ME ACOMPANHE NO INSTAGRAM: https://t.co/g54fQOJ1vc
#empreender #empreendedorismo #curitiba #desenvolvimento https://t.co/zgoeH1xyoz</t>
  </si>
  <si>
    <t>Resolução de problemas!
ENTRE AGORA MESMO: https://t.co/2cyfA92zyo
ME ACOMPANHE NO INSTAGRAM: https://t.co/g54fQOJzkK
#empreender #empreendedorismo #curitiba #desenvolvimento https://t.co/4CLlLJDrV9</t>
  </si>
  <si>
    <t>O segredo para quem tá iniciando é dedicação!
ENTRE AGORA MESMO: https://t.co/2cyfA921IQ
ME ACOMPANHE NO INSTAGRAM: https://t.co/g54fQOJ1vc
#empreender #empreendedorismo #curitiba #desenvolvimento https://t.co/h2dJvA0rvZ</t>
  </si>
  <si>
    <t>Não adianta reclamar!
ENTRE AGORA MESMO: https://t.co/2cyfA921IQ
ME ACOMPANHE NO INSTAGRAM: https://t.co/g54fQOJ1vc
#empreender #empreendedorismo #curitiba #desenvolvimento https://t.co/VXVCxWsifo</t>
  </si>
  <si>
    <t>O que é automatizar uma empresa?
ENTRE AGORA MESMO: https://t.co/2cyfA921IQ
ME ACOMPANHE NO INSTAGRAM: https://t.co/g54fQOJ1vc
#empreender #empreendedorismo #curitiba #desenvolvimento https://t.co/J8TNmp0WEV</t>
  </si>
  <si>
    <t>Não se preocupe com o "e se".
ENTRE AGORA MESMO: https://t.co/2cyfA921IQ   
ME ACOMPANHE NO INSTAGRAM: https://t.co/g54fQOJ1vc 
#empreender #empreendedorismo #curitiba #desenvolvimento https://t.co/7V0jXEGS5a</t>
  </si>
  <si>
    <t>Sempre ande alguns passos atrás.
ENTRE AGORA MESMO: https://t.co/2cyfA921IQ 
ME ACOMPANHE NO INSTAGRAM: https://t.co/g54fQOJ1vc 
#empreender #empreendedorismo #curitiba #desenvolvimento https://t.co/ow91CfgiFx</t>
  </si>
  <si>
    <t>Os 3 alicerces da pessoa!
ENTRE AGORA MESMO: https://t.co/2cyfA92zyo
ME ACOMPANHE NO INSTAGRAM: https://t.co/g54fQOJzkK
#empreender #empreendedorismo #curitiba #desenvolvimento https://t.co/4wtwvGiGFX</t>
  </si>
  <si>
    <t>A importância do processo para a empresa!
ENTRE AGORA MESMO: https://t.co/2cyfA921IQ
ME ACOMPANHE NO INSTAGRAM: https://t.co/g54fQOJ1vc 
#empreender #empreendedorismo #curitiba #desenvolvimento https://t.co/JWeWzqObNX</t>
  </si>
  <si>
    <t>Resultado não se discute.
ENTRE AGORA MESMO: https://t.co/2cyfA921IQ
ME ACOMPANHE NO INSTAGRAM: https://t.co/g54fQOJ1vc
#empreender #empreendedorismo #curitiba #desenvolvimento https://t.co/tGuKYBe7o7</t>
  </si>
  <si>
    <t>Assuma os riscos e tenha sucesso.
ENTRE AGORA MESMO: https://t.co/2cyfA921IQ
ME ACOMPANHE NO INSTAGRAM: https://t.co/g54fQOJ1vc
#empreender #empreendedorismo #curitiba #desenvolvimento https://t.co/Wsa15F3imm</t>
  </si>
  <si>
    <t>Cada um gera a sua oportunidade.
ENTRE AGORA MESMO: https://t.co/6EAAz3PaSF
ME ACOMPANHE NO INSTAGRAM: https://t.co/k8CMpUk5Lu
#empreender #empreendedorismo #curitiba #desenvolvimento https://t.co/LulTkv2juS</t>
  </si>
  <si>
    <t>Não tem dinheiro fácil. 
ENTRE AGORA MESMO: https://t.co/2cyfA921IQ
ME ACOMPANHE NO INSTAGRAM: https://t.co/g54fQOJ1vc
 #empreender #empreendedorismo #curitiba #desenvolvimento https://t.co/QkIQrPqqla</t>
  </si>
  <si>
    <t>Você compra um processo que vai te ajudar caminhar até o lugar certo.
ENTRE AGORA MESMO: https://t.co/2cyfA921IQ
ME ACOMPANHE NO INSTAGRAM: https://t.co/g54fQOJ1vc
 #empreender #empreendedorismo #curitiba #desenvolvimento https://t.co/Ai61NBtqfL</t>
  </si>
  <si>
    <t>Mas corra, porque as inscrições se encerram no dia 29 de setembro! Para se inscrever é só clicar no link da bio e preencher o formulário. Participe e aproveite esta oportunidade!
#todxs #todxsbrasil #fundotodxs #allout #explore #empreendedorismo</t>
  </si>
  <si>
    <t>@ufoisis 1 milhao no pix #empreendedorismo</t>
  </si>
  <si>
    <t>Ótimo dia a todos.
#vencer #empreendedorismo #empreender #sucessoepoder #empreendedordigital #megafornecedor #fernandomarote #mentalidadedesucesso #sucesso #positividade #foco #geracadevalor #motivacao #sonhegrande #mindsetdesucesso #sonhegrandesempre #nascidosparavencer https://t.co/51zGuBrDvu</t>
  </si>
  <si>
    <t>Ótimo dia a todos.
#vencer #empreendedorismo #empreender #sucessoepoder #empreendedordigital #megafornecedor #fernandomarote #mentalidadedesucesso #sucesso #positividade #foco #geracadevalor #motivacao #sonhegrande #mindsetdesucesso #sonhegrandesempre #nascidosparavencer https://t.co/VsKKD9vphv</t>
  </si>
  <si>
    <t>🤔 Será que o segredo para o sucesso da sua empresa está em um blog corporativo? 
Descubra o potencial dessa estratégia e alcance novos horizontes! 🚀 #MarketingDigital #Empreendedorismo 
Leia mais:
https://t.co/2b6YCtaXEY</t>
  </si>
  <si>
    <t>Novidade!
Estamos participando da imersão de empreendedorismo feminino para mulheres negras, pelo projeto Afrolab  da PretaHub. 
#afrolab #pretahub #empreendedorismo #comunicacao #lideresnegras #empreendedorismofeminino</t>
  </si>
  <si>
    <t>RT @ForbesBR: #História de #empreendedorismo com #vinhos: Sean e Julianna McBride fizeram seus primeiros vinhos em um apartamento e hoje sã…</t>
  </si>
  <si>
    <t>Oiê! Ontem cpt um reel e esse é o resultado final...😉 #mandala #sousemente #meditacaoativa #empreendedorismo https://t.co/HxqGMHsRGX</t>
  </si>
  <si>
    <t>Bom dia! A amizade é livre, assim como os traços das mandalas que eu crio. Vc é bem vind para conhecer😉 #mandaleira #arteemandalas #arte #meditation #empreendedorismo https://t.co/Rv5jBFXztQ</t>
  </si>
  <si>
    <t>Você já imaginou ter uma vida mais tranquila e segura?
#tranquilidade #financas #planejamentofinanceiro #empreendedorismo #poupar #dinheiro #dicasdefinanças #investimento
https://t.co/pN78C3tEZQ</t>
  </si>
  <si>
    <t>O planejamento financeiro pessoal é uma ferramenta poderosa que pode ajudar a alcançar metas financeiras, reduzir o estresse financeiro e criar segurança financeira ao longo da vida.
#planejamentofinanceiro #finanças #empreendedorismo #qualidadedevida 
https://t.co/JrdsxJKiEL</t>
  </si>
  <si>
    <t>Olá, pessoal! Hoje eu vim aqui convidar você #empreendedor ou que pretende #empreender aqui nos #EUA para o nosso workshop que vai ter nesse sábado, setembro 16. A qui no escritório da Infinity em #Worcester #Massachusetts.O evento será das 08h30 da manhã ao meio dia e meia. https://t.co/BkBO5YmZvm</t>
  </si>
  <si>
    <t>Venha obter o seu sucesso financeiro e profissional através da TIX TURISMO,a melhor franquia de turismo do Brasil. 
https://t.co/3XjSw8kXqy
email: tixturismo.franchising@gmail.com
11 2182-7000
11 9 9906-0961
 #podeprocurar #melhorfranquia #franquiabarata #empreender #empreendedor https://t.co/gzgFuHMQxM</t>
  </si>
  <si>
    <t>Venha obter o seu sucesso financeiro e profissional através da TIX TURISMO, a melhor franquia de turismo do Brasil. 
https://t.co/3XjSw8kXqy
email: tixturismo.franchising@gmail.com
11 2182-7000
11 9 9906-0961
 #melhorfranquia #franquiabarata #empreender #empreendedor https://t.co/tCfkAWsObU</t>
  </si>
  <si>
    <t>Venha obter o seu sucesso financeiro e profissional através da TIX TURISMO, a melhor franquia de turismo do Brasil. 
https://t.co/3XjSw8kXqy
email: tixturismo.franchising@gmail.com
11 2182-7000
11 9 9906-0961
 #melhorfranquia #franquiabarata #empreender #empreendedor https://t.co/LArJoySyVP</t>
  </si>
  <si>
    <t>Venha obter o seu sucesso financeiro e profissional através da TIX TURISMO, a melhor franquia de turismo do Brasil. 
https://t.co/3XjSw8kXqy
email: tixturismo.franchising@gmail.com
11 2182-7000
11 9 9906-0961
 #melhorfranquia #franquiabarata #empreender #empreendedor https://t.co/H7KObRWUSQ</t>
  </si>
  <si>
    <t>Venha obter o seu sucesso financeiro e profissional através da TIX TURISMO, a melhor franquia de turismo do Brasil. 
https://t.co/3XjSw8kXqy
email: tixturismo.franchising@gmail.com
11 2182-7000
11 9 9906-0961
 #melhorfranquia #franquiabarata #empreender #empreendedor https://t.co/Wpa1SmRauI</t>
  </si>
  <si>
    <t>Venha obter o seu sucesso financeiro e profissional através da TIX TURISMO, a melhor franquia de turismo do Brasil.
https://t.co/3XjSw8kXqy
email: tixturismo.franchising@gmail.com
11 2182-7000
11 9 9906-0961
 #melhorfranquia #franquiabarata #empreender #empreendedor https://t.co/hAwhQfM5J1</t>
  </si>
  <si>
    <t>Venha obter o seu sucesso financeiro e profissional através da TIX TURISMO, a melhor franquia de turismo do Brasil. 
https://t.co/3XjSw8kXqy
email: tixturismo.franchising@gmail.com
11 2182-7000
11 9 9906-0961
  #melhorfranquia #franquiabarata #empreender #empreendedor https://t.co/CNvkPw2lh5</t>
  </si>
  <si>
    <t>Venha obter o seu sucesso financeiro e profissional através da TIX TURISMO, a melhor franquia de turismo do Brasil. 
https://t.co/3XjSw8kXqy
email: tixturismo.franchising@gmail.com
11 2182-7000
11 9 9906-0961
 #melhorfranquia #franquiabarata #empreender #empreendedor https://t.co/94eKTW2HOx</t>
  </si>
  <si>
    <t>Venha obter o seu sucesso financeiro e profissional através da TIX TURISMO, a melhor franquia de turismo do Brasil. 
https://t.co/3XjSw8kXqy
email: tixturismo.franchising@gmail.com
11 2182-7000
11 9 9906-0961
#melhorfranquia #franquiabarata #empreender #empreendedor https://t.co/08lJg5qX8W</t>
  </si>
  <si>
    <t>Venha obter o seu sucesso financeiro e profissional através da TIX TURISMO, a melhor franquia de turismo do Brasil. 
https://t.co/3XjSw8kXqy
email: tixturismo.franchising@gmail.com
11 2182-7000
11 9 9906-0961
 #melhorfranquia #franquiabarata #empreender #empreendedor https://t.co/8RWfplm4P7</t>
  </si>
  <si>
    <t>Venha obter o seu sucesso financeiro e profissional através da TIX TURISMO, a melhor franquia de turismo do Brasil. 
https://t.co/3XjSw8kXqy
email: tixturismo.franchising@gmail.com
11 2182-7000
11 9 9906-0961
 #melhorfranquia #franquiabarata #empreender #empreendedor https://t.co/z3ixOMLfxh</t>
  </si>
  <si>
    <t>#negocios #empreendedorismo 
#inovacao #sucessoonline 
#cowboy #coisasdexucro🤠 #vidaxucra🏡👏🌾🐴☀️🌵 https://t.co/JYXqirQcy0</t>
  </si>
  <si>
    <t>#negocios #empreendedorismo 
#inovacao #sucessoonline 
#cowboy #coisasdexucro🤠 #vidaxucra🏡👏🌾🐴☀️🌵 https://t.co/DhNt56drpL</t>
  </si>
  <si>
    <t>📱🏢🚀 Você conhece o Guia de Negócios do WhatsApp? 💼👀 Esse recurso está mudando o jogo para empresas locais. Potencialize seu WhatsApp Business e alcance novos patamares! 📈💼 #whatsapp📲 #guiadenegocios #empreendedorismo #chatguru https://t.co/ggzyb0XVqS</t>
  </si>
  <si>
    <t>Boa tarde pessoal comprei essa máquina de #donuts 🍩🍩 na #shopee! 
E ela é maravilhosa, já estou fazendo vários para vender. 
Link 👇
https://t.co/D3AdscuFwD
#oferta #tarde #empreendedorismo #empreender #negocios https://t.co/2mvoZ2I345</t>
  </si>
  <si>
    <t>A geração de energia limpa é um tema crucial para a sustentabilidade. O Vale do Paraíba pode investir em energias renováveis, como a solar e a eólica, seguindo exemplos de sucesso como a Alemanha e a Dinamarca. #ValeDoParaíba  #Sustentabilidade #Empreendedorismo #EnergiaLimpa</t>
  </si>
  <si>
    <t>Incentivos fiscais são uma estratégia comum em vários países para atrair investimentos. Países como Irlanda e Singapura são exemplos de como políticas fiscais adequadas podem impulsionar o desenvolvimento econômico.  #DesenvolvimentoRegional  #Empreendedorismo</t>
  </si>
  <si>
    <t>O empreendedorismo pode ser fortalecido através da criação de incubadoras de negócios e parcerias com universidades e centros de pesquisa. Exemplos como o Vale do Silício nos EUA e a Estônia podem ser estudados para inspiração. #ValeDoParaíba #Sustentabilidade #Empreendedorismo</t>
  </si>
  <si>
    <t>Podemos identificar boas práticas em diversos aspectos ao observar e se inspirar em outros países. Na educação, é importante buscar referências em países com sistemas de ensino bem-sucedidos, como Finlândia e Coreia do Sul. #DesenvolvimentoRegional #Empreendedorismo #Educação</t>
  </si>
  <si>
    <t>Apresentamos a vocês Coreval Materiais Elétricos, nossa patrocinadora oficial do 5º encontro Fluir de 2023, responsável por fazer o Fluir crescer mais.
Seja você também um Patrocinador!
(12) 99116-3265
#fluir #ibg #coreval #empreendedorismo #financas #planejamentofinanceiro https://t.co/er4JeQnDD4</t>
  </si>
  <si>
    <t>O ministério Fluir agradece toda contribuição do Wagner Amaral, que nos ensinou muito sobre o uso e impacto da inteligência artificial, assim como agradecemos a todos que participaram desse encontro.
#ia #ai #inteligenciaartificial #empreendedorismo #fluir https://t.co/7Bk1X9htjW</t>
  </si>
  <si>
    <t>Contamos com você amanhã para o nosso grande encontro sobre o Impacto da Inteligência Artificial nos Negócios na IBG às 19h30 com Wagner Amaral.
Faça sua inscrição através do site
🌐 https://t.co/FG6iyb68B0
#fluir #inteligenciaartificial #ai #ia #empreendedorismo #wagneramaral https://t.co/7shZUpchDA</t>
  </si>
  <si>
    <t>Você ainda não conhece o Fluir?
A Luciene Gobbo, do Ministério Fluir, te explica o que é nosso ministério e te convida para o 6º encontro, onde falaremos sobre o Impacto da Inteligência Artificial nos Negócios.
#fluir #ministeriofluir #ia #empreendedorismo #negocioslocais https://t.co/PSokOqj87l</t>
  </si>
  <si>
    <t>Nosso 7º Encontro do Fluir conta com o Apoio da Kairós, distribuidora do Suco de Uva Natural Aliança em Taubaté e toda região do Vale do Paraíba.
#distribuidorakairos #mindset #mindsetdevendas #fluir #ibg #vendamais #vendasnapratica #empreendedorismo #ibgtaubate https://t.co/bFsAJXQ8IZ</t>
  </si>
  <si>
    <t>Nosso 7º Encontro do Fluir conta com o Apoio do Morango Ice, fornecedor de diversas frutas congeladas que proporcionam muito mais sabor e beleza.
#morangoice #mindset #mindsetdevendas #fluir #ibg #vendamais #vendasnapratica #empreendedorismo #ibgtaubate https://t.co/YWKLFNJr6A</t>
  </si>
  <si>
    <t>Você está disposto a desaprender e reaprender tudo de novo?
Participe deste encontro Fluir e mude o seu Mindset de Vendas!
EVENTO GRATUÍTO!
Inscreva-se e venha Fluir com a gente!
🌐 https://t.co/FG6iyb5ALs
#vendamais #vendasnapratica #empreendedorismo #ibgtaubate https://t.co/ffRzyLXzKq</t>
  </si>
  <si>
    <t>Keli Dourado, do Ministério Fluir, tem um convite para você!
Assista o vídeo e venha para o 5° encontro Fluir!
Acesse o site no link da Bio e garanta já a sua vaga!
🌐https://t.co/rY0KwtYNWB
#fluir #financas #empreendedorismo #planejamentofinanceiro https://t.co/O1iPR2VbaE</t>
  </si>
  <si>
    <t>🔥 Empreender não é apenas sobre vender produtos, é sobre compartilhar sua paixão com o mundo e criar uma experiência única para seus clientes. ✨
#DonoDeLoja #Empreendedorismo #Paixão #Persistência #Sucesso #Inspiração #Motivação #Empreender #RealizarSonhos https://t.co/6PVd9Du4pV</t>
  </si>
  <si>
    <t>👉 Se você é um empreendedor ou empresário, ter um site na internet é fundamental para o sucesso do seu negócio. 💼💪
#NegóciosOnline #MarketingDigital #SiteProfissional #PresençaDigital #Empreendedorismo #Crescimento #SucessoEmpresarial #PresençaOnline #SiteParaNegócios https://t.co/yXFcr3P2z9</t>
  </si>
  <si>
    <t>Entre em contato conosco para saber mais sobre como nossa solução pode levar sua loja de costura ao próximo nível! . 😊✂️
#Costura #Moda #LojadeCostura #SistemaParaLoja #Tecnologia #Empreendedorismo #Sucesso #PaixãoPelaCostura</t>
  </si>
  <si>
    <t>👉 Se você é um empreendedor, certamente está em busca de aumentar suas vendas e conquistar mais clientes. A maneira mais eficiente de alcançar esse objetivo é utilizar um (PDV) de forma inteligente e estratégica. 💡
#Vendas #Loja #PDV #Empreendedorismo #Varejo https://t.co/A87HuDBxax</t>
  </si>
  <si>
    <t>Regras em caso de rompimento 🌩️: Como será decidida a continuação da empresa em caso de conflito entre os sócios? Pensar nisso antes pode poupar muitos problemas depois. #AcordoDeSocios
E você, já pensou em todos esses aspectos do seu negócio? #Empreendedorismo #Investimentos</t>
  </si>
  <si>
    <t>Essa pra você dar o play na mudança, dar o play nos seus sonhos, dar o play no crescimento de seu empreendimento. ▶️
Inscrições pelo link ➡️ https://t.co/eKeCb8ZCma
#saladoempreendedor #capacitação #mei #empreendedor https://t.co/sMH09RcXae</t>
  </si>
  <si>
    <t>Embracing Pressure The Key to Raising Exceptional Children  #mindset  #ambition  #hustle  #success  #empreendedorismo  #entrepreneurship  #sucesso  #entrepreneur  #leadership  #millionaire  #coaching  #dreambig  #business  #positive  #wealth  #successquotes  #grind  #motivational https://t.co/4TRKBGBseB</t>
  </si>
  <si>
    <t>Empreender é dar solução a um problema. É melhorar a vida dos outros a sua volta. 
Não tem nada a ver com perfeição, nada a ver com “fazer bem feito” tem a ver com atitude. O resto vem depois…. #empreendedorismo. #aq2live #comolavidamisma #crisisoverleg #EspanaAvanza</t>
  </si>
  <si>
    <t>#emprender #empresa #empreendedor #MarketingDigital #vendas https://t.co/oVqaoBgydD</t>
  </si>
  <si>
    <t>▫️Fale do que você faz mostrando quem você é!
▫️ Possuir um CNPJ não invalida o seu CPF, por isso, é preciso ser humano para atender pessoas.
▫️E antes de tudo, seja você!
#meioambiente #serviçosambientais #segurançaambiental #palestra #empreendedorismo #intactusambiental https://t.co/Zph97cyKa3</t>
  </si>
  <si>
    <t>#Storytelling #Narrativa #Comunicação #Marketing #Empreendedorismo #DesenvolvimentoPessoal #ArteDeContarHistórias</t>
  </si>
  <si>
    <t>Adriana Braga mostra em sua Coluna Empresários Sex dessa semana algumas maneiras pelas quais estar com as pessoas com certeza pode contribuir significativamente para o seu desenvolvimento profissional.
Confira já 👇 #network #empreendedorismo 
https://t.co/oPPXV9OgEv</t>
  </si>
  <si>
    <t>“Você só não pode fracassar…. Na última vez que tentar. “
- Frank Shallenberger 
#motivacional
#motivação
#reflexao
#empreendedorismo
#negocios</t>
  </si>
  <si>
    <t>Quer entender o por quê o pagamento recorrente reduz a inadimplência? 🤔
Assista ao nosso vídeo, onde explicamos como isso acontece. 
#pagamentos #finanças #empreendedorismo https://t.co/e8qWWvgLYm</t>
  </si>
  <si>
    <t>Cresol movimenta R$ 2,1 bi para fomentar o empreendedorismo feminino no Brasil
📸Divulgação
🌐Leia a matéria em https://t.co/x1tIGiFby6
#empreendedorismo #feminino #fomentar #cresol #parana https://t.co/sbcncrDaEy</t>
  </si>
  <si>
    <t>Bom dia #marketing #Evolution #empreendedorismo https://t.co/NPUcmMVs7j</t>
  </si>
  <si>
    <t>Empreendedorismo nas Escolas
Nosso projeto para Ensino de Educação financeira e Empreendedorismo nas Escolas.
#educação #empreendedorismo #empreendedorismonasescolas #londrina https://t.co/ii8CIIuFe1</t>
  </si>
  <si>
    <t>Dia do Cliente! A todos que confiam no trabalho de Fernando Tosi, nossa profunda gratidão. Aos clientes antigos e novos, obrigado por escolherem crescer conosco!
#DiadoCliente #GestordeTráfegoPago #googlemeunegocio #perfildaempresanogoogle #googleads #metaads #empreendedorismo https://t.co/N34jlWT6D0</t>
  </si>
  <si>
    <t>Frase dita por Pedro Sobral em vídeo com Geronimo Theml.
#trafegopago #gestordetrafegopago #gestãodetrafegopago #empreendedor #empreendedorismo #anunciosonline https://t.co/8316a8FAKn</t>
  </si>
  <si>
    <t>Dica rápida: Quer ampliar seu alcance? Com o Google Ads, você direciona anúncios para o público certo no momento exato! Otimize com palavras-chave relevantes e monitore o ROI. Seu negócio em destaque!
#GoogleAds #NegóciosLocais #Empreendedor #DicasdeNegócio #TráfegoPago</t>
  </si>
  <si>
    <t>Dica rápida: Já cadastrou seu negócio no Google Meu Negócio? Aumente a visibilidade online, receba avaliações e interaja com seus clientes diretamente pelo Google. É gratuito e essencial para empresas locais!
#GoogleMeuNegócio #DicasDeNegócios #Empreendedor #NegóciosLocais</t>
  </si>
  <si>
    <t>Quer apoio para um empreendimento inovador? Inscreva-se até 1º/9 no Programa Centelha, que fornecerá subvenção de até R$ 70 mil, capacitação e bolsas para os selecionados. Confira o edital: https://t.co/F4c6grHsjW
@gov_mcti @Finep @CNPq_Oficial @confapbr @faperj https://t.co/jd1m0NDggJ</t>
  </si>
  <si>
    <t>@taniapierdona @nanamnese #empreendedorismo</t>
  </si>
  <si>
    <t>“Estude com afinco o que mais lhe interessa da maneira mais indisciplinada, irreverente e original possível.” - *Richard Feynmann*
#Investimentos #empreendedorismo #Negocios #Cultura #Tecnologia #Conhecimento https://t.co/6TipSjePMP</t>
  </si>
  <si>
    <t>um parceiro de sonhos e ideais para colaborar com as transformações que o Brasil tanto anseia”, concluiu o presidente Campos.
#CamposMachado #SPFrenteCidadã #SalvadorSoares #Empreendedorismo #Desenvolvimento #Sustentabilidade</t>
  </si>
  <si>
    <t>liderança, competência e extrema capacidade de alavancar projetos de interesse para o incremento de novas políticas que só visam ao fortalecimento e desenvolvimento social e econômico do Brasil”, destaca Campos.
#GeraldoAlckmin #Economia #FrenteParlamentar #Empreendedorismo #MEI</t>
  </si>
  <si>
    <t>Menos burocracia, mais liberdade para inovar e crescer! Acima de tudo, mais facilidade para quem empreende e produz. 
#Desburocratização #NotaFiscalBrasilEletrônica #Empreendedorismo
#SenadorEfraim</t>
  </si>
  <si>
    <t>🎙️🕴🏼Like,Share,Support 💖
https://t.co/4o5GMeOKc2
#rico #diddy #rap #hiphop #dinheiro #jbalvin  #hiphop #saludable #empreendedorismo  #marketingdigital
#newmusic #music #hiphop #rap #spotify #artist #producer #rapper  #musician #singer #love #newmusic #miamibeach https://t.co/OdBGFheOQO</t>
  </si>
  <si>
    <t>#Empreendedorismo - Sebrae de Ubatuba está oferecendo capacitações gratuitas durante os meses de agosto e setembro. Confira em nosso portal.Leia a matéria completa acessando: https://t.co/dIF478f1y1 https://t.co/OATmhRX2a2</t>
  </si>
  <si>
    <t>"A falta de domínio sobre a mente resulta em sermos escravos de nossas próprias reações e impulsos".
#mentalidade #autoconhecimento #coach #coaching #streamer #negocios #negocio #palestra #tiktok #empreendedorismo #empreededorismodigital #saopaulo #riodejaneiro #brasil</t>
  </si>
  <si>
    <t>A mente de um empreendedor é interessante. A gente vê oportunidade de um negócio em tudo. Se existe a dor, existe demanda pra cura.
.
#empreendedorismo #Negocios #FYP #emprendedores</t>
  </si>
  <si>
    <t>Pq o gov n usa as energias usadas nas academias pra pegar energia elétrica #empreendedorismo</t>
  </si>
  <si>
    <t>Data Favela aponta que 22% têm intenção de começar empreender
https://t.co/Ln1g0m03Ss
#CARREIRA #EDUARDOPAES #EMPREENDEDORISMO #EMPRESAS #INVESTIMENTOS #RIODEJANEIRO</t>
  </si>
  <si>
    <t>O programa é voltado para jovens de 18 a 29 anos de idade que estejam cursando a educação superior ou tenham formação técnica
https://t.co/ax6WHESqkU
#CAE #CÂMARADOSDEPUTADOS #CARREIRA #CRÉDITO #EMPREENDEDORISMO</t>
  </si>
  <si>
    <t>A partir desta perspectiva, o Sebrae participa, entre 24 e 26 de agosto, da 7ª edição do Fire Festival, em Belo Horizonte (MG)
https://t.co/6Ku8itFFsu
#BRASIL #EMPREENDEDOR #EMPRESAS #ESTILODEVIDA #EUA #INFLUENCERS #REDESSOCIAIS</t>
  </si>
  <si>
    <t>A Academia Amazon Sebrae atingiu a marca de 179 mil acessos nos seis primeiros meses de 2023
https://t.co/oHS7K5Lyu0
#ALIMENTOS #AMAZON #BEBIDAS #COMÉRCIO #ECOMMERCE #EMPREENDEDORISMO #EMPRESAS #MARKETPLACE #SEBRAE</t>
  </si>
  <si>
    <t>A Expo Favela Innovation - feira de empreendedorismo que estabelece conexões entre favela e asfalto - chega ao Rio de Janeiro em julho
https://t.co/sUGoZjCy3D
#CARREIRA #EMPREENDEDORISMO #EMPREENDERNAINTERNET #INTERNET #RIODEJANEIRO #TECNOLOGIA</t>
  </si>
  <si>
    <t>Mi nombre es Héctor Olivares y estoy aquí para contribuir al desarrollo de la industria y sumar a la construcción de un país mejor.
Mil gracias!
#empresario #negocios #banca #empreendedorismo #emprendedor #empresa #empresas #emprendedores #financiamiento #empreendedor #dinero #mo https://t.co/pe56ZKs1L8</t>
  </si>
  <si>
    <t>Como identificar boas oportunidades de negócios no mercado?
#contabilidadedigital #contabilidade #empresas #empreendedor #empresario #cnpj #abrirempresas #gestão https://t.co/NVBLvcQNb6</t>
  </si>
  <si>
    <t>No #Biporecomenda dessa semana, o filme brasileiro "O Contador de Histórias" traz uma narrativa inspiradora e emocionante para você assistir neste fim de semana🔥🎬
#contabilidadedigital #contabilidade #empresas #empreendedor #empresario #cnpj #abrirempresas #gestão https://t.co/Lnn1TytOhw</t>
  </si>
  <si>
    <t>A Bipo pode me ajudar na organização e gestão de capital da minha empresa?
#contabilidadedigital #contabilidade #empresas #empreendedor #empresario #cnpj #abrirempresas #gestão https://t.co/yApw17sDuM</t>
  </si>
  <si>
    <t>Qual o valor que cobramos?
#contabilidadedigital #contabilidade #empresas #empreendedor #empresario #cnpj #abrirempresas #gestão https://t.co/FVELNZpbw9</t>
  </si>
  <si>
    <t>Mindset de Crescimento!
#contabilidadedigital #contabilidade #empresas #empreendedor #empresario #cnpj #abrirempresas #gestão https://t.co/PEuMv8QwPs</t>
  </si>
  <si>
    <t>Como você assessora um empresário hoje?
#contabilidadedigital #contabilidade #empresas #empreendedor #empresario #cnpj #abrirempresas #gestão https://t.co/2CImhtfWQ1</t>
  </si>
  <si>
    <t>Como a contabilidade me ajuda na gestão estratégica da minha empresa?
#contabilidadedigital #contabilidade #empresas #empreendedor #empresario #cnpj #abrirempresas #gestão https://t.co/koYMP8eOJ5</t>
  </si>
  <si>
    <t>Quer ver sempre sua empresa na linha e crescendo financeiramente? 🚀
Entre em contato conosco pelo Direct e vem ser Bipo Contabiliade! 💙💼
#contabilidadedigital #contabilidade #empresas #empreendedor #empresario #cnpj #abrirempresas #gestão https://t.co/wl6sOFAidz</t>
  </si>
  <si>
    <t>Quais as principais vantagens da contabilidade online?
#contabilidadedigital #contabilidade #empresas #empreendedor #empresario #cnpj #abrirempresas #gestão https://t.co/4L9WL2s4VX</t>
  </si>
  <si>
    <t>Empresário, já sabe da importância do fluxo de caixa? Se liga nessas dicas de como montar um e melhorar ainda mais a saúde financeira da sua empresa. 🚀💸
#contabilidadedigital #contabilidade #empresas #empreendedor #empresario #cnpj #abrirempresas #gestão https://t.co/igLx07aFJI</t>
  </si>
  <si>
    <t>Abrir uma empresa no digital é muito caro?
#contabilidadedigital #contabilidade #empresas #empreendedor #empresario #cnpj #abrirempresas #gestão https://t.co/h4udzBNfQK</t>
  </si>
  <si>
    <t>Como a contabilidade me ajuda a manter minha empresa dentro das regularidades fiscais?
#contabilidadedigital #contabilidade #empresas #empreendedor #empresario #cnpj #abrirempresas #gestão https://t.co/V262wXbTgu</t>
  </si>
  <si>
    <t>No #Biporecomenda dessa semana, o filme "Um Senhor Estagiário" mostra um homem já idoso indo estagiar numa nova empresa, mostrando que nunca é tarde para aprender algo novo
#contabilidadedigital #contabilidade #empresas #empreendedor #empresario #cnpj #abrirempresas #gestão https://t.co/humJ81F80F</t>
  </si>
  <si>
    <t>Quais as características de um empreendedor de sucesso?
#contabilidadedigital #contabilidade #empresas #empreendedor #empresario #cnpj #abrirempresas #gestão https://t.co/KJ2HUDHdCS</t>
  </si>
  <si>
    <t>"Um homem de sucesso é aquele que pode estabelecer uma base sólida com os tijolos que os outros jogaram contra ele" - David Brinkley
#contabilidadedigital #contabilidade #empresas #empreendedor #empresario #cnpj #abrirempresas #gestão https://t.co/ySFw61fqwZ</t>
  </si>
  <si>
    <t>O que é Contabilidade Tributária?
#contabilidadedigital #contabilidade #empresas #empreendedor #empresario #cnpj #abrirempresas #gestão https://t.co/WuetAEQGgw</t>
  </si>
  <si>
    <t>No #Biporecomenda dessa semana, o #flme "Florence: Quem é Essa Mulher?" traz uma história inspiradora e baseada em uma história real de Florence Foster. 🎞💙🚀
#contabilidadedigital #contabilidade #empresas #empreendedor #empresario #cnpj #abrirempresas #gestão https://t.co/Muvr5m111p</t>
  </si>
  <si>
    <t>Preciso de uma análise de rentabilidade, a Bipo pode me ajudar?
#contabilidadedigital #contabilidade #empresas #empreendedor #empresario #cnpj #abrirempresas #gestão https://t.co/BbIgksu4II</t>
  </si>
  <si>
    <t>"O empreendedor de sucesso é aquele que consegue ver a oportunidade onde os outros só veem problemas." - Michael Gerber
#contabilidadedigital #contabilidade #empresas #empreendedor #empresario #cnpj #abrirempresas #gestão https://t.co/b7pkFkjoK5</t>
  </si>
  <si>
    <t>"Quando você para de perseguir as coisas erradas, você dá às coisas certas uma chance." - Lolly Daskal
#contabilidadedigital #contabilidade #empresas #empreendedor #empresario #cnpj #abrirempresas #gestão https://t.co/UllrjK8rRx</t>
  </si>
  <si>
    <t>Como a contabilidade me ajuda na prevenção contra fraudes?
#contabilidadedigital #contabilidade #empresas #empreendedor #empresario #cnpj #abrirempresas #gestão https://t.co/PKSSpP4zwD</t>
  </si>
  <si>
    <t>Começar a semana recebendo um #feedback positivo nos enche de energia para continuar e nos incentiva, ainda mais, a melhorar nosso serviço 💙🚀 
#contabilidadedigital #contabilidade #empresas #empreendedor #empresario #cnpj #abrirempresas #gestão https://t.co/Haf9fY2Dch</t>
  </si>
  <si>
    <t>"Não deixe suas limitações definirem você. Supere-as e torne-se imparável." - Robin Sharma
#contabilidadedigital #contabilidade #empresas #empreendedor #empresario #cnpj #abrirempresas #gestão https://t.co/uqHqHVJkGU</t>
  </si>
  <si>
    <t>Quer ver os melhores resultados para sua empresa? Vem ser Bipo Contabilidade! 🚀💸
#contabilidadedigital #contabilidade #empresas #empreendedor #empresario #cnpj #abrirempresas #gestão https://t.co/magoRPTeSW</t>
  </si>
  <si>
    <t>Qual a hora certa de virar ME?
#contabilidadedigital #contabilidade #empresas #empreendedor #empresario #cnpj #abrirempresas #gestão https://t.co/0p6CmCXpBu</t>
  </si>
  <si>
    <t>"A motivação é o que faz você começar. O hábito é o que te mantém firme no caminho." - Jim Ryun
#contabilidadedigital #contabilidade #empresas #empreendedor #empresario #cnpj #abrirempresas #gestão https://t.co/Xi8ZvtagZ8</t>
  </si>
  <si>
    <t>🟢 A todos os incansáveis guerreiros que dedicam os seus dias ao PLANEAMENTO e EXECUÇÃO dos seus PLANOS de AÇÃO, queremos expressar o nosso mais profundo reconhecimento e admiração. ✅  
#negocio #negocioS #businesscoach #empreender #empreendedor #business https://t.co/zfkkOk0QnC</t>
  </si>
  <si>
    <t>#MEI: Contrate uma assessoria contábil para garantir a organização de sua empresa! #contabilidade #empreendedorismo #sucesso</t>
  </si>
  <si>
    <t>Vai largar essa CLT quando?? Já me segue @vida_de_videomaker para mais conteúdo!!
O ouro está nos stories!!
#motivação #prosperar #reflexão #sucesso #viral #pablomarcal #crescimento #vida #tempo #amigos #amigo #empreendedorismo #pablomarcal #marketingdigital https://t.co/U0F9huMTPD</t>
  </si>
  <si>
    <t>Aprenda a ser alguém melhor! Siga-me para mais. #empreendedorismo #pablomarcal #marketingdigital https://t.co/CRHYubarPl</t>
  </si>
  <si>
    <t>OLHA A NOVIDADE😻❤️ "Faça sua marca se destacar no mundo das redes sociais com nosso pacote de imagens de bom dia. Entre em contato.
87999398574 #pacote #bomdia #mensagens #motivacao #motivacional #mensagensmotivacionais #empreendedor #loja #marketing #pacotespromocionais https://t.co/J89NFPzVq1</t>
  </si>
  <si>
    <t>A Agência de Fomento do Rio Grande do Norte (AGN) apoia empreendedores de São José do Seridó! No primeiro semestre, foram repassados R$ 92.000 para impulsionar 24 microempreendedores locais. 📊🤍
#PrefeituraMunicipalDeSãoJoséDoSeridó #AMaisBonitadoBrasil #Empreendedorismo https://t.co/YRrh8XbyCX</t>
  </si>
  <si>
    <t>Edital aberto para inscrições!
#PrefeituraMunicipalDeSãoJoséDoSeridó #AMaisBonitadoBrasil #Empreendedorismo #Desenvolvimentoempreendedor https://t.co/OyvR4qtp7b</t>
  </si>
  <si>
    <t>RT @economicnewsbr: Josiel Alcolumbre, à frente do Sebrae Amapá, marcou presença na 1ª Reunião dos Presidentes dos Conselhos Deliberativos…</t>
  </si>
  <si>
    <t>O Circuito Empreendedor 2º Semestre chegou!
Conheça a programação completa, organize-se e leve a sua empresa ao sucesso!
Conheça as trilhas:
Formação
Execução
Extensão
Confira mais informações no link: https://t.co/6PGTQz2CCJ
#circuitoempreendedor #empreendedorismo #formaçao https://t.co/XYKBZFbX94</t>
  </si>
  <si>
    <t>🚀 Descubra o Radar Sebrae: Sua Ferramenta para Alavancar o Negócio! ✨ O Radar faz uma análise completa do seu mercado, concorrência e tendências do setor. E o melhor de tudo: é GRATUITO! Acesse: https://t.co/A9aUsV0aOa 📊🆓
#RadarSebrae #Empreendedorismo #FerramentaGratuita https://t.co/TKvGNDadFd</t>
  </si>
  <si>
    <t>NEUROMARKETING
Perigoso
Use essa ciência e metodologia é muito perigosa. Use com muita ética e responsabilidade.
V+TSD – Venda Mais Todo Santo Dia
#empreendedorismo #negocios #empreenda #empreender #lucro #vendas #marketing #marketingdigital
#empreededorismofeminino #empresas https://t.co/ucatr2ckey</t>
  </si>
  <si>
    <t>O Consumidor não é um idiota, é sua esposa. Você insultaria a sua esposa? David Ogiliv
Não espere por circunstâncias ideais; crie suas próprias oportunidades e faça acontecer."
V+TSD – Venda Mais Todo Santo Dia
#empreendedorismo #negocios #empreenda #empreender #lucro #vendas https://t.co/QsZaq7ZT3f</t>
  </si>
  <si>
    <t>ISSO É O QUE VOCÊ MERECE!
#empreendedorismo , #negocios , #empreenda , #empreender , #lucro , #vendas , #marketing , #marketingdigital , #empreededorismofeminino #mentoria</t>
  </si>
  <si>
    <t>VENDA É MÉTODO
TREINAR NÃO VENDE, MAS VENDER TREINA
QUANDO VOCÊ DESVALORIZA O QUE VOCÊ FAZ, O MUNDO DESVALORIZA QUEM VOCÊ É.
#empreendedorismo , #negocios , #empreenda , #empreender , #lucro , #vendas , #marketing , #marketingdigital , #empreededorismofeminino , #empresas ,</t>
  </si>
  <si>
    <t>Quando todos pensam o mesmo, significa que ninguém está pensando.
JUNTOS
FAREMOS
COISAS
INCRÍVEIS
#empreendedorismo , #negocios , #empreenda , #empreender , #lucro , #vendas , #marketing , #marketingdigital , #empreededorismofeminino #mentoria https://t.co/VcF5v21ihV</t>
  </si>
  <si>
    <t>Portanto, se você entender que o "NÃO" faz parte do jogo, você começa a lidar com a prospecção de outra forma.
 Afinal, o NÃO você já tem, basta ir em busca do SIM!
 Marca um amigo empreendedor
#empreendedorismo #negocios #empreenda #empreender #lucro #vendas #marketing https://t.co/5itixBi4pb</t>
  </si>
  <si>
    <t>Sua CONUNICAC’ÃO TEM QUE SER CLARA, SIMPLES, DIRETA, VISUAL, IMPACTANTE, PROVOCATIVA
V+TSD – Venda Mais Todo Santo Dia
#empreendedorismo #negocios #empreenda #empreender #lucro #vendas #marketing #marketingdigital
#empreededorismofeminino #empresas #empreendendor https://t.co/QN3DqZcLmP</t>
  </si>
  <si>
    <t>Essa é a minha definição, qual é a sua?
V+TSD - Venda Mais Todo Santo Dia
#vendas #neuromarketing #motivacao #marketing #empreendedorismo #vendas #vendedor #sucesso https://t.co/cW1bzm0tMh</t>
  </si>
  <si>
    <t>O CONHECIMENTO pode até nos LIBERTAR, mas a capacidade de RACIOCINAR não permite sequer que cheguemos a ser PRISIONEIROS.
#empreendedorismo , #negocios , #empreenda , #empreender , #lucro , #vendas , #marketing , #marketingdigital , #empreededorismofeminino #mentoria https://t.co/kOeHfv33Ri</t>
  </si>
  <si>
    <t>Você deve perguntar-se todo santo dia: O que tenho feito, me ajuda a conquistar a vida que estou buscando ter?
#empreendedorismo , #negocios , #empreenda , #empreender , #lucro , #vendas , #marketing , #marketingdigital , #empreededorismofeminino #mentoria https://t.co/PiW9RLWGKk</t>
  </si>
  <si>
    <t>ATRAÇÃO + CONVERSÃO = Este é o caminho para Crescer!
 🚀🚀🚀🚀🚀🚀🚀🚀
NÃO QUERO QUE VOCÊ DIGA QUE MEU ANÚNCIO FOI CRIATIVO. QUERO QUE VOCÊ O ACHE TÃO INTERESSANTE QUE COMPRE O PRODUTO.
#empreendedorismo #negocios #empreenda #empreender #lucro #vendas #marketing https://t.co/UpXugLHg5d</t>
  </si>
  <si>
    <t>#empreendedorismo #negocios #empreenda #empreender #lucro #vendas #marketing #marketingdigital
#empreededorismofeminino #empresas #empreendendor https://t.co/iZCN4gwxe2</t>
  </si>
  <si>
    <t>PAPO RETO
As pessoas são curiosas por natureza.
VENDER É CONSTRUIR UMA ARGUMENTAÇÃO QUE TORNA O SEU PRODUTO/SERVIÇO INEVITÁVEL.
#empreendedorismo #negocios #empreenda #empreender #lucro #vendas #marketing #marketingdigital
#empreededorismofeminino #empresas #empreendendor https://t.co/gZ4I3LDyS1</t>
  </si>
  <si>
    <t>Mande um DIRECT: e VAMOS conversar sobre o crescimento acelerado do seu Negócio!
Vamos nessa?!
Estou te esperando! 😉👊🏼
V+TSD – Venda Mais Todo Santo Dia
#empreendedorismo #negocios #empreenda #empreender #lucro #vendas #marketing #marketingdigital #empreededorismofeminino https://t.co/z0kpLq9VjY</t>
  </si>
  <si>
    <t>QUERES VENDER MAIS?
Bora lá? Assista Agora!!!
 #empreendedorismo #negocios #empreenda #empreender #lucro #vendas #marketing #marketingdigital
 #empreededorismofeminino #empresas #empreendendo #loja #lojaonline  #vendas #vendedor https://t.co/GSxzimnsgZ</t>
  </si>
  <si>
    <t>Você se machucará feio senão tem uma ótima rotina de vendas
VENDAS
PLANEJAMENTO
PÚBLICO ALVO
PRODUTO/SEVIÇO
PREÇOS
COMUNICAÇÃO
PROSPECÇÃO
ACOMPANHAMENTO
NEGOCIAÇÃO
MITIGAÇÃO REJEIÇÕES
VENDA
#empreendedorismo , #negocios , #empreenda , #empreender , #lucro , #vendas , #marketing https://t.co/iDUY7fukyt</t>
  </si>
  <si>
    <t>Somos repetidamente expostos a anúncios ao longo do dia, todos os dias.
Ou você se diferencia ou desaparece na escuridão!
Me envie sua mensagem.
V+TSD – Venda Mais Todo Santo Dia
#empreendedorismo #negocios #empreenda #empreender #lucro #vendas #marketing #marketingdigital https://t.co/NscKxz6brt</t>
  </si>
  <si>
    <t>Quer se destacar? Seja você mesmo!
Quer vencer, trabalhe muito!
V+TSD – Venda Mais Todo Santo Dia
#empreendedorismo #negocios #empreenda #empreender #lucro #vendas #marketing #marketingdigital
#empreededorismofeminino #empresas #empreendendor https://t.co/OWFrL1b1ve</t>
  </si>
  <si>
    <t>Nada é por acaso, é com mentalidade forte e muito suor.
#empreendedorismo #negocios #empreenda #empreender #lucro #vendas #marketing #marketingdigital
 #empreededorismofeminino #empresas #empreendendo #loja #lojaonline #vendas #vendedor https://t.co/8T6POisjMs</t>
  </si>
  <si>
    <t>Se você está disposto a entrar neste desafio, escreve “Eu me comprometo” aqui nos comentários!
#empreendedorismo #negocios #empreenda #empreender #lucro #vendas #marketing #marketingdigital
#empreededorismofeminino #empresas #empreendendor</t>
  </si>
  <si>
    <t>EM MOMENTOS DE DECISÃO O SEU DEESTINO SE MOLDA.
#empreendedorismo #negocios #empreenda #empreender #lucro #vendas #marketing #marketingdigital
#empreededorismofeminino #empresas #empreendendor https://t.co/Dugh8o6zbD</t>
  </si>
  <si>
    <t>E por que não aproveitar HOJE SEGUNDDA-FEIRA, para reforçar uma das primeiras coisas que falo sempre!? O tempo passa, mas certas coisas estão gravadas na nossa essência.
 O que acha?✨
#vendas #neuromarketing #motivacao #marketing #empreendedorismo #vendas #vendedor #sucesso https://t.co/mJmXM7sfIO</t>
  </si>
  <si>
    <t>#empreendedorismo , #negocios , #empreenda , #empreender , #lucro , #vendas , #marketing , #marketingdigital , #empreededorismofeminino #mentoria https://t.co/fvtSW1zZ8e</t>
  </si>
  <si>
    <t>#empreendedorismo , #negocios , #empreenda , #empreender , #lucro , #vendas , #marketing , #marketingdigital , #empreededorismofeminino #mentoria https://t.co/jWjjBmMOAv</t>
  </si>
  <si>
    <t>#empreendedorismo , #negocios , #empreenda , #empreender , #lucro , #vendas , #marketing , #marketingdigital , #empreededorismofeminino #mentoria https://t.co/GCINH75BnM</t>
  </si>
  <si>
    <t>VENDA QUALQUER COISA
COM ESSE TRUQUE SIMPLES
SEMPRE FUNCIONA
V+TSD – Venda Mais Todo Santo Dia
#empreendedorismo #negocios #empreenda #empreender #lucro #vendas #marketing #marketingdigital
#empreededorismofeminino #empresas #empreendendor https://t.co/iSBVLy7WRb</t>
  </si>
  <si>
    <t>Acredite, venda a ideia para você mesmo, conquiste na sua mente o que você quer conquistar em sua vida! Este é o caminho para as conquistas e sucesso.
🏆🏆🏆🏆🚀🚀🚀🚀
V+TSD – Venda Mais Todo Santo Dia
#empreendedorismo #negocios #empreenda #empreender #lucro #vendas</t>
  </si>
  <si>
    <t>NÃO HÁ ATALHO PARA O SUCESSO.
"Somos o que repetidamente fazemos. A excelência, portanto, não é um feito, mas um hábito." Aristóteles
#neuromarketing #marketing #vendas #vendedor #sucesso #mentoria #empreendedorismo #motivacao #treinamento #vitoria #trafegopago #V+TSD #carreira https://t.co/TwR0VQdfvS</t>
  </si>
  <si>
    <t>A SUA forma de comunicação impacta brutalmente no seu resultado. PARE de ser chato e CAUSE VOLÚPIA.
#nerimarmendes #neuromarketing #marketing #vendas #vendedor #sucesso #mentoria #empreendedorismo #motivacao #treinamento #vitoria #trafegopago #V+TSD #carreira https://t.co/j93VvMabpU</t>
  </si>
  <si>
    <t>ISSO É O QUE VOCÊ MERECE!
ISSO É O QUE VOCÊ MERECE!
#empreendedorismo , #negocios , #empreenda , #empreender , #lucro , #vendas , #marketing , #marketingdigital , #empreededorismofeminino #mentoria https://t.co/fNc8i0iS9M</t>
  </si>
  <si>
    <t>Ei você... não espere nada de ninguém. Ajude as pessoas se puder, e sempre se empurre para frente. Sempre impulsione-se.
V+TSD – Venda Mais Todo Santo Dia
#empreendedorismo #negocios #empreenda #empreender #lucro #vendas #marketing #marketingdigital
#empreededorismofeminino https://t.co/yOjb00pB0A</t>
  </si>
  <si>
    <t>Livro de pintar Sailor Marte com 12 de minhas artes para colorir disponível em https://t.co/uNbtwL9ptP
#papelaria #loja #lojaonline #empreendedorismo #emprender #emprendedores #Negocios #lojas #livro #infantil #livroinfantil https://t.co/KHbqJhIglz</t>
  </si>
  <si>
    <t>Venha conferir minha loja online.
#sapatos  #Mulher #empreendedorismo https://t.co/EZ6Ab3u9qU</t>
  </si>
  <si>
    <t>Se você é dono(a) de uma empresa, acesse https://t.co/79fayn2PB5 e garanta seu ingresso para a imersão presencial.
#emd #empreendedorismo #negocios #sucesso #mentoria #evento #institutoexito #investimento</t>
  </si>
  <si>
    <t>é fundamental para fornecer uma base sólida de conhecimento, preparando-as para um futuro financeiramente saudável.
Para ajudar os pais a introduzirem o assunto na rotina dos filhos, listamos 5 práticas para as férias. Confira! #dicas #ferias #financeiro #empreendedorismo https://t.co/5yGmZbrhuI</t>
  </si>
  <si>
    <t>Nova parceria em prol da educação empreendedora! 🔊
Seguimos firmes na missão de transformar o nosso país por meio da educação empreendedora!
#novaparceria #convenio #moab #institutoexito #educacao #empreendedorismo https://t.co/vb74tTLikM</t>
  </si>
  <si>
    <t>📷 Vagas exclusivas e limitadas!  #emd #empreendedorismo #negocios #sucesso #mentoria #evento #institutoexito #investimento
https://t.co/79fayn2PB5</t>
  </si>
  <si>
    <t>caminho da educação de qualidade com oportunidades no mercado de trabalho!
Vamos que vamo 📷
#empreendedorismo #projetotiaegle #educacao #empreendedora #desenvolvimentopessoal #mercado</t>
  </si>
  <si>
    <t>desejam prosperar e manter-se competitivo no mercado.
Pensando nisso, listamos 5 motivos para investir no capital humano. Confira! #dicas #empreendedorismo https://t.co/zJlkot8p0p</t>
  </si>
  <si>
    <t>Por isso, separamos dicas com algumas lições valiosas que você pode aplicar no seu negócio. Confira! #barbie #filme #empreender #dicas #ambienteempresarial #inovacao #empreendedorismo</t>
  </si>
  <si>
    <t>#cryptomarket #pix #doacao #emprender #empreendedorismo #internet #dinheiro #finanças #ficarrico #money #grana #MoneyUpChat #moneycontrol https://t.co/HQz6QN0ByT</t>
  </si>
  <si>
    <t>Já pensou? Ser um investidor e perder o negócio da sua vida, porque a @vivobr ficou mais de 48h fora do ar no seu bairro? E você #empreendedor? Vai confiar seu negócio para quem não liga de te deixar 2 dias completamente desconectado do mundo? Pense nisso antes de ir para a #vivo</t>
  </si>
  <si>
    <t>@cegadede Vai vender mais barato que o amendoim da gol... #empreendedor</t>
  </si>
  <si>
    <t>De acordo com o Sebrae, as micro e pequenas empresas (MPEs) representam 99% do total de empresas no Brasil e geram 54% dos empregos formais. Isso significa que, para cada 100 pessoas trabalhando no Brasil, 54 trabalham em uma MPE.
Representam 27% do PIB total. #empreendedorismo</t>
  </si>
  <si>
    <t>My First Youtube Banner Create
#marketingdigital #marketing #empreendedorismo #digitalmarketing #socialmedia #instagram #business #branding #socialmediamarketing #sucesso #marketingstrategy #empreender  #marketingtips #marketingonline #digital #design #rendaextra #emprendedores https://t.co/UNvqlfUQQ0</t>
  </si>
  <si>
    <t>Fato!!! #empreendedorismo #Foconoobjetivo #serdiferente https://t.co/9nEKACMY3D</t>
  </si>
  <si>
    <t>DECLARAÇÃO DE PERSISTÊNCIA
A PERSISTÊNCIA É UM HÁBITO DOS
VENCEDORES E ELA JA FAZ PARTE DA MINHA VIDA, ESTE E O ÚNICO CAMINHO PARA O EXITO. A PALAVRA "IMPOSSÍVEL" NÃO EXISTE NO MEU VOCABULARIO.
#instagram #grupojbg3 #empreendedorismo #foconoobjetivo 
#photooftheday
#happy https://t.co/jx10JpgLgo</t>
  </si>
  <si>
    <t>O sucesso vem de aguentar porrada e não ficar sonhando com vitórias. #grupojbg3 #empreendedorismo #foconoobjetivo #desistirjamais #gratidao #fotografia https://t.co/mFjPT4N8UX</t>
  </si>
  <si>
    <t>🚀 A Aravita na vanguarda da revolução da IA no varejo de alimentos frescos! Selecionada para o Scale-Up Endeavor Brasil 2023, eles estão prontos para transformar o desperdício em eficiência.  #Inovação #Empreendedorismo #AravitaScaleUp
https://t.co/E3wFamgYlR</t>
  </si>
  <si>
    <t>Descubra como desbravar o mundo dos negócios digitais com a mentoria de Bruna Ávila da Especializei. Ela desmistifica o processo de criação e comercialização de produtos digitais.  #NegóciosDigitais #Empreendedorismo #Mentoria"
https://t.co/ls5sHr40bH</t>
  </si>
  <si>
    <t>"Uri Levine, o visionário por trás do sucesso do Waze e Moovit, compartilha suas valiosas lições sobre empreendedorismo e inovação em seu novo livro.  🚀💡 #Empreendedorismo #Inovação #UriLevine"
https://t.co/X3TUPOv2ko</t>
  </si>
  <si>
    <t>🚀 O Mercado Livre Experience 2023 está prestes a decolar! Dois dias de insights, networking e entretenimento com grandes nomes do e-commerce. Não perca essa jornada épica! 🛒💼 #MLE2023 #Ecommerce #Empreendedorismo
https://t.co/3YwStCIMnK</t>
  </si>
  <si>
    <t>🚀 Quer empreender no mercado de moda infantil? A Arena Baby lançou um modelo de franquia para cidades de até 40 mil habitantes, prometendo faturamentos incríveis e sustentabilidade. #Empreendedorismo #ModaInfantil #Franquias"
https://t.co/MwJSEAA153</t>
  </si>
  <si>
    <t>🚀 Grandes mudanças à vista para os Microempreendedores Individuais (MEIs) no Brasil! A partir de setembro, a emissão de notas fiscais será simplificada e centralizada, tornando a vida dos empreendedores mais fácil.  #MEIs #NotasFiscais #Empreendedorismo
https://t.co/PJ41X126l5</t>
  </si>
  <si>
    <t>O setor de franquias de moda está em alta! 📈 Com um crescimento de 16,8% no 2º tri de 2023, as oportunidades para empreendedores são promissoras. Conheça a Arena Baby e sua abordagem inovadora no nosso artigo 💼👶💰 #Franquias #Moda #empreendedorismo 
https://t.co/tAjepA18II</t>
  </si>
  <si>
    <t>Confira a nossa oferta especial deste mês de Julho para PMEs e MEIs!
#vemserbbg #bbgtelecom #camaragibe #recife #aldeia #saolourenco #portodegalinhas #internet #fibraoptica  #provedor #fibra #wifi #bandalarga #conexão #empreendedorismo #pme #mei #peng
 consulte condições. https://t.co/eBpfpoD7uh</t>
  </si>
  <si>
    <t>Neste mês de Julho, nós preparamos uma oferta especial para você que é PME ou MEI!!!
Dê o próximo passo no seu negócio. Vem Ser BBG Empresas!
#camaragibe #recife #aldeia #internet #fibraoptica #wifi #conexão #empreendedorismo #pme #mei #peng 
 consulte condições. https://t.co/ubcY0wjyK6</t>
  </si>
  <si>
    <t>#Empreendedorismo #Negócios #Empresa #Sucesso #Sonhos #Realização #Planejamento #Consultoria #Empreender #VisãoDeNegócio #VamosConstruirJuntos https://t.co/PFAe5O9w0q</t>
  </si>
  <si>
    <t>Amadores vendem produtos.
Profissionais vendem o que o produto faz para e pelo cliente.
#empreendedorismo
#produtividade
#contentmarketing
#digitalmarketing
#marketing
#marketingstrategy
#media
#seo
#socialmedia
#socialmediamarketing
#publicidade
#marketingdigital https://t.co/BSvA22YSE5</t>
  </si>
  <si>
    <t>Não esqueça de me seguir nas redes sociais. 🏃‍♂️
#empreendedorismo #o #marketingdigital #empreender #sucesso #marketing #empreendedor #motiva #motivacao #empresas #avaré #avare #alexandrekoch https://t.co/bXe3kJh3KI</t>
  </si>
  <si>
    <t>Não esqueça de me seguir nas redes sociais. 🏃‍♂️
#empreendedorismo #o #marketingdigital #empreender #sucesso #marketing #empreendedor #motiva #motivacao #empresas #avaré #avare #alexandrekoch https://t.co/kTm3GmiQTp</t>
  </si>
  <si>
    <t>Não esqueça de me seguir nas redes sociais. 🏃‍♂️
#empreendedorismo #o #marketingdigital #empreender #sucesso #marketing #empreendedor #motiva #motivacao #empresas #avaré #avare #alexandrekoch https://t.co/p4Gjve8oSD</t>
  </si>
  <si>
    <t>Não esqueça de me seguir nas redes sociais. 🏃‍♂️
#empreendedorismo #o #marketingdigital #empreender #sucesso #marketing #empreendedor #motiva #motivacao #empresas #avaré #avare #alexandrekoch https://t.co/51r2rHjkF5</t>
  </si>
  <si>
    <t>Não esqueça de me seguir nas redes sociais. 🏃‍♂️
#empreendedorismo #o #marketingdigital #empreender #sucesso #marketing #empreendedor #motiva #motivacao #empresas #avaré #avare #alexandrekoch https://t.co/fOq0S7cWkL</t>
  </si>
  <si>
    <t>Não esqueça de me seguir nas redes sociais. 🏃‍♂️
#empreendedorismo #o #marketingdigital #empreender #sucesso #marketing #empreendedor #motiva #motivacao #empresas #avaré #avare #alexandrekoch https://t.co/ryPAQM20P7</t>
  </si>
  <si>
    <t>Não esqueça de me seguir nas redes sociais. 🏃‍♂️
#empreendedorismo #o #marketingdigital #empreender #sucesso #marketing #empreendedor #motiva #motivacao #empresas #avaré #avare #alexandrekoch https://t.co/yOZUfbChBP</t>
  </si>
  <si>
    <t>Não esqueça de me seguir nas redes sociais. 🏃‍♂️
#empreendedorismo #o #marketingdigital #empreender #sucesso #marketing #empreendedor #motiva #motivacao #empresas #avaré #avare #alexandrekoch https://t.co/NyQOIbxYOY</t>
  </si>
  <si>
    <t>Não esqueça de me seguir nas redes sociais. 🏃‍♂️
#empreendedorismo #o #marketingdigital #empreender #sucesso #marketing #empreendedor #motiva #motivacao #empresas #avaré #avare #alexandrekoch https://t.co/MBeUiM1FGF</t>
  </si>
  <si>
    <t>Não esqueça de me seguir nas redes sociais. 🏃‍♂️
#empreendedorismo #o #marketingdigital #empreender #sucesso #marketing #empreendedor #motiva #motivacao #empresas #avaré #avare #alexandrekoch https://t.co/D1poqlUcNS</t>
  </si>
  <si>
    <t>Não esqueça de me seguir nas redes sociais. 🏃‍♂️
#empreendedorismo #o #marketingdigital #empreender #sucesso #marketing #empreendedor #motiva #motivacao #empresas #avaré #avare #alexandrekoch https://t.co/94myaD1fKL</t>
  </si>
  <si>
    <t>Não esqueça de me seguir nas redes sociais. 🏃‍♂️
#empreendedorismo #o #marketingdigital #empreender #sucesso #marketing #empreendedor #motiva #motivacao #empresas #avaré #avare #alexandrekoch https://t.co/z4bXhmL2jV</t>
  </si>
  <si>
    <t>Não esqueça de me seguir nas redes sociais. 🏃‍♂️
#empreendedorismo #o #marketingdigital #empreender #sucesso #marketing #empreendedor #motiva #motivacao #empresas #avaré #avare #alexandrekoch https://t.co/hTgg9OzMEc</t>
  </si>
  <si>
    <t>Dica de sucesso para empreendedores e profissionais liberais
Planeje sua aposentadoria desde agora e colha os frutos no futuro. Não deixe para depois o que você pode fazer hoje #Aposentadoria #Empreendedorismo #ProfissionaisLiberais #PlanejamentoFinanceiro
https://t.co/EL2XGF0nd4</t>
  </si>
  <si>
    <t>Equipe do programa entrará em contato com empreendedoras que tiverem divergências na conta bancária.
#maceió #mulheres #empreendedorismo
https://t.co/SMG2ecINe5</t>
  </si>
  <si>
    <t>Tipzar | Power to the Business  #tipzar #criadordeconteudo #negócios #empreendedorismo #conteúdo #redesocial https://t.co/d4gDJ1M9wF</t>
  </si>
  <si>
    <t>Para fazer parte da Tipzar e experimentar essa nova forma de usar as redes sociais, clique no link da bio.
Estamos chegando.
Tipzar | Power to the People
#tipzar #conteudo #negocios #empreendedorismo #redesocial https://t.co/ZY5BylwUwv</t>
  </si>
  <si>
    <t>Você não irá crescer, você irá voar.
Tipzar | Power to the Business
#tipzar #criadordeconteudo #negócios #empreendedorismo #redesocial https://t.co/Z29hGD8blC</t>
  </si>
  <si>
    <t>Corra para o link da bio e garanta o seu @. Estamos em fase de aquecimento e em breve nosso aplicativo estará no ar.  
Tipzar | Power to the People  
#tipzar #criadordeconteudo #negocios #empreendedorismo #redesocial https://t.co/Aohom7p2yU</t>
  </si>
  <si>
    <t>Para garantir o seu @ na Tipzar e baixar o nosso app na semana de lançamento, clique no link da bio e faça o seu cadastro.
Não é sobre nós, é sobre você.
Tipzar | Power to the People
#tipzar #conteudo #negocios #empreendedorismo #redesocial https://t.co/7RM1mmui5v</t>
  </si>
  <si>
    <t>Clique no link da bio para garantir o seu @ e acesso ao nosso app no dia de lançamento.
Tipzar | Power to the People
#tipzar #criadordeconteudo #negócios #empreendedorismo #redesocial https://t.co/WfkmeKsEMr</t>
  </si>
  <si>
    <t>Clique no link da bio e garanta o seu @.
Estamos saindo do forno.
Tipzar | Power to the People
#tipzar #criadordeconteudo #negócios #empreendedorismo #conteúdo #redesocial https://t.co/ZCdoz1MPmt</t>
  </si>
  <si>
    <t>Para fazer parte do próximo grande movimento social, clique no link da bio e garanta o seu @. 
Somos mais que uma rede social. Somos um movimento. 
Tipzar | Power to the People 
#tipzar #conteudo #negocios #empreendedorismo #redesocial https://t.co/2rppH5AjPk</t>
  </si>
  <si>
    <t>Para garantir o seu @ e receber um convite para baixar o nosso app na semana de lançamento, clique no link da nossa bio.
Tipzar | Power to Creators
#tipzar #conteudo #negocios #empreendedorismo #redesocial https://t.co/SyZMIfpnDg</t>
  </si>
  <si>
    <t>Estamos quase saindo do forno.
Tipzar | Power to the People
#tipzar #criadordeconteudo #negócios #empreendedorismo #conteúdo #redesocial https://t.co/ZZII5tVCwt</t>
  </si>
  <si>
    <t>Gosta dessa ideia? 
Então, clique na bio e garanta o seu @ antes que alguém use o seu nome.
Tipzar | Power to the People
#tipzar #conteudo #negocios #empreendedorismo #redesocial https://t.co/EV0VfF8VFt</t>
  </si>
  <si>
    <t>Nosso aplicativo está quase pronto para ser lançado. E somente quem estiver na lista receberá acesso nas primeiras semanas.
Link na bio.
Tipzar | Power to the People
#tipzar #criadordeconteudo #negócios #empreendedorismo #redesocial https://t.co/vpw5jenn70</t>
  </si>
  <si>
    <t>Agora que você sabe as vantagens
Vamos abrir um MEI pra você?
-
_
#empreendedorismo #mei #microempreendedorindividual #vantagens https://t.co/iU9NmIpizK</t>
  </si>
  <si>
    <t>#empreendedorismo #prolabore #finanças https://t.co/swNT4YRKR2</t>
  </si>
  <si>
    <t>#dicas #empreendedorismo #clientes https://t.co/knTcHxD4Th</t>
  </si>
  <si>
    <t>Vem conhecer a LFS Santos Contabilidade. Chame no WhatsApp (21) 96498-0480 para tirar dúvidas. Link do site na bio. #contabilidade #comunicacao #empresa #empreendedor #consultoriacontabil #bomdia #riodejaneiro https://t.co/cJusxh9hKa</t>
  </si>
  <si>
    <t>Vem conhecer a LFS Santos Contabilidade. Chame no WhatsApp (21) 96498-0480 para tirar dúvidas. Link do site na bio.  #contabilidade #comunicacao #empresa #empreendedor #consultoriacontabil #bomdia #riodejaneiro https://t.co/kNqmHyUjsO</t>
  </si>
  <si>
    <t>Vem conhecer a LFS Santos Contabilidade. Chame no WhatsApp (21) 96498-0480 para tirar dúvidas. Link do site na bio. #contabilidade #comunicacao #empresa #empreendedor #consultoriacontabil #bomdia #riodejaneiro https://t.co/1nD06sng9r</t>
  </si>
  <si>
    <t>Vem conhecer a LFS Santos Contabilidade. Chame no WhatsApp (21) 96498-0480 para tirar dúvidas. Link do site na bio. #contabilidade #comunicacao #empresa #empreendedor #consultoriacontabil #bomdia #riodejaneiro https://t.co/knruFwd5H4</t>
  </si>
  <si>
    <t>Vem conhecer a LFS Santos Contabilidade. Chame no WhatsApp (21) 96498-0480 para tirar dúvidas. Link do site na bio. #contabilidade #comunicacao #empresa #empreendedor #consultoriacontabil #bomdia #riodejaneiro https://t.co/Ji2QMOrMkO</t>
  </si>
  <si>
    <t>Vem conhecer a LFS Santos Contabilidade. Chame no WhatsApp (21) 96498-0480 para tirar dúvidas. Link do site na bio. #contabilidade #comunicacao #empresa #empreendedor #consultoriacontabil #bomdia #riodejaneiro https://t.co/F18xXXPhu6</t>
  </si>
  <si>
    <t>Vem conhecer a LFS Santos Contabilidade. Chame no WhatsApp (21) 96498-0480 para tirar dúvidas. Link do site na bio. #contabilidade #comunicacao #empresa #empreendedor #consultoriacontabil #bomdia #riodejaneiro https://t.co/GmkYmH0Bni</t>
  </si>
  <si>
    <t>Vem conhecer a LFS Santos Contabilidade. Chame no WhatsApp (21) 96498-0480 para tirar dúvidas. Link do site na bio. #contabilidade #comunicacao #empresa #empreendedor #consultoriacontabil #bomdia #riodejaneiro https://t.co/1kW9mYkOFj</t>
  </si>
  <si>
    <t>Vem conhecer a LFS Santos Contabilidade.
Chame no WhatsApp (21) 96498-0480 para tirar dúvidas. Link do site na bio 
#contabilidade #comunicacao #empresa #empreendedor #consultoriacontabil #bomdia #riodejaneiro https://t.co/LLuHWOtCqe</t>
  </si>
  <si>
    <t>Vem conhecer a LFS Santos Contabilidade. Chame no WhatsApp (21) 96498-0480 para tirar dúvidas. Link do site na bio. #contabilidade #comunicacao #empresa #empreendedor #consultoriacontabil #bomdia #riodejaneiro https://t.co/gZb0QoShvw</t>
  </si>
  <si>
    <t>Vem conhecer a LFS Santos Contabilidade. Chame no WhatsApp (21) 96498-0480 para tirar dúvidas. Link do site na bio. #contabilidade #comunicacao #empresa #empreendedor #consultoriacontabil #bomdia #riodejaneiro https://t.co/UQbBvKOd4l</t>
  </si>
  <si>
    <t>Vem conhecer a LFS Santos Contabilidade. Chame no WhatsApp (21) 96498-0480 para tirar dúvidas. Link do site na bio. #contabilidade #comunicacao #empresa #empreendedor #consultoriacontabil #bomdia #riodejaneiro https://t.co/lnp4jRtAhF</t>
  </si>
  <si>
    <t>Vem conhecer a LFS Santos Contabilidade. Chame no WhatsApp (21) 96498-0480 para tirar dúvidas. Link do site na bio. #contabilidade #comunicacao #empresa #empreendedor #consultoriacontabil #bomdia #riodejaneiro https://t.co/fSAhJ4oS3w</t>
  </si>
  <si>
    <t>Conhece alguém assim? Não marca aqui, que não quero treta! 😂😂😂
#coach #empreendedorismo #finaldemes #foco #resenha # empreender #coaching https://t.co/OArGuVLvdc</t>
  </si>
  <si>
    <t>Você é realmente livre?
#liberdade #empreender #empreendedorismo #negocios #economia https://t.co/d2ytqYabVV</t>
  </si>
  <si>
    <t>Empreender sozinho está sendo uma das experiências mais interessantes que já tive 👇
Lembrando que há 6 meses eu havia contratado 3 pessoas.
Talvez não estivesse preparado.
Talvez não seja para mim
#empreender #empreendedorismo #dinheiro #negócios https://t.co/zmVtpeVLxS</t>
  </si>
  <si>
    <t>"Side-hustle" é um termo que indica um emprego paralelo.
Hoje você consegue faturar tendo custo 0 👇
Me siga que ao longo da semana vou explicar como eu fiz isso
#empreender #empreendedorismo #negócios https://t.co/57ZuSaAYx0</t>
  </si>
  <si>
    <t>#ConheceEcossistemaEconomiaDefesa | 🤝 O @IAPMEI promove a competitividade e o crescimento empresarial, assegura o apoio à conceção, execução e avaliação de políticas dirigidas à atividade #industrial, ao reforço da #inovação e do #empreendedorismo.
🎥 https://t.co/h452oInHQ1 https://t.co/yAbYnxyyhN</t>
  </si>
  <si>
    <t>#Marketingdigital
#milionário
#rendaextra
#dinheiro
#trabalho
#empreendedorismo 
#tecnologiadigital 
#sucesso https://t.co/K2uLe7mdE0</t>
  </si>
  <si>
    <t>Microeempreendedores individuais terão mais agilidade para emitir NFSe de padrão nacional
Leia mais em: https://t.co/PBGReBEK2a
#sindpdce #micro #empreendedor #notafiscal #nfe https://t.co/PyK1N2Gjds</t>
  </si>
  <si>
    <t>Nova estratégia governo de Lula! #creator #economia #empreendedorismo #youtubeshorts #influencers
https://t.co/eUi5qHuD27
Ministério da Pequena e Média Empresa!
Bem eu vejo com o meu olhinho um cheiro de reeleição será?
Sigam-me no Instagram:@hilton.boss7</t>
  </si>
  <si>
    <t>Magazine Luiza pode falir?#creator #economia #varejo #magazineluiza #mag... https://t.co/mFk6nFREEb via @YouTube
Crise no varejo!!!
Imagina para o pequeno e médio empreendedor.🫵🏾🚨🫵🏾
#Lula #magazineluiza #varejo #emprendimiento #empreendedorismo</t>
  </si>
  <si>
    <t>Uma nova visão para enfermagem. #enfermagem #empreendedorismo https://t.co/27NZ1ZxO84</t>
  </si>
  <si>
    <t>Uma coisa é certa, ouvir a verdade pode ser ruim tanto para mim, quanto para você. 
Mas a maior verdade é que mesmo que a gente não queira, esse é o melhor aprendizado. 
Bora pro próximo, pq a vida é assim.
A não ser que você ou eu não queiramos aprender !!!
#empreendedorismo</t>
  </si>
  <si>
    <t>Nova rede social do Instagram; Threads
Prevista para ser lançado em 6 de julho, segue passo a passo para solicitar pré-reserva do app.
.
#meta #threads #instagram #redessociais #marketingdigital #markzuckerberg #empreendedorismo #empreender https://t.co/BaSIYE9099</t>
  </si>
  <si>
    <t>Benefits of Microlearning.
.
.
#microlearning #elearning #coach #ead #designinstrucional #empreendedorismo #educa #ensinodequimica #quimicamanaus #metodologiasativas #ciencias #engenharia #infograficos #ensinodeciencias #mapasconceituais #enem #laureate #midiaseducacionais https://t.co/11QNexniin</t>
  </si>
  <si>
    <t>Descubra como vencer seus medos e alcançar o sucesso com o livro #MaisEspertoQueODiabo de Napoleon Hill! #sucesso #investimentos #motivação #autoajuda #empreendedorismo #mindset #desenvolvimentopessoal #produtividade #foco #persistência</t>
  </si>
  <si>
    <t>📚 Descubra Seu Poder! 🔥 #MaisEspertoQueODiabo #NapoleonHill #Sucesso #Investimentos #Empreendedorismo #Motivação #CrescimentoPessoal #Autoconhecimento #Determinação #Transformação 💼💪</t>
  </si>
  <si>
    <t>#banco #c6bank #bancocentral #contaempresa #mei #empresa #empreendedor</t>
  </si>
  <si>
    <t>O QUE VOCÊ PRECISA PARA EMPREENDER? Taty Luncah fala um pouco sobre esse caminho a ser seguido.
Assista na íntegra https://t.co/HhAPehWR20
#podcast #cortes #ateclasap #teclasap #marketingdigital #empreendedorismo #inteligenciafinanceira #empreendedorismofeminino</t>
  </si>
  <si>
    <t>BASTIDORES DO GRUPO PRIMO E DA XP EDUCAÇÃO | Conheça o segredo das estratégias de customer experience com Marcelo Jorge, especialista em Customer Success.
Assista agora https://t.co/Rty6jvEgCS
#podcast #ateclasap #teclasap #marketingdigital #empreendedorismo #marketing https://t.co/bRWwF4mt7E</t>
  </si>
  <si>
    <t>Esse corte é autoexplicativo e não precisa de legenda! Para assistir esse bate-papo incrível com Gabriela Augusto, acesse:
✅​https://t.co/T0Rmeuf58p
#podcast #ateclasap #teclasap #marketingdigital #empreendedorismo #diversidade #inclusão #cancelamento #preconceito #mulhertrans https://t.co/y3beOu2YA4</t>
  </si>
  <si>
    <t>OS SEGREDOS DO WHISKY MACALLAN! Assista agora e saiba tudo sobre o posicionamento dessa marca centenária e sobre o marketing no setor de destilados premium.
Assista agora:  https://t.co/j67QEST7vV
#podcast #teclasap #marketingdigital #empreendedorismo #posicionamentodemarca</t>
  </si>
  <si>
    <t>Marketing é sobre levar a sua mensagem para o mundo, o seu propósito! Esse é o recado que Taty Luncah deixou na sua participação no A Tecla SAP Podcast
Assista na íntegra https://t.co/HhAPehWR20
#podcast #ateclasap #cortespodcast #marketingdigital #empreendedorismo https://t.co/bmjkWUasR1</t>
  </si>
  <si>
    <t>Marketeiros de plantão, André Rodrigues tem um recado direto do A Tecla SAP do Marketês Podcast  para todos vocês! Ouçam com atenção.
Assista: https://t.co/j67QESSzGn
#podcast #ateclasap #teclasap #marketingdigital #empreendedorismo #posicionamentodemarca https://t.co/X7txCXOKW0</t>
  </si>
  <si>
    <t>Novo episódio do A Tecla SAP Podcast com Taty Luncah. Muitos insights sobre inteligência financeira e empreendedorismo feminino.
Assista
https://t.co/HhAPehWR20
#podcast #ateclasap #teclasap #marketingdigital #inteligenciafinanceira #empreendedorismo https://t.co/teIZv9P7we</t>
  </si>
  <si>
    <t>🟠 Apoio ao Empreendedorismo 
SAIBA MAIS
📞 +244 949 083 013 
📧 info@imcubaangola.com
🌐 https://t.co/SyCT9Ga9ET
📍 Rua Eugénio de Castro - Vila Alice
#imcubaangola #contabiliadae #fiscalidade #auditoria #consultoria #empreendedorismo https://t.co/bJnaskctCH</t>
  </si>
  <si>
    <t>Quer ter uma vida foda? Link na minha Bio. #animes #sobrenatural #NBA #Politica #assuntosdomomento #Marketing #MarketingDigital
#empreendedor #sucesso #foco #motiva
#mentalidadedesucesso #prosperidade #fabricadementes
#reflexaododia #conquisteosucesso #pensenisso https://t.co/yQKUphbdFL</t>
  </si>
  <si>
    <t>Quer ter uma vida foda? Link na minha Bio. #animes #sobrenatural #NBA #Politica #assuntosdomomento #Marketing #MarketingDigital
#empreendedor #sucesso #foco #motiva
#mentalidadedesucesso #prosperidade #fabricadementes
#reflexaododia #conquisteosucesso #pensenisso https://t.co/ayxDl32nmA</t>
  </si>
  <si>
    <t>Quer ter uma vida foda? Link na minha Bio. #animes #sobrenatural #NBA #Politica #assuntosdomomento #Marketing #MarketingDigital
#empreendedor #sucesso #foco #motiva
#mentalidadedesucesso #prosperidade #fabricadementes
#reflexaododia #conquisteosucesso #pensenisso https://t.co/MKfTqD3j6f</t>
  </si>
  <si>
    <t>Quer ter uma vida foda? Link na minha Bio. #animes #sobrenatural #NBA #Politica #assuntosdomomento #Marketing #MarketingDigital
#empreendedor #sucesso #foco #motiva
#mentalidadedesucesso #prosperidade #fabricadementes
#reflexaododia #conquisteosucesso #pensenisso https://t.co/NcUGSZY71U</t>
  </si>
  <si>
    <t>Quer vender sua empresa sem pagar comissões?
Acesse e confira como é fácil anunciar!
Easybiz - O maior classificado de empresas e pontos comerciais à venda do Brasil
https://t.co/fjlQOn4wzo
#vendadireta #venderempresa #negóciosavenda #empreendedorismo #easybiz https://t.co/MLlgG32Bvi</t>
  </si>
  <si>
    <t>Nosso objetivo é a realização dos sonhos de empreendedores e empreendedoras de norte a sul do Brasil!
Easybiz - O maior classificado de negócios à venda do Brasil
https://t.co/fjlQOn4wzo
#empreendedorismo #empreendedorismofeminino #empresasavenda #negocios #oportunidades https://t.co/uZEv00LMQX</t>
  </si>
  <si>
    <t>Oportunidades para empreender ou repassar seu negócio!
Easybiz - O maior classificado de empresas e pontos comerciais à venda de norte a sul do Brasil 
https://t.co/fjlQOn4wzo
#empresasavenda #comprarempresa #repassedeempresas #negocios #empreendedorismo https://t.co/ZH7kQqgiNL</t>
  </si>
  <si>
    <t>Empreendedorismo 
Buscamos projetos que incentivam o empreendedorismo!
Faça parte de nossa Rede de Parcerias, contate-nos no link abaixo:
https://t.co/nM1xUDKLdJ
#empreendedorismo #projetosempreendedores #parceria https://t.co/GJ646xl4WK</t>
  </si>
  <si>
    <t>Empresas e Pontos Comerciais à venda de norte a sul do Brasil 
https://t.co/fjlQOn4wzo
#empreendedorismo #negocios #oportunidades #negociosavenda #repassedeempresas https://t.co/dRuNrMiApD</t>
  </si>
  <si>
    <t>Com apoio do Sebrae RS, ação do Núcleo de Inovação e Transferência de Tecnologia tem como objetivo capacitar empreendedores para criação de novos e inovadores produtos e serviços.
@sebraers  
@HCPA_ 
#inovacao
#empreendedorismo
Leia: https://t.co/p3nwsMj1JE</t>
  </si>
  <si>
    <t>Inscrições podem ser realizadas até o dia 31 de agosto.
https://t.co/OSNqIPSSsw
#HealthMeetingBrasil
#VENTIUR 
#eventoemsaúde
#empreendedorismo
#saúde
#negócios
#healthtechs
#feiraemsaúde
#batalhadestartups
#startup</t>
  </si>
  <si>
    <t>Evento acontece em Porto Alegre, de 2 a 4 de outubro, durante a feira Health Meeting Business &amp;amp; Innovation.
#empreendedorismo
#eventoemsaúde
#feiraemsaúde
#FórumHealthMeeting
#HealthMeeting
#healthtechs
#negócios
#saúde
#Sindihospa
Leia: https://t.co/yv7I2Tj3So</t>
  </si>
  <si>
    <t>A primeira feira na área da saúde no Sul do Brasil acontece nos dias 2, 3 e 4 de outubro na PUCRS.  
Inscreva-se https://t.co/IkdbZ0TP0u 
#HealthMeetingBrasil @sebraers #HealthMeeting #healthtech #inovaçãonasaúde #SebraeX #empreendedorismo #saúde #negócios #healthtechs</t>
  </si>
  <si>
    <t>Com patrocínio exclusivo da #Unicred e realização da HM Brasil Feiras e Congressos, o evento promete movimentar o setor da Saúde na Capital.  
#UnicredPortoAlegre #uni4life #empreendedorismo
Saiba mais: https://t.co/AygXRawNy5</t>
  </si>
  <si>
    <t>Inscrições podem ser realizadas até o dia 31 de agosto.
Saiba mais: https://t.co/OSNqIPSSsw
@HealthMeetingBrasil
#VENTIUR
#eventoemsaúde
#empreendedorismo
#saúde
#negócios
#healthtechs
#feiraemsaúde
#batalhadestartups
#startup</t>
  </si>
  <si>
    <t>Debates, batalha de #startups e encontros de #negócios ocorrem entre os dias 2 e 4 de outubro, em Porto Alegre.
#HealthMeeting
#Sindihospa
#evento
#empreendedorismo
#saúde
#negócios
#feiraemsaúde
Saiba mais: https://t.co/KPWrfT1csA</t>
  </si>
  <si>
    <t>A Health Meeting Business &amp;amp; Innovation  é a primeira feira na área da #saúde no Sul do Brasil e vai acontecer de 2 a 4 de outubro no Centro de Eventos da PUCRS, em Porto Alegre.
#SINDIHOSPA 
#empreendedorismo
#eventoemsaúde
#feiraemsaúde
🚩Saiba mais: https://t.co/aneH7qbE59</t>
  </si>
  <si>
    <t>Health Meeting Business &amp;amp; Innovation acontece de 2 a 4 de outubro, em Porto Alegre.
Saiba mais: https://t.co/d6MLIURu0F
#eventoemsaúde #empreendedorismo #saúde #negócios #healthtechs #feiraemsaúde</t>
  </si>
  <si>
    <t>Tenho um pack com mais de 7000 PLR,s,,, Se vc estiver começando na Kiwify e precisa de PLR's para fazer suas vendas, Eu selecionei os melhores PLR's nesse pack. 🚨 Aproveita enquanto há tempo...⏳#marketingdigital #empreendedorismo #kiwify #vendas #empreendedorismodigital https://t.co/b9YbcY9vwY</t>
  </si>
  <si>
    <t>Desbloqueie o potencial ilimitado da tecnologia em seus negócios com nosso Guia de Inovação Tecnológica para Empresas!
📷 Leia o artigo completo: https://t.co/efbeBHMLaT
#tecnologia #inovação #negócios #sucesso #empreendedorismo</t>
  </si>
  <si>
    <t>Estratégias digitais + Processos de vendas bem alinhados = MAIS FATURAMENTO.
#webmor #negóciosonline #empreendedorismo #vendermais #estratégiasdigitais #assessoriadevendas #transformaçãodigital #negócios #mei #pequenasempresas #pequenasemediasempresas https://t.co/c9f58irNiS</t>
  </si>
  <si>
    <t>➡️EMPREENDEDORISMO AMBIENTAL🌳
Uma das empreendedoras participantes é uma marabaense de 26 anos, que fundou a NaFlora.
➡️Confira os detalhes: https://t.co/rTxesx8UBd 
#dolcarajas #tánodolcarajas #meioambiante #empreendedorismo #empresavale</t>
  </si>
  <si>
    <t>História de sucesso #empreendedorismo #Empresas #contador @MoisesLeal https://t.co/4xNffg0cK0 via @YouTube</t>
  </si>
  <si>
    <t>STARTUP MINEIRA
A #startup mineira #RadarFit é uma das startups de saúde com maior destaque no Brasil. Empresárias criaram um game que transforma a saúde e o corpo dos usuários por meio de missões saudáveis personalizadas diariamente com uso de #IA.
https://t.co/cc3Tclvj3K</t>
  </si>
  <si>
    <t>Interessante
#empreendedorismo 
#economia
#economics</t>
  </si>
  <si>
    <t>Ideias de Negócio: Turismo #economia #empreendedorismo https://t.co/R6evIvAzMS via @YouTube</t>
  </si>
  <si>
    <t>Anyone can start a business at nearly $0:
@LinkedIn - Network
@RocketChat - Team collabs
@hubstaff - Time tracking
@Buffer - Social media
@Canva - Image editing
@Evernote - Note-taking
@Grammarly - Writing assistant
@NotionHQ - Project management
What did I miss?
#productivity… https://t.co/c2u9mQeuQw</t>
  </si>
  <si>
    <t>https://t.co/5KrLVNdz24
Neste vídeo, vamos explorar dois tópicos essenciais para empreendedores: equity e valuation.
#equity #valuation #fluxodecaixa #ANÁLISE #investimentos #empresa #decisões #empreendedorismo #canaldoyoutube #franquias #franchising #franquia</t>
  </si>
  <si>
    <t>Live relâmpago, urgente e inportante!
https://t.co/7ay1wP11Li
Fale comigo no WhatsApp:
https://t.co/IP50brNePf
Acesse mais conteúdos gratuitos aqui:
https://t.co/Pb90DvnyJV
#live #franquia #franchising #franquias #empreendedorismo #negocios #investimentos #franquiasdesucesso</t>
  </si>
  <si>
    <t>RT @novaeraestrateg: Nos primeiros 6 meses de 2023, foram inauguradas incríveis 11.062 franquias em todo o país! 💼🚀
Isso significa 87 inau…</t>
  </si>
  <si>
    <t>https://t.co/wqVSvlRbW0
Pessoal, convido todos vocês para participarem ao vivo com a gente hoje às 20h.
Traga suas dúvidas e participe.
A gente se vê logo mais.
#podcast #podcastbrasil #podcasting #podcaster #Entrevista #franchising #franquias #franquia #empreendedorismo</t>
  </si>
  <si>
    <t>Melhores insights para escalar seu negócio ou serviço na era digital, diretamente da comunidade Black Rat 🔥
Tags - #blackrat #insiders #marketingdigital #empreendedorismo https://t.co/C27XzemuGP</t>
  </si>
  <si>
    <t>Quer mudar de vida, empreender, ter liberdade financeira e mudar a vida das pessoas? Você pode fazer isso com pouco investimento. Venha conversar comigo.
#Empreendedorismo #LiberdadeFinanceira
#BemEstar</t>
  </si>
  <si>
    <t>História fantástica, vale a pena assistir cada segundo!!!
#milhoes #dinheiro #empreendedorismo #saude #vidanova #jesus #proposito #familia #industria #tecnologia #empresas #criacao 
https://t.co/zJLgdOxCYS https://t.co/IBhUASBJFD</t>
  </si>
  <si>
    <t>A vida não fica mais FÁCIL #sucesso #foco #vida #motivação #empreendedor... https://t.co/KNvs3t6EFB via @YouTube</t>
  </si>
  <si>
    <t>https://t.co/yZVh23V4Ym
#contador #contabilidade #homeoffice #empreendedorismo #brasil #cursocontabil #mercadodetrabalho #alunos #Universitario https://t.co/AlzDgqyHkb</t>
  </si>
  <si>
    <t>As Black sisters in law presente na Four Summit.
#foursummit #blacksisters #inovacao #empreendedorismo #advocate #Lawyers https://t.co/I44TVy07tN</t>
  </si>
  <si>
    <t>Será que é inteligente empreender "com dívidas"? Empresa funciona igual "gente como a gente"? Em um minutinho, eu explico tudo pra você! #Empreendedorismo #empreendimento #dividas #financiamento
https://t.co/U95zCnhfUw</t>
  </si>
  <si>
    <t>RT @julioreis78: Esse é um dashboard que uso para gerir o faturamento de meus negócios. Aproveito para promover uma corrida entre os gerent…</t>
  </si>
  <si>
    <t>@nasthadja Vou abrir o onlyhates 
A pessoa paga pra ter certeza q nunca receberá conteúdos como esse. 😂🙏 #empreendedorismo</t>
  </si>
  <si>
    <t>Agência de Marketing Digital "TSO" (Agência full-service) localizada em São Paulo (Brasil) e em Luanda (Angola).
Solicite Orçamento sem Compromisso: https://t.co/cecAtUlod1
.
.
.
.
.
#tso #tudosoonline #tungalabel #marketingdigital #marketing #empreendedorismo #digitalmarketing https://t.co/4kG0joYiOA</t>
  </si>
  <si>
    <t>Somos uma agência de Comunicação e Marketing que apoia empresas, marcas e pessoas na divulgação dos seus projetos na imprensa e no mundo digital. 
Saiba mais https://t.co/UBxX0ZI52F
.
.
.
.
.
.
#tso #tudosoonline #tungalabel #marketingdigital #marketing #empreendedorismo #seo https://t.co/ORXMsmc78j</t>
  </si>
  <si>
    <t>📣 New Podcast! "Entrevista Revista Franquia Feira ABF 2023" on @Spreaker #empreendedorismo #franchising #franquia #franquias #franquiasdesucesso #negocios #podcast https://t.co/njGhNfWCG5</t>
  </si>
  <si>
    <t>📣 New Podcast! "No Tabuleiro Convida - Frutaria Ipiranga" on @Spreaker #alimentacaonatural #alimentacaosaudavel #comidanatural #comidasaudavel #empreendedorismo #franchising #franquia #franquias #franquiasbrasil #franquiasdesucesso #negocios https://t.co/sRMCpp1lWV</t>
  </si>
  <si>
    <t>📣 New Podcast! "Entrevista Falae Podcast" on @Spreaker #empreendedorismo #empreender #franchising #franquia #franquias #investimento #investimentos #investir #negocios #podcast #podcaster #podcasting #videcaster #videocast #videocasting https://t.co/xyVFVnqIpm</t>
  </si>
  <si>
    <t>📣 New Podcast! "Entrevista Planet Franchise" on @Spreaker #abrirempresa #empreendedorismo #entrevista #especialista #franchising #franquia #franquias #gestao #investimentos #melhorarresultados #negocios https://t.co/heItldNA7i</t>
  </si>
  <si>
    <t>📣 New Podcast! "No Tabuleiro Convida - Fabiana Cavassan Maquiadora Profissional" on @Spreaker #casamento #empreendedorismo #empreendedorismofeminino #entrevista #makeup #makeupartist #maquiagem #noivas #penteados #podcast https://t.co/7S2Yap0hAQ</t>
  </si>
  <si>
    <t>📣 New Podcast! "Análise do Franchising no Segundo Trimestre de 2023" on @Spreaker #empreendedorismo #franchising #franquia #franquias #franquiasbaratas #franquiasdesucesso #investimentos #live #negocios https://t.co/acfXhYxRdX</t>
  </si>
  <si>
    <t>📣 New Podcast! "Equity e Valuation -Pense e Jogue como os Grandes" on @Spreaker #analise #canaldoyoutube #decisoes #empreendedorismo #empresa #equity #fluxodecaixa #franchising #franquia #franquias #investimentos #valuation https://t.co/KvX6MahT68</t>
  </si>
  <si>
    <t>O setor de franquias está mais forte do que nunca! 💼✨
No 2º trimestre de 2023, registramos um crescimento incrível de 12,9%. 💪📈
#Franquias #Empreendedorismo #Crescimento #Sucesso #Negócios #Economia https://t.co/Fd9EwWqdM7</t>
  </si>
  <si>
    <t>Live relâmpago, urgente e inportante!
https://t.co/hcEmr6z2i9
Fale comigo no WhatsApp:
https://t.co/i0db71JMMd
Acesse mais conteúdos gratuitos aqui:
https://t.co/LstYzaYLcr
#live #franquia #franchising #franquias #empreendedorismo #negocios #investimentos #franquiasdesucesso</t>
  </si>
  <si>
    <t>https://t.co/L0y2oWeaiD
Neste vídeo, vamos explorar dois tópicos essenciais para empreendedores: equity e valuation.
#equity #valuation #fluxodecaixa #ANÁLISE #investimentos #empresa #decisões #empreendedorismo #canaldoyoutube #franquias #franchising #franquia</t>
  </si>
  <si>
    <t>Sabor e sucesso se uniram! 🍔🌮🚀
No primeiro semestre de 2023, as franquias de alimentação tiveram um crescimento incrível de 16,9% em faturamento. 😋💰
#FranquiasDeAlimentação #Crescimento #Sucesso #Negócios #Gastronomia #Empreendedorismo #Faturamento https://t.co/AFWRxH2IC4</t>
  </si>
  <si>
    <t>No primeiro semestre de 2023, tivemos um crescimento surpreendente de 15% em faturamento 📈💥
Se você sonha em expandir sua marca ou empreender, a hora é agora! 💪🌟
#Franquias #Franchising #Empreendedorismo #Crescimento #Negócios #Sucesso #Economia #Oportunidade https://t.co/nIFpmgB5mk</t>
  </si>
  <si>
    <t>Estudos do Sebrae mostram que as franquias têm 7 vezes mais chances de sobreviver no mercado💪🏆
Seja parte desse mercado vencedor e fale comigo para abrirmos sua franquia!
#Empreendedorismo #Franquias #Franchising #Sucesso #Negócios #Estatísticas #Mercado #VantagemCompetitiva https://t.co/pxYcJUesci</t>
  </si>
  <si>
    <t>Nos primeiros 6 meses de 2023, foram inauguradas incríveis 11.062 franquias em todo o país! 💼🚀
Isso significa 87 inaugurações por dia útil! 😲😲
#Empreendedorismo #Franquias #Franchising #BrasilEmpreendedor #Crescimento #Sucesso #Negócios #Economia https://t.co/P01OFJ8r2D</t>
  </si>
  <si>
    <t>https://t.co/THmNfAZVrq
Pessoal, convido todos vocês para participarem ao vivo com a gente hoje às 20h.
Traga suas dúvidas e participe.
A gente se vê logo mais.
#podcast #podcastbrasil #podcasting #podcaster #Entrevista #franchising #franquias #franquia #empreendedorismo</t>
  </si>
  <si>
    <t>Naara, Jeunesse RD, y yo te contamos cómo.
¡Contactame y te cuento! 
#libertadfinanciera
#empreendedorismo
#emprendimiento
#salud
#bienestar
#negocios https://t.co/AcHIaaE3DW</t>
  </si>
  <si>
    <t>Estamos #Contratando. Você conhece alguém que possa se interessar? 👋😊
Quer conversar mais sobre a carreira? Me chame, e vamos agendar um horário!
#oportunidades #carreira #desenvolvimento #investimentos #empreendedorismo  https://t.co/hl5zOlMnf4</t>
  </si>
  <si>
    <t>🚀 A chave do sucesso é começar antes de estar pronto. O progresso vem da ação. Vamos transformar ideias em ações e realizar nossos sonhos! 💪 #Empreendedorismo #Ação</t>
  </si>
  <si>
    <t>💡 Cada desafio é uma oportunidade disfarçada. Mantenha-se focado, persista e transforme os obstáculos em trampolins para o sucesso. 🌟 #Resiliência #Empreendedorismo</t>
  </si>
  <si>
    <t>Parabéns ao São Paulo pelo título na Copa do Brasil! Assim como eles, no mundo dos negócios também perseguimos a vitória. Acredite no seu potencial e vá em busca dos seus objetivos! 💼⚽ #Empreendedorismo #SãoPauloCampeão https://t.co/Ngk77GmHQX</t>
  </si>
  <si>
    <t>II Seminário Papo’s com Café discutirá empreendedorismo em São Luís
https://t.co/jZB4mmxlf8
#cafe #papodecafe #saoluis #slz #empreendedorismo</t>
  </si>
  <si>
    <t>Novidade Trabalhista! O STF aprovou a negociação direta entre empregador e empregado para a jornada de trabalho! Agora, essa flexibilidade traz vantagens para empregadores e trabalhadores! #empreendedorismo #direitostrabalhistas
Fonte: Portal Contábeis e Valor Econômico https://t.co/rB8ygCsJjs</t>
  </si>
  <si>
    <t>Novidades para os empreendedores! 🚀
O BNDES está ampliando o crédito para micro, pequenas e médias empresas. Aproveite essa oportunidade e impulsione seu negócio com inovação! #Contabilidade #BNDES #Empreendedorismo #CréditoParaEmpresas
Fonte: Portal Contábeis e Valor Econômico https://t.co/VVCivjky5r</t>
  </si>
  <si>
    <t>Fique por dentro das tarifas do Pix!
#contabilidade #PIX #Empreendedorismo https://t.co/rbcsEt3xbL</t>
  </si>
  <si>
    <t>Conquiste o sucesso com a ECL! 🚀
Descubra o poder de contar com uma equipe altamente profissional e dedicada, pronta para oferecer soluções contábeis sob medida, com eficiência e confiança. Contrate a ECL hoje mesmo e sinta a diferença! #contabilidade #empreendedorismo #sucesso https://t.co/IneTT6Rld6</t>
  </si>
  <si>
    <t>Parabéns a todos os comerciantes que movem a economia do país com dedicação e empreendedorismo! Seja pequeno ou grande, cada negócio contribui para o crescimento. #DiaDoComerciante #Empreendedorismo #Economia</t>
  </si>
  <si>
    <t>👩‍💼 Sua equipe está bem preparada para atender e vender? As vezes a divulgação é boa, mas o atendimento manda o cliente embora. Conheça nossos treinamentos!
#marketing #estrategia #vendas #clientes #empreendedorismo https://t.co/k6M2kmcstr</t>
  </si>
  <si>
    <t>👩‍💼 Nossos profissionais participaram do lançamento de marcas consagradas que você conhece. Entre em contato e saiba como podemos ajudar sua empresa a ter resultados consistentes. Vamos conversar!
#marketing #estrategia #vendas #clientes #empreendedorismo https://t.co/PGTs4hJKkx</t>
  </si>
  <si>
    <t>Meta da semana:
- Zero Pensamento Negativo
#empreendedorismo #empreendedorismofeminino #empreendedorismomaterno #empreendedorismocriativo #empreendedorismorosa #empreendedorismotransforma #empreendedorismoodigital #negocios #empreender #empreendedoresbrasil #viverdevendas</t>
  </si>
  <si>
    <t>Agora, 21-08-2023 workshop com Roberto Justus, "A Última Reunião", grátis @robertoljustus 
.
Visão empreendedora, acertos e erros.
.
#metalomega #empreendedorismo #robertojustus #workshop #webinar #startup #empresarios #crescimentoprofissional 
. https://t.co/urCZLAmJpg</t>
  </si>
  <si>
    <t>Agora, 21-08-2023 workshop com Roberto Justus, "A Última Reunião", grátis @robertoljustus 
.
Visão empreendedora, acertos e erros.
.
#metalomega #empreendedorismo #robertojustus #workshop #webinar #startup #empresarios #crescimentoprofissional 
. https://t.co/0Tm6oLeOCH</t>
  </si>
  <si>
    <t>Hoje aprendendo estratégia de como vender eBooks com @viniciussouzamentoria Vinícius Souza.
.
Aula grátis.
.
#metalomega #rendaonline #rendanaweb #empreendedorismo #venderebooks #plr #cursogratis #webinargratis #workshopgratis https://t.co/aSfgVs9jFt</t>
  </si>
  <si>
    <t>Essas são as 3 camadas que um negócio deve observar: OPERAR, COMPETIR e VENCER. 
#ricardorocha #negocios #gestaoempresarial #empreendedorismo #negócios #inspiração https://t.co/JJkZEbbewS</t>
  </si>
  <si>
    <t>O primeiro semestre já acabou e agora é a hora de empresas do Simples Nacional prepararem as finanças para 2024. Saiba mais sobre os limites tributários em https://t.co/o0sBVrBM1j
#contabilidade #simples #empreendedorismo #economia #negócios https://t.co/7X6fB7S1kJ</t>
  </si>
  <si>
    <t>" Ya es tu momento " #presente #accion #inmediato #hoy #creer #sinmiedo #empreendedorismo #fe #dios https://t.co/xBMIAtVCym</t>
  </si>
  <si>
    <t>" Vamos hacerlo " #accion #progreso #empreendedorismo #ejecutar #aprendizaje #proceso #desarrollopersonal #fe #dios https://t.co/the7Vgm2Sh</t>
  </si>
  <si>
    <t>RT @K12Prospects: How this 9-email sequence got one product in schools around the country. https://t.co/2yOH7bnpr6
#empreendedorismo #brand…</t>
  </si>
  <si>
    <t>📚🚀 Desvende o Poder Oculto: Baixe Agora o E-book "A Importância da Geração de Conteúdo para o seu Negócio" e Desperte o Potencial Adormecido da sua Marca! 💼💡
👉 Link para Baixar na Bio! 👈⠀
#Ebook #Negócios #Empreendedorismo #Conteúdo #Sucesso #Transformação https://t.co/OVsAy1nzEM</t>
  </si>
  <si>
    <t>DICA 2 PARA QUEM ESTA COMEÇANDO A EMPREENDER 
SE QUISER SABER MAIS SOBRE EMPREENDEDORISMO INVISTA APENAS 25$ (reais) NO MEU E-BOOK E APRENDA COMO INVESTIR E EMPREENDER 
#emprendedores #empreendedorismo #investimento #ebook https://t.co/cUwRzTBOyI</t>
  </si>
  <si>
    <t>DICA 1 PARA EMPREENDEDORES INICIANTES 
#investimento #ebook #empreendedorismo #MarketingDigital https://t.co/OmjSUHm9dl</t>
  </si>
  <si>
    <t>Vem construir o teu futuro na #UniversidadedaMadeira 🎓
Desfruta de um #ensino de qualidade! Investiga! Estuda e tem uma experiência de 1 ou 2 semestres noutra Universidade Europeia.
Envolve-te em concursos de #Empreendedorismo. Usufrui de tudo isto e muito mais na @U_Madeira https://t.co/hlRJdMxYGn</t>
  </si>
  <si>
    <t>Crio estratégias de comunicação e marketing, presto consultoria, crio sites e gerencio redes sociais. 
https://t.co/UWKDnmFNR6
#Marketing #empreendedor #sites #redessociais</t>
  </si>
  <si>
    <t>@poubelruyter Falou Tudo Ruyter! 💚 #empreendedor</t>
  </si>
  <si>
    <t>🔥 hace calor aquí con nuestros últimos videos de clientes 😎
https://t.co/DqGSwxnCbg
#negocios #empreendedorismo #marketingdigital #marketing #emprendedores #business #emprendimiento #sucesso  #empresas #empreender #empreendedor #emprendedor #dinero #exito #latinos #latinas https://t.co/7v2Vn1JIcs</t>
  </si>
  <si>
    <t>Descubra as 10 etapas essenciais para iniciar seu próprio empreendimento. Clique no link da bio para ba
ixar nosso eBook!
#empreendedorismo #negocios #sucesso #empreender #metas #ebook #linknabio https://t.co/nn71Ltoh15</t>
  </si>
  <si>
    <t>10 Anos de Jornada: Celebrando Conquistas, Aprendizados e Inspiração!
Nas próximas semanas, compartilharei uma série de artigos em https://t.co/8e5aXzaMM2, um para cada ano dessa década incrível. 
#10AnosNoEcossistema #Gratidão #Empreendedorismo #Startups #EcossistemaDeInovação https://t.co/axuO5BYnzS</t>
  </si>
  <si>
    <t>Nossas Lives estão de volta, meu entrevistado dessa semana é o Denis Ferreira, Psicoterapeuta. @denisferreira.psi 
Quinta agora dia 10.08 às 20h
Não perca!
#portalbaruerinaweb #baruerinaweb #portalbarueri #barueri #alphaville #empreendedor #baruerisp #batepapocomale #agenciadaf https://t.co/CD02rKSvrD</t>
  </si>
  <si>
    <t>Meu entrevistado dessa semana é o Empresário - Yuri Gambogi @yurigambogi, especialista em Vendas!
Quinta agora dia 31.08 às 20h
Não perca!
#portalbaruerinaweb #baruerinaweb #portalbarueri #barueri #alphaville #empreendedor #baruerisp #batepapocomale #agenciadaf #marketing https://t.co/BxzfEZ8iv9</t>
  </si>
  <si>
    <t>Meu entrevistado dessa semana é o Empresário - Careca @carecaduchapeu, CEO da Loja DuChapéu - Casa e Presentes @duchapeu 
Quinta agora dia 14.09 às 20h
Não perca!
#portalbaruerinaweb #baruerinaweb #portalbarueri #barueri #alphaville #empreendedor #baruerisp #batepapocomale https://t.co/UrrMSR5N62</t>
  </si>
  <si>
    <t>Nossas Lives estão de volta, meu entrevistado dessa semana é o Adelson Machado @adelson_mchd, Empreendedor Digital e Empresário.
Quinta agora dia 03.08 às 20h
Não perca!
#portalbaruerinaweb #baruerinaweb #portalbarueri #barueri #alphaville #empreendedor #baruerisp https://t.co/H4oisn2XW5</t>
  </si>
  <si>
    <t>Nossas Lives estão de volta, minha entrevistada dessa semana é a Eliana Nunes @insta_eliananunes, CEO do Colégio Espaço Day Care @espacodaycare 
Quinta agora dia 13.08 às 20h
Não perca!
#portalbaruerinaweb #baruerinaweb #portalbarueri #barueri #alphaville #empreendedor #barueri https://t.co/VXV3mFN0H7</t>
  </si>
  <si>
    <t>Frente parlamentar vai trabalhar em defesa do empreendedorismo da mulher - https://t.co/D9JYbl0RF4 - #FrenteParlamentar - #Empreendedorismo - #Mulher</t>
  </si>
  <si>
    <t>Comissão aprova projeto que incentiva empreendedorismo no Brasil - https://t.co/SolAkBRugf - #Projeto - #Empreendedorismo - #Brasil</t>
  </si>
  <si>
    <t>Evento reúne mulheres e autoridades para discutir desafios do empreendedorismo feminino no Amazonas - https://t.co/Ubspo5tfvY - #Evento - #Mulheres - #Empreendedorismo - #EmpreendedorismoFeminino - #Amazonas</t>
  </si>
  <si>
    <t>Projeto autoriza crédito especial para empreendedor com deficiência - https://t.co/3UioLVu6Hj - #Projeto - #CréditoEspecial - #Empreendedor - #Deficiente</t>
  </si>
  <si>
    <t>Criada a política nacional de empreendedorismo para o jovem do campo - https://t.co/qiU4uSHdxq - #PolíticaNacional - #Empreendedorismo - #JovemdoCampo</t>
  </si>
  <si>
    <t>MEI com limite de faturamento de até R$ 144 mil em 2024? Entenda o valor - https://t.co/iaA6FEI8Ti - #MEI - #Empreendedorismo</t>
  </si>
  <si>
    <t>MEI – obrigatoriedade da NFS-e padrão nacional pode gerar oportunidade para contadores - https://t.co/4wNrFaBjem - #MEI - #Contadores - #Empreendedorismo</t>
  </si>
  <si>
    <t>Fique ligado, guia DAS-MEI deste mês vence no dia 21 de agosto - https://t.co/zt4JfiD0u2 - #MEI - #Empreendedorismo</t>
  </si>
  <si>
    <t>Metade dos brasileiros é impactada pelos pequenos negócios -  https://t.co/eEgiOfo8Gs - #Brasileiros - #PequenosNegócios - #Empreendedorismo</t>
  </si>
  <si>
    <t>Mais um artigo científico aceito! #doutorado #empreendedorismo #pesquisa #ciencia https://t.co/WppgxYExwB</t>
  </si>
  <si>
    <t>Não deixe para amanhã o que se deve fazer imediatamente☝🏼
https://t.co/tgJDtcCRW7
Planejar protocolos é meu hábito favorito. 
#empreendedorismo #soluções #planejamento #biomedica #harmonizaçãofacial https://t.co/7kmjFuHPzs</t>
  </si>
  <si>
    <t>O impacto do bolsonarismo na sociedade brasileira | Paulo Dalla Nora Macedo
https://t.co/FLtmEBi5a1
#paulodallanoramacedo
#Empreendedor
#planejamentodenegocios
#SãoPaulo</t>
  </si>
  <si>
    <t>Sul Global: Quem tem medo dele? | Paulo Dalla Nora Macedo
https://t.co/zVixGahazc
#paulodallanoramacedo
#Empreendedor
#planejamentodenegocios</t>
  </si>
  <si>
    <t>Decodificando o Sul Global: Mitos e Realidades | Paulo Dalla Nora Macedo
Clique no link abaixo:
https://t.co/CQxCzM9dVC
#paulodallanoramacedo
#empreendedorismo
#planejamentodenegocios
#SãoPaulo</t>
  </si>
  <si>
    <t>Paulo Dalla Nora Macedo
Clique no link abaixo:
https://t.co/JAvkQrtMHK
#paulodallanoramacedo
#Empreendedor
#planejamentodenegocios
#SãoPaulo</t>
  </si>
  <si>
    <t>O que há de tão assustador no Sul Global? | Paulo Dalla Nora Macedo
https://t.co/bLzQN5u0yo
#paulodallanoramacedo
#Empreendedor
#planejamentodenegocios https://t.co/kD7HOXuHgr</t>
  </si>
  <si>
    <t>Bolsonarismo e sociedade: a infeliz revelação | Paulo Dalla Nora Macedo
Clique no link abaixo:
https://t.co/h97cBseJJk
#paulodallanoramacedo
#Empreendedor
#planejamentodenegocios
#SãoPaulo</t>
  </si>
  <si>
    <t>O Espírito Empreendedor: Características Essenciais para o Sucesso | Paulo Dalla Nora Macedo
https://t.co/QuIpY1mFpy
#paulodallanoramacedo
#Empreendedor
#planejamentodenegocios
#SãoPaulo</t>
  </si>
  <si>
    <t>Elevando a política: A Responsabilidade das Elites | Paulo Dalla Nora Macedo
https://t.co/jlc3HDkPxT
#paulodallanoramacedo
#Empreendedor
#planejamentodenegocios
#SãoPaulo</t>
  </si>
  <si>
    <t>O bolsonarismo trouxe à tona o pior da sociedade brasileira | Paulo Dalla Nora Macedo
https://t.co/8RNseU4hkb
#paulodallanoramacedo
#Empreendedor
#planejamentodenegocios
#Bolsonarismo</t>
  </si>
  <si>
    <t>As exportações do Brasil podem trazer mais do que dólares | Paulo Dalla Nora Macedo
https://t.co/CQkJR4SDgU
#paulodallanoramacedo
#Empreendedor
#planejamentodenegocios
#SãoPaulo</t>
  </si>
  <si>
    <t>Que outros benefícios o Brasil pode esperar das exportações? | Paulo Dalla Nora Macedo
https://t.co/31SORaw47Y
#paulodallanoramacedo
#Empreendedor
#planejamentodenegocios
#SãoPaulo</t>
  </si>
  <si>
    <t>Medo do Sul Global: Revelando Preocupações | Paulo Dalla Nora Macedo
https://t.co/iQCCvOfi0I
#paulodallanoramacedo
#Empreendedor
#planejamentodenegocios
#SãoPaulo</t>
  </si>
  <si>
    <t>O valor oculto das exportações: O que o Brasil ganha além do dólar | Paulo Dalla Nora Macedo
https://t.co/JAvkQrtMHK
#paulodallanoramacedo
#Empreendedor
#planejamentodenegocios
#SãoPaulo https://t.co/Sxfiw9UqOp</t>
  </si>
  <si>
    <t>Se a oportunidade de abrir uma franquia bater na sua porta, você estará preparado?
Clique no link e confira mais conteúdos como esse: https://t.co/ocmQzWyGI4
#FranchiseStore #franchising #franquia #expansãodenegócios #empreendedorismo https://t.co/TTtQk2UJXy</t>
  </si>
  <si>
    <t>O novo portal da Franchise Store está trazendo uma revolução ao mundo do franchising, oferecendo acesso rápido e intuitivo as franquias.
Prepare-se para um novo mundo de possibilidades!
#FranchiseStore #Franquias #Empreendedorismo #Novidades #NovoPortal https://t.co/pxfaCCYwUv</t>
  </si>
  <si>
    <t>Investir em Franquias é um investimento que vai além do dinheiro…
Leia o post completo para entender e, se quiser mais informações sobre as marcas do nosso catálogo, basta comentar "eu quero" aqui embaixo!
#franquia #franchising #expansão #negócios #empreendedorismo https://t.co/F3kmpwchkw</t>
  </si>
  <si>
    <t>Clientes são as pessoas que julgam se nosso trabalho está sendo bem feito, que vivem nossas criações e que propagam nossa ideia. 
Feliz dia do cliente!
#Franquia #FranchiseStore #DiaDoCliente #Empreendedorismo #Cliente https://t.co/lt79KUQSDV</t>
  </si>
  <si>
    <t>O segredo do empreendedorismo é saber aproveitar as oportunidades que aparecem!
Isso não significa "topar tudo", mas analisar e escolher o que faz sentido para os seus objetivos.
Estude e se dedique!
#empreendedorismo #franchising #negócios https://t.co/ZDvBrdS1vI</t>
  </si>
  <si>
    <t>Procurar uma ajuda especializada é crucial ao iniciar sua carreira no empreendedorismo e buscar uma franquia.
Entre em contato com a Franchise Store e saiba mais.
#FranchiseStore #Franquias #Empreendedorismo https://t.co/CI3rBsweZV</t>
  </si>
  <si>
    <t>Investir em Franquias tem muitas vantagens…
Confira algumas delas!
#franquia #franchising #investimento #empreender #empreendedorismo #vantagens https://t.co/esgwvUr2cT</t>
  </si>
  <si>
    <t>Você sonha em empreender de forma segura e estruturada? Um bom caminho para realizar esse sonho é através do investimento em uma Franquia!
Saiba mais: https://t.co/r6hV7ftMgW
#Franquias #Franchising #Empreendedorismo #Empreender #Negócios https://t.co/3oI5BsgQli</t>
  </si>
  <si>
    <t>Sorte é a união entre preparo e oportunidade!
Desvende o segredo do sucesso: transforme o acaso em oportunidade e construa sua própria sorte! 🚀✨ 
#Empreendedorismo #Sucesso #Oportunidade #franchising #franquia #negócios #business https://t.co/u7RKujUCRR</t>
  </si>
  <si>
    <t>Um bom empreendedor sabe quais são seus objetivos e consegue desenhar planos de ação para alcançá-los.
Suas escolhas e atitudes hoje têm impacto direto nos resultados que você vai colher no futuro!
#empreendedorismo #empreendedor #motivação #atitude #negócios #business https://t.co/AoyZGxK1R3</t>
  </si>
  <si>
    <t>Seguindo este passo a passo, você com certeza alcançará seus objetivos enquanto franqueado!
Se precisar de uma consultoria com especialistas, entre em contato com a Franchise Store: https://t.co/ocmQzWyGI4
#Franquias #Empreendedorismo #Negócios #Lucro #Franchising https://t.co/CI506UOdkC</t>
  </si>
  <si>
    <t>Para manter uma franquia bem-sucedida, é crucial investir na capacitação e treinamento contínuo dos franqueados e suas equipes. 
Para saber mais, conheça a Franchise Store pelo link da BIO. 
#FranchiseStore #Franquias #Empreendedorismo https://t.co/SegJ214t9h</t>
  </si>
  <si>
    <t>Quer aprender a ganhar dinheiro em casa? Só chamar na dm (@atrwqz) #breastfeeding #MarketingDigital #dinheiro #sucesso #empreendedorismo https://t.co/fvctX9PFXF</t>
  </si>
  <si>
    <t>#flavioaugusto #emprendimiento #empreendedorismo https://t.co/rZkzsEylt3</t>
  </si>
  <si>
    <t>"Não deixe de visitar a MdfTechnology no stand 26 durante a feira ExpoEmpreendedor 2023, que acontece nos dias 11 e 12 de agosto, das 11:00 às 19:00.
#feiradenegocios #feiras #inovacao #inovation #empreendedor #empreendorismo #empreendedores #emprendedorismo #empresario https://t.co/Q8RP4eGvkj</t>
  </si>
  <si>
    <t>Para poder realizar um evento que agregue e sirva de aprendizado para o público presente, o ECON conta com o apoio de grandes entidades que atuam no empreendedorismo e diversos outros setores ligados aos negócios.
#econ #econ2023 #empreendedorismo #negócio #empresa #networking https://t.co/GrMFq2OHyp</t>
  </si>
  <si>
    <t>, é possível mensurar o risco que você deve correr em seus investimentos.
Quer saber como correr risco e ainda investir de forma segura?
Entre em contato com a Brava!
#Risco #investimento #retorno #empreendedor</t>
  </si>
  <si>
    <t>O MEI que não fizer Inscrição Estadual poderá ter seu status alterado para irregular. #Contador #Contabilidade #Contadora #Empreendedorismo #Empresario #Empresa #MEI #Negocios #Consultoria #Empreendedor #ImpostoDeRenda #Financeiro #DicasContabilidade #DicasContabil #RiodeJaneiro https://t.co/d4AQx4bF2s</t>
  </si>
  <si>
    <t>Lancei um podcast. Assuntos variados com muito humor. Uma coisa séria com humor. #podcast #humor #empreendedor https://t.co/lrGbqgsprw https://t.co/Rbm29DU7Fx</t>
  </si>
  <si>
    <t>Descubra o segredo para impulsionar as vendas da sua empresa! Adquira agora o ebook "Sua Empresa Vendendo Mais: Guia Prático para Anunciar no Facebook, Instagram e Google": https://t.co/JQb1UwQohc e descubra como os anúncios online podem alavancar o seu negócio. #Empreendedorismo…</t>
  </si>
  <si>
    <t>Oportunidades de Negócios Sensacionais para se Empreender em 2024
https://t.co/hdVETiMmvq
#empreendedorismo #negocios</t>
  </si>
  <si>
    <t>https://t.co/FChUAl9ixR 
#Xweet #Empreendedorismo #Planejamento 
Excelente Video Sobre Gestão
@FariaLimaElevat 
@AndreGaidzinski 
@g4edu</t>
  </si>
  <si>
    <t>Quem procrastina, nunca alcançará seus objetivos, quem se adapta as mudanças do mundo, está na frente de muita gente. #empreendedorismo #conhecimento 😎🔭🖥💻🤑👍</t>
  </si>
  <si>
    <t>Não uso o MEI, vale a pena pagar somente pela aposentadoria? 
#mei #empreendedorismo #empreendedor #empreendedorismofeminino #aposentadoria https://t.co/VW6kv0vZaO</t>
  </si>
  <si>
    <t>Deputado Da Renamo Venâncio Mondlane Reconhece Lil Wayne De Nampula Como Empreendedor #Deputado #Empreendedor #Famosos #LilWayneDeNampula #Reconhecimento  https://t.co/Vc7KCClMPz https://t.co/EceqJdsu55</t>
  </si>
  <si>
    <t>Concedemos mais de R$ 2 milhões em crédito a empreendedores durante o 1º semestre de 2023, liderando o ranking estadual. Um crescimento de 191% comparado ao ano passado. 🚀
#SergioVidigal #SerraES #Empreendedorismo #Desenvolvimento https://t.co/lc86es93nV</t>
  </si>
  <si>
    <t>“Eu conserto o dia das pessoas” 😍 https://t.co/aioBOhULy6
#empreendedorismo #Curitiba #brigadeiro #tribunapr</t>
  </si>
  <si>
    <t>Se não fosse por insistência própria, a empreendedora Adriana França da Silva Bueno teria desistido de vender pães. https://t.co/tQ96xYqaEK
#empreendedorismo #pão #Curitiba #tribunapr</t>
  </si>
  <si>
    <t>Veja como participar! https://t.co/CJ6OjLP4Hz 
#cursos #empreendedorismo #Curitiba #tribunapr</t>
  </si>
  <si>
    <t>Entrada gratuita! https://t.co/Fs7WUv55Oj 
#feira #empreendedor #sebrae #Curitiba #tribunapr</t>
  </si>
  <si>
    <t>Há cinco anos ela decidiu que iria vender pães caseiros para melhorar a renda em casa. Hoje, ela produz e vende diariamente cerca de 100 pães caseiros https://t.co/tQ96xYqaEK
#pão #FazendaRioGrande #empreendedorismo #tribunapr</t>
  </si>
  <si>
    <t>Novo tutorial coach: "Como destruir um produto que funciona com apenas 40 bilhões" #empreendedorismo</t>
  </si>
  <si>
    <t>Está pensando em formalizar seu "meio de vida" ou já é MEI? 
A Cris Morel compartilhou informações legais sobre isso  hoje, no #papodas9. 
Pode conferir no  https://t.co/TAeQIxiUpb
Obrigada, @crismorelassessoria 
#empreendedorismo 
#formalização 
#mei
#microempreendedor https://t.co/VaOCTiP8ux</t>
  </si>
  <si>
    <t>Em todos os dias, é preciso renovar as esperanças. Setembro chegou... já conseguiu alcançar muitas metas que traçou para este ano?
😉Vamos correr atrás? Se quer mudança, seja o primeiro a dar o passo. 
.
.
#esperança #empreendedorismo #estrategiademarketing
#sucesso https://t.co/TFNz95MPHv</t>
  </si>
  <si>
    <t>Eu queria ser um empreendedor de sucesso, mas meu negócio na verdade é procrastinar online. #Empreendedorismo #preguiça #procrastinação https://t.co/HJhIDZLVVX</t>
  </si>
  <si>
    <t>"Elevating Businesses through Innovative Web Design."
https://t.co/OabBwu1eG5
#fasque #webdesign #digitalmarketing #searchengineoptimization #facebook #digitalmarketer #empreendedorismo #workfromhome #copywriting #instagrammarketing #digitalagency #brand #digitalmarketingexpert https://t.co/Kie9Kvw2Km</t>
  </si>
  <si>
    <t>Canal Empreender  completa 1 ano transmitindo conhecimento e informação para os empreendedores. 
Assistir já é um bom negócio.
#empreendedor #empreendedoras #negóciopróprio #empresa #empresária https://t.co/79SDYjy0un</t>
  </si>
  <si>
    <t>O Inteli nasceu em fevereiro de 2022, com cursos de graduação voltados para #inovação e #empreendedorismo na área de computação. O projeto teve investimento de André Esteves, do banco BTG Pactual. https://t.co/c6UAmNwxce</t>
  </si>
  <si>
    <t>🚨 Você já recebeu um comentário negativo sobre um de seus produtos de confeitaria e não soube como responder?
🔥Nesse vídeo, apresento um guia prático para transformar essas críticas em oportunidades de crescimento! #confeitaria #empreendedorismo #marketingparaconfeitaria https://t.co/dihsuKYgxu</t>
  </si>
  <si>
    <t>Empresários e empreendedores, não percam esta leitura transformadora! "Oportunidades Disfarçadas" de Carlos Domingos oferece insights incríveis sobre como identificar oportunidades onde outros veem desafios. Leitura obrigatória para o sucesso nos negócios! #Empreendedorismo https://t.co/3TSMskTJta</t>
  </si>
  <si>
    <t>Carol Paiffer ensina “O Segredo dos Tubarões” 
#empreendedorismo #OSegredoDosTubarões #evento #mercado #tecnologia #inovação
https://t.co/oiHa95yliw</t>
  </si>
  <si>
    <t>#oprimorico #empreendedorismo https://t.co/CPVJ8OVXxH</t>
  </si>
  <si>
    <t>Descubra as vantagens e desvantagens do uso do OpenCart para o seu negócio online: https://t.co/fHu3QxIrzL
#ecommerce #ecommercebrasil #vendasonline #empreendedorismo #lojavirtual #plataformadesite #opencart #opencartbrasil https://t.co/NR6manU9kl</t>
  </si>
  <si>
    <t>Aprenda como dominar as técnicas de SEO e elevar o ranking do seu site nos resultados de busca: https://t.co/mcIXrJORz3
#ecommerce #ecommercebrasil #vendasonline #empreendedorismo #lojavirtual #seo #seogoogle #marketingseo https://t.co/sokVETNC0l</t>
  </si>
  <si>
    <t>[4/4] Um projeto que se tornou realidade!
MCAF&amp;amp;CO, 
diversidade no progresso, unidade na visão.
#BusinessPlan #Negócios #Empresas #Empreendedorismo #Estratégia #Governança #Capital #Gestão https://t.co/ggo4ezFTdp</t>
  </si>
  <si>
    <t>[4/4] Um projeto que se tornou realidade!
MCAF&amp;amp;CO, 
diversidade no progresso, unidade na visão.
#BusinessPlan #Negócios #Empresas #Empreendedorismo #Estratégia #Governança #Capital #Gestão https://t.co/lnJoQxB4eM</t>
  </si>
  <si>
    <t>#empreendedorismo #Brasil https://t.co/mnixXby2J9</t>
  </si>
  <si>
    <t>Sem dúvida, essa foi a entrevista mais divertida de todas que já participei!!!
Pequenas empresas &amp;amp; Grandes Negócios 
#dindingourmet #empreendedorismo https://t.co/pyBzzUAi6R</t>
  </si>
  <si>
    <t>📣 CURSO: PRIMEIRA VENDA EM 12 HORAS! 🤩🚀Você já pensou em ganhar dinheiro de forma rápida e eficiente? Sim a resposta é sim, temos uma grande oportunidade para você! Apresentamos o curso "Primeira Venda em 12 horas",https://t.co/difkoLcqjt #empreendedor
#marketingdigital https://t.co/LQqJBIq5sO</t>
  </si>
  <si>
    <t>➡️ A Fapesq estará no stand da @cienetecgovpb  com projetos apoiados através dos editais. Vem conhecer! Arrasta pro lado para conferir o cronograma de participação da Fundação.  
 #expofavela #expofavela2023 #empreendedorismo</t>
  </si>
  <si>
    <t>🚀🥛 Goiás à frente na pesquisa de leite de alta qualidade! 🔬💼 Reportagem Jornal O Popular destaca a inovação na genética do Sr. Amarildo Gonçalves da Estancia Tamburil. Há também a minha reportagem. #Goiás #PesquisaLeiteira #GenéticaLeitei #Empreendedorismo #JornalOPopular https://t.co/ExiUIbcJuv</t>
  </si>
  <si>
    <t>bom eu nao sei vcs mas achei uma EXCELENTE ideia #empreendedorismo</t>
  </si>
  <si>
    <t>Executivo de Vendas - Porto Alegre/RS
Enviar Currículo para cristianhuff10@hotmail.com
#HojjiSuplementos #Consultor #Vendas #Empreendedorismo https://t.co/VmL67kBwtP</t>
  </si>
  <si>
    <t>Consultor de Cosméticos - Porto Alegre/RS
Enviar Currículo para cristianhuff10@hotmail.com
#HojjiSuplementos #Consultor #Vendas #Empreendedorismo https://t.co/2UxHb84vAG</t>
  </si>
  <si>
    <t>Explore nosso portfólio! Na série #GrandesEmpresas, destacamos as organizações que fazem parte da nossa história.
Deseja fazer parte desse movimento de expansão? Junte-se a nós e descubra as oportunidades à sua espera!
#DattaBusiness #Empreendedorismo #ClientesFelizes https://t.co/KbEnvq1hzA</t>
  </si>
  <si>
    <t>Muitos podem te olhar como um improvável, mas Deus te enxerga como um escolhido.
#vendas #motivacao #motivacional #motivar #motivarpessoas #empreendedorismo #empreendedores #autoconhecimento #desafio #crescimento
#desenvolvimentopessoal #proposito #liderança #saudefisica https://t.co/e5PYVKcaJw</t>
  </si>
  <si>
    <t>Dedicação e persistência formam uma combinação poderosa para alcançar o sucesso. Portanto, saiba o que quer, acredite em si mesmo e siga adiante, pois o céu é o limite para uma pessoa determinada.
#vendas #motivacao #motivacional #motivar #motivarpessoas #empreendedorismo https://t.co/W9CvkFvnp2</t>
  </si>
  <si>
    <t>Lembre-se nenhum feito memorável foi construído do dia para noite,pense nisso. 👊🏻#empreendedorismo #decisão #foconadiciplina #persistencia #coragem #autoconhecimento #disciplina #motivacional #empreender #empreendedor #sucesso https://t.co/YvJ9C3x3Hl</t>
  </si>
  <si>
    <t>Pare com as desculpas, e comece a mostrar seus resultados. E aí vai começar quando ? 👊 
#conquistas #resultados #empreendorismo #motivacional #empreendedor #profissional https://t.co/a97nbLra4i</t>
  </si>
  <si>
    <t>Chega uma fase que a gente só quer 3 coisas: progredir, viver em paz e não perder tempo. #vendas #motivacao #motivacional #motivar #motivarpessoas #empreendedorismo #empreendedores #autoconhecimento #desafio #desafiar #crescimentoprofissional #desenvolvimentopessoal #proposito https://t.co/OioLib7G12</t>
  </si>
  <si>
    <t>NUNCA DESISTA DOS SEUS SONHOS, POIS SÃO ELES QUE MANTÉM ACESA A SUA CHAMA DE VENCER.
#vendas #motivacao #motivacional #motivar #motivarpessoas #empreendedorismo #empreendedores #autoconhecimento #desafio #desafiar #crescimentoprofissional #desenvolvimentopessoal https://t.co/vTlgHUq9VI</t>
  </si>
  <si>
    <t>“Nós não somos o que gostaríamos de ser.
Nós não somos o que ainda iremos ser. 
Mas, graças a Deus,
Não somos mais quem nós éramos.”
#vendas #motivacao #motivacional #motivar #motivarpessoas #empreendedorismo #empreendedores #autoconhecimento #desafio https://t.co/X2mlOptvK4</t>
  </si>
  <si>
    <t>🚀#penseeenriqueça #empreendedorismo #empreender #emprendimiento
💡 Princípios que valem cem milhões, foco, paixão, habilidade &amp;amp; dinheiro.
🚨Ex:tenho paixão e não tenho habilidade? Busque/contrate alguém que tem habilidade nesta área. https://t.co/wLwlBXwsCz</t>
  </si>
  <si>
    <t>Participei do premio Multishow de Humor! #humor #empreendedorismo #curso... https://t.co/dlLj0ixpNF via @YouTube</t>
  </si>
  <si>
    <t>Conheça o CRIADOR de SITES RESPONSIVO.
É GRATUITO para os assinantes de qualquer um de nossos planos de hospedagem.
CLIQUE AQUI📷📷
https://t.co/AewtILsXdC
e assine qualquer um de nossos planos.
#sitegratis #site #criadordesites #empreendedor #empreender #business #negocio https://t.co/cnO56sk3k8</t>
  </si>
  <si>
    <t>Conheça o CRIADOR de SITES RESPONSIVO.
É GRATUITO para os assinantes de qualquer um de nossos planos de hospedagem.
CLIQUE AQUI📷📷
https://t.co/AewtILsXdC
e assine AGORA qualquer um de nossos planos.
#sitegratis #site #criadordesites #empreendedor #empreender #petshop https://t.co/4ddPzNrX4F</t>
  </si>
  <si>
    <t>Empreendedor(a): que tal usar o TikTok para alavancar o seu negócio? Evento ensinará a criar conta empresarial na rede social, bem como a usar a ferramenta para atrair mais clientes. Inscreva-se: https://t.co/K4oDzB3IjG. #unifesp #somosunifesp #marketingdigital #empreendedorismo https://t.co/dz0TpdzBZg</t>
  </si>
  <si>
    <t>É empreendedor(a), mas ainda não sabe como ampliar a presença no digital? Evento abordará a utilização do Google Meu Negócio e do WhatsApp Business, com intuito de se relacionar com clientes e converter vendas. Inscreva-se: https://t.co/gV9CziLWQU. #unifesp #empreendedorismo https://t.co/vgu3NbpZpM</t>
  </si>
  <si>
    <t>O amigo acaba de falar no ônibus que o saudoso Ary Fontoura é dono de toda a rede Condor #empreendedorismo #diversificacao</t>
  </si>
  <si>
    <t>🟡 Citação: H. Jackson Brown Jr.
#empreendedorismo #mulher #negocios #liderançafeminina #networking #coragem https://t.co/YHMVr6ZntP</t>
  </si>
  <si>
    <t>🟡 1º Evento Anual PWN Luanda: Kátia Da Conceição (Oradora Confirmada)
☑️ 13 Anos de experiência na área commercial e de vendas dos quais 11 em cargos de liderança.
Clique aqui para iniciar conversa via Whatsapp:
https://t.co/EAnh9jlErz
#empreendedorismo #mulher #evento https://t.co/8i4mqjnueZ</t>
  </si>
  <si>
    <t>🟢 Webinar -Mergulho no Empreendedorismo: Fugindo do Emprego Convencional 
🟢 Inscrições:
💰 Membros (Gratuito) | Não Membros (AOA 1.000,00)
Clique aqui para iniciar conversa via Whatsapp:
https://t.co/EAnh9jlErz
#pwnluanda #empreendedorismo #mulher #negocios https://t.co/1gr2YrnUk5</t>
  </si>
  <si>
    <t>🟣  A Sua Empresa Também Pode Ser Associada da PWN Luanda
Clique aqui para iniciar conversa via Whatsapp:
https://t.co/EAnh9jlErz
#empreendedorismo #mulher #negocios #liderançafeminina #networking #membro #pwnluanda #empresa #associado https://t.co/04y9YVU9sC</t>
  </si>
  <si>
    <t>🟢 Workshop Presencial: Nova Lei Geral do Trabalho
Clique aqui para iniciar conversa via Whatsapp:
https://t.co/EAnh9jmch7
#empreendederismofeminino #empreendedorismo #mulheresempreendedoras #negocios #liderançafeminina #networking #pwnluanda #empresa #workshop #lei #trabalho https://t.co/JkEOXv8OML</t>
  </si>
  <si>
    <t>🟡 1º Evento Anual PWN Luanda
🗓️ 25 de Novembro de 2023 | 14:00-18:00 | ENAPP
Clique aqui para iniciar conversa via Whatsapp:
https://t.co/EAnh9jlErz
#empreendedorismo #mulher #negocios #liderançafeminina #networking #membro #pwnluanda #empresa #evento  #mulheres https://t.co/BXAjP9jZ4P</t>
  </si>
  <si>
    <t>🟢 Webinar -Transformação Digital: Do Conceito à Ação 
ℹ️ Bio: 
Daisy Eliane Gourgel da Costa, angolana de 31 anos 👩🇦🇴, possui 11 anos de experiência no Setor Financeiro (Banca) 🏦.
https://t.co/EAnh9jlErz
#pwnluanda #empreendedorismo #liderançafeminina #mulher https://t.co/8okjBpcDs0</t>
  </si>
  <si>
    <t>📢🗓️ Agenda Mensal de Agosto de 2023
Clique aqui para iniciar conversa via Whatsapp:
https://t.co/EAnh9jlErz
#empreendedorismo #mulher #negocios #liderançafeminina #networking #membro #pwnluanda #agenda https://t.co/eCHYGuGS1d</t>
  </si>
  <si>
    <t>🟢 Webinar -Transformação Digital: Do Conceito à Ação 
🟢 Inscrições:
💰 Membros (Gratuito) | Não Membros (AOA 1.000,00)
Clique aqui para iniciar conversa via Whatsapp:
https://t.co/EAnh9jlErz
#pwnluanda #empreendedorismo #mulher #liderançafeminina #networking #tecnologia https://t.co/nnU2KUE8UP</t>
  </si>
  <si>
    <t>🟡 1º Evento Anual PWN Luanda: Odyle Cardoso (Oradora Confirmada)
▶️ Odyle Cardoso | Administradora Executiva do BCS
Administradora Executiva do BCS desde Março 2021.
https://t.co/EAnh9jlErz
#empreendedorismo #mulher #negocios #liderançafeminina #networking #membro #pwnluanda https://t.co/SCRaIUh51t</t>
  </si>
  <si>
    <t>Ser Empreendedor: Em 5 Passos 💡💰
Clique aqui para iniciar conversa via Whatsapp:
https://t.co/EAnh9jlErz
#empreendedorismo #mulher #negocios #liderançafeminina #networking #membro #pwnluanda #empresa #empreendedor https://t.co/8mdXp34Hd2</t>
  </si>
  <si>
    <t>🟢 Webinar - Transformação Digital: Do Conceito à Ação  (JÁ NO YOUTUBE)
▶️ Link de Acesso: https://t.co/OZsTpQG0Ii
Clique aqui para iniciar conversa via Whatsapp:
https://t.co/EAnh9jlErz
#pwnluanda #empreendedorismo #mulher #negocios #liderançafeminina #networking #tecnologia https://t.co/oGBYGY6H51</t>
  </si>
  <si>
    <t>🟡 1º Evento Anual PWN Luanda: Leniza Sampaio (Oradora Confirmada)
▶️ Leniza Sampaio 
☑️ Advogada, actualmente ao serviço do sector petrolífero.
https://t.co/EAnh9jlErz
#empreendedorismo #mulher #negocios #liderançafeminina #networking #membro #pwnluanda #empresa #evento https://t.co/LXhRez5G06</t>
  </si>
  <si>
    <t>🟢 Webinar -Mergulho no Empreendedorismo: Fugindo do Emprego Convencional  (JÁ NO YOUTUBE)
🗓️ 10 de Agosto de 2023 | ✳️ Nuno Baio - Director Geral na Startup Kubeta
▶️ Link de Acesso: https://t.co/0Ow1pQw5rF
Whatsapp:
https://t.co/EAnh9jlErz
#pwnluanda #empreendedorismo https://t.co/JwQ0hbegXn</t>
  </si>
  <si>
    <t>🟢 Workshop Presencial: Nova Lei Geral do Trabalho
🗓️ 28 de Julho de 2023 | 17:00-19:30
Whatsapp:
https://t.co/z7nxshImjF
#empreendederismofeminino #empreendedorismo #mulheresempreendedoras #negocios #liderançafeminina #networking #pwnluanda #empresa #workshop #lei #trabalho https://t.co/Ct8nmocpLd</t>
  </si>
  <si>
    <t>🟢 Webinar: Registo de Marcas e a Sua Importância, com Igor 
Clique aqui para iniciar conversa via Whatsapp:
https://t.co/EAnh9jlErz
#pwnluanda #empreendedorismo #mulher #negocios #liderançafeminina #networking #empresa #webinar #marcas #registo https://t.co/VehFXPxsN6</t>
  </si>
  <si>
    <t>🧠🌟👩‍💼 Programa Neuro Liderança 👩‍💼🌟🧠
Requisitos:
- Ser Membro PWN Luanda, com quotas regularizadas ✔️💼
- Pagamento de AOA 80.000,00 (única Tranche) 💰💳
Não deixe escapar esta oportunidade incrível! 🚀🌟
https://t.co/EAnh9jlErz
#pwnluanda #empreendedorismo #mulher https://t.co/iL6SC0z0hI</t>
  </si>
  <si>
    <t>🟡 1º Evento Anual PWN Luanda: Marco Victor (Orador Confirmado)
▶️ Marco Victor | Life &amp;amp; Mental Coach
Clique aqui para iniciar conversa via Whatsapp:
https://t.co/EAnh9jlErz
#empreendedorismo #mulher #negocios #liderançafeminina #networking #membro #pwnluanda #empresa #evento https://t.co/cZqKD9T0Vt</t>
  </si>
  <si>
    <t>📢🗓️ Agenda Mensal de Setembro de 2023
Clique aqui para iniciar conversa via Whatsapp:
https://t.co/EAnh9jlErz
#empreendedorismo #mulher #negocios #liderançafeminina #networking #membro #pwnluanda #agenda https://t.co/kfgF4INlkJ</t>
  </si>
  <si>
    <t>🟢 Webinar -Mergulho no Empreendedorismo: Fugindo do Emprego Convencional 
ℹ️ Bio: 
Empreendedor há mais de 12 anos, com passagens pelo sector bancário e agro-industrial.
Atualmente é Director Geral da Startup Kubeta!
Chat:
https://t.co/EAnh9jlErz
#pwnluanda #empreendedorismo https://t.co/c6ojE4oWOo</t>
  </si>
  <si>
    <t>💫  Modelos de Excelência: Esmeralda Silva
✅ ABORDAGEM
A PWN Luanda convida-o para a sessão presencial “Modelos de Excelência”, desta vez com Esmeralda Silva, Brand Manager da REDTAG ANGOLA.
https://t.co/EAnh9jlErz
#pwnluanda #empreendedorismo #mulher #liderançafeminina https://t.co/1KDYV2IoWA</t>
  </si>
  <si>
    <t>🟡 Citação: Mae Jemison
"Nunca se limite, pela imaginação limitada de outras pessoas."
#empreendedorismo #mulher #negocios #liderançafeminina #networking #imaginação #crescimento #progresso https://t.co/ThS04DKlwF</t>
  </si>
  <si>
    <t>🟡 1º Evento Anual PWN Luanda: Edna Pegado (Oradora Confirmada)
▶️ Edna Pegado | Gerente da Produção da Fábrica da Nestlé Angola
https://t.co/EAnh9jlErz
#empreendedorismo #mulher #negocios #liderançafeminina #networking #membro #pwnluanda #empresa #evento #mulheres https://t.co/q03YitLjPS</t>
  </si>
  <si>
    <t>💫  Modelos de Excelência: Bruno Pegado
Clique aqui para iniciar conversa via Whatsapp:
https://t.co/EAnh9jlErz
#empreendedorismo #mulher #negocios #liderançafeminina #networking #membro #pwnluanda #empresa #evento  #mulheres https://t.co/u3XVj7ge3G</t>
  </si>
  <si>
    <t>🧑👩 Jovens aprendem sobre tecnologia e empreendedorismo no contraturno escolar por meio da #TecnologiaSocial Aprender e Crescer -, reaplicada pela Sudotec na região sudoeste do Paraná.
#FundaçãoBBapoia #Educação #Inclusão #Empreendedorismo #NossoValorTransforma https://t.co/WdI0lH2gC3</t>
  </si>
  <si>
    <t>Empreender é transformar ideias em realidade. É ser criativo, inovador e persistente. Aproveitar as oportunidades e aprender com os erros. É ter uma visão de futuro. Ser resiliente.
#empreendedorismo #criatividade #inovação #persistência #oportunidade #aprendizado #resiliência https://t.co/HhqUairjlg</t>
  </si>
  <si>
    <t>💸 Sua empresa pode estar deixando de faturar mais por conta de não ter uma estratégia de UPSELL IMEDIATO. 
Siga @luzimarketing 
#empreendedora #empreendedores #empreendedorismo #empreendedordesucesso
https://t.co/76wUzUThEY</t>
  </si>
  <si>
    <t>EMPREENDEDORISMO | AngloGold Ashanti apoia projeto de cosméticos em Sabará | Brasil Mineral
#empreendedorismo #AngloGoldAshanti #minasgerais 
https://t.co/thLwuWjtDS https://t.co/rNImcnygyp</t>
  </si>
  <si>
    <t>𝗢 𝗾𝘂𝗲 𝗲́ 𝘂𝗺 𝗣𝗶𝘁𝗰𝗵 𝗗𝗲𝗰𝗸?
Visite https://t.co/uDypPQfWbg para mais informações e inspiração.
#PitchDeck #Empreendedorismo #Startups #Negócios #Apresentação #GoGlobal https://t.co/rAdz6WTCRU</t>
  </si>
  <si>
    <t>#empreendedorismo
#vendasonline
#MarketingDigital https://t.co/FBqKEcd51T</t>
  </si>
  <si>
    <t>#empreendedorismo 
#vendasonline
#empreender https://t.co/xo3VuUDDhh</t>
  </si>
  <si>
    <t>Muitas vezes, os obstáculos para o sucesso e a realização pessoal não estão diretamente relacionados ao dinheiro, mas sim à mentalidade #empreendedorismo #mentalidade #sucesso https://t.co/6OTVp2cWCW</t>
  </si>
  <si>
    <t>Apenas comece
#empreendedorismo 
#nuncadesista
 #motivação https://t.co/kZAcGJaNZp</t>
  </si>
  <si>
    <t>Mantenha-se firme, aprenda com os fracassos e celebre as pequenas vitórias. Se você continuar acreditando e trabalhando de forma inteligente, sua hora de brilhar inevitavelmente chegará.
#empreendedorismo
#realizandosonhos
#motivandoempreendedores https://t.co/kmelpNVtLs</t>
  </si>
  <si>
    <t>Muitas vezes, descobrimos nosso verdadeiro potencial nos momentos mais desafiadores da vida. 
O potencial humano é incrível, e a jornada para descobri-lo está repleta de possibilidades
#empreendedorismo 
#motivação 
#persistência https://t.co/wDFlOvQ2Ct</t>
  </si>
  <si>
    <t>Como ficar milionário? #pablomarçal #fyp #foryou #visionario #empreendedorismo #vencernavida https://t.co/42VNqNZVAm</t>
  </si>
  <si>
    <t>"💡 A curiosidade é o combustível do sucesso. Nunca pare de questionar, nunca pare de aprender! #AprendizadoInfinito #Empreendedorismo"</t>
  </si>
  <si>
    <t>Mudança de ideia? Isso é coragem e determinação! Comemore suas evoluções! 💪🎉 #Empreendedorismo #Inspiração</t>
  </si>
  <si>
    <t>Um passo de cada vez.
#quickening #autoconhecimento #empreendedorismo #transformacao https://t.co/PrvzmJTta7</t>
  </si>
  <si>
    <t>Olá Cabimbados!
Para hoje, estamos a deixar algumas dicas que o ajudarão a ser um Empreendedor de Sucesso. Partilhe connosco nos comentários as dicas que também conheces.
Cabimba Corporation
Caracterize-se!!!
#empreendedor #jácabimou #cabimbacorporation #caracterize_se https://t.co/SjnJzJ1IRv</t>
  </si>
  <si>
    <t>O DIP4Agri começa já no próximo dia 15 de setembro e prolonga-se até 10 de novembro (todas as sextas-feiras). As inscrições estão abertas até 10 de setembro.
Saiba mais aqui: 
https://t.co/bqRWe4AuHv
#rrn #dip4agri #rederuralnacional #empreendedorismo #IA #deeptech https://t.co/kLi7wQsxol</t>
  </si>
  <si>
    <t>"🚀 Alta produtividade é essencial para o sucesso empresarial! 
Com a ajuda da inteligência artificial, os empresários podem otimizar processos, tomar decisões mais inteligentes e impulsionar seus negócios para o futuro.  #Produtividade #InteligênciaArtificial #Empreendedorismo</t>
  </si>
  <si>
    <t>"O que importa sob o capitalismo é satisfazer o homem comum, o consumidor. Quanto mais pessoas o empreendedor satisfaz, maior o seu padrão de vida."
- Ludwig Von Mises
#Economia #consumidor #empreendedor #escolaaustriaca #capitalismo</t>
  </si>
  <si>
    <t>#onlinemarketing #success #modern #furniture #empreendedorismo #smallbusiness #interiors #archilovers #minimal #marketingtips #graphic</t>
  </si>
  <si>
    <t>#LifeHacks #lifestyle #empower #coaching #coach #empreendedorismo https://t.co/ZlNFCVtCOx</t>
  </si>
  <si>
    <t>Sob os olhos da A.I. (Inteligência Artificial) podemos estar em qualquer lugar, seja em um cenário romântico ou empresarial, na praia ou montanha, ela transforma tudo em segundos.
Isso te conforta ou te conflita?
#inteligenciaartificial #ia #ai    #empreender #empreendedorismo https://t.co/dt4Ohhzgla</t>
  </si>
  <si>
    <t>Nada mudará se vc ficar só no discurso, na zona de conforto, no quentinho.
Quanto vc está disposto a passar pela zona de desconforto para fazer a diferença? 
Estou aqui para te apoiar.
#inovação #empreender #empreendedorismo #gestãoescolar #gestão #escolas #ensinoinovador https://t.co/ciWDod0WBa</t>
  </si>
  <si>
    <t>Como está o Planejamento Estratégico 2024 aí na sua escola?
Nesse vídeo trago 5 pontos essenciais para te ajudar na estruturação.
#planejamentoestrategico #gestaoescolar #gestorescolar #rematricula #planejamento2024 #empreender #empreendedorismo #escola #inovacaoescolar https://t.co/P7VIjWmSlY</t>
  </si>
  <si>
    <t>Algo mais?
#empreender #empreendedorismo #ousadia #garra #coragem #inovação #crescimento #educação #gestorescolar https://t.co/8fWb9tJOw3</t>
  </si>
  <si>
    <t>E você,  tem alguma dica de gestão para contribuir?
Deixe aqui nos comentários 👇🏼👇🏼👇🏼
#gestão #gestaoescolar #gestaohumanizada #humanização #metodologiasativas #empreender #empreendedorismo #escolas #inovação https://t.co/pPDiS2Lliz</t>
  </si>
  <si>
    <t>#Corporação - A tradição é tudo e contribui muito para a difusão da marca! Leia mais... {https://t.co/NAtQKo6LsI}
#Capitalismo, #Empreendedorismo, #Artigos. https://t.co/qTAvN85gpm</t>
  </si>
  <si>
    <t>Super Mentores 3ª Edição! Registe se e Participe! #Empreendedorismo #AgroIndustria https://t.co/2yq6h2VRLq</t>
  </si>
  <si>
    <t>Ver pequenos negócios se transformarem em grandes empresas ... um sucesso inexplicável!
Orgulhosa das minhas mentoradas! 🤩
#empreendedorismo #pequenosnegocios 
#girlboss</t>
  </si>
  <si>
    <t>Mackenzie participa de Congresso de Universidades Empreendedoras.
#empreendedorismo #educação #Mackenzie https://t.co/7YwQwMADLY</t>
  </si>
  <si>
    <t>Mackenzie participa de Congresso de Universidades Empreendedoras.
#empreendedorismo #negócios #Mackenzie https://t.co/7YwQwMADLY</t>
  </si>
  <si>
    <t>Como os ingredientes citados no vídeo, @alicetolipan_ e @juliatolipan e @belerlanger chegaram lá:  5 anos da @f3conteudo ! Agência campeã em #marketingdigital.
Quer dizer, estão só começando.
Muito orgulho e emoção com essas meninas doces e valentes #empreendedorismo #girlpower https://t.co/QWQGdkxXvm</t>
  </si>
  <si>
    <t>Confira quem vai estar conosco na Expo Favela Innovation! 
Não fique de fora da feira que conecta favela e asfalto a partir do empreendedorismo e da inovação!
Inscrição no site: https://t.co/W1grxH8F9j
#expofavelarj #empreendedorismo #inovação #favela #cufa https://t.co/mEAAqiuAYw</t>
  </si>
  <si>
    <t>A batalha entre Binance e SEC e seu impacto no mercado de criptomoedas!🚀💥
 #Binance #SEC #Criptomoedas #Regulação #MercadoFinanceiro #Bitcoin #Altcoins #Investimento #TwitterBrasil #DicasTwitter #Informação #Notícias #Negócios #Empreendedorismo #Tecnologia #Inovação https://t.co/eUm12J9YzI</t>
  </si>
  <si>
    <t>Trabalhe enquanto eles descansam #gratdão #empreendedorismo https://t.co/hxNVhUXFqh</t>
  </si>
  <si>
    <t>#Abrasel #Congresso #Edenred #EdenredBrasil #Empreendedorismo #MesaaoVivo #Palestras #Ticket https://t.co/UfOguac2YR</t>
  </si>
  <si>
    <t>@FuckYouDEUS #flexibilidade "é melhor tratar trabalhar para mim" #empreendedorismo</t>
  </si>
  <si>
    <t>Você só não cresce quando deixa o empreendedorismo de lado sendo um desejo forte!
#empreendedorismo #crescimento #lucro #sucesso #empreender #negócios #superjovem https://t.co/AM2ccOAwP0</t>
  </si>
  <si>
    <t>Empreender é muito mais do que alcançar um objetivo. Tem muito a ver com aproveitar o caminho e aprender MUITO! Afinal, a jornada faz parte de toda história. Então não esqueça de CURTIR A SUA JORNADA!
#Empreendedor #Caminho #VivaAExperiência #Empreendedorismo #Negócios #Gestão https://t.co/XQsLOCdQ3c</t>
  </si>
  <si>
    <t>Aproveita que hoje é segunda-feira e comece aquela tarefa que você estava procrastinando. E não se esqueça de curtir a jornada!
#pontapédasemana #levantaefaz #empreendedoreficaz #empreendedorismo #gestão #negócios https://t.co/oc0vFm5OIy</t>
  </si>
  <si>
    <t>Empreendedorismo: o caminho para a renda e independência financeira.
Se você acredita no poder de criar o seu próprio futuro, junte-se a mim nessa jornada! #empreendedorismo #rendaextra #sucesso #liberdadefinanceira</t>
  </si>
  <si>
    <t>📢É amanhã!!! 
Compartilhando Experiências  - Uma história de empreendedorismo no ensino de idiomas.
‌
Inscreva-se: https://t.co/RaAfqXFssq
#CompartilhandoExperiência #Inspiração #Empreendedorismo #pmibahia #pmiba https://t.co/wcPC2nnBt6</t>
  </si>
  <si>
    <t>Compartilhando Experiências  - Uma história de empreendedorismo no ensino de idiomas.
‌
Inscreva-se: https://t.co/RaAfqXFssq
#CompartilhandoExperiência #Inspiração #Empreendedorismo #pmibahia #pmiba https://t.co/6scGkglvHB</t>
  </si>
  <si>
    <t>Obra escrita em parceria com Elias Awad retrata a história do empreendedor Emílio Kallas, fundador do Grupo Kallas, e seu papel no desenvolvimento imobiliário de São Paulo.
#livros #biografia #construçãocivil #empreendedor
https://t.co/iVpTOUS4Yx</t>
  </si>
  <si>
    <t>Não é sempre assim? Aqueles q mais te desacreditam, que tentam te botar pra baixo, são os mesmos q nunca tiverem coragem de lutar por seus próprios sonhos! 
#empreendedorismo #empreendedora #empreendedor #inspiração #acrediteemvoce #personalbranding #marketingpessoal #leobegin https://t.co/DzsEkr0ruj</t>
  </si>
  <si>
    <t>#Industria #industrial #startups #empreendedorismo @empreendedor @ENEGnt @canalmeusucesso @SEmpreendedores @fundadorstartup @startupmagpt @InovacaoTecnolo @fgvcepi @uspinovacao @SENAInacional @SenaiMS @SistemaFiems</t>
  </si>
  <si>
    <t>#empreendedor #inova #startup @ENEGnt @empreendedor @SEmpreendedores @jornal_empreend @empreenderprodu @startupmagpt @sebrae @sebraesp @CocaCola_Br #mulheres #Mulher @papoempreenda @mdemulher @ONUMulheresBR</t>
  </si>
  <si>
    <t>#empreendedor #startups #Economia @empreendedor @ENEGnt @SEmpreendedores @fpecongresso @jornal_empreend @BTGPactual @startup_br @startupmagpt @uspinovacao @redeinovacao</t>
  </si>
  <si>
    <t>#empresa #Economia #empreendedor #startups @peqempresas @souempresario @pegntv @unicampoficial @empreendedor @SEmpreendedores @startupmagpt @sebrae @sebraesp @sebraerj @sebraeminas @SebraeMS @UCDBoficial @uniderpoficial</t>
  </si>
  <si>
    <t>Participe do Edital Credenciamento SEBRAETEC! Venha atender as MPEs de Minas Gerais conosco!
Este é um programa de consultoria tecnológica que leva inovação para os pequenos negócios.
Acesse: https://t.co/Ve5AzXuYOl
#sebraetec #sebrae #sebraeminas #empreendedorismo #edital https://t.co/jce3qWOC4s</t>
  </si>
  <si>
    <t>Empreendedores de #comunidades de BH contam suas trajetórias nos negócios na #ExpoFavelaMinas. Apoiados pelo @SebraeMinas, moradores da Cabana do Pai Tomás e do bairro Coqueiros mostram como o #empreendedorismo tem transformado a realidade da #periferia. 
https://t.co/gG5p1iHqW3 https://t.co/4kEovPiN3U</t>
  </si>
  <si>
    <t>#Atenção, Prefeituras com iniciativas para apoiar o empreendedorismo e os pequenos negócios: as inscrições para o Prêmio Prefeitura Empreendedora estão abertas até dia 30/11: https://t.co/BG6gFSEbZX 
#Prefeitura #PrefeituraEmpreendedora #Empreendedorismo https://t.co/YYn0SRvfjR</t>
  </si>
  <si>
    <t>No episódio deste domingo do #PEGN, você terá a oportunidade de conhecer a história de duas amigas empreendedoras que criaram uma marca de semijoias. 💍✨ #empreendedorismo #inspiração https://t.co/XPOJiokWmy</t>
  </si>
  <si>
    <t>Arrase nas vendas on-line! O @sebrae conta com um hub recheado de conteúdo para potencializar empreendedores no meio digital. Descubra como esse mercado está dominando os negócios: https://t.co/tjzA24RN4E  #Empreendedorismo #MercadoDigital #publicidade https://t.co/H19ty6FT8L</t>
  </si>
  <si>
    <t>Neste domingo, o #PEGN traz a história de uma rede de franquias de escolas de idiomas com 180 unidades. #Franquias #Empreendedorismo https://t.co/d0CZw7Yull</t>
  </si>
  <si>
    <t>No #PEGN deste domingo, você vai conhecer a história da Juliana que, ainda criança, sofreu um acidente e sofreu queimaduras nas mãos. Hoje, ela é dona de um ateliê e produz cerca de 200 vestidos de noiva por ano. #Inspiração #Empreendedorismo #SuperandoDesafios https://t.co/CLVTbNggeG</t>
  </si>
  <si>
    <t>O @sebrae oferece cursos e capacitações para empreender de forma sustentável. Conheça histórias de empreendedores brasileiros que obtiveram sucesso nessa trilha e confira se o seu negócio está no caminho certo: https://t.co/LIrK0dsRyq #Empreendedorismo #Sebrae #publicidade https://t.co/yOVYphrECk</t>
  </si>
  <si>
    <t>No #Pegn deste domingo você irá conhecer um negócio que une diversão e gastronomia. O programa mostra a iniciativa de um empreendedor que montou um boliche dentro de um restaurante para atrair clientes! Não perca! 📷 #Empreendedorismo #Inovação https://t.co/gAmfmdelfx</t>
  </si>
  <si>
    <t>#publicidade
ALI do @sebrae: Mais de 12 anos impulsionando o #Empreendedorismo. Solicite uma consultoria  gratuita dos Agentes Locais de Inovação e receba orientações sob medida de profissionais especializados. Conheça: https://t.co/8hP4RyEr1u  #ALI #Sebrae https://t.co/HH2zrHQamx</t>
  </si>
  <si>
    <t>🌟 Não percam a inspiradora história de superação deste ex-camelô que deu um grande salto em sua vida! 👉 Neste domingo, no #PEGN, vamos mostrar como ele transformou sua trajetória e se tornou um empreendedor de sucesso! 📺 #empreendedorismo https://t.co/LlFb1LmOrP</t>
  </si>
  <si>
    <t>#Tecnologia #Tecnologia5G #empresas #empresarios #startups #empreendedorismo #inteligenciaartificial @empreendedor @ENEGnt @SEmpreendedores @sebrae @SebraeMS @SistemaFiems @startupmagpt @intartuncp @Blog_de_IA @IArtificial_ @InovacaoTecnolo</t>
  </si>
  <si>
    <t>E aí, o que é mais fácil de acontecer por aí?
Não tem resposta certa ou errada, mas o que podemos dizer é: tem um jeito de simplificar seu negócio!
Acesse: https://t.co/eUaa4gI3NX
#SebraeMS #SebraeSimplifica #MarketingDigital #Empreendedorismo #SigaoSebrae https://t.co/t8BuRrZdaz</t>
  </si>
  <si>
    <t>#empreendedor #empreendedorismo #oportunidades #startups #sesi #empresas #empresa #inovar @empreendedor @SEmpreendedores @AliancaEmpreend</t>
  </si>
  <si>
    <t>Venda experiência! #empreendedorismo #incrível #experiencia https://t.co/WkaSO7Rjun via @YouTube</t>
  </si>
  <si>
    <t>RT @Betacodex_pt: EMPREENDEDOR
“Existe apenas uma definição de ‘empreendedor’.
Um empreendedor é alguém que faz algo novo.”
INC. interview…</t>
  </si>
  <si>
    <t>Sempre o melhor, pois você pode está sendo avaliado e ter ou perder uma oportunidade muito grande..
.
.
#empreendedorismo #o #marketingdigital #empreender #sucesso #marketing #empreendedor #a #brasil #negocios #foco #dinheiro #motiva #rendaextra #empreendedorismofeminino https://t.co/qBYC6aw83A</t>
  </si>
  <si>
    <t>Vcs aí pensando que eu tava passeando. Eu tô é trabalhando! #Sebrae #transformarjuntos #empreendedorismo https://t.co/GdgE7efPgU</t>
  </si>
  <si>
    <t>Bianca Andrade / Boca Rosa - eleita em 2022 dentre as 20 mulheres destaque da Forbes
Ela tem duas identidades? Não! São apenas meios distintos de se comunicar.
Texto sobre insights da sua palestra na rede vizinha 😉
#firefestival2023 #empreendedorismo</t>
  </si>
  <si>
    <t>Como fazer DECLARAÇÃO DE EXTINÇÃO DO MEI. DAR BAIXA NO MEI MESMO COM DIV... https://t.co/AsTT8ZLxzM via @YouTube #empreendedor #cesarurtado #cnpj #mei #microempreendedorindividual</t>
  </si>
  <si>
    <t>COMO CANCELAR CNPJ MEI DE GRAÇA ATUALIZADO - PASSO A PASSO COMPLETO https://t.co/UUJkCuegu8 via @YouTube #mei #microempreendedor #empreendedor #empresa #cnpj #cesarurtado</t>
  </si>
  <si>
    <t>Elon Musk: Inovador, empreendedor e visionário. 🚀🌟
Conhecido por seus empreendimentos em veículos elétricos, energia renovável e exploração espacial.
Você concorda com as palavras dele? 🤔
#ElonMusk #Inovação #Empreendedorismo #cfds #iqoption #Sucesso https://t.co/fY8VO1e7um</t>
  </si>
  <si>
    <t>#Motivacional #Inspiração #Investir #Empreender #BolsaDeValores #Empreendedorismo #voceumpassoafrente https://t.co/vcJ4sYc70I</t>
  </si>
  <si>
    <t>Para o mês de Agosto, desejamos um mês cheio de vibrações!🔥🥰
Se toque, se lambuze e g0ze muito.
#liibe #crush #produtossexshop #liibebox #amor #vibra #vibradores #empreendedorismo #agosto https://t.co/c0WOJ8mpok</t>
  </si>
  <si>
    <t>É hoje!!
Nosso convidado é @bernardozamijov, Investidor em Venture Capital.
https://t.co/axYrotEMaN
Te espero! 🔥🔥
#inovação #empreendedorismo 
#Inspiração #Startup #Investimento #VentureCapital https://t.co/mhluZWssVI</t>
  </si>
  <si>
    <t>Uau!! A Apple marcou um golaço!
AirPods com Eletroencefalografia (EEG)
Várias aplicações médicas poderão surgir com esta nova possibilidade
https://t.co/UauNR75HV7 ( em inglês)
#inovação #inspiração #empreendedorismo #Apple #Healthtech #Airpod https://t.co/jJxgglmgG6</t>
  </si>
  <si>
    <t>Amazon One, a solução da Amazon que usa a palma da mão para identificação, pagamento, acesso e inscrição em programas de fidelidade acelera seu crescimento.
#Inovação #Inspiração #Empreendedorismo #Amazon #Identificação #Tecnologia 
https://t.co/6mRSvEdLp5 https://t.co/7R94SxP203</t>
  </si>
  <si>
    <t>Havaianas lança sua loja autônoma e sustentável
É uma loja container, sustentável, no Parque Villa Lobos (SP).
A compra é toda pelo app, sem intervenção humana.
https://t.co/9foyk0Le5I
#Inspiração #Inovação #Empreendedorismo #IA #MarketingDeExperiencia #ESG #Sustentabilidade https://t.co/11bJrlNr2z</t>
  </si>
  <si>
    <t>DEFESA CIVIL
Novo balanço confirma 47 mortes após enchentes no RS.
.
.
#serraempauta #jornalismo #jornalismolocal #jornalismoindependente #empreendedorismo #noticias #caxiasdosul #serragaucha https://t.co/8AORAsjKNs</t>
  </si>
  <si>
    <t>MÚSICA
Orquestra Jovem realiza circuito de apresentações em Caxias do Sul.
.
.
#serraempauta #jornalismo #jornalismolocal #jornalismoindependente #empreendedorismo #noticias #caxiasdosul #serragaucha https://t.co/XX8lvXifRq</t>
  </si>
  <si>
    <t>FESTEJOS
Diocese divulga programação em honra à padroeira de Caxias do Sul.
.
.
#serraempauta #jornalismo #jornalismolocal #jornalismoindependente #empreendedorismo #noticias #caxiasdosul #serragaucha https://t.co/D0krICYbzp</t>
  </si>
  <si>
    <t>APELO POPULAR
Câmara aprova São Pedro como padroeiro de Flores da Cunha.
.
.
#serraempauta #jornalismo #jornalismolocal #jornalismoindependente #empreendedorismo #noticias #caxiasdosul #serragaucha https://t.co/JJoqSS1ZO3</t>
  </si>
  <si>
    <t>AJUDA HUMANITÁRIA
Deputados pedem auxílio para municípios atingidos por enchentes.
.
.
#serraempauta #jornalismo #jornalismolocal #jornalismoindependente #empreendedorismo #noticias #caxiasdosul #serragaucha https://t.co/2sHaRg3qGi</t>
  </si>
  <si>
    <t>DESLIZAMENTO DE TERRA
Interrompido parcialmente o trânsito na RS-122, em Antônio Prado.
.
.
#serraempauta #jornalismo #jornalismolocal #jornalismoindependente #empreendedorismo #noticias #caxiasdosul #serragaucha https://t.co/puHcF1yeYG</t>
  </si>
  <si>
    <t>SAÚDE
Tecnologia para tratar câncer de pele é aprovada para uso no SUS.
.
.
#serraempauta #jornalismo #jornalismolocal #jornalismoindependente #empreendedorismo #noticias #caxiasdosul #serragaucha https://t.co/xLLYbifMvT</t>
  </si>
  <si>
    <t>DEMANDAS
Vereadores de Flores reivindicam lombada eletrônica no Pérola.
.
.
#serraempauta #jornalismo #jornalismolocal #jornalismoindependente #empreendedorismo #noticias #caxiasdosul #serragaucha</t>
  </si>
  <si>
    <t>ALINHAMENTO DAS AÇÕES
Grupo comemora remoção e organização de fios no Centro de Caxias.
.
.
#serraempauta #jornalismo #jornalismolocal #jornalismoindependente #empreendedorismo #noticias #caxiasdosul #serragaucha https://t.co/DfvTT6GQZG</t>
  </si>
  <si>
    <t>MUDANÇA
Sandra Negrini deixa a Secretaria da Educação de Caxias do Sul.
.
.
#serraempauta #jornalismo #jornalismolocal #jornalismoindependente #empreendedorismo #noticias #caxiasdosul #serragaucha https://t.co/sYO4TSemoH</t>
  </si>
  <si>
    <t>NOVA COMPANHIA
Unimed Nordeste-RS aprova criação de holding.
.
.
#serraempauta #jornalismo #jornalismolocal #jornalismoindependente #empreendedorismo #noticias #caxiasdosul #serragaucha https://t.co/NIntfdwZ2E</t>
  </si>
  <si>
    <t>REABILITAÇÃO
Animais retornam à natureza após tratamento no Zoo da UCS, em Caxias.
.
.
#serraempauta #jornalismo #jornalismolocal #jornalismoindependente #empreendedorismo #noticias #caxiasdosul #serragaucha https://t.co/dD0yg7bPT1</t>
  </si>
  <si>
    <t>PROGRAME-SE
Caxias do Sul recebe encontro de coros no próximo sábado.
.
.
#serraempauta #jornalismo #jornalismolocal #jornalismoindependente #empreendedorismo #noticias #caxiasdosul #serragaucha https://t.co/f5TAFU9PS6</t>
  </si>
  <si>
    <t>IGREJA CATÓLICA
Jornada da Juventude deverá reunir 1,5 mil jovens, em Farroupilha.
.
.
#serraempauta #jornalismo #jornalismolocal #jornalismoindependente #empreendedorismo #noticias #caxiasdosul #serragaucha https://t.co/v52nIJsORr</t>
  </si>
  <si>
    <t>ESPORTE
Competição reúne estudantes de seis escolas municipais de Caxias.
.
.
#serraempauta #jornalismo #jornalismolocal #jornalismoindependente #empreendedorismo #noticias #caxiasdosul #serragaucha https://t.co/HGnpP9F70p</t>
  </si>
  <si>
    <t>REGULARIZAÇÃO FUNDIÁRIA
Caxias entrega primeiros 100 títulos para moradores do Conquista.
.
.
#serraempauta #jornalismo #jornalismolocal #jornalismoindependente #empreendedorismo #noticias #caxiasdosul #serragaucha https://t.co/OuYEg1YQBk</t>
  </si>
  <si>
    <t>FORMAÇÃO CULTURAL
Cultura Hip Hop nas Escolas começa segunda, em Caxias do Sul.
.
.
#serraempauta #jornalismo #jornalismolocal #jornalismoindependente #empreendedorismo #noticias #caxiasdosul #serragaucha https://t.co/hOHnJyr7M4</t>
  </si>
  <si>
    <t>CORTE DEFINIDA
Eleito trio de soberanas da Fenavindima, em Flores da Cunha.
.
.
#serraempauta #jornalismo #jornalismolocal #jornalismoindependente #empreendedorismo #noticias #caxiasdosul #serragaucha https://t.co/1eb7OfmqLc</t>
  </si>
  <si>
    <t>ECONOMIA
Caxias do Sul acumula crescimento de 5,8% no primeiro semestre.
.
.
#serraempauta #jornalismo #jornalismolocal #jornalismoindependente #empreendedorismo #noticias #caxiasdosul #serragaucha https://t.co/M61xRuFSWe</t>
  </si>
  <si>
    <t>PROGRAME-SE
Coro Juvenil do Moinho/UCS festeja 10 anos, em Caxias do Sul.
.
.
#serraempauta #jornalismo #jornalismolocal #jornalismoindependente #empreendedorismo #noticias #caxiasdosul #serragaucha https://t.co/3QPR8c2ICJ</t>
  </si>
  <si>
    <t>DISTINÇÃO
Codeca, em Caxias, homenageia funcionários por tempo de serviço.
.
.
#serraempauta #jornalismo #jornalismolocal #jornalismoindependente #empreendedorismo #noticias #caxiasdosul #serragaucha https://t.co/sl3lZCnbLs</t>
  </si>
  <si>
    <t>EQUIDADE RACIAL
Movimento Negro Raízes leva pauta étnica para empresa de Caxias.
.
.
#serraempauta #jornalismo #jornalismolocal #jornalismoindependente #empreendedorismo #noticias #caxiasdosul #serragaucha https://t.co/zC1ifTHVqT</t>
  </si>
  <si>
    <t>CONSCIENTIZAÇÃO
Caxias oficializa incentivo à adoção no calendário do Município.
.
.
#serraempauta #jornalismo #jornalismolocal #jornalismoindependente #empreendedorismo #noticias #caxiasdosul #serragaucha https://t.co/EQH9qpz30a</t>
  </si>
  <si>
    <t>NOVA FERRAMENTA
Simpósio em Caxias debate uso e rumos da inteligência artificial.
.
.
#serraempauta #jornalismo #jornalismolocal #jornalismoindependente #empreendedorismo #noticias #caxiasdosul #serragaucha https://t.co/HaJROsb2uJ</t>
  </si>
  <si>
    <t>ARTIGO
Aniversário da Lei Maria da Penha – 7 de agosto. Fabiola Dall'Agno, coordenadora da Comissão da Mulher Advogada da OAB de Caxias do Sul.
.
.
#serraempauta #jornalismo #jornalismolocal #jornalismoindependente #empreendedorismo #noticias #caxiasdosul #serragaucha https://t.co/oSpvZve4CV</t>
  </si>
  <si>
    <t>Caxias do Sul abre consulta para concessão das placas de ruas.
.
.
#serraempauta #jornalismo #jornalismolocal #jornalismoindependente #empreendedorismo #noticias #caxiasdosul #serragaucha https://t.co/r847rn9la9</t>
  </si>
  <si>
    <t>Câmara de Caxias do Sul protocola aumento do auxílio a estagiários.
.
.
#serraempauta #jornalismo #jornalismolocal #jornalismoindependente #empreendedorismo #noticias #caxiasdosul #serragaucha https://t.co/DUljctEWbz</t>
  </si>
  <si>
    <t>Feira de antiguidades ocorre no início de agosto em Caxias do Sul.
.
.
#serraempauta #jornalismo #jornalismolocal #jornalismoindependente #empreendedorismo #noticias #caxiasdosul #serragaucha https://t.co/NiNJMhj8YT</t>
  </si>
  <si>
    <t>Câmara de Caxias do Sul autoriza compra de imóvel para o Procon.
.
.
#serraempauta #jornalismo #jornalismolocal #jornalismoindependente #empreendedorismo #noticias #caxiasdosul #serragaucha https://t.co/ncFTaVECO5</t>
  </si>
  <si>
    <t>Recanto da Compaixão, em Caxias do Sul, deve inaugurar em novembro.
.
.
#serraempauta #jornalismo #jornalismolocal #jornalismoindependente #empreendedorismo #noticias #caxiasdosul #serragaucha https://t.co/C4I9dQf3Kj</t>
  </si>
  <si>
    <t>Começa a venda de espaços da Festa da Uva em Caxias do Sul.
.
.
#serraempauta #jornalismo #jornalismolocal #jornalismoindependente #empreendedorismo #noticias #caxiasdosul #serragaucha https://t.co/yfOaP4ih2W</t>
  </si>
  <si>
    <t>Câmara de Caxias arquiva processo de cassação de Lucas Caregnato.
.
.
#serraempauta #jornalismo #jornalismolocal #jornalismoindependente #empreendedorismo #noticias #caxiasdosul #serragaucha https://t.co/8OdQQOw4kl</t>
  </si>
  <si>
    <t>Presidente da Câmara de Caxias recebe visita de ex-governador.
.
.
#serraempauta #jornalismo #jornalismolocal #jornalismoindependente #empreendedorismo #noticias #caxiasdosul #serragaucha https://t.co/xn6rYAxfWE</t>
  </si>
  <si>
    <t>Inicia troca da adutora Santa Catarina-São José, em Caxias do Sul.
.
.
#serraempauta #jornalismo #jornalismolocal #jornalismoindependente #empreendedorismo #noticias #caxiasdosul #serragaucha https://t.co/ZO12JVinNp</t>
  </si>
  <si>
    <t>Definido local da primeira escolinha no interior de Caxias do Sul.
.
.
#serraempauta #jornalismo #jornalismolocal #jornalismoindependente #empreendedorismo #noticias #caxiasdosul #serragaucha https://t.co/Y7d64UGqko</t>
  </si>
  <si>
    <t>Taça das Favelas terá sua primeira edição em Caxias do Sul.
.
.
#serraempauta #jornalismo #jornalismolocal #jornalismoindependente #empreendedorismo #noticias #caxiasdosul #serragaucha https://t.co/u9hWYP79b6</t>
  </si>
  <si>
    <t>Mesatenista de Caxias do Sul é campeã de etapa nacional no Rio.
.
.
#serraempauta #jornalismo #jornalismolocal #jornalismoindependente #empreendedorismo #noticias #caxiasdosul #serragaucha https://t.co/onGOazzoVr</t>
  </si>
  <si>
    <t>Feira Maesa Cultural ocorre no domingo, em Caxias do Sul.
.
.
#serraempauta #jornalismo #jornalismolocal #jornalismoindependente #empreendedorismo #noticias #caxiasdosul #serragaucha https://t.co/yV194cRBm4</t>
  </si>
  <si>
    <t>O Grande Espetáculo de Natal abrirá programação de Caxias do Sul.
.
.
#serraempauta #jornalismo #jornalismolocal #jornalismoindependente #empreendedorismo #noticias #caxiasdosul #serragaucha https://t.co/jZJeausnnc</t>
  </si>
  <si>
    <t>Astor Schmitt compartilha trajetória em palestra na CIC de Caxias.
.
.
#serraempauta #jornalismo #jornalismolocal #jornalismoindependente #empreendedorismo #noticias #caxiasdosul #serragaucha https://t.co/mpLqCK4iBm</t>
  </si>
  <si>
    <t>Sindilojas de Caxias do Sul discute pauta da convenção coletiva.
.
.
#serraempauta #jornalismo #jornalismolocal #jornalismoindependente #empreendedorismo #noticias #caxiasdosul #serragaucha https://t.co/idX1Kt67Mp</t>
  </si>
  <si>
    <t>Parceria dá formas a linha de peças com fusão de madeira e pedras.
.
.
#serraempauta #jornalismo #jornalismolocal #jornalismoindependente #empreendedorismo #noticias #caxiasdosul #serragaucha https://t.co/ORMg4u2W4V</t>
  </si>
  <si>
    <t>Cooperativa de crédito empossa Conselho de Administração.
.
.
#serraempauta #jornalismo #jornalismolocal #jornalismoindependente #empreendedorismo #noticias #caxiasdosul #serragaucha https://t.co/DX919Krxqq</t>
  </si>
  <si>
    <t>Estado assumirá estrada para novo aeroporto em Caxias do Sul.
.
.
#serraempauta #jornalismo #jornalismolocal #jornalismoindependente #empreendedorismo #noticias #caxiasdosul #serragaucha https://t.co/KsRYJChNTw</t>
  </si>
  <si>
    <t>Luiz Carlos de Lucena será homenageado na Câmara de Caxias do Sul.
.
.
#serraempauta #jornalismo #jornalismolocal #jornalismoindependente #empreendedorismo #noticias #caxiasdosul #serragaucha https://t.co/Vw9k0K367a</t>
  </si>
  <si>
    <t>Parlamentares buscam soluções para despejo de famílias do Campos da Serra, em Caxias.
.
.
#serraempauta #jornalismo #jornalismolocal #jornalismoindependente #empreendedorismo #noticias #caxiasdosul #serragaucha https://t.co/nD06p1EXhg</t>
  </si>
  <si>
    <t>Francyelle Bonaci de Matos é empossada vereadora na Câmara de Farroupilha.
.
.
#serraempauta #jornalismo #jornalismolocal #jornalismoindependente #empreendedorismo #noticias #caxiasdosul #serragaucha https://t.co/YHNiD859aT</t>
  </si>
  <si>
    <t>Filó das embaixatrizes da Festa da Uva em Caxias será realizado no próximo sábado.
.
.
#serraempauta #jornalismo #jornalismolocal #jornalismoindependente #empreendedorismo #noticias #caxiasdosul #serragaucha https://t.co/2mtJ4cNbBA</t>
  </si>
  <si>
    <t>Centro de Atendimento ao Migrante em Caxias lança campanha para arrecadação de recursos.
.
.
#serraempauta #jornalismo #jornalismolocal #jornalismoindependente #empreendedorismo #noticias #caxiasdosul #serragaucha https://t.co/druUPFq4gu</t>
  </si>
  <si>
    <t>Inaugurado centro de reabilitação auditiva e intelectual em Caxias.
.
.
#serraempauta #jornalismo #jornalismolocal #jornalismoindependente #empreendedorismo #noticias #caxiasdosul #serragaucha https://t.co/PEnWWt3K9H</t>
  </si>
  <si>
    <t>Agricultura participa de curso de extensão sobre proteção de nascentes em Caxias.
.
.
#serraempauta #jornalismo #jornalismolocal #jornalismoindependente #empreendedorismo #noticias #caxiasdosul #serragaucha https://t.co/OiqkqwT0p0</t>
  </si>
  <si>
    <t>CIC de Bento Gonçalves anuncia compra da feira Envase Brasil.
.
.
#serraempauta #jornalismo #jornalismolocal #jornalismoindependente #empreendedorismo #noticias #caxiasdosul #serragaucha https://t.co/W9JGKqJ6Gw</t>
  </si>
  <si>
    <t>CONCESSÃO
Mirante Gelain, em Flores, será operado pela iniciativa privada.
.
.
#serraempauta #jornalismo #jornalismolocal #jornalismoindependente #empreendedorismo #noticias #caxiasdosul #serragaucha https://t.co/BMBUKoR5rS</t>
  </si>
  <si>
    <t>FAS
Caxias cadastra famílias atingidas pela enchente em Santa Tereza.
.
.
#serraempauta #jornalismo #jornalismolocal #jornalismoindependente #empreendedorismo #noticias #caxiasdosul #serragaucha https://t.co/ebcaQAxppf</t>
  </si>
  <si>
    <t>CÂMARA DE VEREADORES
Ex-supervisora da UPA Central, de Caxias, deve depor na CPI da Saúde.
.
.
#serraempauta #jornalismo #jornalismolocal #jornalismoindependente #empreendedorismo #noticias #caxiasdosul #serragaucha https://t.co/jRdPVbcyjQ</t>
  </si>
  <si>
    <t>CAUSA ANIMAL
Prefeitura de Caxias assina convênio para realizar 8 mil castrações.
.
.
#serraempauta #jornalismo #jornalismolocal #jornalismoindependente #empreendedorismo #noticias #caxiasdosul #serragaucha https://t.co/1uuFKdHOhx</t>
  </si>
  <si>
    <t>ENCHENTES
Defesa Civil confirma 46 mortes pelas chuvas intensas no RS.
.
.
#serraempauta #jornalismo #jornalismolocal #jornalismoindependente #empreendedorismo #noticias #caxiasdosul #serragaucha https://t.co/O1sF2eG2Wm</t>
  </si>
  <si>
    <t>ENCHENTES
Alckmin anuncia R$ 741 milhões para cidades do RS afetadas por ciclone.
.
.
#serraempauta #jornalismo #jornalismolocal #jornalismoindependente #empreendedorismo #noticias #caxiasdosul #serragaucha https://t.co/ZZBgpQbBTe</t>
  </si>
  <si>
    <t>ENCHENTES
Governador e prefeitos discutem a reconstrução das cidades da Serra.
.
.
#serraempauta #jornalismo #jornalismolocal #jornalismoindependente #empreendedorismo #noticias #caxiasdosul #serragaucha https://t.co/XmKcuRdUEz</t>
  </si>
  <si>
    <t>NOVA LEGISLAÇÃO
Prefeitura de Caxias conclui minuta do decreto dos serviços funerários.
.
.
#serraempauta #jornalismo #jornalismolocal #jornalismoindependente #empreendedorismo #noticias #caxiasdosul #serragaucha https://t.co/cg2NSdYSKS</t>
  </si>
  <si>
    <t>FERRAMENTA
Prefeitura apresenta plataforma com dados e indicadores de Caxias.
.
.
#serraempauta #jornalismo #jornalismolocal #jornalismoindependente #empreendedorismo #noticias #caxiasdosul #serragaucha https://t.co/J8digGPeXN</t>
  </si>
  <si>
    <t>INFRAESTRUTURA
BR-470 recebe recuperação do pavimento entre Bento e Carlos Barbosa.
.
.
#serraempauta #jornalismo #jornalismolocal #jornalismoindependente #empreendedorismo #noticias #caxiasdosul #serragaucha https://t.co/6NKbgOZJmT</t>
  </si>
  <si>
    <t>PRIORIDADES
Secretário da Educação de Caxias quer ouvir servidores da pasta.
.
.
#serraempauta #jornalismo #jornalismolocal #jornalismoindependente #empreendedorismo #noticias #caxiasdosul #serragaucha https://t.co/QoaxxchyEU</t>
  </si>
  <si>
    <t>DEMANDAS
Vereadores de Flores reivindicam lombada eletrônica no Pérola.
.
.
#serraempauta #jornalismo #jornalismolocal #jornalismoindependente #empreendedorismo #noticias #floresdacunha #serragaucha https://t.co/rqVxjutwUt</t>
  </si>
  <si>
    <t>CHUVAS
RS-122, entre Flores e Antônio Prado, tem novo deslizamento de terra.
.
.
#serraempauta #jornalismo #jornalismolocal #jornalismoindependente #empreendedorismo #noticias #floresdacunha #antonioprado #serragaucha https://t.co/ZPv02z74D6</t>
  </si>
  <si>
    <t>BRASIL
Orçamento de 2024 prevê salário mínimo de R$ 1.421.
.
.
#serraempauta #jornalismo #jornalismolocal #jornalismoindependente #empreendedorismo #noticias #caxiasdosul #serragaucha https://t.co/jNSpckYaqH</t>
  </si>
  <si>
    <t>VALIDADE DE 5 ANOS
Fepam emite licença de instalação para o aeroporto de Vila Oliva.
.
.
#serraempauta #jornalismo #jornalismolocal #jornalismoindependente #empreendedorismo #noticias #caxiasdosul #serragaucha https://t.co/UmVVHgTrNY</t>
  </si>
  <si>
    <t>SERVIÇO INÉDITO
Consulado da Itália no RS inicia coleta de biometria em Caxias do Sul.
.
.
#serraempauta #jornalismo #jornalismolocal #jornalismoindependente #empreendedorismo #noticias #caxiasdosul #serragaucha https://t.co/uKwucny6wH</t>
  </si>
  <si>
    <t>MUDANÇA
Vice-prefeito de Bento assume interinamente pasta do Meio Ambiente.
.
.
#serraempauta #jornalismo #jornalismolocal #jornalismoindependente #empreendedorismo #noticias #caxiasdosul #serragaucha https://t.co/WXC6S2jz4r</t>
  </si>
  <si>
    <t>AGENDA EM BRASÍLIA
Rafael Bueno encaminha demandas para a assistência social de Caxias.
.
.
#serraempauta #jornalismo #jornalismolocal #jornalismoindependente #empreendedorismo #noticias #caxiasdosul #serragaucha https://t.co/GxESoA5bQy</t>
  </si>
  <si>
    <t>FUTEBOL
Clube Esportivo, de Bento, será presidido por Douglas Tedesco.
.
.
#serraempauta #jornalismo #jornalismolocal #jornalismoindependente #empreendedorismo #noticias #caxiasdosul #serragaucha https://t.co/CSiv40WJTu</t>
  </si>
  <si>
    <t>DATA MARCADA
CPI convoca secretária da Saúde de Caxias para esclarecimentos.
.
.
#serraempauta #jornalismo #jornalismolocal #jornalismoindependente #empreendedorismo #noticias #caxiasdosul #serragaucha https://t.co/XM161UlSHP</t>
  </si>
  <si>
    <t>PROGRAMA HABITACIONAL
Estado contempla Caxias do Sul com 231 moradias populares.
.
.
#serraempauta #jornalismo #jornalismolocal #jornalismoindependente #empreendedorismo #noticias #caxiasdosul #serragaucha https://t.co/zsmtEfAGp3</t>
  </si>
  <si>
    <t>INFRAESTRUTURA
Obra na Atiliano Pinguelo, em Caxias, deve ser retomada em 30 dias.
.
.
#serraempauta #jornalismo #jornalismolocal #jornalismoindependente #empreendedorismo #noticias #caxiasdosul #serragaucha https://t.co/De89JzSX98</t>
  </si>
  <si>
    <t>PRIMEIRO SEMESTRE
Prefeitura de Caxias do Sul constrói de cerca de 3,3km de calçadas.
.
.
#serraempauta #jornalismo #jornalismolocal #jornalismoindependente #empreendedorismo #noticias #caxiasdosul #serragaucha https://t.co/WfCK3OEZGS</t>
  </si>
  <si>
    <t>RECONHECIMENTO
Boccati promove circuito de vinhos em homenagem ao Dia do Garçom.
.
.
#serraempauta #jornalismo #jornalismolocal #jornalismoindependente #empreendedorismo #noticias #caxiasdosul #serragaucha https://t.co/EQTGp9D4UG</t>
  </si>
  <si>
    <t>LAZER
Feira receberá embaixatrizes da Festa da Uva no domingo, em Caxias.
.
.
#serraempauta #jornalismo #jornalismolocal #jornalismoindependente #empreendedorismo #noticias #caxiasdosul #serragaucha https://t.co/IpPVXp504m</t>
  </si>
  <si>
    <t>REFERÊNCIA EM INOVAÇÃO
UCS inaugura reestruturação do Bloco H em Caxias do Sul.
.
.
#serraempauta #jornalismo #jornalismolocal #jornalismoindependente #empreendedorismo #noticias #caxiasdosul #serragaucha https://t.co/JCtkQavLHI</t>
  </si>
  <si>
    <t>NOVO ESPAÇO
Garibaldi Wine Bar oportuniza experiências enogastronômicas.
.
.
#serraempauta #jornalismo #jornalismolocal #jornalismoindependente #empreendedorismo #noticias #caxiasdosul #serragaucha https://t.co/OXXcNRJm8S</t>
  </si>
  <si>
    <t>PERFIS
Conheça as embaixatrizes Luana Zurlo Ávila, Luísa Trott Miola e Mahayana Torves Rodrigues.
.
.
#serraempauta #jornalismo #jornalismolocal #jornalismoindependente #empreendedorismo #noticias #caxiasdosul #serragaucha https://t.co/9TZDOuipUI</t>
  </si>
  <si>
    <t>PLANO DE OPERAÇÃO
Consórcio acena com aprovação da PPP da iluminação em Caxias.
.
.
#serraempauta #jornalismo #jornalismolocal #jornalismoindependente #empreendedorismo #noticias #caxiasdosul #serragaucha https://t.co/njr7Qvm9En</t>
  </si>
  <si>
    <t>PERFIS
Conheça as embaixatrizes Letícia de Carvalho, Letícia Nunes e Lizandra Mello Chinali.
.
.
#serraempauta #jornalismo #jornalismolocal #jornalismoindependente #empreendedorismo #noticias #caxiasdosul #serragaucha https://t.co/6QDih7bGjS</t>
  </si>
  <si>
    <t>HOMENAGENS
Câmara de Caxias dará título de Cidadão Caxiense a Sartori e Alceu.
.
.
#serraempauta #jornalismo #jornalismolocal #jornalismoindependente #empreendedorismo #noticias #caxiasdosul #serragaucha https://t.co/zMjLTCxzj7</t>
  </si>
  <si>
    <t>TRABALHO CONJUNTO
Mutirão de podas ocorre na região do Exposição, em Caxias do Sul.
.
.
#serraempauta #jornalismo #jornalismolocal #jornalismoindependente #empreendedorismo #noticias #caxiasdosul #serragaucha https://t.co/uptPeXY24C</t>
  </si>
  <si>
    <t>REFORMA TRIBUTÁRIA
Em Caxias, Mourão anuncia emenda para excluir vinhos do imposto seletivo.
.
.
#serraempauta #jornalismo #jornalismolocal #jornalismoindependente #empreendedorismo #noticias #caxiasdosul #serragaucha https://t.co/P15rJ0MXDY</t>
  </si>
  <si>
    <t>PRIMEIRO SEMESTRE
Trânsito multa 450 motoristas por consumo de álcool em Caxias.
.
.
#serraempauta #jornalismo #jornalismolocal #jornalismoindependente #empreendedorismo #noticias #caxiasdosul #serragaucha https://t.co/oQfQsdwDRo</t>
  </si>
  <si>
    <t>PERFIS
Conheça as embaixatrizes Gabriela Letícia Boff, Isadora Losekann Marcon e Laysa Bettiato Poloni.
.
.
#serraempauta #jornalismo #jornalismolocal #jornalismoindependente #empreendedorismo #noticias #caxiasdosul #serragaucha https://t.co/jL5oUKv7yw</t>
  </si>
  <si>
    <t>SAÚDE
CPI quer informações sobre ampliação do Hospital Geral, em Caxias.
.
.
#serraempauta #jornalismo #jornalismolocal #jornalismoindependente #empreendedorismo #noticias #caxiasdosul #serragaucha https://t.co/XxGHHr3TD4</t>
  </si>
  <si>
    <t>Santa Lúcia do Piaí, em Caxias, celebra agricultura neste domingo.
.
.
#serraempauta #jornalismo #jornalismolocal #jornalismoindependente #empreendedorismo #noticias #caxiasdosul #serragaucha https://t.co/NCARINQZep</t>
  </si>
  <si>
    <t>Refis 2023 de Caxias do Sul é prorrogado até 31 de agosto.
.
.
#serraempauta #jornalismo #jornalismolocal #jornalismoindependente #empreendedorismo #noticias #caxiasdosul #serragaucha https://t.co/o1VbYce50t</t>
  </si>
  <si>
    <t>Avaliadores dos Melhores Vinhos de Caxias do Sul são homenageados.
.
.
#serraempauta #jornalismo #jornalismolocal #jornalismoindependente #empreendedorismo #noticias #caxiasdosul #serragaucha https://t.co/hiAR996fLE</t>
  </si>
  <si>
    <t>Prefeito de Caxias do Sul entrega LDO à Câmara nesta sexta-feira.
.
.
#serraempauta #jornalismo #jornalismolocal #jornalismoindependente #empreendedorismo #noticias #caxiasdosul #serragaucha https://t.co/TYXqWeQ5ZF</t>
  </si>
  <si>
    <t>ARTIGO
A agricultura como ferramenta de transformação. Denise Pessôa, deputada federal pelo PT/RS.
.
.
#serraempauta #jornalismo #jornalismolocal #jornalismoindependente #empreendedorismo #noticias #caxiasdosul #serragaucha https://t.co/TEZJ8VlrG4</t>
  </si>
  <si>
    <t>Prefeitura de Caxias do Sul assina contrato dos relógios digitais.
.
.
#serraempauta #jornalismo #jornalismolocal #jornalismoindependente #empreendedorismo #noticias #caxiasdosul #serragaucha https://t.co/lqeQGfx0cr</t>
  </si>
  <si>
    <t>Trio da Festa da Uva 2022 recebe Medalha Monumento ao Imigrante.
.
.
#serraempauta #jornalismo #jornalismolocal #jornalismoindependente #empreendedorismo #noticias #caxiasdosul #serragaucha https://t.co/0oDgvyjrSI</t>
  </si>
  <si>
    <t>Caxias do Sul mantém combate ao mosquito da dengue no inverno.
.
.
#serraempauta #jornalismo #jornalismolocal #jornalismoindependente #empreendedorismo #noticias #caxiasdosul #serragaucha https://t.co/SdSMVuzPp3</t>
  </si>
  <si>
    <t>Shopping Prataviera, em Caxias do Sul, comemora 30 anos neste sábado.
.
.
#serraempauta #jornalismo #jornalismolocal #jornalismoindependente #empreendedorismo #noticias #caxiasdosul #serragaucha https://t.co/e6BDjqe0pr</t>
  </si>
  <si>
    <t>Sesc realiza temporada de tributos em Caxias do Sul.
.
.
#serraempauta #jornalismo #jornalismolocal #jornalismoindependente #empreendedorismo #noticias #caxiasdosul #serragaucha https://t.co/Kkiq13puqG</t>
  </si>
  <si>
    <t>Vereadores de Caxias do Sul conhecem minutas de ocupação da Maesa.
.
.
#serraempauta #jornalismo #jornalismolocal #jornalismoindependente #empreendedorismo #noticias #caxiasdosul #serragaucha https://t.co/Jc3cUMrPmW</t>
  </si>
  <si>
    <t>Republicanos de Caxias do Sul filia mais de 120 militantes.
.
.
#serraempauta #jornalismo #jornalismolocal #jornalismoindependente #empreendedorismo #noticias #caxiasdosul #serragaucha https://t.co/IN8cf3e6A6</t>
  </si>
  <si>
    <t>Concessionária reforça inspeção em rodovias da Serra e do Caí.
.
.
#serraempauta #jornalismo #jornalismolocal #jornalismoindependente #empreendedorismo #noticias #caxiasdosul #serragaucha https://t.co/UCP1XtoAw5</t>
  </si>
  <si>
    <t>Projeto busca recursos para ação na Praça Dante, em Caxias do Sul.
.
.
#serraempauta #jornalismo #jornalismolocal #jornalismoindependente #empreendedorismo #noticias #caxiasdosul #serragaucha https://t.co/ChxLltDQ4i</t>
  </si>
  <si>
    <t>Fenavindima, em Flores, vende ingressos para escolha das soberanas.
.
.
#serraempauta #jornalismo #jornalismolocal #jornalismoindependente #empreendedorismo #noticias #floresdacunha #serragaucha https://t.co/6Y2xUbyVdp</t>
  </si>
  <si>
    <t>Câmara de Caxias do Sul abre processo seletivo para estagiários.
.
.
#serraempauta #jornalismo #jornalismolocal #jornalismoindependente #empreendedorismo #noticias #caxiasdosul #serragaucha https://t.co/aNmIPH9fr5</t>
  </si>
  <si>
    <t>Ex-rainha comanda a cozinha da Noite Italiana de Antônio Prado.
.
.
#serraempauta #jornalismo #jornalismolocal #jornalismoindependente #empreendedorismo #noticias #caxiasdosul #serragaucha https://t.co/xT6KvzmHyQ</t>
  </si>
  <si>
    <t>Caxias realiza capacitação para atendimento a pacientes com autismo.
.
.
#serraempauta #jornalismo #jornalismolocal #jornalismoindependente #empreendedorismo #noticias #caxiasdosul #serragaucha https://t.co/0ojOdblhKz</t>
  </si>
  <si>
    <t>Emenda garantirá a compra de parquinhos para escolas municipais de Caxias.
.
.
#serraempauta #jornalismo #jornalismolocal #jornalismoindependente #empreendedorismo #noticias #caxiasdosul #serragaucha https://t.co/WKTKRLIaap</t>
  </si>
  <si>
    <t>CPI da Saúde é oficialmente instalada na Câmara de Caxias.
.
.
#serraempauta #jornalismo #jornalismolocal #jornalismoindependente #empreendedorismo #noticias #caxiasdosul #serragaucha https://t.co/hfmR7ah6Pp</t>
  </si>
  <si>
    <t>União garante R$ 53 milhões para o custeio do Hospital Geral, em Caxias.
.
.
#serraempauta #jornalismo #jornalismolocal #jornalismoindependente #empreendedorismo #noticias #caxiasdosul #serragaucha https://t.co/UQN8jMdgX9</t>
  </si>
  <si>
    <t>Caxias recebe apresentações de teatro que discute sobre a doação de medula óssea.
.
.
#serraempauta #jornalismo #jornalismolocal #jornalismoindependente #empreendedorismo #noticias #caxiasdosul #serragaucha https://t.co/f9RHdAv5WL</t>
  </si>
  <si>
    <t>Prefeitura de Caxias abre concurso para 15 vagas e cadastro reserva.
.
.
#serraempauta #jornalismo #jornalismolocal #jornalismoindependente #empreendedorismo #noticias #caxiasdosul #serragaucha https://t.co/4G1VNhwFz3</t>
  </si>
  <si>
    <t>Câmara de Caxias discute sobre a criação de Coordenadoria de Zeladoria.
.
.
#serraempauta #jornalismo #jornalismolocal #jornalismoindependente #empreendedorismo #noticias #caxiasdosul #serragaucha https://t.co/kEVRj6dbsk</t>
  </si>
  <si>
    <t>ARTIGO
Competências interculturais para viver e trabalhar em harmonia em mundo hiperconectado.
.
.
#serraempauta #jornalismo #jornalismolocal #jornalismoindependente #empreendedorismo #noticias #caxiasdosul #serragaucha https://t.co/DjabXOWJE6</t>
  </si>
  <si>
    <t>CÂMARA DE VEREADORES
CPI da Saúde de Caxias aprova a convocação de mais três depoimentos.
.
.
#serraempauta #jornalismo #jornalismolocal #jornalismoindependente #empreendedorismo #noticias #caxiasdosul #serragaucha https://t.co/gkKSkmY9fE</t>
  </si>
  <si>
    <t>SERVIÇO
Ruas serão bloqueadas para desfile da Semana Farroupilha, em Caxias.
.
.
#serraempauta #jornalismo #jornalismolocal #jornalismoindependente #empreendedorismo #noticias #caxiasdosul #serragaucha https://t.co/1kCoiQ7jsJ</t>
  </si>
  <si>
    <t>LITERATURA
Jornalista Carlinhos Santos lança o livro Mil Folhas em Caxias.
.
.
#serraempauta #jornalismo #jornalismolocal #jornalismoindependente #empreendedorismo #noticias #caxiasdosul #serragaucha https://t.co/m0DwKvNfR3</t>
  </si>
  <si>
    <t>REGULARIZAÇÃO FUNDIÁRIA
Prefeitura de Caxias entrega títulos para 80 famílias do núcleo Conquista.
.
.
#serraempauta #jornalismo #jornalismolocal #jornalismoindependente #empreendedorismo #noticias #caxiasdosul #serragaucha https://t.co/n6lR7CKtJn</t>
  </si>
  <si>
    <t>CELEBRAÇÃO
Noite de Gala brinda rótulos de vinhos e espumantes premium da Serra.
.
.
#serraempauta #jornalismo #jornalismolocal #jornalismoindependente #empreendedorismo #noticias #caxiasdosul #serragaucha https://t.co/uczzmkEk78</t>
  </si>
  <si>
    <t>CAUSOS E GAITAS
Nova temporada da série sobre a música serrana inicia nesta sexta.
.
.
#serraempauta #jornalismo #jornalismolocal #jornalismoindependente #empreendedorismo #noticias #caxiasdosul #serragaucha https://t.co/EKKvzQB7yE</t>
  </si>
  <si>
    <t>CAUSOS E GAITAS
Nova temporada da série sobre a música serrana inicia nesta sexta.
.
.
#serraempauta #jornalismo #jornalismolocal #jornalismoindependente #empreendedorismo #noticias #caxiasdosul #serragaucha https://t.co/cikc2mZfQz</t>
  </si>
  <si>
    <t>ATUALIZAÇÃO
Aplicativo do Samae de Caxias recebe novos recursos.
.
.
#serraempauta #jornalismo #jornalismolocal #jornalismoindependente #empreendedorismo #noticias #caxiasdosul #serragaucha https://t.co/0el6iVaUx7</t>
  </si>
  <si>
    <t>INFRAESTRUTURA
Obra no Esplanada, em Caxias, busca solucionar alagamentos em casas.
.
.
#serraempauta #jornalismo #jornalismolocal #jornalismoindependente #empreendedorismo #noticias #caxiasdosul #serragaucha https://t.co/O2wVBZosF2</t>
  </si>
  <si>
    <t>SOLUÇÕES TECNOLÓGICAS
Estudantes de Caxias desenvolvem projetos de empreendedorismo e inovação.
.
.
#serraempauta #jornalismo #jornalismolocal #jornalismoindependente #empreendedorismo #noticias #caxiasdosul #serragaucha https://t.co/xOllW6MbPz</t>
  </si>
  <si>
    <t>NEGOCIAÇÃO
Acordo define reajuste de 4% para comerciários de Caxias e região.
.
.
#serraempauta #jornalismo #jornalismolocal #jornalismoindependente #empreendedorismo #noticias #caxiasdosul #serragaucha https://t.co/h5t7XYK8U7</t>
  </si>
  <si>
    <t>NOVAS OITIVAS
CPI da Saúde de Caxias do Sul convoca presidente do Sindisaúde.
.
.
#serraempauta #jornalismo #jornalismolocal #jornalismoindependente #empreendedorismo #noticias #caxiasdosul #serragaucha https://t.co/v5giPiHMhl</t>
  </si>
  <si>
    <t>HOMENAGEM
Câmara concede título de Cidadão Caxiense para Ladir Brandalise.
.
.
#serraempauta #jornalismo #jornalismolocal #jornalismoindependente #empreendedorismo #noticias #caxiasdosul #serragaucha https://t.co/56kZXWRSJQ</t>
  </si>
  <si>
    <t>BRASIL
Orçamento de 2024 prevê crescimento de 2,26% para economia.
.
.
#serraempauta #jornalismo #jornalismolocal #jornalismoindependente #empreendedorismo #noticias #caxiasdosul #serragaucha https://t.co/ry16q3mx7i</t>
  </si>
  <si>
    <t>SAÚDE
CPI preocupada com falta de chamamento para a UPA da Zona Norte, em Caxias.
.
.
#serraempauta #jornalismo #jornalismolocal #jornalismoindependente #empreendedorismo #noticias #caxiasdosul #serragaucha https://t.co/2mKsRv65WC</t>
  </si>
  <si>
    <t>INFRAESTRUTURA
Prefeitura de Caxias contrata empréstimo para tanques de contenção.
.
.
#serraempauta #jornalismo #jornalismolocal #jornalismoindependente #empreendedorismo #noticias #caxiasdosul #serragaucha https://t.co/7t0yjnE4DQ</t>
  </si>
  <si>
    <t>SAÚDE
Arita Bergmann visita novos leitos do Hospital Geral, em Caxias.
.
.
#serraempauta #jornalismo #jornalismolocal #jornalismoindependente #empreendedorismo #noticias #caxiasdosul #serragaucha https://t.co/Mfq4gtOSFc</t>
  </si>
  <si>
    <t>CÂMARA DE VEREADORES
Aprovada inclusão da Romaria de Caravaggio no calendário de Caxias.
.
.
#serraempauta #jornalismo #jornalismolocal #jornalismoindependente #empreendedorismo #noticias #caxiasdosul #serragaucha https://t.co/spRCFC5EXo</t>
  </si>
  <si>
    <t>PEC
Governo Federal pode proibir militar da ativa de se candidatar.
.
.
#serraempauta #jornalismo #jornalismolocal #jornalismoindependente #empreendedorismo #noticias #caxiasdosul #serragaucha https://t.co/u5UW5Fhn3r</t>
  </si>
  <si>
    <t>MOBILIDADE
Transporte coletivo de Caxias amplia linhas de ônibus sem catraca.
.
.
#serraempauta #jornalismo #jornalismolocal #jornalismoindependente #empreendedorismo #noticias #caxiasdosul #serragaucha https://t.co/rygMq3ipP2</t>
  </si>
  <si>
    <t>ECONOMIA
Receita abre na quinta consulta ao quarto lote de restituição do IR.
.
.
#serraempauta #jornalismo #jornalismolocal #jornalismoindependente #empreendedorismo #noticias #caxiasdosul #serragaucha https://t.co/Cv0wYTxKIE</t>
  </si>
  <si>
    <t>PROGRAME-SE
Lucio Yanel e Quarteto de Cordas da UCS se apresentam em Caxias.
.
.
#serraempauta #jornalismo #jornalismolocal #jornalismoindependente #empreendedorismo #noticias #caxiasdosul #serragaucha https://t.co/uXWz0yPbp3</t>
  </si>
  <si>
    <t>GOVERNO FEDERAL
Festa da Uva, em Caxias, tem projeto aprovado pela Lei Rouanet.
.
.
#serraempauta #jornalismo #jornalismolocal #jornalismoindependente #empreendedorismo #noticias #caxiasdosul #serragaucha https://t.co/MDK1bYWxCJ</t>
  </si>
  <si>
    <t>INÉDITO NO RS
Rodovias da Serra e Caí terão sistema de pedágio automático.
.
.
#serraempauta #jornalismo #jornalismolocal #jornalismoindependente #empreendedorismo #noticias #caxiasdosul #serragaucha https://t.co/gKDPgTKLHr</t>
  </si>
  <si>
    <t>AVANÇOS SIGNIFICATIVOS'
Prefeito de Caxias do Sul fortalece vínculos em agendas em Brasília.
.
.
#serraempauta #jornalismo #jornalismolocal #jornalismoindependente #empreendedorismo #noticias #caxiasdosul #serragaucha https://t.co/apE9oPtr4f</t>
  </si>
  <si>
    <t>A PARTIR DESTA SEXTA
Dnit instala semáforo na BR-116, em Nova Petrópolis.
.
.
#serraempauta #jornalismo #jornalismolocal #jornalismoindependente #empreendedorismo #noticias #caxiasdosul #serragaucha https://t.co/0gKz5xLU2O</t>
  </si>
  <si>
    <t>AGILIDADE
Denise Pessôa apresenta ao judiciário gaúcho app Maria da Penha.
.
.
#serraempauta #jornalismo #jornalismolocal #jornalismoindependente #empreendedorismo #noticias #caxiasdosul #serragaucha https://t.co/zD3s8hfPeC</t>
  </si>
  <si>
    <t>EM REFORMA
UBS Mariani atenderá em nova sede no Cidade Nova, em Caxias do Sul.
.
.
#serraempauta #jornalismo #jornalismolocal #jornalismoindependente #empreendedorismo #noticias #caxiasdosul #serragaucha https://t.co/EKevlwwUI2</t>
  </si>
  <si>
    <t>TRADIÇÃO
Antônio Prado está em contagem regressiva para a Noite Italiana.
.
.
#serraempauta #jornalismo #jornalismolocal #jornalismoindependente #empreendedorismo #noticias #caxiasdosul #serragaucha https://t.co/3a4MEO020d</t>
  </si>
  <si>
    <t>NO PIRATINI
Comitiva reivindica aumento de efetivo das polícias para Caxias do Sul.
.
.
#serraempauta #jornalismo #jornalismolocal #jornalismoindependente #empreendedorismo #noticias #caxiasdosul #serragaucha https://t.co/M9tLaeoacq</t>
  </si>
  <si>
    <t>COMÉRCIO
Pesquisa aponta queda nas vendas para o Dia dos Pais, em Caxias.
.
.
#serraempauta #jornalismo #jornalismolocal #jornalismoindependente #empreendedorismo #noticias #caxiasdosul #serragaucha https://t.co/J4082druUt</t>
  </si>
  <si>
    <t>UAB E AMAESA
Reforçado modelo original de mercado público na Maesa, em Caxias.
.
.
#serraempauta #jornalismo #jornalismolocal #jornalismoindependente #empreendedorismo #noticias #caxiasdosul #serragaucha https://t.co/HQG3wuKR7x</t>
  </si>
  <si>
    <t>REPRESENTATIVIDADE
Marisa Formolo lança livro na segunda-feira, em Caxias do Sul.
.
.
#serraempauta #jornalismo #jornalismolocal #jornalismoindependente #empreendedorismo #noticias #caxiasdosul #serragaucha https://t.co/dA9soQ6IPk</t>
  </si>
  <si>
    <t>PROJETO EM EXECUÇÃO
UCS apresenta Centro de Autismo à Secretaria Estadual da Saúde.
.
.
#serraempauta #jornalismo #jornalismolocal #jornalismoindependente #empreendedorismo #noticias #caxiasdosul #serragaucha https://t.co/kOTd3Lch98</t>
  </si>
  <si>
    <t>NOVA OPERAÇÃO
Aeroporto Hugo Cantergiani amplia oferta de voos em Caxias do Sul.
.
.
#serraempauta #jornalismo #jornalismolocal #jornalismoindependente #empreendedorismo #noticias #caxiasdosul #serragaucha https://t.co/6jVcHaxy4C</t>
  </si>
  <si>
    <t>HOMENAGEM
Caxias do Sul celebra 80 anos da Força Expedicionária Brasileira.
.
.
#serraempauta #jornalismo #jornalismolocal #jornalismoindependente #empreendedorismo #noticias #caxiasdosul #serragaucha https://t.co/2s8lSwb6xN</t>
  </si>
  <si>
    <t>NOVO FORMATO
Sindilojas Caxias realiza simpósio com palco nacional e local.
.
.
#serraempauta #jornalismo #jornalismolocal #jornalismoindependente #empreendedorismo #noticias #caxiasdosul #serragaucha https://t.co/JP376pVf5l</t>
  </si>
  <si>
    <t>EM SEIS UBSS
Nova central de agendamento de consultas já opera em Caxias do Sul.
.
.
#serraempauta #jornalismo #jornalismolocal #jornalismoindependente #empreendedorismo #noticias #caxiasdosul #serragaucha https://t.co/k43NvAmwOs</t>
  </si>
  <si>
    <t>Caxias do Sul estuda destino de resíduos da construção civil.
.
.
#serraempauta #jornalismo #jornalismolocal #jornalismoindependente #empreendedorismo #noticias #caxiasdosul #serragaucha https://t.co/BWSbtred12</t>
  </si>
  <si>
    <t>Plano Diretor debate sobre ciclomobilidade em Caxias do Sul.
.
.
#serraempauta #jornalismo #jornalismolocal #jornalismoindependente #empreendedorismo #noticias #caxiasdosul #serragaucha https://t.co/5VTmRxxLdD</t>
  </si>
  <si>
    <t>Saúde discute abertura de novos leitos do HG em Caxias do Sul.
.
.
#serraempauta #jornalismo #jornalismolocal #jornalismoindependente #empreendedorismo #noticias #caxiasdosul #serragaucha https://t.co/xV5tC1Ceic</t>
  </si>
  <si>
    <t>Plano de ocupação da Maesa em Caxias do Sul recebe readequação.
.
.
#serraempauta #jornalismo #jornalismolocal #jornalismoindependente #empreendedorismo #noticias #caxiasdosul #serragaucha https://t.co/NaZpcmhDHt</t>
  </si>
  <si>
    <t>Economia de Caxias do Sul acumula 4,7% de crescimento até maio.
.
#serraempauta #jornalismo #jornalismolocal #jornalismoindependente #empreendedorismo #noticias #caxiasdosul #serragaucha https://t.co/DIDOKuxXgN</t>
  </si>
  <si>
    <t>Comemorado centenário da primeira espada forjada em Caxias do Sul.
.
.
#serraempauta #jornalismo #jornalismolocal #jornalismoindependente #empreendedorismo #noticias #caxiasdosul #serragaucha https://t.co/nGQqBM6kYP</t>
  </si>
  <si>
    <t>Intensificada coleta de amostras para Melhores Vinhos de Caxias do Sul.
.
.
#serraempauta #jornalismo #jornalismolocal #jornalismoindependente #empreendedorismo #noticias #caxiasdosul #serragaucha https://t.co/eRhJ13JbsJ</t>
  </si>
  <si>
    <t>Francisco Michelin é o patrono da Feira do Livro de Caxias do Sul. Evento que inicia dia 29 de setembro terá como amiga do livro a pedagoga Aline Luz.
.
.
#serraempauta #jornalismo #jornalismolocal #jornalismoindependente #empreendedorismo #noticias #caxiasdosul #serragaucha https://t.co/3NYHrfDagi</t>
  </si>
  <si>
    <t>Local da nova praça de pedágio em Flores da Cunha é debatido.
.
.
#serraempauta #jornalismo #jornalismolocal #jornalismoindependente #empreendedorismo #noticias #caxiasdosul #serragaucha https://t.co/4Uj13vTQ0K</t>
  </si>
  <si>
    <t>Assembleia instala Frente Parlamentar da Serra Gaúcha em Bento.
.
.
#serraempauta #jornalismo #jornalismolocal #jornalismoindependente #empreendedorismo #noticias #caxiasdosul #serragaucha https://t.co/VwCR5aa7Jx</t>
  </si>
  <si>
    <t>Audiência dos metalúrgicos de Caxias do Sul termina sem acordo.
.
.
#serraempauta #jornalismo #jornalismolocal #jornalismoindependente #empreendedorismo #noticias #caxiasdosul #serragaucha https://t.co/JMP2MWpnte</t>
  </si>
  <si>
    <t>Prefeitura propõe criação do alvará turístico em Caxias do Sul.
.
.
#serraempauta #jornalismo #jornalismolocal #jornalismoindependente #empreendedorismo #noticias #caxiasdosul #serragaucha https://t.co/XmvenjWqpF</t>
  </si>
  <si>
    <t>Projeto propõe combater importunação de mulheres em Caxias do Sul.
.
.
#serraempauta #jornalismo #jornalismolocal #jornalismoindependente #empreendedorismo #noticias #caxiasdosul #serragaucha https://t.co/r79Z0xTGLf</t>
  </si>
  <si>
    <t>Feira Garage Sale ocorre neste final de semana em Caxias do Sul.
.
.
#serraempauta #jornalismo #jornalismolocal #jornalismoindependente #empreendedorismo #noticias #caxiasdosul #serragaucha https://t.co/PmIc3yvVXK</t>
  </si>
  <si>
    <t>DETALHAMENTO
Pesquisa revela impacto do suicídio em Caxias do Sul.
.
.
#serraempauta #jornalismo #jornalismolocal #jornalismoindependente #empreendedorismo #noticias #caxiasdosul #serragaucha https://t.co/zzxdLhUMYA</t>
  </si>
  <si>
    <t>PROGRAME-SE
Orquestra de Sopros apresenta o concerto Música de Cinema em Caxias.
.
.
#serraempauta #jornalismo #jornalismolocal #jornalismoindependente #empreendedorismo #noticias #caxiasdosul #serragaucha https://t.co/ZichzUoOXU</t>
  </si>
  <si>
    <t>PROGRAME-SE
Festival de Balonismo inicia dia 29 de setembro em Bento Gonçalves.
.
.
#serraempauta #jornalismo #jornalismolocal #jornalismoindependente #empreendedorismo #noticias #caxiasdosul #serragaucha https://t.co/KJU14Yg5Kj</t>
  </si>
  <si>
    <t>PARTIDO
PT de Caxias do Sul defende construção de chapa à Prefeitura.
.
.
#serraempauta #jornalismo #jornalismolocal #jornalismoindependente #empreendedorismo #noticias #caxiasdosul #serragaucha https://t.co/IWoCBtSmP5</t>
  </si>
  <si>
    <t>CONTOS ADAPTADOS
Machado de Assis ganha versão em HQs por estúdio de Caxias do Sul.
.
.
#serraempauta #jornalismo #jornalismolocal #jornalismoindependente #empreendedorismo #noticias #caxiasdosul #serragaucha https://t.co/bKdlnLXajd</t>
  </si>
  <si>
    <t>POLÍCIA
Brigadiano é atropelado por carro em fuga em Caxias do Sul.
.
.
#serraempauta #jornalismo #jornalismolocal #jornalismoindependente #empreendedorismo #noticias #caxiasdosul #serragaucha https://t.co/W9U2t4UJDb</t>
  </si>
  <si>
    <t>BALANÇO
Defesa Civil contabiliza 43 mortes nas enchentes no RS.
.
📸Grupo de Apoio a Desastres/Divulgação
.
#serraempauta #jornalismo #jornalismolocal #jornalismoindependente #empreendedorismo #noticias #caxiasdosul #serragaucha https://t.co/FoWYfUO9IB</t>
  </si>
  <si>
    <t>FOMENTO
Cultura lança dois editais da Lei Paulo Gustavo em Caxias do Sul.
.
.
#serraempauta #jornalismo #jornalismolocal #jornalismoindependente #empreendedorismo #noticias #caxiasdosul #serragaucha https://t.co/vY318U8gq3</t>
  </si>
  <si>
    <t>IMPACTO DAS ENCHENTES
Sobe para 37 os mortos pela passagem de ciclone no RS.
.
.
#serraempauta #jornalismo #jornalismolocal #jornalismoindependente #empreendedorismo #noticias #caxiasdosul #serragaucha https://t.co/1iOOK1yHTy</t>
  </si>
  <si>
    <t>DEPOIMENTO LONGO
CPI ouve a secretária da Saúde de Caxias sobre políticas do setor.
.
.
#serraempauta #jornalismo #jornalismolocal #jornalismoindependente #empreendedorismo #noticias #caxiasdosul #serragaucha https://t.co/FEMKMt14FN</t>
  </si>
  <si>
    <t>ENCHENTES NO RS
Desfile cívico-militar de 7 de Setembro é cancelado em Caxias do Sul.
.
#serraempauta #jornalismo #jornalismolocal #jornalismoindependente #empreendedorismo #noticias #caxiasdosul #serragaucha https://t.co/KmXvdeRMDL</t>
  </si>
  <si>
    <t>PROGRAME-SE
Espetáculo 'A Experiência Beatles' ocorre em setembro em Caxias.
.
.
#serraempauta #jornalismo #jornalismolocal #jornalismoindependente #empreendedorismo #noticias #caxiasdosul #serragaucha https://t.co/h2ckYr7fpJ</t>
  </si>
  <si>
    <t>HABITA CAXIAS
Prefeitura de Caxias realiza mutirão de cadastramento no sábado.
.
.
#serraempauta #jornalismo #jornalismolocal #jornalismoindependente #empreendedorismo #noticias #caxiasdosul #serragaucha https://t.co/gqr8hKvqXg</t>
  </si>
  <si>
    <t>MINISTÉRIO DAS COMUNICAÇÕES
Câmara de Caxias do Sul garante reserva de canais para tv e rádio.
.
.
#serraempauta #jornalismo #jornalismolocal #jornalismoindependente #empreendedorismo #noticias #caxiasdosul #serragaucha https://t.co/VMvMVWoD38</t>
  </si>
  <si>
    <t>AUXÍLIO FINANCEIRO
Salton apresenta resultados da campanha Legado Social, em Bento.
.
.
#serraempauta #jornalismo #jornalismolocal #jornalismoindependente #empreendedorismo #noticias #caxiasdosul #serragaucha https://t.co/OxJNm1Wznt</t>
  </si>
  <si>
    <t>MOBILIDADE
Bento Gonçalves anuncia novo complexo viário na Zona Sul.
.
.
#serraempauta #jornalismo #jornalismolocal #jornalismoindependente #empreendedorismo #noticias #caxiasdosul #serragaucha https://t.co/G74nE10HvD</t>
  </si>
  <si>
    <t>NOVO FORMATO
Caxias tem inscrições abertas para o Calendário Ecológico 2024.
.
.
#serraempauta #jornalismo #jornalismolocal #jornalismoindependente #empreendedorismo #noticias #caxiasdosul #serragaucha https://t.co/VcyVw7gL1G</t>
  </si>
  <si>
    <t>ESPORTE
Caxias recebe primeira edição da Taça das Favelas neste domingo.
.
.
#serraempauta #jornalismo #jornalismolocal #jornalismoindependente #empreendedorismo #noticias #caxiasdosul #serragaucha https://t.co/u9w5ve1KHo</t>
  </si>
  <si>
    <t>REDE PLUVIAL
Samae libera trecho da Atílio Andreazza para tráfego de veículos.
.
.
#serraempauta #jornalismo #jornalismolocal #jornalismoindependente #empreendedorismo #noticias #caxiasdosul #serragaucha https://t.co/G34E5dN2wY</t>
  </si>
  <si>
    <t>SETOR VITIVINÍCOLA BRASILEIRO
Exportações de vinhos cresceram 1,7% no primeiro semestre.
.
.
#serraempauta #jornalismo #jornalismolocal #jornalismoindependente #empreendedorismo #noticias #caxiasdosul #serragaucha https://t.co/Zh4qHy4cBX</t>
  </si>
  <si>
    <t>ORGANIZAÇÃO
Grupo de trabalho alinha ações de remoção de fios em Caxias do Sul.
.
.
#serraempauta #jornalismo #jornalismolocal #jornalismoindependente #empreendedorismo #noticias #caxiasdosul #serragaucha https://t.co/JbhPcLp7oh</t>
  </si>
  <si>
    <t>REIVINDICAÇÕES
Sindiserv, de Caxias, alinha projetos para servidores em Brasília.
.
.
#serraempauta #jornalismo #jornalismolocal #jornalismoindependente #empreendedorismo #noticias #caxiasdosul #serragaucha https://t.co/hs2ilJn9Bo</t>
  </si>
  <si>
    <t>MÉRICA'
Escolhida música-tema para embalar a Festa da Uva 2024, em Caxias.
.
.
#serraempauta #jornalismo #jornalismolocal #jornalismoindependente #empreendedorismo #noticias #caxiasdosul #serragaucha https://t.co/sFF10gUe4J</t>
  </si>
  <si>
    <t>CULTURA
Bento Gonçalves sedia mais uma edição do Sesc Hip Hop.
.
.
#serraempauta #jornalismo #jornalismolocal #jornalismoindependente #empreendedorismo #noticias #caxiasdosul #serragaucha https://t.co/S5lZOMpBZS</t>
  </si>
  <si>
    <t>PROPOSTA DO TRT 4
Metalúrgicos e Simecs de Caxias aprovam dissídio da categoria
.
.
#serraempauta #jornalismo #jornalismolocal #jornalismoindependente #empreendedorismo #noticias #caxiasdosul #serragaucha https://t.co/WxSpd6Lp6I</t>
  </si>
  <si>
    <t>DIVULGAÇÃO
Embaixatrizes da Festa da Uva percorreram Caxias do Sul em carreata.
.
.
#serraempauta #jornalismo #jornalismolocal #jornalismoindependente #empreendedorismo #noticias #caxiasdosul #serragaucha https://t.co/8seFzEFs1S</t>
  </si>
  <si>
    <t>DISTRIBUIÇÃO DE ÁGUA
Inicia colocação da adutora para Aeroporto de Vila Oliva, em Caxias.
.
.
#serraempauta #jornalismo #jornalismolocal #jornalismoindependente #empreendedorismo #noticias #caxiasdosul #serragaucha https://t.co/RzDciYMsvd</t>
  </si>
  <si>
    <t>PRATOS ESPECIAIS
Restaurante do Sesc, em Caxias do Sul, terá festivais gastronômicos.
.
.
#serraempauta #jornalismo #jornalismolocal #jornalismoindependente #empreendedorismo #noticias #caxiasdosul #serragaucha https://t.co/uvta5qAa49</t>
  </si>
  <si>
    <t>RESULTADOS NA PRÁTICA
Alunos da rede municipal de Caxias tem auxílio da equoterapia.
.
.
#serraempauta #jornalismo #jornalismolocal #jornalismoindependente #empreendedorismo #noticias #caxiasdosul #serragaucha https://t.co/lacbIoEYJF</t>
  </si>
  <si>
    <t>MATURIDADE
Caxias do Sul é selecionada para projetos de transformação digital.
.
.
#serraempauta #jornalismo #jornalismolocal #jornalismoindependente #empreendedorismo #noticias #caxiasdosul #serragaucha https://t.co/cgVz8i4Puq</t>
  </si>
  <si>
    <t>ARTIGO
Avançando rumo à sustentabilidade e economia verde. Edson Nespolo, diretor da 1ª Eletric Move RS.
.
.
#serraempauta #jornalismo #jornalismolocal #jornalismoindependente #empreendedorismo #noticias #caxiasdosul #serragaucha https://t.co/DUp6NfSqvh</t>
  </si>
  <si>
    <t>PALESTRANTES RENOMADOS
CIC de Caxias do Sul realiza segunda edição do Let's Marketing.
.
.
#serraempauta #jornalismo #jornalismolocal #jornalismoindependente #empreendedorismo #noticias #caxiasdosul #serragaucha https://t.co/oeghqqqnzv</t>
  </si>
  <si>
    <t>RECONHECIMENTO
Câmara de Caxias do Sul abre inscrições para o Prêmio Darcy Ribeiro.
.
.
#serraempauta #jornalismo #jornalismolocal #jornalismoindependente #empreendedorismo #noticias #caxiasdosul #serragaucha https://t.co/Gqe1UYh90e</t>
  </si>
  <si>
    <t>EMPRESA FESTA DA UVA
Aberto chamamento para ocupação das casas das Réplicas de Caxias.
.
.
#serraempauta #jornalismo #jornalismolocal #jornalismoindependente #empreendedorismo #noticias #caxiasdosul #serragaucha https://t.co/ozIP4IrVJQ</t>
  </si>
  <si>
    <t>Prefeitura de Caxias entrega quinto lote de veículos e máquinas.
.
.
#serraempauta #jornalismo #jornalismolocal #jornalismoindependente #empreendedorismo #noticias #caxiasdosul #serragaucha https://t.co/9zo65AQCZl</t>
  </si>
  <si>
    <t>Artistas pintarão muro do cemitério público de Caxias do Sul.
.
.
#serraempauta #jornalismo #jornalismolocal #jornalismoindependente #empreendedorismo #noticias #caxiasdosul #serragaucha https://t.co/UQIpwg4h13</t>
  </si>
  <si>
    <t>Seminário discute o futuro da educação na Serra em agosto.
.
.
#serraempauta #jornalismo #jornalismolocal #jornalismoindependente #empreendedorismo #noticias #caxiasdosul #serragaucha https://t.co/8RaoPUFUUy</t>
  </si>
  <si>
    <t>Revelado o cartaz oficial da Festa da Uva 2024, em Caxias do Sul.
.
.
#serraempauta #jornalismo #jornalismolocal #jornalismoindependente #empreendedorismo #noticias #caxiasdosul #serragaucha https://t.co/CoB6ymipES</t>
  </si>
  <si>
    <t>Descendo a Serra realiza show no domingo em Caxias do Sul.
.
.
#serraempauta #jornalismo #jornalismolocal #jornalismoindependente #empreendedorismo #noticias #caxiasdosul #serragaucha https://t.co/b61Rpt6isv</t>
  </si>
  <si>
    <t>Painel debate sobre 80 anos da explosão na Gazola, em Caxias do Sul.
.
.
#serraempauta #jornalismo #jornalismolocal #jornalismoindependente #empreendedorismo #noticias #caxiasdosul #serragaucha https://t.co/wIL9eDpwfi</t>
  </si>
  <si>
    <t>CPI da Saúde aprova pedidos de documentos à Prefeitura de Caxias.
.
.
#serraempauta #jornalismo #jornalismolocal #jornalismoindependente #empreendedorismo #noticias #caxiasdosul #serragaucha https://t.co/MXAdC7GS0h</t>
  </si>
  <si>
    <t>Caxias do Sul deve implantar agendamento de consultas em UBSs.
.
.
#serraempauta #jornalismo #jornalismolocal #jornalismoindependente #empreendedorismo #noticias #caxiasdosul #serragaucha https://t.co/nX6S8oBCWM</t>
  </si>
  <si>
    <t>Hospedagem Solidária já distribuiu mais de mil refeições, em Caxias do Sul.
.
.
#serraempauta #jornalismo #jornalismolocal #jornalismoindependente #empreendedorismo #noticias #caxiasdosul #serragaucha https://t.co/mWjPf6GS7z</t>
  </si>
  <si>
    <t>Ministro Alexandre Padilha visita Marcopolo em Caxias do Sul.
.
.
#serraempauta #jornalismo #jornalismolocal #jornalismoindependente #empreendedorismo #noticias #caxiasdosul #serragaucha https://t.co/2Y93zbML7t</t>
  </si>
  <si>
    <t>Boccati celebra o Dia Mundial do Rock com música e vinho.
.
.
#serraempauta #jornalismo #jornalismolocal #jornalismoindependente #empreendedorismo #noticias #caxiasdosul #serragaucha https://t.co/kqCdQxpd73</t>
  </si>
  <si>
    <t>Feira Mãos da Terra atrai 48 mil visitantes em Caxias do Sul.
.
.
#serraempauta #jornalismo #jornalismolocal #jornalismoindependente #empreendedorismo #noticias #caxiasdosul #serragaucha https://t.co/DqDbn1w5xN</t>
  </si>
  <si>
    <t>OPINIÃO Enfim, o fim da legítima defesa da honra.
.
.
#serraempauta #jornalismo #jornalismolocal #jornalismoindependente #empreendedorismo #noticias #caxiasdosul #serragaucha https://t.co/9Gh3nHQtbK</t>
  </si>
  <si>
    <t>Prefeitura e Pompéia debatem sobre greve da enfermagem em Caxias.
.
.
#serraempauta #jornalismo #jornalismolocal #jornalismoindependente #empreendedorismo #noticias #caxiasdosul #serragaucha https://t.co/JrPJmREcx6</t>
  </si>
  <si>
    <t>Embaixatrizes da Festa da Uva recebem o título em Caxias do Sul.
.
.
#serraempauta #jornalismo #jornalismolocal #jornalismoindependente #empreendedorismo #noticias #caxiasdosul #serragaucha https://t.co/5QnmrkwEs7</t>
  </si>
  <si>
    <t>Decreto avança ampliação da Marechal Floriano, em Caxias do Sul.
.
.
#serraempauta #jornalismo #jornalismolocal #jornalismoindependente #empreendedorismo #noticias #caxiasdosul #serragaucha https://t.co/37S4aErH6h</t>
  </si>
  <si>
    <t>INVESTIMENTO
Estado inicia obra na Escola Aristides Germani, em Caxias do Sul.
.
.
#serraempauta #jornalismo #jornalismolocal #jornalismoindependente #empreendedorismo #noticias #caxiasdosul #serragaucha https://t.co/CPxUMBvfC3</t>
  </si>
  <si>
    <t>OPERAÇÃO
PF investiga suposta fraude contra o programa Farmácia Popular.
.
.
#serraempauta #jornalismo #jornalismolocal #jornalismoindependente #empreendedorismo #noticias #caxiasdosul #serragaucha https://t.co/a1uqUEMVX1</t>
  </si>
  <si>
    <t>MÚSICA
Dupla Ermi e Domenica lança primeiro EP com faixas ítalo-gaúchas.
.
.
#serraempauta #jornalismo #jornalismolocal #jornalismoindependente #empreendedorismo #noticias #caxiasdosul #serragaucha https://t.co/9V57pSUopZ</t>
  </si>
  <si>
    <t>FOMENTO
Turismo de Caxias do Sul terá linha especial de crédito.
.
.
#serraempauta #jornalismo #jornalismolocal #jornalismoindependente #empreendedorismo #noticias #caxiasdosul #serragaucha https://t.co/zicL5CWdqn</t>
  </si>
  <si>
    <t>MOSAICO NA QUEBRADA
Muros e casas do Beltrão de Queiroz, em Caxias, ganham cor no sábado.
.
.
#serraempauta #jornalismo #jornalismolocal #jornalismoindependente #empreendedorismo #noticias #caxiasdosul #serragaucha https://t.co/5xNnn12MBb</t>
  </si>
  <si>
    <t>NOVA AVALIAÇÃO
Concessionária libera trecho da RS-122 entre Flores e Antônio Prado.
.
.
#serraempauta #jornalismo #jornalismolocal #jornalismoindependente #empreendedorismo #noticias #caxiasdosul #serragaucha https://t.co/5K6eejs2F2</t>
  </si>
  <si>
    <t>UNIDADE DE CAMPANHA
Unimed Nordeste-RS atende afetados pela enchente em Santa Tereza.
.
.
#serraempauta #jornalismo #jornalismolocal #jornalismoindependente #empreendedorismo #noticias #caxiasdosul #serragaucha https://t.co/ueHYTk4b9h</t>
  </si>
  <si>
    <t>MÚSICA
Lucio Yanel se apresenta nos Festejos Farroupilhas em Caxias.
.
.
#serraempauta #jornalismo #jornalismolocal #jornalismoindependente #empreendedorismo #noticias #caxiasdosul #serragaucha https://t.co/XgnWBktbfA</t>
  </si>
  <si>
    <t>TRANSPORTE PÚBLICO
Caxias terá passe livre nos ônibus na eleição do Conselho Tutelar.
.
.
#serraempauta #jornalismo #jornalismolocal #jornalismoindependente #empreendedorismo #noticias #caxiasdosul #serragaucha https://t.co/Wo4kYeaP1B</t>
  </si>
  <si>
    <t>MEDIDA DE SEGURANÇA
RS-122, entre Flores e Antônio Prado, segue no sistema pare e siga.
.
.
#serraempauta #jornalismo #jornalismolocal #jornalismoindependente #empreendedorismo #noticias #caxiasdosul #serragaucha https://t.co/P6UJxwa8VL</t>
  </si>
  <si>
    <t>MÚSICA
Banda TeTo, de Caxias, lança novo single em parceria com Tonho Crocco.
.
.
#serraempauta #jornalismo #jornalismolocal #jornalismoindependente #empreendedorismo #noticias #caxiasdosul #serragaucha https://t.co/s6fmkqR8NO</t>
  </si>
  <si>
    <t>APOIO
Estado anuncia recursos para municípios atingidos pelas chuvas.
.
.
#serraempauta #jornalismo #jornalismolocal #jornalismoindependente #empreendedorismo #noticias #caxiasdosul #serragaucha https://t.co/PWp312qxNg</t>
  </si>
  <si>
    <t>REGULAMENTAÇÃO
Decreto garante permanência de indústrias no interior de Caxias.
.
.
#serraempauta #jornalismo #jornalismolocal #jornalismoindependente #empreendedorismo #noticias #caxiasdosul #serragaucha https://t.co/QhHpuQIf6y</t>
  </si>
  <si>
    <t>DIMINUIÇÃO DAS FILAS
Governo do Estado habilita mais 23 centros de atendimento ao autismo.
.
.
#serraempauta #jornalismo #jornalismolocal #jornalismoindependente #empreendedorismo #noticias #caxiasdosul #serragaucha https://t.co/6kIvVWBmdQ</t>
  </si>
  <si>
    <t>ENSINO INOVADOR
Cetec UCS realiza mostra científica com recorde de projetos.
.
.
#serraempauta #jornalismo #jornalismolocal #jornalismoindependente #empreendedorismo #noticias #caxiasdosul #serragaucha https://t.co/sbLjgvkphj</t>
  </si>
  <si>
    <t>MUTIRÃO
Prefeitura de Caxias realiza mais de 400 cadastros no Habita Caxias.
.
.
#serraempauta #jornalismo #jornalismolocal #jornalismoindependente #empreendedorismo #noticias #caxiasdosul #serragaucha https://t.co/w0ZEr742zc</t>
  </si>
  <si>
    <t>TROCA DE COMANDO
Edson da Rosa retorna à Secretaria da Educação de Caxias.
.
.
#serraempauta #jornalismo #jornalismolocal #jornalismoindependente #empreendedorismo #noticias #caxiasdosul #serragaucha https://t.co/7xOUIFErdH</t>
  </si>
  <si>
    <t>PROGRAME-SE
Noite Italiana de Antônio Prado termina neste sábado.
.
.
#serraempauta #jornalismo #jornalismolocal #jornalismoindependente #empreendedorismo #noticias #caxiasdosul #serragaucha https://t.co/VtT1HPKIoE</t>
  </si>
  <si>
    <t>ECONOMIA
Senado aprova MP que aumenta salário mínimo e amplia isenção do IR.
.
.
#serraempauta #jornalismo #jornalismolocal #jornalismoindependente #empreendedorismo #noticias #caxiasdosul #serragaucha https://t.co/Yyd10M5hBj</t>
  </si>
  <si>
    <t>MORADIA POPULAR
Programa Habita Caxias pretende beneficiar mil famílias.
.
.
#serraempauta #jornalismo #jornalismolocal #jornalismoindependente #empreendedorismo #noticias #caxiasdosul #serragaucha https://t.co/Bt947O9mLj</t>
  </si>
  <si>
    <t>DESAFIO
Escola Dolaimes Angeli, em Caxias, apresenta exposição antirracista.
.
.
#serraempauta #jornalismo #jornalismolocal #jornalismoindependente #empreendedorismo #noticias #caxiasdosul #serragaucha https://t.co/vim3jydWk6</t>
  </si>
  <si>
    <t>ARTIGO
Detalhes que Fidelizam. Sidnei Staudt, cerimonialista.
.
.
#serraempauta #jornalismo #jornalismolocal #jornalismoindependente #empreendedorismo #noticias #caxiasdosul #serragaucha https://t.co/OF3gS1RaHW</t>
  </si>
  <si>
    <t>REUNIÃO NO PIRATINI
Clóvis Xuxa reivindica melhorias na Rota do Sol, em Caxias do Sul.
.
.
#serraempauta #jornalismo #jornalismolocal #jornalismoindependente #empreendedorismo #noticias #caxiasdosul #serragaucha https://t.co/xSas3Vodt1</t>
  </si>
  <si>
    <t>IMPLANTAÇÃO DE AMBULATÓRIO
ONG realiza reunião com foco na saúde da população trans em Caxias.
.
.
#serraempauta #jornalismo #jornalismolocal #jornalismoindependente #empreendedorismo #noticias #caxiasdosul #serragaucha https://t.co/GGkp1vdqxo</t>
  </si>
  <si>
    <t>EXPOSIÇÃO RELÂMPAGO
Joias da nova corte da Festa da Uva expostas no Villagio Caxias.
.
.
#serraempauta #jornalismo #jornalismolocal #jornalismoindependente #empreendedorismo #noticias #caxiasdosul #serragaucha https://t.co/Psn0FPK21I</t>
  </si>
  <si>
    <t>PROGRAME-SE
Feira Folclórica ocorre no Ordovás neste sábado, em Caxias do Sul.
.
.
#serraempauta #jornalismo #jornalismolocal #jornalismoindependente #empreendedorismo #noticias #caxiasdosul #serragaucha https://t.co/4mjW4RuenI</t>
  </si>
  <si>
    <t>COMUNICAÇÃO
Anatel autoriza ativação de rede 5G em mais 100 municípios.
.
.
#serraempauta #jornalismo #jornalismolocal #jornalismoindependente #empreendedorismo #noticias #caxiasdosul #serragaucha https://t.co/XPJw9G4X4n</t>
  </si>
  <si>
    <t>LOTAÇÃO
Vereadores visitaram UPA Central, em Caxias do Sul.
.
.
#serraempauta #jornalismo #jornalismolocal #jornalismoindependente #empreendedorismo #noticias #caxiasdosul #serragaucha https://t.co/iwpfCD8j6V</t>
  </si>
  <si>
    <t>EXPANSÃO
Vinícola Mioranza inaugura novo varejo em Flores da Cunha.
.
.
#serraempauta #jornalismo #jornalismolocal #jornalismoindependente #empreendedorismo #noticias #caxiasdosul #serragaucha https://t.co/Bl0xs2hFom</t>
  </si>
  <si>
    <t>ARTIGO
Dia do Estudante - Nossa Universidade Federal pode ser realidade. Denise Pessôa, deputada federal pelo PT/RS.
.
.
#serraempauta #jornalismo #jornalismolocal #jornalismoindependente #empreendedorismo #noticias #caxiasdosul #serragaucha https://t.co/dN6OUriQCN</t>
  </si>
  <si>
    <t>IMERSÃO
Convenção da CDL Caxias destaca marketing digital e inovação.
.
.
#serraempauta #jornalismo #jornalismolocal #jornalismoindependente #empreendedorismo #noticias #caxiasdosul #serragaucha https://t.co/7vd3pTLOGB</t>
  </si>
  <si>
    <t>PERFIS
Conheça as embaixatrizes Raele Garbin, Thayse Oliveira Cabral e Vanise Saciloto Camassola.
.
.
#serraempauta #jornalismo #jornalismolocal #jornalismoindependente #empreendedorismo #noticias #caxiasdosul #serragaucha https://t.co/Dzn7NV9a1V</t>
  </si>
  <si>
    <t>ARTIGO
Dia da Advocacia. Ana Carla Hendler Gava Furlan, presidente da OAB - Subseção de Caxias do Sul.
.
.
#serraempauta #jornalismo #jornalismolocal #jornalismoindependente #empreendedorismo #noticias #caxiasdosul #serragaucha https://t.co/MtKnflI6Ck</t>
  </si>
  <si>
    <t>Prefeitura de Caxias do Sul apresenta projeto do Parque Rural.
.
.
#serraempauta #jornalismo #jornalismolocal #jornalismoindependente #empreendedorismo #noticias #caxiasdosul #serragaucha https://t.co/VYWTDOdWhe</t>
  </si>
  <si>
    <t>Universidade de Caxias do Sul busca interessados em testar games.
.
.
#serraempauta #jornalismo #jornalismolocal #jornalismoindependente #empreendedorismo #noticias #caxiasdosul #serragaucha https://t.co/gaw5aY2bPn</t>
  </si>
  <si>
    <t>Inicia a venda de ingressos para a escolha da corte da Festa da Uva, em Caxias.
.
.
#serraempauta #jornalismo #jornalismolocal #jornalismoindependente #empreendedorismo #noticias #caxiasdosul #serragaucha https://t.co/RagGIs8iuS</t>
  </si>
  <si>
    <t>Proteção Animal de Caxias fez mais de 600 atendimentos em dois meses.
.
.
#serraempauta #jornalismo #jornalismolocal #jornalismoindependente #empreendedorismo #noticias #caxiasdosul #serragaucha https://t.co/zzo6VbpUhs</t>
  </si>
  <si>
    <t>Proposta quer isentar 50% do IPVA de veículos em blocos de concessão.
.
.
#serraempauta #jornalismo #jornalismolocal #jornalismoindependente #empreendedorismo #noticias #caxiasdosul #serragaucha https://t.co/oYCFb1wO5B</t>
  </si>
  <si>
    <t>Caxias inicia nova central de agendamento de consultas em agosto.
.
.
#serraempauta #jornalismo #jornalismolocal #jornalismoindependente #empreendedorismo #noticias #caxiasdosul #serragaucha https://t.co/FjKE4BGSGd</t>
  </si>
  <si>
    <t>Festa do Pinhão de Vila Seca, em Caxias, será realizada neste sábado.
.
.
#serraempauta #jornalismo #jornalismolocal #jornalismoindependente #empreendedorismo #noticias #caxiasdosul #serragaucha https://t.co/XKsIXxgn6H</t>
  </si>
  <si>
    <t>Jovens da Diocese de Caxias do Sul irão ao encontro do Papa Francisco.
.
.
#serraempauta #jornalismo #jornalismolocal #jornalismoindependente #empreendedorismo #noticias #caxiasdosul #serragaucha https://t.co/61PhG9VwGk</t>
  </si>
  <si>
    <t>Melhores Vinhos de Caxias do Sul tem número recorde de amostras.
.
.
#serraempauta #jornalismo #jornalismolocal #jornalismoindependente #empreendedorismo #noticias #caxiasdosul #serragaucha https://t.co/YyXQ5yG0e5</t>
  </si>
  <si>
    <t>Inscrições abertas para bolsas da Escola de Inovação, em Caxias do Sul.
.
.
#serraempauta #jornalismo #jornalismolocal #jornalismoindependente #empreendedorismo #noticias #caxiasdosul #serragaucha https://t.co/lsz9j7te9E</t>
  </si>
  <si>
    <t>HG, em Caxias do Sul, anuncia abertura parcial de novos leitos.
.
.
#serraempauta #jornalismo #jornalismolocal #jornalismoindependente #empreendedorismo #noticias #caxiasdosul #serragaucha https://t.co/QxFXcpDQGR</t>
  </si>
  <si>
    <t>Corte da Fenavinho, em Bento, vibra com recondução para próxima festa.
.
.
#serraempauta #jornalismo #jornalismolocal #jornalismoindependente #empreendedorismo #noticias #caxiasdosul #serragaucha https://t.co/Fex7qs4Ljq</t>
  </si>
  <si>
    <t>Rota do Sol em meia pista entre São Francisco de Paula e Caxias do Sul.
.
.
#serraempauta #jornalismo #jornalismolocal #jornalismoindependente #empreendedorismo #noticias #caxiasdosul #serragaucha https://t.co/8NDO8TPmoq</t>
  </si>
  <si>
    <t>Prefeitura de Caxias do Sul contrata telefonia fixa por fibra ótica.
.
.
#serraempauta #jornalismo #jornalismolocal #jornalismoindependente #empreendedorismo #noticias #caxiasdosul #serragaucha https://t.co/ygg174M6WA</t>
  </si>
  <si>
    <t>Audiência deverá debater novo plano de ocupação da Maesa em Caxias.
.
.
#serraempauta #jornalismo #jornalismolocal #jornalismoindependente #empreendedorismo #noticias #caxiasdosul #serragaucha https://t.co/f8SSZNDynY</t>
  </si>
  <si>
    <t>Consevitis-RS conta com nova assessoria de imprensa.
.
.
#serraempauta #jornalismo #jornalismolocal #jornalismoindependente #empreendedorismo #noticias #caxiasdosul #serragaucha https://t.co/5fyJHQbFke</t>
  </si>
  <si>
    <t>Madre Imilda, em Caxias do Sul, oferece experiência no planetário.
.
.
#serraempauta #jornalismo #jornalismolocal #jornalismoindependente #empreendedorismo #noticias #caxiasdosul #serragaucha https://t.co/yPr3AGMCLI</t>
  </si>
  <si>
    <t>Trappers Matuê e Teto fazem show nesta sexta em Caxias do Sul.
.
.
#serraempauta #jornalismo #jornalismolocal #jornalismoindependente #empreendedorismo #noticias #caxiasdosul #serragaucha https://t.co/tfZLMNSlDx</t>
  </si>
  <si>
    <t>Equipes trabalham para minimizar estragos em Caxias do Sul.
.
.
#serraempauta #jornalismo #jornalismolocal #jornalismoindependente #empreendedorismo #noticias #caxiasdosul #serragaucha https://t.co/0Haq1C1V5F</t>
  </si>
  <si>
    <t>DISTRIBUIÇÃO GRATUITA
Livro que reúne músicas gaúchas será lançado no sábado, em Caxias.
.
.
#serraempauta #jornalismo #jornalismolocal #jornalismoindependente #empreendedorismo #noticias #caxiasdosul #serragaucha https://t.co/jKHMGnT8pi</t>
  </si>
  <si>
    <t>CIDADÃO CAXIENSE
“O título vai para dentro dos meus afetos mais profundos”, diz Sartori.
.
.
#serraempauta #jornalismo #jornalismolocal #jornalismoindependente #empreendedorismo #noticias #caxiasdosul #serragaucha https://t.co/8mnIIeUavO</t>
  </si>
  <si>
    <t>FEIRA DO LIVRO
Tatiéli Bueno apresenta tributo a Mercedes Sosa, em Caxias do Sul.
.
.
#serraempauta #jornalismo #jornalismolocal #jornalismoindependente #empreendedorismo #noticias #caxiasdosul #serragaucha https://t.co/RhjOPeE3KA</t>
  </si>
  <si>
    <t>RECONHECIMENTO
Empresa caxiense é premiada e participa de missão no Chile.
.
.
#serraempauta #jornalismo #jornalismolocal #jornalismoindependente #empreendedorismo #noticias #caxiasdosul #serragaucha https://t.co/1kqLhuh1Fb</t>
  </si>
  <si>
    <t>COMEMORAÇÃO DE 25 ANOS
Gilmar Marcílio lança o livro O amor é uma aurora, em Caxias.
.
.
#serraempauta #jornalismo #jornalismolocal #jornalismoindependente #empreendedorismo #noticias #caxiasdosul #serragaucha https://t.co/wWMEVvtH33</t>
  </si>
  <si>
    <t>ACERVO
UAB de Caxias realiza empréstimo de trajes para Casamento Comunitário.
.
.
#serraempauta #jornalismo #jornalismolocal #jornalismoindependente #empreendedorismo #noticias #caxiasdosul #serragaucha https://t.co/S6bWAuR4f2</t>
  </si>
  <si>
    <t>EXPANSÃO
Hamburgueria inaugura com investimento de R$ 2 milhões em Caxias.
.
.
#serraempauta #jornalismo #jornalismolocal #jornalismoindependente #empreendedorismo #noticias #caxiasdosul #serragaucha https://t.co/bBTDOGZRLD</t>
  </si>
  <si>
    <t>NOVA ESTAÇÃO
Primavera começa às 3h50min deste sábado.
.
.
#serraempauta #jornalismo #jornalismolocal #jornalismoindependente #empreendedorismo #noticias #caxiasdosul #serragaucha https://t.co/PlC5WChcRX</t>
  </si>
  <si>
    <t>TRAMITAÇÃO
Caxias do Sul deverá receber título de Capital Nacional dos CTGs.
.
.
#serraempauta #jornalismo #jornalismolocal #jornalismoindependente #empreendedorismo #noticias #caxiasdosul #serragaucha https://t.co/sjWIWtY38K</t>
  </si>
  <si>
    <t>COMEMORAÇÃO
Radicci ganha exposição de 40 anos em Caxias do Sul.
.
.
#serraempauta #jornalismo #jornalismolocal #jornalismoindependente #empreendedorismo #noticias #caxiasdosul #serragaucha https://t.co/OXxB1kh6d1</t>
  </si>
  <si>
    <t>PROGRAME-SE
Leonardo Boff palestra dia 26 de setembro, na UCS, em Caxias do Sul.
.
.
#serraempauta #jornalismo #jornalismolocal #jornalismoindependente #empreendedorismo #noticias #caxiasdosul #serragaucha https://t.co/abRfNfgSMk</t>
  </si>
  <si>
    <t>CONCERTOS AO ENTARDECER
Duo de Viola e Acordeon ocorre no próximo domingo, em Caxias.
.
.
#serraempauta #jornalismo #jornalismolocal #jornalismoindependente #empreendedorismo #noticias #caxiasdosul #serragaucha https://t.co/5NKdhN3xOh</t>
  </si>
  <si>
    <t>INFRAESTRUTURA
Caxias receberá mais R$ 5 milhões para asfaltamento da Claudino Costa.
.
.
#serraempauta #jornalismo #jornalismolocal #jornalismoindependente #empreendedorismo #noticias #caxiasdosul #serragaucha https://t.co/0eT4DfHQhz</t>
  </si>
  <si>
    <t>CPI DA SAÚDE
Presidente do Sindisaúde de Caxias aponta descumprimentos trabalhistas.
.
.
#serraempauta #jornalismo #jornalismolocal #jornalismoindependente #empreendedorismo #noticias #caxiasdosul #serragaucha https://t.co/gh0Yxf9aM9</t>
  </si>
  <si>
    <t>LITERATURA
Escritor caxiense propõe versão alternativa do clássico Dom Casmurro.
.
.
#serraempauta #jornalismo #jornalismolocal #jornalismoindependente #empreendedorismo #noticias #caxiasdosul #serragaucha https://t.co/khiuRDIBO1</t>
  </si>
  <si>
    <t>PLANMOB CAXIAS
Workshop debate os desafios da mobilidade urbana em Caxias do Sul.
.
.
#serraempauta #jornalismo #jornalismolocal #jornalismoindependente #empreendedorismo #noticias #caxiasdosul #serragaucha https://t.co/9HQlh0WAzW</t>
  </si>
  <si>
    <t>DESEMPENHO
Economia de Caxias do Sul apresenta queda de 2,8% em julho.
.
.
#serraempauta #jornalismo #jornalismolocal #jornalismoindependente #empreendedorismo #noticias #caxiasdosul #serragaucha https://t.co/6djG1dsVRp</t>
  </si>
  <si>
    <t>NEGÓCIOS
Eletric Move garante a realização da segunda edição em Caxias.
.
.
#serraempauta #jornalismo #jornalismolocal #jornalismoindependente #empreendedorismo #noticias #caxiasdosul #serragaucha https://t.co/JqbNVhPHoZ</t>
  </si>
  <si>
    <t>PREPARAÇÃO
CIC de Bento anuncia data e diretores da ExpoBento e Fenavinho.
.
.
#serraempauta #jornalismo #jornalismolocal #jornalismoindependente #empreendedorismo #noticias #caxiasdosul #serragaucha https://t.co/lZSj1bEAtt</t>
  </si>
  <si>
    <t>RENOVAÇÃO
Prefeitura de Caxias entrega quinto lote da frota de veículos.
.
.
#serraempauta #jornalismo #jornalismolocal #jornalismoindependente #empreendedorismo #noticias #caxiasdosul #serragaucha https://t.co/QBV8Z64cnn</t>
  </si>
  <si>
    <t>CULTURA
Lançada a programação da Feira do Livro de Caxias do Sul.
.
.
#serraempauta #jornalismo #jornalismolocal #jornalismoindependente #empreendedorismo #noticias #caxiasdosul #serragaucha https://t.co/2s9trLiJTP</t>
  </si>
  <si>
    <t>CÂMARA DE VEREADORES
CPI aprova requerimentos e ouve secretária da Saúde de Caxias.
.
.
#serraempauta #jornalismo #jornalismolocal #jornalismoindependente #empreendedorismo #noticias #caxiasdosul #serragaucha https://t.co/aDZdxjIL1a</t>
  </si>
  <si>
    <t>1ª OITIVA
CPI da Saúde aponta quarteirizações na UPA Central em Caxias.
.
.
#serraempauta #jornalismo #jornalismolocal #jornalismoindependente #empreendedorismo #noticias #caxiasdosul #serragaucha https://t.co/J2k3TDGnHg</t>
  </si>
  <si>
    <t>TRIBUTAÇÃO
Parlamento Regional apoia projetos que beneficiam setor vinícola.
.
.
#serraempauta #jornalismo #jornalismolocal #jornalismoindependente #empreendedorismo #noticias #floresdacunha #serragaucha https://t.co/i9GonzCHmJ</t>
  </si>
  <si>
    <t>TECNOLOGIA
Transporte Coletivo de Caxias adere a novas formas de pagamento.
.
.
#serraempauta #jornalismo #jornalismolocal #jornalismoindependente #empreendedorismo #noticias #caxiasdosul #serragaucha https://t.co/g0hHRtpp8G</t>
  </si>
  <si>
    <t>IMPLANTADO EM 2014
Samu de Caxias do Sul celebra 19 anos e destaca projetos futuros.
.
#serraempauta #jornalismo #jornalismolocal #jornalismoindependente #empreendedorismo #noticias #caxiasdosul #serragaucha https://t.co/O4p5suFzfy</t>
  </si>
  <si>
    <t>FIM DE FESTA
Noite Italiana de Antônio Prado contabiliza 4,5 mil pessoas.
.
#serraempauta #jornalismo #jornalismolocal #jornalismoindependente #empreendedorismo #noticias #antonioprado #serragaucha https://t.co/FmNCBsfPnQ</t>
  </si>
  <si>
    <t>LITERATURA
Pesquisadora lança seu novo livro Ponchos e Chiripás, em Caxias.
.
.
#serraempauta #jornalismo #jornalismolocal #jornalismoindependente #empreendedorismo #noticias #caxiasdosul #serragaucha https://t.co/nEEkB4cqk9</t>
  </si>
  <si>
    <t>PROJETO CARAVANAS
Caxias do Sul abre inscrições para capacitação do RS Criativo.
.
.
#serraempauta #jornalismo #jornalismolocal #jornalismoindependente #empreendedorismo #noticias #caxiasdosul #serragaucha https://t.co/AVIX7WFj5u</t>
  </si>
  <si>
    <t>INTERAÇÃO
FSG abre edital para solução de projetos de empresas da região.
.
.
#serraempauta #jornalismo #jornalismolocal #jornalismoindependente #empreendedorismo #noticias #caxiasdosul #serragaucha https://t.co/pnMX3Wh5WE</t>
  </si>
  <si>
    <t>SAÚDE
CPI quer saber sobre recursos destinados ao HG, em Caxias do Sul.
.
.
#serraempauta #jornalismo #jornalismolocal #jornalismoindependente #empreendedorismo #noticias #caxiasdosul #serragaucha https://t.co/OHIBobVB9E</t>
  </si>
  <si>
    <t>ZELADORIA
Codeca investe na manutenção de contêineres verdes em Caxias do Sul.
.
.
#serraempauta #jornalismo #jornalismolocal #jornalismoindependente #empreendedorismo #noticias #caxiasdosul #serragaucha https://t.co/6qoZiM9bRr</t>
  </si>
  <si>
    <t>GRADUAL
HG, em Caxias, inicia abertura de leitos no dia 22 de agosto.
.
.
#serraempauta #jornalismo #jornalismolocal #jornalismoindependente #empreendedorismo #noticias #caxiasdosul #serragaucha https://t.co/QBp7jBlJRh</t>
  </si>
  <si>
    <t>EVENTO GRATUITO
ARI promove painel sobre a imprensa e a Festa da Uva, em Caxias.
.
.
#serraempauta #jornalismo #jornalismolocal #jornalismoindependente #empreendedorismo #noticias #caxiasdosul #serragaucha https://t.co/kx9i6jSfd5</t>
  </si>
  <si>
    <t>INCENTIVO
Deputada federal busca apoio para Festa da Uva, em Caxias do Sul.
.
.
#serraempauta #jornalismo #jornalismolocal #jornalismoindependente #empreendedorismo #noticias #caxiasdosul #serragaucha https://t.co/gUeqpTsZ1s</t>
  </si>
  <si>
    <t>GESTÃO DE PESSOAS
Fórum, em Caxias do Sul, aborda o tema Cultura Organizacional.
.
.
#serraempauta #jornalismo #jornalismolocal #jornalismoindependente #empreendedorismo #noticias #caxiasdosul #serragaucha https://t.co/YVkm2ay1Ww</t>
  </si>
  <si>
    <t>QUINTO ANO CONSECUTIVO
Forbal Automotive, em Flores, conquista o Prêmio Exportação RS.
.
.
#serraempauta #jornalismo #jornalismolocal #jornalismoindependente #empreendedorismo #noticias #caxiasdosul #serragaucha https://t.co/dbgFDlBBZW</t>
  </si>
  <si>
    <t>DEMANDA ANTIGA
Deputada solicita criação de Universidade Federal na Serra Gaúcha.
.
.
#serraempauta #jornalismo #jornalismolocal #jornalismoindependente #empreendedorismo #noticias #caxiasdosul #serragaucha https://t.co/g6MuCb4n4H</t>
  </si>
  <si>
    <t>SOLIDARIEDADE
Câmara de Caxias do Sul entrega doações à Hospedagem Solidária.
.
.
#serraempauta #jornalismo #jornalismolocal #jornalismoindependente #empreendedorismo #noticias #caxiasdosul #serragaucha https://t.co/SCIovdvWyC</t>
  </si>
  <si>
    <t>2ª EDIÇÃO
Caxias do Sul realiza Semana de Altas Habilidades e Superdotação.
.
.
#serraempauta #jornalismo #jornalismolocal #jornalismoindependente #empreendedorismo #noticias #caxiasdosul #serragaucha https://t.co/rXdDAAWHPu</t>
  </si>
  <si>
    <t>ARTIGO
Agosto Lilás: Por Elas.
.
.
#serraempauta #jornalismo #jornalismolocal #jornalismoindependente #empreendedorismo #noticias #caxiasdosul #serragaucha https://t.co/wp6MV2BInk</t>
  </si>
  <si>
    <t>NOVO LAR
Feira de adoção de cães ocorre no domingo, em Caxias do Sul.
.
.
#serraempauta #jornalismo #jornalismolocal #jornalismoindependente #empreendedorismo #noticias #caxiasdosul #serragaucha https://t.co/xdE4EBYeA7</t>
  </si>
  <si>
    <t>LEVANTAMENTO DE INFORMAÇÕES
CPI solicita relatórios ao Conselho da Saúde de Caxias do Sul.
.
.
#serraempauta #jornalismo #jornalismolocal #jornalismoindependente #empreendedorismo #noticias #caxiasdosul #serragaucha https://t.co/LMZPPYJ6FB</t>
  </si>
  <si>
    <t>EMPRÉSTIMO
Eleição do Conselho Tutelar contará com urna eletrônica em Caxias.
.
.
#serraempauta #jornalismo #jornalismolocal #jornalismoindependente #empreendedorismo #noticias #caxiasdosul #serragaucha https://t.co/iyewNFxMH0</t>
  </si>
  <si>
    <t>Inauguradas bases de serviços operacionais na Serra e no Vale do Caí.
.
.
#serraempauta #jornalismo #jornalismolocal #jornalismoindependente #empreendedorismo #noticias #caxiasdosul #serragaucha https://t.co/S60JpAOOi9</t>
  </si>
  <si>
    <t>Daer libera tráfego de veículos entre Farroupilha e Alto Feliz.
.
.
#serraempauta #jornalismo #jornalismolocal #jornalismoindependente #empreendedorismo #noticias #caxiasdosul #serragaucha https://t.co/w0tAMMzUPh</t>
  </si>
  <si>
    <t>UCS pleiteia a abertura do curso de medicina em Bento.
.
.
#serraempauta #jornalismo #jornalismolocal #jornalismoindependente #empreendedorismo #noticias #caxiasdosul #serragaucha https://t.co/PXce4VkRHK</t>
  </si>
  <si>
    <t>Samu de Caxias passa a receber ligações de cinco cidades da região.
.
.
#serraempauta #jornalismo #jornalismolocal #jornalismoindependente #empreendedorismo #noticias #caxiasdosul #serragaucha https://t.co/BCFmH5s7qF</t>
  </si>
  <si>
    <t>Caxias recebe área e projeto para ampliação de Escola Assis Brasil.
.
.
#serraempauta #jornalismo #jornalismolocal #jornalismoindependente #empreendedorismo #noticias #caxiasdosul #serragaucha https://t.co/LuePxctITx</t>
  </si>
  <si>
    <t>Consevitis-RS planeja ações para o setor vitivinícola.
.
.
#serraempauta #jornalismo #jornalismolocal #jornalismoindependente #empreendedorismo #noticias #caxiasdosul #serragaucha https://t.co/onZzPEzR6c</t>
  </si>
  <si>
    <t>Banco de Materiais busca doações para atender a demanda em Caxias.
.
.
#serraempauta #jornalismo #jornalismolocal #jornalismoindependente #empreendedorismo #noticias #caxiasdosul #serragaucha https://t.co/xLMwBAswMj</t>
  </si>
  <si>
    <t>Abertura do festival de blues ocorre neste final de semana em Caxias.
.
.
#serraempauta #jornalismo #jornalismolocal #jornalismoindependente #empreendedorismo #noticias #caxiasdosul #serragaucha https://t.co/Fpn0vKmFnM</t>
  </si>
  <si>
    <t>Caxias do Sul tem inscrições abertas para o Casamento Comunitário.
.
.
#serraempauta #jornalismo #jornalismolocal #jornalismoindependente #empreendedorismo #noticias #caxiasdosul #serragaucha https://t.co/Xc3rM6GWhA</t>
  </si>
  <si>
    <t>Saúde projeta reduzir cirurgias, consultas e exames em Caxias do Sul.
.
.
#serraempauta #jornalismo #jornalismolocal #jornalismoindependente #empreendedorismo #noticias #caxiasdosul #serragaucha https://t.co/LzyiWiOosO</t>
  </si>
  <si>
    <t>PROGRAME-SE
Festival de Balonismo promete colorir céu de Bento Gonçalves.
.
.
#serraempauta #jornalismo #jornalismolocal #jornalismoindependente #empreendedorismo #noticias #caxiasdosul #serragaucha https://t.co/y6e6iCLq5C</t>
  </si>
  <si>
    <t>TRAGÉDIA
Chega a 50 o número de mortos nas enchentes do Vale do Taquari.
.
.
#serraempauta #jornalismo #jornalismolocal #jornalismoindependente #empreendedorismo #noticias #caxiasdosul #serragaucha https://t.co/6sOW0EPxpg</t>
  </si>
  <si>
    <t>SOLIDARIEDADE
Projeto Mão Amiga realiza feijoada no sábado, em Caxias do Sul.
.
.
#serraempauta #jornalismo #jornalismolocal #jornalismoindependente #empreendedorismo #noticias #caxiasdosul #serragaucha https://t.co/IjTDy3WmBk</t>
  </si>
  <si>
    <t>EDUCAÇÃO
Caminho Rede de Ensino completa 35 anos de história na Serra.
.
.
#serraempauta #jornalismo #jornalismolocal #jornalismoindependente #empreendedorismo #noticias #caxiasdosul #serragaucha https://t.co/UyHfCzDxaf</t>
  </si>
  <si>
    <t>MONTAGEM
Instalado primeiro pórtico free flow, na RS-122, em Antônio Prado.
.
.
#serraempauta #jornalismo #jornalismolocal #jornalismoindependente #empreendedorismo #noticias #caxiasdosul #serragaucha https://t.co/2Njz2Ncv94</t>
  </si>
  <si>
    <t>CPI DA SAÚDE
Presidente do Conselho da Saúde de Caxias defende licitação para horas médicas.
.
.
#serraempauta #jornalismo #jornalismolocal #jornalismoindependente #empreendedorismo #noticias #caxiasdosul #serragaucha https://t.co/Bvw3b21xPY</t>
  </si>
  <si>
    <t>CERIMÔNIA
Denise Pessôa entra para galeria de presidentes da Câmara de Caxias.
.
.
#serraempauta #jornalismo #jornalismolocal #jornalismoindependente #empreendedorismo #noticias #caxiasdosul #serragaucha https://t.co/Js0Pxh80yY</t>
  </si>
  <si>
    <t>CONCURSO
Caxias do Sul premia seus melhores vinhos e sucos.
.
.
#serraempauta #jornalismo #jornalismolocal #jornalismoindependente #empreendedorismo #noticias #caxiasdosul #serragaucha https://t.co/VG29ECNXCM</t>
  </si>
  <si>
    <t>INFRAESTRUTURA
Municípios discutem a reconstrução de ponte em São Valentim do Sul.
.
.
#serraempauta #jornalismo #jornalismolocal #jornalismoindependente #empreendedorismo #noticias #caxiasdosul #serragaucha https://t.co/XTnb8xwKCf</t>
  </si>
  <si>
    <t>SOLUÇÕES
UCS consolida criação de um Smart Campus, em Caxias do Sul.
.
.
#serraempauta #jornalismo #jornalismolocal #jornalismoindependente #empreendedorismo #noticias #caxiasdosul #serragaucha https://t.co/DfPPBOgOw1</t>
  </si>
  <si>
    <t>TENDÊNCIAS
Segunda edição do Fórum de Inovação ocorre na terça-feira, em Bento.
.
.
#serraempauta #jornalismo #jornalismolocal #jornalismoindependente #empreendedorismo #noticias #bentogoncalves #serragaucha https://t.co/PLqhADO2eE</t>
  </si>
  <si>
    <t>RESULTADO POSITIVO
FestiQueijo, em Carlos Barbosa, apresenta superávit de R$ 1,3 milhão.
.
.
#serraempauta #jornalismo #jornalismolocal #jornalismoindependente #empreendedorismo #noticias #carlosbarbosa #serragaucha https://t.co/dXCEvCoL6H</t>
  </si>
  <si>
    <t>MAPEAMENTO
Comites-RS recadastra associações de cultura italiana no Estado.
.
.
#serraempauta #jornalismo #jornalismolocal #jornalismoindependente #empreendedorismo #noticias #caxiasdosul #serragaucha https://t.co/D5Y3Sy6vo9</t>
  </si>
  <si>
    <t>MUDANÇA DE CARGO
Marco Zeminhani é novo coordenador de marketing do Círculo Saúde.
.
.
#serraempauta #jornalismo #jornalismolocal #jornalismoindependente #empreendedorismo #noticias #caxiasdosul #serragaucha https://t.co/BipIVItqP6</t>
  </si>
  <si>
    <t>AGENDA INTENSA
Soberanas da Fenavindima, em Flores, dedicam-se à divulgação do evento.
.
.
#serraempauta #jornalismo #jornalismolocal #jornalismoindependente #empreendedorismo #noticias #caxiasdosul #serragaucha https://t.co/0gP1fWvsaV</t>
  </si>
  <si>
    <t>SOLIDARIEDADE
Diocese de Caxias arrecada R$ 287 mil para cidades atingidas pelas enchentes.
.
.
#serraempauta #jornalismo #jornalismolocal #jornalismoindependente #empreendedorismo #noticias #caxiasdosul #serragaucha https://t.co/kHpLTVIaA6</t>
  </si>
  <si>
    <t>PRAZO AMPLIADO
Prorrogadas as inscrições para o Casamento Comunitário em Caxias.
.
.
#serraempauta #jornalismo #jornalismolocal #jornalismoindependente #empreendedorismo #noticias #caxiasdosul #serragaucha https://t.co/gA23KwCa3O</t>
  </si>
  <si>
    <t>PROJETO DE LEI
Prefeitura de Caxias protocola concessão do mercado público na Câmara.
.
.
#serraempauta #jornalismo #jornalismolocal #jornalismoindependente #empreendedorismo #noticias #caxiasdosul #serragaucha https://t.co/TT4jr8eOww</t>
  </si>
  <si>
    <t>INFRAESTRUTURA
Iniciada obra do novo acesso ao Serrano, na BR-116, em Caxias do Sul.
.
.
#serraempauta #jornalismo #jornalismolocal #jornalismoindependente #empreendedorismo #noticias #caxiasdosul #serragaucha https://t.co/JotPWv2soA</t>
  </si>
  <si>
    <t>NOVO TRIO
Letícia Dorigatti é a nova rainha da Festa do Agricultor de Fazenda Souza.
.
.
#serraempauta #jornalismo #jornalismolocal #jornalismoindependente #empreendedorismo #noticias #fazendasouza #caxiasdosul #serragaucha https://t.co/cV2TG20NWG</t>
  </si>
  <si>
    <t>INFRAESTRUTURA
Ponte na divisa entre São Marcos e Campestre da Serra permanecerá interditada.
.
.
#serraempauta #jornalismo #jornalismolocal #jornalismoindependente #empreendedorismo #noticias #caxiasdosul #serragaucha https://t.co/RYXA1bsVGQ</t>
  </si>
  <si>
    <t>8 MIL VAGAS
Saiba como será o concurso unificado para o serviço público federal.
.
.
#serraempauta #jornalismo #jornalismolocal #jornalismoindependente #empreendedorismo #noticias #caxiasdosul #serragaucha https://t.co/fhD6kYBTfD</t>
  </si>
  <si>
    <t>NEGÓCIO
Pastelaria completa 20 anos e vende até 100 mil unidades por mês.
.
.
#serraempauta #jornalismo #jornalismolocal #jornalismoindependente #empreendedorismo #noticias #caxiasdosul #serragaucha https://t.co/jJplCe4DND</t>
  </si>
  <si>
    <t>LEVANTAMENTO
Divulgado resultado de infestação pelo mosquito da dengue em Caxias.
.
.
#serraempauta #jornalismo #jornalismolocal #jornalismoindependente #empreendedorismo #noticias #caxiasdosul #serragaucha https://t.co/ilftvvfX4r</t>
  </si>
  <si>
    <t>LEI DE DIRETRIZES ORÇAMENTÁRIAS
Câmara de Caxias do Sul realiza audiência e detalha LDO 2024.
.
.
#serraempauta #jornalismo #jornalismolocal #jornalismoindependente #empreendedorismo #noticias #caxiasdosul #serragaucha https://t.co/Jaf7rI5YWY</t>
  </si>
  <si>
    <t>ESPORTE
Inscrições para Meia Maratona de Caxias seguem até 11 de setembro.
.
.
#serraempauta #jornalismo #jornalismolocal #jornalismoindependente #empreendedorismo #noticias #caxiasdosul #serragaucha https://t.co/Eyhzex873O</t>
  </si>
  <si>
    <t>HONRARIA
Câmara de Vereadores concede o Prêmio Caxias a Fluência Casa Hip Hop.
.
.
#serraempauta #jornalismo #jornalismolocal #jornalismoindependente #empreendedorismo #noticias #caxiasdosul #serragaucha https://t.co/gxEXm3C0f7</t>
  </si>
  <si>
    <t>OBRA DE AMPLIAÇÃO
Deputada destinará R$ 1,5 milhão para Instituto Federal de Caxias.
.
.
#serraempauta #jornalismo #jornalismolocal #jornalismoindependente #empreendedorismo #noticias #caxiasdosul #serragaucha https://t.co/A9yQBvT30E</t>
  </si>
  <si>
    <t>REVITALIZAÇÃO
Prefeitura de Bento projeta colorir casas do Bairro Pomarosa II.
.
.
#serraempauta #jornalismo #jornalismolocal #jornalismoindependente #empreendedorismo #noticias #caxiasdosul #serragaucha https://t.co/mIc2sXA3gi</t>
  </si>
  <si>
    <t>JOGOS MUNDIAIS
Judoca de Caxias do Sul conquista medalha de bronze na Inglaterra.
.
.
#serraempauta #jornalismo #jornalismolocal #jornalismoindependente #empreendedorismo #noticias #caxiasdosul #serragaucha https://t.co/spLqvd92IQ</t>
  </si>
  <si>
    <t>TIME FORMADO
Conheça o júri da escolha da nova corte da Festa da Uva, em Caxias.
.
.
#serraempauta #jornalismo #jornalismolocal #jornalismoindependente #empreendedorismo #noticias #caxiasdosul #serragaucha https://t.co/9wvlTdKwR0</t>
  </si>
  <si>
    <t>PARTIDO
MDB de Caxias anuncia que terá candidato a prefeito em 2024.
.
.
#serraempauta #jornalismo #jornalismolocal #jornalismoindependente #empreendedorismo #noticias #caxiasdosul #serragaucha https://t.co/M3zE6nFa9b</t>
  </si>
  <si>
    <t>GESTÃO
Shopping Villagio Caxias tem nova gerente de marketing.
.
.
#serraempauta #jornalismo #jornalismolocal #jornalismoindependente #empreendedorismo #noticias #caxiasdosul #serragaucha https://t.co/NaNxXfxSCd</t>
  </si>
  <si>
    <t>PROGRAME-SE
Jantar dançante em clima hollywoodiano no próximo sábado, em Caxias.
.
.
#serraempauta #jornalismo #jornalismolocal #jornalismoindependente #empreendedorismo #noticias #caxiasdosul #serragaucha https://t.co/V9aPdFCRn1</t>
  </si>
  <si>
    <t>ESTRUTURAÇÃO
Cisga inicia estudo para concessão de coleta de resíduos sólidos.
.
.
#serraempauta #jornalismo #jornalismolocal #jornalismoindependente #empreendedorismo #noticias #caxiasdosul #serragaucha https://t.co/Q3WVzkpiXB</t>
  </si>
  <si>
    <t>PROCESSO SELETIVO
Caxias do Sul pretende contratar médicos de oito especialidades.
.
.
#serraempauta #jornalismo #jornalismolocal #jornalismoindependente #empreendedorismo #noticias #caxiasdosul #serragaucha https://t.co/cmlJJNvJtW</t>
  </si>
  <si>
    <t>ATUALIZAÇÃO
Saúde inicia recadastramento de laudos cirúrgicos em Caxias e região.
.
.
#serraempauta #jornalismo #jornalismolocal #jornalismoindependente #empreendedorismo #noticias #caxiasdosul #serragaucha https://t.co/iAYxHLuFa4</t>
  </si>
  <si>
    <t>Caxias do Sul lança a programação ambiental para o segundo semestre.
.
.
#serraempauta #jornalismo #jornalismolocal #jornalismoindependente #empreendedorismo #noticias #caxiasdosul #serragaucha https://t.co/0VfeAhi38Y</t>
  </si>
  <si>
    <t>FSG oferece especialização em viticultura e enologia.
.
.
#serraempauta #jornalismo #jornalismolocal #jornalismoindependente #empreendedorismo #noticias #caxiasdosul #serragaucha https://t.co/6CiSpehnGL</t>
  </si>
  <si>
    <t>UAB de Caxias do Sul realiza planejamento do próximo biênio.
.
.
#serraempauta #jornalismo #jornalismolocal #jornalismoindependente #empreendedorismo #noticias #caxiasdosul #serragaucha https://t.co/NNN19nrrhv</t>
  </si>
  <si>
    <t>Evento de empreendedorismo feminino ocorre em agosto, em Porto Alegre.
.
.
#serraempauta #jornalismo #jornalismolocal #jornalismoindependente #empreendedorismo #noticias #caxiasdosul #serragaucha https://t.co/Do0ya7eu1d</t>
  </si>
  <si>
    <t>Embaixatrizes divulgam a escolha da rainha da Festa da Uva, em Caxias.
.
.
#serraempauta #jornalismo #jornalismolocal #jornalismoindependente #empreendedorismo #noticias #caxiasdosul #serragaucha https://t.co/9831o7Z4fs</t>
  </si>
  <si>
    <t>StartUCS seleciona 14 projetos para serem desenvolvidos em Bento.
.
.
#serraempauta #jornalismo #jornalismolocal #jornalismoindependente #empreendedorismo #noticias #caxiasdosul #serragaucha https://t.co/9Y6PUopW29</t>
  </si>
  <si>
    <t>Estado presta apoio para Caxias ingressar em programa habitacional.
.
.
#serraempauta #jornalismo #jornalismolocal #jornalismoindependente #empreendedorismo #noticias #caxiasdosul #serragaucha https://t.co/ZkjOHgH3Vz</t>
  </si>
  <si>
    <t>Prefeitura de Caxias protocola LDO de 2024 com orçamento de R$ 3,18 bi.
.
.
#serraempauta #jornalismo #jornalismolocal #jornalismoindependente #empreendedorismo #noticias #caxiasdosul #serragaucha https://t.co/Ogz3WhCeiJ</t>
  </si>
  <si>
    <t>Coro da UCS abre audições a partir desta terça, em Caxias do Sul.
.
.
#serraempauta #jornalismo #jornalismolocal #jornalismoindependente #empreendedorismo #noticias #caxiasdosul #serragaucha https://t.co/cf7aa2AEsH</t>
  </si>
  <si>
    <t>CPI da Saúde faz novas requisições sobre as UPAs de Caxias do Sul.
.
.
#serraempauta #jornalismo #jornalismolocal #jornalismoindependente #empreendedorismo #noticias #caxiasdosul #serragaucha https://t.co/sxwnmAPvxz</t>
  </si>
  <si>
    <t>CIC de Caxias do Sul sedia nova temporada das Caravanas RS Criativo.
.
.
#serraempauta #jornalismo #jornalismolocal #jornalismoindependente #empreendedorismo #noticias #caxiasdosul #serragaucha https://t.co/FPxFWRJYek</t>
  </si>
  <si>
    <t>Fiesporte de Caxias do Sul terá prestação de contas on-line.
.
.
#serraempauta #jornalismo #jornalismolocal #jornalismoindependente #empreendedorismo #noticias #caxiasdosul #serragaucha https://t.co/AQhHtJKMPf</t>
  </si>
  <si>
    <t>Caxias do Sul inicia regularização de comunidade do Parque Oásis.
.
.
#serraempauta #jornalismo #jornalismolocal #jornalismoindependente #empreendedorismo #noticias #caxiasdosul #serragaucha https://t.co/7gqOEoARGV</t>
  </si>
  <si>
    <t>Samae de Caxias do Sul oferece opção para pagamento de dívidas.
.
.
#serraempauta #jornalismo #jornalismolocal #jornalismoindependente #empreendedorismo #noticias #caxiasdosul #serragaucha https://t.co/v4EVqxZL1X</t>
  </si>
  <si>
    <t>Cooperativa promove em Caxias do Sul palestra sobre investimentos.
.
.
#serraempauta #jornalismo #jornalismolocal #jornalismoindependente #empreendedorismo #noticias #caxiasdosul #serragaucha https://t.co/uY9Di5cH0O</t>
  </si>
  <si>
    <t>Caxias do Sul sediará feira nacional da indústria cervejeira.
.
.
#serraempauta #jornalismo #jornalismolocal #jornalismoindependente #empreendedorismo #noticias #caxiasdosul #serragaucha https://t.co/2o7BlFMYT1</t>
  </si>
  <si>
    <t>Monumento Duque de Caxias, em Caxias do Sul, será restaurado.
.
.
#serraempauta #jornalismo #jornalismolocal #jornalismoindependente #empreendedorismo #noticias #caxiasdosul #serragaucha https://t.co/RPY43w0E7R</t>
  </si>
  <si>
    <t>Rafael Bueno é o novo presidente do PDT de Caxias do Sul.
.
.
#serraempauta #jornalismo #jornalismolocal #jornalismoindependente #empreendedorismo #noticias #caxiasdosul #serragaucha https://t.co/SYg2G6iItD</t>
  </si>
  <si>
    <t>Escola de Música da UCS, em Caxias do Sul, inaugura nova sede.
.
.
#serraempauta #jornalismo #jornalismolocal #jornalismoindependente #empreendedorismo #noticias #caxiasdosul #serragaucha https://t.co/mpSZtHXv43</t>
  </si>
  <si>
    <t>SIM Rede de Postos abre nova unidade em Flores da Cunha.
.
.
#serraempauta #jornalismo #jornalismolocal #jornalismoindependente #empreendedorismo #noticias #caxiasdosul #serragaucha https://t.co/kLk8hxMCUj</t>
  </si>
  <si>
    <t>REFORMA
Cúpula do Santuário de Caravaggio, em Farroupilha, receberá revestimento em cobre.
.
.
#serraempauta #jornalismo #jornalismolocal #jornalismoindependente #empreendedorismo #noticias #caxiasdosul #serragaucha https://t.co/HpDRIHbJXJ</t>
  </si>
  <si>
    <t>ELEIÇÃO
Saiba quem são os 23 candidatos ao Conselho Tutelar de Caxias.
.
.
#serraempauta #jornalismo #jornalismolocal #jornalismoindependente #empreendedorismo #noticias #caxiasdosul #serragaucha https://t.co/fZZJMC7OHV</t>
  </si>
  <si>
    <t>PROGRAMA FALA CAXIAS!
Prefeitura irá ouvir a comunidade nos bairros e distritos de Caxias.
.
.
#serraempauta #jornalismo #jornalismolocal #jornalismoindependente #empreendedorismo #noticias #caxiasdosul #serragaucha https://t.co/3OTS1VLE98</t>
  </si>
  <si>
    <t>NOVA OPERAÇÃO
Rede de livrarias abre loja no Shopping Villagio Caxias.
.
.
#serraempauta #jornalismo #jornalismolocal #jornalismoindependente #empreendedorismo #noticias #caxiasdosul #serragaucha https://t.co/z5W9n03OBa</t>
  </si>
  <si>
    <t>CHEGADA DA PRIMAVERA
Floricultura de Caxias lança workshops para conservar as flores.
.
.
#serraempauta #jornalismo #jornalismolocal #jornalismoindependente #empreendedorismo #noticias #caxiasdosul #serragaucha https://t.co/J4C2fKOpoH</t>
  </si>
  <si>
    <t>RELIGIÃO
Congresso das Testemunhas de Jeová será realizado em Caxias do Sul.
.
.
#serraempauta #jornalismo #jornalismolocal #jornalismoindependente #empreendedorismo #noticias #caxiasdosul #serragaucha https://t.co/cxD7NLz8t8</t>
  </si>
  <si>
    <t>COMEMORAÇÃO DE 20 ANOS
ARI Serra Gaúcha realiza Jantar da Comunicação em Caxias do Sul.
.
.
#serraempauta #jornalismo #jornalismolocal #jornalismoindependente #empreendedorismo #noticias #caxiasdosul #serragaucha https://t.co/LAz2OJzhmP</t>
  </si>
  <si>
    <t>TRÂNSITO
Parada Cristal, em Caxias, recebe ampliação do transporte coletivo.
.
.
#serraempauta #jornalismo #jornalismolocal #jornalismoindependente #empreendedorismo #noticias #caxiasdosul #serragaucha https://t.co/euGHPKC9if</t>
  </si>
  <si>
    <t>DIA DA ÁRVORE
Caxias do Sul terá plantio e distribuição de mais de 1,7 mil mudas.
.
.
#serraempauta #jornalismo #jornalismolocal #jornalismoindependente #empreendedorismo #noticias #caxiasdosul #serragaucha https://t.co/oUZaUYJsa2</t>
  </si>
  <si>
    <t>PREPARAÇÃO
Estrutura da Feira do Livro de Caxias do Sul começa a ser montada.
.
.
#serraempauta #jornalismo #jornalismolocal #jornalismoindependente #empreendedorismo #noticias #caxiasdosul #serragaucha https://t.co/bNCp4e4IyP</t>
  </si>
  <si>
    <t>ARTIGO
Dos parreirais tupiniquins à taça do brasileiro. Deisi da Costa, sommelier.
.
.
#serraempauta #jornalismo #jornalismolocal #jornalismoindependente #empreendedorismo #noticias #caxiasdosul #serragaucha https://t.co/s3r6Ymni4g</t>
  </si>
  <si>
    <t>SANEAMENTO
Assinada ordem para obra de despoluição do Lago Fasolo, em Bento.
.
.
#serraempauta #jornalismo #jornalismolocal #jornalismoindependente #empreendedorismo #noticias #caxiasdosul #serragaucha https://t.co/4zgLR90T3X</t>
  </si>
  <si>
    <t>SAMAE
Caxias realiza melhorias em duas estações de tratamento de água.
.
.
#serraempauta #jornalismo #jornalismolocal #jornalismoindependente #empreendedorismo #noticias #caxiasdosul #serragaucha https://t.co/LSj3Nz2bPg</t>
  </si>
  <si>
    <t>PRIMEIRA TURMA
Prefeitura de Flores inicia curso de formação da Guarda Municipal.
.
.
#serraempauta #jornalismo #jornalismolocal #jornalismoindependente #empreendedorismo #noticias #caxiasdosul #serragaucha https://t.co/xkBkbdbSbo</t>
  </si>
  <si>
    <t>GOVERNO DO ESTADO
Leite anuncia novas medidas para os atingidos pelas chuvas.
.
.
#serraempauta #jornalismo #jornalismolocal #jornalismoindependente #empreendedorismo #noticias #caxiasdosul #serragaucha https://t.co/F62NFfTS5z</t>
  </si>
  <si>
    <t>ENCHENTES
Lula anuncia auxílio de R$ 1,6 bilhão para o Rio Grande do Sul.
.
.
#serraempauta #jornalismo #jornalismolocal #jornalismoindependente #empreendedorismo #noticias #caxiasdosul #serragaucha https://t.co/O6YffEEYqR</t>
  </si>
  <si>
    <t>VÔLEI
Colégio de Caxias conquista segundo lugar nos Jogos da Juventude.
.
.
#serraempauta #jornalismo #jornalismolocal #jornalismoindependente #empreendedorismo #noticias #caxiasdosul #serragaucha https://t.co/7J0uM8Rc6W</t>
  </si>
  <si>
    <t>MEIO AMBIENTE
Entenda por que o Sul do Brasil é mais suscetível à ocorrência de ciclones extratropicais.
.
.
#serraempauta #jornalismo #jornalismolocal #jornalismoindependente #empreendedorismo #noticias #caxiasdosul #serragaucha https://t.co/pX8B3ps5Vh</t>
  </si>
  <si>
    <t>NOVA PROPOSTA
Prefeitura de Caxias apresenta projeto de concessão do mercado público.
.
.
#serraempauta #jornalismo #jornalismolocal #jornalismoindependente #empreendedorismo #noticias #caxiasdosul #serragaucha https://t.co/UbBrztmlZO</t>
  </si>
  <si>
    <t>ESTADO
Inicia recebimento de propostas para a Consulta Popular 2023.
.
.
#serraempauta #jornalismo #jornalismolocal #jornalismoindependente #empreendedorismo #noticias #caxiasdosul #serragaucha https://t.co/pQM2nE8Jpn</t>
  </si>
  <si>
    <t>FASE DE ENSAIOS
Grupo de teatro Miseri Coloni estreia espetáculo em Caxias do Sul.
.
.
#serraempauta #jornalismo #jornalismolocal #jornalismoindependente #empreendedorismo #noticias #caxiasdosul #serragaucha https://t.co/ttd7sYIPZc</t>
  </si>
  <si>
    <t>PROGRAMAÇÃO
Lançado os Festejos Farroupilhas 2023 em Caxias do Sul.
.
.
#serraempauta #jornalismo #jornalismolocal #jornalismoindependente #empreendedorismo #noticias #caxiasdosul #serragaucha https://t.co/Lw57fk4c11</t>
  </si>
  <si>
    <t>EDUCAÇÃO
Inicia obra de reforma na Escola Abramo Eberle de Caxias do Sul.
.
.
#serraempauta #jornalismo #jornalismolocal #jornalismoindependente #empreendedorismo #noticias #caxiasdosul #serragaucha https://t.co/BS6usZm8Lj</t>
  </si>
  <si>
    <t>SESSÃO SOLENE
Daniel Randon é o mais recente Cidadão Emérito de Caxias do Sul.
.
.
#serraempauta #jornalismo #jornalismolocal #jornalismoindependente #empreendedorismo #noticias #caxiasdosul #serragaucha https://t.co/zoG4wOnei1</t>
  </si>
  <si>
    <t>ECONOMIA
Entenda propostas de mudanças na tributação para super-ricos.
.
.
#serraempauta #jornalismo #jornalismolocal #jornalismoindependente #empreendedorismo #noticias #caxiasdosul #serragaucha https://t.co/C7hF4E9twE</t>
  </si>
  <si>
    <t>AÇÕES DO MANDATO
Denise Pessôa anuncia R$ 14 milhões em emendas para Caxias do Sul.
.
.
#serraempauta #jornalismo #jornalismolocal #jornalismoindependente #empreendedorismo #noticias #caxiasdosul #serragaucha https://t.co/k2uQV2GQul</t>
  </si>
  <si>
    <t>AÇÃO VOLTADA AOS CLIENTES
Danúbio Bar e Restaurante, de Caxias do Sul, completa 70 anos.
.
.
#serraempauta #jornalismo #jornalismolocal #jornalismoindependente #empreendedorismo #noticias #caxiasdosul #serragaucha https://t.co/KkDDAhLwTg</t>
  </si>
  <si>
    <t>COMPETIÇÃO
Caxias do Sul terá atleta na etapa nacional dos Jogos Escolares.
.
.
#serraempauta #jornalismo #jornalismolocal #jornalismoindependente #empreendedorismo #noticias #caxiasdosul #serragaucha https://t.co/QYTLmODNrd</t>
  </si>
  <si>
    <t>8° ANO CONSECUTIVO
Priority, de Caxias do Sul, recebe prêmio distinção ouro da ADVB.
.
.
#serraempauta #jornalismo #jornalismolocal #jornalismoindependente #empreendedorismo #noticias #caxiasdosul #serragaucha https://t.co/FM1xqkSPfZ</t>
  </si>
  <si>
    <t>JOIAS
Apresentada a coroa da próxima rainha da Festa da Uva, em Caxias.
.
.
#serraempauta #jornalismo #jornalismolocal #jornalismoindependente #empreendedorismo #noticias #caxiasdosul #serragaucha https://t.co/DUSwTaQIyJ</t>
  </si>
  <si>
    <t>DANÇA E PERCUSSÃO
Oficinas gratuitas para crianças do Beltrão de Queiroz, em Caxias.
.
.
#serraempauta #jornalismo #jornalismolocal #jornalismoindependente #empreendedorismo #noticias #caxiasdosul #serragaucha https://t.co/A4xiXxf7Lz</t>
  </si>
  <si>
    <t>CONQUISTA
Caxias do Sul é selecionada para ação de segurança alimentar.
.
.
#serraempauta #jornalismo #jornalismolocal #jornalismoindependente #empreendedorismo #noticias #caxiasdosul #serragaucha https://t.co/MU09DuLdmI</t>
  </si>
  <si>
    <t>NOVO LOCAL
Feira da Zona Norte, em Caxias, muda de bairro a partir de setembro.
.
.
#serraempauta #jornalismo #jornalismolocal #jornalismoindependente #empreendedorismo #noticias #caxiasdosul #serragaucha https://t.co/P4bXIxpIHT</t>
  </si>
  <si>
    <t>EDUCAÇÃO
Caxias desenvolve material didático para famílias de imigrantes.
.
.
#serraempauta #jornalismo #jornalismolocal #jornalismoindependente #empreendedorismo #noticias #caxiasdosul #serragaucha https://t.co/wm5JFM7sJd</t>
  </si>
  <si>
    <t>CAPACITAÇÃO
Mulheres imigrantes concluem curso de auxiliar de cozinha em Caxias.
.
.
#serraempauta #jornalismo #jornalismolocal #jornalismoindependente #empreendedorismo #noticias #caxiasdosul #serragaucha https://t.co/MzYaRxU8iE</t>
  </si>
  <si>
    <t>CULTURA
Caxias do Sul promove ações de celebração aos 50 anos de hip hop.
.
.
#serraempauta #jornalismo #jornalismolocal #jornalismoindependente #empreendedorismo #noticias #caxiasdosul #serragaucha https://t.co/6HMzSQecUG</t>
  </si>
  <si>
    <t>FESTA DA UVA
Embaixatrizes desfilam em carreata pelas ruas de Caxias do Sul.
.
.
#serraempauta #jornalismo #jornalismolocal #jornalismoindependente #empreendedorismo #noticias #caxiasdosul #serragaucha https://t.co/RqZW1tHpCc</t>
  </si>
  <si>
    <t>RESCISÃO AMIGÁVEL
Contrato de revitalização do Largo da Estação, em Caxias, é rescindido.
.
.
#serraempauta #jornalismo #jornalismolocal #jornalismoindependente #empreendedorismo #noticias #caxiasdosul #serragaucha https://t.co/z9qcVTKLGn</t>
  </si>
  <si>
    <t>Abertas inscrições para Feira Folclórica em Caxias do Sul.
.
.
#serraempauta #jornalismo #jornalismolocal #jornalismoindependente #empreendedorismo #noticias #caxiasdosul #serragaucha https://t.co/w5HbHg9ij5</t>
  </si>
  <si>
    <t>Consórcio regional aprova adesão de mais três municípios.
.
.
Acompanhe o link na bio e nos stories.
.
#serraempauta #jornalismo #jornalismolocal #jornalismoindependente #empreendedorismo #noticias #caxiasdosul #serragaucha https://t.co/7sCF8jngLw</t>
  </si>
  <si>
    <t>Governo deve explicar novo plano de ocupação da Maesa, em Caxias do Sul.
.
.
#serraempauta #jornalismo #jornalismolocal #jornalismoindependente #empreendedorismo #noticias #caxiasdosul #serragaucha https://t.co/QdsVoxN2zx</t>
  </si>
  <si>
    <t>Hospital São Carlos, em Farroupilha, recebe selo de UTI eficiente.
.
.
#serraempauta #jornalismo #jornalismolocal #jornalismoindependente #empreendedorismo #noticias #caxiasdosul #serragaucha https://t.co/36MQ6Azoz9</t>
  </si>
  <si>
    <t>CDL de Caxias do Sul realiza convenção com principais nomes do varejo.
.
Acompanhe o link na bio e nos stories.
.
#serraempauta #jornalismo #jornalismolocal #jornalismoindependente #empreendedorismo #noticias #caxiasdosul #serragaucha https://t.co/oTKdLfta4t</t>
  </si>
  <si>
    <t>A criatividade é o ponto de partida, mas a verdadeira magia acontece quando a inovação entra em cena. Transforme suas ideias em ações ousadas e compartilhe essa inspiração com um amigo empreendedor que está pronto para fazer a diferença! #Inovação #Empreendedorismo https://t.co/EqxqFZpgsT</t>
  </si>
  <si>
    <t>Uma competência é uma aptidão, habilidade, comportamento ou traço necessário para realizar uma função ou tarefa em um nível aceitável #empreendedorismo #Negocios</t>
  </si>
  <si>
    <t>@g1rio Partiu dar aula em @angraofficial @sebraerj #empreendedorismo #economiacriativa</t>
  </si>
  <si>
    <t>Como lançar um produto no mercado? (Primeiro Passo)
#lancamento #produto #comofazer #empreendedorismo #empreender https://t.co/UNOYEfjTAZ</t>
  </si>
  <si>
    <t>É incrível conhecer pessoas com histórias de empreendedorismo que dedicam anos de luta e jamais desistem. Mesmo nos momentos mais cansativos, persistem e, ao longo da jornada, conquistam a vitória. 💪🌟 #Empreendedorismo #Persistência #Sucesso https://t.co/aXTgZtfd41</t>
  </si>
  <si>
    <t>Quem se entrega a medos vazios, cria em si mesmo medos reais. Quando você substitui "Por que isso tá acontecendo comigo" por "O que isso tá tentando me ensinar" tudo muda.
#mundodosnegocios #empreendedorismo #bussiness #corporate #emprender</t>
  </si>
  <si>
    <t>Quem vence sem risco, triunfa sem glória... Não tenha medo da vida, não tenha medo de vivê-la... #bussiness #work #empreendedorismo #negócios https://t.co/nQBhZLIDIe</t>
  </si>
  <si>
    <t>“Você ficaria surpreso com o que as pessoas em quem confia fariam quando alguém as coloca em uma posição onde elas pensam que não tem escolha.” #mundodosnegocios #bussiness #corporate #empreendedorismo #networking #work #negócios https://t.co/HD5EfTMfD5</t>
  </si>
  <si>
    <t>Aquilo que você obtém nunca será mais valoroso do que aquilo que você se torna. Uma semana abundante e extraordinária! 🔥🔥🚀 
📍Marque a pessoa que vc quer que tenha uma semana abundante! 
#mindset #insight #mundododsnegocios #empreendedorismo #bussiness #networking #work #fun https://t.co/Lot8sFLbA8</t>
  </si>
  <si>
    <t>Um fim de semana abundante em sua vida! 🚀📊 #mundodosnegocios #bussiness #empreendedor #emprender #Mindset https://t.co/WAe3Sjbza9</t>
  </si>
  <si>
    <t>Decida crescer! #vidaabundante #empreendedor https://t.co/hPVnoJzBwg</t>
  </si>
  <si>
    <t>Ex-Miss Brasil emplaca seu primeiro projeto de lei como deputada na Assembleia Legislativa: incentivo ao empreendedorismo na terceira idade
Leia mais em https://t.co/SNIulOZhXg
#PL #deputada #Aleam #empreendedorismo #terceiraidade https://t.co/AvQvhNI1h2</t>
  </si>
  <si>
    <t>Moradores da zona sul de Manaus são certificados em curso de empreendedorismo
Leia em https://t.co/OZf7QFgNuU
#certificação #cursos #empreendedorismo #gabinete #vereador</t>
  </si>
  <si>
    <t>TRABALHE IMEDIATAMENTE! #trabalho #work #empreendedorismo #emprego https://t.co/XqLuCT5NmV</t>
  </si>
  <si>
    <t>CRIE UM CANAL NO YOU TUBE! #youtube #youtubebrasil #youtubeshorts #empreendedorismo #raiamsantos https://t.co/MbCOsB2Ekn</t>
  </si>
  <si>
    <t>O Desafio #Empreendedor de Impacto recebe inscrições de projetos com soluções para problemas da Zona Oeste do Rio de Janeiro. Inscreva-se na iniciativa da Incubadora da Esdi #Uerj, financiada pela @faperj, até 16/9. Acesse: https://t.co/i3ktMqjBfD https://t.co/ipRb1GV7ZE</t>
  </si>
  <si>
    <t>Projetos com soluções com a cara da Zona Oeste 
#uerj #Empreendedor</t>
  </si>
  <si>
    <t>O Governo do Amapá já iniciou as tratativas para que o modelo seja aplicado no Estado. As secretarias de Trabalho e Empreendedorismo, Turismo, Agência de Fomento e Fundação Marabaixo estiveram presentes na reunião de alinhamento.
#Empreendedorismo #ExpoFavela #GovernoDoAmapa https://t.co/exvdS3QBq0</t>
  </si>
  <si>
    <t>Fique atento aos critérios, são mais de 360 vagas para os empreendedores populares!
Participe também!
#AExpofeiraVoltou #Empreendedorismo #GovernoDoAmapá https://t.co/lEKv658SO5</t>
  </si>
  <si>
    <t>Aqui na Elo estamos na torcida pelas meninas da seleção! #vamostorcerjuntos
#fiscal #contabilidade #contador #empresas #negocios #tributário #irpf2023 #empreendedorismo #consultoria #contábil #contadores #empresário #irpf #impostoderenda #contábeis #empreendedor https://t.co/vnFaL6Jd23</t>
  </si>
  <si>
    <t>A independência não é um privilégio, mas um direito de todos.
Ordem e Progresso! #diadaindependencia
#fiscal #contabilidade #contador #empresas #negocios #tributário #irpf2023 #empreendedorismo #consultoria #contábil #contadores #empresário #irpf #impostoderenda #contábeis https://t.co/AeWyMgjKd3</t>
  </si>
  <si>
    <t>E vamos à organização da agenda semanal.
#empreendedorismo #empreendedorismodigital #rendaresidual #rendaextraonline #rendaextra #homeoffice #vendadireta #mmn https://t.co/kItPduxnnI</t>
  </si>
  <si>
    <t>Aquela sensação de que não está certo...#empresa #negocios #marketing #empreendedorismo https://t.co/O0mpPsRvZJ</t>
  </si>
  <si>
    <t>Na série #hojeediadecrescer desta quarta-feira, vamos falar sobre desenvolvimento e gerenciamento de startups (empresas). Nossa indicação é o livro "A Startup Enxuta", de Eric Ries.
#somostodoscomandantes
#desenvolvimentopessoal
#sucessopessoal
#empreendedorismo
#produtividade https://t.co/Ue7BlAs2Ss</t>
  </si>
  <si>
    <t>Aprenda como dominar as técnicas de SEO e elevar o ranking do seu site nos resultados de busca: https://t.co/XifTUsbkTb 
#ecommerce #ecommercebrasil #vendasonline #empreendedorismo #lojavirtual #seo #seogoogle #marketingseo https://t.co/NxWavQwuVP</t>
  </si>
  <si>
    <t>Descubra como impulsionar seu negócio ao unir sua loja física a uma plataforma virtual. A integração perfeita para expandir seu negócio! https://t.co/k3i8ZCMJJ2
#ecommerce #ecommercebrasil #vendasonline #empreendedorismo #lojavirtual #lojaonline #lojafisica https://t.co/P3MPjEHObg</t>
  </si>
  <si>
    <t>O sucesso do empreendedorismo não está apenas em ter grandes ideias, mas sim em transformá-las em ação. Tome iniciativa, coloque seu plano em prática e faça acontecer! #empreendedorismo #ação</t>
  </si>
  <si>
    <t>Quando mudamos a forma de ver as coisas, as coisas mudam de forma.
Siga @alphazinfoda 
-
#reflexao #desenvolvimentopessoal #empreendedorismo #frase #frasemotivacional #dinheiro #money #viral #fy</t>
  </si>
  <si>
    <t>🚀 Confira o vídeo completo no nosso canal do Youtube e saiba as estratégias adotadas por um vendedor de sucesso. 
👉🏻 Inscreva-se https://t.co/7hwIymlDIp. 
#bdconsultoria #ecommercebrasil #vendasonline #mercadolivre #lojavirtual #empreendedorismo #shopee
#amazon #b2wdigital https://t.co/WylWKqUJrQ</t>
  </si>
  <si>
    <t>🚛 Logística de excelência: Expedição Bronzautto. 
🎬 Assista ao vídeo completo e descubra os segredos do sucesso!
👉🏻 Inscreva-se https://t.co/7hwIymlDIp. 
#bdconsultoria #ecommercebrasil #vendasonline #mercadolivre #lojavirtual #empreendedorismo #shopee
#amazon https://t.co/86C2PgeMy8</t>
  </si>
  <si>
    <t>🚨 PREPARE-SE, VEM AÍ: OPERAÇÃO RAIO X!
✅ Dia 30 e 31 de agosto, soluções que podem salvar o seu negócio, você não pode perder. 
#bdconsultoria #melixp #operaçãoraiox #melixp23 #ecommercebrasil #vendasonline #mercadolivre #lojavirtual #empreendedorismo #shopee https://t.co/UfV3LYOYrx</t>
  </si>
  <si>
    <t>How this 9-email sequence got one product in schools around the country. https://t.co/2yOH7bnpr6
#empreendedorismo #brand #sales https://t.co/dGOpF9KKWb</t>
  </si>
  <si>
    <t>How this 9-email sequence got one product in schools around the country. https://t.co/2yOH7bnpr6
#empreendedorismo #brand #sales https://t.co/FK5UZnUYU6</t>
  </si>
  <si>
    <t>@nunodosudoeste eles é que a sabem #empreendedorismo</t>
  </si>
  <si>
    <t>Portugal entre os melhores países do mundo para startups. https://t.co/xY115xS8S4
.
#empreendedorismo #startups #startupportugal #startupbr #empreendedorismo #startuplisboa</t>
  </si>
  <si>
    <t>O reconhecimento do sucesso da marca Apple é mundial e a sua estratégia de marketing foi o grande impulso que a tornou uma das empresas mais valiosas do mundo. https://t.co/iUS1vZx21X
.
#empreendedorismo #startups #criativos #criatividade #ideia #empreendedorismo</t>
  </si>
  <si>
    <t>As sandálias utilizadas na oficina são resultado do trabalho de reinserção e foram produzidas pelos internos da Colônia Penal Agrícola de Santa Izabel (CPASI).
#SeapPará #Coostafe #ReinserçãoSocial #Oficina #Empreendedorismo #Trabalho #Seap</t>
  </si>
  <si>
    <t>@NegocioscomIA Tenho que concordar com a lista! Essas são realmente ótimas ferramentas de IA para empresários e proprietários de empresas. Recomendo experimentar todas elas para potencializar seus negócios. #IA #empreendedorismo</t>
  </si>
  <si>
    <t>Programa visa acelerar os negócios de mulheres empreendedoras na capital e em 4 cidades do interior. #womentowatch #empreendedorismo #comunicaçãoemarketing https://t.co/cLPFuJWh4I</t>
  </si>
  <si>
    <t>Por meio de IA e tecnologia, plataforma Aceleraí cria campanhas com artistas de grande alcance para pequenos negócios #comunicaçãoemarketing #plataformas #tecnologia #empreendedorismo 
https://t.co/rc1ILQQwqK</t>
  </si>
  <si>
    <t>Evento acontece no dia 16 de setembro em São Paulo; interessadas podem fazer pré-inscrição. #womentowatch #empreendedorismo #comunicaçãoemarketing https://t.co/ten1VqZYfX</t>
  </si>
  <si>
    <t>O empreendedorismo é uma jornada desafiadora, mas repleta de oportunidades. Tenha coragem, determinação e nunca deixe de acreditar no seu potencial. #Empreendedorismo #Oportunidade #Determinação</t>
  </si>
  <si>
    <t>Aproveite o Programa de Crédito Mão na Roda para microempreendedores.
Com o Mão na Roda, o Governo de Criciúma assume a sétima prestação, e o Governo do Estado assume a oitava para o empreendedor que quitar as primeiras seis parcelas em dia.
#Prefeitura #Empreendedorismo https://t.co/L0yZmBQxgW</t>
  </si>
  <si>
    <t>Esta matéria do @g1amazonas explica um pouco o que aconteceu hoje, 10, na UFAM, durante o evento no qual palestrei sobre empreendedorismo em Israel. Infelizmente, tive que ser escoltado pela Polícia Federal e uma servidora acabou sendo agredida pelos manifestantes que não… https://t.co/ogMNiBVFC2</t>
  </si>
  <si>
    <t>Nós mulheres temos uma capacidade incrível de equilibrar diversas demandas e encontrar soluções criativas para os problemas que surgem ao longo do caminho. 
—
#empoderamento #empreendedorismo #empresariosdesucesso #empoderada #sobrancelhas #lemesp https://t.co/FaJUZY6AqA</t>
  </si>
  <si>
    <t>Do story para o feed.🥰
Qual foi o detalhe desse look que mais amei? Alguém adivinha? Hahah
-
#lookdodia #empreendedorismo #sobrancelhas #esteticista #esteticafacial https://t.co/pwfKEOHs6C</t>
  </si>
  <si>
    <t>Fui conhecer a agência WMB Marketing Digital.
Estou muito feliz com a nossa parceria.🙏🏻
Em breve novidades.🤩🥂
-
-
#marketingdigital #empresasdesucesso #negocios #empresariosdesucesso #empreendedorismo #sobrancelhas #mulheresempreendedoras #lemesp https://t.co/TlAN1Vh0NT</t>
  </si>
  <si>
    <t>Quero compartilhar com vocês essa conquista. 🥹 Sempre desejei ter uma maca dessas, confortável, segura, hidráulica e linda. CONSEGUIMOS. 🙏🏻
Muitas coisas estão por vir🤎
-
#conquista #empreendedorismo #esteticafacial #sobrancelhas #lemesp https://t.co/Zcy9cQi8Ka</t>
  </si>
  <si>
    <t>3 fatos difíceis que ninguém te conta sobre o empreendedorismo
Confira o texto completo em meu Instagram:
https://t.co/gFKjxZVjmP
-
#empreendedorismo #empreendimento #mulheresempreendedoras #inteligenciaemocional #lemesp #gratidao #sobrancelhas #maquiagem https://t.co/OXLwwgCH4d</t>
  </si>
  <si>
    <t>Não se prenda a um único ponto de vista ou a uma única maneira de pensar.
Podemos perder oportunidades de explorar outras possibilidades e soluções.
Me conta, já teve um momento que você teve que parar e analisar a sua caminhada? Como foi?🥰
-
#empreendedorismo https://t.co/OIJh0ZAv2H</t>
  </si>
  <si>
    <t>Te ensino a faturar apenas com seu 📲
#viral #sucesso #empreendedorismo #liberdadefinanceira https://t.co/B6ZPjmG1lz</t>
  </si>
  <si>
    <t>Você sabe a importância de ter uma boa gestão financeira em seu negócio? 
Garanta o sucesso da sua empresa! 
Entre em contato com a gente. 
#consultoria #gestãofinanceira #gestaoempresarial #empreendedorismo #empreendedor #empresasdf #negociosdf https://t.co/0jFygolPSn</t>
  </si>
  <si>
    <t>SLK, não pode ,orgânico e vida #liberdadefinanceira #sucesso #empreendedorismo https://t.co/lA5qIinCn6</t>
  </si>
  <si>
    <t>®️ INTELIGENTE 💡                    EMPREEDEDOR INTELIGENTE SABE! TUDO COMEÇA COM A MARCA/PATENTE.
#empreender #empreendedores #empreendedorismo #empresarios #loja #comercio #influencers #marketing https://t.co/sfKqoHZ671</t>
  </si>
  <si>
    <t>Participando do evento "empreendedor estratégico"
#empreendedor #planejamento #redesocial https://t.co/MDPkYMgBef</t>
  </si>
  <si>
    <t>Vendo pack do meu pé!! 
Quem estiver interessado fala comigo
#pack #empreendedor https://t.co/EISeupX5Fl</t>
  </si>
  <si>
    <t>📊 Sebrae abre inscrições para a Feira do Empreendedor 23 📊
🔗 Link: https://t.co/faKFiFDBir
#⃣ Tags: #news #noticias #jornaltribuna #tribunaonline #empreendedor #sebrae #informacao #feiradoempreendedor23</t>
  </si>
  <si>
    <t>Nos dias 27 e 28 de outubro, a cidade de Fortaleza será palco da Expo Favela Innovation, no Centro de Eventos.#Economia #EconomicNewsBrasil #Empreendedorismo #ExpoFavela #FeiradeNegócios #Negócios #Notícias #Oportunidade
https://t.co/tPILdQWZdf https://t.co/1Upxy8fokG</t>
  </si>
  <si>
    <t>Nos dias 27 e 28 de outubro, a cidade de Fortaleza será palco da Expo Favela Innovation, no Centro de Eventos.#Economia #EconomicNewsBrasil #Empreendedorismo #ExpoFavela #FeiradeNegócios #Negócios #Notícias #Oportunidade
https://t.co/tPILdQWZdf https://t.co/DRRkWPvzpD</t>
  </si>
  <si>
    <t>No último mês de julho, os pequenos negócios foram responsáveis pela geração de 80% dos empregos formais no país, solidificando ainda mais sua importância no cenário econômico atual.#EconomicNewsBrasil #Empreendedorismo #emprego #Notícias #Oportunidade
https://t.co/DCzLYjEY12</t>
  </si>
  <si>
    <t>Nos momentos em que a tristeza atinge nosso cotidiano, seja no aconchego de nosso lar ou na agitação do escritório, é crucial não se entregar.#CarreiraProfissional #dificuldade #EconomicNewsBrasil #Empreendedor #Empresário #Notícias #Superação
https://t.co/MWvELUtCms https://t.co/JI8Fx8TOdc</t>
  </si>
  <si>
    <t>Na última terça-feira (dia 5), um acontecimento singular serviu como ponto de encontro para pessoas engajadas no futuro da capital cearense e do país. O deputado federal Luiz Gastão (PSD)#DeputadoFederal #Economia #EconomicNewsBrasil #Empreendedorismo
https://t.co/JpqWxRbIP6</t>
  </si>
  <si>
    <t>Ao dar uma olhada no mapa global das empresas mais antigas que ainda mantêm suas operações, é possível fazer uma verdadeira viagem pela história.#Empreendedorismo #EmpresaPrivada #GestãoEmpresarial #Indústria #LongevidadeEmpresarial
https://t.co/aFl9VTpWzG</t>
  </si>
  <si>
    <t>Em meio à crescente conscientização sobre diversidade e inclusão, o setor de semijoias assiste à quebra de uma tradição: homens adentrando e brilhando em um domínio historicamente feminino.#CarreiraProfissional #EconomicNewsBrasil #Empreendedorismo
https://t.co/esunvazx1Y https://t.co/QyZpIcte6O</t>
  </si>
  <si>
    <t>A inovação tecnológica no Brasil está prestes a receber um grande impulso. Na última terça-feira (5/9), a ministra Luciana Santos anunciou um investimento significativo de R$ 178 milhões nas#CiênciaeTecnologia #EconomicNewsBrasil #Empreendedorismo
https://t.co/1nnbtbCIjJ</t>
  </si>
  <si>
    <t>Grande parte dos filmes para empreendedores é baseada em histórias reais de pessoas simples que se transformaram em grandes empresários.#CarreiraProfissional #DicadeFilme #EconomicNewsBrasil #Empreendedorismo #Franquia #Negócios #Netflix #Notícias
https://t.co/uSOVz14oKD https://t.co/vIylRvDCP7</t>
  </si>
  <si>
    <t>Após o recente corte na taxa Selic em 0,50 pontos percentuais pelo Banco Central, as perspectivas para a economia brasileira parecem promissoras.#CapacitaçãoProfissional #CarreiraProfissional #curso #Economia #EconomicNewsBrasil #Empreendedor #Notícias
https://t.co/MU46c9FFnh https://t.co/T2UiwV9i1v</t>
  </si>
  <si>
    <t>As palavras da conhecida socialite carioca Narcisa Tamborindeguy, "que loucura" define bem a recentedecisão da 4ª Vara do Trabalho de São Paulo contra a Uber, uma gigante no mundo do#DecisãoJudicial #EconomicNewsBrasil #Editorial #Empreendedorismo #IA
https://t.co/hVvHMZwefz</t>
  </si>
  <si>
    <t>No atual cenário do mundo corporativo, é crescente a busca por profissionais e empreendedores de alta performance.#AltaPerformace #Colaboradores #EconomicNewsBrasil #Empreendedor #Fornecedores #GestãoEmpresarial #Notícias #RecursosHumanos
https://t.co/BD8DPPuEHj https://t.co/1HvnWLeJru</t>
  </si>
  <si>
    <t>Josiel Alcolumbre, à frente do Sebrae Amapá, marcou presença na 1ª Reunião dos Presidentes dos Conselhos Deliberativos do Sistema Sebrae realizada na capital federal, na última terça (25/09).#EconomicNewsBrasil #Empreendedor #Empreendedorismo #Negócios
https://t.co/ASP64O9wH8</t>
  </si>
  <si>
    <t>*Artigo Por Amaro Sales de Araújo
A Federação das Indústrias do Estado do Rio Grande do Norte se congratula com o Serviço Brasileiro de Apoio às Micro e Pequenas Empresas no RN.#EconomicNewsBrasil #Empreendedorismo #MEI #MicroePequenaEmpresa
https://t.co/YTFb3vbYRD https://t.co/vANBzzPMnE</t>
  </si>
  <si>
    <t>A Federação das Indústrias do Estado do Rio Grande do Norte se congratula com o Serviço Brasileiro de Apoio às Micro e Pequenas Empresas no RN.#EconomicNewsBrasil #Empreendedorismo #MEI #MicroePequenaEmpresa #Microempreendedor #MPEs #Negócios #Notícias
https://t.co/YTFb3vbYRD https://t.co/tT0GVskKwG</t>
  </si>
  <si>
    <t>O governo brasileiro deu um passo significativo no incentivo ao crescimento econômico e à expansão internacional de pequenas e médias empresas (PMEs) no país. Na última segunda-feira (4/9),#ComércioExterior #EconomicNewsBrasil #Empreendedorismo
https://t.co/baLvTDVxFv https://t.co/2xfCQi0Pta</t>
  </si>
  <si>
    <t>Na aurora do século 19, surge uma figura que redefinirá a trajetória empresarial no Brasil: Irineu Evangelista de Sousa.#BarãodeMauá #DicadeFilme #EconomicNewsBrasil #Empreendedorismo #Empresas #Filme #GestãoEmpresarial #Negócios #Notícias
https://t.co/1Ec7JBfsbY https://t.co/1KQgKApSSl</t>
  </si>
  <si>
    <t>A Associação Brasileira de Comunicação Empresarial (Aberje) amplia suas fronteiras ao estabelecer uma parceria com a COM-ENT, a principal associação de comunicação da França.#ComunicaçãoCorporativa #EconomicNewsBrasil #Empreendedorismo #Jornalismo
https://t.co/Dw8BzT7Tl7</t>
  </si>
  <si>
    <t>Assim como muitos colossos da indústria, a trajetória da Gucci, sinônimo de luxo e inovação na moda global, tem origens humildes, marcadas pelo trabalho artesanal de uma família dedicada em Florença,#EconomicNewsBrasil #Empreendedorismo
https://t.co/yfZh3SQeei</t>
  </si>
  <si>
    <t>Nos últimos meses, a Estratégia Espaçolaser tem sido pauta constante no mercado financeiro. Segundo dados divulgados, a empresa reportou, no final de junho de 2023, dívidas no montante de R$ 842#Depilação #EconomicNewsBrasil #Empreendedorismo
https://t.co/hBaRbskDDN https://t.co/XqY92bUaDU</t>
  </si>
  <si>
    <t>Independentemente do tipo de empreendedorismo que você escolher, lembre-se de que o sucesso leva tempo e esforço. Mantenha-se comprometido, aprenda com cada experiência e aproveite a jornada empreendedora! 🌟💪
#Empreendedorismo #MãoNaMassa #DicasEmpreendedoras</t>
  </si>
  <si>
    <t>Boatos que todo mundo já pensou em empreender, né? Hoje vamos falar sobre diferentes tipos de #empreendedorismo e como colocar a mão na massa em cada um deles. Vamos lá! 💼🚀 https://t.co/zqIjI99AHl</t>
  </si>
  <si>
    <t>Palmas pro profissional! Não deixe as pequenas distrações do dia-a-dia tirarem seu foco rumo aos seus objetivos! #empreendedorismo
(Em breve no Linkedin)</t>
  </si>
  <si>
    <t>É o empreendedor do RN contando com o Governo do Estado, através da AGN, buscando crédito para ampliar o estoque, investir em infraestrutura ou até garantir capital de giro para a sua empresa!
#Fomento #Investimento #Empreendedorismo #Empreendedor</t>
  </si>
  <si>
    <t>Luis Rubiales' mother taken to hospital on third day of hunger strike https://t.co/mG5eYcQAnW</t>
  </si>
  <si>
    <t>Este vai matar a mãe para se manter no cargo 👍. #empreendedorismo #resiliência</t>
  </si>
  <si>
    <t>Tocando a rotina e recebendo as comissões....
Vem aprender a ter liberdade e trabalhar com o teu celular!!! Vem comigo!!
https://t.co/nFvcJDrI3D
#empreendedorismo #liberdade #comissões https://t.co/DRwCispt3Y</t>
  </si>
  <si>
    <t>Tá esperando até quando cair do céu a tua renda extra??
#vemcomigo #rendaextra #empreendedorismo https://t.co/qiuX65SLuR</t>
  </si>
  <si>
    <t>Pq a pessoa que dá curso ensinando o povo a ficar rico, não cobra da pessoa só depois do curso? 
Tipo ficou rico daí o aluno paga 🤔
O curso não é bom bragarai?
#primorico 
#empreendedorismo</t>
  </si>
  <si>
    <t>5 características do dentista empreendedor
https://t.co/SZ3oWCw8cD
#dentistas #empreendedor #sucessoodonto</t>
  </si>
  <si>
    <t>Nasci do canto de uma Sereia!
Foi nas águas do mar que entreguei e recebi a fluidez das ondas num vai e vem infinito, como o meu inspirar e expirar...
Odoyá minha Mãe Yemanjá!
#marketing #empreendedorismo #socialmediamarketing #marketingstrategy #digital #marketingonline https://t.co/wMQHrIME50</t>
  </si>
  <si>
    <t>#RR | Prefeitura de Boa Vista lança programa para impulsionar o empreendedorismo feminino
#OPoder #compartilhe #empreendedorismo #empreendedorismofeminino #boavista #bv #roraima #rr #mulher #mulherempreendedora #brasil #br 
https://t.co/GjcqrLJWZX https://t.co/3ggJTbf0YU</t>
  </si>
  <si>
    <t>#economia #privatização #emprego #piso #salario #investimento #dinheiro #governo #renda #profissão #sistemas #brasil #desemprego #empreendedor #negócios #solução #estabilidade #família #carreira #empreendedorismo #investimento #oportunidade https://t.co/EVJF3lRCaP</t>
  </si>
  <si>
    <t>É daqui a pouco! Às 12h, no IG da @vidasimples, você acompanha a conversa com @kalynelimamc, presidente da @cufabrasil.
Conteúdo oferecido por @siftj_brasil em collab com @vidasimples + @sonhadores_dm
#BZC #SheIsFromTheJungle #Educação  #Empreendedorismo #Favela #Publi https://t.co/9hzfQRVHol</t>
  </si>
  <si>
    <t>Nesta terça (05/09), às 12h, conversaremos com @kalynelimamc no IG da @vidasimples.
A presidente da @cufabrasil falará sobre #empreendedorismo, #educação e a potência que reside nas favelas do país.
#BZC #SheIsFromTheJungle #InovaçãoPeriférica #Favela #Publi https://t.co/K5getl2bot</t>
  </si>
  <si>
    <t>No último episódio do Start Talks, Erick Simões, do Cesar, fala sobre como conciliar os estudos com o próprio negócio. “A época da faculdade é o melhor momento para empreender”. 
Confira o vídeo completo em: https://t.co/7B1r9BrJ5d
#empreendedorismo https://t.co/NOYRDlatMM</t>
  </si>
  <si>
    <t>Com muito orgulho e dedicação, apresento a AmazImports! Estamos no início, mas vamos avançar passo a passo para garantir o nosso sucesso! 💼🚀 #AmazImports #NovoComeço #Empreendedorismo #Dedicação
RT=♥
https://t.co/EJcewfQOJx</t>
  </si>
  <si>
    <t>RT @limclown: Com muito orgulho e dedicação, apresento a AmazImports! Estamos no início, mas vamos avançar passo a passo para garantir o no…</t>
  </si>
  <si>
    <t>Aqui vemos a tecnologia sendo aplicada para detectar pragas nas lavouras e elimina-las com efeito de um laser usando IA.
#technology #tecnologia #IA #empreendedorismo https://t.co/jWdOg2bfyS</t>
  </si>
  <si>
    <t>FAÇA ACONTECER!!!NADA CAI DO CEU🙏🎯🚨#motivação #sucesso #empreendedorismo #riqueza
https://t.co/CidLTLp74S</t>
  </si>
  <si>
    <t>SE ESTÁ DISPOSTO,PODE TER CERTEZA QUE CONSEGUIRÁ TER TUDO🙏🎯🚨#motivação #sucesso #empreendedorismo #riqueza
https://t.co/ts6C76huj9</t>
  </si>
  <si>
    <t>FAÇA ACONTECER PARA QUE AS PESSOAS SAIBAM SEU VALOR 🙏🎯🚨#motivação #sucesso #empreendedorismo #riqueza
https://t.co/IjMBNf9z7R</t>
  </si>
  <si>
    <t>Você conhece o dever de informação da empresa em seguros de vida coletivos? Entenda a importância de uma comunicação clara e transparente na proteção dos seus funcionários.
https://t.co/j1XLar3vzo
#convencaocoletiva #empresas #empreendedor #negócios #empreendedorismo</t>
  </si>
  <si>
    <t>Estou montando minha loja de Peças e Acessórios. Ainda trabalho como assalariado, porém, aos poucos vou conquistando meu estoque para revenda #empreendedorismo #maraba #para</t>
  </si>
  <si>
    <t>90% DOS INGRESSOS VENDIDOS!😱😱😱
💡A dica é: Corre e garante logo o teu.
⏳ https://t.co/ElOIr5gyDh
#frontend #tecnologia #empreendedorismo #programacao #javascript #reactjs #inovacao #tech #fortaleza #frontendday https://t.co/xHT7WW5pcL</t>
  </si>
  <si>
    <t>🎈Feliz dia do...
#javascript #frontenddeveloper #frontendbrasil #frontendce #fortaleza #ceara #tecnologiaceara #dev #tecnologia #empreendedorismo #frontend #oportunidade #diadoprogramador #diadodesenvolvedor #desenvolvedor https://t.co/b8uhhosy2G</t>
  </si>
  <si>
    <t>🚨 FIM DO PRIMEIRO LOTE: 08/09 🚨
Corra e garanta seu ingresso para o MAIOR evento da comunidade de Front End no Ceará.
🎟️ https://t.co/ElOIr5gyDh
#frontend #tecnologia #empreendedorismo #programacao #javascript #reactjs #inovacao #tech https://t.co/1oAqCtzDg6</t>
  </si>
  <si>
    <t>O prazer no trabalho aperfeiçoa a obra. Aristóteles
#marketingdeconteudo #mindsetcriativo #mindset #negócios #empreendedorismo #empreender #marketingdigital #digitalmarketing #marketing #jundiai #saopaulo #brasil https://t.co/WKsZ1hVmeE</t>
  </si>
  <si>
    <t>Foco é dizer não.
Steve Jobs
Steve Jobs
 #empreendedorismo #empreender #geracaodevalor #geraçãodevalor https://t.co/ICvmbmdmVV</t>
  </si>
  <si>
    <t>#marketingdeconteudo #mindsetcriativo #mindset #negócios #empreendedorismo #empreender #marketingdigital #digitalmarketing #marketing #jundiai #saopaulo #brasil https://t.co/hnQ9iEGEdj</t>
  </si>
  <si>
    <t>É impossível para um homem aprender aquilo que ele acha que já sabe. Epicteto
#marketingdeconteudo #mindsetcriativo #mindset #negócios #empreendedorismo #empreender #marketingdigital #digitalmarketing #marketing #jundiai #saopaulo #brasil https://t.co/KxvcpdH2qv</t>
  </si>
  <si>
    <t>Foco é dizer não.
Steve Jobs
Steve Jobs
 #empreendedorismo #empreender #geracaodevalor #geraçãodevalor https://t.co/Uukc4AmpSO</t>
  </si>
  <si>
    <t>O prazer no trabalho aperfeiçoa a obra. Aristóteles
#marketingdeconteudo #mindsetcriativo #mindset #negócios #empreendedorismo #empreender #marketingdigital #digitalmarketing #marketing #jundiai #saopaulo #brasil https://t.co/Fb2CrnmN64</t>
  </si>
  <si>
    <t>#marketingdeconteudo #mindsetcriativo #mindset #negócios #empreendedorismo #empreender #marketingdigital #digitalmarketing #marketing #jundiai #saopaulo #brasil https://t.co/Sa9JwBODiY</t>
  </si>
  <si>
    <t>A criatividade exige a coragem de deixar as certezas de lado.
Erick FROMM
#marketingdeconteudo #mindsetcriativo #mindset #negócios #empreendedorismo #empreender #marketingdigital #digitalmarketing #marketing #jundiai #saopaulo #brasil https://t.co/sjWCyyeMv3</t>
  </si>
  <si>
    <t>É impossível para um homem aprender aquilo que ele acha que já sabe. Epicteto
#marketingdeconteudo #mindsetcriativo #mindset #negócios #empreendedorismo #empreender #marketingdigital #digitalmarketing #marketing #jundiai #saopaulo #brasil https://t.co/Ito7WwClVP</t>
  </si>
  <si>
    <t>RESSURJA!! 🌿🌱
#marketingdeconteudo #mindsetcriativo #mindset #negócios #empreendedorismo #empreender #marketingdigital #digitalmarketing #marketing #jundiai #saopaulo #brasil https://t.co/S1jjEWfu2K</t>
  </si>
  <si>
    <t>A importância do certificado SSL.
#marketingdeconteudo #mindsetcriativo #mindset #negócios #empreendedorismo #empreender #marketingdigital #digitalmarketing #marketing #jundiai #saopaulo #brasil https://t.co/E9rcw6F2lA</t>
  </si>
  <si>
    <t>A criatividade exige a coragem de deixar as certezas de lado.
Erick FROMM
#marketingdeconteudo #mindsetcriativo #mindset #negócios #empreendedorismo #empreender #marketingdigital #digitalmarketing #marketing #jundiai #saopaulo #brasil https://t.co/bsjcJ1fdxf</t>
  </si>
  <si>
    <t>Se você sonha em criar um produto ou serviço de alto valor agregado e deseja fazer isso com o apoio de instituições de ensino, empresas e governo, a JumpStart é o seu caminho!
 #Empreendedorismo #Startup #Tecnologia #IdeiaInovadora #DesenvolvimentoTecnológico  #JumpStart https://t.co/UzajJoTugd</t>
  </si>
  <si>
    <t>📲 Acesse a notícia em https://t.co/6txExIYCm4
#Udesc #Esag #extensao
#empreendedorismo #45+
#feira #brecho
@extensaoesag
@udesc</t>
  </si>
  <si>
    <t>Acontece com você também? 😅
Não deixe o algoritmo te assustar! Conheça melhor o algoritmo e encontre o jeito certo de postar!
#MarketingPoderoso #metaseobjetivos #empreendedorismo #menteempreendedora #cadeirudo #novelasglobo #venderonline
https://t.co/qDU9rp10rR</t>
  </si>
  <si>
    <t>📢 Direcione o seu negócio para o caminho certo com a nossa Assessoria Contábil! 📊💼
📞Contate-nos:
📱 (21) 3259-7930 / 3259-7947
📧 atendimento@maraujo.com.br
#contabilidade #finanças #empresa #empresas #negocios #empreendedor #empreender #assessoriacontabil #mei #rj #sp #mg https://t.co/VEhNGslJlm</t>
  </si>
  <si>
    <t>🏢 Enquadramento de Regime Tributário: Otimize sua Empresa, Economize Tempo e Dinheiro! 💼
📞Contatos:
📱 (21) 3259-7930
#contabilidade #contador #negocios #empreendedor #empreender #odontologia #medicina #medico #psicologia #nutricao #fisioterapia #tecnologia #mei  #rj #sp https://t.co/MUeYgf0JDB</t>
  </si>
  <si>
    <t>A nossa assessoria contábil oferece soluções especializadas para garantir o sucesso financeiro do seu negócio. 
📞Contate-nos: 
📱 (21) 3259-7930 / 3259-7947 
📧 atendimento@maraujo.com.br  
#contabilidade #contador #empresa #empresas #negocios #empreendedor #empreender #rj https://t.co/feC45IBxTI</t>
  </si>
  <si>
    <t>Descubra o poder da assessoria contábil personalizada para impulsionar o sucesso de sua empresa! 💼✨📊
📞Contatos:
📱 (21) 3259-7930 / 3259-7947
📧 atendimento@maraujo.com.br
#contabilidade #finanças #empresa #empresas #negocios #empreendedor #empreender #assessoriacontabil https://t.co/tn6rjS8khn</t>
  </si>
  <si>
    <t>Ah, claro! As pessoas trabalham no Estado não porque o Estado é o maior empregador por causa das bases comunistas do partido no poder mas sim por escolha de virarem gatunos. 🙌🏿#Empreendedorismo #FuturosDoAmanhã #LinkedIn</t>
  </si>
  <si>
    <t>No mundo em constante evolução dos negócios, a criatividade tornou-se uma habilidade indispensável para os empreendedores. Aqueles capazes de pensar de forma criativa têm uma vantagem significativa. 
Leia mais em: https://t.co/mPsm9McB8R 
#empreendedorismo #marketingdigital https://t.co/FUjW5LQo9Z</t>
  </si>
  <si>
    <t>Juntos, vamos impulsionar a inovação e criar um futuro promissor para as startups!
#Nebula #Startups #InovaçãoTecnológica #Empreendedorismo #CrescimentoEmpresarial #Tecnologia #DesenvolvimentoWeb #software #futuro #sucesso</t>
  </si>
  <si>
    <t>A Rota das Frutas marca presença no INOVAGRI - 2° Encontro de Agricultura Irrigada. 
Confira. 
#agro #agronegocio #irrigação #goias #rotafruticulturaridedf #inovacao #empreendedorismo https://t.co/75M9hv9gXF</t>
  </si>
  <si>
    <t>O cliente se torna fiel muitas vezes através de uma conexão emocional, que faz ele voltar a comprar em mais oportunidades.
#empreendedorismo #vendas #cliente #estrategiadevendas @fafitalopesp @fernandarocha.ss #joaonetocontador #profissaoempreendedorpodcast https://t.co/UKE47Kvw3R</t>
  </si>
  <si>
    <t>Melhor do que dizer aos liderados o que fazer, as ações são muito mais influentes para estimular um comportamento. #comunicacao #empreendedorismo #sucesso #carreira #gestao #joaonetocontador @orafaelarruda @walassi #profissaoempreendedorpodcast https://t.co/vniJa2vg5I</t>
  </si>
  <si>
    <t>A forma de abordagem correta determina a direção que a efetividade da venda vai se conduzir. #empreendedorismo #vendas #empresario #sucesso #coach #gestao
@celsomogari.neximob @empresaprodutiva
#joaonetocontador #profissaoempreendedorpodcast https://t.co/0MbEEGn10F</t>
  </si>
  <si>
    <t>O registro da marca deve ser a primeira ação da empresa para uma maior segurança. #empreendedorismo #registrodemarca #ideias #negocios #marketing
@asbradsoficial @leticiachiquetto @contadorceo @absgrowthoficial
#joaonetocontador #profissaoempreendedorpodcast https://t.co/WIIr0eGvVL</t>
  </si>
  <si>
    <t>Ficar dependente de um profissional, mesmo que tenha um ótimo resultado, pode gerar problemas a longo prazo.
#vendas #marketing #empreendedorismo #sucesso #negocios @rafalagooficial @tiagobocato #joaonetocontador #profissaoempreendedorpodcast https://t.co/l1bGdkJaaD</t>
  </si>
  <si>
    <t>O marketing junto com o valor percebido pelo cliente torna a fidelização mais sólida.
#marketingdigital #marketing #vendasonline #sucesso #empreendedor @edsonferreirass @umjornalregional #joaonetocontador #profissaoempreendedorpodcast https://t.co/TThHhOhFRO</t>
  </si>
  <si>
    <t>Lembrem-se crianças:
✅ Produto Rosa tá liberado! 
🚫 Falar que é da boneca tal, da marca tal, só se você tiver autorização!
Evite problemas sem perder o timing da campanhas, contrate quem entende do assunto!
#estrategiadigital
#empreendedorismo
#pequenasempresas https://t.co/PySKphR3Vc</t>
  </si>
  <si>
    <t>Por aí também tá assim?
✏ Rascunho - Marketing &amp;amp; Publicidade
📲 (19) 989655437
🖱 https://t.co/vChjtobtLk
#marketingdigital
#publicidade
#designgrafico
#midiasocial
#branding
#comunicacao
#seo
#producaodeconteudo
#inovacao
#estrategiadigital
#empreendedorismo
#pequenasempresas https://t.co/jBKyunYGlv</t>
  </si>
  <si>
    <t>💡 Entre em contato conosco hoje mesmo e vamos transformar suas ideias em páginas inspiradoras!
#marketingdigital
#publicidade
#designgrafico
#CatálogosCriativos #ImpressioneSeusClientes #RascunhoAgência
#branding
#comunicacao
#inovacao
#empreendedorismo
#pequenasempresas https://t.co/XNwK7N9ODY</t>
  </si>
  <si>
    <t>Eu tenho certeza que você conhece alguém que joga o preço lá pra baixo nessa ilusão também, manda esse vídeo pra essa pessoa!
#designgrafico
#midiasocial
#branding
#comunicacao
#seo
#producaodeconteudo
#inovacao
#estrategiadigital
#empreendedorismo
#pequenasempresas https://t.co/MWKraoAqMJ</t>
  </si>
  <si>
    <t>Vem acompanhar o processo criativo das pastas da @natiele_ferreira_eng.civil e também o resultado, claro!
#marketing #designgrafico
#pastas #branding
#comunicacao
#empreendedorismo
#pequenasempresas
#constrcaocivil #engenheiracivil #engenhariacivil https://t.co/RpguqVy2bG</t>
  </si>
  <si>
    <t>Assista ao episódio do Economia SC Live com Geraldo Campos, CEO da Sapienza, no Youtube: https://t.co/WBAsQA7Hc9
#economiasclives #anapauladahlke #jornalismo #santacatarina #brasil #sapienza #conhecimento #empreendedorismo</t>
  </si>
  <si>
    <t>"Olhe para o horizonte e veja além do que os olhos podem alcançar. Sonhe alto, acredite em si mesmo e siga em frente, pois o futuro é seu para conquistar."
#sucesso  #empreendedorismo #foco #a #marketingdigital #motiva #empreender #brasil #dinheiro #marketing #empreendedor #amor https://t.co/mUE9Az9mtC</t>
  </si>
  <si>
    <t>🔧💼 A produtividade que seu negócio merece, com a qualidade que só a Skymsen oferece! 💪💚✨ Loja autorizada dessa renomada marca de equipamentos industriais, temos o orgulho de proporcionar soluções robustas e duráveis para o sucesso do seu empreendimento.
   #empreendedorismo https://t.co/jiKea1NEPn</t>
  </si>
  <si>
    <t>Chega de reunião sem sentido! 🤯 Com o método 5Ps esses encontros se tornam em momentos objetivos e efetivos! 🤩
#ischolar #5ps #empreendedorismo #gestão #reunião https://t.co/sZe3xqrCCh</t>
  </si>
  <si>
    <t>&amp;gt;Confie em si mesmo, ignore críticas.
&amp;gt;Reconheça seu conhecimento, esteja aberto a aprender.
&amp;gt;Liderança é ouvir, aprender e crescer juntos.
&amp;gt;Você é um líder inspirador! 🏆
#ischolar #gestãoescolar #gestão #liderança #empreendedorismo https://t.co/dpygUkv4uR</t>
  </si>
  <si>
    <t>☕️😄 Hora do cafezinho! E o que você mais gostaria de ouvir?
#ischolar #gestãoescolar #liderança #empreendedorismo https://t.co/R3ZGmrzeRT</t>
  </si>
  <si>
    <t>Maximize o sucesso do seu onboarding no HubSpot! Migrar e integrar dados de forma eficiente é crucial para obter resultados incríveis. 📊🚀
https://t.co/NVk1PtpkLv
.
#HubSpot #Onboarding #MigraçaoDeDados #IntegraçaoDeDados #MarketingDigital #Vendas #Empreendedorismo</t>
  </si>
  <si>
    <t>Confira: https://t.co/bUjzD9eRXA 
#startups #startupsummit #contablack #empreendedorismo #negócios #florianopolis #santacatarina #brasil</t>
  </si>
  <si>
    <t>Assista ao episódio do Economia SC Live com Geraldo Campos, CEO da Sapienza, no Youtube: https://t.co/m9n1drgW4J
#economiasclives #anapauladahlke #jornalismo #santacatarina #brasil #sapienza #conhecimento #empreendedorismo</t>
  </si>
  <si>
    <t>Confira: https://t.co/ulHOEeUjxS
#sapienza #ufsc #inovação #empreendedorismo #florianopolis #santacatarina #brasil</t>
  </si>
  <si>
    <t>Já se perguntou quais são as diferenças em Microempreendedor Individual (MEI) e Empresário individual (EI)? Esse é um trecho do nosso vídeo especial de dia dos pais. Você pode conferir ele completo no Youtube 👉🏻📺 FCQ Advogados
#Empreendedor #MEI #Empresario #negocios #advocacia https://t.co/l7hgcPLX4L</t>
  </si>
  <si>
    <t>"🚀 MVP (Minimum Viable Product) 🚀⁣
Feito é melhor que perfeito! ✨⁣
Comece com o MVP, lance sua ideia no mundo e obtenha feedback valioso dos usuários. Erros são oportunidades de aprendizado. Não adie mais, vá lá e lance seu MVP! 💪🚀 #MVP #FeitoEBom #Empreendedorismo</t>
  </si>
  <si>
    <t>Ter talento não é suficiente para tornar um empreendedor bem-sucedido,
deve ser acompanhado pela dedicação e entrega, para superar os riscos no início de um negócio.
#Empreendedor #Empreededorismo https://t.co/Q6ftRd1A7G</t>
  </si>
  <si>
    <t>Seis dicas para quem quer empreender depois dos 50 https://t.co/bjVVa6PPch separamos seis dicas para que os aspirantes a empresários possam ter sucesso em seus negócios.
#RicardoNunes #empreendedorismo #mais50</t>
  </si>
  <si>
    <t>Empreendedorismo: quando é a hora de fechar um negócio? https://t.co/zRSr6hRck3, infelizmente, é uma realidade do #empreendedorismo brasileiro. Dicas com #EdsonBarbero</t>
  </si>
  <si>
    <t>Feira das Ideias traz empreendedorismo e atrações para toda a família https://t.co/3d6CewJk82 #FeiradasIdeias no #MIS de 19 a 20/08/2023
#empreendedorismo #passeioemfamilia #finaldesemana #LivePaintingMuralMIS #LivePaintingemTelas #PocketShow #pequenosempreendedores</t>
  </si>
  <si>
    <t>É assim que você pega uma moto pela metade do valor.
Siga👇🏼
➡️@feriniinsights
➡️@feriniinsights
#ferini #moto #carro #riqueza #xre300 #rico #marketing #mktdigital #finanças #empreendedorismo #milionario https://t.co/GBHBohxZny</t>
  </si>
  <si>
    <t>Esse vídeo vai mudar a sua visão sobre empreender.
#ferini #empreendedorismo #MarketingDigital https://t.co/TkwnZGnvTQ</t>
  </si>
  <si>
    <t>Aumento da alíquota do ICMS 
#impostos
#tributação
#alíquota
#ICMS
#contabilidade
#empresas
#empreendedor
#pegn
#mercadodigital https://t.co/oAgnGQbomw</t>
  </si>
  <si>
    <t>Conte com a experiência de quem está há mais de 65 anos no mercado. 
#profissionalliberal #empreendedorismo #empresa #contabilidade #contador #saopaulo #sp https://t.co/3MddQ8brxw</t>
  </si>
  <si>
    <t>Repita todos os dias essa frase: o dinheiro vem a te mim através de multiplas fontes de forma continua e crescente todos os dias sem o mínimo esforço. 
#$
#dinheiro
#empreendedorismo
#equador</t>
  </si>
  <si>
    <t>Juegas para no perder o para ganar?
#exito #gabypaniz #empreendedorismo #vidamaravillosa #dinero #mentemillonaria https://t.co/9eXwxvoI7W</t>
  </si>
  <si>
    <t>Preguntas inteligentes o excusas?
#gabypaniz #exito #desarrollopersonalyprofesional # #vidamaravillosa #programacionneurolingüística #amorproprio #empreendedorismo #autoestima #desarrollopersonal https://t.co/5DgsOFAiVc</t>
  </si>
  <si>
    <t>Hay que mojarse para tener éxito
#gabypaniz #exito #OnlyConnect #desarrollopersonal #empreendedorismo #coach #elecciones https://t.co/EJvcCZxXqy</t>
  </si>
  <si>
    <t>😍 Quem resiste a uma feirinha de artesanato?
No início desse semestre, as feiras itinerantes promovidas pela Semtepi já faturaram quase R$ 50 mil em vendas.
É assim que apoiamos o #empreendedorismo da nossa gente! https://t.co/JrG02ic6OL</t>
  </si>
  <si>
    <t>🤝 Inclusão e #empreendedorismo se unem na ação "Mães Empreendedoras"!
Nesta quarta, a Semed promoveu diversas oficinas para mães de alunos PcD da rede municipal de ensino.
Olha só: https://t.co/60wlb9JTEm</t>
  </si>
  <si>
    <t>"Valorize cada nova amizade que surgir em sua vida! Elas trazem aprendizado, oportunidades e colaborações profissionais.
Mantenha a mente aberta para conhecer pessoas diferentes e ampliar seus horizontes.
#NovasAmizades #ValorizeAsDiferenças #Empreendedorismo"</t>
  </si>
  <si>
    <t>📈 A Caixa reabre linha de microcrédito para empresas, injetando R$ 300 milhões na economia. Um grande passo para apoiar empreendedores neste momento desafiador. 💼💰 #Microcrédito #Empreendedorismo https://t.co/PgflLZx2SD</t>
  </si>
  <si>
    <t>👍🏾 Vocês pediram, nós disponibilizamos. Acesse o link e confira a lista completa das 767 atividades com autorização imediata para funcionamento.
🖥️: https://t.co/8LnEhhF5jC
 #ssa #sefaz #Salvador #empreendedorismo https://t.co/gVrg7kSmPP</t>
  </si>
  <si>
    <t>Com honra imensurável serei mentor neste evento de exaltação ao empreendedorismo nas favelas. Que esta jornada seja marcada não apenas pela expansão dos horizontes empresariais, mas também pela transformação de vidas. #empresarios #empreendedorismo #DIREITOSHUMANOS #Crime https://t.co/rXYR5VI4PR</t>
  </si>
  <si>
    <t>Siga @rogeriowilbert para inspiração e dicas empreendedoras nessa jornada rumo ao sucesso! 🚀 #empreendedorismo #negócios #sucesso</t>
  </si>
  <si>
    <t>Interesse em empreendedorismo em queda na Alemanha. #Alemanha #Empreendedorismo #TVCultura 
https://t.co/Wn3zmpiqcw</t>
  </si>
  <si>
    <t>"Quero valorizar muito a pequena e média empresa porque ela gera 60% ou 70% do emprego deste país", disse o presidente. #Lula #Empreendedorismo #TVCultura
https://t.co/TOIMkRHiiQ</t>
  </si>
  <si>
    <t>Evento virtual tem como objetivo informar e motivar estudantes e jovens que estão entrando no mercado de trabalho. #Educação #Empreendedorismo #TVCultura. 
https://t.co/ZNGXTZAMv7</t>
  </si>
  <si>
    <t>👉 Porquê escolher a ESCE/IPS?
#3 Espírito #Empreendedor
💼🏆 Apostamos em trabalhos aplicados de forte ligação ao contexto #empresarial e incentivamos à participação com projetos de #empreendedorismo nas ações da IPStartUp!
#esceips #politécnicodesetúbal #ensinosuperior https://t.co/tUItjgTa3r</t>
  </si>
  <si>
    <t>#ArquivoColabora - Os #MEIs, podem emitir a partir desta sexta-feira, 1°, a Nota Fiscal de Serviços eletrônica apenas pelo sistema nacional. Relembre como a #sustentabilidade pode ser uma aliada do #empreendedorismo, em matéria de #TrajanodeMoraes.
https://t.co/6OoZB6vYad</t>
  </si>
  <si>
    <t>🚀💼 Boa notícia para empreendedores! 🎉 O PL 2055/19 foi aprovado na Comissão de Desenvolvimento Econômico da Câmara! Conheça o Penemp: Programa de Estímulo à Nova Empresa, que prevê a suspensão do IRPJ por 5 anos após a criação do empreendimento.
#Empreendedorismo #Penemp</t>
  </si>
  <si>
    <t>🏢 Para as empresas, a inovação é vital. Ela impulsiona eficiência, geração de produtos e empregos qualificados, tornando-as competitivas e criando valor econômico e social.
📊 Investir em pesquisa e desenvolvimento é crucial. 🌟🔬📊
#Inovação #Desenvolvimento #Empreendedorismo</t>
  </si>
  <si>
    <t>E quando o comércio cresce, todos crescem juntos!
#ocdcontabil #comerciantes #comercio #contabilidade #empreendedor #empresarios #diadocomerciante #varejo #comerciolocal https://t.co/WlS3wAruSO</t>
  </si>
  <si>
    <t>Alimentando nossas escolhas e nutrindo nossas vidas. Parabéns, Nutricionistas! 🍉🍊🍇🥦🫛🍞
#ocdcontabil #diadonutricionista #nutricionista #saude #alimentacaosaudavel #nutrição #alimentaçãosaudavel #empreendedorismo https://t.co/WzExD3wvbg</t>
  </si>
  <si>
    <t>Ser estagiário é abraçar desafios, aprender a cada passo e deixar sua marca onde quer que vá. Hoje celebramos sua jornada de crescimento. Feliz Dia do Estagiário!🌱📈👩‍🏫👨‍🏫
#ocdcontabil #empreendedorismo #estagio #estagiário https://t.co/IrDW6L7tSw</t>
  </si>
  <si>
    <t>Comece a semana com o pé direito e a mente positiva, pois novas oportunidades estão chegando! 💪🌟 #InicioDeSemana #ocdcontabil #motivacional #motivacao #empreendedorismo https://t.co/ZfeCzF3QUT</t>
  </si>
  <si>
    <t>Parabéns a todos os fisioterapeutas pelo seu dia! ☆☆☆
#fisioterapia #fisioterapeuta #ocdcontabil #empreendedorismo #saude https://t.co/5ocgpDNMqw</t>
  </si>
  <si>
    <t>Agradecemos pela parceria e por construir essa história com a gente. Parabéns pelo seu dia, Clientes! ♡♡
#empreendedorismo #empreendedor #diadocliente #ocdcontabil #parceria #sucessoprofissional https://t.co/vkKxyw7cYi</t>
  </si>
  <si>
    <t>O empreendedor de renome está expandindo sua vida familiar! Saiba mais sobre essa história inspiradora: #família #empreendedor #inspiração https://t.co/Dbs6g9tU24</t>
  </si>
  <si>
    <t>“Quer empreender? Comece identificando um problema que precisa de solução. 
Grandes negócios nascem ao resolver necessidades reais! 
Na sequência, venda, ofereça, disponibilize sua solução!💡🚀 
#Empreendedorismo #DicaEmpreender”</t>
  </si>
  <si>
    <t>Gostou do nosso conteúdo? Então👇
🔸 Segue, curte, comente e compartilhe @performando_vidas
#performandovidas #motivação #empreender #empreendedorismo #resolverproblemas #fazeracontecer #vidaextraordinaria https://t.co/UENXhM54sV</t>
  </si>
  <si>
    <t>Aprenda agora 3 formas maduras e inteligentes de lidar com provocações e conflitos.
Siga-nos, curta, comente e compartilhe...
#performandovidas #eusou1porcento #clubedo1porcento #empreendedorismo #sucesso #mente #mentalidade #transformação #autodesenvolvimento https://t.co/jkC5YcAwot</t>
  </si>
  <si>
    <t>Qual nota você dá para esse vendedor?
#performandovidas #empreendedorismo #vendas #dinheiro #necessidade #oferta #produto https://t.co/jP6LF7yC47</t>
  </si>
  <si>
    <t>Os bons dominam o corpo, os melhores dominam a mente, e os excelentes se sujeitam ao Espírito de Deus!
Segue, e deixe seu ❤️
#performandovidas #ia #negocios #empreender #empreendedorismo #marketingdeconteudos #bons #dominar #corpo #melhor #mente #treino #musculo #espirito https://t.co/hMr1fHbcl0</t>
  </si>
  <si>
    <t>A palavra para essa semana é: #ação. 💡 Vamos juntos construir o futuro do mercado imobiliário?
#FrasedaSemana #Inspiração #Motivação #Criação #Insights #empreendedorismo #mercadoimobiliário https://t.co/Cc3oSWxd1E</t>
  </si>
  <si>
    <t>Não há atalhos para alcançar seus objetivos, é preciso suar a camisa e se dedicar ao máximo. Então, levante-se, coloque seu plano em ação e mostre ao mundo do que você é capaz! 💼🚀
#FrasedaSemana #Inspiracao #Motivacao #Insights #empreendedorismo #mercadoimobiliário https://t.co/DLkY8RXeOa</t>
  </si>
  <si>
    <t>A palavra para essa semana é: #persistência. 💡
#Frasedasemana #Inspiração #Motivação #Insights  #empreendedorismo https://t.co/L8lPUwk6dv</t>
  </si>
  <si>
    <t>Quantas oportunidades incríveis já ficaram para trás simplesmente porque o medo te segurou? É hora de lembrar que desafios são trampolins para o sucesso, e cada tentativa te aproxima dos seus objetivos.🎯#frasedasemana #motivacao #insights #empreendedorismo #mercadoimobiliário https://t.co/iN6wsSrLOQ</t>
  </si>
  <si>
    <t>O segredo está em fazer um pouco todos os dias. Cada pequena ação, com estratégia, por mais singela que seja, nos conduz na direção dos nossos objetivos.💡
#frasedasemana #inspiracao #motivacao #insights #empreendedorismo #mercadoimobiliário https://t.co/pQCyJisfAk</t>
  </si>
  <si>
    <t>O medo, afinal, é apenas a sombra do desconhecido. E como empreendedores, sabemos que explorar é parte essencial do caminho para o sucesso. Explore! 💪
#frasedasemana #inspiracao #motivacao #insights #empreendedorismo #mercadoimobiliário #oportunidades https://t.co/BmV0SGVjbX</t>
  </si>
  <si>
    <t>Às vezes, esperamos por condições ideais, mas a verdade é que o momento perfeito não existe. É na ação, com os recursos que temos agora, que transformamos sonhos em realidade. É o movimento que nos leva adiante!🚀#frasedasemana #motivacao #empreendedorismo #mercadoimobiliário https://t.co/jcanuaJvDG</t>
  </si>
  <si>
    <t>Uma nova semana se inicia para deixar sua criatividade fluir, enxergar além do óbvio e forjar novos caminhos. Lembre-se: cada desafio é uma chance de se superar e criar oportunidades brilhantes!🚀#frasedasemana #insights #empreendedorismo #corretordeimoveis #mercadoimobiliário https://t.co/53PxArmGTc</t>
  </si>
  <si>
    <t>Começar é o que te coloca no caminho da inovação e do sucesso. 💡 Cada segunda-feira é uma nova oportunidade para dar o pontapé inicial em direção aos seus objetivos.  #frasedasemana #inspiracao #motivacao #insights #empreendedorismo #mercadoimobiliário https://t.co/OQIo2TMuTg</t>
  </si>
  <si>
    <t>Mais uma convidada CONFIRMADÍSSIMA: @reginacase !
É com muito entusiasmo que anunciamos a presença da atriz, autora, diretora, produtora e apresentadora Regina Casé na Expo Favela Innovation Ceará 2023!
#expofavela #favelas #comunidades #cultura #inclusãosocial #empreendedorismo https://t.co/6WjWnCNLi0</t>
  </si>
  <si>
    <t>Presença CONFIRMADA: @adrianapreta 
É com muito entusiasmo que anunciamos a presença da empreendedora social Adriana Barbosa na Expo Favela Innovation Ceará 2023!
#expofavela #favelas #comunidades #cultura #inclusãosocial #empreendedorismo
#arteefavela #startups https://t.co/AIQwyjD6Fh</t>
  </si>
  <si>
    <t>Presença CONFIRMADA : @kond 
É com muita empolgação que anunciamos a presença do KondZilla na Expo Favela Innovation Ceará 2023!
#expofavela #favelas #comunidades #cultura #inclusãosocial #empreendedorismo 
#arteefavela #startups https://t.co/IS8aihU7Ie</t>
  </si>
  <si>
    <t>Kleber Lucas é mais um confirmado na Expo Favela Innovation Ceará 2023!
A Expo Favela Innovation Ceará vai proporcionar uma experiência única, transformadora e inspiradora. Vem! Dias 27 e 28 de outubro, no Centro de Eventos.  #expofavela #cultura #inclusãosocial #empreendedorismo https://t.co/tOJsFf1jNu</t>
  </si>
  <si>
    <t>Izabel Accioly é mais uma confirmada na Expo Favela Ceará 2023!
Atuando como consultora de diversidade, pesquisadora e professora, Izabel é uma mulher negra, cis e pessoa com deficiência visual.
#expofavela #cultura #inclusãosocial #empreendedorismo #arteefavela #startups https://t.co/x9Rwe5qrjm</t>
  </si>
  <si>
    <t>Abilio Diniz é mais um confirmado na Expo Favela Innovation Ceará 2023!
Presidente do Conselho de Administração da Península Participações e membro dos Conselhos de Administração do Carrefour Global e do Carrefour Brasil.
#expofavela #cultura #inclusãosocial #empreendedorismo https://t.co/jsS3uGDF2Z</t>
  </si>
  <si>
    <t>➡️ Voce sabe qual o maior objetivo da Expo Favela?! Não perde tempo! Inscreva-se! 👏🏽👏🏽
https://t.co/Nxcj9fo4vK
📍A Expo Favela Innovation Ceará vai ocorrer dias 27 e 28 de outubro, no Centro de Eventos do Ceará! #vem 
#startup #expofavela #expoceara #favela #empreendedor #evento https://t.co/ME6X0dUmIF</t>
  </si>
  <si>
    <t>Chama a galera, chama todo mundo! Vem ser Expo Favela Innovation  Ceará, que vai acontecer nos dias 27 e 28 de outubro, no Centro de Eventos do Ceará.
#expofavela #favelas #comunidades #cultura #inclusãosocial #empreendedorismo https://t.co/Q5o2FQoSys</t>
  </si>
  <si>
    <t>Galera, não perde tempo! 
As inscrições são até hoje.
▶️📊https://t.co/5KBkxSEwpm
#expofavela #favelas #comunidades #cultura #inclusãosocial #empreendedorismo https://t.co/3IyzVmgya0</t>
  </si>
  <si>
    <t>Presença CONFIRMADA: @katianapena
É com muito entusiasmo que anunciamos a presença da empreendedora, bailarina e coreógrafa Katiana Pena na Expo Favela Innovation Ceará 2023!
#expofavela #favelas #comunidades #cultura #inclusãosocial #empreendedorismo 
#arteefavela #startups https://t.co/1J3y18tW8U</t>
  </si>
  <si>
    <t>#Evento
IGARASSU promove 1° Festival de Games e Empreendedorismo GEEK da REGIÃO; são mais de 30 atrações GRATUITAS
#PortaldePrefeitura #Igarassu #488anos #Festival #Games #Empreendedorismo #GEEK #Técnologia 
https://t.co/jKw8W6RKDM</t>
  </si>
  <si>
    <t>#Desenvolvimento
BELO JARDIM dá incentivo de R$ 3 MIL para mulheres EMPREENDEDORAS no programa 'MEU NEGÓCIO é Meu País'; Veja como SE INSCREVER E CONCORRER
#portaldeprefeitura #cidades #belojardim #mulheres #empreendedorismo #iniciativa #elas
https://t.co/XXwus225Kg</t>
  </si>
  <si>
    <t>#Qualificação
IGARASSU leva serviço itinerante de CAPACITAÇÃO profissional e EMPREENDEDORISMO pelos seus 488 anos de história
#portaldeprefeitura #igarassu #elcioneramos #empreendedorismo #emprego #renda #trabalho #capacitação
https://t.co/9Qvoi0dzmO</t>
  </si>
  <si>
    <t>TRINTA MIL EM PRÊMIOS. CAMPEONATO DE PIZZAIOLOS NO ESPAÇO GAZAL PIZZA SHOW, durante a EXPOCAKE 2023.
Obs.: esqueci de mencionar o nome do Amigo Wilson Ferreira Coelho .
#pizza #pizzaiolo #foryou #viral #consultoriapizza #empreendedorismo
https://t.co/BuQOTjbN9a</t>
  </si>
  <si>
    <t>Realizar o seu sonho de ter a sua própria Pizzaria fica mais perto quando você conta com a Experiência ao seu lado.
#pizza #pizzacontemporanea #pizzanapoletana #consultoria #foryou #viral #empreendedorismo https://t.co/OoXMg8sE6V</t>
  </si>
  <si>
    <t>O que é uma Malha de Glúten??? 
#pizza #pizzacontemporanea #pizzanapoletana #consultoria #foryou #viral #empreendedorismo
https://t.co/oARVa0yRn9 via @YouTube</t>
  </si>
  <si>
    <t>💸💰 Ganhar dinheiro com o Notion? Sim, é possível! Use-o para criar e vender templates, oferecer consultoria sobre produtividade ou até mesmo compartilhar seu conhecimento em um blog organizado. Aproveite suas habilidades e monetize com Notion! #GanharDinheiro #Empreendedorismo</t>
  </si>
  <si>
    <t>Descubra como evitar bloqueios em suas campanhas de anúncios! 👉 Leia o artigo completo no LinkedIn FX Bank com dicas para aproveitar ao máximo suas estratégias de marketing digital. Toque no link da bio e acesse.
#FXBank #marketingdigital #empreendedorismo #trafegopago https://t.co/FKahRwhyCe</t>
  </si>
  <si>
    <t>Gestão de anúncios com multicartão ilimitado e conta 100% digital - O FX Card foi pensado para você que é empreendedor digital, com o melhor Multi Cartões ilimitado e conta digital do mercado.
Clique no link da bio e saiba mais.
#empreendedorismo #inovação #negóciosonline https://t.co/yXmDmrJhK0</t>
  </si>
  <si>
    <t>Grande avanço para o empreendedorismo em SP! O Programa Facilita SP, lançado pelo Governo de SP, traz a desburocratização e melhoria do ambiente de negócios tão esperados. Parabéns por atenderem nossas demandas e impulsionarem o crescimento econômico. #empreendedorismo</t>
  </si>
  <si>
    <t>Quarta entrada do dia 😍💸 #empreendedorismo #rendaextra #cassino #loteria #roleta https://t.co/LTPPiNsj0u</t>
  </si>
  <si>
    <t>Mais um dia 15x0. Consegui levantar 7 mil reais de banca 💸🙏 #empreendedorismo #rendaextra #cassino #loteria #roleta https://t.co/b1ShmHVQfR</t>
  </si>
  <si>
    <t>Fechamos 15x0! mais um dia sem tomar red ✅💸 Só basta copiar minhas entradas e lucrar uma renda extra comigo! Link do meu grupo tá na bio. #rendaextra #empreendedorismo #loteria #cassino #roleta https://t.co/9QN3lUmt9e</t>
  </si>
  <si>
    <t>Bom dia! Na O Melhor Trato, acreditamos na inovação constante. Nossa equipe trabalha junta para gerar ideias frescas e soluções criativas. 💡💼 A inovação não é apenas parte de nossa cultura, é a chave para o nosso sucesso! 🚀 #Inovação #Empreendedorismo #Criatividade</t>
  </si>
  <si>
    <t>Nos dias 16 e 17 de Outubro, no Minas Centro, você terá a oportunidade de se atualizar sobre as últimas novidades do mercado e ainda se conectar com profissionais e especialistas da área.
Acesse: https://t.co/AnQNHZLgxz 
#Inovação #Criatividade #Empreendedorismo https://t.co/8FRqh8bbvL</t>
  </si>
  <si>
    <t>Quer aumentar suas vendas online? Aprenda com a Pronavenda!
Do zero ao avançado, você vai dominar as estratégias mais eficazes para construir um negócio online de sucesso.
Acesse agora e garanta sua vaga!
https://t.co/TSDymfN60n
#Pronavenda #vendasonline #empreendedorismo https://t.co/wwponcsAMh</t>
  </si>
  <si>
    <t>No 1° parágrafo, PG. 79, do livro "Oque os ricos sabem e não contam". Brian Sher falou tudo!
#livro #empreendedorismo #dinheiro</t>
  </si>
  <si>
    <t>Cuando uno tiene varo se nota #Bitcoin #empreendedorismo #dolar https://t.co/DXtzVKU12d</t>
  </si>
  <si>
    <t>#mei #empreendedorismo #inscricaoestadual #inscricaoestadualrj #contabilidade #contador #tributario #comercio</t>
  </si>
  <si>
    <t>É exatamente isso #facaacontecer #empreendedorismo #trabalho</t>
  </si>
  <si>
    <t>Venha Empreender!
#empreendedorismo #óleosessenciais #óleosdoterra https://t.co/GNFliG9DO3</t>
  </si>
  <si>
    <t>Alcançar o sucesso não tem segredo: é só ter determinação, foco e vontade de crescer. Com essas coisas, o impossível se torna realidade!
#estrategistafinanceiro #finanças #educaçãofinanceira #empreendedorismo #empreendedor #estrategiafinanceira #motivação #negócios #sucesso https://t.co/Yu4ZEBbd3A</t>
  </si>
  <si>
    <t>(continuação) aprenda com as dificuldades e siga em frente com determinação. Não desistir diante dos problemas é o que molda os verdadeiros vencedores e os conduzem em direção a um futuro brilhante.
#estrategistafinanceiro #finanças #educaçãofinanceira #empreendedorismo</t>
  </si>
  <si>
    <t>aprender com experiências passadas e explorar novas habilidades são maneiras poderosas de fortalecer o seu arsenal de conhecimento e te guiar rumo ao sucesso!
#estrategistafinanceiro #finanças #educaçãofinanceira #empreendedorismo #empreendedor</t>
  </si>
  <si>
    <t>Saber qual era o meu real propósito fez toda a diferença em minha jornada até aqui!
#estrategistafinanceiro #finanças #educaçãofinanceira #empreendedorismo #empreendedor #estrategiafinanceira #motivação #negócios #sucesso #business #mentoria #liderança</t>
  </si>
  <si>
    <t>deixa passar.
Se você tem mais alguma dúvida sobre empreendedorismo, deixe nos comentários que irei te responder!
.
.
.
#estrategistafinanceiro #finanças #educaçãofinanceira #empreendedorismo #empreendedor #estrategiafinanceira #motivação #negócios #sucesso</t>
  </si>
  <si>
    <t>(continuação) É necessário planejar, buscar conhecimento e se preparar para os desafios que estão por vir.
#estrategistafinanceiro #finanças #educaçãofinanceira #empreendedorismo #empreendedor #estrategiafinanceira #motivação #negócios #sucesso #business #mentoria #liderança</t>
  </si>
  <si>
    <t>A Fort metalúrgica é parceira de empreendedores, arquitetos e da industria de móveis planejados. Traga seu projeto ou sonho , fale conosco. 
https://t.co/VLcL1Shp8m
#arquitetura #moveis #empreendedor #design https://t.co/8zkyWE4met</t>
  </si>
  <si>
    <t>E você,tem segmentado a sua persona?
#empreendedorismo 
#negocios 
#academia https://t.co/vVimJTB6cs</t>
  </si>
  <si>
    <t>Quando me perguntam, o que eu acho do preço que está sendo trabalhado na academia?..
#negocios #finanças #empreendedorismo #academia
#fitness #ihrsa #precificação https://t.co/RVC1DZJmTH</t>
  </si>
  <si>
    <t>O acompanhamento dos alunos ativos vai te proporcionar uma grande oportunidade para trabalhar as indicações e consequentemente faturar sem
"investir".
#negocios #investimento #academia #empreendedorismo 
#alunos #clientes #investimentozero #cross #CrossFit 
#ihrsa https://t.co/fX4cgEE3Of</t>
  </si>
  <si>
    <t>Escolha bem com quem vai andar junto, suas associações te levaram para cima 😁
#associação #parceria #sociedade #pequenonegocio #empreendedorismo #academia #donos https://t.co/99eoBOx3R2</t>
  </si>
  <si>
    <t>Informações quentes para você dessa semana!
#academia #empresas #empreendedorismo #negocios https://t.co/5ThELqhrvc</t>
  </si>
  <si>
    <t>Aprenda sobre o significado e características de uma startup, suas etapas cruciais para o sucesso, dicas para iniciar a sua própria, e histórias inspiradoras de empreendedores. 
🌐 Link: https://t.co/UKZcOwDXqs
#empreendedorismo #startups #inovação #negócios #sucesso</t>
  </si>
  <si>
    <t>🍕 Quer descobrir todos os segredos para montar um buffet de pizza dos sonhos? 😍🔥 🍽️ Deixe seus clientes encantados com pizzas irresistíveis! 👨‍🍳
 #BuffetDePizza  #empreendedorismo #ingredientesfrescos #buffetparaeventos #buffetparafestas #TemEvento  
https://t.co/0TxG38Ctcq</t>
  </si>
  <si>
    <t>BILIONÁRIO BARSI REVELA SUAS 5 MAIORES POSIÇÕES NA BOLSA
👇👇👇👇👇👇👇👇👇👇👇👇
#investidor
#investir #nath #empreendedor
#b3 #cripto #bitcoin 
Confira o vídeo de Tu Pods ! Cortes! #TikTok https://t.co/22PPO7CZWh</t>
  </si>
  <si>
    <t>Grupo Markar
Mão de Obra terceirizada 
Telefone: (21) 3328-8822
📧 comercial@grupomarkar-net.com
🌐  https://t.co/npDMa8xsnV
#limpeza #mãodeobra #terceirização #serviços #empresa #empreendedorismo #gestaodepessoas #gestaoderh https://t.co/XxDtjx4KiD</t>
  </si>
  <si>
    <t>Grupo Markar
Mão de Obra terceirizada 
Telefone: (21) 3328-8822
📧 comercial@grupomarkar-net.com
🌐  https://t.co/npDMa8xsnV
#limpeza #mãodeobra #terceirização #serviços #empresa #empreendedorismo #gestaodepessoas #gestaoderh https://t.co/tR9Ub0JVxx</t>
  </si>
  <si>
    <t>Grupo Markar
Mão de Obra terceirizada 
Telefone: (21) 3328-8822
📧 comercial@grupomarkar-net.com
🌐  https://t.co/npDMa8xsnV
#limpeza #mãodeobra #terceirização #serviços #empresa #empreendedorismo #gestaodepessoas #gestaoderh https://t.co/suUOAtpJUo</t>
  </si>
  <si>
    <t>Grupo Markar
Mão de Obra terceirizada 
Telefone: (21) 3328-8822
📧 comercial@grupomarkar-net.com
🌐  https://t.co/npDMa8xsnV
#limpeza #mãodeobra #terceirização #serviços #empresa #empreendedorismo #gestaodepessoas #gestaoderh https://t.co/4TfBWvQfZJ</t>
  </si>
  <si>
    <t>Grupo Markar
Mão de Obra terceirizada 
Telefone: (21) 3328-8822
📧 comercial@grupomarkar-net.com
🌐  https://t.co/npDMa8xsnV
#limpeza #mãodeobra #terceirização #serviços #empresa #empreendedorismo #gestaodepessoas #gestaoderh https://t.co/hXf9kFF02Y</t>
  </si>
  <si>
    <t>Grupo Markar
Mão de Obra terceirizada 
Telefone: (21) 3328-8822
📧 comercial@grupomarkar-net.com
🌐  https://t.co/npDMa8xsnV
#limpeza #mãodeobra #terceirização #serviços #empresa #empreendedorismo #gestaodepessoas #gestaoderh https://t.co/e519HQ4KFA</t>
  </si>
  <si>
    <t>Grupo Markar
Mão de Obra terceirizada 
Telefone: (21) 3328-8822
📧 comercial@grupomarkar-net.com
🌐  https://t.co/npDMa8xsnV
#limpeza #mãodeobra #terceirização #serviços #empresa #empreendedorismo #gestaodepessoas #gestaoderh https://t.co/wUjH4RzVCh</t>
  </si>
  <si>
    <t>Grupo Markar
Mão de Obra terceirizada 
Telefone: (21) 3328-8822
📧 comercial@grupomarkar-net.com
🌐  https://t.co/npDMa8xsnV
#limpeza #mãodeobra #terceirização #serviços #empresa #empreendedorismo #gestaodepessoas #gestaoderh https://t.co/wV0vOl4RA0</t>
  </si>
  <si>
    <t>Grupo Markar
Mão de Obra terceirizada 
Telefone: (21) 3328-8822
📧 comercial@grupomarkar-net.com
🌐  https://t.co/npDMa8xsnV
#limpeza #mãodeobra #terceirização #serviços #empresa #empreendedorismo #gestaodepessoas #gestaoderh https://t.co/lOjHsB4lpr</t>
  </si>
  <si>
    <t>Grupo Markar
Mão de Obra terceirizada 
Telefone: (21) 3328-8822
📧 comercial@grupomarkar-net.com
🌐  https://t.co/npDMa8xsnV
#limpeza #mãodeobra #terceirização #serviços #empresa #empreendedorismo #gestaodepessoas #gestaoderh https://t.co/DuJwiOD4IU</t>
  </si>
  <si>
    <t>Grupo Markar
Mão de Obra terceirizada 
Telefone: (21) 3328-8822
📧 comercial@grupomarkar-net.com
🌐  https://t.co/npDMa8xsnV
#limpeza #mãodeobra #terceirização #serviços #empresa #empreendedorismo #gestaodepessoas #gestaoderh https://t.co/8Tanto3n32</t>
  </si>
  <si>
    <t>Grupo Markar
Mão de Obra terceirizada 
Telefone: (21) 3328-8822
📧 comercial@grupomarkar-net.com
🌐  https://t.co/npDMa8xsnV
#limpeza #mãodeobra #terceirização #serviços #empresa #empreendedorismo #gestaodepessoas #gestaoderh https://t.co/h0jio6aKyI</t>
  </si>
  <si>
    <t>Grupo Markar
Mão de Obra terceirizada 
Telefone: (21) 3328-8822
📧 comercial@grupomarkar-net.com
🌐  https://t.co/npDMa8xsnV
#limpeza #mãodeobra #terceirização #serviços #empresa #empreendedorismo #gestaodepessoas #gestaoderh https://t.co/XRy3INPgc8</t>
  </si>
  <si>
    <t>Grupo Markar
Mão de Obra terceirizada 
Telefone: (21) 3328-8822
📧 comercial@grupomarkar-net.com
🌐  https://t.co/npDMa8xsnV
#limpeza #mãodeobra #terceirização #serviços #empresa #empreendedorismo #gestaodepessoas #gestaoderh https://t.co/YTOg7dexys</t>
  </si>
  <si>
    <t>Grupo Markar
Mão de Obra terceirizada 
Telefone: (21) 3328-8822
📧 comercial@grupomarkar-net.com
🌐  https://t.co/npDMa8xsnV
#limpeza #mãodeobra #terceirização #serviços #empresa #empreendedorismo #gestaodepessoas #gestaoderh https://t.co/2qaoSG0zZE</t>
  </si>
  <si>
    <t>Grupo Markar
Mão de Obra terceirizada 
Telefone: (21) 3328-8822
📧 comercial@grupomarkar-net.com
🌐  https://t.co/npDMa8xsnV
#limpeza #mãodeobra #terceirização #serviços #empresa #empreendedorismo #gestaodepessoas #gestaoderh https://t.co/n1Y0gV6ekE</t>
  </si>
  <si>
    <t>Grupo Markar
Mão de Obra terceirizada 
Telefone: (21) 3328-8822
📧 comercial@grupomarkar-net.com
🌐  https://t.co/npDMa8xsnV
#limpeza #mãodeobra #terceirização #serviços #empresa #empreendedorismo #gestaodepessoas #gestaoderh https://t.co/hX7Ek3khhh</t>
  </si>
  <si>
    <t>Grupo Markar
Mão de Obra terceirizada 
Telefone: (21) 3328-8822
📧 comercial@grupomarkar-net.com
🌐  https://t.co/npDMa8xsnV
#limpeza #mãodeobra #terceirização #serviços #empresa #empreendedorismo #gestaodepessoas #gestaoderh https://t.co/J7XrGe5IBw</t>
  </si>
  <si>
    <t>Grupo Markar
Mão de Obra terceirizada 
Telefone: (21) 3328-8822
📧 comercial@grupomarkar-net.com
🌐  https://t.co/npDMa8xsnV
#limpeza #mãodeobra #terceirização #serviços #empresa #empreendedorismo #gestaodepessoas #gestaoderh https://t.co/ZUYCkIDF3C</t>
  </si>
  <si>
    <t>Grupo Markar
Mão de Obra terceirizada 
Telefone: (21) 3328-8822
📧 comercial@grupomarkar-net.com
🌐  https://t.co/npDMa8y0dt
#limpeza #mãodeobra #terceirização #serviços #empresa #empreendedorismo #gestaodepessoas #gestaoderh https://t.co/rqmyk0YKtD</t>
  </si>
  <si>
    <t>Grupo Markar
Mão de Obra terceirizada 
Telefone: (21) 3328-8822
📧 comercial@grupomarkar-net.com
🌐  https://t.co/npDMa8xsnV
#limpeza #mãodeobra #terceirização #serviços #empresa #empreendedorismo #gestaodepessoas #gestaoderh https://t.co/fYneWyB3Bh</t>
  </si>
  <si>
    <t>Grupo Markar
Mão de Obra terceirizada 
Telefone: (21) 3328-8822
📧 comercial@grupomarkar-net.com
🌐  https://t.co/npDMa8xsnV
#limpeza #mãodeobra #terceirização #serviços #empresa #empreendedorismo #gestaodepessoas #gestaoderh https://t.co/R5KwJuD7oU</t>
  </si>
  <si>
    <t>Grupo Markar
Mão de Obra terceirizada 
Telefone: (21) 3328-8822
📧 comercial@grupomarkar-net.com
🌐  https://t.co/npDMa8xsnV
#limpeza #mãodeobra #terceirização #serviços #empresa #empreendedorismo #gestaodepessoas #gestaoderh https://t.co/nwZoeCLQDY</t>
  </si>
  <si>
    <t>Grupo Markar
Mão de Obra terceirizada 
Telefone: (21) 3328-8822
📧 comercial@grupomarkar-net.com
🌐  https://t.co/npDMa8xsnV
#limpeza #mãodeobra #terceirização #serviços #empresa #empreendedorismo #gestaodepessoas #gestaoderh https://t.co/jfPfymF1QG</t>
  </si>
  <si>
    <t>Grupo Markar
Mão de Obra terceirizada 
Telefone: (21) 3328-8822
📧 comercial@grupomarkar-net.com
🌐  https://t.co/npDMa8xsnV
#limpeza #mãodeobra #terceirização #serviços #empresa #empreendedorismo #gestaodepessoas #gestaoderh https://t.co/SuLL92LbJH</t>
  </si>
  <si>
    <t>Grupo Markar
Mão de Obra terceirizada 
Telefone: (21) 3328-8822
📧 comercial@grupomarkar-net.com
🌐  https://t.co/npDMa8xsnV
#limpeza #mãodeobra #terceirização #serviços #empresa #empreendedorismo #gestaodepessoas #gestaoderh https://t.co/XWvvHT5YRR</t>
  </si>
  <si>
    <t>Grupo Markar
Mão de Obra terceirizada 
Telefone: (21) 3328-8822
📧 comercial@grupomarkar-net.com
🌐  https://t.co/npDMa8xsnV
#limpeza #mãodeobra #terceirização #serviços #empresa #empreendedorismo #gestaodepessoas #gestaoderh https://t.co/jJBNinSlBF</t>
  </si>
  <si>
    <t>Grupo Markar
Mão de Obra terceirizada 
Telefone: (21) 3328-8822
📧 comercial@grupomarkar-net.com
🌐  https://t.co/npDMa8xsnV
#limpeza #mãodeobra #terceirização #serviços #empresa #empreendedorismo #gestaodepessoas #gestaoderh https://t.co/EBQ6g0itJA</t>
  </si>
  <si>
    <t>Grupo Markar
Mão de Obra terceirizada 
Telefone: (21) 3328-8822
📧 comercial@grupomarkar-net.com
🌐  https://t.co/npDMa8xsnV
#limpeza #mãodeobra #terceirização #serviços #empresa #empreendedorismo #gestaodepessoas #gestaoderh https://t.co/7DCd8Z5ski</t>
  </si>
  <si>
    <t>Grupo Markar
Mão de Obra terceirizada 
Telefone: (21) 3328-8822
📧 comercial@grupomarkar-net.com
🌐  https://t.co/npDMa8xsnV
#limpeza #mãodeobra #terceirização #serviços #empresa #empreendedorismo #gestaodepessoas #gestaoderh https://t.co/TxofhqUOKm</t>
  </si>
  <si>
    <t>Grupo Markar
Mão de Obra terceirizada 
Telefone: (21) 3328-8822
📧 comercial@grupomarkar-net.com
🌐  https://t.co/npDMa8xsnV
#limpeza #mãodeobra #terceirização #serviços #empresa #empreendedorismo #gestaodepessoas #gestaoderh https://t.co/sfyQ2Vxwtq</t>
  </si>
  <si>
    <t>Grupo Markar
Mão de Obra terceirizada 
Telefone: (21) 3328-8822
📧 comercial@grupomarkar-net.com
🌐  https://t.co/npDMa8xsnV
#limpeza #mãodeobra #terceirização #serviços #empresa #empreendedorismo #gestaodepessoas #gestaoderh https://t.co/eJcNCHWXnP</t>
  </si>
  <si>
    <t>Grupo Markar
Mão de Obra terceirizada 
Telefone: (21) 3328-8822
📧 comercial@grupomarkar-net.com
🌐  https://t.co/npDMa8xsnV
#limpeza #mãodeobra #terceirização #serviços #empresa #empreendedorismo #gestaodepessoas #gestaoderh https://t.co/sBtsLorRKe</t>
  </si>
  <si>
    <t>Grupo Markar
Mão de Obra terceirizada 
Telefone: (21) 3328-8822
📧 comercial@grupomarkar-net.com
🌐  https://t.co/npDMa8xsnV
#limpeza #mãodeobra #terceirização #serviços #empresa #empreendedorismo #gestaodepessoas #gestaoderh https://t.co/F6onAu4xwc</t>
  </si>
  <si>
    <t>vou ficar com um cachorrinho de amanhã ate terça e ganhar 50 conto, #empreendedorismo</t>
  </si>
  <si>
    <t>Animados pra 1ª coleção??
Tô adorando ver as teorias de vocês de quem será o primeiro artista homenageado nos nossos produtos! 
Esta é a dica número 2! Já sabem quem é? 🎸
#ecomerce #fanstore #empreendedorismo #moda #fanpage https://t.co/nxiPjQobqI</t>
  </si>
  <si>
    <t>Você se considera um sonhador ou um executor?
Sonhar é incrível, mas ainda mais gratificante é transformar esses sonhos em realidade. 
Concorda com essa perspectiva?
#ideias #insights #empreendedorismo #oportunidades #rh https://t.co/izE64qRnE8</t>
  </si>
  <si>
    <t>E lá de volta outra vez, na porta do STJ… #direitoempresarial #compliance #empresas #tatuicapitaldamusica #tatui #sorocaba #itapetininga #cerquilho #boituva #tiete #ipero  #dinheiro #contrato #empreendedor #empreendedores #empreendedorismo #startups #empresario #trabalho https://t.co/tX55SGCsRa</t>
  </si>
  <si>
    <t>Você mora no interior do Brasil e tem um sonho de empreender? Persevera! Existem muitas oportunidades e recursos disponíveis que você pode usar. Aqui tudo é empreendimento&amp;gt;
https://t.co/mN88fhnN8z
#empreendedorismo #interiordobrasil #empreendedordeinterior #mochilaspersonalizadas https://t.co/isADhoGA18</t>
  </si>
  <si>
    <t>Entrevista com Béchir Afifi, cofundador e diretor executivo da tunisina Fabskill @AfDB_Group #África #Tunísia #Fabskill #Empreendedorismo #Financiamento #Formação #GeraçãodeEmpregos #SoukAtTanmia #Tecnologia 
Leia mais: https://t.co/HfZmoq9VbY https://t.co/ewpFCYn2Jl</t>
  </si>
  <si>
    <t>O Africa’s Business Heroes Anuncia os primeiros 10 Finalistas para 2023 @africa_heroes @foundation_ma @AlibabaGroup #África #Negócios #Empreendedorismo #ProgramaFilantropo #Competição #Aniversário #Finalistas #Startups
Leia mais: https://t.co/U8dolcOSgl https://t.co/tQaPjyg5Yh</t>
  </si>
  <si>
    <t>19 | 💙SEBRAE – Caçapava com Patrícia de Oliveira | 7/8/23 | POLÍTIA POD
https://t.co/c7hcHPP9L7
#sebrae #sebraecaçapava #empreendedorismo #empreendedor #empresarioscaçapava #empresas #autonomo #mei #microempreendedorindividual #cursosdecapacitação https://t.co/1m3qyN0Jfj</t>
  </si>
  <si>
    <t>COLÉGIO PADRE VIEIRA PROMOVE ENCONTRO DE EMPREENDEDORISMO E AÇÃO SOCIAL EM PARCERIA COM O PROJETO ALI-EDUCAÇÃO EMPREENDEDORA, GERANDO INTEGRAÇÃO E INOVAÇÃO EDUCACIONAL EM BARREIRAS
https://t.co/XFR7sikIoz
#ColégioPadreVieira #Empreendedorismo #AçãoSocial #Barreiras</t>
  </si>
  <si>
    <t>#Empreendedorismo: Primeira edição da Sala Itinerante do Empreendedor acontece neste sábado na Restinga.
Saiba mais:
https://t.co/IetFqfdch4 https://t.co/SkBI7neMxp</t>
  </si>
  <si>
    <t>#Empreendedorismo: Primeira edição da Sala Itinerante do Empreendedor acontece neste sábado na Restinga.
🔗Saiba mais: ⬇️⬇️
https://t.co/E5ak9cyFuo https://t.co/LrZFPFk6ZW</t>
  </si>
  <si>
    <t>#Empreendedorismo: Prefeitura leva Sala do Empreendedor para feira inédita de chocolate.
🔗Saiba mais: ⬇️⬇️
https://t.co/IBDi3EiUHC https://t.co/ViBYgYifCL</t>
  </si>
  <si>
    <t>Animação de todo tipo de logótipos e produção de spots publicitários, óptima qualidade e preço!✍️🎬💫
#growingscape #gsideiasdenegocio #empreendedorismo #empreender #negocios #euamoempreender #Publicidade #animacoes #videos #comercial #spots #Mozambique #mocambique https://t.co/vhXEbGUcoG</t>
  </si>
  <si>
    <t>🎯 Alcance o público certo, na hora certa! Estudos mostram que anúncios segmentados podem aumentar as taxas de conversão em até 60%. Não perca tempo (e dinheiro) mostrando seus serviços para quem não está interessado. 🚀💼
#trafegopago #vendas #empreendedorismo https://t.co/b8hxauiqA4</t>
  </si>
  <si>
    <t>Elon Musk - Uma biografia de sucesso
.
Elon Reeve Musk é um empreendedor, empresário e filantropo sul-africano-canadense, naturalizado norte americano. 
COMPLETO NO LINK ABAIXO:
https://t.co/ZlLZmwfhzS
#ElonMusk #Biografia #WalterIsaacson #BiografiaDoSucesso #Empreendedor</t>
  </si>
  <si>
    <t>E aquela vontade de acordar milionário(a)?
Vammbora, um dia chegaremos lá.
#empreendedorismo #empresa #empresarial</t>
  </si>
  <si>
    <t>Chefe: você é meu subordinado
Líder: vamos todos conseguir
#Empreendedorismo #empresa #empresarial</t>
  </si>
  <si>
    <t>Nem todos os dias consigo, mas todos os dias eu tento.
#empreendedorismo #empreendedor #empresa #empresarial</t>
  </si>
  <si>
    <t>Não deixe sua vida ficar muito séria, saboreie tudo o que conseguir: as derrotas, as vitórias, a força do amanhecer e o prazer do anoitecer.
#empreendedorismo #empresa #empresarial</t>
  </si>
  <si>
    <t>Não vejo a hora de aposentar.
#empreendedorismo #empresa #empresarial</t>
  </si>
  <si>
    <t>Quando você achar que não dá para piorar, a vida te surpreende.
#empreendedorismo #empreendedor #empresa #empresarial</t>
  </si>
  <si>
    <t>Mais bipolar que o mercado, só à vida de empreendedor.
#empreendedorismo #empreendedor #empresa #empresarial</t>
  </si>
  <si>
    <t>🌐💲😃 SUPER POOL DE PARCEIROS: BANGU URGENTE ➕ VENDA DE TUDO AQUI ➕ BANGU TOTAL ➕ BANGU DESCONTOS 😃🤝✅
📱📲CHAMA AGORA NO ZAP, POIS SÃO POUCAS VAGAS: (21) 99593-1515 OU (21) 99207-0427 🔝🆙🆗
#anuncios #Propaganda #Prosperidade  #Negócios #empreender #empreendedorismo https://t.co/Ycfuw82UUK</t>
  </si>
  <si>
    <t>Durante o evento, acontecerão palestras, feira de negócios com a presença de expositores das mais diversas áreas, degustações e rodadas de networking. 
Saiba mais:
https://t.co/zM3OOSeoFT
#RecreioDosBandeirantes #Empreendedorismo #EmpreendedorismoParaMulheres #ZonaOeste https://t.co/xsxb7OfxvB</t>
  </si>
  <si>
    <t>#Empreendedor  #Edenred https://t.co/k1pF7DVIQd</t>
  </si>
  <si>
    <t>O Sincomavi-SP prepara para o mês de agosto uma programação gratuita, rica em conteúdo e aprendizado. Confira o conteúdo de cada webinário e saiba como se inscrever: 
https://t.co/sIirrnqv8v
#empreendedorismo #carreira #mercado https://t.co/fDDrHuVPLK</t>
  </si>
  <si>
    <t>Observe os frutos daquilo que você está fazendo. Estão beneficiando só a você ou a você e mais pessoas ? 
Projetos que beneficiam mais pessoas são aqueles que mais tem tendência a prosperar.
#pense #Brasil #empreendedorismo #ocaminhooposto</t>
  </si>
  <si>
    <t>Por aqui, a minha plataforma já entrou na era dos 'Xs'. E vocês por aí?
#twitter #Xs #empreendedorismo</t>
  </si>
  <si>
    <t>Empreender envolve desafios, ainda mais quando estamos no início. No programa #InspirAÇÃO , a fisioterapeuta Sabrina Catania conta sua experiência como empreendedora. 📹 Confira o vídeo completo no #YouTube do NOVO Santos. ➡️  https://t.co/NshBOhY6PL
#empreender #empreendedorismo</t>
  </si>
  <si>
    <t>Começar a semana tomando um café com os amigos. O exemplo arrasta.
Boa semana e uma segunda-feira abençoada a todos. 🙌
#pedroleopoldo #minasgerais #empreendedorismo #cafe #segundafeira #vetornorte #pl https://t.co/YnIEF9jgMZ</t>
  </si>
  <si>
    <t>Divulgue sua marca de forma autêntica e impactante! Quer saber como fazer parcerias autênticas e promover seu negócio na sua cidade? 🌟 Não perca a oportunidade de aprender com este vídeo incrível!  #negócioslocais #parcerias #valor #autenticidade #empreendedorismo #sistmaodvix https://t.co/ltj6I8PECx</t>
  </si>
  <si>
    <t>Com o empreendedorismo, estabelecer o público-alvo e analisar custos influenciam na definição do preço.
#LobsContabilidade #Empreendedorismo #Lucratividade #Mercadoria #Preço #Produto #Venda
https://t.co/IyXPAT8Woh https://t.co/1i4tbRSeEw</t>
  </si>
  <si>
    <t>Apesar de se tratar de uma compensação pelo trabalho, o pró-labore deve ser retirado de forma consciente.
#LobsContabilidade #EI #Empreendedor #Empresario #EPP #LTDA #ME #ProLabore 
https://t.co/f7e1Kp7evX https://t.co/ImjvfO8yrB</t>
  </si>
  <si>
    <t>Programa é voltado para empresários que buscam microcrédito e serão destinados R$ 300 milhões para a modalidade.
#LobsContabilidade #CaixaEconômica #CaixaRepasse #Empreendedor #MEI #Microcrédito 
https://t.co/whj6IvhWsg https://t.co/2HgtqoEpe0</t>
  </si>
  <si>
    <t>Na passada semana o #IAPMEI recebeu a comitiva da Assembleia Legislativa de Goiás, Brasil - um encontro centrado no desenvolvimento de relações institucionais e partilha de conhecimento sobre #empreendedorismo e inovação.
Saiba mais: https://t.co/heHZOJaylN
#goias #brasil #PME https://t.co/IpONS16XOH</t>
  </si>
  <si>
    <t>🚀 Desbrave o mundo do empreendedorismo: transforme sonhos em realidade, supere desafios e deixe sua marca única no mercado! 💼💡 #Empreendedorismo #Sucesso https://t.co/kO4hJJkzq6</t>
  </si>
  <si>
    <t>Magatte Wade é uma empresária senegalesa, mas sofre como brasileira. Sociedades prósperas não se submetem a projetos autoritários de poder. #economia #empreendedorismo #emprego https://t.co/0mCAyfyuPt</t>
  </si>
  <si>
    <t>"Não espere pelas oportunidades, crie-as! O primeiro passo é se mover, pois é assim que as grandes oportunidades surgem."
#ligueodanise #empreendanosseussonhos #empreendedorismo #marketing https://t.co/cXMcYuBx1j</t>
  </si>
  <si>
    <t>O MEI é a melhor opção para os microempreendedores individuais. Saiba tudo o que você precisa saber sobre o MEI. Saiba mais: https://t.co/uqAn8S1Kaz
 #MEI #empreendedorismo #negócio</t>
  </si>
  <si>
    <t>Um guia completo sobre contratações PJ, com informações sobre direito, empresas, gerenciamento e negócios. Saiba mais: https://t.co/FZijSWxiCl
 #ContrataçãoPessoaJurídica #Empreendedorismo #Negócios</t>
  </si>
  <si>
    <t>Planeje, organize e controle recursos financeiros como gestor financeiro. Conheça as principais funções desse profissional. Saiba mais: https://t.co/u55bv8TZlJ
 #Empreendedorismo #EmpregoVsEmpreendedorismo #OportunidadesDeNegócio</t>
  </si>
  <si>
    <t>Confira as histórias por trás dos empreendedores bem-sucedidos no Brasil e aprenda com suas lições. Saiba mais: https://t.co/onQuXsm3qz
 #Empreendedorismo #Negócios #Inovação</t>
  </si>
  <si>
    <t>Se você está considerando se tornar um MEI, descubra as profissões que podem ser desempenhadas nesta categoria de empreendedorismo. Saiba mais: https://t.co/bVYbOxiXqY
 #ProfissõesMEI #Empreendedorismo #PequenosNegócios</t>
  </si>
  <si>
    <t>@complexodeepico ta certo #networking #empreendedorismo #mind #set</t>
  </si>
  <si>
    <t>Fique atento, e sempre busque ajuda de um profissional.
•#empreendedorismo
•#negociosperfeito
•#contabilidadeparceira https://t.co/2URkC6ON3o</t>
  </si>
  <si>
    <t>@quatrorodas Paga essa diária, faz várias fotos, finge ser rico pra vender cursos como coach financeiro ou pra aplicar golpes em gente carente no Tinder
#empreendedorismo</t>
  </si>
  <si>
    <t>HJ Conference está organizando Como e para onde vamos para ser o mais representativo evento de conteúdo BR. Participe em 18 de setembro. @aleweimer  Confira! #empreendedorismo #eventos #atitude https://t.co/3ewANsycJb</t>
  </si>
  <si>
    <t>#mentoria #branding #empreendedorismo https://t.co/UHLS6QVsld</t>
  </si>
  <si>
    <t>Ajudar no LinkedIn é minha paixão! https://t.co/w8ufcTU91N 
#empreendedorismo #educação</t>
  </si>
  <si>
    <t>O mundo empresarial vem passando por um cenário revolucionário impulsionado pela inovação e pelo empreendedorismo. 
Leia mais no Blog Damásio: https://t.co/hUDbnBur1l
#startups #Damásio #empreendedorismo #Direito #direitoempresarial #empresarial https://t.co/Po6TTTIRdw</t>
  </si>
  <si>
    <t>Prepare-se para uma jornada de inspiração e conhecimento que está prestes a atingir uma marca impressionante! 
#Empreendedorismo #Podcast https://t.co/CHWcuDYY7a</t>
  </si>
  <si>
    <t>Olha só quem está por aqui meus amigos.
Bem vindos ao Projeto 1%, pra quem não me conhece, confira também o nosso Instagram 👇
https://t.co/ARP0rG6lDQ
Para um conteúdo ainda mais completo.
#motivação #sucesso #foco #determinação #motivacao #liderança #empreendedorismo</t>
  </si>
  <si>
    <t>How to make money online by working from home with Side Hustle.
https://t.co/T53gxVtRuP
#trabajosremotos #emprendedor #éxito #negocio #RemoteJobs #Unternehmer #Erfolg
#Geschäft #trabalhosremotos #empreendedor #sucesso #negócios #pracazdalna #przedsiębiorca #powodzenie https://t.co/XJb8CDmqdy</t>
  </si>
  <si>
    <t>How to make money online by working from home with Side Hustle.
https://t.co/4cIPklpmxk
#trabajosremotos #emprendedor #éxito #negocio #RemoteJobs #Unternehmer #Erfolg #Geschäft #fyp #trabalhosremotos #empreendedor #sucesso #negócios #pracazdalna #przedsiębiorca #powodzenie #usa https://t.co/a0aDBxh1HI</t>
  </si>
  <si>
    <t>Siga -&amp;gt; @fraseswinbr 
https://t.co/U82YzGsyII
#crise #dificuldades #problemas #obstaculos #adversidades #temposdificeis #oportunidade #empreendedorismo #daravoltaporcima #geracaodevalor #flavioaugusto @geracaodevalor https://t.co/qiSvYZuDe4</t>
  </si>
  <si>
    <t>Siga -&amp;gt; @fraseswinbr 
https://t.co/x0yjrv2xpp
#prosperidade #prosperar #riqueza #dinheiro #trabalho #empreendedorismo #escolhas #carloswizard #frases #frasesdecrescimento #frasesparareflexionar #frasesparapensar https://t.co/LokkRahAIg</t>
  </si>
  <si>
    <t>Siga -&amp;gt; @fraseswinbr 
https://t.co/lnZ7oUhuB9
#vendas #lucro #dinheiro #empreendedorismo #gestao #riqueza #trabalho #clientes #peterdrucker #frases #frasesdecrescimento #frasesparareflexionar #frasesparapensar https://t.co/rfuyLxVxBl</t>
  </si>
  <si>
    <t>8NineteenProLAb Marketing 
Elevating Brand Elegance
•
•
•
•
•
#marketing #branding #socialmedia #business #marketingdigital #entrepreneur #startup #digitalmarketing #advertising #entrepreneurship #socialmediamarketing #sales #onlinemarketing #success #empreendedorismo https://t.co/R9YsINFTyv</t>
  </si>
  <si>
    <t>Faça já conosco chame no whatsapp
11 91250.1166
Estamos localizados
Rua Cristovão Diniz 560 Jd Estádio em Itu/SP
#publicidade #marketing #o #marketingdigital #propaganda #design #brasil #empreendedorismo #socialmedia #publicidadeepropaganda #redessociais #instagram https://t.co/HYczB4T98B</t>
  </si>
  <si>
    <t>Faça já conosco chame no whatsapp
11 91250.1166
Estamos localizados
Rua Cristovão Diniz 560 Jd Estádio em Itu/SP
#publicidade #marketing #o #marketingdigital #propaganda #design #brasil #empreendedorismo #socialmedia #publicidadeepropaganda #redessociais #instagram https://t.co/zMwW4nPgPp</t>
  </si>
  <si>
    <t>Faça já conosco chame no whatsapp
11 91250.1166
Estamos localizados
Rua Cristovão Diniz 560 Jd Estádio em Itu/SP
#publicidade #marketing #o #marketingdigital #propaganda #design #brasil #empreendedorismo #socialmedia #publicidadeepropaganda #redessociais #instagram https://t.co/0VUaPhlG5h</t>
  </si>
  <si>
    <t>Faça já conosco chame no whatsapp
11 91250.1166
Estamos localizados
Rua Cristovão Diniz 560 Jd Estádio em Itu/SP
#publicidade #marketing #o #marketingdigital #propaganda #design #brasil #empreendedorismo #socialmedia #publicidadeepropaganda #redessociais #instagram https://t.co/7QV2nHY7pZ</t>
  </si>
  <si>
    <t>Faça já conosco chame no whatsapp
11 91250.1166
Estamos localizados
Rua Cristovão Diniz 560 Jd Estádio em Itu/SP
#publicidade #marketing #o #marketingdigital #propaganda #design #brasil #empreendedorismo #socialmedia #publicidadeepropaganda #redessociais #instagram https://t.co/Xprqet1gk8</t>
  </si>
  <si>
    <t>Faça já conosco chame no whatsapp
11 91250.1166
Estamos localizados
Rua Cristovão Diniz 560 Jd Estádio em Itu/SP
#publicidade #marketing #o #marketingdigital #propaganda #design #brasil #empreendedorismo #socialmedia #publicidadeepropaganda #redessociais #instagram https://t.co/CTUnbkCViX</t>
  </si>
  <si>
    <t>Faça já conosco chame no whatsapp
11 91250.1166
Estamos localizados
Rua Cristovão Diniz 560 Jd Estádio em Itu/SP
#publicidade #marketing #o #marketingdigital #propaganda #design #brasil #empreendedorismo #socialmedia #publicidadeepropaganda #redessociais #instagram https://t.co/8YCVFSwSNR</t>
  </si>
  <si>
    <t>Faça já conosco chame no whatsapp
11 91250.1166
Estamos localizados
Rua Cristovão Diniz 560 Jd Estádio em Itu/SP
#publicidade #marketing #o #marketingdigital #propaganda #design #brasil #empreendedorismo #socialmedia #publicidadeepropaganda #redessociais #instagram https://t.co/lX5xwjNDyt</t>
  </si>
  <si>
    <t>Faça já conosco chame no whatsapp
11 94222.7604
Estamos localizados
Rua Cristovão Diniz 560 Jd Estádio em Itu/SP
#publicidade #marketing #o #marketingdigital #propaganda #design #brasil #empreendedorismo #socialmedia #publicidadeepropaganda #redessociais #instagram https://t.co/qH3L7c1K8H</t>
  </si>
  <si>
    <t>Já li e #recomendei agora pra um #amigo. Quem já leu "23 Hábitos Anti-Procrastinação: Como Deixar de Ser Preguiçoso e Ter Resultados Em Sua Vida? https://t.co/EquuiPrOQH As vezes curto #livros assim. E vcs? 
.
#livros #dicadelivro #dicadeleitura #empreendedorismo #procrastinacao https://t.co/OClua8BpM6</t>
  </si>
  <si>
    <t>Quer saber quais são os 3 pilares para uma boa gestão?
Arraste para o lado e confira!
Deixe nos comentários qual pilar você considera mais importante para o sucesso da sua empresa 🚀.
#empreendedorismo #sucesso #marketingdigital #empreendedor #foco #motivação… https://t.co/I6TdOsmwcd</t>
  </si>
  <si>
    <t>Desenvolva suas habilidades e impulsione sua carreira com esses três livros inspiradores sobre gestão e liderança!
Confira arrastando para o lado.
Prepare-se para liderar com excelência e alcançar novos patamares.
#empreendedorismo #sucesso #marketingdigital #empreendedor… https://t.co/f6MmdpeyKC</t>
  </si>
  <si>
    <t>Não há limites para a realização quando somos persistentes e nunca esquecemos o que aprendemos.
Cada desafio se torna uma oportunidade de crescimento e cada conquista é um marco da nossa jornada!
A felicidade se enraíza na força da nossa determinação.
#empreendedorismo… https://t.co/xE8DoUv56f</t>
  </si>
  <si>
    <t>Não importa quais obstáculos surjam no caminho, a determinação é a chave para o sucesso.
Lidere sua equipe com coragem e inspire-os a alcançar grandes conquistas.
Os desafios são oportunidades de crescimento e aprendizado!
#empreendedorismo #sucesso #marketingdigital… https://t.co/e5nIds9df2</t>
  </si>
  <si>
    <t>Deslize para o lado e descubra os 5 principais aspectos de uma liderança de sucesso.
Transforme-se em um líder que inspira e impacta positivamente o mundo ao seu redor!
Acompanhe meu perfil para conferir mais conteúdos como esse.
#empreendedorismo #sucesso #marketingdigital… https://t.co/sC3UEUfFH4</t>
  </si>
  <si>
    <t>Fato!!! #empreendedorismo #Foconoobjetivo #serdiferente https://t.co/mgk2za9kfU</t>
  </si>
  <si>
    <t>Nunca desista de lutar. A vida é generosa para aqueles que acreditam nela.
#sonhos #gratidao #business #semprefoideus #empreendedorismo https://t.co/YdG1knPOmE</t>
  </si>
  <si>
    <t>DECLARAÇÃO DE PERSISTÊNCIA
A PERSISTÊNCIA É UM HÁBITO DOS
VENCEDORES E ELA JA FAZ PARTE DA MINHA VIDA, ESTE E O ÚNICO CAMINHO PARA O EXITO. A PALAVRA "IMPOSSÍVEL" NÃO EXISTE NO MEU VOCABULARIO.
#instagram #grupojbg3 #empreendedorismo #foconoobjetivo 
#photooftheday
#happy… https://t.co/bauzBiFjCn</t>
  </si>
  <si>
    <t>O sucesso vem de aguentar porrada e não ficar sonhando com vitórias. #grupojbg3 #empreendedorismo #foconoobjetivo #desistirjamais #gratidao #fotografia https://t.co/Dfib2yHkq8</t>
  </si>
  <si>
    <t>Quero todxs seguindo e participando ⬇️
https://t.co/FHnCZddMey
#modaintimafeminina 
#empreendedorismo 
#LingerieDiva https://t.co/I6ddxtfeEX</t>
  </si>
  <si>
    <t>Hombre Alfa 
Excelente curso para entender la relaciones, y minimizar las actitudes betas y direccionarnos a ser alfas
https://t.co/9zTybRugxz
 #podcast #cortespodcast #tiagofonseca #reflexão #marketingdigital #empreendedorismo #motivação #metas #MulheresApaixonadas https://t.co/vSycxJelWb</t>
  </si>
  <si>
    <t>🎯 Acompanhe nosso conteúdo para se aprofundar nesse universo fascinante! 📩 Entre em contato para consultoria personalizada! #advogado #direito #propriedadeintelectual #direitosautorais #marcasregistradas #empreendedorismo #negócios #consultoriajurídica</t>
  </si>
  <si>
    <t>🚀Conheça a história do San Pedro Valley e como Minas Gerais se tornou referência no cenário de startups. #MinasSummit #empreendedorismo #startups #inovação
https://t.co/ejw15jK9gy</t>
  </si>
  <si>
    <t>Barbeiro segue cortando cabelo de cliente durante assalto a barbearia na Zona Leste de SP https://t.co/abMsxri53V #g1 https://t.co/WR7dLxdLa8</t>
  </si>
  <si>
    <t>Oficina Turbine seu Instagram 
Sebrae Pernambuco 
#Empreendedorismo
#Inovação
#Sebrae https://t.co/90yi7j4Osm</t>
  </si>
  <si>
    <t>Palestra:
Propósito &amp;amp; Canvas You
Curso: Desenvolvimento de Sistemas
Escola Técnica Jurandir Bezerra Lins
#Empreendedorismo
#Inovação
#Sebrae
#Canvas https://t.co/Rb2DJ9teUx</t>
  </si>
  <si>
    <t>Super desconto 🔥🔥🔥 corre e garanta o seu que ainda dá tempo! Frete grátis 🎁
Link 👉https://t.co/SwY3Xtzlvd
#empreendedor #afiliado #marketingdeconteudo #trabalharemcasa #motiva #rendaextraemcasa #vendas #empreendedorismodigital #dinheiroonline #empreendedordigita https://t.co/9nlIleA8QV</t>
  </si>
  <si>
    <t>Precisando de ajuda para empreender? 💡
https://t.co/0Qup4LqhLL
#empreendedorismo #AGE #Pernambuco #EstadoDeMudança https://t.co/u8P7Rri9Uh</t>
  </si>
  <si>
    <t>😱🤩 unhas para CHÁ revelação! 
#unhas #unhasdedeusa #nails #nailsdesign #manicure #empreendedorismo https://t.co/DzN53LZD5y</t>
  </si>
  <si>
    <t>Que Nós MULHERES continuemos sempre PODEROSAS e BELAS se superando a cada dia!!! 💗👑💅 #unhas #mulher #empreendedorismo #nails https://t.co/u0ih9LWsAw</t>
  </si>
  <si>
    <t>Esse é o registro de um dia muito especial em que estivemos em treinamento com a empresa Suzano, e iremos atender 1400 mulheres empreendedoras durante 2 anos. 
#cufa #cufaes #empreendedorismo #mulheres #empoderamento #riqueza #favela https://t.co/LN81BQV83X</t>
  </si>
  <si>
    <t>💼Nesta terça-feira (25), empresários estiveram na Prefeitura de Araçatuba para firmarem novos contratos com o Banco do Povo. 👈
 #Empresário #Negócios #Consultoria #Dentista #PequenosNegócios #Empreendedorismo
#ProdutosDeQualidade
https://t.co/2BCrsBzEqc https://t.co/Vl6F7cvvXT</t>
  </si>
  <si>
    <t>🏢🔓 #Birigui: A Vigilância Sanitária libera prédio de influenciadora digital para funcionar como loja! 🏬🆗 #Liberação #VigilânciaSanitária #Funcionamento #Loja #InfluenciadoraDigital #Empreendedorismo 
https://t.co/APq70VMXeZ https://t.co/EAZcZektNZ</t>
  </si>
  <si>
    <t>😍 Jovens portugueses são desafiados pela mais recente edição do Prémio Bright Future que chega agora a Portugal!
Sabe mais, aqui 👇
#maiseducativa #empreendedorismo #prémiobrightfuture #jovens
https://t.co/HigGbTvq2K</t>
  </si>
  <si>
    <t>Dica de sexta: Assista esta série que conta a história do protagonista Don Draper, muitas vezes usa histórias pessoais e emoções profundas para vender produtos.
#clmcontroller #contabilidadepremium #contabilidade #empreendedorismo #empreender #serie #dicadesexta #sextou https://t.co/Tvujt1OaJe</t>
  </si>
  <si>
    <t>Dica de Sexta: https://t.co/cVyhEL2b3D
O documentário acompanha a criação e o crescimento da https://t.co/u4ENMKmDXV.
Assista o trailer: https://t.co/ZvYVtrHJdf
#clmcontroller #contabilidadepremium #contabilidade #empreendedorismo #empreender #documentario #dicadesexta #sextou https://t.co/WkDNzuvclM</t>
  </si>
  <si>
    <t>O livro "A Arte da Possibilidade" é um tesouro de sabedoria que oferece aos empresários uma visão revigorante e inspiradora do mundo dos negócios.
#dicadodia #dicadesexta #livro #negocios #atitudeempresarial #empreendedorismo #clmcontroller https://t.co/3gxL932s68</t>
  </si>
  <si>
    <t>Para entender melhor esse tema, acesse o Portal da Contabilidade e veja a matéria completa:
https://t.co/mk4bZmvn2L
l #empreendedorismo #doresdoempresario  #foryourpage #contabilidadeparaempresas #account #accounting #Compliance #compliencefiscal #compliencejuridico https://t.co/ksH6r6lq8K</t>
  </si>
  <si>
    <t>Veja quais são as dificuldades na matéria completa:
https://t.co/fXexsljfsa
#clmcontroller #contabilidadepremium #contabilidadeconsultiva #comercioexterior #contadabilidadedigital #empreendedorismo #doresdoempresario #negocios #empresadeimportaçãoeexportação https://t.co/nWteDILiDM</t>
  </si>
  <si>
    <t>Acesse o link e veja a matéria completa no Portal da Contabilidade:
https://t.co/9qgfZ1zzU0
#empreendedorismo #doresdoempresario #negocios #profissionalderh #profissionalderh #fy #fyp #foryou #foryourpage #account #accounting #rh #onboarding #controledeponto https://t.co/Krm9YA65VM</t>
  </si>
  <si>
    <t>Descubra mais acessando o link do Portal da Contabilidade abaixo:
https://t.co/C8Q5s9Oo0W
#empreendedorismo #doresdoempresario #negocios #planejamentotributário #empresadetelecom #telecomunicação #Taxaseimpostos
#Evasãofiscal https://t.co/TYHIHVm2yj</t>
  </si>
  <si>
    <t>Para continuar a matéria Acesse o portal da contabilidade. 
https://t.co/EQ8TgKNgV4
#clmcontroller #contabilidadepremium #contabilidadeconsultiva #contabilidadeespecializada #contabilidade #contadorespecialista #comercioexterior #contadabilidadedigital #empreendedorismo https://t.co/vm7TbB5SYq</t>
  </si>
  <si>
    <t>É a visão clara de onde queremos chegar que nos impulsiona a agir e superar  os desafios diários.
Empreender é trilhar um caminho para transformar sonhos em realidade.
Então, vamos em busca dos nossos objetivos, pois cada passo nos aproxima do sucesso. 💪✨ 
#Empreendedorismo https://t.co/EnTo4yXOX5</t>
  </si>
  <si>
    <t>DICA PARA EVOLUIR 🚀
Com atuações brilhantes e uma história envolvente, esse filme é uma ótima inspiração para nós, empreendedores.
#FilmeEmpreendedor #Inspiração #AmorSemEscalas #SucessoProfissional #Evolução #DicaParaEvoluir #Empreendedorismo https://t.co/fTC1rmxOLa</t>
  </si>
  <si>
    <t>Se você é profissional ou entusiasta da tecnologia: o NetCom 2023 é o lugar para estar! Conecte-se com especialistas, descubra novas oportunidades de negócios e amplie sua rede de contatos. Acesse e saiba mais: https://t.co/lUY9fi5Im6
#NetCom2023 #Empreendedorismo #Inovação</t>
  </si>
  <si>
    <t>Empreender com gestão estratégica é como navegar um navio: definir metas, traçar rotas, ajustar o curso e estar preparado para as tempestades. #empreendedorismo #gestãoestratégica</t>
  </si>
  <si>
    <t>🎯🔥 Perseverança, determinação &amp;amp; experiência no mercado contábil e consultoria de empresas. Foco em crescimento, inovação e sucesso! 🏢💼💪 #Empreendedorismo #Negócios #Sucesso https://t.co/9zVyRj1Aih</t>
  </si>
  <si>
    <t>15 erros comuns que prejudicam o seu negócio.  Você sabe quais são? Veja nesta publicação e evite cometer essas ações.
#15erroscomuns #contabilidadeconsultiva #empreendedorismo #martcon https://t.co/Id89O8ZHi3</t>
  </si>
  <si>
    <t>Nesse vídeo mostro como criar um chatbot no Typebot para responder perguntas sobre o seu negócio com ChatGPT
#typebot #chatgpt #openai #chatbot #automation #integration #nocode #lowcode #marketingdigital  #socialmedia #empreendedorismo https://t.co/TotcVx4bOY</t>
  </si>
  <si>
    <t>No vídeo de amanhã vou mostrar como criar um chatbot usando o Typebot para responder perguntas sobre o seu negócio com ChatGPT
#typebot #chatgpt #openai #chatbot #automation #integration #nocode #lowcode #marketingdigital  #socialmedia #empreendedorismo https://t.co/XnduY5fLwb</t>
  </si>
  <si>
    <t>O Século XXI será o século do Marketing, da psiquiatria e da Mentira.
#Palacio #descriminalizaSTF #alexandredemoraes #Binance
#arroz #vazajato #empreendedorismo
#MarketingDigital #marketingexistencial
#mentira #ponde
https://t.co/rEbdR0sSQC</t>
  </si>
  <si>
    <t>5 MANEIRAS DE COMEÇAR A EMPREENDER  ... | ...
Para ler na íntegra, acesse https://t.co/J12RyBZpF4
Por Redação do Portal Juristec | FOTO: Reprodução/Internet
#portaljuristec #artigo #maneiras #empreendedorismo https://t.co/W3plBVQD0B</t>
  </si>
  <si>
    <t>🔮La Verdadera Magia Radica en la Promoción de Contenidos📢
#blog #fashion #blogger #bloggerstyle #style #marketing #instagram #business #marketingdigital #digitalmarketing #empreendedorismo #socialmedia #negocios #empreender #BlogsterApp https://t.co/c8d1RdA6eW</t>
  </si>
  <si>
    <t>😲¿Sabes que hay más de 200 factores que afectan al SEO? 🔍
#marketing #socialmedia #digitalmarketing #business #marketingdigital #empreendedorismo #negocios #empreender #branding #instagram #sucesso #empreendedor #foco #emprendedores #brasil... https://t.co/FuXJY7BLlW https://t.co/z7TGOTULwe</t>
  </si>
  <si>
    <t>🤩 Quer saber mais sobre a #ProducaoCientifica em Ciência da Informação?
Leia o artigo "A produção bibliográfica em #GestãoDaInformacao, #empreendedorismo e #inovacao no depósito legal da #BibliotecaNacional (2003-2018)", na #RevistaAtoZ: https://t.co/XmWFHWI30f https://t.co/G0Ht1eEJHC</t>
  </si>
  <si>
    <t>A crescente demanda por agilidade e eficiência nas operações empresariais tem impulsionado o desenvolvimento de diversas soluções web.
https://t.co/I6B5GOF5z5
#empresarial #o #empresa #empresas #a #direito #negocios #empreendedorismo #n #empresarios #empresario #empreendedor https://t.co/LIZeOCcsZs</t>
  </si>
  <si>
    <t>GM☀️
Ensaio fotográfico para o seu estilo, vamos!
#retrato #portrait #fotodeperfil #retratomasculino #marketing #fotografoembauru #empresario #empreendedor #advogado #medico #corretordeimoveis #escritor #musico #designer #editorial https://t.co/0p9X1UwUNh</t>
  </si>
  <si>
    <t>Resultado do Programa Cidade Empreendedora será divulgado em Anchieta nesta quinta-feira (20). O programa busca impulsionar o desenvolvimento dos municípios, melhorando o ambiente de negócios e promovendo o empreendedorismo. #Anchieta #Empreendedorismo https://t.co/PMEqUYCCpT</t>
  </si>
  <si>
    <t>@daidson_ @isthetito KKKKKKKKKKKKKKK junto com você somos 3 
vamos CITi 💚
#empreendedorismo #resiliencia #gestão #coachquantico #apaixonadoportudoisso</t>
  </si>
  <si>
    <t>O Conta a Virada é uma série especial sobre superação e reviravoltas nos negócios. Inspire-se assistindo aos 4 episódios já disponíveis: https://t.co/uGG5rvFomg
#ContaAVirada #Sebrae #Empreendedorismo https://t.co/K3kIpQVRkw</t>
  </si>
  <si>
    <t>Quando você está focado no seu futuro e vem alguém te desanimar.😡
A educação empreendedora pode ser a cereja do bolo na sua carreira e também na sua vida. Conheça o Programa Nacional de Educação 
Empreendedora ➡️https://t.co/Rq3uGvYdAS
#Empreendedorismo #EducaçãoEmpreendedora https://t.co/2DLp7ltvjO</t>
  </si>
  <si>
    <t>📲 Se bater qualquer dúvida, não se preocupe, eu tenho diversos canais para te ajudar! Telefone (0800 570 0800), chat online e muito mais. Acesse https://t.co/legBk2SmeX.
#AgendaSebrae #Empreendedorismo #Sebrae</t>
  </si>
  <si>
    <t>🌱 E sabe o que é demais? Você pode transformar sua paixão em negócio, com a série “Seu Talento, Seu Negócio” no Youtube. Inspire-se e vá para o próximo nível! Olha aqui em https://t.co/lyySGRCemv. #AgendaSebrae  #Empreendedorismo #Sebrae</t>
  </si>
  <si>
    <t>♿ Alô, pequenas empresas! Atenção ao Decreto 9.405/2018: acessibilidade agora é obrigatória em seus estabelecimentos. Bora construir um Brasil mais inclusivo! #AgendaSebrae #Empreendedorismo #Sebrae</t>
  </si>
  <si>
    <t>🌐 E olha só, tem o Congresso Internacional de Inovação da Indústria nos dias 27 e 28 de setembro. É uma chance imperdível de se conectar com experts do mundo todo! Dê uma olhada em https://t.co/61KD1Qw7bx. #AgendaSebrae #Empreendedorismo #Sebrae</t>
  </si>
  <si>
    <t>🛠 SESI/SENAI tão ligados na segurança na indústria, especialmente na NR12. Vai lá conferir e proteger seus colaboradores: https://t.co/GmRsFW8vra. #AgendaSebrae #Empreendedorismo #Sebrae</t>
  </si>
  <si>
    <t>🎓 O Programa Nacional de Educação Empreendedora comemora uma década de mudança na educação brasileira. Eu tô dentro dessa revolução! Veja mais em https://t.co/XkoO40g1R1.
#AgendaSebrae #Empreendedorismo #Sebrae</t>
  </si>
  <si>
    <t>A lista faz sentido pra você? 🤔 Desenvolva seus conhecimentos sobre negócios por meio do Programa Nacional de Educação Empreendedora. Basta acessar o site e aprender com cursos, trilhas de conhecimento, quizzes e jogos. Saiba mais ➡️ https://t.co/Rq3uGvYdAS
#Empreendedorismo https://t.co/NWfZOqY6L6</t>
  </si>
  <si>
    <t>Você sabia que o TikTok Business pode impulsionar seu negócio? 💼💥
🚀 A plataforma de maior crescimento global oferece oportunidades incríveis pra fortalecer sua presença online, alcançar um público amplo e aumentar o engajamento.
#Sebrae #Empreendedorismo #TikTokBusiness https://t.co/aD9HC67Ry2</t>
  </si>
  <si>
    <t>📞 E se precisar de uma força, estou aqui! Fala comigo através dos canais de atendimento: videochamada, ligação e WhatsApp no 0800 570 0800, ou até presencialmente. Só chegar! 😉📱 #Sebrae #Empreendedorismo #Inovação  #AgendaSebrae</t>
  </si>
  <si>
    <t>Cinco #livros essenciais de #empreendedorismo e finanças. A lista contempla as obras mais vendidas em agosto pela @amazonbrasil e foi preparada pelo @sebrae para os pequenos  #negocios. Leia: https://t.co/p5o6zDdrqa</t>
  </si>
  <si>
    <t>Homem mostra em vídeo a “facilidade” de empreender começando com 1 real. https://t.co/a5p1PRdlQG</t>
  </si>
  <si>
    <t>na Barra da Tijuca, é a @expofavelarj.
A CUFA é parceira social.
@expofavelarj
@ExpoFavela 
@cufa_rio 
#ExpoFavela2023 #RioDeJaneiro  #Inclusão #Empreendedorismo #Inovação #Favelas #expofavelainnovationrj</t>
  </si>
  <si>
    <t>🚀 A Expo Favela Innovation 2023: Conectando Sonhos e Oportunidades nas Favelas do Rio! 🌟 Não perca a entrevista emocionante de @celsoathayde no #RJTV da @tvglobo. @expofavelarj ! ⏯️ #ExpoFavela2023 #Empreendedorismo #Inovação https://t.co/I64MRDicPe</t>
  </si>
  <si>
    <t>Chegou o mês do grande encontro de oportunidades entre a favela e o asfalto!
Vamos nessa?
Dias 29, 30 e 31 de julho na @cidadedasartes_  @expofavelarj 
#expofavelainnovation2023 #expofavelarj #empreendedorismo #inovacao https://t.co/SWWlQcBgAg</t>
  </si>
  <si>
    <t>📢 Aberta venda ingressos Expo Favela Innovation Rio 2023! 
Compre: http://rj-expofavela.byinti.comDisponível na bio e stories. 
OBS: Ingressos não identificam comprador. 29-31 de Julho  @cidadedasartes_ 
#expofavelainnovation2023 #expofavelarj #empreendedorismo #inovação https://t.co/ntDNZZqiHp</t>
  </si>
  <si>
    <t>Parabéns às startups selecionadas! 🤩
#Typcal - @ImplantaIT - @PixForce_ - @Agtrace1
@Autazatech - #Ecoloop - #VirtualTown - #Greenplat
@Dineramaapp - #Evlos - @ST_One_io
Nos vemos amanhã no design sprint!
#Empreendedorismo #Startups #Tecnologia #Inovacao https://t.co/XXcaCteYxb</t>
  </si>
  <si>
    <t>A #GiovannaMeneghel, CEO e Fundadora da #HeyNude, falou sobre 3 motivos para participar do #KamayCode.
▶️Dê o play e descubra! #Empreendedorismo #Inovacao #Tecnologia #Networking https://t.co/QXkqDmEOxy</t>
  </si>
  <si>
    <t>Confira a agenda completa do #KamayCodeBR em https://t.co/U5gr1HOjzv! 🚀
#Tecnologia #Empreendedorismo #SaoPaulo #Startups #Inovacao https://t.co/UiosPuTMtZ</t>
  </si>
  <si>
    <t>#VascoPortugal, CEO da #Sensei, falou sobre os 3 motivos que os trouxeram para a segunda edição do #KamayCode. ▶️Dê o play e descubra quais são!
#Empreendedorismo #Tecnologia #Inovacao #Futuro https://t.co/sSBHZMjeSn</t>
  </si>
  <si>
    <t>#VascoPortugal e #NunoMoutinho, da #Sensei, assumem o palco do #KamayCodeBR para falar sobre "Um novo começo para o varejo"! 🛍️
#Tecnologia #Inovacao #Empreendedorismo #Futuro https://t.co/2VVobeWpBI</t>
  </si>
  <si>
    <t>Começou! 🤩
O painel "Insights de capitalistas de risco corporativos internacionais" está imperdível - profissionais renomados e muito conhecimento!
#Empreendedorismo #Tecnologia #Inovacao #Startups https://t.co/DH64DB8G7R</t>
  </si>
  <si>
    <t>#RodrigoTorres, co-fundador da #Tokenbase, teve sua startup pré-selecionada para a competição de pitch que está acontecendo hoje no #KamayCodeBR e falou sobre 3 motivos para participar do evento! 🚀
#Empreendedorismo #Tecnologia #Inovacao #Futuro https://t.co/UCYzZBPfkH</t>
  </si>
  <si>
    <t>A competição de pitch do #KamayCodeBR está a todo vapor! Já baixou o app? Faça o download do app Cvent Events e vote na sua startup preferida! 🙋
#Startups #Empreendedorismo #Inovacao #Tecnologia #Futuro https://t.co/WEpZ5eNUAS</t>
  </si>
  <si>
    <t>Cada producto que entregamos es más que un resultado impreso 🖨️✨
https://t.co/Qvy3q58RSH
#graphicdesign #motivation #love #success #marketingstrategy #seo #digital #empreendedorismo #entrepreneurship #instagood #onlinemarketing #marketingtips #startup #photography #art #follow https://t.co/qsIQRfSQN7</t>
  </si>
  <si>
    <t>RT @Pinkainnovacion: Cada producto que entregamos es más que un resultado impreso 🖨️✨
https://t.co/Qvy3q58RSH
#graphicdesign #motivation…</t>
  </si>
  <si>
    <t>🚀 02 - Criando Pipes
Aula nova do Curso Dodofy para quem quer aprender absolutamente tudo sobre o Pipefy
👉🏻https://t.co/C2dFQC4ZYo 
Se inscreva para não perder as próximas aulas 😉
#pipefy #dodofy #gestãodeprocessos #empreendedorismo #cursogratuito https://t.co/e8SzmOBZdX</t>
  </si>
  <si>
    <t>🚀 04 - Ativando os ALERTAS do Pipefy
Mais uma aula do curso, hoje eu te explico tudo sobre os alertas do #pipefy para controlar seus prazos e demandas
🟥 https://t.co/bhZDvUfA4k 
#dodofy #gestãodeprocessos #empreendedorismo #cursogratuito #mapeamentodeprocessos #alertas https://t.co/scDiGCrc5p</t>
  </si>
  <si>
    <t>🚀 03 - Mapeando FASES no #pipefy 
🟥 https://t.co/nYgfZBBQf8 
Se inscreva para não perder as próximas aulas 😉
#dodofy #gestãodeprocessos #empreendedorismo #cursogratuito #mapeamentodeprocessos https://t.co/xadsh81AIM</t>
  </si>
  <si>
    <t>⚖️ 5 anos da LGPD
Confira os principais momento e marcos da Lei:
https://t.co/QWQgeql0GS
Caso tenha dúvidas, estamos à disposição.
#leigeraldeprotecaodedados #leigeraldeproteçãodedados #empreendedorismo #proteçãodedados #lgpd #protecaodedados #direitoempresarial https://t.co/N5Y6UBxso0</t>
  </si>
  <si>
    <t>⚖️ CROSSFIT
Agora só usa essa MARCA quem tem o REGISTRO ou a licença
https://t.co/PbIvmKkECI
#registrodemarcasepatentes #propriedadeintelecual #propriedadeindustrial #empreendedorismo #propriedadeintelectual #registrodemarca #direitoempresarial #advocaciaempresarial https://t.co/oIqQpGoQfO</t>
  </si>
  <si>
    <t>🚀 05 - Usando ETIQUETAS no Pipefy
Hoje vou te ensinar a organizar e filtrar os seus clientes e demandas
🟥 https://t.co/QuDAWM19kI 
Se inscreva para não perder as próximas aulas 😉
#dodofy #gestãodeprocessos #empreendedorismo #cursogratuito #mapeamentodeprocessos #etiquetas https://t.co/xd5Nvu7cnP</t>
  </si>
  <si>
    <t>🚀 Modelo de: FUNIL DE VENDAS no Pipefy
Buscando um sistema que é mais do que só um CRM, gratuito e automatizado?
https://t.co/6LglqmkdXW
#pipefy #dodofy #kanban #crm #funildevendas #gestao #processos #empreendedorismo #escritorio #advogados https://t.co/iBBIjHExw7</t>
  </si>
  <si>
    <t>⚖️ Primeira MULTA da ANPD
Empresa é multada por violar artigos da LGPD e a sua pode ser a próxima...
https://t.co/5SeWBkN4mr
#leigeraldeprotecaodedados #leigeraldeproteçãodedados #empreendedorismo #proteçãodedados #lgpd #protecaodedados #direitoempresarial https://t.co/StueEGhdfU</t>
  </si>
  <si>
    <t>⚖️ Os dados dos seus clientes vazaram na Dark Web
E a culpa é sua!
https://t.co/Hcq7xfLA8G
Busque um profissional jurídico e proteja seus clientes
Caso tenho dúvidas, não exite em nos questionar
#leigeraldeprotecaodedados  #empreendedorismo #proteçãodedados #lgpd https://t.co/00kHzQzW92</t>
  </si>
  <si>
    <t>O Rapper Pirata traz importantes reflexões sobre políticas de juventude, economia e cultura na cidade de São Paulo. Em suas músicas e entrevistas, ele tem defendido a importância de políticas públicas   #PirataSP . #juventude #economia #cultura #empreendedorismo #SãoPaulo https://t.co/s71dDsCF3X</t>
  </si>
  <si>
    <t>@MarcoPrestes #Empreendedorismo</t>
  </si>
  <si>
    <t>#doterra #empreendedorismo #liberdadefinanceira #futurobrilhante #sucesso
@ericaafabricia
https://t.co/6tbrdvDxkc
https://t.co/N9wJMFaPhM https://t.co/SYCSLnemBs</t>
  </si>
  <si>
    <t>#doterra #empreendedorismo #liberdadefinanceira #futurobrilhante #sucesso
https://t.co/N9wJMFaPhM
https://t.co/6tbrdvDxkc https://t.co/n6R7Fx9RWH</t>
  </si>
  <si>
    <t>https://t.co/6tbrdvE59K
https://t.co/N9wJMFbn7k
#empreendedorismo
#empreendedor
#negocios
#startup
#marketingdigital
#vendas
#foco
#motivaçao
#inspiraçao
#sucesso https://t.co/G9sy54oa3x</t>
  </si>
  <si>
    <t>💜💪👩🏼‍💼 #doterra #oportunidadedenegócio #empreendedorismo #liberdadefinanceira #realizaçãopessoal
https://t.co/N9wJMFaPhM
https://t.co/6tbrdvDxkc
@ericaafabricia https://t.co/R455EoAIcb</t>
  </si>
  <si>
    <t>#NewProfilePic
#Empreendedor 
#Investidor https://t.co/J3AyIqnF0Z</t>
  </si>
  <si>
    <t>Já dizia Mathin Luther King: Se você não tem uma causa pela qual morrer, não tem motivo pra viver!
Eis aqui meu maior propósito e o seu, qual é? ❤
#propósito #foco #objetivos #carreira #sucesso #empreendedorismo #crescimentoprofissional #londres https://t.co/qEmASV5IdQ</t>
  </si>
  <si>
    <t>Receber feedbacks como esse é realmente algo impagável.
#feedback #depoimento #mentoria #crescimentopessoal #resiliência #empreendedorismo #carreira #feedbackdatati https://t.co/EKePG8BQLr</t>
  </si>
  <si>
    <t>#empreendedorismo 
#empreender 
#vidadeempreendedor
@annas_formigas
https://t.co/IANFOlvuwn</t>
  </si>
  <si>
    <t>Mas este país não parece construído para empreendedores, ou artistas ou jovens. Não parece construído para ninguém.  Exceto para casuais bananas armados com o xico espertismo como a única arma de sobrevivência. #portugal #precariedade #empreendedorismo</t>
  </si>
  <si>
    <t>O Convidado do Café Interativo da próxima segunda-feira é, Marcus Lemos, Administrador de formação pela PUC-MG e um empreendedor apaixonado por negócios que transformam o mercado e a sociedade. @mvlemos @nubbi.br #empreendedorismo #poçosdecaldas #educação #ensinoadistancia https://t.co/sWvyKpund5</t>
  </si>
  <si>
    <t>#Deusnocomando🙏🙏🙏
#upsilontoledo
#equipedemarketing
#engenharia
#engineering
#projetista
#designer
#marketing
#marketingdigital
#design
#desinggrafico
#designdigital
#automacao
#empreendedorismo
#posts
#socialmedia
#socialmediaparanegocios
#publicidade
#publicidadeepropaganda https://t.co/hKdYfzvp7C</t>
  </si>
  <si>
    <t>#Deusnocomando🙏🙏🙏
#upsilontoledo
#equipedemarketing
#engenharia
#engineering
#projeto
#projetista
#designer
#marketing
#marketingdigital
#design
#empreendedorismo
#posts
#socialmedia
#socialmediamarketing
#socialmediaparanegocios
#publicidade
#publicidadeepropaganda https://t.co/jdD46z1X0W</t>
  </si>
  <si>
    <t>Uma das estratégias mais importantes no marketing digital é o funil de vendas. Confira na matéria tudo sobre #funildevendas
https://t.co/L8VaPCHVjk
#marketing #empreendedorismo #gestão #vendas</t>
  </si>
  <si>
    <t>O que é Marketing Digital: Um Guia Completo https://t.co/Dry8QI9sqE
#Marketing #MarketingDigital #empreendedor #Noticias</t>
  </si>
  <si>
    <t>📚Os cursos gratuitos do Senac Paranaguá estão trazendo resultados incríveis. Alunos estão se qualificando, conseguindo empregos, empreendendo e alcançando seus objetivos. 🎓💼
#ODS4 #Empreendedorismo
Leia mais na Folha do Litoral: 👇🏼
https://t.co/oUxPVn94dI https://t.co/TJhacdFNIS</t>
  </si>
  <si>
    <t>Quero encontrar a você agora no Culto do #Empreendedor. Já começou. Vamos?
https://t.co/Z8AVygtH66</t>
  </si>
  <si>
    <t>Esse é um dashboard que uso para gerir o faturamento de meus negócios. Aproveito para promover uma corrida entre os gerentes com premiação gorda para os vencedores! #gestãoempresarial #negócios #empreendedorismo #liderança #estratégia #inovação #marketing #finanças #produtividade… https://t.co/B8pVTps7Rm</t>
  </si>
  <si>
    <t>Genial! 😂😂😂
Se alguém souber o @ para eu creditar, agradeço. 
#gestãoempresarial #negócios #empreendedorismo #liderança #estratégia #inovação #marketing #finanças #produtividade #equipe https://t.co/Htbt0uzjpJ</t>
  </si>
  <si>
    <t>O Shopping de Varginha vai fechar? 🤷🏻‍♂️🤷🏻‍♂️
Confira minha análise sobre esse assunto que está na boca da população de Varginha e região. 
Curta, Compartilhe e nos siga
#gestãoempresarial #negócios #empreendedorismo #liderança #estratégia #inovação #marketing #finanças… https://t.co/jyqeo4vfFF</t>
  </si>
  <si>
    <t>Seu sucesso não virá rápido mas definitivamente!
- Thiago Finch
.
.
.
#sucesso #rápido #thiagofinch #dinheiro #milionário #empreendedor</t>
  </si>
  <si>
    <t>Procuro jovens que queiram ficar ricos em 2023!
Comenta "EU QUERO" que te explico tudo.
.
.
.
.
#futuro #milionário #foco #sucesso #Marketing  #Digital #Empreendedor</t>
  </si>
  <si>
    <t>Me ame ou me odeie ambos estão a meu favor. Se você me ama, eu sempre estarei em seu coração. Se você me odeia, eu estarei sempre em sua mente.
.
.
.
.
#foco #sucesso #milionário #lifestyle #empreendedor #mentalidade</t>
  </si>
  <si>
    <t>O Centro Universitário UNINTER de Picos participou do Encontro do Ecossistema de Inovação do Vale do Mel em Picos - PI promovido pelo @sebraepi. A Agente Local de Inovação @samiramalho conduziu o encontro. #inovação #empreendedorismo https://t.co/A2UN7TXNYC</t>
  </si>
  <si>
    <t>RT @OssandaLiber: Estas mulheres incríveis, à semelhança de muitas espalhadas pelo país não querem que ninguém lhes dê nada, apenas precisa…</t>
  </si>
  <si>
    <t>É amanhã!!! A estreia do Empreendedorama Podcast!!!
Não perca!!!
Às 19hs!!
#empreendedorismo #podcast #podcastempreendedorismo https://t.co/9vgStR5TAd</t>
  </si>
  <si>
    <t>Viana Jovens Empreendedores apoia dois projetos com verba global de 40 mil euros
#vianadocastelo #empreendedorismo #projetos #jovens https://t.co/5isMuNt3IL</t>
  </si>
  <si>
    <t>Sou vendedor e representante comercial. 
segue contato
31 982062073 
Alexbaratobebida@hotmail.com 
pagamento na entrega, boleto, produtos com NF.
#empreendedorismo #sucesso #vendasonline #supermercado #depositodebebidas #adega #DISTRIBUIDORAS #distribuidoradebebidas https://t.co/H6F5IZAa9t</t>
  </si>
  <si>
    <t>Faça sua Primeira Venda em 24 Horas!🕐
O curso tem duração de 30 Horas e tem como objetivo auxiliar aqueles que buscam se tornar empreendedores de Marketing Digital.
Link para os conteúdos: https://t.co/oIe6ECAoy8 🚀
#mentemilionaria #empreendedorismo #marketingdigital #Ruyter</t>
  </si>
  <si>
    <t>Comente “eu quero”, que te envio as 3 aulas gratuitas de como fazer dropshipping!
#vendas #rendaextra #ganhardinheiro #empreendedorismo 
 https://t.co/zkJGSyi8FA</t>
  </si>
  <si>
    <t>Faça sua Primeira Venda em 24 Horas!🕐
O curso tem duração de 30 Horas e tem como objetivo auxiliar aqueles que buscam se tornar empreendedores de Marketing Digital.
Link para os conteúdos: https://t.co/COW1T6IIxA 🚀
#mentemilionaria #empreendedorismo #marketingdigital #dicas https://t.co/41lJyIIohX</t>
  </si>
  <si>
    <t>Olá rede, somos a Be Yours Company!
Uma página focada no desenvolvimento profissional e pessoal de cada um, através de técnicas já testadas e aprovadas por centenas de clientes satisfeitos!
Obrigado. Build your legacy with us! 🚀
#mentemilionaria #rendaextra #empreendedorismo https://t.co/lMr7grzVeu</t>
  </si>
  <si>
    <t>Faça sua primeira comissão agora! 🚀
Acesse já: https://t.co/SPco0NJvXN
#fy #marketingdigital #kiwify #empreendedorismo #ruyter #rendaextra #PLR https://t.co/gRrL0g5AUT</t>
  </si>
  <si>
    <t>🤑Como ganhar $100 por dia  Parte 5
 Saiba Mais📷https://t.co/hn2523Ac00
#tempodenegocios #Rendaextra #viral #fypシ #empreendedorismo #MONEY https://t.co/ZZR50nK4U6</t>
  </si>
  <si>
    <t>🤑Como ganhar $100 por dia  Parte 6
 Saiba Mais📷https://t.co/hn2523Ac00 
#tempodenegocios #Rendaextra #viral #fypシ #empreendedorismo #MONEY https://t.co/MnmpJOWiuN</t>
  </si>
  <si>
    <t>🤑Como ganhar $100 por dia  Parte 7   
Saiba Mais📷https://t.co/hn2523Ac00 
#tempodenegocios #Rendaextra #viral #fypシ #empreendedorismo #MONEY https://t.co/glYXjKEz0w</t>
  </si>
  <si>
    <t>#Noticias #linkmex  #santacatarina #empreendedorismo #empresasdesucesso #exportação #importação
https://t.co/f4MFflLRcO</t>
  </si>
  <si>
    <t>Movimento de #Empreendedorismo Atípicos e Típicos realiza Mostra de produtos e serviços em #Manaus.
acesse o link:
https://t.co/PQgxLPmCFa https://t.co/ZzajnPX2Rj</t>
  </si>
  <si>
    <t>ONJORNAL | Negócios
#Palestra sobre #empreendedorismo traz a Manaus #empresárioparanaense Fernando Ortiz.
acesse o link:
https://t.co/LTx8VUosXK https://t.co/RJ8MOxjb0E</t>
  </si>
  <si>
    <t>#empreendedorismo #workholic #amorproprio #job https://t.co/a5wXqMB1N7</t>
  </si>
  <si>
    <t>A casa caiu pra @LulaOficial
Gostou do conteúdo?
Segue aê ➡️ @workshopdantas
#educacaofinanceira #empreendedor #dinheiro #finanças #reflexao #empreendedorismo #vendermais #organizacaofinanceira #rendaextra #marketingdigital #vendedor #direita #conservador #hugocarvajal https://t.co/JLBv6RNJnv</t>
  </si>
  <si>
    <t>Gostou do conteúdo?
Segue aê ➡️ @workshopdantas
#educacaofinanceira #empreendedor #dinheiro #finanças #reflexao #empreendedorismo #vendermais #organizacaofinanceira #rendaextra #rendaextraemcasa #marketingdigital #vendedor #direita #conservador @roxmo https://t.co/Q1ucx4Xvon</t>
  </si>
  <si>
    <t>Gostou do conteúdo?
Segue aê ➡️ @workshopdantas
#educacaofinanceira #empreendedor #dinheiro #finanças #reflexao #empreendedorismo #vendermais #organizacaofinanceira #rendaextra #rendaextraemcasa #marketingdigital #vendedor #direita #conservador @rmotta2 https://t.co/bMIoHTQCnE</t>
  </si>
  <si>
    <t>Gostou do conteúdo?
Segue aê ➡️ @workshopdantas
#educacaofinanceira #empreendedor #dinheiro #finanças #reflexao #empreendedorismo #vendermais #organizacaofinanceira #rendaextra #rendaextraemcasa #marketingdigital #vendedor #direita #conservador https://t.co/HBe3QMGOW6</t>
  </si>
  <si>
    <t>Gostou do conteúdo?
Segue aê ➡️ @workshopdantas
#educacaofinanceira #empreendedor #dinheiro #finanças #reflexao #empreendedorismo #vendermais #organizacaofinanceira #rendaextra #rendaextraemcasa #marketingdigital #vendedor #direita #conservador #elonmusk https://t.co/ZsOl04FZD0</t>
  </si>
  <si>
    <t>Gostou do conteúdo?
Segue aê ➡️ @workshopdantas
#educacaofinanceira #empreendedor #dinheiro #finanças #reflexao #empreendedorismo #vendermais #organizacaofinanceira #rendaextra #rendaextraemcasa #marketingdigital #vendedor #direita #conservador #flaviodinocomunista https://t.co/XfZPoGBbdQ</t>
  </si>
  <si>
    <t>Gostou do conteúdo?
Segue aê ➡️ @workshopdantas
#educacaofinanceira #empreendedor #dinheiro #finanças #reflexao #empreendedorismo #vendermais #organizacaofinanceira #rendaextra #rendaextraemcasa #marketingdigital #vendedor #sportrecife #maiordonordeste https://t.co/KZEUlt17Qz</t>
  </si>
  <si>
    <t>Gostou do conteúdo?
Segue aê ➡️ @workshopdantas
#educacaofinanceira #empreendedor #dinheiro #finanças #reflexao #empreendedorismo #vendermais #organizacaofinanceira #rendaextra #rendaextraemcasa #marketingdigital #vendedor #direita #conservador #genfigueiredo https://t.co/9rMmEdzSt9</t>
  </si>
  <si>
    <t>Gostou do conteúdo?
Segue aê ➡️ @workshopdantas
#educacaofinanceira #empreendedor #dinheiro #finanças #reflexao #empreendedorismo #vendermais #organizacaofinanceira #rendaextra #rendaextraemcasa #marketingdigital #direita #conservador #imprensa #corrupcao #josephpulitzer https://t.co/80ysJ9Ga0m</t>
  </si>
  <si>
    <t>Gostou do conteúdo?
Segue aê ➡️ @workshopdantas
#educacaofinanceira #empreendedor #dinheiro #finanças #reflexao #empreendedorismo #vendermais #organizacaofinanceira #rendaextra #rendaextraemcasa #marketingdigital #vendedor #direita #conservador https://t.co/uDs0hcEdKc</t>
  </si>
  <si>
    <t>Gostou do conteúdo?
Segue aê ➡️ @workshopdantas
#educacaofinanceira #empreendedor #dinheiro #finanças #reflexao #empreendedorismo #vendermais #organizacaofinanceira #rendaextra #rendaextraemcasa #marketingdigital #vendedor #direita #conservador #FAZOL #casasbahia https://t.co/QgrVi6s1kc</t>
  </si>
  <si>
    <t>FORÇAS ARMADAS
ESTA DORMINDO
NESSA PORRA.
ANULAÇÃO DAS
ELEIÇOES JÁ.
Gostou do conteúdo?
Segue aê ➡️ @workshopdantas
#educacaofinanceira #empreendedor #dinheiro #finanças #reflexao #empreendedorismo #vendermais   #marketingdigital #vendedor #direita #conservador #foralula https://t.co/onzICNYviI</t>
  </si>
  <si>
    <t>Gostou do conteúdo?
Segue aê ➡️ @workshopdantas
#educacaofinanceira #empreendedor #dinheiro #finanças #reflexao #empreendedorismo #vendermais #organizacaofinanceira #rendaextra #rendaextraemcasa #marketingdigital #vendedor #direita #conservador #brasil #santacruz #feminina https://t.co/H5bSnoCzZD</t>
  </si>
  <si>
    <t>Gostou do conteúdo?
Segue aê ➡️ @workshopdantas
#educacaofinanceira #empreendedor #dinheiro #finanças #reflexao #empreendedorismo #vendermais #organizacaofinanceira #rendaextra #rendaextraemcasa #marketingdigital #vendedor #direita #conservador #jimryun https://t.co/yQlK9Pfwdw</t>
  </si>
  <si>
    <t>DOMINGO: 23/07/23.
LOCAL: PRAÇA DA LIBERDADE.
HORA: 10 HORAS.
PAUTA: FORA LULA!!!
Gostou do conteúdo?
Segue aê ➡️ @workshopdantas
#educacaofinanceira #empreendedor #dinheiro #finanças #reflexao #empreendedorismo #marketingdigital #vendedor #direita #conservador #ForaLula https://t.co/CBEI5bLasz</t>
  </si>
  <si>
    <t>Gostou do conteúdo?
Segue aê ➡️ @workshopdantas
#educacaofinanceira #empreendedor #dinheiro #finanças #reflexao #empreendedorismo #vendermais #organizacaofinanceira #rendaextra #rendaextraemcasa #marketingdigital #vendedor #direita #conservador #robertadams https://t.co/qNCe3beKsP</t>
  </si>
  <si>
    <t>Gostou do conteúdo?
Segue aê ➡️ @workshopdantas
#educacaofinanceira #empreendedor #dinheiro #finanças #reflexao #empreendedorismo #vendermais #organizacaofinanceira #rendaextra #rendaextraemcasa #marketingdigital #vendedor #direita #conservador #arthurschopenhauer https://t.co/FCGrdEF1HL</t>
  </si>
  <si>
    <t>Gostou do conteúdo?
Segue aê ➡️ @workshopdantas
#educacaofinanceira #empreendedor #dinheiro #finanças #reflexao #empreendedorismo #vendermais #organizacaofinanceira #rendaextra #rendaextraemcasa #marketingdigital #vendedor #direita #conservador #petralha https://t.co/pzdSPQPiTy</t>
  </si>
  <si>
    <t>Gostou do conteúdo?
Segue aê ➡️ @workshopdantas
#educacaofinanceira #empreendedor #dinheiro #finanças #reflexao #empreendedorismo #vendermais #organizacaofinanceira #rendaextra #rendaextraemcasa #marketingdigital #vendedor #direita #conservador #JanVanEllam https://t.co/HYrgcHys3x</t>
  </si>
  <si>
    <t>Gostou do conteúdo?
Segue aê ➡️ @workshopdantas
#educacaofinanceira #empreendedor #dinheiro #finanças #reflexao #empreendedorismo #vendermais #organizacaofinanceira #rendaextra #rendaextraemcasa #marketingdigital #vendedor #direita #conservador #haddadposte https://t.co/Jo6RZLA8jS</t>
  </si>
  <si>
    <t>Surreal!
Gostou do conteúdo?
Segue aê ➡️ @workshopdantas
#educacaofinanceira #empreendedor #dinheiro #finanças #reflexao #empreendedorismo #vendermais #organizacaofinanceira #rendaextra #rendaextraemcasa #marketingdigital #vendedor #direita #conservador #cuidadocomsuaface https://t.co/cC6hPViO2z</t>
  </si>
  <si>
    <t>Gostou do conteúdo?
Segue aê ➡️ @workshopdantas
#educacaofinanceira #empreendedor #dinheiro #finanças #reflexao #empreendedorismo #vendermais #organizacaofinanceira #rendaextra #rendaextraemcasa #marketingdigital #vendedor #direita #conservador #contradrogas https://t.co/bLlSGdUTrw</t>
  </si>
  <si>
    <t>Gostou do conteúdo?
Segue aê ➡️ @workshopdantas
#educacaofinanceira #empreendedor #dinheiro #finanças #reflexao #empreendedorismo #vendermais #organizacaofinanceira #rendaextra #rendaextraemcasa #marketingdigital #vendedor #santacruz #serieD https://t.co/mGZx1rbjbV</t>
  </si>
  <si>
    <t>Gostou do conteúdo?
Segue aê ➡️ @workshopdantas
#educacaofinanceira #empreendedor #dinheiro #finanças #reflexao #empreendedorismo #vendermais #organizacaofinanceira #rendaextra #rendaextraemcasa #marketingdigital #vendedor #sportrecife https://t.co/X4ZhSGxw7u</t>
  </si>
  <si>
    <t>Gostou do conteúdo?
Segue aê ➡️ @workshopdantas
#educacaofinanceira #empreendedor #dinheiro #finanças #reflexao #empreendedorismo #vendermais #organizacaofinanceira #rendaextra #rendaextraemcasa #marketingdigital #vendedor #direita #conservador #jairbolsonaro https://t.co/MSYQGHXQor</t>
  </si>
  <si>
    <t>Gostou do conteúdo?
Segue aê ➡️ @workshopdantas
#educacaofinanceira #empreendedor #dinheiro #finanças #reflexao #empreendedorismo #vendermais #organizacaofinanceira #rendaextra #rendaextraemcasa #marketingdigital #vendedor #direita #conservador #esquerdamaldita https://t.co/HbVKbLncHa</t>
  </si>
  <si>
    <t>Gostou do conteúdo?
Segue aê ➡️ @workshopdantas
#educacaofinanceira #empreendedor #dinheiro #finanças #reflexao #empreendedorismo #vendermais #organizacaofinanceira #rendaextra #rendaextraemcasa #marketingdigital #vendedor #direita #conservador #FAZOL #magazineluiza https://t.co/44MEbmkRoT</t>
  </si>
  <si>
    <t>Gostou do conteúdo?
Segue aê ➡️ @workshopdantas
#educacaofinanceira #empreendedor #dinheiro #finanças #reflexao #empreendedorismo #vendermais #organizacaofinanceira #rendaextra #rendaextraemcasa #marketingdigital #vendedor #direita #conservador #8dejaneiro https://t.co/m1GM6gexab</t>
  </si>
  <si>
    <t>Gostou do conteúdo?
Segue aê ➡️ @workshopdantas
#educacaofinanceira #empreendedor #dinheiro #finanças #reflexao #empreendedorismo #vendermais #organizacaofinanceira #rendaextra #rendaextraemcasa #marketingdigital #vendedor #direita #conservador #JidduKrishnamurti https://t.co/4sdslZVVN3</t>
  </si>
  <si>
    <t>Gostou do conteúdo?
Segue aê ➡️ @workshopdantas
#educacaofinanceira #empreendedor #dinheiro #finanças #reflexao #empreendedorismo #vendermais #organizacaofinanceira #rendaextra #rendaextraemcasa #marketingdigital #vendedor #direita #conservador #bolsonarosempretemrazao https://t.co/oNWeDRsO47</t>
  </si>
  <si>
    <t>Gostou do conteúdo?
Segue aê ➡️ @workshopdantas
#educacaofinanceira #empreendedor #dinheiro #finanças #reflexao #empreendedorismo #vendermais #organizacaofinanceira #rendaextra #rendaextraemcasa #marketingdigital #vendedor #direita #conservador #alanwatts https://t.co/7ba0naLJQC</t>
  </si>
  <si>
    <t>Gostou do conteúdo?
Segue aê ➡️ @workshopdantas
#educacaofinanceira #empreendedor #dinheiro #finanças #reflexao #empreendedorismo #vendermais #organizacaofinanceira #rendaextra #rendaextraemcasa #marketingdigital #vendedor #direita #conservador #frankshermanland https://t.co/qLp0p8Xgvn</t>
  </si>
  <si>
    <t>Gostou do conteúdo?
Segue aê ➡️ @workshopdantas
#educacaofinanceira #empreendedor #dinheiro #finanças #reflexao #empreendedorismo #vendermais #organizacaofinanceira #rendaextra #rendaextraemcasa #marketingdigital #vendedor #direita #conservador #EuSigoBolsonaro https://t.co/hI3pMbtUNM</t>
  </si>
  <si>
    <t>Gostou do conteúdo?
Segue aê ➡️ @workshopdantas
#educacaofinanceira #empreendedor #dinheiro #finanças #reflexao #empreendedorismo #vendermais #organizacaofinanceira #rendaextra #rendaextraemcasa #marketingdigital #vendedor  #tiagomedeiros #SantaCruz #SportRecife https://t.co/w22YiR058r</t>
  </si>
  <si>
    <t>Gostou do conteúdo?
Segue aê ➡️ @workshopdantas
#educacaofinanceira #empreendedor #dinheiro #finanças #reflexao #empreendedorismo #vendermais #organizacaofinanceira #rendaextra #rendaextraemcasa #marketingdigital #vendedor #direita #conservador https://t.co/1VgJPPkbNY</t>
  </si>
  <si>
    <t>Gostou do conteúdo?
Segue aê ➡️ @workshopdantas
#educacaofinanceira #empreendedor #dinheiro #finanças #reflexao #empreendedorismo #vendermais #organizacaofinanceira #rendaextra #marketingdigital #vendedor #direita #conservador #pedofilia #CriancaEsperanca #FazoL https://t.co/wSVLk5ibYI</t>
  </si>
  <si>
    <t>Gostou do conteúdo?
Segue aê ➡️ @workshopdantas
#educacaofinanceira #empreendedor #dinheiro #finanças #reflexao #empreendedorismo #vendermais #organizacaofinanceira #rendaextra #rendaextraemcasa #marketingdigital #vendedor #direita #conservador #thomasedison https://t.co/LNDpkgoFgZ</t>
  </si>
  <si>
    <t>Gostou do conteúdo?
Segue aê ➡️ @workshopdantas
#educacaofinanceira #empreendedor #dinheiro #finanças #reflexao #empreendedorismo #vendermais #organizacaofinanceira #rendaextra #rendaextraemcasa #marketingdigital #vendedor #direita #conservador #olavotemrazao https://t.co/LLEz2CNBya</t>
  </si>
  <si>
    <t>Gostou do conteúdo?
Segue aê ➡️ @workshopdantas
#educacaofinanceira #empreendedor #dinheiro #finanças #reflexao #empreendedorismo #vendermais #organizacaofinanceira #rendaextra #rendaextraemcasa #marketingdigital #vendedor #direita #conservador #zedirceu #petêadmitiu https://t.co/BOgCe1KnUc</t>
  </si>
  <si>
    <t>No Recife tudo é diferente.
Não há regras de trânsito/navegação precisas.
Gostou do conteúdo?
Segue aê ➡️ @workshopdantas
#educacaofinanceira #empreendedor #dinheiro #finanças #reflexao #empreendedorismo #vendermais  #marketingdigital #vendedor #direita #conservador https://t.co/vTfq9tvjZw</t>
  </si>
  <si>
    <t>Gostou do conteúdo?
Segue aê ➡️ @workshopdantas
#educacaofinanceira #empreendedor #dinheiro #finanças #reflexao #empreendedorismo #vendermais #organizacaofinanceira #rendaextra #rendaextraemcasa #marketingdigital #vendedor #direita #conservador #brucedickinson #ironmaiden https://t.co/iKIHJNmSA7</t>
  </si>
  <si>
    <t>Gostou do conteúdo?
Segue aê ➡️ @workshopdantas
#educacaofinanceira #empreendedor #dinheiro #finanças #reflexao #empreendedorismo #vendermais #organizacaofinanceira #rendaextra #rendaextraemcasa #marketingdigital #vendedor #direita #conservador #Bolsonaro https://t.co/Md4h4tFasu</t>
  </si>
  <si>
    <t>Gostou do conteúdo?
Segue aê ➡️ @workshopdantas
#educacaofinanceira #empreendedor #dinheiro #finanças #reflexao #empreendedorismo #vendermais #organizacaofinanceira #rendaextra #rendaextraemcasa #marketingdigital #vendedor #direita #conservador #napoleaobonaparte https://t.co/5FbUtjhRXk</t>
  </si>
  <si>
    <t>Gostou do conteúdo?
Segue aê ➡️ @workshopdantas
#educacaofinanceira #empreendedor #dinheiro #finanças #reflexao #empreendedorismo #vendermais #organizacaofinanceira #rendaextra #rendaextraemcasa #marketingdigital #vendedor #direita #conservador #martincooper https://t.co/6yfeGDGsNo</t>
  </si>
  <si>
    <t>Gostou do conteúdo?
Segue aê ➡️ @workshopdantas
#educacaofinanceira #empreendedor #dinheiro #finanças #reflexao #empreendedorismo #vendermais #organizacaofinanceira #rendaextra #rendaextraemcasa #marketingdigital #vendedor #direita #conservador #billmurray https://t.co/QWEhCvKbMf</t>
  </si>
  <si>
    <t>Gostou do conteúdo?
Segue aê ➡️ @workshopdantas
#educacaofinanceira #empreendedor #dinheiro #finanças #reflexao #empreendedorismo #vendermais #organizacaofinanceira #rendaextra #rendaextraemcasa #marketingdigital #vendedor #sportrecife #serieb #maiordonordeste https://t.co/0FR5hn7BHP</t>
  </si>
  <si>
    <t>Direita conservadora, vamos nos unir e derrotar essa esquerda que rouba nosso país!
Gostou do conteúdo?
Segue aê ➡️ @workshopdantas
#educacaofinanceira #reflexao #empreendedorismo #vendermais #organizacaofinanceira #rendaextraemcasa #marketingdigital 
 #direita #conservador https://t.co/rQvpgHi6vD</t>
  </si>
  <si>
    <t>Gostou do conteúdo?
Segue aê ➡️ @workshopdantas
#educacaofinanceira #empreendedor #dinheiro #finanças #reflexao #empreendedorismo #vendermais #organizacaofinanceira #rendaextra #rendaextraemcasa #marketingdigital #vendedor #sportrecife https://t.co/z2rcPOWUvS</t>
  </si>
  <si>
    <t>Gostou do conteúdo?
Segue aê ➡️ @workshopdantas
#educacaofinanceira #empreendedor #dinheiro #finanças #reflexao #empreendedorismo #vendermais #organizacaofinanceira #rendaextra #rendaextraemcasa #marketingdigital #vendedor #direita #conservador https://t.co/nTW40XR362</t>
  </si>
  <si>
    <t>Gostou do conteúdo?
Segue aê ➡️ @workshopdantas
#educacaofinanceira #empreendedor #dinheiro #finanças #reflexao #empreendedorismo #vendermais #organizacaofinanceira #rendaextra #rendaextraemcasa #marketingdigital #vendedor #direita #conservador #flaviodinocomrabopreso https://t.co/M1axAkuVVR</t>
  </si>
  <si>
    <t>Gostou do conteúdo?
Segue aê ➡️ @workshopdantas
#educacaofinanceira #empreendedor #dinheiro #finanças #reflexao #empreendedorismo #vendermais #organizacaofinanceira #rendaextra #rendaextraemcasa #marketingdigital #vendedor #direita #conservador https://t.co/U7OfwrZvZp</t>
  </si>
  <si>
    <t>Gostou do conteúdo?
Segue aê ➡️ @workshopdantas
#educacaofinanceira #empreendedor #dinheiro #finanças #reflexao #empreendedorismo #vendermais #organizacaofinanceira #rendaextra #rendaextraemcasa #marketingdigital #vendedor #direita #conservador #napoleonhill https://t.co/QfJutJsScH</t>
  </si>
  <si>
    <t>Gostou do conteúdo?
Segue aê ➡️ @workshopdantas
#educacaofinanceira #empreendedor #dinheiro #finanças #reflexao #empreendedorismo #vendermais #organizacaofinanceira #rendaextra #rendaextraemcasa #marketingdigital #vendedor #direita #conservador #streaming https://t.co/39V33Y0wvI</t>
  </si>
  <si>
    <t>Gostou do conteúdo?
Segue aê ➡️ @workshopdantas
#educacaofinanceira #empreendedor #dinheiro #finanças #reflexao #empreendedorismo #vendermais #organizacaofinanceira #rendaextra #rendaextraemcasa #marketingdigital #vendedor #direita #conservador #nom https://t.co/pv17et6z0Q</t>
  </si>
  <si>
    <t>Gostou do conteúdo?
Segue aê ➡️ @workshopdantas
#educacaofinanceira #empreendedor #dinheiro #finanças #reflexao #empreendedorismo #vendermais #organizacaofinanceira #rendaextra #rendaextraemcasa #marketingdigital #vendedor #direita #conservador #JimCaviezel https://t.co/yx7kaVzD8F</t>
  </si>
  <si>
    <t>Gostou do conteúdo?
Segue aê ➡️ Workshops Dantas 
#educacaofinanceira #empreendedor #dinheiro #finanças #reflexao #empreendedorismo #vendermais #organizacaofinanceira #rendaextra #marketingdigital #vendedor #direita #conservador #contranovaordemmundial #AgainstTheNewWorldOrder https://t.co/3U2tpOCGcs</t>
  </si>
  <si>
    <t>Gostou do conteúdo?
Segue aê ➡️ @workshopdantas
#educacaofinanceira #empreendedor #dinheiro #finanças #reflexao #empreendedorismo #vendermais #organizacaofinanceira #rendaextra #rendaextraemcasa #marketingdigital #vendedor #direita #conservador #LuladraoDesgracaEDestruicao https://t.co/A11lLP9JrJ</t>
  </si>
  <si>
    <t>Gostou do conteúdo?
Segue aê ➡️ @workshopdantas
#educacaofinanceira #empreendedor #dinheiro #finanças #reflexao #empreendedorismo #vendermais #organizacaofinanceira #rendaextra #rendaextraemcasa #marketingdigital #vendedor #direita #conservador https://t.co/AHvfbl4sBc</t>
  </si>
  <si>
    <t>Gostou do conteúdo?
Segue aê ➡️ @workshopdantas
#educacaofinanceira #empreendedor #dinheiro #finanças #reflexao #empreendedorismo #vendermais #organizacaofinanceira #rendaextra #rendaextraemcasa #marketingdigital #vendedor #direita #conservador #josephpulitzer https://t.co/AgXvRGuFIX</t>
  </si>
  <si>
    <t>Gostou do conteúdo?
Segue aê ➡️ @workshopdantas
#educacaofinanceira #empreendedor #dinheiro #finanças #reflexao #empreendedorismo #vendermais #organizacaofinanceira #rendaextra #rendaextraemcasa #marketingdigital #vendedor #direita #conservador #frankzappa https://t.co/QGidm7SUaC</t>
  </si>
  <si>
    <t>Gostou do conteúdo?
Segue aê ➡️ @workshopdantas
#educacaofinanceira #empreendedor #dinheiro #finanças #reflexao #empreendedorismo #vendermais #organizacaofinanceira #rendaextra #rendaextraemcasa #marketingdigital #vendedor #direita #conservador #SoundOfFreedom #Timballard https://t.co/8ygoC1WdQ9</t>
  </si>
  <si>
    <t>Gostou do conteúdo?
Segue aê ➡️ @workshopdantas
#educacaofinanceira #empreendedor #dinheiro #finanças #reflexao #empreendedorismo #vendermais #organizacaofinanceira #rendaextra #rendaextraemcasa #marketingdigital #vendedor #direita #conservador #SoundOfFreedom https://t.co/yJerz5PDMz</t>
  </si>
  <si>
    <t>Gostou do conteúdo?
Segue aê ➡️ @workshopdantas
#educacaofinanceira #empreendedor #dinheiro #finanças #reflexao #empreendedorismo #vendermais #organizacaofinanceira #rendaextra #rendaextraemcasa #marketingdigital #vendedor #direita #conservador #rodolfoabrantes https://t.co/phozslIZpe</t>
  </si>
  <si>
    <t>Hoje tem Sport!
Gostou do conteúdo?
Segue aê ➡️ @workshopdantas
#educacaofinanceira #empreendedor #dinheiro #finanças #reflexao #empreendedorismo #vendermais #organizacaofinanceira #rendaextra #rendaextraemcasa #marketingdigital #vendedor #crb #sport #serieb2023 https://t.co/3P9O2p6kce</t>
  </si>
  <si>
    <t>EMPREENDEDORISMO
Evento acontece a partir das 18h30 na sede da associação; ingressos estão à venda por R$ 35. 
#uberlandia #aciub #rodadadenegocios #empreendedorismo
https://t.co/Iqa343gDQm</t>
  </si>
  <si>
    <t>MERCADO
Inscrições para o projeto terminam nesta quarta-feira (27). #diariodeuberlandia #uberlandia #sebrae #programa #empreendedorismo
https://t.co/6ve6xKz7ZN</t>
  </si>
  <si>
    <t>Pequenas metas alcancaveis!
#desenvolvimentopessoal 
#empreendedorismo 
#motivacao https://t.co/eDPL5NocwY</t>
  </si>
  <si>
    <t>A nossa maior alegria é receber dos nossos clientes feedback que nos mostram que estamos no caminho certo! 🏆🏅🥇
Gratidão sempre 🙏🤍
#Feedback #empreendedorismo #Aquicultura https://t.co/2GtiX1JyHl</t>
  </si>
  <si>
    <t>O Conecta Mente de segunda-feira, 10/07, Fernando Cardoso recebe Evandro Carmo, técnico do Sebrae Minas, e Luiza Marangon, empreendedora participante.
Conecta Mente – 10 de julho – 8h40 – 102,9 FM.
#cdlbh #conectamente #cdlfm #sebrae #belohorizonte #empreendedorismo #efestival https://t.co/sYtZWF4v1k</t>
  </si>
  <si>
    <t>O Conecta Mente desta segunda-feira, 24/07, recebe Igor Morais, jovem empresário que, em 2022, faturou 220 milhões de reais
Conecta Mente – 24 de julho – 8h40 – Rádio CDL FM – 102,9 FM.
#cdlbh #conectamente #cdlfm #bh #belohorizonte #igormorais #kingssneakers #empreendedorismo https://t.co/pJt9j7Tf42</t>
  </si>
  <si>
    <t>Venha conhecer o Projeto Ilha Admirável, hoje (04/09) na Câmara Municipal, a partir das 19h.
Oportunidades para todos!
#Empreendedorismo #SebraeSP #IlhaSolteira #ProgramaIlhaAdmiravel #ACEIS #InstitutoFederalSãoPaulo #CentroPaulaSouza #VotiValley #EmpreendaeInoveUnespFeis https://t.co/UYzQZWi5wm</t>
  </si>
  <si>
    <t>Palestra PPGCM "Mercado de Capitais para Startup", 5ªf, 21/09/2023, às 10h, na sala de seminários. Participe!
#Unesp #Feis #UnespFeis #PPGCM #PosGraduacao #Empreendedorismo #Startup #Inovacao #CompartilheUnesp https://t.co/Yra7lrl64X</t>
  </si>
  <si>
    <t>Chegou à nova edição da nossa Revista Digital. Entre em contato conosco e peça o seu exemplar.
#gestao #gestaoempresarial #empreendedorismo #contabilidade #consultoriacontabil #assessoriacontabil
https://t.co/mvSaq8mHsz https://t.co/sIrVJ3YAhp</t>
  </si>
  <si>
    <t>‼️ Loja online 
.
‼️Peças Artesanais
.
‼️ Entregas via Uber 🚙
.
‼️ Aceitamos cartões 💰💳
.
#Manaus #soumanaus #soumanauspassoapaço2023 #Amazonas #empreendedorismo #bijuterias https://t.co/6aiJuy097b</t>
  </si>
  <si>
    <t>.
Adorno personalizado para bolsa, a partir de R$ 25.00 /Strap pra celular R$ 10.00/Pulseira R$ 8.00
.
Encomendas com pagamento antecipado 💸
.
Entrega via uber 🏍
.
#Manaus #Amazonas #empreendedorismo #artesanato #bijuterias https://t.co/4MAgp7iB7j</t>
  </si>
  <si>
    <t>Earth in Bag
Empreendedorismo Social
Visite-nos nas Redes Sociais em:  https://t.co/1N6Ipb7CVv
#empreendedorismo #redessociais https://t.co/0CAdWAoSwE</t>
  </si>
  <si>
    <t>🌟 A Importância de Eventos, Feiras e Networking para o Branding 🌟 https://t.co/vYYMvh3Lmk
#Networking #Eventos #Feiras #Branding #Conexões #Empreendedorismo #Sucesso #VirtualeEstudio</t>
  </si>
  <si>
    <t>Para mim, um empreendedor bem-sucedido não se concentra apenas em ganhar dinheiro, mas também em como impacta positivamente a vida das pessoas.
_
#empreender #empreendedor https://t.co/k0yuTGIhkM</t>
  </si>
  <si>
    <t>A jornada é uma maratona, não uma corrida de velocidade.
Uma das partes fundamentais de empreender é compartilhar, porque é assim que adquirimos insights valiosos que nos auxiliarão ao longo do processo.
_
#empreendedorismo #empreender #empreendedor https://t.co/FUoLw219J0</t>
  </si>
  <si>
    <t>Transmita mais confiança e credibilidade ao seu público
Oferecemos serviços de:
✅ Construção de sites
✅ E-mail corporativo
✅ Gestão de redes sociais
✅ Links patrocinados
📍 Cazenga - grafanil
☎️ 932 828 078 
📧 geral@gomitodigital.site
#empreendedorismo #negociosimobilia https://t.co/Gy6LjQbJh5</t>
  </si>
  <si>
    <t>@DramaticaMi #empreendedor</t>
  </si>
  <si>
    <t>Você conhece o metodo SCARF?
#empreendedorismo #negocios #negócios #negociosinteligentes #empresario #empresa #empresas #empresário #empresafamiliar #pequenasempresas #gestaoempresarial #empresariodesucesso #empresascomproposito
#perpetuador
#perpetuandonegocios
#souperpetuador https://t.co/3K2IRH5A0e</t>
  </si>
  <si>
    <t>Esteja na nossa terceira live do YouTube
nesta quarta-feira!
#empreendedorismo #negocios #negócios #negociosinteligentes #empresario #empresa #empresas #empresário #empresafamiliar #pequenasempresas #gestaoempresarial #empresariodesucesso #empresascomproposito https://t.co/7uGMNAk9Qp</t>
  </si>
  <si>
    <t>Você não está conectado com o seu próprio negócio!
#empreendedorismo #negocios #negócios #negociosinteligentes #empresario #empresa #empresas #empresário #empresafamiliar #pequenasempresas #gestaoempresarial #perpetuadoresx #empresariodesucesso #empresascomproposito https://t.co/Wt0hbawG53</t>
  </si>
  <si>
    <t>Te vejo Quarta-Feira no YouTube.
#empreendedorismo #negocios #negócios #negociosinteligentes #empresario #empresa #empresas #empresário #empresafamiliar #pequenasempresas #gestaoempresarial #perpetuadoresx #empresariodesucesso #empresascomproposito
#empresashumanizadas https://t.co/A4tf50jJqF</t>
  </si>
  <si>
    <t>Como você definiria o cérebro? Deixa aqui nos comentários👇
#empreendedorismo #negocios #negócios #negociosinteligentes #empresario #empresa #empresas #empresário #empresafamiliar #pequenasempresas #gestaoempresarial #perpetuadoresx #empresariodesucesso #empresascomproposito https://t.co/vrCYAVccLj</t>
  </si>
  <si>
    <t>Ele não sabia empreender e hoje fatura quase R$ 1 milhão. Essa é a história de Arthur Lima, CEO da Afrosa de e membro da Inventivos desde 2020.
#empreendedorismo #business
https://t.co/F6WAT8W2mq</t>
  </si>
  <si>
    <t>Em Bogotá, na Colômbia, @rubensmagno Diretor Superintendente do Sebrae no Pará, libera missão internacional para conhecer iniciativas de Economia Criativa e Turismo. A cidade é referência em projetos que incentivam a criatividade e o empreendedorismo.  #ASN #empreendedorismo https://t.co/UBtDVx6rq1</t>
  </si>
  <si>
    <t>💡Você já ouviu falar do Quadro de Modelo de Negócios?🚀
💻O Business Model Canvas, é uma ferramenta utilizada para descrever e analisar de forma objetiva os principais elementos de um modelo de negócios. 
Conheça na prática: https://t.co/9C5JgajJZZ
#empreendedorismo #negócios https://t.co/JlpK60wSDd</t>
  </si>
  <si>
    <t>🤩Conta pra gente nos comentários quais foram as 3 primeiras palavras que você encontrou no nosso caça-palavras do empreendedor! 
VALENDO! 🔍🚀💡
#sebrae #empreendedorismo #negócios #ativação https://t.co/xwOAHnw5Ub</t>
  </si>
  <si>
    <t>Ei empreendedor...Logo mais, começa mais uma semana para transformarmos em oportunidades. 💡🚀💙
Bora com a gente?
#sebraeionspira #negócios #empreendedorismo #sebraepara https://t.co/NiflApYUqZ</t>
  </si>
  <si>
    <t>Domingas Ribeiro, destacou a importância do Programa de Educação Empreendedora em parceria com as prefeituras do Pará.
#empreendedorismo https://t.co/wUrKRcIh4d</t>
  </si>
  <si>
    <t>🧗🏜Confira 5 tipos de negócios para esse período:🏝🏖
1⃣Guia de turismo
2⃣Cuidador de animais domésticos:
3⃣Professor(a) particul
4⃣Manicure
5⃣ Serviço de Barman/Barmaid
#Empreendedorismo #Negócios #SebraePará #TrabalhodeFérias #empreender #Pequenosnegócios https://t.co/vAgzVhDSda</t>
  </si>
  <si>
    <t>#PrêmioPrefeituraEmpreendedora
Sebrae no Pará lança oficialmente a 12ª edição do Prêmio Sebrae Prefeitura Empreendedora para todas as prefeituras do Pará.
#empreendedorismo #Negocios #prefeito https://t.co/XsPDUtJYDM</t>
  </si>
  <si>
    <t>ME CHAMARAM DE LIX0 FRACASSAD0! https://t.co/1JsAaiH2Gl via @YouTube #mentalidade #mindset #empreendedorismo #Brasil</t>
  </si>
  <si>
    <t>Conduzindo meus dias com graça e estratégia, trilhando o caminho do sucesso com autenticidade e versatilidade. 🌟✨ 
—Giovanna Gama
#Empreendedorismo #Elegância #Versatilidade #sucesso https://t.co/n0RpsDxES4</t>
  </si>
  <si>
    <t>• https://t.co/gt6a6oUg5l #empreendedorismo #expansaodenegocios #franquias #redesdevarejo #mercadodetrabalho #g2mix #g2mixfranquias #pesquisademercado  #sucessoprofissional https://t.co/mwuCuESWbV</t>
  </si>
  <si>
    <t>Site da Receita Federal fica fora do ar e dificulta atividade de microempreendedores (Canal Tech): https://t.co/e7UhzZJQLW
#tecnologia #empreendedorismo #receitafederal https://t.co/xbQb3vhMTl</t>
  </si>
  <si>
    <t>#promote 
#promotion 
#promotions 
#marketingdigital 
#marketingchain 
#helpothers 
#forall 
#simply 
#empreendedorismo 
#todosjuntos 
#personas 
#elivretek 
elivretek@gmail.com
https://t.co/QLTUkJtCFo https://t.co/tfgX2xxLIQ</t>
  </si>
  <si>
    <t>🇧🇷 No Brasil, + de 11 milhões de estabelecimentos usam maquininhas. Imagine o impacto dessa novidade! #Empreendedorismo</t>
  </si>
  <si>
    <t>#myperfectapp #food #comida #restaurante #aplicativopersonalizado #aplicativo #empresário #empreendedor #culinária #confeitaria #delivery</t>
  </si>
  <si>
    <t>#myperfectapp #aplicativo #aplicativopersonalizado #restaurante #empresário #empreendedor #empreendedorismo #comida</t>
  </si>
  <si>
    <t>Parabéns Alphaville este bairro maravilhoso da cidade de Barueri que também acolheu a empresa As Campoli Consultoria  #barueri #empreendedor #empresario #contador #transporte #logistica #lacerdaconnect https://t.co/DPEJnTArsa</t>
  </si>
  <si>
    <t>💰 Quanto você pode ganhar? Se vender 10 placas por dia a R$30 cada, trabalhando 2 horas de segunda a sexta, você pode ganhar R$6.000 por mês! Imagine o potencial! #Empreendedor #SucessoNosNegócios</t>
  </si>
  <si>
    <t>🖥️ Você só precisa de dois sites gratuitos: Canva e Gera Pix. Investimento inicial? Apenas nas placas, que você pode encontrar a preços acessíveis. #Empreendedorismo #Negocios</t>
  </si>
  <si>
    <t>Em todos os dias, é preciso renovar as esperanças. Setembro chegou... já conseguiu alcançar muitas metas que traçou para este ano?
😉Vamos correr atrás? Se quer mudança, seja o primeiro a dar o passo.
.
#esperança #empreendedorismo #estrategiademarketing
#sucesso #mktcomsucesso https://t.co/x0cXmtrSQL</t>
  </si>
  <si>
    <t>Identifica a tendência empreendedora geral dos estudantes de pós-graduação em Enfermagem e compreender o #empreendedorismo e a educação empreendedora no contexto da pós-graduação em #Enfermagem.
https://t.co/R3SpoQZh3N</t>
  </si>
  <si>
    <t>Entenda como todo negócio pode ser forte e lucrativo! #empreendedorismo #negócios #sucesso #empeender #dinheiro #marketing #dicasdenegócios #vendas https://t.co/k38yq6Jc8I</t>
  </si>
  <si>
    <t>As pessoas gostam de comprar, mas não gostam de ser convencidas! #negócios #empreendedorismo #sucesso  #vendas #empreender #marketing #dinheiro https://t.co/9FAG3LLuzj</t>
  </si>
  <si>
    <t>Não pague na mesma moeda, seja diferente!🙇🏽‍♂️🙌🏽🙏🏽 #motivacao #empreendedorismo #motivacional #jesuscristo https://t.co/7GgfyhKgCI</t>
  </si>
  <si>
    <t>“A diferença entre o ordinário e o extraordinário é exatamente essa: o extra.”
Jimmy Johnson, técnico de futebol americano
#JimmyJohnson #quotes #empreendedorismo #esforço #escolhas #conhecimento #frasedodia #pensamentos #pararefletir #NFL https://t.co/B5XKgnfWD1</t>
  </si>
  <si>
    <t>#empreendedorismo https://t.co/bVcT7NRE1H</t>
  </si>
  <si>
    <t>Escolha sua marca pessoal de maneira consciente! O que há por trás da #marcapessoal, do #personalbranding, do #empreendedorismo e da autenticidade? Estamos falando de diferenciação e confiança. 🤝</t>
  </si>
  <si>
    <t>Quem ai também não resiste a um algodão doce? 🙋‍♀️🙋‍♂️♥️
#algodaodocenopote #algodaodocenopotepersonalizado #futebol #festainfantil #festademenino #empreendedorismo https://t.co/VybxKF7yys</t>
  </si>
  <si>
    <t>Algodão doce no tema #abelaeafera ⚘️
*Laço foi parte decorativa da mamãe, que deu todo um charme. 😍
#abelaeafera #festademenina #algodaodocepersonalizado #algodaodocenocopo #empreendedorismo https://t.co/gRHbxJ3Q65</t>
  </si>
  <si>
    <t>Encuestas pagadas 💰Ecuador💰
Hoy vengo a compartirles las paginas de encuestas pagadas mas confiables para #Ecuador. #JeffersonPerez #AlexAguinaga #encuestas #surveys #ysenselaguna #plata #cushqui #empreendedor #ecuatorianos #Quito #Guayaquil #Portoviejo https://t.co/VJencsf7Iy https://t.co/dBOSNUsjCi</t>
  </si>
  <si>
    <t>Encuestas pagadas 💰Brasil💰 Com as pesquisas você pode ganhar um #dinheiro extra para sua casa e também ganhar tempo e presentes para sua família. #brasil #pesquisa #empreendedorismo #SãoPaulo #RíodeJaneiro #brasilia #Belohorizonte #PortoAlegre #real https://t.co/HAh7PX1thc https://t.co/gTMh8QNkRF</t>
  </si>
  <si>
    <t>Entenda como funciona a incubadora de negócios da faculdade e como ela prepara os profissionais para o mercado https://t.co/qTuMbqEPXB 
#negocios #empreendedorismo #faculdade</t>
  </si>
  <si>
    <t>jhol vai me dar 50 reais pra mim arrumar o quarto dele #empreendedorismo</t>
  </si>
  <si>
    <t>Uma líder que se destaca no mundo dos eSports, a CEO do Made in Brazil, Roberta Coelho, é expert em inovação para o mercado de entretenimento. 
https://t.co/2WH8Kcd4YS #fastcompany #eSports #batepapo #fastcompanybrasil #empreendedorismo</t>
  </si>
  <si>
    <t>Paloma conta de uma vez por todas o segredo das vendas no mercado digital 💵
✔️Suporte com equipe preparada para tirar toda e qualquer dúvida, você não ficará sozinho(a) durante sua jornada.
✔️Aulas Semanais ao vivo
Saiba mais 👇🏻https://t.co/7wkXKpwX0h
#kiwify #empreendedorismo https://t.co/Xah0UBt3N6</t>
  </si>
  <si>
    <t>@ThallesIwataa Será que posso traficar ela pra fazer renda extra ? #empreendedorismo</t>
  </si>
  <si>
    <t>#sucesso #empreendedorismo #empreender #foryou #motivacao #fy #inspiracao #1milhao #brazil https://t.co/ff1F7b2KuC</t>
  </si>
  <si>
    <t>#sucesso #empreendedorismo #empreender #foryou #motivacao #fy #inspiracao #1milhao #brazil https://t.co/QM8fySwrje</t>
  </si>
  <si>
    <t>O empreendedorismo na indústria do bem-estar vai além dos negócios, é uma forma de impactar positivamente a sociedade. 💚🌎 Descubra como você pode fazer a diferença! #Empreendedorismo #BemEstar #ImpactoSocial #liberdade #qualidadedevida https://t.co/AcV9t01KP1</t>
  </si>
  <si>
    <t>#empreendedorismo 🦅🇺🇲
"'Não precisa ser rica pra fazer filantropia', diz brasileira que já doou US$ 6 milhões a ONGs
Katia Francesconi cria fundação para captar recursos entre milionários americanos para projetos sociais no Brasil"
https://t.co/GiGVa2g2PQ</t>
  </si>
  <si>
    <t>Gosto muito de vendas pelo WhatsApp. Colocar anúncio para o mesmo cair no whats e vender é bem legal. #empreender #empreendedor me segue aqui para mais dicas 😉</t>
  </si>
  <si>
    <t>Quem mora no medo nunca vai conhecer o extraordinario!
#empreendedorismo #drinks #amazonia</t>
  </si>
  <si>
    <t>#empreendedorismo
https://t.co/nhysMdqPuQ - 💳 Pessoal vocês tem até 10% de desconto ao adquirir a maquininha do Ton - Garanta já a sua ! Serão poucas unidades disponíveis por esse valor... E Nós contamos com as "MENORES TAXAS DO MERCADO" 💸💳💰</t>
  </si>
  <si>
    <t>A Economia Digital vai Acelerar o seu Fracasso Pessoal, Profissional e Empresarial se você ignorar as transformações do mercado
Veja o post completo no Insta https://t.co/jk5JKEJPUN
#negocios #economiadigital #marketingdigital #empreendedorismo #socialselling #redessociais https://t.co/lfZ0BMwPxg</t>
  </si>
  <si>
    <t>Me conte nos comentários, quais são os C's, você já conhece ou domina na sua empresa!
https://t.co/Jq04O6CmpJ
#negocios #consultoria #economiadigital #transformaçãodigital #marketingdigital #empreendedorismo #redessociais #machadodb https://t.co/OUiHYS9JUr</t>
  </si>
  <si>
    <t>Me conte nos comentários a sua visão é tradicional, digital ou híbrida (tem um pouco de ambos) ?
#negocios #consultoria #economiadigital #transformaçãodigital #marketingdigital #empreendedorismo #redessociais #machadodb https://t.co/JHK9zWrFyl</t>
  </si>
  <si>
    <t>Quando eu comecei a fazer isso, saí de um completo caos em diversos aspectos na vida pessoal e profissional.
Continuação de bom domingo e bom início de Semana laboral.
https://t.co/DD1leOh0PQ
#negocios #consultoria #marketingdigital #empreendedorismo #machadodb https://t.co/x8rKfbnm2h</t>
  </si>
  <si>
    <t>O maior erro a comparação.
Para de se comparar e comece a inspirar-se nas pessoas.
Faça a sua parte que chegará a sua vez se comprometer-se ao processo.
Continuação de bom domingo e Bom início de Semana laboral.
#negocios #consultoria #marketingdigital #empreendedorismo https://t.co/Maz4HWQYMZ</t>
  </si>
  <si>
    <t>O que você tem feito hoje para manter a consistência e destacars-se no mercado?
Se deseja saber como explorar o verdadeiro potencial da internet e ir além do simples marketing digital, envie-me uma mensagem,
#negocios #consultoria #marketingdigital #empreendedorismo https://t.co/7qgxBVldSD</t>
  </si>
  <si>
    <t>Você já faz parte da nova rede social, o Threads da META?
A rede é uma rival direta do Twitter e há grandes semelhanças no seu funcionamento.
O que você acha desta jogada do Mark Zuck? Deixe o seu comentário!
#negocios #economiadigital #marketingdigital #empreendedorismo https://t.co/A6htyjnKjI</t>
  </si>
  <si>
    <t>Infelizmente aqui no twitter não consigo desenvolver sobre este assunto. 
Visite um canal alternativo como instagram ou Linkedin para ver a descrição completa do post pelo https://t.co/kvtx4g4bJD
#negocios #consultoria #marketingdigital #empreendedorismo #machadodb https://t.co/r94C0eGJyl</t>
  </si>
  <si>
    <t>Não importa se você é um simples usuário ou um empresário, o mundo online é cheio de oportunidades que somente são identificadas quando você decido diminuir o seu nível de ignorância digital.
#negocios #consultorial #marketingdigital #empreendedorismo #redessociais #machadodb https://t.co/EmsCaB1iIW</t>
  </si>
  <si>
    <t>Você já passou por uma situação dessas?
Me conte nos comentários!
#negocios #consultoria #economiadigital #transformaçãodigital #marketingdigital #empreendedorismo #redessociais #machadodb https://t.co/Y5SgSuxaoA</t>
  </si>
  <si>
    <t>Se você está procurando orientação especializada para impulsionar seu projeto pessoal ou negócio, estou aqui para apoiar.
Envie-me uma mensagem para conhecer e saber qual dos diferentes formatos de consultoria e soluções digitais posso recomendar.
#negocios #empreendedorismo https://t.co/TAs7Dy8rfS</t>
  </si>
  <si>
    <t>O que seria de mim e você se não fosse o Google? Não é...
Conheça 5 curiosidades sobre a empresa no meu instagram pelo https://t.co/jk5JKEJPUN
Feliz 25º aniversário, Google!
#negocios #consultoria #marketingdigital #empreendedorismo #redessociais #machadodb https://t.co/OaOB1RCnq2</t>
  </si>
  <si>
    <t>Infelizmente aqui no twitter não conseguimos desenvolver sobre este assunto. Visite um canal alternativo como instagram ou Linkedin para ver a descrição completa do post pelo https://t.co/08mabmpvpY
#negocios #consultoria #marketingdigital #empreendedorismo #machadodb https://t.co/i5lMiDHsqD</t>
  </si>
  <si>
    <t>Em breve o Episódio 01 vai ao ar.
Fique ligado!!!
#empreendedorismo #podcast #inovação #ideiascriativas #resiliencia https://t.co/8Ezr3gprfK</t>
  </si>
  <si>
    <t>#sucesso #riqueza #empreendedorismo #crescimento #frases #frasesinspiradoras #frasesmotivadoras #frasesmotivacionais #crescimento https://t.co/aFwywIBU6K</t>
  </si>
  <si>
    <t>#dicas #empreendedorismo #assuntosadministrativos
.
📈🚀📝Se inscreva em nosso canal!!!👇🏻
.
.
https://t.co/InmclSmsXj</t>
  </si>
  <si>
    <t>#empreendedorismo #sucesso #negócios #Rihanna
.
.
.
https://t.co/zq9NVKDTcl</t>
  </si>
  <si>
    <t>#doces #empreendedorismo #lucro 
.
Se inscreva no canal para mais conteúdos📈📝🚀 💡
.
.
https://t.co/7WEwbIetR0</t>
  </si>
  <si>
    <t>📚 Leia o artigo completo e eleve sua marca a novos patamares! 👉 https://t.co/drRQRd6EB6
#Marketing #Negócios #Empreendedorismo #Crescimento #MarketingDigital #Sucesso #Inovação #Dicas #SocialMedia #SEO</t>
  </si>
  <si>
    <t>Você vende sua hora? 🤔
#blackrat #fy #empreendedorismo https://t.co/EqzgSUZ3Nv</t>
  </si>
  <si>
    <t>#TBT do evento da semana passada: Startups Fever
#startups #evento #empreendedorismo #startup #growth #valuation #equity #venturecapital https://t.co/mLGXdbwWI7</t>
  </si>
  <si>
    <t>#ConfiaNoProcesso #Empreendedor https://t.co/H3tioyvp8I</t>
  </si>
  <si>
    <t>@leonardo1opes Vou começar a vender colheres de plástico na porta da McDonald’s !! #empreendedorismo</t>
  </si>
  <si>
    <t>📚🚀Compliance Regulatório para Startups: Garanta a Conformidade e o Crescimento Sustentável! 💼🔒#LudgeroAdvogados  #Startups #ComplianceRegulatório  #Conformidade #ProteçãoDeDados #PrevençãoDeConflitos  #CrescimentoSustentável #Empreendedorismo #JornadaEmpreendedora https://t.co/TDS95VNZVS</t>
  </si>
  <si>
    <t>🚀 Estruturação Legal: A Base Sólida para o Sucesso da sua Startup! 🏢💼#LudgeroAdvogados #AssessoriaJuridica #Startups #EstruturaçãoLegal  #ProteçãoIntelectual #Contratos #ComplianceRegulatório #Investimentos  #Financiamentos #SucessoEmpresarial #Empreendedorismo https://t.co/JAHGln4Wd8</t>
  </si>
  <si>
    <t>🚀 Inovação e Empreendedorismo para Startups: Impulsione seu Potencial de Sucesso 🚀#LudgeroAdvogados #AssessoriaJuridica #Startups #Inovação  #Empreendedorismo #SucessoEmpresarial #DireitoEmpresarial  #ProteçãoIntelectual #ComplianceRegulatório #EstratégiasLegais https://t.co/PsRRm5UiCR</t>
  </si>
  <si>
    <t>📢 Descubra o Poder de Ser um Franqueado AlphaGraphics! 🌟
Torne-se um Franqueado AlphaGraphics hoje mesmo, acesse: https://t.co/h45W8ItbD4
#AlphaGraphics #FranqueadoDeSucesso #Empreendedorismo #FaçaParteDessaHistória #FaçaParte #GráficaDigital #GráficaRápida #Depoimento https://t.co/icbuaH57P1</t>
  </si>
  <si>
    <t>📢 Descubra o Poder de Ser um Franqueado AlphaGraphics! 🌟
Torne-se um Franqueado AlphaGraphics hoje mesmo, acesse: https://t.co/h45W8ItbD4
#AlphaGraphics #FranqueadoDeSucesso #Empreendedorismo #FaçaParteDessaHistória #FaçaParte #GráficaDigital #GráficaRápida #Depoimento https://t.co/6uyoRvkqtX</t>
  </si>
  <si>
    <t>📢 Descubra o Poder de Ser um Franqueado AlphaGraphics! 🌟
Torne-se um Franqueado AlphaGraphics hoje mesmo, acesse: https://t.co/h45W8ItbD4
#AlphaGraphics #FranqueadoDeSucesso #Empreendedorismo #FaçaParteDessaHistória #FaçaParte #GráficaDigital #GráficaRápida #Depoimento https://t.co/YKG3wMsCBf</t>
  </si>
  <si>
    <t>🇧🇷🎉 Celebre a Independência do Brasil com a AlphaGraphics! 🎉🇧🇷
Feliz Dia da Independência do Brasil! 🇧🇷🥳
#AlphaGraphics #DiaDaIndependencia #Brasil #Liberdade #Criatividade #Empreendedorismo #ConquistaDeSonhos #TransformandoIdeias #OrgulhoNacional #VivaOBrazil https://t.co/7uXX7gjLkP</t>
  </si>
  <si>
    <t>📢 Descubra o Poder de Ser um Franqueado AlphaGraphics! 🌟
Torne-se um Franqueado AlphaGraphics hoje mesmo, acesse: https://t.co/h45W8ItbD4
#AlphaGraphics #FranqueadoDeSucesso #Empreendedorismo #FaçaParteDessaHistória #FaçaParte #GráficaDigital #GráficaRápida #Depoimento https://t.co/6x1IO4AKkz</t>
  </si>
  <si>
    <t>📢 Descubra o Poder de Ser um Franqueado AlphaGraphics! 🌟
Torne-se um Franqueado AlphaGraphics hoje mesmo, acesse: https://t.co/h45W8ItbD4
#AlphaGraphics #FranqueadoDeSucesso #Empreendedorismo #FaçaParteDessaHistória #FaçaParte #GráficaDigital #GráficaRápida #Depoimento https://t.co/Rnc0XAVvS6</t>
  </si>
  <si>
    <t>"📲Testemunho do poder da tecnologia e inovação. Franchisee da Bee Delivery🐝, impactei minha cidade🏙️. Agora, construtor🏗️ e apaixonado por tech💻, a jornada só está começando🚀. Vocês ouvirão falar de mim. #Empreendedor"</t>
  </si>
  <si>
    <t>O que você entende sobre mentalidade? 
#mentalidade #empreendedorismo #MarketingDigital</t>
  </si>
  <si>
    <t>As candidaturas à 10ª edição do Prémio Empreendedorismo e Inovação Crédito Agrícola foram prolongadas atá ao dia 14 de Julho.
+info: https://t.co/MqPVRlqnDc
#CréditoAgrícola #inovação #empreendedorismo https://t.co/wO64cCU59m</t>
  </si>
  <si>
    <t>https://t.co/uRYtgd86OG
#itatiaiajf #itatiaia #itasat #juizdefora #sebrae #minasgerais #empreendedorismo</t>
  </si>
  <si>
    <t>https://t.co/Lg9WxLR554
#itatiaiajf #itasat #sebrae #empreendedorismo #mulheres #50anos #workshop #juizdefora https://t.co/xYiid1EUMB</t>
  </si>
  <si>
    <t>https://t.co/TqVcXrYKze
#itatiaiajf #itasat #juizdefora #empreendedorismo #jfsummit #acreditaevai</t>
  </si>
  <si>
    <t>ENTREVISTA NESSA QUINTA DIA 31/08 #empreendedorismo #educação #podcast #... https://t.co/lDY4Dmq1AE via @YouTube</t>
  </si>
  <si>
    <t>INSCREVA-SE: https://t.co/FK3UC5FBDl
#Empreendedorismo #Investimento #sebraelabnatal #Business #Networking #CDL #CDLJovem</t>
  </si>
  <si>
    <t>✨ Powered by Sebrae
#GORN2023 #StartupsdoRN #SebraeLabNatal
#Inovação #Empreendedorismo #Networking #Oportunidades #SebraeRN</t>
  </si>
  <si>
    <t>🤔 Será que o segredo para o sucesso da sua empresa está em um blog corporativo? 
Descubra o potencial dessa estratégia e alcance novos horizontes! 🚀 #MarketingDigital #Empreendedorismo 
Leia mais:
https://t.co/QraPasGG31</t>
  </si>
  <si>
    <t>Transforme sua paixão por comida saudável em um negócio de sucesso! Inscreva-se no Curso 'Monte seu Negócio de Marmitas Fit' e conquiste o mercado. Vem com a gente! 🍱💼 #MarmitasFit #Empreendedorismo
https://t.co/JysUUCFBiR https://t.co/4gyqmlos0T</t>
  </si>
  <si>
    <t>O presidente da Expo Tapejara, Jeferson Favretto, participou de reunião jantar da Acisat, no dia 10/08, quando as entidades anunciaram aquisição de nova sede.  
O investimento é de R$ 1,25 milhão sendo, 75% da Acisat e 25% da Expo Tapejara. 
#empreendedorismo https://t.co/RBI3fVzwyk</t>
  </si>
  <si>
    <t>🌱 Impulsione sua empresa no cenário de inovação da Expo Tapejara 2024. Seja um patrocinador e faça conexões estratégicas para alavancar seus negócios. #Empreendedorismo #ExpoTapejara https://t.co/HuMc6K1yU3</t>
  </si>
  <si>
    <t>"🚀 Trabalhando duro na minha startup de tecnologia hoje! 💼💻 Amo ver essa jornada de crescimento e aprendizado. 💪 #Empreendedorismo #StartupLife #AprendendoAempreender"</t>
  </si>
  <si>
    <t>➡️ Acesse o Link dɑ Bio. 👇
🌎 https://t.co/8SytnqBexY
✅ MARKETING DIGITAL BUSINESS 🎯🚀    
#losangeles #brasil #london #france #spain #italy #florida #germany #estratégia #marketingonline #criativo #metas #empreendedor #onegócio #sucesso #Pequenosnegócios #dinheiro #vendas https://t.co/UOukQc720x</t>
  </si>
  <si>
    <t>Nós somos o resultado dos nossos desafios🚀
Com desafios grandes, nos tornamos grandes. Com desafios pequenos nos tornamos pequenos.
O que você está enfrentando?
#business #Negocios #empresas #empreendedorismo</t>
  </si>
  <si>
    <t>RT @silwadigital: Nós somos o resultado dos nossos desafios🚀
Com desafios grandes, nos tornamos grandes. Com desafios pequenos nos tornamo…</t>
  </si>
  <si>
    <t>#AnaCatarina Everton Stach compartilha trajetória de empreendedorismo na música 👈
Veja a entrevista completa no site: https://t.co/ptNqeyLaj3
📸: Gabriel Becker
#Entrevista #Empreendedorismo #Música #Carreira #GrupoMarcação https://t.co/2M8slHMUgv</t>
  </si>
  <si>
    <t>"Empreender é como voar rumo ao desconhecido, onde as asas da coragem e da resiliência nos impulsionam além dos limites, transformando sonhos em realizações." #Empreendedorismo #Sonhos #Resiliência #Coragem https://t.co/E8ITQZYjdY</t>
  </si>
  <si>
    <t>https://t.co/3Z7z9oV6bp
PROMOÇÃO MAGALU 
#empreendedorismo 
#ondecocomprar
#magazineluiza
#AniversarioMagalu https://t.co/hyewpTO3XM</t>
  </si>
  <si>
    <t>https://t.co/3Z7z9oV6bp
PROMOÇÃO MAGALU 
#empreendedorismo 
#ondecocomprar
#magazineluiza
#AniversarioMagalu https://t.co/zlYWdi5efB</t>
  </si>
  <si>
    <t>https://t.co/3Z7z9oV6bp
PROMOÇÃO MAGALU 
#empreendedorismo 
#ondecocomprar
#magazineluiza
#AniversarioMagalu https://t.co/NYTCVX7E17</t>
  </si>
  <si>
    <t>https://t.co/3Z7z9oV6bp
PROMOÇÃO MAGALU 
#empreendedorismo 
#ondecocomprar
#magazineluiza
#AniversarioMagalu https://t.co/4mPT2jOHzV</t>
  </si>
  <si>
    <t>https://t.co/3Z7z9oV6bp
PROMOÇÃO MAGALU 
#empreendedorismo 
#ondecocomprar
#magazineluiza
#AniversarioMagalu https://t.co/l0R5Ky1Xoc</t>
  </si>
  <si>
    <t>https://t.co/3Z7z9oV6bp
PROMOÇÃO MAGALU 
#empreendedorismo 
#ondecocomprar
#magazineluiza
#AniversarioMagalu https://t.co/3WxJIssw2n</t>
  </si>
  <si>
    <t>https://t.co/3Z7z9oV6bp
PROMOÇÃO MAGALU 
#empreendedorismo 
#ondecocomprar
#magazineluiza
#AniversarioMagalu https://t.co/LWbbYs1vsn</t>
  </si>
  <si>
    <t>https://t.co/3Z7z9oV6bp
PROMOÇÃO MAGALU
#MAGALU
#ONDECOMPRA
#empreendedorismo https://t.co/CDXXZ2t6Yh</t>
  </si>
  <si>
    <t>O @Novaempreende e a @Soc_Ponto_Verde lançaram um programa de #empreendedorismo e #inovação: o CIRCULAR inNOVA(tion) promove o desenvolvimento de novos produtos, modelos de negócio e soluções inovadoras na cadeia de gestão de #resíduos.
https://t.co/aBLnsLAwJX
#smartcities https://t.co/7FOs9z5UCv</t>
  </si>
  <si>
    <t>A cidade de Lisboa e a agência @Lisboaenova foram escolhidas para coordenar o projeto europeu @EUHUBIN, que junta oito cidades europeias.  
#smartcities #cidadesinteligentes #lisboaenova #hubin #lisboa #inovação #empreendedorismo #sustentabilidade 
https://t.co/LepTUKGIEt https://t.co/8h33zIItGg</t>
  </si>
  <si>
    <t>De olho no que está por vir por aqui (e nas redes vizinhas) 👀#soluçãomtv #empreendedorismo #edutainment #RealityShow https://t.co/BB5TPduBlU</t>
  </si>
  <si>
    <t>Imagine você, #empreendedor, buscando financiamento e fechando um contrato de mútuo conversível com um #investidor, quais cuidados você deve ter?</t>
  </si>
  <si>
    <t>5 dicas que aprendi com o livro "Coaching Habit" de Michael Bungay Stanier para ajudar #lideres #liderança
#liderançatransformadora
#liderançacolaborativa
#coaching
#coachingdecarreira #carreira
#desenvolvimentopessoal
#gestão
#trabalho
#empreendedorismo</t>
  </si>
  <si>
    <t>Qual tipo de empresário você é?
O que você acha desses hábitos?
_
Se você qu3r aprender TUDO o que você precisa saber para ganhar muito dinheiro e mudar a sua vida financeira para sempre, link no perfil 
#marketingdigital #empreendertrasforma #Empreendedorismo #marketing https://t.co/MX9EIvQWDM</t>
  </si>
  <si>
    <t>Comissão aprova projeto que incentiva empreendedorismo no Brasil https://t.co/3ubkeRQHm8 
#empreendedorismo #Negocios</t>
  </si>
  <si>
    <t>💰Quer transformar sua pesquisa em uma ideia de negócio???
🚀Este minicurso é para você!
Nosso convidado é o Prof. Dr. Fábio Verruck, que possui ampla experiência em administração e é coordenador de desenvolvimento de novos negócios da UCS
#inovação
#empreendedorismo
#startup https://t.co/Rd0Fz29YGF</t>
  </si>
  <si>
    <t>Foto de respiro 
#twitter #dia #divertido #seguidor #energiapositiva #fe #sigodevolta #brazil #estilo #pensamentopositivo #natureza #esperança #love #autoestima #frasesinspiradoras #alegria #luz #deusnocomando #tbt #energia #empreendedorismo #moda #sejaluz #para #como https://t.co/RwK3dq9upT</t>
  </si>
  <si>
    <t>O empreendedorismo é fonte de desenvolvimento econômico. Conheça sua importância, estratégias e histórias de sucesso. Saiba mais: https://t.co/VUIuLA0NpB
 #desenvolvimento #economia #empreendedorismo #empresas #inovação</t>
  </si>
  <si>
    <t>Elabore um plano de negócios eficaz para o sucesso da sua empresa. Saiba mais: https://t.co/nJR55GjfCi
 #empreendedorismo #estratégia #finanças #mercado #planodenegócios</t>
  </si>
  <si>
    <t>Plano de negócios é fundamental para o sucesso empresarial. Saiba como elaborar um eficiente. Saiba mais: https://t.co/zQ4WkVEHWV
 #empreendedorismo #estratégia #finanças #gestão #mercado</t>
  </si>
  <si>
    <t>Descubra os segredos dos empreendedores de sucesso e aprenda como aplicá-los no seu negócio. Saiba mais: https://t.co/ZPEMLRQNCF
 #determinação #empreendedorismo #estratégia #inovação #sucesso</t>
  </si>
  <si>
    <t>Descubra opções de investimentos para alavancar o sucesso do seu negócio. Saiba mais: https://t.co/btnZMO4eZz
 #empreendedorismo #estratégias #finanças #investimentos #sucesso</t>
  </si>
  <si>
    <t>SOMOS 60k no YouTube! 🤩 
Agradecemos à todos que nos acompanham por aqui e pelo nosso canal no YouTube. 
#podcast #mindset #empreendedorismo #mindlab https://t.co/JbvNkY6s7B</t>
  </si>
  <si>
    <t>Logotipo é a imagem da sua empresa no mercado, apareça!
#logotipo #identidadevisual #logo #design #designer #logomarca #branding #marca #publicidade #marketing #marketingdigital #propaganda #brand #art #criatividade #papelariapersonalizada #empreendedorismo https://t.co/sR6MLY7GgP</t>
  </si>
  <si>
    <t>Logotipo é a imagem da sua empresa no mercado, apareça!
#logotipo #identidadevisual #logo #design #designer #logomarca #branding #marca #publicidade #marketing #marketingdigital #propaganda #brand #art #criatividade #papelariapersonalizada #empreendedorismo https://t.co/V4u9cyp35L</t>
  </si>
  <si>
    <t>Logotipo é a imagem da sua empresa no mercado, apareça!
#logotipo #identidadevisual #logo #design #designer #logomarca #branding #marca #publicidade #marketing #marketingdigital #propaganda #brand #art #criatividade #papelariapersonalizada #empreendedorismo https://t.co/RwHSLL229r</t>
  </si>
  <si>
    <t>Logotipo é a imagem da sua empresa no mercado, apareça!
#logotipo #identidadevisual #logo #design #designer #logomarca #branding #marca #publicidade #marketing #marketingdigital #propaganda #brand #art #criatividade #papelariapersonalizada #empreendedorismo https://t.co/XUnJsIzVO3</t>
  </si>
  <si>
    <t>Logotipo é a imagem da sua empresa no mercado, apareça!
#logotipo #identidadevisual #logo #design #designer #logomarca #branding #marca #publicidade #marketing #marketingdigital #propaganda #brand #art #criatividade #papelariapersonalizada #empreendedorismo https://t.co/ds9VFvov7Y</t>
  </si>
  <si>
    <t>Logotipo é a imagem da sua empresa no mercado, apareça!
#logotipo #identidadevisual #logo #design #designer #logomarca #branding #marca #publicidade #marketing #marketingdigital #propaganda #brand #art #criatividade #papelariapersonalizada #empreendedorismo https://t.co/jGFqJNm9Q6</t>
  </si>
  <si>
    <t>Logotipo é a imagem da sua empresa no mercado, apareça!
#logotipo #identidadevisual #logo #design #designer #logomarca #branding #marca #publicidade #marketing #marketingdigital #propaganda #brand #art #criatividade #papelariapersonalizada #empreendedorismo https://t.co/Hi7w5K8Mlw</t>
  </si>
  <si>
    <t>Logotipo é a imagem da sua empresa no mercado, apareça!
#logotipo #identidadevisual #logo #design #designer #logomarca #branding #marca #publicidade #marketing #marketingdigital #propaganda #brand #art #criatividade #papelariapersonalizada #empreendedorismo https://t.co/ikogzbNC1O</t>
  </si>
  <si>
    <t>Logotipo é a imagem da sua empresa no mercado, apareça!
#logotipo #identidadevisual #logo #design #designer #logomarca #branding #marca #publicidade #marketing #marketingdigital #propaganda #brand #art #criatividade #papelariapersonalizada #empreendedorismo https://t.co/X9rfT3eMCv</t>
  </si>
  <si>
    <t>👉 Falta menos de 1 mês para o fim das inscrições. Saiba mais sobre os critérios e faça parte: https://t.co/HI8JoGSyLy
#PrêmioInovaçõespelaVida #PJEEM #ACCamargoCancerCenter #EspecializadoemVida #oncologia #empreendedorismo #projetosinovadores</t>
  </si>
  <si>
    <t>🔗 Inscreva-se e ajude a mudar os rumos da Oncologia no Brasil: https://t.co/lbJRRKuBIz
#PrêmioInovaçõespelaVida #ACCamargoCancerCenter #EspecializadoemVida #Oncologia #Empreendedorismo #Projetosinovadores</t>
  </si>
  <si>
    <t>👉 Neste ano, faremos história mais uma vez. Traga o seu projeto e contribua para o futuro de soluções oncológicas: https://t.co/rLYVYYEDEQ
#PrêmioInovaçõespelaVida #ACCamargoCancerCenter #EspecializadoemVida #Oncologia #SaudeOncologica #empreendedorismo #projetosinovadores</t>
  </si>
  <si>
    <t>👉 https://t.co/0IKU27FRCA
#b2b #business #conhecimento #crm #curso #empreendedorismo #eventos #hss #negocios #sucesso #treinamento #vendas https://t.co/EQBW2dUJr9</t>
  </si>
  <si>
    <t>👉 leia na íntegra:https://t.co/Cgn1watx6J
#b2b #business #conhecimento #crm #curso #empreendedorismo #eventos #hss #negocios #sucesso #treinamento #vendas https://t.co/ZiTQdHC5SI</t>
  </si>
  <si>
    <t>👉 leia na íntegra:https://t.co/fN6n0ZZfhT
#b2b #business #conhecimento #crm #curso #empreendedorismo #eventos #hss #negocios #sucesso #treinamento #vendas https://t.co/cqkhY6Jzsh</t>
  </si>
  <si>
    <t>Virtual Flight Assessoria 🎯🚀
#empreendedoras #empreendedores #empreendimento #empreendedorismofeminino #empreendedorismo #empresas https://t.co/BcnO6plqPr</t>
  </si>
  <si>
    <t>Virtual Flight Assessoria 🎯🚀
#empreendedorismo #empreendimento #empreendedorasdigitais #mulheresempresarias https://t.co/Jl9U8ZjlRs</t>
  </si>
  <si>
    <t>Gratidão por fazer parte e saber que teremos mais novidades juntas. Uuuhhhuuuullll Simplesmente lindíssimo e perfeito 💜💐
#conexão 
#conexãodelas 
#sonoridade 
#mulherempreendedora 
#empreendedorismo 
#empreendedorismofeminino https://t.co/ZOp6qMOOnd</t>
  </si>
  <si>
    <t>Nelbe Virtual Assessoria
#sonoridade 
#mulhereempreendedora 
#empreendedorismo 
#empreendimento 
#empreendedorismofemininobrasil 
#empreendedorismofemino https://t.co/WAqG5Z4irb</t>
  </si>
  <si>
    <t>Virtual Flight Assessoria 🎯🚀
Secretária Presencial e Remota
#mulheresempreendedoras 
#empreendedorismo #empreendedorismofeminino #empreendedoras 
#empreendimento 
#empresarias https://t.co/82loYTCw6W</t>
  </si>
  <si>
    <t>Virtual Flight Assessoria 🎯🚀
Secretária Presencial e Virtual 😉
#infoprodutor
#empreendedorismo 
#mulheresempreendedoras 
#empreendedorismofeminino 
#empreendedoras https://t.co/5gJvk6RpdO</t>
  </si>
  <si>
    <t>Gratidão a nossa Idealizadora @coachviviancarla 
@conexaodelasoficial 
@casa432rosa 
@versospersonalizados 
@regianeleitemk 
@hugofariasfotografia 
A todas as mulheres Empreendedoras vencedoras no seu empreendimento..
#empreendedoras
#empreendedorismo
#mulheresempreendedoras https://t.co/cR56nVmHtf</t>
  </si>
  <si>
    <t>Esta 4.ª feira o @teclabs recebeu a visita de uma comitiva de representantes da Assembleia Legislativa do Estado de #Goiás, #Brasil. 🇧🇷 @assembleiago @PortugalVenture 
A visita teve como objetivo conhecer o ecossistema de #empreendedorismo e #inovação nacional. 💼 https://t.co/HE1qpS4vh3</t>
  </si>
  <si>
    <t>@gabriehnb vai na fé #empreendedor</t>
  </si>
  <si>
    <t>#Empreendedorismo: Tatianna Oliva empreendeu com parcerias estratégicas e #coleciona #cases de #empresas como MAC, Maizena e Reserva em 15 anos de Cross. Leia mais em: https://t.co/wgQmn5QdiE</t>
  </si>
  <si>
    <t>Aplicativos criados por moradores de pequenas cidades do norte ao sul do país movimentam a economia local e mesclam #tecnologia, #inovação e #empreendedorismo.
Leia mais em: https://t.co/nXtj6sc5Gj</t>
  </si>
  <si>
    <t>#História de #empreendedorismo com #vinhos: Sean e Julianna McBride fizeram seus primeiros vinhos em um apartamento e hoje são referência no manejo ecológico da uva em #NapaValley. Leia mais em: https://t.co/jo0RKD2fwg</t>
  </si>
  <si>
    <t>#HenryFord foi um #empreendedor e engenheiro mecânico norte-americano e o fundador da Ford Motor Company. Foi a partir da indústria por ele fundada que o termo "Fordismo" foi cunhado.  #FraseDoDia #ForbesBr #Empreender #Negócio https://t.co/sFvfXjyu5K</t>
  </si>
  <si>
    <t>#ipforce #concorrência #empreendedorismo  #empreendedores #PIN #pabxvirtual #pabxinteligente #telefonia #telefoniaip #voip</t>
  </si>
  <si>
    <t>Qual é a realidade do empreendedorismo no Brasil?
O empresário Gustavo Machado e o economista Guilherme Vasconcelos respondem ao Primo Rico, Thiago Nigro, e comentam dados sobre os brasileiros que vivem de negócios.
Assista clicando 📷 https://t.co/lrBfMnuqap
#empreendedorismo https://t.co/JRrwVN2tlx</t>
  </si>
  <si>
    <t>Prefeitura de Osasco realiza edição do Oz Valley direcionado às empreededoras
#EmpoderamentoFeminino #empreendedorismo #mulheres #networking #OzValley 
https://t.co/1mWD4n4bOM</t>
  </si>
  <si>
    <t>Matéria: https://t.co/ooHWQM8XMT
#empreendedorismo #empreendedorismouniversitario #minasgerais #ufvjm</t>
  </si>
  <si>
    <t>Projeto de Identidade Visual para a Apercom consultoria comportamental.
@apercom.consultoria 
#identidadevisual #logotipo #logomarca #empreendedorismo #emprendedores #coach #coaching #logo #designergrafico #designer #graphicdesign
https://t.co/ncgQsZIUT7</t>
  </si>
  <si>
    <t>Trabalho de Identidade Visual para o Zavod Burger, um food truck localizado em Curitiba, comprometido em oferecer o melhor hambúrguer da cidade.
#identidadevisual #design #marca #logotipo #logodesigner #empreendedorismo #comunicacaovisual #designerdelogo
https://t.co/T8L9uOrP4e</t>
  </si>
  <si>
    <t>Projeto de Identidade Visual para o Músico e professor Igor Y. Kovaliuk.
Redesign da Marca
@igorkovaliuk23 
#identidadevisual #designergrafico #logomarca #logotipo #empreendedorismo #musico
https://t.co/6HvJnCrHC4</t>
  </si>
  <si>
    <t>https://t.co/FCCi8bSyKw
#maturi #festival #trabalho #empreendedorismo #networking #oficinas #workshop #palestras https://t.co/LwsYGARJTI</t>
  </si>
  <si>
    <t>Não perca o novo vídeo no meu canal do YouTube, onde explico os motivos por trás dessa decisão impactante do empresário mais famoso do mundo! 🌍 https://t.co/5UVnCaAJUC via @YouTube  #ElonMusk #Twitter #Curiosidades #Tecnologia #Empreendedorismo #XTwitter  #Inovação #VídeoNovo</t>
  </si>
  <si>
    <t>Quarta-feira com um pouquinho de humor, e reflexão... NÃO, JAMAIS, NUNQUINJA desista dos seus sonhos! 🙏
"Tudo parece ser impossível até que seja feito"
#humor #comedia #empreendedorismo #reflexão #quartafeira #fy #fyp #viral #humorado #emalta
https://t.co/cZPpBnuMeu</t>
  </si>
  <si>
    <t>Novo episódio do #InovaHC #Podcast! Juliana Arida recebe Paulo Schor, Coordenador Adjunto de Pesquisa para Inovação da #FAPESP, para um bate-papo sobre o papel do investimento público e a difícil jornada do #empreendedor. Ouça agora mesmo: https://t.co/ONJrU8BfsY https://t.co/a62XMxKvYt</t>
  </si>
  <si>
    <t>Só mais 2 dias para aproveitar a chance de transformar suas ideias em realidade com o in.cube! Programa de capacitação gratuito do #InovaHC e #UnimedNacional.  Inscrições até 16/08. Não perca: https://t.co/ZmbF6pJL4Z
#inovahc #empreendedorismo #inovaçao https://t.co/SLYkjZnH36</t>
  </si>
  <si>
    <t>Faltam só 15 dias para as #inscrições no #incube! Participe do nosso programa de #capacitação. Não perca tempo: as inscrições vão até 16 de agosto. Aproveite essa oportunidade! Link: https://t.co/ZmbF6pJdfr
#inovahc #hc #hcfmusp #inovacao #empreendedorismo https://t.co/AjnPlsUCtq</t>
  </si>
  <si>
    <t>Descubra a jornada do #incube! Do problema à solução, do protótipo ao pitch. Inscreva-se agora: https://t.co/ZmbF6pJdfr
#empreendedorismo #inovação https://t.co/N1AOIhOgk3</t>
  </si>
  <si>
    <t>Novo episódio do #InovaHC #Podcast! Juliana Arida recebe Edgard Barki, professor e coordenador do centro de #empreendedorismo da #FGV EAESP, para um bate-papo sobre negócios de impacto e #ESG. Ouça agora mesmo: https://t.co/ONJrU8BfsY https://t.co/VHKxDgfcHy</t>
  </si>
  <si>
    <t>Vem descobrir o que os participantes da 3ª rodada do in.cube têm a dizer sobre o programa! ▶️
Faça já sua inscrição para a 4ª rodada!: https://t.co/ZmbF6pJdfr
#inovahc #incube #empreendedorismo #saude #inovaçao #hcfmusp https://t.co/BpB3ZD0LWK</t>
  </si>
  <si>
    <t>Última chamada! O programa #incube está com #inscrições abertas só até hoje, 23/8! Aproveite essa chance de impulsionar sua jornada empreendedora. Inscreva-se: https://t.co/ZmbF6pJdfr
#inovahc #hc #hcfmusp #incube #inovacao #empreendedorismo https://t.co/8kukZPHDPn</t>
  </si>
  <si>
    <t>Vem descobrir o que a banca de avaliação do demoday da 3ª rodada do in.cube têm a dizer sobre o programa! ▶️
Faça já sua inscrição para a 4ª rodada!: https://t.co/ZmbF6pJdfr
#inovahc #incube #empreendedorismo #saude #inovaçao #hcfmusp https://t.co/YdQteqlnV6</t>
  </si>
  <si>
    <t>Acesse o link e confira o novo #artigo que discorre sobre os casos mais emblemáticos das edições anteriores do #incube.
Link: https://t.co/qVg95z6HB0
#inovaçao #inovahc #hcfmusp #inovaçao #empreendedorismo https://t.co/L3KbTlrfhj</t>
  </si>
  <si>
    <t>Resultado do programa #incube já disponível! Acesse para conferir a lista completa dos selecionados: https://t.co/PmThfPKq8P
Prepare-se para uma jornada de #inovação sem igual!
#inovahc #hcfmusp #incube #empreendedorismo #saude https://t.co/H7ArnnDgyi</t>
  </si>
  <si>
    <t>Está chegando a hora meus amigos, estão preparados para colocar o pé no acelerador ?
Nessa sexta feira live ao vivo via   2023 começou e o caminho do green está aqui na starbets 💫
#dinheiro #rendaextra #apostasesportivas #bet365
#dubai🇦🇪 #dubaimall #dubai #empreendedorismo https://t.co/zZknLfyUVw</t>
  </si>
  <si>
    <t>É importante ressaltar que essas atitudes podem ser desenvolvidas ao longo do tempo e melhoradas com a experiência. 
Entenda mais sobre as atitudes essenciais para todo empreendedor acessando nosso site: https://t.co/FmoqoSKJCC
#empreendedorismo #atitudesempreendedoras https://t.co/MoTAnNZeo6</t>
  </si>
  <si>
    <t>Oportunidade para mulheres empreendedoras 
https://t.co/uEpZJV2kZM  #empreendedorismo</t>
  </si>
  <si>
    <t>Eu parei pra fazer conta e fiquei chocado....
Imagine que todas as pessoas que o Thiago Nigro ensinasse a ficar ricas realmente ficassem ricas, a inflação hoje estaria altíssima. 
#financas #investimentos #empreendedorismo</t>
  </si>
  <si>
    <t>Aprender a empreender esse é o negócio. 
#financial #technology #empreendedorismo</t>
  </si>
  <si>
    <t>Projeto Movimenta Empreendedor do SEBRAE passou por Itapetininga essa semana. #empreendedor #sebraesp
#networwing #empreendedora https://t.co/Kcq8evILdO</t>
  </si>
  <si>
    <t>#economia #livremercado #empreendedorismo #inovacao #criatividade 
Soluções reais não estão no poder político, mas nas forças do livre mercado.
Murray Rothbard https://t.co/gbziFtxSId</t>
  </si>
  <si>
    <t>conjunto ayla❤️‍🔥
.
.
.
.
#lingerie #modaintima #lojaonline #empreendedorismo https://t.co/4M5nAyqMXW</t>
  </si>
  <si>
    <t>A MELHOR OPÇÃO EM APTO - ENTRAR MORAR - O MELHOR CONDOMÍNIO DA TIJUCA - INFRA ESTRUTURA COMPLETA - SALA 3 QTS (1 SUÍTE) / 2 VAGAS / 136 m² / R$ 1.260.000,00
Informações: (21)96785-8342 / 98232-8811 
#Tijuca #flamengo #imoveis2023 #sextou #2023 #comprar #morar #luxo #empreendedor https://t.co/db3EtjIklg</t>
  </si>
  <si>
    <t>TIJUCA - SALA COMERCIAL - PRÓXIMO AO METRÔ E PRAÇA SAENS PENA - MELHOR LOCALIZAÇÃO EXCELENTE CONDOMÍNIO 
Contato: (21)96785-8342 / 
(21)98232-8811 
#Tijuca #imóveis #salacomercial #médicos #odontologia #clinica #RiodeJaneiro #RIO #copacabanapalace #empreendedorismo #rj #rjtv https://t.co/qBX3YrA1kU</t>
  </si>
  <si>
    <t>Descubra como vender mais com os anúncios online
#venda #vendas #negocio #negocios #empreendedor #empreender #empresa #anuncio https://t.co/6YZ00sckQ1</t>
  </si>
  <si>
    <t>Não existe crise que resista a 10 ligações por dia!
Vende mais, quem liga mais!
#empreendedorismo #business #motivacional #vendas #vendedor</t>
  </si>
  <si>
    <t>📦💡 Se você tem ideias brilhantes, não deixe-as na inércia da caixa! Liberte sua criatividade e coloque-as em ação. O mundo precisa das suas inovações! 
🚀💼  #Criatividade #Inovação #Empreendedorismo #Ação #Transformação #OuseInovar #IdeiasBrilhantes #NegóciosInovadores https://t.co/selTBBlc41</t>
  </si>
  <si>
    <t>Desejamos um excelente dia a todos os profissionais que fazem a economia girar, é um dia para nos orgulharmos de nossas conquistas! 👏🏻💙
#cdlsãocaetano #CDL  #DiaDoComerciante #Comerciantes #Comércio #Varejo #Empreendedorismo #Negócios https://t.co/Vaf3KOkrpv</t>
  </si>
  <si>
    <t>"Não comecem e parem. Continuem a subir em ritmo constante. Sejam a tartaruga e não a lebre"
Jeff Bezos
Adquira o livro AMAZON SEM LIMITES, acesse: https://t.co/gbDuMGM4pM
#amazon #Jeff #jeffbezos #livros #empreendedorismo #trechos</t>
  </si>
  <si>
    <t>Prepare-se para a revolução! No dia 16/10/2023, a CONCEITO KING chega para redefinir o jogo. 👑
#conceito #king #sucesso #inspiração #lançamento #conquista #sonhos #empreendedorismo #foco #empowerment https://t.co/FbjRBGZGhz</t>
  </si>
  <si>
    <t>⚡️ Nos passados dias 27 e 28 de junho, estivemos no Evento Final do Projeto INOVC + 📷
.
 .
 .
 .
 . 
#INOVCmais #Inovação #Sustentabilidade #RegiãoCentro #Ciência #Tecnologia #Empreendedorismo #EconomiaRegional #DesenvolvimentoSustentável #Science #Technology #Sustainability https://t.co/xh7yBxjW1r</t>
  </si>
  <si>
    <t>Nós sabemos que colocar ideias em prática pode ser um processo desafiador. 
Para mais informações, contacte 👇 
241330330 | incubadora@tagusvalley.pt
.
.
.
.
#TAGUSVALLEY #Ideias #Empreendedorismo #Empresas
#TAGUSVALLEY #Abrantes #Parque #Ciencia #Tecnologia https://t.co/k66x4A3CjR</t>
  </si>
  <si>
    <t>“O sucesso é a soma de pequenos esforços repetidos dia após dia.“ - Robert Collier
.
.
.
.
#TAGUSVALLEY #Parque #Empreendedorismo #Esforços
#TAGUSVALLEY #Abrantes #Parque #Ciencia #Tecnologia https://t.co/KbyhhUA501</t>
  </si>
  <si>
    <t>#Empreendedorismo | Ao todo são 459 atividades classificadas como de pequeno porte e baixo risco passam a atender as novas regras do licenciamento simplificado e autodeclaratório</t>
  </si>
  <si>
    <t>#empreendedorismo #curso #educação #cursoonline https://t.co/ad2v1EouVh</t>
  </si>
  <si>
    <t>#empreendedorismo #cursosonline
https://t.co/rqss6T7tqW</t>
  </si>
  <si>
    <t>#empreendedorismo #cursosonline
https://t.co/OTCBCWeWFr</t>
  </si>
  <si>
    <t>#empreendedorismo #cursosonline
https://t.co/i7YzsZOkz8</t>
  </si>
  <si>
    <t>#Empreendedorismo #Cursoonline #Educação 
https://t.co/qUvAOpieW5</t>
  </si>
  <si>
    <t>#empreendedorismo #cursosonline
https://t.co/jaeVbPvZjV</t>
  </si>
  <si>
    <t>#Empreendedorismo #Educação #Cursoonline 
https://t.co/jaeVbPwx9t</t>
  </si>
  <si>
    <t>#empreendedorismo #cursosonline
https://t.co/4kyJNYq6yH</t>
  </si>
  <si>
    <t>#Empreendedorismo #Cursoonline #Educação https://t.co/hsLBtzv6iK</t>
  </si>
  <si>
    <t>#empreendedorismo #cursosonline
https://t.co/nuU80WxitV</t>
  </si>
  <si>
    <t>#empreendedorismo #cursosonline
https://t.co/6ZcwxjMMrp</t>
  </si>
  <si>
    <t>#empreendedorismo #cursosonline
https://t.co/Ukp9FbQZEb</t>
  </si>
  <si>
    <t>#empreendedorismo #cursosonline
https://t.co/KITZZtW635</t>
  </si>
  <si>
    <t>#empreendedorismo #cursosonline
https://t.co/skXySC6D4r</t>
  </si>
  <si>
    <t>#empreendedorismo #cursosonline
https://t.co/DNCpCUQMtA</t>
  </si>
  <si>
    <t>#Empreendedorismo #Cursosonline #DicasdeMarketing https://t.co/OTCBCWeoPT</t>
  </si>
  <si>
    <t>#empreendedorismo #marketingdigital
https://t.co/8lKkytDBPw</t>
  </si>
  <si>
    <t>#empreendedorismo #marketingdigital
https://t.co/7rUfQbTe9n</t>
  </si>
  <si>
    <t>#marketingdigital #empreendedorismo
https://t.co/tgN3b9rJC6</t>
  </si>
  <si>
    <t>#empreendedorismo #inteligênciamotivacional #motivacional #sucesso #vendas https://t.co/Jy7fGeLir7</t>
  </si>
  <si>
    <t>#empreendedorismo #inteligênciamotivacional #motivacional #sucesso #vendas https://t.co/i1IRsXAkCH</t>
  </si>
  <si>
    <t>#empreendedorismo #inteligênciamotivacional #motivacional #sucesso #vendas https://t.co/y2fQ3BZxDn</t>
  </si>
  <si>
    <t>#empreendedorismo #inteligênciamotivacional #motivacional #sucesso #vendas https://t.co/uvycJlZ1TM</t>
  </si>
  <si>
    <t>#empreendedorismo #inteligênciamotivacional #motivacional #sucesso #vendas https://t.co/cgWnL6Z6VK</t>
  </si>
  <si>
    <t>Descubra como se destacar da concorrência criando posts, logos e templates de forma descomplicada e prática, mesmo sem ter experiência com design.
https://t.co/BNVgPCJx90
#empreendedorismo #canva #marketingdigital https://t.co/Ynt5pAMZVn</t>
  </si>
  <si>
    <t>#Empreendedorismo #Cursoonline #Educação 
https://t.co/Ukp9FbQZEb</t>
  </si>
  <si>
    <t>#Empreendedorismo #Cursosonline #Educação https://t.co/MwxNUh6R7b</t>
  </si>
  <si>
    <t>#empreendedorismo #cursosonline 
https://t.co/MwxNUh7oWJ</t>
  </si>
  <si>
    <t>#empreendedorismo #inteligênciamotivacional #motivacional #sucesso #vendas https://t.co/Lq6zv7nAGI</t>
  </si>
  <si>
    <t>#empreendedorismo #cursosonline
https://t.co/RuW8FYdF9f</t>
  </si>
  <si>
    <t>#empreendedorismo #cursosonline
https://t.co/uS4b8UHUXE</t>
  </si>
  <si>
    <t>#empreendedorismo #cursosonline
https://t.co/BkHxAu7vI9</t>
  </si>
  <si>
    <t>#empreendedorismo #cursosonline
https://t.co/DDC9LIzmfX</t>
  </si>
  <si>
    <t>#empreendedorismo #inteligênciamotivacional #motivacional #sucesso #vendas https://t.co/OtEyQOg6fn</t>
  </si>
  <si>
    <t>#empreendedorismo #cursosonline
https://t.co/EHfNqJV0vC</t>
  </si>
  <si>
    <t>#empreendedorismo #blogmarketingnew #marketingdigital #tráfegopago #tráfegoorgânico #motivacional #sucesso #finanças https://t.co/9YWoBZI3A2</t>
  </si>
  <si>
    <t>#empreendedorismo #cursosonline
https://t.co/sL73iIvA2g</t>
  </si>
  <si>
    <t>#empreendedorismo #cursosonline 
https://t.co/ad2v1EouVh</t>
  </si>
  <si>
    <t>#empreendedorismo #cursosonline
https://t.co/qUvAOpiMLD</t>
  </si>
  <si>
    <t>10 técnicas para tornar o ambiente empresarial mais produtivo, segundo especialista #EMPREENDEDORISMO https://t.co/bwiMH0wDnl</t>
  </si>
  <si>
    <t>Nossa Fotógrafa de hoje ❤️📸📷
#Work 
#Empreendedorismo https://t.co/4FkVYq1e68</t>
  </si>
  <si>
    <t>Participe da #palestra "Transformando Não em Sim" com a Dra. Carla Sarni, holding de empresas como Sorridents, GioLaser e Olhar Certo, em um evento especial sobre #empreendedorismo. 📷
As inscrições são gratuitas e as vagas limitadas.
https://t.co/U5wvy5Dkpx https://t.co/o1Ig7ywVEc</t>
  </si>
  <si>
    <t>Chegamos aos 5 anos e temos muito a comemorar
Ganhamos clientes, mas, sobretudo, fizemos amigos e parceiros que reconhecem o resultado desta jornada.
#mpsrobotica #5anos #aniversario #empresa #empreendedor #timedevalor #valores #sucesso #trabalho #parcerias #futuro https://t.co/zAv45zk1jk</t>
  </si>
  <si>
    <t>Abrir uma empresa é um grande passo, por isso, é normal sentir medo. Faça uma avaliação de riscos minuciosa e deixe alternativas engatilhadas para lidar com esses riscos. 
📲 (85) 98552-6200 ☎️ (85) 3265-6200
#contabilidade #empreendedor #empresa #Ceará #grupoadvancedce https://t.co/eJKdYOSI7W</t>
  </si>
  <si>
    <t>Você sabia que a identidade visual é fundamental para destacar sua marca? Aqui na Zero Doze criamos uma identidade visual que transmita a essência do seu negócio. 💻🎨 #IdentidadeVisual #MarcaPersonalizada #Empreendedorismo</t>
  </si>
  <si>
    <t>O nosso Curso MPA - Meu Perfil Atrativo foi pensado para alavancar sua marca no mundo digital. Aprenda técnicas incríveis e impulsione o seu negócio com mais de 20 horas de conteúdo aplicável. 🚀💻 #CursoMPA #EstratégiasDigitais #Empreendedorismo</t>
  </si>
  <si>
    <t>#empreendedorismo #empreendedor #negócios #negocios #donodenegócio</t>
  </si>
  <si>
    <t>Nome do Instagram: @gustavocamposguize Nome do canal no YouTube: O Almanaque Financeiro
 #trabalhovsnegócio #empreendedorismo #gestãodenegócios #finanças #planejamentofinanceiro #investimentos #educaçãofinanceira #negócios https://t.co/7h9jaT9G3h</t>
  </si>
  <si>
    <t>RT @Gustavo25867079: Nome do Instagram: @gustavocamposguize Nome do canal no YouTube: O Almanaque Financeiro
 #trabalhovsnegócio #empreend…</t>
  </si>
  <si>
    <t>Fale comigo! https://t.co/cyQP5RhFv6
#marketing #liderança #líder #empreendedorismo https://t.co/nexiaqKXN6</t>
  </si>
  <si>
    <t>O @jedsoncalvi é sócio-proprietáriodo restaurante Dona Chica em Encantado, RS. 😍🥘
Confira o depoimento dele! ▶
Acessa o site Sebrae é pra ti e confira uma porção de conteúdo para o ramo do turismo:👉https://t.co/EKnCFVrzyP
#SebraeRS #SebraePraTi #Turismo  #empreendedorismo https://t.co/e8TvbKvxKe</t>
  </si>
  <si>
    <t>🚨 Atenção: últimos dias para se inscrever e acompanhar a maior feira do varejo direto de Nova York!😉
As vagas estão acabando. Não deixe esta oportunidade passar!
👉Acessa o link e te inscreve agora mesmo: https://t.co/5tJ6pHkhgX
#SebraeRS #NRF2024 #Varejo #Empreendedorismo https://t.co/iSZy0tBIK9</t>
  </si>
  <si>
    <t>#SebraePraTi #Moveleiro #moveis #empreendedorismo</t>
  </si>
  <si>
    <t>Há 51 anos, fazemos parte da história de quem empreende.🥳🎉​
​
Estamos aqui pra apoiar os pequenos negócios em cada passo da sua jornada.  Juntos vamos além, transformando sonhos em realidade. 💙​
Seja qual for o teu negócio, o Sebrae é pra ti​!
#Empreendedorismo #Sebraeprati https://t.co/mFrzmlScPl</t>
  </si>
  <si>
    <t>Abrindo um restaurante e pensando em como precificar os pratos? 🍽️
Descubra a precificação estratégica, um método para aumentar os lucros do seu negócio!
Quersaber mais? Leia o post no nossoblog: https://t.co/9cdfDge5MM
#SebraePrati #restaurante #empreendedorismo https://t.co/e9mpgXmHXW</t>
  </si>
  <si>
    <t>Quem está ligado nas tendências de 2023 com certeza já ouviu sobre Inteligência Artificial.😉
Quer conferir as melhores práticas para adotar a IA na tua rotina? 📲Acessa nosso blog pelo link: https://t.co/0HajDREvH3
 #SebraeRS #InteligênciaArtificial #Empreendedorismo #IA https://t.co/LJOCG9dmCj</t>
  </si>
  <si>
    <t>#Natal | Empresas de pequeno porte já podem usar as novas regras do licenciamento autodeclaratório https://t.co/G67Vchzo2X</t>
  </si>
  <si>
    <t>Ontem, passei por uma experiência incrível com um mecânico super atencioso! Mesmo com meus filhos e um carro quebrado, ele priorizou meu atendimento, encontrou a peça mais em conta, consertou, testou e até me mandou uma mensagem à noite. Fidelizou! #marketing #empreendedorismo</t>
  </si>
  <si>
    <t>Obrigações Acessórias: Além das obrigações fiscais, você também pode ter obrigações acessórias, como a entrega de declarações fiscais específicas, dependendo do seu regime tributário.
7...
#Empreendedorismo
#Auditoria
#SimplesNacional
#DemonstraçõesFinanceiras
#Planejamento</t>
  </si>
  <si>
    <t>Contabilidade: É essencial manter registros contábeis precisos de todas as transações financeiras relacionadas à sua atividade como programador. Você pode optar por fazer a contabilidade por conta própria ou contratar um contador.
6...
#Contador
#Empreendedorismo
#Auditoria</t>
  </si>
  <si>
    <t>Emissão de Notas Fiscais: Você deverá emitir notas fiscais para os serviços prestados, seguindo as regulamentações fiscais e tributárias.
4...
#Contabilidade
#Finanças
#GestãoFinanceira
#ContabilidadeEmpresarial
#Impostos
#Contador
#Empreendedorismo
#Auditoria
#SimplesNacional</t>
  </si>
  <si>
    <t>Vamos juntos fazer deste evento uma experiência transformadora e afrofuturista. 🤎✊🏿#ArenaBlackRocks #Afrofuturismo #Inovação #Empreendedorismo #Startups #SãoPaulo #Tecnologia #Programação #Oficina #BlackInnovation #BlackInTech #Afroturismo #TI</t>
  </si>
  <si>
    <t>Como nossa missão é aquilombar com excelência em tecnologia, queremos trazer mais pessoas pretas para esse mercado e fortalecer as que já estão nele com atividades.#ArenaBlackRocks #Afrofuturismo #Inovação #Empreendedorismo #Startups #SãoPaulo #Tecnologia #Programação #Oficina</t>
  </si>
  <si>
    <t>Nós, apresentamos a Oficina “Odisseia Ancestral” onde a conexão com a jornada antepassada através dos búzios nos mostrou um outro olhar sobre código.
#ArenaBlackRocks #Afrofuturismo #Inovação #Empreendedorismo #Startups #SãoPaulo #Tecnologia #Programação #Oficina #BlackInnovation https://t.co/k4h1YCL6ES</t>
  </si>
  <si>
    <t>Se você tem um #MEI em alguma #favela ou #comunidade do estado do #Rio, participe do projeto de forma totalmente gratuita, e com o suporte de especialistas, aumente o lucro da sua empresa.
Inscreva-se. @sebraerj
https://t.co/kODXxSK2tX
#Sebrae #govrj #PartidoNovo #empreendedor https://t.co/YrBZOddSE2</t>
  </si>
  <si>
    <t>Desculpe... Oito letras que podem mudar o rumo de duas vidas. #a #coaching #sonhos #empreendedorismo #persistente #desculpas #o</t>
  </si>
  <si>
    <t>2 PODEROSAS técnicas para MELHORAR seu carisma #sucesso #motivação #foco #vida #empreendedorismo https://t.co/IGoKd6url2</t>
  </si>
  <si>
    <t>Analise seus gastos detalhadamente  Negocie com fornecedores 🤝
 Automatize processos com tecnologia
Reduza custos, maximize lucros e fortaleça sua empresa! 💼
#ReduçãoDeCustos #EficiênciaFinanceira #GestãoFinanceira #NegóciosSustentáveis #Empreendedorismo https://t.co/Uq2pgXBKgt</t>
  </si>
  <si>
    <t>Já pensou em empreender e está se achando muito %27velho%27 para isso? Então leia este artigo...
Empreendedorismo: Desbravar Novos Horizontes Após a Maturidade
#adolescentevintage #envelhecimentoativo #empreendedorismo #envelhecimentosaudável #empreender https://t.co/VncyoFpACU</t>
  </si>
  <si>
    <t>🌟 Quer conhecer a história inspiradora por trás do sucesso do KFC e descobrir como o frango frito se tornou uma jornada de realizações aos 62 anos? 
#adolescentevintage #empreendedorismo #KFC #frangofrito https://t.co/53DFUcs7KI</t>
  </si>
  <si>
    <t>Comece a semana saindo da sua zona de conforto e buscando seu progresso. #BomDia
#Acese #Empreendedorismo #Aracaju #Sergipe https://t.co/XMnBTa2dVf</t>
  </si>
  <si>
    <t>OPA REDE! VOCÊ QUE PRECISA DE   UMA ASSISTENTE VIRTUAL PARA CUIDAR DO SEU DIA A DIA! CASO NÃO PRECISE ME AJUDE A DIVULGAR?
#empreendedorismo #maede03 #networking #empresas https://t.co/s9xVNgNhBy</t>
  </si>
  <si>
    <t>O Sebrae Delas Mulher de Negócios está com inscrições abertas até o dia 9 de agosto para a trilha ‘Sou Empreendedora’.
A trilha é online e gratuita.
🔗 Saiba mais:
https://t.co/JdqHsKY0Ta
#noticenter #NotíciasSC #SebraeDelas #empreendedorismo #santacatarina https://t.co/2e2ZfSRMd4</t>
  </si>
  <si>
    <t>A Jornalista e sócia da Presse Comunicação, de Blumenau, Cristiane Soethe Zimmermann, compartilha seus aprendizados em 15 anos de empreendedorismo.
🔗  Confira:
https://t.co/Dw2acTi9jC
#noticenter #NotíciasSC #PresseComunicação #artigo #empreendedorismo #santacatarina https://t.co/vqSagNDxuN</t>
  </si>
  <si>
    <t>Na última semana, o Sebrae/SC lançou o programa Cidade Empreendedora no município de Irani.
🔗 Saiba mais:
https://t.co/UzfahqQtq9
#noticenter #NotíciasSC #empreendedorismo #SebraeSC #irani #santacatarina https://t.co/Aw5BlImw44</t>
  </si>
  <si>
    <t>Como você se prepara para se tornar um empreendedor online? #Notícias #como #empreendedor #Online #para  https://t.co/w8v03VjqMb</t>
  </si>
  <si>
    <t>Melhore sua estratégia online: conheça 3 ferramentas para impulsionar seu negócio nas redes sociais.
Assista ao episódio completo no nosso canal do Youtube: https://t.co/TrtTviSes1
#marketingdigital #empreendedorismo https://t.co/vSEzOMU7Oh</t>
  </si>
  <si>
    <t>Descubra a importância de um plano de negócio para gerenciar melhor e obter melhores resultados para a sua empresa.
Assista ao episódio completo no nosso canal do Youtube: https://t.co/NWPzFlb4Kb
#empreendedorismo #planodenegocios https://t.co/L4fGH7OYd8</t>
  </si>
  <si>
    <t>O segredo para ganhar dinheiro está em encontrar uma maneira de resolver os problemas das pessoas. 💡💸 #Motivação #Empreendedorismo #Renda</t>
  </si>
  <si>
    <t>Vamos falar sobre empreendedorismo? Um espaço p/ aprendermos juntos, Empreendedores! Siga-me os bons: https://t.co/bIoTo3tS0X #empreendedorismo https://t.co/3JD9E4ou6y</t>
  </si>
  <si>
    <t>Você deseja se tornar um especialista em vendas de produtos e serviços digitais? Esta buscando uma forma de impulsionar seu negócio?  https://t.co/00Kum4IGmn
#infoprodutos #marketingdigital #empreendedorismo #afiliados #vendasonline #produtosdigitais #rendaextra #homeoffice https://t.co/xQCEY2Upo2</t>
  </si>
  <si>
    <t>Norway to fine Meta nearly $100,000 a day over data use. #meta #o #villavicencio #foco #n #colombia #a #bogota #metaverse #medellin #cali #nft #barranquilla #objetivo #cartagena #instagram #cucuta #santamarta #pereira #facebook #yopal #sucesso #casanare #empreendedorismo https://t.co/JWp1NrvKji</t>
  </si>
  <si>
    <t>Ontem pegamos uma estradinha de carro e colocamos alguns podcasts e aulas em dia. Essa frase foi citada pela @profluciahelenagalvao no @ossociospodcast.
Ter esperança é excelente! Mas sem ação, ela não adianta nada!
@ro_organiza_ 
#valorespessoais #empreendedorismo https://t.co/RgMxNmDUkz</t>
  </si>
  <si>
    <t>“Se as pessoas te abandonarem é porque elas estão vendo que não podem crescer junto com você”. 
#insights #empreendedorismo 
Paiffer</t>
  </si>
  <si>
    <t>#empreendedorismo #MarkZuckerberg https://t.co/MJEy2fDLpm</t>
  </si>
  <si>
    <t>#empreendedorismo</t>
  </si>
  <si>
    <t>https://t.co/rQPzooGTNl 
Proposta precisa ser aprovada pelo Congresso Nacional. Se a mudança ocorrer, teto mensal de faturamento para o MEI será de R$ 12.076,00.
#Negócios #MEI #Empreendedor #SigaMais</t>
  </si>
  <si>
    <t>O quanto nos conectaríamos pela internet se não houvessem barreiras linguísticas?
Acesse: https://t.co/3X5LTV6sCd
#internet #tecnologia #comunicação #brasil #inovação #marketing  #publicidade #marketingdigital #technology #propaganda #empreendedorismo #design #informatica https://t.co/pnLTL50Ipe</t>
  </si>
  <si>
    <t>Estas mulheres incríveis, à semelhança de muitas espalhadas pelo país não querem que ninguém lhes dê nada, apenas precisam q o estado não lhes tire quase tudo o que ganham. Só conhecem o trabalho como fonte de rendimento e assim querem continuar. 
#menosimpostos #empreendedorismo https://t.co/XLLXrPUfcH</t>
  </si>
  <si>
    <t>Ovo cozido em barras - E aí? Vai experimentar?
 #culinaria #novidade #inovador #ovo #cozinha #chef #restaurante #patente #empreendedorismo #empreenda #empreender https://t.co/QpfYyLmBa3</t>
  </si>
  <si>
    <t>Aprenda a forma correta de criar automações - como funciona o pensamento por trás da montagem dos processos. Acesse meu cana no YouTube para assistir https://t.co/wnZsC9KUxb #automação #nocode #empreendedorismo #negocios https://t.co/rKoH1MynBt</t>
  </si>
  <si>
    <t>Programa Centelha II no estado do Rio será operado pela Fundação Carlos Chagas Filho de Amparo à Pesquisa do Estado do Rio de Janeiro (FAPERJ), com valor de R$ 3,5 milhões, sendo 2 milhões da Finep. 
@gov_mcti @faperj @FundacaoCERTI @centelhabr @Botafogo #empreendedorismo https://t.co/FEJv5FLeek</t>
  </si>
  <si>
    <t>Finep Meet Florianópolis! 
A Finep irá apresentar as oportunidades de financiamento à inovação, e realizar atendimentos individuais. 
Inscreva-se: https://t.co/8ZA7yFX2pj 
@gov_mcti @acatesc @cresol_coop @SofisaDireto @Banrisul #startup #empreendedorismo https://t.co/vX2RiaRdT3</t>
  </si>
  <si>
    <t>💡Fique ligado nesta oportunidade para empreendedores! 
Será lançado hoje, às 14h, o Programa Centelha Rio de Janeiro, com recursos do FNDCT/FINEP, FAPERJ e bolsas CNPq.
👉🏽Acompanhe em:
https://t.co/jPo552ujbs
##programacentelha #inovação #empreendedorismo #programacentelharj https://t.co/X7cpvM2JuY</t>
  </si>
  <si>
    <t>@centelhabr @gov_mcti @faperj #empreendedor #inovação</t>
  </si>
  <si>
    <t>#Empreendedorismo | O reitor da UFRN, José Daniel Diniz Melo, participou de audiência no @gov_mcti para apresentar o Parque Científico e Tecnológico Augusto Severo (PAX) visando viabilizar sua implantação e operação. + https://t.co/PRgJBGyvNi https://t.co/6s8ZGrV0gL</t>
  </si>
  <si>
    <t>O programa Mulheres Inovadoras está de volta!
📆 Inscreva-se até o dia 4 de agosto  
Saiba mais: https://t.co/Ha8IbGWcZQ
@gov_mcti #MulheresInovadoras #startups #empreendedorismo https://t.co/n69yrOLBv2</t>
  </si>
  <si>
    <t>Últimos dias para se inscrever no programa Mulheres Inovadoras!
📅 Inscreva-se até o dia 4 de agosto
Saiba mais: https://t.co/Ha8IbGWcZQ
@gov_mcti #MulheresInovadoras #startups #empreendedorismo https://t.co/C5OyRuNgVS</t>
  </si>
  <si>
    <t>Pra quem empreende ou pensa em empreender, vc fez antes um estudo para identificar em que ponto da cadeia de valor irá abrir seu negócio? 
#emprendedor #empreendedorismo #Negocios #negociosx</t>
  </si>
  <si>
    <t>Fala herdeiro(a), 
Bora fazer acontecer…
Vou documentar minhas vitórias e derrotas…
Focando nos assuntos:
#negocios
#marketing
#empreendedorismo
Sua missão: 👇+❤️+RT https://t.co/9HdDxrv3AH</t>
  </si>
  <si>
    <t>Quem puder seguir a página da minha marca no Instagram, da uma moral aí. 
Quem sabe se tornar um cliente. Confecção própria, camisetas 100% algodão, malha menegotti, algodão sustentável, qualidade Premium.
#donodemarca #mei #empreendedorismo #013 
https://t.co/iVVFWjrsn4</t>
  </si>
  <si>
    <t>COMO ABRIR UMA EMPRESA
Autor(a): Paulo Cordeiro
#Empreendedorismo
#Negócios
#SucessoEmpresarial
#Startup
#GestãoEmpresarial
#Empreender
#PlanoDeNegócios
#Empreendedor
#PequenasEmpresas
#EmpreendedorismoDigital
#NegócioPróprio
#EmpreendedorismoBrasil
#EstratégiasDeNegócios https://t.co/ZIIni6su7e</t>
  </si>
  <si>
    <t>O concelho de #Famalicão venceu um prémio europeu de #empreendedorismo, pela capacidade de atrair e fomentar investimento. É o reconhecimento de um trabalho longo e que envolve toda a sociedade.
#RTPNotícias #RTP 
https://t.co/gSkn0yghM5</t>
  </si>
  <si>
    <t>https://t.co/q0ypZdMSsW
#empreendedorismo #empreendedorismodigital #atitudequerealiza #marketingdigital #hotmart #kiwify</t>
  </si>
  <si>
    <t>#AtitudeQueRealiza #Empreendedorismo #EmpreendedorismoDigital #Hotmart #Kiwify #MarketingDigital #LiderançaDeExcelênciaEm10Passos
Clique Aqui👇
https://t.co/msxrn51anE https://t.co/km5tQrAs2a</t>
  </si>
  <si>
    <t>ATITUDES ousadas, provem uma vida de REALIZAÇÕES!
https://t.co/KsLYOy0toi
#AtitudeQueRealiza #Empreendedorismo #EmpreendedorismoDigital #Hotmart #Kiwify #MarketingDigital #LiderançaDeExcelênciaEm10Passos</t>
  </si>
  <si>
    <t>EMPREENDEDOR
“Existe apenas uma definição de ‘empreendedor’.
Um empreendedor é alguém que faz algo novo.”
INC. interview (1996).
[Citado por Niels Pflaeging em "What Would Drucker Do?", p.160]
#BetaCodex #Descentralização #Empreendedorismo https://t.co/wuwlJBPRSg</t>
  </si>
  <si>
    <t>Persistindo se vai além e é assim que o sucesso vem! 😉🚀
#b2hmarketing #agenciademarketing #publicidade #redacaopublicitaria #marketingdigital #marcas #empreendedorismo #estratégia #instagrammarketing #maceioalagoas #marketingdigital #marketingestratégico #negocios https://t.co/Zv01x50U6l</t>
  </si>
  <si>
    <t>Para crescer e ir adiante, abrir a mente é o primeiro e mais importante passo. 🚀
#b2hmarketing #agenciademarketing #publicidade #redacaopublicitaria #marketingdigital #empreendedorismo #estratégia #instagrammarketing #maceioalagoas #marketingdigital #marketingestratégico https://t.co/qIixy1Ziy9</t>
  </si>
  <si>
    <t>Dia do Comerciante
A Água Mineral Minalinda parabeniza todos os comerciantes pelo seu dia! Vocês são os responsáveis por movimentar a economia e proporcionar produtos e serviços essenciais para a sociedade.
#marketingdigital, #marketingonline, #branding, #empreendedorismo, https://t.co/yYPF8IHLHN</t>
  </si>
  <si>
    <t>Como você definiria o impacto do empreendedorismo na sociedade? 🔥🎯
.
.
.
#CanalEmpreender #Sebrae #empreendedorismo #negócios #estratégias https://t.co/oKrVBnBafQ</t>
  </si>
  <si>
    <t>O programa dá desconto na taxa anual de juros para mulheres empreendedoras que sejam sócias ou proprietárias de pequenos negócios #empreendedorismo #bancodamulher #tnonline https://t.co/cCHzT24ip8</t>
  </si>
  <si>
    <t>O #PrefCG com vc de hoje vai destacar o potencial econômico de Campo Grande, com geração de emprego e renda, além das oportunidades de crescimento e desenvolvimento. Confira!
#campograndems #empregoerenda #empreendedorismo #CapitaldasOportunidades https://t.co/8okRmRf30C</t>
  </si>
  <si>
    <t>Não perca tempo, aprenda a ter uma renda extra apenas com o celular.
#Marketingdigital #empreendedor
https://t.co/OgFa7LO4Xd https://t.co/edfYV8wck0</t>
  </si>
  <si>
    <t>https://t.co/tEwq9IFTG0 #empreendedor #MEI</t>
  </si>
  <si>
    <t>Ter talento não é suficiente para tornar um empreendedor bem-sucedido,
deve ser acompanhado pela dedicação e entrega, para superar os riscos no início de um negócio.
#Empreendedor #Empreededorismo https://t.co/XS3rzzLcW0</t>
  </si>
  <si>
    <t>Ter talento não é suficiente para tornar um empreendedor bem-sucedido,
deve ser acompanhado pela dedicação e entrega, para superar os riscos no início de um negócio.
#Empreendedor #Empreededorismo https://t.co/fyXHHQMjvS</t>
  </si>
  <si>
    <t>Ter talento não é suficiente para tornar um empreendedor bem-sucedido,
deve ser acompanhado pela dedicação e entrega, para superar os riscos no início de um negócio.
#Empreendedor #Empreededorismo https://t.co/0pSPmNRvgj</t>
  </si>
  <si>
    <t>"Podemos começar a imaginar um futuro onde o #empreendedorismo não é apenas uma escolha de #carreira ou um meio para ganhar dinheiro, mas um catalisador para conduzir a #transformação que é necessária para conhecer alguns dos grandes desafios que estamos enfrentando hoje." https://t.co/zT8X2rRaYp</t>
  </si>
  <si>
    <t>Apesar desafios, a África Austral também oferece oportunidades significativas em setores como recursos naturais, agricultura, tecnologia da informação e turismo.
#Angola #Luanda #Cazenga #Viana
#Empreendedor #Formação #Educação #Competências #Habilidades https://t.co/YzSzwc1KgH</t>
  </si>
  <si>
    <t>Sejam bem vindos, a casa é sua.
Podebem é a casa de todo brasileiro que mora fora do Brasil ou pretende morar e quer conhecer mais sobre outros brasileiros que já empreenderam.
#imigranteempreendedor  #empreendedorismo #brasileironocanada #empreendedorbrasileiro https://t.co/iqcCktgUnn</t>
  </si>
  <si>
    <t>#DiaDaPizza #Empreendedorismo #Inovação #Personalização #Criatividade #PizzaEempreendedorismo #Negócios #PizzaDay #LuisNamura https://t.co/UTfYv8HelK</t>
  </si>
  <si>
    <t>Além de ter um guia completo para fazer o seu negócio decolar, você também contribuirá com a JAM e o Instituto Semear!  
O episódio completo está no meu canal do YouTube! 🚀 
#ReceitaRecorrente #CérebroDoNamura #Empreendedorismo #PodcastSobreEmpreendedorismo #LuisNamura</t>
  </si>
  <si>
    <t>O episódio completo está no meu canal do YouTube! 🚀
#Inteligência #Perseverança #CérebroDoNamura #Empreendedorismo #Empreendedor #Marketing #MarketingDigital #Podcast #PodcastSobreEmpreendedorismo #LuisNamura</t>
  </si>
  <si>
    <t>Quais são as melhores técnicas para arrasar e tirar o melhor para ambas as partes? Descubra hoje! 👊🏼🚀
https://t.co/O0XFAZVlzR
Esperamos você! 😃
#Negociação #ComoNegociar #CérebroDoNamura #Empreendedorismo #Empreendedor #Marketing #MarketingDigital #Podcast #LuisNamura</t>
  </si>
  <si>
    <t>Ela levantou um império desde os anos 80, tem um sucesso consolidado até hoje e até a sua própria nave! Confira link acima um pouco da sua história empreendedora.
#DiaDoDocumentárioNacional #XuxaODocumentário #Empreendedorismo #LuisNamura</t>
  </si>
  <si>
    <t>Feliz Dia do Cliente! 🎉🎁
#DiaDoCliente #Cliente #Empreendedorismo #ComoEmpreender #NegócioDeSucesso #LuisNamura</t>
  </si>
  <si>
    <t>Criciúma é show! 
🤜Quase 600 empresas abertas em Criciúma somente em junho
🤜Em Seis meses - 3,4 mil novos negócios 
🤜Junho - 1.648 novos empregos
#criciuma #Empreendedorismo #Negócios #Sucesso #Empreender #Inovação #Startups #Estratégia #Gestão #Liderança #Oportunidades https://t.co/rUR8i41MGQ</t>
  </si>
  <si>
    <t>Acordando cedo, café quentinho e pronta pra encarar mais um dia de desafios! 💪 #Empreendedorismo #TrabalhoÁrduo https://t.co/V53mCxKV4d</t>
  </si>
  <si>
    <t>Vem aí a EXPO ANÁPOLIS 2023 
Mais Informações 
Acesse https://t.co/Vm0uqR3jW8
#anapolis #empreendedorismo #feira #industria #comercio #servicos #acia #aciaanapolis https://t.co/DybtAudfiK</t>
  </si>
  <si>
    <t>#Empreendedorismo | Empresa vinculada ao programa de incubação do Parque Tecnológico Metrópole Digital, do @metropoledigi, recebe investimento da maior aceleradora independente do Brasil. + https://t.co/MO1YdeWzX6 https://t.co/UNVJ11EACc</t>
  </si>
  <si>
    <t>RT @ufrnbr: #Empreendedorismo | Empresa vinculada ao programa de incubação do Parque Tecnológico Metrópole Digital, do @metropoledigi, rece…</t>
  </si>
  <si>
    <t>#Investimento #Podcast #Startups #Investimento #Tecnologia #Empreendedorismo
Spotify: https://t.co/sW0pdMio9a
Youtube: https://t.co/3e072d2ZGr
Outras plataformas: https://t.co/HXe88h2hrU https://t.co/gei3ZEGQqI</t>
  </si>
  <si>
    <t>Por fim, eu te pergunto:
Vc é um búfalo ou uma vaca!?
Deixa o like se curtiu e não esqueça de seguir e compartilhar para mais conteúdo de qualidade!  
#empreendedorismo #gestãodepessoas #dinheiro #negócios #sucesso #marketing https://t.co/c9p8MZHt14</t>
  </si>
  <si>
    <t>Simplesmente roube na vida!
Deixa o like se curtiu e não esqueça de seguir e compartilhar para mais conteúdo de qualidade!       
#empreendedorismo #gestãodepessoas #dinheiro #negócios #sucesso #marketing</t>
  </si>
  <si>
    <t>Deixa o like se curtiu e não esqueça de seguir e compartilhar para mais conteúdo de qualidade!    
 #empreendedorismo #gestãodepessoas #dinheiro #negócios #sucesso #marketing</t>
  </si>
  <si>
    <t>Parabéns @ACIRS pelos 78 anos de atuação em prol do #desenvolvimento do Alto Vale! 👏
Seguimos juntos criando #conexões para fortalecer as empresas e lideranças da nossa região. 🤝
#acirs #empreendedorismo #altovale #sc https://t.co/NgvlcyQ6qF</t>
  </si>
  <si>
    <t>Quer acompanhar e contribuir para a evolução do setor de TI do Alto Vale e elevar o padrão da sua empresa? Entre em contato com a gente e torne-se um associado NIAVI!
#niavi #acirs #acate #ti #tecnologia #inovacao #desenvolvimento #empreendedorismo #associativismo https://t.co/VX6Yi8b7IH</t>
  </si>
  <si>
    <t>O NIAVI já atua há quase 20 anos pelo fortalecimento do ecossistema de tecnologia, inovação e empreendedorismo. Somos um núcleo consolidado, inserido num segmento em franca expansão.
#niavi #acirs #acate #ti #tecnologia #desenvolvimento #empreendedorismo #associativismo https://t.co/rZ9A1RtUUD</t>
  </si>
  <si>
    <t>Os núcleos setoriais da ACIRS trabalham pela melhoria da gestão das empresas de diferentes segmentos, em prol de vários setores e bandeiras da região.
#niavi #acirs #acate #ti #tecnologia #inovacao #desenvolvimento #empreendedorismo #associativismo https://t.co/OV5e9UOquf</t>
  </si>
  <si>
    <t>Somos o Núcleo de Tecnologia da Informação da ACIRS, uma entidade que atua para promover o desenvolvimento econômico sustentável do Alto Vale do Itajaí.
#niavi #acirs #acate #ti #tecnologia #inovacao #desenvolvimento #empreendedorismo #associativismo https://t.co/x3fKYTnF0G</t>
  </si>
  <si>
    <t>Você sabe o que é o NIAVI? 🤔
#niavi #acirs #acate #ti #tecnologia #inovacao #desenvolvimento #empreendedorismo #associativismo https://t.co/JerUfKw3ZQ</t>
  </si>
  <si>
    <t>Com muito carinho, anúncio o lançamento do livro: “O caminho do empreendedor”.  Vou contar um pouco da minha história nesse projeto. Você não pode perder!  Não vejo a hora desse dia chegar! 🙏🏻🙌🏻  #junior #empreendedor #empresario #livro#São Paulo https://t.co/DmjvD80y7p</t>
  </si>
  <si>
    <t>#empreendedorismo https://t.co/quSvSB92JS</t>
  </si>
  <si>
    <t>Estamos vivendo em um emocionante momento da humanidade. A IA está revolucionando todos os setores e negócios, reinventando tudo com IA generativa e modelos inovadores. 🚀🌐 #IA #Inovação #Empreendedorismo"</t>
  </si>
  <si>
    <t>💥MARKETING ELEVATION SUMMIT!
🗓28 a 31 de Agosto de 2023 | 19h às 23h
⚡️Junte-se a nós e mergulhe em dezasseis palestras inspiradoras que o irão levar a um patamar de excelência.
▶️Saiba mais aqui:
https://t.co/p86X9xYnjj
#MarketingElevationSummit #Marketing #Empreendedorismo</t>
  </si>
  <si>
    <t>#sigaoprotocolo #protocolodesegurança #segurança #empreendedorismo</t>
  </si>
  <si>
    <t>Os desafios são oportunidades disfarçadas. Encare cada obstáculo com determinação e aprenda com eles para crescer ainda mais forte. #Empreendedorismo #Motivação</t>
  </si>
  <si>
    <t>Empreendedor, celebre suas conquistas, por menores que sejam. Cada passo em direção aos seus objetivos é uma vitória no caminho para o sucesso. 
#Empreendedorismo #CelebreSuasConquistas</t>
  </si>
  <si>
    <t>Empreendedores periféricos, mulheres e LGBTQIA+ vão apresentar seus trabalhos ao público e potenciais investidores #JornalDaki #Cultura #Cidade #RJ #Diversidade #Cidadania #Empreendedorismo 
https://t.co/AlYUgOY2ZH</t>
  </si>
  <si>
    <t>A mudança não é repentina, mas a decisão é já - Por Rosana Melo #JornalDaki #TendênciaseDebates #BolsadeNegócios #Empreendedorismo #Feminismo #RosanaMelo
https://t.co/OsNqdBfFYk</t>
  </si>
  <si>
    <t>Afetos emocionais decorrentes de problemas financeiros - Por Rosana Melo #JornalDaki #TendênciaseDebates #BolsadeNegócios #Empreendedorismo #Feminismo #RosanaMelo
https://t.co/LHWKuG2q0M</t>
  </si>
  <si>
    <t>Já se percebeu travando em alguns momentos? #JornalDaki #TendênciaseDebates #BolsadeNegócios #Empreendedorismo #Feminismo #PatríciaMattos
https://t.co/yFxPgWEm87</t>
  </si>
  <si>
    <t>Sucesso - Por Rosana Melo #JornalDaki #TendênciaseDebates #BolsadeNegócios #Empreendedorismo #Feminismo #RosanaMelo
https://t.co/R3ayX5apSJ</t>
  </si>
  <si>
    <t>Comemore suas pequenas vitórias - Por Patrícia Mattos #JornalDaki #TendênciaseDebates #BolsadeNegócios #Empreendedorismo #Feminismo #PatríciaMattos 
https://t.co/8HCYQPa65b</t>
  </si>
  <si>
    <t>Content adds value to readers' lives.
#digitalmarketing #bhfyp #tiktok #business #entrepreneur #success #smallbusiness #money #marketing #graphicdesign #brand #branding #facebook #digital #marketingdigital #socialmedia #entrepreneurship #empreendedorismo #startup https://t.co/hMUCvQZOo6</t>
  </si>
  <si>
    <t>“Do the right thing as marketers to build trust.”
#digitalmarketing #bhfyp #tiktok #business #entrepreneur #success #smallbusiness #money #marketing #graphicdesign #brand #branding #facebook #digital #marketingdigital #socialmedia #entrepreneurship #empreendedorismo https://t.co/xyvXRKoFEC</t>
  </si>
  <si>
    <t>#marketing #seo #vendas #negocios #empreendedor #empreendedorismo https://t.co/a9VuXuZ628</t>
  </si>
  <si>
    <t>Creditos: #falajoaobranco #marketing #vendas #gestão #empreendedor #negocios #business https://t.co/nzfp8MIvoT</t>
  </si>
  <si>
    <t>Empreendedor solo? Dica #1:
Automatize TUDO possível.
Tempo é valioso.
Economize 1 hora diária com tecnologia - soma.
Concentre-se em construir seu negócio.
Deixe o software lidar com tarefas manuais. #Empreendedorismo #Automatização</t>
  </si>
  <si>
    <t>Conheça a história de Sidney Frank: https://t.co/iFunpoS9Lc
#empreendedorismo #podcast #empreender</t>
  </si>
  <si>
    <t>https://t.co/e1CL6gkR2d
#spiderman #empreendedorismo #tecnologia #amor #tbt #aula #curso #ebook #homem #mulher #amor #sucesso #mais #vendido #servico #trabalhae #viralvideo https://t.co/klaUyEGNiW</t>
  </si>
  <si>
    <t>📈💰 Descubra o segredo para transformar seguidores em clientes e monetizar seu Instagram como nunca imaginou!
🔗 Clique no link da bio do @sebraece. Não fique de fora dessa oportunidade única de transformar seu negócio!
#sebraece #empreendedorismo #redessociais https://t.co/5VGPfscWRi</t>
  </si>
  <si>
    <t>💡 Dropshipping + Mindset = Sucesso! 🚀 Acredite em si mesmo e em seu negócio para alcançar resultados incríveis! 💼💪 #Empreendedorismo #DicasDeNegócios #MarketingDigital</t>
  </si>
  <si>
    <t>O empresário deve conhecer seu negócio de ponta a ponta ! #empreendedorismo #empreender https://t.co/zkrrYVgxPG</t>
  </si>
  <si>
    <t>A bíblia é repleta de promessas, se você der ouvidos ao espírito irá encontrar uma promessa você tbm.
#Biblia #BibliaSagrada #Empreendedorismo https://t.co/faAHHOmK6Y</t>
  </si>
  <si>
    <t>🌟No cenário digital competitivo atual, ter um especialista dedicado à gestão do perfil da sua empresa no Google faz toda a diferença. 
#ApareçaNoGoogle #ResultadosDeBusca #SucessoDigital #CompartilheConhecimento #Empreendedorismo #MarketingDigital #EspecialistasEmSEO https://t.co/pb6HieRTVJ</t>
  </si>
  <si>
    <t>💼Na BP Hub, sabemos que informações precisas são essenciais para o crescimento. 
 #InformaçõesPrecisas #Empreendedorismo #VisãoCompleta #Crescimento #CompartilheSucesso #JuntosSomosMaisFortes #Empreender #TransformaçãoDigital #EstratégiasVencedoras https://t.co/z1ShhhbELL</t>
  </si>
  <si>
    <t>O Google Meu Negócio é a chave para que sua empresa seja encontrada na maior plataforma de buscas do mundo! 
 #EstratégiasDeSucesso #SucessoNosNegócios #CompartilheASabedoria #Empreendedorismo #VisibilidadeNoGoogle #ApareçaParaSeusClientes #AlcanceSeuPúblicoAlvo https://t.co/BAR9kFR14Y</t>
  </si>
  <si>
    <t>🌟 Ser reconhecido como uma referência na sua cidade é o caminho para o sucesso e o crescimento do seu negócio. 
#ReferênciaNaCidade #LíderDeMercado #DestaqueProfissional #MarketingDigital #PresençaOnline #SucessoNosNegócios #Empreendedorismo #Inspiração #ComunidadeDeSucesso https://t.co/OR0nCvLSO3</t>
  </si>
  <si>
    <t>🌟Você já se perguntou o que significa ranquear nos mecanismos de busca? 
 #Visibilidade #SucessoOnline #Empreendedorismo #CompartilheConhecimento #MarketingDigital #EstratégiasDeSucesso #ApareçaNoTopo #ConquisteSeuEspaço #AlcanceSeusObjetivos #TransformeSeuNegócio https://t.co/H9kAuAVMcg</t>
  </si>
  <si>
    <t>👩💻Faça sua empresa se destacar no mundo digital com o Google Meu Negócio! 
 #Visibilidade #FaciliteOContato #SucessoDigital #Empreendedorismo #ApareçaNoGoogle #TransformeSeuNegócio #AlcanceSeuPúblico #CompartilheASabedoria #EstratégiaDigital #MarketingOnline https://t.co/xuwUo1DUgL</t>
  </si>
  <si>
    <t>🌟Na nossa jornada, aprendemos que o sucesso dos nossos clientes é o que realmente importa. 
#Resultados #SucessoDoCliente #CrescimentoGenuíno #ParceirosDeNegócio #CompromissoComResultados #Empreendedorismo #AlcanceSeusObjetivos #TransformeSeuNegócio #SucessoNosNegócios https://t.co/OmDftoppux</t>
  </si>
  <si>
    <t>Chegou o mês do grande encontro de oportunidades entre a favela e o asfalto!
Vamos nessa?
Nós, da @cufabrasil, temos a honra de sermos parceiros da @expofavelarj.
Dias 29, 30 e 31 de julho na @cidadedasartes_
#expofavelainnovation2023 #expofavelarj #empreendedorismo #inovação https://t.co/hmJ7pDKo5s</t>
  </si>
  <si>
    <t>Chegou mais uma semana para você brilhar! Se o seu negócio ainda está no anonimato digital, está na hora de mudar isso. 💡✨Não deixe sua marca escondida, mostre ao mundo o que você tem a oferecer! 💪🌐 #negócio #empreendedorismo #visibilidade #sucesso</t>
  </si>
  <si>
    <t>Grandes oportunidades são criadas diariamente!! Gerencie para o crescimento. #empreendedorismo</t>
  </si>
  <si>
    <t>VAGAS ABERTAS! 
A 2ª turma da N3 Acelera.
Então se você tem uma ideia, ou já tem seu negócio, mas quer acelerar o seu negócio, chegou a hora. 🚀
VAGAS LIMITADAS! 
+ Informações na bio.
#negocios #aceleradora #maceio #empreendedorismo #n3 https://t.co/39N2I3gUrT</t>
  </si>
  <si>
    <t>O lote vai virar! 🚀 
Então corre para garantir a sua vaga com valor promocional na 1ª Escola de Empreendedores, da N3.
VAGAS LIMITADAS! ✅ Início das aulas em Setembro.
📲 Link na bio
#negocios #empreendedorismo #aceleradora #maceio #coworking #escoladeempreendedores https://t.co/T27ien5bhk</t>
  </si>
  <si>
    <t>Não permita que a correria da sua rotina atrapalhe as relações que realmente importam.
#ErikPenna #Motivação #Treinamento #Liderança #AtendimentoMagico #Empreendedorismo ⠀⠀⠀⠀⠀⠀⠀⠀⠀⠀⠀⠀⠀⠀⠀⠀
⠀⠀⠀⠀⠀⠀⠀⠀⠀⠀⠀⠀⠀⠀⠀⠀⠀⠀⠀⠀⠀⠀⠀⠀⠀ https://t.co/toZHBCMlBz</t>
  </si>
  <si>
    <t>Almeje a felicidade! 😉
#ErikPenna #Motivação #Treinamento #Liderança #AtendimentoMagico #Empreendedorismo #Sucesso #Carreira #Brasil⠀⠀⠀⠀⠀⠀⠀⠀⠀⠀⠀⠀⠀⠀⠀⠀⠀⠀⠀⠀⠀⠀⠀⠀⠀
⠀⠀⠀⠀⠀⠀⠀⠀⠀⠀⠀⠀⠀⠀⠀⠀⠀⠀⠀⠀⠀⠀⠀⠀⠀
🌎 https://t.co/QcvxUZDTA5 https://t.co/PgDYvTvicX</t>
  </si>
  <si>
    <t>Uma missão de vida que encanta e impulsiona os resultados.
#encantar
#vendas
#motivação 
#resultados
#empreendedorismo 
#erikpenna
#palestrante https://t.co/oFX1cJ5VGj</t>
  </si>
  <si>
    <t>Em breve: Crie algo que mantenha você no seu objetivo. 
#propósitos #objetivo #marca #registro #empreendedor #autônomo #persevera #embreve
#evovend #você https://t.co/Pf1kdO2wc1</t>
  </si>
  <si>
    <t>A marca é muito mais que uma logomarca bonita e estilizada, a marca carrega em sua identidade visual, desenho, logotipo, o DNA da empresa que ela representa.
https://t.co/ULHfqTQkd8 
#marca #empreendedor #autônomo #autonomos #evovend #logo #logotipo #logomarcas #objetivos #propós https://t.co/ft8TRVGEly</t>
  </si>
  <si>
    <t>Na esfera do desenvolvimento sustentável se faz necessário à formalização de todos(as) empreendedores(as).
O nosso papel enquanto ente público é dar condições para essa transformação que vai gerar mais emprego e mais renda para as pessoas.
#desenvolvimento #empreendedorismo</t>
  </si>
  <si>
    <t>#empreendedorismo
Juceal divulga rankings de abertura e baixa empresarial no 1º semestre de 2023
https://t.co/R9k2XceuW7</t>
  </si>
  <si>
    <t>#empreendedorismo
Presidente Lula diz que criará ministério para pequena e média empresa
https://t.co/JTZ3mS3QY3</t>
  </si>
  <si>
    <t>#empreendedorismo
Evento inédito trará oportunidades e novas parcerias comerciais para Alagoas
https://t.co/eZQtvCeQpl</t>
  </si>
  <si>
    <t>Muito agradecido ao convite da Bconnected, será um momento incrível ao lado dos Melhores! Levar uma startup do agro para o mundo do franchising é uma conquista que enche meu coração de orgulho. 🌱💼 #BConnect #Empreendedorismo #odronedoagro #franchising #agroatlasbrasil https://t.co/HkMeOGq0pD</t>
  </si>
  <si>
    <t>" VÍDEO INSTITUCIONAL"
"Bem-vindo à nossa loja de fotocópias e impressões, onde a qualidade e a rapidez se unem.
#fotocópias
#empresa
#empreendedor
#lucianocopias
#impressão https://t.co/eIYnG4V17a</t>
  </si>
  <si>
    <t>Fazer um ótimo trabalho é bem diferente do slogan “trabalhe duro”. https://t.co/j96e5dyLnS #empreendedorismo #Negocios</t>
  </si>
  <si>
    <t>A vida é muito curta para esperar ser escolhido. Escolha a si mesmo! #projetos #negocios #empreendedorismo  https://t.co/4Zfgbs5uYX</t>
  </si>
  <si>
    <t>#empreender #empreendedorismo #sucesso #marketingdigital #marketing #empreendedor #foco #motivação #empreendedorismodigital #dinheiro #negocios #empreendertransforma #business #liderança #vendas #coaching #oportunidade #geracaodevalor #motivacao #empreendedores #mindset https://t.co/ADr4xV4W41</t>
  </si>
  <si>
    <t>Eu Capacito Disponibiliza 18 Cursos Gratuitos do Google
https://t.co/b6jAkwAL5k
 #cloud #cursosgratuitos #empreendedorismo #marketingdigital #programacao #tecnologia
https://t.co/b6jAkwAL5k</t>
  </si>
  <si>
    <t>Curso de Inteligência Artificial para Projetos 100% Gratuito
https://t.co/OMHc67hQZS
 #business #cursosgratuitos #empreendedorismo #inteligenciaartificial #projetos #tecnologia
https://t.co/OMHc67hQZS</t>
  </si>
  <si>
    <t>Evento Gratuito de Inteligência Artificial Aplicada a Finanças
https://t.co/YZEcuZu3he
 #cursosgratuitos #empreendedorismo #empresas #inteligenciaartificial #startups #tecnologia
https://t.co/YZEcuZu3he</t>
  </si>
  <si>
    <t>Cursos para Gestão de Negócios 100% Gratuitos
https://t.co/Es6gOSKNmF
 #cursosgratuitos #empreendedorismo #empregabilidade #empresas #gestao #lgpd #marketing #marketingdigital #segurançadigital #tecnologia
https://t.co/Es6gOSKNmF</t>
  </si>
  <si>
    <t>Curso de Marketing Digital 100% Gratuito Ofertado pela Globo
https://t.co/F4LpHD65Vs
 #cursosgratuitos #empreendedorismo #marketing #marketingdigital #tecnologia
https://t.co/F4LpHD65Vs</t>
  </si>
  <si>
    <t>Curso de Empreendedorismo Digital Online e Gratuito
https://t.co/wgQjVE57TO
 #cursosgratuitos #empreendedorismo #empresas #marketing #marketingdigital #tecnologia
https://t.co/wgQjVE57TO</t>
  </si>
  <si>
    <t>Curso de Inteligência Artificial para Projetos 100% Gratuito
https://t.co/jONRl4hKmZ
 #business #cursosgratuitos #empreendedorismo #inteligenciaartificial #projetos #tecnologia
https://t.co/jONRl4hKmZ</t>
  </si>
  <si>
    <t>Curso de Inteligência Artificial para Projetos 100% Gratuito
https://t.co/43fWwQ4tMb
 #business #cursosgratuitos #empreendedorismo #inteligenciaartificial #projetos #tecnologia
https://t.co/43fWwQ4tMb</t>
  </si>
  <si>
    <t>RT @guiadeti: Curso de Marketing Digital 100% Gratuito Ofertado pela Globo
https://t.co/F4LpHD65Vs
 #cursosgratuitos #empreendedorismo #m…</t>
  </si>
  <si>
    <t>RT @guiadeti: Curso de Empreendedorismo Digital Online e Gratuito
https://t.co/wgQjVE57TO
 #cursosgratuitos #empreendedorismo #empresas #…</t>
  </si>
  <si>
    <t>Se você não construir seu sonho, alguém vai te contratar para ajudar a construir o dele
#simplesassim #empreendedorismo</t>
  </si>
  <si>
    <t>Vamos conhecer as intenções estratégicas da OSC Valendo Economia Criativa da Amazônia para seus projetos, atividades e ações na Amazônia Legal.
1.2..3... VALENDO!
#3setor #terceirosetor #economia #economiacriativa #economiacircular #economiasolidaria #inovacao #empreendedorismo https://t.co/gFPhlnPqLR</t>
  </si>
  <si>
    <t>Coimbra está à tua espera!
16, 17 e 18 outubro
Estás à espera do quê?
As candidaturas terminam a 24/setembro!
Sabe mais e inscreve-te em https://t.co/prSYgVoTow
#CTCV #empreendedorismo #tourismcolab #lufapohub https://t.co/IMCoVjwu7h</t>
  </si>
  <si>
    <t>Coimbra está à tua espera!
16, 17 e 18 outubro
Estás à espera do quê?
As candidaturas terminam a 24/setembro!
Sabe mais e inscreve-te em https://t.co/GEibsnLdQQ
#CTCV #empreendedorismo #tourismcolab #lufapohub https://t.co/MveFcH2TFR</t>
  </si>
  <si>
    <t>Coimbra está à tua espera!
16, 17 e 18 outubro
Estás à espera do quê?
As candidaturas terminam a 24/setembro!
Sabe mais e inscreve-te em https://t.co/prSYgVoTow
#CTCV #empreendedorismo #tourismcolab #lufapohub https://t.co/tpkUWMeH7x</t>
  </si>
  <si>
    <t>Coimbra está à tua espera!
16, 17 e 18 outubro
Estás à espera do quê?
As candidaturas terminam a 24/setembro!
Sabe mais e inscreve-te em https://t.co/prSYgVoTow
#CTCV #empreendedorismo #tourismcolab #lufapohub https://t.co/9PZsKDnglk</t>
  </si>
  <si>
    <t>Coimbra está à tua espera!
16, 17 e 18 outubro
Estás à espera do quê?
As candidaturas terminam a 24/setembro!
Sabe mais e inscreve-te em https://t.co/prSYgVoTow
#CTCV #empreendedorismo #tourismcolab #lufapohub https://t.co/cmlkXAlqzY</t>
  </si>
  <si>
    <t>Coimbra está à tua espera!
16, 17 e 18 outubro
Estás à espera do quê?
As candidaturas terminam a 24/setembro!
Sabe mais e inscreve-te em https://t.co/prSYgVoTow
#CTCV #empreendedorismo #tourismcolab #lufapohub https://t.co/yRJw1x5Yak</t>
  </si>
  <si>
    <t>Ações para o fortalecimento do empreendedorismo trazem presidente nacional do Sebrae a Goiás.
By @diariodegoias 
#Sebrae #Goias #Empreendedorismo 
https://t.co/h1ZNbB96th</t>
  </si>
  <si>
    <t>Feira automotiva em Goiânia oferece palestra gratuita sobre empreendedorismo
By @diariodegoias 
#Empreendedorismo #Expopeças #Mecânica #Sebrae #ExpoPeças
https://t.co/CZrOUoswJy</t>
  </si>
  <si>
    <t>Lula anuncia criação de ministério para incentivar empreendedorismo e gerar empregos
By @diariodegoias
#lula #anuncia #criacao #ministerio #empreendedorismo #empregos #economia
https://t.co/k8VKCKHOhc</t>
  </si>
  <si>
    <t>Hoje deixando aqui mais uma entrega do kit de associados master do ilan. Desta vez para meu grande amigo e empreendedor nato, @marciomaximianosouza da @mpsprotecaoveicular !!!
#institutoilan #ilan #ilaninstituto #empreendedorismo #empreendedor #araçatuba #aracatuba #sucesso https://t.co/DnDSv89cdI</t>
  </si>
  <si>
    <t>É um cenário de crescimento notável, com mais empreendedores investindo no Brasil. E tudo de maneira mais ágil e simplificada.  É o Brasil no rumo certo! 🇧🇷 #Empreendedorismo #NovasEmpresas #MDIC
📲Saiba mais: https://t.co/sTi0AkLmZu</t>
  </si>
  <si>
    <t>▶️As inscrições para o Transformar Juntos são gratuitas. Para participar, basta acessar o endereço eletrônico: https://t.co/PyYxY0lZJZ. 🤝🇧🇷 
#TransformarJuntos #Sebrae #MDIC #DesenvolvimentoSustentável #PequenosNegócios #Brasil #Empreendedorismo</t>
  </si>
  <si>
    <t>Você tem empresa e usa sua conta de pessoa física para as operações empresariais? 
#seligaempreendedor ⬆️😉
_______________
#dimp #empreendedor #simãodias #simaodias #lagarto #poçoverde #paripiranga #reels #empresas #dicas #fiqueatento #empresarios #empresario #contabilidade https://t.co/EoIk70rpEB</t>
  </si>
  <si>
    <t>Entenda como funciona a DIMP, e quais os cuidados que você precisa tomar para não cometer um crime de sonegação fiscal.
_______________
#seligaempreendedor #dmip #empreendedor #simãodias #simaodias #lagarto #poçoverde #paripiranga #reels #empresas #dicas #fiqueatento https://t.co/w2vxX9Mk7y</t>
  </si>
  <si>
    <t>Você não separa suas contas pessoais das empresariais? Então, assiste esse vídeo e saiba os riscos que você está correndo.
______________
#seligaempreendedor #simãodias #simaodias #reels #empreendedor #empreendedores #empresas #dicas #empresarios #assuntosdomomento #paripiranga https://t.co/PXutH32KHm</t>
  </si>
  <si>
    <t>Saiba como aumentar o score da sua empresa. 😉
__________________________________________
#seligaempreendedor #score #empreendedor #simãodias #simaodias #lagarto #poçoverde #paripiranga #reels #empresas #dicas #fiqueatento #aumentarscore #empresas #empresarios #empreendedores https://t.co/z7qJLdcZ8Y</t>
  </si>
  <si>
    <t>#empresas #empreendedor #empreendedorismo #acai 
https://t.co/awQRxhExZd</t>
  </si>
  <si>
    <t>Além disso, oferece mais oportunidades para os produtores ampliarem o networking e terem acesso a novos canais de comercialização.  #SebraePI #empreendedorismo</t>
  </si>
  <si>
    <t>Você vai entender mais sobre o assunto, saberá qual é o melhor momento para realizar essa solicitação e muito mais. 📝 
👉🏻 Inscreva-se pelo site: https://t.co/178blJejwX
#CursoGratuito #Sebrae #Empreendedorismo</t>
  </si>
  <si>
    <t>Bom dia! 🌞 Empreendedor, não desista do seu foco. 🎯 Conte com o Sebrae Piauí para as melhores soluções. #SebraePiauí #Empreendedor</t>
  </si>
  <si>
    <t>Afinal, o que é empreendedorismo?
Confira em seguida tudo a respeito desse conceito importante e confira exemplos inspiradores.
https://t.co/zDDHbfDNy4
#ProddigitalNegocios #empreendedorismo #empreender #empreendedor #negocios</t>
  </si>
  <si>
    <t>Projeto de Aceleração do Ecossistema de Inovação, Empreendedorismo e Pesquisa foi selecionado.
https://t.co/FP34rviHYP
#revistagc #revista_gc
#sobratema #Projeto #Aceleração #Ecossistema #Inovação, #Empreendedorismo #apoio
#financeiro #ParquesTecnológicos
#Finep https://t.co/ifaGVQsW9f</t>
  </si>
  <si>
    <t>Hoy seguiremos #hablandocomoloslocos en la segunda parte de mi análisis sobre lo dicho por el interlocutor de @fedecamaras y analista @luisvicenteleon en el programa de @Vladivillegastv por @Unionradionet
#economia #negocios #empreendedorismo #emprendedores #venezuela #politics https://t.co/uebpYiiuG3</t>
  </si>
  <si>
    <t>E vamos lá para mais um dia de trabalho!! Gratidão sempre a Deus e a cada cliente que tenho. 🫶✨
#empreendedor #decorador #sonhador https://t.co/wV0niiDs2k</t>
  </si>
  <si>
    <t>Descubra novos horizontes! Torne-se um(a) franqueado(a) de sucesso e faça parte da família Sobrancelhas Design. Oportunidade única de empreender e crescer! 🚀🌟
Entre em contato pelo nosso e-mail
vendas@gsd.com.br
#Franquia #Empreendedorismo #Oportunidade #sobrancelhasdesign #sd https://t.co/KNlAua0Q22</t>
  </si>
  <si>
    <t>https://t.co/fJrdYJ9v2y
#diplomaciabusiness #diplomacia #brasil
#relaçõesinternacionais #relaçõesexteriores
#geraldoalckmin #empreendedorismo @geraldoalckmin</t>
  </si>
  <si>
    <t>[#Empreendedorismo] Em Garopaba, no Litoral Sul de Santa Catarina, empreendedores se reuniram no evento "Acig Day". A iniciativa buscou estimular o conhecimento, e a troca de experiências.
#PIXTV #PixNasRedes #Garopaba #AcigDay 
https://t.co/PBG09b5hQC</t>
  </si>
  <si>
    <t>[#empreendedorismo] Evento que ocorreu em São José (SC) serviu para criar conexões entre comunicação e empreendedorismo.
#PIXTV #PixNasRedes #ConectaMais #SantaCatarina 
https://t.co/CaxaqLbY3M</t>
  </si>
  <si>
    <t>[#Empreendedorismo] Nesta edição do 8 minutos, você acompanha tudo sobre a 5àSec, a maior rede de lavanderias do Brasil. O jornalista Thiago Pereira conversa com o CEO da companhia, Fábio Roth.
#PIXTV #PixNasRedes #Brasil #RededeLavanderias #5àSec 
https://t.co/ivVhq2xt1C</t>
  </si>
  <si>
    <t>A ética de trabalho dos puritanos influenciou o espírito empreendedor americano. Sua opinião no trabalho árduo como virtude impactou a economia dos EUA. #TrabalhoDuro #Empreendedorismo</t>
  </si>
  <si>
    <t>Acreditar em você é o primeiro passo. 🚀
#motivacional #ficaadica #tecnologia #motivação #sucesso #empreendedorismo #determinação #motivation https://t.co/rCtU8GGOcE</t>
  </si>
  <si>
    <t>Desejamos uma semana repleta de oportunidades. 🚀
#motivacional #ficaadica #tecnologia #motivação #sucesso #empreendedorismo #determinação #motivation https://t.co/gNyMBozbE4</t>
  </si>
  <si>
    <t>Na Vira Virtual temos todos os serviços digitais necessários para impulsionar o seu negócio.
https://t.co/Gpttw8sJoU
#ViraVirtual #servicosdigitais #empreendedorismo #microempreendedor #criadordesites #SEO #assistenciaonline #redessociales https://t.co/68O1KgGbmI</t>
  </si>
  <si>
    <t>📰 Encontro de #Empreendedorismo #Feminino na #Moita
Evento dedicado ao Empreendedorismo Feminino, dinamizado pela Comunidade In Women’s World, teve o apoio da Câmara Municipal.
Leia tudo em: https://t.co/QMFHrDFjOX https://t.co/OnS1RzNbCO</t>
  </si>
  <si>
    <t>#empreendedor você está ouvindo seus clientes? 
Eles estão te dando pistas sobre o que e como querem... o tempo todo.
Use essas informações para melhorar suas soluções e sua #copy. 
O feedback do seu cliente é uma mina de ouro.</t>
  </si>
  <si>
    <t>#multinivel #networkmarketing #mmn #empreendedorismo #negocios #marketingmultinivel #marketingderede #liderazgo #vel #mlm #marketingdigital #networker #business #o #marketing #empreender #a #emprende #marketingderelacionamento #emprendedores #sucesso #libertadfinanciera #renda</t>
  </si>
  <si>
    <t>🤩❓ Empreender | O que é empreender?
#empreendedorismo #negocio #coluna 
https://t.co/4TXNz7vz1j</t>
  </si>
  <si>
    <t>🤩 Que tal já começar o segundo semestre do ano com a parceria da AgeRio?
🏖 Se você possui uma empresa que atua do Setor de Turismo, confira as oportunidades e não fique de fora!
#AgeRio #Credito #Empreendedorismo #Turismo #Fungetur #Bares #Restaurantes https://t.co/fE5Zdj1N1g</t>
  </si>
  <si>
    <t>Conheça nosso curso online “Narrativa: o contador de histórias”, com o professor Felipe Folgosi.
Aprenda toda a estrutura para desenvolver seus pensamentos, melhorando assim sua comunicação!
#cursoonline #narrativa #comunicacao #empreendedorismo
https://t.co/nXJ77HVI1c https://t.co/fLSxljbcYX</t>
  </si>
  <si>
    <t>Saiba mais sobre nosso curso online “Macrotendência”, com a professora Silvana Holzmeister.
Crie oportunidades para seu futuro, entenda as macrotendências! 
#curso #macrotendência #tendencia #empreendedorismo 
https://t.co/ICwkJRUuBT https://t.co/xDPHtFlxwS</t>
  </si>
  <si>
    <t>Monte uma coleção com diferentes peças e técnicas recriando roupas!
Conheça nosso curso online “Upcycling - começando seu negócio”, com a professora Juliene Darin.
#cursosonline #upcycling #moda #empreendedorismo
https://t.co/IAqpQAzXn2</t>
  </si>
  <si>
    <t>Veja nosso curso online “Arte da Customização”, com o professor Diego Lemos.
Customize diferentes objetos com os melhores materiais e acabamento profissional! 
#cursosonline #arte #customizacao #empreendedorismo 
https://t.co/hlQiqhHHKG https://t.co/oWuprewLl0</t>
  </si>
  <si>
    <t>🔗 Confira mais detalhes no site da FAS: https://t.co/zgo10hzef4
#empreendedorismo #indigenas #parentasquefazem</t>
  </si>
  <si>
    <t>👉🏽 Haverá atividades para crianças, atrações musicais e exposições! Ah, a nossa feira é petfriendly, então pode trazer o seu AUmigo. É diversão garantida para toda a família! 🎉🐶
#feiradafas #sustentabilidade #empreendedorismo</t>
  </si>
  <si>
    <t>Levamos nosso propósito muito a sério. E para a gente, o empreendedorismo responsável competitivo está no centro de nossos esforços.
#empreendedorismo #responsabilidade #responsabilidadesocial #ecosystem #yes #yestechnology https://t.co/xBtlbc0Afm</t>
  </si>
  <si>
    <t>O gay me oferecendo 1.000$ pra lascar a pomba nele…
Vou passar a proposta pro Augusto e ficar com 500tão pela indicação 
#empreendedorismo</t>
  </si>
  <si>
    <t>Link na Bio 
#vagasribeiraopreto
#empregosribeiraopreto
#cursosgratuitos
#empreendedorismo
#concursopublico
#ismaelcolosi https://t.co/6jqxqp4Fbq</t>
  </si>
  <si>
    <t>Link na Bio 
#vagasribeiraopreto
#empregosribeiraopreto
#cursosgratuitos
#empreendedorismo
#concursopublico
#ismaelcolosi https://t.co/1b7voiR2ru</t>
  </si>
  <si>
    <t>Link na Bio 
#vagasribeiraopreto
#empregosribeiraopreto
#cursosgratuitos
#empreendedorismo
#concursopublico
#ismaelcolosi https://t.co/UstkFlfdKl</t>
  </si>
  <si>
    <t>Link na Bio 
#vagasribeiraopreto
#empregosribeiraopreto
#cursosgratuitos
#empreendedorismo
#concursopublico
#ismaelcolosi https://t.co/LeSTD6qTSm</t>
  </si>
  <si>
    <t>Link na Bio 
#vagasribeiraopreto
#empregosribeiraopreto
#cursosgratuitos
#empreendedorismo
#concursopublico
#ismaelcolosi https://t.co/wIBBo8ZSox</t>
  </si>
  <si>
    <t>Link na Bio 
#vagasribeiraopreto
#empregosribeiraopreto
#cursosgratuitos
#empreendedorismo
#concursopublico
#ismaelcolosi https://t.co/MqRKxtpoyd</t>
  </si>
  <si>
    <t>Link na Bio 
#vagasribeiraopreto
#empregosribeiraopreto
#cursosgratuitos
#empreendedorismo
#concursopublico
#ismaelcolosi https://t.co/d8aUNaMsfD</t>
  </si>
  <si>
    <t>Link na Bio 
#vagasribeiraopreto
#empregosribeiraopreto
#cursosgratuitos
#empreendedorismo
#concursopublico
#ismaelcolosi https://t.co/GKmyZxkAXE</t>
  </si>
  <si>
    <t>Link na Bio 
#vagasribeiraopreto
#empregosribeiraopreto
#cursosgratuitos
#empreendedorismo
#concursopublico
#ismaelcolosi https://t.co/9nYcJ1pc2q</t>
  </si>
  <si>
    <t>Pra cima!
Link na Bio 
#vagasribeiraopreto
#empregosribeiraopreto
#cursosgratuitos
#empreendedorismo
#concursopublico
#ismaelcolosi https://t.co/LW3NBsbebH</t>
  </si>
  <si>
    <t>Link na Bio 
#vagasribeiraopreto
#empregosribeiraopreto
#cursosgratuitos
#empreendedorismo
#concursopublico
#ismaelcolosi https://t.co/VC7CVrBbCY</t>
  </si>
  <si>
    <t>Link na Bio 
#vagasribeiraopreto
#empregosribeiraopreto
#cursosgratuitos
#empreendedorismo
#concursopublico
#ismaelcolosi https://t.co/6IuvllKYfk</t>
  </si>
  <si>
    <t>Link na Bio 
#vagasribeiraopreto
#empregosribeiraopreto
#cursosgratuitos
#empreendedorismo
#concursopublico
#ismaelcolosi https://t.co/FPRr9mQkp2</t>
  </si>
  <si>
    <t>https://t.co/o4Sw1VZ123
Link na Bio 
#vagasribeiraopreto
#empregosribeiraopreto
#cursosgratuitos
#empreendedorismo
#concursopublico
#ismaelcolosi https://t.co/d7rkvlh3GY</t>
  </si>
  <si>
    <t>Link na Bio 
#vagasribeiraopreto
#empregosribeiraopreto
#cursosgratuitos
#empreendedorismo
#concursopublico
#ismaelcolosi https://t.co/uPCheHwarC</t>
  </si>
  <si>
    <t>Mais vagas!
Link na Bio 
#vagasribeiraopreto
#empregosribeiraopreto
#cursosgratuitos
#empreendedorismo
#concursopublico
#ismaelcolosi https://t.co/xlWOQDjRMO</t>
  </si>
  <si>
    <t>Reunião hoje Saerp na busca de apresentae sempre a melhor solucao para os munícipes.  Link na Bio 
#vagasribeiraopreto
#empregosribeiraopreto
#cursosgratuitos
#empreendedorismo
#concursopublico
#ismaelcolosi
#nos.nao.vamos.parar https://t.co/rZqWP2Pi4R</t>
  </si>
  <si>
    <t>Link na Bio 
#vagasribeiraopreto
#empregosribeiraopreto
#cursosgratuitos
#empreendedorismo
#concursopublico
#ismaelcolosi https://t.co/9S3dcSTzRM</t>
  </si>
  <si>
    <t>Link na Bio 
#vagasribeiraopreto
#empregosribeiraopreto
#cursosgratuitos
#empreendedorismo
#concursopublico
#ismaelcolosi https://t.co/Ghfr1ojVkD</t>
  </si>
  <si>
    <t>Link na Bio 
#vagasribeiraopreto
#empregosribeiraopreto
#cursosgratuitos
#empreendedorismo
#concursopublico
#ismaelcolosi https://t.co/qwKXouD70W</t>
  </si>
  <si>
    <t>Encontro com o Prefeito da minha terra natal Viradouro Kal Ribeiro.
Link na Bio 
#vagasribeiraopreto
#empregosribeiraopreto
#cursosgratuitos
#empreendedorismo
#concursopublico
#ismaelcolosi https://t.co/bdlWLk3utr</t>
  </si>
  <si>
    <t>Link na Bio 
#vagasribeiraopreto
#empregosribeiraopreto
#cursosgratuitos
#empreendedorismo
#concursopublico
#ismaelcolosi https://t.co/eWgLtiNrhA</t>
  </si>
  <si>
    <t>¿O que é A CHAMADA ‘ACUMULAÇÃO’ EMPREENDEDORA e o ESTADO #EMPREENDEDOR do NOVO #NEOLIBERALISMO no século 21? 
🔻🔻VER MÁS🔻🔻
https://t.co/kIuqpBs6Hm
@ufrgsnoticias @Unisinos @ufrnbr @ufmgeducativa  @Marx_Brasil @rbecampo @marxismobr</t>
  </si>
  <si>
    <t>#Empreendedorismo | Estão abertas as inscrições para ingresso de empresas no ecossistema do Parque Tecnológico Metrópole Digital (Metrópole Parque). São oferecidas oportunidades para incubação, pré-incubação e credenciamento residente. + https://t.co/6Hxyx8T4yj https://t.co/0BzFSPjFLm</t>
  </si>
  <si>
    <t>#Empreendedorismo | A Central de Empresas Juniores (CEJr) da UFRN realiza reunião anual de credenciamento para as empresas juniores. O evento acontece no dia 21 de agosto, às 15h, no Auditório do Complexo Tecnológico de Engenharia, no Campus Central. + https://t.co/lLk7WYVZIp https://t.co/tJ8cjVRHDL</t>
  </si>
  <si>
    <t>#Empreendedorismo | Estudantes e professores tutores das empresas juniores da UFRN participaram da reunião anual de credenciamento. A iniciativa visa certificar as empresas juniores que atenderam aos requisitos legais necessários para atuarem na UFRN. + https://t.co/fVbwbO1VX0 https://t.co/C7mGHaz7i8</t>
  </si>
  <si>
    <t>Seu Patrimônio está seguro? #protecao #empreendedorismo #startup https://t.co/JT9pYbmnhC</t>
  </si>
  <si>
    <t>De: iamjoaosampaio
・・・
Não se esqueça disso.⚡️
#decisões #destino #motivacao #empreendedorismo #riqueza https://t.co/TMl6Jq7PAP</t>
  </si>
  <si>
    <t>#Empreendedorismo Santos abriga fórum que discute o empreendedorismo negro. https://t.co/zH2mypLX1Z</t>
  </si>
  <si>
    <t>#Empreendedorismo Peças são desenhadas pela estilista de bonecas Letícia dos Santos
https://t.co/e95iIv4v8C</t>
  </si>
  <si>
    <t>8ª Rodada de Negócios da CDL Conexões: ampliando as possibilidades de networking:
https://t.co/QjeByiCRWx 
#CDLConexões #RodadaDeNegócios #Network #Empreendedorismo #CDLBlumenau #Mesorregional #Informação</t>
  </si>
  <si>
    <t>Emprego Fest: Kaká D’Ávila propõe evento dedicado a vagas de trabalho e fomento do empreendedorismo. Leia mais: https://t.co/hstm5iT1ne
.
#BancadaPSDBrs #PSDB #Emprego #empreendedorismo</t>
  </si>
  <si>
    <t>👉Desenvolvemos um Website com:
➡️ Pop-Ups de Captação de Leads
➡️ Formulários de Contacto
➡️ Calls To Action
➡️ Multilingue
➡️ SEO
#branding #marca #marketing #business #empreendedorismo #instagood #aviacao #megatic https://t.co/V0djJG9HGp</t>
  </si>
  <si>
    <t>Depois de anos, voltando ao Twitter!!! Perdi alguma coisa?
#Musica #esportes #empreendedorismo #autodesenvolvimento #autoconhecimento #SPFC</t>
  </si>
  <si>
    <t>Uber Condenada a Pagar R$ 1 Bilhão e Contratar Motoristas: Uma Reviravolta nos Direitos Trabalhistas
#JustiçaTrabalhista #padraojuridico 
#TST #informação #DireitosTrabalhistas #empreendedorismo #trabalho #direitotrabalhista #justiça
#empregado #clt #uber #aplicativo #motorista https://t.co/7E1ysbNFUa</t>
  </si>
  <si>
    <t>O que é um empregado segundo a CLT?
#JustiçaTrabalhista #padraojuridico 
#TST #informação #DireitosTrabalhistas #empreendedorismo #trabalho #direitotrabalhista #justiça
#empregado #clt https://t.co/5tzdsB28RJ</t>
  </si>
  <si>
    <t>mandamos um reelzinho lá no insta da firma, usando aquele modificador de voz da a.i, só pra vocês nos darem aquela moral contra o algoritmo
do zuck.
chega aqui e fortalece o #empreendedor!
https://t.co/8BGcXFTkV9</t>
  </si>
  <si>
    <t>tá trabalhando hoje? então toma essa!
#vidademei #empreendedor #correria
https://t.co/0NQUJAuiFG</t>
  </si>
  <si>
    <t>Resumo econômico hyperdrive de hoje 18/07/2023 
#noticias #noticiasem1minuto #brasil #economia
#Empreendedorismo #Analisedemercado
#Investimentosfinanceiros #Startups #inovação
https://t.co/ymkNIrbgJp https://t.co/DYpfeFdVwL</t>
  </si>
  <si>
    <t>Sabia que existe um aplicativo para o MEI disponibilizado pela ⁦@ReceitaFederal⁩
👉 espalhe esta informação 😉
#mei #microempreendedor #microempreendedorindividual #microempresario #empreendedorismo #simplesnacional #vidatributária #receitafederal  https://t.co/PK0NpeuQ3a</t>
  </si>
  <si>
    <t>#empreendedorismo 
https://t.co/fLiVn4FXVz</t>
  </si>
  <si>
    <t>Esse é meu Goiás! Pensa em um #coworking público completo, esse é nosso @hubgoias 
#inovacao #empreendedorismo #ti #tech #dev #thedevlife #freelancer https://t.co/QwhEDNakYT</t>
  </si>
  <si>
    <t>Com paciência e determinação a gente assume o controle.
•
•
#life #lifestyle #thedevlife #workanywhere #dev #code #apple #business #empreendedorismo https://t.co/4tQL8LlWrn</t>
  </si>
  <si>
    <t>Como avançar no seu negócio?
Aqui trago os pilares do crescimento.
#mentoria #gestaoestrategica #empreendedorismo https://t.co/bLYNmdSZOi</t>
  </si>
  <si>
    <t>Pesquisa da Endeavor indica que 3 em cada 4 brasileiros prefeririam ter um negócio próprio que ser funcionário.
Além disso,52%dessa população acredita ser provável ou muito provável que se torne empreendedor em um horizonte de 5 anos.
#empreendedorismo #gestaoestrategica</t>
  </si>
  <si>
    <t>Você já parou para pensar como o equilíbrio mental pode impulsionar o seu negócio? 🌟
Comente aqui o que você tem feito para ter equilíbrio todos os dias!
.
.
.
.
#equilibriomental #medicinaintegrativa #saudemental #empreendedorismo #lideresempreendedores #gestaodepessoas https://t.co/60CmalC8sM</t>
  </si>
  <si>
    <t>Análise: Servidor Torre Dell PowerEdge T150
@Dell @DellnoBrasil #servidor #empresa #empresas #empreendedor #empreendedores #pme
https://t.co/UtqR4CnWQp</t>
  </si>
  <si>
    <t>O OnlyOffice DocSpace é uma ferramenta poderosa para empresas que buscam melhorar a colaboração e a produtividade.
@only_office #empresa #empresas #opensource #webbased #empreendedor #empreendedorismo #valeapenaler
https://t.co/kPWs4v6LVk</t>
  </si>
  <si>
    <t>//Posse//
Empreendedoras de Sucesso prontas para conquistar o mundo.
Parabéns mulheres de sucesso!
#ndp #netodepaula #enekapital #empreendedorismo https://t.co/zxya8JPWuw</t>
  </si>
  <si>
    <t>Bento Gonçalves registrou mais de 1450 novas empresas no primeiro semestre do ano
https://t.co/u2DhkiuMrQ
.
.
.
#SalaDoEmpreendedor #empresas #empreendedorismo #bentogonçalves #serranossa https://t.co/V7a4JaDqbd</t>
  </si>
  <si>
    <t>https://t.co/2YOYMyPswB 
Democratização do Empreendedorismo: Como o Marketing Digital Transforma
#empreendedorismo #marketingdigital #marketingdeafiliados #comoganhardinheiro #networkmarketing #ganhardinherioonline #marketingdigital2023💵💸💵</t>
  </si>
  <si>
    <t>Estudo de caso mostra que #empreendedor garante sucesso de instituição de #ensino com parcerias estratégicas e experiência no ramo, apesar de estrutura limitada, gastos além do desejado. Leia: https://t.co/JU09IAODA6
#educação #empreendedismo #BlogImpacto #DicadeLeituraFGV https://t.co/NZHveiCwVx</t>
  </si>
  <si>
    <t>Tive uma ideia milionária 💡 
Busco profissional para parceria.
Preciso criar um APP
#empreendedorismo #designer #programação #Negocios #empresa #empresario</t>
  </si>
  <si>
    <t>Entre em contato conosco e comece a trilhar o caminho do sucesso!
#empreendedorismo #empresas #contabilidade https://t.co/6kVbzpmjBJ</t>
  </si>
  <si>
    <t>No mundo do empreendedorismo, a agilidade é a chave para navegar pelas marés em constante mudança. Adaptar-se rapidamente não é apenas uma estratégia, é a mentalidade que nos impulsiona rumo ao sucesso! 
#Empreendedorismo #Agilidade #Sucesso</t>
  </si>
  <si>
    <t>Não importa os obstáculos que surgirem, lembrem-se de que cada desafio é uma oportunidade para crescer e se fortalecer. Mantenham o foco, a determinação e a paixão pelo que fazem. O sucesso está mais perto a cada passo dado. Vamos com tudo! 
#Empreendedorismo #Persistência</t>
  </si>
  <si>
    <t>🗓️*Prazo final: Até 04/08!*
Saiba mais sobre a inscrição em https://t.co/qdYzE2I64o e acesse nosso site 👉🏼 https://t.co/6XktGI4Ln3.
*#conecta #conectastartupbrasil #startups #empreendedorismo #empresas #mcti #abdi #softex #cnpq #startup*</t>
  </si>
  <si>
    <t>Qual conselho você daria para você mesmo há 05 anos atrás? Escreve aí 👇🏻
#tweeter #snow #LaCasaDeLosFamosoMx #empreendedorismo #mentoria #crescimento</t>
  </si>
  <si>
    <t>🚨Vagas de Estágio!🚨
Vagas de estágio destinadas aos cursos de administração de empresa, Tecnologia em Processos Gerenciais, Gestão empresarial e Empreendedorismo.
#administração #empreendedorismo #processosgerenciais #cefet #gestãoempresarial https://t.co/a3VdGOSK5t</t>
  </si>
  <si>
    <t>Tivemos o prazer de receber um convidado inspirador: Ícaro Pimentas @icaropimentasregionais , o visionário empreendedor por trás das pimentas regionais!🌎🌶️
Acesse: https://t.co/3zIGtyWlHL 🌟
#PodcastManaus #Empreendedorismo #AlegriaContagiante #Inspiração #PimentasRegionais https://t.co/9VOlKL3IVR</t>
  </si>
  <si>
    <t>Maitê Lourenço na Semana de Inovação 2023!
🔹Fundadora da #BlackRocksStartups
🔹General Partner na YA Ventures
🔹Representante do ODS 9 na ONU
Vem aí uma conversa rica em insights sobre #inovação e #empreendedorismo negro no Brasil!
Inscreva-se: https://t.co/tDYc6V05ZK https://t.co/K3i1ReY1r8</t>
  </si>
  <si>
    <t>A cidade de  Painel, em parceria com o Sebrae SC, inaugurou a Sala do Empreendedor, um espaço destinado a orientar micro e pequenos empresários na melhoria da gestão de seus negócios e na abertura de novas empresas. 
https://t.co/afJSqkdfDX
#sccsbt #scc10 #empreendedorismo</t>
  </si>
  <si>
    <t>Com apoio do BRDE, o sonho de empreender pode sair do papel
O BRDE Microcrédito possibilita o acesso ao crédito a microempreendedores, bem como a profissionais autônomos. Saiba mais.
#sccsbt #scc10 #empreendedorismo #BRDE
https://t.co/WQNSOImbYC https://t.co/355ordtWm8</t>
  </si>
  <si>
    <t>O maior brasileiro de Todos os tempos: Raiam Santos #raiamsantos #historiareal #historias #empreendedorismo #sucesso #motivacional https://t.co/4b5mwCRkYR</t>
  </si>
  <si>
    <t>https://t.co/lBMawYvt2R
#empatia       #empreendedor   #empreendedorismo   #empreendedorismoeinovação   #empreendedorismofeminino   #empreendedorismos</t>
  </si>
  <si>
    <t>#dpoc   #ebramec   #economia   #eletros    #emagrecer   #empreendedorismo
#empreendedorismofeminino   #empresa   #empresas   #endomarketing   #energia   #energiasolar
https://t.co/piaL3uTfdH https://t.co/Ul5mvEqmO8</t>
  </si>
  <si>
    <t>https://t.co/BlboawyKdp
#Embrapa   #Embudasartes   #empatia       #empreendedor   #empreendedorismo   #empreendedorismoeinovação   #empreendedorismofeminino https://t.co/AQDH4TihC0</t>
  </si>
  <si>
    <t>”Nhaim, dinheiro não traz felicidade!"
Não caia nesse papinho furado, se não traz diretamente, no mínimo, vai te livrar de muitas tristezas.
Seja na sua carreira ou empreendendo, busque oportunidades de ficar cada vez mais rico.
#dinheiro  #empreendedorismo #carreira https://t.co/5VuLcwRZGq</t>
  </si>
  <si>
    <t>Evolua para o próximo nível com essas dicas de livros 📚
#sucesso #blackrat #joveempreendedor #marketingdigital #livro #empreendedorismo https://t.co/kIYWBiHnpu</t>
  </si>
  <si>
    <t>🐄 Curso de Derivados do Leite incentiva #empreendedorismo. O #curso de Derivados do Leite do Sistema Faemg Senar despertou uma nova Letícia Mesquita, pequena produtora rural, em Luz, na região Central de Minas.
🔍 https://t.co/0zEzxvVnd1 https://t.co/W4nEnRIh6T</t>
  </si>
  <si>
    <t>👩‍🌾Encontro de #mulheres. #Empreendedorismo, oportunidades de negócios para produtores e palestras marcaram a participação do SPR de Manhuaçu e do Sistema Faemg Senar no 7º Encontro do Agronegócio promovido pelo Sicoob Credilivre em 24 e 25/8. 
🔍Confira: https://t.co/ngK9wVtvnR https://t.co/3uT3cHnX5i</t>
  </si>
  <si>
    <t>Trip to social media activity.🎯
#digitalmarketing #bhfyp #tiktok #business #entrepreneur #success #smallbusiness #money #marketing #graphicdesign #brand #branding #facebook #digital #marketingdigital #socialmedia #entrepreneurship #empreendedorismo #startup https://t.co/NU5WFBXoXD</t>
  </si>
  <si>
    <t>Ao todo, Governo do Estado repassou para as cidades do Alto Tietê R$ 18,1 milhões de janeiro a agosto de 2023
Saiba mais:
https://t.co/fBWTHe1kLv
#moginews #informacao #Noticias #altotiete #empreendedorismo #DesenvolveSP #GovernoSP #desenvolvimentosp https://t.co/J39wUbELbQ</t>
  </si>
  <si>
    <t>Veja mais detalhes na descrição(ALT)!
Clique no link abaixo para acessar o treinamento citado na descrição:
https://t.co/vJ1ULIhfYk
#carreira #mudardevida #formulanegocioonline
#marketingdigital #marketingdigitalbrasil
#marketingdigitaliniciantes #empreendedor
#empreendedora https://t.co/IPR0E48nJm</t>
  </si>
  <si>
    <t>Veja mais detalhes desse post na descrição(ALT)!
#carreira #mudardevida #formulanegocioonline
#marketingdigital #marketingdigitalbrasil
#marketingdigitaliniciantes #empreendedor
#empreendedora #empreendedoras #empreendedores
#empreendedoronline #empreendedorismofeminino https://t.co/ZK0zzQScRo</t>
  </si>
  <si>
    <t>09 de agosto é o Dia Internacional dos Povos Indígenas.  Uma ótima quarta feira a todos!
Siga nosso perfil no Instagram, acesse pelo link abaixo:
https://t.co/uFmY0OGPbP
#graça #oposto #esforço #mérito #marketingdigital
#marketingdigitalbrasil #empreendedorismo
#empreender https://t.co/49wGE6WTpK</t>
  </si>
  <si>
    <t>8 de agosto é o Dia do Pároco, uma ótima terça feira a todos!
Siga nosso perfil no Instagram, acesse pelo link abaixo:
https://t.co/uFmY0OGhmh
#pároco #piormaneira #naochegar #determinadolugar #pensar #marketingdigital
#marketingdigitalbrasil #empreendedorismo
#empreender https://t.co/zWdpyUTVwk</t>
  </si>
  <si>
    <t>Veja mais detalhes desse post na descrição(ALT)!
#carreira #mudardevida #formulanegocioonline
#marketingdigital #marketingdigitalbrasil
#marketingdigitaliniciantes #empreendedor
#empreendedora #empreendedoras #empreendedores
#empreendedoronline #empreendedorismofeminino https://t.co/GMb8cRBrTp</t>
  </si>
  <si>
    <t>Veja mais detalhes desse post na descrição (ALT)!
Clique no link abaixo para conhecer a Hive, conforme citado na descrição:
https://t.co/96YuaubS5Q
#hive #venhaparaonovo #venhaparaahive #carreira #mudardevida #formulanegocioonline
#empreendedoresdesucesso
#empreendedorismo https://t.co/JOniU7brwT</t>
  </si>
  <si>
    <t>Veja mais detalhes desse post na descrição(ALT)!
Clique no link abaixo para baixar o Ebook Grátis citado na descrição:
https://t.co/XVA4VhwqAv
#carreira #mudardevida #formulanegocioonline
#marketingdigital #marketingdigitalbrasil
#marketingdigitaliniciantes #empreendedor https://t.co/y0ECIz1ppI</t>
  </si>
  <si>
    <t>21 de agosto é o Dia Nacional da Habitação, uma ótima semana a todos!
Veja os artigos de nosso Blog, acesse pelo link abaixo:
https://t.co/aZIyJukSBa
#habitação #presente #futuro #eterno #marketingdigital
#marketingdigitalbrasil #empreendedorismo
#empreender https://t.co/rePCRlHHYZ</t>
  </si>
  <si>
    <t>20 de Agosto é o Dia dos Maçons, um ótimo domingo a todos!
Siga nosso perfil no Instagram, acesse pelo link abaixo:
https://t.co/uFmY0OGhmh
#macons #fecharaporta #todososerros #verdade #ficará #láfora #marketingdigital
#marketingdigitalbrasil #empreendedorismo
#empreender https://t.co/J2N2DHbwBH</t>
  </si>
  <si>
    <t>Veja mais detalhes desse post na descrição (ALT)!
#carreira #mudardevida #formulanegocioonline
#marketingdigital #marketingdigitalbrasil
#marketingdigitaliniciantes #empreendedor
#empreendedora #empreendedoras #empreendedores
#empreendedoronline #empreendedorismofeminino https://t.co/psT8HkNEpB</t>
  </si>
  <si>
    <t>06 de julho é o Dia da Criação de IBGE.  Uma ótima quinta feira a todos!
Visite nosso site, acesse pelo link na abaixo!
https://t.co/aZIyJukkLC
#ibge #sevocêdeseja #sucesso #tireproveito #erro #marketingdigital
#marketingdigitalbrasil #empreendedorismo
#empreender https://t.co/2OtU7oiZfW</t>
  </si>
  <si>
    <t>Sexta é logo ali, uma ótima quarta feira a todos!
Siga nosso perfil no Instagram, acesse pelo link abaixo:
https://t.co/uFmY0OGhmh
#tudooquechega #chegasempre #poralgumarazão #razão #algumarazão #marketingdigital
#marketingdigitalbrasil #empreendedorismo
#empreender https://t.co/OhpUEbGLXW</t>
  </si>
  <si>
    <t>Veja mais detalhes desse post na descrição(ALT)!
Clique no link abaixo para colocar seu negócio no Email Marketing
https://t.co/lqnKLBhSb1
#carreira #mudardevida #formulanegocioonline
#marketingdigital #marketingdigitalbrasil
#marketingdigitaliniciantes #empreendedor https://t.co/cyZDbYLIVp</t>
  </si>
  <si>
    <t>31 de agosto é o Dia da(o) Nutricionista.  Uma ótima quinta feira a todos!
Siga nosso perfil no Instagram, acesse pelo link abaixo:
https://t.co/uFmY0OGPbP
#nutricionista #hásempre #pequenachance #impossível #marketingdigital #marketingdigitalbrasil #empreendedorismo
#empreender https://t.co/EVCYZrXE18</t>
  </si>
  <si>
    <t>Veja mais detalhes desse post na descrição (ALT)!
Clique no link abaixo para acessar a página da Hive, conforme citado na descrição.
https://t.co/TDvE12Y2UO
#hive #venhaparaonovo #venhaparaahive #carreira #mudardevida #formulanegocioonline
#marketingdigital #empreendedor https://t.co/BKQkDGoZ5u</t>
  </si>
  <si>
    <t>Uma ótima semana repleta de realizações pra você!😊
Veja os artigos de nosso Blog, acesse pelo link abaixo:
https://t.co/aZIyJukSBa
#comunismo #barbárie #marketingdigital
#marketingdigitalbrasil #empreendedorismo
#empreender https://t.co/XZiwq4SHxO</t>
  </si>
  <si>
    <t>25 de julho é o Dia do Escritor, do Motorista e também do Colono.  Uma ótima terça feira a todos!
Siga nosso perfil no Instagram, acesse pelo link abaixo:
https://t.co/uFmY0OGhmh
#escritor #motorista #marketingdigital
#marketingdigitalbrasil #empreendedorismo
#empreender https://t.co/w2XaE0rxHV</t>
  </si>
  <si>
    <t>Um excelente domingo pra você!
Siga nosso perfil no Instagram, acesse pelo link abaixo:
https://t.co/uFmY0OGhmh
#paravencer #umavez #épreciso #tertalento #vencernovamente #tercaráter #marketingdigital
#marketingdigitalbrasil #empreendedorismo
#empreender https://t.co/jhswNtrpzF</t>
  </si>
  <si>
    <t>Uma excelente semana a todos!
Veja os artigos de nosso Blog, acesse pelo link abaixo:
https://t.co/aZIyJukkLC
#começar #paredefalar #falar #fazer #começeafazer #marketingdigital
#marketingdigitalbrasil #empreendedorismo
#empreender https://t.co/FSFEt47lEV</t>
  </si>
  <si>
    <t>26 de agosto é o Dia do Catequista.  Um excelente final de semana a todos!
Siga nosso perfil no Instagram, acesse pelo link abaixo:
https://t.co/uFmY0OGhmh
#catequista #controleseudestino #alguém #controlará #marketingdigital
#marketingdigitalbrasil #empreendedorismo
#empreender https://t.co/XPSZ6NJA4k</t>
  </si>
  <si>
    <t>14 de agosto é o Dia do Cardiologista, uma ótima semana a todos!
Veja os artigos de nosso Blog, acesse pelo link abaixo:
https://t.co/aZIyJukSBa
#cardiologista #evitar #superstições #outra #superstição #marketingdigital
#marketingdigitalbrasil #empreendedorismo
#empreender https://t.co/RNCzZsx6c0</t>
  </si>
  <si>
    <t>Veja mais detalhes desse post na descrição (ALT)!
Clique no link abaixo para saber mais sobre a Hive, conforme citado na descrição:
https://t.co/DlgIunqFJr
#hive #venhaparaonovo #venhaparaahive #carreira #mudardevida #formulanegocioonline
#marketingdigital  #empreendedor https://t.co/mxEvGOtYQ8</t>
  </si>
  <si>
    <t>Veja mais detalhes desse post na descrição(ALT)!
CLIQUE NO LINK ABAIXO para acessar a página da Hive conforme citado na descrição.
https://t.co/k6e6Ni4cax
#hive #venhaparaonovo #venhaparaahive #carreira #mudardevida #formulanegocioonline
#marketingdigital #empreendedor https://t.co/QeVjNUjjXe</t>
  </si>
  <si>
    <t>17 de agosto é o Dia do Patrimônio Histórico Nacional, uma ótima quinta feira a todos!
Visite nosso site, acesse pelo link na abaixo!
https://t.co/aZIyJukSBa
#passou #luzindo #resplandecerá #parasempre #marketingdigital
#marketingdigitalbrasil #empreendedorismo
#empreender https://t.co/jNlN55YKrj</t>
  </si>
  <si>
    <t>Veja mais detalhes desse post na descrição(ALT)!
#carreira #mudardevida #formulanegocioonline
#marketingdigital #marketingdigitalbrasil
#marketingdigitaliniciantes #empreendedor
#empreendedora #empreendedoras #empreendedores
#empreendedoronline #empreendedorismofeminino https://t.co/7tiKQUApxf</t>
  </si>
  <si>
    <t>Hoje 24 de julho é o Dia do Suinocultor, uma ótima semana a todos!
Veja os artigos de nosso Blog, acesse pelo link abaixo:
https://t.co/aZIyJukSBa
#suinocultor #nunca #sensata #decisão #causar #desespero #poisquem #bem #marketingdigital
#marketingdigitalbrasil #empreendedorismo https://t.co/dmAoF6ScPg</t>
  </si>
  <si>
    <t>Veja mais detalhes desse post na descrição(ALT)!
Clique no link abaixo para fazer seu cadastro na Hive, conforme citado na descrição:
https://t.co/TMKHkLdCm6
#hive #venhaparaonovo #venhaparaahive #carreira #mudardevida #formulanegocioonline
#marketingdigital #empreendedor https://t.co/eLbdebvg7Q</t>
  </si>
  <si>
    <t>18 de setembro é o Dia dos Símbolos Nacionais, uma ótima semana a todos!
Veja os artigos de nosso Blog, acesse pelo link abaixo:
https://t.co/aZIyJukSBa
#símbolosnacionais #medo #pai #crença #marketingdigital
#marketingdigitalbrasil #empreendedorismo
#empreender https://t.co/LLtKlBojO5</t>
  </si>
  <si>
    <t>Veja mais detalhes desse post na descrição(ALT)!
#carreira #mudardevida #formulanegocioonline
#marketingdigital #marketingdigitalbrasil
#marketingdigitaliniciantes #empreendedor
#empreendedora #empreendedoras #empreendedores
#empreendedoronline #empreendedorismofeminino https://t.co/R2HHD7O3n7</t>
  </si>
  <si>
    <t>Sexta é logo ali, uma ótima quarta feira a todos!
Siga nosso perfil no Instagram, acesse pelo link abaixo:
https://t.co/uFmY0OGhmh
#tudo #ladobom #ladoruim #sódependedevc #fazeroseu #marketingdigital
#marketingdigitalbrasil #empreendedorismo
#empreender https://t.co/w8pxOKHlDl</t>
  </si>
  <si>
    <t>Veja mais detalhes desse post na descrição(ALT)!
#carreira #mudardevida #formulanegocioonline
#marketingdigital #marketingdigitalbrasil
#marketingdigitaliniciantes #empreendedor
#empreendedora #empreendedoras #empreendedores
#empreendedoronline #empreendedorismofeminino https://t.co/Bl8dpbCir5</t>
  </si>
  <si>
    <t>Veja mais detalhes desse post na descrição (ALT)!
Clique no link abaixo para fazer a inscrição no Fórmula Negócio Online, conforme citado na descrição.
https://t.co/vJ1ULIhNNS
#carreira #mudardevida #formulanegocioonline
#marketingdigital #marketingdigitalbrasil
#empreendedor https://t.co/WEKNbVdmKa</t>
  </si>
  <si>
    <t>Veja mais detalhes desse post na descrição(ALT)!
Clique no link abaixo para acessar a página da Hive, conforme citado na descrição:
https://t.co/J6Vmz3weDa
#hive #venhaparaonovo #venhaparaahive #carreira #mudardevida #formulanegocioonline
#marketingdigital #empreendedor https://t.co/WFoa88SXdL</t>
  </si>
  <si>
    <t>Veja mais detalhes desse post na descrição(ALT)!
Clique no link abaixo para acessar a página da Hive, conforme citado na descrição:
https://t.co/RV3hpuO6EQ
#hive #venhaparaonovo #venhaparaahive #carreira #mudardevida #formulanegocioonline
#marketingdigital  #empreendedor https://t.co/ZC2nii8eOZ</t>
  </si>
  <si>
    <t>30 de julho é o Dia Mundial Contra o Tráfico de Pessoas.  Um ótimo domingo a todos!
Siga nosso perfil no Instagram, acesse pelo link abaixo:
https://t.co/uFmY0OGhmh
#homem #nuncasabe #aquilo #tentafazer #marketingdigital
#marketingdigitalbrasil #empreendedorismo
#empreender https://t.co/OvhyLkS1Qw</t>
  </si>
  <si>
    <t>Veja mais detalhes desse post na descrição (ALT)!
#carreira #mudardevida #formulanegocioonline
#marketingdigital #marketingdigitalbrasil
#marketingdigitaliniciantes #empreendedor
#empreendedora #empreendedoras #empreendedores
#empreendedoronline #empreendedorismofeminino https://t.co/ZFdzTCQ0ah</t>
  </si>
  <si>
    <t>Sextou, hoje 14 de julho é o Dia do Engenheiro de Aquicultura, do Propagandista de Laboratório, do Administrador Hospitalar e também o Dia da Liberdade de Pensamento.  Um ótimo final de semana a todos!
#marketingdigital
#marketingdigitalbrasil #empreendedorismo
#empreender https://t.co/bkO9H0hcjI</t>
  </si>
  <si>
    <t>Veja mais detalhes desse post na descrição (ALT)!
Clique no link abaixo para saber mais sobre o programa de afiliados da Hive, conforme citado na descrição.
https://t.co/jyOfYtfFH9
#hive #venhaparaonovo #venhaparaahive #carreira #mudardevida 
#marketingdigital #empreendedor https://t.co/fL18wQawvu</t>
  </si>
  <si>
    <t>Veja mais detalhes desse post na descrição(ALT)!
Clique no link abaixo para saber mais sobre a Hive, conforme citado na descrição:
https://t.co/W0RbPz4nHl
#hive #venhaparaonovo #venhaparaahive #carreira #mudardevida #formulanegocioonline
#marketingdigital  #empreendedor https://t.co/p33Lwwnaje</t>
  </si>
  <si>
    <t>Veja mais detalhes desse post na descrição(ALT)!
#carreira #mudardevida #formulanegocioonline
#marketingdigital #marketingdigitalbrasil
#marketingdigitaliniciantes #empreendedor
#empreendedora #empreendedoras #empreendedores
#empreendedoronline #empreendedorismofeminino https://t.co/EzROwRUYVh</t>
  </si>
  <si>
    <t>Veja mais detalhes desse post na descrição (ALT)!
Clique no link abaixo para se inscrever no Fórmula Negócio Online, conforme citado na descrição:
https://t.co/vJ1ULIhfYk
#carreira #mudardevida #formulanegocioonline
#marketingdigital #marketingdigitalbrasil
#empreendedor https://t.co/Au4hWZy6Js</t>
  </si>
  <si>
    <t>Veja mais detalhes desse post na descrição(ALT)!
Clique no link abaixo para acessar a página da Hive, conforme citado na descrição.
https://t.co/XPtcA5ZQzY
#hive #venhaparaonovo #venhaparaahive #carreira #mudardevida #formulanegocioonline
#marketingdigital #empreendedor https://t.co/0sOTNVpyEr</t>
  </si>
  <si>
    <t>Veja mais detalhes desse post na descrição(ALT)!
#carreira #mudardevida #formulanegocioonline
#marketingdigital #marketingdigitalbrasil
#marketingdigitaliniciantes #empreendedor
#empreendedora #empreendedoras #empreendedores
#empreendedoronline #empreendedorismofeminino https://t.co/cWpzL8A3v8</t>
  </si>
  <si>
    <t>23 de julho é o Dia do Guarda Rodoviário.  Um ótimo domingo a todos!
Siga nosso perfil no Instagram, acesse pelo link abaixo:
https://t.co/uFmY0OGPbP
#guardarodoviário #determinado #nenhumadificuldade #pensamentoruim #atrapalhará #seudia #marketingdigital
 #empreendedorismo https://t.co/kZKtbv2wGX</t>
  </si>
  <si>
    <t>20 de julho é o Dia do Amigo, uma ótima quinta feira a todos!
Visite nosso site, acesse pelo link na abaixo!
https://t.co/aZIyJukkLC
#diadoamigo #minhamente #chavequemeliberta #chave #quemeliberta #marketingdigital
#marketingdigitalbrasil #empreendedorismo
#empreender https://t.co/ZgeCwUoAGj</t>
  </si>
  <si>
    <t>EMPREENDEDORISMO | AngloGold Ashanti apoia projeto de cosméticos em Sabará | Brasil Mineral
#empreendedorismo #AngloGoldAshanti #minasgerais
https://t.co/3JQy5pwXmt</t>
  </si>
  <si>
    <t>#tbt A vida tem ocupado meus dias com novos e graciosos desafios. É graças a Deus que tenho ultrapassado todos eles com dedicação, amor e muito empenho.
#thamarabastossilva #realtor #cips #sistemacofecicreci #crecipb #imóveis #joaopessoaparaiba #empreendedorismo #mulher #inovacao https://t.co/gS0bMYOncU</t>
  </si>
  <si>
    <t>#tbt A vida tem ocupado meus dias com novos e graciosos desafios. É graças a Deus que tenho ultrapassado todos eles com dedicação, amor e muito empenho.
#thamarabastossilva #imóveis #joaopessoaparaiba #Awesome #empreendedorismo #empreender #mulher #inovacao #Global #bussiness https://t.co/wCpmlt9Zn0</t>
  </si>
  <si>
    <t>#tbt A vida tem ocupado meus dias com novos e graciosos desafios. É graças a Deus que tenho ultrapassado todos eles com dedicação, amor e muito empenho.
#thamarabastossilva #imóveis #joaopessoaparaiba #Awesome #empreendedorismo #empreender #mulher #inovacao #Global #bussiness https://t.co/UFygHKvPyk</t>
  </si>
  <si>
    <t>Leia na íntegra: https://t.co/1HD0szXBXd
.
.
.
#thamarabastossilva #imóveis #joaopessoaparaiba #Awesome #empreendedorismo #empreender #mulher #inovacao #Globo #globalchallenges #Global #bussiness #imoveisavenda #theworldrealestate #theworld #imobiliária #imobiliarias</t>
  </si>
  <si>
    <t>#tbt A vida tem ocupado meus dias com novos e graciosos desafios. É graças a Deus que tenho ultrapassado todos eles com dedicação, amor e muito empenho.
#thamarabastossilva #imóveis #joaopessoaparaiba #empreendedorismo #empreender #mulher  #inovacao #Global #bussiness #eua https://t.co/PpYgtaXgMG</t>
  </si>
  <si>
    <t>#tbt A vida tem ocupado meus dias com novos e graciosos desafios. É graças a Deus que tenho ultrapassado todos eles com dedicação, amor e muito empenho.
#thamarabastossilva #realtorlife #cips #imóveis #joaopessoaparaiba #empreendedorismo #empreender #mulher #inovacao #Global #awe https://t.co/MjTHzzauz2</t>
  </si>
  <si>
    <t>Leia na íntegra: https://t.co/WNuXXxoS6A
.
.
.
#thamarabastossilva #realtorlife #cips #sistemacofecicreci #crecipb #realtor #imóveis #joaopessoaparaiba #empreendedorismo #empreender #mulher #inovacao #globalchallenges #Global #bussiness #theworldrealestate #theworld #imobiliária</t>
  </si>
  <si>
    <t>Leia na íntegra: https://t.co/sGKMnPJVQb
.
.
.
#thamarabastossilva #imóveis #joaopessoaparaiba #Awesome #empreendedorismo #empreender #mulher #mulherempreendedora #inovacao #Globo #globalchallenges #Global #bussiness #imoveisavenda #theworldrealestate #theworld #imobiliária</t>
  </si>
  <si>
    <t>#tbt A vida tem ocupado meus dias com novos e graciosos desafios. É graças a Deus que tenho ultrapassado todos eles com dedicação, amor e muito empenho.
.
.
.
#thamarabastossilva #realtorlife #cips #crecipb #realtor #Awesome #empreendedorismo #empreender #mulher #inovacao #global https://t.co/7Up1OPruFb</t>
  </si>
  <si>
    <t>Leia na íntegra: https://t.co/iSqguYWyAL
.
.
.
#thamarabastossilva #realtorlife #cips #imoveisdeluxo #joaopessoaparaiba #Awesome #empreendedorismo #empeender #mulher #mulherempreendedora #inovacao #Global #bussiness #imoveisavenda #theworldrealestate #theworld #imobiliária</t>
  </si>
  <si>
    <t>#tbt A vida tem ocupado meus dias com novos e graciosos desafios. É graças a Deus que tenho ultrapassado todos eles com dedicação,amor e muito empenho.
#thamarabastossilva #realtorlife #cips #realtor #imóveis #joaopessoaparaiba #Awesome #empreendedorismo #empreender #mulher #awe https://t.co/WQ5tLb7Guj</t>
  </si>
  <si>
    <t>💡 Qual o conhecimento que eu preciso para ser um empreendedor?
👉 Esperamos você no dia 30/08, às 19h30min, para uma palestra gratuita sobre o tema!
🔗 Inscrições gratuitas! Garanta sua vaga.
#logosofia #tubarão #empreendedorismo #conhecimento https://t.co/vCflcWIOTp</t>
  </si>
  <si>
    <t>Desejo ao Fabiano que continue prosperando em sua mecânica, com muita fé e determinação. Negócios como o dele são fundamentais para fazer nossa Itapevi prosperar.
#amizade
#negócioslocais
#empreendedorismo
#itapevi
#compromissocomitapevi
#vereadoraroldogueiros</t>
  </si>
  <si>
    <t>Mercado das Indústrias Criativas: Edital está com inscrições abertas para empreendedores culturais
Veja todos os detalhes e como participar em: https://t.co/7P7W2gcu0t
#evento #empreendedorismo #belemdopara #belémnegócios #oportunidade https://t.co/8PoJ1y9zim</t>
  </si>
  <si>
    <t>EVENTO. A Expo Multimix, uma feira multissetorial que reúne indústrias, empresas de diversos setores de todo o Brasil, será realizada em Belém. 
Saiba todos detalhes e como participar em: https://t.co/AdOj5xQ9Pa
 #negocios #belemnegocios #empreendedorismo #industria</t>
  </si>
  <si>
    <t>Exposição de produtos regionais vai acontecer dia 26 de julho em Belém
Participe desse momento especial Belém Negócios!
Saiba todos os detalhes em: https://t.co/KcHCVd5lHk
#evento #produtores #empresas #empreendedorismo #regional #belemnegocios https://t.co/ev909qDwug</t>
  </si>
  <si>
    <t>MPORTANTE SABER 
#adrigomezconsul #empreendedorismo #empresas #negocios https://t.co/NyrSbHN0sm</t>
  </si>
  <si>
    <t>Líder: Aprenda Gestão De Riscos Com Dragões #minutodaliderança 415
https://t.co/Id3L6pkNcZ
#liderança #gestão #autoliderança #empreendedorismo #riscos https://t.co/Bk46YUn7Ok</t>
  </si>
  <si>
    <t>Líder: Cuidado Com A Conformidade #minutodaliderança 419
https://t.co/5li38dh7Dm
#liderança #desafio #zonadeconforto #empreendedorismo #negócio #sucesso</t>
  </si>
  <si>
    <t>Conversa com Sidnei Silva - Empresário e Empreendedor @sidneisilva 
Veja o vídeo completo no YouTube.
Disponível também no Deezer, Amazon Music e Spotify!
#galerapod #opodcastdagalera #viral #empresario #trend #empreendedor #viralreels #empresa #trending #empreendimento https://t.co/vgLTj3KRxi</t>
  </si>
  <si>
    <t>#facebook #digitalmarketer #empreendedorismo #workfromhome #copywriting #instagrammarketing #digitalagency #brand #digitalmarketingexpert #money https://t.co/pes70cbGbP</t>
  </si>
  <si>
    <t>#facebook #digitalmarketer #empreendedorismo #workfromhome #copywriting #instagrammarketing #digitalagency #brand #digitalmarketingexpert #money https://t.co/HUItsdBUpL</t>
  </si>
  <si>
    <t>pois não precisa ir ao forno. 
#TdF #Sustentabilidade #Agroecologia #Empreendedorismo</t>
  </si>
  <si>
    <t>4 principais ações de marketing para o pequeno empreendedor
➡️ https://t.co/oRxnQIBRQn
#folhageral #dicas #marketingdigital #empreendedor https://t.co/kCUeLgMRwg</t>
  </si>
  <si>
    <t>COMO CRIAR MENTALIDADE EMPREENDEDORA NOS NEGÓCIOS GERANDO RESULTADOS INC... https://t.co/iNCY9AmLUZ via @YouTube #empreendedorismo #negocios #empresas</t>
  </si>
  <si>
    <t>SEGREDOS PARA COBRAR MAIS CARO POR SEU PRODUTO OU SERVIÇO https://t.co/zQLdTTeAQr via @YouTube #empreendedorismo #Negocios</t>
  </si>
  <si>
    <t>O QUE ESPERAR DO NOVO MINISTÉRIO DO EMPREENDEDORISMO NO BRASIL? https://t.co/868lApkqrx via @YouTube #Politica #empreendedorismo</t>
  </si>
  <si>
    <t>DESASTRE ECONÔMICO: 400 MIL EMPRESAS BRASILEIRAS FECHAM AS PORTAS NO 1° ... https://t.co/3ffQSFEzXd via @YouTube #empreendedorismo #economia #brasil</t>
  </si>
  <si>
    <t>Oi pessoal, a minha cabeça anda fervilhando de idéias. 🤯
Então já aproveitem e fiquem ligados nos próximos stories e Reels e carrosséis da rede vizinha 👍🏻
Até a próxima 👋🏻
#marketingdigital 
#empreendedorismo 
#conteudodigital 
#trabalharemcasa 
#venda 
#dinheiro https://t.co/4UX0sTm2JG</t>
  </si>
  <si>
    <t>Desbravando novos horizontes digitais 🌐💰
Multiplicando lucros pela internet com estratégia e inovação. 💼🚀
#NegóciosOnline 
#SucessoDigital 
#MultiplicandoLucros
#hotmart 
#marketingdigital 
#empreendedorismo
https://t.co/IPmSFIppSX</t>
  </si>
  <si>
    <t>Experimente o K|Notify e garanta a qualidade na gestão do seu negócio.
A comunicação e gestão do seu negócio nunca foram tão eficientes.
Visite https://t.co/Zs4sMe0K3c
#Knotify #it #Tecnologia #Gestão #InstituiçõesDeEnsino #Faturamento #empreendedorismo #startup #Kentech https://t.co/0ZcDp0UBPw</t>
  </si>
  <si>
    <t>K|Notify é ideal para qualquer tipo de negócio! Você que trabalha com E-Commerce e Varejo pode se comunicar com seu cliente de forma simples e personalizada.
Acesse https://t.co/Zs4sMe0K3c
#Knotify #Gestão #InstituiçõesDeEnsino #Faturamento #empreendedorismo  #Kentech https://t.co/E0uGLXx9wY</t>
  </si>
  <si>
    <t>Se o empreendedor para de aprender, o negócio começa a morrer, porque o äpreendedorismo é a principal ferramenta do empreendedorismo.
Conheça nossos cursos online. Aprende sabre marketing, vendas e negócios!
 #businesscoach #empreendedorismo #estrategia #crescimento #negocio https://t.co/bnmMQ2BhfY</t>
  </si>
  <si>
    <t>Sejamos realistas. Muita gente não investe na empresa delas e querem que os clientes invistam. Isso não funciona
 #realidade #fato #negocios #empreendedor #fato #empresario🚀🚀🚀 https://t.co/fcZJ5C6J3f</t>
  </si>
  <si>
    <t>Hoje falamos de #Empreendedorismo para uma turma bem empolgada na #AAQq, em #Campinas. 
O #Brasil é pródigo de #ONGs virtuosas… e essa é uma delas!
📝
#Education https://t.co/sFgBEUar6t</t>
  </si>
  <si>
    <t>#EMPREENDEDORISMO -
Os 3 P's que todos nós devemos nos lembrar,
em: https://t.co/QfxTlJpHTk
.</t>
  </si>
  <si>
    <t>Falamos um pouco sobre #Marketing aqui no #Sebrae Jundiaí!
É com a Educação que o Brasil sairá da crise.
Procure se capacitar. Vale a pena.
🖊️ 
#Empreendedorismo https://t.co/lrUxPIeO6T</t>
  </si>
  <si>
    <t>#EMPREENDEDORISMO -
Quem são os #trabalhadores mais corajosos do Brasil?
Fácil: os #empreendedores!
Em: https://t.co/lS6mSpHXST
.</t>
  </si>
  <si>
    <t>Estivemos hoje em Campo Limpo Paulista, pelo Sebrae, falando sobre “Planejamento Empresarial” a jovens empreendedores.
É com a Educação que o Brasil se desenvolverá!
📝
#Educação #Empreendedorismo https://t.co/lHvdjZfqFF</t>
  </si>
  <si>
    <t>#COMPORTAMENTO -
Sabemos #insistir ou #desistir no tempo certo?
Em: https://t.co/LGZXhMbYxx
.
#Carreira #vida #resiliência #Decisões #trabalho #projetos #empreendedorismo</t>
  </si>
  <si>
    <t>#TECNOLOGIA, #INOVAÇÃO E #EMPREENDEDORISMO -
O #iPhone, acredite, foi desdenhado por alguns quando lançado...
Veja que curioso, em: https://t.co/OR8uh1otE3
.</t>
  </si>
  <si>
    <t>Hoje estivemos na #Penitenciária Feminina de Campinas, em nome do #Sebrae, falando a 18 reeducandas sobre Práticas de Valor no #Empreendedorismo. 
Dezoito mulheres, 18 sonhos, 18 histórias de vida…
Somente com a #Educação que o #Brasil irá pra frente. 
🖊️ 
#Education https://t.co/dV1ZjNEAA3</t>
  </si>
  <si>
    <t>Já conferiu o novo episódio do Investidores da Quebrada? 
https://t.co/lWXDBHKsfN
#StudioMadeHits #InvestidoresdaQuebrada #TVMadeHits #jovensinvestidores #investidoriniciante #empreendedor #empresarios #oportunidades #investirnofuturo #empreendimento  #followers #newpodcast https://t.co/mEZw8mHZjT</t>
  </si>
  <si>
    <t>O segundo episódio do Investidores da Quebrada está no ar! Conheça mais das experiências de Mazzola e Lukão e divirta-se com suas histórias. 
https://t.co/qkcjYr1YYr
 #StudioMadeHits #empreendedor #empresarios #oportunidades #followers #newpodcast #podcast #visaodecria #newpost https://t.co/rush82FkCF</t>
  </si>
  <si>
    <t>Curioso para saber como vamos divulgar o Investidores da Quebrada? 👊#StudioMadeHits #oportunidades #empresarios #empreendedor #poupardinheiro #investidoriniciante #investidor #quebrada #dosquebradas #quebradavenceu #videos #fyp #popular #likeforlikes #podcastlife #podcasters https://t.co/jUCLvdfXv5</t>
  </si>
  <si>
    <t>A Espera Chegou ao Fim! Segunda-feira, a partir das 17:00, no TVMadeHits, apenas no YouTube! Prepare-se para uma jornada incrível! 🎙️🚀https://t.co/8oeiNUhNKu
#StudioMadeHits #InvestidoresdaQuebrada #TVMadeHits #jovensinvestidores #investidoriniciante #empreendedor #empresarios https://t.co/g1Ihw19DV6</t>
  </si>
  <si>
    <t>Preparados para mais uma conversa inspiradora? 
Amanhã, às 17:00, tem episódio novo com a talentosa fotógrafa Fernanda Lima. 
Exclusivo no canal TV MadeHits do YouTube! 📸🎥
#StudioMadeHits #InvestidoresdaQuebrada #TVMadeHits #jovensinvestidores #investidor #empreendedor https://t.co/JVfM6WiYXp</t>
  </si>
  <si>
    <t>Será que não compensa fazer para você o que você faz para os outros? 🤔💼
 Episódio novo toda segunda, às 17:00.🚀🎙️
#StudioMadeHits  #empreendedor  #opções #organizacaofinanceira #quebradas  #podcast #podcasts #podcaster #trendingvideo #tiktokvideo #instavideos #viralvideo https://t.co/OybshZg6ml</t>
  </si>
  <si>
    <t>Mazzola e Lukão se juntam para planejar o futuro do Investidores da Quebrada #empreendedor #poupardinheiro #investidoriniciante  #opções  #quebradas #dequebrada #favela #visaodecria #podcast #podcasts #podcaster #trendingvideo #tiktokvideo #instavideos #viralvideo #views https://t.co/1fvWY25kWO</t>
  </si>
  <si>
    <t>Lukão compartilha sua jornada profissional, desde o começo até hoje.🎙️💼
#StudioMadeHits #oportunidades #empresarios #empreendedor #poupardinheiro #investidor #quebrada #dosquebradas #quebradavenceu #videos #fyp #popular #likeforlikes #podcastlife #podcasters #podcastshow https://t.co/clImM4ZxBV</t>
  </si>
  <si>
    <t>A importância de não julgar e valorizar todas as profissões. #StudioMadeHits #InvestidoresdaQuebrada #TVMadeHits #oportunidades #empresarios #empreendedor #poupardinheiro #investidoriniciante #investidor #quebrada #dosquebradas #quebradavenceu #videos #fyp #popular #likeforlikes https://t.co/rAPLqzepue</t>
  </si>
  <si>
    <t>Reviva os melhores momentos do nosso incrível bate-papo com a incrível Fernanda Lima! 📷✨ #StudioMadeHits  #jovensinvestidores #investidoriniciante #empreendedor #empresarios #oportunidades #investirnofuturo #empreendimento #podcast #newpost #explorepage #photooftheday #FYP https://t.co/z26KtyQXZy</t>
  </si>
  <si>
    <t>Amanhã tem episódio novo! Lukão e Mazzola voltam a conversar, trazendo mais detalhes sobre o projeto e compartilhando suas experiências. #StudioMadeHits #InvestidoresdaQuebrada #TVMadeHits #jovensinvestidores #investidoriniciante #empreendedor #empresarios #oportunidades #fy https://t.co/cf520SPs7E</t>
  </si>
  <si>
    <t>Acesse serviços do governo online com o Certificado Digital Serasa. Praticidade e segurança em um só lugar. #EscolhaSegurança #AcessoSeguro #ServiçosGovernamentais #EmissãoFácil #AssinaturaDigital #CertificadoDigital #Serasa #PessoaJuridica #empresas #empreendedor https://t.co/MI1dKShHcX</t>
  </si>
  <si>
    <t>Emita notas fiscais eletrônicas de forma segura e eficiente com o Certificado Digital Serasa. #EscolhaSegurança #AcessoSeguro #ServiçosGovernamentais #EmissãoFácil #AssinaturaDigital #CertificadoDigital #Serasa #PessoaJuridica #empresas #empreendedor https://t.co/ZUy9ZrvWvR</t>
  </si>
  <si>
    <t>Proteja suas informações online com o Certificado Digital Serasa. Segurança e confiabilidade ao seu alcance.
#EscolhaSegurança #AcessoSeguro #ServiçosGovernamentais #EmissãoFácil #AssinaturaDigital #CertificadoDigital #Serasa #PessoaJuridica #empresas #empreendedor https://t.co/xbUFMf4vYb</t>
  </si>
  <si>
    <t>Precisa acessar serviços do governo na internet? O Certificado Digital Serasa torna isso possível de forma segura e eficiente. #AcessoSeguro #ServiçosGovernamentais #NFe #EmissãoFácil #AssinaturaDigital #CertificadoDigital #Serasa #PessoaJuridica #empresas #empreendedor https://t.co/aLGkjJVGjt</t>
  </si>
  <si>
    <t>Com o Certificado Digital Serasa, você pode emitir notas fiscais eletrônicas com facilidade e segurança. #NFe #EmissãoFácil #AssinaturaDigital #CertificadoDigital #Serasa #PessoaJuridica #empresas #empreendedor https://t.co/FU0NUyH3n6</t>
  </si>
  <si>
    <t>Compre seu certificado digital agora mesmo! 👇
Link: https://t.co/KxsSSfLWQM
#certificadodigital #empreendedorismo #negócios #governo #Serasa https://t.co/uPxzSoPEk0</t>
  </si>
  <si>
    <t>Para emitir um certificado digital, é necessário seguir os seguintes passos:
- Escolha a Autoridade Certificadora
- Preencha o formulário de solicitação
- Envie os documentos necessários
- Pagar taxa de emissão
#certificadodigital #empreendedorismo #negócios #governo #Serasa https://t.co/VEzZ1RPssh</t>
  </si>
  <si>
    <t>O certificado digital é um documento eletrônico que permite a assinatura digital de documentos, garantindo sua autenticidade e integridade. 
#certificadodigital #empreendedorismo #negócios #governo #Serasa https://t.co/PTBy8B4sOE</t>
  </si>
  <si>
    <t>RT @Certificad95001: Acesse serviços do governo online com o Certificado Digital Serasa. Praticidade e segurança em um só lugar. #EscolhaSe…</t>
  </si>
  <si>
    <t>RT @Certificad95001: Emita notas fiscais eletrônicas de forma segura e eficiente com o Certificado Digital Serasa. #EscolhaSegurança #Acess…</t>
  </si>
  <si>
    <t>RT @Certificad95001: Proteja suas informações online com o Certificado Digital Serasa. Segurança e confiabilidade ao seu alcance.
#Escolha…</t>
  </si>
  <si>
    <t>RT @Certificad95001: Precisa acessar serviços do governo na internet? O Certificado Digital Serasa torna isso possível de forma segura e ef…</t>
  </si>
  <si>
    <t>RT @Certificad95001: Com o Certificado Digital Serasa, você pode emitir notas fiscais eletrônicas com facilidade e segurança. #NFe #Emissão…</t>
  </si>
  <si>
    <t>Feriado é uma palavra que não existe no dicionário do empreendedor 😅 #justdoit #empreendedorismo #PrimoRico #Mentoria</t>
  </si>
  <si>
    <t>💪🚀 #boravender ? Vamos juntos com Alfredo Soares criar uma nova era de vendas e alcançar resultados extraordinários!
🌐 https://t.co/H9Kd8HyfyD
#growth #growthmentoring #mentoria #podescalar #marketing #vendas #Empreendedorismo #CrescimentoDeNegócios #Transformação #Sucesso https://t.co/U1ZMaPxHw5</t>
  </si>
  <si>
    <t>Leia a matéria completa no nosso site pelo link abaixo:
https://t.co/OCRsE58LEY
#jucepar #juntascomerciais #decretodobaixorisco #economiaparanaense #empresasparana #empreendedorismo</t>
  </si>
  <si>
    <t>Aparentemente elas são importantes, até imprescindíveis, na verdade porém, elas são uma âncora para o crescimento do negócio no médio e longo prazo.
Qual a sua opinião? Conta para mim.
V+TSD – Venda Mais Todo Santo Dia
#empreendedorismo #negocios #empreenda #empreender #lucro</t>
  </si>
  <si>
    <t>Quando você for montar um time, não se atente somente à multidisciplinaridade das skills. Também precisamos de histórias diversas para criar sonhos conjuntos. 
#Empreendedorismo #Startups #Times #Cultura #Pessoas #RH #Inovacao #Recrutamento https://t.co/H1NPJvdJ99</t>
  </si>
  <si>
    <t>Procure ver as coisas por diferentes ângulos. A "paisagem" do concorrente nem sempre representa a solução que melhor resolve os problemas dos clientes e normalmente não endereça as maiores oportunidades.💡#Empreendedorismo #Concorrentes #Startups #Estrategia https://t.co/hQY5BrJaRw</t>
  </si>
  <si>
    <t>No fim das contas, a diferença entre o resiliente e o teimoso é que o primeiro dá certo! 🤣 
#Empreendedorismo #Startups #Liderança https://t.co/8p4i3YbzOD</t>
  </si>
  <si>
    <t>Às vezes, quando você inova, você comete erros. 
É melhor admiti-los rapidamente e continuar a melhorar suas outras inovações.
(Steve Jobs)
#empreendedorismo #labecastore #fácilnaoe</t>
  </si>
  <si>
    <t>Se de alguma forma eu abri sua mente, deixa um like! 😉 #empreendedorismo</t>
  </si>
  <si>
    <t>#ShowBusiness | Milton Steagall, CEO e fundador do Grupo BBF, fala sobre o início da carreira; Steagall foi office boy e se tornou um maiores empresários do país 
📺 Confira na JP News
#Empreendedorismo #Carreira #Negócios https://t.co/9snvDZRERI</t>
  </si>
  <si>
    <t>#SOSEmpreendedorJP | Convidado da vez é o empreendedor Pablo Marçal, que por meio da inteligência emocional, conseguiu transformar sua vida e ser um dos nomes mais influentes do Brasil
📺 Confira na JP News
#PabloMarçal #InteligênciaEmocional #Empreendedorismo https://t.co/7hRQdL25ZE</t>
  </si>
  <si>
    <t>#SOSEmpreendedorJP | Isabela Matte tem 24 anos, é mãe, empreendedora, influenciadora digital; jovem fundou primeiro negócio aos 12 anos e foi reconhecida pelo ranking Forbes Under 30 de 2018
📺 Confira na JP News
#IsabelaMatte #Empreendedorismo #Forbes https://t.co/GNfWS6x0Rr</t>
  </si>
  <si>
    <t>#SOSEmpreendedorJP |  Bruno Nardon conta sua história na Kanui, G4 Educação e Rappi; empreendedor explica como foram processos de superação e aprendizado durante sua jornada 
📺 Confira na JP News
#Empreendedorismo #BrunoNardon #G4Educação https://t.co/FcXsQeNrUy</t>
  </si>
  <si>
    <t>#SOSEmpreendedorJP | Leonardo Castelo conta como foi sair da Coca-Cola para vender produtos de limpeza na rua, morar em kitnet e se tornar uma das principais referências no negócio de franquias no Brasil  
📺 Confira na JP News
#Empreendedorismo #Negócios #LeonardoCastelo https://t.co/nAWLBiEiPm</t>
  </si>
  <si>
    <t>#LiderançaEInovação | Lado social é importante?
João Adibe: "Uma companhia é formada por pessoas. A primeira coisa que temos que fazer é cuidar de quem faz a CIMED o que ela é todos os dias"
📺 Confira na JP News
#social #esg #empreendedorismo https://t.co/LzkkmGhpTc</t>
  </si>
  <si>
    <t>#JornaldaManhã | Mercado de moda plus size ganha cada vez mais espaço no Brasil; pequenos empresários desafiam preconceitos e impulsionam segmento
📺 Confira na JP News
#moda #plussize #mercado #empreendedorismo https://t.co/eiGmzWXsjK</t>
  </si>
  <si>
    <t>#SociedadeDigital | Rio de Janeiro sediará Energy Summit em 2024; é o maior evento de inovação e empreendedorismo em energia do mundo
📺 Confira na JP News
#empreendedorismo #inovação #energia https://t.co/KZoCtjE1bL</t>
  </si>
  <si>
    <t>#DeFrenteComOTouro | Pablo Spyer conversa com o fundador e CEO da LIVE, Gabriel Sens, que explica operação da franquia no Brasil e no exterior
📺 Confira na JP News
#empreendedorismo #live #franquias https://t.co/C16oYPZ675</t>
  </si>
  <si>
    <t>#JPBusiness | Fabricante de remédio se torna empresa mais valiosa no mercado europeu; farmacêutica dispara na bolsa e supera grife de luxo
📺 Confira na JP News
#farmaceutica #mercadpeuropeu #remedio #empreendedorismo https://t.co/NQiBO7yaCw</t>
  </si>
  <si>
    <t>#SociedadeDigital | O que torna as empresas inovadoras? MIT premia 20 companhias com mais capacidade de inovação no Brasil
📺 Confira na JP News
#inovaçao #empreendedorismo #brasil https://t.co/JtlLRIH9KO</t>
  </si>
  <si>
    <t>#SOSEmpreendedorJP | Empreendedora relata dificuldade para precificar produtos e manter o controle do estoque; Alfredo Soares, sócio-fundador da G4 Educação, destaca a importância de entender o comportamento de consumo do próprio negócio
📺 Confira na JP News
#Empreendedorismo https://t.co/atsjnnoQF5</t>
  </si>
  <si>
    <t>#JornaldaManhã | Quatro em cada dez pequenos negócios usam cartão de crédito para financiar a empresa; empreendedores têm dificuldade para conseguir empréstimos 
📺 Confira na JP News
#Empreendedorismo #Negócios #Economia https://t.co/TkFbNcm5MT</t>
  </si>
  <si>
    <t>#SOSEmpreendedorJP |  No programa desta semana, Fernando Seabra revelou todas as dificuldades enfrentadas até se tornar empreendedor e trouxe inspiração com suas histórias de superação
📺 Confira na JP News 
#FernandoSeabra #Empreendedorismo #Negócios https://t.co/1DXT46rVAD</t>
  </si>
  <si>
    <t>#SOSEmpreendedorJP | Maria Deccor precisa de investidor-anjo para expandir seu negócio, que já possui dois anos no mercado; bancada comenta 
📺 Confira na JP News
#Empreendedorismo #Negócio #Economia https://t.co/dS13zA8f2h</t>
  </si>
  <si>
    <t>Empreendedorismo: 5 cursos profissionalizantes para impulsionar sua carreira no segundo semestre #correiodeminas
#empreendedorismo #cursoprofissionalizante #impulsionamento #carreira #correiodeminasonline
https://t.co/2qYtQrEO25 https://t.co/LlMB9Gob3Q</t>
  </si>
  <si>
    <t>Em seu centenário, Itabirito presenteia população e empreendedores com a maior feira já realizada na região; são esperados mais de 20 mil visitantes #correiodeminas
#centenárioitabirito #semanafeira #empreendedorismo #amirofeira #correiodeminas
https://t.co/CpKzZE1Scu https://t.co/DI1WG1I6D6</t>
  </si>
  <si>
    <t>📺 Já dá pra assistir ao primeiro episódio da websérie no canal do YouTube do projeto: https://t.co/68cINuB5M4.
#empreendedorismo #startups #tecnologia #economiadigital</t>
  </si>
  <si>
    <t>📸🎙️ 🎙️ Gravando #podcast do @portalitshow! Como #empreendedor sempre busco sabedoria para mudar rotas e deixar impacto positivo! 💪🚀 Inspire-se! #Inovação #inove 🎧🌟#EmpreendedorDeSucesso #InovaçãoConstante #ReinventeSe #SabedoriaEmEmpreender #MomentoCertoDeMudar 🚀💪 https://t.co/gUVIrOak2S</t>
  </si>
  <si>
    <t>Confira as 5 dicas para aumentar a sua  produtividade🤓😁
🔥🔥🔥MARQUE Alguém que precisa ver isso!
#jkconsultoria #produtividade #gestaodetempo #gestaoestrategica #dicas #dica #saopaulo #motivação #marketing #marketingdigital #bomdia #empreendedorismo #gestaodenegocios https://t.co/vRPhigyfV0</t>
  </si>
  <si>
    <t>É preciso se posicionar #Motivation #empreendedorismo https://t.co/d0xBD3GpFY</t>
  </si>
  <si>
    <t>#MarketingPower #empreendedorismo #kiwify https://t.co/Tnk4UK5wdz</t>
  </si>
  <si>
    <t>#plr #kiwify #marketingdigital #empreendedorismo https://t.co/GhGFj0vGp6</t>
  </si>
  <si>
    <t>Saiu aquele vídeo que você investe com pouco dinheiro e ganha um lucro absurdo 
https://t.co/cNTwxD6Ccd
#investment #empreendedor</t>
  </si>
  <si>
    <t>Já mais deixe seus objetivos para depois, lute sempre para conquistar, tenha fé em Deus e não permita que ninguém te desmotive, foco força e fé sempre, o extraordinário é para poucos, pois muitos desistem nas primeiras dificuldades.#pegaavisao 
 #empreendedorismo
#geracaodevalor https://t.co/WQUEihfFr7</t>
  </si>
  <si>
    <t>Temos tantos Dr e enginheiros em Angola desnecessário. Apostem na formação do homem e a mulher do amanhã a fazerem cursos técnicos para que amanhã criarem seus negócios e empregarem jovens nas suas comunidades. Estes espíritos de todos trabalharem no estado e só criarem gatunos.</t>
  </si>
  <si>
    <t>Facilitamos a manutenção dos cadastros, mantemos todas as informações atualizadas e evitamos a divergência entre os dados de cada negócio.
Saiba mais em nosso site:
📲 https://t.co/YeavCtI9km
#Contabilidade #Finanças #GestãoFinanceira #Empresas #Empreendedor</t>
  </si>
  <si>
    <t>#reformatributaria #reformatributaria2023 #impostosbrasil #empreendedor #legislaçãobrasileira #contabilidade https://t.co/OwAZ0KyqWK</t>
  </si>
  <si>
    <t>Conheça nosso software de gerenciamento e saiba mais. Link na bio!
📲 Ou acesse. https://t.co/YeavCtI9km
#gestaofinanceira #finanças #empreendedorismo #pequenasempresas #organização</t>
  </si>
  <si>
    <t>2 Corte ✂️ do bate papo clube da luta podcast, programa completo no canal YouTube 😎
Deixa o like 👍🏻 e compartilha 
#franquias #franquiasbaratas #academia #artesmarciais #abf #riseclub #risecluboficial #risetv #business #empreendedorismo #investidores #nordeste #Recife https://t.co/1X1CRFYEHk</t>
  </si>
  <si>
    <t>Hoje estive na Casa do Pão - Vila Galvão para falar da Rádio Palermo e de comunicação com estes empreendedores feras demais, gratidão pela oportunidade!
Ah, vai visitar a Casa do Pão, só produto top te esperando!!!
#empreender #empreendedorismo #networkinghonesto #networking https://t.co/LT4HZbK2Fq</t>
  </si>
  <si>
    <t>Quem é #direita mesmo sem poder interagir (porque engaja) e #bolsonarista não pode….Estou censurada🤬 #instagram pra responder 
A hashtag #️⃣ mais patriota do Brasil🇧🇷 completou 26K posts! Grata🙏 #brazil do bem… é SOBERANO⬆️💚 #empreendedorismo 
#movimentoloveisalive 🙏🇧🇷🥰🥳 https://t.co/InrIf34whZ</t>
  </si>
  <si>
    <t>Miçangas são as novas joias 💎 #brazil #empreendedorismo #patriota 🫶🫶🫶🌻🐝🇧🇷😀😀😀😀😀😀🥳🥳🥳💕💕💕💕💕💕🥳🥳🥳🥳🥰🥰🥰🥰🥰🙂🙂🙂🙂🙃🙃🙃 #beads #beads #beads https://t.co/lkswfdcJuG</t>
  </si>
  <si>
    <t>Quem não conhece, espia 🕵️‍♀️ a hashtag#️⃣das #empreendedoras do #instagram mais #estilosa e #patriota do #brazil : a nossa #movimentoloveisalive 🙂🙃 hoje, sorrio assim! Um #acessório de uma #empreendedora de Sucessooooo do #riodejaneiro #wednesdayvibes 🙂🙃💓🇧🇷 #empreendedorismo https://t.co/wnMEAFHFWq</t>
  </si>
  <si>
    <t>Somos uma agência especialista em publicidade, marketing digital e gestão de e-commerce para empresas de todos os portes e figuras públicas. Se a sua marca precisa estar em evidência, podemos te ajudar.💪
#agenciadepublicidade #publicidade  #brasil #propaganda #empreendedorismo https://t.co/yyj3doMs5x</t>
  </si>
  <si>
    <t>A missão da Porto Publicidade é posicionar e cuidar de marcas pessoais e empresariais, utilizando o melhor em tecnologia, comunicação e inovação.😃💪 
 #brasil #propaganda #empreendedorismo #sucesso #design #instagram #empreender #branding #digitalart https://t.co/MMxQJu0uIm</t>
  </si>
  <si>
    <t>Interesse em empreendedorismo em queda na Alemanha. #Alemanha #Empreendedorismo #TVCultura 
https://t.co/pX9OZubi4o</t>
  </si>
  <si>
    <t>"Quero valorizar muito a pequena e média empresa porque ela gera 60% ou 70% do emprego deste país", disse o presidente. #Lula #Empreendedorismo #TVCultura
https://t.co/4NwNfqy5hC</t>
  </si>
  <si>
    <t>Evento virtual tem como objetivo informar e motivar estudantes e jovens que estão entrando no mercado de trabalho. #Educação #Empreendedorismo #TVCultura. 
https://t.co/2Mx3Qrn2Pu</t>
  </si>
  <si>
    <t>Curso MP-SP - Oficial de Promotoria
🏆 Saiba mais: https://t.co/PGD9zMIr93
#curso #o #cursos #cursoonline #a #n #brasil #cursosonline #online #s #taller #arte #aprender #empreendedorismo #makeup #escola #formacion #as #marketingdigital #maquiagem #marketing #educa https://t.co/iBP85can5Y</t>
  </si>
  <si>
    <t>Mapas Mentais Tecnologia da Informação - Linux (PDF)
🏆 Saiba mais: https://t.co/HGQz3X8ZYN
#tecnologia #o #a  #n  #informatica #tech #smartphone #internet #brasil #software #apple  #inova #celulares  #celular #ti #android  #design #engenharia #empreendedorismo #marketing https://t.co/CRdXrQQCbv</t>
  </si>
  <si>
    <t>Mapas Mentais Contabilidade Geral - Conceitos e Princípios (PDF)
🏆 Saiba mais: https://t.co/tAW8ZwxemY
#contabilidade #contador #o #empreendedorismo #contabil #mei #empresa #empreendedor #consultoria #impostoderenda #empresas #contabilidadedigital #negocios #contadora https://t.co/eXQlTbS3BN</t>
  </si>
  <si>
    <t>#Empreendedorismo | Presidente e fundador da @polishop, empresa referência no varejo brasileiro e mundial, aborda seis dicas primordiais para se tornar um empresário de sucesso
Confira as dicas: https://t.co/yo4q6O7zUD</t>
  </si>
  <si>
    <t>#Empreendedorismo | Conheça as empresas emergentes que mais cresceram em 2022.
Confira: https://t.co/6dqVofhIYl</t>
  </si>
  <si>
    <t>Potencialize o ensino da economia brasileira e estimule o espírito empreendedor em suas aulas. Inscreva-se no curso de Economia Brasileira e Educação Empreendedora! 
Inscreva-se: https://t.co/WepbpfVyK7
#EconomiaBrasileira #Empreendedorismo https://t.co/7WHd6Jez5A</t>
  </si>
  <si>
    <t>Para os amantes do Iphone, trago essa super oferta do Iphone 11 e com opção retirada em 2h após confirmação pagamento*.
Consulte seu cep para verificar disponibilidade. 
compre aqui: https://t.co/6xIpM6pMOC
#vendasonline #vendas #empreendedorismo #foco #markting #iphone11 https://t.co/TXQnGPnf8g</t>
  </si>
  <si>
    <t>#Empreendedorismo em Transformação: A Nova Face dos Pequenos Negócios no Brasil Pós-Pandemia
https://t.co/X7bmbv8Ety</t>
  </si>
  <si>
    <t>Nunca deixe que desacreditem de você👑 #liberdadefinanceira #sucesso #empreendedorismo https://t.co/KExOHwZVBR</t>
  </si>
  <si>
    <t>#empreendedorismo
#empreender
#empreendedor
#empreendedorismodigital
#marketingdigital
#negocios
#startup
#foco
#motivação
#inspiraçao https://t.co/0GCMCFZZL8</t>
  </si>
  <si>
    <t>#empreendedorismo
#empreender
#empreendedor
#empreendedorismodigital
#marketingdigital
#negocios
#startup
#foco
#motivação
#inspiraçao https://t.co/rA9MsVImTh</t>
  </si>
  <si>
    <t>#empreendedorismo
#empreender
#empreendedor
#empreendedorismodigital
#marketingdigital
#negocios
#startup
#foco
#motivação
#inspiraçao https://t.co/nqo945BaEv</t>
  </si>
  <si>
    <t>#empreendedorismo
#empreender
#empreendedor
#empreendedorismodigital
#marketingdigital
#negocios
#startup
#foco
#motivação
#inspiraçao https://t.co/OKucEetJ6U</t>
  </si>
  <si>
    <t>#empreendedorismo
#empreender
#empreendedor
#empreendedorismodigital
#marketingdigital
#negocios
#startup
#foco
#motivação
#inspiraçao https://t.co/bCIoipSJNP</t>
  </si>
  <si>
    <t>#empreendedorismo
#empreender
#empreendedor
#empreendedorismodigital
#marketingdigital
#negocios
#startup
#foco
#motivação
#inspiraçao https://t.co/YWwz1FfjRu</t>
  </si>
  <si>
    <t>#empreendedorismo
#empreender
#empreendedor
#empreendedorismodigital
#marketingdigital
#negocios
#startup
#foco
#motivação
#inspiraçao https://t.co/njrAKdy1oa</t>
  </si>
  <si>
    <t>#empreendedorismo
#empreender
#empreendedor
#empreendedorismodigital
#marketingdigital
#negocios
#startup
#foco
#motivação
#inspiraçao https://t.co/48FynRrj1l</t>
  </si>
  <si>
    <t>#empreendedorismo
#empreender
#empreendedor
#empreendedorismodigital
#marketingdigital
#negocios
#startup
#foco
#motivação
#inspiraçao https://t.co/asYkHFBb4t</t>
  </si>
  <si>
    <t>#empreendedorismo
#empreender
#empreendedor
#empreendedorismodigital
#marketingdigital
#negocios
#startup
#foco
#motivação
#inspiraçao https://t.co/LkMWH1Inko</t>
  </si>
  <si>
    <t>#empreendedorismo
#empreender
#empreendedor
#empreendedorismodigital
#marketingdigital
#negocios
#startup
#foco
#motivação
#inspiraçao https://t.co/n0swUDxboA</t>
  </si>
  <si>
    <t>#empreendedorismo
#empreender
#empreendedor
#empreendedorismodigital
#marketingdigital
#negocios
#startup
#foco
#motivação
#inspiraçao https://t.co/Pw6WozZdGv</t>
  </si>
  <si>
    <t>#empreendedorismo
#empreender
#empreendedor
#empreendedorismodigital
#marketingdigital
#negocios
#startup
#foco
#motivação
#inspiraçao https://t.co/sbYVp59jAn</t>
  </si>
  <si>
    <t>#empreendedorismo
#empreendedor
#empreendedorismodigital
#empreender
#startup
#negócios
#marketing
#vendas
#sucesso
#motivação https://t.co/UCeQ0hflcH</t>
  </si>
  <si>
    <t>#empreendedorismo
#empreendedor
#empreendedorismodigital
#empreender
#startup
#negócios
#marketing
#vendas
#sucesso
#motivação https://t.co/DZ0FYxZWj8</t>
  </si>
  <si>
    <t>#empreendedorismo
#empreendedor
#empreendedorismodigital
#empreender
#startup
#negócios
#marketing
#vendas
#sucesso
#motivação https://t.co/ezGS3ZqbVv</t>
  </si>
  <si>
    <t>#empreendedorismo
#empreendedor
#empreendedorismodigital
#empreender
#startup
#negócios
#marketing
#vendas
#sucesso
#motivação https://t.co/8F93Cu15PW</t>
  </si>
  <si>
    <t>Uma das principais características,  qualidades que o Empreendedor precisa  ter....
#marketing 
#empreendedorismo 
#negocios
https://t.co/aftCBuSi0y</t>
  </si>
  <si>
    <t>O que não  Te Mata, Te Fortalece...
Mel Gibson é uma dessas pessoas que ressurgiu mais forte a cada tombo, a cada pancada...
#melgibson 
#empreendedorismo 
#liderança
https://t.co/NedWYzBYfu</t>
  </si>
  <si>
    <t>Não perca tempo, pois esse são os últimos dias para se inscrever. 
Faça parte dessa jornada conosco no programa #ElasExportam, acesse o link e se inscreva: https://t.co/N3o8WeQ42T 
#Mulheres #ComércioExterior #Empreendedorismo</t>
  </si>
  <si>
    <t>Fala rede,
Ao compartilhar orientações e inspiração, buscamos capacitar os leitores a dar vida a seus sonhos empreendedores, superar desafios e contribuir para um futuro melhor através de suas iniciativas. 
#Empreendedorismo #Paixão #RealizaçãoPessoal https://t.co/g6nsXBZG3b</t>
  </si>
  <si>
    <t>Pessoal
Para quem puder participar (não tem custo) será bem bacana.
Mais de 400 municípios do Estado de SP estarão presentes.
#inovação
#esportes
#tecnologia 
#empreendedorismo https://t.co/7HWTWXICTC</t>
  </si>
  <si>
    <t>Te a honra de gravar o Tucco na Acreditare e de receber sua cobertura durante as gravações.
Agradecido @tucco_oficial 
#networking  #Empreendedorismo #Empreendedor #empreendedores #empreendedordesucesso #empreendedordevalor #entrevistas https://t.co/JPHuW2GWxE</t>
  </si>
  <si>
    <t>Procurando um endereço fiscal com localização privilegiada? 
Vem ser Planet. Ficamos localizados bem pertinho da Praça do Ferreira, no coração de Fortaleza. 
Whatsapp: (85) 9 8171-8336 
#planetcoworking #enderecofiscal #CNPJ #Fortaleza #coworking #vemserplanet #empreendedor https://t.co/iC7Io7NS6f</t>
  </si>
  <si>
    <t>Recebemos esse feedback de um de nossos clientes e ficamos muito felizes pois nossa missão é proporcionar à eles um espaço de trabalho confortável e produtivo 
Vem ser Planet 🌍
(85) 9 8171-8336 - whatsapp
#empreendedorismo #feedback #vemserplanet #coworkingspace #coworking https://t.co/4rJtuXvQwM</t>
  </si>
  <si>
    <t>Apenas faça! 🐺
#motivação #empreendedorismo #disciplina #milionario #homemdevalor #mulherdevalor #objetivo #foconoobjetivo #foco https://t.co/zR2BDQ2vS7</t>
  </si>
  <si>
    <t>Debemos tener en cuanta todas las desiciones que tomábamos en un futuro pueden ser nuestra salida financiera🧐💵#dinero #empreendedorismo https://t.co/yOQpNilSbW</t>
  </si>
  <si>
    <t>Grande dia para o ecossistema empreendedor e de inovação baiano! 💡🚀
Secti e Sebrae Bahia  assinam convênios de R$ 6,4 milhões para impulsionar o setor.
Um passo importante rumo ao futuro tecnológico!
Leia matéria: https://t.co/eBzfZFFvYo
#empreendedorismo #inovacao https://t.co/42KeVHU2DX</t>
  </si>
  <si>
    <t>O Sebrae Delas Mulher de Negócios está com inscrições abertas até o dia 9 de agosto para a trilha ‘Sou Empreendedora’.
A trilha é online e gratuita.
🔗 Saiba mais:
https://t.co/v1XUGvNB0B
#jornaldeblumenau #Noticiasdeblumenau #SebraeDelas #empreendedorismo #santacatarina https://t.co/7qhNblre1f</t>
  </si>
  <si>
    <t>O case de sucesso da Praça do Empreendedor de Blumenau será apresentado em Brasília no dia 2 de agosto, durante o evento Transformar Juntos, promovido pelo Sebrae.
🔗 Saiba mais:
https://t.co/f1AaMHIrUT
#jornaldeblumenau #Sebrae #empreendedorismo #blumenau #santacatarina https://t.co/laRbq1Izvf</t>
  </si>
  <si>
    <t>A Jornalista e sócia da Presse Comunicação, de Blumenau, Cristiane Soethe Zimmermann, compartilha seus aprendizados em 15 anos de empreendedorismo.
🔗  Confira:
https://t.co/RheYgmwAdy
#jornaldeblumenau #Noticiasdeblumenau #PresseComunicação #empreendedorismo #santacatarina https://t.co/zmXuUyj3jO</t>
  </si>
  <si>
    <t>🚀📚 Oportunidade imperdível na Bahia! 🤩🌟 Cursos e consultorias GRATUITAS para jovens empreendedores! ✨📈 Inscreva-se agora e saiba mais no #PortalChicoSabeTudo. Não perca essa chance de impulsionar seu negócio! 💼🌐 #empreendedorismo #Bahia #oport...
https://t.co/lawoiQg5W2</t>
  </si>
  <si>
    <t>cheryarrizo8 carrosdeluxo carrosesportivos carrodeluxo carroesportivo carroeletrico arrizo6 marketingdigitalbrasil marketingdeconteudo empreendedorismo</t>
  </si>
  <si>
    <t>ferini marketingdigital sucesso empreendedorismo mindset riqueza</t>
  </si>
  <si>
    <t>ferini investimentos primorico mindset riqueza empreendedorismo</t>
  </si>
  <si>
    <t>ferini procrastinacao mindset riqueza empreendedorismo</t>
  </si>
  <si>
    <t>ferini marketingdigital mindset empreendedorismo dinheiro</t>
  </si>
  <si>
    <t>empresário empreender empreendedorismo liberdade joaocarvalho</t>
  </si>
  <si>
    <t>desci inovação empreendedorismo ciência saúde blockchain privacidade educação genômica desci</t>
  </si>
  <si>
    <t>empreendedorismo vendas ecomerce vendas</t>
  </si>
  <si>
    <t>chamado legado execução coragem honra inspiração trabalho empreendedorismo</t>
  </si>
  <si>
    <t>advocacia empreendedora podcast damásio direito podcastdamásio empreendedorismo podcastdireito</t>
  </si>
  <si>
    <t>gerenciamentodecrises redessociais reputaçãoonline prevençãodecrises empreendedorismo</t>
  </si>
  <si>
    <t>g1pará tvliberal premiosebraedejornalismo psj amazônia abacaxi moda empreendedorismo mulheres</t>
  </si>
  <si>
    <t>empreendedorismo negócios vendas gráfica artegrafica elkedesign brasil</t>
  </si>
  <si>
    <t>priorizaçãoestratégica projetos empreendedorismo produtividade resultadossustentáveis equipealinhada</t>
  </si>
  <si>
    <t>wfb wictorbispo desejo persistencia livros conhecimento sabedoria gestao negocios empreendedorismo inteligenciamotivacional vivacomproposito vivaparadeus</t>
  </si>
  <si>
    <t>eusigobolsonaro bitcoin empreendedorismo</t>
  </si>
  <si>
    <t>acelera cursogratuito empreendedorismo escoladeinovadores etecs extensão fatecs inovacps</t>
  </si>
  <si>
    <t>pandolfo vendamaisagora marketingdigital chatbot automacao empreendedorismo empresa digital chatgpt</t>
  </si>
  <si>
    <t>gramasintetica gramasintética futebol fut7 empreendedorismo negocioproprio fut7brasil futebol</t>
  </si>
  <si>
    <t>gramasintetica gramasintética futebol fut7 empreendedorismo negocioproprio fut7brasil futebol fut7cearense ligace7 ligacefut7 fpbf7 futebol7 inf7</t>
  </si>
  <si>
    <t>gramasintetica gramasintética futebol fut7 empreendedorismo negocioproprio fut7brasil futebol fut7cearense ligace7 ligacefut7</t>
  </si>
  <si>
    <t>gramasintetica gramasintética futebol fut7 empreendedorismo negocioproprio fut7brasil futebol fut7cearense ligace7 ligacefut7 fpbf7 futebol7 inf7 gramasinteticapreço fabricagramasintetica gramasinteticafutebol</t>
  </si>
  <si>
    <t>gramasintetica gramasintética futebol fut7 empreendedorismo negocioproprio fut7brasil futebol fut7cearense ligace7 ligacefut7 fpbf7 futebol7 inf7 gramasinteticapreço fabricagramasintetica</t>
  </si>
  <si>
    <t>gramasintetica gramasintética futebol fut7 empreendedorismo</t>
  </si>
  <si>
    <t>gramasintetica gramasintética futebol fut7 empreendedorismo negocioproprio fut7brasil futebol fut7cearense ligace7 ligacefut7 fpbf7 futebol7 inf7 gramasinteticapreço fabricagramasintetica gramasinteticafutebol gramasinteticasociety futebolamador</t>
  </si>
  <si>
    <t>idealprojetos projetos arquitetura comercial empresarial empreendedorismo integração sala loja empresa interiores fachadas layout moveis planejados decoração decor iluminação conforto ambiental obra reforma espaços integrados aceitamoscartoes brasil</t>
  </si>
  <si>
    <t>terçadeoportunidades empreendedorismo visãodefuturo microempreendedores inspiraçãoempresarial desafioseoportunidades</t>
  </si>
  <si>
    <t>empreendedorismo marketingdigital vendas</t>
  </si>
  <si>
    <t>marketingdigital empreendedorismo curso aprendafazer</t>
  </si>
  <si>
    <t>empreender empreendedorismo alexfilhomp vaqueiro vaquejada</t>
  </si>
  <si>
    <t>fundador 40anos história empreendedorismo ocriadordeideias</t>
  </si>
  <si>
    <t>empreendedorismo forçabrasil futuropromissor</t>
  </si>
  <si>
    <t>culturaempreendedora empreendedorismo startups</t>
  </si>
  <si>
    <t>culturaempreendedora negocios empresarios empreendedorismo</t>
  </si>
  <si>
    <t>latam iu35latam2023 inovação empreendedorismo tecnologia</t>
  </si>
  <si>
    <t>salário dinheiro empreendedorismo</t>
  </si>
  <si>
    <t>mulheresdenegocios clubefmblumenau empreendedorismo mulher blumenau</t>
  </si>
  <si>
    <t>mulheresdenegocios podcast clubefmblumenau empreendedorismo empreender</t>
  </si>
  <si>
    <t>clubefmblumenau empreendedorismo negocios mulher blumenau</t>
  </si>
  <si>
    <t>clubefmblumenau podcast lookóptica entrevista empreendedorismo</t>
  </si>
  <si>
    <t>clubefmblumenau entrevista lookoptica podcast empreendedorismo</t>
  </si>
  <si>
    <t>empreendedorismo moda estilo oculos clubefmblumenau</t>
  </si>
  <si>
    <t>beleza empreendedorismo entrevista podcast clubefmblumenau</t>
  </si>
  <si>
    <t>barbie negocios empreendedor businesshunters</t>
  </si>
  <si>
    <t>businesshunters negócios estrategias empreendedorismo</t>
  </si>
  <si>
    <t>empreendedorismo negócios sucessonosnegócios estratégiadenegócio empresa</t>
  </si>
  <si>
    <t>empreendedorismo vendas negócios</t>
  </si>
  <si>
    <t>network negócios business empreendedorismo businesshunters</t>
  </si>
  <si>
    <t>business negócios empreendedorismo network</t>
  </si>
  <si>
    <t>métodotâniazambon turma115 transformaçãodenegócio negócios empreendedorismo</t>
  </si>
  <si>
    <t>businesshunters negócios empreendedorismo estratégias</t>
  </si>
  <si>
    <t>universidadedenegócios planejamento ação resultadosextraordinários empreendedorismo</t>
  </si>
  <si>
    <t>businesshunters contagemregressiva networking empreendedorismo negócios</t>
  </si>
  <si>
    <t>businesshunters contagemregressiva networking empreendedorismo</t>
  </si>
  <si>
    <t>foconasolução empreendedorismo criatividade</t>
  </si>
  <si>
    <t>empreendedorismo métodotâniazambon aumetarfaturamento negócios</t>
  </si>
  <si>
    <t>networking empreendedorismo negócios business mercado</t>
  </si>
  <si>
    <t>negocios empreendedorismo estrategiasdemarketing marketing livehoje convidadoespecial</t>
  </si>
  <si>
    <t>negocios empreendedorismo estrategiasdemarketing marketing</t>
  </si>
  <si>
    <t>crescimentoempresarial negócios universidadedenegócios network empreendedorismo</t>
  </si>
  <si>
    <t>estratégias pnl empreendedorismo objetivo sonhos</t>
  </si>
  <si>
    <t>empreendedorismo estratégiasdenegócios business negócios network</t>
  </si>
  <si>
    <t>empreendedorismo estratégias esperanças empodereseufuturo mestredoseudestino metas</t>
  </si>
  <si>
    <t>empresarios empreendedor pequenasempresasgramdesnegocios</t>
  </si>
  <si>
    <t>redessociais marketingdigital lives marketing socialmedia instagram midiassociais publicidade resenha empreendedorismo</t>
  </si>
  <si>
    <t>sebrae empreendedorismo crescimento</t>
  </si>
  <si>
    <t>sebrae empreendedorismo startup inovação piauí</t>
  </si>
  <si>
    <t>empreendedorismo</t>
  </si>
  <si>
    <t>itabirito agualimpa salamineiraitinerante salamineiraitineranteemagualimpa empreendedorismo</t>
  </si>
  <si>
    <t>aci cafeempresarial suaempresa batepapo evento empreendedorismo</t>
  </si>
  <si>
    <t>dqape serralheiro serralheria vidraçaria portão aluminio vidraceiro vidro blindex duquedecaxias riodejaneiro xerem rj gw empreendedorismo reels viral glass</t>
  </si>
  <si>
    <t>dqape serralheiro serralheria vidraçaria portão porta aluminio vidraceiro vidro blindex duquedecaxias riodejaneiro xerem rj gw empreendedorismo reels</t>
  </si>
  <si>
    <t>dropshipping lojainteligente marketingdigital empreendedorismo</t>
  </si>
  <si>
    <t>lgpd proteçãodedados privacidade empreendedorismo segurançadigital</t>
  </si>
  <si>
    <t>motivacao sucesso empreendedorismo</t>
  </si>
  <si>
    <t>tecnologia dicas cursosgratuitos empreendedorismo</t>
  </si>
  <si>
    <t>rh brasil treinamento business trabalho recursoshumanos work contabilidade empresa qualidadedevida coaching gestaodepessoas sucesso sãopaulo sp empreendedorismo liderança br</t>
  </si>
  <si>
    <t>varejo empreendedorismo negocios</t>
  </si>
  <si>
    <t>panama morarnopana negocios empreendedorismo</t>
  </si>
  <si>
    <t>empreendedorismo marketing negocios negocio franquias empreender empreendedorismodigital</t>
  </si>
  <si>
    <t>meunegocio empreendedorismo empreender franquias franchising</t>
  </si>
  <si>
    <t>franquia negócios meunegócio empreender empreendedorismo youtube josefugice</t>
  </si>
  <si>
    <t>goakira josefugice franquias franchising varejo negocios investimentos empreendedorismo reflexao</t>
  </si>
  <si>
    <t>empreendedorismo negóciopróprio</t>
  </si>
  <si>
    <t>empreendedorismo marketing negocios neg empreendedor negocio franquias empreender empreendedorismodigital centraldovarejo</t>
  </si>
  <si>
    <t>franquia franquias meunegócio empreender empreendedorismo negócios guardiõesdagalaxia marvel josefugice</t>
  </si>
  <si>
    <t>podcast varejo ecommerce negocios empreender empreendedorismo meunegocio</t>
  </si>
  <si>
    <t>franquia franquias iphone iphone15 apple tecnologia negócios meunegócio empreender empreendedorismo</t>
  </si>
  <si>
    <t>goakira josefugice canaljf franquias franchising varejo negocios investimentos empreendedorismo</t>
  </si>
  <si>
    <t>franquia franquias meunegócio empreender empreendedorismo</t>
  </si>
  <si>
    <t>youtube meunegocio empreendedorismo empreender franquias franchising</t>
  </si>
  <si>
    <t>empreendedorismo barackobama obama meunegocio empreender motivacao inspiracao motivacional</t>
  </si>
  <si>
    <t>filme dicadefilme empreendedorismo inspiracao empreededor obama barackobama</t>
  </si>
  <si>
    <t>franquia franquias franqueado meunegócio empreendedorismo</t>
  </si>
  <si>
    <t>goakira josefugice franquias franchising varejo negocios pontocomercial geomarketing empreendedorismo</t>
  </si>
  <si>
    <t>youtube franquia franquias empreender empreendedorismo josefugice meunegócio</t>
  </si>
  <si>
    <t>negócios franquias franquia empreender empreendedorismo meunegócio</t>
  </si>
  <si>
    <t>meunegócio rendaextra aplicativos empreendedorismo</t>
  </si>
  <si>
    <t>franquia franquias empreender empreendedorismo</t>
  </si>
  <si>
    <t>franquia empreender empreendedorismo meunegócio investiremfranquia investir investimento</t>
  </si>
  <si>
    <t>goakira josefugice franquias franchising varejo negocios investimentos empreendedorismo</t>
  </si>
  <si>
    <t>goakira josefugice franquias franchising varejo negocios investimentos planodenegocios empreendedorismo</t>
  </si>
  <si>
    <t>franquia negóciopróprio empreender empreendedorismo</t>
  </si>
  <si>
    <t>franquia franquias franchising empreendedorismo meunegócio investiremfranquia</t>
  </si>
  <si>
    <t>podcast empreender empreendedorismo varejo centraldovarejo meunegocio ecommerce</t>
  </si>
  <si>
    <t>empreendedorismo marketing negocios neg empreendedor negocio franquias empreender empreendedorismodigital</t>
  </si>
  <si>
    <t>habitosdeconsumo consumo negocioslocais produtosartesanais consumoconsciente sustentabilidade empreendedorismo</t>
  </si>
  <si>
    <t>franquias franchising oportunidadesoeinvestimento empreendedorismo investimento franquiasbaratas</t>
  </si>
  <si>
    <t>negócios franquias franquia meunegócio empreender empreendedorismo conhecimento</t>
  </si>
  <si>
    <t>empreender empreendedorismo meunegócio franquia franquias</t>
  </si>
  <si>
    <t>negócios empreender franquias franquiasemalta meunegócio empreendedorismo</t>
  </si>
  <si>
    <t>palestra palestrante palestras negócio empreender empreendedorismo meunegócio</t>
  </si>
  <si>
    <t>rendaextra ganhardinheiro meunegócio empreendedorismo</t>
  </si>
  <si>
    <t>empresas empresarios emprendedores empreendedorismo emprender negocios</t>
  </si>
  <si>
    <t>motivacao foco motivacaoemfrases motivacaodiaria empreendedorismo motivacao24h motivacaododia motivacaosempre motivacaoetudo motivação</t>
  </si>
  <si>
    <t>motivacao foco motivacaoemfrases motivacaodiaria empreendedorismo</t>
  </si>
  <si>
    <t>empreendedorismo negociosdigitais determinação estilodevida forbes forbesbrasil kerbyjeanraymond</t>
  </si>
  <si>
    <t>ocapitaldigital livre livremercado livreiniciativa empreendedorismo novosdesafios negocios</t>
  </si>
  <si>
    <t>pciconcursos motiva motivacao concursos foco sucesso empreendedorismo fitness marketingdigital amor brasil concursopublico motivation empreender motivacional frases treino inspira deus vida</t>
  </si>
  <si>
    <t>pciconcursos motiva motivacao concursos foco sucesso empreendedorismo fitness marketingdigital amor brasil concursopublico motivation empreender motivacional frases treino inspira deus vida ao determina saude bomdia dinheiro</t>
  </si>
  <si>
    <t>pciconcursos motiva motivacao concursos foco sucesso empreendedorismo fitness marketingdigital amor brasil concursopublico motivation empreender motivacional frases treino inspira deus vida determina saude português gramática</t>
  </si>
  <si>
    <t>pciconcursos motiva motivacao concursos foco sucesso empreendedorismo fitness marketingdigital amor brasil concursopublico motivation empreender motivacional frases treino inspira deus vida ao</t>
  </si>
  <si>
    <t>pciconcursos motiva motivacao concursos foco sucesso empreendedorismo fitness marketingdigital amor brasil concursopublico motivation empreender motivacional frases treino inspira deus vida ao determina saude</t>
  </si>
  <si>
    <t>pciconcursos motiva motivacao concursos foco sucesso empreendedorismo fitness marketingdigital amor brasil concursopublico motivation empreender motivacional frases treino inspira deus vida ao determina saude bomdia</t>
  </si>
  <si>
    <t>maturi festival trabalho empreendedorismo networking oficinas workshop palestras</t>
  </si>
  <si>
    <t>marketingdigital empreendedorismo vendasonline</t>
  </si>
  <si>
    <t>fofocadobem vaga professor empreendedorismo</t>
  </si>
  <si>
    <t>empreendedorismo empreender empreendendo empreendertransforma empresarios praxedesmkt27051greennn blogger digitalinfluencer instagram olhosazuis</t>
  </si>
  <si>
    <t>repost empreendedorismo empresas negócios administração desvendandonegocios curiosidadesdenegocios petroleo commodities exportações</t>
  </si>
  <si>
    <t>empreendedorismo tributação</t>
  </si>
  <si>
    <t>innovacion empreendedorismo emprendedores coworking networking emprendimiento</t>
  </si>
  <si>
    <t>emprendedores empreendedorismo</t>
  </si>
  <si>
    <t>innovacion santodomingoeste empreendedorismo emprendedores</t>
  </si>
  <si>
    <t>paradadelacultura centrodeinnovacionsde innovacion santodomingoeste empreendedorismo emprendedores coworking</t>
  </si>
  <si>
    <t>paradadelacultura centrodeinnovacionsde innovacion santodomingoeste empreendedorismo emprendedores coworking networking emprendimiento</t>
  </si>
  <si>
    <t>negócios empreendedorismo crescimento</t>
  </si>
  <si>
    <t>empreendedorismo inovação crescimento</t>
  </si>
  <si>
    <t>confeiteira maesfesteiras bolodorio mãosdefada empresária</t>
  </si>
  <si>
    <t>rico milionário empreendedor empreender</t>
  </si>
  <si>
    <t>empreendedorismo inovação</t>
  </si>
  <si>
    <t>bndes caps empreendedorismo bid pequenosnegócios amazônia renomadoprofessor unl atividades ppgcom fabico simpósio</t>
  </si>
  <si>
    <t>neuroarquitetura prosperidade empreendedorismo</t>
  </si>
  <si>
    <t>meunovopost empreendedorismo doterra</t>
  </si>
  <si>
    <t>empreendedorismo youtube instagram</t>
  </si>
  <si>
    <t>bahia cooperativismo oceb cooperativa faturamento economia empreendedorismo</t>
  </si>
  <si>
    <t>microcrédito caixa linhadecrédito mei microempreendedor empreendedorismo</t>
  </si>
  <si>
    <t>confeiteira maesfesteiras bolodorio mãosdefada empresária empreendedorismo</t>
  </si>
  <si>
    <t>marketingdigital empreendedorismo dinheiroonline podcast networking</t>
  </si>
  <si>
    <t>marketingdigital podcast networking empreendedorismo motivaçao</t>
  </si>
  <si>
    <t>marketingdigital empreendedorismo podcast agoratalks corte</t>
  </si>
  <si>
    <t>marketingdigital empreendedorismo ganhardinheironainternet trafegopago marketingdigital</t>
  </si>
  <si>
    <t>empreendedorismo afiliados marketing</t>
  </si>
  <si>
    <t>sociedade infancia psicologia ansiedade empreendedorismo</t>
  </si>
  <si>
    <t>empreendedorismo negócios mindset</t>
  </si>
  <si>
    <t>negocios viralvideo empreendedorismo</t>
  </si>
  <si>
    <t>empreendedorismo emprendimiento motivacion inspiración libertad libertadfinanciera networker befree</t>
  </si>
  <si>
    <t>oamorvenceu empreendedorismo</t>
  </si>
  <si>
    <t>empreendedorismo masculinidade</t>
  </si>
  <si>
    <t>investimentos dividendos empreendedor marketing</t>
  </si>
  <si>
    <t>empreendedorismo business</t>
  </si>
  <si>
    <t>motivação foco sucesso empreendedorismo inspiração pensamentopositivo</t>
  </si>
  <si>
    <t>nathansfamous sandarapark 23point5 acessorios art arte amorpropio autoestima brasil confira empreendedorismo sjrp</t>
  </si>
  <si>
    <t>sonogama gama gamadf gamaiada empreendedor orelhao</t>
  </si>
  <si>
    <t>liderançaefetiva desenvolvimentodeequipes sucessoprofissional produtividade motivação líderesdesucesso coachdeliderança empreendedorismo</t>
  </si>
  <si>
    <t>shopreblui realizandosonhos empreendedorismo</t>
  </si>
  <si>
    <t>sucesso shorts empreendedorismo youtube motivação</t>
  </si>
  <si>
    <t>motivação sucesso empreendedorismo viral shorts</t>
  </si>
  <si>
    <t>sucesso empreendedorismo motivação lifestyle shorts youtube you</t>
  </si>
  <si>
    <t>pracegover iniciativa empreendedorismo panthermkt</t>
  </si>
  <si>
    <t>pracegover gestão planejamento empreendedorismo panthermkt</t>
  </si>
  <si>
    <t>empreendedorismo negocios gestão pequenasempresas panthermkt</t>
  </si>
  <si>
    <t>pracegover motivação empreendedorismo pequenasempresas negocioslocais panthermkt</t>
  </si>
  <si>
    <t>ebook jardinagem negócios planta mei empreendedorismo basicosstore brasil</t>
  </si>
  <si>
    <t>bitalk podcast empreendedorismo canalq portugal negocios youtube videolog google portadosfundos filipeneto</t>
  </si>
  <si>
    <t>ecossistema bitalk podcast empreendedorismo canalq negocios ecosistemastartup</t>
  </si>
  <si>
    <t>web3 bitalk podcast empreendedorismo canalq negocios bitcoin blockchain easymoney dinheiro</t>
  </si>
  <si>
    <t>apple samsung bitalk podcast empreendedorismo canalq portugal patentes patent patenttroll patentree</t>
  </si>
  <si>
    <t>patentes bitalk podcast empreendedorismo canalq portugal businesspodcast negocios patent patenttroll patentree</t>
  </si>
  <si>
    <t>bitalk podcast empreendedorismo canalq portugal businesspodcast business negocios patentes patent patenttroll patentree</t>
  </si>
  <si>
    <t>bitalk podcast empreendedorismo canalq patentes patent patenttroll patentree</t>
  </si>
  <si>
    <t>bitalk podcast empreendedorismo chemitek quimicos eco biologico industriaquimica</t>
  </si>
  <si>
    <t>bitalk podcast empreendedorismo</t>
  </si>
  <si>
    <t>corridaespacial bitalk podcast empreendedorismo canalq portugal negocios espaço space satelites</t>
  </si>
  <si>
    <t>ecossistema startups sãofrancisco bitalk podcast empreendedorismo canalq negocios inovação economia ecossistemadestartups</t>
  </si>
  <si>
    <t>powerlaw bitalk podcast empreendedorismo canalq portugal businesspodcast business negocios startups investimento</t>
  </si>
  <si>
    <t>energiasolar bitalk podcast empreendedorismo canalq portugal negocios energia energiasrenovaveis</t>
  </si>
  <si>
    <t>lua bitalk podcast empreendedorismo canalq portugal espaço space corridaàlua spacex elonmusk</t>
  </si>
  <si>
    <t>videolog youtube bitalk podcast empreendedorismo canalq portugal businesspodcast business negocios google</t>
  </si>
  <si>
    <t>banco bitalk podcast empreendedorismo canalq negocios sofiasbank omeubanco literaciafinanceira app google</t>
  </si>
  <si>
    <t>bitalk podcast empreendedorismo canalq portugal negocios web3 makemoneyoline</t>
  </si>
  <si>
    <t>bitalk podcast empreendedorismo canalq portugal negocios espaço space satelites</t>
  </si>
  <si>
    <t>bitalk podcast empreendedorismo canalq portugal negocios espaço space satelites orbita</t>
  </si>
  <si>
    <t>ética negócios bitalk podcast empreendedorismo canalq businesspodcast business jogodosnegócios web3</t>
  </si>
  <si>
    <t>bitalk podcast empreendedorismo canalq portugal negocios quimicos chemitek alimentos</t>
  </si>
  <si>
    <t>bitalk podcast empreendedorismo canalq portugal businesspodcast business negocios eco biologico greenwash</t>
  </si>
  <si>
    <t>aliens bitalk podcast empreendedorismo canalq portugal espaço space satelites orbita extraterrestes</t>
  </si>
  <si>
    <t>bitalk podcast empreendedorismo canalq portugal businesspodcast business negocios espaço space satelites orbita</t>
  </si>
  <si>
    <t>google googlemaps bitalk podcast empreendedorismo canalq portugal patentes patent patenttroll patentree</t>
  </si>
  <si>
    <t>bitalk podcast empreendedorismo canalq portugal businesspodcast business negocios cocacola</t>
  </si>
  <si>
    <t>patente dinheiro bitalk podcast empreendedorismo canalq portugal patent patenttroll patentree</t>
  </si>
  <si>
    <t>bitalk podcast empreendedorismo canalq portugal businesspodcast business negocios finanças divida impostos</t>
  </si>
  <si>
    <t>bitalk podcast empreendedorismo canalq portugal businesspodcast business negocios acidente empreendedor cartadeempreendedor</t>
  </si>
  <si>
    <t>bitalk podcast empreendedorismo canalq portugal negocios energia energiasalternativas energiasrenovaveis</t>
  </si>
  <si>
    <t>bitalk podcast empreendedorismo canalq portugal businesspodcast business negocios impostos finanças robinhood</t>
  </si>
  <si>
    <t>henryford empreendedor</t>
  </si>
  <si>
    <t>motivação empreendedorismo</t>
  </si>
  <si>
    <t>franquiabobs empreendedorismo franquiasdealimentação</t>
  </si>
  <si>
    <t>baffssalgaderia franquiasdealimentação empreendedorismo</t>
  </si>
  <si>
    <t>franchising empreendedorismo termosdofranchising portaldofranchising</t>
  </si>
  <si>
    <t>papocomoanjo theobraga empreendedor empresário</t>
  </si>
  <si>
    <t>sosempreendedor fernandoseabra empreendedor sucesso</t>
  </si>
  <si>
    <t>news moda plussize brasil empreendedorismo</t>
  </si>
  <si>
    <t>sosempreendedor entrevista empreendedorismo case</t>
  </si>
  <si>
    <t>empreendedorismo gestao gestaodepessoas empresas startup</t>
  </si>
  <si>
    <t>rcnimpressa empreendedorismo feminino</t>
  </si>
  <si>
    <t>sebrae empreendedorismo</t>
  </si>
  <si>
    <t>motivacional convicção negócios empreendedorismo startup superhuman</t>
  </si>
  <si>
    <t>sabadou empreendedorismo negócios accountability motivacional oportunidades</t>
  </si>
  <si>
    <t>coragem tomadadedecisão empreendedorismo pessoas rh negócios estratégia</t>
  </si>
  <si>
    <t>sucesso vida foco motivação empreendedorismo</t>
  </si>
  <si>
    <t>sucesso vida foco motivacional empreendedorismo</t>
  </si>
  <si>
    <t>sucesso motivação foco vida empreendedorismo</t>
  </si>
  <si>
    <t>sucesso foco vida motivacional empreendedorismo</t>
  </si>
  <si>
    <t>sucesso foco vida motivação empreendedorismo</t>
  </si>
  <si>
    <t>sucesso vida foco motivação empreendedor</t>
  </si>
  <si>
    <t>sucesso vida foco empreendedorismo motiva</t>
  </si>
  <si>
    <t>sucesso foco motivação vida empreendedorismo</t>
  </si>
  <si>
    <t>investimentos liberdadefinanceira trader empreendedorismo empreendedorismodigital empreendedordesucesso estrategia estrategiasdemercadeo persistencia consistencia sucesso qualidadedevida miamibeach bmfbovespa forex sucesso</t>
  </si>
  <si>
    <t>marketingdigital sites desenvolvimentoweb redessociais viral empreendedorismo</t>
  </si>
  <si>
    <t>desenvolvimentoweb sites landingpage hotsites web redessociais mei empreendedorismo sebrae viral</t>
  </si>
  <si>
    <t>sites landingpage web redessociais mei empreendedorismo sebrae</t>
  </si>
  <si>
    <t>empreendedorismo goiás</t>
  </si>
  <si>
    <t>empreendedorismo confeitaria goiás</t>
  </si>
  <si>
    <t>liberdadefinanceira rendavariavel rendapassiva educacaofinanceira investimento independênnciafinanceira economia criptomoedas motivação atualidades desenvolvimentopessoal desenvolvimentoprofissional empreendedorismo utilidadepública curiosidades reels viral</t>
  </si>
  <si>
    <t>empreendedorismo startups educacao</t>
  </si>
  <si>
    <t>startups empreendedorismo</t>
  </si>
  <si>
    <t>music bluetooth technology headset tech business marketing entrepreneur success motivation party hiphop schweinbeck atlanta empreendedorismo</t>
  </si>
  <si>
    <t>empreendedorismo amigurumis cultura joves</t>
  </si>
  <si>
    <t>comportamento vendas finanças empreendedorismo</t>
  </si>
  <si>
    <t>empresa empreendedorismo</t>
  </si>
  <si>
    <t>empreendedorismo sonhogrande</t>
  </si>
  <si>
    <t>mais1milionário empreendedorismo foconoobjetivo milhao</t>
  </si>
  <si>
    <t>bomdia empreendedorismo</t>
  </si>
  <si>
    <t>motivaçãofinanceira empreendedorismo negóciosrentáveis</t>
  </si>
  <si>
    <t>economia finanças investimentos dinheiro negócios mercadofinanceiro gestãofinanceira educaçãofinanceira empreendedorismo planejamentofinanceiro crescimentoeconômico</t>
  </si>
  <si>
    <t>sucessonosnegócios pensargrande agircomcoragem perseverança empreendedorismo gestãodenegócios metasaudaciosas resiliência oportunidades ação</t>
  </si>
  <si>
    <t>itauempresas pegn ferramentas empreendedorismo apresentado</t>
  </si>
  <si>
    <t>itauempresas pegn empreendedorismo ecommerce blackfriday patrocinado</t>
  </si>
  <si>
    <t>itauempresas pegn empreendedorismo cliente clientela patrocinado</t>
  </si>
  <si>
    <t>itauempresas pegn empreendedorismo vendas fimdeano patrocinado</t>
  </si>
  <si>
    <t>itauempresas pegn empreendedorismo</t>
  </si>
  <si>
    <t>itauempresas pegn empreendedorismo maturidade patrocinado</t>
  </si>
  <si>
    <t>itauempresas pegn empreendedorismo ecommerce vendasonline comercioeletronico patrocinado</t>
  </si>
  <si>
    <t>itauempresas pegn empreendedorismo cliente satisfacaodocliente</t>
  </si>
  <si>
    <t>jornalismo imprensa literatura leitura empreendedorismo homeoffice kyah_borges prabhas filmeseséries cinemaupdate cinema prabhas</t>
  </si>
  <si>
    <t>bi dados empreendedor recursos tecnologiadainformacao lgpd</t>
  </si>
  <si>
    <t>sudeco mt fco fdco governo cuiaba centrooeste credito caravana agricultura desenvolvimento empreendedorismo</t>
  </si>
  <si>
    <t>franquia fitness empreendedorismo</t>
  </si>
  <si>
    <t>franquiabodyhealth suporte tecnologia crescimento satisfaçãocliente investimento empreendedorismo</t>
  </si>
  <si>
    <t>franquia academia empreendedorismo negócio</t>
  </si>
  <si>
    <t>mudancasdehabitos resultadospositivos hábitosatómicos inotes dicasdelivros empreendedor</t>
  </si>
  <si>
    <t>empreendedorismo agroindustrias jornalcp correiopopular</t>
  </si>
  <si>
    <t>diegohenrique inhumas inhumasgo goiania advogado dissoluçãoparcial legislaçãobrasileira negócios empreendedorismo sociedadecomercial</t>
  </si>
  <si>
    <t>resultados análisedesempenho tomadedecisões gestão estratégia negócios planejamento empreendedorismo</t>
  </si>
  <si>
    <t>negocios empreendedorismo</t>
  </si>
  <si>
    <t>podcast trending brasil damahcast rs dança carnaval canoas mães viladoiapi atleta carnavalesca negras maedeatleta maesnegras passista madrinha empreendedorismo</t>
  </si>
  <si>
    <t>oseiasgomes palestrante editoragente gestaofacil negocioescalavel empreendedorismo determinação negocios</t>
  </si>
  <si>
    <t>oseiasgomes palestrante editoragente gestaofacil megocioescalavel empreendedorismo negócios propósito</t>
  </si>
  <si>
    <t>oseiasgomes palestrante editoragente gestaofacil negocioescalavel empreendedorismo motivacional fragilidade</t>
  </si>
  <si>
    <t>oseiasgomes palestrante editoragente gestãofácil negocioescalavel empreendedorismo negócios sucesso motivacional determinação topo</t>
  </si>
  <si>
    <t>oseiasgomes palestrante editoragente gestãofácil negocioeacalavel empreendedorismo</t>
  </si>
  <si>
    <t>oseiasgomes palestrante editoragente gestãofácil negocioescalavel empreendedorismo negócios sucesso motivacional</t>
  </si>
  <si>
    <t>oseiasgomes palestrante editoragente gestaofacil negocioescalavel empreendedorismo sucesso negocios</t>
  </si>
  <si>
    <t>empreendedorismo históriadesucesso</t>
  </si>
  <si>
    <t>empreendedorismo históriadesucesso oseiasgomes editoragente gestãofácil negocioescalavel</t>
  </si>
  <si>
    <t>empreendedorismo históriadesucesso oseiasgomes editoragente gestãofácil</t>
  </si>
  <si>
    <t>oseiasgomes palestrante editoragente gestãofácil negocioeacalavel empreendedorismo negócios inovação empresas diferente inovação</t>
  </si>
  <si>
    <t>empreendedorismo sucesso estratégia oseiasgomes editoragente gestãoeficiente negócioinovador</t>
  </si>
  <si>
    <t>empreendedorismo sucesso estratégia oseiasgomes editoragente</t>
  </si>
  <si>
    <t>empreendedorismo empreendedores</t>
  </si>
  <si>
    <t>encontrodenetworking conexõesjurídicas gestão inovação empreendedorismo demãosdadascomofuturo</t>
  </si>
  <si>
    <t>negocios empreendedorismo marketingdigital</t>
  </si>
  <si>
    <t>empreendedor marketingdigital selfmademan business</t>
  </si>
  <si>
    <t>mastermind ocodigomastermind sucesso jorgeaguiaroficial vencedor psicanalise empreendedor napoleonhill vendas</t>
  </si>
  <si>
    <t>sucesso crescimento napoleonhill jorgeaguiaroficial empreendedor emprendedores</t>
  </si>
  <si>
    <t>empreendedorismo negócios oportunidades</t>
  </si>
  <si>
    <t>dicacontabil contapj bancocora sejacora sebrae empreendedorismo contabilidadedigital</t>
  </si>
  <si>
    <t>ecossistema lideranca carreira bookgram negocios empreendedorismo empresa livro sucesso enriquecimento</t>
  </si>
  <si>
    <t>piratasp juventude economia cultura empreendedorismo sãopaulo</t>
  </si>
  <si>
    <t>motivação empreendedorismo sonhosrealizados persistência</t>
  </si>
  <si>
    <t>empreendedorismo lider</t>
  </si>
  <si>
    <t>empreender empreendedor empresário vendedor motivacao</t>
  </si>
  <si>
    <t>deus sabedoria motivacao motivação motivandopessoas motivandovidas inspiração inspirandopessoas inspirandovodas empreendedor empreendedores</t>
  </si>
  <si>
    <t>viverdeinternet viverdodigital empreendedordigital empreendedorismo motivacao ganhardinheiro mentalidade prosperidade amor deus</t>
  </si>
  <si>
    <t>empreendedorismo jornalismo</t>
  </si>
  <si>
    <t>criptomoedas bitcoin investimento dinheiro blockchain empreendedorismo trader forex sucesso marketing marketingdigital mercadofinanceiro investimentos bitcoinbrasil bitcoins</t>
  </si>
  <si>
    <t>velas decoração empreendedorismo negóciofamiliar</t>
  </si>
  <si>
    <t>contabilidade erroscontábeis gestãofinanceira resultados sucessoempresarial otimização empreendedorismo</t>
  </si>
  <si>
    <t>impostosempresariais obrigaçõesfiscais conformidadefiscal contabilidade gestãofinanceira empreendedorismo</t>
  </si>
  <si>
    <t>notíciatributária icms pis cofins tesetributária debatetributário negócios empreendedorismo</t>
  </si>
  <si>
    <t>dicas visãoestrategica empreendedorismo propósito análise</t>
  </si>
  <si>
    <t>bpo bpofinanceiro terceirizaçãofinanceira gestãofinanceira reduçãodecustos eficiência contabilidade finanças negócios empreendedorismo consultoriafinanceira sucessoempresarial</t>
  </si>
  <si>
    <t>tecnologianosnegocios inovacao empreendedorismo estrategia tecnologiaeinovacao negociosonline sucessoempresarial instagramempreendedor</t>
  </si>
  <si>
    <t>empresa empreendedorismo gestão gestãoempresarial erp</t>
  </si>
  <si>
    <t>fisco impostos obrigacoesfiscais gestaofiscal empreendedorismo financasempresariais gestaocontabil contabilidade regularidadefiscal empresarios dicasfinanceiras sucessoempresarial</t>
  </si>
  <si>
    <t>callcenterexcellence customerservicepros customerdelight work bhfyp business marketing job empreendedorismo technology workfromhome sales businessowner</t>
  </si>
  <si>
    <t>franquia franchising expansaodenegocios empreendedorismo</t>
  </si>
  <si>
    <t>franquia franchising expansaodenegocios empreendedorismo empreender podcast excepcionaispodcast legislaçãotributaria impostos</t>
  </si>
  <si>
    <t>franquia franchising expansaodenegocios empreendedorismo empreender</t>
  </si>
  <si>
    <t>franquia franchising expansaodenegocios empreendedorismo empreender podcast excepcionaispodcast mudanças</t>
  </si>
  <si>
    <t>franquia franchising expansaodenegocios empreendedorismo empreender podcast excepcionaispodcast problemas solução problemsolving</t>
  </si>
  <si>
    <t>franquia franchising expansaodenegocios empreendedorismo empreender podcast excepcionaispodcast</t>
  </si>
  <si>
    <t>franquia franchising expansaodenegocios empreendedorismo empreender podcast excepcionaispodcast habibs</t>
  </si>
  <si>
    <t>caucaia prefeituradecaucaia empreendedorismo</t>
  </si>
  <si>
    <t>dropshipping ecommercebr empreendedorismo</t>
  </si>
  <si>
    <t>vinho destilado adega degusteadega degustevinhosedestilados empreendedorismo</t>
  </si>
  <si>
    <t>criatividade autoconhecimento publicidade empreendedorismo marcas marketing</t>
  </si>
  <si>
    <t>livro atriadedotempo mentalidade leitura empreendedor atraircoisasboas amoler amolivros</t>
  </si>
  <si>
    <t>genesispucrio startups incubadoradeempresas empreendedorismo</t>
  </si>
  <si>
    <t>google googlemeunegocio napp empreendedorismo empreendedor brasil viral</t>
  </si>
  <si>
    <t>iot industria transformacaodigital inovacao empreendedorismo brasilpaisdigital</t>
  </si>
  <si>
    <t>startups inovacao empreendedorismo brasilpaisdigital</t>
  </si>
  <si>
    <t>memes trendviral viralreels autonomo empreendedor produto inovação qrcode brunomars cometobrazil bruninho thetown</t>
  </si>
  <si>
    <t>imposto tributo dinheiro financas empresas empresario empreendedorismo negocios servicos industria comercio</t>
  </si>
  <si>
    <t>brasileirosemorlando brasileirosnoseua empreendedorismofeminino brasileirosnoseua empreendedorismo brasileirosemboston mulheresprotagonistas</t>
  </si>
  <si>
    <t>buzzmarketing protagonismo empreendedorismo florida brasileirosnoseua</t>
  </si>
  <si>
    <t>empreendedorismofeminino brasileirosnoseua empreendedorismo</t>
  </si>
  <si>
    <t>brasileirosemmiami brasileirosemorlando brasileirosnoseua empreendedorismofeminino brasileirosnoseua empreendedorismo brasileirosemboston mulheresprotagonistas</t>
  </si>
  <si>
    <t>brasileirosemmiami brasileirosemorlando brasileirosnoseua empreendedorismofeminino brasileirosnoseua empreendedorismo brasileirosemboston</t>
  </si>
  <si>
    <t>brasileirosemmiami brasileirosemorlando brasileirosnoseua empreendedorismofeminino brasileirosnoseua empreendedorismo brasileirosemboston mulheresprotagonistas protagoinstas clubmulherprotagonista mentoria</t>
  </si>
  <si>
    <t>tbt autoconfiança metas propósito celebração sejaprotagonista brasileirosemorlando empreendedorismofeminino empreendedorismo mulheresprotagonistas</t>
  </si>
  <si>
    <t>marketingdigital digitalmarketing negóciosonline empreendedorismo desenvolvimentopessoal autoaperfeiçoamento motivação sucesso inovação mindset</t>
  </si>
  <si>
    <t>vamosjuntas compartilhandoideias maes maternidade mktdigital empreendedorismo amor relações</t>
  </si>
  <si>
    <t>crescimentodenegócios estratégiasempresariais sucessoempresarial gestãodenegócios empreendedorismo metasdenegócios desenvolvimentoprofissional inovação estratégiasdecrescimento</t>
  </si>
  <si>
    <t>startups empreendedorismo empreender negócios emprego trabalho oportunidade socios parceria sóciosdenegócio</t>
  </si>
  <si>
    <t>rioinnovationweek tecnologia inovação startups seguradoras empreendedorismo</t>
  </si>
  <si>
    <t>mercadofinanceiro investimentos bolsadevalores trading mercadoacões rendavariável rendafixa estratégia empreendedorismo tokenizacao</t>
  </si>
  <si>
    <t>empreendedorismo empreender</t>
  </si>
  <si>
    <t>recreioshopping empreendedorismo</t>
  </si>
  <si>
    <t>empreendedorismo 5asec</t>
  </si>
  <si>
    <t>empreendedorismo mei</t>
  </si>
  <si>
    <t>emprendedor empreendedorismo resiliencia rebecahwang tecnologia</t>
  </si>
  <si>
    <t>dwlcompany novadwl distribuidores empreendedor empreendedorismo</t>
  </si>
  <si>
    <t>softex softexnacional suframa empreendemais amazonia empreendedorismo startups</t>
  </si>
  <si>
    <t>libereseucrescimento empreendedorismo negócios</t>
  </si>
  <si>
    <t>omieacademy educaçãoonline empreendedorismo contabilidade gestãodenegócios</t>
  </si>
  <si>
    <t>portalig sharktank empreendedorismo</t>
  </si>
  <si>
    <t>laravel php programacao webdeveloper carreira empreendedorismo</t>
  </si>
  <si>
    <t>programacao laravel php devops tecnologia empregos empreendedorismo carreira</t>
  </si>
  <si>
    <t>programacao laravel php web carreira empreendedorismo</t>
  </si>
  <si>
    <t>programing programacao php laravel devops frontend backend empregos carreira empreendedorismo</t>
  </si>
  <si>
    <t>laravel php devops empregos carreira empreendedorismo</t>
  </si>
  <si>
    <t>servidor empresa empresas empreendedor empreendedores</t>
  </si>
  <si>
    <t>mei notafiscal empreendedorismo gestaumdigital</t>
  </si>
  <si>
    <t>empreendedorismo mei2023 adaptação</t>
  </si>
  <si>
    <t>escolhasprofissionais novosdesafios empreendedorismo</t>
  </si>
  <si>
    <t>mei2023 empreendedorismo gestaumdigital</t>
  </si>
  <si>
    <t>mercadoeconsumo ecommerce varejo moda empreendedorismo</t>
  </si>
  <si>
    <t>mercadoeconsumo varejo liderança empreendedorismo gestão</t>
  </si>
  <si>
    <t>mercadoeconsumo economia varejo pesquisa empreendedorismo</t>
  </si>
  <si>
    <t>mercadoeconsumo foodservice varejo empreendedorismo</t>
  </si>
  <si>
    <t>empreendedorismo trends</t>
  </si>
  <si>
    <t>soap handmade soapfavors artesanato jabones saboneteartesanal empreendedorismo batism</t>
  </si>
  <si>
    <t>empreendedorismo raiam raiamsantos marketingdigital</t>
  </si>
  <si>
    <t>identidadevisual logotipo design logo designgrafico o designergrafico marketingdigital marketing designer logomarca branding publicidade graphicdesign marca socialmedia empreendedorismo</t>
  </si>
  <si>
    <t>midiassociais marketingdigital o marketing redessociais socialmedia publicidade empreendedorismo design brasil instagram designergrafico mktdigital designgrafico propaganda identidadevisual designer logotipo logo</t>
  </si>
  <si>
    <t>midiassociais marketingdigital marketing redessociais socialmedia publicidade empreendedorismo design brasil instagram designergrafico mktdigital designgrafico propaganda identidadevisual designer logotipo marketing logo</t>
  </si>
  <si>
    <t>sucesso mentalidade desenvolvimentopessoal empreendedorismo marketingdigital</t>
  </si>
  <si>
    <t>sucesso mentalidade desenvolvimentopessoal empreendedorismo marketingdigital tiktok</t>
  </si>
  <si>
    <t>sucesso mentalidade desenvolvimentopessoal empreendedorismo marketingdigita</t>
  </si>
  <si>
    <t>franchisestore franquias empreendedorismo</t>
  </si>
  <si>
    <t>viveralgonovo sucesso motivação crescimento foco empreendedorismo inspiração liderança oportunidade eusoucapaz determinação sonhos fazeracontecer upgradenasuavida</t>
  </si>
  <si>
    <t>coachs renda extra dinheiro modafeminina gourmet sucesso natal comunidade moda cerveja empreendedorismo amigos</t>
  </si>
  <si>
    <t>empreendedorismo alece legislativoce</t>
  </si>
  <si>
    <t>carreira mercadodetrabalho empreendedorismo mulheresempreendedoras</t>
  </si>
  <si>
    <t>vendas oportunidades negócios empreendedor visão resiliência opoderdasvendas</t>
  </si>
  <si>
    <t>foco empreendedorismo vendas opoderdasvendas</t>
  </si>
  <si>
    <t>empreendedorismo equipe clientes varejo vendas opoderdasvendas</t>
  </si>
  <si>
    <t>vendas empreendedorismo chefe negocio patrão funcional meme emprendedores opoderdasvendas</t>
  </si>
  <si>
    <t>empreendedorismo empreender empreenda empreendedor negocios negociopropio vendas opoderdasvendas</t>
  </si>
  <si>
    <t>empreendedorismo parentalidade</t>
  </si>
  <si>
    <t>moda empreendedorismo africa</t>
  </si>
  <si>
    <t>falandodenegocios empreendedorismo jovempan</t>
  </si>
  <si>
    <t>freelancer sucesso dicas empreendedorismo</t>
  </si>
  <si>
    <t>freelancer conectafreela empreendedorismo trabalhofreelancer trabalhoremoto vidafreela</t>
  </si>
  <si>
    <t>diamundialdoemoji empreendedorismo</t>
  </si>
  <si>
    <t>empreendedorismo estreia cinema megatubarão</t>
  </si>
  <si>
    <t>cooperativismo sipag sicoob empreendedorismo negócios</t>
  </si>
  <si>
    <t>sipaguito diadogamer empreendedorismo</t>
  </si>
  <si>
    <t>leoninos empreendedorismo</t>
  </si>
  <si>
    <t>automacao empreendedorismo produtividade microsoft ferramentasdegestao</t>
  </si>
  <si>
    <t>terinov sciencepark azores ecossistemacientífico ecossistemaempresarial empreendedorismo empreendernosaçores science technology innovation</t>
  </si>
  <si>
    <t>lgbtq empreendedorismo</t>
  </si>
  <si>
    <t>empreendedorismo empreendedorismofeminino</t>
  </si>
  <si>
    <t>advogado advogada lgpd lgpdbrasil lgpdparaempresas lgpdnaprática empreendedorismo escritoriodeadvocacia rj</t>
  </si>
  <si>
    <t>empreendedorismo habitação sinceramente</t>
  </si>
  <si>
    <t>travel trip viagem liberdadefinanceira empreendedorismo mentoriadecarreira</t>
  </si>
  <si>
    <t>quero vendasonline rendaextra empreendedor sucesso trabalheemcasa negóciosonline dinheiro liberdade metas obje</t>
  </si>
  <si>
    <t>itapema balneariocamboriu portobelo empreendedorismo corretordeimoveis investimentos litoralcatarinense otaciliocosta donpizza</t>
  </si>
  <si>
    <t>beabatributario emersonaparecidomacedo empreendedorismo planejamentofiscal lucratividade</t>
  </si>
  <si>
    <t>oportunidades empreendedorismo empreendedoras empreender negocios</t>
  </si>
  <si>
    <t>goias empreendedorismo</t>
  </si>
  <si>
    <t>influencer kekapelomundo empreendedorismo</t>
  </si>
  <si>
    <t>anhanguera empreendedorismo</t>
  </si>
  <si>
    <t>bancos milhasaereas cartaodecredito empreendedorismo ferini</t>
  </si>
  <si>
    <t>curso empreendedorismo negociosdigitais</t>
  </si>
  <si>
    <t>informatica transformacaoprofissional conhecimento empreendedorismo computadores jornadadesucesso inspiração carreirabrilhante desenvolvimentopessoal</t>
  </si>
  <si>
    <t>primorico dinheiro sucesso empreendedorismo empreender empreendedor marketingdigital motivação brasil foco liderança negocios marketing</t>
  </si>
  <si>
    <t>consciênciaambiental matemáticafinanceira empreendedorismo</t>
  </si>
  <si>
    <t>doouroaosol nextracker empreendedorismo inclusao diversidade energiasolar</t>
  </si>
  <si>
    <t>danieldantas danielvalentedantas banqueiro empreendedor</t>
  </si>
  <si>
    <t>danielvalentedantas danieldantas banqueiro empreendedor</t>
  </si>
  <si>
    <t>ocde pmes empreendedorismo</t>
  </si>
  <si>
    <t>empreendedorismo startup technology learning tech covid engineering innovation code nasa startups programming coding python developer java stem hacked javascript</t>
  </si>
  <si>
    <t>elonmusk elonmuskbrasil android iphone negocios empreendedorismo amagiadomundodosnegocios</t>
  </si>
  <si>
    <t>reflexao sucesso coragem pensamentos motivação desenvolvimentopessoal mentalidadedesucesso empreendedor</t>
  </si>
  <si>
    <t>conhecimento mentemilionaria reflexao sucesso pensamentos motivação mentalidadedesucesso investimento empreendedorismo williamhuntbrasil</t>
  </si>
  <si>
    <t>reflexao sucesso pensamentos motivação desenvolvimentopessoal mentalidadedesucesso empreendedorismo williamhuntbrasil</t>
  </si>
  <si>
    <t>pararefletir reflexao sucesso motivacao desenvolvimentopessoal mentalidadedesucesso empreendedor empreendedorismo</t>
  </si>
  <si>
    <t>reflexao sucesso motivação finanças financas riqueza finançaspessoais mentalidadedesucesso empreendedorismo</t>
  </si>
  <si>
    <t>sonhos planejamentofinanceiro reflexao sucesso motivação mentalidadedesucesso empreendedor</t>
  </si>
  <si>
    <t>youtuber monetização ianworcman empreendedorismo empreendedor marketing marketingdigital comoganhardinheironainternet comoganhar</t>
  </si>
  <si>
    <t>contabilidade empreendedorismo gestãofinanceira</t>
  </si>
  <si>
    <t>sebraepb empreendedorismo</t>
  </si>
  <si>
    <t>valeumaprosa empreendedorismofeminino taubate empreendedor ilovemybody</t>
  </si>
  <si>
    <t>currículo empreendedor professor história consultoria mentoria marketing estratégia</t>
  </si>
  <si>
    <t>infographya comunicação agência negócio empreendedorismo fidelização clientes</t>
  </si>
  <si>
    <t>ai aiartwork hotmart empreendedorismo abrahamlincoln madmax leonardoai entrepeneur</t>
  </si>
  <si>
    <t>videomaker hotmart hotnartafiliados ebook empreendedorismo youtuber entrepreneurs marketingdigital</t>
  </si>
  <si>
    <t>hotmart hotmartafiliados hotmartbrasil camaraescura videographer marketingdigital empreendedorismo</t>
  </si>
  <si>
    <t>dívidas empreendedorismo</t>
  </si>
  <si>
    <t>negocios maisvendas maisclientes empreendedorismo consultoria</t>
  </si>
  <si>
    <t>bahia empreendedorismo negócios salvador</t>
  </si>
  <si>
    <t>empreendedor ensino educação empreendedismo blogimpacto dicadeleiturafgv</t>
  </si>
  <si>
    <t>diadocontador contabilidade empresas gestãofinanceira contadores empreendedorismo sucesso negócios planejamentofinanceiro</t>
  </si>
  <si>
    <t>empreendedorismo negócios startup inovação empreender sucesso estratégia marketing gestão liderança</t>
  </si>
  <si>
    <t>empreendedorismo gratidão foco motivação</t>
  </si>
  <si>
    <t>empreendedorismo recebeaqui</t>
  </si>
  <si>
    <t>empreendedorismo concorrência</t>
  </si>
  <si>
    <t>empreendedorismo clientes</t>
  </si>
  <si>
    <t>empreendedorismo estoque</t>
  </si>
  <si>
    <t>empreendedorismo burocracia</t>
  </si>
  <si>
    <t>empreendedorismo preço</t>
  </si>
  <si>
    <t>empreendedorismo trabalhoárduo</t>
  </si>
  <si>
    <t>empreendedorismo redessociais</t>
  </si>
  <si>
    <t>roi agipedia marketingdigital agiwork trafegopago socialmedia tecnologia desenvolvimento marketing seo kpi gestao empreendedorismo dev</t>
  </si>
  <si>
    <t>capitaldajoia semijoias semijoiasdeluxo empreendedorismo acessorios</t>
  </si>
  <si>
    <t>capitaldajoia semijoias semijoiasdeluxo empreendedorismo acessorios moda joias</t>
  </si>
  <si>
    <t>capitaldajoia semijoias empreendedorismo acessorios joias</t>
  </si>
  <si>
    <t>empreendedorismo mercado mercadofinanceiro bolsadevalores negocios</t>
  </si>
  <si>
    <t>grupocentercon contabilidade empreendedor inovação tecnologia jurídico rh conselheiroempresarial</t>
  </si>
  <si>
    <t>pme</t>
  </si>
  <si>
    <t>dicasdecontabilidade empreendedorismo</t>
  </si>
  <si>
    <t>podcast cloud empreendedorismo</t>
  </si>
  <si>
    <t>empresa empreendedor</t>
  </si>
  <si>
    <t>empreendedorismo empreendedorismonobrasil</t>
  </si>
  <si>
    <t>empreendedorismo prompe</t>
  </si>
  <si>
    <t>empreendedor contabilidade</t>
  </si>
  <si>
    <t>mei empreendedor</t>
  </si>
  <si>
    <t>mimosparaclientes empreendedorismo</t>
  </si>
  <si>
    <t>empreendedorismo negocio jornalcontabil</t>
  </si>
  <si>
    <t>empresariodesucesso empreendedor</t>
  </si>
  <si>
    <t>empreendedorismo negócios</t>
  </si>
  <si>
    <t>nfs empreendedor</t>
  </si>
  <si>
    <t>mei cnpj empreendedor</t>
  </si>
  <si>
    <t>empreendedor mei</t>
  </si>
  <si>
    <t>mei empreendedorismo</t>
  </si>
  <si>
    <t>conescap fenacon fortaleza empreendedorismo tecnologia contabilidade negócios crcce</t>
  </si>
  <si>
    <t>conescap 20ªconescap feiradenegocios conhecimento networking empresários empreendedorismo negócios</t>
  </si>
  <si>
    <t>fenacon sebrae 51anos empreendedorismo empreendedor</t>
  </si>
  <si>
    <t>franchising franquiasdesucesso franquias legacyfranchising consultoria empreendedorismo</t>
  </si>
  <si>
    <t>nutsenuts franchising franquiasdesucesso grupowea legacyfranchising gilmargianni gianni empreendedorismo alimentosaudável saúde franquia</t>
  </si>
  <si>
    <t>franquiasdesucesso franchising empreendedorismo flytour</t>
  </si>
  <si>
    <t>franchising franquiasdesucesso grupowea legacyfranchising gianni empreendedorismo</t>
  </si>
  <si>
    <t>negociosdigitais consultoria inovação startup empreendedorismo sebrae acate acif floripa florianopolis ucs</t>
  </si>
  <si>
    <t>negociosdigitais consultoria inovação startup empreendedorismo sebrae acate acif floripa florianopolis</t>
  </si>
  <si>
    <t>masterclass hotmart empreendedorismo</t>
  </si>
  <si>
    <t>fazeracontecer empreendedorismo foodforthought</t>
  </si>
  <si>
    <t>empreendedorismo equilíbrioprofissional empregoenegóciopróprio</t>
  </si>
  <si>
    <t>empreendedor sucesso dinheiro</t>
  </si>
  <si>
    <t>empreendedorismo coragem negócios sonhos portugalempreendedor</t>
  </si>
  <si>
    <t>empreendedorismo empreendedoras empreededorismofeminino negocios empreenda empreender locução vozoff producaodeconteudos bomdia terçafeira</t>
  </si>
  <si>
    <t>empreender empreendedorismo orgulho</t>
  </si>
  <si>
    <t>wanted empreendedorismo dao lafoes viseudaolafoes cimvdl cimviseudaolafoes</t>
  </si>
  <si>
    <t>empreendedorismo resiliência crescimento</t>
  </si>
  <si>
    <t>negociação sucesso empreendedorismo</t>
  </si>
  <si>
    <t>mentoria crescimento empreendedorismo</t>
  </si>
  <si>
    <t>crescimento negócios empreendedorismo</t>
  </si>
  <si>
    <t>empreendedor empreendedorismo procrastinacao</t>
  </si>
  <si>
    <t>empreendedorismo marketingdigital marketing branding</t>
  </si>
  <si>
    <t>mindset minsetempreendedor empreendedorismo</t>
  </si>
  <si>
    <t>empreendedorismo marketingdigital</t>
  </si>
  <si>
    <t>empreendedorismo meioambiente barbie</t>
  </si>
  <si>
    <t>sorocaba saopaulo empreendedorismo negocios</t>
  </si>
  <si>
    <t>janikingbrasil limpezacomercial limpezaprofissional franquiadelimpeza franquiajaniking empreendedorismo empreender novonegocio</t>
  </si>
  <si>
    <t>quemaraseria empreendedorismo</t>
  </si>
  <si>
    <t>aesebschool emba empreendedorismo inovação networking</t>
  </si>
  <si>
    <t>laserchip vemparalaserchip solucoesinteligentes pesquisaecommercebr ecommercebrasil sistemadeerp erp ecommerce empreendedorismo</t>
  </si>
  <si>
    <t>laserchip vemparalaserchip soluçõesinteligentes diadorock tipodeempreendedor empreendedorismo</t>
  </si>
  <si>
    <t>laserchip vemparalaserchip ecommerce marketplace sistemaerp erp monteseunegocio empreendedorismo</t>
  </si>
  <si>
    <t>deuséodonodolugar empreendedorismo abaixoaditadura</t>
  </si>
  <si>
    <t>solvitsc condominio sindico orgulhodesersindico oss viverdecondomínio podcast empreendedorismo</t>
  </si>
  <si>
    <t>afiliado marketingdeafiliado programadeafliado marketingdigital empreendedoronline empreendedor blogueiro blogueira ganhardinheiro rendaonline negócioonline</t>
  </si>
  <si>
    <t>empreendedordigital investirempublicidadeonline marketingdigital publicidadeonline empreendedoronline negócioonline marketing empreendedor</t>
  </si>
  <si>
    <t>negócios nômadedigital trabalharnoexterior turismo trabalhar trabalho negócio negócioonline marketingdigital empreendedor</t>
  </si>
  <si>
    <t>ferini motivacional desenvolvimentopessoal marketingdigital marketing empreendedorismo mindset liberdadefinanceira dinheiro riqueza prosperidade foryou fy fypシ゚viral fypシ f4f</t>
  </si>
  <si>
    <t>ferini motivacional desenvolvimentopessoal marketingdigital marketing empreendedorismo mindset liberdadefinanceira dinheiro riqueza prosperidade</t>
  </si>
  <si>
    <t>ferini motivacional desenvolvimentopessoal marketingdigital marketing empreendedorismo mindset liberdadefinanceira</t>
  </si>
  <si>
    <t>planetaifmg2023 programação inscrições ensino pesquisa extensão inovação empreendedorismo internacionalização cultura esporte</t>
  </si>
  <si>
    <t>empreendedorismo negócios blog</t>
  </si>
  <si>
    <t>empreender começar empreendedor fazeroquegosta carlossantosvencedor</t>
  </si>
  <si>
    <t>vendas empreendedorismo mentalidade espiritualidade carlossantosvencedor</t>
  </si>
  <si>
    <t>josedoegito prosperidade empreendedorismo mentalidade espiritualidade carlossantosvencedor</t>
  </si>
  <si>
    <t>empreendedorismo vendas mentalidade espiritualidade podcastcarlossantos</t>
  </si>
  <si>
    <t>empreendedorismo camisadetime futebol entretenimento</t>
  </si>
  <si>
    <t>cãesegatos medicinaveterinaria veterinario empreendedorismo</t>
  </si>
  <si>
    <t>empreendedorismo jornalistas comunicadores</t>
  </si>
  <si>
    <t>essex elonmusk livroinspirador empreendedorismo inovação leituraimperdível</t>
  </si>
  <si>
    <t>empreendedorismo girlpower</t>
  </si>
  <si>
    <t>shorts mentalidadedesucesso luxurylifestyle empreendedor</t>
  </si>
  <si>
    <t>sebraeba negocios empreendedorismo</t>
  </si>
  <si>
    <t>paraíba empreendedorismo</t>
  </si>
  <si>
    <t>empreendedorismo pequenasempresas eua2023</t>
  </si>
  <si>
    <t>regimetributário negócios empreendedorismo impostos simplesnacional lucropresumido lucroreal</t>
  </si>
  <si>
    <t>cryptohero empreendedorismo</t>
  </si>
  <si>
    <t>motivation sucesso empreendedorismo</t>
  </si>
  <si>
    <t>empreendedor empreendimento sonhos foodblogger instafood containerhouse restaurantes</t>
  </si>
  <si>
    <t>brasil empreendedorismo empregos lula ministério</t>
  </si>
  <si>
    <t>campo desenvolvimentorural empreendedorismo jovens</t>
  </si>
  <si>
    <t>oportunidades empreendedorismo foc</t>
  </si>
  <si>
    <t>midiadooh midiaindoor mktdigital publicidade in9midia empreendedorismo neonews sinalizacaodigital hoteis tvcorporativa</t>
  </si>
  <si>
    <t>dinheiro empreendedorismo marketingdigital sucesso raiamsantos</t>
  </si>
  <si>
    <t>emprender empreendedorismo rendaextra marketingdigital dinheiro</t>
  </si>
  <si>
    <t>esquinas revistaesquinas imigração haiti empreendedor</t>
  </si>
  <si>
    <t>maissuperior estudantes ensinosuperior empreendedorismo</t>
  </si>
  <si>
    <t>maissuperior empreendedorismo ideias cursosonline negócios competências</t>
  </si>
  <si>
    <t>ebook ebooks livro pdf livrodigital livros livrosdigitais hotmart kindle marketing empreendedorismo finanças leitura</t>
  </si>
  <si>
    <t>sebrae sebraebahia diadocliente empreendedorismo</t>
  </si>
  <si>
    <t>sebraebahia panificação empreendedorismo</t>
  </si>
  <si>
    <t>carreira desenvolvimento trabalho empreendedorismo</t>
  </si>
  <si>
    <t>takingyoufurther investimentoanjo startups empreendedorismo investimento</t>
  </si>
  <si>
    <t>empreendedorismo absorventedérmico sondagástrica pioneiro saúde gastrostomia inovação farmix distribuidorafarmix gastrotomy abradilan uniaoquimica sebraeba</t>
  </si>
  <si>
    <t>rendaextra renda empreendedorismo empreender</t>
  </si>
  <si>
    <t>jornaldacâmara empreendedorismo workshop</t>
  </si>
  <si>
    <t>uab mestrado empreendedorismo globalização</t>
  </si>
  <si>
    <t>uab uesc educação empreendedorismo cidadania</t>
  </si>
  <si>
    <t>conexões workspace coworking curitiba startup empreendedor inovação networking empreendedorismo</t>
  </si>
  <si>
    <t>conexões workspace coworking curitiba startup empreendedor inovação networking</t>
  </si>
  <si>
    <t>conexões workspace coworking curitiba startup empreendedor</t>
  </si>
  <si>
    <t>conexões workspace coworking curitiba startup empreendedor inovação networking futebolfeminino</t>
  </si>
  <si>
    <t>marketing business marketingdigital digitalmarketing branding socialmedia entrepreneur socialmediamarketing design instagram advertising o smallbusiness graphicdesign motivation love success marketingstrategy seo digital empreendedorismo entrepreneurship</t>
  </si>
  <si>
    <t>7desetembro independência brasil empreendedorismo liberdade sucessonosnegócios</t>
  </si>
  <si>
    <t>empreendedorismo startup</t>
  </si>
  <si>
    <t>bomdia breastfeeding coup earthquake mensagens pensamentos empreendedor sonhos beckysangels spidermanday temblor vunzigewoensdag</t>
  </si>
  <si>
    <t>jcrioclaro rioclarosp sebrae empreendedorismo influencers</t>
  </si>
  <si>
    <t>inpi marcaregistrada protejasuamarca empreendedor</t>
  </si>
  <si>
    <t>sucesso ambicao empreendedorismo negocios dinheiro</t>
  </si>
  <si>
    <t>empreendedorismo altaperformance tubarao shark</t>
  </si>
  <si>
    <t>negocios empreendedorismo marketing vendas sucesso dicas</t>
  </si>
  <si>
    <t>empreender empreendedorismo negócios startup dicasdeempreendedorismo</t>
  </si>
  <si>
    <t>empreendedor empresario ananindeua</t>
  </si>
  <si>
    <t>empresario empreendedor belem ananindeua impostos</t>
  </si>
  <si>
    <t>empresario empreendedor belem ananindeua</t>
  </si>
  <si>
    <t>empreendedor ananindeua</t>
  </si>
  <si>
    <t>empreendedor empresario mei belem</t>
  </si>
  <si>
    <t>empreendedor empresario mei belem ananindeua</t>
  </si>
  <si>
    <t>empreendedor empresario belem ananindeua</t>
  </si>
  <si>
    <t>caminho empreendedorismo sucesso</t>
  </si>
  <si>
    <t>empreendedor manhã desafio</t>
  </si>
  <si>
    <t>empreendedorismo empatia comunicacion transformacion argentina buenosaires instagood estrategistadigital</t>
  </si>
  <si>
    <t>emprendertransforma empreendedorismo trabajarenequipo tendencia capacitacion culturadeempresa</t>
  </si>
  <si>
    <t>21deseptiembre primavera comunicación empreendedorismo valores</t>
  </si>
  <si>
    <t>validaçãodeideias empreendedorismo inovação</t>
  </si>
  <si>
    <t>ecology brasil garanhuns garrafaspet vassourasecologicas explore ornilo vidasaudavel empreendedorismo mulheresempreendedoras</t>
  </si>
  <si>
    <t>empreendedorismo gestaoenegocios finanças livrosdenegócios amoleitura livrosdenegócios livros</t>
  </si>
  <si>
    <t>ararangua consultoriaempresarial empreendedorismo gestaoenegocios finanças aposentados inss vemdecimoterceiro salario dinheiro pis pasep abono dinheiro cef caixa</t>
  </si>
  <si>
    <t>empreendedorismo inspirações comidaitaliana cozinhaitaliana culináriaitaliana franquias gastronomia italinhouse</t>
  </si>
  <si>
    <t>empreendedorismo foodservice delivery empreendedores entregadecomida gastronomia marketplace</t>
  </si>
  <si>
    <t>jornadaépica supereseuslimites destemido váalémdoordinário nadapodepararvocê empreendedorismo negocios</t>
  </si>
  <si>
    <t>empreendedorismo liderança networking inovação gestãofinanceira</t>
  </si>
  <si>
    <t>negócios empreendedorismo realização</t>
  </si>
  <si>
    <t>sucessoonline transformaçãodigital marketingdigital empreendedorismo negocios negociosonline</t>
  </si>
  <si>
    <t>gestãoderedessociais marketingdigital sucessoonline empreendedorismo flyp viral fouyou sucesso motivação</t>
  </si>
  <si>
    <t>qualidades motivação sucesso empreendedorismo</t>
  </si>
  <si>
    <t>empreendedorismo realização sucesso visão estratégia liderança sucessonosnegócios</t>
  </si>
  <si>
    <t>marketingdigital desenvolvimentodesite lojavirtual gerenciamentoderedessociais googleads youtubeads empreendedorismo midiasocial marketing redessociais</t>
  </si>
  <si>
    <t>sucessocomercial empreendedor</t>
  </si>
  <si>
    <t>negócios sucesso inovação empreendedorismo sucessoonline marketing</t>
  </si>
  <si>
    <t>sucessoonline lojavirtual gerenciamentoderedessociais googleads youtubeads empreendedorismo microempresas midiasocial marketing desenvolvimentoweb googleads youtube redessociais</t>
  </si>
  <si>
    <t>negóciosderesultado conquisteseussonhos empreendedorismo negocios sucesso</t>
  </si>
  <si>
    <t>impostos empresas empreender empreendedorismo brasil tributação reformatributaria</t>
  </si>
  <si>
    <t>empreender empreendedorismo mpf receitafederal pt imposto burocracia liberdade</t>
  </si>
  <si>
    <t>empreender empreendedorismo estado</t>
  </si>
  <si>
    <t>cafe papodecafe saoluis slz empreendedorismo</t>
  </si>
  <si>
    <t>hack</t>
  </si>
  <si>
    <t>empreendedorismo gestãodepessoas</t>
  </si>
  <si>
    <t>simonealmeida inovacao empreendedorismo negocios investir investimentos</t>
  </si>
  <si>
    <t>empreendedorismo semferias</t>
  </si>
  <si>
    <t>empreendedorismo moda crescimentopessoal</t>
  </si>
  <si>
    <t>inclusão empreendedorismo workshop farmácia fármacos medicamentos profissões tecnologia</t>
  </si>
  <si>
    <t>saas empreendedorismo startups</t>
  </si>
  <si>
    <t>saas startyourjourney empreendedorismo</t>
  </si>
  <si>
    <t>bolos investimentos empreendedorismo</t>
  </si>
  <si>
    <t>tcc produçãocultural empreendedorismo academico tese faculdades poemas literatura textos estudo relações escrita cultura autoconhecimento tecnologiadainformação ti pesquisa escritos posgraduação sociedade lugardefala leitura doutorado tccaprovado</t>
  </si>
  <si>
    <t>empreendedorismo empreendedor ressignificar gestãodotempo</t>
  </si>
  <si>
    <t>hotmart firefestival marketing empreendedorismo evento</t>
  </si>
  <si>
    <t>empresas aberturadeempresas empreendedorismo belohorizonte</t>
  </si>
  <si>
    <t>sebraemgnodc2023 empreendedorismo negócios capacitação</t>
  </si>
  <si>
    <t>barbie empreendedorismo</t>
  </si>
  <si>
    <t>mei empreendedor notafiscal microempreendedor</t>
  </si>
  <si>
    <t>mei empreendedorismo nfs</t>
  </si>
  <si>
    <t>sebraeminas padaria negócios panificação empreendedorismo</t>
  </si>
  <si>
    <t>santabárbara mineração diversificação empreendedorismo</t>
  </si>
  <si>
    <t>sebraemgnodc2023 empreendedorismo esg mpe</t>
  </si>
  <si>
    <t>empreendedorismo minasgerais empresários confiança</t>
  </si>
  <si>
    <t>sebraemgnodc2023 empreendedorismo crédito microempreendedor</t>
  </si>
  <si>
    <t>liderança negócios empreendedorismo empreendedorismofeminino</t>
  </si>
  <si>
    <t>mei economia empreendedorismo</t>
  </si>
  <si>
    <t>empresas registro jucemg comércio empreendedorismo</t>
  </si>
  <si>
    <t>expofavela negócios empreendedorismo</t>
  </si>
  <si>
    <t>pequenosnegócios negócios empreendedorismo americanas recuperaçãojudicial</t>
  </si>
  <si>
    <t>empreendedorismo saúde liderançafeminina</t>
  </si>
  <si>
    <t>frenteparlamentar empreendedorismo minasgerais</t>
  </si>
  <si>
    <t>planodenegocios empreendedorismo contabilidade</t>
  </si>
  <si>
    <t>credito empreendedorismo investimento</t>
  </si>
  <si>
    <t>expofavelaminas empreendedorismo desenvolvimentosocial</t>
  </si>
  <si>
    <t>varejoexperience empreendedorismo ecommerce</t>
  </si>
  <si>
    <t>empreendedorismo foco objetivos resultados gestaofinanceira bonshábitos motivação bpofinanceiro</t>
  </si>
  <si>
    <t>empreendedorismo trabalhoduro marketingdigital inteligenciaartificial</t>
  </si>
  <si>
    <t>fapesp empreendedorismo</t>
  </si>
  <si>
    <t>tharveker ossegredosdamentemilionaria empreendedorismo livro book</t>
  </si>
  <si>
    <t>empreendedorismo sucesso dedicação</t>
  </si>
  <si>
    <t>empreendedorismo determinação resiliência</t>
  </si>
  <si>
    <t>empreendedorismo yacov</t>
  </si>
  <si>
    <t>sebraegoias empreendercomvc empreendercomsebrae empreendedorismo</t>
  </si>
  <si>
    <t>sebraegoias empreendercomvc empreendecomsebrae empreendedorismo</t>
  </si>
  <si>
    <t>sebraegoias empreendercomvc empreendercomsebrae empreendedorismo psj</t>
  </si>
  <si>
    <t>empreendedoras empreendedores empreendimento empreendedorismofeminino empreendedorismo empresas</t>
  </si>
  <si>
    <t>sonoridade mulhereempreendedora empreendedorismo empreendimento empreendedorismofemininobrasil empreendedorismofemino</t>
  </si>
  <si>
    <t>mulheresempreendedoras empreendedorismo empreendedorismofeminino empreendedoras empreendimento empresarias</t>
  </si>
  <si>
    <t>empreendedoras empreendedorismo mulheresempreendedoras</t>
  </si>
  <si>
    <t>mundocorporativo empreendedorismo</t>
  </si>
  <si>
    <t>mundocorporativo mercadodetrabalho empreendedorismo</t>
  </si>
  <si>
    <t>inovação desenvolvimento empreendedorismo gratidão</t>
  </si>
  <si>
    <t>historiasdesucesso jeffbezos empreendedorismo negocios</t>
  </si>
  <si>
    <t>empreendedorismo diferenciação negocios</t>
  </si>
  <si>
    <t>negócio inovação empreendedor estrategia</t>
  </si>
  <si>
    <t>comunicação empreendedorismo banco riqueza imóveis commodities</t>
  </si>
  <si>
    <t>empreendedorismo pairicopaipobre ideias inteligência</t>
  </si>
  <si>
    <t>pairicopaipobre robertkiyosaki empreendedorismo time jogo equipe</t>
  </si>
  <si>
    <t>empreendedorismo conquista vitória brasil</t>
  </si>
  <si>
    <t>empreendedorismo prazo pairixopaipobre educação economia</t>
  </si>
  <si>
    <t>empreendedor negócios servicos pequenonegocio</t>
  </si>
  <si>
    <t>dobutdonow liderança empreendedorismo</t>
  </si>
  <si>
    <t>síndico síndicoprofissional imoveis investimentoimobiliário condomínio mercadoimobiliário estadão empreendedorismo</t>
  </si>
  <si>
    <t>ecommercebrasil ecommerce mercadolivre empreendedorismo inovação</t>
  </si>
  <si>
    <t>enfermagem empreendedorismo nurse instagram twitterfiles fy</t>
  </si>
  <si>
    <t>vendas metas negocios estrategias resultados vendamais dicas empreendedor</t>
  </si>
  <si>
    <t>vendas metas negocios estrategias resultados vendamais refem empreendedor</t>
  </si>
  <si>
    <t>lawfirm greencard imigração estadosunidos eb2niw rafaelsiqueira empresario empreendedor empreendedorismo</t>
  </si>
  <si>
    <t>lawfirm markmoraislaw greencard imigração estadosunidos morarnoseua visto eb2 rafaelsiqueira empresario empreendedorismo empreendedor</t>
  </si>
  <si>
    <t>deumatchjp empresário betopacheco brasil dinheiro lucro empreendedorismo casasantateresinha</t>
  </si>
  <si>
    <t>deumatchjp entrevista empreendedorismo pijama missvicttoria</t>
  </si>
  <si>
    <t>mulherespositivas nataliabeauty entrevista empreendedorismo beleza</t>
  </si>
  <si>
    <t>deumatchjp mkt empreendedorismo breton</t>
  </si>
  <si>
    <t>novosclientes empreendedorismo médicos advogados psicólogos empreendedores</t>
  </si>
  <si>
    <t>novosclientes empreendedorismo médicos advogados psicólogos empreendedores empresários consultórios escritórios impulsioneseunegocio</t>
  </si>
  <si>
    <t>novosclientes empreendedorismo médicos</t>
  </si>
  <si>
    <t>novosclientes empreendedorismo médicos advogados psicólogos empreendedores empresários consultórios</t>
  </si>
  <si>
    <t>rendaextra empreendedorismo dicasdesucesso ganhardinheiro</t>
  </si>
  <si>
    <t>jornaldamanhã</t>
  </si>
  <si>
    <t>esports empreendedorismo microempreendedorindividual mei microempresa associação sociedadelimitada planejamento estratégico</t>
  </si>
  <si>
    <t>inpibrasil desenhoindustrial acordodehaia industriabrasileira designnacional exportações empreendedorismo</t>
  </si>
  <si>
    <t>desenhoindustrial acordodehaia acordodehaiadescomplicado inpibrasil industriabrasileira designnacional exportações empreendedorismo</t>
  </si>
  <si>
    <t>ozeladordeacademias gestao empreendedorismo sistemaconfefcrefs natalrn acadbrasil nextfit</t>
  </si>
  <si>
    <t>negóciosolo empreendedorismo</t>
  </si>
  <si>
    <t>ibahia forumdocomercio empreendedorismo</t>
  </si>
  <si>
    <t>ibahia empreendedorismo empreendacomfritzpaixao negocios</t>
  </si>
  <si>
    <t>ibahia fritzpaixao colunistas ecommerce empreendedorismo</t>
  </si>
  <si>
    <t>ibahia empreendacomfritzpaixão empreendedorismo colunistas</t>
  </si>
  <si>
    <t>ibahia conexoesenegocios empreendedorismo colunistas</t>
  </si>
  <si>
    <t>ibahia empreendacomfritzpaixão colunistas empreendedorismo</t>
  </si>
  <si>
    <t>trancista empreendedorismo</t>
  </si>
  <si>
    <t>ibahia empreendedorismo capacitação</t>
  </si>
  <si>
    <t>ibahia empreendedorismo fecomercio</t>
  </si>
  <si>
    <t>ibahia empreendacomfritzpaixao fritzpaixao colunistas empreendedorismo sucesso mentalidade</t>
  </si>
  <si>
    <t>ibahia empreendedorismo evoluções</t>
  </si>
  <si>
    <t>ibahia empreendedorismo feiradaspretas</t>
  </si>
  <si>
    <t>boanoite business empreendedorismo</t>
  </si>
  <si>
    <t>vagasdeemprego cajamar prefeituradecajamar polvilho empregabilidade empregos estudantes mercadodetrabalho empreendedorismo</t>
  </si>
  <si>
    <t>historiadesucesso mercadodiferente pagamentos crescimento sucessoempresarial empreendedorismo vendas tecnologia</t>
  </si>
  <si>
    <t>empreendedorismo mundofitness brasil gestao arnaldopoggi mateusbaltar</t>
  </si>
  <si>
    <t>sebraelover empreendedorismo tropeirodigital sebrae</t>
  </si>
  <si>
    <t>inscreva_se youtube tropeirodigital minasgerais ecommerce traycommerce locaweb sebrae sebraeminas empreendedorismo agronegócio</t>
  </si>
  <si>
    <t>ecommercebusiness ecommercestore portugal braga porto empreendedorismo</t>
  </si>
  <si>
    <t>blackrocksstartups inovação empreendedorismo</t>
  </si>
  <si>
    <t>economia privada china crescimento empreendedorismo inovação tecnologia investimento oportunidades</t>
  </si>
  <si>
    <t>sonhos empreender empreendedorismo negocios</t>
  </si>
  <si>
    <t>vendas empreendedorismo</t>
  </si>
  <si>
    <t>marketingdigital webdesign empreendedorismo marketingdigitalbrasil marketingdigitalsp marketingdigitalmogi webdesignmogi</t>
  </si>
  <si>
    <t>marketingdigital dicasmarketingdigital marketingdigitalparastartups marketingdigital marketing empreendedorismo digitalmarketing socialmedia instagram sucesso business negocios dise branding empreender a dinheiro</t>
  </si>
  <si>
    <t>gonçalvesadvogados vitoriaes advogado dicasdesucesso empreendedorismo</t>
  </si>
  <si>
    <t>dicasdesucesso empreendedorismo gonçalvesadvogados vitoriaes advogado</t>
  </si>
  <si>
    <t>empreendedorismo gonçalvesadvogados vitoriaes</t>
  </si>
  <si>
    <t>2ºp empreendedorismo gonçalvesadvogados vitoriaes advogado</t>
  </si>
  <si>
    <t>empreendedorismo gonçalvesadvogados vitoriaes negócios</t>
  </si>
  <si>
    <t>linkedinparanegocios linkedinbrasil economia empreendedorismo</t>
  </si>
  <si>
    <t>marketingdigital investimentos kiwify marketing plr empreendedorismo sucesso</t>
  </si>
  <si>
    <t>kiwify markentingdigital viral plr dropshipping marketing vendas ebook empreendedorismo fyp</t>
  </si>
  <si>
    <t>destaques educação regiãodevitóriadaconquista empreendedorismo</t>
  </si>
  <si>
    <t>pânico brasil empreendedorismo economia</t>
  </si>
  <si>
    <t>empreendedorismo franquia</t>
  </si>
  <si>
    <t>hambúrguer hamburgueria empreendedorismo primeironegócio negócios</t>
  </si>
  <si>
    <t>fogo cozinhaindustrial restaurante gastronomia evitra empreendedorismo</t>
  </si>
  <si>
    <t>empreendedorismo gestãoempresarial organização sucessonosnegócios cuidedoambiente empreendedordesucesso</t>
  </si>
  <si>
    <t>empreendedorismo negócios sucesso inovação estratégia empreender transformação</t>
  </si>
  <si>
    <t>minumenergia planominum diadoblog blog energiasolar mercado contadeluz sustentabilidade energialimpa microempresa microempreendedor empreendedorismo microempresario empresario economia</t>
  </si>
  <si>
    <t>minumenergia planominum energiasolar sustentabilidade energialimpa contadeluz hotel dicadehotel economiadeenergia empresaverde empresario empreendedor</t>
  </si>
  <si>
    <t>energiaeletrica minumenergia planominum contadeluz assinaturadeenergia energiasolar economiadeenergia sustentabilidade energialimpa empreendedor empresario microempresa</t>
  </si>
  <si>
    <t>minumenergia planominum rendaextra parceirominum energialimpa indicouganhou economiadeenergia energiasolar sustentabilidade energialimpa empreendedor</t>
  </si>
  <si>
    <t>ferini marketingdigital mindset mentalidade empreendedorismo riqueza</t>
  </si>
  <si>
    <t>empreendedorismo marketingdigital negocios inspirational</t>
  </si>
  <si>
    <t>negocio empreendedorismo marketingdigital</t>
  </si>
  <si>
    <t>empreendedorismo marketingdigital negocios inspiração</t>
  </si>
  <si>
    <t>empreendedorismo marketingdigital negocios motivation</t>
  </si>
  <si>
    <t>empreendedorismo negocios</t>
  </si>
  <si>
    <t>opb empreendedorismo portugal</t>
  </si>
  <si>
    <t>empreendedorismo opb</t>
  </si>
  <si>
    <t>empreendedorismo marketingdigital negocios inspiration</t>
  </si>
  <si>
    <t>empreendedorismo marketingdigital negocios</t>
  </si>
  <si>
    <t>rumoa1000 mdo otica varejo franquia franchising empreendedorismo empreendedor viral insta</t>
  </si>
  <si>
    <t>negocios franquia sucesso investimento ótica ótico saude beleza bem empreendedorismo franchising mdo rumoa1000 óculos pegn abf excelencia lojas lentes</t>
  </si>
  <si>
    <t>empreender brasil tenso medo empreendedor sinco desde1982 tradição xeon 41anos informatica datacenter empreendedorismo</t>
  </si>
  <si>
    <t>criativo concorrente inovador concorrentes encantar consumidor mercado estratégia empreendedor adaptar</t>
  </si>
  <si>
    <t>samwalton sinco 41anos tradição desde1982 xeon intel kingston seagate datacenter servidor empreendedor empreendedorismo informatica iamintel</t>
  </si>
  <si>
    <t>amyrklink sinco 41anos tradição desde1982 xeon intel kingston seagate datacenter servidor empreendedor empreendedorismo informatica iamintel</t>
  </si>
  <si>
    <t>willrogers sinco 41anos tradição desde1982 xeon intel kingston seagate datacenter servidor empreendedor empreendedorismo informatica iamintel</t>
  </si>
  <si>
    <t>empreendedor empreendedorismo sinco desde1982 tradição 41anos intel xeon seagate kingston iamintel informatica datacenter empreender</t>
  </si>
  <si>
    <t>simonsinek sinco 41anos tradição desde1982 xeon intel kingston seagate datacenter servidor empreendedor empreendedorismo</t>
  </si>
  <si>
    <t>sinco 41anos tradição desde1982 xeon intel kingston seagate datacenter servidor empreendedor empreendedorismo informatica iamintel</t>
  </si>
  <si>
    <t>henrydavidthoreau thoreau sinco 41anos tradição desde1982 xeon intel kingston seagate datacenter servidor empreendedor empreendedorismo informatica iamintel</t>
  </si>
  <si>
    <t>proverbioafricano sinco 41anos tradição desde1982 xeon intel kingston seagate datacenter servidor empreendedor empreendedorismo informatica iamintel</t>
  </si>
  <si>
    <t>richardford sinco 41anos tradição desde1982 xeon intel kingston seagate datacenter servidor empreendedor empreendedorismo informatica iamintel</t>
  </si>
  <si>
    <t>gustavmahler sinco 41anos tradição desde1982 xeon intel kingston seagate datacenter servidor empreendedor empreendedorismo informatica iamintel</t>
  </si>
  <si>
    <t>robertfrost sinco 41anos tradição desde1982 xeon intel kingston seagate datacenter servidor empreendedor empreendedorismo informatica iamintel</t>
  </si>
  <si>
    <t>ralphwaldoemerson sinco 41anos tradição desde1982 xeon intel kingston seagate datacenter servidor empreendedor empreendedorismo informatica iamintel</t>
  </si>
  <si>
    <t>oscarwilde sinco 41anos tradição desde1982 xeon intel kingston seagate datacenter servidor empreendedor empreendedorismo informatica iamintel</t>
  </si>
  <si>
    <t>suntzu sinco 41anos tradição desde1982 xeon intel kingston seagate datacenter servidor empreendedor empreendedorismo informatica iamintel</t>
  </si>
  <si>
    <t>drseuss sinco 41anos tradição desde1982 xeon intel kingston seagate datacenter servidor empreendedor empreendedorismo informatica iamintel</t>
  </si>
  <si>
    <t>vangogh sinco 41anos tradição desde1982 xeon intel kingston seagate datacenter servidor empreendedor empreendedorismo informatica iamintel</t>
  </si>
  <si>
    <t>waltdisney disney sinco 41anos tradição desde1982 xeon intel kingston seagate datacenter servidor empreendedor empreendedorismo informatica iamintel</t>
  </si>
  <si>
    <t>lagarta voar borboletas sinco 41anos tradição desde1982 xeon intel kingston seagate datacenter servidor empreendedor empreendedorismo informatica iamintel</t>
  </si>
  <si>
    <t>shakespeare sinco 41anos tradição desde1982 xeon intel kingston seagate datacenter servidor empreendedor empreendedorismo informatica iamintel</t>
  </si>
  <si>
    <t>walterlippmann sinco 41anos tradição desde1982 xeon intel kingston seagate datacenter servidor empreendedor empreendedorismo informatica iamintel</t>
  </si>
  <si>
    <t>empreender tenso medo empreendedor sinco desde1982 tradição xeon empreendedorismo</t>
  </si>
  <si>
    <t>sinco desde1982 tradição 41anos empreendedorismo empreendedor cortella mariosergiocortella</t>
  </si>
  <si>
    <t>madreteresadecalcuta sinco 41anos tradição desde1982 xeon intel kingston seagate datacenter servidor empreendedor empreendedorismo informatica iamintel</t>
  </si>
  <si>
    <t>patton sinco 41anos tradição desde1982 xeon intel kingston seagate datacenter servidor empreendedor empreendedorismo informatica iamintel</t>
  </si>
  <si>
    <t>isaacnewton sinco 41anos tradição desde1982 xeon intel kingston seagate datacenter servidor empreendedor empreendedorismo informatica iamintel</t>
  </si>
  <si>
    <t>henryford sinco 41anos tradição desde1982 xeon intel kingston seagate datacenter servidor empreendedor empreendedorismo</t>
  </si>
  <si>
    <t>sinco tradição desde1982 xeon intel kingston seagate datacenter servidor empreendedor</t>
  </si>
  <si>
    <t>suntzu artedaguerra sinco 41anos tradição desde1982 xeon intel kingston seagate datacenter servidor empreendedor empreendedorismo informatica iamintel</t>
  </si>
  <si>
    <t>josesaramago sinco 41anos tradição desde1982 xeon intel kingston seagate datacenter servidor empreendedor empreendedorismo informatica</t>
  </si>
  <si>
    <t>jamesrusselllowell sinco 41anos tradição desde1982 xeon intel kingston seagate datacenter servidor empreendedor empreendedorismo informatica iamintel</t>
  </si>
  <si>
    <t>cocochanel sinco 41anos tradição desde1982 xeon intel kingston seagate datacenter servidor empreendedor empreendedorismo informatica iamintel</t>
  </si>
  <si>
    <t>empreender tenso medo empreendedor empreendedorismo sinco desde1982 tradição 41anos intel xeon seagate kingston datacenter informatica iamintel</t>
  </si>
  <si>
    <t>empreender empreendedor empreendedorismo sinco desde1982 tradição 41anos intel xeon seagate kingston datacenter iamintel</t>
  </si>
  <si>
    <t>josoares sinco 41anos tradição desde1982 xeon intel kingston seagate datacenter servidor empreendedor empreendedorismo informatica iamintel</t>
  </si>
  <si>
    <t>coracoralina sinco 41anos tradição desde1982 xeon intel kingston seagate datacenter servidor empreendedor empreendedorismo informatica iamintel</t>
  </si>
  <si>
    <t>rogermiller sinco 41anos tradição desde1982 xeon intel kingston seagate datacenter servidor empreendedor empreendedorismo informatica iamintel</t>
  </si>
  <si>
    <t>diadocliente obrigado gratidão sinco 41anos tradição desde1982 empreendedor</t>
  </si>
  <si>
    <t>winstonchurchill churchill sinco 41anos tradição desde1982 xeon intel kingston seagate datacenter servidor empreendedor empreendedorismo</t>
  </si>
  <si>
    <t>empreender equipe empreendedor teamwork trabalhoemequipe sinco desde1982 tradição 41anos xeon informatica datacenter</t>
  </si>
  <si>
    <t>elizabethii queenelizabethii sinco 41anos tradição desde1982 xeon intel kingston seagate datacenter servidor empreendedor empreendedorismo informatica iamintel</t>
  </si>
  <si>
    <t>empreender empreendedor sinco desde1982 tradição 41anos empreendedorismo intel xeon seagate kingston datacenter informatica iamintel</t>
  </si>
  <si>
    <t>kierkegaard sinco 41anos tradição desde1982 xeon intel kingston seagate datacenter servidor empreendedor empreendedorismo informatica iamintel</t>
  </si>
  <si>
    <t>alberteinstein einstein sinco tradição desde1982 xeon intel seagate datacenter empreendedor empreendedorismo</t>
  </si>
  <si>
    <t>peterwalsh sinco 41anos tradição desde1982 xeon intel kingston seagate datacenter servidor empreendedor empreendedorismo informatica iamintel</t>
  </si>
  <si>
    <t>maxweber sinco 41anos tradição desde1982 xeon intel kingston seagate datacenter servidor empreendedor empreendedorismo informatica iamintel</t>
  </si>
  <si>
    <t>paciência procrastinação sinco 41anos tradição desde1982 xeon intel kingston seagate datacenter servidor empreendedor empreendedorismo informatica iamintel</t>
  </si>
  <si>
    <t>stevejobs jobs sinco 41anos tradição desde1982 xeon intel kingston seagate datacenter servidor empreendedor empreendedorismo informatica iamintel</t>
  </si>
  <si>
    <t>técnico telecomunicações parabéns telecom provedordeinternet internet sinco 41anos tradição desde1982 xeon intel kingston seagate datacenter servidor empreendedor empreendedorismo informatica</t>
  </si>
  <si>
    <t>seneca sinco 41anos tradição desde1982 xeon intel kingston seagate datacenter servidor empreendedor empreendedorismo informatica iamintel</t>
  </si>
  <si>
    <t>laotse sinco 41anos tradição desde1982 xeon intel kingston seagate datacenter servidor empreendedor empreendedorismo informatica iamintel</t>
  </si>
  <si>
    <t>carrollshelby shelby sinco 41anos tradição desde1982 xeon intel kingston seagate datacenter servidor empreendedor empreendedorismo informatica iamintel</t>
  </si>
  <si>
    <t>firewall sinco 41anos tradição desde1982 xeon intel netgate pfsense ipcop opnsense clearos smoothwall ipfire fortigate lumiunbox ngfw servidores datacenter informatica empreendedorismo empreendedor iamintel servidor</t>
  </si>
  <si>
    <t>peterdrucker sinco 41anos tradição desde1982 xeon intel kingston seagate datacenter servidor empreendedor empreendedorismo informatica iamintel</t>
  </si>
  <si>
    <t>thomasedison thomasalvaedison sinco 41anos tradição desde1982 xeon intel kingston seagate datacenter empreendedor empreendedorismo</t>
  </si>
  <si>
    <t>benfranklin benjaminfranklin sinco 41anos tradição desde1982 xeon intel kingston seagate datacenter servidor empreendedor empreendedorismo informatica iamintel</t>
  </si>
  <si>
    <t>angelamerkel sinco 41anos tradição desde1982 xeon intel kingston seagate datacenter servidor empreendedor empreendedorismo informatica iamintel</t>
  </si>
  <si>
    <t>jobs stevejobs sinco 41anos tradição desde1982 xeon intel kingston seagate datacenter servidor empreendedor empreendedorismo informatica iamintel</t>
  </si>
  <si>
    <t>jigorokano sinco 41anos tradição desde1982 xeon intel kingston seagate datacenter servidor empreendedor empreendedorismo informatica iamintel</t>
  </si>
  <si>
    <t>abrahamlincoln abelincoln sinco 41anos tradição desde1982 xeon intel kingston seagate datacenter servidor empreendedor empreendedorismo informatica iamintel</t>
  </si>
  <si>
    <t>churchill sirwinstonchurchill winstonchurchill sinco 41anos tradição desde1982 xeon datacenter empreendedor empreendedorismo</t>
  </si>
  <si>
    <t>tributario empreendedor sinco desde1982 tradição 41anos empreendedorismo</t>
  </si>
  <si>
    <t>empreender sinco 41anos tradição desde1982 empreendedorismo empreendedor</t>
  </si>
  <si>
    <t>johnwooden sinco 41anos tradição desde1982 xeon intel kingston seagate datacenter servidor empreendedor empreendedorismo informatica iamintel</t>
  </si>
  <si>
    <t>washingtonolivetto sinco 41anos tradição desde1982 xeon intel kingston seagate datacenter servidor empreendedor empreendedorismo informatica iamintel</t>
  </si>
  <si>
    <t>cicero sinco 41anos tradição desde1982 xeon intel kingston seagate datacenter servidor empreendedor empreendedorismo informatica iamintel</t>
  </si>
  <si>
    <t>confucio sinco tradição desde1982 xeon intel kingston seagate datacenter empreendedor</t>
  </si>
  <si>
    <t>nikolatesla sinco 41anos tradição desde1982 xeon intel kingston seagate datacenter servidor empreendedor empreendedorismo informatica iamintel</t>
  </si>
  <si>
    <t>aristoteles sinco 41anos tradição desde1982 xeon intel kingston seagate datacenter servidor empreendedor empreendedorismo informatica iamintel</t>
  </si>
  <si>
    <t>michaeljordan empreendedor empreendedorismo</t>
  </si>
  <si>
    <t>empreender tenso desde1982 servidores empreendedor sinco tradição xeon datacenter empreendedor empreendedorismo informatica</t>
  </si>
  <si>
    <t>empreender tenso medo empreendedor sinco desde1982 tradição xeon 41anos informatica datacenter empreendedorismo</t>
  </si>
  <si>
    <t>café empreendedor sinco desde1982 tradição empreendedorismo</t>
  </si>
  <si>
    <t>beethoven ludwigvanbeethoven sinco 41anos tradição desde1982 xeon intel kingston seagate datacenter servidor empreendedor empreendedorismo informatica iamintel</t>
  </si>
  <si>
    <t>krishna sinco 41anos tradição desde1982 xeon intel kingston seagate datacenter servidor empreendedor empreendedorismo informatica</t>
  </si>
  <si>
    <t>blackrat marketingdigital dinheiro empreendedorismo sucesso</t>
  </si>
  <si>
    <t>blakrat marketingdigital vendasonline ganhardinheiro dinheiro mentalidade empreendedorismo trends trending trend</t>
  </si>
  <si>
    <t>blackrat marketingdigital dinheiro ganhardinheiro vendasonline empreendedorismo sucesso</t>
  </si>
  <si>
    <t>cufa cufaes empreendedorismo mulheres empoderamento riqueza favela</t>
  </si>
  <si>
    <t>negocios empreendedorismo sucesso empreender motivação liderança</t>
  </si>
  <si>
    <t>consulting consultoria gastronomia empreendedorismo</t>
  </si>
  <si>
    <t>cooperaçãobrasileira cooperação cooperaçãosulsul empreendedorismo cooperaçãobrasilstp</t>
  </si>
  <si>
    <t>empreendedorismo cafetería superaçao</t>
  </si>
  <si>
    <t>bebasplash_teresopolis cafeteria teresopolis empreendedorismo</t>
  </si>
  <si>
    <t>foconoobjetivo proposito processo empreendedorismo eusou vendas energiapositiva</t>
  </si>
  <si>
    <t>sucesso foco motivação empreendedorismo vida</t>
  </si>
  <si>
    <t>sucesso foco vida empreendedorismo psicologia</t>
  </si>
  <si>
    <t>sucesso vida foco motivação empreendedorismo psicologia</t>
  </si>
  <si>
    <t>twitter empreendedorismo onlinelearning businessisbusiness marketingdigital</t>
  </si>
  <si>
    <t>boanoite empreendedorismo jeffzanetti ocegomotivador</t>
  </si>
  <si>
    <t>empreender empreendedorismo afiliados</t>
  </si>
  <si>
    <t>jeffpalestraprobono probono palestra empreendedorismo</t>
  </si>
  <si>
    <t>sigame follome empreendedorismo marketingdigital motivacao business</t>
  </si>
  <si>
    <t>empreendedorismo builderall marketingdigital negóciosonline sucesso</t>
  </si>
  <si>
    <t>empreendedorismo inovação persistência ousadia sucesso</t>
  </si>
  <si>
    <t>empreendedorismo brasil business marketing marketingdigital</t>
  </si>
  <si>
    <t>motivacao empreendedorismo marketingdigital</t>
  </si>
  <si>
    <t>empreendedorismo sucesso</t>
  </si>
  <si>
    <t>digitalmarketing business entrepreneur facebook marketingdigital socialmedia entrepreneurship empreendedorismo startup digitalmarketing workfromhome dotnetinstitute</t>
  </si>
  <si>
    <t>simplificadiadema empreendedor trabalhador jucesp empregadiadema bancodopovo sebrae cooperadiadema polocosmético saladoempreendedor</t>
  </si>
  <si>
    <t>sebraece marketing empreendedorismo</t>
  </si>
  <si>
    <t>microempresa começando empresa publicidade marketing identidadevisual design empreendedorismo</t>
  </si>
  <si>
    <t>gam finanças investimento empreendedorismo</t>
  </si>
  <si>
    <t>empreendedorismo andreymelnichenko bemeomal</t>
  </si>
  <si>
    <t>bomperfil redesocil empreendedorismo</t>
  </si>
  <si>
    <t>empreendedorismo negocios fisco receitafederal omissão contabil contabilidade erro erros siga</t>
  </si>
  <si>
    <t>rendaextra marketingdigital liberdadefinanceira sucesso empreendedorismo</t>
  </si>
  <si>
    <t>oportunidade empreendedorismo crieseufuturo</t>
  </si>
  <si>
    <t>empreendedorismo emprego bydauto seagull híbridosong dolphin camaçari bahia</t>
  </si>
  <si>
    <t>confeiteira maesfesteiras bolodorio mãosdefada empresária empreendedorismo gratidão avidaehj topperdebolopersonalizado chantinho chantimixamelia cores</t>
  </si>
  <si>
    <t>confeiteira maesfesteiras bolodorio mãosdefada empresária empreendedorismo gratidão avidaehj tiktok topperdebolopersonalizado chantinho chantimixamelia cores</t>
  </si>
  <si>
    <t>coworking empreendedorismo</t>
  </si>
  <si>
    <t>ghostweb empreendedorismo dicas tecnologia viral f4f business marcas webdesign</t>
  </si>
  <si>
    <t>sucessodigital marketingdigital cod dev marketing javascript developer empreendedorismo sucesso programmer</t>
  </si>
  <si>
    <t>mujer marketing mujeresemprendedoras empreendedorismo emprenderores bienestar accion</t>
  </si>
  <si>
    <t>empreendedorismo online trabalho curso cursoonline marketingdigital estrategia estrategiadevendas plataformadevendas anuncios ondecompra</t>
  </si>
  <si>
    <t>motiva motivacao foco sucesso empreendedorismo fitness marketingdigital amor brasil f motivation</t>
  </si>
  <si>
    <t>gratidao lifelonglearning lideranca cursos certificado empreendedorismo</t>
  </si>
  <si>
    <t>agenciademarketing builderall empreendedorismo marketingdigital lifeassist turismo autoconhecimento</t>
  </si>
  <si>
    <t>jorgemorgado vivamelhor parabéns filha marketingdigital empreendedorismo funnelclub voceonlinepontoxyz vemcomigo vemprodigital builderallpontovoceonlinepontoxyz</t>
  </si>
  <si>
    <t>jorgemorgado vivamelhor parabéns mamis marketingdigital empreendedorismo funnelclub voceonlinepontoxyz vemcomigo vemprodigital builderallpontovoceonlinepontoxyz</t>
  </si>
  <si>
    <t>agenciademarketing builderall mictmr empreendedorismo marketingdigital terceirosetor turmadocinema independenciadobrasiljm lifeassist turismo</t>
  </si>
  <si>
    <t>jorgemorgado vemcomigo administração marketingdigital morgadoonline builderall empreendedorismo terceirosetor</t>
  </si>
  <si>
    <t>edbrindes brindes producao seuclientemereceumbrinde empreendedorismo empreendedor brindescorporativos brindesparaclientes brindespersonalizados</t>
  </si>
  <si>
    <t>edbrindes brindes mochilaspersonalizadas seuclientemereceumbrinde empreendedorismo empreendedor brindescorporativos brindesparaclientes brindespersonalizados</t>
  </si>
  <si>
    <t>dica edbrindes brindes seuclientemereceumbrinde empreendedorismo empreendedor brindescorporativos brindesparaclientes brindespersonalizados</t>
  </si>
  <si>
    <t>gopage vendas marketingdigital empreendedor site</t>
  </si>
  <si>
    <t>gopage site marketingdigital ads empreendedorismo</t>
  </si>
  <si>
    <t>redepiu empreendedorismo</t>
  </si>
  <si>
    <t>30under30 centraldecompras retalho logistica distribuição empreendedorismo</t>
  </si>
  <si>
    <t>estreladigital hiperretail empreendedorismo distribuição retalho centraldecompras</t>
  </si>
  <si>
    <t>inovação empreendedorismo</t>
  </si>
  <si>
    <t>mercadopet empreendedorismo empreendedorismopet treinamento petshop empreendedorpet</t>
  </si>
  <si>
    <t>fypシ mercadopet empreendedorismo empreendedorismopet treinamento petshop empreendedorpet</t>
  </si>
  <si>
    <t>mercadopet empreendedorismo empreendedorismopet treinamento petshop empreendedorpet fyp</t>
  </si>
  <si>
    <t>instagram mercademiapodcast empreendedorismo gestão podcast</t>
  </si>
  <si>
    <t>desafio75dias inovação empreendedorismo sucesso</t>
  </si>
  <si>
    <t>diadoirmão edenred empreendedor impulsioneseunegócio</t>
  </si>
  <si>
    <t>harveyspecter suits empreendedor empreendedorismo marketingdigital outlier</t>
  </si>
  <si>
    <t>cursos cursosonline empreendedorismo consultoria empresa</t>
  </si>
  <si>
    <t>mentalmente saude saudemental saudavel inteligenciaemocional trabalho negocios finanças empreendedorismo marketing marketingdigital riqueza dinheiro rico brasil</t>
  </si>
  <si>
    <t>mei me empreendedorismo negócios simplesnacional empreender</t>
  </si>
  <si>
    <t>allison carolpaiffer palestra belohorizonte sebraeefestival empreendedorismo investimentos sharktankbr dinheiro</t>
  </si>
  <si>
    <t>empreendedorismo gestao gestor dicas microem</t>
  </si>
  <si>
    <t>bolos confeitaria mulher empreendedorismo rendaemcasa negocios sobremesas</t>
  </si>
  <si>
    <t>bolos confeitaria mulher empreendedorismo rendaemcasa negocios sobremesas pizza</t>
  </si>
  <si>
    <t>startups damásio empreendedorismo direito direitoempresarial empresarial</t>
  </si>
  <si>
    <t>caminhada mmn empreendedorismo</t>
  </si>
  <si>
    <t>negócios empreendedorismo sucessoempresarial crescimento estratégias</t>
  </si>
  <si>
    <t>roletadasorte sorteios personalizado empreendedor</t>
  </si>
  <si>
    <t>empreendedores empreendimento empreendedor</t>
  </si>
  <si>
    <t>amadoruben acelera vendasonline facebookads marketingdigital empreendedorismo maputo angola talatona luanda 6em7</t>
  </si>
  <si>
    <t>amadoruben acelera marketingdigital negocios publicidade vendasonline maputo luanda angola moçambique talatona 6em7 empreendedorismo facebookads</t>
  </si>
  <si>
    <t>educaçãofinanceira negócios empreendedor imvestimestos</t>
  </si>
  <si>
    <t>criatividade empreendedorismo inovacao marketing tecnologia sustentabilidade aracaju</t>
  </si>
  <si>
    <t>criatividade empreendedorismo inovacao marketing tecnologia sustentabilidade</t>
  </si>
  <si>
    <t>contadorpj cltoupj aberturaempresa calculadorapj pejotizacao cltxpj dev desenvolvedor programador calcularpj abrircnpj mei empreendedor</t>
  </si>
  <si>
    <t>profissionalpj futurobrilhante empreendedorismo flexibilidade educaçãocontinua</t>
  </si>
  <si>
    <t>apas webserie empreendedorismo supermercados video mundodomarketing marketingbrasil</t>
  </si>
  <si>
    <t>pme empreendedorismo marketingdigital marketing marketingbrasil profissionaldemarketing carreira mundodomarketing</t>
  </si>
  <si>
    <t>plataformaespinosa assessoriafinanceira solucaofinanceira conquistas sonhos objetivos empresa empresario empreendedor empreendedorismo mentor restituicaodeimpostos impostos</t>
  </si>
  <si>
    <t>plataformaespinosa assessoriafinanceira solucaofinanceira empresa empresario empreendedor alavancarseunegocio credito antecipacoesderecebivies</t>
  </si>
  <si>
    <t>plataformaespinosa assessoriafinanceira solucaofinanceira empresa empresario empreendedor empreendedorismo mentor alternativasdecredito credito capitaldegiro operacaosubsidiadas</t>
  </si>
  <si>
    <t>plataformaespinosa assessoriafinanceira solucaofinanceira conquistas sonhos objetivos empresa empresario empreendedor empreendedorismo aniversario 9anos</t>
  </si>
  <si>
    <t>midiastudiodesign branding design marketing qualidade estrategia criatividade empreendedorismo negocios</t>
  </si>
  <si>
    <t>portalgp1 gp1 sebrae empreendedorismo</t>
  </si>
  <si>
    <t>marketingdigital innovaciondigital marketingefectivo estrategiadigital expertos marcasoriginales empreendedorismo</t>
  </si>
  <si>
    <t>reflexao sucesso foco filosofia liberdade motivacao mensagem pensamentos mindset mentalidade prosperidade vida empreendedorismo</t>
  </si>
  <si>
    <t>sucesso empreendedorismo liberdadefinanceira marketingdigital afiliado</t>
  </si>
  <si>
    <t>empreendedorismo sucesso liberdadefinanceira rendaextra dinheiroonline</t>
  </si>
  <si>
    <t>sucesso empreendedorismo liberdadefinanceira marketingdigital afiliados</t>
  </si>
  <si>
    <t>ricardomiranda daleplayalamor fypシ foryoupage negociosfreedom exito viral poder empreendedorismo rm nacion mentesmillonarias emprendedores dinero inteligenciafinanciera finanzaspersonales riqueza</t>
  </si>
  <si>
    <t>ricardomiranda empreendedorismo dinero finanzas marketingdigital tips labibliadeloso empresas negocios finanzaspersonales</t>
  </si>
  <si>
    <t>advogados empreendedorismo</t>
  </si>
  <si>
    <t>empreendedorismo marketing marketingdigital</t>
  </si>
  <si>
    <t>edicaodeagosto empreendedor mei informativo contabilidade coppolacontabil contabilidadesp crc cfc</t>
  </si>
  <si>
    <t>empreendedorismo resiliência</t>
  </si>
  <si>
    <t>dicadodia empreendedorismo</t>
  </si>
  <si>
    <t>homeoffice empreendedorismo</t>
  </si>
  <si>
    <t>domínio site registro presençaonline empreendedorismo</t>
  </si>
  <si>
    <t>marketing marketingdigital threads twitter xdotcom empreendedorismo</t>
  </si>
  <si>
    <t>velcro cable orden escritorio viernes computadora electronics azogues negro correa empreendedorismo</t>
  </si>
  <si>
    <t>rocketmedia logo criaçãodelogo caricatura agenciademarketing marketingdigital dicasparanegocios empresas empreendedor mei</t>
  </si>
  <si>
    <t>ladario empreendedorismo escola sebrae</t>
  </si>
  <si>
    <t>empreendedorismo brasileira</t>
  </si>
  <si>
    <t>empreendedorismo legadogerdau</t>
  </si>
  <si>
    <t>tramontina históriadesucesso inspiração empreendedorismo</t>
  </si>
  <si>
    <t>laesteticaebemestar clinicalaesteticaebemestar studioladepilacaomasculina luisdepilacaomasculina bauru baurueregiao gratidao empreendedor estetica homens homem homensquesecuidam homensquecuidam</t>
  </si>
  <si>
    <t>laesteticaebemestar clinicalaesteticaebemestar studioladepilacaomasculina luisdepilacaomasculina bauru baurueregiao sp gratidao empreendedor positividade motivation</t>
  </si>
  <si>
    <t>luisdepilacaomasculina bauru empreendedor estética depilação meme</t>
  </si>
  <si>
    <t>laesteticaebemestar clinicalaesteticaebemestar studioladepilacaomasculina luisdepilacaomasculina bauru baurueregiao sp gratidao empreendedor estetica homens homem homensquesecuidam limpezadepele</t>
  </si>
  <si>
    <t>laesteticaebemestar clinicalaesteticaebemestar studioladepilacaomasculina luisdepilacaomasculina bauru baurueregiao sp gratidao empreendedor estetica homens homem homensquecuidam semanacomeçando segundafeira</t>
  </si>
  <si>
    <t>clinicalaesteticaebemestar luisdepilacaomasculina laesteticaebemestar empreendedor gratidão setembro motivation reflexiones</t>
  </si>
  <si>
    <t>luisdepilacaomasculina clinicalaesteticaebemestar cliente valor valorizacao empreendedor gratidão depilação estética feedback</t>
  </si>
  <si>
    <t>clinicalaesteticaebemestar luisdepilacaomasculina laesteticaebemestar novidades setembro aniversario premio aniversario bauru depilação empreendedor promocao</t>
  </si>
  <si>
    <t>diadocliente 15setembro cliente gratidão laesteticaebemestar clinicalaesteticaebemestar luisdepilacaomasculina empreendedor</t>
  </si>
  <si>
    <t>social feira empreendedorismo evento bazar portalviva cotia</t>
  </si>
  <si>
    <t>ufla inovação empreendedorismo</t>
  </si>
  <si>
    <t>empreendedorismo inovação ufla</t>
  </si>
  <si>
    <t>inovação empreendedorismo ufla notícias</t>
  </si>
  <si>
    <t>empreendedorismo inovação ufla notícia</t>
  </si>
  <si>
    <t>cpbr15 empreendedorismo inovação campusparty</t>
  </si>
  <si>
    <t>empreendedorismo futebolvsnegócios</t>
  </si>
  <si>
    <t>trabalho empreendedorismo saúdemental</t>
  </si>
  <si>
    <t>agronomia negóciosdigitais empreendedorismo</t>
  </si>
  <si>
    <t>maranhao seminario encontro empreendedorismo</t>
  </si>
  <si>
    <t>jucema governoma empreendedorismo juventude</t>
  </si>
  <si>
    <t>jucema governoma maranhao empreendedorismo transformarjunt</t>
  </si>
  <si>
    <t>jucema governoma maranhao empreendedorismo</t>
  </si>
  <si>
    <t>empreendedorismo dinheiro benbvolliefde</t>
  </si>
  <si>
    <t>yoemprendo empreendedorismo junio elsalvador emprendedores elsalvador emprendedor 2023juntosvamosadelante</t>
  </si>
  <si>
    <t>yoemprendo empreendedorismo julio elsalvador emprendedores elsalvador emprendedor 2023juntosvamosadelant</t>
  </si>
  <si>
    <t>yoemprendo empreendedorismo agosto emprendedores elsalvador emprendedor 2023juntosvamosadelante</t>
  </si>
  <si>
    <t>investimentos investimento empreendedorismo dolarizaçao</t>
  </si>
  <si>
    <t>empreendedorismo empreender aprendizado educaçaofinanceira</t>
  </si>
  <si>
    <t>investimento investimentos construcaoevenda empreendedorismo</t>
  </si>
  <si>
    <t>investimentos empreendedorismo</t>
  </si>
  <si>
    <t>investimentos empreendedorismo empreender</t>
  </si>
  <si>
    <t>notasdedomingo empreendedorismo emprego negocios mei</t>
  </si>
  <si>
    <t>empreendedorismo empreender empreendedores startup negocio sucesso networking inspiração crescimento gestão</t>
  </si>
  <si>
    <t>startups mídia inovação tecnologia empreendedorismo</t>
  </si>
  <si>
    <t>migrantes empreendedorismo inovação</t>
  </si>
  <si>
    <t>gestãopme negócio empreendedorismo pme gestão curso formação</t>
  </si>
  <si>
    <t>uminho talks empreendedorismo</t>
  </si>
  <si>
    <t>churrasco bbq churras espetoflex empreendedorismo somosdacarne agro diadospais churrascoemcasa churrascoemfamilia pai presente aniversario brasa futebol costela costelao churrascoecerveja</t>
  </si>
  <si>
    <t>empreendedorismo inovador acifi empreender</t>
  </si>
  <si>
    <t>imovação startup criatividade empreendedorismo</t>
  </si>
  <si>
    <t>estonia inovacao empreendedorismo governodigital</t>
  </si>
  <si>
    <t>empreendedor crm</t>
  </si>
  <si>
    <t>eventos empreendedorismo tecnologia networking vidcon campusparty timeout startupsfever digitalks startupsummit firefestival</t>
  </si>
  <si>
    <t>empreendedorismo marketing socialmedia instagram negocios empreender quesesepa</t>
  </si>
  <si>
    <t>empreendedorismo marketingdigital dicasdemarketing</t>
  </si>
  <si>
    <t>empreendedorismo curso educação cursoonline</t>
  </si>
  <si>
    <t>empreendedorismo dicasdemarketing marketingdigital</t>
  </si>
  <si>
    <t>empreendedorismo cursosonline</t>
  </si>
  <si>
    <t>empreendedorismo cursoonline educação</t>
  </si>
  <si>
    <t>educação cursoonline empreendedorismo</t>
  </si>
  <si>
    <t>motivacional empreendedorismo motivação</t>
  </si>
  <si>
    <t>marketingdigital empreendedorismo</t>
  </si>
  <si>
    <t>empreendedorismo blogmarketingnew marketingdigital tráfegopago tráfegoorgânico motivacional sucesso finanças</t>
  </si>
  <si>
    <t>empreendedorismo motivacional inteligênciaemocional sucesso blogmarketingnew marketingdigital</t>
  </si>
  <si>
    <t>empreendedorismo vendasonline blogmarketingnew marketingdigital tráfegopago tráfegoorgânico</t>
  </si>
  <si>
    <t>instagram empreendedorismo cursoonline</t>
  </si>
  <si>
    <t>empreendedorismo canva marketingdigital</t>
  </si>
  <si>
    <t>empreendedorismo cursosonline educação</t>
  </si>
  <si>
    <t>empreendedorismo empresafamiliar familiaempresaria governanca papeis</t>
  </si>
  <si>
    <t>empreendedorismo vendas negociosonline</t>
  </si>
  <si>
    <t>colatina agro agronegócio agricultura empreendedorismo emprego renda economia show música festival renatoteixeira</t>
  </si>
  <si>
    <t>acontecendoaqui marketing empreendedorismo</t>
  </si>
  <si>
    <t>arteparanegocios empreendedorismo designergrafico mascotepersonalizada figurinhaswhatsapp</t>
  </si>
  <si>
    <t>empreendedorismo inovação brasilempreendedor</t>
  </si>
  <si>
    <t>fialumni startups angola empreendedorismo fialumni</t>
  </si>
  <si>
    <t>negócios empreendedorismo capella</t>
  </si>
  <si>
    <t>investidor investing empreendedor</t>
  </si>
  <si>
    <t>empresas empreendedor advogado direito</t>
  </si>
  <si>
    <t>empresario empreendedor</t>
  </si>
  <si>
    <t>coworking work interiordesign business entrepreneur smallbusiness marketing realestate community entrepreneurship empreendedorismo startup space office</t>
  </si>
  <si>
    <t>curiosidades renda rendaextra ganhardinheiro empreendedorismo</t>
  </si>
  <si>
    <t>jandira sebrae desenvolvimento economico feira empreendedor visita gratuita granjaviana granjavianna granjanews promovem</t>
  </si>
  <si>
    <t>empreendedor intraempreendedor ia</t>
  </si>
  <si>
    <t>business empreendedorismo</t>
  </si>
  <si>
    <t>compete2030 encontrosdaeconomia inovacao empreendedorismo</t>
  </si>
  <si>
    <t>aep desafios5ponto0 compete2020 euinmyregion empreendedor</t>
  </si>
  <si>
    <t>negócios empreendedorismo desburocratiação</t>
  </si>
  <si>
    <t>empreendedorismo mei atendimentoonline</t>
  </si>
  <si>
    <t>sebraetec sebraetec empreendedorismo sebraemaranhão gerenciamentodeempreendimento</t>
  </si>
  <si>
    <t>sebrae empreendedorismo foradacaixa</t>
  </si>
  <si>
    <t>sebrae empreendedorismo mei</t>
  </si>
  <si>
    <t>signos gêmeos libra aquário empreendedorismo</t>
  </si>
  <si>
    <t>empreenderé empreendedorismo sebrae realizaçãoempreendedora</t>
  </si>
  <si>
    <t>sebrae negócios empreendedorismo sebraecursos cursosonline presençadigital</t>
  </si>
  <si>
    <t>empreendasim empreendedorismo sebrae</t>
  </si>
  <si>
    <t>sebrae whatsappbusiness presençadigital empreendedorismo</t>
  </si>
  <si>
    <t>superdica empreendedorismo whatsapp whatsappbusiness vendas</t>
  </si>
  <si>
    <t>empreendedorismo inovação tecnologia</t>
  </si>
  <si>
    <t>sdaquestão vendas empreendedorismo</t>
  </si>
  <si>
    <t>signos áries leão sagitário empreendedorismo</t>
  </si>
  <si>
    <t>serviçossebrae avaliaçãodevendas planejamentodevenda empreendedorismo</t>
  </si>
  <si>
    <t>empreender empreendedorismo o marketingdigital sucesso empreendedor marketing foco dinheiro a negocios motiva brasil rendaextra vendas motivacao empreendedorismofeminino business empreendedorismodigital</t>
  </si>
  <si>
    <t>empreender empreendedorismo o marketingdigital sucesso empreendedor marketing foco dinheiro a negocios motiva brasil rendaextra vendas motivacao empreendedorismofeminino business</t>
  </si>
  <si>
    <t>oportunidade o empreendedorismo a sucesso emprego trabalho vendas brasil vagas marketingdigital rendaextra dinheiro investimento empreender foco motiva empreendedor empregos negocios</t>
  </si>
  <si>
    <t>oportunidade o empreendedorismo a sucesso emprego trabalho vendas brasil vagas marketingdigital rendaextra dinheiro investimento empreender foco</t>
  </si>
  <si>
    <t>empreendedorismo motivation riqueza</t>
  </si>
  <si>
    <t>foco empreendedorismo marketingdigital marketing motivacao mindset negocio</t>
  </si>
  <si>
    <t>ufpa podcast idopterlabs inovacao empreendedorismo mercado</t>
  </si>
  <si>
    <t>empreendedorismo brasil</t>
  </si>
  <si>
    <t>iniciatunegocio empreendedorismo emprendedora comienzatunegocio dondecomprar mochilasescolares</t>
  </si>
  <si>
    <t>empreendedor empreendedorismo sucesso parcerias</t>
  </si>
  <si>
    <t>santos saovicente guaruja empreendedor</t>
  </si>
  <si>
    <t>nutriminds saúdemental comportamento empreendedorismo</t>
  </si>
  <si>
    <t>reflexaododia pablomarcal desenvolvimentoprofissional empreendedorismo</t>
  </si>
  <si>
    <t>sebraeto empreendedorismo lojasebrae empreendedor canaisdeatendimento atendimento suporte consultoria</t>
  </si>
  <si>
    <t>sebraeto empreendedorismo menteempreendedora empreendedor</t>
  </si>
  <si>
    <t>sebraeto empreendedorismo lojasebrae</t>
  </si>
  <si>
    <t>sebraetocantins empreendedorismo</t>
  </si>
  <si>
    <t>marketing empreendedor sucesso</t>
  </si>
  <si>
    <t>cultura empreendedorismo</t>
  </si>
  <si>
    <t>economia empreendedorismo microempresas</t>
  </si>
  <si>
    <t>valoramazônico empreendedorismo prefeiturademanaus cursoonline marketing startups</t>
  </si>
  <si>
    <t>altaperformance valor empreendedorismo empresa negócios</t>
  </si>
  <si>
    <t>terceiraidade inclusão empreendedorismo</t>
  </si>
  <si>
    <t>milionariostalk felipetitto bigbrother podcast empreendedorismo luxurylifestyle money lifestyle carrosdeluxo marketing supercarros affiliatemarketing milionário billionaire trading aestheticvideo empreender carsed</t>
  </si>
  <si>
    <t>economiasp empreendedorismo</t>
  </si>
  <si>
    <t>podcast entrevistas empreendedorismo youtube saocaetanodosul novosnegocios diamantebruto joais pedraspreciosas</t>
  </si>
  <si>
    <t>revendadeagendas miolosdeagenda agendas cadernos planners organizacao negocioproprio empreendedorismo oportunidadedenegocio independenciafinanceira lucratividade</t>
  </si>
  <si>
    <t>empreendedorismo brasil resiliencia like4likes like4likes instagood</t>
  </si>
  <si>
    <t>énotíciapará empreendedorismo economia</t>
  </si>
  <si>
    <t>énotíciapará énotíciabrasil empreendedorismo</t>
  </si>
  <si>
    <t>acasadomrvolpi volpi vocefazadiferença cultura empreendedorismo js wtvbrasil</t>
  </si>
  <si>
    <t>empreendedorismo sonhos persistência</t>
  </si>
  <si>
    <t>chatgpt chatgpt3 chatgpt4 empresario empreendedor</t>
  </si>
  <si>
    <t>digitalmarketing vendasonline empresas saude marketing divulgação empreendedorismo planosdesaude marketingdigital cnpjmei publicidadeonline vendas consultoria mei planodesaudeempresarial</t>
  </si>
  <si>
    <t>digitalmarketing vendasonline empresas marketingdigital divulgação empreendedorismo planosdesaude saopaulo marketing publicidadeonline consultoria vendas cnpjmei planodesaudeempresarial consultoriaempresarial</t>
  </si>
  <si>
    <t>digitalmarketing vendasonline empresas marketingdigital divulgação empreendedorismo planosdesaude diadospais marketing publicidadeonline consultoria cnpjmei planodesaudeempresarial</t>
  </si>
  <si>
    <t>digitalmarketing vendasonline empresas marketingdigital divulgação empreendedorismo planosdesaude diadospais marketing publicidadeonline consultoria cnpjmei planodesaudeempresarial consultoriaempresarial</t>
  </si>
  <si>
    <t>brandingbrasil marketingbrasil empreendedorismo negocios startupbrasil pequenasempresas</t>
  </si>
  <si>
    <t>nae niteroi empreendedorismo negócios mentorias oficinas</t>
  </si>
  <si>
    <t>moda vendedora blumenau itensdemoda compras empreendedorismo</t>
  </si>
  <si>
    <t>qualidade iso iso9001 iso90012015 gestao empresas empreendedorismo</t>
  </si>
  <si>
    <t>comércio empoderamentofeminino empreendedorismo empreendedorismo empreendedorismofeminino equidadedegênero inovação liderança negócios startup transformaçãodigital transformaçãodigital</t>
  </si>
  <si>
    <t>souadm craceará empreendedorismo inteligênciaartificial</t>
  </si>
  <si>
    <t>souadm craceará unifap empreendedorismo inovação</t>
  </si>
  <si>
    <t>online dinheiro empreendedorismo</t>
  </si>
  <si>
    <t>sucesso empreendedorismo liberdade</t>
  </si>
  <si>
    <t>online livre empreendedorismo</t>
  </si>
  <si>
    <t>marketingdigital internet online digital empreendedorismo rico</t>
  </si>
  <si>
    <t>catarse apoieoprojeto apoie empreendedorismo façaparte</t>
  </si>
  <si>
    <t>empreendedorismo comerciantes empresafamiliar fiscal emprendedores empresario</t>
  </si>
  <si>
    <t>vendas empreendedorismo treinamento treinamentodevendas oplanozero</t>
  </si>
  <si>
    <t>vendas empreendedorismo mulheresvirtuosas deus marketingdigital</t>
  </si>
  <si>
    <t>empreendedorismo empreendedorismofeminino mulheresempreendedoras</t>
  </si>
  <si>
    <t>empreendedorismo cursostécnicos</t>
  </si>
  <si>
    <t>logistingroup logistingdigital originalcharacter drawings empreendedorismo m</t>
  </si>
  <si>
    <t>technology o print online content seo original arte doodle originalcharacter drawings empreendedorismo m</t>
  </si>
  <si>
    <t>technology o print online content seo original arte doodle originalcharacter drawings empreendedorismo m instagood cute entrepreneur</t>
  </si>
  <si>
    <t>trafegopago marketingdigital empreendedorismo socialmedia gestordetrafego empresario empresarios</t>
  </si>
  <si>
    <t>frasesmotivacionais brasil pensamento pensamentospositivos baralhocigano paz palavras repost gratidao tar reflexaododia mensagens conselho ncia gratid instafrases amadurecimento motivacional relacionamento empreendedorismo jesus dicas conselhododia</t>
  </si>
  <si>
    <t>empreendedorismo aprender lição sucesso</t>
  </si>
  <si>
    <t>cursos capacitações desenvolvimentoprofissional empreendedorismo empreendedorismo eventos networking finanças investimentos gestão marketing vendas</t>
  </si>
  <si>
    <t>cursos capacitações desenvolvimentoprofissional empreendedorismo empreendedorismo eventos networking finanças investimentos gestão marketing vendas pde360 portaldoempreendedor360</t>
  </si>
  <si>
    <t>cursos capacitações desenvolvimentoprofissional empreendedorismo eventos networking finanças investimentos gestão marketing vendas pde360 portaldoempreendedor360</t>
  </si>
  <si>
    <t>cursos capacitações empreendedorismo eventos networking finanças investimentos gestão marketing vendas pde360 portaldoempreendedor360</t>
  </si>
  <si>
    <t>cursos capacitações empreendedorismo empreendedorismo eventos networking finanças investimentos gestão marketing vendas</t>
  </si>
  <si>
    <t>cursos desenvolvimentoprofissional empreendedorismo empreendedorismo eventos networking finanças investimentos gestão marketing vendas</t>
  </si>
  <si>
    <t>criatividade persistência inovação empreendedorismo sucesso keepflying</t>
  </si>
  <si>
    <t>rendaextra marketingdigital empreendedorismo o dinheiro sucesso empreender marketing rendaextraemcasa hotmart vendas</t>
  </si>
  <si>
    <t>easycob cobrança negócios indústria empresas empreendedorismo b2b business companies</t>
  </si>
  <si>
    <t>easycob negócios indústria empresas empreendedorismo</t>
  </si>
  <si>
    <t>easycob cobrança negócios indústria empresas empreendedorismo b2b business companies cobrança</t>
  </si>
  <si>
    <t>easycob cobrança negócios indústria empresas empreendedorismo breakeven glossario</t>
  </si>
  <si>
    <t>easycob cobrança negócios indústria empresas empreendedorismo b2b business companies autonomos</t>
  </si>
  <si>
    <t>easycob cobrança negócios indústria empresas empreendedorismo b2b business companies sucess fee</t>
  </si>
  <si>
    <t>easycob cobrança negócios indústria empresas empreendedorismo b2b companies</t>
  </si>
  <si>
    <t>vianadocastelo jovens empreendedorismo</t>
  </si>
  <si>
    <t>40emais empreendedorismo</t>
  </si>
  <si>
    <t>empreendedorismo emprendedor emprendimiento</t>
  </si>
  <si>
    <t>marketingdigital socialmedia empreendedorismo negocios conteudodigital seo branding designgrafico inovacao inspiracao</t>
  </si>
  <si>
    <t>empreendedorismo inovação startup negócios tecnologia bindways sócios equipe</t>
  </si>
  <si>
    <t>bindways sócios sociedade parceiros negócios empreendedorismo startup inovação tecnologia negóciopróprio novosnegócios juntossomosmaisfortes</t>
  </si>
  <si>
    <t>bindways sócios sociedade parceiros negócios empreendedorismo startup inovação tecnologia negócioproprio novosnegócios juntossomosmaisfortes</t>
  </si>
  <si>
    <t>empreendedorismo guiadenegócios</t>
  </si>
  <si>
    <t>empreendedorismo uerj</t>
  </si>
  <si>
    <t>empreendedor herbalifebrasil</t>
  </si>
  <si>
    <t>auddas auddasleague consultoria negocios business empreendedorismo estrategia gestao governanca capital networking</t>
  </si>
  <si>
    <t>webinar auddas auddasleague juliantonioli consultoria empresario empreendedorismo planejamento planejamentoestratégico gestao</t>
  </si>
  <si>
    <t>webinar auddas auddasleague juliantonioli consultoria empresario empreendedorismo</t>
  </si>
  <si>
    <t>auddas consultoria negocios business empreendedorismo growth vendas</t>
  </si>
  <si>
    <t>auddas auddasleague consultoria business empreendedorismo gestao</t>
  </si>
  <si>
    <t>auddas consultoria negocios business empreendedorismo</t>
  </si>
  <si>
    <t>auddas consultoria negocios business empreendedorismo donodenegocio resultado</t>
  </si>
  <si>
    <t>auddas auddasleague consultoria business empreendedorismo gestao planejamentoestrategico governança capital curso networking workshop</t>
  </si>
  <si>
    <t>auddas consultoria negocios business empreendedorismo estrategia gestao governanca growth kpi</t>
  </si>
  <si>
    <t>auddas consultoria negocios business empreendedorismo startup donodenegocio</t>
  </si>
  <si>
    <t>vestibular graduação ead online empreendedorismo araçatuba wyden graduacao digital</t>
  </si>
  <si>
    <t>empreendedorismo crescimento sucesso aprendizado</t>
  </si>
  <si>
    <t>empreendedorismo universidade mitos</t>
  </si>
  <si>
    <t>universitários empreendedorismo éxito</t>
  </si>
  <si>
    <t>empreendedorismo podcast inovação ideiascriativas resiliencia</t>
  </si>
  <si>
    <t>empreeendemais empreendedorismo mídiassociais inovação consultoria</t>
  </si>
  <si>
    <t>sucesso foco motivação motivacao frases frasesmotivacionais empreendedorismo</t>
  </si>
  <si>
    <t>empreendedorismo empreender emprendedores ton tacomtontacomtudo marketing</t>
  </si>
  <si>
    <t>empreendedorismo empreender emprendedores ton tacomtontacomtudo</t>
  </si>
  <si>
    <t>empreendedorismo empreender emprendedores ton tacomtontacomtudo marketing mercadofinanceiro ultraton vendasonline</t>
  </si>
  <si>
    <t>craqueneto neto mercadopago empreendedor</t>
  </si>
  <si>
    <t>contabilidade atendimento online business negocios negocio empresa empreendimento empreendedorismo produtividade</t>
  </si>
  <si>
    <t>datadriven empreendedorismo</t>
  </si>
  <si>
    <t>ecommerce empreendedorismo sucesso</t>
  </si>
  <si>
    <t>marketingdigital empreendedorismo sucessoonline</t>
  </si>
  <si>
    <t>diadoamigo amizade amigos empreender empreendedorismo sebraepr</t>
  </si>
  <si>
    <t>feiradoempreendedor23 empreendedorismo sebraepr</t>
  </si>
  <si>
    <t>feiradoempreendedor23 sebraepr empreendedorismo</t>
  </si>
  <si>
    <t>diadorock rock empreendedorismo empreender sebraepr</t>
  </si>
  <si>
    <t>feiradoempreendedor23 empreendedorismo</t>
  </si>
  <si>
    <t>certform formacao fiscalidade contabilidade elearning cursoonline empreendedorismo contador contadora contabilista</t>
  </si>
  <si>
    <t>certform formacao gestaonegocios empreendedorismo fiscalidade cursoonline</t>
  </si>
  <si>
    <t>empreendedor sorvete calor trabalho</t>
  </si>
  <si>
    <t>cra craes empreendedorismo</t>
  </si>
  <si>
    <t>mei meis nfse nfs notafiscal empreendedor empreendedores</t>
  </si>
  <si>
    <t>empreendedorismo inspiração</t>
  </si>
  <si>
    <t>nossomeio portalnossomeio pesquisa comunicacao empreendedorismo empreendedorismofeminino vocacao negocios</t>
  </si>
  <si>
    <t>nossomeio gestao eventos bcallenge carreira empreendedorismo escoladenegocios negociosemsaude</t>
  </si>
  <si>
    <t>motivation desenvolvilmento liderança lembrete empreendedorismo</t>
  </si>
  <si>
    <t>motivacional coaching negocios empreendedorismo empresarios empreender foco disciplina sabedoria</t>
  </si>
  <si>
    <t>engenheirocivil arquiteto drywall empreendedor construtora construcaoaseco gesso empreender</t>
  </si>
  <si>
    <t>jornalpanoramajp jornalpanorama panorama campanha educação empreendedorismo minasgerais brasil</t>
  </si>
  <si>
    <t>moda empreendedorismo</t>
  </si>
  <si>
    <t>negócios empreendedorismo marketing marketingdigital</t>
  </si>
  <si>
    <t>logo logomarca negócios empreendedorismo</t>
  </si>
  <si>
    <t>empreendedorismo negócios nomefantasia mouramarcas marcosmoura</t>
  </si>
  <si>
    <t>empreendedorismo negócios nomefantasia</t>
  </si>
  <si>
    <t>empreendedorismo empresaria</t>
  </si>
  <si>
    <t>marketingdigital rendaextra trabalho empreendedorismo dinheiro</t>
  </si>
  <si>
    <t>eduardoleite eduardoleite40 psb psbsantoandré psb40 empreendedorismo emprego geraçãodeemprego educação educaçãobásica educaçãopública meioambiente sustentabilidade politica rafaelresende santoandré</t>
  </si>
  <si>
    <t>empreendedorismo educação gestãopública ciênciaspolíticas política rafaelresende</t>
  </si>
  <si>
    <t>16dejulho diadocomerciante comerciante empreendedorismo fecomercioto</t>
  </si>
  <si>
    <t>contador contadormei microempreendedorindividual microempreendedora microempreendedor empreendedor</t>
  </si>
  <si>
    <t>marketing vendas startups empreendedor jovemempreendedor networking brainstorm pequenasempresas</t>
  </si>
  <si>
    <t>apecc waltdisney disney frase empreendedorismo</t>
  </si>
  <si>
    <t>apecc empreendedorismo negocios beneficios associado</t>
  </si>
  <si>
    <t>apecc empreendedorismo financeiro curso educacao</t>
  </si>
  <si>
    <t>apec empreendedorismo negocios saopaulo empregos</t>
  </si>
  <si>
    <t>apecc empreendedorismo curso estudos mec</t>
  </si>
  <si>
    <t>mentoria mentor negocios mercado vendas empreendedorismo resultado performance liderança orobertovilelaoficial</t>
  </si>
  <si>
    <t>businesstimes cacau empreendedorismo</t>
  </si>
  <si>
    <t>businesstimes empreendedorismo empresas</t>
  </si>
  <si>
    <t>abf businesstimes empreendedorismo</t>
  </si>
  <si>
    <t>empreendedorismo empresas esg</t>
  </si>
  <si>
    <t>colunadarobertascrivano colunistas empreendedorismo</t>
  </si>
  <si>
    <t>empreendedorismo empresas serviços</t>
  </si>
  <si>
    <t>empreendedorismo empresas franquias</t>
  </si>
  <si>
    <t>negócios economia empreendedorismo</t>
  </si>
  <si>
    <t>300franchisingexponencial businesstimes empreendedorismo</t>
  </si>
  <si>
    <t>empresas empreendedorismo franquia leiamoneytimes</t>
  </si>
  <si>
    <t>brasileiro sucesso empresario estadosunidos ingles persistir empreendedorismo video</t>
  </si>
  <si>
    <t>app ia ai celular febre medir temperatura termometro novo criatividade empreendedorismo tecnologia</t>
  </si>
  <si>
    <t>amigas demitidas empresarias ricas virada vida começar boaideia empreendedorismo</t>
  </si>
  <si>
    <t>pablomarçal networking modelagem gestão empreendedorismo emprendedores</t>
  </si>
  <si>
    <t>pablomarçal inteligenciaemocional perguntas experiencia setorempresarial empreendedorismo aula</t>
  </si>
  <si>
    <t>pablo empreendedorismo investimento conhecimento vida</t>
  </si>
  <si>
    <t>crescimento financeiro sucesso empreendedorismo dinheiro liderança marketingdigital oportunidade empreender</t>
  </si>
  <si>
    <t>crescimento</t>
  </si>
  <si>
    <t>fernandovitolo empreendedorismo empreender negócios propósito</t>
  </si>
  <si>
    <t>startup ai ia execsy empreendedorismo negocios protagonismo possibilidades oportunidades</t>
  </si>
  <si>
    <t>malvinosalvador empreendedor</t>
  </si>
  <si>
    <t>marketingdigital marketingonline empreendedorismo negocioonline vendasonline funildevendas marketingporemail paginasdedestino automaçao systeme</t>
  </si>
  <si>
    <t>empreendedorismo sucesso magazineluiza</t>
  </si>
  <si>
    <t>empreender empreendedorismo negocios</t>
  </si>
  <si>
    <t>financas autonomos empreendedorismo</t>
  </si>
  <si>
    <t>aligom empreendedorismo cnpj aberturadeempresas sucessoempresarial</t>
  </si>
  <si>
    <t>brasil negocios empreendedorismo</t>
  </si>
  <si>
    <t>marketingdigital primeiravenda trafegoorganico trafegopago kiwify plr rendaextra ganhardinheiroonline milionario empreendedor</t>
  </si>
  <si>
    <t>empreendedor influenciadores digitais</t>
  </si>
  <si>
    <t>ruyter empreendedorismo vendas motivacao</t>
  </si>
  <si>
    <t>empreendedor criadordeconteúdo cursoonline</t>
  </si>
  <si>
    <t>sonhar oportunidade lutarpelossenhossonhos empreendedorismo</t>
  </si>
  <si>
    <t>empreendedor robinsonfelix somosmaisgetao</t>
  </si>
  <si>
    <t>inovação tecnologia empreendedorismo informática</t>
  </si>
  <si>
    <t>caruaru negocio empreendedorismo</t>
  </si>
  <si>
    <t>caruaru empreendedorismo negocio</t>
  </si>
  <si>
    <t>feiradesantana bahia brasil empreendedorismo comércio</t>
  </si>
  <si>
    <t>marketing negócios empreendedorismo sucesso vocênofoco</t>
  </si>
  <si>
    <t>turismodeportugal tdp turismo business startups empresas empreendedorismo inovacao turismosustentável</t>
  </si>
  <si>
    <t>turismodeportugal tdp turismo startups tourismcolab empreendedorismo inovação</t>
  </si>
  <si>
    <t>turismodeportugal tdp turismo business startups empresas empreendedorismo inovacao turismosustentável sustentabilidade</t>
  </si>
  <si>
    <t>startups restauração turismodeportugal tdp turismo empresas empreendedorismo inovação</t>
  </si>
  <si>
    <t>turismodeportugal tdp turismo startups empresas empreendedorismo inovacao</t>
  </si>
  <si>
    <t>startups turismo turismodeportugal tdp empreendedorismo inovacao sustentabilidade</t>
  </si>
  <si>
    <t>empreendedorismo agricultura trabalho</t>
  </si>
  <si>
    <t>empreendedorismo pl678_2019</t>
  </si>
  <si>
    <t>pl3008_2020 fat pl904_2023 empreendedorismo</t>
  </si>
  <si>
    <t>cpmi8dejaneiro abin pl2458_2019 empreendedorismo</t>
  </si>
  <si>
    <t>emdiscussão startups tecnologia empreendedorismo</t>
  </si>
  <si>
    <t>atenção</t>
  </si>
  <si>
    <t>tmota contabilidade empreendedor meunegocio minhaempresa consultoria sucesso</t>
  </si>
  <si>
    <t>empreender empreendedorismo curitiba desenvolvimento</t>
  </si>
  <si>
    <t>todxs todxsbrasil fundotodxs allout explore empreendedorismo</t>
  </si>
  <si>
    <t>vencer empreendedorismo empreender sucessoepoder empreendedordigital megafornecedor fernandomarote mentalidadedesucesso sucesso positividade foco geracadevalor motivacao sonhegrande mindsetdesucesso sonhegrandesempre nascidosparavencer</t>
  </si>
  <si>
    <t>afrolab pretahub empreendedorismo comunicacao lideresnegras empreendedorismofeminino</t>
  </si>
  <si>
    <t>história empreendedorismo vinhos</t>
  </si>
  <si>
    <t>mandala sousemente meditacaoativa empreendedorismo</t>
  </si>
  <si>
    <t>mandaleira arteemandalas arte meditation empreendedorismo</t>
  </si>
  <si>
    <t>tranquilidade financas planejamentofinanceiro empreendedorismo poupar dinheiro dicasdefinanças investimento</t>
  </si>
  <si>
    <t>planejamentofinanceiro finanças empreendedorismo qualidadedevida</t>
  </si>
  <si>
    <t>empreendedor empreender eua worcester massachusetts</t>
  </si>
  <si>
    <t>podeprocurar melhorfranquia franquiabarata empreender empreendedor</t>
  </si>
  <si>
    <t>melhorfranquia franquiabarata empreender empreendedor</t>
  </si>
  <si>
    <t>negocios empreendedorismo inovacao sucessoonline cowboy coisasdexucro vidaxucra</t>
  </si>
  <si>
    <t>whatsapp guiadenegocios empreendedorismo chatguru</t>
  </si>
  <si>
    <t>donuts shopee oferta tarde empreendedorismo empreender negocios</t>
  </si>
  <si>
    <t>valedoparaíba sustentabilidade empreendedorismo energialimpa</t>
  </si>
  <si>
    <t>desenvolvimentoregional empreendedorismo</t>
  </si>
  <si>
    <t>valedoparaíba sustentabilidade empreendedorismo</t>
  </si>
  <si>
    <t>desenvolvimentoregional empreendedorismo educação</t>
  </si>
  <si>
    <t>fluir ibg coreval empreendedorismo financas planejamentofinanceiro</t>
  </si>
  <si>
    <t>ia ai inteligenciaartificial empreendedorismo fluir</t>
  </si>
  <si>
    <t>fluir inteligenciaartificial ai ia empreendedorismo wagneramaral</t>
  </si>
  <si>
    <t>fluir ministeriofluir ia empreendedorismo negocioslocais</t>
  </si>
  <si>
    <t>distribuidorakairos mindset mindsetdevendas fluir ibg vendamais vendasnapratica empreendedorismo ibgtaubate</t>
  </si>
  <si>
    <t>morangoice mindset mindsetdevendas fluir ibg vendamais vendasnapratica empreendedorismo ibgtaubate</t>
  </si>
  <si>
    <t>vendamais vendasnapratica empreendedorismo ibgtaubate</t>
  </si>
  <si>
    <t>fluir financas empreendedorismo planejamentofinanceiro</t>
  </si>
  <si>
    <t>donodeloja empreendedorismo paixão persistência sucesso inspiração motivação empreender realizarsonhos</t>
  </si>
  <si>
    <t>negóciosonline marketingdigital siteprofissional presençadigital empreendedorismo crescimento sucessoempresarial presençaonline siteparanegócios</t>
  </si>
  <si>
    <t>costura moda lojadecostura sistemaparaloja tecnologia empreendedorismo sucesso paixãopelacostura</t>
  </si>
  <si>
    <t>vendas loja pdv empreendedorismo varejo</t>
  </si>
  <si>
    <t>acordodesocios empreendedorismo investimentos</t>
  </si>
  <si>
    <t>saladoempreendedor capacitação mei empreendedor</t>
  </si>
  <si>
    <t>mindset ambition hustle success empreendedorismo entrepreneurship sucesso entrepreneur leadership millionaire coaching dreambig business positive wealth successquotes grind motivational</t>
  </si>
  <si>
    <t>empreendedorismo aq2live comolavidamisma crisisoverleg espanaavanza</t>
  </si>
  <si>
    <t>emprender empresa empreendedor marketingdigital vendas</t>
  </si>
  <si>
    <t>meioambiente serviçosambientais segurançaambiental palestra empreendedorismo intactusambiental</t>
  </si>
  <si>
    <t>storytelling narrativa comunicação marketing empreendedorismo desenvolvimentopessoal artedecontarhistórias</t>
  </si>
  <si>
    <t>network empreendedorismo</t>
  </si>
  <si>
    <t>motivacional motivação reflexao empreendedorismo negocios</t>
  </si>
  <si>
    <t>pagamentos finanças empreendedorismo</t>
  </si>
  <si>
    <t>empreendedorismo feminino fomentar cresol parana</t>
  </si>
  <si>
    <t>marketing evolution empreendedorismo</t>
  </si>
  <si>
    <t>educação empreendedorismo empreendedorismonasescolas londrina</t>
  </si>
  <si>
    <t>diadocliente gestordetráfegopago googlemeunegocio perfildaempresanogoogle googleads metaads empreendedorismo</t>
  </si>
  <si>
    <t>trafegopago gestordetrafegopago gestãodetrafegopago empreendedor empreendedorismo anunciosonline</t>
  </si>
  <si>
    <t>googleads negócioslocais empreendedor dicasdenegócio tráfegopago</t>
  </si>
  <si>
    <t>googlemeunegócio dicasdenegócios empreendedor negócioslocais</t>
  </si>
  <si>
    <t>investimentos empreendedorismo negocios cultura tecnologia conhecimento</t>
  </si>
  <si>
    <t>camposmachado spfrentecidadã salvadorsoares empreendedorismo desenvolvimento sustentabilidade</t>
  </si>
  <si>
    <t>geraldoalckmin economia frenteparlamentar empreendedorismo mei</t>
  </si>
  <si>
    <t>desburocratização notafiscalbrasileletrônica empreendedorismo senadorefraim</t>
  </si>
  <si>
    <t>rico diddy rap hiphop dinheiro jbalvin hiphop saludable empreendedorismo marketingdigital newmusic music hiphop rap spotify artist producer rapper musician singer love newmusic miamibeach</t>
  </si>
  <si>
    <t>mentalidade autoconhecimento coach coaching streamer negocios negocio palestra tiktok empreendedorismo empreededorismodigital saopaulo riodejaneiro brasil</t>
  </si>
  <si>
    <t>empreendedorismo negocios fyp emprendedores</t>
  </si>
  <si>
    <t>carreira eduardopaes empreendedorismo empresas investimentos riodejaneiro</t>
  </si>
  <si>
    <t>cae câmaradosdeputados carreira crédito empreendedorismo</t>
  </si>
  <si>
    <t>brasil empreendedor empresas estilodevida eua influencers redessociais</t>
  </si>
  <si>
    <t>alimentos amazon bebidas comércio ecommerce empreendedorismo empresas marketplace sebrae</t>
  </si>
  <si>
    <t>carreira empreendedorismo empreendernainternet internet riodejaneiro tecnologia</t>
  </si>
  <si>
    <t>empresario negocios banca empreendedorismo emprendedor empresa empresas emprendedores financiamiento empreendedor dinero mo</t>
  </si>
  <si>
    <t>contabilidadedigital contabilidade empresas empreendedor empresario cnpj abrirempresas gestão</t>
  </si>
  <si>
    <t>biporecomenda contabilidadedigital contabilidade empresas empreendedor empresario cnpj abrirempresas gestão</t>
  </si>
  <si>
    <t>biporecomenda flme contabilidadedigital contabilidade empresas empreendedor empresario cnpj abrirempresas gestão</t>
  </si>
  <si>
    <t>feedback contabilidadedigital contabilidade empresas empreendedor empresario cnpj abrirempresas gestão</t>
  </si>
  <si>
    <t>negocio negocios businesscoach empreender empreendedor business</t>
  </si>
  <si>
    <t>mei contabilidade empreendedorismo sucesso</t>
  </si>
  <si>
    <t>motivação prosperar reflexão sucesso viral pablomarcal crescimento vida tempo amigos amigo empreendedorismo pablomarcal marketingdigital</t>
  </si>
  <si>
    <t>empreendedorismo pablomarcal marketingdigital</t>
  </si>
  <si>
    <t>pacote bomdia mensagens motivacao motivacional mensagensmotivacionais empreendedor loja marketing pacotespromocionais</t>
  </si>
  <si>
    <t>prefeituramunicipaldesãojosédoseridó amaisbonitadobrasil empreendedorismo</t>
  </si>
  <si>
    <t>prefeituramunicipaldesãojosédoseridó amaisbonitadobrasil empreendedorismo desenvolvimentoempreendedor</t>
  </si>
  <si>
    <t>circuitoempreendedor empreendedorismo formaçao</t>
  </si>
  <si>
    <t>radarsebrae empreendedorismo ferramentagratuita</t>
  </si>
  <si>
    <t>empreendedorismo negocios empreenda empreender lucro vendas marketing marketingdigital empreededorismofeminino empresas</t>
  </si>
  <si>
    <t>empreendedorismo negocios empreenda empreender lucro vendas</t>
  </si>
  <si>
    <t>empreendedorismo negocios empreenda empreender lucro vendas marketing marketingdigital empreededorismofeminino mentoria</t>
  </si>
  <si>
    <t>empreendedorismo negocios empreenda empreender lucro vendas marketing</t>
  </si>
  <si>
    <t>empreendedorismo negocios empreenda empreender lucro vendas marketing marketingdigital empreededorismofeminino empresas empreendendor</t>
  </si>
  <si>
    <t>vendas neuromarketing motivacao marketing empreendedorismo vendas vendedor sucesso</t>
  </si>
  <si>
    <t>empreendedorismo negocios empreenda empreender lucro vendas marketing marketingdigital empreededorismofeminino</t>
  </si>
  <si>
    <t>empreendedorismo negocios empreenda empreender lucro vendas marketing marketingdigital empreededorismofeminino empresas empreendendo loja lojaonline vendas vendedor</t>
  </si>
  <si>
    <t>empreendedorismo negocios empreenda empreender lucro vendas marketing marketingdigital</t>
  </si>
  <si>
    <t>neuromarketing marketing vendas vendedor sucesso mentoria empreendedorismo motivacao treinamento vitoria trafegopago v carreira</t>
  </si>
  <si>
    <t>nerimarmendes neuromarketing marketing vendas vendedor sucesso mentoria empreendedorismo motivacao treinamento vitoria trafegopago v carreira</t>
  </si>
  <si>
    <t>papelaria loja lojaonline empreendedorismo emprender emprendedores negocios lojas livro infantil livroinfantil</t>
  </si>
  <si>
    <t>sapatos mulher empreendedorismo</t>
  </si>
  <si>
    <t>emd empreendedorismo negocios sucesso mentoria evento institutoexito investimento</t>
  </si>
  <si>
    <t>dicas ferias financeiro empreendedorismo</t>
  </si>
  <si>
    <t>novaparceria convenio moab institutoexito educacao empreendedorismo</t>
  </si>
  <si>
    <t>empreendedorismo projetotiaegle educacao empreendedora desenvolvimentopessoal mercado</t>
  </si>
  <si>
    <t>dicas empreendedorismo</t>
  </si>
  <si>
    <t>barbie filme empreender dicas ambienteempresarial inovacao empreendedorismo</t>
  </si>
  <si>
    <t>cryptomarket pix doacao emprender empreendedorismo internet dinheiro finanças ficarrico money grana moneyupchat moneycontrol</t>
  </si>
  <si>
    <t>empreendedor vivo</t>
  </si>
  <si>
    <t>marketingdigital marketing empreendedorismo digitalmarketing socialmedia instagram business branding socialmediamarketing sucesso marketingstrategy empreender marketingtips marketingonline digital design rendaextra emprendedores</t>
  </si>
  <si>
    <t>empreendedorismo foconoobjetivo serdiferente</t>
  </si>
  <si>
    <t>instagram grupojbg3 empreendedorismo foconoobjetivo photooftheday happy</t>
  </si>
  <si>
    <t>grupojbg3 empreendedorismo foconoobjetivo desistirjamais gratidao fotografia</t>
  </si>
  <si>
    <t>inovação empreendedorismo aravitascaleup</t>
  </si>
  <si>
    <t>negóciosdigitais empreendedorismo mentoria</t>
  </si>
  <si>
    <t>empreendedorismo inovação urilevine</t>
  </si>
  <si>
    <t>mle2023 ecommerce empreendedorismo</t>
  </si>
  <si>
    <t>empreendedorismo modainfantil franquias</t>
  </si>
  <si>
    <t>meis notasfiscais empreendedorismo</t>
  </si>
  <si>
    <t>franquias moda empreendedorismo</t>
  </si>
  <si>
    <t>vemserbbg bbgtelecom camaragibe recife aldeia saolourenco portodegalinhas internet fibraoptica provedor fibra wifi bandalarga conexão empreendedorismo pme mei peng</t>
  </si>
  <si>
    <t>camaragibe recife aldeia internet fibraoptica wifi conexão empreendedorismo pme mei peng</t>
  </si>
  <si>
    <t>empreendedorismo negócios empresa sucesso sonhos realização planejamento consultoria empreender visãodenegócio vamosconstruirjuntos</t>
  </si>
  <si>
    <t>empreendedorismo produtividade contentmarketing digitalmarketing marketing marketingstrategy media seo socialmedia socialmediamarketing publicidade marketingdigital</t>
  </si>
  <si>
    <t>empreendedorismo o marketingdigital empreender sucesso marketing empreendedor motiva motivacao empresas avaré avare alexandrekoch</t>
  </si>
  <si>
    <t>aposentadoria empreendedorismo profissionaisliberais planejamentofinanceiro</t>
  </si>
  <si>
    <t>maceió mulheres empreendedorismo</t>
  </si>
  <si>
    <t>tipzar criadordeconteudo negócios empreendedorismo conteúdo redesocial</t>
  </si>
  <si>
    <t>tipzar conteudo negocios empreendedorismo redesocial</t>
  </si>
  <si>
    <t>tipzar criadordeconteudo negócios empreendedorismo redesocial</t>
  </si>
  <si>
    <t>tipzar criadordeconteudo negocios empreendedorismo redesocial</t>
  </si>
  <si>
    <t>empreendedorismo mei microempreendedorindividual vantagens</t>
  </si>
  <si>
    <t>empreendedorismo prolabore finanças</t>
  </si>
  <si>
    <t>dicas empreendedorismo clientes</t>
  </si>
  <si>
    <t>contabilidade comunicacao empresa empreendedor consultoriacontabil bomdia riodejaneiro</t>
  </si>
  <si>
    <t>coach empreendedorismo finaldemes foco resenha coaching</t>
  </si>
  <si>
    <t>liberdade empreender empreendedorismo negocios economia</t>
  </si>
  <si>
    <t>empreender empreendedorismo dinheiro negócios</t>
  </si>
  <si>
    <t>empreender empreendedorismo negócios</t>
  </si>
  <si>
    <t>conheceecossistemaeconomiadefesa industrial inovação empreendedorismo</t>
  </si>
  <si>
    <t>marketingdigital milionário rendaextra dinheiro trabalho empreendedorismo tecnologiadigital sucesso</t>
  </si>
  <si>
    <t>sindpdce micro empreendedor notafiscal nfe</t>
  </si>
  <si>
    <t>creator economia empreendedorismo youtubeshorts influencers</t>
  </si>
  <si>
    <t>creator economia varejo magazineluiza mag lula magazineluiza varejo emprendimiento empreendedorismo</t>
  </si>
  <si>
    <t>enfermagem empreendedorismo</t>
  </si>
  <si>
    <t>meta threads instagram redessociais marketingdigital markzuckerberg empreendedorismo empreender</t>
  </si>
  <si>
    <t>microlearning elearning coach ead designinstrucional empreendedorismo educa ensinodequimica quimicamanaus metodologiasativas ciencias engenharia infograficos ensinodeciencias mapasconceituais enem laureate midiaseducacionais</t>
  </si>
  <si>
    <t>maisespertoqueodiabo sucesso investimentos motivação autoajuda empreendedorismo mindset desenvolvimentopessoal produtividade foco persistência</t>
  </si>
  <si>
    <t>maisespertoqueodiabo napoleonhill sucesso investimentos empreendedorismo motivação crescimentopessoal autoconhecimento determinação transformação</t>
  </si>
  <si>
    <t>banco c6bank bancocentral contaempresa mei empresa empreendedor</t>
  </si>
  <si>
    <t>podcast cortes ateclasap teclasap marketingdigital empreendedorismo inteligenciafinanceira empreendedorismofeminino</t>
  </si>
  <si>
    <t>podcast ateclasap teclasap marketingdigital empreendedorismo marketing</t>
  </si>
  <si>
    <t>podcast ateclasap teclasap marketingdigital empreendedorismo diversidade inclusão cancelamento preconceito mulhertrans</t>
  </si>
  <si>
    <t>podcast teclasap marketingdigital empreendedorismo posicionamentodemarca</t>
  </si>
  <si>
    <t>podcast ateclasap cortespodcast marketingdigital empreendedorismo</t>
  </si>
  <si>
    <t>podcast ateclasap teclasap marketingdigital empreendedorismo posicionamentodemarca</t>
  </si>
  <si>
    <t>podcast ateclasap teclasap marketingdigital inteligenciafinanceira empreendedorismo</t>
  </si>
  <si>
    <t>imcubaangola contabiliadae fiscalidade auditoria consultoria empreendedorismo</t>
  </si>
  <si>
    <t>animes sobrenatural nba politica assuntosdomomento marketing marketingdigital empreendedor sucesso foco motiva mentalidadedesucesso prosperidade fabricadementes reflexaododia conquisteosucesso pensenisso</t>
  </si>
  <si>
    <t>vendadireta venderempresa negóciosavenda empreendedorismo easybiz</t>
  </si>
  <si>
    <t>empreendedorismo empreendedorismofeminino empresasavenda negocios oportunidades</t>
  </si>
  <si>
    <t>empresasavenda comprarempresa repassedeempresas negocios empreendedorismo</t>
  </si>
  <si>
    <t>empreendedorismo projetosempreendedores parceria</t>
  </si>
  <si>
    <t>empreendedorismo negocios oportunidades negociosavenda repassedeempresas</t>
  </si>
  <si>
    <t>inovacao empreendedorismo</t>
  </si>
  <si>
    <t>healthmeetingbrasil ventiur eventoemsaúde empreendedorismo saúde negócios healthtechs feiraemsaúde batalhadestartups startup</t>
  </si>
  <si>
    <t>empreendedorismo eventoemsaúde feiraemsaúde fórumhealthmeeting healthmeeting healthtechs negócios saúde sindihospa</t>
  </si>
  <si>
    <t>healthmeetingbrasil healthmeeting healthtech inovaçãonasaúde sebraex empreendedorismo saúde negócios healthtechs</t>
  </si>
  <si>
    <t>unicred unicredportoalegre uni4life empreendedorismo</t>
  </si>
  <si>
    <t>ventiur eventoemsaúde empreendedorismo saúde negócios healthtechs feiraemsaúde batalhadestartups startup</t>
  </si>
  <si>
    <t>startups negócios healthmeeting sindihospa evento empreendedorismo saúde negócios feiraemsaúde</t>
  </si>
  <si>
    <t>saúde sindihospa empreendedorismo eventoemsaúde feiraemsaúde</t>
  </si>
  <si>
    <t>eventoemsaúde empreendedorismo saúde negócios healthtechs feiraemsaúde</t>
  </si>
  <si>
    <t>marketingdigital empreendedorismo kiwify vendas empreendedorismodigital</t>
  </si>
  <si>
    <t>tecnologia inovação negócios sucesso empreendedorismo</t>
  </si>
  <si>
    <t>webmor negóciosonline empreendedorismo vendermais estratégiasdigitais assessoriadevendas transformaçãodigital negócios mei pequenasempresas pequenasemediasempresas</t>
  </si>
  <si>
    <t>dolcarajas tánodolcarajas meioambiante empreendedorismo empresavale</t>
  </si>
  <si>
    <t>empreendedorismo empresas contador</t>
  </si>
  <si>
    <t>startup radarfit ia</t>
  </si>
  <si>
    <t>empreendedorismo economia economics</t>
  </si>
  <si>
    <t>economia empreendedorismo</t>
  </si>
  <si>
    <t>productivity</t>
  </si>
  <si>
    <t>equity valuation fluxodecaixa análise investimentos empresa decisões empreendedorismo canaldoyoutube franquias franchising franquia</t>
  </si>
  <si>
    <t>live franquia franchising franquias empreendedorismo negocios investimentos franquiasdesucesso</t>
  </si>
  <si>
    <t>podcast podcastbrasil podcasting podcaster entrevista franchising franquias franquia empreendedorismo</t>
  </si>
  <si>
    <t>blackrat insiders marketingdigital empreendedorismo</t>
  </si>
  <si>
    <t>empreendedorismo liberdadefinanceira bemestar</t>
  </si>
  <si>
    <t>milhoes dinheiro empreendedorismo saude vidanova jesus proposito familia industria tecnologia empresas criacao</t>
  </si>
  <si>
    <t>sucesso foco vida motivação empreendedor</t>
  </si>
  <si>
    <t>contador contabilidade homeoffice empreendedorismo brasil cursocontabil mercadodetrabalho alunos universitario</t>
  </si>
  <si>
    <t>foursummit blacksisters inovacao empreendedorismo advocate lawyers</t>
  </si>
  <si>
    <t>empreendedorismo empreendimento dividas financiamento</t>
  </si>
  <si>
    <t>tso tudosoonline tungalabel marketingdigital marketing empreendedorismo digitalmarketing</t>
  </si>
  <si>
    <t>tso tudosoonline tungalabel marketingdigital marketing empreendedorismo seo</t>
  </si>
  <si>
    <t>empreendedorismo franchising franquia franquias franquiasdesucesso negocios podcast</t>
  </si>
  <si>
    <t>alimentacaonatural alimentacaosaudavel comidanatural comidasaudavel empreendedorismo franchising franquia franquias franquiasbrasil franquiasdesucesso negocios</t>
  </si>
  <si>
    <t>empreendedorismo empreender franchising franquia franquias investimento investimentos investir negocios podcast podcaster podcasting videcaster videocast videocasting</t>
  </si>
  <si>
    <t>abrirempresa empreendedorismo entrevista especialista franchising franquia franquias gestao investimentos melhorarresultados negocios</t>
  </si>
  <si>
    <t>casamento empreendedorismo empreendedorismofeminino entrevista makeup makeupartist maquiagem noivas penteados podcast</t>
  </si>
  <si>
    <t>empreendedorismo franchising franquia franquias franquiasbaratas franquiasdesucesso investimentos live negocios</t>
  </si>
  <si>
    <t>analise canaldoyoutube decisoes empreendedorismo empresa equity fluxodecaixa franchising franquia franquias investimentos valuation</t>
  </si>
  <si>
    <t>franquias empreendedorismo crescimento sucesso negócios economia</t>
  </si>
  <si>
    <t>franquiasdealimentação crescimento sucesso negócios gastronomia empreendedorismo faturamento</t>
  </si>
  <si>
    <t>franquias franchising empreendedorismo crescimento negócios sucesso economia oportunidade</t>
  </si>
  <si>
    <t>empreendedorismo franquias franchising sucesso negócios estatísticas mercado vantagemcompetitiva</t>
  </si>
  <si>
    <t>empreendedorismo franquias franchising brasilempreendedor crescimento sucesso negócios economia</t>
  </si>
  <si>
    <t>libertadfinanciera empreendedorismo emprendimiento salud bienestar negocios</t>
  </si>
  <si>
    <t>contratando oportunidades carreira desenvolvimento investimentos empreendedorismo</t>
  </si>
  <si>
    <t>empreendedorismo ação</t>
  </si>
  <si>
    <t>resiliência empreendedorismo</t>
  </si>
  <si>
    <t>empreendedorismo sãopaulocampeão</t>
  </si>
  <si>
    <t>empreendedorismo direitostrabalhistas</t>
  </si>
  <si>
    <t>contabilidade bndes empreendedorismo créditoparaempresas</t>
  </si>
  <si>
    <t>contabilidade pix empreendedorismo</t>
  </si>
  <si>
    <t>contabilidade empreendedorismo sucesso</t>
  </si>
  <si>
    <t>diadocomerciante empreendedorismo economia</t>
  </si>
  <si>
    <t>marketing estrategia vendas clientes empreendedorismo</t>
  </si>
  <si>
    <t>empreendedorismo empreendedorismofeminino empreendedorismomaterno empreendedorismocriativo empreendedorismorosa empreendedorismotransforma empreendedorismoodigital negocios empreender empreendedoresbrasil viverdevendas</t>
  </si>
  <si>
    <t>metalomega empreendedorismo robertojustus workshop webinar startup empresarios crescimentoprofissional</t>
  </si>
  <si>
    <t>metalomega rendaonline rendanaweb empreendedorismo venderebooks plr cursogratis webinargratis workshopgratis</t>
  </si>
  <si>
    <t>ricardorocha negocios gestaoempresarial empreendedorismo negócios inspiração</t>
  </si>
  <si>
    <t>contabilidade simples empreendedorismo economia negócios</t>
  </si>
  <si>
    <t>presente accion inmediato hoy creer sinmiedo empreendedorismo fe dios</t>
  </si>
  <si>
    <t>accion progreso empreendedorismo ejecutar aprendizaje proceso desarrollopersonal fe dios</t>
  </si>
  <si>
    <t>empreendedorismo brand</t>
  </si>
  <si>
    <t>ebook negócios empreendedorismo conteúdo sucesso transformação</t>
  </si>
  <si>
    <t>emprendedores empreendedorismo investimento ebook</t>
  </si>
  <si>
    <t>investimento ebook empreendedorismo marketingdigital</t>
  </si>
  <si>
    <t>universidadedamadeira ensino empreendedorismo</t>
  </si>
  <si>
    <t>marketing empreendedor sites redessociais</t>
  </si>
  <si>
    <t>negocios empreendedorismo marketingdigital marketing emprendedores business emprendimiento sucesso empresas empreender empreendedor emprendedor dinero exito latinos latinas</t>
  </si>
  <si>
    <t>empreendedorismo negocios sucesso empreender metas ebook linknabio</t>
  </si>
  <si>
    <t>10anosnoecossistema gratidão empreendedorismo startups ecossistemadeinovação</t>
  </si>
  <si>
    <t>portalbaruerinaweb baruerinaweb portalbarueri barueri alphaville empreendedor baruerisp batepapocomale agenciadaf</t>
  </si>
  <si>
    <t>portalbaruerinaweb baruerinaweb portalbarueri barueri alphaville empreendedor baruerisp batepapocomale agenciadaf marketing</t>
  </si>
  <si>
    <t>portalbaruerinaweb baruerinaweb portalbarueri barueri alphaville empreendedor baruerisp batepapocomale</t>
  </si>
  <si>
    <t>portalbaruerinaweb baruerinaweb portalbarueri barueri alphaville empreendedor baruerisp</t>
  </si>
  <si>
    <t>portalbaruerinaweb baruerinaweb portalbarueri barueri alphaville empreendedor barueri</t>
  </si>
  <si>
    <t>frenteparlamentar empreendedorismo mulher</t>
  </si>
  <si>
    <t>projeto empreendedorismo brasil</t>
  </si>
  <si>
    <t>evento mulheres empreendedorismo empreendedorismofeminino amazonas</t>
  </si>
  <si>
    <t>projeto créditoespecial empreendedor deficiente</t>
  </si>
  <si>
    <t>políticanacional empreendedorismo jovemdocampo</t>
  </si>
  <si>
    <t>mei contadores empreendedorismo</t>
  </si>
  <si>
    <t>brasileiros pequenosnegócios empreendedorismo</t>
  </si>
  <si>
    <t>doutorado empreendedorismo pesquisa ciencia</t>
  </si>
  <si>
    <t>empreendedorismo soluções planejamento biomedica harmonizaçãofacial</t>
  </si>
  <si>
    <t>paulodallanoramacedo empreendedor planejamentodenegocios sãopaulo</t>
  </si>
  <si>
    <t>paulodallanoramacedo empreendedor planejamentodenegocios</t>
  </si>
  <si>
    <t>paulodallanoramacedo empreendedorismo planejamentodenegocios sãopaulo</t>
  </si>
  <si>
    <t>paulodallanoramacedo empreendedor planejamentodenegocios bolsonarismo</t>
  </si>
  <si>
    <t>franchisestore franchising franquia expansãodenegócios empreendedorismo</t>
  </si>
  <si>
    <t>franchisestore franquias empreendedorismo novidades novoportal</t>
  </si>
  <si>
    <t>franquia franchising expansão negócios empreendedorismo</t>
  </si>
  <si>
    <t>franquia franchisestore diadocliente empreendedorismo cliente</t>
  </si>
  <si>
    <t>empreendedorismo franchising negócios</t>
  </si>
  <si>
    <t>franquia franchising investimento empreender empreendedorismo vantagens</t>
  </si>
  <si>
    <t>franquias franchising empreendedorismo empreender negócios</t>
  </si>
  <si>
    <t>empreendedorismo sucesso oportunidade franchising franquia negócios business</t>
  </si>
  <si>
    <t>empreendedorismo empreendedor motivação atitude negócios business</t>
  </si>
  <si>
    <t>franquias empreendedorismo negócios lucro franchising</t>
  </si>
  <si>
    <t>breastfeeding marketingdigital dinheiro sucesso empreendedorismo</t>
  </si>
  <si>
    <t>flavioaugusto emprendimiento empreendedorismo</t>
  </si>
  <si>
    <t>feiradenegocios feiras inovacao inovation empreendedor empreendorismo empreendedores emprendedorismo empresario</t>
  </si>
  <si>
    <t>econ econ2023 empreendedorismo negócio empresa networking</t>
  </si>
  <si>
    <t>risco investimento retorno empreendedor</t>
  </si>
  <si>
    <t>contador contabilidade contadora empreendedorismo empresario empresa mei negocios consultoria empreendedor impostoderenda financeiro dicascontabilidade dicascontabil riodejaneiro</t>
  </si>
  <si>
    <t>podcast humor empreendedor</t>
  </si>
  <si>
    <t>xweet empreendedorismo planejamento</t>
  </si>
  <si>
    <t>empreendedorismo conhecimento</t>
  </si>
  <si>
    <t>mei empreendedorismo empreendedor empreendedorismofeminino aposentadoria</t>
  </si>
  <si>
    <t>deputado empreendedor famosos lilwaynedenampula reconhecimento</t>
  </si>
  <si>
    <t>sergiovidigal serraes empreendedorismo desenvolvimento</t>
  </si>
  <si>
    <t>empreendedorismo curitiba brigadeiro tribunapr</t>
  </si>
  <si>
    <t>empreendedorismo pão curitiba tribunapr</t>
  </si>
  <si>
    <t>cursos empreendedorismo curitiba tribunapr</t>
  </si>
  <si>
    <t>feira empreendedor sebrae curitiba tribunapr</t>
  </si>
  <si>
    <t>pão fazendariogrande empreendedorismo tribunapr</t>
  </si>
  <si>
    <t>papodas9 empreendedorismo formalização mei microempreendedor</t>
  </si>
  <si>
    <t>esperança empreendedorismo estrategiademarketing sucesso</t>
  </si>
  <si>
    <t>empreendedorismo preguiça procrastinação</t>
  </si>
  <si>
    <t>fasque webdesign digitalmarketing searchengineoptimization facebook digitalmarketer empreendedorismo workfromhome copywriting instagrammarketing digitalagency brand digitalmarketingexpert</t>
  </si>
  <si>
    <t>empreendedor empreendedoras negóciopróprio empresa empresária</t>
  </si>
  <si>
    <t>confeitaria empreendedorismo marketingparaconfeitaria</t>
  </si>
  <si>
    <t>empreendedorismo osegredodostubarões evento mercado tecnologia inovação</t>
  </si>
  <si>
    <t>oprimorico empreendedorismo</t>
  </si>
  <si>
    <t>ecommerce ecommercebrasil vendasonline empreendedorismo lojavirtual plataformadesite opencart opencartbrasil</t>
  </si>
  <si>
    <t>ecommerce ecommercebrasil vendasonline empreendedorismo lojavirtual seo seogoogle marketingseo</t>
  </si>
  <si>
    <t>businessplan negócios empresas empreendedorismo estratégia governança capital gestão</t>
  </si>
  <si>
    <t>dindingourmet empreendedorismo</t>
  </si>
  <si>
    <t>empreendedor marketingdigital</t>
  </si>
  <si>
    <t>expofavela expofavela2023 empreendedorismo</t>
  </si>
  <si>
    <t>goiás pesquisaleiteira genéticaleitei empreendedorismo jornalopopular</t>
  </si>
  <si>
    <t>hojjisuplementos consultor vendas empreendedorismo</t>
  </si>
  <si>
    <t>grandesempresas dattabusiness empreendedorismo clientesfelizes</t>
  </si>
  <si>
    <t>vendas motivacao motivacional motivar motivarpessoas empreendedorismo empreendedores autoconhecimento desafio crescimento desenvolvimentopessoal proposito liderança saudefisica</t>
  </si>
  <si>
    <t>vendas motivacao motivacional motivar motivarpessoas empreendedorismo</t>
  </si>
  <si>
    <t>empreendedorismo decisão foconadiciplina persistencia coragem autoconhecimento disciplina motivacional empreender empreendedor sucesso</t>
  </si>
  <si>
    <t>conquistas resultados empreendorismo motivacional empreendedor profissional</t>
  </si>
  <si>
    <t>vendas motivacao motivacional motivar motivarpessoas empreendedorismo empreendedores autoconhecimento desafio desafiar crescimentoprofissional desenvolvimentopessoal proposito</t>
  </si>
  <si>
    <t>vendas motivacao motivacional motivar motivarpessoas empreendedorismo empreendedores autoconhecimento desafio desafiar crescimentoprofissional desenvolvimentopessoal</t>
  </si>
  <si>
    <t>vendas motivacao motivacional motivar motivarpessoas empreendedorismo empreendedores autoconhecimento desafio</t>
  </si>
  <si>
    <t>penseeenriqueça empreendedorismo empreender emprendimiento</t>
  </si>
  <si>
    <t>humor empreendedorismo curso</t>
  </si>
  <si>
    <t>sitegratis site criadordesites empreendedor empreender business negocio</t>
  </si>
  <si>
    <t>sitegratis site criadordesites empreendedor empreender petshop</t>
  </si>
  <si>
    <t>unifesp somosunifesp marketingdigital empreendedorismo</t>
  </si>
  <si>
    <t>unifesp empreendedorismo</t>
  </si>
  <si>
    <t>empreendedorismo diversificacao</t>
  </si>
  <si>
    <t>empreendedorismo mulher negocios liderançafeminina networking coragem</t>
  </si>
  <si>
    <t>empreendedorismo mulher evento</t>
  </si>
  <si>
    <t>pwnluanda empreendedorismo mulher negocios</t>
  </si>
  <si>
    <t>empreendedorismo mulher negocios liderançafeminina networking membro pwnluanda empresa associado</t>
  </si>
  <si>
    <t>empreendederismofeminino empreendedorismo mulheresempreendedoras negocios liderançafeminina networking pwnluanda empresa workshop lei trabalho</t>
  </si>
  <si>
    <t>empreendedorismo mulher negocios liderançafeminina networking membro pwnluanda empresa evento mulheres</t>
  </si>
  <si>
    <t>pwnluanda empreendedorismo liderançafeminina mulher</t>
  </si>
  <si>
    <t>empreendedorismo mulher negocios liderançafeminina networking membro pwnluanda agenda</t>
  </si>
  <si>
    <t>pwnluanda empreendedorismo mulher liderançafeminina networking tecnologia</t>
  </si>
  <si>
    <t>empreendedorismo mulher negocios liderançafeminina networking membro pwnluanda</t>
  </si>
  <si>
    <t>empreendedorismo mulher negocios liderançafeminina networking membro pwnluanda empresa empreendedor</t>
  </si>
  <si>
    <t>pwnluanda empreendedorismo mulher negocios liderançafeminina networking tecnologia</t>
  </si>
  <si>
    <t>empreendedorismo mulher negocios liderançafeminina networking membro pwnluanda empresa evento</t>
  </si>
  <si>
    <t>pwnluanda empreendedorismo</t>
  </si>
  <si>
    <t>pwnluanda empreendedorismo mulher negocios liderançafeminina networking empresa webinar marcas registo</t>
  </si>
  <si>
    <t>pwnluanda empreendedorismo mulher</t>
  </si>
  <si>
    <t>pwnluanda empreendedorismo mulher liderançafeminina</t>
  </si>
  <si>
    <t>empreendedorismo mulher negocios liderançafeminina networking imaginação crescimento progresso</t>
  </si>
  <si>
    <t>tecnologiasocial fundaçãobbapoia educação inclusão empreendedorismo nossovalortransforma</t>
  </si>
  <si>
    <t>empreendedorismo criatividade inovação persistência oportunidade aprendizado resiliência</t>
  </si>
  <si>
    <t>empreendedora empreendedores empreendedorismo empreendedordesucesso</t>
  </si>
  <si>
    <t>empreendedorismo anglogoldashanti minasgerais</t>
  </si>
  <si>
    <t>pitchdeck empreendedorismo startups negócios apresentação goglobal</t>
  </si>
  <si>
    <t>empreendedorismo vendasonline marketingdigital</t>
  </si>
  <si>
    <t>empreendedorismo vendasonline empreender</t>
  </si>
  <si>
    <t>empreendedorismo mentalidade sucesso</t>
  </si>
  <si>
    <t>empreendedorismo nuncadesista motivação</t>
  </si>
  <si>
    <t>empreendedorismo realizandosonhos motivandoempreendedores</t>
  </si>
  <si>
    <t>empreendedorismo motivação persistência</t>
  </si>
  <si>
    <t>pablomarçal fyp foryou visionario empreendedorismo vencernavida</t>
  </si>
  <si>
    <t>aprendizadoinfinito empreendedorismo</t>
  </si>
  <si>
    <t>quickening autoconhecimento empreendedorismo transformacao</t>
  </si>
  <si>
    <t>empreendedor jácabimou cabimbacorporation caracterize_se</t>
  </si>
  <si>
    <t>rrn dip4agri rederuralnacional empreendedorismo ia deeptech</t>
  </si>
  <si>
    <t>produtividade inteligênciaartificial empreendedorismo</t>
  </si>
  <si>
    <t>economia consumidor empreendedor escolaaustriaca capitalismo</t>
  </si>
  <si>
    <t>onlinemarketing success modern furniture empreendedorismo smallbusiness interiors archilovers minimal marketingtips graphic</t>
  </si>
  <si>
    <t>lifehacks lifestyle empower coaching coach empreendedorismo</t>
  </si>
  <si>
    <t>inteligenciaartificial ia ai empreender empreendedorismo</t>
  </si>
  <si>
    <t>inovação empreender empreendedorismo gestãoescolar gestão escolas ensinoinovador</t>
  </si>
  <si>
    <t>planejamentoestrategico gestaoescolar gestorescolar rematricula planejamento2024 empreender empreendedorismo escola inovacaoescolar</t>
  </si>
  <si>
    <t>empreender empreendedorismo ousadia garra coragem inovação crescimento educação gestorescolar</t>
  </si>
  <si>
    <t>gestão gestaoescolar gestaohumanizada humanização metodologiasativas empreender empreendedorismo escolas inovação</t>
  </si>
  <si>
    <t>corporação capitalismo empreendedorismo artigos</t>
  </si>
  <si>
    <t>empreendedorismo agroindustria</t>
  </si>
  <si>
    <t>empreendedorismo pequenosnegocios girlboss</t>
  </si>
  <si>
    <t>empreendedorismo educação mackenzie</t>
  </si>
  <si>
    <t>empreendedorismo negócios mackenzie</t>
  </si>
  <si>
    <t>marketingdigital empreendedorismo girlpower</t>
  </si>
  <si>
    <t>expofavelarj empreendedorismo inovação favela cufa</t>
  </si>
  <si>
    <t>binance sec criptomoedas regulação mercadofinanceiro bitcoin altcoins investimento twitterbrasil dicastwitter informação notícias negócios empreendedorismo tecnologia inovação</t>
  </si>
  <si>
    <t>gratdão empreendedorismo</t>
  </si>
  <si>
    <t>abrasel congresso edenred edenredbrasil empreendedorismo mesaaovivo palestras ticket</t>
  </si>
  <si>
    <t>flexibilidade empreendedorismo</t>
  </si>
  <si>
    <t>empreendedorismo crescimento lucro sucesso empreender negócios superjovem</t>
  </si>
  <si>
    <t>empreendedor caminho vivaaexperiência empreendedorismo negócios gestão</t>
  </si>
  <si>
    <t>pontapédasemana levantaefaz empreendedoreficaz empreendedorismo gestão negócios</t>
  </si>
  <si>
    <t>empreendedorismo rendaextra sucesso liberdadefinanceira</t>
  </si>
  <si>
    <t>compartilhandoexperiência inspiração empreendedorismo pmibahia pmiba</t>
  </si>
  <si>
    <t>livros biografia construçãocivil empreendedor</t>
  </si>
  <si>
    <t>empreendedorismo empreendedora empreendedor inspiração acrediteemvoce personalbranding marketingpessoal leobegin</t>
  </si>
  <si>
    <t>industria industrial startups empreendedorismo</t>
  </si>
  <si>
    <t>empreendedor inova startup mulheres mulher</t>
  </si>
  <si>
    <t>empreendedor startups economia</t>
  </si>
  <si>
    <t>empresa economia empreendedor startups</t>
  </si>
  <si>
    <t>sebraetec sebrae sebraeminas empreendedorismo edital</t>
  </si>
  <si>
    <t>comunidades expofavelaminas empreendedorismo periferia</t>
  </si>
  <si>
    <t>atenção prefeitura prefeituraempreendedora empreendedorismo</t>
  </si>
  <si>
    <t>pegn empreendedorismo inspiração</t>
  </si>
  <si>
    <t>empreendedorismo mercadodigital publicidade</t>
  </si>
  <si>
    <t>pegn franquias empreendedorismo</t>
  </si>
  <si>
    <t>pegn inspiração empreendedorismo superandodesafios</t>
  </si>
  <si>
    <t>empreendedorismo sebrae publicidade</t>
  </si>
  <si>
    <t>pegn empreendedorismo inovação</t>
  </si>
  <si>
    <t>publicidade empreendedorismo ali sebrae</t>
  </si>
  <si>
    <t>pegn empreendedorismo</t>
  </si>
  <si>
    <t>tecnologia tecnologia5g empresas empresarios startups empreendedorismo inteligenciaartificial</t>
  </si>
  <si>
    <t>sebraems sebraesimplifica marketingdigital empreendedorismo sigaosebrae</t>
  </si>
  <si>
    <t>empreendedor empreendedorismo oportunidades startups sesi empresas empresa inovar</t>
  </si>
  <si>
    <t>empreendedorismo incrível experiencia</t>
  </si>
  <si>
    <t>empreendedorismo o marketingdigital empreender sucesso marketing empreendedor a brasil negocios foco dinheiro motiva rendaextra empreendedorismofeminino</t>
  </si>
  <si>
    <t>sebrae transformarjuntos empreendedorismo</t>
  </si>
  <si>
    <t>firefestival2023 empreendedorismo</t>
  </si>
  <si>
    <t>empreendedor cesarurtado cnpj mei microempreendedorindividual</t>
  </si>
  <si>
    <t>mei microempreendedor empreendedor empresa cnpj cesarurtado</t>
  </si>
  <si>
    <t>elonmusk inovação empreendedorismo cfds iqoption sucesso</t>
  </si>
  <si>
    <t>motivacional inspiração investir empreender bolsadevalores empreendedorismo voceumpassoafrente</t>
  </si>
  <si>
    <t>liibe crush produtossexshop liibebox amor vibra vibradores empreendedorismo agosto</t>
  </si>
  <si>
    <t>inovação empreendedorismo inspiração startup investimento venturecapital</t>
  </si>
  <si>
    <t>inovação inspiração empreendedorismo apple healthtech airpod</t>
  </si>
  <si>
    <t>inovação inspiração empreendedorismo amazon identificação tecnologia</t>
  </si>
  <si>
    <t>inspiração inovação empreendedorismo ia marketingdeexperiencia esg sustentabilidade</t>
  </si>
  <si>
    <t>serraempauta jornalismo jornalismolocal jornalismoindependente empreendedorismo noticias caxiasdosul serragaucha</t>
  </si>
  <si>
    <t>serraempauta jornalismo jornalismolocal jornalismoindependente empreendedorismo noticias floresdacunha serragaucha</t>
  </si>
  <si>
    <t>serraempauta jornalismo jornalismolocal jornalismoindependente empreendedorismo noticias floresdacunha antonioprado serragaucha</t>
  </si>
  <si>
    <t>serraempauta jornalismo jornalismolocal jornalismoindependente empreendedorismo noticias antonioprado serragaucha</t>
  </si>
  <si>
    <t>serraempauta jornalismo jornalismolocal jornalismoindependente empreendedorismo noticias bentogoncalves serragaucha</t>
  </si>
  <si>
    <t>serraempauta jornalismo jornalismolocal jornalismoindependente empreendedorismo noticias carlosbarbosa serragaucha</t>
  </si>
  <si>
    <t>serraempauta jornalismo jornalismolocal jornalismoindependente empreendedorismo noticias fazendasouza caxiasdosul serragaucha</t>
  </si>
  <si>
    <t>empreendedorismo economiacriativa</t>
  </si>
  <si>
    <t>lancamento produto comofazer empreendedorismo empreender</t>
  </si>
  <si>
    <t>empreendedorismo persistência sucesso</t>
  </si>
  <si>
    <t>mundodosnegocios empreendedorismo bussiness corporate emprender</t>
  </si>
  <si>
    <t>bussiness work empreendedorismo negócios</t>
  </si>
  <si>
    <t>mundodosnegocios bussiness corporate empreendedorismo networking work negócios</t>
  </si>
  <si>
    <t>mindset insight mundododsnegocios empreendedorismo bussiness networking work fun</t>
  </si>
  <si>
    <t>mundodosnegocios bussiness empreendedor emprender mindset</t>
  </si>
  <si>
    <t>vidaabundante empreendedor</t>
  </si>
  <si>
    <t>pl deputada aleam empreendedorismo terceiraidade</t>
  </si>
  <si>
    <t>certificação cursos empreendedorismo gabinete vereador</t>
  </si>
  <si>
    <t>trabalho work empreendedorismo emprego</t>
  </si>
  <si>
    <t>youtube youtubebrasil youtubeshorts empreendedorismo raiamsantos</t>
  </si>
  <si>
    <t>empreendedor uerj</t>
  </si>
  <si>
    <t>uerj empreendedor</t>
  </si>
  <si>
    <t>empreendedorismo expofavela governodoamapa</t>
  </si>
  <si>
    <t>aexpofeiravoltou empreendedorismo governodoamapá</t>
  </si>
  <si>
    <t>vamostorcerjuntos fiscal contabilidade contador empresas negocios tributário irpf2023 empreendedorismo consultoria contábil contadores empresário irpf impostoderenda contábeis empreendedor</t>
  </si>
  <si>
    <t>diadaindependencia fiscal contabilidade contador empresas negocios tributário irpf2023 empreendedorismo consultoria contábil contadores empresário irpf impostoderenda contábeis</t>
  </si>
  <si>
    <t>empreendedorismo empreendedorismodigital rendaresidual rendaextraonline rendaextra homeoffice vendadireta mmn</t>
  </si>
  <si>
    <t>empresa negocios marketing empreendedorismo</t>
  </si>
  <si>
    <t>hojeediadecrescer somostodoscomandantes desenvolvimentopessoal sucessopessoal empreendedorismo produtividade</t>
  </si>
  <si>
    <t>ecommerce ecommercebrasil vendasonline empreendedorismo lojavirtual lojaonline lojafisica</t>
  </si>
  <si>
    <t>reflexao desenvolvimentopessoal empreendedorismo frase frasemotivacional dinheiro money viral fy</t>
  </si>
  <si>
    <t>bdconsultoria ecommercebrasil vendasonline mercadolivre lojavirtual empreendedorismo shopee amazon b2wdigital</t>
  </si>
  <si>
    <t>bdconsultoria ecommercebrasil vendasonline mercadolivre lojavirtual empreendedorismo shopee amazon</t>
  </si>
  <si>
    <t>bdconsultoria melixp operaçãoraiox melixp23 ecommercebrasil vendasonline mercadolivre lojavirtual empreendedorismo shopee</t>
  </si>
  <si>
    <t>empreendedorismo brand sales</t>
  </si>
  <si>
    <t>empreendedorismo startups startupportugal startupbr empreendedorismo startuplisboa</t>
  </si>
  <si>
    <t>empreendedorismo startups criativos criatividade ideia empreendedorismo</t>
  </si>
  <si>
    <t>seappará coostafe reinserçãosocial oficina empreendedorismo trabalho seap</t>
  </si>
  <si>
    <t>ia empreendedorismo</t>
  </si>
  <si>
    <t>womentowatch empreendedorismo comunicaçãoemarketing</t>
  </si>
  <si>
    <t>comunicaçãoemarketing plataformas tecnologia empreendedorismo</t>
  </si>
  <si>
    <t>empreendedorismo oportunidade determinação</t>
  </si>
  <si>
    <t>prefeitura empreendedorismo</t>
  </si>
  <si>
    <t>empoderamento empreendedorismo empresariosdesucesso empoderada sobrancelhas lemesp</t>
  </si>
  <si>
    <t>lookdodia empreendedorismo sobrancelhas esteticista esteticafacial</t>
  </si>
  <si>
    <t>marketingdigital empresasdesucesso negocios empresariosdesucesso empreendedorismo sobrancelhas mulheresempreendedoras lemesp</t>
  </si>
  <si>
    <t>conquista empreendedorismo esteticafacial sobrancelhas lemesp</t>
  </si>
  <si>
    <t>empreendedorismo empreendimento mulheresempreendedoras inteligenciaemocional lemesp gratidao sobrancelhas maquiagem</t>
  </si>
  <si>
    <t>viral sucesso empreendedorismo liberdadefinanceira</t>
  </si>
  <si>
    <t>consultoria gestãofinanceira gestaoempresarial empreendedorismo empreendedor empresasdf negociosdf</t>
  </si>
  <si>
    <t>liberdadefinanceira sucesso empreendedorismo</t>
  </si>
  <si>
    <t>empreender empreendedores empreendedorismo empresarios loja comercio influencers marketing</t>
  </si>
  <si>
    <t>empreendedor planejamento redesocial</t>
  </si>
  <si>
    <t>pack empreendedor</t>
  </si>
  <si>
    <t>news noticias jornaltribuna tribunaonline empreendedor sebrae informacao feiradoempreendedor23</t>
  </si>
  <si>
    <t>economia economicnewsbrasil empreendedorismo expofavela feiradenegócios negócios notícias oportunidade</t>
  </si>
  <si>
    <t>economicnewsbrasil empreendedorismo emprego notícias oportunidade</t>
  </si>
  <si>
    <t>carreiraprofissional dificuldade economicnewsbrasil empreendedor empresário notícias superação</t>
  </si>
  <si>
    <t>deputadofederal economia economicnewsbrasil empreendedorismo</t>
  </si>
  <si>
    <t>empreendedorismo empresaprivada gestãoempresarial indústria longevidadeempresarial</t>
  </si>
  <si>
    <t>carreiraprofissional economicnewsbrasil empreendedorismo</t>
  </si>
  <si>
    <t>economicnewsbrasil empreendedorismo</t>
  </si>
  <si>
    <t>carreiraprofissional dicadefilme economicnewsbrasil empreendedorismo franquia negócios netflix notícias</t>
  </si>
  <si>
    <t>capacitaçãoprofissional carreiraprofissional curso economia economicnewsbrasil empreendedor notícias</t>
  </si>
  <si>
    <t>economicnewsbrasil editorial empreendedorismo ia</t>
  </si>
  <si>
    <t>altaperformace colaboradores economicnewsbrasil empreendedor fornecedores gestãoempresarial notícias recursoshumanos</t>
  </si>
  <si>
    <t>economicnewsbrasil empreendedor empreendedorismo negócios</t>
  </si>
  <si>
    <t>economicnewsbrasil empreendedorismo mei microepequenaempresa</t>
  </si>
  <si>
    <t>economicnewsbrasil empreendedorismo mei microepequenaempresa microempreendedor mpes negócios notícias</t>
  </si>
  <si>
    <t>comércioexterior economicnewsbrasil empreendedorismo</t>
  </si>
  <si>
    <t>barãodemauá dicadefilme economicnewsbrasil empreendedorismo empresas filme gestãoempresarial negócios notícias</t>
  </si>
  <si>
    <t>comunicaçãocorporativa economicnewsbrasil empreendedorismo jornalismo</t>
  </si>
  <si>
    <t>empreendedorismo mãonamassa dicasempreendedoras</t>
  </si>
  <si>
    <t>fomento investimento empreendedorismo empreendedor</t>
  </si>
  <si>
    <t>empreendedorismo liberdade comissões</t>
  </si>
  <si>
    <t>vemcomigo rendaextra empreendedorismo</t>
  </si>
  <si>
    <t>primorico empreendedorismo</t>
  </si>
  <si>
    <t>dentistas empreendedor sucessoodonto</t>
  </si>
  <si>
    <t>marketing empreendedorismo socialmediamarketing marketingstrategy digital marketingonline</t>
  </si>
  <si>
    <t>rr opoder compartilhe empreendedorismo empreendedorismofeminino boavista bv roraima rr mulher mulherempreendedora brasil br</t>
  </si>
  <si>
    <t>economia privatização emprego piso salario investimento dinheiro governo renda profissão sistemas brasil desemprego empreendedor negócios solução estabilidade família carreira empreendedorismo investimento oportunidade</t>
  </si>
  <si>
    <t>bzc sheisfromthejungle educação empreendedorismo favela publi</t>
  </si>
  <si>
    <t>empreendedorismo educação bzc sheisfromthejungle inovaçãoperiférica favela publi</t>
  </si>
  <si>
    <t>amazimports novocomeço empreendedorismo dedicação</t>
  </si>
  <si>
    <t>technology tecnologia ia empreendedorismo</t>
  </si>
  <si>
    <t>motivação sucesso empreendedorismo riqueza</t>
  </si>
  <si>
    <t>convencaocoletiva empresas empreendedor negócios empreendedorismo</t>
  </si>
  <si>
    <t>empreendedorismo maraba para</t>
  </si>
  <si>
    <t>frontend tecnologia empreendedorismo programacao javascript reactjs inovacao tech fortaleza frontendday</t>
  </si>
  <si>
    <t>javascript frontenddeveloper frontendbrasil frontendce fortaleza ceara tecnologiaceara dev tecnologia empreendedorismo frontend oportunidade diadoprogramador diadodesenvolvedor desenvolvedor</t>
  </si>
  <si>
    <t>frontend tecnologia empreendedorismo programacao javascript reactjs inovacao tech</t>
  </si>
  <si>
    <t>marketingdeconteudo mindsetcriativo mindset negócios empreendedorismo empreender marketingdigital digitalmarketing marketing jundiai saopaulo brasil</t>
  </si>
  <si>
    <t>empreendedorismo empreender geracaodevalor geraçãodevalor</t>
  </si>
  <si>
    <t>empreendedorismo startup tecnologia ideiainovadora desenvolvimentotecnológico jumpstart</t>
  </si>
  <si>
    <t>udesc esag extensao empreendedorismo feira brecho</t>
  </si>
  <si>
    <t>marketingpoderoso metaseobjetivos empreendedorismo menteempreendedora cadeirudo novelasglobo venderonline</t>
  </si>
  <si>
    <t>contabilidade finanças empresa empresas negocios empreendedor empreender assessoriacontabil mei rj sp mg</t>
  </si>
  <si>
    <t>contabilidade contador negocios empreendedor empreender odontologia medicina medico psicologia nutricao fisioterapia tecnologia mei rj sp</t>
  </si>
  <si>
    <t>contabilidade contador empresa empresas negocios empreendedor empreender rj</t>
  </si>
  <si>
    <t>contabilidade finanças empresa empresas negocios empreendedor empreender assessoriacontabil</t>
  </si>
  <si>
    <t>empreendedorismo futurosdoamanhã linkedin</t>
  </si>
  <si>
    <t>nebula startups inovaçãotecnológica empreendedorismo crescimentoempresarial tecnologia desenvolvimentoweb software futuro sucesso</t>
  </si>
  <si>
    <t>agro agronegocio irrigação goias rotafruticulturaridedf inovacao empreendedorismo</t>
  </si>
  <si>
    <t>empreendedorismo vendas cliente estrategiadevendas joaonetocontador profissaoempreendedorpodcast</t>
  </si>
  <si>
    <t>comunicacao empreendedorismo sucesso carreira gestao joaonetocontador profissaoempreendedorpodcast</t>
  </si>
  <si>
    <t>empreendedorismo vendas empresario sucesso coach gestao joaonetocontador profissaoempreendedorpodcast</t>
  </si>
  <si>
    <t>empreendedorismo registrodemarca ideias negocios marketing joaonetocontador profissaoempreendedorpodcast</t>
  </si>
  <si>
    <t>vendas marketing empreendedorismo sucesso negocios joaonetocontador profissaoempreendedorpodcast</t>
  </si>
  <si>
    <t>marketingdigital marketing vendasonline sucesso empreendedor joaonetocontador profissaoempreendedorpodcast</t>
  </si>
  <si>
    <t>estrategiadigital empreendedorismo pequenasempresas</t>
  </si>
  <si>
    <t>marketingdigital publicidade designgrafico midiasocial branding comunicacao seo producaodeconteudo inovacao estrategiadigital empreendedorismo pequenasempresas</t>
  </si>
  <si>
    <t>marketingdigital publicidade designgrafico catálogoscriativos impressioneseusclientes rascunhoagência branding comunicacao inovacao empreendedorismo pequenasempresas</t>
  </si>
  <si>
    <t>designgrafico midiasocial branding comunicacao seo producaodeconteudo inovacao estrategiadigital empreendedorismo pequenasempresas</t>
  </si>
  <si>
    <t>marketing designgrafico pastas branding comunicacao empreendedorismo pequenasempresas constrcaocivil engenheiracivil engenhariacivil</t>
  </si>
  <si>
    <t>economiasclives anapauladahlke jornalismo santacatarina brasil sapienza conhecimento empreendedorismo</t>
  </si>
  <si>
    <t>sucesso empreendedorismo foco a marketingdigital motiva empreender brasil dinheiro marketing empreendedor amor</t>
  </si>
  <si>
    <t>ischolar 5ps empreendedorismo gestão reunião</t>
  </si>
  <si>
    <t>ischolar gestãoescolar gestão liderança empreendedorismo</t>
  </si>
  <si>
    <t>ischolar gestãoescolar liderança empreendedorismo</t>
  </si>
  <si>
    <t>hubspot onboarding migraçaodedados integraçaodedados marketingdigital vendas empreendedorismo</t>
  </si>
  <si>
    <t>startups startupsummit contablack empreendedorismo negócios florianopolis santacatarina brasil</t>
  </si>
  <si>
    <t>sapienza ufsc inovação empreendedorismo florianopolis santacatarina brasil</t>
  </si>
  <si>
    <t>empreendedor mei empresario negocios advocacia</t>
  </si>
  <si>
    <t>mvp feitoebom empreendedorismo</t>
  </si>
  <si>
    <t>empreendedor empreededorismo</t>
  </si>
  <si>
    <t>ricardonunes empreendedorismo mais50</t>
  </si>
  <si>
    <t>empreendedorismo edsonbarbero</t>
  </si>
  <si>
    <t>feiradasideias mis empreendedorismo passeioemfamilia finaldesemana livepaintingmuralmis livepaintingemtelas pocketshow pequenosempreendedores</t>
  </si>
  <si>
    <t>ferini moto carro riqueza xre300 rico marketing mktdigital finanças empreendedorismo milionario</t>
  </si>
  <si>
    <t>ferini empreendedorismo marketingdigital</t>
  </si>
  <si>
    <t>impostos tributação alíquota icms contabilidade empresas empreendedor pegn mercadodigital</t>
  </si>
  <si>
    <t>profissionalliberal empreendedorismo empresa contabilidade contador saopaulo sp</t>
  </si>
  <si>
    <t>dinheiro empreendedorismo equador</t>
  </si>
  <si>
    <t>exito gabypaniz empreendedorismo vidamaravillosa dinero mentemillonaria</t>
  </si>
  <si>
    <t>gabypaniz exito desarrollopersonalyprofesional vidamaravillosa programacionneurolingüística amorproprio empreendedorismo autoestima desarrollopersonal</t>
  </si>
  <si>
    <t>gabypaniz exito onlyconnect desarrollopersonal empreendedorismo coach elecciones</t>
  </si>
  <si>
    <t>novasamizades valorizeasdiferenças empreendedorismo</t>
  </si>
  <si>
    <t>microcrédito empreendedorismo</t>
  </si>
  <si>
    <t>ssa sefaz salvador empreendedorismo</t>
  </si>
  <si>
    <t>empresarios empreendedorismo direitoshumanos crime</t>
  </si>
  <si>
    <t>empreendedorismo negócios sucesso</t>
  </si>
  <si>
    <t>alemanha empreendedorismo tvcultura</t>
  </si>
  <si>
    <t>lula empreendedorismo tvcultura</t>
  </si>
  <si>
    <t>educação empreendedorismo tvcultura</t>
  </si>
  <si>
    <t>empreendedor empresarial empreendedorismo esceips politécnicodesetúbal ensinosuperior</t>
  </si>
  <si>
    <t>arquivocolabora meis sustentabilidade empreendedorismo trajanodemoraes</t>
  </si>
  <si>
    <t>empreendedorismo penemp</t>
  </si>
  <si>
    <t>inovação desenvolvimento empreendedorismo</t>
  </si>
  <si>
    <t>ocdcontabil comerciantes comercio contabilidade empreendedor empresarios diadocomerciante varejo comerciolocal</t>
  </si>
  <si>
    <t>ocdcontabil diadonutricionista nutricionista saude alimentacaosaudavel nutrição alimentaçãosaudavel empreendedorismo</t>
  </si>
  <si>
    <t>ocdcontabil empreendedorismo estagio estagiário</t>
  </si>
  <si>
    <t>iniciodesemana ocdcontabil motivacional motivacao empreendedorismo</t>
  </si>
  <si>
    <t>fisioterapia fisioterapeuta ocdcontabil empreendedorismo saude</t>
  </si>
  <si>
    <t>empreendedorismo empreendedor diadocliente ocdcontabil parceria sucessoprofissional</t>
  </si>
  <si>
    <t>família empreendedor inspiração</t>
  </si>
  <si>
    <t>empreendedorismo dicaempreender</t>
  </si>
  <si>
    <t>performandovidas motivação empreender empreendedorismo resolverproblemas fazeracontecer vidaextraordinaria</t>
  </si>
  <si>
    <t>performandovidas eusou1porcento clubedo1porcento empreendedorismo sucesso mente mentalidade transformação autodesenvolvimento</t>
  </si>
  <si>
    <t>performandovidas empreendedorismo vendas dinheiro necessidade oferta produto</t>
  </si>
  <si>
    <t>performandovidas ia negocios empreender empreendedorismo marketingdeconteudos bons dominar corpo melhor mente treino musculo espirito</t>
  </si>
  <si>
    <t>ação frasedasemana inspiração motivação criação insights empreendedorismo mercadoimobiliário</t>
  </si>
  <si>
    <t>frasedasemana inspiracao motivacao insights empreendedorismo mercadoimobiliário</t>
  </si>
  <si>
    <t>persistência frasedasemana inspiração motivação insights empreendedorismo</t>
  </si>
  <si>
    <t>frasedasemana motivacao insights empreendedorismo mercadoimobiliário</t>
  </si>
  <si>
    <t>frasedasemana inspiracao motivacao insights empreendedorismo mercadoimobiliário oportunidades</t>
  </si>
  <si>
    <t>frasedasemana motivacao empreendedorismo mercadoimobiliário</t>
  </si>
  <si>
    <t>frasedasemana insights empreendedorismo corretordeimoveis mercadoimobiliário</t>
  </si>
  <si>
    <t>expofavela favelas comunidades cultura inclusãosocial empreendedorismo</t>
  </si>
  <si>
    <t>expofavela favelas comunidades cultura inclusãosocial empreendedorismo arteefavela startups</t>
  </si>
  <si>
    <t>expofavela cultura inclusãosocial empreendedorismo</t>
  </si>
  <si>
    <t>expofavela cultura inclusãosocial empreendedorismo arteefavela startups</t>
  </si>
  <si>
    <t>vem startup expofavela expoceara favela empreendedor evento</t>
  </si>
  <si>
    <t>evento portaldeprefeitura igarassu 488anos festival games empreendedorismo geek técnologia</t>
  </si>
  <si>
    <t>desenvolvimento portaldeprefeitura cidades belojardim mulheres empreendedorismo iniciativa elas</t>
  </si>
  <si>
    <t>qualificação portaldeprefeitura igarassu elcioneramos empreendedorismo emprego renda trabalho capacitação</t>
  </si>
  <si>
    <t>pizza pizzaiolo foryou viral consultoriapizza empreendedorismo</t>
  </si>
  <si>
    <t>pizza pizzacontemporanea pizzanapoletana consultoria foryou viral empreendedorismo</t>
  </si>
  <si>
    <t>ganhardinheiro empreendedorismo</t>
  </si>
  <si>
    <t>fxbank marketingdigital empreendedorismo trafegopago</t>
  </si>
  <si>
    <t>empreendedorismo inovação negóciosonline</t>
  </si>
  <si>
    <t>empreendedorismo rendaextra cassino loteria roleta</t>
  </si>
  <si>
    <t>rendaextra empreendedorismo loteria cassino roleta</t>
  </si>
  <si>
    <t>inovação empreendedorismo criatividade</t>
  </si>
  <si>
    <t>inovação criatividade empreendedorismo</t>
  </si>
  <si>
    <t>pronavenda vendasonline empreendedorismo</t>
  </si>
  <si>
    <t>livro empreendedorismo dinheiro</t>
  </si>
  <si>
    <t>bitcoin empreendedorismo dolar</t>
  </si>
  <si>
    <t>mei empreendedorismo inscricaoestadual inscricaoestadualrj contabilidade contador tributario comercio</t>
  </si>
  <si>
    <t>facaacontecer empreendedorismo trabalho</t>
  </si>
  <si>
    <t>empreendedorismo óleosessenciais óleosdoterra</t>
  </si>
  <si>
    <t>estrategistafinanceiro finanças educaçãofinanceira empreendedorismo empreendedor estrategiafinanceira motivação negócios sucesso</t>
  </si>
  <si>
    <t>estrategistafinanceiro finanças educaçãofinanceira empreendedorismo</t>
  </si>
  <si>
    <t>estrategistafinanceiro finanças educaçãofinanceira empreendedorismo empreendedor</t>
  </si>
  <si>
    <t>estrategistafinanceiro finanças educaçãofinanceira empreendedorismo empreendedor estrategiafinanceira motivação negócios sucesso business mentoria liderança</t>
  </si>
  <si>
    <t>arquitetura moveis empreendedor design</t>
  </si>
  <si>
    <t>empreendedorismo negocios academia</t>
  </si>
  <si>
    <t>negocios finanças empreendedorismo academia fitness ihrsa precificação</t>
  </si>
  <si>
    <t>negocios investimento academia empreendedorismo alunos clientes investimentozero cross crossfit ihrsa</t>
  </si>
  <si>
    <t>associação parceria sociedade pequenonegocio empreendedorismo academia donos</t>
  </si>
  <si>
    <t>academia empresas empreendedorismo negocios</t>
  </si>
  <si>
    <t>empreendedorismo startups inovação negócios sucesso</t>
  </si>
  <si>
    <t>buffetdepizza empreendedorismo ingredientesfrescos buffetparaeventos buffetparafestas temevento</t>
  </si>
  <si>
    <t>investidor investir nath empreendedor b3 cripto bitcoin tiktok</t>
  </si>
  <si>
    <t>limpeza mãodeobra terceirização serviços empresa empreendedorismo gestaodepessoas gestaoderh</t>
  </si>
  <si>
    <t>ecomerce fanstore empreendedorismo moda fanpage</t>
  </si>
  <si>
    <t>ideias insights empreendedorismo oportunidades rh</t>
  </si>
  <si>
    <t>direitoempresarial compliance empresas tatuicapitaldamusica tatui sorocaba itapetininga cerquilho boituva tiete ipero dinheiro contrato empreendedor empreendedores empreendedorismo startups empresario trabalho</t>
  </si>
  <si>
    <t>empreendedorismo interiordobrasil empreendedordeinterior mochilaspersonalizadas</t>
  </si>
  <si>
    <t>áfrica tunísia fabskill empreendedorismo financiamento formação geraçãodeempregos soukattanmia tecnologia</t>
  </si>
  <si>
    <t>áfrica negócios empreendedorismo programafilantropo competição aniversário finalistas startups</t>
  </si>
  <si>
    <t>sebrae sebraecaçapava empreendedorismo empreendedor empresarioscaçapava empresas autonomo mei microempreendedorindividual cursosdecapacitação</t>
  </si>
  <si>
    <t>colégiopadrevieira empreendedorismo açãosocial barreiras</t>
  </si>
  <si>
    <t>growingscape gsideiasdenegocio empreendedorismo empreender negocios euamoempreender publicidade animacoes videos comercial spots mozambique mocambique</t>
  </si>
  <si>
    <t>trafegopago vendas empreendedorismo</t>
  </si>
  <si>
    <t>elonmusk biografia walterisaacson biografiadosucesso empreendedor</t>
  </si>
  <si>
    <t>empreendedorismo empresa empresarial</t>
  </si>
  <si>
    <t>empreendedorismo empreendedor empresa empresarial</t>
  </si>
  <si>
    <t>anuncios propaganda prosperidade negócios empreender empreendedorismo</t>
  </si>
  <si>
    <t>recreiodosbandeirantes empreendedorismo empreendedorismoparamulheres zonaoeste</t>
  </si>
  <si>
    <t>empreendedor edenred</t>
  </si>
  <si>
    <t>empreendedorismo carreira mercado</t>
  </si>
  <si>
    <t>pense brasil empreendedorismo ocaminhooposto</t>
  </si>
  <si>
    <t>twitter xs empreendedorismo</t>
  </si>
  <si>
    <t>inspiração youtube empreender empreendedorismo</t>
  </si>
  <si>
    <t>pedroleopoldo minasgerais empreendedorismo cafe segundafeira vetornorte pl</t>
  </si>
  <si>
    <t>negócioslocais parcerias valor autenticidade empreendedorismo sistmaodvix</t>
  </si>
  <si>
    <t>lobscontabilidade empreendedorismo lucratividade mercadoria preço produto venda</t>
  </si>
  <si>
    <t>lobscontabilidade ei empreendedor empresario epp ltda me prolabore</t>
  </si>
  <si>
    <t>lobscontabilidade caixaeconômica caixarepasse empreendedor mei microcrédito</t>
  </si>
  <si>
    <t>iapmei empreendedorismo goias brasil pme</t>
  </si>
  <si>
    <t>economia empreendedorismo emprego</t>
  </si>
  <si>
    <t>ligueodanise empreendanosseussonhos empreendedorismo marketing</t>
  </si>
  <si>
    <t>mei empreendedorismo negócio</t>
  </si>
  <si>
    <t>contrataçãopessoajurídica empreendedorismo negócios</t>
  </si>
  <si>
    <t>empreendedorismo empregovsempreendedorismo oportunidadesdenegócio</t>
  </si>
  <si>
    <t>empreendedorismo negócios inovação</t>
  </si>
  <si>
    <t>profissõesmei empreendedorismo pequenosnegócios</t>
  </si>
  <si>
    <t>networking empreendedorismo mind set</t>
  </si>
  <si>
    <t>empreendedorismo negociosperfeito contabilidadeparceira</t>
  </si>
  <si>
    <t>empreendedorismo eventos atitude</t>
  </si>
  <si>
    <t>mentoria branding empreendedorismo</t>
  </si>
  <si>
    <t>empreendedorismo educação</t>
  </si>
  <si>
    <t>empreendedorismo podcast</t>
  </si>
  <si>
    <t>motivação sucesso foco determinação motivacao liderança empreendedorismo</t>
  </si>
  <si>
    <t>trabajosremotos emprendedor éxito negocio remotejobs unternehmer erfolg geschäft trabalhosremotos empreendedor sucesso negócios pracazdalna przedsiębiorca powodzenie</t>
  </si>
  <si>
    <t>trabajosremotos emprendedor éxito negocio remotejobs unternehmer erfolg geschäft fyp trabalhosremotos empreendedor sucesso negócios pracazdalna przedsiębiorca powodzenie usa</t>
  </si>
  <si>
    <t>crise dificuldades problemas obstaculos adversidades temposdificeis oportunidade empreendedorismo daravoltaporcima geracaodevalor flavioaugusto</t>
  </si>
  <si>
    <t>prosperidade prosperar riqueza dinheiro trabalho empreendedorismo escolhas carloswizard frases frasesdecrescimento frasesparareflexionar frasesparapensar</t>
  </si>
  <si>
    <t>vendas lucro dinheiro empreendedorismo gestao riqueza trabalho clientes peterdrucker frases frasesdecrescimento frasesparareflexionar frasesparapensar</t>
  </si>
  <si>
    <t>marketing branding socialmedia business marketingdigital entrepreneur startup digitalmarketing advertising entrepreneurship socialmediamarketing sales onlinemarketing success empreendedorismo</t>
  </si>
  <si>
    <t>publicidade marketing o marketingdigital propaganda design brasil empreendedorismo socialmedia publicidadeepropaganda redessociais instagram</t>
  </si>
  <si>
    <t>recomendei amigo livros livros dicadelivro dicadeleitura empreendedorismo procrastinacao</t>
  </si>
  <si>
    <t>empreendedorismo sucesso marketingdigital empreendedor foco motivação</t>
  </si>
  <si>
    <t>empreendedorismo sucesso marketingdigital empreendedor</t>
  </si>
  <si>
    <t>empreendedorismo sucesso marketingdigital</t>
  </si>
  <si>
    <t>sonhos gratidao business semprefoideus empreendedorismo</t>
  </si>
  <si>
    <t>modaintimafeminina empreendedorismo lingeriediva</t>
  </si>
  <si>
    <t>podcast cortespodcast tiagofonseca reflexão marketingdigital empreendedorismo motivação metas mulheresapaixonadas</t>
  </si>
  <si>
    <t>advogado direito propriedadeintelectual direitosautorais marcasregistradas empreendedorismo negócios consultoriajurídica</t>
  </si>
  <si>
    <t>minassummit empreendedorismo startups inovação</t>
  </si>
  <si>
    <t>empreendedorismo inovação sebrae</t>
  </si>
  <si>
    <t>empreendedorismo inovação sebrae canvas</t>
  </si>
  <si>
    <t>empreendedor afiliado marketingdeconteudo trabalharemcasa motiva rendaextraemcasa vendas empreendedorismodigital dinheiroonline empreendedordigita</t>
  </si>
  <si>
    <t>empreendedorismo age pernambuco estadodemudança</t>
  </si>
  <si>
    <t>unhas unhasdedeusa nails nailsdesign manicure empreendedorismo</t>
  </si>
  <si>
    <t>unhas mulher empreendedorismo nails</t>
  </si>
  <si>
    <t>empresário negócios consultoria dentista pequenosnegócios empreendedorismo produtosdequalidade</t>
  </si>
  <si>
    <t>birigui liberação vigilânciasanitária funcionamento loja influenciadoradigital empreendedorismo</t>
  </si>
  <si>
    <t>maiseducativa empreendedorismo prémiobrightfuture jovens</t>
  </si>
  <si>
    <t>clmcontroller contabilidadepremium contabilidade empreendedorismo empreender serie dicadesexta sextou</t>
  </si>
  <si>
    <t>clmcontroller contabilidadepremium contabilidade empreendedorismo empreender documentario dicadesexta sextou</t>
  </si>
  <si>
    <t>dicadodia dicadesexta livro negocios atitudeempresarial empreendedorismo clmcontroller</t>
  </si>
  <si>
    <t>empreendedorismo doresdoempresario foryourpage contabilidadeparaempresas account accounting compliance compliencefiscal compliencejuridico</t>
  </si>
  <si>
    <t>clmcontroller contabilidadepremium contabilidadeconsultiva comercioexterior contadabilidadedigital empreendedorismo doresdoempresario negocios empresadeimportaçãoeexportação</t>
  </si>
  <si>
    <t>empreendedorismo doresdoempresario negocios profissionalderh profissionalderh fy fyp foryou foryourpage account accounting rh onboarding controledeponto</t>
  </si>
  <si>
    <t>empreendedorismo doresdoempresario negocios planejamentotributário empresadetelecom telecomunicação taxaseimpostos evasãofiscal</t>
  </si>
  <si>
    <t>clmcontroller contabilidadepremium contabilidadeconsultiva contabilidadeespecializada contabilidade contadorespecialista comercioexterior contadabilidadedigital empreendedorismo</t>
  </si>
  <si>
    <t>filmeempreendedor inspiração amorsemescalas sucessoprofissional evolução dicaparaevoluir empreendedorismo</t>
  </si>
  <si>
    <t>netcom2023 empreendedorismo inovação</t>
  </si>
  <si>
    <t>empreendedorismo gestãoestratégica</t>
  </si>
  <si>
    <t>15erroscomuns contabilidadeconsultiva empreendedorismo martcon</t>
  </si>
  <si>
    <t>typebot chatgpt openai chatbot automation integration nocode lowcode marketingdigital socialmedia empreendedorismo</t>
  </si>
  <si>
    <t>palacio descriminalizastf alexandredemoraes binance arroz vazajato empreendedorismo marketingdigital marketingexistencial mentira ponde</t>
  </si>
  <si>
    <t>portaljuristec artigo maneiras empreendedorismo</t>
  </si>
  <si>
    <t>blog fashion blogger bloggerstyle style marketing instagram business marketingdigital digitalmarketing empreendedorismo socialmedia negocios empreender blogsterapp</t>
  </si>
  <si>
    <t>marketing socialmedia digitalmarketing business marketingdigital empreendedorismo negocios empreender branding instagram sucesso empreendedor foco emprendedores brasil</t>
  </si>
  <si>
    <t>producaocientifica gestãodainformacao empreendedorismo inovacao bibliotecanacional revistaatoz</t>
  </si>
  <si>
    <t>empresarial o empresa empresas a direito negocios empreendedorismo n empresarios empresario empreendedor</t>
  </si>
  <si>
    <t>retrato portrait fotodeperfil retratomasculino marketing fotografoembauru empresario empreendedor advogado medico corretordeimoveis escritor musico designer editorial</t>
  </si>
  <si>
    <t>anchieta empreendedorismo</t>
  </si>
  <si>
    <t>empreendedorismo resiliencia gestão coachquantico apaixonadoportudoisso</t>
  </si>
  <si>
    <t>contaavirada sebrae empreendedorismo</t>
  </si>
  <si>
    <t>empreendedorismo educaçãoempreendedora</t>
  </si>
  <si>
    <t>agendasebrae empreendedorismo sebrae</t>
  </si>
  <si>
    <t>sebrae empreendedorismo tiktokbusiness</t>
  </si>
  <si>
    <t>sebrae empreendedorismo inovação agendasebrae</t>
  </si>
  <si>
    <t>livros empreendedorismo negocios</t>
  </si>
  <si>
    <t>expofavela2023 riodejaneiro inclusão empreendedorismo inovação favelas expofavelainnovationrj</t>
  </si>
  <si>
    <t>rjtv expofavela2023 empreendedorismo inovação</t>
  </si>
  <si>
    <t>expofavelainnovation2023 expofavelarj empreendedorismo inovacao</t>
  </si>
  <si>
    <t>expofavelainnovation2023 expofavelarj empreendedorismo inovação</t>
  </si>
  <si>
    <t>typcal ecoloop virtualtown greenplat evlos empreendedorismo startups tecnologia inovacao</t>
  </si>
  <si>
    <t>giovannameneghel heynude kamaycode empreendedorismo inovacao tecnologia networking</t>
  </si>
  <si>
    <t>kamaycodebr tecnologia empreendedorismo saopaulo startups inovacao</t>
  </si>
  <si>
    <t>vascoportugal sensei kamaycode empreendedorismo tecnologia inovacao futuro</t>
  </si>
  <si>
    <t>vascoportugal nunomoutinho sensei kamaycodebr tecnologia inovacao empreendedorismo futuro</t>
  </si>
  <si>
    <t>empreendedorismo tecnologia inovacao startups</t>
  </si>
  <si>
    <t>rodrigotorres tokenbase kamaycodebr empreendedorismo tecnologia inovacao futuro</t>
  </si>
  <si>
    <t>kamaycodebr startups empreendedorismo inovacao tecnologia futuro</t>
  </si>
  <si>
    <t>graphicdesign motivation love success marketingstrategy seo digital empreendedorismo entrepreneurship instagood onlinemarketing marketingtips startup photography art follow</t>
  </si>
  <si>
    <t>graphicdesign motivation</t>
  </si>
  <si>
    <t>pipefy dodofy gestãodeprocessos empreendedorismo cursogratuito</t>
  </si>
  <si>
    <t>pipefy dodofy gestãodeprocessos empreendedorismo cursogratuito mapeamentodeprocessos alertas</t>
  </si>
  <si>
    <t>pipefy dodofy gestãodeprocessos empreendedorismo cursogratuito mapeamentodeprocessos</t>
  </si>
  <si>
    <t>leigeraldeprotecaodedados leigeraldeproteçãodedados empreendedorismo proteçãodedados lgpd protecaodedados direitoempresarial</t>
  </si>
  <si>
    <t>registrodemarcasepatentes propriedadeintelecual propriedadeindustrial empreendedorismo propriedadeintelectual registrodemarca direitoempresarial advocaciaempresarial</t>
  </si>
  <si>
    <t>dodofy gestãodeprocessos empreendedorismo cursogratuito mapeamentodeprocessos etiquetas</t>
  </si>
  <si>
    <t>pipefy dodofy kanban crm funildevendas gestao processos empreendedorismo escritorio advogados</t>
  </si>
  <si>
    <t>leigeraldeprotecaodedados empreendedorismo proteçãodedados lgpd</t>
  </si>
  <si>
    <t>doterra empreendedorismo liberdadefinanceira futurobrilhante sucesso</t>
  </si>
  <si>
    <t>empreendedorismo empreendedor negocios startup marketingdigital vendas foco motivaçao inspiraçao sucesso</t>
  </si>
  <si>
    <t>doterra oportunidadedenegócio empreendedorismo liberdadefinanceira realizaçãopessoal</t>
  </si>
  <si>
    <t>newprofilepic empreendedor investidor</t>
  </si>
  <si>
    <t>propósito foco objetivos carreira sucesso empreendedorismo crescimentoprofissional londres</t>
  </si>
  <si>
    <t>feedback depoimento mentoria crescimentopessoal resiliência empreendedorismo carreira feedbackdatati</t>
  </si>
  <si>
    <t>empreendedorismo empreender vidadeempreendedor</t>
  </si>
  <si>
    <t>portugal precariedade empreendedorismo</t>
  </si>
  <si>
    <t>empreendedorismo poçosdecaldas educação ensinoadistancia</t>
  </si>
  <si>
    <t>deusnocomando upsilontoledo equipedemarketing engenharia engineering projetista designer marketing marketingdigital design desinggrafico designdigital automacao empreendedorismo posts socialmedia socialmediaparanegocios publicidade publicidadeepropaganda</t>
  </si>
  <si>
    <t>deusnocomando upsilontoledo equipedemarketing engenharia engineering projeto projetista designer marketing marketingdigital design empreendedorismo posts socialmedia socialmediamarketing socialmediaparanegocios publicidade publicidadeepropaganda</t>
  </si>
  <si>
    <t>funildevendas marketing empreendedorismo gestão vendas</t>
  </si>
  <si>
    <t>marketing marketingdigital empreendedor noticias</t>
  </si>
  <si>
    <t>ods4 empreendedorismo</t>
  </si>
  <si>
    <t>gestãoempresarial negócios empreendedorismo liderança estratégia inovação marketing finanças produtividade</t>
  </si>
  <si>
    <t>gestãoempresarial negócios empreendedorismo liderança estratégia inovação marketing finanças produtividade equipe</t>
  </si>
  <si>
    <t>gestãoempresarial negócios empreendedorismo liderança estratégia inovação marketing finanças</t>
  </si>
  <si>
    <t>sucesso rápido thiagofinch dinheiro milionário empreendedor</t>
  </si>
  <si>
    <t>futuro milionário foco sucesso marketing digital empreendedor</t>
  </si>
  <si>
    <t>foco sucesso milionário lifestyle empreendedor mentalidade</t>
  </si>
  <si>
    <t>empreendedorismo podcast podcastempreendedorismo</t>
  </si>
  <si>
    <t>vianadocastelo empreendedorismo projetos jovens</t>
  </si>
  <si>
    <t>empreendedorismo sucesso vendasonline supermercado depositodebebidas adega distribuidoras distribuidoradebebidas</t>
  </si>
  <si>
    <t>mentemilionaria empreendedorismo marketingdigital ruyter</t>
  </si>
  <si>
    <t>vendas rendaextra ganhardinheiro empreendedorismo</t>
  </si>
  <si>
    <t>mentemilionaria empreendedorismo marketingdigital dicas</t>
  </si>
  <si>
    <t>mentemilionaria rendaextra empreendedorismo</t>
  </si>
  <si>
    <t>fy marketingdigital kiwify empreendedorismo ruyter rendaextra plr</t>
  </si>
  <si>
    <t>tempodenegocios rendaextra viral fypシ empreendedorismo money</t>
  </si>
  <si>
    <t>noticias linkmex santacatarina empreendedorismo empresasdesucesso exportação importação</t>
  </si>
  <si>
    <t>empreendedorismo manaus</t>
  </si>
  <si>
    <t>palestra empreendedorismo empresárioparanaense</t>
  </si>
  <si>
    <t>empreendedorismo workholic amorproprio job</t>
  </si>
  <si>
    <t>educacaofinanceira empreendedor dinheiro finanças reflexao empreendedorismo vendermais organizacaofinanceira rendaextra marketingdigital vendedor direita conservador hugocarvajal</t>
  </si>
  <si>
    <t>educacaofinanceira empreendedor dinheiro finanças reflexao empreendedorismo vendermais organizacaofinanceira rendaextra rendaextraemcasa marketingdigital vendedor direita conservador</t>
  </si>
  <si>
    <t>educacaofinanceira empreendedor dinheiro finanças reflexao empreendedorismo vendermais organizacaofinanceira rendaextra rendaextraemcasa marketingdigital vendedor direita conservador elonmusk</t>
  </si>
  <si>
    <t>educacaofinanceira empreendedor dinheiro finanças reflexao empreendedorismo vendermais organizacaofinanceira rendaextra rendaextraemcasa marketingdigital vendedor direita conservador flaviodinocomunista</t>
  </si>
  <si>
    <t>educacaofinanceira empreendedor dinheiro finanças reflexao empreendedorismo vendermais organizacaofinanceira rendaextra rendaextraemcasa marketingdigital vendedor sportrecife maiordonordeste</t>
  </si>
  <si>
    <t>educacaofinanceira empreendedor dinheiro finanças reflexao empreendedorismo vendermais organizacaofinanceira rendaextra rendaextraemcasa marketingdigital vendedor direita conservador genfigueiredo</t>
  </si>
  <si>
    <t>educacaofinanceira empreendedor dinheiro finanças reflexao empreendedorismo vendermais organizacaofinanceira rendaextra rendaextraemcasa marketingdigital direita conservador imprensa corrupcao josephpulitzer</t>
  </si>
  <si>
    <t>educacaofinanceira empreendedor dinheiro finanças reflexao empreendedorismo vendermais organizacaofinanceira rendaextra rendaextraemcasa marketingdigital vendedor direita conservador fazol casasbahia</t>
  </si>
  <si>
    <t>educacaofinanceira empreendedor dinheiro finanças reflexao empreendedorismo vendermais marketingdigital vendedor direita conservador foralula</t>
  </si>
  <si>
    <t>educacaofinanceira empreendedor dinheiro finanças reflexao empreendedorismo vendermais organizacaofinanceira rendaextra rendaextraemcasa marketingdigital vendedor direita conservador brasil santacruz feminina</t>
  </si>
  <si>
    <t>educacaofinanceira empreendedor dinheiro finanças reflexao empreendedorismo vendermais organizacaofinanceira rendaextra rendaextraemcasa marketingdigital vendedor direita conservador jimryun</t>
  </si>
  <si>
    <t>educacaofinanceira empreendedor dinheiro finanças reflexao empreendedorismo marketingdigital vendedor direita conservador foralula</t>
  </si>
  <si>
    <t>educacaofinanceira empreendedor dinheiro finanças reflexao empreendedorismo vendermais organizacaofinanceira rendaextra rendaextraemcasa marketingdigital vendedor direita conservador robertadams</t>
  </si>
  <si>
    <t>educacaofinanceira empreendedor dinheiro finanças reflexao empreendedorismo vendermais organizacaofinanceira rendaextra rendaextraemcasa marketingdigital vendedor direita conservador arthurschopenhauer</t>
  </si>
  <si>
    <t>educacaofinanceira empreendedor dinheiro finanças reflexao empreendedorismo vendermais organizacaofinanceira rendaextra rendaextraemcasa marketingdigital vendedor direita conservador petralha</t>
  </si>
  <si>
    <t>educacaofinanceira empreendedor dinheiro finanças reflexao empreendedorismo vendermais organizacaofinanceira rendaextra rendaextraemcasa marketingdigital vendedor direita conservador janvanellam</t>
  </si>
  <si>
    <t>educacaofinanceira empreendedor dinheiro finanças reflexao empreendedorismo vendermais organizacaofinanceira rendaextra rendaextraemcasa marketingdigital vendedor direita conservador haddadposte</t>
  </si>
  <si>
    <t>educacaofinanceira empreendedor dinheiro finanças reflexao empreendedorismo vendermais organizacaofinanceira rendaextra rendaextraemcasa marketingdigital vendedor direita conservador cuidadocomsuaface</t>
  </si>
  <si>
    <t>educacaofinanceira empreendedor dinheiro finanças reflexao empreendedorismo vendermais organizacaofinanceira rendaextra rendaextraemcasa marketingdigital vendedor direita conservador contradrogas</t>
  </si>
  <si>
    <t>educacaofinanceira empreendedor dinheiro finanças reflexao empreendedorismo vendermais organizacaofinanceira rendaextra rendaextraemcasa marketingdigital vendedor santacruz seried</t>
  </si>
  <si>
    <t>educacaofinanceira empreendedor dinheiro finanças reflexao empreendedorismo vendermais organizacaofinanceira rendaextra rendaextraemcasa marketingdigital vendedor sportrecife</t>
  </si>
  <si>
    <t>educacaofinanceira empreendedor dinheiro finanças reflexao empreendedorismo vendermais organizacaofinanceira rendaextra rendaextraemcasa marketingdigital vendedor direita conservador jairbolsonaro</t>
  </si>
  <si>
    <t>educacaofinanceira empreendedor dinheiro finanças reflexao empreendedorismo vendermais organizacaofinanceira rendaextra rendaextraemcasa marketingdigital vendedor direita conservador esquerdamaldita</t>
  </si>
  <si>
    <t>educacaofinanceira empreendedor dinheiro finanças reflexao empreendedorismo vendermais organizacaofinanceira rendaextra rendaextraemcasa marketingdigital vendedor direita conservador fazol magazineluiza</t>
  </si>
  <si>
    <t>educacaofinanceira empreendedor dinheiro finanças reflexao empreendedorismo vendermais organizacaofinanceira rendaextra rendaextraemcasa marketingdigital vendedor direita conservador 8dejaneiro</t>
  </si>
  <si>
    <t>educacaofinanceira empreendedor dinheiro finanças reflexao empreendedorismo vendermais organizacaofinanceira rendaextra rendaextraemcasa marketingdigital vendedor direita conservador jiddukrishnamurti</t>
  </si>
  <si>
    <t>educacaofinanceira empreendedor dinheiro finanças reflexao empreendedorismo vendermais organizacaofinanceira rendaextra rendaextraemcasa marketingdigital vendedor direita conservador bolsonarosempretemrazao</t>
  </si>
  <si>
    <t>educacaofinanceira empreendedor dinheiro finanças reflexao empreendedorismo vendermais organizacaofinanceira rendaextra rendaextraemcasa marketingdigital vendedor direita conservador alanwatts</t>
  </si>
  <si>
    <t>educacaofinanceira empreendedor dinheiro finanças reflexao empreendedorismo vendermais organizacaofinanceira rendaextra rendaextraemcasa marketingdigital vendedor direita conservador frankshermanland</t>
  </si>
  <si>
    <t>educacaofinanceira empreendedor dinheiro finanças reflexao empreendedorismo vendermais organizacaofinanceira rendaextra rendaextraemcasa marketingdigital vendedor direita conservador eusigobolsonaro</t>
  </si>
  <si>
    <t>educacaofinanceira empreendedor dinheiro finanças reflexao empreendedorismo vendermais organizacaofinanceira rendaextra rendaextraemcasa marketingdigital vendedor tiagomedeiros santacruz sportrecife</t>
  </si>
  <si>
    <t>educacaofinanceira empreendedor dinheiro finanças reflexao empreendedorismo vendermais organizacaofinanceira rendaextra marketingdigital vendedor direita conservador pedofilia criancaesperanca fazol</t>
  </si>
  <si>
    <t>educacaofinanceira empreendedor dinheiro finanças reflexao empreendedorismo vendermais organizacaofinanceira rendaextra rendaextraemcasa marketingdigital vendedor direita conservador thomasedison</t>
  </si>
  <si>
    <t>educacaofinanceira empreendedor dinheiro finanças reflexao empreendedorismo vendermais organizacaofinanceira rendaextra rendaextraemcasa marketingdigital vendedor direita conservador olavotemrazao</t>
  </si>
  <si>
    <t>educacaofinanceira empreendedor dinheiro finanças reflexao empreendedorismo vendermais organizacaofinanceira rendaextra rendaextraemcasa marketingdigital vendedor direita conservador zedirceu petêadmitiu</t>
  </si>
  <si>
    <t>educacaofinanceira empreendedor dinheiro finanças reflexao empreendedorismo vendermais marketingdigital vendedor direita conservador</t>
  </si>
  <si>
    <t>educacaofinanceira empreendedor dinheiro finanças reflexao empreendedorismo vendermais organizacaofinanceira rendaextra rendaextraemcasa marketingdigital vendedor direita conservador brucedickinson ironmaiden</t>
  </si>
  <si>
    <t>educacaofinanceira empreendedor dinheiro finanças reflexao empreendedorismo vendermais organizacaofinanceira rendaextra rendaextraemcasa marketingdigital vendedor direita conservador bolsonaro</t>
  </si>
  <si>
    <t>educacaofinanceira empreendedor dinheiro finanças reflexao empreendedorismo vendermais organizacaofinanceira rendaextra rendaextraemcasa marketingdigital vendedor direita conservador napoleaobonaparte</t>
  </si>
  <si>
    <t>educacaofinanceira empreendedor dinheiro finanças reflexao empreendedorismo vendermais organizacaofinanceira rendaextra rendaextraemcasa marketingdigital vendedor direita conservador martincooper</t>
  </si>
  <si>
    <t>educacaofinanceira empreendedor dinheiro finanças reflexao empreendedorismo vendermais organizacaofinanceira rendaextra rendaextraemcasa marketingdigital vendedor direita conservador billmurray</t>
  </si>
  <si>
    <t>educacaofinanceira empreendedor dinheiro finanças reflexao empreendedorismo vendermais organizacaofinanceira rendaextra rendaextraemcasa marketingdigital vendedor sportrecife serieb maiordonordeste</t>
  </si>
  <si>
    <t>educacaofinanceira reflexao empreendedorismo vendermais organizacaofinanceira rendaextraemcasa marketingdigital direita conservador</t>
  </si>
  <si>
    <t>educacaofinanceira empreendedor dinheiro finanças reflexao empreendedorismo vendermais organizacaofinanceira rendaextra rendaextraemcasa marketingdigital vendedor direita conservador flaviodinocomrabopreso</t>
  </si>
  <si>
    <t>educacaofinanceira empreendedor dinheiro finanças reflexao empreendedorismo vendermais organizacaofinanceira rendaextra rendaextraemcasa marketingdigital vendedor direita conservador napoleonhill</t>
  </si>
  <si>
    <t>educacaofinanceira empreendedor dinheiro finanças reflexao empreendedorismo vendermais organizacaofinanceira rendaextra rendaextraemcasa marketingdigital vendedor direita conservador streaming</t>
  </si>
  <si>
    <t>educacaofinanceira empreendedor dinheiro finanças reflexao empreendedorismo vendermais organizacaofinanceira rendaextra rendaextraemcasa marketingdigital vendedor direita conservador nom</t>
  </si>
  <si>
    <t>educacaofinanceira empreendedor dinheiro finanças reflexao empreendedorismo vendermais organizacaofinanceira rendaextra rendaextraemcasa marketingdigital vendedor direita conservador jimcaviezel</t>
  </si>
  <si>
    <t>educacaofinanceira empreendedor dinheiro finanças reflexao empreendedorismo vendermais organizacaofinanceira rendaextra marketingdigital vendedor direita conservador contranovaordemmundial againstthenewworldorder</t>
  </si>
  <si>
    <t>educacaofinanceira empreendedor dinheiro finanças reflexao empreendedorismo vendermais organizacaofinanceira rendaextra rendaextraemcasa marketingdigital vendedor direita conservador luladraodesgracaedestruicao</t>
  </si>
  <si>
    <t>educacaofinanceira empreendedor dinheiro finanças reflexao empreendedorismo vendermais organizacaofinanceira rendaextra rendaextraemcasa marketingdigital vendedor direita conservador josephpulitzer</t>
  </si>
  <si>
    <t>educacaofinanceira empreendedor dinheiro finanças reflexao empreendedorismo vendermais organizacaofinanceira rendaextra rendaextraemcasa marketingdigital vendedor direita conservador frankzappa</t>
  </si>
  <si>
    <t>educacaofinanceira empreendedor dinheiro finanças reflexao empreendedorismo vendermais organizacaofinanceira rendaextra rendaextraemcasa marketingdigital vendedor direita conservador soundoffreedom timballard</t>
  </si>
  <si>
    <t>educacaofinanceira empreendedor dinheiro finanças reflexao empreendedorismo vendermais organizacaofinanceira rendaextra rendaextraemcasa marketingdigital vendedor direita conservador soundoffreedom</t>
  </si>
  <si>
    <t>educacaofinanceira empreendedor dinheiro finanças reflexao empreendedorismo vendermais organizacaofinanceira rendaextra rendaextraemcasa marketingdigital vendedor direita conservador rodolfoabrantes</t>
  </si>
  <si>
    <t>educacaofinanceira empreendedor dinheiro finanças reflexao empreendedorismo vendermais organizacaofinanceira rendaextra rendaextraemcasa marketingdigital vendedor crb sport serieb2023</t>
  </si>
  <si>
    <t>uberlandia aciub rodadadenegocios empreendedorismo</t>
  </si>
  <si>
    <t>diariodeuberlandia uberlandia sebrae programa empreendedorismo</t>
  </si>
  <si>
    <t>desenvolvimentopessoal empreendedorismo motivacao</t>
  </si>
  <si>
    <t>feedback empreendedorismo aquicultura</t>
  </si>
  <si>
    <t>cdlbh conectamente cdlfm sebrae belohorizonte empreendedorismo efestival</t>
  </si>
  <si>
    <t>cdlbh conectamente cdlfm bh belohorizonte igormorais kingssneakers empreendedorismo</t>
  </si>
  <si>
    <t>empreendedorismo sebraesp ilhasolteira programailhaadmiravel aceis institutofederalsãopaulo centropaulasouza votivalley empreendaeinoveunespfeis</t>
  </si>
  <si>
    <t>unesp feis unespfeis ppgcm posgraduacao empreendedorismo startup inovacao compartilheunesp</t>
  </si>
  <si>
    <t>gestao gestaoempresarial empreendedorismo contabilidade consultoriacontabil assessoriacontabil</t>
  </si>
  <si>
    <t>manaus soumanaus soumanauspassoapaço2023 amazonas empreendedorismo bijuterias</t>
  </si>
  <si>
    <t>manaus amazonas empreendedorismo artesanato bijuterias</t>
  </si>
  <si>
    <t>networking eventos feiras branding conexões empreendedorismo sucesso virtualeestudio</t>
  </si>
  <si>
    <t>empreender empreendedor</t>
  </si>
  <si>
    <t>empreendedorismo empreender empreendedor</t>
  </si>
  <si>
    <t>empreendedorismo negociosimobilia</t>
  </si>
  <si>
    <t>empreendedorismo negocios negócios negociosinteligentes empresario empresa empresas empresário empresafamiliar pequenasempresas gestaoempresarial empresariodesucesso empresascomproposito perpetuador perpetuandonegocios souperpetuador</t>
  </si>
  <si>
    <t>empreendedorismo negocios negócios negociosinteligentes empresario empresa empresas empresário empresafamiliar pequenasempresas gestaoempresarial empresariodesucesso empresascomproposito</t>
  </si>
  <si>
    <t>empreendedorismo negocios negócios negociosinteligentes empresario empresa empresas empresário empresafamiliar pequenasempresas gestaoempresarial perpetuadoresx empresariodesucesso empresascomproposito</t>
  </si>
  <si>
    <t>empreendedorismo negocios negócios negociosinteligentes empresario empresa empresas empresário empresafamiliar pequenasempresas gestaoempresarial perpetuadoresx empresariodesucesso empresascomproposito empresashumanizadas</t>
  </si>
  <si>
    <t>asn empreendedorismo</t>
  </si>
  <si>
    <t>sebrae empreendedorismo negócios ativação</t>
  </si>
  <si>
    <t>sebraeionspira negócios empreendedorismo sebraepara</t>
  </si>
  <si>
    <t>empreendedorismo negócios sebraepará trabalhodeférias empreender pequenosnegócios</t>
  </si>
  <si>
    <t>prêmioprefeituraempreendedora empreendedorismo negocios prefeito</t>
  </si>
  <si>
    <t>mentalidade mindset empreendedorismo brasil</t>
  </si>
  <si>
    <t>empreendedorismo elegância versatilidade sucesso</t>
  </si>
  <si>
    <t>empreendedorismo expansaodenegocios franquias redesdevarejo mercadodetrabalho g2mix g2mixfranquias pesquisademercado sucessoprofissional</t>
  </si>
  <si>
    <t>tecnologia empreendedorismo receitafederal</t>
  </si>
  <si>
    <t>promote promotion promotions marketingdigital marketingchain helpothers forall simply empreendedorismo todosjuntos personas elivretek</t>
  </si>
  <si>
    <t>myperfectapp food comida restaurante aplicativopersonalizado aplicativo empresário empreendedor culinária confeitaria delivery</t>
  </si>
  <si>
    <t>myperfectapp aplicativo aplicativopersonalizado restaurante empresário empreendedor empreendedorismo comida</t>
  </si>
  <si>
    <t>barueri empreendedor empresario contador transporte logistica lacerdaconnect</t>
  </si>
  <si>
    <t>empreendedor sucessonosnegócios</t>
  </si>
  <si>
    <t>esperança empreendedorismo estrategiademarketing sucesso mktcomsucesso</t>
  </si>
  <si>
    <t>empreendedorismo enfermagem</t>
  </si>
  <si>
    <t>empreendedorismo negócios sucesso empeender dinheiro marketing dicasdenegócios vendas</t>
  </si>
  <si>
    <t>negócios empreendedorismo sucesso vendas empreender marketing dinheiro</t>
  </si>
  <si>
    <t>motivacao empreendedorismo motivacional jesuscristo</t>
  </si>
  <si>
    <t>jimmyjohnson quotes empreendedorismo esforço escolhas conhecimento frasedodia pensamentos pararefletir nfl</t>
  </si>
  <si>
    <t>marcapessoal personalbranding empreendedorismo</t>
  </si>
  <si>
    <t>algodaodocenopote algodaodocenopotepersonalizado futebol festainfantil festademenino empreendedorismo</t>
  </si>
  <si>
    <t>abelaeafera abelaeafera festademenina algodaodocepersonalizado algodaodocenocopo empreendedorismo</t>
  </si>
  <si>
    <t>ecuador jeffersonperez alexaguinaga encuestas surveys ysenselaguna plata cushqui empreendedor ecuatorianos quito guayaquil portoviejo</t>
  </si>
  <si>
    <t>dinheiro brasil pesquisa empreendedorismo sãopaulo ríodejaneiro brasilia belohorizonte portoalegre real</t>
  </si>
  <si>
    <t>negocios empreendedorismo faculdade</t>
  </si>
  <si>
    <t>fastcompany esports batepapo fastcompanybrasil empreendedorismo</t>
  </si>
  <si>
    <t>kiwify empreendedorismo</t>
  </si>
  <si>
    <t>sucesso empreendedorismo empreender foryou motivacao fy inspiracao 1milhao brazil</t>
  </si>
  <si>
    <t>empreendedorismo bemestar impactosocial liberdade qualidadedevida</t>
  </si>
  <si>
    <t>empreendedorismo drinks amazonia</t>
  </si>
  <si>
    <t>negocios economiadigital marketingdigital empreendedorismo socialselling redessociais</t>
  </si>
  <si>
    <t>negocios consultoria economiadigital transformaçãodigital marketingdigital empreendedorismo redessociais machadodb</t>
  </si>
  <si>
    <t>negocios consultoria marketingdigital empreendedorismo machadodb</t>
  </si>
  <si>
    <t>negocios consultoria marketingdigital empreendedorismo</t>
  </si>
  <si>
    <t>negocios economiadigital marketingdigital empreendedorismo</t>
  </si>
  <si>
    <t>negocios consultorial marketingdigital empreendedorismo redessociais machadodb</t>
  </si>
  <si>
    <t>negocios consultoria marketingdigital empreendedorismo redessociais machadodb</t>
  </si>
  <si>
    <t>sucesso riqueza empreendedorismo crescimento frases frasesinspiradoras frasesmotivadoras frasesmotivacionais crescimento</t>
  </si>
  <si>
    <t>dicas empreendedorismo assuntosadministrativos</t>
  </si>
  <si>
    <t>empreendedorismo sucesso negócios rihanna</t>
  </si>
  <si>
    <t>doces empreendedorismo lucro</t>
  </si>
  <si>
    <t>marketing negócios empreendedorismo crescimento marketingdigital sucesso inovação dicas socialmedia seo</t>
  </si>
  <si>
    <t>blackrat fy empreendedorismo</t>
  </si>
  <si>
    <t>tbt startups evento empreendedorismo startup growth valuation equity venturecapital</t>
  </si>
  <si>
    <t>confianoprocesso empreendedor</t>
  </si>
  <si>
    <t>ludgeroadvogados startups complianceregulatório conformidade proteçãodedados prevençãodeconflitos crescimentosustentável empreendedorismo jornadaempreendedora</t>
  </si>
  <si>
    <t>ludgeroadvogados assessoriajuridica startups estruturaçãolegal proteçãointelectual contratos complianceregulatório investimentos financiamentos sucessoempresarial empreendedorismo</t>
  </si>
  <si>
    <t>ludgeroadvogados assessoriajuridica startups inovação empreendedorismo sucessoempresarial direitoempresarial proteçãointelectual complianceregulatório estratégiaslegais</t>
  </si>
  <si>
    <t>alphagraphics franqueadodesucesso empreendedorismo façapartedessahistória façaparte gráficadigital gráficarápida depoimento</t>
  </si>
  <si>
    <t>alphagraphics diadaindependencia brasil liberdade criatividade empreendedorismo conquistadesonhos transformandoideias orgulhonacional vivaobrazil</t>
  </si>
  <si>
    <t>mentalidade empreendedorismo marketingdigital</t>
  </si>
  <si>
    <t>créditoagrícola inovação empreendedorismo</t>
  </si>
  <si>
    <t>itatiaiajf itatiaia itasat juizdefora sebrae minasgerais empreendedorismo</t>
  </si>
  <si>
    <t>itatiaiajf itasat sebrae empreendedorismo mulheres 50anos workshop juizdefora</t>
  </si>
  <si>
    <t>itatiaiajf itasat juizdefora empreendedorismo jfsummit acreditaevai</t>
  </si>
  <si>
    <t>empreendedorismo educação podcast</t>
  </si>
  <si>
    <t>empreendedorismo investimento sebraelabnatal business networking cdl cdljovem</t>
  </si>
  <si>
    <t>gorn2023 startupsdorn sebraelabnatal inovação empreendedorismo networking oportunidades sebraern</t>
  </si>
  <si>
    <t>marmitasfit empreendedorismo</t>
  </si>
  <si>
    <t>empreendedorismo expotapejara</t>
  </si>
  <si>
    <t>empreendedorismo startuplife aprendendoaempreender</t>
  </si>
  <si>
    <t>losangeles brasil london france spain italy florida germany estratégia marketingonline criativo metas empreendedor onegócio sucesso pequenosnegócios dinheiro vendas</t>
  </si>
  <si>
    <t>business negocios empresas empreendedorismo</t>
  </si>
  <si>
    <t>anacatarina entrevista empreendedorismo música carreira grupomarcação</t>
  </si>
  <si>
    <t>empreendedorismo sonhos resiliência coragem</t>
  </si>
  <si>
    <t>empreendedorismo ondecocomprar magazineluiza aniversariomagalu</t>
  </si>
  <si>
    <t>magalu ondecompra empreendedorismo</t>
  </si>
  <si>
    <t>empreendedorismo inovação resíduos smartcities</t>
  </si>
  <si>
    <t>smartcities cidadesinteligentes lisboaenova hubin lisboa inovação empreendedorismo sustentabilidade</t>
  </si>
  <si>
    <t>soluçãomtv empreendedorismo edutainment realityshow</t>
  </si>
  <si>
    <t>empreendedor investidor</t>
  </si>
  <si>
    <t>lideres liderança liderançatransformadora liderançacolaborativa coaching coachingdecarreira carreira desenvolvimentopessoal gestão trabalho empreendedorismo</t>
  </si>
  <si>
    <t>marketingdigital empreendertrasforma empreendedorismo marketing</t>
  </si>
  <si>
    <t>inovação empreendedorismo startup</t>
  </si>
  <si>
    <t>twitter dia divertido seguidor energiapositiva fe sigodevolta brazil estilo pensamentopositivo natureza esperança love autoestima frasesinspiradoras alegria luz deusnocomando tbt energia empreendedorismo moda sejaluz para como</t>
  </si>
  <si>
    <t>desenvolvimento economia empreendedorismo empresas inovação</t>
  </si>
  <si>
    <t>empreendedorismo estratégia finanças mercado planodenegócios</t>
  </si>
  <si>
    <t>empreendedorismo estratégia finanças gestão mercado</t>
  </si>
  <si>
    <t>determinação empreendedorismo estratégia inovação sucesso</t>
  </si>
  <si>
    <t>empreendedorismo estratégias finanças investimentos sucesso</t>
  </si>
  <si>
    <t>podcast mindset empreendedorismo mindlab</t>
  </si>
  <si>
    <t>logotipo identidadevisual logo design designer logomarca branding marca publicidade marketing marketingdigital propaganda brand art criatividade papelariapersonalizada empreendedorismo</t>
  </si>
  <si>
    <t>prêmioinovaçõespelavida pjeem accamargocancercenter especializadoemvida oncologia empreendedorismo projetosinovadores</t>
  </si>
  <si>
    <t>prêmioinovaçõespelavida accamargocancercenter especializadoemvida oncologia empreendedorismo projetosinovadores</t>
  </si>
  <si>
    <t>prêmioinovaçõespelavida accamargocancercenter especializadoemvida oncologia saudeoncologica empreendedorismo projetosinovadores</t>
  </si>
  <si>
    <t>b2b business conhecimento crm curso empreendedorismo eventos hss negocios sucesso treinamento vendas</t>
  </si>
  <si>
    <t>empreendedorismo empreendimento empreendedorasdigitais mulheresempresarias</t>
  </si>
  <si>
    <t>conexão conexãodelas sonoridade mulherempreendedora empreendedorismo empreendedorismofeminino</t>
  </si>
  <si>
    <t>infoprodutor empreendedorismo mulheresempreendedoras empreendedorismofeminino empreendedoras</t>
  </si>
  <si>
    <t>goiás brasil empreendedorismo inovação</t>
  </si>
  <si>
    <t>empreendedorismo coleciona cases empresas</t>
  </si>
  <si>
    <t>tecnologia inovação empreendedorismo</t>
  </si>
  <si>
    <t>história empreendedorismo vinhos napavalley</t>
  </si>
  <si>
    <t>henryford empreendedor frasedodia forbesbr empreender negócio</t>
  </si>
  <si>
    <t>ipforce concorrência empreendedorismo empreendedores pin pabxvirtual pabxinteligente telefonia telefoniaip voip</t>
  </si>
  <si>
    <t>empoderamentofeminino empreendedorismo mulheres networking ozvalley</t>
  </si>
  <si>
    <t>empreendedorismo empreendedorismouniversitario minasgerais ufvjm</t>
  </si>
  <si>
    <t>identidadevisual logotipo logomarca empreendedorismo emprendedores coach coaching logo designergrafico designer graphicdesign</t>
  </si>
  <si>
    <t>identidadevisual design marca logotipo logodesigner empreendedorismo comunicacaovisual designerdelogo</t>
  </si>
  <si>
    <t>identidadevisual designergrafico logomarca logotipo empreendedorismo musico</t>
  </si>
  <si>
    <t>elonmusk twitter curiosidades tecnologia empreendedorismo xtwitter inovação vídeonovo</t>
  </si>
  <si>
    <t>humor comedia empreendedorismo reflexão quartafeira fy fyp viral humorado emalta</t>
  </si>
  <si>
    <t>inovahc podcast fapesp empreendedor</t>
  </si>
  <si>
    <t>inovahc unimednacional inovahc empreendedorismo inovaçao</t>
  </si>
  <si>
    <t>inscrições incube capacitação inovahc hc hcfmusp inovacao empreendedorismo</t>
  </si>
  <si>
    <t>incube empreendedorismo inovação</t>
  </si>
  <si>
    <t>inovahc podcast empreendedorismo fgv esg</t>
  </si>
  <si>
    <t>inovahc incube empreendedorismo saude inovaçao hcfmusp</t>
  </si>
  <si>
    <t>incube inscrições inovahc hc hcfmusp incube inovacao empreendedorismo</t>
  </si>
  <si>
    <t>artigo incube inovaçao inovahc hcfmusp inovaçao empreendedorismo</t>
  </si>
  <si>
    <t>incube inovação inovahc hcfmusp incube empreendedorismo saude</t>
  </si>
  <si>
    <t>dinheiro rendaextra apostasesportivas bet365 dubai dubaimall dubai empreendedorismo</t>
  </si>
  <si>
    <t>empreendedorismo atitudesempreendedoras</t>
  </si>
  <si>
    <t>financas investimentos empreendedorismo</t>
  </si>
  <si>
    <t>financial technology empreendedorismo</t>
  </si>
  <si>
    <t>empreendedor sebraesp networwing empreendedora</t>
  </si>
  <si>
    <t>economia livremercado empreendedorismo inovacao criatividade</t>
  </si>
  <si>
    <t>lingerie modaintima lojaonline empreendedorismo</t>
  </si>
  <si>
    <t>tijuca flamengo imoveis2023 sextou comprar morar luxo empreendedor</t>
  </si>
  <si>
    <t>tijuca imóveis salacomercial médicos odontologia clinica riodejaneiro rio copacabanapalace empreendedorismo rj rjtv</t>
  </si>
  <si>
    <t>venda vendas negocio negocios empreendedor empreender empresa anuncio</t>
  </si>
  <si>
    <t>empreendedorismo business motivacional vendas vendedor</t>
  </si>
  <si>
    <t>criatividade inovação empreendedorismo ação transformação ouseinovar ideiasbrilhantes negóciosinovadores</t>
  </si>
  <si>
    <t>cdlsãocaetano cdl diadocomerciante comerciantes comércio varejo empreendedorismo negócios</t>
  </si>
  <si>
    <t>amazon jeff jeffbezos livros empreendedorismo trechos</t>
  </si>
  <si>
    <t>conceito king sucesso inspiração lançamento conquista sonhos empreendedorismo foco empowerment</t>
  </si>
  <si>
    <t>inovcmais inovação sustentabilidade regiãocentro ciência tecnologia empreendedorismo economiaregional desenvolvimentosustentável science technology sustainability</t>
  </si>
  <si>
    <t>tagusvalley ideias empreendedorismo empresas tagusvalley abrantes parque ciencia tecnologia</t>
  </si>
  <si>
    <t>tagusvalley parque empreendedorismo esforços tagusvalley abrantes parque ciencia tecnologia</t>
  </si>
  <si>
    <t>empreendedorismo educação cursoonline</t>
  </si>
  <si>
    <t>empreendedorismo cursosonline dicasdemarketing</t>
  </si>
  <si>
    <t>empreendedorismo inteligênciamotivacional motivacional sucesso vendas</t>
  </si>
  <si>
    <t>work empreendedorismo</t>
  </si>
  <si>
    <t>palestra empreendedorismo</t>
  </si>
  <si>
    <t>mpsrobotica 5anos aniversario empresa empreendedor timedevalor valores sucesso trabalho parcerias futuro</t>
  </si>
  <si>
    <t>contabilidade empreendedor empresa ceará grupoadvancedce</t>
  </si>
  <si>
    <t>identidadevisual marcapersonalizada empreendedorismo</t>
  </si>
  <si>
    <t>cursompa estratégiasdigitais empreendedorismo</t>
  </si>
  <si>
    <t>empreendedorismo empreendedor negócios negocios donodenegócio</t>
  </si>
  <si>
    <t>trabalhovsnegócio empreendedorismo gestãodenegócios finanças planejamentofinanceiro investimentos educaçãofinanceira negócios</t>
  </si>
  <si>
    <t>marketing liderança líder empreendedorismo</t>
  </si>
  <si>
    <t>sebraers sebraeprati turismo empreendedorismo</t>
  </si>
  <si>
    <t>sebraers nrf2024 varejo empreendedorismo</t>
  </si>
  <si>
    <t>sebraeprati moveleiro moveis empreendedorismo</t>
  </si>
  <si>
    <t>empreendedorismo sebraeprati</t>
  </si>
  <si>
    <t>sebraeprati restaurante empreendedorismo</t>
  </si>
  <si>
    <t>sebraers inteligênciaartificial empreendedorismo ia</t>
  </si>
  <si>
    <t>natal</t>
  </si>
  <si>
    <t>marketing empreendedorismo</t>
  </si>
  <si>
    <t>empreendedorismo auditoria simplesnacional demonstraçõesfinanceiras planejamento</t>
  </si>
  <si>
    <t>contador empreendedorismo auditoria</t>
  </si>
  <si>
    <t>contabilidade finanças gestãofinanceira contabilidadeempresarial impostos contador empreendedorismo auditoria simplesnacional</t>
  </si>
  <si>
    <t>arenablackrocks afrofuturismo inovação empreendedorismo startups sãopaulo tecnologia programação oficina blackinnovation blackintech afroturismo ti</t>
  </si>
  <si>
    <t>arenablackrocks afrofuturismo inovação empreendedorismo startups sãopaulo tecnologia programação oficina</t>
  </si>
  <si>
    <t>arenablackrocks afrofuturismo inovação empreendedorismo startups sãopaulo tecnologia programação oficina blackinnovation</t>
  </si>
  <si>
    <t>mei favela comunidade rio sebrae govrj partidonovo empreendedor</t>
  </si>
  <si>
    <t>a coaching sonhos empreendedorismo persistente desculpas o</t>
  </si>
  <si>
    <t>reduçãodecustos eficiênciafinanceira gestãofinanceira negóciossustentáveis empreendedorismo</t>
  </si>
  <si>
    <t>adolescentevintage envelhecimentoativo empreendedorismo envelhecimentosaudável empreender</t>
  </si>
  <si>
    <t>adolescentevintage empreendedorismo kfc frangofrito</t>
  </si>
  <si>
    <t>bomdia acese empreendedorismo aracaju sergipe</t>
  </si>
  <si>
    <t>empreendedorismo maede03 networking empresas</t>
  </si>
  <si>
    <t>noticenter notíciassc sebraedelas empreendedorismo santacatarina</t>
  </si>
  <si>
    <t>noticenter notíciassc pressecomunicação artigo empreendedorismo santacatarina</t>
  </si>
  <si>
    <t>noticenter notíciassc empreendedorismo sebraesc irani santacatarina</t>
  </si>
  <si>
    <t>notícias como empreendedor online para</t>
  </si>
  <si>
    <t>empreendedorismo planodenegocios</t>
  </si>
  <si>
    <t>motivação empreendedorismo renda</t>
  </si>
  <si>
    <t>infoprodutos marketingdigital empreendedorismo afiliados vendasonline produtosdigitais rendaextra homeoffice</t>
  </si>
  <si>
    <t>meta o villavicencio foco n colombia a bogota metaverse medellin cali nft barranquilla objetivo cartagena instagram cucuta santamarta pereira facebook yopal sucesso casanare empreendedorismo</t>
  </si>
  <si>
    <t>valorespessoais empreendedorismo</t>
  </si>
  <si>
    <t>insights empreendedorismo</t>
  </si>
  <si>
    <t>empreendedorismo markzuckerberg</t>
  </si>
  <si>
    <t>negócios mei empreendedor sigamais</t>
  </si>
  <si>
    <t>internet tecnologia comunicação brasil inovação marketing publicidade marketingdigital technology propaganda empreendedorismo design informatica</t>
  </si>
  <si>
    <t>menosimpostos empreendedorismo</t>
  </si>
  <si>
    <t>culinaria novidade inovador ovo cozinha chef restaurante patente empreendedorismo empreenda empreender</t>
  </si>
  <si>
    <t>automação nocode empreendedorismo negocios</t>
  </si>
  <si>
    <t>startup empreendedorismo</t>
  </si>
  <si>
    <t>programacentelha inovação empreendedorismo programacentelharj</t>
  </si>
  <si>
    <t>empreendedor inovação</t>
  </si>
  <si>
    <t>mulheresinovadoras startups empreendedorismo</t>
  </si>
  <si>
    <t>emprendedor empreendedorismo negocios negociosx</t>
  </si>
  <si>
    <t>negocios marketing empreendedorismo</t>
  </si>
  <si>
    <t>donodemarca mei empreendedorismo</t>
  </si>
  <si>
    <t>empreendedorismo negócios sucessoempresarial startup gestãoempresarial empreender planodenegócios empreendedor pequenasempresas empreendedorismodigital negóciopróprio empreendedorismobrasil estratégiasdenegócios</t>
  </si>
  <si>
    <t>famalicão empreendedorismo rtpnotícias rtp</t>
  </si>
  <si>
    <t>empreendedorismo empreendedorismodigital atitudequerealiza marketingdigital hotmart kiwify</t>
  </si>
  <si>
    <t>atitudequerealiza empreendedorismo empreendedorismodigital hotmart kiwify marketingdigital liderançadeexcelênciaem10passos</t>
  </si>
  <si>
    <t>betacodex descentralização empreendedorismo</t>
  </si>
  <si>
    <t>b2hmarketing agenciademarketing publicidade redacaopublicitaria marketingdigital marcas empreendedorismo estratégia instagrammarketing maceioalagoas marketingdigital marketingestratégico negocios</t>
  </si>
  <si>
    <t>b2hmarketing agenciademarketing publicidade redacaopublicitaria marketingdigital empreendedorismo estratégia instagrammarketing maceioalagoas marketingdigital marketingestratégico</t>
  </si>
  <si>
    <t>marketingdigital marketingonline branding empreendedorismo</t>
  </si>
  <si>
    <t>canalempreender sebrae empreendedorismo negócios estratégias</t>
  </si>
  <si>
    <t>empreendedorismo bancodamulher tnonline</t>
  </si>
  <si>
    <t>prefcg campograndems empregoerenda empreendedorismo capitaldasoportunidades</t>
  </si>
  <si>
    <t>marketingdigital empreendedor</t>
  </si>
  <si>
    <t>empreendedorismo carreira transformação</t>
  </si>
  <si>
    <t>angola luanda cazenga viana empreendedor formação educação competências habilidades</t>
  </si>
  <si>
    <t>imigranteempreendedor empreendedorismo brasileironocanada empreendedorbrasileiro</t>
  </si>
  <si>
    <t>diadapizza empreendedorismo inovação personalização criatividade pizzaeempreendedorismo negócios pizzaday luisnamura</t>
  </si>
  <si>
    <t>receitarecorrente cérebrodonamura empreendedorismo podcastsobreempreendedorismo luisnamura</t>
  </si>
  <si>
    <t>inteligência perseverança cérebrodonamura empreendedorismo empreendedor marketing marketingdigital podcast podcastsobreempreendedorismo luisnamura</t>
  </si>
  <si>
    <t>negociação comonegociar cérebrodonamura empreendedorismo empreendedor marketing marketingdigital podcast luisnamura</t>
  </si>
  <si>
    <t>diadodocumentárionacional xuxaodocumentário empreendedorismo luisnamura</t>
  </si>
  <si>
    <t>diadocliente cliente empreendedorismo comoempreender negóciodesucesso luisnamura</t>
  </si>
  <si>
    <t>criciuma empreendedorismo negócios sucesso empreender inovação startups estratégia gestão liderança oportunidades</t>
  </si>
  <si>
    <t>anapolis empreendedorismo feira industria comercio servicos acia aciaanapolis</t>
  </si>
  <si>
    <t>investimento podcast startups investimento tecnologia empreendedorismo</t>
  </si>
  <si>
    <t>empreendedorismo gestãodepessoas dinheiro negócios sucesso marketing</t>
  </si>
  <si>
    <t>desenvolvimento conexões acirs empreendedorismo altovale sc</t>
  </si>
  <si>
    <t>niavi acirs acate ti tecnologia inovacao desenvolvimento empreendedorismo associativismo</t>
  </si>
  <si>
    <t>niavi acirs acate ti tecnologia desenvolvimento empreendedorismo associativismo</t>
  </si>
  <si>
    <t>junior empreendedor empresario</t>
  </si>
  <si>
    <t>ia inovação empreendedorismo</t>
  </si>
  <si>
    <t>marketingelevationsummit marketing empreendedorismo</t>
  </si>
  <si>
    <t>sigaoprotocolo protocolodesegurança segurança empreendedorismo</t>
  </si>
  <si>
    <t>empreendedorismo motivação</t>
  </si>
  <si>
    <t>empreendedorismo celebresuasconquistas</t>
  </si>
  <si>
    <t>jornaldaki cultura cidade rj diversidade cidadania empreendedorismo</t>
  </si>
  <si>
    <t>jornaldaki tendênciasedebates bolsadenegócios empreendedorismo feminismo rosanamelo</t>
  </si>
  <si>
    <t>jornaldaki tendênciasedebates bolsadenegócios empreendedorismo feminismo patríciamattos</t>
  </si>
  <si>
    <t>digitalmarketing bhfyp tiktok business entrepreneur success smallbusiness money marketing graphicdesign brand branding facebook digital marketingdigital socialmedia entrepreneurship empreendedorismo startup</t>
  </si>
  <si>
    <t>digitalmarketing bhfyp tiktok business entrepreneur success smallbusiness money marketing graphicdesign brand branding facebook digital marketingdigital socialmedia entrepreneurship empreendedorismo</t>
  </si>
  <si>
    <t>marketing seo vendas negocios empreendedor empreendedorismo</t>
  </si>
  <si>
    <t>falajoaobranco marketing vendas gestão empreendedor negocios business</t>
  </si>
  <si>
    <t>empreendedorismo automatização</t>
  </si>
  <si>
    <t>empreendedorismo podcast empreender</t>
  </si>
  <si>
    <t>spiderman empreendedorismo tecnologia amor tbt aula curso ebook homem mulher amor sucesso mais vendido servico trabalhae viralvideo</t>
  </si>
  <si>
    <t>sebraece empreendedorismo redessociais</t>
  </si>
  <si>
    <t>empreendedorismo dicasdenegócios marketingdigital</t>
  </si>
  <si>
    <t>biblia bibliasagrada empreendedorismo</t>
  </si>
  <si>
    <t>apareçanogoogle resultadosdebusca sucessodigital compartilheconhecimento empreendedorismo marketingdigital especialistasemseo</t>
  </si>
  <si>
    <t>informaçõesprecisas empreendedorismo visãocompleta crescimento compartilhesucesso juntossomosmaisfortes empreender transformaçãodigital estratégiasvencedoras</t>
  </si>
  <si>
    <t>estratégiasdesucesso sucessonosnegócios compartilheasabedoria empreendedorismo visibilidadenogoogle apareçaparaseusclientes alcanceseupúblicoalvo</t>
  </si>
  <si>
    <t>referêncianacidade líderdemercado destaqueprofissional marketingdigital presençaonline sucessonosnegócios empreendedorismo inspiração comunidadedesucesso</t>
  </si>
  <si>
    <t>visibilidade sucessoonline empreendedorismo compartilheconhecimento marketingdigital estratégiasdesucesso apareçanotopo conquisteseuespaço alcanceseusobjetivos transformeseunegócio</t>
  </si>
  <si>
    <t>visibilidade faciliteocontato sucessodigital empreendedorismo apareçanogoogle transformeseunegócio alcanceseupúblico compartilheasabedoria estratégiadigital marketingonline</t>
  </si>
  <si>
    <t>resultados sucessodocliente crescimentogenuíno parceirosdenegócio compromissocomresultados empreendedorismo alcanceseusobjetivos transformeseunegócio sucessonosnegócios</t>
  </si>
  <si>
    <t>negócio empreendedorismo visibilidade sucesso</t>
  </si>
  <si>
    <t>negocios aceleradora maceio empreendedorismo n3</t>
  </si>
  <si>
    <t>negocios empreendedorismo aceleradora maceio coworking escoladeempreendedores</t>
  </si>
  <si>
    <t>erikpenna motivação treinamento liderança atendimentomagico empreendedorismo</t>
  </si>
  <si>
    <t>erikpenna motivação treinamento liderança atendimentomagico empreendedorismo sucesso carreira brasil</t>
  </si>
  <si>
    <t>encantar vendas motivação resultados empreendedorismo erikpenna palestrante</t>
  </si>
  <si>
    <t>propósitos objetivo marca registro empreendedor autônomo persevera embreve evovend você</t>
  </si>
  <si>
    <t>marca empreendedor autônomo autonomos evovend logo logotipo logomarcas objetivos propós</t>
  </si>
  <si>
    <t>desenvolvimento empreendedorismo</t>
  </si>
  <si>
    <t>bconnect empreendedorismo odronedoagro franchising agroatlasbrasil</t>
  </si>
  <si>
    <t>fotocópias empresa empreendedor lucianocopias impressão</t>
  </si>
  <si>
    <t>projetos negocios empreendedorismo</t>
  </si>
  <si>
    <t>empreender empreendedorismo sucesso marketingdigital marketing empreendedor foco motivação empreendedorismodigital dinheiro negocios empreendertransforma business liderança vendas coaching oportunidade geracaodevalor motivacao empreendedores mindset</t>
  </si>
  <si>
    <t>cloud cursosgratuitos empreendedorismo marketingdigital programacao tecnologia</t>
  </si>
  <si>
    <t>business cursosgratuitos empreendedorismo inteligenciaartificial projetos tecnologia</t>
  </si>
  <si>
    <t>cursosgratuitos empreendedorismo empresas inteligenciaartificial startups tecnologia</t>
  </si>
  <si>
    <t>cursosgratuitos empreendedorismo empregabilidade empresas gestao lgpd marketing marketingdigital segurançadigital tecnologia</t>
  </si>
  <si>
    <t>cursosgratuitos empreendedorismo marketing marketingdigital tecnologia</t>
  </si>
  <si>
    <t>cursosgratuitos empreendedorismo empresas marketing marketingdigital tecnologia</t>
  </si>
  <si>
    <t>cursosgratuitos empreendedorismo</t>
  </si>
  <si>
    <t>cursosgratuitos empreendedorismo empresas</t>
  </si>
  <si>
    <t>simplesassim empreendedorismo</t>
  </si>
  <si>
    <t>3setor terceirosetor economia economiacriativa economiacircular economiasolidaria inovacao empreendedorismo</t>
  </si>
  <si>
    <t>ctcv empreendedorismo tourismcolab lufapohub</t>
  </si>
  <si>
    <t>sebrae goias empreendedorismo</t>
  </si>
  <si>
    <t>empreendedorismo expopeças mecânica sebrae expopeças</t>
  </si>
  <si>
    <t>lula anuncia criacao ministerio empreendedorismo empregos economia</t>
  </si>
  <si>
    <t>institutoilan ilan ilaninstituto empreendedorismo empreendedor araçatuba aracatuba sucesso</t>
  </si>
  <si>
    <t>empreendedorismo novasempresas mdic</t>
  </si>
  <si>
    <t>transformarjuntos sebrae mdic desenvolvimentosustentável pequenosnegócios brasil empreendedorismo</t>
  </si>
  <si>
    <t>seligaempreendedor dimp empreendedor simãodias simaodias lagarto poçoverde paripiranga reels empresas dicas fiqueatento empresarios empresario contabilidade</t>
  </si>
  <si>
    <t>seligaempreendedor dmip empreendedor simãodias simaodias lagarto poçoverde paripiranga reels empresas dicas fiqueatento</t>
  </si>
  <si>
    <t>seligaempreendedor simãodias simaodias reels empreendedor empreendedores empresas dicas empresarios assuntosdomomento paripiranga</t>
  </si>
  <si>
    <t>seligaempreendedor score empreendedor simãodias simaodias lagarto poçoverde paripiranga reels empresas dicas fiqueatento aumentarscore empresas empresarios empreendedores</t>
  </si>
  <si>
    <t>empresas empreendedor empreendedorismo acai</t>
  </si>
  <si>
    <t>sebraepi empreendedorismo</t>
  </si>
  <si>
    <t>cursogratuito sebrae empreendedorismo</t>
  </si>
  <si>
    <t>sebraepiauí empreendedor</t>
  </si>
  <si>
    <t>proddigitalnegocios empreendedorismo empreender empreendedor negocios</t>
  </si>
  <si>
    <t>revistagc revista_gc sobratema projeto aceleração ecossistema inovação empreendedorismo apoio financeiro parquestecnológicos finep</t>
  </si>
  <si>
    <t>hablandocomoloslocos economia negocios empreendedorismo emprendedores venezuela politics</t>
  </si>
  <si>
    <t>empreendedor decorador sonhador</t>
  </si>
  <si>
    <t>franquia empreendedorismo oportunidade sobrancelhasdesign sd</t>
  </si>
  <si>
    <t>diplomaciabusiness diplomacia brasil relaçõesinternacionais relaçõesexteriores geraldoalckmin empreendedorismo</t>
  </si>
  <si>
    <t>empreendedorismo pixtv pixnasredes garopaba acigday</t>
  </si>
  <si>
    <t>empreendedorismo pixtv pixnasredes conectamais santacatarina</t>
  </si>
  <si>
    <t>empreendedorismo pixtv pixnasredes brasil rededelavanderias 5àsec</t>
  </si>
  <si>
    <t>trabalhoduro empreendedorismo</t>
  </si>
  <si>
    <t>motivacional ficaadica tecnologia motivação sucesso empreendedorismo determinação motivation</t>
  </si>
  <si>
    <t>viravirtual servicosdigitais empreendedorismo microempreendedor criadordesites seo assistenciaonline redessociales</t>
  </si>
  <si>
    <t>empreendedorismo feminino moita</t>
  </si>
  <si>
    <t>empreendedor copy</t>
  </si>
  <si>
    <t>multinivel networkmarketing mmn empreendedorismo negocios marketingmultinivel marketingderede liderazgo vel mlm marketingdigital networker business o marketing empreender a emprende marketingderelacionamento emprendedores sucesso libertadfinanciera renda</t>
  </si>
  <si>
    <t>empreendedorismo negocio coluna</t>
  </si>
  <si>
    <t>agerio credito empreendedorismo turismo fungetur bares restaurantes</t>
  </si>
  <si>
    <t>cursoonline narrativa comunicacao empreendedorismo</t>
  </si>
  <si>
    <t>curso macrotendência tendencia empreendedorismo</t>
  </si>
  <si>
    <t>cursosonline upcycling moda empreendedorismo</t>
  </si>
  <si>
    <t>cursosonline arte customizacao empreendedorismo</t>
  </si>
  <si>
    <t>empreendedorismo indigenas parentasquefazem</t>
  </si>
  <si>
    <t>feiradafas sustentabilidade empreendedorismo</t>
  </si>
  <si>
    <t>empreendedorismo responsabilidade responsabilidadesocial ecosystem yes yestechnology</t>
  </si>
  <si>
    <t>vagasribeiraopreto empregosribeiraopreto cursosgratuitos empreendedorismo concursopublico ismaelcolosi</t>
  </si>
  <si>
    <t>vagasribeiraopreto empregosribeiraopreto cursosgratuitos empreendedorismo concursopublico ismaelcolosi nos</t>
  </si>
  <si>
    <t>empreendedor neoliberalismo</t>
  </si>
  <si>
    <t>protecao empreendedorismo startup</t>
  </si>
  <si>
    <t>decisões destino motivacao empreendedorismo riqueza</t>
  </si>
  <si>
    <t>cdlconexões rodadadenegócios network empreendedorismo cdlblumenau mesorregional informação</t>
  </si>
  <si>
    <t>bancadapsdbrs psdb emprego empreendedorismo</t>
  </si>
  <si>
    <t>branding marca marketing business empreendedorismo instagood aviacao megatic</t>
  </si>
  <si>
    <t>musica esportes empreendedorismo autodesenvolvimento autoconhecimento spfc</t>
  </si>
  <si>
    <t>justiçatrabalhista padraojuridico tst informação direitostrabalhistas empreendedorismo trabalho direitotrabalhista justiça empregado clt uber aplicativo motorista</t>
  </si>
  <si>
    <t>justiçatrabalhista padraojuridico tst informação direitostrabalhistas empreendedorismo trabalho direitotrabalhista justiça empregado clt</t>
  </si>
  <si>
    <t>vidademei empreendedor correria</t>
  </si>
  <si>
    <t>noticias noticiasem1minuto brasil economia empreendedorismo analisedemercado investimentosfinanceiros startups inovação</t>
  </si>
  <si>
    <t>mei microempreendedor microempreendedorindividual microempresario empreendedorismo simplesnacional vidatributária receitafederal</t>
  </si>
  <si>
    <t>coworking inovacao empreendedorismo ti tech dev thedevlife freelancer</t>
  </si>
  <si>
    <t>life lifestyle thedevlife workanywhere dev code apple business empreendedorismo</t>
  </si>
  <si>
    <t>mentoria gestaoestrategica empreendedorismo</t>
  </si>
  <si>
    <t>empreendedorismo gestaoestrategica</t>
  </si>
  <si>
    <t>equilibriomental medicinaintegrativa saudemental empreendedorismo lideresempreendedores gestaodepessoas</t>
  </si>
  <si>
    <t>servidor empresa empresas empreendedor empreendedores pme</t>
  </si>
  <si>
    <t>empresa empresas opensource webbased empreendedor empreendedorismo valeapenaler</t>
  </si>
  <si>
    <t>ndp netodepaula enekapital empreendedorismo</t>
  </si>
  <si>
    <t>saladoempreendedor empresas empreendedorismo bentogonçalves serranossa</t>
  </si>
  <si>
    <t>empreendedorismo marketingdigital marketingdeafiliados comoganhardinheiro networkmarketing ganhardinherioonline marketingdigital2023</t>
  </si>
  <si>
    <t>empreendedorismo designer programação negocios empresa empresario</t>
  </si>
  <si>
    <t>empreendedorismo empresas contabilidade</t>
  </si>
  <si>
    <t>empreendedorismo agilidade sucesso</t>
  </si>
  <si>
    <t>empreendedorismo persistência</t>
  </si>
  <si>
    <t>conecta conectastartupbrasil startups empreendedorismo empresas mcti abdi softex cnpq startup</t>
  </si>
  <si>
    <t>tweeter snow lacasadelosfamosomx empreendedorismo mentoria crescimento</t>
  </si>
  <si>
    <t>administração empreendedorismo processosgerenciais cefet gestãoempresarial</t>
  </si>
  <si>
    <t>podcastmanaus empreendedorismo alegriacontagiante inspiração pimentasregionais</t>
  </si>
  <si>
    <t>sccsbt scc10 empreendedorismo</t>
  </si>
  <si>
    <t>sccsbt scc10 empreendedorismo brde</t>
  </si>
  <si>
    <t>raiamsantos historiareal historias empreendedorismo sucesso motivacional</t>
  </si>
  <si>
    <t>empatia empreendedor empreendedorismo empreendedorismoeinovação empreendedorismofeminino empreendedorismos</t>
  </si>
  <si>
    <t>dpoc ebramec economia eletros emagrecer empreendedorismo empreendedorismofeminino empresa empresas endomarketing energia energiasolar</t>
  </si>
  <si>
    <t>embrapa embudasartes empatia empreendedor empreendedorismo empreendedorismoeinovação empreendedorismofeminino</t>
  </si>
  <si>
    <t>dinheiro empreendedorismo carreira</t>
  </si>
  <si>
    <t>sucesso blackrat joveempreendedor marketingdigital livro empreendedorismo</t>
  </si>
  <si>
    <t>empreendedorismo curso</t>
  </si>
  <si>
    <t>mulheres empreendedorismo</t>
  </si>
  <si>
    <t>moginews informacao noticias altotiete empreendedorismo desenvolvesp governosp desenvolvimentosp</t>
  </si>
  <si>
    <t>carreira mudardevida formulanegocioonline marketingdigital marketingdigitalbrasil marketingdigitaliniciantes empreendedor empreendedora</t>
  </si>
  <si>
    <t>carreira mudardevida formulanegocioonline marketingdigital marketingdigitalbrasil marketingdigitaliniciantes empreendedor empreendedora empreendedoras empreendedores empreendedoronline empreendedorismofeminino</t>
  </si>
  <si>
    <t>graça oposto esforço mérito marketingdigital marketingdigitalbrasil empreendedorismo empreender</t>
  </si>
  <si>
    <t>pároco piormaneira naochegar determinadolugar pensar marketingdigital marketingdigitalbrasil empreendedorismo empreender</t>
  </si>
  <si>
    <t>hive venhaparaonovo venhaparaahive carreira mudardevida formulanegocioonline empreendedoresdesucesso empreendedorismo</t>
  </si>
  <si>
    <t>carreira mudardevida formulanegocioonline marketingdigital marketingdigitalbrasil marketingdigitaliniciantes empreendedor</t>
  </si>
  <si>
    <t>habitação presente futuro eterno marketingdigital marketingdigitalbrasil empreendedorismo empreender</t>
  </si>
  <si>
    <t>macons fecharaporta todososerros verdade ficará láfora marketingdigital marketingdigitalbrasil empreendedorismo empreender</t>
  </si>
  <si>
    <t>ibge sevocêdeseja sucesso tireproveito erro marketingdigital marketingdigitalbrasil empreendedorismo empreender</t>
  </si>
  <si>
    <t>tudooquechega chegasempre poralgumarazão razão algumarazão marketingdigital marketingdigitalbrasil empreendedorismo empreender</t>
  </si>
  <si>
    <t>nutricionista hásempre pequenachance impossível marketingdigital marketingdigitalbrasil empreendedorismo empreender</t>
  </si>
  <si>
    <t>hive venhaparaonovo venhaparaahive carreira mudardevida formulanegocioonline marketingdigital empreendedor</t>
  </si>
  <si>
    <t>comunismo barbárie marketingdigital marketingdigitalbrasil empreendedorismo empreender</t>
  </si>
  <si>
    <t>escritor motorista marketingdigital marketingdigitalbrasil empreendedorismo empreender</t>
  </si>
  <si>
    <t>paravencer umavez épreciso tertalento vencernovamente tercaráter marketingdigital marketingdigitalbrasil empreendedorismo empreender</t>
  </si>
  <si>
    <t>começar paredefalar falar fazer começeafazer marketingdigital marketingdigitalbrasil empreendedorismo empreender</t>
  </si>
  <si>
    <t>catequista controleseudestino alguém controlará marketingdigital marketingdigitalbrasil empreendedorismo empreender</t>
  </si>
  <si>
    <t>cardiologista evitar superstições outra superstição marketingdigital marketingdigitalbrasil empreendedorismo empreender</t>
  </si>
  <si>
    <t>passou luzindo resplandecerá parasempre marketingdigital marketingdigitalbrasil empreendedorismo empreender</t>
  </si>
  <si>
    <t>suinocultor nunca sensata decisão causar desespero poisquem bem marketingdigital marketingdigitalbrasil empreendedorismo</t>
  </si>
  <si>
    <t>símbolosnacionais medo pai crença marketingdigital marketingdigitalbrasil empreendedorismo empreender</t>
  </si>
  <si>
    <t>tudo ladobom ladoruim sódependedevc fazeroseu marketingdigital marketingdigitalbrasil empreendedorismo empreender</t>
  </si>
  <si>
    <t>carreira mudardevida formulanegocioonline marketingdigital marketingdigitalbrasil empreendedor</t>
  </si>
  <si>
    <t>homem nuncasabe aquilo tentafazer marketingdigital marketingdigitalbrasil empreendedorismo empreender</t>
  </si>
  <si>
    <t>marketingdigital marketingdigitalbrasil empreendedorismo empreender</t>
  </si>
  <si>
    <t>hive venhaparaonovo venhaparaahive carreira mudardevida marketingdigital empreendedor</t>
  </si>
  <si>
    <t>guardarodoviário determinado nenhumadificuldade pensamentoruim atrapalhará seudia marketingdigital empreendedorismo</t>
  </si>
  <si>
    <t>diadoamigo minhamente chavequemeliberta chave quemeliberta marketingdigital marketingdigitalbrasil empreendedorismo empreender</t>
  </si>
  <si>
    <t>tbt thamarabastossilva realtor cips sistemacofecicreci crecipb imóveis joaopessoaparaiba empreendedorismo mulher inovacao</t>
  </si>
  <si>
    <t>tbt thamarabastossilva imóveis joaopessoaparaiba awesome empreendedorismo empreender mulher inovacao global bussiness</t>
  </si>
  <si>
    <t>thamarabastossilva imóveis joaopessoaparaiba awesome empreendedorismo empreender mulher inovacao globo globalchallenges global bussiness imoveisavenda theworldrealestate theworld imobiliária imobiliarias</t>
  </si>
  <si>
    <t>tbt thamarabastossilva imóveis joaopessoaparaiba empreendedorismo empreender mulher inovacao global bussiness eua</t>
  </si>
  <si>
    <t>tbt thamarabastossilva realtorlife cips imóveis joaopessoaparaiba empreendedorismo empreender mulher inovacao global awe</t>
  </si>
  <si>
    <t>thamarabastossilva realtorlife cips sistemacofecicreci crecipb realtor imóveis joaopessoaparaiba empreendedorismo empreender mulher inovacao globalchallenges global bussiness theworldrealestate theworld imobiliária</t>
  </si>
  <si>
    <t>thamarabastossilva imóveis joaopessoaparaiba awesome empreendedorismo empreender mulher mulherempreendedora inovacao globo globalchallenges global bussiness imoveisavenda theworldrealestate theworld imobiliária</t>
  </si>
  <si>
    <t>tbt thamarabastossilva realtorlife cips crecipb realtor awesome empreendedorismo empreender mulher inovacao global</t>
  </si>
  <si>
    <t>thamarabastossilva realtorlife cips imoveisdeluxo joaopessoaparaiba awesome empreendedorismo empeender mulher mulherempreendedora inovacao global bussiness imoveisavenda theworldrealestate theworld imobiliária</t>
  </si>
  <si>
    <t>tbt thamarabastossilva realtorlife cips realtor imóveis joaopessoaparaiba awesome empreendedorismo empreender mulher awe</t>
  </si>
  <si>
    <t>logosofia tubarão empreendedorismo conhecimento</t>
  </si>
  <si>
    <t>amizade negócioslocais empreendedorismo itapevi compromissocomitapevi vereadoraroldogueiros</t>
  </si>
  <si>
    <t>evento empreendedorismo belemdopara belémnegócios oportunidade</t>
  </si>
  <si>
    <t>negocios belemnegocios empreendedorismo industria</t>
  </si>
  <si>
    <t>evento produtores empresas empreendedorismo regional belemnegocios</t>
  </si>
  <si>
    <t>adrigomezconsul empreendedorismo empresas negocios</t>
  </si>
  <si>
    <t>minutodaliderança liderança gestão autoliderança empreendedorismo riscos</t>
  </si>
  <si>
    <t>minutodaliderança liderança desafio zonadeconforto empreendedorismo negócio sucesso</t>
  </si>
  <si>
    <t>galerapod opodcastdagalera viral empresario trend empreendedor viralreels empresa trending empreendimento</t>
  </si>
  <si>
    <t>facebook digitalmarketer empreendedorismo workfromhome copywriting instagrammarketing digitalagency brand digitalmarketingexpert money</t>
  </si>
  <si>
    <t>tdf sustentabilidade agroecologia empreendedorismo</t>
  </si>
  <si>
    <t>folhageral dicas marketingdigital empreendedor</t>
  </si>
  <si>
    <t>empreendedorismo negocios empresas</t>
  </si>
  <si>
    <t>politica empreendedorismo</t>
  </si>
  <si>
    <t>empreendedorismo economia brasil</t>
  </si>
  <si>
    <t>marketingdigital empreendedorismo conteudodigital trabalharemcasa venda dinheiro</t>
  </si>
  <si>
    <t>negóciosonline sucessodigital multiplicandolucros hotmart marketingdigital empreendedorismo</t>
  </si>
  <si>
    <t>knotify it tecnologia gestão instituiçõesdeensino faturamento empreendedorismo startup kentech</t>
  </si>
  <si>
    <t>knotify gestão instituiçõesdeensino faturamento empreendedorismo kentech</t>
  </si>
  <si>
    <t>businesscoach empreendedorismo estrategia crescimento negocio</t>
  </si>
  <si>
    <t>realidade fato negocios empreendedor fato empresario</t>
  </si>
  <si>
    <t>empreendedorismo aaqq campinas brasil ongs education</t>
  </si>
  <si>
    <t>marketing sebrae empreendedorismo</t>
  </si>
  <si>
    <t>empreendedorismo trabalhadores empreendedores</t>
  </si>
  <si>
    <t>educação empreendedorismo</t>
  </si>
  <si>
    <t>comportamento insistir desistir carreira vida resiliência decisões trabalho projetos empreendedorismo</t>
  </si>
  <si>
    <t>tecnologia inovação empreendedorismo iphone</t>
  </si>
  <si>
    <t>penitenciária sebrae empreendedorismo educação brasil education</t>
  </si>
  <si>
    <t>studiomadehits investidoresdaquebrada tvmadehits jovensinvestidores investidoriniciante empreendedor empresarios oportunidades investirnofuturo empreendimento followers newpodcast</t>
  </si>
  <si>
    <t>studiomadehits empreendedor empresarios oportunidades followers newpodcast podcast visaodecria newpost</t>
  </si>
  <si>
    <t>studiomadehits oportunidades empresarios empreendedor poupardinheiro investidoriniciante investidor quebrada dosquebradas quebradavenceu videos fyp popular likeforlikes podcastlife podcasters</t>
  </si>
  <si>
    <t>studiomadehits investidoresdaquebrada tvmadehits jovensinvestidores investidoriniciante empreendedor empresarios</t>
  </si>
  <si>
    <t>studiomadehits investidoresdaquebrada tvmadehits jovensinvestidores investidor empreendedor</t>
  </si>
  <si>
    <t>studiomadehits empreendedor opções organizacaofinanceira quebradas podcast podcasts podcaster trendingvideo tiktokvideo instavideos viralvideo</t>
  </si>
  <si>
    <t>empreendedor poupardinheiro investidoriniciante opções quebradas dequebrada favela visaodecria podcast podcasts podcaster trendingvideo tiktokvideo instavideos viralvideo views</t>
  </si>
  <si>
    <t>studiomadehits oportunidades empresarios empreendedor poupardinheiro investidor quebrada dosquebradas quebradavenceu videos fyp popular likeforlikes podcastlife podcasters podcastshow</t>
  </si>
  <si>
    <t>studiomadehits investidoresdaquebrada tvmadehits oportunidades empresarios empreendedor poupardinheiro investidoriniciante investidor quebrada dosquebradas quebradavenceu videos fyp popular likeforlikes</t>
  </si>
  <si>
    <t>studiomadehits jovensinvestidores investidoriniciante empreendedor empresarios oportunidades investirnofuturo empreendimento podcast newpost explorepage photooftheday fyp</t>
  </si>
  <si>
    <t>studiomadehits investidoresdaquebrada tvmadehits jovensinvestidores investidoriniciante empreendedor empresarios oportunidades fy</t>
  </si>
  <si>
    <t>escolhasegurança acessoseguro serviçosgovernamentais emissãofácil assinaturadigital certificadodigital serasa pessoajuridica empresas empreendedor</t>
  </si>
  <si>
    <t>acessoseguro serviçosgovernamentais nfe emissãofácil assinaturadigital certificadodigital serasa pessoajuridica empresas empreendedor</t>
  </si>
  <si>
    <t>nfe emissãofácil assinaturadigital certificadodigital serasa pessoajuridica empresas empreendedor</t>
  </si>
  <si>
    <t>certificadodigital empreendedorismo negócios governo serasa</t>
  </si>
  <si>
    <t>escolhasegurança</t>
  </si>
  <si>
    <t>nfe</t>
  </si>
  <si>
    <t>justdoit empreendedorismo primorico mentoria</t>
  </si>
  <si>
    <t>boravender growth growthmentoring mentoria podescalar marketing vendas empreendedorismo crescimentodenegócios transformação sucesso</t>
  </si>
  <si>
    <t>jucepar juntascomerciais decretodobaixorisco economiaparanaense empresasparana empreendedorismo</t>
  </si>
  <si>
    <t>empreendedorismo negocios empreenda empreender lucro</t>
  </si>
  <si>
    <t>empreendedorismo startups times cultura pessoas rh inovacao recrutamento</t>
  </si>
  <si>
    <t>empreendedorismo concorrentes startups estrategia</t>
  </si>
  <si>
    <t>empreendedorismo startups liderança</t>
  </si>
  <si>
    <t>empreendedorismo labecastore fácilnaoe</t>
  </si>
  <si>
    <t>showbusiness empreendedorismo carreira negócios</t>
  </si>
  <si>
    <t>sosempreendedorjp pablomarçal inteligênciaemocional empreendedorismo</t>
  </si>
  <si>
    <t>sosempreendedorjp isabelamatte empreendedorismo forbes</t>
  </si>
  <si>
    <t>sosempreendedorjp empreendedorismo brunonardon g4educação</t>
  </si>
  <si>
    <t>sosempreendedorjp empreendedorismo negócios leonardocastelo</t>
  </si>
  <si>
    <t>liderançaeinovação social esg empreendedorismo</t>
  </si>
  <si>
    <t>jornaldamanhã moda plussize mercado empreendedorismo</t>
  </si>
  <si>
    <t>sociedadedigital empreendedorismo inovação energia</t>
  </si>
  <si>
    <t>defrentecomotouro empreendedorismo live franquias</t>
  </si>
  <si>
    <t>jpbusiness farmaceutica mercadpeuropeu remedio empreendedorismo</t>
  </si>
  <si>
    <t>sociedadedigital inovaçao empreendedorismo brasil</t>
  </si>
  <si>
    <t>sosempreendedorjp empreendedorismo</t>
  </si>
  <si>
    <t>jornaldamanhã empreendedorismo negócios economia</t>
  </si>
  <si>
    <t>sosempreendedorjp fernandoseabra empreendedorismo negócios</t>
  </si>
  <si>
    <t>sosempreendedorjp empreendedorismo negócio economia</t>
  </si>
  <si>
    <t>correiodeminas empreendedorismo cursoprofissionalizante impulsionamento carreira correiodeminasonline</t>
  </si>
  <si>
    <t>correiodeminas centenárioitabirito semanafeira empreendedorismo amirofeira correiodeminas</t>
  </si>
  <si>
    <t>empreendedorismo startups tecnologia economiadigital</t>
  </si>
  <si>
    <t>podcast empreendedor inovação inove empreendedordesucesso inovaçãoconstante reinventese sabedoriaemempreender momentocertodemudar</t>
  </si>
  <si>
    <t>jkconsultoria produtividade gestaodetempo gestaoestrategica dicas dica saopaulo motivação marketing marketingdigital bomdia empreendedorismo gestaodenegocios</t>
  </si>
  <si>
    <t>motivation empreendedorismo</t>
  </si>
  <si>
    <t>marketingpower empreendedorismo kiwify</t>
  </si>
  <si>
    <t>plr kiwify marketingdigital empreendedorismo</t>
  </si>
  <si>
    <t>investment empreendedor</t>
  </si>
  <si>
    <t>pegaavisao empreendedorismo geracaodevalor</t>
  </si>
  <si>
    <t>contabilidade finanças gestãofinanceira empresas empreendedor</t>
  </si>
  <si>
    <t>reformatributaria reformatributaria2023 impostosbrasil empreendedor legislaçãobrasileira contabilidade</t>
  </si>
  <si>
    <t>gestaofinanceira finanças empreendedorismo pequenasempresas organização</t>
  </si>
  <si>
    <t>franquias franquiasbaratas academia artesmarciais abf riseclub risecluboficial risetv business empreendedorismo investidores nordeste recife</t>
  </si>
  <si>
    <t>empreender empreendedorismo networkinghonesto networking</t>
  </si>
  <si>
    <t>direita bolsonarista instagram brazil empreendedorismo movimentoloveisalive</t>
  </si>
  <si>
    <t>brazil empreendedorismo patriota beads beads beads</t>
  </si>
  <si>
    <t>empreendedoras instagram estilosa patriota brazil movimentoloveisalive acessório empreendedora riodejaneiro wednesdayvibes empreendedorismo</t>
  </si>
  <si>
    <t>agenciadepublicidade publicidade brasil propaganda empreendedorismo</t>
  </si>
  <si>
    <t>brasil propaganda empreendedorismo sucesso design instagram empreender branding digitalart</t>
  </si>
  <si>
    <t>curso o cursos cursoonline a n brasil cursosonline online s taller arte aprender empreendedorismo makeup escola formacion as marketingdigital maquiagem marketing educa</t>
  </si>
  <si>
    <t>tecnologia o a n informatica tech smartphone internet brasil software apple inova celulares celular ti android design engenharia empreendedorismo marketing</t>
  </si>
  <si>
    <t>contabilidade contador o empreendedorismo contabil mei empresa empreendedor consultoria impostoderenda empresas contabilidadedigital negocios contadora</t>
  </si>
  <si>
    <t>economiabrasileira empreendedorismo</t>
  </si>
  <si>
    <t>vendasonline vendas empreendedorismo foco markting iphone11</t>
  </si>
  <si>
    <t>empreendedorismo empreender empreendedor empreendedorismodigital marketingdigital negocios startup foco motivação inspiraçao</t>
  </si>
  <si>
    <t>empreendedorismo empreendedor empreendedorismodigital empreender startup negócios marketing vendas sucesso motivação</t>
  </si>
  <si>
    <t>marketing empreendedorismo negocios</t>
  </si>
  <si>
    <t>melgibson empreendedorismo liderança</t>
  </si>
  <si>
    <t>elasexportam mulheres comércioexterior empreendedorismo</t>
  </si>
  <si>
    <t>empreendedorismo paixão realizaçãopessoal</t>
  </si>
  <si>
    <t>inovação esportes tecnologia empreendedorismo</t>
  </si>
  <si>
    <t>networking empreendedorismo empreendedor empreendedores empreendedordesucesso empreendedordevalor entrevistas</t>
  </si>
  <si>
    <t>planetcoworking enderecofiscal cnpj fortaleza coworking vemserplanet empreendedor</t>
  </si>
  <si>
    <t>empreendedorismo feedback vemserplanet coworkingspace coworking</t>
  </si>
  <si>
    <t>motivação empreendedorismo disciplina milionario homemdevalor mulherdevalor objetivo foconoobjetivo foco</t>
  </si>
  <si>
    <t>dinero empreendedorismo</t>
  </si>
  <si>
    <t>empreendedorismo inovacao</t>
  </si>
  <si>
    <t>jornaldeblumenau noticiasdeblumenau sebraedelas empreendedorismo santacatarina</t>
  </si>
  <si>
    <t>jornaldeblumenau sebrae empreendedorismo blumenau santacatarina</t>
  </si>
  <si>
    <t>jornaldeblumenau noticiasdeblumenau pressecomunicação empreendedorismo santacatarina</t>
  </si>
  <si>
    <t>portalchicosabetudo empreendedorismo bahia oport</t>
  </si>
  <si>
    <t>https://ftnt.net/6047POVyc https://ftnt.net/6049POVyl</t>
  </si>
  <si>
    <t>https://gauchazh.clicrbs.com.br/pioneiro/economia/noticia/2023/08/empresa-de-graos-suplementos-e-vitaminas-de-flores-da-cunha-oferece-sistema-de-franquia-cllc3tsqt000k015t1nj7pro4.html https://www.nutsenuts.com.br/</t>
  </si>
  <si>
    <t>http://www.carlossantos.com.br https://instagram.com/stories/carlossantosvencedor/3179485482328056911?igshid=MTVlNTYxMjY2ZQ==</t>
  </si>
  <si>
    <t>http://www.carlossantos.com.br https://www.instagram.com/tv/Cw-cpRpuSmH/?igshid=MTVlNTYxMjY2ZQ==</t>
  </si>
  <si>
    <t>https://bit.ly/35mAKvw https://amzn.to/34i7WVR</t>
  </si>
  <si>
    <t>https://wa.me/message/FA577BSC7TBBD1 http://www.contadorpj.com</t>
  </si>
  <si>
    <t>https://youtu.be/P76yEonD03w https://youtu.be/G-SALwWnpfk</t>
  </si>
  <si>
    <t>http://Systeme.io https://bitcoinecash.blogspot.com/2023/08/systemeio-plataforma-de-marketing.html?m=0</t>
  </si>
  <si>
    <t>https://academiaphdsports.com.br/comunidade-vk/ https://instagram.com/viktorrossa/</t>
  </si>
  <si>
    <t>https://lnkd.in/df-2C_9t https://lnkd.in/dHf_sMyD</t>
  </si>
  <si>
    <t>https://www.youtube.com/live/Lb4-fe3ePyg?si=ttaifaU-0XQxqbXt https://wa.me/551732316976 https://www.novaeraestrategia.com</t>
  </si>
  <si>
    <t>https://youtu.be/zddQ_z9sE5M https://api.whatsapp.com/send?phone=244930823944&amp;text=</t>
  </si>
  <si>
    <t>https://youtu.be/ugxi0Y8RaoE https://api.whatsapp.com/send?phone=244930823944&amp;text=</t>
  </si>
  <si>
    <t>http://Startup.Com http://govWorks.com https://shre.ink/93lG</t>
  </si>
  <si>
    <t>https://linktr.ee/essencialhope https://espiritualhope.com</t>
  </si>
  <si>
    <t>https://espiritualhope.com https://linktr.ee/essencialhope</t>
  </si>
  <si>
    <t>https://lnkd.in/d5CQ_7dA https://lnkd.in/dfW7JRW6</t>
  </si>
  <si>
    <t>Https://elivretek.com</t>
  </si>
  <si>
    <t>https://spoti.fi/3OuxDIp https://youtu.be/_SW_NNvUNJQ https://linktr.ee/pptnaocompila</t>
  </si>
  <si>
    <t>https://guiadeti.com.br/cursos-eu-capacito-google-gratuito/?feed_id=6508&amp;_unique_id=64b2a17ba7289 https://guiadeti.com.br/cursos-eu-capacito-google-gratuito/?feed_id=6508&amp;_unique_id=64b2a17ba7289</t>
  </si>
  <si>
    <t>https://guiadeti.com.br/curso-gratuito-inteligencia-artificial-projetos/?feed_id=6819&amp;_unique_id=64c1c1e9b0402 https://guiadeti.com.br/curso-gratuito-inteligencia-artificial-projetos/?feed_id=6819&amp;_unique_id=64c1c1e9b0402</t>
  </si>
  <si>
    <t>https://guiadeti.com.br/evento-inteligencia-artificial-financas-gratuito/?feed_id=7945&amp;_unique_id=64f15f1236638 https://guiadeti.com.br/evento-inteligencia-artificial-financas-gratuito/?feed_id=7945&amp;_unique_id=64f15f1236638</t>
  </si>
  <si>
    <t>https://guiadeti.com.br/cursos-gestao-de-negocios-gratuitos/?feed_id=8020&amp;_unique_id=64f698a309c00 https://guiadeti.com.br/cursos-gestao-de-negocios-gratuitos/?feed_id=8020&amp;_unique_id=64f698a309c00</t>
  </si>
  <si>
    <t>https://guiadeti.com.br/curso-marketing-digital-gratuito-globo/?feed_id=8472&amp;_unique_id=650a18aa0d557 https://guiadeti.com.br/curso-marketing-digital-gratuito-globo/?feed_id=8472&amp;_unique_id=650a18aa0d557</t>
  </si>
  <si>
    <t>https://guiadeti.com.br/curso-empreendedorismo-digital-gratuito/?feed_id=8504&amp;_unique_id=650a1a03dbccd https://guiadeti.com.br/curso-empreendedorismo-digital-gratuito/?feed_id=8504&amp;_unique_id=650a1a03dbccd</t>
  </si>
  <si>
    <t>https://guiadeti.com.br/curso-gratuito-inteligencia-artificial-carreira/?feed_id=8335&amp;_unique_id=6503a1c43dc27 https://guiadeti.com.br/curso-gratuito-inteligencia-artificial-carreira/?feed_id=8335&amp;_unique_id=6503a1c43dc27</t>
  </si>
  <si>
    <t>https://guiadeti.com.br/curso-gratuito-inteligencia-artificial/?feed_id=7085&amp;_unique_id=64cef1017d682 https://guiadeti.com.br/curso-gratuito-inteligencia-artificial/?feed_id=7085&amp;_unique_id=64cef1017d682</t>
  </si>
  <si>
    <t>https://airtable.com/appDRg1Fwof9aAhrO/shrS2bu6XT5ZPlZzy https://conectastartupbrasil.org.br/</t>
  </si>
  <si>
    <t>youtu.be</t>
  </si>
  <si>
    <t>com.br</t>
  </si>
  <si>
    <t>bit.ly</t>
  </si>
  <si>
    <t>reddit.com</t>
  </si>
  <si>
    <t>cutt.ly</t>
  </si>
  <si>
    <t>linkedin.com</t>
  </si>
  <si>
    <t>wa.me</t>
  </si>
  <si>
    <t>kiwify.app</t>
  </si>
  <si>
    <t>youtube.com</t>
  </si>
  <si>
    <t>aflawgovernancatributaria.com</t>
  </si>
  <si>
    <t>wix.to</t>
  </si>
  <si>
    <t>instagram.com</t>
  </si>
  <si>
    <t>globo.com</t>
  </si>
  <si>
    <t>4et.us</t>
  </si>
  <si>
    <t>facebook.com</t>
  </si>
  <si>
    <t>skeelo.com</t>
  </si>
  <si>
    <t>tinyurl.com</t>
  </si>
  <si>
    <t>glo.bo</t>
  </si>
  <si>
    <t>hotmart.com</t>
  </si>
  <si>
    <t>voxcog.com</t>
  </si>
  <si>
    <t>gov.br</t>
  </si>
  <si>
    <t>correiopopular.news</t>
  </si>
  <si>
    <t>blogspot.com</t>
  </si>
  <si>
    <t>forms.gle</t>
  </si>
  <si>
    <t>mla.bs</t>
  </si>
  <si>
    <t>omie.academy</t>
  </si>
  <si>
    <t>tiktok.com</t>
  </si>
  <si>
    <t>sapo.pt</t>
  </si>
  <si>
    <t>blog.br</t>
  </si>
  <si>
    <t>google.com</t>
  </si>
  <si>
    <t>wordpress.com</t>
  </si>
  <si>
    <t>mystrikingly.com</t>
  </si>
  <si>
    <t>seudinheiro.com</t>
  </si>
  <si>
    <t>recebeaqui.com</t>
  </si>
  <si>
    <t>ftnt.net ftnt.net</t>
  </si>
  <si>
    <t>com.br com.br</t>
  </si>
  <si>
    <t>lnkd.in</t>
  </si>
  <si>
    <t>filomena-silva.pt</t>
  </si>
  <si>
    <t>anoticia.pt</t>
  </si>
  <si>
    <t>aese.pt</t>
  </si>
  <si>
    <t>blogueiroconvidado.com</t>
  </si>
  <si>
    <t>com.br instagram.com</t>
  </si>
  <si>
    <t>carlossantos.com</t>
  </si>
  <si>
    <t>amzn.to</t>
  </si>
  <si>
    <t>negociosemterapia.com</t>
  </si>
  <si>
    <t>perfil.com</t>
  </si>
  <si>
    <t>i3d.me</t>
  </si>
  <si>
    <t>edu.br</t>
  </si>
  <si>
    <t>maissuperior.com</t>
  </si>
  <si>
    <t>hotm.art</t>
  </si>
  <si>
    <t>jornalcidade.net</t>
  </si>
  <si>
    <t>bit.ly amzn.to</t>
  </si>
  <si>
    <t>ufma.br</t>
  </si>
  <si>
    <t>diretogroup.com</t>
  </si>
  <si>
    <t>usp.br</t>
  </si>
  <si>
    <t>santanderx.com</t>
  </si>
  <si>
    <t>fapesp.br</t>
  </si>
  <si>
    <t>buff.ly</t>
  </si>
  <si>
    <t>ecbr.io</t>
  </si>
  <si>
    <t>mwl.press</t>
  </si>
  <si>
    <t>fb.watch</t>
  </si>
  <si>
    <t>top1.pt</t>
  </si>
  <si>
    <t>ift.tt</t>
  </si>
  <si>
    <t>subackup.online</t>
  </si>
  <si>
    <t>dlvr.it</t>
  </si>
  <si>
    <t>onepersonbusiness.pt</t>
  </si>
  <si>
    <t>sinco.net</t>
  </si>
  <si>
    <t>indianitexpert.com</t>
  </si>
  <si>
    <t>bomperfil.com</t>
  </si>
  <si>
    <t>forbespt.com</t>
  </si>
  <si>
    <t>edenred.com</t>
  </si>
  <si>
    <t>wa.me contadorpj.com</t>
  </si>
  <si>
    <t>linkr.bio</t>
  </si>
  <si>
    <t>jornadadeempreendedor.com</t>
  </si>
  <si>
    <t>ufla.br</t>
  </si>
  <si>
    <t>informeblumenau.com</t>
  </si>
  <si>
    <t>migrants-can-patent.eu</t>
  </si>
  <si>
    <t>spreaker.com</t>
  </si>
  <si>
    <t>acontecen.do</t>
  </si>
  <si>
    <t>fi.co</t>
  </si>
  <si>
    <t>l1nq.com</t>
  </si>
  <si>
    <t>oclub.io</t>
  </si>
  <si>
    <t>kli.cx</t>
  </si>
  <si>
    <t>brasil61.com</t>
  </si>
  <si>
    <t>valoramazonico.com</t>
  </si>
  <si>
    <t>abrir.link</t>
  </si>
  <si>
    <t>pronewsai.com</t>
  </si>
  <si>
    <t>sociabble.com</t>
  </si>
  <si>
    <t>catarse.me</t>
  </si>
  <si>
    <t>diariodominho.pt</t>
  </si>
  <si>
    <t>auddas.com</t>
  </si>
  <si>
    <t>org.br</t>
  </si>
  <si>
    <t>mouramarcas.com</t>
  </si>
  <si>
    <t>youtu.be youtu.be</t>
  </si>
  <si>
    <t>whatsapp.com</t>
  </si>
  <si>
    <t>systeme.io blogspot.com</t>
  </si>
  <si>
    <t>futuro.ooo</t>
  </si>
  <si>
    <t>twitter.com</t>
  </si>
  <si>
    <t>jornaldocomercio.com</t>
  </si>
  <si>
    <t>lnkd.in lnkd.in</t>
  </si>
  <si>
    <t>shope.ee</t>
  </si>
  <si>
    <t>l1nk.dev</t>
  </si>
  <si>
    <t>mercadoerotico.org</t>
  </si>
  <si>
    <t>jornalvozdolitoral.com</t>
  </si>
  <si>
    <t>dinheirama.com</t>
  </si>
  <si>
    <t>t.ly</t>
  </si>
  <si>
    <t>tribunahoje.com</t>
  </si>
  <si>
    <t>imcubaangola.com</t>
  </si>
  <si>
    <t>youtube.com wa.me novaeraestrategia.com</t>
  </si>
  <si>
    <t>fanlink.to</t>
  </si>
  <si>
    <t>linktr.ee</t>
  </si>
  <si>
    <t>conta.cc</t>
  </si>
  <si>
    <t>linkbio.co</t>
  </si>
  <si>
    <t>gerador.eu</t>
  </si>
  <si>
    <t>bento.me</t>
  </si>
  <si>
    <t>kpages.online</t>
  </si>
  <si>
    <t>pin.it</t>
  </si>
  <si>
    <t>memeiros.com</t>
  </si>
  <si>
    <t>fasque.in</t>
  </si>
  <si>
    <t>falandotech.com</t>
  </si>
  <si>
    <t>youtu.be whatsapp.com</t>
  </si>
  <si>
    <t>pitch.com</t>
  </si>
  <si>
    <t>gov.pt</t>
  </si>
  <si>
    <t>mackenzie.br</t>
  </si>
  <si>
    <t>shre.ink</t>
  </si>
  <si>
    <t>techgoing.com</t>
  </si>
  <si>
    <t>tribunaonline.net</t>
  </si>
  <si>
    <t>bbc.in</t>
  </si>
  <si>
    <t>eduzz.com</t>
  </si>
  <si>
    <t>udesc.br</t>
  </si>
  <si>
    <t>hubs.li</t>
  </si>
  <si>
    <t>economiasc.com</t>
  </si>
  <si>
    <t>many.news</t>
  </si>
  <si>
    <t>temevento.com</t>
  </si>
  <si>
    <t>grupomarkar-net.com</t>
  </si>
  <si>
    <t>apo-opa.info</t>
  </si>
  <si>
    <t>falabarreiras.com</t>
  </si>
  <si>
    <t>poa.br</t>
  </si>
  <si>
    <t>lobscontabil.com</t>
  </si>
  <si>
    <t>carreiraprofissional.com</t>
  </si>
  <si>
    <t>nicolasworkonline.com</t>
  </si>
  <si>
    <t>frases.win</t>
  </si>
  <si>
    <t>medium.com</t>
  </si>
  <si>
    <t>maiseducativa.com</t>
  </si>
  <si>
    <t>startup.com govworks.com shre.ink</t>
  </si>
  <si>
    <t>x.gd</t>
  </si>
  <si>
    <t>blgs.co</t>
  </si>
  <si>
    <t>doi.org</t>
  </si>
  <si>
    <t>somospinka.com</t>
  </si>
  <si>
    <t>linktr.ee espiritualhope.com</t>
  </si>
  <si>
    <t>espiritualhope.com linktr.ee</t>
  </si>
  <si>
    <t>f2tips.com</t>
  </si>
  <si>
    <t>inventivos.co</t>
  </si>
  <si>
    <t>elivretek.com</t>
  </si>
  <si>
    <t>fastcompanybrasil.com</t>
  </si>
  <si>
    <t>machado.digital</t>
  </si>
  <si>
    <t>pilmoza.digital</t>
  </si>
  <si>
    <t>sincronizze.com</t>
  </si>
  <si>
    <t>premioinovacao.pt</t>
  </si>
  <si>
    <t>linkme.bio</t>
  </si>
  <si>
    <t>bitly.ws</t>
  </si>
  <si>
    <t>accmail.co</t>
  </si>
  <si>
    <t>linklist.bio</t>
  </si>
  <si>
    <t>kambarico.com</t>
  </si>
  <si>
    <t>sebrae.rs</t>
  </si>
  <si>
    <t>anchor.fm</t>
  </si>
  <si>
    <t>sigamais.com</t>
  </si>
  <si>
    <t>office.com</t>
  </si>
  <si>
    <t>ufrn.br</t>
  </si>
  <si>
    <t>rtp.pt</t>
  </si>
  <si>
    <t>spoti.fi youtu.be linktr.ee</t>
  </si>
  <si>
    <t>marketingelevation.org</t>
  </si>
  <si>
    <t>spotify.com</t>
  </si>
  <si>
    <t>ticto.app</t>
  </si>
  <si>
    <t>tourismcolab.pt</t>
  </si>
  <si>
    <t>diplomaciabusiness.com</t>
  </si>
  <si>
    <t>cm-moita.pt</t>
  </si>
  <si>
    <t>diarinho.net</t>
  </si>
  <si>
    <t>fas-amazonia.org</t>
  </si>
  <si>
    <t>jfpolitics.com</t>
  </si>
  <si>
    <t>boqnews.com</t>
  </si>
  <si>
    <t>inovatechy.com</t>
  </si>
  <si>
    <t>airtable.com org.br</t>
  </si>
  <si>
    <t>portalscc10.com</t>
  </si>
  <si>
    <t>wapsicanalisando.com</t>
  </si>
  <si>
    <t>clinicawashingtonamancio.com</t>
  </si>
  <si>
    <t>belemnegocios.com</t>
  </si>
  <si>
    <t>folhageral.com</t>
  </si>
  <si>
    <t>wp.me</t>
  </si>
  <si>
    <t>lide.me</t>
  </si>
  <si>
    <t>smh.re</t>
  </si>
  <si>
    <t>assimdisseojoao nunih raph4</t>
  </si>
  <si>
    <t>blockchain_rio blockchain_rio</t>
  </si>
  <si>
    <t>midregional rosemodesto</t>
  </si>
  <si>
    <t>inovatechy dell dellnobrasil</t>
  </si>
  <si>
    <t>naah_vasc aguiarthur</t>
  </si>
  <si>
    <t>peqempresas valoreconomico</t>
  </si>
  <si>
    <t>cni_br sebrae</t>
  </si>
  <si>
    <t>ipssetubal eiainnovate</t>
  </si>
  <si>
    <t>unifacol eciocosta</t>
  </si>
  <si>
    <t>usponline fcfusp iq_usp</t>
  </si>
  <si>
    <t>ufscaroficial uporto</t>
  </si>
  <si>
    <t>sebrae sebraeminas governomg agriculturamg emater_minas romeuzema pauloaraujotwt</t>
  </si>
  <si>
    <t>tim descomplica</t>
  </si>
  <si>
    <t>felipeccamarao ilisp_org jucepar2</t>
  </si>
  <si>
    <t>governoma</t>
  </si>
  <si>
    <t>informeblu</t>
  </si>
  <si>
    <t>founderluanda founding</t>
  </si>
  <si>
    <t>geracaodevalor felipe</t>
  </si>
  <si>
    <t>minyeeboy</t>
  </si>
  <si>
    <t>vasco__varela goncalopcruz</t>
  </si>
  <si>
    <t>senadofederal zequinhamarinho</t>
  </si>
  <si>
    <t>wevertonrocha irajasenador</t>
  </si>
  <si>
    <t>gov_mcti finep cnpq_oficial confapbr faperj</t>
  </si>
  <si>
    <t>nanamnese</t>
  </si>
  <si>
    <t>sebraers hcpa_</t>
  </si>
  <si>
    <t>moisesleal youtube</t>
  </si>
  <si>
    <t>linkedin rocketchat hubstaff buffer canva evernote grammarly notionhq</t>
  </si>
  <si>
    <t>farialimaelevat andregaidzinski</t>
  </si>
  <si>
    <t>cienetecgovpb</t>
  </si>
  <si>
    <t>empreendedor enegnt canalmeusucesso sempreendedores fundadorstartup startupmagpt inovacaotecnolo fgvcepi uspinovacao senainacional senaims sistemafiems</t>
  </si>
  <si>
    <t>enegnt empreendedor sempreendedores jornal_empreend empreenderprodu startupmagpt sebrae sebraesp cocacola_br papoempreenda mdemulher onumulheresbr</t>
  </si>
  <si>
    <t>empreendedor enegnt sempreendedores fpecongresso jornal_empreend btgpactual startup_br startupmagpt uspinovacao redeinovacao</t>
  </si>
  <si>
    <t>peqempresas souempresario pegntv unicampoficial empreendedor sempreendedores startupmagpt sebrae sebraesp sebraerj sebraeminas sebraems ucdboficial uniderpoficial</t>
  </si>
  <si>
    <t>empreendedor enegnt sempreendedores sebrae sebraems sistemafiems startupmagpt intartuncp blog_de_ia iartificial_ inovacaotecnolo</t>
  </si>
  <si>
    <t>empreendedor sempreendedores aliancaempreend</t>
  </si>
  <si>
    <t>g1rio angraofficial sebraerj</t>
  </si>
  <si>
    <t>vidasimples cufabrasil siftj_brasil vidasimples sonhadores_dm</t>
  </si>
  <si>
    <t>vidasimples cufabrasil</t>
  </si>
  <si>
    <t>extensaoesag udesc</t>
  </si>
  <si>
    <t>orafaelarruda walassi</t>
  </si>
  <si>
    <t>feriniinsights feriniinsights</t>
  </si>
  <si>
    <t>africa_heroes foundation_ma alibabagroup</t>
  </si>
  <si>
    <t>fraseswinbr geracaodevalor</t>
  </si>
  <si>
    <t>daidson_ isthetito</t>
  </si>
  <si>
    <t>amazonbrasil sebrae</t>
  </si>
  <si>
    <t>expofavelarj expofavelarj expofavela cufa_rio</t>
  </si>
  <si>
    <t>celsoathayde tvglobo expofavelarj</t>
  </si>
  <si>
    <t>cidadedasartes_ expofavelarj</t>
  </si>
  <si>
    <t>implantait pixforce_ agtrace1 autazatech dineramaapp st_one_io</t>
  </si>
  <si>
    <t>mvlemos nubbi</t>
  </si>
  <si>
    <t>sebraepi samiramalho</t>
  </si>
  <si>
    <t>lulaoficial workshopdantas</t>
  </si>
  <si>
    <t>workshopdantas roxmo</t>
  </si>
  <si>
    <t>workshopdantas rmotta2</t>
  </si>
  <si>
    <t>novaempreende soc_ponto_verde</t>
  </si>
  <si>
    <t>lisboaenova euhubin</t>
  </si>
  <si>
    <t>teclabs assembleiago portugalventure</t>
  </si>
  <si>
    <t>gov_mcti faperj fundacaocerti centelhabr botafogo</t>
  </si>
  <si>
    <t>gov_mcti acatesc cresol_coop sofisadireto banrisul</t>
  </si>
  <si>
    <t>centelhabr gov_mcti faperj</t>
  </si>
  <si>
    <t>ufrnbr metropoledigi</t>
  </si>
  <si>
    <t>cufabrasil expofavelarj cidadedasartes_</t>
  </si>
  <si>
    <t>fedecamaras luisvicenteleon vladivillegastv unionradionet</t>
  </si>
  <si>
    <t>ufrgsnoticias unisinos ufrnbr ufmgeducativa marx_brasil rbecampo marxismobr</t>
  </si>
  <si>
    <t>dell dellnobrasil</t>
  </si>
  <si>
    <t>https://t.co/aM1U20So8i https://pbs.twimg.com/ext_tw_video_thumb/1691000246011322368/pu/img/VrsKQxdJ5V8x2wgh.jpg</t>
  </si>
  <si>
    <t>https://t.co/9OO1dKbtMJ https://pbs.twimg.com/ext_tw_video_thumb/1687176875649445888/pu/img/EHLQ6xeo57ybUzPv.jpg</t>
  </si>
  <si>
    <t>https://t.co/31412qbnKN https://pbs.twimg.com/ext_tw_video_thumb/1687080636832522240/pu/img/hMQkI04pPgBqMlpL.jpg</t>
  </si>
  <si>
    <t>https://t.co/o4nnTQ3mhe https://pbs.twimg.com/ext_tw_video_thumb/1687917577261985792/pu/img/eyZWxLF0q1c7OQwV.jpg</t>
  </si>
  <si>
    <t>https://t.co/g1Jj5EEJrU https://pbs.twimg.com/ext_tw_video_thumb/1687867017682886656/pu/img/5HpA2z5eEH8OGNgi.jpg</t>
  </si>
  <si>
    <t>https://t.co/VoAoACPeaz https://pbs.twimg.com/ext_tw_video_thumb/1688715248188919808/pu/img/U4cvrf0qhWMOACs5.jpg</t>
  </si>
  <si>
    <t>https://t.co/s70ANTfeZJ https://pbs.twimg.com/ext_tw_video_thumb/1685368929881825280/pu/img/C5EiifUIBF53EugS.jpg</t>
  </si>
  <si>
    <t>https://t.co/RZrevKdMOa https://pbs.twimg.com/media/F4z2SWkXUAAlI-I.jpg</t>
  </si>
  <si>
    <t>https://t.co/IoYc5ihHin https://pbs.twimg.com/media/F6kA2zlXYAMPMO6.jpg</t>
  </si>
  <si>
    <t>https://t.co/1zopSHElf1 https://pbs.twimg.com/media/F0lwpj7WIAE8Owj.jpg</t>
  </si>
  <si>
    <t>https://t.co/grEoLF9hoQ https://pbs.twimg.com/media/F6U0-RYWEAA6vFW.jpg</t>
  </si>
  <si>
    <t>https://t.co/GNuvLZFXxG https://pbs.twimg.com/media/F0cO9QwWwAA_Y1G.jpg</t>
  </si>
  <si>
    <t>https://t.co/UGkichsmgv https://pbs.twimg.com/ext_tw_video_thumb/1676172809360359424/pu/img/nJi5be5peYo-clps.jpg</t>
  </si>
  <si>
    <t>https://t.co/vst8hHg94N https://pbs.twimg.com/ext_tw_video_thumb/1678352133207228416/pu/img/qiUhMqS93UCRcn7C.jpg</t>
  </si>
  <si>
    <t>https://t.co/eIWWCAEkb6 https://pbs.twimg.com/ext_tw_video_thumb/1681251237268783104/pu/img/NbskC91-CIlv2srM.jpg</t>
  </si>
  <si>
    <t>https://t.co/An9Wb92LgB https://pbs.twimg.com/ext_tw_video_thumb/1679069443526127616/pu/img/Qm2tlOn7WXhv2cfN.jpg</t>
  </si>
  <si>
    <t>https://t.co/70QXIFNJUx https://pbs.twimg.com/ext_tw_video_thumb/1676900067523936257/pu/img/UDJ62fWEBnPmPR1-.jpg</t>
  </si>
  <si>
    <t>https://t.co/738rIgvhAR https://pbs.twimg.com/ext_tw_video_thumb/1680556646387314692/pu/img/JV0UnmbQpbFQ5UDu.jpg</t>
  </si>
  <si>
    <t>https://t.co/21K9h6GwYE https://pbs.twimg.com/ext_tw_video_thumb/1689313394627682309/pu/img/CfqZxjdzbnkdU9ez.jpg</t>
  </si>
  <si>
    <t>https://t.co/8qqC4SJjSR https://pbs.twimg.com/ext_tw_video_thumb/1696538971982209024/pu/img/1uaK01Tdbt0idmE1.jpg</t>
  </si>
  <si>
    <t>https://t.co/OlSL2z2Nwf https://pbs.twimg.com/ext_tw_video_thumb/1697263662027743232/pu/img/GNGDJLptQouRZuoo.jpg</t>
  </si>
  <si>
    <t>https://t.co/qrPMj4YVHC https://pbs.twimg.com/ext_tw_video_thumb/1701975247002423296/pu/img/N8CFwZQPXMOAAagH.jpg</t>
  </si>
  <si>
    <t>https://t.co/L5ypieaMpx https://pbs.twimg.com/ext_tw_video_thumb/1699438569826242560/pu/img/GuPei9Vjyhk_H1H3.jpg</t>
  </si>
  <si>
    <t>https://t.co/K2jdfg1Use https://pbs.twimg.com/ext_tw_video_thumb/1699438200756838400/pu/img/TZHUCmTM0heBwtK1.jpg</t>
  </si>
  <si>
    <t>https://t.co/Rf9IluZ3SA https://pbs.twimg.com/ext_tw_video_thumb/1682406075457208322/pu/img/ufh6XDzopeyxg_bB.jpg</t>
  </si>
  <si>
    <t>https://t.co/QANah6Yffp https://pbs.twimg.com/ext_tw_video_thumb/1705236510834921472/pu/img/hXjcVw7N3KNQn1IY.jpg</t>
  </si>
  <si>
    <t>https://t.co/9OPibLy9ya https://pbs.twimg.com/ext_tw_video_thumb/1707055298328846336/pu/img/4jTMJ0XrH9jp8BDr.jpg</t>
  </si>
  <si>
    <t>https://t.co/nzkEugD7Tm https://pbs.twimg.com/ext_tw_video_thumb/1705045568425177088/pu/img/PBH3237s2F7J3e5a.jpg</t>
  </si>
  <si>
    <t>https://t.co/BAbBgoSrLe https://pbs.twimg.com/media/F4sOQhTWcAAcY6X.jpg</t>
  </si>
  <si>
    <t>https://t.co/agqoFJBcnd https://pbs.twimg.com/media/F03ET2OWcAsDPjW.jpg</t>
  </si>
  <si>
    <t>https://t.co/6qq0XGxIl5 https://pbs.twimg.com/ext_tw_video_thumb/1703813406002683904/pu/img/nc1VbN9N2unwARKO.jpg</t>
  </si>
  <si>
    <t>https://t.co/7oF4ng5rCx https://pbs.twimg.com/media/F1098KJWIAE24s0.jpg</t>
  </si>
  <si>
    <t>https://t.co/BG5cZ4pftB https://pbs.twimg.com/ext_tw_video_thumb/1706113589969313793/pu/img/ZoXQoods14pDq4BU.jpg</t>
  </si>
  <si>
    <t>https://t.co/bIZ9KvDgcN https://pbs.twimg.com/media/F1AZIZzXgAAJv0d.png</t>
  </si>
  <si>
    <t>https://t.co/WlzfUSxaOP https://pbs.twimg.com/ext_tw_video_thumb/1706804253392519168/pu/img/sN79XlGLWljUuU41.jpg</t>
  </si>
  <si>
    <t>https://t.co/38h0ARBi33 https://pbs.twimg.com/ext_tw_video_thumb/1682433400810905627/pu/img/igzEbdXYmvz4m5uv.jpg</t>
  </si>
  <si>
    <t>https://t.co/3wcIySXBfn https://pbs.twimg.com/ext_tw_video_thumb/1682353748322942977/pu/img/ZUw2OCzBTuLyk-qh.jpg</t>
  </si>
  <si>
    <t>https://t.co/Jxjtj3Htdj https://pbs.twimg.com/ext_tw_video_thumb/1683296445674160129/pu/img/fcmrkqbl7wm2k5o1.jpg</t>
  </si>
  <si>
    <t>https://t.co/s1PzLCEFTb https://pbs.twimg.com/ext_tw_video_thumb/1686694442684633088/pu/img/KVcsH6go-e2U-vXk.jpg</t>
  </si>
  <si>
    <t>https://t.co/WeNB2zebFB https://pbs.twimg.com/ext_tw_video_thumb/1686549673555693569/pu/img/pl3WnocESBw1JfZQ.jpg</t>
  </si>
  <si>
    <t>https://t.co/kU0yiGHvRR https://pbs.twimg.com/ext_tw_video_thumb/1693352586936565760/pu/img/5HAaZ9VXfEGvLNdI.jpg</t>
  </si>
  <si>
    <t>https://t.co/hE8Qe57bXD https://pbs.twimg.com/ext_tw_video_thumb/1695576319696740352/pu/img/DGQgiE1KM9ARqFZV.jpg</t>
  </si>
  <si>
    <t>https://t.co/fxAXrObxgk https://pbs.twimg.com/ext_tw_video_thumb/1695275309723996161/pu/img/LhRbkjVh3c4kRRRr.jpg</t>
  </si>
  <si>
    <t>https://t.co/yLayvcO9Cz https://pbs.twimg.com/ext_tw_video_thumb/1695090437638287361/pu/img/1rdOWkzuRfYG1fzE.jpg</t>
  </si>
  <si>
    <t>https://t.co/UTvow3jK24 https://pbs.twimg.com/ext_tw_video_thumb/1690041949795889171/pu/img/jxbNA1ew2kANbGnZ.jpg</t>
  </si>
  <si>
    <t>https://t.co/8yYCu8XfjT https://pbs.twimg.com/ext_tw_video_thumb/1689955991415054336/pu/img/0kAqm5lRrSAyvuQt.jpg</t>
  </si>
  <si>
    <t>https://t.co/NW3UQBBIMZ https://pbs.twimg.com/ext_tw_video_thumb/1689820527957843968/pu/img/CDa_Fd4OjlY2lr3u.jpg</t>
  </si>
  <si>
    <t>https://t.co/WrKDuZQf4K https://t.co/WrKDuZQf4K https://t.co/WrKDuZQf4K https://t.co/WrKDuZQf4K https://pbs.twimg.com/media/F2emepLbsAAvO-y.jpg https://pbs.twimg.com/media/F2emgowaAAAPsXj.jpg https://pbs.twimg.com/media/F2emhwwaoAA_0ta.jpg https://pbs.twimg.com/media/F2emirKaAAEp7q8.jpg</t>
  </si>
  <si>
    <t>https://t.co/HLdNelMiPH https://t.co/HLdNelMiPH https://t.co/HLdNelMiPH https://t.co/HLdNelMiPH https://pbs.twimg.com/media/F3rw0kYWcAAtC9P.jpg https://pbs.twimg.com/media/F3rw0klWIAMh5Uz.jpg https://pbs.twimg.com/media/F3rw0lFW0AACkdS.jpg https://pbs.twimg.com/media/F3rw0mAWwAEPmfl.jpg</t>
  </si>
  <si>
    <t>https://t.co/X5pMmuHceS https://t.co/X5pMmuHceS https://t.co/X5pMmuHceS https://pbs.twimg.com/media/F3qT-5vXoAA2MlL.jpg https://pbs.twimg.com/media/F3qT-5tXkAAWLLi.jpg https://pbs.twimg.com/media/F3qT-6IWQAAWDTr.jpg</t>
  </si>
  <si>
    <t>https://t.co/e7HU3wfRPB https://pbs.twimg.com/media/F2i1qxpXcAM1kWG.jpg</t>
  </si>
  <si>
    <t>https://t.co/jlsahsDOLi https://pbs.twimg.com/ext_tw_video_thumb/1680885255916355584/pu/img/nAO_xKd6w_jKssA7.jpg</t>
  </si>
  <si>
    <t>https://t.co/rsY9fljDSz https://pbs.twimg.com/ext_tw_video_thumb/1680546030620688385/pu/img/qlpaVr06Xb7oC4_Y.jpg</t>
  </si>
  <si>
    <t>https://t.co/FqS8lCtFSA https://pbs.twimg.com/ext_tw_video_thumb/1680180240079810560/pu/img/L1kT_jHxdC7CmAbJ.jpg</t>
  </si>
  <si>
    <t>https://t.co/CgHBG5P3Ub https://pbs.twimg.com/ext_tw_video_thumb/1686722939645796352/pu/img/NaGM3HoQUKRs1Gk1.jpg</t>
  </si>
  <si>
    <t>https://t.co/TKdelKejvW https://pbs.twimg.com/ext_tw_video_thumb/1703069746546012160/pu/img/jlPyaCzbUbMca5on.jpg</t>
  </si>
  <si>
    <t>https://t.co/zX3px4IXJf https://t.co/zX3px4IXJf https://t.co/zX3px4IXJf https://t.co/zX3px4IXJf https://pbs.twimg.com/media/F1V8OS6WABESYXQ.jpg https://pbs.twimg.com/media/F1V8OV1WAAoPxAp.jpg https://pbs.twimg.com/media/F1V8OYcWAAscUO4.jpg https://pbs.twimg.com/media/F1V8HjoWAAQSyZb.jpg</t>
  </si>
  <si>
    <t>https://t.co/rO6IB1pqHf https://pbs.twimg.com/ext_tw_video_thumb/1678514804309254146/pu/img/gkaNRCMe50jL-nXA.jpg</t>
  </si>
  <si>
    <t>https://t.co/BqDiLoxwGj https://pbs.twimg.com/ext_tw_video_thumb/1705661467553402880/pu/img/4kjIgabAEzwmLgDB.jpg</t>
  </si>
  <si>
    <t>https://t.co/u8lk2md26o https://pbs.twimg.com/ext_tw_video_thumb/1681707587815735306/pu/img/x4snORJOXtmaZdB3.jpg</t>
  </si>
  <si>
    <t>https://t.co/aS5qxYXzzb https://pbs.twimg.com/media/F10CgCkXsAElHzG.jpg</t>
  </si>
  <si>
    <t>https://t.co/6G7ujkWbWN https://pbs.twimg.com/media/F5XGaOVXgAAJVZ-.jpg</t>
  </si>
  <si>
    <t>https://t.co/Jdz4ebJl9b https://pbs.twimg.com/ext_tw_video_thumb/1702085990473416704/pu/img/Jmi-aE70Mxer-vZ7.jpg</t>
  </si>
  <si>
    <t>https://t.co/6Iwk0X0ACb https://pbs.twimg.com/ext_tw_video_thumb/1692730162075361280/pu/img/csGMCZ3SelUiaeC5.jpg</t>
  </si>
  <si>
    <t>https://t.co/QUz1gh87Zb https://pbs.twimg.com/ext_tw_video_thumb/1677486749683965952/pu/img/d92mG5Y_PgtvYYq2.jpg</t>
  </si>
  <si>
    <t>https://t.co/pzu30qTZAn https://pbs.twimg.com/media/F08IkxRXsAIOq1M.jpg</t>
  </si>
  <si>
    <t>https://t.co/mv90i0hUlB https://pbs.twimg.com/media/F0sf-eKXoAAw4lf.jpg</t>
  </si>
  <si>
    <t>https://t.co/KnBuoMt4Nd https://pbs.twimg.com/ext_tw_video_thumb/1689744733348802560/pu/img/3_yf6ywyARR2Z3Hq.jpg</t>
  </si>
  <si>
    <t>https://t.co/ulU2il7faR https://pbs.twimg.com/media/F0yNqM9XsAIAVjI.jpg</t>
  </si>
  <si>
    <t>https://t.co/oRCjXruPdO https://pbs.twimg.com/ext_tw_video_thumb/1676232259295141889/pu/img/6kYgFFnfm3xfsmzZ.jpg</t>
  </si>
  <si>
    <t>https://t.co/JSVsLJ3Ibc https://pbs.twimg.com/media/F5rD3QlX0AAaCY2.jpg</t>
  </si>
  <si>
    <t>https://t.co/vclwIxQdqL https://pbs.twimg.com/media/F3Hj9RdXQAENezN.jpg</t>
  </si>
  <si>
    <t>https://t.co/loCWx2Tp1c https://pbs.twimg.com/ext_tw_video_thumb/1689305575341920256/pu/img/JIWdeSn3ZunHbii0.jpg</t>
  </si>
  <si>
    <t>https://t.co/WLfGDdz3fD https://pbs.twimg.com/media/F27-QWPW4AAL6wP.jpg</t>
  </si>
  <si>
    <t>https://t.co/f0sXFs9cdR https://pbs.twimg.com/ext_tw_video_thumb/1688560921990340608/pu/img/wVqL3Y-zAM1MTPxO.jpg</t>
  </si>
  <si>
    <t>https://t.co/qKxoOlBfLz https://pbs.twimg.com/media/F0OKgEYX0AETbHD.jpg</t>
  </si>
  <si>
    <t>https://t.co/3fmjZLu1NR https://pbs.twimg.com/media/F6A8hYxXEAAZr8_.jpg</t>
  </si>
  <si>
    <t>https://t.co/US5RawKBqu https://pbs.twimg.com/media/F4KgYJxXYAA-QaT.jpg</t>
  </si>
  <si>
    <t>https://t.co/iL31CCoMdJ https://pbs.twimg.com/ext_tw_video_thumb/1683840032552157186/pu/img/rX1G-sCk_qyMIGdy.jpg</t>
  </si>
  <si>
    <t>https://t.co/vK5Lsq13Qm https://pbs.twimg.com/media/F0tEHJxWIAcqyHc.jpg</t>
  </si>
  <si>
    <t>https://t.co/iGZ0u90Wgn https://pbs.twimg.com/media/F0n57G-XgAI8lfA.jpg</t>
  </si>
  <si>
    <t>https://t.co/JH2g0zUo6W https://pbs.twimg.com/media/F0hroZiWcAI_Jh3.jpg</t>
  </si>
  <si>
    <t>https://t.co/Za8m5NG8u0 https://pbs.twimg.com/media/F6UQ3QmXQAAyuSM.jpg</t>
  </si>
  <si>
    <t>https://t.co/KZGz4ZTXos https://pbs.twimg.com/media/F5RUQTYWEAEDRFl.jpg</t>
  </si>
  <si>
    <t>https://t.co/ca5axueQTv https://pbs.twimg.com/media/F4paG6LXYAEiyZd.jpg</t>
  </si>
  <si>
    <t>https://t.co/S1hUtsAIhL https://pbs.twimg.com/ext_tw_video_thumb/1691450176995807232/pu/img/lf6rLAUOYLykGsA0.jpg</t>
  </si>
  <si>
    <t>https://t.co/DMRIfksQ7Z https://pbs.twimg.com/media/F1aICkbXsAA50bj.jpg</t>
  </si>
  <si>
    <t>https://t.co/sGunku7PLt https://pbs.twimg.com/media/F1WQbY4WwBAk-00.jpg</t>
  </si>
  <si>
    <t>https://t.co/nI5CyoZBvh https://pbs.twimg.com/ext_tw_video_thumb/1681320910651793409/pu/img/1lHcvkOlsCmCk0dE.jpg</t>
  </si>
  <si>
    <t>https://t.co/1wd84DpZX1 https://pbs.twimg.com/media/F6ZaMVIXIAAzGm5.jpg</t>
  </si>
  <si>
    <t>https://t.co/DbofkzGmhN https://pbs.twimg.com/media/F5iDUBhXIAAhWB8.jpg</t>
  </si>
  <si>
    <t>https://t.co/L5vws3S058 https://pbs.twimg.com/media/F4UzEORXYAE6z2u.jpg</t>
  </si>
  <si>
    <t>https://t.co/zdpNEIMDKS https://pbs.twimg.com/media/F3QkMZsXwAACkoU.jpg</t>
  </si>
  <si>
    <t>https://t.co/syyo7nYxgx https://pbs.twimg.com/media/F6f1dozXwAEPMFC.jpg</t>
  </si>
  <si>
    <t>https://t.co/iRsOap8PDZ https://pbs.twimg.com/media/F5c5SDCXUAA7jye.jpg</t>
  </si>
  <si>
    <t>https://t.co/wetaYyPVEi https://pbs.twimg.com/ext_tw_video_thumb/1687481802607222786/pu/img/AFC79SIqzVb9h3l9.jpg</t>
  </si>
  <si>
    <t>https://t.co/wWeR9JSgCV https://pbs.twimg.com/ext_tw_video_thumb/1687123367675961344/pu/img/pz0KDM6qj5WL3ZcX.jpg</t>
  </si>
  <si>
    <t>https://t.co/yscKiQP7o4 https://pbs.twimg.com/media/F0dmvhvX0AAytvt.jpg</t>
  </si>
  <si>
    <t>https://t.co/buWAOjakmY https://pbs.twimg.com/media/F0YdpO3X0AE1CpD.jpg</t>
  </si>
  <si>
    <t>https://t.co/aqXQn510Pk https://pbs.twimg.com/media/F63rpWXWcAACeVE.jpg</t>
  </si>
  <si>
    <t>https://t.co/j0F1EpEu3s https://pbs.twimg.com/media/F6J9a67WsAEy47F.jpg</t>
  </si>
  <si>
    <t>https://t.co/WO4uk913kd https://pbs.twimg.com/media/F5wlnCqWMAAchrM.jpg</t>
  </si>
  <si>
    <t>https://t.co/gfBuHfUQoq https://pbs.twimg.com/media/F2ZN-6EXAAMXwbY.jpg</t>
  </si>
  <si>
    <t>https://t.co/F1XK701TJd https://pbs.twimg.com/ext_tw_video_thumb/1706688562324766720/pu/img/PcIpz21U7gZkEcG-.jpg</t>
  </si>
  <si>
    <t>https://t.co/OBj5vAJdNH https://pbs.twimg.com/media/F4ujYuYWYAENDw0.jpg</t>
  </si>
  <si>
    <t>https://t.co/RRLIuAEkm6 https://pbs.twimg.com/media/F1pgu1hXwAAJgtc.jpg</t>
  </si>
  <si>
    <t>https://t.co/L1fs476wRS https://pbs.twimg.com/media/F1h1baNakAEpsxr.jpg</t>
  </si>
  <si>
    <t>https://t.co/NaPQKdmfUj https://pbs.twimg.com/media/Fz0pEZ6XgAEHejt.jpg</t>
  </si>
  <si>
    <t>https://t.co/1bwFzonMvb https://pbs.twimg.com/media/Fz0o0cjWAAIv8xl.jpg</t>
  </si>
  <si>
    <t>https://t.co/xScAngsYHt https://pbs.twimg.com/media/Fz0oUwLXoAIrv4s.jpg</t>
  </si>
  <si>
    <t>https://t.co/R6ct5EvF2f https://pbs.twimg.com/ext_tw_video_thumb/1683855028728070145/pu/img/F7XsNaDCsYp7aiwv.jpg</t>
  </si>
  <si>
    <t>https://t.co/V2KIUVyMwv https://pbs.twimg.com/media/F4PTS0oXMAA87xw.jpg</t>
  </si>
  <si>
    <t>https://t.co/VZup5UhJjv https://pbs.twimg.com/media/F4pUwXYWwAISVMX.jpg</t>
  </si>
  <si>
    <t>https://t.co/kMwsQgyYiD https://pbs.twimg.com/media/F1aYJULWAAYTB35.png</t>
  </si>
  <si>
    <t>https://t.co/cKlxZeuYKw https://pbs.twimg.com/media/F48xgaJXUAAVIEK.jpg</t>
  </si>
  <si>
    <t>https://t.co/rMw2HWpBCB https://pbs.twimg.com/media/F5hRjWbXUAAdHeQ.jpg</t>
  </si>
  <si>
    <t>https://t.co/oHZTk9XdgL https://pbs.twimg.com/media/F49nXSRWkAA4NIi.jpg</t>
  </si>
  <si>
    <t>https://t.co/gWuWjvbsnk https://pbs.twimg.com/media/F3Rh9qLWsAAZL0c.png</t>
  </si>
  <si>
    <t>https://t.co/4UM52Zjqne https://pbs.twimg.com/media/F6F1qiAXYAAeHVJ.jpg</t>
  </si>
  <si>
    <t>https://t.co/ZRd7IZm1Ie https://t.co/ZRd7IZm1Ie https://t.co/ZRd7IZm1Ie https://t.co/ZRd7IZm1Ie https://pbs.twimg.com/media/F5M5vIGWsAAJqyc.jpg https://pbs.twimg.com/media/F5M5vI6WcAAovZQ.jpg https://pbs.twimg.com/media/F5M5vJaWYAASAgC.jpg https://pbs.twimg.com/media/F5M5vJ2WwAAX53n.jpg</t>
  </si>
  <si>
    <t>https://t.co/zABnLOR7QT https://t.co/zABnLOR7QT https://t.co/zABnLOR7QT https://t.co/zABnLOR7QT https://pbs.twimg.com/media/F5M5hyiWEAANa7x.jpg https://pbs.twimg.com/media/F5M5hyiXEAA1NCa.jpg https://pbs.twimg.com/media/F5M5hykW0AANwHW.jpg https://pbs.twimg.com/media/F5M5hyoW4AATkLo.jpg</t>
  </si>
  <si>
    <t>https://t.co/v34AuaemDO https://t.co/v34AuaemDO https://t.co/v34AuaemDO https://t.co/v34AuaemDO https://pbs.twimg.com/media/F4Z5zBRX0AAMI0q.jpg https://pbs.twimg.com/media/F4Z5zBwXcAAFrAS.jpg https://pbs.twimg.com/media/F4Z5zCfWUAAAQBX.jpg https://pbs.twimg.com/media/F4Z5zC5XkAAHNqx.jpg</t>
  </si>
  <si>
    <t>https://t.co/qHL7mY9KTl https://t.co/qHL7mY9KTl https://t.co/qHL7mY9KTl https://t.co/qHL7mY9KTl https://pbs.twimg.com/media/F4Z5hmRWYAATW6Z.jpg https://pbs.twimg.com/media/F4Z5hmSWsAArxtb.jpg https://pbs.twimg.com/media/F4Z5hmaXQAAQnQo.jpg https://pbs.twimg.com/media/F4Z5hm2W4AAXcvd.jpg</t>
  </si>
  <si>
    <t>https://t.co/I5dec2GgSz https://pbs.twimg.com/media/F6pkLJUXYAAD5my.png</t>
  </si>
  <si>
    <t>https://t.co/TqworTahbJ https://pbs.twimg.com/media/F6UzAh0XUAA6-A8.jpg</t>
  </si>
  <si>
    <t>https://t.co/JRU0eaqWNA https://pbs.twimg.com/ext_tw_video_thumb/1699546844739563523/pu/img/6uchBhOfXJE06fOA.jpg</t>
  </si>
  <si>
    <t>https://t.co/1Y0ZV9N10r https://t.co/1Y0ZV9N10r https://pbs.twimg.com/media/F5waopNXEAInWN_.jpg https://pbs.twimg.com/media/F5waqMyWoAAdMWb.jpg</t>
  </si>
  <si>
    <t>https://t.co/tlL1bbYSed https://t.co/tlL1bbYSed https://t.co/tlL1bbYSed https://t.co/tlL1bbYSed https://pbs.twimg.com/media/F5WrtDgWAAAKqaU.jpg https://pbs.twimg.com/media/F5WrtDfW8AEdJIc.jpg https://pbs.twimg.com/media/F5WrtDhXgAAXOse.jpg https://pbs.twimg.com/media/F5WrtDdWUAAfR-t.jpg</t>
  </si>
  <si>
    <t>https://t.co/ykWU6n9cq8 https://pbs.twimg.com/ext_tw_video_thumb/1678392814445514754/pu/img/-qZB34EzTPIE_omU.jpg</t>
  </si>
  <si>
    <t>https://t.co/o5UGd6qwMH https://pbs.twimg.com/ext_tw_video_thumb/1686744825414963200/pu/img/qxDHB-0AD_P8L5X4.jpg</t>
  </si>
  <si>
    <t>https://t.co/PvjAL8UoBe https://pbs.twimg.com/ext_tw_video_thumb/1686400694016688128/pu/img/g4DOFp3Zj0tbo4Df.jpg</t>
  </si>
  <si>
    <t>https://t.co/sgrVGbWKEz https://pbs.twimg.com/ext_tw_video_thumb/1686202446933049344/pu/img/w3bYC488-CRKFJO8.jpg</t>
  </si>
  <si>
    <t>https://t.co/HTgKkN1oMB https://pbs.twimg.com/ext_tw_video_thumb/1692005122975440897/pu/img/OXRFPjmBBw9cypSC.jpg</t>
  </si>
  <si>
    <t>https://t.co/kXZVOHdq3L https://pbs.twimg.com/media/F3Nw3H-XQAAW2jf.jpg</t>
  </si>
  <si>
    <t>https://t.co/MKLogWktAB https://pbs.twimg.com/ext_tw_video_thumb/1687270955154870272/pu/img/FRnpW74SfCe5EKkw.jpg</t>
  </si>
  <si>
    <t>https://t.co/pcurJuBDmg https://pbs.twimg.com/ext_tw_video_thumb/1687522141174976521/pu/img/yqf94sCwzgUXk39y.jpg</t>
  </si>
  <si>
    <t>https://t.co/qo8YT3y3tr https://pbs.twimg.com/ext_tw_video_thumb/1680931380090249221/pu/img/dZOSrq3wyodnPE51.jpg</t>
  </si>
  <si>
    <t>https://t.co/fwpn9eVwQm https://pbs.twimg.com/media/F6Tz_1TXMAAwpkD.jpg</t>
  </si>
  <si>
    <t>https://t.co/uf0u1vGM6H https://pbs.twimg.com/media/F0lVGjiWwAIXWQc.jpg</t>
  </si>
  <si>
    <t>https://t.co/hRfegoLViz https://pbs.twimg.com/media/F1Jd33EX0AAtLqN.jpg</t>
  </si>
  <si>
    <t>https://t.co/YLQOS8rgb0 https://pbs.twimg.com/ext_tw_video_thumb/1676344172847013888/pu/img/V2E7oaPK1Z6CVuxR.jpg</t>
  </si>
  <si>
    <t>https://t.co/DtcU9qSfva https://pbs.twimg.com/media/F1-L6ySXgAEEdp9.jpg</t>
  </si>
  <si>
    <t>https://t.co/17BV9PpcEK https://pbs.twimg.com/ext_tw_video_thumb/1675990624795869187/pu/img/_Wqcfw55ZrjXFLqi.jpg</t>
  </si>
  <si>
    <t>https://t.co/XOerfLx4Su https://pbs.twimg.com/ext_tw_video_thumb/1689695616023027712/pu/img/BARe-KmWJqbgvNaQ.jpg</t>
  </si>
  <si>
    <t>https://t.co/FyUQEkslav https://pbs.twimg.com/media/F3haAYDWsAA7lo1.jpg</t>
  </si>
  <si>
    <t>https://t.co/i6p5qR2wI1 https://pbs.twimg.com/media/F4JhVDWW4AAqOLk.jpg</t>
  </si>
  <si>
    <t>https://t.co/4wVcUntZNP https://pbs.twimg.com/ext_tw_video_thumb/1692936542975561728/pu/img/UVsrYyGPhQE4_lOQ.jpg</t>
  </si>
  <si>
    <t>https://t.co/6Kztg48AFh https://pbs.twimg.com/media/F5NIwgcWwAEI9uE.jpg</t>
  </si>
  <si>
    <t>https://t.co/lo4Paxqwmo https://pbs.twimg.com/ext_tw_video_thumb/1682345098007269378/pu/img/N64FCp2s7SLn1wA7.jpg</t>
  </si>
  <si>
    <t>https://t.co/H5VuOIUXPb https://pbs.twimg.com/ext_tw_video_thumb/1682069612840599558/pu/img/Dabo_kHsjMNaq4VF.jpg</t>
  </si>
  <si>
    <t>https://t.co/wxaC3j7Yfw https://pbs.twimg.com/ext_tw_video_thumb/1681982822431555586/pu/img/hwxhD_Srou_D7lxl.jpg</t>
  </si>
  <si>
    <t>https://t.co/8m2H0jA2Lw https://pbs.twimg.com/ext_tw_video_thumb/1679808361083072521/pu/img/kgRV2rQYGvSaY_JG.jpg</t>
  </si>
  <si>
    <t>https://t.co/wwyZohRHv9 https://pbs.twimg.com/ext_tw_video_thumb/1679445839381516288/pu/img/pbRZduJFq2nNay-c.jpg</t>
  </si>
  <si>
    <t>https://t.co/RorSsO2piT https://pbs.twimg.com/ext_tw_video_thumb/1678866503024640001/pu/img/JgJuX2v94NaKIBHV.jpg</t>
  </si>
  <si>
    <t>https://t.co/RcfU9yMWEi https://t.co/RcfU9yMWEi https://t.co/RcfU9yMWEi https://pbs.twimg.com/media/F0xTFrnWAAEW-3n.jpg https://pbs.twimg.com/media/F0xTF3sWYAAXza1.jpg https://pbs.twimg.com/media/F0xTGE-WAAYt4_j.jpg</t>
  </si>
  <si>
    <t>https://t.co/bJZnwg0oLu https://pbs.twimg.com/ext_tw_video_thumb/1676271404877053952/pu/img/gz7HskrkFIF7_sMV.jpg</t>
  </si>
  <si>
    <t>https://t.co/kktUl5qfhA https://t.co/kktUl5qfhA https://t.co/kktUl5qfhA https://pbs.twimg.com/media/F0MBNQIXwAIfZ6u.jpg https://pbs.twimg.com/media/F0MBNhcWcAEM-cH.jpg https://pbs.twimg.com/media/F0MBNumXgAEO1x_.jpg</t>
  </si>
  <si>
    <t>https://t.co/qJWw9zPTRL https://pbs.twimg.com/ext_tw_video_thumb/1684157284652404737/pu/img/WRzRryXt-vYMBUt0.jpg</t>
  </si>
  <si>
    <t>https://t.co/jXqEQeJ9iJ https://pbs.twimg.com/ext_tw_video_thumb/1683519161517973504/pu/img/tauCNH9bVHs21Qm-.jpg</t>
  </si>
  <si>
    <t>https://t.co/ZRtIbTL7Ul https://pbs.twimg.com/ext_tw_video_thumb/1683431963825262593/pu/img/uS2na7TV5lepMQmO.jpg</t>
  </si>
  <si>
    <t>https://t.co/YRectvBlwd https://pbs.twimg.com/ext_tw_video_thumb/1676996180201308175/pu/img/1hP-RZSJAtOOUgrU.jpg</t>
  </si>
  <si>
    <t>https://t.co/42P7OdqFmc https://pbs.twimg.com/ext_tw_video_thumb/1686331165068660736/pu/img/MtdTOoZjYqczV6V8.jpg</t>
  </si>
  <si>
    <t>https://t.co/rvJPf5MwKO https://pbs.twimg.com/ext_tw_video_thumb/1681707224127635457/pu/img/ZDcYsvf9dxImRLRM.jpg</t>
  </si>
  <si>
    <t>https://t.co/B4PldcMwvL https://pbs.twimg.com/ext_tw_video_thumb/1681620415288946690/pu/img/Jq8GzDMoRIm9tEQr.jpg</t>
  </si>
  <si>
    <t>https://t.co/0vyWoSeq1A https://pbs.twimg.com/ext_tw_video_thumb/1681344833825193984/pu/img/QpwbbWIg2o6Z0hkv.jpg</t>
  </si>
  <si>
    <t>https://t.co/IzO9hxDKtp https://t.co/IzO9hxDKtp https://t.co/IzO9hxDKtp https://pbs.twimg.com/media/F1UG5y6X0AI8B9S.jpg https://pbs.twimg.com/media/F1UG6BaXoAEWjEk.jpg https://pbs.twimg.com/media/F1UG6OgXwAAOlmu.jpg</t>
  </si>
  <si>
    <t>https://t.co/lomz9zLXd5 https://pbs.twimg.com/ext_tw_video_thumb/1683939936725082113/pu/img/OiWgxc8O-Tza_8K3.jpg</t>
  </si>
  <si>
    <t>https://t.co/rY1W4uoH84 https://t.co/rY1W4uoH84 https://t.co/rY1W4uoH84 https://pbs.twimg.com/media/F15ZWIAXsAo7xUr.jpg https://pbs.twimg.com/media/F15ZWaHWYAMVtRH.jpg https://pbs.twimg.com/media/F15ZWs4XsAMuEZq.jpg</t>
  </si>
  <si>
    <t>https://t.co/h365LZtgm7 https://pbs.twimg.com/ext_tw_video_thumb/1683794683858747392/pu/img/-VQwiJsNYNtGjvrY.jpg</t>
  </si>
  <si>
    <t>https://t.co/LDn9uN17Fu https://pbs.twimg.com/ext_tw_video_thumb/1678445733400256514/pu/img/GnR_bEmqT8_wC8wI.jpg</t>
  </si>
  <si>
    <t>https://t.co/DtyMb0D4Gm https://pbs.twimg.com/ext_tw_video_thumb/1678358447165677569/pu/img/niBp9g99zgWJpvHK.jpg</t>
  </si>
  <si>
    <t>https://t.co/wmjq3CxJ4D https://pbs.twimg.com/ext_tw_video_thumb/1686073591077486608/pu/img/Gniv6ZResKtrsOWO.jpg</t>
  </si>
  <si>
    <t>https://t.co/1IvqH8CYAp https://pbs.twimg.com/ext_tw_video_thumb/1686055874853322766/pu/img/GfUdjnDHgicQu2ld.jpg</t>
  </si>
  <si>
    <t>https://t.co/VMQd7xXihw https://pbs.twimg.com/ext_tw_video_thumb/1680982448413237253/pu/img/Gd0AGGH93G7UEWmm.jpg</t>
  </si>
  <si>
    <t>https://t.co/8z28YcBqNN https://pbs.twimg.com/ext_tw_video_thumb/1680895175705468929/pu/img/ID5iFDp-mRjb5hfa.jpg</t>
  </si>
  <si>
    <t>https://t.co/hXAqIqA1KV https://pbs.twimg.com/ext_tw_video_thumb/1678720889838350337/pu/img/rispWiiAB9tVznDG.jpg</t>
  </si>
  <si>
    <t>https://t.co/VWxCq5V0Zk https://pbs.twimg.com/ext_tw_video_thumb/1679083695150452736/pu/img/5WR8XZxisW5XbRea.jpg</t>
  </si>
  <si>
    <t>https://t.co/GbW62OA7Ly https://pbs.twimg.com/ext_tw_video_thumb/1676633791371116546/pu/img/D7P1Y_RoyvAblovP.jpg</t>
  </si>
  <si>
    <t>https://t.co/qs7YvY4xQH https://pbs.twimg.com/ext_tw_video_thumb/1676546687186219010/pu/img/y0jutyu1XzAUpFhO.jpg</t>
  </si>
  <si>
    <t>https://t.co/s1dqmUx3iA https://pbs.twimg.com/ext_tw_video_thumb/1677271772440195072/pu/img/pTcpfmPbcFEb6l05.jpg</t>
  </si>
  <si>
    <t>https://t.co/Zi4iNhHqj7 https://pbs.twimg.com/ext_tw_video_thumb/1678385920217628672/pu/img/Iti79vVmrvwrB7cZ.jpg</t>
  </si>
  <si>
    <t>https://t.co/jcmm1o50NW https://pbs.twimg.com/media/F2uS8pDWoAAl6LE.jpg</t>
  </si>
  <si>
    <t>https://t.co/zU26sufs0E https://pbs.twimg.com/media/F2tXhDUXAAkkLa1.jpg</t>
  </si>
  <si>
    <t>https://t.co/6izfOfGa4j https://pbs.twimg.com/amplify_video_thumb/1695806559639797761/img/P-oJ4lZQvzW4HuJz.jpg</t>
  </si>
  <si>
    <t>https://t.co/Lke9dRvJNV https://pbs.twimg.com/amplify_video_thumb/1701238972830416896/img/vKrF6S9tO6-WrxPv.jpg</t>
  </si>
  <si>
    <t>https://t.co/69KoazRyfX https://pbs.twimg.com/ext_tw_video_thumb/1685074305099440129/pu/img/3HuVLWQcTrhTm81B.jpg</t>
  </si>
  <si>
    <t>https://t.co/6qtZ1MCHzr https://pbs.twimg.com/media/F4Jl1rvWsAgzaHc.jpg</t>
  </si>
  <si>
    <t>https://t.co/42wB1clBcQ https://pbs.twimg.com/media/F4i4AYsWYAEcI73.jpg</t>
  </si>
  <si>
    <t>https://t.co/dmj5igg4Bz https://pbs.twimg.com/media/F4duaa6WUAA5Jla.jpg</t>
  </si>
  <si>
    <t>https://t.co/4WjZe4cEMS https://pbs.twimg.com/amplify_video_thumb/1701621703971905537/img/GSDT3qnBbGI5Rugo.jpg</t>
  </si>
  <si>
    <t>https://t.co/TYLTuFUwCT https://pbs.twimg.com/amplify_video_thumb/1701605794272456704/img/0iF3NzOyH3NRr9CB.jpg</t>
  </si>
  <si>
    <t>https://t.co/CABhKX5P7m https://pbs.twimg.com/ext_tw_video_thumb/1694463665603219456/pu/img/Uy3qbRoxcIiV7Ajv.jpg</t>
  </si>
  <si>
    <t>https://t.co/GqkrN65set https://pbs.twimg.com/ext_tw_video_thumb/1694322261287706625/pu/img/ak4O28Xkhkm-_3Qi.jpg</t>
  </si>
  <si>
    <t>https://t.co/wG0Z56DlCw https://pbs.twimg.com/ext_tw_video_thumb/1678902829459689473/pu/img/qLZvZLb6-k6aAKvl.jpg</t>
  </si>
  <si>
    <t>https://t.co/F7TADAe3hl https://pbs.twimg.com/ext_tw_video_thumb/1702436315625615360/pu/img/2tpIpucEoeJeKujJ.jpg</t>
  </si>
  <si>
    <t>https://t.co/6PenqcBQvP https://pbs.twimg.com/ext_tw_video_thumb/1702142474146254848/pu/img/frybHqhNXbeaDmAH.jpg</t>
  </si>
  <si>
    <t>https://t.co/KmFsorX9dg https://pbs.twimg.com/ext_tw_video_thumb/1704991625024344064/pu/img/P61Oqof7DuSj3ekN.jpg</t>
  </si>
  <si>
    <t>https://t.co/Ayxe6VXoUR https://pbs.twimg.com/ext_tw_video_thumb/1704573216369369175/pu/img/2Zal0amut8andH91.jpg</t>
  </si>
  <si>
    <t>https://t.co/iix1LkrBKT https://pbs.twimg.com/ext_tw_video_thumb/1705344544970088448/pu/img/PyKZ9fX3WYlEZjEU.jpg</t>
  </si>
  <si>
    <t>https://t.co/qruXYB34sW https://pbs.twimg.com/ext_tw_video_thumb/1680336249163247619/pu/img/bgsbkQMcYzc9GFE5.jpg</t>
  </si>
  <si>
    <t>https://t.co/4JXTbf3Okc https://pbs.twimg.com/ext_tw_video_thumb/1706347711790788608/pu/img/bTgtZg65dBjAa_Pd.jpg</t>
  </si>
  <si>
    <t>https://t.co/TEZmHryGIY https://pbs.twimg.com/ext_tw_video_thumb/1702778977402617856/pu/img/9fORk63rGRjO8Ydz.jpg</t>
  </si>
  <si>
    <t>https://t.co/3dw820I6Gl https://pbs.twimg.com/ext_tw_video_thumb/1690176470029647872/pu/img/IHgMAtUxT7git3kM.jpg</t>
  </si>
  <si>
    <t>https://t.co/bQ20ShlPfA https://pbs.twimg.com/ext_tw_video_thumb/1678547284785602563/pu/img/bD1tfJidCNdtZBjb.jpg</t>
  </si>
  <si>
    <t>https://t.co/qoxC3Ni79e https://pbs.twimg.com/ext_tw_video_thumb/1702790218212855808/pu/img/kfJaobvnEKOFQKmm.jpg</t>
  </si>
  <si>
    <t>https://t.co/s2qesZ0ssO https://pbs.twimg.com/ext_tw_video_thumb/1704232177414643712/pu/img/-ctl-vuRcGjY9aPX.jpg</t>
  </si>
  <si>
    <t>https://t.co/vYMcbhmtoM https://pbs.twimg.com/media/F7EAaYjWkAEsG3G.jpg</t>
  </si>
  <si>
    <t>https://t.co/W252zk4SeX https://pbs.twimg.com/ext_tw_video_thumb/1682773371174436864/pu/img/b7C6U_d-P02M93Um.jpg</t>
  </si>
  <si>
    <t>https://t.co/SGE00utaeb https://t.co/SGE00utaeb https://t.co/SGE00utaeb https://pbs.twimg.com/media/F0XYg1CaIAIu_1a.jpg https://pbs.twimg.com/media/F0XYg1BaMAEcDEO.jpg https://pbs.twimg.com/media/F0XYg05aEAA_ozL.jpg</t>
  </si>
  <si>
    <t>https://t.co/N7uNQ2IZSn https://pbs.twimg.com/ext_tw_video_thumb/1688560417436508160/pu/img/dHbjcDbWhOGC_k5t.jpg</t>
  </si>
  <si>
    <t>https://t.co/oB82lyx5Te https://pbs.twimg.com/ext_tw_video_thumb/1687481314000195584/pu/img/WvSL3MN2BzudWYO6.jpg</t>
  </si>
  <si>
    <t>https://t.co/8viaANr7T4 https://pbs.twimg.com/media/F09ZBP-X0AAlXBE.jpg</t>
  </si>
  <si>
    <t>https://t.co/G2jT37uMQ9 https://pbs.twimg.com/media/F0gz2qqWYAEXhpI.jpg</t>
  </si>
  <si>
    <t>https://t.co/uwCLN7srhB https://pbs.twimg.com/media/F3krlSQWgAA_b6r.jpg</t>
  </si>
  <si>
    <t>https://t.co/CtkurM2t5m https://pbs.twimg.com/media/F1QcIn3XgAc77YQ.jpg</t>
  </si>
  <si>
    <t>https://t.co/A9kgjyf17b https://t.co/A9kgjyf17b https://t.co/A9kgjyf17b https://pbs.twimg.com/media/F3JXzGrWQAAZQLE.jpg https://pbs.twimg.com/media/F3JX2ApX0AAuK-u.jpg https://pbs.twimg.com/media/F3JX5PXWYAAscuK.jpg</t>
  </si>
  <si>
    <t>https://t.co/HpruJ5oqml https://t.co/HpruJ5oqml https://t.co/HpruJ5oqml https://t.co/HpruJ5oqml https://pbs.twimg.com/media/F6p52QxXkAANj4N.jpg https://pbs.twimg.com/media/F6p52QxXEAAZq4H.jpg https://pbs.twimg.com/media/F6p52QyWEAAH064.jpg https://pbs.twimg.com/media/F6p52QtWsAAbshI.jpg</t>
  </si>
  <si>
    <t>https://t.co/KE5RNZBhzp https://pbs.twimg.com/media/F0Nq_-XWcBsPF-S.jpg</t>
  </si>
  <si>
    <t>https://t.co/GhYoVCi9Zr https://pbs.twimg.com/media/F0cUa5JWAAIq9kl.jpg</t>
  </si>
  <si>
    <t>https://t.co/rxGDuOHFCj https://pbs.twimg.com/media/F0xuJotXwAENkSF.jpg</t>
  </si>
  <si>
    <t>https://t.co/dbIgu3t3qh https://pbs.twimg.com/media/F0xqxg5WcAE8MUC.jpg</t>
  </si>
  <si>
    <t>https://t.co/eeyVUsFn7P https://pbs.twimg.com/media/F0xqxMzWcBcizGW.jpg</t>
  </si>
  <si>
    <t>https://t.co/19WZa9ls4l https://pbs.twimg.com/ext_tw_video_thumb/1678628937390235650/pu/img/VFK-mlqf4gyjH9ti.jpg</t>
  </si>
  <si>
    <t>https://t.co/osF7XbgO5o https://pbs.twimg.com/ext_tw_video_thumb/1676092221865488385/pu/img/n-yvXCa5A5aQtSPb.jpg</t>
  </si>
  <si>
    <t>https://t.co/jLOBlzJOW4 https://pbs.twimg.com/media/F2N-IB0XsAAJjLa.jpg</t>
  </si>
  <si>
    <t>https://t.co/hxj1Xe1ciP https://pbs.twimg.com/media/F4YYHt1WkAEXo5t.jpg</t>
  </si>
  <si>
    <t>https://t.co/n9PLWT0Eas https://pbs.twimg.com/media/F7CLbGzWIAAHqbK.jpg</t>
  </si>
  <si>
    <t>https://t.co/2pJxGYJuDr https://pbs.twimg.com/media/F30EDxqWEAA0oeP.jpg</t>
  </si>
  <si>
    <t>https://t.co/WX7QuoQgNc https://pbs.twimg.com/ext_tw_video_thumb/1676766271709360128/pu/img/940WhvuwpBWRwlP3.jpg</t>
  </si>
  <si>
    <t>https://t.co/tmZMpBVk1j https://pbs.twimg.com/media/F06_tP8aUAMsIzJ.jpg</t>
  </si>
  <si>
    <t>https://t.co/yKx6WPfbue https://pbs.twimg.com/media/F0q9owqWAAAzn98.jpg</t>
  </si>
  <si>
    <t>https://t.co/fcarqbt8ej https://pbs.twimg.com/ext_tw_video_thumb/1686065680045473792/pu/img/E0AvGqdpLhxvFg7j.jpg</t>
  </si>
  <si>
    <t>https://t.co/ianBm8D8sd https://pbs.twimg.com/media/F2XC-CjXMAAU_fv.jpg</t>
  </si>
  <si>
    <t>https://t.co/n7qeYsGOBi https://pbs.twimg.com/media/F4o6e61XYAIxojD.jpg</t>
  </si>
  <si>
    <t>https://t.co/OKwC4zVKkX https://pbs.twimg.com/ext_tw_video_thumb/1696229935164108800/pu/img/JlvXP_BLbAwSIO6e.jpg</t>
  </si>
  <si>
    <t>https://t.co/95CvMOfvCf https://pbs.twimg.com/media/F4o4NK-WAAAmS02.jpg</t>
  </si>
  <si>
    <t>https://t.co/1zkAixk6pE https://pbs.twimg.com/ext_tw_video_thumb/1686374318966710274/pu/img/E9ORDFkKXc1SbXfY.jpg</t>
  </si>
  <si>
    <t>https://t.co/rwctPRxxxI https://pbs.twimg.com/media/F5_9-IfWkAQSKuL.jpg</t>
  </si>
  <si>
    <t>https://t.co/2sKeA8WK1Y https://pbs.twimg.com/ext_tw_video_thumb/1702358129378234369/pu/img/XUCGFoj_SM_dC1L-.jpg</t>
  </si>
  <si>
    <t>https://t.co/jVVMoOXK9o https://pbs.twimg.com/media/F5gVQGrWUAAHumN.jpg</t>
  </si>
  <si>
    <t>https://t.co/7kYHnzvCcv https://pbs.twimg.com/ext_tw_video_thumb/1691893660831358976/pu/img/KJTAOdEBb_Ok5a2D.jpg</t>
  </si>
  <si>
    <t>https://t.co/B2BtEeejRw https://pbs.twimg.com/ext_tw_video_thumb/1702359136711675904/pu/img/wkC9rU-5wLYl57uj.jpg</t>
  </si>
  <si>
    <t>https://t.co/hBEFEPCBeS https://pbs.twimg.com/ext_tw_video_thumb/1702359136720101376/pu/img/vOsb4ElsEbuRwQ2q.jpg</t>
  </si>
  <si>
    <t>https://t.co/0eaV0qqoY7 https://pbs.twimg.com/media/F5_-c-kXQAACqFW.jpg</t>
  </si>
  <si>
    <t>https://t.co/jdrckUIRK7 https://pbs.twimg.com/ext_tw_video_thumb/1706356108783190016/pu/img/dlnIw1p6D_n7jfG8.jpg</t>
  </si>
  <si>
    <t>https://t.co/KwiZlAEL2i https://pbs.twimg.com/ext_tw_video_thumb/1705257544267059204/pu/img/egEA1I8zo2UUmKm3.jpg</t>
  </si>
  <si>
    <t>https://t.co/oWMBusbpXO https://pbs.twimg.com/ext_tw_video_thumb/1704817825045508096/pu/img/pSa03sKFlIGFByM2.jpg</t>
  </si>
  <si>
    <t>https://t.co/eXksHCcFFk https://pbs.twimg.com/ext_tw_video_thumb/1704130030589337600/pu/img/LMBLDAFP-ddlg5cD.jpg</t>
  </si>
  <si>
    <t>https://t.co/x05iNwcJpv https://t.co/x05iNwcJpv https://t.co/x05iNwcJpv https://pbs.twimg.com/media/F4fTFJUW4AAdnsx.jpg https://pbs.twimg.com/media/F4fTFtvWgAAemTD.jpg https://pbs.twimg.com/media/F4fTGLwX0AADl7i.jpg</t>
  </si>
  <si>
    <t>https://t.co/uUT5kkEBYV https://pbs.twimg.com/ext_tw_video_thumb/1684978115188289536/pu/img/Ya53hcSj4YMKLzAO.jpg</t>
  </si>
  <si>
    <t>https://t.co/m5ceaXMReC https://pbs.twimg.com/media/F5V7YRcWMAAIXj0.jpg</t>
  </si>
  <si>
    <t>https://t.co/gDdf66xG3w https://pbs.twimg.com/ext_tw_video_thumb/1707117417745317888/pu/img/di0MlNx1qXJhNbmY.jpg</t>
  </si>
  <si>
    <t>https://t.co/wTRfuyCUpR https://pbs.twimg.com/media/F4FO0_3WEAEYFBG.png</t>
  </si>
  <si>
    <t>https://t.co/ojI6fXMIjJ https://pbs.twimg.com/media/F69fY49WUAAImgL.jpg</t>
  </si>
  <si>
    <t>https://t.co/o0bId2a7mu https://pbs.twimg.com/media/F1KquipWAAAawRX.jpg</t>
  </si>
  <si>
    <t>https://t.co/QQj3VrLI94 https://pbs.twimg.com/ext_tw_video_thumb/1702468883658002432/pu/img/1hd5xCdaf3lgt_M5.jpg</t>
  </si>
  <si>
    <t>https://t.co/G2A1Uu5MwT https://pbs.twimg.com/ext_tw_video_thumb/1680967332112236546/pu/img/xUj4bB71uWxfPpov.jpg</t>
  </si>
  <si>
    <t>https://t.co/PQak5RRTaO https://pbs.twimg.com/ext_tw_video_thumb/1679998666776494080/pu/img/zJ4MSm5NRqeBfSQj.jpg</t>
  </si>
  <si>
    <t>https://t.co/0BhtyjJz25 https://pbs.twimg.com/ext_tw_video_thumb/1689743192382410752/pu/img/gsHI_ViqjUXJFxfv.jpg</t>
  </si>
  <si>
    <t>https://t.co/uTIOXryX9z https://t.co/uTIOXryX9z https://t.co/uTIOXryX9z https://t.co/uTIOXryX9z https://pbs.twimg.com/media/F0SQJCuXsAE4v7H.jpg https://pbs.twimg.com/media/F0SQJCvWIAIZ9tx.jpg https://pbs.twimg.com/media/F0SQJDSWIAI6fD4.jpg https://pbs.twimg.com/media/F0SQJEJWwAACFdk.jpg</t>
  </si>
  <si>
    <t>https://t.co/rjyAbsXi3u https://t.co/rjyAbsXi3u https://pbs.twimg.com/media/F0ckBwVWAAALpej.jpg https://pbs.twimg.com/media/F0ckBwUWYAE64WT.jpg</t>
  </si>
  <si>
    <t>https://t.co/d3ba7BLcJq https://pbs.twimg.com/media/F15PonzWAAA-_Q2.jpg</t>
  </si>
  <si>
    <t>https://t.co/ezwMtC1v7M https://t.co/ezwMtC1v7M https://t.co/ezwMtC1v7M https://t.co/ezwMtC1v7M https://pbs.twimg.com/media/F0sAbqUWAAEjCA3.jpg https://pbs.twimg.com/media/F0sAbqVWYAcPVY1.jpg https://pbs.twimg.com/media/F0sAbqUWYAIf33S.jpg https://pbs.twimg.com/media/F0sAbrLX0AIbyE4.jpg</t>
  </si>
  <si>
    <t>https://t.co/eYA7BDZ7Pt https://t.co/eYA7BDZ7Pt https://pbs.twimg.com/media/F3Q5qccXsAQARdD.jpg https://pbs.twimg.com/media/F3Q5qdTXsA0wnQ1.jpg</t>
  </si>
  <si>
    <t>https://t.co/xZT9tTxBac https://t.co/xZT9tTxBac https://t.co/xZT9tTxBac https://t.co/xZT9tTxBac https://pbs.twimg.com/media/F3MJwPFW4AAguje.jpg https://pbs.twimg.com/media/F3MJwRkXkAEck8T.jpg https://pbs.twimg.com/media/F3MJwRpW0AA8Ydd.jpg https://pbs.twimg.com/media/F3MJwTPXMAAYZBW.jpg</t>
  </si>
  <si>
    <t>https://t.co/gm9trsf5eS https://t.co/gm9trsf5eS https://t.co/gm9trsf5eS https://t.co/gm9trsf5eS https://pbs.twimg.com/media/F0xJNP8WIAE1vfN.jpg https://pbs.twimg.com/media/F0xJNQVX0AA8Rxv.jpg https://pbs.twimg.com/media/F0xJNRxWcAwU5Mq.jpg https://pbs.twimg.com/media/F0xJNTHWAAMNcuP.jpg</t>
  </si>
  <si>
    <t>https://t.co/ss5LsE9QzA https://t.co/ss5LsE9QzA https://pbs.twimg.com/media/F3qdxFnWEAA2RJ8.jpg https://pbs.twimg.com/media/F3qdxGmWsAAjHHb.jpg</t>
  </si>
  <si>
    <t>https://t.co/8tJXs79D1p https://pbs.twimg.com/media/F3uvJdEXMAEtjFB.jpg</t>
  </si>
  <si>
    <t>https://t.co/uRb5WSNfge https://pbs.twimg.com/ext_tw_video_thumb/1699497996935667712/pu/img/NlM8Gtvkg4nr-5Th.jpg</t>
  </si>
  <si>
    <t>https://t.co/Z4685RXKbI https://pbs.twimg.com/ext_tw_video_thumb/1706036067395153920/pu/img/Sx2FPPyVsXfWrIG8.jpg</t>
  </si>
  <si>
    <t>https://t.co/uckXDuO9Lo https://pbs.twimg.com/ext_tw_video_thumb/1706398664573280256/pu/img/CW9ldDzdRiQiLJQb.jpg</t>
  </si>
  <si>
    <t>https://t.co/kaqqsNf4Bq https://pbs.twimg.com/ext_tw_video_thumb/1705296157960724481/pu/img/o_BCXXoeERZFqBu_.jpg</t>
  </si>
  <si>
    <t>https://t.co/77dzeawVMw https://pbs.twimg.com/ext_tw_video_thumb/1707123681443426304/pu/img/cWZCteWW85zV-PP4.jpg</t>
  </si>
  <si>
    <t>https://t.co/mVyfZ16ZnA https://pbs.twimg.com/ext_tw_video_thumb/1705673702589726720/pu/img/6w3TYq0lF6tmiP4B.jpg</t>
  </si>
  <si>
    <t>https://t.co/xe9pEL7Mp3 https://pbs.twimg.com/ext_tw_video_thumb/1699890550483107840/pu/img/tewHOyCy2M-CrMmm.jpg</t>
  </si>
  <si>
    <t>https://t.co/UpOfAOwjRt https://pbs.twimg.com/media/F3CZSGSW8AA9oKp.jpg</t>
  </si>
  <si>
    <t>https://t.co/dLUuPfzKbt https://pbs.twimg.com/ext_tw_video_thumb/1686813481356378114/pu/img/17duoV94tvjzKulP.jpg</t>
  </si>
  <si>
    <t>https://t.co/QSPnyfrWWf https://pbs.twimg.com/media/F5w7rufX0AAVXds.jpg</t>
  </si>
  <si>
    <t>https://t.co/CageOOQGZC https://pbs.twimg.com/media/F6ySbMSXwAAyuj3.jpg</t>
  </si>
  <si>
    <t>https://t.co/ZycXQN7l9E https://pbs.twimg.com/media/F49Zf36X0AAtChK.jpg</t>
  </si>
  <si>
    <t>https://t.co/GdM4bB0Q79 https://pbs.twimg.com/media/F0WhxU1X0AAE1jL.jpg</t>
  </si>
  <si>
    <t>https://t.co/bmp5x4Zkoo https://pbs.twimg.com/ext_tw_video_thumb/1706418189226201089/pu/img/zfkiCEA0s9QmXCow.jpg</t>
  </si>
  <si>
    <t>https://t.co/1aCSBivNUA https://pbs.twimg.com/ext_tw_video_thumb/1686729692617818114/pu/img/7XNL5nA1YP02pldy.jpg</t>
  </si>
  <si>
    <t>https://t.co/44YvoGKmBr https://t.co/44YvoGKmBr https://pbs.twimg.com/media/F0W7r-0aQAEovrR.jpg https://pbs.twimg.com/media/F0W7wNSakAEFcSG.png</t>
  </si>
  <si>
    <t>https://t.co/MarqbyFNri https://pbs.twimg.com/media/F2702JvWwAA2Sua.jpg</t>
  </si>
  <si>
    <t>https://t.co/ONzKu9E0hc https://t.co/ONzKu9E0hc https://t.co/ONzKu9E0hc https://t.co/ONzKu9E0hc https://pbs.twimg.com/media/F2sgJ2hXMAAbquc.jpg https://pbs.twimg.com/media/F2sgK3cWoAAZv9R.jpg https://pbs.twimg.com/media/F2sgMTvWUAASCHg.jpg https://pbs.twimg.com/media/F2sgOFvXIAAzGtl.jpg</t>
  </si>
  <si>
    <t>https://t.co/RdI9nXSa71 https://pbs.twimg.com/ext_tw_video_thumb/1687204494830944256/pu/img/kF0CImcUBavRiCpG.jpg</t>
  </si>
  <si>
    <t>https://t.co/WtJOecYGBG https://pbs.twimg.com/media/F2olAi8WQAA3ed5.jpg</t>
  </si>
  <si>
    <t>https://t.co/ByVFiOw19u https://pbs.twimg.com/media/F2oi80ZXEAEcSiC.jpg</t>
  </si>
  <si>
    <t>https://t.co/kgwhxaQ4ec https://pbs.twimg.com/media/F3ggRv2WMAsm-C4.jpg</t>
  </si>
  <si>
    <t>https://t.co/Pue2Wc5ueP https://t.co/Pue2Wc5ueP https://t.co/Pue2Wc5ueP https://t.co/Pue2Wc5ueP https://pbs.twimg.com/media/F6AxPEdXcAAtu64.jpg https://pbs.twimg.com/media/F6AxQsnXIAAFfOf.jpg https://pbs.twimg.com/media/F6AxW-HXMAEUNEg.jpg https://pbs.twimg.com/media/F6AxYJuWAAA3jB4.jpg</t>
  </si>
  <si>
    <t>https://t.co/w3555cgLwR https://t.co/w3555cgLwR https://t.co/w3555cgLwR https://t.co/w3555cgLwR https://pbs.twimg.com/media/F2tFHyGXUAQw51n.jpg https://pbs.twimg.com/media/F2tFIrFXIAA9jog.jpg https://pbs.twimg.com/media/F2tFJtCXUAIlL_a.jpg https://pbs.twimg.com/media/F2tFKw-W4AAK6Sa.jpg</t>
  </si>
  <si>
    <t>https://t.co/UjRlRE9MXZ https://pbs.twimg.com/ext_tw_video_thumb/1706394465177399296/pu/img/sbpk1Bby4o4RXpUy.jpg</t>
  </si>
  <si>
    <t>https://t.co/9qlcqp7Uwh https://pbs.twimg.com/ext_tw_video_thumb/1676240841415745536/pu/img/Htv89oGNcuezuud5.jpg</t>
  </si>
  <si>
    <t>https://t.co/b1nzOBdGVq https://pbs.twimg.com/media/F0MwyhaWIAA5uEM.jpg</t>
  </si>
  <si>
    <t>https://t.co/U1dQ4uXY1j https://pbs.twimg.com/media/F4UwPRKXwAANbaZ.jpg</t>
  </si>
  <si>
    <t>https://t.co/B7OZmWXkIK https://pbs.twimg.com/media/F5_rDrIa0AAgksv.jpg</t>
  </si>
  <si>
    <t>https://t.co/3xeO75LqQ0 https://pbs.twimg.com/media/F5wrf3lXMAE_d86.jpg</t>
  </si>
  <si>
    <t>https://t.co/RKwaWnAxP2 https://pbs.twimg.com/media/F4jq-X3WkAEzDi6.jpg</t>
  </si>
  <si>
    <t>https://t.co/Uk88Mdbv08 https://pbs.twimg.com/tweet_video_thumb/F5RrHx7XgAAfcxF.jpg</t>
  </si>
  <si>
    <t>https://t.co/bmzhwI0qWQ https://pbs.twimg.com/tweet_video_thumb/F5mt7ZkWkAMlq4T.jpg</t>
  </si>
  <si>
    <t>https://t.co/T6cm3ltLwi https://pbs.twimg.com/media/F6axwIVWUAAQBFx.jpg</t>
  </si>
  <si>
    <t>https://t.co/fv6sO3krSU https://pbs.twimg.com/media/F6_X2zoWMAAEA5h.jpg</t>
  </si>
  <si>
    <t>https://t.co/AYUvqOHCm9 https://pbs.twimg.com/media/F2DBUomXoAAU1GN.jpg</t>
  </si>
  <si>
    <t>https://t.co/PybG766H3p https://pbs.twimg.com/media/F6FWu9XWoAANDgt.jpg</t>
  </si>
  <si>
    <t>https://t.co/rWJA7l2KEr https://pbs.twimg.com/media/F02AD9tXgAAnf1s.jpg</t>
  </si>
  <si>
    <t>https://t.co/w1O9r4nCig https://pbs.twimg.com/media/F5_Njp_WYAATkeD.jpg</t>
  </si>
  <si>
    <t>https://t.co/NNNiHxJpn5 https://pbs.twimg.com/media/F65HJu6WgAALCxV.jpg</t>
  </si>
  <si>
    <t>https://t.co/mPFvpX24iF https://pbs.twimg.com/media/F6euAb8WwAAFJYD.jpg</t>
  </si>
  <si>
    <t>https://t.co/MKeZ0WPJc2 https://pbs.twimg.com/media/F6Ua074W0AAwlAM.jpg</t>
  </si>
  <si>
    <t>https://t.co/lyaLhDjr2K https://pbs.twimg.com/media/F0HyTmvXsAImZMk.jpg</t>
  </si>
  <si>
    <t>https://t.co/I8b608dqtU https://pbs.twimg.com/media/F3ldvBJXsAYzIy9.jpg</t>
  </si>
  <si>
    <t>https://t.co/qSfWx587pW https://pbs.twimg.com/media/F3vIzokXoAAwsgu.jpg</t>
  </si>
  <si>
    <t>https://t.co/O7qXZnwEuW https://pbs.twimg.com/media/F0Xc1T1WAAMo8hv.jpg</t>
  </si>
  <si>
    <t>https://t.co/byPaSughB5 https://pbs.twimg.com/ext_tw_video_thumb/1700265846239637504/pu/img/eeiIBNJpSHsnwXuo.jpg</t>
  </si>
  <si>
    <t>https://t.co/mmNpjZpKqO https://pbs.twimg.com/ext_tw_video_thumb/1699530758489042944/pu/img/iCZ6V4DOBCArBd5x.jpg</t>
  </si>
  <si>
    <t>https://t.co/Xbfw7sFmBq https://pbs.twimg.com/ext_tw_video_thumb/1681065293395664896/pu/img/RH6TGVSiiqZzGJkr.jpg</t>
  </si>
  <si>
    <t>https://t.co/37cU5ad7DS https://pbs.twimg.com/ext_tw_video_thumb/1689023787797233665/pu/img/0rlRVM9GV2S88Mm_.jpg</t>
  </si>
  <si>
    <t>https://t.co/d5GJrU66ed https://pbs.twimg.com/ext_tw_video_thumb/1696606860264996864/pu/img/lSnRuVi5ZeD4Srov.jpg</t>
  </si>
  <si>
    <t>https://t.co/TgdltWwRWd https://pbs.twimg.com/ext_tw_video_thumb/1696553777761845248/pu/img/6ife7zKZlRL1bJZM.jpg</t>
  </si>
  <si>
    <t>https://t.co/M4QNKqzf8J https://pbs.twimg.com/ext_tw_video_thumb/1699459124981874688/pu/img/3KnNIT5RuXjYXnpt.jpg</t>
  </si>
  <si>
    <t>https://t.co/O0mBXSmoaV https://pbs.twimg.com/ext_tw_video_thumb/1697616771765649408/pu/img/OR80FoROJcpdtwVw.jpg</t>
  </si>
  <si>
    <t>https://t.co/2hljxXtCHg https://pbs.twimg.com/ext_tw_video_thumb/1695855568718639104/pu/img/T-gIVmcA4Jtuz-MQ.jpg</t>
  </si>
  <si>
    <t>https://t.co/Se6NKXWxcP https://pbs.twimg.com/ext_tw_video_thumb/1694401233031757824/pu/img/7TSpuu3yWK25MF2b.jpg</t>
  </si>
  <si>
    <t>https://t.co/CVrYVCD0hI https://pbs.twimg.com/ext_tw_video_thumb/1693351345674223616/pu/img/4Vf_Y_yop1cGjQLT.jpg</t>
  </si>
  <si>
    <t>https://t.co/HW0ONucORM https://pbs.twimg.com/ext_tw_video_thumb/1703172059088457728/pu/img/Uub4qtepiPIIs8h8.jpg</t>
  </si>
  <si>
    <t>https://t.co/peSTRxziFG https://pbs.twimg.com/ext_tw_video_thumb/1698712199605174272/pu/img/VfEAutLOU2Hik9Z9.jpg</t>
  </si>
  <si>
    <t>https://t.co/Nmp16sLHFO https://pbs.twimg.com/ext_tw_video_thumb/1695552568162701312/pu/img/uZ5d-pkTK_5bgzu4.jpg</t>
  </si>
  <si>
    <t>https://t.co/M1nt8S4u3X https://pbs.twimg.com/ext_tw_video_thumb/1703416232261586944/pu/img/l1l7YDFAeYbch7df.jpg</t>
  </si>
  <si>
    <t>https://t.co/23kSI4ZRqE https://pbs.twimg.com/ext_tw_video_thumb/1694083666874347520/pu/img/PgiZknl09rO436j0.jpg</t>
  </si>
  <si>
    <t>https://t.co/SjyF9ZvATA https://pbs.twimg.com/ext_tw_video_thumb/1692938015956471810/pu/img/pHpQARz47XLa0CD2.jpg</t>
  </si>
  <si>
    <t>https://t.co/KQ2vCbQSRg https://pbs.twimg.com/ext_tw_video_thumb/1692598651221069824/pu/img/K22WYAKSAI9Sz4QK.jpg</t>
  </si>
  <si>
    <t>https://t.co/lAnxLk9tEF https://pbs.twimg.com/ext_tw_video_thumb/1704156386165133312/pu/img/KjtI1rndfFb6ZcSB.jpg</t>
  </si>
  <si>
    <t>https://t.co/r0PsZ22NgJ https://pbs.twimg.com/ext_tw_video_thumb/1702708079731593216/pu/img/rX20-sSkP0WJ9uow.jpg</t>
  </si>
  <si>
    <t>https://t.co/nmEF4UskZb https://pbs.twimg.com/ext_tw_video_thumb/1700517580639789056/pu/img/dX078hGlFZDdm2Se.jpg</t>
  </si>
  <si>
    <t>https://t.co/NQB67F2HbD https://pbs.twimg.com/ext_tw_video_thumb/1698357310253416448/pu/img/10avX1pLqbIaaZcn.jpg</t>
  </si>
  <si>
    <t>https://t.co/oPAp2YAHLx https://pbs.twimg.com/ext_tw_video_thumb/1698084187343896576/pu/img/zUNDZYA1MGRU5zRy.jpg</t>
  </si>
  <si>
    <t>https://t.co/xn5s3Tpn7Z https://pbs.twimg.com/ext_tw_video_thumb/1695087912918929408/pu/img/Ha5IVoC4FE_8UGjV.jpg</t>
  </si>
  <si>
    <t>https://t.co/eLCnf6U8ys https://pbs.twimg.com/ext_tw_video_thumb/1694843907060760576/pu/img/DkEcBEQVdF9DUTiN.jpg</t>
  </si>
  <si>
    <t>https://t.co/8zFnryLgNG https://pbs.twimg.com/ext_tw_video_thumb/1705972620108177408/pu/img/ewCoDknjSbZgYn22.jpg</t>
  </si>
  <si>
    <t>https://t.co/0rquYgYjWa https://pbs.twimg.com/ext_tw_video_thumb/1705618752463679488/pu/img/Li2k5c45lfDu2601.jpg</t>
  </si>
  <si>
    <t>https://t.co/bDlEQGkedf https://pbs.twimg.com/ext_tw_video_thumb/1704549011129085952/pu/img/fOCA8WacscbY9PcA.jpg</t>
  </si>
  <si>
    <t>https://t.co/hxVEmA28I2 https://pbs.twimg.com/ext_tw_video_thumb/1703793933090697217/pu/img/DSL7MEjoVaaUerkD.jpg</t>
  </si>
  <si>
    <t>https://t.co/mDo9Mc5bcY https://pbs.twimg.com/ext_tw_video_thumb/1701994970125631488/pu/img/NS7c1O47vUSaggDg.jpg</t>
  </si>
  <si>
    <t>https://t.co/HbsyvO9xGu https://pbs.twimg.com/ext_tw_video_thumb/1707046975898525696/pu/img/vg0U80CpOpM83Pe5.jpg</t>
  </si>
  <si>
    <t>https://t.co/6SKSlrI2Kk https://pbs.twimg.com/ext_tw_video_thumb/1706680469620711425/pu/img/nSSkwxdC5aOogGnr.jpg</t>
  </si>
  <si>
    <t>https://t.co/n4jr9K5dNl https://pbs.twimg.com/ext_tw_video_thumb/1706338431549276160/pu/img/sKMyNyLLNYckIIEf.jpg</t>
  </si>
  <si>
    <t>https://t.co/CGewADtQT4 https://pbs.twimg.com/ext_tw_video_thumb/1705708893215571968/pu/img/QbTdCIcJzzwu1L9s.jpg</t>
  </si>
  <si>
    <t>https://t.co/Ca7abkre11 https://pbs.twimg.com/ext_tw_video_thumb/1701611537797132288/pu/img/NbqfqJvVLSw2HfoJ.jpg</t>
  </si>
  <si>
    <t>https://t.co/csdFiJnTL4 https://pbs.twimg.com/ext_tw_video_thumb/1699065436934209537/pu/img/IkaAfPcIWq5nsYiG.jpg</t>
  </si>
  <si>
    <t>https://t.co/1ZqAX9J51V https://pbs.twimg.com/ext_tw_video_thumb/1696172983788732417/pu/img/GDPFZoy0BXKVJjVt.jpg</t>
  </si>
  <si>
    <t>https://t.co/CQXgzsBRgd https://pbs.twimg.com/ext_tw_video_thumb/1707160738727358465/pu/img/DIyREpHF4bF8JSu8.jpg</t>
  </si>
  <si>
    <t>https://t.co/qS7gsH8RFh https://pbs.twimg.com/ext_tw_video_thumb/1704915285101133824/pu/img/76lexsbFAVoEyCdS.jpg</t>
  </si>
  <si>
    <t>https://t.co/N1DPUBsCA3 https://pbs.twimg.com/ext_tw_video_thumb/1702326634391719936/pu/img/fqALoXz7P25Zpsu1.jpg</t>
  </si>
  <si>
    <t>https://t.co/pUE9C3HVRo https://pbs.twimg.com/ext_tw_video_thumb/1701252473770450944/pu/img/8qrnZWPTAFsJL1m2.jpg</t>
  </si>
  <si>
    <t>https://t.co/rifZpb7VmT https://pbs.twimg.com/ext_tw_video_thumb/1700148857407995904/pu/img/huAJIemfT3_F1PKo.jpg</t>
  </si>
  <si>
    <t>https://t.co/mXKDSl8Bto https://pbs.twimg.com/media/F1gjqKMXwAAYDng.jpg</t>
  </si>
  <si>
    <t>https://t.co/Fi274t30MB https://pbs.twimg.com/media/F6PtRuSXwAA_Fzr.jpg</t>
  </si>
  <si>
    <t>https://t.co/wpWBD5EPke https://pbs.twimg.com/media/F4KDP6gWoAA-arC.jpg</t>
  </si>
  <si>
    <t>https://t.co/g2Q8lNtPQl https://pbs.twimg.com/media/F0hEregWYAAZJre.jpg</t>
  </si>
  <si>
    <t>https://t.co/yhg8zQ39LO https://pbs.twimg.com/media/F0MUBaRWwAAy5MJ.jpg</t>
  </si>
  <si>
    <t>https://t.co/DQ5tl3MS0I https://pbs.twimg.com/media/F0Wj5AHXwAA7SwF.jpg</t>
  </si>
  <si>
    <t>https://t.co/0CKC2HoMj9 https://pbs.twimg.com/media/F1epiX3X0AI36rJ.jpg</t>
  </si>
  <si>
    <t>https://t.co/h2ectLC6I9 https://pbs.twimg.com/media/F5_MFWiWIAAAg3i.jpg</t>
  </si>
  <si>
    <t>https://t.co/0gPDFR59uX https://pbs.twimg.com/ext_tw_video_thumb/1693297391988772864/pu/img/rUBRjFLVK2Ho3urO.jpg</t>
  </si>
  <si>
    <t>https://t.co/YdC5gEGXuk https://pbs.twimg.com/ext_tw_video_thumb/1691863815145615365/pu/img/uzlBzNUszhaduxSc.jpg</t>
  </si>
  <si>
    <t>https://t.co/z6aipLwK3A https://pbs.twimg.com/ext_tw_video_thumb/1694077941628448769/pu/img/keVRMMJQzZwei8GU.jpg</t>
  </si>
  <si>
    <t>https://t.co/o5TtnPFrMw https://pbs.twimg.com/media/F3k0aEkaEAEnRZM.png</t>
  </si>
  <si>
    <t>https://t.co/VV9hHipDNe https://pbs.twimg.com/media/F10rH-KWIAUSigU.png</t>
  </si>
  <si>
    <t>https://t.co/NoqEK3w5ql https://pbs.twimg.com/tweet_video_thumb/F1PbDMEWwAMDSwe.jpg</t>
  </si>
  <si>
    <t>https://t.co/J9ZZBHuKDc https://pbs.twimg.com/media/F2oy9avX0AAoim5.jpg</t>
  </si>
  <si>
    <t>https://t.co/fYamXcrN8c https://pbs.twimg.com/media/F4uVL3sWcAARBSc.jpg</t>
  </si>
  <si>
    <t>https://t.co/rAbW4BaTSV https://pbs.twimg.com/tweet_video_thumb/F1pfp5cWwAENDSv.jpg</t>
  </si>
  <si>
    <t>https://t.co/5MamWKtRB3 https://t.co/5MamWKtRB3 https://t.co/5MamWKtRB3 https://t.co/5MamWKtRB3 https://pbs.twimg.com/media/F1O2cywWAAA_ZRe.jpg https://pbs.twimg.com/media/F1O2czGWYAAPVmf.jpg https://pbs.twimg.com/media/F1O2cziWcAAtgy5.jpg https://pbs.twimg.com/media/F1O2czyXsAEvzYb.jpg</t>
  </si>
  <si>
    <t>https://t.co/eHalgA0xts https://t.co/eHalgA0xts https://pbs.twimg.com/media/F10BRT3X0AMo9QT.jpg https://pbs.twimg.com/media/F10BRT-WAAAKhdc.jpg</t>
  </si>
  <si>
    <t>https://t.co/YdZvOlKK5L https://pbs.twimg.com/media/F0Se_uTaQAAiLrK.jpg</t>
  </si>
  <si>
    <t>https://t.co/EDnkTP2rGE https://pbs.twimg.com/ext_tw_video_thumb/1703041541227307008/pu/img/xKdUWsOSkttJPogC.jpg</t>
  </si>
  <si>
    <t>https://t.co/vN1vA4AMhT https://pbs.twimg.com/ext_tw_video_thumb/1679440666491867137/pu/img/CK_F6wBNDlvSGOEW.jpg</t>
  </si>
  <si>
    <t>https://t.co/LvDyFPAS4h https://pbs.twimg.com/media/F07vjWkWIAIHHEb.jpg</t>
  </si>
  <si>
    <t>https://t.co/7pX0gSczsu https://pbs.twimg.com/media/F3xvhisW4AAlUTb.jpg</t>
  </si>
  <si>
    <t>https://t.co/URuhCVnEtz https://t.co/URuhCVnEtz https://t.co/URuhCVnEtz https://t.co/URuhCVnEtz https://pbs.twimg.com/media/F2gEPkKWQAAjCvs.jpg https://pbs.twimg.com/media/F2gEPkJXwAAlaEy.jpg https://pbs.twimg.com/media/F2gEPkJXUAAmdSA.jpg https://pbs.twimg.com/media/F2gEPkKW4AALuOG.jpg</t>
  </si>
  <si>
    <t>https://t.co/xRy87sBR5W https://pbs.twimg.com/ext_tw_video_thumb/1688913175381700608/pu/img/-5eezfH8sVrixZll.jpg</t>
  </si>
  <si>
    <t>https://t.co/fIxyMK7xuV https://pbs.twimg.com/ext_tw_video_thumb/1694067052921638913/pu/img/kQ6ItCzNdp1cEGa0.jpg</t>
  </si>
  <si>
    <t>https://t.co/8c3M0kRAQm https://pbs.twimg.com/ext_tw_video_thumb/1689090241607475200/pu/img/p6ABXKfkSeXxeOys.jpg</t>
  </si>
  <si>
    <t>https://t.co/qT42nVVWor https://pbs.twimg.com/media/F0H3EU9XoAA5O_L.jpg</t>
  </si>
  <si>
    <t>https://t.co/h5ql6KManf https://pbs.twimg.com/ext_tw_video_thumb/1681394519600660496/pu/img/MkQ-pxGXaIit7iSL.jpg</t>
  </si>
  <si>
    <t>https://t.co/0yonfjZYTl https://pbs.twimg.com/media/F0XjxFIWAAoJ_tC.jpg</t>
  </si>
  <si>
    <t>https://t.co/LjTgk2qvED https://t.co/LjTgk2qvED https://t.co/LjTgk2qvED https://t.co/LjTgk2qvED https://pbs.twimg.com/media/F7DV-VNa0AAdmZc.jpg https://pbs.twimg.com/media/F7DV_b5aMAA4FBp.jpg https://pbs.twimg.com/media/F7DWAXua4AA4RbX.jpg https://pbs.twimg.com/media/F7DWBV7bUAAYE5z.jpg</t>
  </si>
  <si>
    <t>https://t.co/qLPl079id6 https://pbs.twimg.com/media/F0MApRjaYAMHmTw.jpg</t>
  </si>
  <si>
    <t>https://t.co/rDOQViYfK7 https://pbs.twimg.com/media/F59X2HEbIAAwuAo.jpg</t>
  </si>
  <si>
    <t>https://t.co/98qqwngVt4 https://pbs.twimg.com/media/F59XHu9b0AAGsCA.jpg</t>
  </si>
  <si>
    <t>https://t.co/QECdBAqhpD https://t.co/QECdBAqhpD https://pbs.twimg.com/media/F0LdLEdXsAA3snS.jpg https://pbs.twimg.com/media/F0LdLEjXoAUDvtR.jpg</t>
  </si>
  <si>
    <t>https://t.co/YktQ5QDYRT https://pbs.twimg.com/media/F3hN1T7WYAAC8v_.jpg</t>
  </si>
  <si>
    <t>https://t.co/xsLXncYTSX https://pbs.twimg.com/media/F4I-KTEaQAEpghd.jpg</t>
  </si>
  <si>
    <t>https://t.co/gqQc5las58 https://pbs.twimg.com/media/F2Df6ofX0AIcyeM.jpg</t>
  </si>
  <si>
    <t>https://t.co/SkJcffp8GI https://pbs.twimg.com/media/F4KgqPNXMAAV5kE.jpg</t>
  </si>
  <si>
    <t>https://t.co/FhVOtufwr8 https://pbs.twimg.com/media/F3BvZlaXEAEal3I.jpg</t>
  </si>
  <si>
    <t>https://t.co/G130Djnya6 https://pbs.twimg.com/media/F5xIKkoXAAAsvr6.jpg</t>
  </si>
  <si>
    <t>https://t.co/XIali8HhgU https://pbs.twimg.com/ext_tw_video_thumb/1686214365064650752/pu/img/s_GbID5cr5ptCl9a.jpg</t>
  </si>
  <si>
    <t>https://t.co/yzhvn6jCd2 https://pbs.twimg.com/ext_tw_video_thumb/1699426578810236928/pu/img/QP8QE7Lrg9bP1uIP.jpg</t>
  </si>
  <si>
    <t>https://t.co/zhEXy4BH5v https://pbs.twimg.com/media/F0tDlfZXoAItfRr.jpg</t>
  </si>
  <si>
    <t>https://t.co/tZ8m1v8WHj https://pbs.twimg.com/media/F1fD7n3aIAYw2Uz.jpg</t>
  </si>
  <si>
    <t>https://t.co/baMXM28UBX https://pbs.twimg.com/media/F06M1LBXoAABGvt.jpg</t>
  </si>
  <si>
    <t>https://t.co/SuhnagLvMU https://pbs.twimg.com/media/F0fl7DNXgAEvYWZ.jpg</t>
  </si>
  <si>
    <t>https://t.co/LO91YLEmyq https://pbs.twimg.com/media/F2e-FmcWoAE-CuS.jpg</t>
  </si>
  <si>
    <t>https://t.co/yOiF36OIGb https://pbs.twimg.com/tweet_video_thumb/F2WlhvbWUAAdbQY.jpg</t>
  </si>
  <si>
    <t>https://t.co/ptcf7rfGh7 https://pbs.twimg.com/media/F0wr4O_aQAM2FBw.jpg</t>
  </si>
  <si>
    <t>https://t.co/B1BSNpHIJC https://pbs.twimg.com/media/F6fOziVW8AA5-wo.jpg</t>
  </si>
  <si>
    <t>https://t.co/l6HpAdVXqz https://pbs.twimg.com/media/F4a3TQnWIAArFPS.jpg</t>
  </si>
  <si>
    <t>https://t.co/uH1HrXsPNf https://pbs.twimg.com/tweet_video_thumb/F1awgc9WwA0u9yz.jpg</t>
  </si>
  <si>
    <t>https://t.co/Gtc0Bqb1Sq https://pbs.twimg.com/tweet_video_thumb/F03AwhcWcAcCi2u.jpg</t>
  </si>
  <si>
    <t>https://t.co/6mzaQnE8ue https://pbs.twimg.com/tweet_video_thumb/Fz5XSS-XoAI-AFG.jpg</t>
  </si>
  <si>
    <t>https://t.co/zZE9wBvHE2 https://pbs.twimg.com/tweet_video_thumb/F1axRGAWwAkN120.jpg</t>
  </si>
  <si>
    <t>https://t.co/pJ9iKwrAeu https://pbs.twimg.com/tweet_video_thumb/F1axlo4WwAgtKlJ.jpg</t>
  </si>
  <si>
    <t>https://t.co/PQMxjv6zfN https://pbs.twimg.com/tweet_video_thumb/F029vI9WIAAvDW9.jpg</t>
  </si>
  <si>
    <t>https://t.co/gUAfz4xIHF https://pbs.twimg.com/ext_tw_video_thumb/1683524664377712653/pu/img/IVxA9jBUMfwXnl9b.jpg</t>
  </si>
  <si>
    <t>https://t.co/CuLIkOjTl6 https://pbs.twimg.com/media/F0Ly7e7XwAYZoBC.jpg</t>
  </si>
  <si>
    <t>https://t.co/jcGV2SeL4r https://pbs.twimg.com/media/F0IhaJfWwAAQxbs.jpg</t>
  </si>
  <si>
    <t>https://t.co/mYkSnluY4y https://pbs.twimg.com/media/F1Qvs9kXwAEt-Ws.jpg</t>
  </si>
  <si>
    <t>https://t.co/eQN7FDjrS9 https://pbs.twimg.com/media/F65Nw-HXUAA_PYk.jpg</t>
  </si>
  <si>
    <t>https://t.co/YntLStRJFb https://pbs.twimg.com/media/F6-bWZFWMAAjP59.jpg</t>
  </si>
  <si>
    <t>https://t.co/TOYK0vRf8s https://pbs.twimg.com/media/F6oNdPUXgAAMxJe.png</t>
  </si>
  <si>
    <t>https://t.co/VAsD6oyLjf https://pbs.twimg.com/media/F2ta8HOXYAArg98.jpg</t>
  </si>
  <si>
    <t>https://t.co/tDiX7jhoQj https://pbs.twimg.com/ext_tw_video_thumb/1679527419986731009/pu/img/DDU_xXiL6uZm8YaG.jpg</t>
  </si>
  <si>
    <t>https://t.co/QAMJBQh4R5 https://pbs.twimg.com/ext_tw_video_thumb/1682080620069920775/pu/img/--dJBBljuj93Pejc.jpg</t>
  </si>
  <si>
    <t>https://t.co/oRJEC70Hjw https://pbs.twimg.com/media/F1_abe6XwAABuHl.jpg</t>
  </si>
  <si>
    <t>https://t.co/SmDYy4z2jR https://pbs.twimg.com/media/F0S6UoMWAAAzZZK.jpg</t>
  </si>
  <si>
    <t>https://t.co/edCEYTMn6n https://pbs.twimg.com/media/F0OkbpeWwAEd6GD.jpg</t>
  </si>
  <si>
    <t>https://t.co/mKOSxhFSam https://pbs.twimg.com/media/F4aqrlVWQAAbugQ.jpg</t>
  </si>
  <si>
    <t>https://t.co/hSl0JlSQWG https://pbs.twimg.com/media/F4VUk_-XcAEnZLl.jpg</t>
  </si>
  <si>
    <t>https://t.co/51BrAoTa4v https://pbs.twimg.com/media/F4QjbYaWsAEdSc9.jpg</t>
  </si>
  <si>
    <t>https://t.co/Kr0AgLx5CP https://pbs.twimg.com/media/F0s4rpPXsAUdnib.png</t>
  </si>
  <si>
    <t>https://t.co/1Ej3bqA875 https://pbs.twimg.com/media/F2XBNaTXMAANvgf.jpg</t>
  </si>
  <si>
    <t>https://t.co/jZ5e0zuE55 https://pbs.twimg.com/media/F5P5W9yXMAAA2Cq.jpg</t>
  </si>
  <si>
    <t>https://t.co/tLLH170SHH https://pbs.twimg.com/media/F0XLCzAaUAI0t6D.jpg</t>
  </si>
  <si>
    <t>https://t.co/ubkbg0BLbB https://pbs.twimg.com/media/F0XLLLuaAAAIBMi.jpg</t>
  </si>
  <si>
    <t>https://t.co/DF9HE9OlyI https://pbs.twimg.com/media/F0WqwjiXsAI4gUh.jpg</t>
  </si>
  <si>
    <t>https://t.co/FSIWF1DJkI https://pbs.twimg.com/media/F06XA2vXsAIhHj2.jpg</t>
  </si>
  <si>
    <t>https://t.co/Pq31PaN1dn https://pbs.twimg.com/media/F3frKIzWsAMx3aP.jpg</t>
  </si>
  <si>
    <t>https://t.co/8sDZpi7MrA https://pbs.twimg.com/media/F3QWey6WcAA5LDU.jpg</t>
  </si>
  <si>
    <t>https://t.co/09hZbxHwxR https://pbs.twimg.com/media/F6J9NaTXkAA_64Q.jpg</t>
  </si>
  <si>
    <t>https://t.co/CLBZdOGuJ7 https://pbs.twimg.com/media/F0iiqIEXwAA4Tx4.jpg</t>
  </si>
  <si>
    <t>https://t.co/KoReNXTWYm https://pbs.twimg.com/media/F0icHu7XoAAyOxh.png</t>
  </si>
  <si>
    <t>https://t.co/yJGV7riZNE https://pbs.twimg.com/media/F0hd_1JXsAEUAKM.jpg</t>
  </si>
  <si>
    <t>https://t.co/0eMMtFOPt9 https://pbs.twimg.com/ext_tw_video_thumb/1690510204662624256/pu/img/gjD0iFfi1jpWmPNe.jpg</t>
  </si>
  <si>
    <t>https://t.co/mDoRaHpkB8 https://pbs.twimg.com/ext_tw_video_thumb/1690202931675418625/pu/img/pOniaThmpaOq2tHB.jpg</t>
  </si>
  <si>
    <t>https://t.co/iGvFZSsuA2 https://pbs.twimg.com/ext_tw_video_thumb/1690051730132606984/pu/img/hn3HULPMuwJntVnG.jpg</t>
  </si>
  <si>
    <t>https://t.co/dy83uIydFP https://pbs.twimg.com/ext_tw_video_thumb/1690001254179618818/pu/img/5httkdGeng-SH9SR.jpg</t>
  </si>
  <si>
    <t>https://t.co/AjI80mIinb https://pbs.twimg.com/media/F1OvnllWwAI3hWF.jpg</t>
  </si>
  <si>
    <t>https://t.co/XQItls75HP https://pbs.twimg.com/ext_tw_video_thumb/1698446316957790209/pu/img/YenG_sCS1zJPnyz7.jpg</t>
  </si>
  <si>
    <t>https://t.co/oVzsmmDrXN https://pbs.twimg.com/media/F4vnbJIWQAA-15O.jpg</t>
  </si>
  <si>
    <t>https://t.co/3kd6ChXGVb https://pbs.twimg.com/media/F6ATBngWAAAHw55.jpg</t>
  </si>
  <si>
    <t>https://t.co/PXafdRUeIv https://pbs.twimg.com/media/F1zmNATXoAUCyNG.jpg</t>
  </si>
  <si>
    <t>https://t.co/vd9e4keuem https://pbs.twimg.com/media/F1zj4asXsAIJ3Dx.jpg</t>
  </si>
  <si>
    <t>https://t.co/ZtxVWoczyS https://pbs.twimg.com/media/F6hEeiyWUAAf-YG.jpg</t>
  </si>
  <si>
    <t>https://t.co/H1QkLK0vXN https://pbs.twimg.com/media/F0SnwJLWIA4Ok6y.jpg</t>
  </si>
  <si>
    <t>https://t.co/vZo8WDC8i2 https://pbs.twimg.com/media/F109iNuWIAIyUUF.jpg</t>
  </si>
  <si>
    <t>https://t.co/Wewc7fbgLB https://pbs.twimg.com/media/F2oPAOLXIAEb0Tp.jpg</t>
  </si>
  <si>
    <t>https://t.co/CGWQsrQQgc https://t.co/CGWQsrQQgc https://t.co/CGWQsrQQgc https://pbs.twimg.com/media/F3U_B-PXUAASIcJ.jpg https://pbs.twimg.com/media/F3U_B-QWsAAqd2t.jpg https://pbs.twimg.com/media/F3U_B-PXsAAppAk.jpg</t>
  </si>
  <si>
    <t>https://t.co/Mapo2nNdeh https://pbs.twimg.com/media/F2t7MyjWQAAXprU.jpg</t>
  </si>
  <si>
    <t>https://t.co/Cn5NfCRmk9 https://pbs.twimg.com/media/F273CQOWoAA-ClR.jpg</t>
  </si>
  <si>
    <t>https://t.co/KpL11byuSj https://pbs.twimg.com/ext_tw_video_thumb/1681388027765981186/pu/img/1tLgSfe1bbFgslCC.jpg</t>
  </si>
  <si>
    <t>https://t.co/vgiDGZbDGE https://pbs.twimg.com/media/F1zjFsYWcAEId2D.jpg</t>
  </si>
  <si>
    <t>https://t.co/Crj9CgC1LC https://pbs.twimg.com/ext_tw_video_thumb/1677044540446765060/pu/img/4wTLxi7b5QdcB3Hp.jpg</t>
  </si>
  <si>
    <t>https://t.co/HQYd2vQd8k https://pbs.twimg.com/ext_tw_video_thumb/1687258938096463872/pu/img/u-wIILBhBng7GMWI.jpg</t>
  </si>
  <si>
    <t>https://t.co/b3wTDbugKl https://pbs.twimg.com/media/F3cLbZyWkAEXlNz.jpg</t>
  </si>
  <si>
    <t>https://t.co/aQzET6wwtr https://pbs.twimg.com/media/F6ECCB5X0AAkI2R.jpg</t>
  </si>
  <si>
    <t>https://t.co/qsimoMK7ob https://pbs.twimg.com/media/F2oRi7gWYAAh7vx.jpg</t>
  </si>
  <si>
    <t>https://t.co/w7HLTMUW9z https://pbs.twimg.com/media/F5MMFQ3WMAAFotK.jpg</t>
  </si>
  <si>
    <t>https://t.co/IVd7uKc0ZU https://pbs.twimg.com/ext_tw_video_thumb/1697104208170725376/pu/img/DvsQU-gqIYXsHftr.jpg</t>
  </si>
  <si>
    <t>https://t.co/DLpdu5VWaw https://pbs.twimg.com/media/F2bxzrKXcAAHTM8.jpg</t>
  </si>
  <si>
    <t>https://t.co/7VflXkgRW1 https://pbs.twimg.com/media/F5RTUbGaMAE4Cb9.jpg</t>
  </si>
  <si>
    <t>https://t.co/03RgIlUXHn https://pbs.twimg.com/media/F0SxT66X0BEzbEJ.jpg</t>
  </si>
  <si>
    <t>https://t.co/CeLUVX8xV2 https://pbs.twimg.com/media/F0cYXwAXoAECb6u.jpg</t>
  </si>
  <si>
    <t>https://t.co/J5FzlmBI77 https://pbs.twimg.com/media/F1ZsMZjXwAEMuYZ.jpg</t>
  </si>
  <si>
    <t>https://t.co/7Dli9wiosM https://t.co/7Dli9wiosM https://t.co/7Dli9wiosM https://t.co/7Dli9wiosM https://pbs.twimg.com/media/F1PsDe1XoAAE_cE.jpg https://pbs.twimg.com/media/F1PsDe0WYAAz0IL.jpg https://pbs.twimg.com/media/F1PsDe1XoAEjRKc.jpg https://pbs.twimg.com/media/F1PsEmDXoAIGZ70.jpg</t>
  </si>
  <si>
    <t>https://t.co/C9EGDlJvjY https://t.co/C9EGDlJvjY https://t.co/C9EGDlJvjY https://t.co/C9EGDlJvjY https://pbs.twimg.com/media/F15BhcZWcAEPRUv.jpg https://pbs.twimg.com/media/F15BhccXoAEY8Gk.jpg https://pbs.twimg.com/media/F15BhcaWcAAaaWa.jpg https://pbs.twimg.com/media/F15BhcaXsAAErEW.jpg</t>
  </si>
  <si>
    <t>https://t.co/snFhDmaabh https://pbs.twimg.com/media/F4EJvkfWMAEAldm.jpg</t>
  </si>
  <si>
    <t>https://t.co/VmMfbLFY4S https://pbs.twimg.com/media/F2ISizhXkAA8YQa.jpg</t>
  </si>
  <si>
    <t>https://t.co/9VINoqOBJy https://pbs.twimg.com/media/F0Id4KlWcA815aw.jpg</t>
  </si>
  <si>
    <t>https://t.co/TWl4k0Mdfm https://pbs.twimg.com/media/F68ma9zWQAAbDtB.jpg</t>
  </si>
  <si>
    <t>https://t.co/Y4js1H4wMc https://pbs.twimg.com/ext_tw_video_thumb/1703651757354831872/pu/img/P5jlW7nM1rn9D_OM.jpg</t>
  </si>
  <si>
    <t>https://t.co/o9SX7KDczP https://pbs.twimg.com/media/F5bm1WkaYAE_vuM.jpg</t>
  </si>
  <si>
    <t>https://t.co/3Bt3qkg18Q https://pbs.twimg.com/media/F6mjEwEXUAAPExi.jpg</t>
  </si>
  <si>
    <t>https://t.co/RSzYTonqFS https://pbs.twimg.com/media/F2hIydqWEAAKYuy.jpg</t>
  </si>
  <si>
    <t>https://t.co/3uTEj7pwbl https://pbs.twimg.com/media/F3RDQTHWoAQdUjb.jpg</t>
  </si>
  <si>
    <t>https://t.co/cvcEvYkEez https://pbs.twimg.com/ext_tw_video_thumb/1693762973947379712/pu/img/XHVnWx7fuNb3vzDN.jpg</t>
  </si>
  <si>
    <t>https://t.co/eNc3Vo4KB0 https://pbs.twimg.com/media/F0N8z3QXgAgigVB.jpg</t>
  </si>
  <si>
    <t>https://t.co/Rlg4wHg4qF https://pbs.twimg.com/media/F3MihkcXIAAIDOO.jpg</t>
  </si>
  <si>
    <t>https://t.co/33wS7gXVqM https://pbs.twimg.com/media/F3GDlN3WcAASikY.jpg</t>
  </si>
  <si>
    <t>https://t.co/vUKx5ERIDi https://pbs.twimg.com/media/F6l7mmRWwAAmUtY.jpg</t>
  </si>
  <si>
    <t>https://t.co/VDyTbm9UPn https://pbs.twimg.com/media/F1kgQpMWIAEEBfT.jpg</t>
  </si>
  <si>
    <t>https://t.co/lJ2lmKilVM https://pbs.twimg.com/ext_tw_video_thumb/1686067043349528576/pu/img/N5x3TZdJdTMC67G2.jpg</t>
  </si>
  <si>
    <t>https://t.co/wjBBwFZkiZ https://pbs.twimg.com/ext_tw_video_thumb/1677277444506636288/pu/img/u9bStVaGY39JdkMI.jpg</t>
  </si>
  <si>
    <t>https://t.co/zdKgOkJHTD https://pbs.twimg.com/ext_tw_video_thumb/1677052302660710400/pu/img/8m4kezW98p-SQHcf.jpg</t>
  </si>
  <si>
    <t>https://t.co/0r497nUYuJ https://pbs.twimg.com/ext_tw_video_thumb/1676952833395150848/pu/img/WZCms19tpkuCO_kK.jpg</t>
  </si>
  <si>
    <t>https://t.co/fCTzoAvb6c https://pbs.twimg.com/ext_tw_video_thumb/1676920854607716352/pu/img/OUTRq323-dKJu5fs.jpg</t>
  </si>
  <si>
    <t>https://t.co/K8TPO05ZaK https://pbs.twimg.com/ext_tw_video_thumb/1676683335307780099/pu/img/rj39NyGvluK3ZMZk.jpg</t>
  </si>
  <si>
    <t>https://t.co/1NhICrKtRd https://pbs.twimg.com/ext_tw_video_thumb/1676552763633696769/pu/img/2FnjiySrsgaWDbGI.jpg</t>
  </si>
  <si>
    <t>https://t.co/uDDHsZpjjE https://pbs.twimg.com/ext_tw_video_thumb/1676314644015620097/pu/img/SZzEZKR7LutAVA8l.jpg</t>
  </si>
  <si>
    <t>https://t.co/0gcybZXrGW https://pbs.twimg.com/ext_tw_video_thumb/1678377616875585537/pu/img/MqMl2HKhXL8_vbll.jpg</t>
  </si>
  <si>
    <t>https://t.co/MhvqSqiWrR https://pbs.twimg.com/ext_tw_video_thumb/1682008826923343873/pu/img/N9Y8BKhPOYUYLpNh.jpg</t>
  </si>
  <si>
    <t>https://t.co/f7a4KSyr5G https://pbs.twimg.com/ext_tw_video_thumb/1681258187981303808/pu/img/5MydufLJm_PcWqU1.jpg</t>
  </si>
  <si>
    <t>https://t.co/Gk4NzJ0m12 https://pbs.twimg.com/ext_tw_video_thumb/1679814945209237504/pu/img/JgJZZACmSbKMTNxD.jpg</t>
  </si>
  <si>
    <t>https://t.co/aeqo79Ohje https://pbs.twimg.com/ext_tw_video_thumb/1680901883328708609/pu/img/HBxJIE6R-4iF_G8y.jpg</t>
  </si>
  <si>
    <t>https://t.co/kJWa5HncXa https://t.co/kJWa5HncXa https://t.co/kJWa5HncXa https://t.co/kJWa5HncXa https://pbs.twimg.com/media/F3CMg0IW8AA6Z9Q.jpg https://pbs.twimg.com/media/F3CMg0EWoAAfVLd.jpg https://pbs.twimg.com/media/F3CMg0BXQAAAVUq.jpg https://pbs.twimg.com/media/F3CMg0EXYAANmZp.jpg</t>
  </si>
  <si>
    <t>https://t.co/urZxc6kxBN https://pbs.twimg.com/ext_tw_video_thumb/1687904014258593792/pu/img/XjFKDAsC1PWIr_Qa.jpg</t>
  </si>
  <si>
    <t>https://t.co/ld8GXQrhqR https://pbs.twimg.com/ext_tw_video_thumb/1683873218090741768/pu/img/uSeDbWbzAqOTpjmj.jpg</t>
  </si>
  <si>
    <t>https://t.co/GtARlHdv23 https://pbs.twimg.com/media/F6oc1SubIAEnClE.jpg</t>
  </si>
  <si>
    <t>https://t.co/uihKT8Zik1 https://pbs.twimg.com/ext_tw_video_thumb/1683504865585111040/pu/img/O27FRyTb7veqHoV3.jpg</t>
  </si>
  <si>
    <t>https://t.co/tKrCT3SMUH https://pbs.twimg.com/media/F6rKOZdWIAAyGjZ.jpg</t>
  </si>
  <si>
    <t>https://t.co/uNXrb2Bk2E https://pbs.twimg.com/ext_tw_video_thumb/1681453788329136129/pu/img/xoRvKJfmGddqGx-Q.jpg</t>
  </si>
  <si>
    <t>https://t.co/j08vKpAyMF https://pbs.twimg.com/media/F61NUWyXUAAKHPw.jpg</t>
  </si>
  <si>
    <t>https://t.co/9bYO4UqY9N https://pbs.twimg.com/ext_tw_video_thumb/1690940316642131968/pu/img/P8Bx49sUHKYuGw2K.jpg</t>
  </si>
  <si>
    <t>https://t.co/Wa5L7STp49 https://pbs.twimg.com/media/F4s06jbXcAAEm-b.jpg</t>
  </si>
  <si>
    <t>https://t.co/8569rsBhgc https://pbs.twimg.com/media/F6IofYNWcAAIxA-.jpg</t>
  </si>
  <si>
    <t>https://t.co/GzLLxuw2nj https://t.co/GzLLxuw2nj https://pbs.twimg.com/media/F28uUSgW4AEjtwO.png https://pbs.twimg.com/media/F28uVNXX0AAMuS5.png</t>
  </si>
  <si>
    <t>https://t.co/VjzYoxcY4l https://t.co/VjzYoxcY4l https://t.co/VjzYoxcY4l https://t.co/VjzYoxcY4l https://pbs.twimg.com/media/F5b0I4RWUAAbjxH.jpg https://pbs.twimg.com/media/F5b0I51WMAA8bcu.png https://pbs.twimg.com/media/F5b0I5HXMAA1je9.png https://pbs.twimg.com/media/F5b0I4_WAAA6uw4.png</t>
  </si>
  <si>
    <t>https://t.co/p8IRgzIX5h https://t.co/p8IRgzIX5h https://t.co/p8IRgzIX5h https://t.co/p8IRgzIX5h https://pbs.twimg.com/media/F46E3bPXIAAlLKG.jpg https://pbs.twimg.com/media/F46E6S2X0AAx-vS.png https://pbs.twimg.com/media/F46E6UGWQAAn1QN.png https://pbs.twimg.com/media/F46E6U_XQAAhzWh.png</t>
  </si>
  <si>
    <t>https://t.co/JK0Higmmpa https://pbs.twimg.com/ext_tw_video_thumb/1703823091971829760/pu/img/yCVjLn4Sbe2Q9C3X.jpg</t>
  </si>
  <si>
    <t>https://t.co/SUsTqCJcDl https://pbs.twimg.com/ext_tw_video_thumb/1682556636743839744/pu/img/IcVluTg3g4DyAgIa.jpg</t>
  </si>
  <si>
    <t>https://t.co/ULFhw8z62I https://t.co/ULFhw8z62I https://t.co/ULFhw8z62I https://t.co/ULFhw8z62I https://pbs.twimg.com/media/F1f5OgRXoAANIS1.jpg https://pbs.twimg.com/media/F1f5Rg5WIBk4UEZ.png https://pbs.twimg.com/media/F1f5RhwXsAASq7b.png https://pbs.twimg.com/media/F1f5RiXWIAYC83x.png</t>
  </si>
  <si>
    <t>https://t.co/lnCcLDO9Zr https://t.co/lnCcLDO9Zr https://t.co/lnCcLDO9Zr https://t.co/lnCcLDO9Zr https://pbs.twimg.com/media/F6BPc-lX0AAZhuD.jpg https://pbs.twimg.com/media/F6BPeZQWsAAWD0j.png https://pbs.twimg.com/media/F6BPe8MWEAAAdQE.png https://pbs.twimg.com/media/F6BPfsSXIAMrozS.png</t>
  </si>
  <si>
    <t>https://t.co/6bo2JMtT8N https://pbs.twimg.com/media/F6T47vlW0AAySyl.png</t>
  </si>
  <si>
    <t>https://t.co/b0MGYA23QD https://pbs.twimg.com/ext_tw_video_thumb/1703756002116481024/pu/img/5fWed2WSDgrqzzHv.jpg</t>
  </si>
  <si>
    <t>https://t.co/ZW7zdckUIV https://pbs.twimg.com/ext_tw_video_thumb/1705300280600940544/pu/img/5btDo49rMfHphfPL.jpg</t>
  </si>
  <si>
    <t>https://t.co/cjvxJvcKwo https://pbs.twimg.com/ext_tw_video_thumb/1695185602696691712/pu/img/oTU8Qk3VyBFKqwA2.jpg</t>
  </si>
  <si>
    <t>https://t.co/BrgVIvV6TI https://pbs.twimg.com/ext_tw_video_thumb/1690120118670336000/pu/img/omQS7kQVcrwJ37Ww.jpg</t>
  </si>
  <si>
    <t>https://t.co/u6lrrCYljA https://t.co/u6lrrCYljA https://t.co/u6lrrCYljA https://t.co/u6lrrCYljA https://pbs.twimg.com/media/F4TlE2bWIAIEbZI.jpg https://pbs.twimg.com/media/F4TlFuaXIAA59-8.png https://pbs.twimg.com/media/F4TlGroXYAEsBMq.png https://pbs.twimg.com/media/F4TlHdPa0AAM7Cr.png</t>
  </si>
  <si>
    <t>https://t.co/R9Wwoewgsi https://pbs.twimg.com/ext_tw_video_thumb/1677135799895089152/pu/img/i35qxqjMSDG3BOMl.jpg</t>
  </si>
  <si>
    <t>https://t.co/jR8NOBNM42 https://pbs.twimg.com/ext_tw_video_thumb/1699203269485019136/pu/img/JYZozYMhDdj6zYTk.jpg</t>
  </si>
  <si>
    <t>https://t.co/XUjDnQdnsA https://pbs.twimg.com/media/F40fKYiWwAAsYys.jpg</t>
  </si>
  <si>
    <t>https://t.co/hgPqQlVG5t https://pbs.twimg.com/media/F1c3rcNWwAAXIJE.jpg</t>
  </si>
  <si>
    <t>https://t.co/739NgK4KTT https://pbs.twimg.com/media/F3NMa_mXEAAHEgz.jpg</t>
  </si>
  <si>
    <t>https://t.co/OUmc4NJcud https://pbs.twimg.com/media/F3v7U07XIAAgNdc.jpg</t>
  </si>
  <si>
    <t>https://t.co/3m0XjoI3fa https://pbs.twimg.com/media/F49wvkkWwAAvYPJ.jpg</t>
  </si>
  <si>
    <t>https://t.co/t1mlRpI3RC https://pbs.twimg.com/media/F1zp99QWcAMlO6F.jpg</t>
  </si>
  <si>
    <t>https://t.co/bgqEc1KA7o https://pbs.twimg.com/ext_tw_video_thumb/1705581488459153408/pu/img/JtPVzyc-QP8REnVK.jpg</t>
  </si>
  <si>
    <t>https://t.co/9XOAMvQyt2 https://pbs.twimg.com/ext_tw_video_thumb/1681781878884278272/pu/img/ykRq7qoexRlcOzTk.jpg</t>
  </si>
  <si>
    <t>https://t.co/xaFJfBRjxN https://pbs.twimg.com/media/F6yalYGXkAADFoY.jpg</t>
  </si>
  <si>
    <t>https://t.co/VMvTyecowk https://pbs.twimg.com/media/F680GPCWsAAzCCG.jpg</t>
  </si>
  <si>
    <t>https://t.co/4SqwOMPtRZ https://pbs.twimg.com/ext_tw_video_thumb/1683965252210241536/pu/img/173dFpyrrydTf5kg.jpg</t>
  </si>
  <si>
    <t>https://t.co/XyBzEvv1ds https://pbs.twimg.com/media/F3RpHtBWIAESHcB.jpg</t>
  </si>
  <si>
    <t>https://t.co/VsdOU74oOM https://pbs.twimg.com/ext_tw_video_thumb/1676699650131099650/pu/img/RVHzhM07LEd1WpQw.jpg</t>
  </si>
  <si>
    <t>https://t.co/LfB9R1g2ak https://pbs.twimg.com/ext_tw_video_thumb/1676698867197255682/pu/img/RNEtFLZcEjYCEB-V.jpg</t>
  </si>
  <si>
    <t>https://t.co/70F32IbB99 https://pbs.twimg.com/ext_tw_video_thumb/1684974192872091648/pu/img/E2mPxpZd9tJxYzhe.jpg</t>
  </si>
  <si>
    <t>https://t.co/zSzD5QIc5a https://pbs.twimg.com/media/F1PzLcGWYAEhwIl.jpg</t>
  </si>
  <si>
    <t>https://t.co/BWrVEl22lM https://pbs.twimg.com/media/F57UW8DW0AA1ajq.jpg</t>
  </si>
  <si>
    <t>https://t.co/GL0oWswRhH https://pbs.twimg.com/amplify_video_thumb/1694779980754964480/img/DHhEQ9dtD7ffFI1J.jpg</t>
  </si>
  <si>
    <t>https://t.co/d0Hc2ofQQs https://pbs.twimg.com/amplify_video_thumb/1701688672779665408/img/38i71JbzK83_z1ME.jpg</t>
  </si>
  <si>
    <t>https://t.co/6WQt5tr6MS https://pbs.twimg.com/amplify_video_thumb/1699147249106780160/img/GNZ03LZjbxzRPLCk.jpg</t>
  </si>
  <si>
    <t>https://t.co/nmhKVQjNJc https://pbs.twimg.com/amplify_video_thumb/1701322279056244737/img/GXwsdzyzXcTC0r4P.jpg</t>
  </si>
  <si>
    <t>https://t.co/AldNuKCp8v https://t.co/AldNuKCp8v https://t.co/AldNuKCp8v https://t.co/AldNuKCp8v https://pbs.twimg.com/media/F1ksEp9WcAIcpMC.jpg https://pbs.twimg.com/media/F1ksEp9WIAA1Jor.jpg https://pbs.twimg.com/media/F1ksEp9WIAEXL_e.jpg https://pbs.twimg.com/media/F1ksEp8WIAMRxvc.jpg</t>
  </si>
  <si>
    <t>https://t.co/nXsbanmYYA https://pbs.twimg.com/media/F10GA_AWYAAnrXK.jpg</t>
  </si>
  <si>
    <t>https://t.co/CeVadqJ1OA https://pbs.twimg.com/media/F4UClUNWQAAwgk5.jpg</t>
  </si>
  <si>
    <t>https://t.co/Fd7EPY1KYa https://pbs.twimg.com/media/F5_IiyUWYAAdeu9.jpg</t>
  </si>
  <si>
    <t>https://t.co/Juc1F7PRo1 https://pbs.twimg.com/media/F5gg8G-W8AAvMda.jpg</t>
  </si>
  <si>
    <t>https://t.co/gYf5vkXzzz https://pbs.twimg.com/media/F2FFjHRXoAA3FI4.jpg</t>
  </si>
  <si>
    <t>https://t.co/X0Mii70ipB https://pbs.twimg.com/ext_tw_video_thumb/1694005756293746688/pu/img/nYB4p8toXcGRAnXr.jpg</t>
  </si>
  <si>
    <t>https://t.co/VJH5umItjS https://pbs.twimg.com/media/F1SG1W7XsAA5kPE.png</t>
  </si>
  <si>
    <t>https://t.co/XjLGfhWfZY https://pbs.twimg.com/media/F4ffEt1XAAAtOEw.jpg</t>
  </si>
  <si>
    <t>https://t.co/EKOGcK8Uca https://pbs.twimg.com/ext_tw_video_thumb/1697370999606398976/pu/img/9bE7R95-vao6pL9r.jpg</t>
  </si>
  <si>
    <t>https://t.co/EncXBpwX4s https://pbs.twimg.com/media/F6URVMgWsAAkHT-.jpg</t>
  </si>
  <si>
    <t>https://t.co/oRBT7qDiwE https://pbs.twimg.com/media/F1otkBMXwAIc2F9.jpg</t>
  </si>
  <si>
    <t>https://t.co/ERWULJLVlX https://pbs.twimg.com/media/F2PgTdZW0AA_Cf7.jpg</t>
  </si>
  <si>
    <t>https://t.co/vvCMPF970l https://pbs.twimg.com/media/F6EODN7XQAAImcF.jpg</t>
  </si>
  <si>
    <t>https://t.co/sggHtaMNG0 https://pbs.twimg.com/media/F5rPp5YWsAAlE67.jpg</t>
  </si>
  <si>
    <t>https://t.co/RL7EvAcS4r https://pbs.twimg.com/media/F4FbyofWkAAzlls.jpg</t>
  </si>
  <si>
    <t>https://t.co/V4RowWa8Q8 https://pbs.twimg.com/media/F3hhe49WgAA-ILZ.jpg</t>
  </si>
  <si>
    <t>https://t.co/lx1q7y8wNm https://pbs.twimg.com/media/F6pELG_XAAAFonz.jpg</t>
  </si>
  <si>
    <t>https://t.co/YYsLaBNZwT https://pbs.twimg.com/media/F65cPW3XgAAdUB5.jpg</t>
  </si>
  <si>
    <t>https://t.co/gXIoDqB63g https://pbs.twimg.com/media/F6pEoLVX0AALWMl.jpg</t>
  </si>
  <si>
    <t>https://t.co/V9BkyxtREf https://pbs.twimg.com/media/F5rPd6xWwAA3PSU.jpg</t>
  </si>
  <si>
    <t>https://t.co/1b5wJJLPZc https://pbs.twimg.com/ext_tw_video_thumb/1676662529404162048/pu/img/pV7-gOlxJFFcDyGL.jpg</t>
  </si>
  <si>
    <t>https://t.co/ZN4fZIzaBv https://pbs.twimg.com/media/F3Pf9HsWcAIlBam.jpg</t>
  </si>
  <si>
    <t>https://t.co/vb8MUEfvx4 https://pbs.twimg.com/ext_tw_video_thumb/1685714458750976001/pu/img/pSSxOPj6Z1STGttS.jpg</t>
  </si>
  <si>
    <t>https://t.co/sKMpT7VUhN https://pbs.twimg.com/media/F4Poc0AaIAASM6v.jpg</t>
  </si>
  <si>
    <t>https://t.co/lfmxqSMvzL https://pbs.twimg.com/amplify_video_thumb/1698728847879868416/img/yplfukqFarj9vXGs.jpg</t>
  </si>
  <si>
    <t>https://t.co/Iy7GtmmO5r https://pbs.twimg.com/ext_tw_video_thumb/1692921201671229440/pu/img/vUAz2ZLB4wKeY-7y.jpg</t>
  </si>
  <si>
    <t>https://t.co/n3Ha5usnHe https://pbs.twimg.com/ext_tw_video_thumb/1698363688820822016/pu/img/bVCqBvIIA6FxFyAS.jpg</t>
  </si>
  <si>
    <t>https://t.co/1XMklfldHE https://pbs.twimg.com/ext_tw_video_thumb/1699430737131274240/pu/img/SQQOHaPT_TukxjU4.jpg</t>
  </si>
  <si>
    <t>https://t.co/vgfbEFI1IH https://pbs.twimg.com/ext_tw_video_thumb/1698900726720692224/pu/img/d1YrGxP5zHML0nBA.jpg</t>
  </si>
  <si>
    <t>https://t.co/lHFtOl0vWf https://pbs.twimg.com/media/F6EAC_oXoAEm1s9.jpg</t>
  </si>
  <si>
    <t>https://t.co/IISKHB1KKF https://pbs.twimg.com/media/F42RR-iWcAAMYP4.jpg</t>
  </si>
  <si>
    <t>https://t.co/Q1ZUC7swjg https://t.co/Q1ZUC7swjg https://t.co/Q1ZUC7swjg https://t.co/Q1ZUC7swjg https://pbs.twimg.com/media/F6vE6MHWEAApfAN.png https://pbs.twimg.com/media/F6vE6ixXYAA_dqm.png https://pbs.twimg.com/media/F6vE68_WwAA5Fpi.png https://pbs.twimg.com/media/F6vE7YDXAAADc3o.png</t>
  </si>
  <si>
    <t>https://t.co/SnZzbGK5s3 https://pbs.twimg.com/media/F6TZXR9WAAAE7z6.jpg</t>
  </si>
  <si>
    <t>https://t.co/Bmqy0wt1X9 https://pbs.twimg.com/media/F63BBuJXYAAQBT2.jpg</t>
  </si>
  <si>
    <t>https://t.co/bzrKUUF4sp https://pbs.twimg.com/ext_tw_video_thumb/1689476294394675201/pu/img/80JSPQae9NILz3Kf.jpg</t>
  </si>
  <si>
    <t>https://t.co/ijulYW5JAW https://pbs.twimg.com/ext_tw_video_thumb/1689471713875013632/pu/img/kuD1d7_KlbuSf7RN.jpg</t>
  </si>
  <si>
    <t>https://t.co/fLOuCZSdTi https://pbs.twimg.com/media/F1JX_AAX0AEugeX.jpg</t>
  </si>
  <si>
    <t>https://t.co/aPnDcJ5EBp https://pbs.twimg.com/media/F3KoICZXQAAe81D.jpg</t>
  </si>
  <si>
    <t>https://t.co/IisVZOwqvQ https://pbs.twimg.com/ext_tw_video_thumb/1694415073190567938/pu/img/SGmb1xrhc_WqFTKR.jpg</t>
  </si>
  <si>
    <t>https://t.co/58cWQK94RL https://pbs.twimg.com/media/F520l3bXoAAz9sO.jpg</t>
  </si>
  <si>
    <t>https://t.co/56R0TeqnyT https://pbs.twimg.com/ext_tw_video_thumb/1700190044831481856/pu/img/ueB6s4IoQmoeU6E2.jpg</t>
  </si>
  <si>
    <t>https://t.co/TVHXThxfZk https://pbs.twimg.com/ext_tw_video_thumb/1699475428832886784/pu/img/rfRjYRHkooVB1rM4.jpg</t>
  </si>
  <si>
    <t>https://t.co/NmUHiBeN0P https://pbs.twimg.com/media/F4nVpv5XkAEFfY2.jpg</t>
  </si>
  <si>
    <t>https://t.co/lMVRupAtQK https://pbs.twimg.com/media/F4NP7lVWkAA81Sf.jpg</t>
  </si>
  <si>
    <t>https://t.co/1VXDz0XPPd https://pbs.twimg.com/media/F4C6zVMWEAAZdL6.jpg</t>
  </si>
  <si>
    <t>https://t.co/W7p6mhRwAf https://pbs.twimg.com/ext_tw_video_thumb/1688505616023597056/pu/img/o0bzfeo0orLEr7lc.jpg</t>
  </si>
  <si>
    <t>https://t.co/wRUY8s3T91 https://pbs.twimg.com/media/F267ZzKXsAAVYII.jpg</t>
  </si>
  <si>
    <t>https://t.co/F9X0bpXcVs https://pbs.twimg.com/media/F2CZBAYXwAAglCE.jpg</t>
  </si>
  <si>
    <t>https://t.co/9ftFVaHLZB https://pbs.twimg.com/media/F005TZoXgAAKfA8.jpg</t>
  </si>
  <si>
    <t>https://t.co/OesrKgrI8O https://pbs.twimg.com/media/F0WEDp9XsAMaHDx.jpg</t>
  </si>
  <si>
    <t>https://t.co/3fIFME15sw https://pbs.twimg.com/media/F0Q65jFX0AIqe7R.jpg</t>
  </si>
  <si>
    <t>https://t.co/ps5kbfYAmY https://pbs.twimg.com/media/F5vKKfWW8AALu84.jpg</t>
  </si>
  <si>
    <t>https://t.co/nfhJ03NlVA https://pbs.twimg.com/media/F5AznbxW0AAN6Q9.jpg</t>
  </si>
  <si>
    <t>https://t.co/QtfBA44c86 https://pbs.twimg.com/media/F4SZOuxWkAAzcI2.jpg</t>
  </si>
  <si>
    <t>https://t.co/LiW1FjFqvE https://pbs.twimg.com/media/F3KSpuUWsAAWzgn.jpg</t>
  </si>
  <si>
    <t>https://t.co/1c3fMdzG9C https://pbs.twimg.com/media/F3FI9cOWUAA8a5n.jpg</t>
  </si>
  <si>
    <t>https://t.co/nHl3aZDrXs https://pbs.twimg.com/media/F3AA9DrWwAACkKC.jpg</t>
  </si>
  <si>
    <t>https://t.co/VCkpc2CjFB https://pbs.twimg.com/media/F2HTNsrXoAAFPEW.jpg</t>
  </si>
  <si>
    <t>https://t.co/kJ3ip5KWod https://pbs.twimg.com/media/F0vvTALXwAAyBXu.jpg</t>
  </si>
  <si>
    <t>https://t.co/hODCanmALM https://pbs.twimg.com/media/F0LvIq0X0AAN6ST.jpg</t>
  </si>
  <si>
    <t>https://t.co/ed33U34P9W https://pbs.twimg.com/media/F6JSAbsXoAE6Dn_.jpg</t>
  </si>
  <si>
    <t>https://t.co/nTqnm2ZQj3 https://pbs.twimg.com/media/F50JUkuXsAEiUr4.jpg</t>
  </si>
  <si>
    <t>https://t.co/LnQ5gerecN https://pbs.twimg.com/media/F5LNyYrW4AA4WRK.jpg</t>
  </si>
  <si>
    <t>https://t.co/i8QQbMmDYK https://pbs.twimg.com/ext_tw_video_thumb/1695802131796692992/pu/img/pyhk4UoZkNTReXPx.jpg</t>
  </si>
  <si>
    <t>https://t.co/fKjArcJ5Qz https://pbs.twimg.com/ext_tw_video_thumb/1695429218316828672/pu/img/2cgoH6VrO0JLJquq.jpg</t>
  </si>
  <si>
    <t>https://t.co/5Y3UefZstx https://pbs.twimg.com/media/F4dLBgbXwAAytJM.jpg</t>
  </si>
  <si>
    <t>https://t.co/KXKUYedAci https://pbs.twimg.com/media/F3UqcuWW0AECUYg.jpg</t>
  </si>
  <si>
    <t>https://t.co/7epbg6nTwu https://pbs.twimg.com/media/F2b_To4XoAAoH07.jpg</t>
  </si>
  <si>
    <t>https://t.co/LYNYqfBs1G https://pbs.twimg.com/media/F2XBz0lW0AMz0yd.jpg</t>
  </si>
  <si>
    <t>https://t.co/79VWfLTa5C https://pbs.twimg.com/media/F1O8HjVWYAAy6Bl.jpg</t>
  </si>
  <si>
    <t>https://t.co/dHIlfxsZcK https://pbs.twimg.com/media/F1EY5LOWYAA-FSX.jpg</t>
  </si>
  <si>
    <t>https://t.co/KNyNdH8lof https://pbs.twimg.com/media/F6YIakTXMAAgzhR.jpg</t>
  </si>
  <si>
    <t>https://t.co/HLdrUXccvN https://pbs.twimg.com/media/F5-btlZWIAAhm2G.jpg</t>
  </si>
  <si>
    <t>https://t.co/3nGeFuMzdo https://pbs.twimg.com/media/F42R8NCXkAAyj0Q.jpg</t>
  </si>
  <si>
    <t>https://t.co/OfrOvSs0Yf https://pbs.twimg.com/media/F35j08uWQAE6TI2.jpg</t>
  </si>
  <si>
    <t>https://t.co/uWFGof5PYH https://pbs.twimg.com/ext_tw_video_thumb/1687836311569190912/pu/img/vQjla5_CpkEx4rdp.jpg</t>
  </si>
  <si>
    <t>https://t.co/6atFlBAjyb https://pbs.twimg.com/ext_tw_video_thumb/1687792278016839680/pu/img/p4LRuuF_8en6x64q.jpg</t>
  </si>
  <si>
    <t>https://t.co/ezY1YIYRRM https://pbs.twimg.com/media/F2wxx-nXIAATExw.jpg</t>
  </si>
  <si>
    <t>https://t.co/btXehzCUMM https://pbs.twimg.com/media/F0qoB6tX0AAkKS8.jpg</t>
  </si>
  <si>
    <t>https://t.co/BRYUfyZaRB https://pbs.twimg.com/media/F6dXI-nXoAAOk75.jpg</t>
  </si>
  <si>
    <t>https://t.co/DkEKAdDx4n https://pbs.twimg.com/media/F6DwaZiXsAA9trt.jpg</t>
  </si>
  <si>
    <t>https://t.co/7LfSgmIiRK https://pbs.twimg.com/media/F6Dh3TcWEAALkZ4.jpg</t>
  </si>
  <si>
    <t>https://t.co/g7afPEOYt7 https://pbs.twimg.com/ext_tw_video_thumb/1701227052517482496/pu/img/tETPCwPj6blT51IK.jpg</t>
  </si>
  <si>
    <t>https://t.co/35kgUTaQu6 https://pbs.twimg.com/media/F5gBQJWWwAALXJx.jpg</t>
  </si>
  <si>
    <t>https://t.co/NJaerSJyb0 https://pbs.twimg.com/ext_tw_video_thumb/1697611146314788865/pu/img/ZZqUZyCxPn-lCc3u.jpg</t>
  </si>
  <si>
    <t>https://t.co/oVX3np7F4C https://pbs.twimg.com/media/F47hafOXYAAg4hl.jpg</t>
  </si>
  <si>
    <t>https://t.co/wD5z2rTKHp https://pbs.twimg.com/media/F4IIcCaWYAA9GRt.jpg</t>
  </si>
  <si>
    <t>https://t.co/I3lMUCM37S https://pbs.twimg.com/media/F3zfQxqXUAAvCSc.jpg</t>
  </si>
  <si>
    <t>https://t.co/UbPZl0jcuz https://pbs.twimg.com/media/F3uUmNZWAAA0Fz4.jpg</t>
  </si>
  <si>
    <t>https://t.co/UpW6MvkVBb https://pbs.twimg.com/media/F1zDREvWAAUlUHS.jpg</t>
  </si>
  <si>
    <t>https://t.co/UHlzA63q2i https://pbs.twimg.com/media/F0gxgtpWcAAmTm5.jpg</t>
  </si>
  <si>
    <t>https://t.co/GAuOXARoI8 https://pbs.twimg.com/media/F0bM3V6X0AEOKSe.jpg</t>
  </si>
  <si>
    <t>https://t.co/oAfr8m70Vz https://pbs.twimg.com/ext_tw_video_thumb/1705549231975456768/pu/img/FKlxKcr_uTNifOK9.jpg</t>
  </si>
  <si>
    <t>https://t.co/azwe1nFzxm https://pbs.twimg.com/media/F6tE37WXQAAhTo1.jpg</t>
  </si>
  <si>
    <t>https://t.co/HIlxlwrsfq https://pbs.twimg.com/media/F6ilGquW0AAmchh.jpg</t>
  </si>
  <si>
    <t>https://t.co/OePvzwb2t1 https://pbs.twimg.com/media/F5l25MUXkAAHNyX.jpg</t>
  </si>
  <si>
    <t>https://t.co/Nk3qMa4oF1 https://pbs.twimg.com/ext_tw_video_thumb/1698369008855056384/pu/img/UitgneBV4U9XkhrU.jpg</t>
  </si>
  <si>
    <t>https://t.co/gaDcqQzJ6L https://pbs.twimg.com/media/F4Xlb0HWAAAz1KH.jpg</t>
  </si>
  <si>
    <t>https://t.co/YpbgOWI58U https://pbs.twimg.com/media/F3PiJchWUAA_qV0.jpg</t>
  </si>
  <si>
    <t>https://t.co/sXUP1CHrAy https://pbs.twimg.com/media/F2NRGPXXcAAwSlH.jpg</t>
  </si>
  <si>
    <t>https://t.co/oWjCiaF7i2 https://pbs.twimg.com/media/F0_Mvd6XwAAS3lc.jpg</t>
  </si>
  <si>
    <t>https://t.co/xesbSpvwPt https://pbs.twimg.com/media/F06FUdpXsAUEzeX.jpg</t>
  </si>
  <si>
    <t>https://t.co/4hAQHfQKhj https://pbs.twimg.com/media/F68MMrUXEAArNAm.jpg</t>
  </si>
  <si>
    <t>https://t.co/arFUnIAjvG https://pbs.twimg.com/media/F63GwlsWYAAaKHv.jpg</t>
  </si>
  <si>
    <t>https://t.co/THetmKF3y5 https://pbs.twimg.com/media/F6TDPZ6X0AADt9_.jpg</t>
  </si>
  <si>
    <t>https://t.co/RQo8QDIRmZ https://pbs.twimg.com/media/F5QYPWRWEAAxIro.jpg</t>
  </si>
  <si>
    <t>https://t.co/Bz4kXJinIF https://pbs.twimg.com/media/F4sPTEEWUAApicP.jpg</t>
  </si>
  <si>
    <t>https://t.co/OlpciUxn1u https://pbs.twimg.com/media/F3j-dS4W8AA3jU8.jpg</t>
  </si>
  <si>
    <t>https://t.co/m8gD8bGhXc https://pbs.twimg.com/ext_tw_video_thumb/1681751640154537984/pu/img/n1NbSbBVZwtD5Rq-.jpg</t>
  </si>
  <si>
    <t>https://t.co/U4t3DWLV82 https://pbs.twimg.com/ext_tw_video_thumb/1681730958393765888/pu/img/krUrbdqmcOImKbOa.jpg</t>
  </si>
  <si>
    <t>https://t.co/JfqFrPmqCu https://pbs.twimg.com/media/F1ZKZqTWYAAod4y.jpg</t>
  </si>
  <si>
    <t>https://t.co/uffe4SVrha https://pbs.twimg.com/media/F1T5qZNWIAAhP8P.jpg</t>
  </si>
  <si>
    <t>https://t.co/FRV4xRJ4LL https://pbs.twimg.com/media/F7BVxPAXQAA1P_c.jpg</t>
  </si>
  <si>
    <t>https://t.co/ezLyIt0scM https://pbs.twimg.com/media/F55ROSbWUAA58ZF.jpg</t>
  </si>
  <si>
    <t>https://t.co/JWImNn5kGR https://pbs.twimg.com/media/F5VWBUSXoAA0_La.jpg</t>
  </si>
  <si>
    <t>https://t.co/Y7ECtZatR1 https://pbs.twimg.com/media/F4xOa1PXcAAxx0v.jpg</t>
  </si>
  <si>
    <t>https://t.co/6pR2lw4Iuz https://pbs.twimg.com/media/F3pSaKhXQAAoEwU.jpg</t>
  </si>
  <si>
    <t>https://t.co/zYweuUmttv https://pbs.twimg.com/ext_tw_video_thumb/1691471298025738240/pu/img/-8FNvsWc0RssG34Z.jpg</t>
  </si>
  <si>
    <t>https://t.co/CTxvUsEncl https://pbs.twimg.com/ext_tw_video_thumb/1687116432394653697/pu/img/5srpgYFDYO4PZ0lr.jpg</t>
  </si>
  <si>
    <t>https://t.co/j5JHprNkOQ https://pbs.twimg.com/ext_tw_video_thumb/1682779149750902786/pu/img/rKvuFWD5_QSCIyfO.jpg</t>
  </si>
  <si>
    <t>https://t.co/1nfrwBCkQd https://pbs.twimg.com/media/F1o1Ix4WwAAivzB.jpg</t>
  </si>
  <si>
    <t>https://t.co/eGuVvHObfC https://pbs.twimg.com/media/F1jcoZ9WAAIAhbo.jpg</t>
  </si>
  <si>
    <t>https://t.co/20Z6Q9YXWg https://pbs.twimg.com/media/F1eH9nxX0AAyYop.jpg</t>
  </si>
  <si>
    <t>https://t.co/IykYA7q5Tq https://pbs.twimg.com/ext_tw_video_thumb/1699026946196168705/pu/img/elqwI19O-1VDpJqI.jpg</t>
  </si>
  <si>
    <t>https://t.co/AczHTf7hn3 https://pbs.twimg.com/ext_tw_video_thumb/1699024601353711616/pu/img/vln_Y9unDKy0l6OI.jpg</t>
  </si>
  <si>
    <t>https://t.co/P12qYxPJsU https://t.co/P12qYxPJsU https://t.co/P12qYxPJsU https://t.co/P12qYxPJsU https://pbs.twimg.com/media/F0nG2HeWAAIFkcj.jpg https://pbs.twimg.com/media/F0nG2rwWcAEtQT6.jpg https://pbs.twimg.com/media/F0nG3KSXwAAciPY.jpg https://pbs.twimg.com/media/F0nG3lvXwAANQM9.jpg</t>
  </si>
  <si>
    <t>https://t.co/Ur3iIMnvPv https://pbs.twimg.com/ext_tw_video_thumb/1689373348646600704/pu/img/-NVy1KAG53AluV2T.jpg</t>
  </si>
  <si>
    <t>https://t.co/7LPiQqxFNV https://t.co/7LPiQqxFNV https://pbs.twimg.com/media/F7CrfieXcAAnU8U.jpg https://pbs.twimg.com/media/F7CriqoXgAAehTp.jpg</t>
  </si>
  <si>
    <t>https://t.co/IzG3VFegGf https://pbs.twimg.com/media/F2nM4GSaQAACOhf.jpg</t>
  </si>
  <si>
    <t>https://t.co/sCxMOjGwRK https://pbs.twimg.com/media/F2iEAHRWIAAsrRq.jpg</t>
  </si>
  <si>
    <t>https://t.co/HrgjfTSV1F https://pbs.twimg.com/media/F66AJcaXUAA76nP.jpg</t>
  </si>
  <si>
    <t>https://t.co/PTT6t93kxD https://pbs.twimg.com/ext_tw_video_thumb/1691216682298019840/pu/img/_NRwnc-kerjydV_1.jpg</t>
  </si>
  <si>
    <t>https://t.co/hG1FdT3IFX https://pbs.twimg.com/ext_tw_video_thumb/1697370578406027264/pu/img/yQAkPZH7VS4CIc3H.jpg</t>
  </si>
  <si>
    <t>https://t.co/QOC1otxEnf https://pbs.twimg.com/ext_tw_video_thumb/1697008867689783296/pu/img/icuI07l7KuhzH7TP.jpg</t>
  </si>
  <si>
    <t>https://t.co/ifAT7Ja3ua https://pbs.twimg.com/ext_tw_video_thumb/1697008867551404033/pu/img/UWqoJkv1iP0v3ZbZ.jpg</t>
  </si>
  <si>
    <t>https://t.co/dqZtBrkQXs https://pbs.twimg.com/ext_tw_video_thumb/1696633750216421377/pu/img/9wbkc8ds-ZfjojvJ.jpg</t>
  </si>
  <si>
    <t>https://t.co/zPXMFxZnIN https://pbs.twimg.com/ext_tw_video_thumb/1691568580645601280/pu/img/_agMkWFtiqrPx5t2.jpg</t>
  </si>
  <si>
    <t>https://t.co/kjjdgn2sWA https://pbs.twimg.com/ext_tw_video_thumb/1699551843221716992/pu/img/A2M-KdVomcWgZFu1.jpg</t>
  </si>
  <si>
    <t>https://t.co/rWc9umusBz https://pbs.twimg.com/ext_tw_video_thumb/1697218607845896192/pu/img/YP16A8usJ-31yI65.jpg</t>
  </si>
  <si>
    <t>https://t.co/LBQ5VuuI6k https://pbs.twimg.com/ext_tw_video_thumb/1694099775795146752/pu/img/zcGc95Mrl_B4phal.jpg</t>
  </si>
  <si>
    <t>https://t.co/CH4CBpUWbT https://pbs.twimg.com/ext_tw_video_thumb/1698448603432226817/pu/img/IxjiOqhJebjoA7yb.jpg</t>
  </si>
  <si>
    <t>https://t.co/QITvTARTqI https://pbs.twimg.com/ext_tw_video_thumb/1698137250674921472/pu/img/BqYndpbYj9ZuIOGM.jpg</t>
  </si>
  <si>
    <t>https://t.co/UzlUj7BzNd https://pbs.twimg.com/ext_tw_video_thumb/1697995309639413760/pu/img/pQeTWQCegj53FlKd.jpg</t>
  </si>
  <si>
    <t>https://t.co/PilfihUHrL https://pbs.twimg.com/ext_tw_video_thumb/1698840093161656320/pu/img/kzxSWy9g1TvhyzIp.jpg</t>
  </si>
  <si>
    <t>https://t.co/xcIb5I4wiH https://pbs.twimg.com/ext_tw_video_thumb/1700188300923867136/pu/img/krPtc_gklzMe7Mnk.jpg</t>
  </si>
  <si>
    <t>https://t.co/XiCxbDCXsU https://pbs.twimg.com/ext_tw_video_thumb/1697639992523124736/pu/img/cKc0Tnoa1j_B0RKz.jpg</t>
  </si>
  <si>
    <t>https://t.co/TN53gAwhD0 https://pbs.twimg.com/media/F4NgcVEaYAAwZCe.jpg</t>
  </si>
  <si>
    <t>https://t.co/R0TbJvk4B5 https://t.co/R0TbJvk4B5 https://pbs.twimg.com/media/F2NNihPWcAE7qx8.jpg https://pbs.twimg.com/media/F2NNihLWwAAD8qR.jpg</t>
  </si>
  <si>
    <t>https://t.co/iGILBD4d5c https://t.co/iGILBD4d5c https://pbs.twimg.com/media/F0Xme5CWABIz0r6.jpg https://pbs.twimg.com/media/F0XmfHbWABYm2ZI.jpg</t>
  </si>
  <si>
    <t>https://t.co/rPqOT0XI3C https://pbs.twimg.com/media/F5Jn4b_WQAArhDo.jpg</t>
  </si>
  <si>
    <t>https://t.co/1yLLmYCPfK https://pbs.twimg.com/media/F6ftlLzWcAEv81F.jpg</t>
  </si>
  <si>
    <t>https://t.co/o5pfNroRt0 https://pbs.twimg.com/ext_tw_video_thumb/1704575888694661120/pu/img/RAOt9urrLF7gO6QB.jpg</t>
  </si>
  <si>
    <t>https://t.co/6bYJK6KSf0 https://pbs.twimg.com/media/F6ft1yhXIAAlH3D.jpg</t>
  </si>
  <si>
    <t>https://t.co/bhMt2jS4pL https://pbs.twimg.com/media/F6ft7wgWAAE86l9.jpg</t>
  </si>
  <si>
    <t>https://t.co/OlV4XxH8ea https://pbs.twimg.com/media/F6ftx4KW4AAjMEm.jpg</t>
  </si>
  <si>
    <t>https://t.co/5S1iKnGDHV https://pbs.twimg.com/media/F6ftpmYWwAEvRxA.jpg</t>
  </si>
  <si>
    <t>https://t.co/gyDyy7CQSJ https://pbs.twimg.com/media/F6ftX6MX0AEW9O1.jpg</t>
  </si>
  <si>
    <t>https://t.co/5jtu88QXMg https://pbs.twimg.com/media/F6ftuSPXMAABvUN.jpg</t>
  </si>
  <si>
    <t>https://t.co/d6H0nksCrq https://t.co/d6H0nksCrq https://t.co/d6H0nksCrq https://t.co/d6H0nksCrq https://pbs.twimg.com/media/F6VA6pqWQAAi7_I.jpg https://pbs.twimg.com/media/F6VA6qjXEAA46Tn.jpg https://pbs.twimg.com/media/F6VA6rZWsAATVDI.jpg https://pbs.twimg.com/media/F6VA6sCWcAAYyNm.jpg</t>
  </si>
  <si>
    <t>https://t.co/hFDUEbmWDJ https://t.co/hFDUEbmWDJ https://t.co/hFDUEbmWDJ https://t.co/hFDUEbmWDJ https://pbs.twimg.com/media/F6U-W91WcAAztJ8.jpg https://pbs.twimg.com/media/F6U-XAYWkAAwzfQ.jpg https://pbs.twimg.com/media/F6U-XBtXIAEH9ha.jpg https://pbs.twimg.com/media/F6U-XCDWQAAuHAH.jpg</t>
  </si>
  <si>
    <t>https://t.co/ALCwBJKjaS https://pbs.twimg.com/ext_tw_video_thumb/1682047793211244544/pu/img/BAnQRcRP3I3_4RUl.jpg</t>
  </si>
  <si>
    <t>https://t.co/UePZsA5UEW https://pbs.twimg.com/media/F6gkQ75XQAAvY5k.jpg</t>
  </si>
  <si>
    <t>https://t.co/eizyqXIVrY https://pbs.twimg.com/media/F0UHuWHWAAEhuk-.jpg</t>
  </si>
  <si>
    <t>https://t.co/lQ8UbLkhBY https://pbs.twimg.com/media/F0UG6UtWIAIpLL3.jpg</t>
  </si>
  <si>
    <t>https://t.co/IgBcas64YV https://pbs.twimg.com/media/F5m6HZ0WIAA7DGO.jpg</t>
  </si>
  <si>
    <t>https://t.co/yinpnP2Pkc https://pbs.twimg.com/ext_tw_video_thumb/1677278937280331781/pu/img/riopQZ9gkl3YmV2w.jpg</t>
  </si>
  <si>
    <t>https://t.co/WLfDWBifmn https://pbs.twimg.com/ext_tw_video_thumb/1678386179408789506/pu/img/3GF6qCHc-JwuBhcc.jpg</t>
  </si>
  <si>
    <t>https://t.co/UM8ZcfLtNA https://pbs.twimg.com/ext_tw_video_thumb/1680218192642179072/pu/img/pihJe2sPE_NkL26_.jpg</t>
  </si>
  <si>
    <t>https://t.co/1hCEbpHVT4 https://pbs.twimg.com/media/F0INTcMWIBEi4ZF.jpg</t>
  </si>
  <si>
    <t>https://t.co/I17VOS3mJy https://pbs.twimg.com/media/F2ssSb4WIAALm_R.jpg</t>
  </si>
  <si>
    <t>https://t.co/efUx6t4LXH https://pbs.twimg.com/ext_tw_video_thumb/1678742081257209856/pu/img/apcQAJ-EeNeOrksE.jpg</t>
  </si>
  <si>
    <t>https://t.co/AOVYC7C3u0 https://pbs.twimg.com/media/F1zmNAtWwAQcyqm.jpg</t>
  </si>
  <si>
    <t>https://t.co/XVFXn0euO7 https://pbs.twimg.com/media/F1zjyYTWYAIGFuH.jpg</t>
  </si>
  <si>
    <t>https://t.co/w7GqFvVpdB https://pbs.twimg.com/media/F6QO4V9XgAAsSeJ.jpg</t>
  </si>
  <si>
    <t>https://t.co/TH0P5MuRem https://pbs.twimg.com/ext_tw_video_thumb/1705368981819768832/pu/img/VdUWPgK-dDyV7TKh.jpg</t>
  </si>
  <si>
    <t>https://t.co/uNb8cGmvuQ https://pbs.twimg.com/ext_tw_video_thumb/1705549050961911808/pu/img/-5XOCIB23_Vy2mkG.jpg</t>
  </si>
  <si>
    <t>https://t.co/yRIjOOhNv8 https://pbs.twimg.com/ext_tw_video_thumb/1705973605954101248/pu/img/43W9d-6b-JNk_Ygj.jpg</t>
  </si>
  <si>
    <t>https://t.co/d4NnbgNZOD https://pbs.twimg.com/ext_tw_video_thumb/1678134443389616131/pu/img/78OXxggj1qsskNw8.jpg</t>
  </si>
  <si>
    <t>https://t.co/yNXu3FJ19v https://pbs.twimg.com/media/F03KalPXsAAl2Zs.jpg</t>
  </si>
  <si>
    <t>https://t.co/gP3CWSpFHy https://t.co/gP3CWSpFHy https://t.co/gP3CWSpFHy https://pbs.twimg.com/media/F2nRgbNbsAA8GHX.jpg https://pbs.twimg.com/media/F2nRgp1bsAEJfk1.jpg https://pbs.twimg.com/media/F2nRg3fbMAAgX8W.jpg</t>
  </si>
  <si>
    <t>https://t.co/Bn1EMR4fQd https://pbs.twimg.com/ext_tw_video_thumb/1688601196473282581/pu/img/K5QMgJ2tLTvr4yPd.jpg</t>
  </si>
  <si>
    <t>https://t.co/UtybV8uvzC https://pbs.twimg.com/ext_tw_video_thumb/1679238094170599425/pu/img/yc0nbHZ5kHoE8nFh.jpg</t>
  </si>
  <si>
    <t>https://t.co/qdDOQWrCY7 https://pbs.twimg.com/ext_tw_video_thumb/1679191522053324812/pu/img/zx8dZKFK0qlSLwTn.jpg</t>
  </si>
  <si>
    <t>https://t.co/ojJ0Yhg60J https://pbs.twimg.com/ext_tw_video_thumb/1679131044706910208/pu/img/nLpRg_K9Q8a9ZLsP.jpg</t>
  </si>
  <si>
    <t>https://t.co/epUyK9ivEf https://pbs.twimg.com/ext_tw_video_thumb/1676697695610699778/pu/img/jaJblNfCJyFTr8T-.jpg</t>
  </si>
  <si>
    <t>https://t.co/oEVRAgPM04 https://pbs.twimg.com/ext_tw_video_thumb/1676652316890480640/pu/img/Djc1B8jFtb380sbS.jpg</t>
  </si>
  <si>
    <t>https://t.co/mJd5djwsGl https://pbs.twimg.com/ext_tw_video_thumb/1676335268587028481/pu/img/YOIy9nsHRBToaJju.jpg</t>
  </si>
  <si>
    <t>https://t.co/GKOUWFjagU https://pbs.twimg.com/ext_tw_video_thumb/1676289989498249245/pu/img/HPKF5GiscRHlDv7W.jpg</t>
  </si>
  <si>
    <t>https://t.co/W0Pdt5HIy6 https://pbs.twimg.com/ext_tw_video_thumb/1683840876790042624/pu/img/9banFSGNIq5ce3rF.jpg</t>
  </si>
  <si>
    <t>https://t.co/xr7P41A95F https://pbs.twimg.com/ext_tw_video_thumb/1678539771641995265/pu/img/OcFH7hED8hROMBSW.jpg</t>
  </si>
  <si>
    <t>https://t.co/zKiDyzzSKE https://pbs.twimg.com/ext_tw_video_thumb/1678509621701496839/pu/img/BydSXlmM8thkyJxG.jpg</t>
  </si>
  <si>
    <t>https://t.co/QMJVz7Nk1L https://pbs.twimg.com/ext_tw_video_thumb/1678490652139569152/pu/img/n1ZNR0xh5DqoWAFk.jpg</t>
  </si>
  <si>
    <t>https://t.co/P5HbtY4UHZ https://pbs.twimg.com/ext_tw_video_thumb/1678147219327680513/pu/img/Az9IERkHENKEPXIO.jpg</t>
  </si>
  <si>
    <t>https://t.co/RT3J8CjhnK https://pbs.twimg.com/ext_tw_video_thumb/1678101882097606657/pu/img/qeg3mJmx3j7FJulb.jpg</t>
  </si>
  <si>
    <t>https://t.co/Wldm7JZdnZ https://pbs.twimg.com/ext_tw_video_thumb/1678041509038374912/pu/img/Z40rmZljYtw3dV_2.jpg</t>
  </si>
  <si>
    <t>https://t.co/22IgGPt7UL https://pbs.twimg.com/ext_tw_video_thumb/1677784821794234369/pu/img/voD3fvJ-4XOL7_6p.jpg</t>
  </si>
  <si>
    <t>https://t.co/CFqWwVL58s https://pbs.twimg.com/ext_tw_video_thumb/1677739509008482305/pu/img/gGXQ6-fq5b2g3xk8.jpg</t>
  </si>
  <si>
    <t>https://t.co/ZqIpRZDjQ1 https://pbs.twimg.com/ext_tw_video_thumb/1677679107272736768/pu/img/Vgz6kTFhL_ycWtdC.jpg</t>
  </si>
  <si>
    <t>https://t.co/xkWoE8TPsT https://pbs.twimg.com/ext_tw_video_thumb/1683481070501609479/pu/img/dR6xuMUdoD04ugSh.jpg</t>
  </si>
  <si>
    <t>https://t.co/cV8IKyZu0l https://pbs.twimg.com/ext_tw_video_thumb/1683479717666516993/pu/img/rXrn8j7IHoCtOnC5.jpg</t>
  </si>
  <si>
    <t>https://t.co/9JlcVm3ohd https://pbs.twimg.com/ext_tw_video_thumb/1683175306994102273/pu/img/Mnc1TKol4F3yWqz1.jpg</t>
  </si>
  <si>
    <t>https://t.co/taqcivlXRJ https://pbs.twimg.com/ext_tw_video_thumb/1677422432590725120/pu/img/JtRI7NqMuq3cdjBq.jpg</t>
  </si>
  <si>
    <t>https://t.co/4Z8DuhZ11g https://pbs.twimg.com/ext_tw_video_thumb/1677377097650561027/pu/img/VQjeB4PGYlaqHn18.jpg</t>
  </si>
  <si>
    <t>https://t.co/fjAnLZnTLU https://pbs.twimg.com/ext_tw_video_thumb/1677316720602619906/pu/img/3ylEAfwYxSlSEONW.jpg</t>
  </si>
  <si>
    <t>https://t.co/p1cbi7o35n https://pbs.twimg.com/ext_tw_video_thumb/1677014733793157129/pu/img/-_ev9Wt5NC8OBR59.jpg</t>
  </si>
  <si>
    <t>https://t.co/Upe2hBIpYD https://pbs.twimg.com/ext_tw_video_thumb/1681002135465476105/pu/img/hdL4WyUiZHB6X1on.jpg</t>
  </si>
  <si>
    <t>https://t.co/P24lMp7vk0 https://pbs.twimg.com/ext_tw_video_thumb/1680642231898611720/pu/img/3meb4f_RnPPaINrR.jpg</t>
  </si>
  <si>
    <t>https://t.co/c9TPWb2Pvp https://pbs.twimg.com/ext_tw_video_thumb/1680581856507437056/pu/img/fP7TRwp4AvrrhBht.jpg</t>
  </si>
  <si>
    <t>https://t.co/BxgtOT8GH0 https://pbs.twimg.com/ext_tw_video_thumb/1680321522240569344/pu/img/fM5iIB86CbW5LHdR.jpg</t>
  </si>
  <si>
    <t>https://t.co/11GxKEWhIY https://pbs.twimg.com/ext_tw_video_thumb/1680278585326567424/pu/img/0AS_lLkEUm8NkS6y.jpg</t>
  </si>
  <si>
    <t>https://t.co/j71ZxDKfzq https://pbs.twimg.com/ext_tw_video_thumb/1680215837783760896/pu/img/Z2JkSUBwNbgamrdt.jpg</t>
  </si>
  <si>
    <t>https://t.co/e4qVZWcHnU https://pbs.twimg.com/ext_tw_video_thumb/1679961570141429766/pu/img/2cikQSgyyrmobhrO.jpg</t>
  </si>
  <si>
    <t>https://t.co/nipvpoUFlZ https://pbs.twimg.com/ext_tw_video_thumb/1684926888198668288/pu/img/XhUXyH4cUGewVcEn.jpg</t>
  </si>
  <si>
    <t>https://t.co/itTg86CeQN https://pbs.twimg.com/ext_tw_video_thumb/1684564489814020097/pu/img/_ja5p7T3hj2gyiIe.jpg</t>
  </si>
  <si>
    <t>https://t.co/dydDY6Rl3P https://pbs.twimg.com/ext_tw_video_thumb/1678826682562539521/pu/img/eGQPo6kDX-Nka6vp.jpg</t>
  </si>
  <si>
    <t>https://t.co/rYiG2uMVAG https://pbs.twimg.com/ext_tw_video_thumb/1678766255745167365/pu/img/VaV0yASyZSbSLZDi.jpg</t>
  </si>
  <si>
    <t>https://t.co/crav2jW770 https://pbs.twimg.com/ext_tw_video_thumb/1676229537246347264/pu/img/i_mvQkgqNs_t7OFA.jpg</t>
  </si>
  <si>
    <t>https://t.co/7xmuCmRB59 https://pbs.twimg.com/ext_tw_video_thumb/1676199353743036418/pu/img/Wus8XGfTAWDa_MGV.jpg</t>
  </si>
  <si>
    <t>https://t.co/zsmORPnzg1 https://pbs.twimg.com/ext_tw_video_thumb/1675927569256816650/pu/img/WKQF284jgEGNy0dX.jpg</t>
  </si>
  <si>
    <t>https://t.co/sA6vTS6fAs https://pbs.twimg.com/ext_tw_video_thumb/1675867165499482117/pu/img/FSiARd_xgELZAYqc.jpg</t>
  </si>
  <si>
    <t>https://t.co/MXpvAVrIkY https://pbs.twimg.com/ext_tw_video_thumb/1685651652651442176/pu/img/4uj4_Iluf-9_mY4z.jpg</t>
  </si>
  <si>
    <t>https://t.co/KSWeptMfjp https://pbs.twimg.com/ext_tw_video_thumb/1685290383855460352/pu/img/7TU7hHTIZQgT4xTI.jpg</t>
  </si>
  <si>
    <t>https://t.co/5m58Zy46Ub https://pbs.twimg.com/ext_tw_video_thumb/1685289268355137537/pu/img/ZMA5I4zglwsR9DMm.jpg</t>
  </si>
  <si>
    <t>https://t.co/PaaL3cr09v https://pbs.twimg.com/ext_tw_video_thumb/1679913850299088919/pu/img/nbv5L3E5JuZte_pQ.jpg</t>
  </si>
  <si>
    <t>https://t.co/dhVF9ZXuGz https://pbs.twimg.com/ext_tw_video_thumb/1679853473251176448/pu/img/I-B-o74coIyX_Yut.jpg</t>
  </si>
  <si>
    <t>https://t.co/L4aKdD28rc https://pbs.twimg.com/ext_tw_video_thumb/1679849576079978497/pu/img/5rOvXBFfwitLmn4T.jpg</t>
  </si>
  <si>
    <t>https://t.co/KjbWuQwlUy https://pbs.twimg.com/ext_tw_video_thumb/1679602910777208832/pu/img/lBCAAXfusZR9lFR2.jpg</t>
  </si>
  <si>
    <t>https://t.co/hIDn8HEih6 https://pbs.twimg.com/ext_tw_video_thumb/1679556357358231569/pu/img/JJ8jFh71ccN6oEi9.jpg</t>
  </si>
  <si>
    <t>https://t.co/Du4wDETdw1 https://pbs.twimg.com/ext_tw_video_thumb/1679494744555044864/pu/img/BBJzoY-z4Snh0c0U.jpg</t>
  </si>
  <si>
    <t>https://t.co/0r04qZT64u https://pbs.twimg.com/ext_tw_video_thumb/1687102396487569408/pu/img/TmMUvcV7n_lGqmDe.jpg</t>
  </si>
  <si>
    <t>https://t.co/RBlYVXeY9C https://pbs.twimg.com/ext_tw_video_thumb/1687101226721357825/pu/img/aTI6zUCef2mwMle4.jpg</t>
  </si>
  <si>
    <t>https://t.co/5QjmiAc8J5 https://pbs.twimg.com/ext_tw_video_thumb/1686872036184875008/pu/img/NAKWySo_CsY4Thzh.jpg</t>
  </si>
  <si>
    <t>https://t.co/lJRasABVlC https://pbs.twimg.com/ext_tw_video_thumb/1686795378727759872/pu/img/qMwYDLhRUNTtBWcQ.jpg</t>
  </si>
  <si>
    <t>https://t.co/7Ezo5BbwHX https://pbs.twimg.com/ext_tw_video_thumb/1686741211132895234/pu/img/t8SG6hHU3n7SAgQP.jpg</t>
  </si>
  <si>
    <t>https://t.co/6jvEGoHj6V https://pbs.twimg.com/ext_tw_video_thumb/1683114994018205697/pu/img/PKAF4_lxqCKD7lb1.jpg</t>
  </si>
  <si>
    <t>https://t.co/VoLxFSV7hm https://pbs.twimg.com/ext_tw_video_thumb/1682753677214318593/pu/img/kuegvYfvUyGArmXe.jpg</t>
  </si>
  <si>
    <t>https://t.co/4S7ojboQYi https://pbs.twimg.com/ext_tw_video_thumb/1682752544123105284/pu/img/MmJ4xk7Ced_2u0hl.jpg</t>
  </si>
  <si>
    <t>https://t.co/7cHspLuDDZ https://pbs.twimg.com/ext_tw_video_thumb/1682391387411566592/pu/img/_E01r4UtxsnJB1VE.jpg</t>
  </si>
  <si>
    <t>https://t.co/6y6Hu8gR77 https://pbs.twimg.com/ext_tw_video_thumb/1682390176994131968/pu/img/EH6_pcZFYP_hoHpF.jpg</t>
  </si>
  <si>
    <t>https://t.co/a3jXd94gh2 https://pbs.twimg.com/ext_tw_video_thumb/1682088170752450565/pu/img/837t_dqlizLM7ahh.jpg</t>
  </si>
  <si>
    <t>https://t.co/bs3mX7k2JZ https://pbs.twimg.com/ext_tw_video_thumb/1682027771487477761/pu/img/P3syYtq94VRkzqj1.jpg</t>
  </si>
  <si>
    <t>https://t.co/T83Pe0hqdM https://pbs.twimg.com/ext_tw_video_thumb/1686739990150103040/pu/img/7VNGLQ9uq8hIrDSN.jpg</t>
  </si>
  <si>
    <t>https://t.co/0R7CkWSwDw https://pbs.twimg.com/ext_tw_video_thumb/1686738844861767680/pu/img/VuADldS_tLP-25A-.jpg</t>
  </si>
  <si>
    <t>https://t.co/cxbBXGAgtD https://pbs.twimg.com/ext_tw_video_thumb/1686441723105333260/pu/img/6vxvVAseAMpma3tO.jpg</t>
  </si>
  <si>
    <t>https://t.co/qyLkeKRv5i https://pbs.twimg.com/ext_tw_video_thumb/1681726908319293440/pu/img/QkiBRsmZV7ZmQL3g.jpg</t>
  </si>
  <si>
    <t>https://t.co/lJqrje8R8O https://pbs.twimg.com/ext_tw_video_thumb/1681364513533067265/pu/img/c1UKV3wTUKzRbhAL.jpg</t>
  </si>
  <si>
    <t>https://t.co/l21sxppH2J https://pbs.twimg.com/ext_tw_video_thumb/1681302981806010369/pu/img/Kw5iZU8gteUDNdgW.jpg</t>
  </si>
  <si>
    <t>https://t.co/JHo5TJdSZG https://pbs.twimg.com/ext_tw_video_thumb/1681061431557386244/pu/img/DpyZBBHOTGuXM01K.jpg</t>
  </si>
  <si>
    <t>https://t.co/EWeC5sBHqY https://pbs.twimg.com/media/F6nkOMFW4AA4n2S.jpg</t>
  </si>
  <si>
    <t>https://t.co/64IzlW3gX0 https://pbs.twimg.com/media/F0Seh3AXgAwttzP.jpg</t>
  </si>
  <si>
    <t>https://t.co/87Zk8u5BXP https://pbs.twimg.com/media/F6V-XRWWkAAl7D1.jpg</t>
  </si>
  <si>
    <t>https://t.co/uE75268qw6 https://pbs.twimg.com/media/F1j23PUWAAEqfpk.jpg</t>
  </si>
  <si>
    <t>https://t.co/StcVH7KdDQ https://pbs.twimg.com/ext_tw_video_thumb/1696813061716512768/pu/img/waBKZ4FovU2hqUHt.jpg</t>
  </si>
  <si>
    <t>https://t.co/cwa9UcvmaM https://t.co/cwa9UcvmaM https://pbs.twimg.com/media/F4rv6WrbMAAijtz.jpg https://pbs.twimg.com/media/F4rv6Wsa8AAo_-j.jpg</t>
  </si>
  <si>
    <t>https://t.co/ssUipo6f9H https://pbs.twimg.com/media/F5q4JGyWIAAmQYF.jpg</t>
  </si>
  <si>
    <t>https://t.co/S6zHzHzfUj https://pbs.twimg.com/media/F63IW9AWgAARBx6.jpg</t>
  </si>
  <si>
    <t>https://t.co/iamJ3HtYPG https://pbs.twimg.com/ext_tw_video_thumb/1697284158291058689/pu/img/5WJeFDIGMJfCSCTv.jpg</t>
  </si>
  <si>
    <t>https://t.co/3pN7oA0dvo https://pbs.twimg.com/ext_tw_video_thumb/1703046527378137088/pu/img/yFQx945Gm_VpJfCV.jpg</t>
  </si>
  <si>
    <t>https://t.co/PiCNeCzP89 https://pbs.twimg.com/media/F3B4cpyXkAAbxh0.jpg</t>
  </si>
  <si>
    <t>https://t.co/Mo19RCpMyb https://pbs.twimg.com/media/F284zl5WIAAjFdY.jpg</t>
  </si>
  <si>
    <t>https://t.co/pMtX58zmJQ https://pbs.twimg.com/media/F2nZYObboAID0PG.jpg</t>
  </si>
  <si>
    <t>https://t.co/SpeOgj5JLJ https://pbs.twimg.com/media/F36oh4wXQAEFpse.jpg</t>
  </si>
  <si>
    <t>https://t.co/OPL4ALJsfK https://pbs.twimg.com/media/F0soJiJWcAwi9J5.jpg</t>
  </si>
  <si>
    <t>https://t.co/m6tysadPGz https://pbs.twimg.com/ext_tw_video_thumb/1677720612515479552/pu/img/4Rw2pAdrW_e_s6Gp.jpg</t>
  </si>
  <si>
    <t>https://t.co/jN3eO2wSPV https://pbs.twimg.com/ext_tw_video_thumb/1690015190203383808/pu/img/IA9_3K6-Yr0deK2_.jpg</t>
  </si>
  <si>
    <t>https://t.co/4l2VfPStCf https://pbs.twimg.com/ext_tw_video_thumb/1689989478381649920/pu/img/cII1DHrPS3cgDCH-.jpg</t>
  </si>
  <si>
    <t>https://t.co/5Bhw62If2n https://pbs.twimg.com/ext_tw_video_thumb/1697629334171766784/pu/img/N5VfXcOwh4NimBA1.jpg</t>
  </si>
  <si>
    <t>https://t.co/OlOVvgLskD https://pbs.twimg.com/ext_tw_video_thumb/1698696155394129920/pu/img/WrRMR-UhydkhCFn7.jpg</t>
  </si>
  <si>
    <t>https://t.co/w8rW8U3Fxg https://pbs.twimg.com/ext_tw_video_thumb/1686032409949573120/pu/img/axggnafqLb45j2_n.jpg</t>
  </si>
  <si>
    <t>https://t.co/9yoydv9ncj https://pbs.twimg.com/ext_tw_video_thumb/1697977318587686912/pu/img/PKETTNUIpLTxJZph.jpg</t>
  </si>
  <si>
    <t>https://t.co/O4suAn5ids https://pbs.twimg.com/ext_tw_video_thumb/1704129798300401664/pu/img/lPVSECTJ5Ug3PZMV.jpg</t>
  </si>
  <si>
    <t>https://t.co/ZYXmQ2ilzT https://pbs.twimg.com/ext_tw_video_thumb/1697606368658612224/pu/img/fkJ9D9GhGzK9XJjJ.jpg</t>
  </si>
  <si>
    <t>https://t.co/BZP60wulI3 https://pbs.twimg.com/ext_tw_video_thumb/1692153497431547904/pu/img/uMM2LE-q3F035tRo.jpg</t>
  </si>
  <si>
    <t>https://t.co/0FYy1s37ew https://pbs.twimg.com/ext_tw_video_thumb/1704628722043654144/pu/img/WqHzJ8d-nUMX6ZJl.jpg</t>
  </si>
  <si>
    <t>https://t.co/OJtuU8MQBu https://pbs.twimg.com/ext_tw_video_thumb/1692924811335405568/pu/img/WlM0Dp69FLFSU25g.jpg</t>
  </si>
  <si>
    <t>https://t.co/gYusBXKcG7 https://pbs.twimg.com/ext_tw_video_thumb/1692658803378929664/pu/img/aqI8LW-M51teEZMe.jpg</t>
  </si>
  <si>
    <t>https://t.co/q44LClvYtg https://pbs.twimg.com/ext_tw_video_thumb/1692505265344565248/pu/img/8dbE4dxJZkYkpLyb.jpg</t>
  </si>
  <si>
    <t>https://t.co/lqmRfxFhlK https://pbs.twimg.com/ext_tw_video_thumb/1705593471896027136/pu/img/d_ES8eQR_bcttt1W.jpg</t>
  </si>
  <si>
    <t>https://t.co/BSSGlfgbPO https://pbs.twimg.com/ext_tw_video_thumb/1691823377634205697/pu/img/iclr6FS6nS9Sbtqa.jpg</t>
  </si>
  <si>
    <t>https://t.co/2KdebAYs7z https://pbs.twimg.com/ext_tw_video_thumb/1691595663803355138/pu/img/dqQWNmSv8qKPMa9n.jpg</t>
  </si>
  <si>
    <t>https://t.co/H2EkcorAKy https://pbs.twimg.com/ext_tw_video_thumb/1687120447417065473/pu/img/2rInVKXuSZfqoSTV.jpg</t>
  </si>
  <si>
    <t>https://t.co/Ks39pYHKQD https://pbs.twimg.com/ext_tw_video_thumb/1686772902736117760/pu/img/yW-JK3jbCkOT8vmS.jpg</t>
  </si>
  <si>
    <t>https://t.co/JTRJIxY2iQ https://pbs.twimg.com/ext_tw_video_thumb/1706667295081406464/pu/img/eaDaI-IhxOTiprMR.jpg</t>
  </si>
  <si>
    <t>https://t.co/kCewvSRDQW https://pbs.twimg.com/ext_tw_video_thumb/1704483541810085888/pu/img/pDAj_wwN2REMaDKu.jpg</t>
  </si>
  <si>
    <t>https://t.co/0Gv8SkgH1J https://pbs.twimg.com/ext_tw_video_thumb/1691421204274446336/pu/img/x4P6PMitZQvE8bAK.jpg</t>
  </si>
  <si>
    <t>https://t.co/irM0H9nl5d https://pbs.twimg.com/ext_tw_video_thumb/1691083641982455810/pu/img/yy7Cr7CPREbp3DoF.jpg</t>
  </si>
  <si>
    <t>https://t.co/aoiwtRx9PL https://pbs.twimg.com/media/F0xu2rtXwAERIwW.jpg</t>
  </si>
  <si>
    <t>https://t.co/ljGGyB6Oy6 https://pbs.twimg.com/media/F4zgdIzWsAASEwx.jpg</t>
  </si>
  <si>
    <t>https://t.co/A9I5O32yiu https://pbs.twimg.com/media/F12IrC4XoAMo56H.jpg</t>
  </si>
  <si>
    <t>https://t.co/Pi3076jfm8 https://pbs.twimg.com/ext_tw_video_thumb/1703788919186169856/pu/img/SKzM1vTfo1XXZlpx.jpg</t>
  </si>
  <si>
    <t>https://t.co/6bs6eH6cLG https://pbs.twimg.com/media/F3AOkKcWIAASD1K.png</t>
  </si>
  <si>
    <t>https://t.co/DXcEWk78kJ https://pbs.twimg.com/media/F3lO9ORXIAIpucD.jpg</t>
  </si>
  <si>
    <t>https://t.co/ANpKdmt0jn https://pbs.twimg.com/ext_tw_video_thumb/1686120089865609218/pu/img/4yeViGHSeCJZ5S15.jpg</t>
  </si>
  <si>
    <t>https://t.co/VeKS263hOP https://pbs.twimg.com/media/F0rfhcQXsAEPPrs.jpg</t>
  </si>
  <si>
    <t>https://t.co/6Kx6Z1Ek6B https://pbs.twimg.com/media/F30dSmPWoAAUbOZ.jpg</t>
  </si>
  <si>
    <t>https://t.co/JHVYJt0w5P https://pbs.twimg.com/media/F3AdXBoWgAAc7QT.jpg</t>
  </si>
  <si>
    <t>https://t.co/ufYu7tnCPj https://pbs.twimg.com/media/F6s4CuBWkAAraIW.jpg</t>
  </si>
  <si>
    <t>https://t.co/IT5QuIXbdE https://pbs.twimg.com/media/F3Q2rDvbgAA4fVP.png</t>
  </si>
  <si>
    <t>https://t.co/Oii8gNvzij https://pbs.twimg.com/media/F0RtNPxX0AIi22b.jpg</t>
  </si>
  <si>
    <t>https://t.co/qB7z2Izqyu https://pbs.twimg.com/ext_tw_video_thumb/1685008582368997376/pu/img/RDqY1-OhSVyvlwFc.jpg</t>
  </si>
  <si>
    <t>https://t.co/JyLC4hoS5g https://pbs.twimg.com/ext_tw_video_thumb/1691872676606820352/pu/img/9obFTtgXpYmKyU55.jpg</t>
  </si>
  <si>
    <t>https://t.co/5AYxAl1kgM https://pbs.twimg.com/media/F0bpCYdXgAEWGOx.jpg</t>
  </si>
  <si>
    <t>https://t.co/JVOzV3Wteo https://pbs.twimg.com/media/F4EalnTXwAAXVWj.jpg</t>
  </si>
  <si>
    <t>https://t.co/zkwDZyeqVW https://pbs.twimg.com/ext_tw_video_thumb/1699534962624475136/pu/img/GEEIA--XXZ5iEAHi.jpg</t>
  </si>
  <si>
    <t>https://t.co/GFz9q9ffTQ https://pbs.twimg.com/media/F4KRRROXUAAVzH3.jpg</t>
  </si>
  <si>
    <t>https://t.co/7yyvOY44Sn https://pbs.twimg.com/ext_tw_video_thumb/1699154899626258432/pu/img/GCRXRugEWpqfH7a8.jpg</t>
  </si>
  <si>
    <t>https://t.co/j5Q0wtW0XH https://pbs.twimg.com/media/F6G56UiXUAAXlz9.jpg</t>
  </si>
  <si>
    <t>https://t.co/16xslGhmLr https://pbs.twimg.com/media/F6L1Xu3WQAAFA2-.jpg</t>
  </si>
  <si>
    <t>https://t.co/26gUSmf9qg https://t.co/26gUSmf9qg https://t.co/26gUSmf9qg https://t.co/26gUSmf9qg https://pbs.twimg.com/media/F1BKApgWwAUI-_H.jpg https://pbs.twimg.com/media/F1BKApaWcAEc7wZ.jpg https://pbs.twimg.com/media/F1BKApbX0AE6-TN.jpg https://pbs.twimg.com/media/F1BKApdWcAASiNZ.jpg</t>
  </si>
  <si>
    <t>https://t.co/CUNEn2G9iB https://pbs.twimg.com/media/F0dxAbmWYAE4mmi.jpg</t>
  </si>
  <si>
    <t>https://t.co/YYj2yBRtla https://pbs.twimg.com/media/F56uLswWUAEXtlt.jpg</t>
  </si>
  <si>
    <t>https://t.co/46n7FpKX5T https://pbs.twimg.com/media/F6LdThPXAAA2TKH.jpg</t>
  </si>
  <si>
    <t>https://t.co/IeKs07tkU5 https://pbs.twimg.com/ext_tw_video_thumb/1689421427647057921/pu/img/dA0yLNWVIKEh1dMY.jpg</t>
  </si>
  <si>
    <t>https://t.co/kA59mYSp1j https://pbs.twimg.com/media/F0xSOeSWAAcA2bP.jpg</t>
  </si>
  <si>
    <t>https://t.co/SIHBHQNTSM https://pbs.twimg.com/media/F2Y7LArXkAA55Z7.jpg</t>
  </si>
  <si>
    <t>https://t.co/8hr9Y2IJZl https://pbs.twimg.com/media/F5iDPE8XQAA5z5C.jpg</t>
  </si>
  <si>
    <t>https://t.co/tF4Eqgjq6V https://pbs.twimg.com/ext_tw_video_thumb/1678420488220028931/pu/img/dksfrx3J7_THAz89.jpg</t>
  </si>
  <si>
    <t>https://t.co/EAnjs5Do6L https://pbs.twimg.com/media/F1fTboOacAAjUIH.jpg</t>
  </si>
  <si>
    <t>https://t.co/yQLkXslBYu https://pbs.twimg.com/ext_tw_video_thumb/1679847587459788800/pu/img/IzhfYddquGmyCeiE.jpg</t>
  </si>
  <si>
    <t>https://t.co/FbxVFTFJC8 https://t.co/FbxVFTFJC8 https://t.co/FbxVFTFJC8 https://t.co/FbxVFTFJC8 https://pbs.twimg.com/ext_tw_video_thumb/1679467334933643266/pu/img/NIyc4ORkHHutU9cJ.jpg https://pbs.twimg.com/media/F06qs83WwAElgl6.jpg https://pbs.twimg.com/ext_tw_video_thumb/1679467403376226306/pu/img/mrKCfEK6QPO57A5x.jpg https://pbs.twimg.com/media/F06qwR4XgAI1V4N.jpg</t>
  </si>
  <si>
    <t>https://t.co/kRQCDX8KbY https://t.co/kRQCDX8KbY https://t.co/kRQCDX8KbY https://t.co/kRQCDX8KbY https://pbs.twimg.com/media/F06pSrYWIAAmdXw.jpg https://pbs.twimg.com/media/F06pS5aWIAEMliC.jpg https://pbs.twimg.com/media/F06pTCcWIAA7rAt.jpg https://pbs.twimg.com/media/F06pTTXWYAEbVy0.jpg</t>
  </si>
  <si>
    <t>https://t.co/uP0FKTJMG8 https://t.co/uP0FKTJMG8 https://pbs.twimg.com/media/F013-nPWAAQq26v.jpg https://pbs.twimg.com/media/F013-oYWIAUv66l.jpg</t>
  </si>
  <si>
    <t>https://t.co/nj61LtLbNH https://t.co/nj61LtLbNH https://t.co/nj61LtLbNH https://t.co/nj61LtLbNH https://pbs.twimg.com/media/F4stX25XMAAhNuK.jpg https://pbs.twimg.com/media/F4stX23XMAA1iUA.jpg https://pbs.twimg.com/media/F4stX22XkAAZEEW.jpg https://pbs.twimg.com/media/F4stX22WcAAkQcO.jpg</t>
  </si>
  <si>
    <t>https://t.co/NUj9PYLFM1 https://pbs.twimg.com/media/F2DrxcWWAAwOXjp.jpg</t>
  </si>
  <si>
    <t>https://t.co/bDzpMDuiMJ https://pbs.twimg.com/media/F5v7RjNWsAAU0dY.png</t>
  </si>
  <si>
    <t>https://t.co/CE4vnCjz5p https://pbs.twimg.com/media/F2xN0GfWoAE9ZmQ.jpg</t>
  </si>
  <si>
    <t>https://t.co/4LdAD1caLv https://pbs.twimg.com/ext_tw_video_thumb/1681644891334496257/pu/img/qtGfBpYQkLDDF9zv.jpg</t>
  </si>
  <si>
    <t>https://t.co/eErPbBOzN9 https://pbs.twimg.com/media/F2mwwbBW4AEl8cS.jpg</t>
  </si>
  <si>
    <t>https://t.co/PKHO8nYu9b https://pbs.twimg.com/ext_tw_video_thumb/1686193939479453696/pu/img/FjSHkWnSeL3eMyhp.jpg</t>
  </si>
  <si>
    <t>https://t.co/N7zk6JTPN6 https://pbs.twimg.com/ext_tw_video_thumb/1704986266574503938/pu/img/hOhLW2nXWMKvf_rP.jpg</t>
  </si>
  <si>
    <t>https://t.co/WbgOtpbZNo https://pbs.twimg.com/ext_tw_video_thumb/1705405074778800128/pu/img/B3HLi1VCk4PDubpd.jpg</t>
  </si>
  <si>
    <t>https://t.co/EOT8k3up1n https://pbs.twimg.com/ext_tw_video_thumb/1705636366485229570/pu/img/qJJ-9FSeVQ2XoBn9.jpg</t>
  </si>
  <si>
    <t>https://t.co/hvE7sauxYZ https://pbs.twimg.com/ext_tw_video_thumb/1705609463883812864/pu/img/dDwL0foieHMp7lqD.jpg</t>
  </si>
  <si>
    <t>https://t.co/Dvnh0BAQLs https://pbs.twimg.com/ext_tw_video_thumb/1705591059684728832/pu/img/aJQ3ln5zRBcBHr9g.jpg</t>
  </si>
  <si>
    <t>https://t.co/azPLl88fs2 https://pbs.twimg.com/ext_tw_video_thumb/1705404735610634240/pu/img/M55GNXGgQ_M9pcdY.jpg</t>
  </si>
  <si>
    <t>https://t.co/PYBurHoxHf https://pbs.twimg.com/ext_tw_video_thumb/1705405688346763264/pu/img/b9rD5QdjZWAITRcC.jpg</t>
  </si>
  <si>
    <t>https://t.co/4L2YHL5mXz https://pbs.twimg.com/ext_tw_video_thumb/1705405404639793152/pu/img/CN7gUd1U29uhBp1W.jpg</t>
  </si>
  <si>
    <t>https://t.co/Vvxp8bRUMr https://pbs.twimg.com/ext_tw_video_thumb/1705693396898111488/pu/img/5Awh_TE2zfs6agpX.jpg</t>
  </si>
  <si>
    <t>https://t.co/PrCXXgt1Jk https://pbs.twimg.com/ext_tw_video_thumb/1705664649234911232/pu/img/nivcx12qnE2rpnAo.jpg</t>
  </si>
  <si>
    <t>https://t.co/kdwDZnhU9p https://pbs.twimg.com/ext_tw_video_thumb/1705405965737000960/pu/img/oTUecsWyjeRZYLWr.jpg</t>
  </si>
  <si>
    <t>https://t.co/02FLjlj76V https://pbs.twimg.com/ext_tw_video_thumb/1698139944592588800/pu/img/iER1u_eIWgYff7aq.jpg</t>
  </si>
  <si>
    <t>https://t.co/JZWKM9ccLb https://pbs.twimg.com/ext_tw_video_thumb/1698017296847880192/pu/img/KCT-HKhDby3URY80.jpg</t>
  </si>
  <si>
    <t>https://t.co/4R6LQXPhUe https://t.co/4R6LQXPhUe https://pbs.twimg.com/media/F27GBC-WoAEQk8a.jpg https://pbs.twimg.com/media/F27GBClWQAAMPcp.jpg</t>
  </si>
  <si>
    <t>https://t.co/st3UdmA074 https://pbs.twimg.com/media/F2nMTMcaAAEc4yQ.jpg</t>
  </si>
  <si>
    <t>https://t.co/vE603qxlni https://pbs.twimg.com/media/F3HUyVrW0AEiGkC.jpg</t>
  </si>
  <si>
    <t>https://t.co/r8Dj5N7c46 https://pbs.twimg.com/media/F0_8CfwaQAA5oWg.jpg</t>
  </si>
  <si>
    <t>https://t.co/YthSRegXy1 https://t.co/YthSRegXy1 https://pbs.twimg.com/media/F3m1dn-XQAAk3cn.jpg https://pbs.twimg.com/media/F3m1doAXwAA_ZHc.jpg</t>
  </si>
  <si>
    <t>https://t.co/jN3DiYWWm5 https://pbs.twimg.com/media/F2NLxHlWoAAwV5M.png</t>
  </si>
  <si>
    <t>https://t.co/2TvXFPZysS https://pbs.twimg.com/ext_tw_video_thumb/1693389918213423105/pu/img/49a3CFzU0u5ePdOs.jpg</t>
  </si>
  <si>
    <t>https://t.co/IIBWklmY5m https://pbs.twimg.com/ext_tw_video_thumb/1693039219118108672/pu/img/fsf8PZ6RsiUCuuEq.jpg</t>
  </si>
  <si>
    <t>https://t.co/KVnMXUL5L7 https://pbs.twimg.com/media/F196DDvXgAI3DpM.jpg</t>
  </si>
  <si>
    <t>https://t.co/mOXVh3LoIu https://pbs.twimg.com/ext_tw_video_thumb/1704944622277885952/pu/img/3GzIf6dSvewCkIKO.jpg</t>
  </si>
  <si>
    <t>https://t.co/eqkzXqI3Di https://pbs.twimg.com/media/F6KVgVIWUAAMK85.png</t>
  </si>
  <si>
    <t>https://t.co/NPzlCtdH1Q https://pbs.twimg.com/ext_tw_video_thumb/1678504875536023555/pu/img/Rf7daiJfny41ssOE.jpg</t>
  </si>
  <si>
    <t>https://t.co/Y7W6CKcBLV https://pbs.twimg.com/ext_tw_video_thumb/1702018345300553728/pu/img/KFeTjXAVgmLBdzjt.jpg</t>
  </si>
  <si>
    <t>https://t.co/IFmIQk9OsX https://pbs.twimg.com/media/F02eOguXwA8oZnH.jpg</t>
  </si>
  <si>
    <t>https://t.co/0uwSCrvZUN https://pbs.twimg.com/media/F4ZEZV2XQAofiaS.jpg</t>
  </si>
  <si>
    <t>https://t.co/bltrFsEsDN https://pbs.twimg.com/media/F2jjkFMXsAMD428.jpg</t>
  </si>
  <si>
    <t>https://t.co/NlWT5Jg2rm https://pbs.twimg.com/ext_tw_video_thumb/1693956998562254848/pu/img/VZ0F55j9Lj4TmKY8.jpg</t>
  </si>
  <si>
    <t>https://t.co/GzBI9dEVhU https://pbs.twimg.com/media/F2sWETEXQAA7B9_.jpg</t>
  </si>
  <si>
    <t>https://t.co/2SPhPc7quc https://pbs.twimg.com/ext_tw_video_thumb/1677394342678241292/pu/img/DZwGEcG3myh6rdTj.jpg</t>
  </si>
  <si>
    <t>https://t.co/LPRSSolZ0W https://pbs.twimg.com/media/F4J9uN_X0AAwmnq.jpg</t>
  </si>
  <si>
    <t>https://t.co/yHBACtdUAZ https://pbs.twimg.com/ext_tw_video_thumb/1698764940637573121/pu/img/Xo3HyB9s_L6fBrLU.jpg</t>
  </si>
  <si>
    <t>https://t.co/0Zrek9Wycl https://t.co/0Zrek9Wycl https://t.co/0Zrek9Wycl https://t.co/0Zrek9Wycl https://pbs.twimg.com/media/F0RfYB1WcAA8sMt.jpg https://pbs.twimg.com/media/F0RfYB1XwAEY4X1.jpg https://pbs.twimg.com/media/F0RfYB0WYAM9CoM.jpg https://pbs.twimg.com/media/F0RfYB4XoAQtZsW.jpg</t>
  </si>
  <si>
    <t>https://t.co/jOcgKWTBw5 https://pbs.twimg.com/ext_tw_video_thumb/1699112644265775104/pu/img/7Paw-fGPPG_bxm7G.jpg</t>
  </si>
  <si>
    <t>https://t.co/3xnoshFOAA https://t.co/3xnoshFOAA https://t.co/3xnoshFOAA https://t.co/3xnoshFOAA https://pbs.twimg.com/media/F1ZlqBXXoAEX-Ss.jpg https://pbs.twimg.com/media/F1ZlqBWWcAACmHI.jpg https://pbs.twimg.com/media/F1ZlqBYWwAAQQhY.jpg https://pbs.twimg.com/media/F1ZlqBXWYAQg76v.jpg</t>
  </si>
  <si>
    <t>https://t.co/NrtPuKhyn8 https://pbs.twimg.com/ext_tw_video_thumb/1701288523402256384/pu/img/55tsNbe5DdX9wD3A.jpg</t>
  </si>
  <si>
    <t>https://t.co/HB2SLl5NMT https://pbs.twimg.com/media/F1PqWr_XsAA3-AP.jpg</t>
  </si>
  <si>
    <t>https://t.co/6hvKIclsxC https://pbs.twimg.com/ext_tw_video_thumb/1702052382467571712/pu/img/0eJzhmECNNdgfZUm.jpg</t>
  </si>
  <si>
    <t>https://t.co/hQP3T133A1 https://pbs.twimg.com/ext_tw_video_thumb/1696578591381667840/pu/img/MMvf05_kyhzkMzbC.jpg</t>
  </si>
  <si>
    <t>https://t.co/69QUzgb9do https://t.co/69QUzgb9do https://pbs.twimg.com/media/F6Z8FJDWcAAqPeW.jpg https://pbs.twimg.com/media/F6Z8FJfXIAAb8nu.jpg</t>
  </si>
  <si>
    <t>https://t.co/pO7z8H1g6l https://t.co/pO7z8H1g6l https://pbs.twimg.com/media/F6QqQUuW0AAly5j.jpg https://pbs.twimg.com/media/F6QqQUuW0AEPzta.jpg</t>
  </si>
  <si>
    <t>https://t.co/FYJbU2HsQl https://pbs.twimg.com/ext_tw_video_thumb/1703544686210646016/pu/img/xG87NiXIscM1Lqjf.jpg</t>
  </si>
  <si>
    <t>https://t.co/T2wNEElOAC https://t.co/T2wNEElOAC https://pbs.twimg.com/media/F6w69dyWAAAxOS7.jpg https://pbs.twimg.com/media/F6w6-ULXgAAgRCQ.jpg</t>
  </si>
  <si>
    <t>https://t.co/C7aGnsZ5uO https://pbs.twimg.com/ext_tw_video_thumb/1705809188121722880/pu/img/Q4fAXp-x8o9BWU0z.jpg</t>
  </si>
  <si>
    <t>https://t.co/GHkJ6eCgWB https://pbs.twimg.com/ext_tw_video_thumb/1703551733031403520/pu/img/HiyeoR_P0IFntElM.jpg</t>
  </si>
  <si>
    <t>https://t.co/5wB6uPGERA https://t.co/5wB6uPGERA https://t.co/5wB6uPGERA https://t.co/5wB6uPGERA https://pbs.twimg.com/media/F65_qF6WwAA_-U-.jpg https://pbs.twimg.com/media/F65_qr2WEAAgNNl.jpg https://pbs.twimg.com/media/F65_ryVXcAAk7Vf.jpg https://pbs.twimg.com/media/F65_tdbW8AAw8aB.jpg</t>
  </si>
  <si>
    <t>https://t.co/602FXoePhO https://pbs.twimg.com/ext_tw_video_thumb/1687604297540702209/pu/img/xReaC8fEvwLR-ziv.jpg</t>
  </si>
  <si>
    <t>https://t.co/lgcMD4Be63 https://pbs.twimg.com/media/F1-7tyWWYAcQCd6.jpg</t>
  </si>
  <si>
    <t>https://t.co/LY2BoqeP4R https://pbs.twimg.com/ext_tw_video_thumb/1677812449066602497/pu/img/KhI5LI2ZcvXT41R1.jpg</t>
  </si>
  <si>
    <t>https://t.co/jCHRch7MwU https://pbs.twimg.com/media/F1a0CunWwBElkf6.jpg</t>
  </si>
  <si>
    <t>https://t.co/pOoemJtMm5 https://pbs.twimg.com/media/F1bM7YLWYAMrRAm.jpg</t>
  </si>
  <si>
    <t>https://t.co/wjHfaBn80Y https://pbs.twimg.com/media/F1bENnVXsAYHL5X.jpg</t>
  </si>
  <si>
    <t>https://t.co/EEtJB6Fzz5 https://pbs.twimg.com/media/F0Ie5S3XgAElO4V.jpg</t>
  </si>
  <si>
    <t>https://t.co/O2ogloinm9 https://pbs.twimg.com/media/F0cr5hFXoAUiKSX.jpg</t>
  </si>
  <si>
    <t>https://t.co/8c76qpVb16 https://pbs.twimg.com/media/F5hxt1NXwAEvUVw.jpg</t>
  </si>
  <si>
    <t>https://t.co/XSRSXdr1gg https://pbs.twimg.com/media/F14wgj-aQAEuM29.jpg</t>
  </si>
  <si>
    <t>https://t.co/VQVpZVUzdl https://pbs.twimg.com/media/F16O_cvWIAAuech.jpg</t>
  </si>
  <si>
    <t>https://t.co/36m7b9J1nT https://pbs.twimg.com/ext_tw_video_thumb/1702446556761186304/pu/img/YSWq9jVHiZwQP_WM.jpg</t>
  </si>
  <si>
    <t>https://t.co/8C4dePXmIu https://pbs.twimg.com/media/F5xqz5NW0AA7fTk.jpg</t>
  </si>
  <si>
    <t>https://t.co/RhTh9Y5NIO https://pbs.twimg.com/media/F0cK4aUWYAYHccI.jpg</t>
  </si>
  <si>
    <t>https://t.co/SOuBRBN1eP https://pbs.twimg.com/media/F0njjrxWAAAsSjV.jpg</t>
  </si>
  <si>
    <t>https://t.co/vgC3xR40AK https://pbs.twimg.com/media/F2sXsj2WsAEhgdc.jpg</t>
  </si>
  <si>
    <t>https://t.co/DdKaIdvAUG https://pbs.twimg.com/media/F5WD6ppXwAALhV6.jpg</t>
  </si>
  <si>
    <t>https://t.co/7CYeLb7JGg https://pbs.twimg.com/media/F37RfEhXkAAtMUO.jpg</t>
  </si>
  <si>
    <t>https://t.co/dpzmbfiYni https://pbs.twimg.com/media/F68t9BxX0AEcc2G.jpg</t>
  </si>
  <si>
    <t>https://t.co/EaIyKMGqwG https://pbs.twimg.com/media/F1k_0XVWcAAVmkJ.jpg</t>
  </si>
  <si>
    <t>https://t.co/dYguyOcCn7 https://pbs.twimg.com/ext_tw_video_thumb/1684289458684715010/pu/img/kGt7FFJuR8Q7UqZR.jpg</t>
  </si>
  <si>
    <t>https://t.co/e3lkhnwIn8 https://pbs.twimg.com/ext_tw_video_thumb/1684283935725944837/pu/img/-mXBSV25W8Sw8F1_.jpg</t>
  </si>
  <si>
    <t>https://t.co/T9kDmp6vDZ https://pbs.twimg.com/ext_tw_video_thumb/1684283002380066816/pu/img/6B1M8x1Dr9htR91W.jpg</t>
  </si>
  <si>
    <t>https://t.co/FofqiyqGmg https://pbs.twimg.com/ext_tw_video_thumb/1689229209154023424/pu/img/Fehsn3Czxx6Al4MA.jpg</t>
  </si>
  <si>
    <t>https://t.co/CY4AeEJBQk https://pbs.twimg.com/media/F261ooHXIAAeuE1.jpg</t>
  </si>
  <si>
    <t>https://t.co/PLiYWaIPif https://pbs.twimg.com/ext_tw_video_thumb/1683877571140648960/pu/img/QlzElD7IY2PMZDW5.jpg</t>
  </si>
  <si>
    <t>https://t.co/9XVYYwb4KT https://pbs.twimg.com/ext_tw_video_thumb/1683853155866492930/pu/img/mbXlG5-ly8-Seohd.jpg</t>
  </si>
  <si>
    <t>https://t.co/8oJ0oR4JhK https://pbs.twimg.com/ext_tw_video_thumb/1676244661021679623/pu/img/xJPd5zzzkbINa8LF.jpg</t>
  </si>
  <si>
    <t>https://t.co/TvKeEx4E1G https://pbs.twimg.com/media/F5cqCZ5XEAAfovY.jpg</t>
  </si>
  <si>
    <t>https://t.co/O01RyFiN88 https://pbs.twimg.com/media/F6YkqguWcAASjZW.jpg</t>
  </si>
  <si>
    <t>https://t.co/Vcf3nvRHeU https://pbs.twimg.com/media/F7CjFfFXUAA4hdl.jpg</t>
  </si>
  <si>
    <t>https://t.co/xoFpHfr1nQ https://pbs.twimg.com/media/F11lohLWcAMUzi1.jpg</t>
  </si>
  <si>
    <t>https://t.co/hrL4Nuw4De https://pbs.twimg.com/media/F1mT4bwXoAAaqtA.jpg</t>
  </si>
  <si>
    <t>https://t.co/40pWf9Bt7G https://pbs.twimg.com/media/F2pRUADXoAALf_J.jpg</t>
  </si>
  <si>
    <t>https://t.co/6BZPBhgDNg https://pbs.twimg.com/media/F0YmEbSXwAAg4Kv.jpg</t>
  </si>
  <si>
    <t>https://t.co/sf2Pz4tsuv https://pbs.twimg.com/ext_tw_video_thumb/1678886416950935554/pu/img/xPnxBTAkPf1Yf_9U.jpg</t>
  </si>
  <si>
    <t>https://t.co/TNmkEFcVPq https://pbs.twimg.com/ext_tw_video_thumb/1681383571351822336/pu/img/GIbOi8QiA2Jtjqyb.jpg</t>
  </si>
  <si>
    <t>https://t.co/FohdXGBCCc https://pbs.twimg.com/ext_tw_video_thumb/1684740708304064512/pu/img/TaLSiBvbwUxGkpaq.jpg</t>
  </si>
  <si>
    <t>https://t.co/9FnamkyCgR https://pbs.twimg.com/ext_tw_video_thumb/1686252137272238080/pu/img/5Mt1t9oyIyjkOg4z.jpg</t>
  </si>
  <si>
    <t>https://t.co/CZYZEjcwUK https://pbs.twimg.com/ext_tw_video_thumb/1694157999219322880/pu/img/cH29lZG5ZnUWWILq.jpg</t>
  </si>
  <si>
    <t>https://t.co/Eg8pdnmn59 https://pbs.twimg.com/ext_tw_video_thumb/1684396089129197569/pu/img/DKm4AZDSCKz6O-h2.jpg</t>
  </si>
  <si>
    <t>https://t.co/0kQq6HXCN8 https://pbs.twimg.com/ext_tw_video_thumb/1684036452831891457/pu/img/rpvdtpAN9eKT-KWs.jpg</t>
  </si>
  <si>
    <t>https://t.co/UVRhYLZLZS https://pbs.twimg.com/ext_tw_video_thumb/1676575447285366784/pu/img/vSWquQ7D0K19STp8.jpg</t>
  </si>
  <si>
    <t>https://t.co/ETro1m1ovp https://pbs.twimg.com/ext_tw_video_thumb/1684946602232811520/pu/img/_HVhN36g58T5REtv.jpg</t>
  </si>
  <si>
    <t>https://t.co/0XMtKK6DjU https://pbs.twimg.com/media/F019ZiIWwAYpjV9.jpg</t>
  </si>
  <si>
    <t>https://t.co/cnWOOkHTbV https://pbs.twimg.com/media/F2Xsv0yWcAIjF_H.jpg</t>
  </si>
  <si>
    <t>https://t.co/zO1vlGc7zN https://pbs.twimg.com/media/F3Q_cjyXsAQRPQ8.jpg</t>
  </si>
  <si>
    <t>https://t.co/2lzjkhiCFW https://pbs.twimg.com/ext_tw_video_thumb/1682316259789099008/pu/img/wvyTHgqL8-5nY1mG.jpg</t>
  </si>
  <si>
    <t>https://t.co/fnkdTc9cpV https://t.co/fnkdTc9cpV https://t.co/fnkdTc9cpV https://t.co/fnkdTc9cpV https://pbs.twimg.com/media/F2XNy5EXQAEpZa3.jpg https://pbs.twimg.com/media/F2XNzsZWQAA0BKu.jpg https://pbs.twimg.com/media/F2XNztFWEAAmlXc.jpg https://pbs.twimg.com/media/F2XNztfWkAAB3fx.jpg</t>
  </si>
  <si>
    <t>https://t.co/OYB8zlkacN https://t.co/OYB8zlkacN https://t.co/OYB8zlkacN https://pbs.twimg.com/media/F1OXM8DXoAAj7by.jpg https://pbs.twimg.com/media/F1OXNvpWIAAXLxA.jpg https://pbs.twimg.com/media/F1OXNwNXsAYkq0f.jpg</t>
  </si>
  <si>
    <t>https://t.co/v3qfXSGNTQ https://pbs.twimg.com/media/F512VhrXQAANWyb.jpg</t>
  </si>
  <si>
    <t>https://t.co/wVdYxN0UxK https://pbs.twimg.com/ext_tw_video_thumb/1685419142990491648/pu/img/QZnS2Ga-1arO5b_D.jpg</t>
  </si>
  <si>
    <t>https://t.co/LFzHeac7hc https://pbs.twimg.com/ext_tw_video_thumb/1679685089213513731/pu/img/0HOl6cXElcioIdAJ.jpg</t>
  </si>
  <si>
    <t>https://t.co/AvVUs0psfH https://pbs.twimg.com/media/F0zE2aYXoAgF1ht.jpg</t>
  </si>
  <si>
    <t>https://t.co/o1afC1C4gN https://pbs.twimg.com/media/F0zGH0pWAAAMUId.jpg</t>
  </si>
  <si>
    <t>https://t.co/L2zYwrONg5 https://pbs.twimg.com/media/F0zF8v1WcAIGHtz.jpg</t>
  </si>
  <si>
    <t>https://t.co/odkInhoBpb https://pbs.twimg.com/media/F0zFtpOXoAAeXSr.jpg</t>
  </si>
  <si>
    <t>https://t.co/4KGS7UsjrX https://pbs.twimg.com/media/F0zDlO3XsAAPN0R.jpg</t>
  </si>
  <si>
    <t>https://t.co/juTcjzY4kJ https://pbs.twimg.com/media/F0zIR3vWYAgyRen.jpg</t>
  </si>
  <si>
    <t>https://t.co/okec0DbX7R https://pbs.twimg.com/media/F0zDuxXXoAAlx_U.jpg</t>
  </si>
  <si>
    <t>https://t.co/cFZQiBsrA8 https://pbs.twimg.com/media/F0zHnFfWIAA-4q3.jpg</t>
  </si>
  <si>
    <t>https://t.co/E2vCt5Bjzd https://pbs.twimg.com/media/F0zHN7FXgAAgXsj.jpg</t>
  </si>
  <si>
    <t>https://t.co/5Pd23w2OFD https://pbs.twimg.com/media/F0zG__mWcAEWWZM.jpg</t>
  </si>
  <si>
    <t>https://t.co/JAhSAp1hTl https://pbs.twimg.com/media/F0zFJLkWYAMU0Gy.jpg</t>
  </si>
  <si>
    <t>https://t.co/v0V8PBzhD2 https://pbs.twimg.com/media/F0zIeEBWAAIecnF.jpg</t>
  </si>
  <si>
    <t>https://t.co/NxDMhLnyIs https://pbs.twimg.com/media/F0zFnfmXoAETryQ.jpg</t>
  </si>
  <si>
    <t>https://t.co/MMhFCfM3ze https://pbs.twimg.com/media/F0zFc8zXwAMrLYV.jpg</t>
  </si>
  <si>
    <t>https://t.co/4iz459hgKY https://pbs.twimg.com/media/F0zEQupWAAE-dgD.jpg</t>
  </si>
  <si>
    <t>https://t.co/uwL7jvCKOQ https://pbs.twimg.com/media/F0zH9ZiWAAANOqP.jpg</t>
  </si>
  <si>
    <t>https://t.co/iOoNBgKIRI https://pbs.twimg.com/media/F0zI0hnWwAAFJrt.jpg</t>
  </si>
  <si>
    <t>https://t.co/3sv0jT7noI https://pbs.twimg.com/media/F0zAWTfWAAILAcA.jpg</t>
  </si>
  <si>
    <t>https://t.co/73oYM94fWe https://pbs.twimg.com/media/F0y_U9_WIAIVvZq.jpg</t>
  </si>
  <si>
    <t>https://t.co/GeUA2KggD7 https://pbs.twimg.com/media/F0zD3KAXsAIFq-g.jpg</t>
  </si>
  <si>
    <t>https://t.co/pN57eUnalC https://pbs.twimg.com/media/F0zG3LEWYAU3bCQ.jpg</t>
  </si>
  <si>
    <t>https://t.co/wfWpZv5Dex https://pbs.twimg.com/media/F0zGYFGXgAA51A8.jpg</t>
  </si>
  <si>
    <t>https://t.co/0Ajbr5NEY7 https://pbs.twimg.com/media/F0zEXX3WwAAUCaE.jpg</t>
  </si>
  <si>
    <t>https://t.co/VT5IGz6Ws8 https://pbs.twimg.com/media/F0zIgIgXwAcgQDU.jpg</t>
  </si>
  <si>
    <t>https://t.co/Imylf6IKSt https://pbs.twimg.com/media/F0zCz7gXsAEypOa.jpg</t>
  </si>
  <si>
    <t>https://t.co/VvOWoVWHx4 https://pbs.twimg.com/media/F0zDMsCWYAMZEu-.jpg</t>
  </si>
  <si>
    <t>https://t.co/nZI3hUo2ah https://pbs.twimg.com/media/F0zDbYeXsAExHOJ.jpg</t>
  </si>
  <si>
    <t>https://t.co/MaB8Hgcfcs https://pbs.twimg.com/media/F0zIDxlX0AEGy0G.jpg</t>
  </si>
  <si>
    <t>https://t.co/IV44Jlm8eT https://pbs.twimg.com/media/F32TQNUXIAA1T9u.png</t>
  </si>
  <si>
    <t>https://t.co/d5XlgHw72l https://pbs.twimg.com/ext_tw_video_thumb/1679070674302775298/pu/img/aclnwks09FalPcdq.jpg</t>
  </si>
  <si>
    <t>https://t.co/bJtfxxzHeG https://pbs.twimg.com/media/F0WHLbeWcAE8aIO.jpg</t>
  </si>
  <si>
    <t>https://t.co/vSdT4UhxCm https://pbs.twimg.com/media/F0tKbHlWwAAcvVE.jpg</t>
  </si>
  <si>
    <t>https://t.co/hvLmpWyQrQ https://pbs.twimg.com/media/F1ph1ymWcAA0zCO.jpg</t>
  </si>
  <si>
    <t>https://t.co/sJl75nFihe https://pbs.twimg.com/ext_tw_video_thumb/1682047781282668545/pu/img/WA8klI9uwZvnYqvm.jpg</t>
  </si>
  <si>
    <t>https://t.co/cJjrJ7z6HH https://pbs.twimg.com/media/F1zwkdUXoAIPFE_.jpg</t>
  </si>
  <si>
    <t>https://t.co/GcqB5MJrGI https://pbs.twimg.com/ext_tw_video_thumb/1677628612449632256/pu/img/rvryoIBC38uwAiow.jpg</t>
  </si>
  <si>
    <t>https://t.co/XB86OzPqsX https://pbs.twimg.com/ext_tw_video_thumb/1685657759981744128/pu/img/YXSO4WIHo3iAXoRQ.jpg</t>
  </si>
  <si>
    <t>https://t.co/whPy9GokiK https://pbs.twimg.com/media/F0_j78vWAAEWLyH.jpg</t>
  </si>
  <si>
    <t>https://t.co/qNRlB1WevB https://pbs.twimg.com/media/F5O2GvRWkAATSQt.jpg</t>
  </si>
  <si>
    <t>https://t.co/m8L02qyLqE https://pbs.twimg.com/media/F0Htm-3WAAAyJ9G.jpg</t>
  </si>
  <si>
    <t>https://t.co/2IxAEGYeUf https://pbs.twimg.com/media/F0HsVhxXgAg8PiP.jpg</t>
  </si>
  <si>
    <t>https://t.co/pSc3dsmmdM https://pbs.twimg.com/media/F0HrqoxWYAE0OeM.jpg</t>
  </si>
  <si>
    <t>https://t.co/egx3GDWToI https://pbs.twimg.com/media/F0HsH5kWIAAjb9Z.jpg</t>
  </si>
  <si>
    <t>https://t.co/4QusJVKxw1 https://pbs.twimg.com/media/F6576d4X0AAETZb.jpg</t>
  </si>
  <si>
    <t>https://t.co/blAhS5PKAQ https://t.co/blAhS5PKAQ https://t.co/blAhS5PKAQ https://t.co/blAhS5PKAQ https://pbs.twimg.com/media/F0cnb01XoAIWttd.jpg https://pbs.twimg.com/media/F0cngMQXoAkYRRo.jpg https://pbs.twimg.com/media/F0cnhwMXoAEwDJC.jpg https://pbs.twimg.com/media/F0cnjw5XoAIXe2c.jpg</t>
  </si>
  <si>
    <t>https://t.co/FksT6R6Tm4 https://t.co/FksT6R6Tm4 https://t.co/FksT6R6Tm4 https://t.co/FksT6R6Tm4 https://pbs.twimg.com/media/F07xx2vXsAEMhUl.jpg https://pbs.twimg.com/media/F07xzRMXoAAriW2.jpg https://pbs.twimg.com/media/F07x0eGWIAg4b87.jpg https://pbs.twimg.com/media/F07x1ghWIAY9EMO.jpg</t>
  </si>
  <si>
    <t>https://t.co/b8SB7HBMXs https://t.co/b8SB7HBMXs https://t.co/b8SB7HBMXs https://t.co/b8SB7HBMXs https://pbs.twimg.com/media/F1Ur50saIAA662y.jpg https://pbs.twimg.com/media/F1Ur50jaYAE5prd.jpg https://pbs.twimg.com/media/F1Ur50raQAE1ysK.jpg https://pbs.twimg.com/media/F1Ur50iaUAA8th_.jpg</t>
  </si>
  <si>
    <t>https://t.co/sa6lb2DOS4 https://t.co/sa6lb2DOS4 https://t.co/sa6lb2DOS4 https://pbs.twimg.com/media/F02DkqcXwAE0ewd.jpg https://pbs.twimg.com/media/F02DmlzX0AIuD5C.jpg https://pbs.twimg.com/media/F02Dng3WYAArdaO.jpg</t>
  </si>
  <si>
    <t>https://t.co/dfcZ2mGC08 https://pbs.twimg.com/media/F2YwSgbXgAERlVl.jpg</t>
  </si>
  <si>
    <t>https://t.co/sfdkSyM2Mk https://t.co/sfdkSyM2Mk https://t.co/sfdkSyM2Mk https://t.co/sfdkSyM2Mk https://pbs.twimg.com/media/F2NTvpSW8AA8KoU.jpg https://pbs.twimg.com/media/F2NTw-FWkAA7OP2.jpg https://pbs.twimg.com/media/F2NTyLKX0AAblWf.jpg https://pbs.twimg.com/media/F2NTzS5XcAA6_th.jpg</t>
  </si>
  <si>
    <t>https://t.co/cE1VZEMZD3 https://t.co/cE1VZEMZD3 https://t.co/cE1VZEMZD3 https://pbs.twimg.com/media/F3B7DiJXAAAMeBG.jpg https://pbs.twimg.com/media/F3B7FawXQAA3_gu.jpg https://pbs.twimg.com/media/F3B7IhbW4AAxD_A.jpg</t>
  </si>
  <si>
    <t>https://t.co/Aui1cfE95r https://pbs.twimg.com/media/F2C_f2aXsAAVbVE.jpg</t>
  </si>
  <si>
    <t>https://t.co/ZH3rLWmrrb https://t.co/ZH3rLWmrrb https://pbs.twimg.com/media/F0xVYv5WAA4oUgM.jpg https://pbs.twimg.com/media/F0xVakYWABkqf0B.jpg</t>
  </si>
  <si>
    <t>https://t.co/OlGYOjYEeV https://t.co/OlGYOjYEeV https://pbs.twimg.com/media/F3lDpztasAAw4wc.jpg https://pbs.twimg.com/media/F3lDj9cagAMfi4m.jpg</t>
  </si>
  <si>
    <t>https://t.co/NN15SOwWgP https://pbs.twimg.com/media/F3FohgVXMAA5IgO.jpg</t>
  </si>
  <si>
    <t>https://t.co/sZoUCI1fN8 https://pbs.twimg.com/media/F5xh_pzXYAA00IY.jpg</t>
  </si>
  <si>
    <t>https://t.co/T4KRRxk38w https://pbs.twimg.com/media/F5co5r2XkAA41Iw.jpg</t>
  </si>
  <si>
    <t>https://t.co/BVPlWb5vdJ https://pbs.twimg.com/media/F5cod0MW4AA4v9U.jpg</t>
  </si>
  <si>
    <t>https://t.co/c7UmJWjpjr https://pbs.twimg.com/media/F5coDokWgAA2tCt.jpg</t>
  </si>
  <si>
    <t>https://t.co/2VzQ2fNVfs https://pbs.twimg.com/media/F5cnmGlWUAAOlRx.jpg</t>
  </si>
  <si>
    <t>https://t.co/IjnkEznFAM https://pbs.twimg.com/media/F5cnH-3XEAAGMl2.jpg</t>
  </si>
  <si>
    <t>https://t.co/xfJHQ2637W https://pbs.twimg.com/media/F5bhg4AbsAA2qT8.jpg</t>
  </si>
  <si>
    <t>https://t.co/DiFEgJj6ek https://pbs.twimg.com/media/F5bWR5QaYAAR8yf.jpg</t>
  </si>
  <si>
    <t>https://t.co/af1kRclrjP https://pbs.twimg.com/media/F15BChZWcAAc7hm.jpg</t>
  </si>
  <si>
    <t>https://t.co/WNGE6lR1f4 https://pbs.twimg.com/ext_tw_video_thumb/1682037834319028225/pu/img/WW2TlULLRBjQZV7U.jpg</t>
  </si>
  <si>
    <t>https://t.co/rVv0PeuC43 https://pbs.twimg.com/media/F4nfiorXYAE4Wqz.jpg</t>
  </si>
  <si>
    <t>https://t.co/MhGooUtD95 https://pbs.twimg.com/media/F5ITCUdW0AAAtOc.jpg</t>
  </si>
  <si>
    <t>https://t.co/SGSQhFhfle https://pbs.twimg.com/media/F06kqOsWcAEKWGX.jpg</t>
  </si>
  <si>
    <t>https://t.co/aAsGGfnaMJ https://pbs.twimg.com/media/F6JX1w2XQAA0W52.jpg</t>
  </si>
  <si>
    <t>https://t.co/7GsOEu3Vv1 https://pbs.twimg.com/media/F5L1oV-XkAAPo5G.jpg</t>
  </si>
  <si>
    <t>https://t.co/ExrY9iaEbi https://pbs.twimg.com/media/F2D2am3WYAAKx4p.jpg</t>
  </si>
  <si>
    <t>https://t.co/Ni6vp2GEGh https://pbs.twimg.com/media/F0v2QriXsAA7Caa.jpg</t>
  </si>
  <si>
    <t>https://t.co/cneMqJoEIo https://pbs.twimg.com/media/F4Jvtq1XAAAHbAM.jpg</t>
  </si>
  <si>
    <t>https://t.co/7ODYbneb7I https://pbs.twimg.com/media/F4eWFWmXgAA36rW.jpg</t>
  </si>
  <si>
    <t>https://t.co/GvI9d7C6EO https://pbs.twimg.com/media/F515G_uW8AAxbyw.jpg</t>
  </si>
  <si>
    <t>https://t.co/kqdpQWdYkw https://pbs.twimg.com/media/F3gi-_ZXEAABxU6.jpg</t>
  </si>
  <si>
    <t>https://t.co/Cz8rdr1PmM https://pbs.twimg.com/media/F5rl61XXUAAXV3I.jpg</t>
  </si>
  <si>
    <t>https://t.co/efDYTb4d98 https://pbs.twimg.com/media/F3_cjHkXAAEqsmB.jpg</t>
  </si>
  <si>
    <t>https://t.co/ykzGSMCte3 https://pbs.twimg.com/media/F3GzHNqWYAAh98e.jpg</t>
  </si>
  <si>
    <t>https://t.co/2niwj8p0Xs https://pbs.twimg.com/media/F6PpCcvXwAADRIe.jpg</t>
  </si>
  <si>
    <t>https://t.co/pEeVAp6dZT https://pbs.twimg.com/media/F6uik_2WcAARtig.jpg</t>
  </si>
  <si>
    <t>https://t.co/qNilxHZyvj https://pbs.twimg.com/media/F6UywyTW8AASuSb.jpg</t>
  </si>
  <si>
    <t>https://t.co/vTX0VX3dit https://pbs.twimg.com/media/F57CxqDW8AAKQbV.jpg</t>
  </si>
  <si>
    <t>https://t.co/kOHemPr3XC https://pbs.twimg.com/media/F3q2MeuXcBYDzBK.jpg</t>
  </si>
  <si>
    <t>https://t.co/Wg6xe2MJT8 https://pbs.twimg.com/media/F3lsn8ZWIAE4n-G.jpg</t>
  </si>
  <si>
    <t>https://t.co/vVM3SFecGS https://pbs.twimg.com/media/F641wfGWAAAppj6.jpg</t>
  </si>
  <si>
    <t>https://t.co/pkphI7Hu0J https://pbs.twimg.com/media/F5mcUf7XoAA_eKj.jpg</t>
  </si>
  <si>
    <t>https://t.co/eBQ6I2J8rv https://pbs.twimg.com/media/F5CZOMeW0AAfSL2.jpg</t>
  </si>
  <si>
    <t>https://t.co/hVpZl2zXjm https://pbs.twimg.com/media/F3RGVeYWoAswlQs.jpg</t>
  </si>
  <si>
    <t>https://t.co/6HcuR7450h https://pbs.twimg.com/media/F2TTI7WWMAAMpwQ.jpg</t>
  </si>
  <si>
    <t>https://t.co/gW1VXJiM54 https://pbs.twimg.com/media/F3W_8QEWsAEP55o.jpg</t>
  </si>
  <si>
    <t>https://t.co/AjcfJt3RCp https://pbs.twimg.com/media/F3ztiV0XkAASFq7.jpg</t>
  </si>
  <si>
    <t>https://t.co/ugd0IHSKva https://pbs.twimg.com/ext_tw_video_thumb/1676750510546644992/pu/img/8kDS677HLe9sLEg9.jpg</t>
  </si>
  <si>
    <t>https://t.co/8Um7ZuSiJK https://pbs.twimg.com/media/F4GQfFIWsAA5bAk.jpg</t>
  </si>
  <si>
    <t>https://t.co/94g6Fh5K7a https://pbs.twimg.com/media/F1vsrz3X0AIvazE.jpg</t>
  </si>
  <si>
    <t>https://t.co/swqqFcv2jx https://pbs.twimg.com/media/F1vsWgHWcAM2UpE.jpg</t>
  </si>
  <si>
    <t>https://t.co/Kd2lI5Xp2H https://pbs.twimg.com/media/F1vsKZyWYAEilPZ.jpg</t>
  </si>
  <si>
    <t>https://t.co/wINpexQKkA https://pbs.twimg.com/media/F1vr4jkX0AEJu2q.jpg</t>
  </si>
  <si>
    <t>https://t.co/EM0MyZ89fD https://pbs.twimg.com/media/F1vr1Q0WIAAFtCZ.jpg</t>
  </si>
  <si>
    <t>https://t.co/c5hzJ1SDZJ https://pbs.twimg.com/media/F1b7g1LXgAQspMT.jpg</t>
  </si>
  <si>
    <t>https://t.co/cpz34gdtK9 https://pbs.twimg.com/ext_tw_video_thumb/1686035382863794177/pu/img/SF8iUk0SBbrLQJYH.jpg</t>
  </si>
  <si>
    <t>https://t.co/HLz3wN2WCV https://pbs.twimg.com/media/F2X3JXkXUAA1fq-.jpg</t>
  </si>
  <si>
    <t>https://t.co/evSYp7QWlb https://t.co/evSYp7QWlb https://pbs.twimg.com/media/F1Q-UhAWcAEMnd_.jpg https://pbs.twimg.com/media/F1Q-WAyXwAYYfAe.jpg</t>
  </si>
  <si>
    <t>https://t.co/E9Appr7YPq https://pbs.twimg.com/media/F4Fa-Q1XsAAE9US.jpg</t>
  </si>
  <si>
    <t>https://t.co/BHgmUgfmvo https://pbs.twimg.com/media/F64Vm1zXsAA6tKW.jpg</t>
  </si>
  <si>
    <t>https://t.co/xfy0ZBhRVu https://pbs.twimg.com/media/F1KBgelWYAABr9r.jpg</t>
  </si>
  <si>
    <t>https://t.co/QSOaChRrtS https://pbs.twimg.com/media/F3AGqq3XcAA56QH.jpg</t>
  </si>
  <si>
    <t>https://t.co/SRJ9JhPJcK https://pbs.twimg.com/media/F1fLwG7agAcdaMW.jpg</t>
  </si>
  <si>
    <t>https://t.co/10HBgBlvaP https://pbs.twimg.com/ext_tw_video_thumb/1683477591213080576/pu/img/VDF25w4lIf1-FwaR.jpg</t>
  </si>
  <si>
    <t>https://t.co/KqQToCY2rY https://pbs.twimg.com/media/F3BI7y5a8AAUenW.jpg</t>
  </si>
  <si>
    <t>https://t.co/i82efcveM4 https://pbs.twimg.com/media/F1UwJdpakAIA_Hd.jpg</t>
  </si>
  <si>
    <t>https://t.co/CvnozaiGK3 https://pbs.twimg.com/ext_tw_video_thumb/1682920250319183874/pu/img/JlAzHEiwrG2V2FTZ.jpg</t>
  </si>
  <si>
    <t>https://t.co/2PVD6n7fBL https://pbs.twimg.com/ext_tw_video_thumb/1682565082281115652/pu/img/usfKrMa3QeLV5JJf.jpg</t>
  </si>
  <si>
    <t>https://t.co/YbsooqhN1W https://pbs.twimg.com/ext_tw_video_thumb/1682366032462196736/pu/img/s-5nHUOF3SS2Sk5U.jpg</t>
  </si>
  <si>
    <t>https://t.co/dHqmtdyRre https://pbs.twimg.com/media/FkRE4wjXoAE2WzA.jpg</t>
  </si>
  <si>
    <t>https://t.co/NaqckNlkQe https://pbs.twimg.com/media/F1BoLSZX0Ao0DDq.jpg</t>
  </si>
  <si>
    <t>https://t.co/COp8taAOYH https://pbs.twimg.com/ext_tw_video_thumb/1677080954203000833/pu/img/Mcqalxu0N6K8F3Sh.jpg</t>
  </si>
  <si>
    <t>https://t.co/yq4WakPVl5 https://pbs.twimg.com/media/F1WbP9kWcAEQA9R.jpg</t>
  </si>
  <si>
    <t>https://t.co/2RVw1S8Nqt https://pbs.twimg.com/media/F3gF8hvWsAAaf_s.png</t>
  </si>
  <si>
    <t>https://t.co/czfqaXnzoj https://t.co/czfqaXnzoj https://pbs.twimg.com/media/F48WGiJWcAAph4Q.jpg https://pbs.twimg.com/media/F48WHTjXoAAsT65.jpg</t>
  </si>
  <si>
    <t>https://t.co/z3daZJ6olt https://t.co/z3daZJ6olt https://pbs.twimg.com/media/F6lH62RXwAANcIu.jpg https://pbs.twimg.com/media/F6lH7n2WcAAR2pu.jpg</t>
  </si>
  <si>
    <t>https://t.co/twXhbs6Lv1 https://pbs.twimg.com/media/F5YWOHtXMAAwARI.jpg</t>
  </si>
  <si>
    <t>https://t.co/Gj7YBmkdkG https://pbs.twimg.com/ext_tw_video_thumb/1703423221976993792/pu/img/5Vxt0OXSGwjXw9xD.jpg</t>
  </si>
  <si>
    <t>https://t.co/ydOvgiylyD https://pbs.twimg.com/media/F1SSPvdXgAIXSbx.png</t>
  </si>
  <si>
    <t>https://t.co/WbxVubpmyH https://pbs.twimg.com/media/F0YSi4JWIAc63pL.jpg</t>
  </si>
  <si>
    <t>https://t.co/gGJ1rpGvfb https://pbs.twimg.com/media/F0TYhdcWAAAMaUK.jpg</t>
  </si>
  <si>
    <t>https://t.co/dkFzwawSEx https://pbs.twimg.com/media/F0bddXbXsAAT-up.jpg</t>
  </si>
  <si>
    <t>https://t.co/P9JEYGe1c3 https://pbs.twimg.com/media/F0W3O5eWYAAnySA.jpg</t>
  </si>
  <si>
    <t>https://t.co/U1flwWa8xZ https://pbs.twimg.com/media/F6Tmxi2XAAAcr32.jpg</t>
  </si>
  <si>
    <t>https://t.co/aOXVN7GBvf https://pbs.twimg.com/media/F5Vv6FvW8AAR78r.jpg</t>
  </si>
  <si>
    <t>https://t.co/grgzkplsNb https://pbs.twimg.com/media/F50fpLPWcAAwdvQ.png</t>
  </si>
  <si>
    <t>https://t.co/5Vz9M6dtRR https://pbs.twimg.com/media/F5bTyskbYAANFWz.png</t>
  </si>
  <si>
    <t>https://t.co/77cOWeIIPn https://pbs.twimg.com/media/F6Ei0wlWMAAVYZ9.png</t>
  </si>
  <si>
    <t>https://t.co/RLsb8R2S3b https://pbs.twimg.com/media/F6jl3KiXMAARM5n.jpg</t>
  </si>
  <si>
    <t>https://t.co/e7Pn8P6wEt https://pbs.twimg.com/media/F68e0dJW4AA5cwP.jpg</t>
  </si>
  <si>
    <t>https://t.co/oSclbTABj8 https://pbs.twimg.com/media/F4sOkGMW0AAPGb8.jpg</t>
  </si>
  <si>
    <t>https://t.co/sAQTM3MldB https://pbs.twimg.com/amplify_video_thumb/1691597303470080000/img/PHbW7ZgDK-9EPuae.jpg</t>
  </si>
  <si>
    <t>https://t.co/AtbcQvTMhw https://pbs.twimg.com/media/F4DsX8OawAEVahF.jpg</t>
  </si>
  <si>
    <t>https://t.co/GS6QaDB5qX https://pbs.twimg.com/amplify_video_thumb/1686421341229010951/img/nhrd1hsW73mn6ZP7.jpg</t>
  </si>
  <si>
    <t>https://t.co/jG18A2vxsW https://pbs.twimg.com/media/F2m7fixbYAASiqQ.jpg</t>
  </si>
  <si>
    <t>https://t.co/cZjYt9a0bZ https://pbs.twimg.com/amplify_video_thumb/1694847281168850946/img/lTBsFQDLUZJSeT5a.jpg</t>
  </si>
  <si>
    <t>https://t.co/MfyZb41FRL https://pbs.twimg.com/media/F6VM-uGXUAAzb0z.jpg</t>
  </si>
  <si>
    <t>https://t.co/9xGixG2lTr https://pbs.twimg.com/ext_tw_video_thumb/1694094817205043200/pu/img/HpKir6gXFQFptWYK.jpg</t>
  </si>
  <si>
    <t>https://t.co/2jdikn1tIN https://pbs.twimg.com/ext_tw_video_thumb/1683574473021091840/pu/img/_17lzyBQX9kvDQWg.jpg</t>
  </si>
  <si>
    <t>https://t.co/62HsOsvBIf https://pbs.twimg.com/ext_tw_video_thumb/1678496618159505408/pu/img/-wJGpypSOWVLg1zA.jpg</t>
  </si>
  <si>
    <t>https://t.co/Cw5RjNQHGk https://pbs.twimg.com/ext_tw_video_thumb/1697357946005430272/pu/img/_ZoLLfIGQV76llud.jpg</t>
  </si>
  <si>
    <t>https://t.co/1PzIlztAj7 https://pbs.twimg.com/ext_tw_video_thumb/1692284257652097024/pu/img/fzapgCnVFSq_VErD.jpg</t>
  </si>
  <si>
    <t>https://t.co/919qj3VvbK https://pbs.twimg.com/ext_tw_video_thumb/1691921933888114689/pu/img/RRFc3v6MsusEZCIC.jpg</t>
  </si>
  <si>
    <t>https://t.co/L3wqlf8eMh https://pbs.twimg.com/ext_tw_video_thumb/1687211743490056192/pu/img/YQw7fED7Y1tbfpTy.jpg</t>
  </si>
  <si>
    <t>https://t.co/S6ZYS6Q0UD https://pbs.twimg.com/ext_tw_video_thumb/1677421789968736262/pu/img/X20KPyJ_Y8-_Uett.jpg</t>
  </si>
  <si>
    <t>https://t.co/QSHKl0q3UR https://pbs.twimg.com/ext_tw_video_thumb/1677066040231034880/pu/img/BMQfPF-ZgCQs3xTw.jpg</t>
  </si>
  <si>
    <t>https://t.co/cNbFo2FIN2 https://pbs.twimg.com/ext_tw_video_thumb/1700244516324745216/pu/img/qCMNTuNyJ03MTpfD.jpg</t>
  </si>
  <si>
    <t>https://t.co/04VbtNk7TH https://pbs.twimg.com/ext_tw_video_thumb/1690109892823003136/pu/img/Q9bS-UDl9Nqz4n3S.jpg</t>
  </si>
  <si>
    <t>https://t.co/xjojKAwOfp https://pbs.twimg.com/ext_tw_video_thumb/1689747929035120640/pu/img/zWm7FZJwvWonIJPF.jpg</t>
  </si>
  <si>
    <t>https://t.co/U76i2LliUP https://pbs.twimg.com/ext_tw_video_thumb/1679906043235532806/pu/img/JLglBKbpF_ktI8rb.jpg</t>
  </si>
  <si>
    <t>https://t.co/nPRmtUzXEV https://pbs.twimg.com/ext_tw_video_thumb/1679488887788544000/pu/img/lfvMCBOT0GBoaAhg.jpg</t>
  </si>
  <si>
    <t>https://t.co/mAIwLyWdP8 https://pbs.twimg.com/ext_tw_video_thumb/1698806076664111104/pu/img/UJd0XpFKM4WwIEeH.jpg</t>
  </si>
  <si>
    <t>https://t.co/tPxYnDmobp https://pbs.twimg.com/ext_tw_video_thumb/1689376247963373570/pu/img/NSo2qd58ViSzOdmI.jpg</t>
  </si>
  <si>
    <t>https://t.co/i2ULBO2Fwa https://pbs.twimg.com/ext_tw_video_thumb/1683940942410121217/pu/img/rr2vTXvWcE0M7l6T.jpg</t>
  </si>
  <si>
    <t>https://t.co/LqSsH6ReuC https://pbs.twimg.com/ext_tw_video_thumb/1679164923044143105/pu/img/ETsr0-6YhfJCrZXO.jpg</t>
  </si>
  <si>
    <t>https://t.co/HmuTvtfkkA https://pbs.twimg.com/ext_tw_video_thumb/1676695351850332161/pu/img/1XJ8X2wUZo9FojqP.jpg</t>
  </si>
  <si>
    <t>https://t.co/ch2RVAqqrk https://pbs.twimg.com/ext_tw_video_thumb/1676343862439149571/pu/img/yb7aBCx0zkdM5N04.jpg</t>
  </si>
  <si>
    <t>https://t.co/YC4PHnBYPl https://pbs.twimg.com/ext_tw_video_thumb/1701699668009185280/pu/img/Wdr_JLwdK40pFpXk.jpg</t>
  </si>
  <si>
    <t>https://t.co/SHuv20EG8P https://pbs.twimg.com/ext_tw_video_thumb/1686433924929507344/pu/img/IuFNDFWTM3vUhYZi.jpg</t>
  </si>
  <si>
    <t>https://t.co/oHi2MfcEJy https://pbs.twimg.com/ext_tw_video_thumb/1681718824440086529/pu/img/dR4PJLDjyR_iKP0F.jpg</t>
  </si>
  <si>
    <t>https://t.co/xpdTfc5WXA https://pbs.twimg.com/ext_tw_video_thumb/1681043931755163651/pu/img/2g-SFt4egifbszf0.jpg</t>
  </si>
  <si>
    <t>https://t.co/8rq1sxQY8Z https://pbs.twimg.com/ext_tw_video_thumb/1702067783960330240/pu/img/E_-MCeN9e6FBOfvn.jpg</t>
  </si>
  <si>
    <t>https://t.co/i8dS4YYCMt https://pbs.twimg.com/ext_tw_video_thumb/1697719832056049664/pu/img/pp0DFfl3gsksbfHA.jpg</t>
  </si>
  <si>
    <t>https://t.co/gLQ8z9rNSi https://pbs.twimg.com/ext_tw_video_thumb/1694460076285714432/pu/img/PRt80pdVr7aE5GVX.jpg</t>
  </si>
  <si>
    <t>https://t.co/m4iEthAwBV https://pbs.twimg.com/ext_tw_video_thumb/1693732194194272256/pu/img/KBTaqaFUzTyA37X-.jpg</t>
  </si>
  <si>
    <t>https://t.co/WeI2d5MxAI https://pbs.twimg.com/ext_tw_video_thumb/1689026672933195777/pu/img/aar07-m8TqK1XzsU.jpg</t>
  </si>
  <si>
    <t>https://t.co/3ehvwQ1eM2 https://pbs.twimg.com/ext_tw_video_thumb/1684655809878261761/pu/img/HWyzOrdnPs1hTvoR.jpg</t>
  </si>
  <si>
    <t>https://t.co/88JQXaO8Px https://pbs.twimg.com/ext_tw_video_thumb/1678845224708128768/pu/img/zETE3pyPfR2MiTiN.jpg</t>
  </si>
  <si>
    <t>https://t.co/zgoeH1xyoz https://pbs.twimg.com/ext_tw_video_thumb/1675978361863020551/pu/img/1w5nNuv_8aHTl18a.jpg</t>
  </si>
  <si>
    <t>https://t.co/4CLlLJDrV9 https://pbs.twimg.com/ext_tw_video_thumb/1706726272565477377/pu/img/3BWALnvFGVTFG5Zf.jpg</t>
  </si>
  <si>
    <t>https://t.co/h2dJvA0rvZ https://pbs.twimg.com/ext_tw_video_thumb/1706402682699685888/pu/img/xMv6RAbspxB1oHYZ.jpg</t>
  </si>
  <si>
    <t>https://t.co/VXVCxWsifo https://pbs.twimg.com/ext_tw_video_thumb/1705296608089300992/pu/img/IhLKWXiI0PXtII9K.jpg</t>
  </si>
  <si>
    <t>https://t.co/J8TNmp0WEV https://pbs.twimg.com/ext_tw_video_thumb/1704214645165154304/pu/img/l-Wgqwfp4p5n0irk.jpg</t>
  </si>
  <si>
    <t>https://t.co/7V0jXEGS5a https://pbs.twimg.com/ext_tw_video_thumb/1701337768310235136/pu/img/WVLvKB-ZrNsbLDrb.jpg</t>
  </si>
  <si>
    <t>https://t.co/ow91CfgiFx https://pbs.twimg.com/ext_tw_video_thumb/1695183076609921024/pu/img/IYMffMu6VPQ00JC6.jpg</t>
  </si>
  <si>
    <t>https://t.co/4wtwvGiGFX https://pbs.twimg.com/ext_tw_video_thumb/1707093591414231041/pu/img/vmYPNvyEkXupzYv0.jpg</t>
  </si>
  <si>
    <t>https://t.co/JWeWzqObNX https://pbs.twimg.com/ext_tw_video_thumb/1704566661460729856/pu/img/Qu_nBAhtLXGaeARy.jpg</t>
  </si>
  <si>
    <t>https://t.co/tGuKYBe7o7 https://pbs.twimg.com/ext_tw_video_thumb/1696999214805286912/pu/img/ZxwgYl9DNpzjh3-i.jpg</t>
  </si>
  <si>
    <t>https://t.co/Wsa15F3imm https://pbs.twimg.com/ext_tw_video_thumb/1696632629343248384/pu/img/1CfpHEoTnp4Q-JbW.jpg</t>
  </si>
  <si>
    <t>https://t.co/LulTkv2juS https://pbs.twimg.com/ext_tw_video_thumb/1691560109132988416/pu/img/2jVeAkADPP5o6tNM.jpg</t>
  </si>
  <si>
    <t>https://t.co/QkIQrPqqla https://pbs.twimg.com/ext_tw_video_thumb/1682374086100504576/pu/img/07mwcTCf4bhuMi7M.jpg</t>
  </si>
  <si>
    <t>https://t.co/Ai61NBtqfL https://pbs.twimg.com/ext_tw_video_thumb/1682132229323993089/pu/img/SC3q5u029pIYL_HB.jpg</t>
  </si>
  <si>
    <t>https://t.co/51zGuBrDvu https://pbs.twimg.com/media/F5WHZ4YWEAA-Ydd.jpg</t>
  </si>
  <si>
    <t>https://t.co/VsKKD9vphv https://pbs.twimg.com/ext_tw_video_thumb/1699211874871447553/pu/img/zDstwjk6VBIryW1Y.jpg</t>
  </si>
  <si>
    <t>https://t.co/HxqGMHsRGX https://pbs.twimg.com/media/F0y5OZhXwAARqO1.jpg</t>
  </si>
  <si>
    <t>https://t.co/Rv5jBFXztQ https://pbs.twimg.com/media/F0g25ukWwAEwXFc.jpg</t>
  </si>
  <si>
    <t>https://t.co/BkBO5YmZvm https://pbs.twimg.com/ext_tw_video_thumb/1702007381217902592/pu/img/UbsTjrkyD_6u99hS.jpg</t>
  </si>
  <si>
    <t>https://t.co/gzgFuHMQxM https://pbs.twimg.com/media/F0rVs7AXsAAjq9A.jpg</t>
  </si>
  <si>
    <t>https://t.co/tCfkAWsObU https://pbs.twimg.com/media/F0wRkr2XwAI4t__.jpg</t>
  </si>
  <si>
    <t>https://t.co/LArJoySyVP https://pbs.twimg.com/media/F01dYS-WAAIH_sy.jpg</t>
  </si>
  <si>
    <t>https://t.co/H7KObRWUSQ https://pbs.twimg.com/media/F1gIBBlXwAIS1M5.jpg</t>
  </si>
  <si>
    <t>https://t.co/Wpa1SmRauI https://pbs.twimg.com/media/F0_xsNTXoAE67c4.jpg</t>
  </si>
  <si>
    <t>https://t.co/hAwhQfM5J1 https://pbs.twimg.com/media/F06m8SEWAAAFtJY.jpg</t>
  </si>
  <si>
    <t>https://t.co/CNvkPw2lh5 https://pbs.twimg.com/media/F1PPnosXoAEjMqR.jpg</t>
  </si>
  <si>
    <t>https://t.co/94eKTW2HOx https://pbs.twimg.com/media/F1KF8PeWIAIc4BL.jpg</t>
  </si>
  <si>
    <t>https://t.co/08lJg5qX8W https://pbs.twimg.com/media/F1E7SWQXoAEW2lp.jpg</t>
  </si>
  <si>
    <t>https://t.co/8RWfplm4P7 https://pbs.twimg.com/media/F1aYheRXoAAT_pX.jpg</t>
  </si>
  <si>
    <t>https://t.co/z3ixOMLfxh https://pbs.twimg.com/media/F1UgBViXgAAWUZq.jpg</t>
  </si>
  <si>
    <t>https://t.co/JYXqirQcy0 https://pbs.twimg.com/ext_tw_video_thumb/1678777066345603072/pu/img/bIIRB457aIrNljKJ.jpg</t>
  </si>
  <si>
    <t>https://t.co/DhNt56drpL https://pbs.twimg.com/ext_tw_video_thumb/1678740518384152576/pu/img/dPWdCihiWowUrmBq.jpg</t>
  </si>
  <si>
    <t>https://t.co/ggzyb0XVqS https://pbs.twimg.com/ext_tw_video_thumb/1692287454886137856/pu/img/tIMvYrP0OjqrtRtj.jpg</t>
  </si>
  <si>
    <t>https://t.co/2mvoZ2I345 https://t.co/2mvoZ2I345 https://pbs.twimg.com/ext_tw_video_thumb/1705289901162254336/pu/img/G0PLQHDHZUVljyF2.jpg https://pbs.twimg.com/media/F6poKIfWMAE0OR5.jpg</t>
  </si>
  <si>
    <t>https://t.co/er4JeQnDD4 https://pbs.twimg.com/ext_tw_video_thumb/1679190183785250816/pu/img/Qaisman1by3mUh69.jpg</t>
  </si>
  <si>
    <t>https://t.co/7Bk1X9htjW https://pbs.twimg.com/ext_tw_video_thumb/1698090312579551232/pu/img/QwuHeHYuluSpHoSB.jpg</t>
  </si>
  <si>
    <t>https://t.co/7shZUpchDA https://pbs.twimg.com/media/F4TdQicaAAEdMrL.jpg</t>
  </si>
  <si>
    <t>https://t.co/PSokOqj87l https://pbs.twimg.com/ext_tw_video_thumb/1689795022680465408/pu/img/x24BEKzNZxQ15fD2.jpg</t>
  </si>
  <si>
    <t>https://t.co/bFsAJXQ8IZ https://pbs.twimg.com/media/F6k7HwcXoAAHaIa.jpg</t>
  </si>
  <si>
    <t>https://t.co/YWKLFNJr6A https://pbs.twimg.com/media/F6k51MIXAAAsUBT.jpg</t>
  </si>
  <si>
    <t>https://t.co/ffRzyLXzKq https://pbs.twimg.com/ext_tw_video_thumb/1706643616033026050/pu/img/gzjp1o1VNUcZj_gP.jpg</t>
  </si>
  <si>
    <t>https://t.co/O1iPR2VbaE https://pbs.twimg.com/ext_tw_video_thumb/1680012872728956929/pu/img/erZ6cMOViwm95upH.jpg</t>
  </si>
  <si>
    <t>https://t.co/6PVd9Du4pV https://pbs.twimg.com/media/F0wIMj-WIAIK5L-.jpg</t>
  </si>
  <si>
    <t>https://t.co/yXFcr3P2z9 https://t.co/yXFcr3P2z9 https://pbs.twimg.com/media/F0_j76HXgAAIVvk.jpg https://pbs.twimg.com/media/F0_j743WIAAfDfJ.jpg</t>
  </si>
  <si>
    <t>https://t.co/A87HuDBxax https://pbs.twimg.com/ext_tw_video_thumb/1678916988704366592/pu/img/RqA6avWMRO9KYsat.jpg</t>
  </si>
  <si>
    <t>https://t.co/sMH09RcXae https://pbs.twimg.com/ext_tw_video_thumb/1679577563159461888/pu/img/B3UyD5R5aHHC0xdX.jpg</t>
  </si>
  <si>
    <t>https://t.co/4TRKBGBseB https://pbs.twimg.com/ext_tw_video_thumb/1694698347322335232/pu/img/B45lOcUGouJaO9Gt.jpg</t>
  </si>
  <si>
    <t>https://t.co/oVqaoBgydD https://pbs.twimg.com/ext_tw_video_thumb/1680274869018148867/pu/img/0yC08skYqsf0QTP1.jpg</t>
  </si>
  <si>
    <t>https://t.co/Zph97cyKa3 https://pbs.twimg.com/media/F56clNSXkAAzDOZ.jpg</t>
  </si>
  <si>
    <t>https://t.co/e8qWWvgLYm https://pbs.twimg.com/ext_tw_video_thumb/1675927666875047936/pu/img/NEjZ9VAQhI0wY8IR.jpg</t>
  </si>
  <si>
    <t>https://t.co/sbcncrDaEy https://pbs.twimg.com/media/F0_vki0WwAAggeG.jpg</t>
  </si>
  <si>
    <t>https://t.co/NPUcmMVs7j https://pbs.twimg.com/media/F5LX5yOXkAAmW-S.jpg</t>
  </si>
  <si>
    <t>https://t.co/ii8CIIuFe1 https://pbs.twimg.com/ext_tw_video_thumb/1683472751481221125/pu/img/tTgqOinjntBdh3a2.jpg</t>
  </si>
  <si>
    <t>https://t.co/N34jlWT6D0 https://pbs.twimg.com/media/F6EOfLOXkAAPj4D.jpg</t>
  </si>
  <si>
    <t>https://t.co/8316a8FAKn https://pbs.twimg.com/media/F6VFVJfXkAAXMcx.jpg</t>
  </si>
  <si>
    <t>https://t.co/jd1m0NDggJ https://pbs.twimg.com/media/F4eP5BuXYAAn36s.jpg</t>
  </si>
  <si>
    <t>https://t.co/6TipSjePMP https://pbs.twimg.com/tweet_video_thumb/F3h3fC3WUAALYhr.jpg</t>
  </si>
  <si>
    <t>https://t.co/OdBGFheOQO https://pbs.twimg.com/ext_tw_video_thumb/1686313137350295552/pu/img/O9Urn-dDOQVF1hap.jpg</t>
  </si>
  <si>
    <t>https://t.co/OATmhRX2a2 https://pbs.twimg.com/media/F4idWxCWkAEAChZ.jpg</t>
  </si>
  <si>
    <t>https://t.co/pe56ZKs1L8 https://pbs.twimg.com/ext_tw_video_thumb/1694589540336340992/pu/img/oCI6bXRxtXzsp-nZ.jpg</t>
  </si>
  <si>
    <t>https://t.co/NVBLvcQNb6 https://pbs.twimg.com/ext_tw_video_thumb/1677392237548765185/pu/img/71kORVG_UaOOwnaZ.jpg</t>
  </si>
  <si>
    <t>https://t.co/Lnn1TytOhw https://pbs.twimg.com/media/F0cv4yoWYAIHn6C.jpg</t>
  </si>
  <si>
    <t>https://t.co/yApw17sDuM https://pbs.twimg.com/ext_tw_video_thumb/1677029828732637190/pu/img/jMghCNfbA-K13ZVP.jpg</t>
  </si>
  <si>
    <t>https://t.co/FVELNZpbw9 https://pbs.twimg.com/ext_tw_video_thumb/1682103274856407042/pu/img/XMaVe44K8wYpWiIv.jpg</t>
  </si>
  <si>
    <t>https://t.co/PEuMv8QwPs https://pbs.twimg.com/ext_tw_video_thumb/1680638615246741505/pu/img/rgDtl7Tt9o0I1TW2.jpg</t>
  </si>
  <si>
    <t>https://t.co/2CImhtfWQ1 https://pbs.twimg.com/ext_tw_video_thumb/1680276200587968512/pu/img/Yxyh21d47qB7rliM.jpg</t>
  </si>
  <si>
    <t>https://t.co/koYMP8eOJ5 https://pbs.twimg.com/ext_tw_video_thumb/1679219289281241090/pu/img/Lw6u882VNqomf3Jt.jpg</t>
  </si>
  <si>
    <t>https://t.co/wl6sOFAidz https://pbs.twimg.com/media/F02tlxwWAAM6W--.jpg</t>
  </si>
  <si>
    <t>https://t.co/4L9WL2s4VX https://pbs.twimg.com/ext_tw_video_thumb/1676682567565680648/pu/img/Cyi1KG5V0nSJjmlo.jpg</t>
  </si>
  <si>
    <t>https://t.co/igLx07aFJI https://t.co/igLx07aFJI https://t.co/igLx07aFJI https://pbs.twimg.com/media/F0Su3S8WIAYuGSo.jpg https://pbs.twimg.com/media/F0Su3TYWIA0emIv.jpg https://pbs.twimg.com/media/F0Su3TWWIBwT11l.jpg</t>
  </si>
  <si>
    <t>https://t.co/h4udzBNfQK https://pbs.twimg.com/ext_tw_video_thumb/1676320145474564096/pu/img/3nJcSv2SxAiF1YoF.jpg</t>
  </si>
  <si>
    <t>https://t.co/V262wXbTgu https://pbs.twimg.com/ext_tw_video_thumb/1679928938741547027/pu/img/aNPmO7LwkejDkAHz.jpg</t>
  </si>
  <si>
    <t>https://t.co/humJ81F80F https://pbs.twimg.com/media/F1Ay_xUXsCMXXYo.jpg</t>
  </si>
  <si>
    <t>https://t.co/KJ2HUDHdCS https://pbs.twimg.com/ext_tw_video_thumb/1679566534526529536/pu/img/qnTDg_d4_FObmkGk.jpg</t>
  </si>
  <si>
    <t>https://t.co/ySFw61fqwZ https://pbs.twimg.com/media/F15cj4EXsAgQtAh.jpg</t>
  </si>
  <si>
    <t>https://t.co/WuetAEQGgw https://pbs.twimg.com/ext_tw_video_thumb/1678479434905530369/pu/img/K-7n5KBLq-86Z3gZ.jpg</t>
  </si>
  <si>
    <t>https://t.co/Muvr5m111p https://pbs.twimg.com/media/F2I5SjYXoAog2xV.jpg</t>
  </si>
  <si>
    <t>https://t.co/BbIgksu4II https://pbs.twimg.com/ext_tw_video_thumb/1678841818983673857/pu/img/r91egW5H8G5x9dzw.jpg</t>
  </si>
  <si>
    <t>https://t.co/b7pkFkjoK5 https://pbs.twimg.com/media/F0xWM01WAAAZ9xc.jpg</t>
  </si>
  <si>
    <t>https://t.co/UllrjK8rRx https://pbs.twimg.com/media/F0NTF-kXoAgJmLm.jpg</t>
  </si>
  <si>
    <t>https://t.co/PKSSpP4zwD https://pbs.twimg.com/ext_tw_video_thumb/1675942705665327104/pu/img/Y_9KoGTHAj43vdMB.jpg</t>
  </si>
  <si>
    <t>https://t.co/Haf9fY2Dch https://pbs.twimg.com/media/F0IM0hLXsBEPzjE.jpg</t>
  </si>
  <si>
    <t>https://t.co/uqHqHVJkGU https://pbs.twimg.com/media/F2dfpl-X0B8vVso.jpg</t>
  </si>
  <si>
    <t>https://t.co/magoRPTeSW https://pbs.twimg.com/media/F1awqoXWwAsZDDH.jpg</t>
  </si>
  <si>
    <t>https://t.co/0p6CmCXpBu https://pbs.twimg.com/ext_tw_video_thumb/1681378478493409283/pu/img/Z3ZK9wNejlbaxtHH.jpg</t>
  </si>
  <si>
    <t>https://t.co/Xi8ZvtagZ8 https://pbs.twimg.com/media/F1VZX3rXwA8FbSt.jpg</t>
  </si>
  <si>
    <t>https://t.co/zfkkOk0QnC https://pbs.twimg.com/media/F2RQrg3aYAA5mUD.jpg</t>
  </si>
  <si>
    <t>https://t.co/U0F9huMTPD https://pbs.twimg.com/ext_tw_video_thumb/1700531214652735488/pu/img/h0Pvh_T3tZ2pT4cE.jpg</t>
  </si>
  <si>
    <t>https://t.co/CRHYubarPl https://pbs.twimg.com/ext_tw_video_thumb/1700528929449078784/pu/img/aBCzDAegJH3AtR6y.jpg</t>
  </si>
  <si>
    <t>https://t.co/J89NFPzVq1 https://t.co/J89NFPzVq1 https://pbs.twimg.com/media/F0jUon8WIAEuLYk.jpg https://pbs.twimg.com/media/F0jUon4XwAAL6J7.jpg</t>
  </si>
  <si>
    <t>https://t.co/YRrh8XbyCX https://pbs.twimg.com/media/F0sTGiGXoCgdyVY.jpg</t>
  </si>
  <si>
    <t>https://t.co/OyvR4qtp7b https://pbs.twimg.com/media/F3u4Bn_WMAALExz.png</t>
  </si>
  <si>
    <t>https://t.co/XYKBZFbX94 https://pbs.twimg.com/media/F0NzNLVWcBclgw2.jpg</t>
  </si>
  <si>
    <t>https://t.co/TKvGNDadFd https://pbs.twimg.com/media/F2tS9w5WMAAnmpQ.jpg</t>
  </si>
  <si>
    <t>https://t.co/ucatr2ckey https://pbs.twimg.com/ext_tw_video_thumb/1692294189587849217/pu/img/T1MR0ah8sptIYI3W.jpg</t>
  </si>
  <si>
    <t>https://t.co/QsZaq7ZT3f https://pbs.twimg.com/ext_tw_video_thumb/1691985267769344000/pu/img/81qR54KdFtnZqA4p.jpg</t>
  </si>
  <si>
    <t>https://t.co/VcF5v21ihV https://pbs.twimg.com/ext_tw_video_thumb/1698793770441904129/pu/img/uYSRQLDHyoRr4jel.jpg</t>
  </si>
  <si>
    <t>https://t.co/5itixBi4pb https://t.co/5itixBi4pb https://t.co/5itixBi4pb https://t.co/5itixBi4pb https://pbs.twimg.com/media/F4LW3q0WsAADNj9.jpg https://pbs.twimg.com/media/F4LW3q2W0AARi-W.jpg https://pbs.twimg.com/media/F4LW3q3WMAA8GBj.jpg https://pbs.twimg.com/media/F4LW3q0W0A8BIL4.jpg</t>
  </si>
  <si>
    <t>https://t.co/QN3DqZcLmP https://pbs.twimg.com/ext_tw_video_thumb/1693294389534031873/pu/img/f4NSBfGjtrx-VSUr.jpg</t>
  </si>
  <si>
    <t>https://t.co/cW1bzm0tMh https://pbs.twimg.com/media/F5idd8zXgAAPgAq.jpg</t>
  </si>
  <si>
    <t>https://t.co/kOeHfv33Ri https://pbs.twimg.com/ext_tw_video_thumb/1698445370508939264/pu/img/2xGc-GPrRrAg48Kp.jpg</t>
  </si>
  <si>
    <t>https://t.co/PiW9RLWGKk https://pbs.twimg.com/ext_tw_video_thumb/1698329477669965824/pu/img/kK7dAk8zs9kdTDf6.jpg</t>
  </si>
  <si>
    <t>https://t.co/UpXugLHg5d https://pbs.twimg.com/ext_tw_video_thumb/1695076358907441152/pu/img/ChaSTXbSyh-SKVZf.jpg</t>
  </si>
  <si>
    <t>https://t.co/iZCN4gwxe2 https://pbs.twimg.com/ext_tw_video_thumb/1694855973175693312/pu/img/e18A4dewi8OQ_dZN.jpg</t>
  </si>
  <si>
    <t>https://t.co/gZ4I3LDyS1 https://pbs.twimg.com/ext_tw_video_thumb/1694708913780961281/pu/img/it0CoM9TmEn5EemS.jpg</t>
  </si>
  <si>
    <t>https://t.co/z0kpLq9VjY https://pbs.twimg.com/ext_tw_video_thumb/1690139842439503872/pu/img/hg81eZFD5R8la2lE.jpg</t>
  </si>
  <si>
    <t>https://t.co/GSxzimnsgZ https://pbs.twimg.com/ext_tw_video_thumb/1700609096699777025/pu/img/RhH-XwYA67ChJbCU.jpg</t>
  </si>
  <si>
    <t>https://t.co/iDUY7fukyt https://pbs.twimg.com/ext_tw_video_thumb/1699755219888848897/pu/img/J1qLp9RwP0U4-Ur_.jpg</t>
  </si>
  <si>
    <t>https://t.co/NscKxz6brt https://t.co/NscKxz6brt https://t.co/NscKxz6brt https://pbs.twimg.com/media/F35xIXcXkAA_Tny.jpg https://pbs.twimg.com/media/F35xIXbXsAA0jwT.jpg https://pbs.twimg.com/media/F35xIXbWQAAYDvJ.jpg</t>
  </si>
  <si>
    <t>https://t.co/OWFrL1b1ve https://pbs.twimg.com/ext_tw_video_thumb/1692668713995042816/pu/img/PNQLFYKk8F4K4amF.jpg</t>
  </si>
  <si>
    <t>https://t.co/8T6POisjMs https://pbs.twimg.com/ext_tw_video_thumb/1701173867358650368/pu/img/hW6Hh2b1erpMAA1m.jpg</t>
  </si>
  <si>
    <t>https://t.co/Dugh8o6zbD https://pbs.twimg.com/ext_tw_video_thumb/1694460801245933568/pu/img/6uPdiOy8AEki7LYY.jpg</t>
  </si>
  <si>
    <t>https://t.co/mJmXM7sfIO https://pbs.twimg.com/ext_tw_video_thumb/1703782154151317504/pu/img/SN6XnlHVDudhdP6T.jpg</t>
  </si>
  <si>
    <t>https://t.co/fvtSW1zZ8e https://t.co/fvtSW1zZ8e https://pbs.twimg.com/media/F4na0p6WcAAEvFq.jpg https://pbs.twimg.com/media/F4na3VkXgAAdkGq.jpg</t>
  </si>
  <si>
    <t>https://t.co/jWjjBmMOAv https://pbs.twimg.com/media/F4naqfeWYAArRaT.jpg</t>
  </si>
  <si>
    <t>https://t.co/GCINH75BnM https://pbs.twimg.com/media/F4name3WYAICtGn.jpg</t>
  </si>
  <si>
    <t>https://t.co/iSBVLy7WRb https://pbs.twimg.com/ext_tw_video_thumb/1691397272813146112/pu/img/3MO06dXTU5jMKoCy.jpg</t>
  </si>
  <si>
    <t>https://t.co/TwR0VQdfvS https://pbs.twimg.com/ext_tw_video_thumb/1705011804789723137/pu/img/lpGf-SDxn1evfrgB.jpg</t>
  </si>
  <si>
    <t>https://t.co/j93VvMabpU https://pbs.twimg.com/ext_tw_video_thumb/1704988197267079168/pu/img/lW5ZuOek9i2_3bAL.jpg</t>
  </si>
  <si>
    <t>https://t.co/fNc8i0iS9M https://pbs.twimg.com/ext_tw_video_thumb/1696973394195980288/pu/img/90dvg2QLYEBtVQ1O.jpg</t>
  </si>
  <si>
    <t>https://t.co/yOjb00pB0A https://pbs.twimg.com/ext_tw_video_thumb/1691500570689802241/pu/img/jun50bRxGDlSx6Iz.jpg</t>
  </si>
  <si>
    <t>https://t.co/KHbqJhIglz https://pbs.twimg.com/media/F2s3onxXoBIGDaX.jpg</t>
  </si>
  <si>
    <t>https://t.co/EZ6Ab3u9qU https://pbs.twimg.com/media/F1CHIKTWcAAsKa5.jpg</t>
  </si>
  <si>
    <t>https://t.co/5yGmZbrhuI https://t.co/5yGmZbrhuI https://t.co/5yGmZbrhuI https://pbs.twimg.com/media/F2CqOXeWIAA3j6Z.jpg https://pbs.twimg.com/media/F2CqOXuWYAAH76B.jpg https://pbs.twimg.com/media/F2CqOX8WIAUh1LX.jpg</t>
  </si>
  <si>
    <t>https://t.co/vb74tTLikM https://pbs.twimg.com/media/F0Skj-GWAAAOmNl.jpg</t>
  </si>
  <si>
    <t>https://t.co/zJlkot8p0p https://pbs.twimg.com/media/F1kLnyKWYAEeM6e.jpg</t>
  </si>
  <si>
    <t>https://t.co/HQz6QN0ByT https://pbs.twimg.com/media/F5Ho7nEX0AAIOxE.jpg</t>
  </si>
  <si>
    <t>https://t.co/UNvqlfUQQ0 https://pbs.twimg.com/media/F45vDx4bEAACGxJ.jpg</t>
  </si>
  <si>
    <t>https://t.co/9nEKACMY3D https://pbs.twimg.com/ext_tw_video_thumb/1679327749054296064/pu/img/9L7AhFV1esgr6LUJ.jpg</t>
  </si>
  <si>
    <t>https://t.co/jx10JpgLgo https://pbs.twimg.com/media/F2H_UA2WoAAIVFf.jpg</t>
  </si>
  <si>
    <t>https://t.co/mFjPT4N8UX https://pbs.twimg.com/media/F5LcX4RX0AAX-0A.jpg</t>
  </si>
  <si>
    <t>https://t.co/eBpfpoD7uh https://pbs.twimg.com/media/F0xYZjmWAAUSrVM.jpg</t>
  </si>
  <si>
    <t>https://t.co/ubcY0wjyK6 https://pbs.twimg.com/media/F0H04O4XoAMpUqb.jpg</t>
  </si>
  <si>
    <t>https://t.co/PFAe5O9w0q https://pbs.twimg.com/media/F1IaiQ9XgAELtuu.jpg</t>
  </si>
  <si>
    <t>https://t.co/BSvA22YSE5 https://pbs.twimg.com/media/F7CKI9sXkAEHQX9.jpg</t>
  </si>
  <si>
    <t>https://t.co/bXe3kJh3KI https://pbs.twimg.com/media/F4FXTCsbkAAoVG7.png</t>
  </si>
  <si>
    <t>https://t.co/kTm3GmiQTp https://pbs.twimg.com/media/F0JAhIBagAAT0uu.png</t>
  </si>
  <si>
    <t>https://t.co/p4Gjve8oSD https://pbs.twimg.com/media/F4pagFqbQAMgaFt.png</t>
  </si>
  <si>
    <t>https://t.co/51r2rHjkF5 https://pbs.twimg.com/media/F3hT37YakAA7iY0.png</t>
  </si>
  <si>
    <t>https://t.co/fOq0S7cWkL https://pbs.twimg.com/media/F1RGzJWaYAU4Jny.png</t>
  </si>
  <si>
    <t>https://t.co/ryPAQM20P7 https://pbs.twimg.com/media/F5NdM8YbwAALykQ.png</t>
  </si>
  <si>
    <t>https://t.co/yOZUfbChBP https://pbs.twimg.com/media/F29QdlMaMAAj11s.png</t>
  </si>
  <si>
    <t>https://t.co/NyQOIbxYOY https://pbs.twimg.com/media/F6VjEYRa0AEJy-5.png</t>
  </si>
  <si>
    <t>https://t.co/MBeUiM1FGF https://pbs.twimg.com/media/F11KExTaAAATtpg.png</t>
  </si>
  <si>
    <t>https://t.co/D1poqlUcNS https://pbs.twimg.com/media/F0tDp6faMAAru7L.png</t>
  </si>
  <si>
    <t>https://t.co/94myaD1fKL https://pbs.twimg.com/media/F65mag6a4AANHMe.png</t>
  </si>
  <si>
    <t>https://t.co/z4bXhmL2jV https://pbs.twimg.com/media/F5xge9jbUAAiz8j.png</t>
  </si>
  <si>
    <t>https://t.co/hTgg9OzMEc https://pbs.twimg.com/media/F2ZNN4SaYAE9lii.png</t>
  </si>
  <si>
    <t>https://t.co/d4gDJ1M9wF https://pbs.twimg.com/ext_tw_video_thumb/1690008624473530368/pu/img/oXCMHu9z8hFcf3Fc.jpg</t>
  </si>
  <si>
    <t>https://t.co/ZY5BylwUwv https://pbs.twimg.com/ext_tw_video_thumb/1696227496880992256/pu/img/SOOra6KJsSqjY_He.jpg</t>
  </si>
  <si>
    <t>https://t.co/Z29hGD8blC https://pbs.twimg.com/ext_tw_video_thumb/1691146961884164108/pu/img/j9C6Gc5kqKEl375D.jpg</t>
  </si>
  <si>
    <t>https://t.co/Aohom7p2yU https://pbs.twimg.com/ext_tw_video_thumb/1693982874511507456/pu/img/9VRrbWGMNlkelwPo.jpg</t>
  </si>
  <si>
    <t>https://t.co/7RM1mmui5v https://pbs.twimg.com/ext_tw_video_thumb/1696969590616530944/pu/img/4GgKGbXiqGmBEZ7n.jpg</t>
  </si>
  <si>
    <t>https://t.co/WfkmeKsEMr https://pbs.twimg.com/ext_tw_video_thumb/1691804513861083137/pu/img/cuUn6L1fKRDHYtQW.jpg</t>
  </si>
  <si>
    <t>https://t.co/ZCdoz1MPmt https://pbs.twimg.com/ext_tw_video_thumb/1691520247554068483/pu/img/yOPWv_kAtni80YIg.jpg</t>
  </si>
  <si>
    <t>https://t.co/2rppH5AjPk https://pbs.twimg.com/ext_tw_video_thumb/1694412195277242368/pu/img/1QkAtsuEjYRi7rtL.jpg</t>
  </si>
  <si>
    <t>https://t.co/SyZMIfpnDg https://pbs.twimg.com/ext_tw_video_thumb/1696574306568859650/pu/img/tVn7BH7Ml15Co8PA.jpg</t>
  </si>
  <si>
    <t>https://t.co/ZZII5tVCwt https://pbs.twimg.com/ext_tw_video_thumb/1689646183063621632/pu/img/jeCjFfTx-TbgqGFa.jpg</t>
  </si>
  <si>
    <t>https://t.co/EV0VfF8VFt https://pbs.twimg.com/ext_tw_video_thumb/1697285251448360960/pu/img/p9oTLc3T917HM2P0.jpg</t>
  </si>
  <si>
    <t>https://t.co/vpw5jenn70 https://pbs.twimg.com/ext_tw_video_thumb/1692611068244144128/pu/img/wV7CK0fb1biZ7buV.jpg</t>
  </si>
  <si>
    <t>https://t.co/iU9NmIpizK https://pbs.twimg.com/media/F1AmBcAWAAE5lNQ.jpg</t>
  </si>
  <si>
    <t>https://t.co/swNT4YRKR2 https://t.co/swNT4YRKR2 https://t.co/swNT4YRKR2 https://pbs.twimg.com/media/F2JPFu8XYAAM3wQ.jpg https://pbs.twimg.com/media/F2JPFu9WYAAZ_RQ.jpg https://pbs.twimg.com/media/F2JPFu9XoAAtA2H.jpg</t>
  </si>
  <si>
    <t>https://t.co/knTcHxD4Th https://t.co/knTcHxD4Th https://t.co/knTcHxD4Th https://t.co/knTcHxD4Th https://pbs.twimg.com/media/F2uJW0xXYAAehS9.jpg https://pbs.twimg.com/media/F2uJW00XcAA-rzQ.jpg https://pbs.twimg.com/media/F2uJW0xWsAA6u9f.jpg https://pbs.twimg.com/media/F2uJW0xXgAA-7Fq.jpg</t>
  </si>
  <si>
    <t>https://t.co/cJusxh9hKa https://pbs.twimg.com/media/F02b29kWcAAa92h.jpg</t>
  </si>
  <si>
    <t>https://t.co/kNqmHyUjsO https://pbs.twimg.com/media/F01z6czWYAATzsw.jpg</t>
  </si>
  <si>
    <t>https://t.co/1nD06sng9r https://pbs.twimg.com/media/F02ccYNXwAwTm5H.jpg</t>
  </si>
  <si>
    <t>https://t.co/knruFwd5H4 https://pbs.twimg.com/media/F02b_PKXwBcTzls.jpg</t>
  </si>
  <si>
    <t>https://t.co/Ji2QMOrMkO https://pbs.twimg.com/media/F02d6vKWwAAaz3T.jpg</t>
  </si>
  <si>
    <t>https://t.co/F18xXXPhu6 https://pbs.twimg.com/media/F02d2ZpXwBQ3dAo.jpg</t>
  </si>
  <si>
    <t>https://t.co/GmkYmH0Bni https://pbs.twimg.com/media/F02eS04XwAs2Ihm.jpg</t>
  </si>
  <si>
    <t>https://t.co/1kW9mYkOFj https://pbs.twimg.com/media/F02egdKXwBM0eyH.jpg</t>
  </si>
  <si>
    <t>https://t.co/LLuHWOtCqe https://pbs.twimg.com/media/F01zKGQWwAga_R4.jpg</t>
  </si>
  <si>
    <t>https://t.co/gZb0QoShvw https://pbs.twimg.com/media/F02eNLRXwAclDRB.jpg</t>
  </si>
  <si>
    <t>https://t.co/UQbBvKOd4l https://pbs.twimg.com/media/F02eFjJXwBAi34Y.jpg</t>
  </si>
  <si>
    <t>https://t.co/lnp4jRtAhF https://pbs.twimg.com/media/F02d_lHXoAAVv7z.jpg</t>
  </si>
  <si>
    <t>https://t.co/fSAhJ4oS3w https://pbs.twimg.com/media/F02eXkzXwBQNIok.jpg</t>
  </si>
  <si>
    <t>https://t.co/OArGuVLvdc https://pbs.twimg.com/ext_tw_video_thumb/1687529482561716248/pu/img/2gQnP6XbfktI-g9M.jpg</t>
  </si>
  <si>
    <t>https://t.co/d2ytqYabVV https://pbs.twimg.com/media/F06tz81XoAIVaer.jpg</t>
  </si>
  <si>
    <t>https://t.co/zmVtpeVLxS https://pbs.twimg.com/media/F01jCiYXwAMZSJ5.jpg</t>
  </si>
  <si>
    <t>https://t.co/57ZuSaAYx0 https://pbs.twimg.com/media/F1PUKspXoAAR2QB.jpg</t>
  </si>
  <si>
    <t>https://t.co/yAbYnxyyhN https://pbs.twimg.com/media/F1k6fL4WIBM2ZZF.jpg</t>
  </si>
  <si>
    <t>https://t.co/K2uLe7mdE0 https://pbs.twimg.com/ext_tw_video_thumb/1701518206249078784/pu/img/TSkSfqLgaeyUJnqE.jpg</t>
  </si>
  <si>
    <t>https://t.co/PyK1N2Gjds https://pbs.twimg.com/media/F4TZ9eja0AEymh3.jpg</t>
  </si>
  <si>
    <t>https://t.co/27NZ1ZxO84 https://pbs.twimg.com/ext_tw_video_thumb/1696328416490872832/pu/img/fdeOm5tGEl2sHo-8.jpg</t>
  </si>
  <si>
    <t>https://t.co/BaSIYE9099 https://pbs.twimg.com/ext_tw_video_thumb/1676278320973979653/pu/img/p8uLERQ8pAaTXw3e.jpg</t>
  </si>
  <si>
    <t>https://t.co/11QNexniin https://pbs.twimg.com/media/F4s6hX-b0AEZgEz.jpg</t>
  </si>
  <si>
    <t>https://t.co/bRWwF4mt7E https://pbs.twimg.com/media/F5W86yvXgAAFEEL.jpg</t>
  </si>
  <si>
    <t>https://t.co/y3beOu2YA4 https://pbs.twimg.com/ext_tw_video_thumb/1697667278710476800/pu/img/au3rlsas66rNkveL.jpg</t>
  </si>
  <si>
    <t>https://t.co/bmjkWUasR1 https://pbs.twimg.com/ext_tw_video_thumb/1694137368599490560/pu/img/wIMgpITsuTcIczyt.jpg</t>
  </si>
  <si>
    <t>https://t.co/X7txCXOKW0 https://pbs.twimg.com/ext_tw_video_thumb/1703529276899831808/pu/img/wCsjFFL37ooJ6TSI.jpg</t>
  </si>
  <si>
    <t>https://t.co/teIZv9P7we https://pbs.twimg.com/media/F3rXOsDWkAAzR18.jpg</t>
  </si>
  <si>
    <t>https://t.co/bJnaskctCH https://pbs.twimg.com/media/F47M31-XUAAHNa-.jpg</t>
  </si>
  <si>
    <t>https://t.co/yQKUphbdFL https://pbs.twimg.com/ext_tw_video_thumb/1677633241023430656/pu/img/dM04XzfLgmeKdSVy.jpg</t>
  </si>
  <si>
    <t>https://t.co/ayxDl32nmA https://pbs.twimg.com/ext_tw_video_thumb/1677497284962009089/pu/img/YyGoxAbSFazhFBwJ.jpg</t>
  </si>
  <si>
    <t>https://t.co/MKfTqD3j6f https://pbs.twimg.com/ext_tw_video_thumb/1677440463949778944/pu/img/386116OzPy0vS8vw.jpg</t>
  </si>
  <si>
    <t>https://t.co/NcUGSZY71U https://pbs.twimg.com/ext_tw_video_thumb/1676948652961693700/pu/img/S4Hm3YZT0y2N-k-p.jpg</t>
  </si>
  <si>
    <t>https://t.co/MLlgG32Bvi https://pbs.twimg.com/media/F1-7-WKXgAAhjLK.png</t>
  </si>
  <si>
    <t>https://t.co/uZEv00LMQX https://pbs.twimg.com/media/F2I5J6pXoAYrDJH.jpg</t>
  </si>
  <si>
    <t>https://t.co/ZH7kQqgiNL https://pbs.twimg.com/media/F2TCAowWUAMTEC1.jpg</t>
  </si>
  <si>
    <t>https://t.co/GJ646xl4WK https://pbs.twimg.com/media/F52vWs5XkAAAFEj.jpg</t>
  </si>
  <si>
    <t>https://t.co/dRuNrMiApD https://pbs.twimg.com/media/F6lcS7SWsAMO_cv.jpg</t>
  </si>
  <si>
    <t>https://t.co/b9YbcY9vwY https://pbs.twimg.com/ext_tw_video_thumb/1680403769928941569/pu/img/u5SYb-18lYSA6JqO.jpg</t>
  </si>
  <si>
    <t>https://t.co/c9f58irNiS https://pbs.twimg.com/media/F1ZP69iWAAALHgo.jpg</t>
  </si>
  <si>
    <t>https://t.co/c2u9mQeuQw https://pbs.twimg.com/media/FsMG9eQXgAEJKnS.jpg</t>
  </si>
  <si>
    <t>https://t.co/C27XzemuGP https://pbs.twimg.com/ext_tw_video_thumb/1688943217784262657/pu/img/ZEa4V-_gscxgBtC_.jpg</t>
  </si>
  <si>
    <t>https://t.co/IBhUASBJFD https://pbs.twimg.com/media/F6034p9WMAAP6dx.jpg</t>
  </si>
  <si>
    <t>https://t.co/AlzDgqyHkb https://pbs.twimg.com/media/F2OAv3VWwAA-_nJ.jpg</t>
  </si>
  <si>
    <t>https://t.co/I44TVy07tN https://pbs.twimg.com/media/F5YKu-MWcAAEn2_.jpg</t>
  </si>
  <si>
    <t>https://t.co/4kG0joYiOA https://pbs.twimg.com/media/F3Q4KdzWYAAwRdr.jpg</t>
  </si>
  <si>
    <t>https://t.co/ORXMsmc78j https://pbs.twimg.com/ext_tw_video_thumb/1693435115668480000/pu/img/sKWEidh_kcBpueX9.jpg</t>
  </si>
  <si>
    <t>https://t.co/Fd9EwWqdM7 https://pbs.twimg.com/ext_tw_video_thumb/1701930303390957571/pu/img/CyX5gMU1h2rnKwfK.jpg</t>
  </si>
  <si>
    <t>https://t.co/AFWRxH2IC4 https://pbs.twimg.com/ext_tw_video_thumb/1702683265952358400/pu/img/QUeXkpZrhzvZdJT9.jpg</t>
  </si>
  <si>
    <t>https://t.co/nIFpmgB5mk https://pbs.twimg.com/ext_tw_video_thumb/1705167908844736512/pu/img/-EJSv3X-Gys19La6.jpg</t>
  </si>
  <si>
    <t>https://t.co/pxYcJUesci https://pbs.twimg.com/ext_tw_video_thumb/1704443382678835200/pu/img/WTYG-3UFAqPs4KYs.jpg</t>
  </si>
  <si>
    <t>https://t.co/P01OFJ8r2D https://pbs.twimg.com/ext_tw_video_thumb/1703718366458875904/pu/img/uRm1P97_FX_vWbDx.jpg</t>
  </si>
  <si>
    <t>https://t.co/AcHIaaE3DW https://pbs.twimg.com/media/F2i2redXcAwSYDa.jpg</t>
  </si>
  <si>
    <t>https://t.co/Ngk77GmHQX https://pbs.twimg.com/media/F60jU62WcAATEm3.jpg</t>
  </si>
  <si>
    <t>https://t.co/rB8ygCsJjs https://pbs.twimg.com/ext_tw_video_thumb/1681673297463857159/pu/img/urwgrCTJD2LpRrIQ.jpg</t>
  </si>
  <si>
    <t>https://t.co/VVCivjky5r https://pbs.twimg.com/ext_tw_video_thumb/1684323722251890690/pu/img/0mk0U9TyTCKWUspd.jpg</t>
  </si>
  <si>
    <t>https://t.co/rbcsEt3xbL https://pbs.twimg.com/ext_tw_video_thumb/1679129005725827074/pu/img/vgAboqwzCTGOd_lc.jpg</t>
  </si>
  <si>
    <t>https://t.co/IneTT6Rld6 https://pbs.twimg.com/media/F2IeK6hWoAAPQO_.jpg</t>
  </si>
  <si>
    <t>https://t.co/k6M2kmcstr https://pbs.twimg.com/media/F0ZKmpQWIAAT0br.jpg</t>
  </si>
  <si>
    <t>https://t.co/PGTs4hJKkx https://pbs.twimg.com/media/F5NnqE4XkAA7gFm.jpg</t>
  </si>
  <si>
    <t>https://t.co/urCZLAmJpg https://pbs.twimg.com/media/F4GA4gpXYAAFIAz.jpg</t>
  </si>
  <si>
    <t>https://t.co/0Tm6oLeOCH https://pbs.twimg.com/media/F4GA_QUWMAAN0AG.jpg</t>
  </si>
  <si>
    <t>https://t.co/aSfgVs9jFt https://pbs.twimg.com/media/F4LUIucWwAAM7_1.jpg</t>
  </si>
  <si>
    <t>https://t.co/JJkZEbbewS https://pbs.twimg.com/ext_tw_video_thumb/1706357940137918464/pu/img/d-zD6yUuK5St2ZJX.jpg</t>
  </si>
  <si>
    <t>https://t.co/7X6fB7S1kJ https://t.co/7X6fB7S1kJ https://t.co/7X6fB7S1kJ https://t.co/7X6fB7S1kJ https://pbs.twimg.com/media/F30sivvWsAEv99X.jpg https://pbs.twimg.com/media/F30siwLWYAE7SRT.jpg https://pbs.twimg.com/media/F30siwkXgAAMEqX.jpg https://pbs.twimg.com/media/F30siw8XkAAHK3R.jpg</t>
  </si>
  <si>
    <t>https://t.co/xBMIAtVCym https://pbs.twimg.com/media/F3Pr_JUX0AATNmt.jpg</t>
  </si>
  <si>
    <t>https://t.co/the7Vgm2Sh https://pbs.twimg.com/media/F4sZzkqWwAAC9uQ.jpg</t>
  </si>
  <si>
    <t>https://t.co/OVsAy1nzEM https://pbs.twimg.com/media/F2QKmwkXQAAq35f.jpg</t>
  </si>
  <si>
    <t>https://t.co/cUwRzTBOyI https://pbs.twimg.com/media/F4zazboXkAAWys7.jpg</t>
  </si>
  <si>
    <t>https://t.co/OmjSUHm9dl https://pbs.twimg.com/media/F4lKtRMXIAAvEqs.jpg</t>
  </si>
  <si>
    <t>https://t.co/hlRJdMxYGn https://pbs.twimg.com/ext_tw_video_thumb/1687107257518141444/pu/img/awRFiYOuwVXIt3r4.jpg</t>
  </si>
  <si>
    <t>https://t.co/7v2Vn1JIcs https://pbs.twimg.com/media/F0stSt-WcAElNV6.png</t>
  </si>
  <si>
    <t>https://t.co/nn71Ltoh15 https://pbs.twimg.com/media/F1PCWu2WwAIP9YK.jpg</t>
  </si>
  <si>
    <t>https://t.co/axuO5BYnzS https://pbs.twimg.com/media/F69ZRYRWMAAWFDi.jpg</t>
  </si>
  <si>
    <t>https://t.co/CD02rKSvrD https://pbs.twimg.com/media/F28HNafXoAEqlQC.jpg</t>
  </si>
  <si>
    <t>https://t.co/BxzfEZ8iv9 https://pbs.twimg.com/media/F4i0FS_XYAA5TyT.jpg</t>
  </si>
  <si>
    <t>https://t.co/UrrMSR5N62 https://pbs.twimg.com/media/F5wJTgsXMAAIkzJ.jpg</t>
  </si>
  <si>
    <t>https://t.co/H4oisn2XW5 https://pbs.twimg.com/media/F2SUZXxWUAAVrNC.jpg</t>
  </si>
  <si>
    <t>https://t.co/VXV3mFN0H7 https://pbs.twimg.com/media/F3f5QKaXAAAJ5fZ.jpg</t>
  </si>
  <si>
    <t>https://t.co/WppgxYExwB https://pbs.twimg.com/media/F1R9iRVX0AAlwvg.jpg</t>
  </si>
  <si>
    <t>https://t.co/7kmjFuHPzs https://pbs.twimg.com/media/F64JNxtXAAAN-Cf.jpg</t>
  </si>
  <si>
    <t>https://t.co/kD7HOXuHgr https://pbs.twimg.com/media/F42JaMYXIAAEhUa.jpg</t>
  </si>
  <si>
    <t>https://t.co/Sxfiw9UqOp https://pbs.twimg.com/media/F7Bh7fbXcAAkw0b.jpg</t>
  </si>
  <si>
    <t>https://t.co/TTtQk2UJXy https://pbs.twimg.com/ext_tw_video_thumb/1702412393874128896/pu/img/IgZkWWoigkCjdRqA.jpg</t>
  </si>
  <si>
    <t>https://t.co/pxfaCCYwUv https://pbs.twimg.com/ext_tw_video_thumb/1676651637522178048/pu/img/aFlfFw5YSwDJ-OPa.jpg</t>
  </si>
  <si>
    <t>https://t.co/F3kmpwchkw https://t.co/F3kmpwchkw https://t.co/F3kmpwchkw https://t.co/F3kmpwchkw https://pbs.twimg.com/media/F6pP_-1XoAAeb9v.jpg https://pbs.twimg.com/media/F6pP_-1XwAAvm_1.jpg https://pbs.twimg.com/media/F6pQBJwXsAAkbHa.jpg https://pbs.twimg.com/media/F6pQBKgWEAA6WSI.jpg</t>
  </si>
  <si>
    <t>https://t.co/lt79KUQSDV https://pbs.twimg.com/media/F6E0G0iXkAAcB57.jpg</t>
  </si>
  <si>
    <t>https://t.co/ZDvBrdS1vI https://pbs.twimg.com/media/F6vFAoLW0AAzIlu.jpg</t>
  </si>
  <si>
    <t>https://t.co/CI3rBsweZV https://pbs.twimg.com/media/F1Ua1b4XgAAEKMw.jpg</t>
  </si>
  <si>
    <t>https://t.co/esgwvUr2cT https://t.co/esgwvUr2cT https://t.co/esgwvUr2cT https://t.co/esgwvUr2cT https://pbs.twimg.com/media/F63hkpnXUAArx0g.jpg https://pbs.twimg.com/media/F63hkpqXQAEJ768.jpg https://pbs.twimg.com/media/F63hkpnWYAAZyYX.jpg https://pbs.twimg.com/media/F63hkplWMAAxvZo.jpg</t>
  </si>
  <si>
    <t>https://t.co/3oI5BsgQli https://pbs.twimg.com/media/F6ae3TYX0AA-OWw.jpg</t>
  </si>
  <si>
    <t>https://t.co/u7RKujUCRR https://t.co/u7RKujUCRR https://t.co/u7RKujUCRR https://t.co/u7RKujUCRR https://pbs.twimg.com/media/F68zHV1WUAAdPcV.jpg https://pbs.twimg.com/media/F68zIjwXgAA7xuW.jpg https://pbs.twimg.com/media/F68zJTKW8AAD7M7.jpg https://pbs.twimg.com/media/F68zKXOWwAAdsZv.jpg</t>
  </si>
  <si>
    <t>https://t.co/AoyZGxK1R3 https://pbs.twimg.com/media/F65YPOTXYAAWJZw.jpg</t>
  </si>
  <si>
    <t>https://t.co/CI506UOdkC https://t.co/CI506UOdkC https://t.co/CI506UOdkC https://t.co/CI506UOdkC https://pbs.twimg.com/media/F6flOmaXoAAJ6QN.jpg https://pbs.twimg.com/media/F6flOmZXoAAwOpD.jpg https://pbs.twimg.com/media/F6flPimXQAALJ6Z.jpg https://pbs.twimg.com/media/F6flPjIW4AAr40H.jpg</t>
  </si>
  <si>
    <t>https://t.co/SegJ214t9h https://pbs.twimg.com/media/F1gjp_YWIAI7N23.jpg</t>
  </si>
  <si>
    <t>https://t.co/fvctX9PFXF https://pbs.twimg.com/ext_tw_video_thumb/1686743667631947777/pu/img/3hkWsjeeTdHtVwwq.jpg</t>
  </si>
  <si>
    <t>https://t.co/rZkzsEylt3 https://pbs.twimg.com/ext_tw_video_thumb/1691253350854012928/pu/img/hXqH6t6v_kPcCbCD.jpg</t>
  </si>
  <si>
    <t>https://t.co/Q8RP4eGvkj https://pbs.twimg.com/ext_tw_video_thumb/1689841004755525633/pu/img/OuMcKhwTVH27-V37.jpg</t>
  </si>
  <si>
    <t>https://t.co/GrMFq2OHyp https://pbs.twimg.com/ext_tw_video_thumb/1678762283894464515/pu/img/ft2Fs8Yq3JWCvkrf.jpg</t>
  </si>
  <si>
    <t>https://t.co/d4AQx4bF2s https://pbs.twimg.com/media/F0HZIY3WYAAY3oc.jpg</t>
  </si>
  <si>
    <t>https://t.co/Rbm29DU7Fx https://pbs.twimg.com/media/F4wlXKrXcAEea0w.jpg</t>
  </si>
  <si>
    <t>https://t.co/VW6kv0vZaO https://pbs.twimg.com/ext_tw_video_thumb/1704551264032354304/pu/img/72_NabXrcHV9L39d.jpg</t>
  </si>
  <si>
    <t>https://t.co/EceqJdsu55 https://pbs.twimg.com/media/F0NxJ_aakAEmb-c.jpg</t>
  </si>
  <si>
    <t>https://t.co/lc86es93nV https://t.co/lc86es93nV https://t.co/lc86es93nV https://pbs.twimg.com/media/F10WLq-WwAc4d-f.jpg https://pbs.twimg.com/media/F10WLrAWwAMj2TQ.jpg https://pbs.twimg.com/media/F10WLq_WwBIAMXV.jpg</t>
  </si>
  <si>
    <t>https://t.co/VaOCTiP8ux https://pbs.twimg.com/media/F7Dt-BbXoAAj7xp.jpg</t>
  </si>
  <si>
    <t>https://t.co/TFNz95MPHv https://pbs.twimg.com/media/F5ByvQfXIAAgUsM.jpg</t>
  </si>
  <si>
    <t>https://t.co/HJhIDZLVVX https://pbs.twimg.com/media/F0roxygWAAE9jQ4.jpg</t>
  </si>
  <si>
    <t>https://t.co/Kie9Kvw2Km https://pbs.twimg.com/media/F4IxBFcXsAEClhM.jpg</t>
  </si>
  <si>
    <t>https://t.co/dihsuKYgxu https://pbs.twimg.com/ext_tw_video_thumb/1684573279389102080/pu/img/q5Z6RYu3kWLWII2h.jpg</t>
  </si>
  <si>
    <t>https://t.co/3TSMskTJta https://pbs.twimg.com/media/F56PyBhXQAAjmCL.jpg</t>
  </si>
  <si>
    <t>https://t.co/CPVJ8OVXxH https://pbs.twimg.com/media/F0ZcKW2WwAAe3CZ.jpg</t>
  </si>
  <si>
    <t>https://t.co/NR6manU9kl https://pbs.twimg.com/media/F3f1fupXMAEiFnT.jpg</t>
  </si>
  <si>
    <t>https://t.co/sokVETNC0l https://pbs.twimg.com/media/F3qsNy_XgAIuN26.jpg</t>
  </si>
  <si>
    <t>https://t.co/ggo4ezFTdp https://pbs.twimg.com/media/F6-zMbEXkAAUdk-.jpg</t>
  </si>
  <si>
    <t>https://t.co/lnJoQxB4eM https://pbs.twimg.com/media/F6-3qgRW0AAvYBT.jpg</t>
  </si>
  <si>
    <t>https://t.co/mnixXby2J9 https://pbs.twimg.com/media/F1pKGb-XsAItmeM.jpg</t>
  </si>
  <si>
    <t>https://t.co/pyBzzUAi6R https://t.co/pyBzzUAi6R https://t.co/pyBzzUAi6R https://t.co/pyBzzUAi6R https://pbs.twimg.com/ext_tw_video_thumb/1694854212826341376/pu/img/9C3aiF-jEnAHVCaN.jpg https://pbs.twimg.com/media/F4VU7UZXAAEy1bM.jpg https://pbs.twimg.com/media/F4VU7UXWkAEOHJd.jpg https://pbs.twimg.com/media/F4VU7UYXsAACr-2.jpg</t>
  </si>
  <si>
    <t>https://t.co/LQqJBIq5sO https://pbs.twimg.com/media/F3bxEBXWgAAfKTn.jpg</t>
  </si>
  <si>
    <t>https://t.co/ExiUIbcJuv https://pbs.twimg.com/media/F15MFfxWYAAF7KH.jpg</t>
  </si>
  <si>
    <t>https://t.co/VmL67kBwtP https://pbs.twimg.com/media/F5mrcqLXYAA_1GF.jpg</t>
  </si>
  <si>
    <t>https://t.co/2UxHb84vAG https://pbs.twimg.com/media/F5hx1LdWIAAZelu.jpg</t>
  </si>
  <si>
    <t>https://t.co/KbEnvq1hzA https://pbs.twimg.com/ext_tw_video_thumb/1688934906758316032/pu/img/frDJzeqMOsKstWBW.jpg</t>
  </si>
  <si>
    <t>https://t.co/e5PYVKcaJw https://pbs.twimg.com/media/F5cEJXgXcAAshdU.jpg</t>
  </si>
  <si>
    <t>https://t.co/W9CvkFvnp2 https://pbs.twimg.com/media/F51FdtDbIAEqvxN.jpg</t>
  </si>
  <si>
    <t>https://t.co/YvJ9C3x3Hl https://pbs.twimg.com/ext_tw_video_thumb/1701823948269252608/pu/img/PuAzW30qO3BC7Py-.jpg</t>
  </si>
  <si>
    <t>https://t.co/a97nbLra4i https://pbs.twimg.com/media/F51zWPsWIAAfCSb.jpg</t>
  </si>
  <si>
    <t>https://t.co/OioLib7G12 https://pbs.twimg.com/ext_tw_video_thumb/1704899970724233217/pu/img/Caj9rqFoAFQsqg2-.jpg</t>
  </si>
  <si>
    <t>https://t.co/vTlgHUq9VI https://pbs.twimg.com/ext_tw_video_thumb/1703426723042279424/pu/img/JrnvHsyIJH4nvRiy.jpg</t>
  </si>
  <si>
    <t>https://t.co/X2mlOptvK4 https://pbs.twimg.com/ext_tw_video_thumb/1705027093170454528/pu/img/FYEnXly11dVcGPiK.jpg</t>
  </si>
  <si>
    <t>https://t.co/wLwlBXwsCz https://pbs.twimg.com/ext_tw_video_thumb/1692856976856764416/pu/img/zSYrx8LwrsXi728n.jpg</t>
  </si>
  <si>
    <t>https://t.co/cnO56sk3k8 https://pbs.twimg.com/media/F4T4c2QWcAYsRXU.jpg</t>
  </si>
  <si>
    <t>https://t.co/4ddPzNrX4F https://pbs.twimg.com/media/F1Ayu7wXsAkC9Wj.jpg</t>
  </si>
  <si>
    <t>https://t.co/dz0TpdzBZg https://pbs.twimg.com/media/F4IyeMYWsAAtdmT.jpg</t>
  </si>
  <si>
    <t>https://t.co/vgu3NbpZpM https://pbs.twimg.com/media/F6aHI2pWEAAJByZ.jpg</t>
  </si>
  <si>
    <t>https://t.co/YHMVr6ZntP https://pbs.twimg.com/media/F0Rdz_kWwAAIKCR.jpg</t>
  </si>
  <si>
    <t>https://t.co/8i4mqjnueZ https://pbs.twimg.com/media/F4EtxQQWYAAcrci.jpg</t>
  </si>
  <si>
    <t>https://t.co/1gr2YrnUk5 https://pbs.twimg.com/ext_tw_video_thumb/1689554179344265218/pu/img/gBp5NGGPmZvy11Ip.jpg</t>
  </si>
  <si>
    <t>https://t.co/04y9YVU9sC https://pbs.twimg.com/media/F3FBQ5QXcAEG9Fn.jpg</t>
  </si>
  <si>
    <t>https://t.co/JkEOXv8OML https://pbs.twimg.com/ext_tw_video_thumb/1684582749666254849/pu/img/cGrPSlAvPwArKlyL.jpg</t>
  </si>
  <si>
    <t>https://t.co/BXAjP9jZ4P https://pbs.twimg.com/media/F0LwMFpXoAMwWdq.jpg</t>
  </si>
  <si>
    <t>https://t.co/8okjBpcDs0 https://pbs.twimg.com/media/F5LroeMbUAAt7Y-.jpg</t>
  </si>
  <si>
    <t>https://t.co/eCHYGuGS1d https://pbs.twimg.com/media/F2Wq2zkWgAEZ7Zi.jpg</t>
  </si>
  <si>
    <t>https://t.co/nnU2KUE8UP https://pbs.twimg.com/ext_tw_video_thumb/1699740650181431296/pu/img/ACkHSKeeUHioW9Q9.jpg</t>
  </si>
  <si>
    <t>https://t.co/SCRaIUh51t https://pbs.twimg.com/media/F42jNkqaIAA-0KP.jpg</t>
  </si>
  <si>
    <t>https://t.co/8mdXp34Hd2 https://t.co/8mdXp34Hd2 https://t.co/8mdXp34Hd2 https://t.co/8mdXp34Hd2 https://pbs.twimg.com/media/F13wiiLXwAAG-7S.jpg https://pbs.twimg.com/media/F13wiiCXwAAG29g.jpg https://pbs.twimg.com/media/F13wiiKXwAAWBLZ.jpg https://pbs.twimg.com/media/F13wiiHWAAAIc-X.jpg</t>
  </si>
  <si>
    <t>https://t.co/oGBYGY6H51 https://pbs.twimg.com/media/F55NzOFbMAAcj3X.jpg</t>
  </si>
  <si>
    <t>https://t.co/LXhRez5G06 https://pbs.twimg.com/media/F5VTK2qbsAAEwxe.jpg</t>
  </si>
  <si>
    <t>https://t.co/JwQ0hbegXn https://pbs.twimg.com/media/F3pN6q4WsAEcm-A.jpg</t>
  </si>
  <si>
    <t>https://t.co/Ct8nmocpLd https://pbs.twimg.com/media/F1kFKnzXgAAtKC4.jpg</t>
  </si>
  <si>
    <t>https://t.co/VehFXPxsN6 https://pbs.twimg.com/ext_tw_video_thumb/1681996238164467712/pu/img/3Pt_b_XsLAqoNzsJ.jpg</t>
  </si>
  <si>
    <t>https://t.co/iL6SC0z0hI https://pbs.twimg.com/media/F6DjlP0aUAABv1I.jpg</t>
  </si>
  <si>
    <t>https://t.co/cZqKD9T0Vt https://pbs.twimg.com/media/F5fvqaAXIAAmeXU.jpg</t>
  </si>
  <si>
    <t>https://t.co/kfgF4INlkJ https://pbs.twimg.com/media/F47VaQLXMAAqSzN.jpg</t>
  </si>
  <si>
    <t>https://t.co/c6ojE4oWOo https://pbs.twimg.com/media/F2riudIXkAAdvfZ.jpg</t>
  </si>
  <si>
    <t>https://t.co/1KDYV2IoWA https://pbs.twimg.com/ext_tw_video_thumb/1704434152207171585/pu/img/QIPZXgHVaD7oMcRI.jpg</t>
  </si>
  <si>
    <t>https://t.co/ThS04DKlwF https://pbs.twimg.com/media/F2hxpOXWYAAbMme.jpg</t>
  </si>
  <si>
    <t>https://t.co/q03YitLjPS https://pbs.twimg.com/media/F6iToneXsAASF34.jpg</t>
  </si>
  <si>
    <t>https://t.co/u3XVj7ge3G https://pbs.twimg.com/ext_tw_video_thumb/1679458274830065665/pu/img/sUAiO-a0S-Xow1uj.jpg</t>
  </si>
  <si>
    <t>https://t.co/WdI0lH2gC3 https://pbs.twimg.com/media/F36FSOnXwAALEAa.jpg</t>
  </si>
  <si>
    <t>https://t.co/HhqUairjlg https://t.co/HhqUairjlg https://pbs.twimg.com/media/F51-PjBXYAAXQJK.jpg https://pbs.twimg.com/media/F51-Pl1XEAAHOG5.jpg</t>
  </si>
  <si>
    <t>https://t.co/rNImcnygyp https://pbs.twimg.com/media/F4yV47TWYAAGBcV.jpg</t>
  </si>
  <si>
    <t>https://t.co/rAdz6WTCRU https://pbs.twimg.com/media/F5QngNmWsAEf_KU.jpg</t>
  </si>
  <si>
    <t>https://t.co/FBqKEcd51T https://t.co/FBqKEcd51T https://t.co/FBqKEcd51T https://t.co/FBqKEcd51T https://pbs.twimg.com/media/F0kGyKtWcAAettb.jpg https://pbs.twimg.com/media/F0kGyK2XwAAMYs-.jpg https://pbs.twimg.com/media/F0kGyK1XwAEhSxR.jpg https://pbs.twimg.com/media/F0kGyKwXwAAWPDl.jpg</t>
  </si>
  <si>
    <t>https://t.co/xo3VuUDDhh https://t.co/xo3VuUDDhh https://t.co/xo3VuUDDhh https://t.co/xo3VuUDDhh https://pbs.twimg.com/media/F1gMMGyWcAAJQ2z.jpg https://pbs.twimg.com/media/F1gMMGxWYAQjVnz.jpg https://pbs.twimg.com/media/F1gMMGyXwAMG8bc.jpg https://pbs.twimg.com/media/F1gMMGxXsAIX9Eu.jpg</t>
  </si>
  <si>
    <t>https://t.co/6OTVp2cWCW https://pbs.twimg.com/ext_tw_video_thumb/1686481008214818816/pu/img/OwUJW0v-u8VIxf8J.jpg</t>
  </si>
  <si>
    <t>https://t.co/kZAcGJaNZp https://pbs.twimg.com/ext_tw_video_thumb/1699964611175337984/pu/img/E7QVhc77q1alBmfs.jpg</t>
  </si>
  <si>
    <t>https://t.co/kmelpNVtLs https://pbs.twimg.com/media/F5iQ_l9XkAAQ5Mg.jpg</t>
  </si>
  <si>
    <t>https://t.co/wDFlOvQ2Ct https://pbs.twimg.com/ext_tw_video_thumb/1701351582141419520/pu/img/0RYXhgLg3qqa2fAT.jpg</t>
  </si>
  <si>
    <t>https://t.co/42VNqNZVAm https://pbs.twimg.com/ext_tw_video_thumb/1676420372688777216/pu/img/QAutd4ZsCEhjfJe8.jpg</t>
  </si>
  <si>
    <t>https://t.co/PrvzmJTta7 https://pbs.twimg.com/media/F2sGEB8WwAAsB3Z.jpg</t>
  </si>
  <si>
    <t>https://t.co/SjnJzJ1IRv https://pbs.twimg.com/media/F4SpHP2WUAATVyc.jpg</t>
  </si>
  <si>
    <t>https://t.co/kLi7wQsxol https://pbs.twimg.com/media/F5MTko8WcAEuQWf.png</t>
  </si>
  <si>
    <t>https://t.co/ZlNFCVtCOx https://t.co/ZlNFCVtCOx https://t.co/ZlNFCVtCOx https://pbs.twimg.com/media/F0yoZohagAE3bEQ.jpg https://pbs.twimg.com/media/F0yoZoiaEAAHL-o.jpg https://pbs.twimg.com/media/F0yoZokaIAEci1l.jpg</t>
  </si>
  <si>
    <t>https://t.co/dt4Ohhzgla https://pbs.twimg.com/ext_tw_video_thumb/1679960062859661312/pu/img/EwFGuOGs6fb9uzqx.jpg</t>
  </si>
  <si>
    <t>https://t.co/ciWDod0WBa https://pbs.twimg.com/media/F1eKP1LWYAEdeHZ.jpg</t>
  </si>
  <si>
    <t>https://t.co/P7VIjWmSlY https://pbs.twimg.com/ext_tw_video_thumb/1681074895965286400/pu/img/R1cVST6vQIBb65nq.jpg</t>
  </si>
  <si>
    <t>https://t.co/8fWb9tJOw3 https://pbs.twimg.com/media/F0yuxxnWcAItUzk.jpg</t>
  </si>
  <si>
    <t>https://t.co/pPDiS2Lliz https://pbs.twimg.com/ext_tw_video_thumb/1685343810203668480/pu/img/Ws00KEKZJBmB5HwD.jpg</t>
  </si>
  <si>
    <t>https://t.co/qTAvN85gpm https://pbs.twimg.com/media/F2PrQKcXAAAUp3V.png</t>
  </si>
  <si>
    <t>https://t.co/2yq6h2VRLq https://pbs.twimg.com/ext_tw_video_thumb/1702228411270238208/pu/img/aFQ47wLRNWFSqMUz.jpg</t>
  </si>
  <si>
    <t>https://t.co/QWQGdkxXvm https://pbs.twimg.com/ext_tw_video_thumb/1689039401777573888/pu/img/Je4F2U4RDSZuYhMY.jpg</t>
  </si>
  <si>
    <t>https://t.co/mEAAqiuAYw https://pbs.twimg.com/media/F0hdoePXwAIDGkk.jpg</t>
  </si>
  <si>
    <t>https://t.co/eUm12J9YzI https://pbs.twimg.com/ext_tw_video_thumb/1675946929182633986/pu/img/Aw0cx5PC29qex8Nz.jpg</t>
  </si>
  <si>
    <t>https://t.co/hxNVhUXFqh https://pbs.twimg.com/media/F5hk5AaW8AAZOK7.jpg</t>
  </si>
  <si>
    <t>https://t.co/AM2ccOAwP0 https://pbs.twimg.com/media/F2DR3SxboAMkPtl.png</t>
  </si>
  <si>
    <t>https://t.co/XQsLOCdQ3c https://pbs.twimg.com/media/F1a3njvWwAM8yA-.jpg</t>
  </si>
  <si>
    <t>https://t.co/oc0vFm5OIy https://pbs.twimg.com/media/F2X6jezWIAUagTS.jpg</t>
  </si>
  <si>
    <t>https://t.co/wcPC2nnBt6 https://pbs.twimg.com/media/F1RGvelX0AALPJm.jpg</t>
  </si>
  <si>
    <t>https://t.co/6scGkglvHB https://pbs.twimg.com/media/F0yIed_XsAMBTwn.jpg</t>
  </si>
  <si>
    <t>https://t.co/DzsEkr0ruj https://pbs.twimg.com/ext_tw_video_thumb/1684348264240357376/pu/img/m7_CS1cQG9vQC_5r.jpg</t>
  </si>
  <si>
    <t>https://t.co/jce3qWOC4s https://pbs.twimg.com/ext_tw_video_thumb/1676946802178682880/pu/img/ZNqX6oXHyUmHiW_U.jpg</t>
  </si>
  <si>
    <t>https://t.co/4kEovPiN3U https://t.co/4kEovPiN3U https://pbs.twimg.com/media/F6Av_0sWAAAnFTl.jpg https://pbs.twimg.com/media/F6Av_0pWMAAIgd4.jpg</t>
  </si>
  <si>
    <t>https://t.co/YYn0SRvfjR https://pbs.twimg.com/media/F6U5nUHWkAEdJR2.jpg</t>
  </si>
  <si>
    <t>https://t.co/XPOJiokWmy https://pbs.twimg.com/ext_tw_video_thumb/1679902343054209032/pu/img/DKiNi0dZQiFCGpy-.jpg</t>
  </si>
  <si>
    <t>https://t.co/H19ty6FT8L https://pbs.twimg.com/media/F2KCl72WkAAg1xI.jpg</t>
  </si>
  <si>
    <t>https://t.co/d0CZw7Yull https://pbs.twimg.com/ext_tw_video_thumb/1679851566008791040/pu/img/c1kepkG3YqbzXp6Y.jpg</t>
  </si>
  <si>
    <t>https://t.co/CLVTbNggeG https://pbs.twimg.com/ext_tw_video_thumb/1679848712422473729/pu/img/uUBoufNx4jq2Ff5m.jpg</t>
  </si>
  <si>
    <t>https://t.co/yOVYphrECk https://pbs.twimg.com/media/F08x3joWwAES6Gq.jpg</t>
  </si>
  <si>
    <t>https://t.co/gAmfmdelfx https://pbs.twimg.com/ext_tw_video_thumb/1684291115434885128/pu/img/jnrmSyNa3L3tr8Tq.jpg</t>
  </si>
  <si>
    <t>https://t.co/HH2zrHQamx https://pbs.twimg.com/media/F6zdJLoWUAAQNoP.jpg</t>
  </si>
  <si>
    <t>https://t.co/LlFb1LmOrP https://pbs.twimg.com/ext_tw_video_thumb/1682087198739365890/pu/img/h_-wxwG--8mxiRgF.jpg</t>
  </si>
  <si>
    <t>https://t.co/t8BuRrZdaz https://pbs.twimg.com/media/F4D0sj0XsAANtqO.jpg</t>
  </si>
  <si>
    <t>https://t.co/qBYC6aw83A https://pbs.twimg.com/media/F1UR0-dXwAALsWf.jpg</t>
  </si>
  <si>
    <t>https://t.co/GdgE7efPgU https://pbs.twimg.com/ext_tw_video_thumb/1686750925690474497/pu/img/CP32bKt5yjGxRHTL.jpg</t>
  </si>
  <si>
    <t>https://t.co/fY8VO1e7um https://pbs.twimg.com/media/F3zifFZXMAEepd0.jpg</t>
  </si>
  <si>
    <t>https://t.co/vcJ4sYc70I https://pbs.twimg.com/ext_tw_video_thumb/1680925458437750784/pu/img/aRUj7vac5YY-9Kkr.jpg</t>
  </si>
  <si>
    <t>https://t.co/c0WOJ8mpok https://pbs.twimg.com/media/F2h3nI8W4AA2YrP.jpg</t>
  </si>
  <si>
    <t>https://t.co/mhluZWssVI https://pbs.twimg.com/media/F0MObyuX0AA21C1.jpg</t>
  </si>
  <si>
    <t>https://t.co/jJxgglmgG6 https://pbs.twimg.com/media/F2aIDH-XUAAYG20.jpg</t>
  </si>
  <si>
    <t>https://t.co/7R94SxP203 https://pbs.twimg.com/media/F4IpjVaWwAAHoOS.jpg</t>
  </si>
  <si>
    <t>https://t.co/11bJrlNr2z https://pbs.twimg.com/media/F2sEiadXUAAP1ke.jpg</t>
  </si>
  <si>
    <t>https://t.co/8AORAsjKNs https://pbs.twimg.com/media/F507yOzXEAAjBc9.jpg</t>
  </si>
  <si>
    <t>https://t.co/XX8lvXifRq https://pbs.twimg.com/media/F5wWMC7WkAAr24h.jpg</t>
  </si>
  <si>
    <t>https://t.co/D0krICYbzp https://pbs.twimg.com/media/F5sskJuasAA-Gqh.jpg</t>
  </si>
  <si>
    <t>https://t.co/JJoqSS1ZO3 https://pbs.twimg.com/media/F5XIwpfXsAAEqIF.jpg</t>
  </si>
  <si>
    <t>https://t.co/2sHaRg3qGi https://pbs.twimg.com/media/F5W8ZmkWwAARUGn.jpg</t>
  </si>
  <si>
    <t>https://t.co/puHcF1yeYG https://pbs.twimg.com/media/F5Ncv8ZWIAAqRlq.jpg</t>
  </si>
  <si>
    <t>https://t.co/xLLYbifMvT https://pbs.twimg.com/media/F5NOgScXkAATNh7.jpg</t>
  </si>
  <si>
    <t>https://t.co/DfvTT6GQZG https://pbs.twimg.com/media/F487wtwWcAAOb7v.jpg</t>
  </si>
  <si>
    <t>https://t.co/sYO4TSemoH https://pbs.twimg.com/media/F486T9CWkAA23EK.jpg</t>
  </si>
  <si>
    <t>https://t.co/NIntfdwZ2E https://pbs.twimg.com/media/F4OgHLBWUAApl7J.jpg</t>
  </si>
  <si>
    <t>https://t.co/dD0yg7bPT1 https://pbs.twimg.com/media/F4LAni8WYAA0Etl.jpg</t>
  </si>
  <si>
    <t>https://t.co/f5TAFU9PS6 https://pbs.twimg.com/media/F4DemWSWIAA0gm3.jpg</t>
  </si>
  <si>
    <t>https://t.co/v52nIJsORr https://pbs.twimg.com/media/F4Db4zfWQAEyzsK.jpg</t>
  </si>
  <si>
    <t>https://t.co/HGnpP9F70p https://pbs.twimg.com/media/F4AeZHmWUAACQkV.jpg</t>
  </si>
  <si>
    <t>https://t.co/OuYEg1YQBk https://pbs.twimg.com/media/F3-rK1uXIAASsgS.jpg</t>
  </si>
  <si>
    <t>https://t.co/hOHnJyr7M4 https://pbs.twimg.com/media/F3-kJhSXcAAhUDD.jpg</t>
  </si>
  <si>
    <t>https://t.co/1eb7OfmqLc https://pbs.twimg.com/media/F3-kBRRXgAAG3zO.jpg</t>
  </si>
  <si>
    <t>https://t.co/M61xRuFSWe https://pbs.twimg.com/media/F3HmDA9XIAABaw6.jpg</t>
  </si>
  <si>
    <t>https://t.co/3QPR8c2ICJ https://pbs.twimg.com/media/F3HbENnXAAYUPpF.jpg</t>
  </si>
  <si>
    <t>https://t.co/sl3lZCnbLs https://pbs.twimg.com/media/F3HHfqrXcAAJIZz.jpg</t>
  </si>
  <si>
    <t>https://t.co/zC1ifTHVqT https://pbs.twimg.com/media/F28tNnGXgAAktWV.jpg</t>
  </si>
  <si>
    <t>https://t.co/EQH9qpz30a https://pbs.twimg.com/media/F273Jn7XIAAMyyu.jpg</t>
  </si>
  <si>
    <t>https://t.co/HaJROsb2uJ https://pbs.twimg.com/media/F27lpLtXYAADGVq.jpg</t>
  </si>
  <si>
    <t>https://t.co/oSpvZve4CV https://pbs.twimg.com/media/F27awUIXAAAz95a.jpg</t>
  </si>
  <si>
    <t>https://t.co/r847rn9la9 https://pbs.twimg.com/media/F2C7KkPXkAErvw5.jpg</t>
  </si>
  <si>
    <t>https://t.co/DUljctEWbz https://pbs.twimg.com/media/F1_nUGKWcAMJgw7.jpg</t>
  </si>
  <si>
    <t>https://t.co/NiNJMhj8YT https://pbs.twimg.com/media/F1_eb_EWAAYKlfQ.jpg</t>
  </si>
  <si>
    <t>https://t.co/ncFTaVECO5 https://pbs.twimg.com/media/F1-93TSWcAAsMK2.jpg</t>
  </si>
  <si>
    <t>https://t.co/C4I9dQf3Kj https://pbs.twimg.com/media/F1-o7l6WAAMWdI_.jpg</t>
  </si>
  <si>
    <t>https://t.co/yfOaP4ih2W https://pbs.twimg.com/media/F191k_oWAAEPf6t.jpg</t>
  </si>
  <si>
    <t>https://t.co/8OdQQOw4kl https://pbs.twimg.com/media/F16dS61WIAA6put.jpg</t>
  </si>
  <si>
    <t>https://t.co/xn6rYAxfWE https://pbs.twimg.com/media/F16TVfGX0AEfWBW.jpg</t>
  </si>
  <si>
    <t>https://t.co/ZO12JVinNp https://pbs.twimg.com/media/F03YO53XgAETq4a.jpg</t>
  </si>
  <si>
    <t>https://t.co/Y7d64UGqko https://pbs.twimg.com/media/F03DgIXWcAQUDLg.jpg</t>
  </si>
  <si>
    <t>https://t.co/u9hWYP79b6 https://pbs.twimg.com/media/F0230RZXwAAjnIE.jpg</t>
  </si>
  <si>
    <t>https://t.co/onGOazzoVr https://pbs.twimg.com/media/F010MOIWIAIjn7S.jpg</t>
  </si>
  <si>
    <t>https://t.co/yV194cRBm4 https://pbs.twimg.com/media/F01qdr-XoAMVHH4.jpg</t>
  </si>
  <si>
    <t>https://t.co/jZJeausnnc https://pbs.twimg.com/media/F0zMsLUXgAAkwMA.jpg</t>
  </si>
  <si>
    <t>https://t.co/mpLqCK4iBm https://pbs.twimg.com/media/F0zFeGZXgAAsm-N.jpg</t>
  </si>
  <si>
    <t>https://t.co/idX1Kt67Mp https://pbs.twimg.com/media/F0UV_OPXoAAr8wS.jpg</t>
  </si>
  <si>
    <t>https://t.co/ORMg4u2W4V https://pbs.twimg.com/media/F0TgIppXoAA1Ugv.jpg</t>
  </si>
  <si>
    <t>https://t.co/DX919Krxqq https://pbs.twimg.com/media/F0TTiE1XoAMS0aR.jpg</t>
  </si>
  <si>
    <t>https://t.co/KsRYJChNTw https://pbs.twimg.com/media/F0TNDixWcAAUNoA.jpg</t>
  </si>
  <si>
    <t>https://t.co/Vw9k0K367a https://pbs.twimg.com/media/F0TAArSX0B0F6az.jpg</t>
  </si>
  <si>
    <t>https://t.co/nD06p1EXhg https://pbs.twimg.com/media/F0SMUjhXoAE0Wu_.jpg</t>
  </si>
  <si>
    <t>https://t.co/YHNiD859aT https://pbs.twimg.com/media/F0RpNH_WwAAylv7.jpg</t>
  </si>
  <si>
    <t>https://t.co/2mtJ4cNbBA https://pbs.twimg.com/media/F0OrWHYXsAMvm0o.jpg</t>
  </si>
  <si>
    <t>https://t.co/druUPFq4gu https://pbs.twimg.com/media/F0OmGsnWAAA9kUp.jpg</t>
  </si>
  <si>
    <t>https://t.co/PEnWWt3K9H https://pbs.twimg.com/media/F0OeB3RXsAA8w6v.jpg</t>
  </si>
  <si>
    <t>https://t.co/OiqkqwT0p0 https://pbs.twimg.com/media/F0ONRrvWYAA-zl4.jpg</t>
  </si>
  <si>
    <t>https://t.co/W9JGKqJ6Gw https://pbs.twimg.com/media/F0Nw-fwWcBMA5ne.jpg</t>
  </si>
  <si>
    <t>https://t.co/BMBUKoR5rS https://pbs.twimg.com/media/F6Aqp7WXYAECTSC.jpg</t>
  </si>
  <si>
    <t>https://t.co/ebcaQAxppf https://pbs.twimg.com/media/F574jIZW4AATHq8.jpg</t>
  </si>
  <si>
    <t>https://t.co/jRdPVbcyjQ https://pbs.twimg.com/media/F51DhJPa8AAkkQj.jpg</t>
  </si>
  <si>
    <t>https://t.co/1uuFKdHOhx https://pbs.twimg.com/media/F50ynQaW4AAgUSM.jpg</t>
  </si>
  <si>
    <t>https://t.co/O1sF2eG2Wm https://pbs.twimg.com/media/F5s7vlEbAAAJfaV.jpg</t>
  </si>
  <si>
    <t>https://t.co/ZZBgpQbBTe https://pbs.twimg.com/media/F5szpiEaMAAQiXi.jpg</t>
  </si>
  <si>
    <t>https://t.co/XmKcuRdUEz https://pbs.twimg.com/media/F5hlKCRW0AAtdk3.jpg</t>
  </si>
  <si>
    <t>https://t.co/cg2NSdYSKS https://pbs.twimg.com/media/F5hc9ZBWAAA-aIS.jpg</t>
  </si>
  <si>
    <t>https://t.co/J8digGPeXN https://pbs.twimg.com/media/F5hR_DqXQAERM1u.jpg</t>
  </si>
  <si>
    <t>https://t.co/6NKbgOZJmT https://pbs.twimg.com/media/F5bmH4easAAWo9j.jpg</t>
  </si>
  <si>
    <t>https://t.co/QoaxxchyEU https://pbs.twimg.com/media/F5OcIdbX0AEtkFR.jpg</t>
  </si>
  <si>
    <t>https://t.co/rqVxjutwUt https://pbs.twimg.com/media/F5NyJXbW4AAVm39.jpg</t>
  </si>
  <si>
    <t>https://t.co/ZPv02z74D6 https://pbs.twimg.com/media/F5NxglCWQAALALE.jpg</t>
  </si>
  <si>
    <t>https://t.co/jNSpckYaqH https://pbs.twimg.com/media/F4-MZDkXIAAs3jH.jpg</t>
  </si>
  <si>
    <t>https://t.co/UmVVHgTrNY https://pbs.twimg.com/media/F4-DSmrWoAAl4m9.jpg</t>
  </si>
  <si>
    <t>https://t.co/uKwucny6wH https://pbs.twimg.com/media/F4tD7TFbgAArzT5.jpg</t>
  </si>
  <si>
    <t>https://t.co/WXC6S2jz4r https://pbs.twimg.com/media/F4PzsVsX0AAuEDL.jpg</t>
  </si>
  <si>
    <t>https://t.co/GxESoA5bQy https://pbs.twimg.com/media/F4Pme5hWkAAfh1Y.jpg</t>
  </si>
  <si>
    <t>https://t.co/CSiv40WJTu https://pbs.twimg.com/media/F4PYy3QXsAAPCkF.jpg</t>
  </si>
  <si>
    <t>https://t.co/XM161UlSHP https://pbs.twimg.com/media/F4FhXkhWUAAVgPs.jpg</t>
  </si>
  <si>
    <t>https://t.co/zsmtEfAGp3 https://pbs.twimg.com/media/F4FYbeyXMAEUv5j.jpg</t>
  </si>
  <si>
    <t>https://t.co/De89JzSX98 https://pbs.twimg.com/media/F4ECakYWgAAC6gP.jpg</t>
  </si>
  <si>
    <t>https://t.co/WfCK3OEZGS https://pbs.twimg.com/media/F3LpCIpXkAAKt5b.jpg</t>
  </si>
  <si>
    <t>https://t.co/EQTGp9D4UG https://pbs.twimg.com/media/F3LQ_PmbsAA3yC3.jpg</t>
  </si>
  <si>
    <t>https://t.co/IpPVXp504m https://pbs.twimg.com/media/F3LOJIFaoAA4ArG.jpg</t>
  </si>
  <si>
    <t>https://t.co/JCtkQavLHI https://pbs.twimg.com/media/F3LBcFEWcAACL9S.jpg</t>
  </si>
  <si>
    <t>https://t.co/OXXcNRJm8S https://pbs.twimg.com/media/F3K5fmRWsAAyVKQ.jpg</t>
  </si>
  <si>
    <t>https://t.co/9TZDOuipUI https://pbs.twimg.com/media/F3Kx5PmW8AA4VgY.jpg</t>
  </si>
  <si>
    <t>https://t.co/njr7Qvm9En https://pbs.twimg.com/media/F3KjTwcWkAEQeLT.jpg</t>
  </si>
  <si>
    <t>https://t.co/6QDih7bGjS https://pbs.twimg.com/media/F3GAeCjWwAEYtqz.jpg</t>
  </si>
  <si>
    <t>https://t.co/zMjLTCxzj7 https://pbs.twimg.com/media/F3CIIBYWsAAEFwL.jpg</t>
  </si>
  <si>
    <t>https://t.co/uptPeXY24C https://pbs.twimg.com/media/F3BogFxXEAkwJq6.jpg</t>
  </si>
  <si>
    <t>https://t.co/P15rJ0MXDY https://pbs.twimg.com/media/F3A63YXbEAM_cTm.jpg</t>
  </si>
  <si>
    <t>https://t.co/oQfQsdwDRo https://pbs.twimg.com/media/F3Aqt6GXwAAEHqX.jpg</t>
  </si>
  <si>
    <t>https://t.co/jL5oUKv7yw https://pbs.twimg.com/media/F3AgDi1XAAEo8dt.jpg</t>
  </si>
  <si>
    <t>https://t.co/XxGHHr3TD4 https://pbs.twimg.com/media/F3ATH9jWAAUMsqy.jpg</t>
  </si>
  <si>
    <t>https://t.co/NCARINQZep https://pbs.twimg.com/media/F2IWeaDXkAESdgs.jpg</t>
  </si>
  <si>
    <t>https://t.co/o1VbYce50t https://pbs.twimg.com/media/F2ILg3EXwAAM1K7.jpg</t>
  </si>
  <si>
    <t>https://t.co/hiAR996fLE https://pbs.twimg.com/media/F2H7tLvXgAAngZR.jpg</t>
  </si>
  <si>
    <t>https://t.co/TYXqWeQ5ZF https://pbs.twimg.com/media/F2Hy3XqXQAEPGQD.jpg</t>
  </si>
  <si>
    <t>https://t.co/TEZJ8VlrG4 https://pbs.twimg.com/media/F2HqEbWXgAEJyml.jpg</t>
  </si>
  <si>
    <t>https://t.co/lqeQGfx0cr https://pbs.twimg.com/media/F2FGJSmXoAA0L07.jpg</t>
  </si>
  <si>
    <t>https://t.co/0oDgvyjrSI https://pbs.twimg.com/media/F2E7hR4WAAE3rQ7.jpg</t>
  </si>
  <si>
    <t>https://t.co/SdSMVuzPp3 https://pbs.twimg.com/media/F2EuP3yXwAA5P4f.jpg</t>
  </si>
  <si>
    <t>https://t.co/e6BDjqe0pr https://pbs.twimg.com/media/F2EfXrYXoAAsfhM.jpg</t>
  </si>
  <si>
    <t>https://t.co/Kkiq13puqG https://pbs.twimg.com/media/F2DlzmUWAAMGPZH.jpg</t>
  </si>
  <si>
    <t>https://t.co/Jc3cUMrPmW https://pbs.twimg.com/media/F2DG8ETaIAQ_iYA.jpg</t>
  </si>
  <si>
    <t>https://t.co/IN8cf3e6A6 https://pbs.twimg.com/media/F0x1YTVWYAEMy89.jpg</t>
  </si>
  <si>
    <t>https://t.co/UCP1XtoAw5 https://pbs.twimg.com/media/F0xc2WtWIAAOU5n.jpg</t>
  </si>
  <si>
    <t>https://t.co/ChxLltDQ4i https://pbs.twimg.com/media/F0xUROxWcAAFoKi.jpg</t>
  </si>
  <si>
    <t>https://t.co/6Y2xUbyVdp https://pbs.twimg.com/media/F0w09VBaYAIt5yH.jpg</t>
  </si>
  <si>
    <t>https://t.co/aNmIPH9fr5 https://pbs.twimg.com/media/F0wlFZiWcAAUmgM.jpg</t>
  </si>
  <si>
    <t>https://t.co/xT6KvzmHyQ https://pbs.twimg.com/media/F0MKsHsWIAAJCs-.jpg</t>
  </si>
  <si>
    <t>https://t.co/0ojOdblhKz https://pbs.twimg.com/media/F0LvZiYWAAIWskj.jpg</t>
  </si>
  <si>
    <t>https://t.co/WKTKRLIaap https://pbs.twimg.com/media/F0Lo3TRXgAAH8a9.jpg</t>
  </si>
  <si>
    <t>https://t.co/hfmR7ah6Pp https://pbs.twimg.com/media/F0KG2blWAAEtZSe.jpg</t>
  </si>
  <si>
    <t>https://t.co/UQN8jMdgX9 https://pbs.twimg.com/media/F0J_v6TWAAAF9Yz.jpg</t>
  </si>
  <si>
    <t>https://t.co/f9RHdAv5WL https://pbs.twimg.com/media/F0JGlTHWcAADIfl.jpg</t>
  </si>
  <si>
    <t>https://t.co/4G1VNhwFz3 https://pbs.twimg.com/media/F0Hquz3WwAIQbKy.jpg</t>
  </si>
  <si>
    <t>https://t.co/kEVRj6dbsk https://pbs.twimg.com/media/F0HjMe5XwAEp89y.jpg</t>
  </si>
  <si>
    <t>https://t.co/DjabXOWJE6 https://pbs.twimg.com/media/F6ZCkdMXAAA9ZS_.jpg</t>
  </si>
  <si>
    <t>https://t.co/gkKSkmY9fE https://pbs.twimg.com/media/F6Y9gqkW8AEKiDa.jpg</t>
  </si>
  <si>
    <t>https://t.co/1kCoiQ7jsJ https://pbs.twimg.com/media/F6YzmM2WEAAgERr.jpg</t>
  </si>
  <si>
    <t>https://t.co/m0DwKvNfR3 https://pbs.twimg.com/media/F6YqPl6XMAAbFJQ.jpg</t>
  </si>
  <si>
    <t>https://t.co/n6lR7CKtJn https://pbs.twimg.com/media/F6RQvrJXcAABJeP.jpg</t>
  </si>
  <si>
    <t>https://t.co/uczzmkEk78 https://pbs.twimg.com/media/F5_Z0VBaUAAD6aO.jpg</t>
  </si>
  <si>
    <t>https://t.co/EKKvzQB7yE https://pbs.twimg.com/media/F5_CvaNXcAA3NBW.jpg</t>
  </si>
  <si>
    <t>https://t.co/cikc2mZfQz https://pbs.twimg.com/media/F5_CvaNXcAA3NBW.jpg</t>
  </si>
  <si>
    <t>https://t.co/0el6iVaUx7 https://pbs.twimg.com/media/F5-1dNLWYAA1tX8.jpg</t>
  </si>
  <si>
    <t>https://t.co/O2wVBZosF2 https://pbs.twimg.com/media/F5wAqzTW8AADDbB.jpg</t>
  </si>
  <si>
    <t>https://t.co/xOllW6MbPz https://pbs.twimg.com/media/F5vvFgpXAAAj03h.jpg</t>
  </si>
  <si>
    <t>https://t.co/h5t7XYK8U7 https://pbs.twimg.com/media/F5gmvdLXMAEPt2d.jpg</t>
  </si>
  <si>
    <t>https://t.co/v5giPiHMhl https://pbs.twimg.com/media/F5cBP7hW0AEe9zl.jpg</t>
  </si>
  <si>
    <t>https://t.co/56kZXWRSJQ https://pbs.twimg.com/media/F48OyTnWwAAuXhG.jpg</t>
  </si>
  <si>
    <t>https://t.co/ry16q3mx7i https://pbs.twimg.com/media/F48D8y3XAAAoyOc.jpg</t>
  </si>
  <si>
    <t>https://t.co/2mKsRv65WC https://pbs.twimg.com/media/F46Aky8WkAAVJ2v.jpg</t>
  </si>
  <si>
    <t>https://t.co/7t0yjnE4DQ https://pbs.twimg.com/media/F454HjxXMAATDO4.jpg</t>
  </si>
  <si>
    <t>https://t.co/Mfq4gtOSFc https://pbs.twimg.com/media/F45izYxXoAA7VrO.jpg</t>
  </si>
  <si>
    <t>https://t.co/spRCFC5EXo https://pbs.twimg.com/media/F45Jvh9XoAAdKAz.jpg</t>
  </si>
  <si>
    <t>https://t.co/u5UW5Fhn3r https://pbs.twimg.com/media/F4458PpWEAA4-Wo.jpg</t>
  </si>
  <si>
    <t>https://t.co/rygMq3ipP2 https://pbs.twimg.com/media/F4Iv_ZsXoAA2IkI.jpg</t>
  </si>
  <si>
    <t>https://t.co/Cv0wYTxKIE https://pbs.twimg.com/media/F4IqGFSWwAA-Xs7.jpg</t>
  </si>
  <si>
    <t>https://t.co/uXWz0yPbp3 https://pbs.twimg.com/media/F4GEi-sW8AEYXQ0.jpg</t>
  </si>
  <si>
    <t>https://t.co/MDK1bYWxCJ https://pbs.twimg.com/media/F4F6AJkXEAAUZCx.jpg</t>
  </si>
  <si>
    <t>https://t.co/gKDPgTKLHr https://pbs.twimg.com/media/F3wIuByWEAAuNjE.jpg</t>
  </si>
  <si>
    <t>https://t.co/apE9oPtr4f https://pbs.twimg.com/media/F3v8jxjXMAseOj7.jpg</t>
  </si>
  <si>
    <t>https://t.co/0gKz5xLU2O https://pbs.twimg.com/media/F3u3jrXWcAAdd2E.jpg</t>
  </si>
  <si>
    <t>https://t.co/zD3s8hfPeC https://pbs.twimg.com/media/F3uwMuHXEAAYd0a.jpg</t>
  </si>
  <si>
    <t>https://t.co/EKevlwwUI2 https://pbs.twimg.com/media/F3upVLiXUAEm_Oj.jpg</t>
  </si>
  <si>
    <t>https://t.co/3a4MEO020d https://pbs.twimg.com/media/F3rcelLXIAAZWSH.jpg</t>
  </si>
  <si>
    <t>https://t.co/M9tLaeoacq https://pbs.twimg.com/media/F3rRMa4XAAIdMrA.jpg</t>
  </si>
  <si>
    <t>https://t.co/J4082druUt https://pbs.twimg.com/media/F2s5lQeW8AARnQh.jpg</t>
  </si>
  <si>
    <t>https://t.co/HQG3wuKR7x https://pbs.twimg.com/media/F2she33WEAEd-7y.jpg</t>
  </si>
  <si>
    <t>https://t.co/dA9soQ6IPk https://pbs.twimg.com/media/F2sFuKyWUAA_KX2.jpg</t>
  </si>
  <si>
    <t>https://t.co/kOTd3Lch98 https://pbs.twimg.com/media/F2pemC5XEAAWJ9M.jpg</t>
  </si>
  <si>
    <t>https://t.co/6jVcHaxy4C https://pbs.twimg.com/media/F2pSJGKXwAENLa9.jpg</t>
  </si>
  <si>
    <t>https://t.co/2s8lSwb6xN https://pbs.twimg.com/media/F2pMrkeXQAAXg2n.jpg</t>
  </si>
  <si>
    <t>https://t.co/JP376pVf5l https://pbs.twimg.com/media/F2oOep7XgAYBvxa.jpg</t>
  </si>
  <si>
    <t>https://t.co/k43NvAmwOs https://pbs.twimg.com/media/F2n6bY1XUAAAFF-.jpg</t>
  </si>
  <si>
    <t>https://t.co/BWSbtred12 https://pbs.twimg.com/media/F10hrJVWwA0vovk.jpg</t>
  </si>
  <si>
    <t>https://t.co/5VTmRxxLdD https://pbs.twimg.com/media/F10QFIwWwAAlnly.jpg</t>
  </si>
  <si>
    <t>https://t.co/xV5tC1Ceic https://pbs.twimg.com/media/F0eAX2kWAAErFLX.jpg</t>
  </si>
  <si>
    <t>https://t.co/NaZpcmhDHt https://pbs.twimg.com/media/F0d5wRzXgAAouAp.jpg</t>
  </si>
  <si>
    <t>https://t.co/DIDOKuxXgN https://pbs.twimg.com/media/F0dfSGaWAAAy6T3.jpg</t>
  </si>
  <si>
    <t>https://t.co/nGQqBM6kYP https://pbs.twimg.com/media/F0dUa-2WwAMswGf.jpg</t>
  </si>
  <si>
    <t>https://t.co/eRhJ13JbsJ https://pbs.twimg.com/media/F0dBYxaWYBsKOJT.jpg</t>
  </si>
  <si>
    <t>https://t.co/3NYHrfDagi https://pbs.twimg.com/media/F0cGze2WIAA41Cv.jpg</t>
  </si>
  <si>
    <t>https://t.co/4Uj13vTQ0K https://pbs.twimg.com/media/F0YhwVZXoAIJufg.jpg</t>
  </si>
  <si>
    <t>https://t.co/VwCR5aa7Jx https://pbs.twimg.com/media/F0X9seiX0AA0zQL.jpg</t>
  </si>
  <si>
    <t>https://t.co/JMP2MWpnte https://pbs.twimg.com/media/F0X3mRqWYBc_-R1.jpg</t>
  </si>
  <si>
    <t>https://t.co/XmvenjWqpF https://pbs.twimg.com/media/F0XxGqnWYAUThUV.jpg</t>
  </si>
  <si>
    <t>https://t.co/r79Z0xTGLf https://pbs.twimg.com/media/F0XHhSKaYAE8iwv.jpg</t>
  </si>
  <si>
    <t>https://t.co/PmIc3yvVXK https://pbs.twimg.com/media/F0Wx3YmWAAECYcS.jpg</t>
  </si>
  <si>
    <t>https://t.co/zzxdLhUMYA https://pbs.twimg.com/media/F6kcfNKW0AAzyJM.jpg</t>
  </si>
  <si>
    <t>https://t.co/ZichzUoOXU https://pbs.twimg.com/media/F6jh1pnWIAAFzHp.jpg</t>
  </si>
  <si>
    <t>https://t.co/KJU14Yg5Kj https://pbs.twimg.com/media/F6OufQoWYAAZRli.jpg</t>
  </si>
  <si>
    <t>https://t.co/IWoCBtSmP5 https://pbs.twimg.com/media/F6LzKlUWIAAaqUZ.jpg</t>
  </si>
  <si>
    <t>https://t.co/bKdlnLXajd https://pbs.twimg.com/media/F6AwZRNWUAApx77.jpg</t>
  </si>
  <si>
    <t>https://t.co/W9U2t4UJDb https://pbs.twimg.com/ext_tw_video_thumb/1702078671610105856/pu/img/BVgh_IzwX2XGYaOT.jpg</t>
  </si>
  <si>
    <t>https://t.co/FoWYfUO9IB https://pbs.twimg.com/media/F5qwV9VXQAAc0rW.jpg</t>
  </si>
  <si>
    <t>https://t.co/vY318U8gq3 https://pbs.twimg.com/media/F5ZEGIpWcAA3o34.jpg</t>
  </si>
  <si>
    <t>https://t.co/1iOOK1yHTy https://pbs.twimg.com/media/F5Yy2DCWgAAfySj.jpg</t>
  </si>
  <si>
    <t>https://t.co/FEMKMt14FN https://pbs.twimg.com/media/F5XofhNWcAE6Iv0.jpg</t>
  </si>
  <si>
    <t>https://t.co/KmXvdeRMDL https://pbs.twimg.com/media/F5XSjiZXQAAOizf.jpg</t>
  </si>
  <si>
    <t>https://t.co/h2ckYr7fpJ https://pbs.twimg.com/media/F44DBJpWMAAoZwO.jpg</t>
  </si>
  <si>
    <t>https://t.co/gqr8hKvqXg https://pbs.twimg.com/media/F43TFReXIAACe-F.jpg</t>
  </si>
  <si>
    <t>https://t.co/VMvMVWoD38 https://pbs.twimg.com/media/F4K61tYWIAILNJE.jpg</t>
  </si>
  <si>
    <t>https://t.co/OxJNm1Wznt https://pbs.twimg.com/media/F4KnjlGXEAAcAri.jpg</t>
  </si>
  <si>
    <t>https://t.co/G74nE10HvD https://pbs.twimg.com/media/F4KTjt4XgAAH8LM.jpg</t>
  </si>
  <si>
    <t>https://t.co/VcyVw7gL1G https://pbs.twimg.com/media/F35bcMfXAAAtCB8.jpg</t>
  </si>
  <si>
    <t>https://t.co/u9w5ve1KHo https://pbs.twimg.com/media/F32VPbyXcAAYc3y.jpg</t>
  </si>
  <si>
    <t>https://t.co/G34E5dN2wY https://pbs.twimg.com/media/F31v3JlX0AEGneG.jpg</t>
  </si>
  <si>
    <t>https://t.co/Zh4qHy4cBX https://pbs.twimg.com/media/F31iJDuXYAAaQOz.jpg</t>
  </si>
  <si>
    <t>https://t.co/JbhPcLp7oh https://pbs.twimg.com/media/F31VTGcXAAA8J8A.jpg</t>
  </si>
  <si>
    <t>https://t.co/hs2ilJn9Bo https://pbs.twimg.com/media/F30nxKsWgAAAnf3.jpg</t>
  </si>
  <si>
    <t>https://t.co/sFF10gUe4J https://pbs.twimg.com/media/F30ZGvmXEAA5q6G.jpg</t>
  </si>
  <si>
    <t>https://t.co/S5lZOMpBZS https://pbs.twimg.com/media/F22juoxW8AAnQaw.jpg</t>
  </si>
  <si>
    <t>https://t.co/WxSpd6Lp6I https://pbs.twimg.com/media/F2zIiJuWEAAF7Mo.jpg</t>
  </si>
  <si>
    <t>https://t.co/8seFzEFs1S https://pbs.twimg.com/media/F2y4DDUWYAAPOzE.jpg</t>
  </si>
  <si>
    <t>https://t.co/RzDciYMsvd https://pbs.twimg.com/media/F2ynt-OXsAI-qX4.jpg</t>
  </si>
  <si>
    <t>https://t.co/uvta5qAa49 https://pbs.twimg.com/media/F2xpSJTW0AAmAGN.jpg</t>
  </si>
  <si>
    <t>https://t.co/lacbIoEYJF https://pbs.twimg.com/media/F2xgcYtWgAAEAy-.jpg</t>
  </si>
  <si>
    <t>https://t.co/cgVz8i4Puq https://pbs.twimg.com/media/F2xRkIlXMAAD95A.jpg</t>
  </si>
  <si>
    <t>https://t.co/DUp6NfSqvh https://pbs.twimg.com/media/F2xLeOTWQAALB48.jpg</t>
  </si>
  <si>
    <t>https://t.co/oeghqqqnzv https://pbs.twimg.com/media/F2uRaWNWYAAiZyK.jpg</t>
  </si>
  <si>
    <t>https://t.co/Gqe1UYh90e https://pbs.twimg.com/media/F2uLPDUXkAAJu8k.jpg</t>
  </si>
  <si>
    <t>https://t.co/ozIP4IrVJQ https://pbs.twimg.com/media/F2tCPEYXUAMhqAo.jpg</t>
  </si>
  <si>
    <t>https://t.co/9zo65AQCZl https://pbs.twimg.com/media/F15W2uCXsAMwKJQ.jpg</t>
  </si>
  <si>
    <t>https://t.co/UQIpwg4h13 https://pbs.twimg.com/media/F15OdI7XoAURLxE.jpg</t>
  </si>
  <si>
    <t>https://t.co/8RaoPUFUUy https://pbs.twimg.com/media/F143V87XwAMURCa.jpg</t>
  </si>
  <si>
    <t>https://t.co/CoB6ymipES https://pbs.twimg.com/media/F14ofssWEAAi5EH.jpg</t>
  </si>
  <si>
    <t>https://t.co/b61Rpt6isv https://pbs.twimg.com/media/F105EW5XsAAKYUn.jpg</t>
  </si>
  <si>
    <t>https://t.co/wIL9eDpwfi https://pbs.twimg.com/media/F0tNHqcXoAEBoJQ.jpg</t>
  </si>
  <si>
    <t>https://t.co/MXAdC7GS0h https://pbs.twimg.com/media/F0skOxRWIAYJmXL.jpg</t>
  </si>
  <si>
    <t>https://t.co/nX6S8oBCWM https://pbs.twimg.com/media/F0seuJzXwAAY9bl.jpg</t>
  </si>
  <si>
    <t>https://t.co/mWjPf6GS7z https://pbs.twimg.com/media/F0sU4QRWIAYnF_C.jpg</t>
  </si>
  <si>
    <t>https://t.co/2Y93zbML7t https://pbs.twimg.com/media/F0rujzOWcAg9G7e.jpg</t>
  </si>
  <si>
    <t>https://t.co/kqCdQxpd73 https://pbs.twimg.com/media/F0rWE9SWAAEyE9z.jpg</t>
  </si>
  <si>
    <t>https://t.co/DqDbn1w5xN https://pbs.twimg.com/media/F0rNmO4WwAMbGA9.jpg</t>
  </si>
  <si>
    <t>https://t.co/9Gh3nHQtbK https://pbs.twimg.com/media/F0rNZU7WAAActlK.jpg</t>
  </si>
  <si>
    <t>https://t.co/JrPJmREcx6 https://pbs.twimg.com/media/F0pCOsTXgAMKrI1.jpg</t>
  </si>
  <si>
    <t>https://t.co/5QnmrkwEs7 https://pbs.twimg.com/media/F0o7q6KWwAAlvRF.jpg</t>
  </si>
  <si>
    <t>https://t.co/37S4aErH6h https://pbs.twimg.com/media/F0iuO6FXoAAxYPF.jpg</t>
  </si>
  <si>
    <t>https://t.co/CPxUMBvfC3 https://pbs.twimg.com/media/F7CZvyTXoAQKAmE.jpg</t>
  </si>
  <si>
    <t>https://t.co/a1uqUEMVX1 https://pbs.twimg.com/media/F6-UlnlWgAEe1TQ.jpg</t>
  </si>
  <si>
    <t>https://t.co/9V57pSUopZ https://pbs.twimg.com/media/F644xAeX0AAZ3y7.jpg</t>
  </si>
  <si>
    <t>https://t.co/zicL5CWdqn https://pbs.twimg.com/media/F6pEq9pXsAAbNCw.jpg</t>
  </si>
  <si>
    <t>https://t.co/5xNnn12MBb https://pbs.twimg.com/media/F6i73jPWsAACttO.jpg</t>
  </si>
  <si>
    <t>https://t.co/5K6eejs2F2 https://pbs.twimg.com/media/F6GBdT1XMAAzFlq.jpg</t>
  </si>
  <si>
    <t>https://t.co/ueHYTk4b9h https://pbs.twimg.com/media/F6F6_xEXAAED4DO.jpg</t>
  </si>
  <si>
    <t>https://t.co/XgnWBktbfA https://pbs.twimg.com/media/F6FuZSeWgAA8Mdj.jpg</t>
  </si>
  <si>
    <t>https://t.co/Wo4kYeaP1B https://pbs.twimg.com/media/F6FemX7WUAANU0B.jpg</t>
  </si>
  <si>
    <t>https://t.co/P6UJxwa8VL https://pbs.twimg.com/media/F6Eq8MCXMAArVaL.jpg</t>
  </si>
  <si>
    <t>https://t.co/s6fmkqR8NO https://pbs.twimg.com/media/F6EfvH5XMAAyXdY.jpg</t>
  </si>
  <si>
    <t>https://t.co/PWp312qxNg https://pbs.twimg.com/media/F5lxLvpWEAAE0Br.jpg</t>
  </si>
  <si>
    <t>https://t.co/QhHpuQIf6y https://pbs.twimg.com/media/F5lpl8CX0AA7JKA.jpg</t>
  </si>
  <si>
    <t>https://t.co/6kIvVWBmdQ https://pbs.twimg.com/media/F5lZwAPXoAA9I4s.jpg</t>
  </si>
  <si>
    <t>https://t.co/sbLjgvkphj https://pbs.twimg.com/media/F5h0Y6vWQAAMp93.jpg</t>
  </si>
  <si>
    <t>https://t.co/w0ZEr742zc https://pbs.twimg.com/media/F5JJDkgXwAAud7N.jpg</t>
  </si>
  <si>
    <t>https://t.co/7xOUIFErdH https://pbs.twimg.com/media/F5I7FqeXgAEb4dN.jpg</t>
  </si>
  <si>
    <t>https://t.co/VtT1HPKIoE https://pbs.twimg.com/media/F4YuEphWgAA8IMA.jpg</t>
  </si>
  <si>
    <t>https://t.co/Yyd10M5hBj https://pbs.twimg.com/media/F4YGAqcXcAAPA8B.jpg</t>
  </si>
  <si>
    <t>https://t.co/Bt947O9mLj https://pbs.twimg.com/media/F4X92RWXgAAsJ_7.jpg</t>
  </si>
  <si>
    <t>https://t.co/vim3jydWk6 https://pbs.twimg.com/media/F4U3qeOWQAEUyZ4.jpg</t>
  </si>
  <si>
    <t>https://t.co/OF3gS1RaHW https://pbs.twimg.com/media/F4Uv0PSXgAAdIon.jpg</t>
  </si>
  <si>
    <t>https://t.co/xSas3Vodt1 https://pbs.twimg.com/media/F4UQSvnXoAAzoxV.jpg</t>
  </si>
  <si>
    <t>https://t.co/GGkp1vdqxo https://pbs.twimg.com/media/F4T-sJdWQAA1P50.jpg</t>
  </si>
  <si>
    <t>https://t.co/Psn0FPK21I https://pbs.twimg.com/media/F4Tco-QbQAEpa2H.jpg</t>
  </si>
  <si>
    <t>https://t.co/4mjW4RuenI https://pbs.twimg.com/media/F4TOA6IWcAAdQXu.jpg</t>
  </si>
  <si>
    <t>https://t.co/XPJw9G4X4n https://pbs.twimg.com/media/F4TImQGXkAEDLSG.jpg</t>
  </si>
  <si>
    <t>https://t.co/iwpfCD8j6V https://pbs.twimg.com/media/F3Rjy8UWIAAXBeE.jpg</t>
  </si>
  <si>
    <t>https://t.co/Bl0xs2hFom https://pbs.twimg.com/media/F3RXbtGWkAAiNqC.jpg</t>
  </si>
  <si>
    <t>https://t.co/dN6OUriQCN https://pbs.twimg.com/media/F3QSOb0WkAIFs0C.jpg</t>
  </si>
  <si>
    <t>https://t.co/7vd3pTLOGB https://pbs.twimg.com/media/F3QGxfNWMAA3_b1.jpg</t>
  </si>
  <si>
    <t>https://t.co/Dzn7NV9a1V https://pbs.twimg.com/media/F3QAJywWAAAg91X.jpg</t>
  </si>
  <si>
    <t>https://t.co/MtKnflI6Ck https://pbs.twimg.com/media/F3P1-F4XgAApVaM.jpg</t>
  </si>
  <si>
    <t>https://t.co/VYWTDOdWhe https://pbs.twimg.com/media/F2S--XbWcAAmT_c.jpg</t>
  </si>
  <si>
    <t>https://t.co/gaw5aY2bPn https://pbs.twimg.com/media/F2SxZSvXYAAo1dx.jpg</t>
  </si>
  <si>
    <t>https://t.co/RagGIs8iuS https://pbs.twimg.com/media/F2StK7xXsAAXwod.jpg</t>
  </si>
  <si>
    <t>https://t.co/zzo6VbpUhs https://pbs.twimg.com/media/F2Pp5txXgAA91q2.jpg</t>
  </si>
  <si>
    <t>https://t.co/oYCFb1wO5B https://pbs.twimg.com/media/F2PjLUmXkAUoJAu.jpg</t>
  </si>
  <si>
    <t>https://t.co/FjKE4BGSGd https://pbs.twimg.com/media/F2PRWlGWYAEogMQ.jpg</t>
  </si>
  <si>
    <t>https://t.co/XKsIXxgn6H https://pbs.twimg.com/media/F1BOfJzWwAg44ej.jpg</t>
  </si>
  <si>
    <t>https://t.co/61PhG9VwGk https://pbs.twimg.com/media/F1BIporXgAAOcZF.jpg</t>
  </si>
  <si>
    <t>https://t.co/YyXQ5yG0e5 https://pbs.twimg.com/media/F1BA3W9WAAEcP-B.jpg</t>
  </si>
  <si>
    <t>https://t.co/lsz9j7te9E https://pbs.twimg.com/media/F1A7bFfWcAA22Uy.jpg</t>
  </si>
  <si>
    <t>https://t.co/QxFXcpDQGR https://pbs.twimg.com/media/F1AfvExWAAUo8ZH.jpg</t>
  </si>
  <si>
    <t>https://t.co/Fex7qs4Ljq https://pbs.twimg.com/media/F1AZV17WAAI0K8-.jpg</t>
  </si>
  <si>
    <t>https://t.co/8NDO8TPmoq https://pbs.twimg.com/media/F1ASPnOXgAMs8X5.jpg</t>
  </si>
  <si>
    <t>https://t.co/ygg174M6WA https://pbs.twimg.com/media/F084SVkWYAArEdR.jpg</t>
  </si>
  <si>
    <t>https://t.co/f8SSZNDynY https://pbs.twimg.com/media/F08vPvVWYAcnhlp.jpg</t>
  </si>
  <si>
    <t>https://t.co/5fyJHQbFke https://pbs.twimg.com/media/F08cf_5XgAA0_pu.jpg</t>
  </si>
  <si>
    <t>https://t.co/yPr3AGMCLI https://pbs.twimg.com/media/F08SjQoWIAAk9wp.jpg</t>
  </si>
  <si>
    <t>https://t.co/tfZLMNSlDx https://pbs.twimg.com/media/F08E6zmXwAIjJqE.jpg</t>
  </si>
  <si>
    <t>https://t.co/0Haq1C1V5F https://pbs.twimg.com/media/F07ynwQXgAIJgNk.jpg</t>
  </si>
  <si>
    <t>https://t.co/jKHMGnT8pi https://pbs.twimg.com/media/F7Cn5jyWQAAuAmq.jpg</t>
  </si>
  <si>
    <t>https://t.co/8mnIIeUavO https://pbs.twimg.com/media/F7CMr6HXcAEfPTY.jpg</t>
  </si>
  <si>
    <t>https://t.co/RhjOPeE3KA https://pbs.twimg.com/media/F66QXvbXwAATrch.jpg</t>
  </si>
  <si>
    <t>https://t.co/1kqLhuh1Fb https://pbs.twimg.com/media/F64QYlrWYAAYX1M.jpg</t>
  </si>
  <si>
    <t>https://t.co/wWMEVvtH33 https://pbs.twimg.com/media/F64JZLcWsAADE1v.jpg</t>
  </si>
  <si>
    <t>https://t.co/S6bWAuR4f2 https://pbs.twimg.com/media/F6vmoVqW8AAhMXt.jpg</t>
  </si>
  <si>
    <t>https://t.co/bBTDOGZRLD https://pbs.twimg.com/media/F6on1QAXgAAge2Z.jpg</t>
  </si>
  <si>
    <t>https://t.co/PlC5WChcRX https://pbs.twimg.com/media/F6oaIXJXkAAfVfG.jpg</t>
  </si>
  <si>
    <t>https://t.co/sjWIWtY38K https://pbs.twimg.com/media/F6oKQDkXIAAc_YG.jpg</t>
  </si>
  <si>
    <t>https://t.co/OXxB1kh6d1 https://pbs.twimg.com/media/F6eSpVzWUAAUrUw.jpg</t>
  </si>
  <si>
    <t>https://t.co/abRfNfgSMk https://pbs.twimg.com/media/F6UMwuMXgAA4Byv.jpg</t>
  </si>
  <si>
    <t>https://t.co/5NKdhN3xOh https://pbs.twimg.com/media/F6T9afgXQAE3EDj.jpg</t>
  </si>
  <si>
    <t>https://t.co/0eT4DfHQhz https://pbs.twimg.com/media/F6TzhfXWUAAea_C.jpg</t>
  </si>
  <si>
    <t>https://t.co/gh0Yxf9aM9 https://pbs.twimg.com/media/F6Tn0jYXcAAZe3i.jpg</t>
  </si>
  <si>
    <t>https://t.co/khiuRDIBO1 https://pbs.twimg.com/media/F52vGQcXMAAFoOZ.jpg</t>
  </si>
  <si>
    <t>https://t.co/9HQlh0WAzW https://pbs.twimg.com/media/F52eIY1WEAALA93.jpg</t>
  </si>
  <si>
    <t>https://t.co/6djG1dsVRp https://pbs.twimg.com/media/F52RlTNXQAE1Hn4.jpg</t>
  </si>
  <si>
    <t>https://t.co/JqbNVhPHoZ https://pbs.twimg.com/media/F5RXGPHW0AAcm-1.jpg</t>
  </si>
  <si>
    <t>https://t.co/lZSj1bEAtt https://pbs.twimg.com/media/F5REqscbQAAUXVn.jpg</t>
  </si>
  <si>
    <t>https://t.co/QBV8Z64cnn https://pbs.twimg.com/media/F5Q6XQqXUAAJoKr.jpg</t>
  </si>
  <si>
    <t>https://t.co/2s9trLiJTP https://pbs.twimg.com/media/F5QvX9eXMAAwoZH.jpg</t>
  </si>
  <si>
    <t>https://t.co/aDZdxjIL1a https://pbs.twimg.com/media/F5QiBrLXYAA9WGd.jpg</t>
  </si>
  <si>
    <t>https://t.co/J2k3TDGnHg https://pbs.twimg.com/media/F4s4KvWX0AAHi0p.png</t>
  </si>
  <si>
    <t>https://t.co/i9GonzCHmJ https://pbs.twimg.com/media/F4pgHI6XYAA5THi.jpg</t>
  </si>
  <si>
    <t>https://t.co/g0hHRtpp8G https://pbs.twimg.com/media/F4pXYa0WcAELRz2.jpg</t>
  </si>
  <si>
    <t>https://t.co/O4p5suFzfy https://pbs.twimg.com/media/F4o39yAWQAA9wgo.jpg</t>
  </si>
  <si>
    <t>https://t.co/FmNCBsfPnQ https://pbs.twimg.com/media/F4oxgeEXAAAz0u2.jpg</t>
  </si>
  <si>
    <t>https://t.co/nEEkB4cqk9 https://pbs.twimg.com/media/F3lHmWmbMAEHPYt.jpg</t>
  </si>
  <si>
    <t>https://t.co/AVIX7WFj5u https://pbs.twimg.com/media/F3k65q5aQAIy7aC.jpg</t>
  </si>
  <si>
    <t>https://t.co/pnMX3Wh5WE https://pbs.twimg.com/media/F3kuwxAWAAEPx25.jpg</t>
  </si>
  <si>
    <t>https://t.co/OHIBobVB9E https://pbs.twimg.com/media/F3kp2GzXkAAOndG.jpg</t>
  </si>
  <si>
    <t>https://t.co/6qoZiM9bRr https://pbs.twimg.com/media/F3kc3FvXYAARvXa.jpg</t>
  </si>
  <si>
    <t>https://t.co/QBp7jBlJRh https://pbs.twimg.com/media/F3hg0SFWUAA1ObU.jpg</t>
  </si>
  <si>
    <t>https://t.co/kx9i6jSfd5 https://pbs.twimg.com/media/F3hQcNvWwAEMZ9C.jpg</t>
  </si>
  <si>
    <t>https://t.co/gUeqpTsZ1s https://pbs.twimg.com/media/F3f8RY4XUAAnVFS.jpg</t>
  </si>
  <si>
    <t>https://t.co/YVkm2ay1Ww https://pbs.twimg.com/media/F3f0Fb8XUAAp2EC.jpg</t>
  </si>
  <si>
    <t>https://t.co/dbgFDlBBZW https://pbs.twimg.com/media/F3foUiKXIAA0jkS.jpg</t>
  </si>
  <si>
    <t>https://t.co/g6MuCb4n4H https://pbs.twimg.com/media/F2iAmh3WcAAA4dr.jpg</t>
  </si>
  <si>
    <t>https://t.co/SCIovdvWyC https://pbs.twimg.com/media/F2htWKAW0AAskfA.jpg</t>
  </si>
  <si>
    <t>https://t.co/rXdDAAWHPu https://pbs.twimg.com/media/F2hiKpeWQAApWe5.jpg</t>
  </si>
  <si>
    <t>https://t.co/wp6MV2BInk https://pbs.twimg.com/media/F2dxaJzW8AEgycJ.jpg</t>
  </si>
  <si>
    <t>https://t.co/xdE4EBYeA7 https://pbs.twimg.com/media/F2c8YCma4AEXuS-.jpg</t>
  </si>
  <si>
    <t>https://t.co/LMZPPYJ6FB https://pbs.twimg.com/media/F2c4qhzaAAAgvTi.jpg</t>
  </si>
  <si>
    <t>https://t.co/iyewNFxMH0 https://pbs.twimg.com/media/F2cw3-DXMAAILJJ.jpg</t>
  </si>
  <si>
    <t>https://t.co/S60JpAOOi9 https://pbs.twimg.com/media/F2cj_bHWEAAqe1u.jpg</t>
  </si>
  <si>
    <t>https://t.co/w0tAMMzUPh https://pbs.twimg.com/media/F1ZqFWXWcAANoUs.jpg</t>
  </si>
  <si>
    <t>https://t.co/PXce4VkRHK https://pbs.twimg.com/media/F1ZpsCTXoAIkKkQ.jpg</t>
  </si>
  <si>
    <t>https://t.co/BCFmH5s7qF https://pbs.twimg.com/media/F1Zpb1dX0AElObk.jpg</t>
  </si>
  <si>
    <t>https://t.co/LuePxctITx https://pbs.twimg.com/media/F1VbW0wXwBAM-b5.jpg</t>
  </si>
  <si>
    <t>https://t.co/onZzPEzR6c https://pbs.twimg.com/media/F1VU21bXwAo_igX.jpg</t>
  </si>
  <si>
    <t>https://t.co/xLMwBAswMj https://pbs.twimg.com/media/F1VQPOeXwAUll5p.jpg</t>
  </si>
  <si>
    <t>https://t.co/Fpn0vKmFnM https://pbs.twimg.com/media/F1UlhL9WcAAvOR0.jpg</t>
  </si>
  <si>
    <t>https://t.co/Xc3rM6GWhA https://pbs.twimg.com/media/F1UXYO-XwAAY8t3.jpg</t>
  </si>
  <si>
    <t>https://t.co/LzyiWiOosO https://pbs.twimg.com/media/F1RE455X0AA8Bsc.jpg</t>
  </si>
  <si>
    <t>https://t.co/y6e6iCLq5C https://pbs.twimg.com/media/F7DOpJZXIAA_hRi.jpg</t>
  </si>
  <si>
    <t>https://t.co/6sOW0EPxpg https://pbs.twimg.com/media/F7DBoC8XsAApvxC.jpg</t>
  </si>
  <si>
    <t>https://t.co/IjTDy3WmBk https://pbs.twimg.com/media/F6_HN5TWoAAIa5T.jpg</t>
  </si>
  <si>
    <t>https://t.co/UyHfCzDxaf https://pbs.twimg.com/media/F6-NLZpXMAAznlr.jpg</t>
  </si>
  <si>
    <t>https://t.co/2Njz2Ncv94 https://pbs.twimg.com/media/F699I1BWYAA-bZs.jpg</t>
  </si>
  <si>
    <t>https://t.co/Bvw3b21xPY https://pbs.twimg.com/media/F69L4-ZbkAEs0jZ.jpg</t>
  </si>
  <si>
    <t>https://t.co/Js0Pxh80yY https://pbs.twimg.com/media/F689vfRWgAEExcy.jpg</t>
  </si>
  <si>
    <t>https://t.co/VG29ECNXCM https://pbs.twimg.com/media/F63pVmMXEAAu-y4.jpg</t>
  </si>
  <si>
    <t>https://t.co/XTnb8xwKCf https://pbs.twimg.com/media/F6yxUiuXAAAGizY.jpg</t>
  </si>
  <si>
    <t>https://t.co/DfPPBOgOw1 https://pbs.twimg.com/media/F6qigS4XEAA5IuA.jpg</t>
  </si>
  <si>
    <t>https://t.co/PLqhADO2eE https://pbs.twimg.com/media/F6qWhDZWQAAQYuq.jpg</t>
  </si>
  <si>
    <t>https://t.co/dXCEvCoL6H https://pbs.twimg.com/media/F6p7-MUXoAAfc0Q.jpg</t>
  </si>
  <si>
    <t>https://t.co/D5Y3Sy6vo9 https://pbs.twimg.com/media/F6jIfV6XQAAgAt7.jpg</t>
  </si>
  <si>
    <t>https://t.co/BipIVItqP6 https://pbs.twimg.com/media/F6jCk4WXQAAcm98.jpg</t>
  </si>
  <si>
    <t>https://t.co/0gP1fWvsaV https://pbs.twimg.com/media/F6alkZLWkAA-LmB.jpg</t>
  </si>
  <si>
    <t>https://t.co/kHpLTVIaA6 https://pbs.twimg.com/media/F6LYaVuWIAEqGDW.jpg</t>
  </si>
  <si>
    <t>https://t.co/gA23KwCa3O https://pbs.twimg.com/media/F6LYRDEXAAACiBX.jpg</t>
  </si>
  <si>
    <t>https://t.co/TT4jr8eOww https://pbs.twimg.com/media/F6LYFeoXcAAXZt8.jpg</t>
  </si>
  <si>
    <t>https://t.co/JotPWv2soA https://pbs.twimg.com/media/F5xcSD9XAAAjCjx.jpg</t>
  </si>
  <si>
    <t>https://t.co/cV2TG20NWG https://pbs.twimg.com/media/F5xOT0zWwAARQfp.jpg</t>
  </si>
  <si>
    <t>https://t.co/RYXA1bsVGQ https://pbs.twimg.com/media/F5xDCz6WwAANARs.jpg</t>
  </si>
  <si>
    <t>https://t.co/fhD6kYBTfD https://pbs.twimg.com/media/F5w66PSWAAAn8UR.jpg</t>
  </si>
  <si>
    <t>https://t.co/jJplCe4DND https://pbs.twimg.com/media/F5MKbeUXAAAVeNe.jpg</t>
  </si>
  <si>
    <t>https://t.co/ilftvvfX4r https://pbs.twimg.com/media/F5L-kNhWAAAXzbz.jpg</t>
  </si>
  <si>
    <t>https://t.co/Jaf7rI5YWY https://pbs.twimg.com/media/F4eT7UgXcAAWY_V.jpg</t>
  </si>
  <si>
    <t>https://t.co/Eyhzex873O https://pbs.twimg.com/media/F4eEWhVXAAAKclr.jpg</t>
  </si>
  <si>
    <t>https://t.co/gxEXm3C0f7 https://pbs.twimg.com/media/F4d9LJDXcAAXrsB.jpg</t>
  </si>
  <si>
    <t>https://t.co/A9yQBvT30E https://pbs.twimg.com/media/F4aV-wyWcAEAvoP.jpg</t>
  </si>
  <si>
    <t>https://t.co/mIc2sXA3gi https://pbs.twimg.com/media/F4aQvc_W8AAI6Qz.jpg</t>
  </si>
  <si>
    <t>https://t.co/spLqvd92IQ https://pbs.twimg.com/media/F4aI2G4WcAAkjiY.jpg</t>
  </si>
  <si>
    <t>https://t.co/9wvlTdKwR0 https://pbs.twimg.com/media/F4Z_K6gXIAARz4m.jpg</t>
  </si>
  <si>
    <t>https://t.co/M3zE6nFa9b https://pbs.twimg.com/media/F3fbuPgWsAA1oRS.jpg</t>
  </si>
  <si>
    <t>https://t.co/NaNxXfxSCd https://pbs.twimg.com/media/F3dErJmWQAAIYu8.jpg</t>
  </si>
  <si>
    <t>https://t.co/V9aPdFCRn1 https://pbs.twimg.com/media/F3cVJh1WQAUEPLe.jpg</t>
  </si>
  <si>
    <t>https://t.co/Q3WVzkpiXB https://pbs.twimg.com/media/F3XcV_lWMAA6lkV.jpg</t>
  </si>
  <si>
    <t>https://t.co/cmlJJNvJtW https://pbs.twimg.com/media/F3XR307WkAAASX8.jpg</t>
  </si>
  <si>
    <t>https://t.co/iAYxHLuFa4 https://pbs.twimg.com/media/F3VqEv9XMAAX2z1.jpg</t>
  </si>
  <si>
    <t>https://t.co/0VfeAhi38Y https://pbs.twimg.com/media/F2ZHIAwXwAAWQQC.jpg</t>
  </si>
  <si>
    <t>https://t.co/6CiSpehnGL https://pbs.twimg.com/media/F2ZBZfIXIAAy-1f.jpg</t>
  </si>
  <si>
    <t>https://t.co/NNN19nrrhv https://pbs.twimg.com/media/F2Y2N22WIAAKCRD.jpg</t>
  </si>
  <si>
    <t>https://t.co/Do0ya7eu1d https://pbs.twimg.com/media/F2YtXB5XkAAkpVo.jpg</t>
  </si>
  <si>
    <t>https://t.co/9831o7Z4fs https://pbs.twimg.com/media/F2Yf9awWAAAMQJP.jpg</t>
  </si>
  <si>
    <t>https://t.co/9Y6PUopW29 https://pbs.twimg.com/media/F2X_vJWXEAAAm0U.jpg</t>
  </si>
  <si>
    <t>https://t.co/ZkjOHgH3Vz https://pbs.twimg.com/media/F2X5eRBWAAELdmM.jpg</t>
  </si>
  <si>
    <t>https://t.co/Ogz3WhCeiJ https://pbs.twimg.com/media/F2Xv8xQXQAYl9BX.jpg</t>
  </si>
  <si>
    <t>https://t.co/cf7aa2AEsH https://pbs.twimg.com/media/F2XfN0WXoAADRkf.jpg</t>
  </si>
  <si>
    <t>https://t.co/sxwnmAPvxz https://pbs.twimg.com/media/F1Q-SUIWIAEEbgn.jpg</t>
  </si>
  <si>
    <t>https://t.co/FPxFWRJYek https://pbs.twimg.com/media/F1PrzIeX0AMwJnt.jpg</t>
  </si>
  <si>
    <t>https://t.co/AQhHtJKMPf https://pbs.twimg.com/media/F1PjeXTWIAMq0k0.jpg</t>
  </si>
  <si>
    <t>https://t.co/7gqOEoARGV https://pbs.twimg.com/media/F1PY7xTXoAAHGpY.jpg</t>
  </si>
  <si>
    <t>https://t.co/v4EVqxZL1X https://pbs.twimg.com/media/F1PQraRXwAA_ODL.jpg</t>
  </si>
  <si>
    <t>https://t.co/uY9Di5cH0O https://pbs.twimg.com/media/F1PMpcMWYAIdY2T.jpg</t>
  </si>
  <si>
    <t>https://t.co/2o7BlFMYT1 https://pbs.twimg.com/media/F1PGPnSWIAQYOkH.jpg</t>
  </si>
  <si>
    <t>https://t.co/RPY43w0E7R https://pbs.twimg.com/media/F1LNCYeXoAAdwL0.jpg</t>
  </si>
  <si>
    <t>https://t.co/SYg2G6iItD https://pbs.twimg.com/media/F1LFk8TWYAESxKg.jpg</t>
  </si>
  <si>
    <t>https://t.co/mpSZtHXv43 https://pbs.twimg.com/media/F1F-PT5WYAE6oeo.jpg</t>
  </si>
  <si>
    <t>https://t.co/kLk8hxMCUj https://pbs.twimg.com/media/F1B3MZQX0AAdrgH.jpg</t>
  </si>
  <si>
    <t>https://t.co/HpDRIHbJXJ https://pbs.twimg.com/media/F7Ddn8qXEAAeBaD.jpg</t>
  </si>
  <si>
    <t>https://t.co/fZZJMC7OHV https://pbs.twimg.com/media/F7CKrJWXMAAdyDi.jpg</t>
  </si>
  <si>
    <t>https://t.co/3OTS1VLE98 https://pbs.twimg.com/media/F683Xa4WYAEINja.jpg</t>
  </si>
  <si>
    <t>https://t.co/z5W9n03OBa https://pbs.twimg.com/media/F65FPhPXUAAI8jE.jpg</t>
  </si>
  <si>
    <t>https://t.co/J4C2fKOpoH https://pbs.twimg.com/media/F636esKW8AAcXnf.jpg</t>
  </si>
  <si>
    <t>https://t.co/cxD7NLz8t8 https://pbs.twimg.com/media/F63wsBYWIAA5GM1.jpg</t>
  </si>
  <si>
    <t>https://t.co/LAz2OJzhmP https://pbs.twimg.com/media/F6uf52bXYAAAxgt.jpg</t>
  </si>
  <si>
    <t>https://t.co/euGHPKC9if https://pbs.twimg.com/media/F6uHuV5W0AAJl-W.jpg</t>
  </si>
  <si>
    <t>https://t.co/oUZaUYJsa2 https://pbs.twimg.com/media/F6exn3LW0AA-fyp.jpg</t>
  </si>
  <si>
    <t>https://t.co/bNCp4e4IyP https://pbs.twimg.com/media/F6eszAfXsAA7g6L.jpg</t>
  </si>
  <si>
    <t>https://t.co/s3r6Ymni4g https://pbs.twimg.com/media/F6ej7RaXoAAHo60.jpg</t>
  </si>
  <si>
    <t>https://t.co/4zgLR90T3X https://pbs.twimg.com/media/F6VJ99_W4AEhDSI.jpg</t>
  </si>
  <si>
    <t>https://t.co/LSj3Nz2bPg https://pbs.twimg.com/media/F6U-5EWWkAAcr8t.jpg</t>
  </si>
  <si>
    <t>https://t.co/xkBkbdbSbo https://pbs.twimg.com/media/F57FY2xXYAAVsNC.jpg</t>
  </si>
  <si>
    <t>https://t.co/F62NFfTS5z https://pbs.twimg.com/media/F56bs2eXcAAbykn.jpg</t>
  </si>
  <si>
    <t>https://t.co/O6YffEEYqR https://pbs.twimg.com/media/F56U359WAAEVCyb.jpg</t>
  </si>
  <si>
    <t>https://t.co/7J0uM8Rc6W https://pbs.twimg.com/media/F56Kd69WUAAJiWT.jpg</t>
  </si>
  <si>
    <t>https://t.co/pX8B3ps5Vh https://pbs.twimg.com/media/F556cWmWMAApmMj.jpg</t>
  </si>
  <si>
    <t>https://t.co/UbBrztmlZO https://pbs.twimg.com/media/F55y7VgWMAAseFH.jpg</t>
  </si>
  <si>
    <t>https://t.co/pQM2nE8Jpn https://pbs.twimg.com/media/F4zEZDNXkAA6Hgb.jpg</t>
  </si>
  <si>
    <t>https://t.co/ttd7sYIPZc https://pbs.twimg.com/media/F4y8vqxWgAExiev.jpg</t>
  </si>
  <si>
    <t>https://t.co/Lw57fk4c11 https://pbs.twimg.com/media/F4y0aFCXIAA5wvY.jpg</t>
  </si>
  <si>
    <t>https://t.co/BS6usZm8Lj https://pbs.twimg.com/media/F4yTkjaWsAA-ztK.png</t>
  </si>
  <si>
    <t>https://t.co/zoG4wOnei1 https://pbs.twimg.com/media/F4yJ2w5WUAAIBre.jpg</t>
  </si>
  <si>
    <t>https://t.co/C7hF4E9twE https://pbs.twimg.com/media/F4x5cdzXsAA8wq8.jpg</t>
  </si>
  <si>
    <t>https://t.co/k2uQV2GQul https://pbs.twimg.com/media/F4uxFR_WMAA0Gtb.jpg</t>
  </si>
  <si>
    <t>https://t.co/KkDDAhLwTg https://pbs.twimg.com/media/F4uPWNvXoAAEcBu.jpg</t>
  </si>
  <si>
    <t>https://t.co/QYTLmODNrd https://pbs.twimg.com/media/F3qPqATW8AINBQu.jpg</t>
  </si>
  <si>
    <t>https://t.co/FM1xqkSPfZ https://pbs.twimg.com/media/F3qIe0HW0AEJrGY.jpg</t>
  </si>
  <si>
    <t>https://t.co/DUSwTaQIyJ https://pbs.twimg.com/media/F3p78viW8AEAHOa.jpg</t>
  </si>
  <si>
    <t>https://t.co/A4xiXxf7Lz https://pbs.twimg.com/media/F3ma1PVWkAApj9w.jpg</t>
  </si>
  <si>
    <t>https://t.co/MU09DuLdmI https://pbs.twimg.com/media/F3mKCjoXkAEgsJ9.jpg</t>
  </si>
  <si>
    <t>https://t.co/P4bXIxpIHT https://pbs.twimg.com/media/F3mC2VuXcAAdi1X.jpg</t>
  </si>
  <si>
    <t>https://t.co/wm5JFM7sJd https://pbs.twimg.com/media/F3l64GDXIAIRO8o.jpg</t>
  </si>
  <si>
    <t>https://t.co/MzYaRxU8iE https://pbs.twimg.com/media/F2nKnxxbgAAZIPp.jpg</t>
  </si>
  <si>
    <t>https://t.co/6HMzSQecUG https://pbs.twimg.com/media/F2m5q3HW0AElMgO.jpg</t>
  </si>
  <si>
    <t>https://t.co/RqZW1tHpCc https://pbs.twimg.com/media/F2mwFG_XAAISjLm.jpg</t>
  </si>
  <si>
    <t>https://t.co/z9qcVTKLGn https://pbs.twimg.com/media/F2jeJB8WQAAA6E8.jpg</t>
  </si>
  <si>
    <t>https://t.co/w5HbHg9ij5 https://pbs.twimg.com/media/F2iQ9ftWMAAdTpZ.jpg</t>
  </si>
  <si>
    <t>https://t.co/7sCF8jngLw https://pbs.twimg.com/media/F1uZUXEWYAI4omg.jpg</t>
  </si>
  <si>
    <t>https://t.co/QdsVoxN2zx https://pbs.twimg.com/media/F1kJjrdXgAEN5zi.jpg</t>
  </si>
  <si>
    <t>https://t.co/36MQ6Azoz9 https://pbs.twimg.com/media/F1kJLiyX0AIKdQi.jpg</t>
  </si>
  <si>
    <t>https://t.co/oTKdLfta4t https://pbs.twimg.com/media/F1e0JqkXsAIMM6j.jpg</t>
  </si>
  <si>
    <t>https://t.co/EqxqFZpgsT https://pbs.twimg.com/media/F5MmPqUWUAAFWJ4.png</t>
  </si>
  <si>
    <t>https://t.co/UNOYEfjTAZ https://pbs.twimg.com/ext_tw_video_thumb/1688899546888159232/pu/img/VXvQkkW_slXOm_Mn.jpg</t>
  </si>
  <si>
    <t>https://t.co/aXTgZtfd41 https://pbs.twimg.com/media/F6YEUKoW0AAcXol.jpg</t>
  </si>
  <si>
    <t>https://t.co/nQBhZLIDIe https://pbs.twimg.com/ext_tw_video_thumb/1687053940481802240/pu/img/6zlZjb5lplEm0qaw.jpg</t>
  </si>
  <si>
    <t>https://t.co/HD5EfTMfD5 https://pbs.twimg.com/media/F3IIhqaWEAAzL_T.jpg</t>
  </si>
  <si>
    <t>https://t.co/Lot8sFLbA8 https://pbs.twimg.com/media/F5LCFb3WgAAaKLV.jpg</t>
  </si>
  <si>
    <t>https://t.co/WAe3Sjbza9 https://pbs.twimg.com/media/F3VAYqUWQAAvQeY.jpg</t>
  </si>
  <si>
    <t>https://t.co/hPVnoJzBwg https://pbs.twimg.com/media/F6wSGsuW0AA3Pv3.jpg</t>
  </si>
  <si>
    <t>https://t.co/AvQvhNI1h2 https://pbs.twimg.com/media/F15lkP6WAAQ0wbl.jpg</t>
  </si>
  <si>
    <t>https://t.co/XqLuCT5NmV https://pbs.twimg.com/ext_tw_video_thumb/1699649514150285312/pu/img/VqBoU2yRjlGryFLO.jpg</t>
  </si>
  <si>
    <t>https://t.co/MbCOsB2Ekn https://pbs.twimg.com/ext_tw_video_thumb/1699636969314123776/pu/img/MbSEclUmsl_6Op3F.jpg</t>
  </si>
  <si>
    <t>https://t.co/ipRb1GV7ZE https://pbs.twimg.com/media/F4unoFfWsAAgHqs.jpg</t>
  </si>
  <si>
    <t>https://t.co/exvdS3QBq0 https://t.co/exvdS3QBq0 https://pbs.twimg.com/media/F3iJz8SX0AIk47R.jpg https://pbs.twimg.com/media/F3iJz8VXcAAlytI.jpg</t>
  </si>
  <si>
    <t>https://t.co/lEKv658SO5 https://t.co/lEKv658SO5 https://t.co/lEKv658SO5 https://pbs.twimg.com/media/F445_sMX0AAS804.jpg https://pbs.twimg.com/media/F445_sMWcAADAyM.jpg https://pbs.twimg.com/media/F445_sIXEAEb6Mu.jpg</t>
  </si>
  <si>
    <t>https://t.co/vnFaL6Jd23 https://pbs.twimg.com/media/F2d-yasWgAAv1O_.jpg</t>
  </si>
  <si>
    <t>https://t.co/AeWyMgjKd3 https://pbs.twimg.com/media/F5bUMNcbYAAN1xo.jpg</t>
  </si>
  <si>
    <t>https://t.co/kItPduxnnI https://pbs.twimg.com/media/F1QeDDUX0AAQJXp.jpg</t>
  </si>
  <si>
    <t>https://t.co/O0mpPsRvZJ https://pbs.twimg.com/ext_tw_video_thumb/1675890392087052288/pu/img/Gnqgh6ArZFP-q2Fe.jpg</t>
  </si>
  <si>
    <t>https://t.co/Ue7BlAs2Ss https://pbs.twimg.com/media/F0UG-RtXoAA4qoZ.jpg</t>
  </si>
  <si>
    <t>https://t.co/NxWavQwuVP https://pbs.twimg.com/media/F3qs5DUXgAA-ZVJ.jpg</t>
  </si>
  <si>
    <t>https://t.co/P3MPjEHObg https://pbs.twimg.com/media/F4NxBmuWoAAdu97.jpg</t>
  </si>
  <si>
    <t>https://t.co/WylWKqUJrQ https://pbs.twimg.com/ext_tw_video_thumb/1680995167480717313/pu/img/-RBzcxaRaWzww-EN.jpg</t>
  </si>
  <si>
    <t>https://t.co/86C2PgeMy8 https://pbs.twimg.com/ext_tw_video_thumb/1683522185577603105/pu/img/M-3gJp4RCYsE23V6.jpg</t>
  </si>
  <si>
    <t>https://t.co/UfV3LYOYrx https://pbs.twimg.com/media/F3mZVvXWMAAsRGU.jpg</t>
  </si>
  <si>
    <t>https://t.co/dGOpF9KKWb https://pbs.twimg.com/media/F3qvenRXgAkbpUG.jpg</t>
  </si>
  <si>
    <t>https://t.co/FK5UZnUYU6 https://pbs.twimg.com/media/F1k83hHX0AEYmbn.jpg</t>
  </si>
  <si>
    <t>https://t.co/L0yZmBQxgW https://pbs.twimg.com/media/F3HuqwnXkAApOoN.jpg</t>
  </si>
  <si>
    <t>https://t.co/ogMNiBVFC2 https://pbs.twimg.com/media/F3NU2kfWAAQvZK1.jpg</t>
  </si>
  <si>
    <t>https://t.co/FaJUZY6AqA https://pbs.twimg.com/media/F1Vz_sDXwAU-gLb.jpg</t>
  </si>
  <si>
    <t>https://t.co/pwfKEOHs6C https://pbs.twimg.com/media/F1VxempWACwzos4.jpg</t>
  </si>
  <si>
    <t>https://t.co/TlAN1Vh0NT https://pbs.twimg.com/ext_tw_video_thumb/1681370845581639681/pu/img/pU07F5mSi3XY8G28.jpg</t>
  </si>
  <si>
    <t>https://t.co/Zcy9cQi8Ka https://pbs.twimg.com/ext_tw_video_thumb/1684201162663141376/pu/img/d-knF-AW8N2g9zsY.jpg</t>
  </si>
  <si>
    <t>https://t.co/OXLwwgCH4d https://pbs.twimg.com/ext_tw_video_thumb/1683945028383637505/pu/img/TOsPLFbQkDCUtjbp.jpg</t>
  </si>
  <si>
    <t>https://t.co/OIJh0ZAv2H https://t.co/OIJh0ZAv2H https://t.co/OIJh0ZAv2H https://pbs.twimg.com/media/F1BUeFcWwAc7Rcp.jpg https://pbs.twimg.com/media/F1BUe7kWwAA1vE0.jpg https://pbs.twimg.com/media/F1BUfvvWwAELNek.jpg</t>
  </si>
  <si>
    <t>https://t.co/B6ZPjmG1lz https://pbs.twimg.com/ext_tw_video_thumb/1701659211258580992/pu/img/It1hpivwmUvGa2rX.jpg</t>
  </si>
  <si>
    <t>https://t.co/0jFygolPSn https://t.co/0jFygolPSn https://t.co/0jFygolPSn https://pbs.twimg.com/media/F0IX1pMWIA8DYb0.jpg https://pbs.twimg.com/media/F0IX1pTWcAAcQi6.jpg https://pbs.twimg.com/media/F0IX1pSWIAwwVGO.jpg</t>
  </si>
  <si>
    <t>https://t.co/lA5qIinCn6 https://pbs.twimg.com/ext_tw_video_thumb/1701200319529574401/pu/img/JDsNiV5Aghc8e9XD.jpg</t>
  </si>
  <si>
    <t>https://t.co/sfKqoHZ671 https://pbs.twimg.com/media/F17ETOsXwAIlXeS.jpg</t>
  </si>
  <si>
    <t>https://t.co/MDPkYMgBef https://pbs.twimg.com/media/F0tsmb_XgAIoIdV.jpg</t>
  </si>
  <si>
    <t>https://t.co/EISeupX5Fl https://pbs.twimg.com/media/F6bNaLfWEAAzoLF.jpg</t>
  </si>
  <si>
    <t>https://t.co/1Upxy8fokG https://pbs.twimg.com/media/F44BfldXgAAD2Z3.jpg</t>
  </si>
  <si>
    <t>https://t.co/DRRkWPvzpD https://pbs.twimg.com/media/F43zAZbW0AE1TnF.jpg</t>
  </si>
  <si>
    <t>https://t.co/JI8Fx8TOdc https://pbs.twimg.com/media/F3y9zNVWEAA3Cit.png</t>
  </si>
  <si>
    <t>https://t.co/QyZpIcte6O https://pbs.twimg.com/media/F57VHeQW0AAn4zv.png</t>
  </si>
  <si>
    <t>https://t.co/vIylRvDCP7 https://pbs.twimg.com/media/F4tx7vfXcAUs1W7.jpg</t>
  </si>
  <si>
    <t>https://t.co/T2UiwV9i1v https://pbs.twimg.com/media/F3FJvPTXcAA9drE.jpg</t>
  </si>
  <si>
    <t>https://t.co/1HvnWLeJru https://pbs.twimg.com/media/F53glrkW4AA84yX.jpg</t>
  </si>
  <si>
    <t>https://t.co/vANBzzPMnE https://pbs.twimg.com/media/F5iywWyXMAAcDs5.jpg</t>
  </si>
  <si>
    <t>https://t.co/tT0GVskKwG https://pbs.twimg.com/media/F5iyQAeXAAAi_KX.jpg</t>
  </si>
  <si>
    <t>https://t.co/2xfCQi0Pta https://pbs.twimg.com/media/F5igkFBWkAAnPet.jpg</t>
  </si>
  <si>
    <t>https://t.co/1KQgKApSSl https://pbs.twimg.com/media/F6yu7leX0AAxa1M.jpg</t>
  </si>
  <si>
    <t>https://t.co/XqY92bUaDU https://pbs.twimg.com/media/F50XtNsX0AALcaw.jpg</t>
  </si>
  <si>
    <t>https://t.co/zqIjI99AHl https://pbs.twimg.com/tweet_video_thumb/F3rCbbmXMAAWgnN.jpg</t>
  </si>
  <si>
    <t>https://t.co/DRwCispt3Y https://pbs.twimg.com/ext_tw_video_thumb/1676686166119120897/pu/img/nc-_RMkAk-6_2rTO.jpg</t>
  </si>
  <si>
    <t>https://t.co/qiuX65SLuR https://pbs.twimg.com/ext_tw_video_thumb/1677118874431496197/pu/img/J1rxFS8Sni-fgUTy.jpg</t>
  </si>
  <si>
    <t>https://t.co/wMQHrIME50 https://pbs.twimg.com/ext_tw_video_thumb/1677699184000991232/pu/img/esVsk-dDXfxOv24k.jpg</t>
  </si>
  <si>
    <t>https://t.co/3ggJTbf0YU https://pbs.twimg.com/media/F07ctJrWYAAO_6N.jpg</t>
  </si>
  <si>
    <t>https://t.co/EVJF3lRCaP https://t.co/EVJF3lRCaP https://pbs.twimg.com/media/F0u8SdjWAAE8cXs.jpg https://pbs.twimg.com/media/F0u8TjZWcAEkbUX.jpg</t>
  </si>
  <si>
    <t>https://t.co/9hzfQRVHol https://pbs.twimg.com/media/F5REWGTboAA_LsN.jpg</t>
  </si>
  <si>
    <t>https://t.co/K5getl2bot https://pbs.twimg.com/media/F5MKImJX0AAElIt.jpg</t>
  </si>
  <si>
    <t>https://t.co/NOYRDlatMM https://pbs.twimg.com/ext_tw_video_thumb/1699513646957629440/pu/img/yPeUeyFq76XYP0qo.jpg</t>
  </si>
  <si>
    <t>https://t.co/jWdOg2bfyS https://pbs.twimg.com/ext_tw_video_thumb/1682033579935809536/pu/img/AlmrWHrkmPQJBTBr.jpg</t>
  </si>
  <si>
    <t>https://t.co/xHT7WW5pcL https://pbs.twimg.com/media/F6lkWhrX0AAvV4t.jpg</t>
  </si>
  <si>
    <t>https://t.co/b8uhhosy2G https://pbs.twimg.com/media/F56MrFQXwAAw5ZH.jpg</t>
  </si>
  <si>
    <t>https://t.co/1oAqCtzDg6 https://pbs.twimg.com/media/F5WdnLTWIAI2rRT.jpg</t>
  </si>
  <si>
    <t>https://t.co/WKsZ1hVmeE https://pbs.twimg.com/media/F0RaTBXWIAA4ysK.jpg</t>
  </si>
  <si>
    <t>https://t.co/ICvmbmdmVV https://pbs.twimg.com/media/F0RaSyCWIAMGzle.jpg</t>
  </si>
  <si>
    <t>https://t.co/hnQ9iEGEdj https://pbs.twimg.com/media/F0RZJlDXgAAp10O.jpg</t>
  </si>
  <si>
    <t>https://t.co/KxvcpdH2qv https://pbs.twimg.com/media/F0rP7J6WIAAXrNq.jpg</t>
  </si>
  <si>
    <t>https://t.co/Uukc4AmpSO https://pbs.twimg.com/media/F0_whPHXgAAW3do.jpg</t>
  </si>
  <si>
    <t>https://t.co/Fb2CrnmN64 https://pbs.twimg.com/media/F06m8MtXgAAWTJw.jpg</t>
  </si>
  <si>
    <t>https://t.co/Sa9JwBODiY https://pbs.twimg.com/media/F06l0gZWAAE5E86.jpg</t>
  </si>
  <si>
    <t>https://t.co/sjWCyyeMv3 https://pbs.twimg.com/media/F1QdfRkWwAAvvNd.jpg</t>
  </si>
  <si>
    <t>https://t.co/Ito7WwClVP https://pbs.twimg.com/media/F1PTEPIXgAEFM08.jpg</t>
  </si>
  <si>
    <t>https://t.co/S1jjEWfu2K https://pbs.twimg.com/media/F1PAurGWAAIuo4E.jpg</t>
  </si>
  <si>
    <t>https://t.co/E9rcw6F2lA https://pbs.twimg.com/media/F1O_o6VWAAEA_Ou.jpg</t>
  </si>
  <si>
    <t>https://t.co/bsjcJ1fdxf https://pbs.twimg.com/media/F2mjudAXMAAVH9J.jpg</t>
  </si>
  <si>
    <t>https://t.co/UzajJoTugd https://pbs.twimg.com/media/F5g3NyrW8AAuhWB.jpg</t>
  </si>
  <si>
    <t>https://t.co/VEhNGslJlm https://pbs.twimg.com/media/F07oWruWAAAJNEF.jpg</t>
  </si>
  <si>
    <t>https://t.co/MUeYgf0JDB https://t.co/MUeYgf0JDB https://t.co/MUeYgf0JDB https://t.co/MUeYgf0JDB https://pbs.twimg.com/media/F10uFfBX0AEgXp3.jpg https://pbs.twimg.com/media/F10uFf5XoAIy9VN.jpg https://pbs.twimg.com/media/F10uFgjXwAYBdR5.jpg https://pbs.twimg.com/media/F10uFhPWcAErFW6.jpg</t>
  </si>
  <si>
    <t>https://t.co/feC45IBxTI https://pbs.twimg.com/media/F2I3iQOXoAc1npT.jpg</t>
  </si>
  <si>
    <t>https://t.co/tn6rjS8khn https://pbs.twimg.com/media/F0IChmoWwAEXJMF.jpg</t>
  </si>
  <si>
    <t>https://t.co/FUjW5LQo9Z https://pbs.twimg.com/media/F5WQFG5XoAM76iv.jpg</t>
  </si>
  <si>
    <t>https://t.co/75M9hv9gXF https://pbs.twimg.com/ext_tw_video_thumb/1682367788961128449/pu/img/OJ2RGbiUd83rmYrL.jpg</t>
  </si>
  <si>
    <t>https://t.co/UKE47Kvw3R https://pbs.twimg.com/ext_tw_video_thumb/1678349628834455553/pu/img/5KNfPkJNaR8VSkpn.jpg</t>
  </si>
  <si>
    <t>https://t.co/vniJa2vg5I https://pbs.twimg.com/ext_tw_video_thumb/1676532725677801472/pu/img/3exx7eDShdgtmN1p.jpg</t>
  </si>
  <si>
    <t>https://t.co/0MbEEGn10F https://pbs.twimg.com/ext_tw_video_thumb/1679794183228342273/pu/img/mxjlirC6EWr4Xhit.jpg</t>
  </si>
  <si>
    <t>https://t.co/WIIr0eGvVL https://pbs.twimg.com/ext_tw_video_thumb/1680881339778596864/pu/img/6B1-6sxRBIwMwgrB.jpg</t>
  </si>
  <si>
    <t>https://t.co/l1bGdkJaaD https://pbs.twimg.com/ext_tw_video_thumb/1677260245163229185/pu/img/5Rdd-tWJ8EvPntrn.jpg</t>
  </si>
  <si>
    <t>https://t.co/TThHhOhFRO https://pbs.twimg.com/ext_tw_video_thumb/1679068232802529282/pu/img/QMy6_PfY1y51acKQ.jpg</t>
  </si>
  <si>
    <t>https://t.co/PySKphR3Vc https://pbs.twimg.com/ext_tw_video_thumb/1684936866607353857/pu/img/9i60qcMbI_jfUjx3.jpg</t>
  </si>
  <si>
    <t>https://t.co/jBKyunYGlv https://pbs.twimg.com/media/F0Hd61BWcAEm3ih.jpg</t>
  </si>
  <si>
    <t>https://t.co/XNwK7N9ODY https://t.co/XNwK7N9ODY https://t.co/XNwK7N9ODY https://pbs.twimg.com/media/F3HxCJ4WYAAQUyI.jpg https://pbs.twimg.com/media/F3HxCYvWkAAUFL8.jpg https://pbs.twimg.com/media/F3HxCmIXgAA04s0.jpg</t>
  </si>
  <si>
    <t>https://t.co/MWKraoAqMJ https://pbs.twimg.com/ext_tw_video_thumb/1696240084079566848/pu/img/9QOZoGrYOE0L2mE6.jpg</t>
  </si>
  <si>
    <t>https://t.co/RpguqVy2bG https://pbs.twimg.com/ext_tw_video_thumb/1702799523028881408/pu/img/vdM-iUqoeaiAj3os.jpg</t>
  </si>
  <si>
    <t>https://t.co/mUE9Az9mtC https://pbs.twimg.com/media/F4XkZwzWIAAciQU.jpg</t>
  </si>
  <si>
    <t>https://t.co/jiKea1NEPn https://pbs.twimg.com/media/F2oXLafXsAAWjGl.jpg</t>
  </si>
  <si>
    <t>https://t.co/sZe3xqrCCh https://pbs.twimg.com/media/F1Q92w5WIAE8b1C.jpg</t>
  </si>
  <si>
    <t>https://t.co/dpygUkv4uR https://pbs.twimg.com/media/F5REn-4bgAAlwDV.jpg</t>
  </si>
  <si>
    <t>https://t.co/R3ZGmrzeRT https://t.co/R3ZGmrzeRT https://t.co/R3ZGmrzeRT https://t.co/R3ZGmrzeRT https://pbs.twimg.com/media/F5R9YVUXMAAaIWS.jpg https://pbs.twimg.com/media/F5R9YVKW4AAJX6t.jpg https://pbs.twimg.com/media/F5R9YVLXcAAoPqG.jpg https://pbs.twimg.com/media/F5R9aB3XgAAvqHt.jpg</t>
  </si>
  <si>
    <t>https://t.co/l7hgcPLX4L https://pbs.twimg.com/ext_tw_video_thumb/1693979491595419649/pu/img/FFLo-WR8FI7LCges.jpg</t>
  </si>
  <si>
    <t>https://t.co/Q6ftRd1A7G https://pbs.twimg.com/media/F0dwfsmWwAI66g4.jpg</t>
  </si>
  <si>
    <t>https://t.co/GBHBohxZny https://pbs.twimg.com/ext_tw_video_thumb/1693011610703446016/pu/img/_FDIGqS6AeHRSo77.jpg</t>
  </si>
  <si>
    <t>https://t.co/TkwnZGnvTQ https://pbs.twimg.com/ext_tw_video_thumb/1694767508002099200/pu/img/_wQGrwUnp2Xf6sQv.jpg</t>
  </si>
  <si>
    <t>https://t.co/9eXwxvoI7W https://pbs.twimg.com/ext_tw_video_thumb/1689092070386921472/pu/img/SnXQQ9eHz7vLQUb_.jpg</t>
  </si>
  <si>
    <t>https://t.co/5DgsOFAiVc https://pbs.twimg.com/ext_tw_video_thumb/1689805811248156672/pu/img/W-K4bQbjjWP7AXh-.jpg</t>
  </si>
  <si>
    <t>https://t.co/EJvcCZxXqy https://pbs.twimg.com/ext_tw_video_thumb/1688722448332537857/pu/img/qOEzFHrgGFS8WysR.jpg</t>
  </si>
  <si>
    <t>https://t.co/JrG02ic6OL https://pbs.twimg.com/media/F1V8vZwXsAAanE8.jpg</t>
  </si>
  <si>
    <t>https://t.co/60wlb9JTEm https://pbs.twimg.com/media/F4QFwUrWgAAMEpW.jpg</t>
  </si>
  <si>
    <t>https://t.co/gVrg7kSmPP https://pbs.twimg.com/media/F51SADzawAAerkf.jpg</t>
  </si>
  <si>
    <t>https://t.co/rXYR5VI4PR https://pbs.twimg.com/media/F4xxK6xXgAEDXwr.jpg</t>
  </si>
  <si>
    <t>https://t.co/tUItjgTa3r https://pbs.twimg.com/media/F3fKhn0WwAArcBw.jpg</t>
  </si>
  <si>
    <t>https://t.co/WlS3wAruSO https://pbs.twimg.com/media/F1KYFXYWAAEd0io.jpg</t>
  </si>
  <si>
    <t>https://t.co/WzExD3wvbg https://pbs.twimg.com/media/F4202xLXcAANzH4.jpg</t>
  </si>
  <si>
    <t>https://t.co/IrDW6L7tSw https://pbs.twimg.com/media/F30kkjtXoAEymja.jpg</t>
  </si>
  <si>
    <t>https://t.co/ZfeCzF3QUT https://pbs.twimg.com/media/F5vb61lWEAAyOVk.jpg</t>
  </si>
  <si>
    <t>https://t.co/5ocgpDNMqw https://pbs.twimg.com/media/F5gCCPDXwAAz0y6.jpg</t>
  </si>
  <si>
    <t>https://t.co/vkKxyw7cYi https://pbs.twimg.com/media/F6Er9gEWwAAqeYC.jpg</t>
  </si>
  <si>
    <t>https://t.co/UENXhM54sV https://pbs.twimg.com/ext_tw_video_thumb/1686416416663130128/pu/img/ch2aS6yCZm3EnHI6.jpg</t>
  </si>
  <si>
    <t>https://t.co/jkC5YcAwot https://pbs.twimg.com/ext_tw_video_thumb/1686065596822110208/pu/img/m8koxXlPAlsLuN3j.jpg</t>
  </si>
  <si>
    <t>https://t.co/jP6LF7yC47 https://pbs.twimg.com/ext_tw_video_thumb/1688696624342614017/pu/img/HsvU2DY6xE7Dzk6A.jpg</t>
  </si>
  <si>
    <t>https://t.co/hMr1fHbcl0 https://pbs.twimg.com/ext_tw_video_thumb/1704635056910639104/pu/img/5HK7XygLWA1MnG45.jpg</t>
  </si>
  <si>
    <t>https://t.co/Cc3oSWxd1E https://pbs.twimg.com/media/F1z8kBIWAAEZTuM.jpg</t>
  </si>
  <si>
    <t>https://t.co/DLkY8RXeOa https://pbs.twimg.com/media/F2cn20ZWgAA-D9G.jpg</t>
  </si>
  <si>
    <t>https://t.co/L8lPUwk6dv https://pbs.twimg.com/media/F1RNhf9XoAAKnsa.jpg</t>
  </si>
  <si>
    <t>https://t.co/iN6wsSrLOQ https://pbs.twimg.com/media/F27ocukWkAAsAPR.jpg</t>
  </si>
  <si>
    <t>https://t.co/pQCyJisfAk https://pbs.twimg.com/media/F27ilIVX0AE6wD1.jpg</t>
  </si>
  <si>
    <t>https://t.co/BmV0SGVjbX https://pbs.twimg.com/media/F27eBLVWQAAzuhS.jpg</t>
  </si>
  <si>
    <t>https://t.co/jcanuaJvDG https://pbs.twimg.com/media/F28jRn2XIAA2HX3.png</t>
  </si>
  <si>
    <t>https://t.co/53PxArmGTc https://pbs.twimg.com/media/F27g1FcXMAAa-wV.jpg</t>
  </si>
  <si>
    <t>https://t.co/OQIo2TMuTg https://pbs.twimg.com/media/F28joi-X0AA5cna.jpg</t>
  </si>
  <si>
    <t>https://t.co/6WjWnCNLi0 https://pbs.twimg.com/media/F4Y0XdPWYAAhdak.jpg</t>
  </si>
  <si>
    <t>https://t.co/AIQwyjD6Fh https://pbs.twimg.com/media/F4Yz6rvWEAAmTPl.jpg</t>
  </si>
  <si>
    <t>https://t.co/IS8aihU7Ie https://pbs.twimg.com/media/F4YzZ-PWQAAgJVu.jpg</t>
  </si>
  <si>
    <t>https://t.co/tOJsFf1jNu https://pbs.twimg.com/media/F4dAWocXoAEZJE9.jpg</t>
  </si>
  <si>
    <t>https://t.co/x9Rwe5qrjm https://pbs.twimg.com/media/F4Z7GWtWMAAjmNx.jpg</t>
  </si>
  <si>
    <t>https://t.co/jsS3uGDF2Z https://pbs.twimg.com/media/F4Y1o7AWcAERciE.jpg</t>
  </si>
  <si>
    <t>https://t.co/ME6X0dUmIF https://t.co/ME6X0dUmIF https://t.co/ME6X0dUmIF https://t.co/ME6X0dUmIF https://pbs.twimg.com/media/F4-FG3BWUAAEbPu.jpg https://pbs.twimg.com/media/F4-FG2-WEAAqUtT.jpg https://pbs.twimg.com/media/F4-FG2-W8AESrl8.jpg https://pbs.twimg.com/media/F4-FG2_XEAAYb0o.jpg</t>
  </si>
  <si>
    <t>https://t.co/Q5o2FQoSys https://pbs.twimg.com/media/F52Cz-NXEAA7o5E.jpg</t>
  </si>
  <si>
    <t>https://t.co/3IyzVmgya0 https://pbs.twimg.com/media/F6FhVPMWQAEBTKG.jpg</t>
  </si>
  <si>
    <t>https://t.co/1J3y18tW8U https://pbs.twimg.com/media/F4YzozKW8AANgPp.jpg</t>
  </si>
  <si>
    <t>https://t.co/OoXMg8sE6V https://t.co/OoXMg8sE6V https://t.co/OoXMg8sE6V https://t.co/OoXMg8sE6V https://pbs.twimg.com/media/F4Im6r7WMAAUDOn.jpg https://pbs.twimg.com/media/F4Im6r9XIAAxsGC.jpg https://pbs.twimg.com/media/F4Im6r8WkAAxO4K.jpg https://pbs.twimg.com/media/F4Im6r7WwAAqYsC.jpg</t>
  </si>
  <si>
    <t>https://t.co/FKahRwhyCe https://pbs.twimg.com/media/F1ANBl8XsAMwIv8.jpg</t>
  </si>
  <si>
    <t>https://t.co/yXmDmrJhK0 https://pbs.twimg.com/media/F1P3mU9X0AIwaB5.jpg</t>
  </si>
  <si>
    <t>https://t.co/LTPPiNsj0u https://pbs.twimg.com/ext_tw_video_thumb/1699847972819726336/pu/img/PujizBIs6CwU171x.jpg</t>
  </si>
  <si>
    <t>https://t.co/b1ShmHVQfR https://pbs.twimg.com/media/F5T-vgmXMAAysD-.jpg</t>
  </si>
  <si>
    <t>https://t.co/9QN3lUmt9e https://pbs.twimg.com/ext_tw_video_thumb/1698847128758464512/pu/img/Ry34bC-pgSpuQ1Ae.jpg</t>
  </si>
  <si>
    <t>https://t.co/8FRqh8bbvL https://pbs.twimg.com/ext_tw_video_thumb/1694493734312804352/pu/img/SEBrkSA4nL-0QE6g.jpg</t>
  </si>
  <si>
    <t>https://t.co/wwponcsAMh https://pbs.twimg.com/media/F5ixOJZWgAAEZxi.jpg</t>
  </si>
  <si>
    <t>https://t.co/DXtzVKU12d https://pbs.twimg.com/media/F08kYFnWYAENWEe.jpg</t>
  </si>
  <si>
    <t>https://t.co/GNFliG9DO3 https://pbs.twimg.com/ext_tw_video_thumb/1687055835627737088/pu/img/wAvnFBH33l_8BqjX.jpg</t>
  </si>
  <si>
    <t>https://t.co/Yu4ZEBbd3A https://pbs.twimg.com/media/F285Wo5W8AE_B1K.jpg</t>
  </si>
  <si>
    <t>https://t.co/8zkyWE4met https://pbs.twimg.com/ext_tw_video_thumb/1706376851902410752/pu/img/nEVAzoRDR4LBVeOp.jpg</t>
  </si>
  <si>
    <t>https://t.co/vVimJTB6cs https://pbs.twimg.com/ext_tw_video_thumb/1702105094110470144/pu/img/O0PQmuqwjXQtJNxI.jpg</t>
  </si>
  <si>
    <t>https://t.co/RVC1DZJmTH https://pbs.twimg.com/ext_tw_video_thumb/1702375132537217024/pu/img/1dNmrDeOJDddwY3j.jpg</t>
  </si>
  <si>
    <t>https://t.co/fX4cgEE3Of https://pbs.twimg.com/ext_tw_video_thumb/1705649985298022400/pu/img/C_oAsWuCfPvlSFpr.jpg</t>
  </si>
  <si>
    <t>https://t.co/99eoBOx3R2 https://pbs.twimg.com/ext_tw_video_thumb/1704491367190167552/pu/img/Q4mUOxO_A4jEGFYB.jpg</t>
  </si>
  <si>
    <t>https://t.co/5ThELqhrvc https://pbs.twimg.com/ext_tw_video_thumb/1706036607420149760/pu/img/QCTDqz6BGY2W0ypf.jpg</t>
  </si>
  <si>
    <t>https://t.co/XxDtjx4KiD https://pbs.twimg.com/media/F55pmmxXsAAa5nD.jpg</t>
  </si>
  <si>
    <t>https://t.co/tR9Ub0JVxx https://pbs.twimg.com/media/F5Vmeo6WUAAx3Xs.jpg</t>
  </si>
  <si>
    <t>https://t.co/suUOAtpJUo https://pbs.twimg.com/media/F3pdGBgXoAEdbXX.jpg</t>
  </si>
  <si>
    <t>https://t.co/4TfBWvQfZJ https://pbs.twimg.com/media/F2mgaAyXoAI2l9l.jpg</t>
  </si>
  <si>
    <t>https://t.co/hXf9kFF02Y https://pbs.twimg.com/media/F50f_0dWAAEsLVj.jpg</t>
  </si>
  <si>
    <t>https://t.co/e519HQ4KFA https://pbs.twimg.com/media/F4Spy6yXYAA2jPJ.jpg</t>
  </si>
  <si>
    <t>https://t.co/wUjH4RzVCh https://pbs.twimg.com/media/F0wD2yxWcAIcFPp.jpg</t>
  </si>
  <si>
    <t>https://t.co/wV0vOl4RA0 https://pbs.twimg.com/media/F5-zMFjWcAAgv-E.jpg</t>
  </si>
  <si>
    <t>https://t.co/lOjHsB4lpr https://pbs.twimg.com/media/F4NgOnJX0AAKv3l.jpg</t>
  </si>
  <si>
    <t>https://t.co/DuJwiOD4IU https://pbs.twimg.com/media/F01NbWLX0AM4OF7.jpg</t>
  </si>
  <si>
    <t>https://t.co/8Tanto3n32 https://pbs.twimg.com/media/F6D8wnpXwAAp96W.jpg</t>
  </si>
  <si>
    <t>https://t.co/h0jio6aKyI https://pbs.twimg.com/media/F5vWZE3WUAArupO.jpg</t>
  </si>
  <si>
    <t>https://t.co/XRy3INPgc8 https://pbs.twimg.com/media/F472hbkW0AALe9j.jpg</t>
  </si>
  <si>
    <t>https://t.co/YTOg7dexys https://pbs.twimg.com/media/F4IWoyfXEAAPcfT.jpg</t>
  </si>
  <si>
    <t>https://t.co/2qaoSG0zZE https://pbs.twimg.com/media/F3zwQ8_WQAMjKil.jpg</t>
  </si>
  <si>
    <t>https://t.co/n1Y0gV6ekE https://pbs.twimg.com/media/F3umqPwWcAA2HjA.jpg</t>
  </si>
  <si>
    <t>https://t.co/hX7Ek3khhh https://pbs.twimg.com/media/F2rp_baWsAAyfUB.jpg</t>
  </si>
  <si>
    <t>https://t.co/J7XrGe5IBw https://pbs.twimg.com/media/F6n_5xTWQAA3XfP.jpg</t>
  </si>
  <si>
    <t>https://t.co/ZUYCkIDF3C https://pbs.twimg.com/media/F5Qc2fzXQAASPqp.jpg</t>
  </si>
  <si>
    <t>https://t.co/rqmyk0YKtD https://pbs.twimg.com/media/F3lO36wWkAAwXvx.jpg</t>
  </si>
  <si>
    <t>https://t.co/fYneWyB3Bh https://pbs.twimg.com/media/F6jj_DvW4AA0aHD.jpg</t>
  </si>
  <si>
    <t>https://t.co/R5KwJuD7oU https://pbs.twimg.com/media/F5awD97W4AAv6fu.jpg</t>
  </si>
  <si>
    <t>https://t.co/nwZoeCLQDY https://pbs.twimg.com/media/F5awDqQW8AAHzAC.jpg</t>
  </si>
  <si>
    <t>https://t.co/jfPfymF1QG https://pbs.twimg.com/media/F42s7HKWcAAL8vK.jpg</t>
  </si>
  <si>
    <t>https://t.co/SuLL92LbJH https://pbs.twimg.com/media/F15cjkfWYBU7Bs6.jpg</t>
  </si>
  <si>
    <t>https://t.co/XWvvHT5YRR https://pbs.twimg.com/media/F0q6PCbXgAAK6_v.jpg</t>
  </si>
  <si>
    <t>https://t.co/jJBNinSlBF https://pbs.twimg.com/media/F63cquJXYAA_cSe.jpg</t>
  </si>
  <si>
    <t>https://t.co/EBQ6g0itJA https://pbs.twimg.com/media/F5LTQy9WEAAJehR.jpg</t>
  </si>
  <si>
    <t>https://t.co/7DCd8Z5ski https://pbs.twimg.com/media/F3fJ5tpWAAArYp1.jpg</t>
  </si>
  <si>
    <t>https://t.co/TxofhqUOKm https://pbs.twimg.com/media/F3abwe6WkAI5-PL.png</t>
  </si>
  <si>
    <t>https://t.co/sfyQ2Vxwtq https://pbs.twimg.com/media/F68mPltWMAAq8NU.jpg</t>
  </si>
  <si>
    <t>https://t.co/eJcNCHWXnP https://pbs.twimg.com/media/F4XzYDjWcAAR8F1.jpg</t>
  </si>
  <si>
    <t>https://t.co/sBtsLorRKe https://pbs.twimg.com/media/F0_gm_RXgAABUqS.jpg</t>
  </si>
  <si>
    <t>https://t.co/F6onAu4xwc https://pbs.twimg.com/media/F06XAxTXwAIYu_V.jpg</t>
  </si>
  <si>
    <t>https://t.co/nxiPjQobqI https://pbs.twimg.com/media/F4AFgFuXoAAffea.jpg</t>
  </si>
  <si>
    <t>https://t.co/izE64qRnE8 https://pbs.twimg.com/media/F6-1iVxX0AAp33H.jpg</t>
  </si>
  <si>
    <t>https://t.co/tX55SGCsRa https://pbs.twimg.com/media/F3DyhKBWoAApal_.jpg</t>
  </si>
  <si>
    <t>https://t.co/isADhoGA18 https://pbs.twimg.com/media/F4S9deKXgAAYpQO.jpg</t>
  </si>
  <si>
    <t>https://t.co/ewpFCYn2Jl https://pbs.twimg.com/media/F1OfpN4XwAcGHox.jpg</t>
  </si>
  <si>
    <t>https://t.co/tQaPjyg5Yh https://pbs.twimg.com/media/F5PzvQJXoAAn-II.png</t>
  </si>
  <si>
    <t>https://t.co/1m3qyN0Jfj https://pbs.twimg.com/media/F2--FxvWcAEm7_2.jpg</t>
  </si>
  <si>
    <t>https://t.co/SkBI7neMxp https://pbs.twimg.com/media/F11LgwjXgAEGAQX.jpg</t>
  </si>
  <si>
    <t>https://t.co/LrZFPFk6ZW https://pbs.twimg.com/media/F2CsBwLXgAAksq1.jpg</t>
  </si>
  <si>
    <t>https://t.co/ViBYgYifCL https://pbs.twimg.com/media/F5vg-89WQAA4nV7.jpg</t>
  </si>
  <si>
    <t>https://t.co/vhXEbGUcoG https://pbs.twimg.com/ext_tw_video_thumb/1697160711384805376/pu/img/smln_LdZSOKNJxtm.jpg</t>
  </si>
  <si>
    <t>https://t.co/b8hxauiqA4 https://pbs.twimg.com/media/F3fa0OLXYAAY0T_.jpg</t>
  </si>
  <si>
    <t>https://t.co/Ycfuw82UUK https://pbs.twimg.com/media/F0uZRTHXwAAEI-C.jpg</t>
  </si>
  <si>
    <t>https://t.co/xsxb7OfxvB https://pbs.twimg.com/media/F2tdBznWQAAy_nK.jpg</t>
  </si>
  <si>
    <t>https://t.co/fDDrHuVPLK https://pbs.twimg.com/media/F1ktYbiWIAsqHB3.jpg</t>
  </si>
  <si>
    <t>https://t.co/YnIEF9jgMZ https://pbs.twimg.com/media/F0rKD6AWYAYB2mF.jpg</t>
  </si>
  <si>
    <t>https://t.co/ltj6I8PECx https://pbs.twimg.com/ext_tw_video_thumb/1682133959830798336/pu/img/qXmkmOvXEzkeJvS7.jpg</t>
  </si>
  <si>
    <t>https://t.co/1i4tbRSeEw https://pbs.twimg.com/media/F0_xC8sWYAcl0Qh.png</t>
  </si>
  <si>
    <t>https://t.co/ImjvfO8yrB https://pbs.twimg.com/media/F6TedqhWcAAt998.jpg</t>
  </si>
  <si>
    <t>https://t.co/2HgtqoEpe0 https://pbs.twimg.com/media/F6EIGm0XEAA3P-8.png</t>
  </si>
  <si>
    <t>https://t.co/IpONS16XOH https://t.co/IpONS16XOH https://t.co/IpONS16XOH https://t.co/IpONS16XOH https://pbs.twimg.com/media/F2XvpHbXEAIYhLD.jpg https://pbs.twimg.com/media/F2XvpHXW8AAuug6.jpg https://pbs.twimg.com/media/F2XvpHRXYAMVCSo.jpg https://pbs.twimg.com/media/F2XvsalW0AAR03_.jpg</t>
  </si>
  <si>
    <t>https://t.co/kO4hJJkzq6 https://pbs.twimg.com/media/F3vHAIzXcAEx3e1.jpg</t>
  </si>
  <si>
    <t>https://t.co/0mCAyfyuPt https://pbs.twimg.com/ext_tw_video_thumb/1695823908874620928/pu/img/mrUJDXqLCBAKK4Zz.jpg</t>
  </si>
  <si>
    <t>https://t.co/cXMcYuBx1j https://pbs.twimg.com/media/F4Uj3l2WcAEqXrC.jpg</t>
  </si>
  <si>
    <t>https://t.co/2URkC6ON3o https://pbs.twimg.com/media/F6eV-lwWcAAW6xO.jpg</t>
  </si>
  <si>
    <t>https://t.co/UHLS6QVsld https://pbs.twimg.com/media/F4pwRqzW0AA9fjc.jpg</t>
  </si>
  <si>
    <t>https://t.co/Po6TTTIRdw https://pbs.twimg.com/media/F60qYGNWQAAqzP8.jpg</t>
  </si>
  <si>
    <t>https://t.co/CHWcuDYY7a https://pbs.twimg.com/ext_tw_video_thumb/1699097591592497157/pu/img/mR1sSF_h2VA81Oj4.jpg</t>
  </si>
  <si>
    <t>https://t.co/XJb8CDmqdy https://pbs.twimg.com/ext_tw_video_thumb/1683760897217495040/pu/img/T4vzNyYMgrRBV0mw.jpg</t>
  </si>
  <si>
    <t>https://t.co/a0aDBxh1HI https://pbs.twimg.com/ext_tw_video_thumb/1701225018191998976/pu/img/D7vje02VUZs2UYhx.jpg</t>
  </si>
  <si>
    <t>https://t.co/qiSvYZuDe4 https://pbs.twimg.com/media/F3prLl0XoAAUguh.jpg</t>
  </si>
  <si>
    <t>https://t.co/LokkRahAIg https://pbs.twimg.com/media/F3FozfgXYAAFvQm.jpg</t>
  </si>
  <si>
    <t>https://t.co/rfuyLxVxBl https://pbs.twimg.com/media/F56MlZPX0AAzhXO.jpg</t>
  </si>
  <si>
    <t>https://t.co/R9YsINFTyv https://pbs.twimg.com/ext_tw_video_thumb/1692257813458993152/pu/img/2pLlORoI037y4-nI.jpg</t>
  </si>
  <si>
    <t>https://t.co/HYczB4T98B https://pbs.twimg.com/media/F28i5wcXkAEL_vc.jpg</t>
  </si>
  <si>
    <t>https://t.co/zMwW4nPgPp https://pbs.twimg.com/media/F28icIAXQAAAD9l.jpg</t>
  </si>
  <si>
    <t>https://t.co/0VUaPhlG5h https://pbs.twimg.com/media/F28iNzGWYAAOlvE.jpg</t>
  </si>
  <si>
    <t>https://t.co/7QV2nHY7pZ https://pbs.twimg.com/media/F28gX7hXMAAx_jf.jpg</t>
  </si>
  <si>
    <t>https://t.co/Xprqet1gk8 https://pbs.twimg.com/media/F28f8IzXcAALxJK.jpg</t>
  </si>
  <si>
    <t>https://t.co/CTUnbkCViX https://pbs.twimg.com/media/F28fr3IXsAAVoI8.jpg</t>
  </si>
  <si>
    <t>https://t.co/8YCVFSwSNR https://pbs.twimg.com/media/F28eD-SW0AAPf43.jpg</t>
  </si>
  <si>
    <t>https://t.co/lX5xwjNDyt https://pbs.twimg.com/media/F56Wxl0WYAE2bZz.jpg</t>
  </si>
  <si>
    <t>https://t.co/qH3L7c1K8H https://pbs.twimg.com/media/F6pwmRYWsAAZJQZ.jpg</t>
  </si>
  <si>
    <t>https://t.co/OClua8BpM6 https://pbs.twimg.com/media/F59ccOFXkAAu3jw.jpg</t>
  </si>
  <si>
    <t>https://t.co/I6TdOsmwcd https://t.co/I6TdOsmwcd https://t.co/I6TdOsmwcd https://t.co/I6TdOsmwcd https://pbs.twimg.com/media/F0McQYEWAAA1Moh.jpg https://pbs.twimg.com/media/F0McRxuWcAIKMeL.jpg https://pbs.twimg.com/media/F0McS__WIAEv0fE.jpg https://pbs.twimg.com/media/F0McUB0WcAAXg35.jpg</t>
  </si>
  <si>
    <t>https://t.co/f6MmdpeyKC https://t.co/f6MmdpeyKC https://t.co/f6MmdpeyKC https://t.co/f6MmdpeyKC https://pbs.twimg.com/media/F0cA4uZXgAEqvwN.jpg https://pbs.twimg.com/media/F0cA5_BWIAEagpq.jpg https://pbs.twimg.com/media/F0cA6_aWwAANdWx.jpg https://pbs.twimg.com/media/F0cA73TWcAIJwtS.jpg</t>
  </si>
  <si>
    <t>https://t.co/xE8DoUv56f https://pbs.twimg.com/media/F1e34PaXgAAfWOE.jpg</t>
  </si>
  <si>
    <t>https://t.co/e5nIds9df2 https://pbs.twimg.com/media/F1ZmR2GX0AE3Se9.jpg</t>
  </si>
  <si>
    <t>https://t.co/sC3UEUfFH4 https://t.co/sC3UEUfFH4 https://pbs.twimg.com/media/F1UlVIjWAAQuICe.jpg https://pbs.twimg.com/media/F1UlWT0WYAAxMjI.jpg</t>
  </si>
  <si>
    <t>https://t.co/mgk2za9kfU https://pbs.twimg.com/amplify_video_thumb/1679327481596108802/img/3sAlkS5k-iuByJ0u.jpg</t>
  </si>
  <si>
    <t>https://t.co/YdG1knPOmE https://pbs.twimg.com/amplify_video_thumb/1677376467431243776/img/l61kDGPjxXxReV4F.jpg</t>
  </si>
  <si>
    <t>https://t.co/bauzBiFjCn https://pbs.twimg.com/media/F2H_OzIWoAALiyl.jpg</t>
  </si>
  <si>
    <t>https://t.co/Dfib2yHkq8 https://pbs.twimg.com/media/F5LcdZRX0AA5ePt.jpg</t>
  </si>
  <si>
    <t>https://t.co/I6ddxtfeEX https://pbs.twimg.com/ext_tw_video_thumb/1690510934458957824/pu/img/y7ULRFEO58Wy6yP2.jpg</t>
  </si>
  <si>
    <t>https://t.co/vSycxJelWb https://pbs.twimg.com/ext_tw_video_thumb/1691979541441318912/pu/img/CJg5jpFTSROm_dUH.jpg</t>
  </si>
  <si>
    <t>https://t.co/WR7dLxdLa8 https://pbs.twimg.com/ext_tw_video_thumb/1689289367997575173/pu/img/i2aEAYiDI9sNQK52.jpg</t>
  </si>
  <si>
    <t>https://t.co/90yi7j4Osm https://pbs.twimg.com/media/F3WK5exXkAAB1zR.jpg</t>
  </si>
  <si>
    <t>https://t.co/Rb2DJ9teUx https://pbs.twimg.com/media/F3G4J6kWwAM1PnQ.jpg</t>
  </si>
  <si>
    <t>https://t.co/9nlIleA8QV https://pbs.twimg.com/media/F66SbysWUAAfXG7.jpg</t>
  </si>
  <si>
    <t>https://t.co/u8P7Rri9Uh https://pbs.twimg.com/media/F6gAnVgXcAYrv96.jpg</t>
  </si>
  <si>
    <t>https://t.co/DzN53LZD5y https://pbs.twimg.com/ext_tw_video_thumb/1678502073136971779/pu/img/s7CZiJ3yd69jlgJR.jpg</t>
  </si>
  <si>
    <t>https://t.co/u0ih9LWsAw https://pbs.twimg.com/ext_tw_video_thumb/1679186961867653120/pu/img/hjRqg-7e-WAFXciW.jpg</t>
  </si>
  <si>
    <t>https://t.co/LN81BQV83X https://t.co/LN81BQV83X https://t.co/LN81BQV83X https://t.co/LN81BQV83X https://pbs.twimg.com/media/F0nGa6LXsAE7wpb.jpg https://pbs.twimg.com/media/F0nGbbVWYAQ8CoJ.jpg https://pbs.twimg.com/media/F0nGb4XXgAABhlN.jpg https://pbs.twimg.com/media/F0nGcYxXgAM4ERT.jpg</t>
  </si>
  <si>
    <t>https://t.co/Vl6F7cvvXT https://pbs.twimg.com/media/F2FjujiWcAAdz4u.jpg</t>
  </si>
  <si>
    <t>https://t.co/EAZcZektNZ https://pbs.twimg.com/media/F2teL5oWEAAaiEM.jpg</t>
  </si>
  <si>
    <t>https://t.co/Tvujt1OaJe https://pbs.twimg.com/media/F4YbnHaXwAAqIGM.jpg</t>
  </si>
  <si>
    <t>https://t.co/WkDNzuvclM https://pbs.twimg.com/media/F1AFkImWIAQFcmT.jpg</t>
  </si>
  <si>
    <t>https://t.co/3gxL932s68 https://pbs.twimg.com/media/F49YNs7XMAAN2ha.jpg</t>
  </si>
  <si>
    <t>https://t.co/ksH6r6lq8K https://pbs.twimg.com/media/F5WGs7ZXgAATLO7.jpg</t>
  </si>
  <si>
    <t>https://t.co/nWteDILiDM https://pbs.twimg.com/media/F4y_0pyXIAAkW6R.jpg</t>
  </si>
  <si>
    <t>https://t.co/Krm9YA65VM https://pbs.twimg.com/media/F52qPFhW8AAEiVg.jpg</t>
  </si>
  <si>
    <t>https://t.co/TYHIHVm2yj https://pbs.twimg.com/media/F6audQPWEAAFRDA.jpg</t>
  </si>
  <si>
    <t>https://t.co/vm7TbB5SYq https://pbs.twimg.com/ext_tw_video_thumb/1697313329255952384/pu/img/lxFZJxOwwL7kTTe2.jpg</t>
  </si>
  <si>
    <t>https://t.co/EnTo4yXOX5 https://pbs.twimg.com/media/F0MVS22XgAEqeEQ.jpg</t>
  </si>
  <si>
    <t>https://t.co/fTC1rmxOLa https://pbs.twimg.com/media/F0oR9PDWIAAHnF2.jpg</t>
  </si>
  <si>
    <t>https://t.co/9zVyRj1Aih https://pbs.twimg.com/media/F11r9Q_XwAA0Xg2.jpg</t>
  </si>
  <si>
    <t>https://t.co/Id89O8ZHi3 https://pbs.twimg.com/ext_tw_video_thumb/1707058012093923328/pu/img/Te0Apu9tllZK1yX5.jpg</t>
  </si>
  <si>
    <t>https://t.co/TotcVx4bOY https://pbs.twimg.com/media/F1bnhZkacAANDFX.jpg</t>
  </si>
  <si>
    <t>https://t.co/XnduY5fLwb https://pbs.twimg.com/media/F1Wd7tWaYAAloEQ.jpg</t>
  </si>
  <si>
    <t>https://t.co/W3plBVQD0B https://pbs.twimg.com/media/F68-svhWgAAqDgm.jpg</t>
  </si>
  <si>
    <t>https://t.co/z7TGOTULwe https://pbs.twimg.com/media/F5f5uBBXEAAhcAJ.jpg</t>
  </si>
  <si>
    <t>https://t.co/G0Ht1eEJHC https://pbs.twimg.com/media/F694qQSWgAANa3R.jpg</t>
  </si>
  <si>
    <t>https://t.co/LIZeOCcsZs https://pbs.twimg.com/media/F1mjfX-XgAEH4As.jpg</t>
  </si>
  <si>
    <t>https://t.co/0p9X1UwUNh https://pbs.twimg.com/ext_tw_video_thumb/1676227389339189250/pu/img/CfL2c9nEbqtSUlgr.jpg</t>
  </si>
  <si>
    <t>https://t.co/PMEqUYCCpT https://pbs.twimg.com/media/F1U1wRGaIAIEqV5.jpg</t>
  </si>
  <si>
    <t>https://t.co/K3kIpQVRkw https://pbs.twimg.com/media/F2TInSdWMAAP-tS.jpg</t>
  </si>
  <si>
    <t>https://t.co/2DLp7ltvjO https://pbs.twimg.com/ext_tw_video_thumb/1698812553382748160/pu/img/Rr5iHj49XQvVkEpO.jpg</t>
  </si>
  <si>
    <t>https://t.co/NWfZOqY6L6 https://pbs.twimg.com/ext_tw_video_thumb/1688657639431921664/pu/img/28G9UpXNAFMAwY4o.jpg</t>
  </si>
  <si>
    <t>https://t.co/aD9HC67Ry2 https://pbs.twimg.com/media/F1_HUmjWEAADS-u.jpg</t>
  </si>
  <si>
    <t>https://t.co/a5p1PRdlQG https://pbs.twimg.com/amplify_video_thumb/1676010395381710848/img/EyIC5VlLIJ2b5jW6.jpg</t>
  </si>
  <si>
    <t>https://t.co/I64MRDicPe https://pbs.twimg.com/ext_tw_video_thumb/1685380125460779008/pu/img/q1C3pvQyUF0Y59Pw.jpg</t>
  </si>
  <si>
    <t>https://t.co/SWWlQcBgAg https://pbs.twimg.com/media/F0Nq1vcXgAAS1qG.jpg</t>
  </si>
  <si>
    <t>https://t.co/ntDNZZqiHp https://pbs.twimg.com/media/F0eW0R5XoAMQ1_3.jpg</t>
  </si>
  <si>
    <t>https://t.co/XXcaCteYxb https://pbs.twimg.com/media/F4Kzpo3WIAEA4f8.jpg</t>
  </si>
  <si>
    <t>https://t.co/QXkqDmEOxy https://pbs.twimg.com/ext_tw_video_thumb/1694014571571204096/pu/img/h32ZlgAU_anj5KHJ.jpg</t>
  </si>
  <si>
    <t>https://t.co/UiosPuTMtZ https://pbs.twimg.com/media/F4IyrivX0AArzGm.jpg</t>
  </si>
  <si>
    <t>https://t.co/sSBHZMjeSn https://pbs.twimg.com/ext_tw_video_thumb/1694076485114421248/pu/img/bITdf5_Z7pbiYmXO.jpg</t>
  </si>
  <si>
    <t>https://t.co/2VVobeWpBI https://pbs.twimg.com/media/F4KB1OSWkAEBKwk.jpg</t>
  </si>
  <si>
    <t>https://t.co/DH64DB8G7R https://pbs.twimg.com/ext_tw_video_thumb/1694049949300768768/pu/img/gMcR6_qibmOjQBiF.jpg</t>
  </si>
  <si>
    <t>https://t.co/UCYzZBPfkH https://pbs.twimg.com/ext_tw_video_thumb/1694039593387978753/pu/img/8cXbYG6absykt8kD.jpg</t>
  </si>
  <si>
    <t>https://t.co/WEpZ5eNUAS https://pbs.twimg.com/ext_tw_video_thumb/1694015233243631616/pu/img/KXyzuHU5WYUVQygI.jpg</t>
  </si>
  <si>
    <t>https://t.co/qsIQRfSQN7 https://t.co/qsIQRfSQN7 https://t.co/qsIQRfSQN7 https://pbs.twimg.com/media/F6rpf_mWgAA6y7g.jpg https://pbs.twimg.com/media/F6rpgX0XgAAuI0r.jpg https://pbs.twimg.com/media/F6rpgu5WMAAA0pO.jpg</t>
  </si>
  <si>
    <t>https://t.co/e8SzmOBZdX https://pbs.twimg.com/media/F1PxpCRXgAIQT77.jpg</t>
  </si>
  <si>
    <t>https://t.co/scDiGCrc5p https://pbs.twimg.com/media/F3F_5Q7WYAA7efU.jpg</t>
  </si>
  <si>
    <t>https://t.co/xadsh81AIM https://pbs.twimg.com/media/F2IHHbUWEAEO4h7.jpg</t>
  </si>
  <si>
    <t>https://t.co/N5Y6UBxso0 https://pbs.twimg.com/media/F3wz6aiWAAAK95Q.jpg</t>
  </si>
  <si>
    <t>https://t.co/oIqQpGoQfO https://pbs.twimg.com/media/F10qhfxWIAEv-a5.jpg</t>
  </si>
  <si>
    <t>https://t.co/xd5Nvu7cnP https://pbs.twimg.com/media/F4T1H5IWcAMuG1t.jpg</t>
  </si>
  <si>
    <t>https://t.co/iBBIjHExw7 https://pbs.twimg.com/media/F43hHdOaIAA_1uq.jpg</t>
  </si>
  <si>
    <t>https://t.co/StueEGhdfU https://pbs.twimg.com/media/F2ybdQnWYAECk95.jpg</t>
  </si>
  <si>
    <t>https://t.co/00kHzQzW92 https://pbs.twimg.com/media/F5WjCxHXQAEdrSQ.jpg</t>
  </si>
  <si>
    <t>https://t.co/s71dDsCF3X https://pbs.twimg.com/ext_tw_video_thumb/1702469805171769344/pu/img/rANblJQqm-nLvVhf.jpg</t>
  </si>
  <si>
    <t>https://t.co/SYCSLnemBs https://pbs.twimg.com/ext_tw_video_thumb/1695118338328838144/pu/img/g1YsWgsmGtf2vagJ.jpg</t>
  </si>
  <si>
    <t>https://t.co/n6R7Fx9RWH https://pbs.twimg.com/ext_tw_video_thumb/1690808938432790528/pu/img/9cgrZfqygJRlDbJ9.jpg</t>
  </si>
  <si>
    <t>https://t.co/G9sy54oa3x https://pbs.twimg.com/ext_tw_video_thumb/1693986654946799618/pu/img/eTHAPqr6mFpLVU76.jpg</t>
  </si>
  <si>
    <t>https://t.co/R455EoAIcb https://pbs.twimg.com/ext_tw_video_thumb/1695859220103483392/pu/img/d-02hNa3GpzgWwDn.jpg</t>
  </si>
  <si>
    <t>https://t.co/J3AyIqnF0Z https://pbs.twimg.com/media/F50JfeOXwAAhY4F.jpg</t>
  </si>
  <si>
    <t>https://t.co/qEmASV5IdQ https://pbs.twimg.com/media/F0rhRKJXgAEox92.jpg</t>
  </si>
  <si>
    <t>https://t.co/EKePG8BQLr https://pbs.twimg.com/media/F1oEARlWcAAS1KE.jpg</t>
  </si>
  <si>
    <t>https://t.co/sWvyKpund5 https://pbs.twimg.com/media/F1pkRMlX0AAJNp8.jpg</t>
  </si>
  <si>
    <t>https://t.co/hKdYfzvp7C https://pbs.twimg.com/ext_tw_video_thumb/1683604360364711937/pu/img/T-loOYB8TGEwLkXN.jpg</t>
  </si>
  <si>
    <t>https://t.co/jdD46z1X0W https://pbs.twimg.com/ext_tw_video_thumb/1684690636442644480/pu/img/LdkQYaRrR1y2WGY6.jpg</t>
  </si>
  <si>
    <t>https://t.co/TJhacdFNIS https://pbs.twimg.com/media/F3f5mooWkAAiyL7.png</t>
  </si>
  <si>
    <t>https://t.co/B8pVTps7Rm https://pbs.twimg.com/media/F6daQsbXEAASw15.jpg</t>
  </si>
  <si>
    <t>https://t.co/Htbt0uzjpJ https://pbs.twimg.com/amplify_video_thumb/1705562948171665408/img/jAGjOBD_Iwy5WcZI.jpg</t>
  </si>
  <si>
    <t>https://t.co/jyqeo4vfFF https://pbs.twimg.com/amplify_video_thumb/1706999064561168384/img/p-5kzYPLxpYXrrxV.jpg</t>
  </si>
  <si>
    <t>https://t.co/A2UN7TXNYC https://pbs.twimg.com/media/F1UPbHOWAAAF-Xh.jpg</t>
  </si>
  <si>
    <t>https://t.co/H6F5IZAa9t https://pbs.twimg.com/ext_tw_video_thumb/1700218116070907904/pu/img/glarBayI91t7fvHM.jpg</t>
  </si>
  <si>
    <t>https://t.co/41lJyIIohX https://pbs.twimg.com/media/F4On4H5W8AEj1vz.jpg</t>
  </si>
  <si>
    <t>https://t.co/lMr7grzVeu https://pbs.twimg.com/media/F4OmJJFXgAAkhPR.jpg</t>
  </si>
  <si>
    <t>https://t.co/gRrL0g5AUT https://pbs.twimg.com/media/F4qhVlkXEAA6-eJ.jpg</t>
  </si>
  <si>
    <t>https://t.co/ZZR50nK4U6 https://pbs.twimg.com/ext_tw_video_thumb/1702012872836952064/pu/img/8G4EQ88R0SnkZJYb.jpg</t>
  </si>
  <si>
    <t>https://t.co/MnmpJOWiuN https://pbs.twimg.com/ext_tw_video_thumb/1702380157300822016/pu/img/UIDuRwmrvgqg8pUz.jpg</t>
  </si>
  <si>
    <t>https://t.co/glYXjKEz0w https://pbs.twimg.com/ext_tw_video_thumb/1702758443487031296/pu/img/sFxKa7SDnfz8X5GO.jpg</t>
  </si>
  <si>
    <t>https://t.co/ZzajnPX2Rj https://pbs.twimg.com/media/F5d1Aq6WEAA_-x4.jpg</t>
  </si>
  <si>
    <t>https://t.co/RJ8MOxjb0E https://pbs.twimg.com/media/F6keymRXgAAENmJ.jpg</t>
  </si>
  <si>
    <t>https://t.co/a5wXqMB1N7 https://t.co/a5wXqMB1N7 https://pbs.twimg.com/media/F6VZhFobEAAyjNn.jpg https://pbs.twimg.com/media/F6VZhFdbAAAxNAI.jpg</t>
  </si>
  <si>
    <t>https://t.co/JLBv6RNJnv https://pbs.twimg.com/media/F1wTODlXgAMFYga.jpg</t>
  </si>
  <si>
    <t>https://t.co/Q1ucx4Xvon https://pbs.twimg.com/media/F2HmMekbcAAuTpe.jpg</t>
  </si>
  <si>
    <t>https://t.co/bMIoHTQCnE https://pbs.twimg.com/media/F01T9MnWYAAqxnf.jpg</t>
  </si>
  <si>
    <t>https://t.co/HBe3QMGOW6 https://pbs.twimg.com/media/F3PpWvdW4AAeNNE.jpg</t>
  </si>
  <si>
    <t>https://t.co/ZsOl04FZD0 https://pbs.twimg.com/media/F2RxRFJXEAAV5Yx.jpg</t>
  </si>
  <si>
    <t>https://t.co/XfZPoGBbdQ https://pbs.twimg.com/media/F2M0xBNW4AAMNrh.jpg</t>
  </si>
  <si>
    <t>https://t.co/KZEUlt17Qz https://pbs.twimg.com/ext_tw_video_thumb/1685117722953179136/pu/img/XBpb-CvjoiirR5pg.jpg</t>
  </si>
  <si>
    <t>https://t.co/9rMmEdzSt9 https://pbs.twimg.com/media/F0_P4OVXsAQbkoE.jpg</t>
  </si>
  <si>
    <t>https://t.co/80ysJ9Ga0m https://pbs.twimg.com/media/F06ExcgX0AAz6sS.jpg</t>
  </si>
  <si>
    <t>https://t.co/uDs0hcEdKc https://pbs.twimg.com/media/F04D-mEX0AEh8IS.jpg</t>
  </si>
  <si>
    <t>https://t.co/QgrVi6s1kc https://pbs.twimg.com/media/F3mfXLPXsAEEL6x.jpg</t>
  </si>
  <si>
    <t>https://t.co/onzICNYviI https://pbs.twimg.com/media/F2mjKDRXwAIkqKU.jpg</t>
  </si>
  <si>
    <t>https://t.co/H5bSnoCzZD https://pbs.twimg.com/media/F2iMcENW4AE12lX.jpg</t>
  </si>
  <si>
    <t>https://t.co/yQlK9Pfwdw https://pbs.twimg.com/media/F1t9oKRX0AE6DHn.jpg</t>
  </si>
  <si>
    <t>https://t.co/CBEI5bLasz https://pbs.twimg.com/ext_tw_video_thumb/1682915081007316996/pu/img/_R0T8r5SvfIyIpis.jpg</t>
  </si>
  <si>
    <t>https://t.co/qNCe3beKsP https://pbs.twimg.com/media/F1o-zhCWcAAz-7f.jpg</t>
  </si>
  <si>
    <t>https://t.co/FCGrdEF1HL https://pbs.twimg.com/media/F1j1kr7XgAAPksI.jpg</t>
  </si>
  <si>
    <t>https://t.co/pzdSPQPiTy https://pbs.twimg.com/media/F1efxZDXoAErfdA.jpg</t>
  </si>
  <si>
    <t>https://t.co/HYrgcHys3x https://pbs.twimg.com/media/F1ePUiIXgAANAOY.jpg</t>
  </si>
  <si>
    <t>https://t.co/Jo6RZLA8jS https://pbs.twimg.com/media/F3urOcmW8AAv6ne.jpg</t>
  </si>
  <si>
    <t>https://t.co/cC6hPViO2z https://pbs.twimg.com/ext_tw_video_thumb/1687406431551537152/pu/img/9DRrA9kzcJOfw7Wy.jpg</t>
  </si>
  <si>
    <t>https://t.co/bLlSGdUTrw https://pbs.twimg.com/media/F2rYXgNX0AATnXw.jpg</t>
  </si>
  <si>
    <t>https://t.co/mGZx1rbjbV https://pbs.twimg.com/media/F1wmw3dWwAAjpDX.jpg</t>
  </si>
  <si>
    <t>https://t.co/X4ZhSGxw7u https://pbs.twimg.com/media/F1wcVU5XsAI1OnQ.jpg</t>
  </si>
  <si>
    <t>https://t.co/MSYQGHXQor https://pbs.twimg.com/media/F1vomguWIAkOUZW.jpg</t>
  </si>
  <si>
    <t>https://t.co/HbVKbLncHa https://pbs.twimg.com/media/F0ckDzjWYAIpJEN.jpg</t>
  </si>
  <si>
    <t>https://t.co/44MEbmkRoT https://pbs.twimg.com/media/F3kU0VWWUAA5nDy.jpg</t>
  </si>
  <si>
    <t>https://t.co/m1GM6gexab https://pbs.twimg.com/media/F3hWuRAXUAE7LuQ.jpg</t>
  </si>
  <si>
    <t>https://t.co/4sdslZVVN3 https://pbs.twimg.com/media/F2hAjCnXwAAM6pR.jpg</t>
  </si>
  <si>
    <t>https://t.co/oNWeDRsO47 https://pbs.twimg.com/media/F2cXtRaWUAAhdOr.jpg</t>
  </si>
  <si>
    <t>https://t.co/7ba0naLJQC https://pbs.twimg.com/media/F1ZZZ27WAAA_Nxe.jpg</t>
  </si>
  <si>
    <t>https://t.co/qLp0p8Xgvn https://pbs.twimg.com/media/F1UDR-MXsAA3UbA.jpg</t>
  </si>
  <si>
    <t>https://t.co/hI3pMbtUNM https://pbs.twimg.com/media/F1ScKvvWAAArolX.jpg</t>
  </si>
  <si>
    <t>https://t.co/w22YiR058r https://pbs.twimg.com/media/F4TFw6BWcAAhAvN.jpg</t>
  </si>
  <si>
    <t>https://t.co/1VgJPPkbNY https://pbs.twimg.com/media/F3KxXYuWYAEAa0A.jpg</t>
  </si>
  <si>
    <t>https://t.co/wSVLk5ibYI https://pbs.twimg.com/media/F3AcSdrXEAAZwWO.jpg</t>
  </si>
  <si>
    <t>https://t.co/LNDpkgoFgZ https://pbs.twimg.com/media/F3AE1xHXYAE8eQv.jpg</t>
  </si>
  <si>
    <t>https://t.co/LLEz2CNBya https://pbs.twimg.com/media/F2Iwz7cXoAkzpzv.jpg</t>
  </si>
  <si>
    <t>https://t.co/BOgCe1KnUc https://pbs.twimg.com/ext_tw_video_thumb/1684621704830586880/pu/img/9DW4swX3XfeDqdNM.jpg</t>
  </si>
  <si>
    <t>https://t.co/vTfq9tvjZw https://pbs.twimg.com/ext_tw_video_thumb/1678886707507212289/pu/img/VVtxTuAu53Qg3REh.jpg</t>
  </si>
  <si>
    <t>https://t.co/iKIHJNmSA7 https://pbs.twimg.com/media/F0wNyURXsAEjUmQ.jpg</t>
  </si>
  <si>
    <t>https://t.co/Md4h4tFasu https://pbs.twimg.com/media/F58GUDVXAAAMXaK.jpg</t>
  </si>
  <si>
    <t>https://t.co/5FbUtjhRXk https://pbs.twimg.com/media/F226OYvWoAEWj6j.jpg</t>
  </si>
  <si>
    <t>https://t.co/6yfeGDGsNo https://pbs.twimg.com/media/F2wluzZWEAEWi3e.jpg</t>
  </si>
  <si>
    <t>https://t.co/QWEhCvKbMf https://pbs.twimg.com/media/F14w0dgaMAANj2-.jpg</t>
  </si>
  <si>
    <t>https://t.co/0FR5hn7BHP https://pbs.twimg.com/media/F1169YDXgAAyuwc.jpg</t>
  </si>
  <si>
    <t>https://t.co/rQvpgHi6vD https://pbs.twimg.com/media/F0sKijNXoAATLUe.jpg</t>
  </si>
  <si>
    <t>https://t.co/z2rcPOWUvS https://pbs.twimg.com/media/F6JIOWGXYAAngAy.jpg</t>
  </si>
  <si>
    <t>https://t.co/nTW40XR362 https://pbs.twimg.com/media/F3cPNk_WcAIp2Sm.jpg</t>
  </si>
  <si>
    <t>https://t.co/M1axAkuVVR https://pbs.twimg.com/media/F3UwL6kWgAAAQYg.jpg</t>
  </si>
  <si>
    <t>https://t.co/U7OfwrZvZp https://pbs.twimg.com/media/F2XC8X8XsAAy_l4.jpg</t>
  </si>
  <si>
    <t>https://t.co/QfJutJsScH https://pbs.twimg.com/media/F1PIDcPXwAAgzmT.jpg</t>
  </si>
  <si>
    <t>https://t.co/39V33Y0wvI https://pbs.twimg.com/media/F1MXbF0XsAEWAGV.jpg</t>
  </si>
  <si>
    <t>https://t.co/pv17et6z0Q https://pbs.twimg.com/media/F1Jr5-1XsAESfrn.jpg</t>
  </si>
  <si>
    <t>https://t.co/yx7kaVzD8F https://pbs.twimg.com/media/F1EQExvX0AAVqQo.jpg</t>
  </si>
  <si>
    <t>https://t.co/3U2tpOCGcs https://pbs.twimg.com/media/F6ALf-tXQAArhe7.jpg</t>
  </si>
  <si>
    <t>https://t.co/A11lLP9JrJ https://pbs.twimg.com/media/F5wRX0UWUAAzjhO.jpg</t>
  </si>
  <si>
    <t>https://t.co/AHvfbl4sBc https://pbs.twimg.com/media/F3GgkWGXQAAI-1T.jpg</t>
  </si>
  <si>
    <t>https://t.co/AgXvRGuFIX https://pbs.twimg.com/media/F27UCmLXsAAGT9W.jpg</t>
  </si>
  <si>
    <t>https://t.co/QGidm7SUaC https://pbs.twimg.com/media/F2Cn0h_WIAAxorE.jpg</t>
  </si>
  <si>
    <t>https://t.co/8ygoC1WdQ9 https://pbs.twimg.com/media/F1-wXV2XoAUNk18.jpg</t>
  </si>
  <si>
    <t>https://t.co/yJerz5PDMz https://pbs.twimg.com/media/F16uwbPWAAA4hfA.jpg</t>
  </si>
  <si>
    <t>https://t.co/phozslIZpe https://pbs.twimg.com/media/F0WgG-YX0AApQpp.jpg</t>
  </si>
  <si>
    <t>https://t.co/3P9O2p6kce https://pbs.twimg.com/media/F0RQVXnWcAIZOSy.jpg</t>
  </si>
  <si>
    <t>https://t.co/eDPL5NocwY https://pbs.twimg.com/ext_tw_video_thumb/1676566552424902659/pu/img/WyoON_kcX-4wb9-H.jpg</t>
  </si>
  <si>
    <t>https://t.co/2GtiX1JyHl https://pbs.twimg.com/media/F3ls0DMXoAASjrO.jpg</t>
  </si>
  <si>
    <t>https://t.co/sYtZWF4v1k https://pbs.twimg.com/media/F0mnm-5XsAACzkb.jpg</t>
  </si>
  <si>
    <t>https://t.co/pJt9j7Tf42 https://pbs.twimg.com/media/F1ut174WIAEKpgk.jpg</t>
  </si>
  <si>
    <t>https://t.co/UYzQZWi5wm https://pbs.twimg.com/media/F5MxaeaW8AANk7F.jpg</t>
  </si>
  <si>
    <t>https://t.co/Yra7lrl64X https://pbs.twimg.com/media/F6d7mDTWAAAMbXo.jpg</t>
  </si>
  <si>
    <t>https://t.co/sIrVJ3YAhp https://pbs.twimg.com/media/F1_Ip2iX0AEY_pN.jpg</t>
  </si>
  <si>
    <t>https://t.co/6aiJuy097b https://pbs.twimg.com/ext_tw_video_thumb/1693654912234577920/pu/img/ohGEDrJlRUOpY19b.jpg</t>
  </si>
  <si>
    <t>https://t.co/4MAgp7iB7j https://pbs.twimg.com/media/F6AyVmgWUAAKlv8.jpg</t>
  </si>
  <si>
    <t>https://t.co/k0yuTGIhkM https://pbs.twimg.com/media/F3Kt9gNWcAAt4U3.jpg</t>
  </si>
  <si>
    <t>https://t.co/FUoLw219J0 https://pbs.twimg.com/media/F3m29ZtWUAAikiN.jpg</t>
  </si>
  <si>
    <t>https://t.co/Gy6LjQbJh5 https://pbs.twimg.com/media/F3Q8pkcaAAARcJi.jpg</t>
  </si>
  <si>
    <t>https://t.co/3K2IRH5A0e https://pbs.twimg.com/ext_tw_video_thumb/1677082665852321793/pu/img/HfBzN19lYXn270s0.jpg</t>
  </si>
  <si>
    <t>https://t.co/7uGMNAk9Qp https://pbs.twimg.com/media/F0oOewWXwAIITyS.jpg</t>
  </si>
  <si>
    <t>https://t.co/Wt0hbawG53 https://pbs.twimg.com/ext_tw_video_thumb/1678894672758947840/pu/img/f-HFnoISH1vk8P4j.jpg</t>
  </si>
  <si>
    <t>https://t.co/A4tf50jJqF https://pbs.twimg.com/media/F1HJGihX0AEs2PB.jpg</t>
  </si>
  <si>
    <t>https://t.co/vrCYAVccLj https://pbs.twimg.com/ext_tw_video_thumb/1679981734182412288/pu/img/y6I-B5fm8QzmdxEm.jpg</t>
  </si>
  <si>
    <t>https://t.co/UBtDVx6rq1 https://t.co/UBtDVx6rq1 https://pbs.twimg.com/media/F3vae-OXEAACNoT.jpg https://pbs.twimg.com/media/F3vae-QWoAALL1B.jpg</t>
  </si>
  <si>
    <t>https://t.co/JlpK60wSDd https://pbs.twimg.com/media/F0qv1ZKWAAAGPxF.jpg</t>
  </si>
  <si>
    <t>https://t.co/xwOAHnw5Ub https://pbs.twimg.com/media/F01OdhYXsAAwQ9c.jpg</t>
  </si>
  <si>
    <t>https://t.co/NiflApYUqZ https://pbs.twimg.com/media/F1uxJGNX0AMzA9K.jpg</t>
  </si>
  <si>
    <t>https://t.co/wUrKRcIh4d https://pbs.twimg.com/media/F3FNLwaXkAAXSfU.jpg</t>
  </si>
  <si>
    <t>https://t.co/vAgzVhDSda https://pbs.twimg.com/media/F0wF_rgXsAItVpa.jpg</t>
  </si>
  <si>
    <t>https://t.co/XsPDUtJYDM https://t.co/XsPDUtJYDM https://t.co/XsPDUtJYDM https://t.co/XsPDUtJYDM https://pbs.twimg.com/media/F5Mhsh_XEAIwWTk.jpg https://pbs.twimg.com/media/F5Mhsh8XAAAVmk3.jpg https://pbs.twimg.com/media/F5Mhsh7W4AEiYWu.jpg https://pbs.twimg.com/media/F5Mhsh8XIAAa--I.jpg</t>
  </si>
  <si>
    <t>https://t.co/n0RpsDxES4 https://pbs.twimg.com/media/F3Q4b4raEAAk2-k.jpg</t>
  </si>
  <si>
    <t>https://t.co/mwuCuESWbV https://pbs.twimg.com/ext_tw_video_thumb/1676596497683476481/pu/img/w7NxxwPpSvilJF8i.jpg</t>
  </si>
  <si>
    <t>https://t.co/xbQb3vhMTl https://pbs.twimg.com/media/F49fwMqWgAABfzf.png</t>
  </si>
  <si>
    <t>https://t.co/tfgX2xxLIQ https://pbs.twimg.com/media/F1C1HP7X0AEILyh.jpg</t>
  </si>
  <si>
    <t>https://t.co/DPEJnTArsa https://pbs.twimg.com/media/F6379RWWcAAxF5t.jpg</t>
  </si>
  <si>
    <t>https://t.co/x0cXmtrSQL https://pbs.twimg.com/media/F5BzLHrXYAEyXJB.jpg</t>
  </si>
  <si>
    <t>https://t.co/k38yq6Jc8I https://pbs.twimg.com/ext_tw_video_thumb/1696391010887065600/pu/img/om4u5UAgANyQQ4Gq.jpg</t>
  </si>
  <si>
    <t>https://t.co/9FAG3LLuzj https://pbs.twimg.com/ext_tw_video_thumb/1696390739981119488/pu/img/7fb5FN9LgKTFatBr.jpg</t>
  </si>
  <si>
    <t>https://t.co/7GgfyhKgCI https://pbs.twimg.com/ext_tw_video_thumb/1702953494406213632/pu/img/zEa1iU1qvDUogbQk.jpg</t>
  </si>
  <si>
    <t>https://t.co/B5XKgnfWD1 https://pbs.twimg.com/media/F6o75wWWAAA6QLm.jpg</t>
  </si>
  <si>
    <t>https://t.co/bVcT7NRE1H https://pbs.twimg.com/media/F6lKePwWgAEV2ZK.jpg</t>
  </si>
  <si>
    <t>https://t.co/VybxKF7yys https://t.co/VybxKF7yys https://t.co/VybxKF7yys https://pbs.twimg.com/media/F5cEKIwXsAA415S.jpg https://pbs.twimg.com/media/F5cEKeQXkAAhz2n.jpg https://pbs.twimg.com/media/F5cEKtvWIAA0lJp.jpg</t>
  </si>
  <si>
    <t>https://t.co/gRHbxJ3Q65 https://t.co/gRHbxJ3Q65 https://pbs.twimg.com/media/F5rYL0_WEAA-fAY.jpg https://pbs.twimg.com/media/F5rYMHCWMAAmzvf.jpg</t>
  </si>
  <si>
    <t>https://t.co/dBOSNUsjCi https://pbs.twimg.com/media/F2zVOocbUAA7z1V.jpg</t>
  </si>
  <si>
    <t>https://t.co/gTMh8QNkRF https://pbs.twimg.com/media/F0j0-LBaAAASDPr.jpg</t>
  </si>
  <si>
    <t>https://t.co/Xah0UBt3N6 https://pbs.twimg.com/ext_tw_video_thumb/1706372415637315584/pu/img/_jmAyTgSHH9nmYBO.jpg</t>
  </si>
  <si>
    <t>https://t.co/ff1F7b2KuC https://pbs.twimg.com/ext_tw_video_thumb/1686484280917229571/pu/img/fF_FSGuuqM9-H2h8.jpg</t>
  </si>
  <si>
    <t>https://t.co/QM8fySwrje https://pbs.twimg.com/ext_tw_video_thumb/1686482475181277188/pu/img/au1jMD0Ni2ZO6RQF.jpg</t>
  </si>
  <si>
    <t>https://t.co/AcV9t01KP1 https://pbs.twimg.com/media/F6AOS55XwAAMb-P.jpg</t>
  </si>
  <si>
    <t>https://t.co/lfZ0BMwPxg https://pbs.twimg.com/media/F0We9sEWcAAHqC2.jpg</t>
  </si>
  <si>
    <t>https://t.co/OUiHYS9JUr https://pbs.twimg.com/media/F5yN0u1WsAAG7s7.jpg</t>
  </si>
  <si>
    <t>https://t.co/JHK9zWrFyl https://pbs.twimg.com/media/F5LFeVuWgAAwVLW.jpg</t>
  </si>
  <si>
    <t>https://t.co/x8rKfbnm2h https://pbs.twimg.com/media/F4i1W5gXQAAKX0D.jpg</t>
  </si>
  <si>
    <t>https://t.co/Maz4HWQYMZ https://pbs.twimg.com/media/F5qoM2BX0AAy2UF.jpg</t>
  </si>
  <si>
    <t>https://t.co/7qgxBVldSD https://pbs.twimg.com/media/F0qerV_XwAAH24k.jpg</t>
  </si>
  <si>
    <t>https://t.co/A6htyjnKjI https://pbs.twimg.com/media/F0ilv8-WIAEVgTI.jpg</t>
  </si>
  <si>
    <t>https://t.co/r94C0eGJyl https://pbs.twimg.com/media/F68Ri_hXkAAThz-.jpg</t>
  </si>
  <si>
    <t>https://t.co/EmsCaB1iIW https://pbs.twimg.com/media/F6oFgGCW8AAuenB.jpg</t>
  </si>
  <si>
    <t>https://t.co/Y5SgSuxaoA https://pbs.twimg.com/media/F2dzjNPWQAUoYID.jpg</t>
  </si>
  <si>
    <t>https://t.co/TAs7Dy8rfS https://pbs.twimg.com/media/F1Zhym8WIAA4xIC.jpg</t>
  </si>
  <si>
    <t>https://t.co/OaOB1RCnq2 https://pbs.twimg.com/media/F7DG9yhWMAAVSCR.jpg</t>
  </si>
  <si>
    <t>https://t.co/i5lMiDHsqD https://pbs.twimg.com/media/F5V1B-IW8AA_LBt.jpg</t>
  </si>
  <si>
    <t>https://t.co/8Ezr3gprfK https://pbs.twimg.com/media/F65fa4dXoAANkDM.jpg</t>
  </si>
  <si>
    <t>https://t.co/aFwywIBU6K https://pbs.twimg.com/ext_tw_video_thumb/1676034254243786752/pu/img/RNse6PG4aaFJ_byi.jpg</t>
  </si>
  <si>
    <t>https://t.co/EqzgSUZ3Nv https://pbs.twimg.com/ext_tw_video_thumb/1690807497282523137/pu/img/E6gDEkdgb2DyLxdr.jpg</t>
  </si>
  <si>
    <t>https://t.co/mLGXdbwWI7 https://pbs.twimg.com/ext_tw_video_thumb/1689645937436848128/pu/img/aVXPFbMkU9lnYqgl.jpg</t>
  </si>
  <si>
    <t>https://t.co/H3tioyvp8I https://pbs.twimg.com/media/F2ZskQxXIAAW8U6.jpg</t>
  </si>
  <si>
    <t>https://t.co/TDS95VNZVS https://pbs.twimg.com/media/F0MpVAvWAAIJ6no.jpg</t>
  </si>
  <si>
    <t>https://t.co/JAHGln4Wd8 https://pbs.twimg.com/media/F0MegmiX0AE0WAl.jpg</t>
  </si>
  <si>
    <t>https://t.co/PsRRm5UiCR https://pbs.twimg.com/media/F0MaFCJXoAU6Vmn.jpg</t>
  </si>
  <si>
    <t>https://t.co/icbuaH57P1 https://pbs.twimg.com/media/F4z9scTXoAA6Z8S.jpg</t>
  </si>
  <si>
    <t>https://t.co/6uyoRvkqtX https://pbs.twimg.com/media/F5Dbkt4WAAMCSMt.jpg</t>
  </si>
  <si>
    <t>https://t.co/YKG3wMsCBf https://pbs.twimg.com/media/F5SpjD1WIAAFoBx.jpg</t>
  </si>
  <si>
    <t>https://t.co/7uXX7gjLkP https://pbs.twimg.com/media/F5azenyXsAA_79_.jpg</t>
  </si>
  <si>
    <t>https://t.co/6x1IO4AKkz https://pbs.twimg.com/media/F57mN8vXUAAS9R2.jpg</t>
  </si>
  <si>
    <t>https://t.co/Rnc0XAVvS6 https://pbs.twimg.com/media/F6LAptLXEAAPOeu.jpg</t>
  </si>
  <si>
    <t>https://t.co/wO64cCU59m https://pbs.twimg.com/media/F0HzPGEXoAAybqU.jpg</t>
  </si>
  <si>
    <t>https://t.co/xYiid1EUMB https://pbs.twimg.com/media/F7Dx6gcWsAANeOV.jpg</t>
  </si>
  <si>
    <t>https://t.co/4gyqmlos0T https://pbs.twimg.com/ext_tw_video_thumb/1693139382302027776/pu/img/gMMzerZZSNeMOwIU.jpg</t>
  </si>
  <si>
    <t>https://t.co/RBI3fVzwyk https://t.co/RBI3fVzwyk https://t.co/RBI3fVzwyk https://pbs.twimg.com/media/F4DvVP6XYAAGp3r.jpg https://pbs.twimg.com/media/F4DvVakXwAA5GAI.jpg https://pbs.twimg.com/media/F4DvVh3W8AAs3mM.jpg</t>
  </si>
  <si>
    <t>https://t.co/HuMc6K1yU3 https://pbs.twimg.com/media/F5Sz-ChW8AAJ4ZX.jpg</t>
  </si>
  <si>
    <t>https://t.co/UOukQc720x https://pbs.twimg.com/media/F0T1ZY3X0AELZHH.jpg</t>
  </si>
  <si>
    <t>https://t.co/2M8slHMUgv https://pbs.twimg.com/media/F0OJZFDWcAMJF_a.jpg</t>
  </si>
  <si>
    <t>https://t.co/E8ITQZYjdY https://pbs.twimg.com/media/F2h92xTXYAEQLTB.png</t>
  </si>
  <si>
    <t>https://t.co/hyewpTO3XM https://pbs.twimg.com/media/F5Y8D_dXkAAmfxk.jpg</t>
  </si>
  <si>
    <t>https://t.co/zlYWdi5efB https://pbs.twimg.com/media/F5Y79j1WoAAXUw4.jpg</t>
  </si>
  <si>
    <t>https://t.co/NYTCVX7E17 https://pbs.twimg.com/media/F5Y71xdXQAAT550.jpg</t>
  </si>
  <si>
    <t>https://t.co/4mPT2jOHzV https://pbs.twimg.com/media/F5Y7w1jWcAARMZa.jpg</t>
  </si>
  <si>
    <t>https://t.co/l0R5Ky1Xoc https://pbs.twimg.com/media/F5Y7szLXcAAphyo.jpg</t>
  </si>
  <si>
    <t>https://t.co/3WxJIssw2n https://pbs.twimg.com/media/F5Y7malWsAAL6J1.jpg</t>
  </si>
  <si>
    <t>https://t.co/LWbbYs1vsn https://pbs.twimg.com/media/F5Y7iLnWkAASV-W.jpg</t>
  </si>
  <si>
    <t>https://t.co/CDXXZ2t6Yh https://pbs.twimg.com/media/F5Y6_soWsAAv6Gg.jpg</t>
  </si>
  <si>
    <t>https://t.co/7FOs9z5UCv https://pbs.twimg.com/media/F5u6ZXYWcAATii2.jpg</t>
  </si>
  <si>
    <t>https://t.co/8h33zIItGg https://pbs.twimg.com/media/F0VoDQjWYAAb2MS.jpg</t>
  </si>
  <si>
    <t>https://t.co/BB5TPduBlU https://pbs.twimg.com/media/F1zps1dXgAMAxAm.jpg</t>
  </si>
  <si>
    <t>https://t.co/MX9EIvQWDM https://pbs.twimg.com/media/F0c29JIWYAoJN5H.jpg</t>
  </si>
  <si>
    <t>https://t.co/Rd0Fz29YGF https://pbs.twimg.com/media/F3v8uxfXwAAvP2K.jpg</t>
  </si>
  <si>
    <t>https://t.co/RwK3dq9upT https://pbs.twimg.com/media/F065q1TXgAI_Zlo.jpg</t>
  </si>
  <si>
    <t>https://t.co/JbvNkY6s7B https://pbs.twimg.com/media/F4UrRKeX0AE6hiZ.jpg</t>
  </si>
  <si>
    <t>https://t.co/sR6MLY7GgP https://pbs.twimg.com/media/F1ZerrQWcAAi4KE.jpg</t>
  </si>
  <si>
    <t>https://t.co/V4u9cyp35L https://pbs.twimg.com/media/F3Fogk8XMAAOR0a.jpg</t>
  </si>
  <si>
    <t>https://t.co/RwHSLL229r https://pbs.twimg.com/media/F4Nuij1XMAEsOC-.jpg</t>
  </si>
  <si>
    <t>https://t.co/XUnJsIzVO3 https://pbs.twimg.com/media/F01bj-cXsAAqP7K.jpg</t>
  </si>
  <si>
    <t>https://t.co/ds9VFvov7Y https://pbs.twimg.com/media/F0RYZ22WYAICd5c.jpg</t>
  </si>
  <si>
    <t>https://t.co/jGFqJNm9Q6 https://pbs.twimg.com/media/F5a7YvXXMAAA7HW.jpg</t>
  </si>
  <si>
    <t>https://t.co/Hi7w5K8Mlw https://pbs.twimg.com/media/F554WjoXYAA_ovl.jpg</t>
  </si>
  <si>
    <t>https://t.co/ikogzbNC1O https://pbs.twimg.com/media/F3pranyXIAEu2Gu.jpg</t>
  </si>
  <si>
    <t>https://t.co/X9rfT3eMCv https://pbs.twimg.com/media/F6i9F-HWMAAajF8.jpg</t>
  </si>
  <si>
    <t>https://t.co/EQBW2dUJr9 https://pbs.twimg.com/media/F0WPK98X0AEB3Ck.jpg</t>
  </si>
  <si>
    <t>https://t.co/ZiTQdHC5SI https://pbs.twimg.com/media/F1UCVr3WYAAw3Tv.jpg</t>
  </si>
  <si>
    <t>https://t.co/cqkhY6Jzsh https://pbs.twimg.com/media/F0v_G5wWIAIIc0h.jpg</t>
  </si>
  <si>
    <t>https://t.co/BcnO6plqPr https://pbs.twimg.com/ext_tw_video_thumb/1677135602712555521/pu/img/_ulbYmk5XhTfWlM7.jpg</t>
  </si>
  <si>
    <t>https://t.co/Jl9U8ZjlRs https://pbs.twimg.com/ext_tw_video_thumb/1689044131950055424/pu/img/haze_vIL_-cRhrb6.jpg</t>
  </si>
  <si>
    <t>https://t.co/ZOp6qMOOnd https://pbs.twimg.com/ext_tw_video_thumb/1694111812524871680/pu/img/g-SPod-5xd_P69dU.jpg</t>
  </si>
  <si>
    <t>https://t.co/WAqG5Z4irb https://pbs.twimg.com/ext_tw_video_thumb/1699203821832966144/pu/img/cLKKIg9SsKoNswf3.jpg</t>
  </si>
  <si>
    <t>https://t.co/82loYTCw6W https://pbs.twimg.com/media/F40duckXAAAB9OR.jpg</t>
  </si>
  <si>
    <t>https://t.co/5gJvk6RpdO https://pbs.twimg.com/media/F3nJMy8WAAAs8Ce.jpg</t>
  </si>
  <si>
    <t>https://t.co/cR56nVmHtf https://pbs.twimg.com/media/F1c31Q-WYAAVyf-.jpg</t>
  </si>
  <si>
    <t>https://t.co/HE1qpS4vh3 https://t.co/HE1qpS4vh3 https://t.co/HE1qpS4vh3 https://t.co/HE1qpS4vh3 https://pbs.twimg.com/media/F2CXw2YX0AAmfpB.jpg https://pbs.twimg.com/media/F2CXw2YWcAAZl3G.jpg https://pbs.twimg.com/media/F2CXw2ZWYAE5obv.jpg https://pbs.twimg.com/media/F2CXw2ZXoAMcYzD.jpg</t>
  </si>
  <si>
    <t>https://t.co/sFvfXjyu5K https://pbs.twimg.com/media/F6VUGxoXMAEd-DU.jpg</t>
  </si>
  <si>
    <t>https://t.co/JRrwVN2tlx https://pbs.twimg.com/media/F1CFRlOWYAEjwjp.jpg</t>
  </si>
  <si>
    <t>https://t.co/LwsYGARJTI https://pbs.twimg.com/media/F32gNirWoAABJSW.jpg</t>
  </si>
  <si>
    <t>https://t.co/a62XMxKvYt https://pbs.twimg.com/ext_tw_video_thumb/1684616166751313943/pu/img/ezxdYyzsjKnZZimB.jpg</t>
  </si>
  <si>
    <t>https://t.co/SLYkjZnH36 https://pbs.twimg.com/media/F3f5_HaW4AANqyo.jpg</t>
  </si>
  <si>
    <t>https://t.co/AjnPlsUCtq https://pbs.twimg.com/media/F2dM34OWoAAzQE6.jpg</t>
  </si>
  <si>
    <t>https://t.co/N1AOIhOgk3 https://pbs.twimg.com/ext_tw_video_thumb/1681289541607469057/pu/img/yja4yC6llTR3sx7t.jpg</t>
  </si>
  <si>
    <t>https://t.co/VHKxDgfcHy https://pbs.twimg.com/ext_tw_video_thumb/1692266301366878209/pu/img/6l4XCwNUbNeZG79Z.jpg</t>
  </si>
  <si>
    <t>https://t.co/BpB3ZD0LWK https://pbs.twimg.com/ext_tw_video_thumb/1676947968191250435/pu/img/WY49PcfkGG4LeDnN.jpg</t>
  </si>
  <si>
    <t>https://t.co/8kukZPHDPn https://pbs.twimg.com/media/F4NpBrzXMAE2sLg.jpg</t>
  </si>
  <si>
    <t>https://t.co/YdQteqlnV6 https://pbs.twimg.com/ext_tw_video_thumb/1684246670031159296/pu/img/PMhTHXcheBAHmQ7W.jpg</t>
  </si>
  <si>
    <t>https://t.co/L3KbTlrfhj https://pbs.twimg.com/media/F01mEwoWcAECBp_.jpg</t>
  </si>
  <si>
    <t>https://t.co/H7ArnnDgyi https://pbs.twimg.com/media/F56LjnWXcAAWwlg.jpg</t>
  </si>
  <si>
    <t>https://t.co/zZknLfyUVw https://pbs.twimg.com/ext_tw_video_thumb/1687648661080047618/pu/img/xU6ksynPbGa_-wwE.jpg</t>
  </si>
  <si>
    <t>https://t.co/MoTAnNZeo6 https://pbs.twimg.com/media/F0UnxfqWAAAfRyK.jpg</t>
  </si>
  <si>
    <t>https://t.co/Kcq8evILdO https://pbs.twimg.com/media/F5VM9Z3XQAA-Web.jpg</t>
  </si>
  <si>
    <t>https://t.co/gbziFtxSId https://pbs.twimg.com/media/F3m6HzEXUAEi7Sf.jpg</t>
  </si>
  <si>
    <t>https://t.co/4M5nAyqMXW https://pbs.twimg.com/media/F59Mk19WEAAH3pV.jpg</t>
  </si>
  <si>
    <t>https://t.co/db3EtjIklg https://pbs.twimg.com/media/F3QT-ujWQAARWBm.jpg</t>
  </si>
  <si>
    <t>https://t.co/qBX3YrA1kU https://pbs.twimg.com/media/F4s2ocAWcAA2y4y.jpg</t>
  </si>
  <si>
    <t>https://t.co/6YZ00sckQ1 https://pbs.twimg.com/media/F1uciR1WwAAGqmP.jpg</t>
  </si>
  <si>
    <t>https://t.co/selTBBlc41 https://pbs.twimg.com/media/F1Z2JWoWAAAmlHE.jpg</t>
  </si>
  <si>
    <t>https://t.co/Vaf3KOkrpv https://pbs.twimg.com/media/F1KBgdtWYAMvvj9.jpg</t>
  </si>
  <si>
    <t>https://t.co/FbjRBGZGhz https://pbs.twimg.com/ext_tw_video_thumb/1702872566304563200/pu/img/0XWRgty4es-8G2wS.jpg</t>
  </si>
  <si>
    <t>https://t.co/xh7yBxjW1r https://t.co/xh7yBxjW1r https://t.co/xh7yBxjW1r https://t.co/xh7yBxjW1r https://pbs.twimg.com/media/F0NTOgoXoBgs0lb.jpg https://pbs.twimg.com/media/F0NTOgxXoAo4xQp.jpg https://pbs.twimg.com/media/F0NTOgwXoAorITY.jpg https://pbs.twimg.com/media/F0NTOgrXoBc5ow5.jpg</t>
  </si>
  <si>
    <t>https://t.co/k66x4A3CjR https://pbs.twimg.com/media/F30ZXBYWMAAOhe_.jpg</t>
  </si>
  <si>
    <t>https://t.co/KbyhhUA501 https://pbs.twimg.com/media/F6uAR-QWsAAJs8r.jpg</t>
  </si>
  <si>
    <t>https://t.co/Jy7fGeLir7 https://pbs.twimg.com/ext_tw_video_thumb/1705237887413841920/pu/img/M4Z5YN8ZoVxPfU91.jpg</t>
  </si>
  <si>
    <t>https://t.co/i1IRsXAkCH https://pbs.twimg.com/ext_tw_video_thumb/1705237658996260864/pu/img/gGj9gmZHDY-IwL0r.jpg</t>
  </si>
  <si>
    <t>https://t.co/y2fQ3BZxDn https://pbs.twimg.com/ext_tw_video_thumb/1705237340573114368/pu/img/PDydKjrGZoS6ojJ8.jpg</t>
  </si>
  <si>
    <t>https://t.co/uvycJlZ1TM https://pbs.twimg.com/ext_tw_video_thumb/1705236503171895297/pu/img/X6BmRLBn-I8NnYxf.jpg</t>
  </si>
  <si>
    <t>https://t.co/cgWnL6Z6VK https://pbs.twimg.com/ext_tw_video_thumb/1705236154491047936/pu/img/3oTZ0T2vhZTNfxp-.jpg</t>
  </si>
  <si>
    <t>https://t.co/Ynt5pAMZVn https://pbs.twimg.com/ext_tw_video_thumb/1698013865928232960/pu/img/QkeK_8hcgUqhUyeA.jpg</t>
  </si>
  <si>
    <t>https://t.co/Lq6zv7nAGI https://pbs.twimg.com/ext_tw_video_thumb/1705235613157322752/pu/img/-Z6o_yzCWD2ExWqo.jpg</t>
  </si>
  <si>
    <t>https://t.co/OtEyQOg6fn https://pbs.twimg.com/ext_tw_video_thumb/1705235196558086144/pu/img/SeOrcXAobRvfSwtN.jpg</t>
  </si>
  <si>
    <t>https://t.co/9YWoBZI3A2 https://pbs.twimg.com/ext_tw_video_thumb/1705614591961501697/pu/img/tlFMAXI0MZpCaKG7.jpg</t>
  </si>
  <si>
    <t>https://t.co/4FkVYq1e68 https://pbs.twimg.com/media/F2zG8qnWAAEMfIE.jpg</t>
  </si>
  <si>
    <t>https://t.co/o1Ig7ywVEc https://pbs.twimg.com/media/F2CzDKEWcAEFJRu.jpg</t>
  </si>
  <si>
    <t>https://t.co/zAv45zk1jk https://pbs.twimg.com/media/F03248CXwAIMNFp.jpg</t>
  </si>
  <si>
    <t>https://t.co/eJKdYOSI7W https://pbs.twimg.com/media/F0MkSfWWAAIE0Nv.jpg</t>
  </si>
  <si>
    <t>https://t.co/7h9jaT9G3h https://pbs.twimg.com/media/FuWhlqxWcAYEkGi.jpg</t>
  </si>
  <si>
    <t>https://t.co/nexiaqKXN6 https://pbs.twimg.com/media/F3CUnr9XUAAsVUA.png</t>
  </si>
  <si>
    <t>https://t.co/e8TvbKvxKe https://pbs.twimg.com/ext_tw_video_thumb/1691062612262330368/pu/img/I8d9MMvlPoZSHm3u.jpg</t>
  </si>
  <si>
    <t>https://t.co/iSZy0tBIK9 https://pbs.twimg.com/media/F3lLogPawAA6Gl3.jpg</t>
  </si>
  <si>
    <t>https://t.co/mFrzmlScPl https://pbs.twimg.com/ext_tw_video_thumb/1676625074915344386/pu/img/wMmzWt68s-VS7QxL.jpg</t>
  </si>
  <si>
    <t>https://t.co/e9mpgXmHXW https://pbs.twimg.com/media/F4T8z8uWQAEkj_l.jpg</t>
  </si>
  <si>
    <t>https://t.co/LJOCG9dmCj https://pbs.twimg.com/media/F5Mpd5vWwAA2Brn.jpg</t>
  </si>
  <si>
    <t>https://t.co/k4h1YCL6ES https://t.co/k4h1YCL6ES https://pbs.twimg.com/media/F60WRyHXwAAaODg.jpg https://pbs.twimg.com/media/F60WRyGXQAAvCl2.jpg</t>
  </si>
  <si>
    <t>https://t.co/YrBZOddSE2 https://pbs.twimg.com/media/F1Z7QJAXgAAVm3o.jpg</t>
  </si>
  <si>
    <t>https://t.co/IGoKd6url2 https://pbs.twimg.com/ext_tw_video_thumb/1684529639023079425/pu/img/V60LZZWLo-RRN7eI.jpg</t>
  </si>
  <si>
    <t>https://t.co/Uq2pgXBKgt https://pbs.twimg.com/media/F0svBO_WcA0IA8O.jpg</t>
  </si>
  <si>
    <t>https://t.co/XMnBTa2dVf https://pbs.twimg.com/media/F4D7UNgW4AAUHyD.jpg</t>
  </si>
  <si>
    <t>https://t.co/s9xVNgNhBy https://pbs.twimg.com/media/F19zZIBWIAAgHEW.jpg</t>
  </si>
  <si>
    <t>https://t.co/2e2ZfSRMd4 https://pbs.twimg.com/media/F1BJqEjWwA0rObI.jpg</t>
  </si>
  <si>
    <t>https://t.co/vqSagNDxuN https://pbs.twimg.com/media/F3qJ8a-X0AAtXHa.jpg</t>
  </si>
  <si>
    <t>https://t.co/Aw5BlImw44 https://pbs.twimg.com/media/F4JvaduW0AAlwXW.jpg</t>
  </si>
  <si>
    <t>https://t.co/vSEzOMU7Oh https://pbs.twimg.com/ext_tw_video_thumb/1694435990528528385/pu/img/sNoRHEA9kFGVpIAh.jpg</t>
  </si>
  <si>
    <t>https://t.co/L4fGH7OYd8 https://pbs.twimg.com/ext_tw_video_thumb/1696973556012216320/pu/img/8PpTLA-xPu6Eq6FF.jpg</t>
  </si>
  <si>
    <t>https://t.co/3JD9E4ou6y https://pbs.twimg.com/media/F04on29WcAgu0pt.jpg</t>
  </si>
  <si>
    <t>https://t.co/xQCEY2Upo2 https://pbs.twimg.com/media/F2aX47uWUAA-t6P.jpg</t>
  </si>
  <si>
    <t>https://t.co/JWp1NrvKji https://pbs.twimg.com/media/F3GjzslXAAAFwI5.jpg</t>
  </si>
  <si>
    <t>https://t.co/RgMxNmDUkz https://pbs.twimg.com/media/F5xx9LTW8AABukQ.jpg</t>
  </si>
  <si>
    <t>https://t.co/MJEy2fDLpm https://pbs.twimg.com/media/F02GYEDX0AIsKah.jpg</t>
  </si>
  <si>
    <t>https://t.co/8cMpNX8cVr https://pbs.twimg.com/ext_tw_video_thumb/1679687159534567426/pu/img/DigWhbrN_1i27PLq.jpg</t>
  </si>
  <si>
    <t>https://t.co/pnLTL50Ipe https://pbs.twimg.com/media/F1upolHWAAAM4jZ.png</t>
  </si>
  <si>
    <t>https://t.co/XLLXrPUfcH https://t.co/XLLXrPUfcH https://t.co/XLLXrPUfcH https://t.co/XLLXrPUfcH https://pbs.twimg.com/media/FmqukWHXgAEzLnd.jpg https://pbs.twimg.com/media/FmqukWIXEAALvBa.jpg https://pbs.twimg.com/media/FmqukWFXwAAQcBL.jpg https://pbs.twimg.com/media/FmqukWGWYAES7Nr.jpg</t>
  </si>
  <si>
    <t>https://t.co/QpfYyLmBa3 https://pbs.twimg.com/media/F1VVCCaXwAQVtNu.jpg</t>
  </si>
  <si>
    <t>https://t.co/rKoH1MynBt https://pbs.twimg.com/media/F0oTvObXsAECpaR.jpg</t>
  </si>
  <si>
    <t>https://t.co/FEJv5FLeek https://pbs.twimg.com/ext_tw_video_thumb/1676663089301803009/pu/img/A72YEdGN6ELFyg0M.jpg</t>
  </si>
  <si>
    <t>https://t.co/vX2RiaRdT3 https://pbs.twimg.com/media/F1RAXWdX0AAW7Vw.jpg</t>
  </si>
  <si>
    <t>https://t.co/X7cpvM2JuY https://pbs.twimg.com/media/F0NgeshWIA8DSbY.jpg</t>
  </si>
  <si>
    <t>https://t.co/6s8ZGrV0gL https://pbs.twimg.com/media/F3q5LP_XwAEc828.jpg</t>
  </si>
  <si>
    <t>https://t.co/n69yrOLBv2 https://pbs.twimg.com/media/F0dK8S0WIAoes0T.jpg</t>
  </si>
  <si>
    <t>https://t.co/C5OyRuNgVS https://pbs.twimg.com/media/F2jcdXlXIAARfOR.jpg</t>
  </si>
  <si>
    <t>https://t.co/9HdDxrv3AH https://pbs.twimg.com/amplify_video_thumb/1705639400074334208/img/pDPb_NgmEJeWORZ3.jpg</t>
  </si>
  <si>
    <t>https://t.co/ZIIni6su7e https://pbs.twimg.com/media/F3hEfpAWAAAVid1.jpg</t>
  </si>
  <si>
    <t>https://t.co/km5tQrAs2a https://pbs.twimg.com/media/F36OoqpXcAAVUnJ.png</t>
  </si>
  <si>
    <t>https://t.co/wuwlJBPRSg https://pbs.twimg.com/media/F6tb_ZyWMAAqo9j.jpg</t>
  </si>
  <si>
    <t>https://t.co/Zv01x50U6l https://pbs.twimg.com/media/F2Ido-tXkAA8uf_.jpg</t>
  </si>
  <si>
    <t>https://t.co/qIixy1Ziy9 https://pbs.twimg.com/media/F2X6aJwW0AAT4Tb.jpg</t>
  </si>
  <si>
    <t>https://t.co/yYPF8IHLHN https://pbs.twimg.com/media/F1K_D-gWYAIsPJW.jpg</t>
  </si>
  <si>
    <t>https://t.co/oKrVBnBafQ https://pbs.twimg.com/media/F0N1FePWcAoBN8_.jpg</t>
  </si>
  <si>
    <t>https://t.co/8okRmRf30C https://pbs.twimg.com/ext_tw_video_thumb/1678383360077430784/pu/img/1gZboVnpNIn3ywcD.jpg</t>
  </si>
  <si>
    <t>https://t.co/edfYV8wck0 https://pbs.twimg.com/ext_tw_video_thumb/1690553843598123008/pu/img/onmZW22k9K6MRmYI.jpg</t>
  </si>
  <si>
    <t>https://t.co/fyXHHQMjvS https://pbs.twimg.com/media/F0NIP8WXgAES6Hh.jpg</t>
  </si>
  <si>
    <t>https://t.co/0pSPmNRvgj https://pbs.twimg.com/media/F5wgvSqbYAADne3.jpg</t>
  </si>
  <si>
    <t>https://t.co/zT8X2rRaYp https://pbs.twimg.com/media/F4i53BbWgAEQvnR.jpg</t>
  </si>
  <si>
    <t>https://t.co/YzSzwc1KgH https://pbs.twimg.com/media/F5rnmPZXsAAmjne.jpg</t>
  </si>
  <si>
    <t>https://t.co/iqcCktgUnn https://pbs.twimg.com/ext_tw_video_thumb/1681718236876816394/pu/img/uo2l3vOP74uuu5Fz.jpg</t>
  </si>
  <si>
    <t>https://t.co/UTfYv8HelK https://t.co/UTfYv8HelK https://pbs.twimg.com/media/F0rKjj_WYAEnGWm.jpg https://pbs.twimg.com/media/F0rKfJfXsAAm9VM.jpg</t>
  </si>
  <si>
    <t>https://t.co/rUR8i41MGQ https://pbs.twimg.com/media/F2NA80kXIAUR-8d.jpg</t>
  </si>
  <si>
    <t>https://t.co/V53mCxKV4d https://pbs.twimg.com/tweet_video_thumb/F0MWP41WcAADefA.jpg</t>
  </si>
  <si>
    <t>https://t.co/DybtAudfiK https://pbs.twimg.com/ext_tw_video_thumb/1689615458431909888/pu/img/WBxQ06iQCy-2DU5Q.jpg</t>
  </si>
  <si>
    <t>https://t.co/UNVJ11EACc https://pbs.twimg.com/media/F6FrAHgXsAA4Ygi.jpg</t>
  </si>
  <si>
    <t>https://t.co/gei3ZEGQqI https://pbs.twimg.com/ext_tw_video_thumb/1691056126500937729/pu/img/mU3YTB00A0Djum9P.jpg</t>
  </si>
  <si>
    <t>https://t.co/c9p8MZHt14 https://pbs.twimg.com/tweet_video_thumb/F0YRQWxWcAAyTNm.jpg</t>
  </si>
  <si>
    <t>https://t.co/NgvlcyQ6qF https://pbs.twimg.com/media/F3VA-mxXEAEA5VP.jpg</t>
  </si>
  <si>
    <t>https://t.co/VX6Yi8b7IH https://pbs.twimg.com/media/F0tNz8HWcAIpE-7.jpg</t>
  </si>
  <si>
    <t>https://t.co/rZ9A1RtUUD https://pbs.twimg.com/media/F0tNyFYXoAUfxhs.jpg</t>
  </si>
  <si>
    <t>https://t.co/OV5e9UOquf https://pbs.twimg.com/media/F0tNwQwXsAAKuwO.jpg</t>
  </si>
  <si>
    <t>https://t.co/x3fKYTnF0G https://pbs.twimg.com/media/F0tNuaXXoAErWvb.jpg</t>
  </si>
  <si>
    <t>https://t.co/JerUfKw3ZQ https://pbs.twimg.com/media/F0tNlc3WYAAWEoe.jpg</t>
  </si>
  <si>
    <t>https://t.co/DmjvD80y7p https://pbs.twimg.com/media/F2pYfm3XgAAhsQc.jpg</t>
  </si>
  <si>
    <t>https://t.co/quSvSB92JS https://pbs.twimg.com/media/F12KAhbXsAAYmgg.jpg</t>
  </si>
  <si>
    <t>https://t.co/hMUCvQZOo6 https://pbs.twimg.com/media/F5cdTbSacAAH-s3.jpg</t>
  </si>
  <si>
    <t>https://t.co/xyvXRKoFEC https://pbs.twimg.com/media/F52MX2caYAMAVLH.jpg</t>
  </si>
  <si>
    <t>https://t.co/a9VuXuZ628 https://pbs.twimg.com/media/F4nhgqXWoAAkg0r.png</t>
  </si>
  <si>
    <t>https://t.co/nzfp8MIvoT https://pbs.twimg.com/media/F4nees7XwAA4ZId.png</t>
  </si>
  <si>
    <t>https://t.co/klaUyEGNiW https://pbs.twimg.com/media/F4gnw09XsAAeJUF.jpg</t>
  </si>
  <si>
    <t>https://t.co/5VGPfscWRi https://pbs.twimg.com/media/F5xHhcaWkAAmKwy.jpg</t>
  </si>
  <si>
    <t>https://t.co/zkrrYVgxPG https://pbs.twimg.com/ext_tw_video_thumb/1697676212389179392/pu/img/Jl7HR_h6i3lkUX4E.jpg</t>
  </si>
  <si>
    <t>https://t.co/faAHHOmK6Y https://pbs.twimg.com/ext_tw_video_thumb/1698210497080803328/pu/img/QDegm7jAo1Oke_tf.jpg</t>
  </si>
  <si>
    <t>https://t.co/pb6HieRTVJ https://pbs.twimg.com/media/F5vx4DRXUAAUeT5.png</t>
  </si>
  <si>
    <t>https://t.co/z1ShhhbELL https://pbs.twimg.com/media/F5vx3zZWYAAD-Lu.png</t>
  </si>
  <si>
    <t>https://t.co/BAR9kFR14Y https://t.co/BAR9kFR14Y https://t.co/BAR9kFR14Y https://t.co/BAR9kFR14Y https://pbs.twimg.com/media/F6EYPETXUAAuv9_.png https://pbs.twimg.com/media/F6EYPQuXMAAnEm8.png https://pbs.twimg.com/media/F6EYPd3WgAA9d07.png https://pbs.twimg.com/media/F6EYPpQWIAEUJcA.png</t>
  </si>
  <si>
    <t>https://t.co/OR0nCvLSO3 https://pbs.twimg.com/media/F0_8EqOWYAI7yi3.png</t>
  </si>
  <si>
    <t>https://t.co/H9kAuAVMcg https://pbs.twimg.com/media/F6eIMkAXYAA3hzZ.png</t>
  </si>
  <si>
    <t>https://t.co/xuwUo1DUgL https://pbs.twimg.com/media/F6T1BakXgAAJViH.png</t>
  </si>
  <si>
    <t>https://t.co/OmDftoppux https://pbs.twimg.com/media/F7CLUhfW4AARVNQ.png</t>
  </si>
  <si>
    <t>https://t.co/hmJ7pDKo5s https://pbs.twimg.com/media/F0NEG7ZXsAAGePw.jpg</t>
  </si>
  <si>
    <t>https://t.co/39N2I3gUrT https://pbs.twimg.com/media/F2hrZn1XcAA06J5.jpg</t>
  </si>
  <si>
    <t>https://t.co/T27ien5bhk https://pbs.twimg.com/ext_tw_video_thumb/1692518783598854144/pu/img/aRHj52z8VzuqeNQK.jpg</t>
  </si>
  <si>
    <t>https://t.co/toZHBCMlBz https://pbs.twimg.com/media/F4yChLZWoAArpe0.jpg</t>
  </si>
  <si>
    <t>https://t.co/PgDYvTvicX https://pbs.twimg.com/media/F5Bx6oKWwAAbD_h.jpg</t>
  </si>
  <si>
    <t>https://t.co/oFX1cJ5VGj https://pbs.twimg.com/ext_tw_video_thumb/1684896463006900224/pu/img/gdIZ7J4s06qvDlQ8.jpg</t>
  </si>
  <si>
    <t>https://t.co/Pf1kdO2wc1 https://pbs.twimg.com/ext_tw_video_thumb/1692577269447901184/pu/img/2-VXQOzsmyLYAryB.jpg</t>
  </si>
  <si>
    <t>https://t.co/ft8TRVGEly https://pbs.twimg.com/ext_tw_video_thumb/1693653551262605313/pu/img/dENtvK_VQ_JrYugY.jpg</t>
  </si>
  <si>
    <t>https://t.co/HkMeOGq0pD https://pbs.twimg.com/media/F5_fuofa8AAKwaF.jpg</t>
  </si>
  <si>
    <t>https://t.co/eIYnG4V17a https://pbs.twimg.com/ext_tw_video_thumb/1689226437826424833/pu/img/hPpDcWB2MYqsdZDe.jpg</t>
  </si>
  <si>
    <t>https://t.co/ADr4xV4W41 https://pbs.twimg.com/media/F2c8SR6bcAEaPBX.jpg</t>
  </si>
  <si>
    <t>https://t.co/gFPhlnPqLR https://t.co/gFPhlnPqLR https://t.co/gFPhlnPqLR https://pbs.twimg.com/media/F10oaOSWIAgJK4v.jpg https://pbs.twimg.com/media/F10obSdXsAAM_3Z.jpg https://pbs.twimg.com/media/F10ocPjX0AAae5S.jpg</t>
  </si>
  <si>
    <t>https://t.co/IMCoVjwu7h https://pbs.twimg.com/media/F5NBBSDWUAACLD0.jpg</t>
  </si>
  <si>
    <t>https://t.co/MveFcH2TFR https://pbs.twimg.com/media/F49Pw8BX0AAXJIO.jpg</t>
  </si>
  <si>
    <t>https://t.co/tpkUWMeH7x https://pbs.twimg.com/media/F5bLbyBXYAAu9J0.jpg</t>
  </si>
  <si>
    <t>https://t.co/9PZsKDnglk https://pbs.twimg.com/media/F52N4g5XEAET1Tj.jpg</t>
  </si>
  <si>
    <t>https://t.co/cmlkXAlqzY https://pbs.twimg.com/media/F6ZZ8eAWUAEhPuy.jpg</t>
  </si>
  <si>
    <t>https://t.co/yRJw1x5Yak https://pbs.twimg.com/media/F694ipyWwAAfyvf.jpg</t>
  </si>
  <si>
    <t>https://t.co/DnDSv89cdI https://pbs.twimg.com/ext_tw_video_thumb/1688238537991163904/pu/img/eNtfCEvq4oWCeYXI.jpg</t>
  </si>
  <si>
    <t>https://t.co/EoIk70rpEB https://pbs.twimg.com/ext_tw_video_thumb/1691913615991832576/pu/img/ruAff1DH7JZoWh_h.jpg</t>
  </si>
  <si>
    <t>https://t.co/w2vxX9Mk7y https://pbs.twimg.com/ext_tw_video_thumb/1689382547698958336/pu/img/M9NGQDfrpe1HXq5J.jpg</t>
  </si>
  <si>
    <t>https://t.co/PXutH32KHm https://pbs.twimg.com/ext_tw_video_thumb/1694798526134231040/pu/img/XxPIhFH0CYchORGb.jpg</t>
  </si>
  <si>
    <t>https://t.co/z7qJLdcZ8Y https://pbs.twimg.com/ext_tw_video_thumb/1697220907985522689/pu/img/jnxV8QWma9hFYg7g.jpg</t>
  </si>
  <si>
    <t>https://t.co/ifaGVQsW9f https://pbs.twimg.com/media/F45Ge09WAAA3VoU.jpg</t>
  </si>
  <si>
    <t>https://t.co/uebpYiiuG3 https://pbs.twimg.com/ext_tw_video_thumb/1688594895093612552/pu/img/m6bzpWf6xUo17zW6.jpg</t>
  </si>
  <si>
    <t>https://t.co/wV0niiDs2k https://pbs.twimg.com/media/F5V4iDQXMAA7bez.jpg</t>
  </si>
  <si>
    <t>https://t.co/KNlAua0Q22 https://pbs.twimg.com/ext_tw_video_thumb/1682118580618293249/pu/img/76oIpRiYsE7W4ak5.jpg</t>
  </si>
  <si>
    <t>https://t.co/rCtU8GGOcE https://pbs.twimg.com/media/F1AlPrqWAAETopT.png</t>
  </si>
  <si>
    <t>https://t.co/gNyMBozbE4 https://pbs.twimg.com/media/F64I3ZoXMAACxBo.png</t>
  </si>
  <si>
    <t>https://t.co/68O1KgGbmI https://pbs.twimg.com/media/F4JrjGiW0AAt2p-.jpg</t>
  </si>
  <si>
    <t>https://t.co/OnS1RzNbCO https://t.co/OnS1RzNbCO https://t.co/OnS1RzNbCO https://t.co/OnS1RzNbCO https://pbs.twimg.com/media/F1ZN3oPWYAEIq_G.jpg https://pbs.twimg.com/media/F1ZN4BCWwAEOOlz.jpg https://pbs.twimg.com/media/F1ZN4oeXoAEDl1D.jpg https://pbs.twimg.com/media/F1ZN5m4X0AI_Uoe.jpg</t>
  </si>
  <si>
    <t>https://t.co/fE5Zdj1N1g https://t.co/fE5Zdj1N1g https://t.co/fE5Zdj1N1g https://t.co/fE5Zdj1N1g https://pbs.twimg.com/media/F01o5o-WYAYBmxS.jpg https://pbs.twimg.com/media/F01o5olWcActMa9.jpg https://pbs.twimg.com/media/F01o5o4WwAEiHXR.jpg https://pbs.twimg.com/media/F01o5osWYAICnYl.jpg</t>
  </si>
  <si>
    <t>https://t.co/fLSxljbcYX https://pbs.twimg.com/ext_tw_video_thumb/1679505201500225537/pu/img/DZWZQjc72-Hufm0E.jpg</t>
  </si>
  <si>
    <t>https://t.co/xDPHtFlxwS https://pbs.twimg.com/ext_tw_video_thumb/1678782168863240194/pu/img/jBuw6-6xcp_-4qdx.jpg</t>
  </si>
  <si>
    <t>https://t.co/oWuprewLl0 https://pbs.twimg.com/ext_tw_video_thumb/1687109791695745026/pu/img/ZpB1qco6OIvy61W5.jpg</t>
  </si>
  <si>
    <t>https://t.co/xBtlbc0Afm https://pbs.twimg.com/media/F0S8VV9X0AUFzJu.jpg</t>
  </si>
  <si>
    <t>https://t.co/6jqxqp4Fbq https://pbs.twimg.com/media/F30y_PBXYAAlyJd.jpg</t>
  </si>
  <si>
    <t>https://t.co/1b7voiR2ru https://pbs.twimg.com/media/F16B6jfX0AAXXyz.jpg</t>
  </si>
  <si>
    <t>https://t.co/UstkFlfdKl https://pbs.twimg.com/media/F16Bc_AWAAk-YPJ.jpg</t>
  </si>
  <si>
    <t>https://t.co/LeSTD6qTSm https://pbs.twimg.com/media/F16Axr6XgAERN85.jpg</t>
  </si>
  <si>
    <t>https://t.co/wIBBo8ZSox https://pbs.twimg.com/media/F16AUj2WYBIH6PU.jpg</t>
  </si>
  <si>
    <t>https://t.co/MqRKxtpoyd https://pbs.twimg.com/media/F15_ZxhWYAUP9Sa.jpg</t>
  </si>
  <si>
    <t>https://t.co/d8aUNaMsfD https://pbs.twimg.com/media/F3wG6PZWkAA4bd4.jpg</t>
  </si>
  <si>
    <t>https://t.co/GKmyZxkAXE https://pbs.twimg.com/media/F3sFLUCXIAAtg_4.jpg</t>
  </si>
  <si>
    <t>https://t.co/9nYcJ1pc2q https://pbs.twimg.com/media/F3sEBrcW8AA5ewg.jpg</t>
  </si>
  <si>
    <t>https://t.co/LW3NBsbebH https://pbs.twimg.com/media/F10HV0zXoAQo1pU.jpg</t>
  </si>
  <si>
    <t>https://t.co/VC7CVrBbCY https://pbs.twimg.com/media/F3-p_C3XYAE_beU.jpg</t>
  </si>
  <si>
    <t>https://t.co/6IuvllKYfk https://pbs.twimg.com/media/F4yqWZoWEAAoLzx.jpg</t>
  </si>
  <si>
    <t>https://t.co/FPRr9mQkp2 https://pbs.twimg.com/ext_tw_video_thumb/1691488692790079489/pu/img/3ixElLVEELdJaH_H.jpg</t>
  </si>
  <si>
    <t>https://t.co/d7rkvlh3GY https://pbs.twimg.com/ext_tw_video_thumb/1691481903801466880/pu/img/gZRFAbH-tlDdanAV.jpg</t>
  </si>
  <si>
    <t>https://t.co/uPCheHwarC https://pbs.twimg.com/media/F4Qn4nKXsAAeLfM.jpg</t>
  </si>
  <si>
    <t>https://t.co/xlWOQDjRMO https://pbs.twimg.com/ext_tw_video_thumb/1694516667710066688/pu/img/c1n97fnuVSJxgu7x.jpg</t>
  </si>
  <si>
    <t>https://t.co/rZqWP2Pi4R https://pbs.twimg.com/media/F4QegH7WkAIUEkF.jpg</t>
  </si>
  <si>
    <t>https://t.co/9S3dcSTzRM https://pbs.twimg.com/media/F4FaJJiXUAAtVK1.jpg</t>
  </si>
  <si>
    <t>https://t.co/Ghfr1ojVkD https://pbs.twimg.com/media/F4p3TKuXkAA7qXl.jpg</t>
  </si>
  <si>
    <t>https://t.co/qwKXouD70W https://pbs.twimg.com/media/F4p2Y6jXAAAS_XS.jpg</t>
  </si>
  <si>
    <t>https://t.co/bdlWLk3utr https://pbs.twimg.com/media/F4os7FzW0AEZQPO.jpg</t>
  </si>
  <si>
    <t>https://t.co/eWgLtiNrhA https://pbs.twimg.com/media/F4osAknWwAAAZPY.jpg</t>
  </si>
  <si>
    <t>https://t.co/0BzFSPjFLm https://pbs.twimg.com/media/F2dcdNVX0AUcvGb.jpg</t>
  </si>
  <si>
    <t>https://t.co/tJ8cjVRHDL https://pbs.twimg.com/media/F3HG2EtXUAA-sJq.jpg</t>
  </si>
  <si>
    <t>https://t.co/C7mGHaz7i8 https://pbs.twimg.com/media/F4FH8U-WEAA9uhh.jpg</t>
  </si>
  <si>
    <t>https://t.co/JT9pYbmnhC https://pbs.twimg.com/ext_tw_video_thumb/1691435842106003456/pu/img/pKodqeur40mA4SrY.jpg</t>
  </si>
  <si>
    <t>https://t.co/TMl6Jq7PAP https://pbs.twimg.com/amplify_video_thumb/1685457350793039872/img/TeuU3kX0A35IBrT0.jpg</t>
  </si>
  <si>
    <t>https://t.co/V0djJG9HGp https://pbs.twimg.com/media/F6eQhmBWIAAVaGm.jpg</t>
  </si>
  <si>
    <t>https://t.co/7E1ysbNFUa https://pbs.twimg.com/ext_tw_video_thumb/1702823486996054016/pu/img/urfk3GDTQzQ6lRv3.jpg</t>
  </si>
  <si>
    <t>https://t.co/5tzdsB28RJ https://pbs.twimg.com/ext_tw_video_thumb/1702668744068153344/pu/img/e9Va1dmlH01YzLQJ.jpg</t>
  </si>
  <si>
    <t>https://t.co/DYpfeFdVwL https://pbs.twimg.com/ext_tw_video_thumb/1681450721508577280/pu/img/e2CENHVQjZ8kvlo8.jpg</t>
  </si>
  <si>
    <t>https://t.co/QwhEDNakYT https://t.co/QwhEDNakYT https://t.co/QwhEDNakYT https://t.co/QwhEDNakYT https://pbs.twimg.com/media/F6Gys8oWYAAO36i.jpg https://pbs.twimg.com/media/F6GytiIWkAAc3zc.jpg https://pbs.twimg.com/media/F6GyuCkXcAA7RYP.jpg https://pbs.twimg.com/ext_tw_video_thumb/1702838648868118528/pu/img/E8_tHiKR5KaLZ1hI.jpg</t>
  </si>
  <si>
    <t>https://t.co/4tQL8LlWrn https://pbs.twimg.com/media/F5rC2DzXwAApd_r.jpg</t>
  </si>
  <si>
    <t>https://t.co/bLYNmdSZOi https://pbs.twimg.com/ext_tw_video_thumb/1677728991786967040/pu/img/7QyR5nqEuASECcsH.jpg</t>
  </si>
  <si>
    <t>https://t.co/60CmalC8sM https://pbs.twimg.com/media/F3CAYazWEAAfsAF.jpg</t>
  </si>
  <si>
    <t>https://t.co/V7a4JaDqbd https://pbs.twimg.com/media/F2s9IsRWYAAHLwT.jpg</t>
  </si>
  <si>
    <t>https://t.co/NZHveiCwVx https://pbs.twimg.com/media/F0w-hcRXoAAs2_J.jpg</t>
  </si>
  <si>
    <t>https://t.co/6kVbzpmjBJ https://t.co/6kVbzpmjBJ https://t.co/6kVbzpmjBJ https://t.co/6kVbzpmjBJ https://pbs.twimg.com/media/F4E3nTKW8AAHxL-.jpg https://pbs.twimg.com/media/F4E3nRNW0AAtBxG.jpg https://pbs.twimg.com/media/F4E3nTLXUAAQsE9.jpg https://pbs.twimg.com/media/F4E3nTJWAAMQO-S.jpg</t>
  </si>
  <si>
    <t>https://t.co/a3VdGOSK5t https://pbs.twimg.com/media/F6jRXZtWoAAuMbx.png</t>
  </si>
  <si>
    <t>https://t.co/9VOlKL3IVR https://pbs.twimg.com/media/F3q4KbEXAAAv4i6.jpg</t>
  </si>
  <si>
    <t>https://t.co/K3i1ReY1r8 https://pbs.twimg.com/media/F6UQMOkXYAEhxSK.jpg</t>
  </si>
  <si>
    <t>https://t.co/355ordtWm8 https://pbs.twimg.com/media/F6Evw94XAAA-ure.jpg</t>
  </si>
  <si>
    <t>https://t.co/4b5mwCRkYR https://pbs.twimg.com/ext_tw_video_thumb/1694025751207587846/pu/img/MLo7Dla1s0IWIgWs.jpg</t>
  </si>
  <si>
    <t>https://t.co/Ul5mvEqmO8 https://pbs.twimg.com/media/F1VxtVNWAAgSpuk.jpg</t>
  </si>
  <si>
    <t>https://t.co/AQDH4TihC0 https://pbs.twimg.com/media/F5WLhuNXwAAFkLc.jpg</t>
  </si>
  <si>
    <t>https://t.co/5VuLcwRZGq https://pbs.twimg.com/media/F5DccvuW8AAnSsM.jpg</t>
  </si>
  <si>
    <t>https://t.co/kIYWBiHnpu https://pbs.twimg.com/ext_tw_video_thumb/1690920476686577665/pu/img/pfxy-QFA0r-NpOow.jpg</t>
  </si>
  <si>
    <t>https://t.co/W4nEnRIh6T https://pbs.twimg.com/media/F0svBL6WwAARjxM.jpg</t>
  </si>
  <si>
    <t>https://t.co/3uT3cHnX5i https://pbs.twimg.com/media/F4tos9cX0A8zPI0.jpg</t>
  </si>
  <si>
    <t>https://t.co/NU5WFBXoXD https://pbs.twimg.com/media/F37wmMVbEAEa5lo.jpg</t>
  </si>
  <si>
    <t>https://t.co/J39wUbELbQ https://pbs.twimg.com/media/F51Q1OeaIAAVj0u.jpg</t>
  </si>
  <si>
    <t>https://t.co/IPR0E48nJm https://pbs.twimg.com/media/F3_87FaXkAAZiIg.jpg</t>
  </si>
  <si>
    <t>https://t.co/ZK0zzQScRo https://pbs.twimg.com/media/F233oN-W8AAFf4p.jpg</t>
  </si>
  <si>
    <t>https://t.co/49wGE6WTpK https://pbs.twimg.com/media/F3C0RcXW4AAXvo5.jpg</t>
  </si>
  <si>
    <t>https://t.co/zWdpyUTVwk https://pbs.twimg.com/media/F29v5qGWkAAGlvd.jpg</t>
  </si>
  <si>
    <t>https://t.co/GMb8cRBrTp https://pbs.twimg.com/media/F1wgib4XgAEBx7Z.jpg</t>
  </si>
  <si>
    <t>https://t.co/JOniU7brwT https://pbs.twimg.com/media/F0t5pMwWYAEjn0O.jpg</t>
  </si>
  <si>
    <t>https://t.co/y0ECIz1ppI https://pbs.twimg.com/media/Fz_d2-rXsAENxg-.jpg</t>
  </si>
  <si>
    <t>https://t.co/rePCRlHHYZ https://pbs.twimg.com/media/F3_uh2xW8AELERb.jpg</t>
  </si>
  <si>
    <t>https://t.co/J2N2DHbwBH https://pbs.twimg.com/media/F36bAsAXUAAz-XV.jpg</t>
  </si>
  <si>
    <t>https://t.co/psT8HkNEpB https://pbs.twimg.com/media/F0t8irkXwAE9B-u.jpg</t>
  </si>
  <si>
    <t>https://t.co/2OtU7oiZfW https://pbs.twimg.com/media/F0TzxiJWwAEALiE.jpg</t>
  </si>
  <si>
    <t>https://t.co/OhpUEbGLXW https://pbs.twimg.com/media/F0OlIsrX0AAA16j.jpg</t>
  </si>
  <si>
    <t>https://t.co/cyZDbYLIVp https://pbs.twimg.com/media/F4kXwjpXcAAo5FU.jpg</t>
  </si>
  <si>
    <t>https://t.co/EVCYZrXE18 https://pbs.twimg.com/media/F40I1TfWMAEvhyg.jpg</t>
  </si>
  <si>
    <t>https://t.co/BKQkDGoZ5u https://pbs.twimg.com/media/F3cyQr4WQAAKdra.jpg</t>
  </si>
  <si>
    <t>https://t.co/XZiwq4SHxO https://pbs.twimg.com/media/F23iNG7WgAAsuL3.jpg</t>
  </si>
  <si>
    <t>https://t.co/w2XaE0rxHV https://pbs.twimg.com/media/F11kjekWwAARBmI.jpg</t>
  </si>
  <si>
    <t>https://t.co/jhswNtrpzF https://pbs.twimg.com/media/F0h_vEkWIAIK38R.jpg</t>
  </si>
  <si>
    <t>https://t.co/FSFEt47lEV https://pbs.twimg.com/media/F5Hu0XoWIAEVo_f.jpg</t>
  </si>
  <si>
    <t>https://t.co/XPSZ6NJA4k https://pbs.twimg.com/media/F4ae59BXMAAZ-Cw.jpg</t>
  </si>
  <si>
    <t>https://t.co/RNCzZsx6c0 https://pbs.twimg.com/media/F3bhQEWXEAEopWV.jpg</t>
  </si>
  <si>
    <t>https://t.co/mxEvGOtYQ8 https://pbs.twimg.com/media/F5spKisbUAAkOfb.jpg</t>
  </si>
  <si>
    <t>https://t.co/QeVjNUjjXe https://pbs.twimg.com/media/F3csnvkXEAEbAEq.jpg</t>
  </si>
  <si>
    <t>https://t.co/jNlN55YKrj https://pbs.twimg.com/media/F3r5aNtWQAA-Bel.jpg</t>
  </si>
  <si>
    <t>https://t.co/7tiKQUApxf https://pbs.twimg.com/media/F2UgSnyWMAA7Yh7.jpg</t>
  </si>
  <si>
    <t>https://t.co/dmAoF6ScPg https://pbs.twimg.com/media/F1vsRRWXoAEYVHl.jpg</t>
  </si>
  <si>
    <t>https://t.co/eLbdebvg7Q https://pbs.twimg.com/media/F6QwsEdW8AASP6I.jpg</t>
  </si>
  <si>
    <t>https://t.co/LLtKlBojO5 https://pbs.twimg.com/media/F6P0m26WcAA8rmM.jpg</t>
  </si>
  <si>
    <t>https://t.co/R2HHD7O3n7 https://pbs.twimg.com/media/F3cbvlfXMAEYNO0.jpg</t>
  </si>
  <si>
    <t>https://t.co/w8pxOKHlDl https://pbs.twimg.com/media/F2eXdUlaAAUvB-2.jpg</t>
  </si>
  <si>
    <t>https://t.co/Bl8dpbCir5 https://pbs.twimg.com/media/F1MENrrXoAA9FNh.jpg</t>
  </si>
  <si>
    <t>https://t.co/WEKNbVdmKa https://pbs.twimg.com/media/F60EVkcWsAAe5kt.jpg</t>
  </si>
  <si>
    <t>https://t.co/WFoa88SXdL https://pbs.twimg.com/media/F6QS-6CWEAAyPJn.jpg</t>
  </si>
  <si>
    <t>https://t.co/ZC2nii8eOZ https://pbs.twimg.com/media/F23758EWUAAJ2F8.jpg</t>
  </si>
  <si>
    <t>https://t.co/OvhyLkS1Qw https://pbs.twimg.com/media/F2OGbJbWIAAXB2_.jpg</t>
  </si>
  <si>
    <t>https://t.co/ZFdzTCQ0ah https://pbs.twimg.com/media/F0uFEIaWIAIKPqV.jpg</t>
  </si>
  <si>
    <t>https://t.co/bkO9H0hcjI https://pbs.twimg.com/media/F085DTJX0AA-g6N.jpg</t>
  </si>
  <si>
    <t>https://t.co/fL18wQawvu https://pbs.twimg.com/media/F60Uin_XMAA0f5N.jpg</t>
  </si>
  <si>
    <t>https://t.co/p33Lwwnaje https://pbs.twimg.com/media/F5shRjNbAAAIpUD.jpg</t>
  </si>
  <si>
    <t>https://t.co/EzROwRUYVh https://pbs.twimg.com/media/F5IgAaTWwAA0bYy.jpg</t>
  </si>
  <si>
    <t>https://t.co/Au4hWZy6Js https://pbs.twimg.com/media/F4kKl7QWQAA5Bmk.jpg</t>
  </si>
  <si>
    <t>https://t.co/0sOTNVpyEr https://pbs.twimg.com/media/F3cj8dqX0AAtTK0.jpg</t>
  </si>
  <si>
    <t>https://t.co/cWpzL8A3v8 https://pbs.twimg.com/media/F2UXh90WQAAtOEx.jpg</t>
  </si>
  <si>
    <t>https://t.co/kZKtbv2wGX https://pbs.twimg.com/media/F1p-TGlX0AArECV.jpg</t>
  </si>
  <si>
    <t>https://t.co/ZgeCwUoAGj https://pbs.twimg.com/media/F1cKfUWWAAYH20C.jpg</t>
  </si>
  <si>
    <t>https://t.co/gS0bMYOncU https://t.co/gS0bMYOncU https://pbs.twimg.com/media/F2p17NtWgAAlNm9.jpg https://pbs.twimg.com/media/F2p17NYXwAA6ryI.jpg</t>
  </si>
  <si>
    <t>https://t.co/wCpmlt9Zn0 https://t.co/wCpmlt9Zn0 https://pbs.twimg.com/media/F2pziM1XkAAvjOK.jpg https://pbs.twimg.com/media/F2pziMSXcAA38vu.jpg</t>
  </si>
  <si>
    <t>https://t.co/UFygHKvPyk https://t.co/UFygHKvPyk https://pbs.twimg.com/media/F2py8peWIAAUZSl.jpg https://pbs.twimg.com/media/F2py8pEWkAAC9tS.jpg</t>
  </si>
  <si>
    <t>https://t.co/PpYgtaXgMG https://t.co/PpYgtaXgMG https://pbs.twimg.com/media/F2pydsEXIAAv0TH.jpg https://pbs.twimg.com/media/F2pydsHWsAEQFVP.jpg</t>
  </si>
  <si>
    <t>https://t.co/MjTHzzauz2 https://t.co/MjTHzzauz2 https://pbs.twimg.com/media/F2px7meXkAAmslW.jpg https://pbs.twimg.com/media/F2px7mYXIAAK_iy.jpg</t>
  </si>
  <si>
    <t>https://t.co/7Up1OPruFb https://t.co/7Up1OPruFb https://pbs.twimg.com/media/F2pwsSCW8AAEy-8.jpg https://pbs.twimg.com/media/F2pwsSBXUAAbqL2.jpg</t>
  </si>
  <si>
    <t>https://t.co/WQ5tLb7Guj https://t.co/WQ5tLb7Guj https://t.co/WQ5tLb7Guj https://pbs.twimg.com/media/F2pr6CBWkAAhIEB.jpg https://pbs.twimg.com/media/F2pr6CCWEAAmH0P.jpg https://pbs.twimg.com/media/F2pr6CAXoAA_234.jpg</t>
  </si>
  <si>
    <t>https://t.co/vCflcWIOTp https://pbs.twimg.com/ext_tw_video_thumb/1696914518478077952/pu/img/ZxOOpzPcw43Gznaa.jpg</t>
  </si>
  <si>
    <t>https://t.co/8PoJ1y9zim https://pbs.twimg.com/media/F1ez7JXWwAEd73x.jpg</t>
  </si>
  <si>
    <t>https://t.co/ev909qDwug https://pbs.twimg.com/media/F1VSaqKXwAsdSCy.jpg</t>
  </si>
  <si>
    <t>https://t.co/NyrSbHN0sm https://pbs.twimg.com/ext_tw_video_thumb/1702073154452000768/pu/img/v7ncTeQ8GmGFKyqM.jpg</t>
  </si>
  <si>
    <t>https://t.co/Bk46YUn7Ok https://pbs.twimg.com/media/F6b7kQYXQAAKkE6.jpg</t>
  </si>
  <si>
    <t>https://t.co/vgLTj3KRxi https://pbs.twimg.com/ext_tw_video_thumb/1678733892264534023/pu/img/FyZwt9-b3WO8FPtb.jpg</t>
  </si>
  <si>
    <t>https://t.co/pes70cbGbP https://pbs.twimg.com/media/F1Zat1naIAE2iTY.jpg</t>
  </si>
  <si>
    <t>https://t.co/HUItsdBUpL https://pbs.twimg.com/media/F1UVhuuaYAAOZtV.jpg</t>
  </si>
  <si>
    <t>https://t.co/kCUeLgMRwg https://pbs.twimg.com/media/F45yciqXsAADjl9.jpg</t>
  </si>
  <si>
    <t>https://t.co/4UX0sTm2JG https://pbs.twimg.com/ext_tw_video_thumb/1689818458165223424/pu/img/QHsK9vl1Ap90FEAU.jpg</t>
  </si>
  <si>
    <t>https://t.co/0ZcDp0UBPw https://pbs.twimg.com/media/F1UR1FRX0AAUF2r.jpg</t>
  </si>
  <si>
    <t>https://t.co/E0uGLXx9wY https://pbs.twimg.com/media/F5gu2lNWkAAcRJ2.jpg</t>
  </si>
  <si>
    <t>https://t.co/bnmMQ2BhfY https://pbs.twimg.com/ext_tw_video_thumb/1683624591061577728/pu/img/YOGQAyDYp6TBY58e.jpg</t>
  </si>
  <si>
    <t>https://t.co/fcZJ5C6J3f https://pbs.twimg.com/ext_tw_video_thumb/1685764979843084288/pu/img/yVLyJHlVVMQm0L0S.jpg</t>
  </si>
  <si>
    <t>https://t.co/sFgBEUar6t https://pbs.twimg.com/media/F4LdxQWWAAA5OuU.jpg</t>
  </si>
  <si>
    <t>https://t.co/lrUxPIeO6T https://pbs.twimg.com/media/F44I4z6XoAAy-Qy.jpg</t>
  </si>
  <si>
    <t>https://t.co/lHvdjZfqFF https://pbs.twimg.com/media/F5wHf2_WEAANYqi.jpg</t>
  </si>
  <si>
    <t>https://t.co/dV1ZjNEAA3 https://pbs.twimg.com/media/F64Osi2XgAAISOc.jpg</t>
  </si>
  <si>
    <t>https://t.co/mEZw8mHZjT https://t.co/mEZw8mHZjT https://t.co/mEZw8mHZjT https://t.co/mEZw8mHZjT https://pbs.twimg.com/media/F5x8LBzX0AAb1xH.jpg https://pbs.twimg.com/media/F5x8LXaWUAAh6QM.jpg https://pbs.twimg.com/media/F5x8LmYXsAAOYUL.jpg https://pbs.twimg.com/media/F5x8L13XgAAywyc.jpg</t>
  </si>
  <si>
    <t>https://t.co/rush82FkCF https://t.co/rush82FkCF https://t.co/rush82FkCF https://pbs.twimg.com/media/F6F3L-xXIAA6mxY.jpg https://pbs.twimg.com/media/F6F3MNHXQAAwZDP.jpg https://pbs.twimg.com/media/F6F3MbTXcAAENtB.jpg</t>
  </si>
  <si>
    <t>https://t.co/jUCLvdfXv5 https://t.co/jUCLvdfXv5 https://t.co/jUCLvdfXv5 https://pbs.twimg.com/media/F5l7ylNW8AAGH_m.jpg https://pbs.twimg.com/media/F5l7yvhWcAA34_T.jpg https://pbs.twimg.com/media/F5l7y6KXAAAn6J2.jpg</t>
  </si>
  <si>
    <t>https://t.co/g1Ihw19DV6 https://t.co/g1Ihw19DV6 https://pbs.twimg.com/media/F5C7eO9XAAAAAZl.jpg https://pbs.twimg.com/media/F5C7ee0WYAEC8si.jpg</t>
  </si>
  <si>
    <t>https://t.co/JVfM6WiYXp https://t.co/JVfM6WiYXp https://t.co/JVfM6WiYXp https://pbs.twimg.com/media/F6QNyv5W4AAsGrE.jpg https://pbs.twimg.com/media/F6QNzBdW4AEJ5PI.jpg https://pbs.twimg.com/media/F6QNzN2WoAAz16N.jpg</t>
  </si>
  <si>
    <t>https://t.co/OybshZg6ml https://pbs.twimg.com/ext_tw_video_thumb/1702653239001325569/pu/img/KdTvqIEp3DwXhOX6.jpg</t>
  </si>
  <si>
    <t>https://t.co/1fvWY25kWO https://pbs.twimg.com/ext_tw_video_thumb/1700118001335336960/pu/img/Co-LJp6J55jWufs0.jpg</t>
  </si>
  <si>
    <t>https://t.co/clImM4ZxBV https://pbs.twimg.com/ext_tw_video_thumb/1703787683112185856/pu/img/x_w3JMlC8T6fM-9p.jpg</t>
  </si>
  <si>
    <t>https://t.co/rAPLqzepue https://pbs.twimg.com/ext_tw_video_thumb/1701688155617792000/pu/img/D6-NzAjeabwNQcc0.jpg</t>
  </si>
  <si>
    <t>https://t.co/z26KtyQXZy https://t.co/z26KtyQXZy https://t.co/z26KtyQXZy https://t.co/z26KtyQXZy https://pbs.twimg.com/media/F6WC9-SWgAAFGvS.jpg https://pbs.twimg.com/media/F6WC-PrXYAAS0FO.jpg https://pbs.twimg.com/media/F6WC-daXIAAagNR.jpg https://pbs.twimg.com/media/F6WC-qAWUAAjNsR.jpg</t>
  </si>
  <si>
    <t>https://t.co/cf520SPs7E https://t.co/cf520SPs7E https://t.co/cf520SPs7E https://pbs.twimg.com/media/F5rCWhPWMAA9Ymt.jpg https://pbs.twimg.com/media/F5rCWyFXMAAinqS.jpg https://pbs.twimg.com/media/F5rCXAWW0AAuk0E.jpg</t>
  </si>
  <si>
    <t>https://t.co/MI1dKShHcX https://pbs.twimg.com/media/F6U6KJFW0AAT7T-.jpg</t>
  </si>
  <si>
    <t>https://t.co/ZUy9ZrvWvR https://pbs.twimg.com/media/F6U6DwcWYAQ2Dl-.jpg</t>
  </si>
  <si>
    <t>https://t.co/xbUFMf4vYb https://pbs.twimg.com/media/F6U5vCcWoAA7Yg9.jpg</t>
  </si>
  <si>
    <t>https://t.co/aLGkjJVGjt https://pbs.twimg.com/media/F6U3Xe8XwAAoBlb.jpg</t>
  </si>
  <si>
    <t>https://t.co/FU0NUyH3n6 https://pbs.twimg.com/media/F6U3PqFWwAA65iC.jpg</t>
  </si>
  <si>
    <t>https://t.co/uPxzSoPEk0 https://pbs.twimg.com/ext_tw_video_thumb/1704175837824647168/pu/img/WHxDwLKoCqSLXVOI.jpg</t>
  </si>
  <si>
    <t>https://t.co/VEzZ1RPssh https://pbs.twimg.com/media/F6Zyr9wWoAA1LRJ.jpg</t>
  </si>
  <si>
    <t>https://t.co/PTBy8B4sOE https://pbs.twimg.com/media/F6ZyTSXWUAAW7jQ.jpg</t>
  </si>
  <si>
    <t>https://t.co/U1ZMaPxHw5 https://pbs.twimg.com/media/F0MneJ6XsAU1hCk.jpg</t>
  </si>
  <si>
    <t>https://t.co/H1NPJvdJ99 https://pbs.twimg.com/media/F4y81ujXgAEz-e2.jpg</t>
  </si>
  <si>
    <t>https://t.co/hQY5BrJaRw https://pbs.twimg.com/media/F3q78YHWwAAcKT2.jpg</t>
  </si>
  <si>
    <t>https://t.co/8p4i3YbzOD https://pbs.twimg.com/media/F6F5N2QWAAA5ioT.jpg</t>
  </si>
  <si>
    <t>https://t.co/9snvDZRERI https://pbs.twimg.com/amplify_video_thumb/1691878036126445574/img/yH_Zz1ATt0ThpVRQ.jpg</t>
  </si>
  <si>
    <t>https://t.co/7hRQdL25ZE https://pbs.twimg.com/amplify_video_thumb/1689664556610527232/img/JoB9biBUck40tLzL.jpg</t>
  </si>
  <si>
    <t>https://t.co/GNfWS6x0Rr https://pbs.twimg.com/amplify_video_thumb/1689662300557332480/img/YKz5AQyQ1sRMNL5y.jpg</t>
  </si>
  <si>
    <t>https://t.co/FcXsQeNrUy https://pbs.twimg.com/amplify_video_thumb/1689661154279276545/img/Cq6IvBEDORiJ_5P2.jpg</t>
  </si>
  <si>
    <t>https://t.co/nAWLBiEiPm https://pbs.twimg.com/amplify_video_thumb/1689659827637624832/img/cQkWpsRawkj6mpG8.jpg</t>
  </si>
  <si>
    <t>https://t.co/LzkkmGhpTc https://pbs.twimg.com/amplify_video_thumb/1685016215876403202/img/zAx3Q_AUPb0dZi1K.jpg</t>
  </si>
  <si>
    <t>https://t.co/eiGmzWXsjK https://pbs.twimg.com/amplify_video_thumb/1695782382819794944/img/j7yWZjxW0WPwE7dx.jpg</t>
  </si>
  <si>
    <t>https://t.co/KZoCtjE1bL https://pbs.twimg.com/amplify_video_thumb/1700237716284231680/img/G2Zw3SFANXqMkCZ7.jpg</t>
  </si>
  <si>
    <t>https://t.co/C16oYPZ675 https://pbs.twimg.com/amplify_video_thumb/1699811448673771520/img/GPv_ewYkhlrkDtnk.jpg</t>
  </si>
  <si>
    <t>https://t.co/NQiBO7yaCw https://pbs.twimg.com/amplify_video_thumb/1700177087879888896/img/N2Ua9PrHmyyyVNEt.jpg</t>
  </si>
  <si>
    <t>https://t.co/JtlLRIH9KO https://pbs.twimg.com/amplify_video_thumb/1677700621397291009/img/yemsUo5H0F3rucPz.jpg</t>
  </si>
  <si>
    <t>https://t.co/atsjnnoQF5 https://pbs.twimg.com/amplify_video_thumb/1700237446904991744/img/v5FkNhsv264tBny9.jpg</t>
  </si>
  <si>
    <t>https://t.co/TkFbNcm5MT https://pbs.twimg.com/amplify_video_thumb/1704499331519184896/img/xItBZnYz0SKiAn5c.jpg</t>
  </si>
  <si>
    <t>https://t.co/1DXT46rVAD https://pbs.twimg.com/amplify_video_thumb/1689657289773342720/img/ySb7KeQ8sZIFbGOz.jpg</t>
  </si>
  <si>
    <t>https://t.co/dS13zA8f2h https://pbs.twimg.com/amplify_video_thumb/1689655833716563968/img/uByPLrL4hCnEj4tc.jpg</t>
  </si>
  <si>
    <t>https://t.co/LlMB9Gob3Q https://pbs.twimg.com/media/F0X_3GsXsAEtmib.jpg</t>
  </si>
  <si>
    <t>https://t.co/DI1WG1I6D6 https://t.co/DI1WG1I6D6 https://t.co/DI1WG1I6D6 https://t.co/DI1WG1I6D6 https://pbs.twimg.com/media/F31YGWSW4AAd1Ip.jpg https://pbs.twimg.com/media/F31YGYFWMAIgQHk.jpg https://pbs.twimg.com/media/F31YGZxXQAEa7d6.jpg https://pbs.twimg.com/media/F31YGbTXEAAz4sU.jpg</t>
  </si>
  <si>
    <t>https://t.co/gUVIrOak2S https://pbs.twimg.com/media/F2NLrHXX0AAocNy.jpg</t>
  </si>
  <si>
    <t>https://t.co/vRPhigyfV0 https://pbs.twimg.com/ext_tw_video_thumb/1681275218218606592/pu/img/EWPlpbkN3SWcrLCL.jpg</t>
  </si>
  <si>
    <t>https://t.co/d0xBD3GpFY https://pbs.twimg.com/ext_tw_video_thumb/1677748890643070977/pu/img/Qs2E6ON-2tlsvKtR.jpg</t>
  </si>
  <si>
    <t>https://t.co/Tnk4UK5wdz https://pbs.twimg.com/ext_tw_video_thumb/1680004978713276416/pu/img/ghCjC72Z8yp6wAyl.jpg</t>
  </si>
  <si>
    <t>https://t.co/GhGFj0vGp6 https://pbs.twimg.com/ext_tw_video_thumb/1680004681089597442/pu/img/Ob0ciRph7NBnjpQs.jpg</t>
  </si>
  <si>
    <t>https://t.co/WQUEihfFr7 https://pbs.twimg.com/ext_tw_video_thumb/1690233743779201025/pu/img/3bY9CwiBqYJMUvZw.jpg</t>
  </si>
  <si>
    <t>https://t.co/OwAZ0KyqWK https://t.co/OwAZ0KyqWK https://t.co/OwAZ0KyqWK https://pbs.twimg.com/media/F3q6APmXUAAZwfw.jpg https://pbs.twimg.com/media/F3q6BVEXsAAA62a.jpg https://pbs.twimg.com/media/F3q6DFOXYAAhRTd.jpg</t>
  </si>
  <si>
    <t>https://t.co/1X1CRFYEHk https://pbs.twimg.com/ext_tw_video_thumb/1705054729850458112/pu/img/dnNCB-Spk48JGN6L.jpg</t>
  </si>
  <si>
    <t>https://t.co/LT4HZbK2Fq https://pbs.twimg.com/media/F2AvNY_WIAUjPHI.jpg</t>
  </si>
  <si>
    <t>https://t.co/InrIf34whZ https://pbs.twimg.com/ext_tw_video_thumb/1681062030231367681/pu/img/aVVUSXCwatOlzmLL.jpg</t>
  </si>
  <si>
    <t>https://t.co/lkswfdcJuG https://pbs.twimg.com/ext_tw_video_thumb/1677642748596297728/pu/img/DiM0E0nHzhe8ySfv.jpg</t>
  </si>
  <si>
    <t>https://t.co/wnMEAFHFWq https://pbs.twimg.com/media/F1-APcqWIAU1KIM.jpg</t>
  </si>
  <si>
    <t>https://t.co/yyj3doMs5x https://pbs.twimg.com/media/F0MdTVGWIAQ446u.jpg</t>
  </si>
  <si>
    <t>https://t.co/MMxQJu0uIm https://pbs.twimg.com/media/F02o05aWwAA0mB3.jpg</t>
  </si>
  <si>
    <t>https://t.co/iBP85can5Y https://pbs.twimg.com/media/F30HdC9XIAAcS8y.png</t>
  </si>
  <si>
    <t>https://t.co/CRdXrQQCbv https://pbs.twimg.com/media/F2_y2c6XkAAM5yC.jpg</t>
  </si>
  <si>
    <t>https://t.co/eXQlTbS3BN https://pbs.twimg.com/media/F3Q8B0gXsAEzo5V.jpg</t>
  </si>
  <si>
    <t>https://t.co/7WHd6Jez5A https://pbs.twimg.com/media/F0Rlv_sXgAAZP8K.jpg</t>
  </si>
  <si>
    <t>https://t.co/TXQnGPnf8g https://pbs.twimg.com/media/F3DpJOrXQAAqSUc.jpg</t>
  </si>
  <si>
    <t>https://t.co/KExOHwZVBR https://pbs.twimg.com/ext_tw_video_thumb/1698880117248856064/pu/img/34SOjx6GycW-wrpL.jpg</t>
  </si>
  <si>
    <t>https://t.co/0GCMCFZZL8 https://pbs.twimg.com/media/F27S26IXEAETvDc.jpg</t>
  </si>
  <si>
    <t>https://t.co/rA9MsVImTh https://pbs.twimg.com/media/F27SzgPW0AEj2oV.jpg</t>
  </si>
  <si>
    <t>https://t.co/nqo945BaEv https://pbs.twimg.com/media/F27SufLWIAAhOKQ.jpg</t>
  </si>
  <si>
    <t>https://t.co/OKucEetJ6U https://pbs.twimg.com/media/F27Sp-hX0AArwRu.jpg</t>
  </si>
  <si>
    <t>https://t.co/bCIoipSJNP https://pbs.twimg.com/media/F27SeM-WIAANEIY.jpg</t>
  </si>
  <si>
    <t>https://t.co/YWwz1FfjRu https://pbs.twimg.com/media/F27SYVQWUAEVKYs.jpg</t>
  </si>
  <si>
    <t>https://t.co/njrAKdy1oa https://pbs.twimg.com/media/F27STrGWAAApyeK.jpg</t>
  </si>
  <si>
    <t>https://t.co/48FynRrj1l https://pbs.twimg.com/media/F27SQaJWkAE2Bm5.jpg</t>
  </si>
  <si>
    <t>https://t.co/asYkHFBb4t https://pbs.twimg.com/media/F27SEaJXkAAvnQk.jpg</t>
  </si>
  <si>
    <t>https://t.co/LkMWH1Inko https://pbs.twimg.com/media/F27RgCnWAAAwgqP.jpg</t>
  </si>
  <si>
    <t>https://t.co/n0swUDxboA https://pbs.twimg.com/media/F27Rb9-XMAACpBL.jpg</t>
  </si>
  <si>
    <t>https://t.co/Pw6WozZdGv https://pbs.twimg.com/media/F27RUE5XoAESAPi.jpg</t>
  </si>
  <si>
    <t>https://t.co/sbYVp59jAn https://pbs.twimg.com/media/F27ROIOXYAAvOaw.jpg</t>
  </si>
  <si>
    <t>https://t.co/UCeQ0hflcH https://pbs.twimg.com/media/F2mxoYzWEAAWl6m.jpg</t>
  </si>
  <si>
    <t>https://t.co/DZ0FYxZWj8 https://pbs.twimg.com/media/F2mxfqHXcAA2WsV.jpg</t>
  </si>
  <si>
    <t>https://t.co/ezGS3ZqbVv https://pbs.twimg.com/media/F2mxbdQXMAALSZb.jpg</t>
  </si>
  <si>
    <t>https://t.co/8F93Cu15PW https://pbs.twimg.com/media/F2mxJNBWIAA5ocl.jpg</t>
  </si>
  <si>
    <t>https://t.co/7HWTWXICTC https://pbs.twimg.com/media/F4pWHYWXsAAwqwk.jpg</t>
  </si>
  <si>
    <t>https://t.co/JPHuW2GWxE https://pbs.twimg.com/ext_tw_video_thumb/1690710557240745986/pu/img/fZmLXJ78s1eslGpf.jpg</t>
  </si>
  <si>
    <t>https://t.co/iC7Io7NS6f https://pbs.twimg.com/media/F1e2PeoWYAIkyFe.jpg</t>
  </si>
  <si>
    <t>https://t.co/4rJtuXvQwM https://pbs.twimg.com/media/F2dV3wCX0AUAjUk.jpg</t>
  </si>
  <si>
    <t>https://t.co/zR2BDQ2vS7 https://pbs.twimg.com/ext_tw_video_thumb/1696698719800844288/pu/img/p-z60lg4u5f2rJOq.jpg</t>
  </si>
  <si>
    <t>https://t.co/yOQpNilSbW https://pbs.twimg.com/ext_tw_video_thumb/1685354520677675008/pu/img/thXMwSqgklULT3nq.jpg</t>
  </si>
  <si>
    <t>https://t.co/42KeVHU2DX https://t.co/42KeVHU2DX https://pbs.twimg.com/media/F1BkjRHWIAA-vFq.jpg https://pbs.twimg.com/media/F1BkjRFWwAEdvgD.jpg</t>
  </si>
  <si>
    <t>https://t.co/7qhNblre1f https://pbs.twimg.com/media/F1BR5ZHWwA4dsm3.jpg</t>
  </si>
  <si>
    <t>https://t.co/laRbq1Izvf https://pbs.twimg.com/media/F2eOGi8aAAITMgl.jpg</t>
  </si>
  <si>
    <t>https://t.co/zmXuUyj3jO https://pbs.twimg.com/media/F3qKeDUXQAAsJBh.jpg</t>
  </si>
  <si>
    <t>video</t>
  </si>
  <si>
    <t>photo</t>
  </si>
  <si>
    <t>photo photo photo photo</t>
  </si>
  <si>
    <t>photo photo photo</t>
  </si>
  <si>
    <t>photo photo</t>
  </si>
  <si>
    <t>animated_gif</t>
  </si>
  <si>
    <t>video photo video photo</t>
  </si>
  <si>
    <t>video photo</t>
  </si>
  <si>
    <t>video photo photo photo</t>
  </si>
  <si>
    <t>photo photo photo video</t>
  </si>
  <si>
    <t>Twitter Web App</t>
  </si>
  <si>
    <t>Twitter for iPhone</t>
  </si>
  <si>
    <t>Twitter for Android</t>
  </si>
  <si>
    <t>mLabs - Gestão de Redes Sociais</t>
  </si>
  <si>
    <t>1662080430382755840markus_zell</t>
  </si>
  <si>
    <t>Etus Brasil</t>
  </si>
  <si>
    <t>Reddit Official</t>
  </si>
  <si>
    <t>TweetDeck Web App</t>
  </si>
  <si>
    <t>N8N-FlavioPavanelli</t>
  </si>
  <si>
    <t>Wix Apps</t>
  </si>
  <si>
    <t>Buffer</t>
  </si>
  <si>
    <t>Twitter Media Studio</t>
  </si>
  <si>
    <t>Vista Social Twitter</t>
  </si>
  <si>
    <t>Semrush Social Media Tool</t>
  </si>
  <si>
    <t>Zapier.com</t>
  </si>
  <si>
    <t>Blog2Social APP</t>
  </si>
  <si>
    <t>Sprinklr</t>
  </si>
  <si>
    <t>LinkedIn</t>
  </si>
  <si>
    <t>Hootsuite Inc.</t>
  </si>
  <si>
    <t>1675236863492124674syscoin_spa</t>
  </si>
  <si>
    <t>Swonkie App</t>
  </si>
  <si>
    <t>Mundiware Elite CS 2</t>
  </si>
  <si>
    <t>iBahia</t>
  </si>
  <si>
    <t>HubSpot</t>
  </si>
  <si>
    <t>IFTTT</t>
  </si>
  <si>
    <t>TheInfoVeritas</t>
  </si>
  <si>
    <t>TweetDeck</t>
  </si>
  <si>
    <t>Sociabble For Twitter</t>
  </si>
  <si>
    <t>Canva</t>
  </si>
  <si>
    <t>Tweet Hunter Pro</t>
  </si>
  <si>
    <t>GoDaddy Social App</t>
  </si>
  <si>
    <t>Spreaker</t>
  </si>
  <si>
    <t>Zoho Social</t>
  </si>
  <si>
    <t xml:space="preserve">Buzzmonitor </t>
  </si>
  <si>
    <t>Uncanny Automator for WordPress</t>
  </si>
  <si>
    <t>Hypefury</t>
  </si>
  <si>
    <t>MosscaXYZ_Radaar</t>
  </si>
  <si>
    <t>PubSrInfo</t>
  </si>
  <si>
    <t>Twitter Media Studio - LiveCut</t>
  </si>
  <si>
    <t>Pallyy</t>
  </si>
  <si>
    <t>Nuelink</t>
  </si>
  <si>
    <t>Constant Contact - Social Posts</t>
  </si>
  <si>
    <t>Publer.io</t>
  </si>
  <si>
    <t>Emplifi</t>
  </si>
  <si>
    <t>SocialPilot.co</t>
  </si>
  <si>
    <t>Economic News Brasil</t>
  </si>
  <si>
    <t>SocialFlow</t>
  </si>
  <si>
    <t>RD Station</t>
  </si>
  <si>
    <t>1661747538062639104apiapi84016</t>
  </si>
  <si>
    <t>1678332205737693184apo_source_</t>
  </si>
  <si>
    <t>Adobe Express</t>
  </si>
  <si>
    <t>1662265880124747779carreirapro</t>
  </si>
  <si>
    <t>vamos_automatizar</t>
  </si>
  <si>
    <t>BeAmbassador-ES</t>
  </si>
  <si>
    <t>Metricool</t>
  </si>
  <si>
    <t>aleatoriando.com.br</t>
  </si>
  <si>
    <t>Nelio Content</t>
  </si>
  <si>
    <t>publicarlinks</t>
  </si>
  <si>
    <t>giovani</t>
  </si>
  <si>
    <t>tnonline</t>
  </si>
  <si>
    <t>Haiilo Share</t>
  </si>
  <si>
    <t>en</t>
  </si>
  <si>
    <t>pt</t>
  </si>
  <si>
    <t>qme</t>
  </si>
  <si>
    <t>und</t>
  </si>
  <si>
    <t>it</t>
  </si>
  <si>
    <t>es</t>
  </si>
  <si>
    <t>qht</t>
  </si>
  <si>
    <t>in</t>
  </si>
  <si>
    <t>ro</t>
  </si>
  <si>
    <t>ca</t>
  </si>
  <si>
    <t>hu</t>
  </si>
  <si>
    <t>cy</t>
  </si>
  <si>
    <t>et</t>
  </si>
  <si>
    <t>zxx</t>
  </si>
  <si>
    <t>08:15:21</t>
  </si>
  <si>
    <t>19:01:51</t>
  </si>
  <si>
    <t>12:39:30</t>
  </si>
  <si>
    <t>20:05:21</t>
  </si>
  <si>
    <t>16:44:24</t>
  </si>
  <si>
    <t>00:54:48</t>
  </si>
  <si>
    <t>19:17:29</t>
  </si>
  <si>
    <t>21:42:52</t>
  </si>
  <si>
    <t>18:04:07</t>
  </si>
  <si>
    <t>05:11:16</t>
  </si>
  <si>
    <t>16:26:28</t>
  </si>
  <si>
    <t>11:00:43</t>
  </si>
  <si>
    <t>14:21:51</t>
  </si>
  <si>
    <t>17:40:38</t>
  </si>
  <si>
    <t>14:41:10</t>
  </si>
  <si>
    <t>20:59:40</t>
  </si>
  <si>
    <t>20:48:13</t>
  </si>
  <si>
    <t>17:06:05</t>
  </si>
  <si>
    <t>10:15:25</t>
  </si>
  <si>
    <t>10:35:11</t>
  </si>
  <si>
    <t>10:35:19</t>
  </si>
  <si>
    <t>10:05:37</t>
  </si>
  <si>
    <t>10:25:12</t>
  </si>
  <si>
    <t>12:35:16</t>
  </si>
  <si>
    <t>16:31:36</t>
  </si>
  <si>
    <t>15:03:35</t>
  </si>
  <si>
    <t>15:03:08</t>
  </si>
  <si>
    <t>15:05:08</t>
  </si>
  <si>
    <t>15:05:36</t>
  </si>
  <si>
    <t>15:04:08</t>
  </si>
  <si>
    <t>15:04:12</t>
  </si>
  <si>
    <t>15:31:25</t>
  </si>
  <si>
    <t>02:25:21</t>
  </si>
  <si>
    <t>10:10:37</t>
  </si>
  <si>
    <t>19:25:14</t>
  </si>
  <si>
    <t>19:40:10</t>
  </si>
  <si>
    <t>16:49:37</t>
  </si>
  <si>
    <t>20:08:54</t>
  </si>
  <si>
    <t>01:10:00</t>
  </si>
  <si>
    <t>05:06:45</t>
  </si>
  <si>
    <t>01:18:36</t>
  </si>
  <si>
    <t>15:21:05</t>
  </si>
  <si>
    <t>22:55:24</t>
  </si>
  <si>
    <t>16:52:55</t>
  </si>
  <si>
    <t>11:36:32</t>
  </si>
  <si>
    <t>02:02:16</t>
  </si>
  <si>
    <t>11:04:55</t>
  </si>
  <si>
    <t>01:29:35</t>
  </si>
  <si>
    <t>20:01:45</t>
  </si>
  <si>
    <t>23:18:09</t>
  </si>
  <si>
    <t>03:22:06</t>
  </si>
  <si>
    <t>15:07:26</t>
  </si>
  <si>
    <t>16:46:32</t>
  </si>
  <si>
    <t>11:05:01</t>
  </si>
  <si>
    <t>02:07:05</t>
  </si>
  <si>
    <t>18:28:56</t>
  </si>
  <si>
    <t>13:42:42</t>
  </si>
  <si>
    <t>15:36:02</t>
  </si>
  <si>
    <t>22:10:58</t>
  </si>
  <si>
    <t>21:26:03</t>
  </si>
  <si>
    <t>17:29:33</t>
  </si>
  <si>
    <t>14:28:13</t>
  </si>
  <si>
    <t>01:06:25</t>
  </si>
  <si>
    <t>21:46:29</t>
  </si>
  <si>
    <t>23:42:41</t>
  </si>
  <si>
    <t>16:37:51</t>
  </si>
  <si>
    <t>15:00:47</t>
  </si>
  <si>
    <t>17:55:40</t>
  </si>
  <si>
    <t>21:08:40</t>
  </si>
  <si>
    <t>19:11:15</t>
  </si>
  <si>
    <t>15:38:02</t>
  </si>
  <si>
    <t>00:53:32</t>
  </si>
  <si>
    <t>14:03:36</t>
  </si>
  <si>
    <t>20:00:54</t>
  </si>
  <si>
    <t>17:17:36</t>
  </si>
  <si>
    <t>17:05:09</t>
  </si>
  <si>
    <t>14:21:15</t>
  </si>
  <si>
    <t>10:21:04</t>
  </si>
  <si>
    <t>11:53:04</t>
  </si>
  <si>
    <t>11:39:42</t>
  </si>
  <si>
    <t>13:02:08</t>
  </si>
  <si>
    <t>15:37:26</t>
  </si>
  <si>
    <t>15:56:24</t>
  </si>
  <si>
    <t>19:54:14</t>
  </si>
  <si>
    <t>19:33:37</t>
  </si>
  <si>
    <t>21:21:43</t>
  </si>
  <si>
    <t>19:12:47</t>
  </si>
  <si>
    <t>16:48:53</t>
  </si>
  <si>
    <t>15:51:37</t>
  </si>
  <si>
    <t>18:03:50</t>
  </si>
  <si>
    <t>22:25:06</t>
  </si>
  <si>
    <t>02:48:31</t>
  </si>
  <si>
    <t>01:16:40</t>
  </si>
  <si>
    <t>19:16:56</t>
  </si>
  <si>
    <t>18:25:42</t>
  </si>
  <si>
    <t>21:05:25</t>
  </si>
  <si>
    <t>21:02:55</t>
  </si>
  <si>
    <t>14:11:40</t>
  </si>
  <si>
    <t>15:01:15</t>
  </si>
  <si>
    <t>21:03:45</t>
  </si>
  <si>
    <t>16:00:43</t>
  </si>
  <si>
    <t>15:03:13</t>
  </si>
  <si>
    <t>14:41:22</t>
  </si>
  <si>
    <t>21:02:47</t>
  </si>
  <si>
    <t>21:00:49</t>
  </si>
  <si>
    <t>21:02:40</t>
  </si>
  <si>
    <t>14:02:30</t>
  </si>
  <si>
    <t>21:03:06</t>
  </si>
  <si>
    <t>21:00:29</t>
  </si>
  <si>
    <t>16:00:19</t>
  </si>
  <si>
    <t>15:02:29</t>
  </si>
  <si>
    <t>15:02:45</t>
  </si>
  <si>
    <t>21:03:30</t>
  </si>
  <si>
    <t>14:02:18</t>
  </si>
  <si>
    <t>15:03:11</t>
  </si>
  <si>
    <t>21:01:20</t>
  </si>
  <si>
    <t>15:12:11</t>
  </si>
  <si>
    <t>15:01:21</t>
  </si>
  <si>
    <t>21:02:16</t>
  </si>
  <si>
    <t>21:00:31</t>
  </si>
  <si>
    <t>15:01:22</t>
  </si>
  <si>
    <t>20:58:13</t>
  </si>
  <si>
    <t>21:00:20</t>
  </si>
  <si>
    <t>15:13:20</t>
  </si>
  <si>
    <t>15:29:01</t>
  </si>
  <si>
    <t>21:02:37</t>
  </si>
  <si>
    <t>12:06:12</t>
  </si>
  <si>
    <t>15:01:20</t>
  </si>
  <si>
    <t>16:46:48</t>
  </si>
  <si>
    <t>21:05:13</t>
  </si>
  <si>
    <t>15:14:08</t>
  </si>
  <si>
    <t>21:02:09</t>
  </si>
  <si>
    <t>14:45:21</t>
  </si>
  <si>
    <t>02:58:49</t>
  </si>
  <si>
    <t>00:00:01</t>
  </si>
  <si>
    <t>21:00:01</t>
  </si>
  <si>
    <t>15:00:01</t>
  </si>
  <si>
    <t>15:02:20</t>
  </si>
  <si>
    <t>00:09:44</t>
  </si>
  <si>
    <t>16:44:14</t>
  </si>
  <si>
    <t>19:32:09</t>
  </si>
  <si>
    <t>20:41:01</t>
  </si>
  <si>
    <t>16:15:07</t>
  </si>
  <si>
    <t>17:00:00</t>
  </si>
  <si>
    <t>16:00:00</t>
  </si>
  <si>
    <t>19:32:04</t>
  </si>
  <si>
    <t>16:00:02</t>
  </si>
  <si>
    <t>18:28:36</t>
  </si>
  <si>
    <t>18:28:11</t>
  </si>
  <si>
    <t>20:48:10</t>
  </si>
  <si>
    <t>20:47:51</t>
  </si>
  <si>
    <t>17:32:21</t>
  </si>
  <si>
    <t>00:00:55</t>
  </si>
  <si>
    <t>19:33:10</t>
  </si>
  <si>
    <t>19:17:15</t>
  </si>
  <si>
    <t>00:28:13</t>
  </si>
  <si>
    <t>15:02:00</t>
  </si>
  <si>
    <t>22:15:29</t>
  </si>
  <si>
    <t>14:30:00</t>
  </si>
  <si>
    <t>16:08:20</t>
  </si>
  <si>
    <t>17:36:34</t>
  </si>
  <si>
    <t>19:13:08</t>
  </si>
  <si>
    <t>16:00:10</t>
  </si>
  <si>
    <t>16:04:06</t>
  </si>
  <si>
    <t>03:00:06</t>
  </si>
  <si>
    <t>01:02:56</t>
  </si>
  <si>
    <t>13:17:01</t>
  </si>
  <si>
    <t>14:24:41</t>
  </si>
  <si>
    <t>14:18:43</t>
  </si>
  <si>
    <t>02:53:59</t>
  </si>
  <si>
    <t>12:33:08</t>
  </si>
  <si>
    <t>22:43:24</t>
  </si>
  <si>
    <t>19:14:49</t>
  </si>
  <si>
    <t>16:10:00</t>
  </si>
  <si>
    <t>12:42:30</t>
  </si>
  <si>
    <t>19:51:58</t>
  </si>
  <si>
    <t>00:28:22</t>
  </si>
  <si>
    <t>21:25:21</t>
  </si>
  <si>
    <t>21:25:07</t>
  </si>
  <si>
    <t>14:25:02</t>
  </si>
  <si>
    <t>15:37:30</t>
  </si>
  <si>
    <t>02:29:39</t>
  </si>
  <si>
    <t>02:47:25</t>
  </si>
  <si>
    <t>01:57:51</t>
  </si>
  <si>
    <t>14:30:38</t>
  </si>
  <si>
    <t>01:26:51</t>
  </si>
  <si>
    <t>15:20:00</t>
  </si>
  <si>
    <t>13:24:18</t>
  </si>
  <si>
    <t>12:56:22</t>
  </si>
  <si>
    <t>15:25:53</t>
  </si>
  <si>
    <t>17:39:46</t>
  </si>
  <si>
    <t>10:31:52</t>
  </si>
  <si>
    <t>09:00:22</t>
  </si>
  <si>
    <t>09:25:01</t>
  </si>
  <si>
    <t>21:36:20</t>
  </si>
  <si>
    <t>15:06:27</t>
  </si>
  <si>
    <t>19:29:56</t>
  </si>
  <si>
    <t>22:11:44</t>
  </si>
  <si>
    <t>17:50:59</t>
  </si>
  <si>
    <t>19:48:43</t>
  </si>
  <si>
    <t>18:01:28</t>
  </si>
  <si>
    <t>17:35:15</t>
  </si>
  <si>
    <t>14:17:33</t>
  </si>
  <si>
    <t>21:30:24</t>
  </si>
  <si>
    <t>16:27:13</t>
  </si>
  <si>
    <t>16:28:29</t>
  </si>
  <si>
    <t>19:34:02</t>
  </si>
  <si>
    <t>18:21:29</t>
  </si>
  <si>
    <t>11:01:56</t>
  </si>
  <si>
    <t>16:47:15</t>
  </si>
  <si>
    <t>11:02:23</t>
  </si>
  <si>
    <t>11:01:51</t>
  </si>
  <si>
    <t>11:01:14</t>
  </si>
  <si>
    <t>20:39:09</t>
  </si>
  <si>
    <t>16:47:03</t>
  </si>
  <si>
    <t>16:47:13</t>
  </si>
  <si>
    <t>11:02:58</t>
  </si>
  <si>
    <t>11:02:51</t>
  </si>
  <si>
    <t>16:47:17</t>
  </si>
  <si>
    <t>11:00:41</t>
  </si>
  <si>
    <t>16:47:09</t>
  </si>
  <si>
    <t>11:02:24</t>
  </si>
  <si>
    <t>11:02:20</t>
  </si>
  <si>
    <t>16:47:12</t>
  </si>
  <si>
    <t>11:00:31</t>
  </si>
  <si>
    <t>20:39:15</t>
  </si>
  <si>
    <t>11:02:00</t>
  </si>
  <si>
    <t>11:00:19</t>
  </si>
  <si>
    <t>17:57:32</t>
  </si>
  <si>
    <t>16:47:16</t>
  </si>
  <si>
    <t>11:00:42</t>
  </si>
  <si>
    <t>11:00:33</t>
  </si>
  <si>
    <t>11:02:10</t>
  </si>
  <si>
    <t>11:01:00</t>
  </si>
  <si>
    <t>12:49:34</t>
  </si>
  <si>
    <t>03:04:24</t>
  </si>
  <si>
    <t>12:28:41</t>
  </si>
  <si>
    <t>16:00:06</t>
  </si>
  <si>
    <t>13:03:04</t>
  </si>
  <si>
    <t>21:50:02</t>
  </si>
  <si>
    <t>19:00:00</t>
  </si>
  <si>
    <t>20:00:00</t>
  </si>
  <si>
    <t>06:00:01</t>
  </si>
  <si>
    <t>14:00:02</t>
  </si>
  <si>
    <t>23:46:58</t>
  </si>
  <si>
    <t>16:47:48</t>
  </si>
  <si>
    <t>14:58:47</t>
  </si>
  <si>
    <t>14:36:48</t>
  </si>
  <si>
    <t>14:36:47</t>
  </si>
  <si>
    <t>15:40:22</t>
  </si>
  <si>
    <t>14:37:33</t>
  </si>
  <si>
    <t>21:36:50</t>
  </si>
  <si>
    <t>12:14:59</t>
  </si>
  <si>
    <t>23:03:31</t>
  </si>
  <si>
    <t>21:37:23</t>
  </si>
  <si>
    <t>02:09:41</t>
  </si>
  <si>
    <t>22:51:16</t>
  </si>
  <si>
    <t>19:08:38</t>
  </si>
  <si>
    <t>22:13:31</t>
  </si>
  <si>
    <t>21:59:38</t>
  </si>
  <si>
    <t>16:39:47</t>
  </si>
  <si>
    <t>20:18:59</t>
  </si>
  <si>
    <t>01:41:12</t>
  </si>
  <si>
    <t>23:31:02</t>
  </si>
  <si>
    <t>20:33:16</t>
  </si>
  <si>
    <t>21:32:23</t>
  </si>
  <si>
    <t>14:16:01</t>
  </si>
  <si>
    <t>10:54:58</t>
  </si>
  <si>
    <t>15:23:39</t>
  </si>
  <si>
    <t>07:30:26</t>
  </si>
  <si>
    <t>08:25:34</t>
  </si>
  <si>
    <t>16:01:33</t>
  </si>
  <si>
    <t>15:30:01</t>
  </si>
  <si>
    <t>14:39:22</t>
  </si>
  <si>
    <t>15:11:23</t>
  </si>
  <si>
    <t>01:08:22</t>
  </si>
  <si>
    <t>11:56:37</t>
  </si>
  <si>
    <t>12:35:25</t>
  </si>
  <si>
    <t>12:09:25</t>
  </si>
  <si>
    <t>19:22:22</t>
  </si>
  <si>
    <t>01:48:58</t>
  </si>
  <si>
    <t>10:38:46</t>
  </si>
  <si>
    <t>13:45:35</t>
  </si>
  <si>
    <t>22:36:54</t>
  </si>
  <si>
    <t>12:46:06</t>
  </si>
  <si>
    <t>12:30:43</t>
  </si>
  <si>
    <t>12:03:19</t>
  </si>
  <si>
    <t>17:38:24</t>
  </si>
  <si>
    <t>11:55:06</t>
  </si>
  <si>
    <t>17:55:21</t>
  </si>
  <si>
    <t>13:07:40</t>
  </si>
  <si>
    <t>11:48:59</t>
  </si>
  <si>
    <t>18:03:12</t>
  </si>
  <si>
    <t>05:31:06</t>
  </si>
  <si>
    <t>23:18:54</t>
  </si>
  <si>
    <t>12:54:51</t>
  </si>
  <si>
    <t>19:55:39</t>
  </si>
  <si>
    <t>19:54:34</t>
  </si>
  <si>
    <t>18:45:09</t>
  </si>
  <si>
    <t>15:00:48</t>
  </si>
  <si>
    <t>18:45:15</t>
  </si>
  <si>
    <t>18:30:30</t>
  </si>
  <si>
    <t>18:30:28</t>
  </si>
  <si>
    <t>04:55:06</t>
  </si>
  <si>
    <t>16:40:06</t>
  </si>
  <si>
    <t>13:44:41</t>
  </si>
  <si>
    <t>13:01:20</t>
  </si>
  <si>
    <t>12:27:18</t>
  </si>
  <si>
    <t>16:38:40</t>
  </si>
  <si>
    <t>01:34:00</t>
  </si>
  <si>
    <t>14:01:24</t>
  </si>
  <si>
    <t>11:16:34</t>
  </si>
  <si>
    <t>17:30:08</t>
  </si>
  <si>
    <t>10:57:53</t>
  </si>
  <si>
    <t>18:45:20</t>
  </si>
  <si>
    <t>18:35:25</t>
  </si>
  <si>
    <t>18:35:23</t>
  </si>
  <si>
    <t>13:55:01</t>
  </si>
  <si>
    <t>16:27:32</t>
  </si>
  <si>
    <t>16:26:32</t>
  </si>
  <si>
    <t>13:01:27</t>
  </si>
  <si>
    <t>19:26:23</t>
  </si>
  <si>
    <t>16:30:39</t>
  </si>
  <si>
    <t>16:30:38</t>
  </si>
  <si>
    <t>16:29:39</t>
  </si>
  <si>
    <t>17:14:04</t>
  </si>
  <si>
    <t>16:28:14</t>
  </si>
  <si>
    <t>11:21:01</t>
  </si>
  <si>
    <t>13:48:43</t>
  </si>
  <si>
    <t>23:11:00</t>
  </si>
  <si>
    <t>23:41:00</t>
  </si>
  <si>
    <t>21:56:42</t>
  </si>
  <si>
    <t>17:25:05</t>
  </si>
  <si>
    <t>13:13:14</t>
  </si>
  <si>
    <t>12:32:12</t>
  </si>
  <si>
    <t>19:38:11</t>
  </si>
  <si>
    <t>20:27:54</t>
  </si>
  <si>
    <t>15:10:23</t>
  </si>
  <si>
    <t>16:16:57</t>
  </si>
  <si>
    <t>23:47:02</t>
  </si>
  <si>
    <t>02:17:08</t>
  </si>
  <si>
    <t>02:15:25</t>
  </si>
  <si>
    <t>02:28:36</t>
  </si>
  <si>
    <t>15:47:13</t>
  </si>
  <si>
    <t>23:38:22</t>
  </si>
  <si>
    <t>22:26:26</t>
  </si>
  <si>
    <t>18:37:55</t>
  </si>
  <si>
    <t>21:02:31</t>
  </si>
  <si>
    <t>16:06:41</t>
  </si>
  <si>
    <t>16:09:41</t>
  </si>
  <si>
    <t>16:06:09</t>
  </si>
  <si>
    <t>16:08:02</t>
  </si>
  <si>
    <t>16:35:52</t>
  </si>
  <si>
    <t>18:27:40</t>
  </si>
  <si>
    <t>15:44:09</t>
  </si>
  <si>
    <t>11:40:24</t>
  </si>
  <si>
    <t>19:01:25</t>
  </si>
  <si>
    <t>20:01:21</t>
  </si>
  <si>
    <t>20:02:13</t>
  </si>
  <si>
    <t>19:01:15</t>
  </si>
  <si>
    <t>20:03:10</t>
  </si>
  <si>
    <t>20:01:28</t>
  </si>
  <si>
    <t>21:01:17</t>
  </si>
  <si>
    <t>21:14:48</t>
  </si>
  <si>
    <t>11:50:00</t>
  </si>
  <si>
    <t>19:00:21</t>
  </si>
  <si>
    <t>21:45:27</t>
  </si>
  <si>
    <t>10:57:55</t>
  </si>
  <si>
    <t>18:18:19</t>
  </si>
  <si>
    <t>12:01:25</t>
  </si>
  <si>
    <t>20:51:04</t>
  </si>
  <si>
    <t>21:00:46</t>
  </si>
  <si>
    <t>17:00:37</t>
  </si>
  <si>
    <t>20:30:30</t>
  </si>
  <si>
    <t>00:30:18</t>
  </si>
  <si>
    <t>00:30:22</t>
  </si>
  <si>
    <t>21:19:41</t>
  </si>
  <si>
    <t>13:24:49</t>
  </si>
  <si>
    <t>13:55:52</t>
  </si>
  <si>
    <t>14:22:06</t>
  </si>
  <si>
    <t>14:57:44</t>
  </si>
  <si>
    <t>20:51:25</t>
  </si>
  <si>
    <t>20:40:07</t>
  </si>
  <si>
    <t>20:31:07</t>
  </si>
  <si>
    <t>17:18:11</t>
  </si>
  <si>
    <t>20:12:26</t>
  </si>
  <si>
    <t>17:39:08</t>
  </si>
  <si>
    <t>19:45:28</t>
  </si>
  <si>
    <t>14:45:55</t>
  </si>
  <si>
    <t>14:30:49</t>
  </si>
  <si>
    <t>13:36:03</t>
  </si>
  <si>
    <t>14:02:28</t>
  </si>
  <si>
    <t>20:48:11</t>
  </si>
  <si>
    <t>15:04:59</t>
  </si>
  <si>
    <t>23:00:01</t>
  </si>
  <si>
    <t>18:19:33</t>
  </si>
  <si>
    <t>16:42:40</t>
  </si>
  <si>
    <t>18:47:02</t>
  </si>
  <si>
    <t>21:23:57</t>
  </si>
  <si>
    <t>12:36:32</t>
  </si>
  <si>
    <t>21:48:53</t>
  </si>
  <si>
    <t>12:36:31</t>
  </si>
  <si>
    <t>21:56:49</t>
  </si>
  <si>
    <t>23:56:44</t>
  </si>
  <si>
    <t>22:04:52</t>
  </si>
  <si>
    <t>13:38:19</t>
  </si>
  <si>
    <t>17:33:50</t>
  </si>
  <si>
    <t>14:41:59</t>
  </si>
  <si>
    <t>21:11:10</t>
  </si>
  <si>
    <t>22:05:43</t>
  </si>
  <si>
    <t>14:24:22</t>
  </si>
  <si>
    <t>20:18:50</t>
  </si>
  <si>
    <t>18:21:58</t>
  </si>
  <si>
    <t>14:28:00</t>
  </si>
  <si>
    <t>19:42:00</t>
  </si>
  <si>
    <t>12:00:35</t>
  </si>
  <si>
    <t>09:43:13</t>
  </si>
  <si>
    <t>21:56:01</t>
  </si>
  <si>
    <t>09:40:19</t>
  </si>
  <si>
    <t>09:49:18</t>
  </si>
  <si>
    <t>09:49:28</t>
  </si>
  <si>
    <t>12:34:55</t>
  </si>
  <si>
    <t>11:20:28</t>
  </si>
  <si>
    <t>12:56:01</t>
  </si>
  <si>
    <t>18:46:01</t>
  </si>
  <si>
    <t>15:46:01</t>
  </si>
  <si>
    <t>15:46:02</t>
  </si>
  <si>
    <t>18:00:01</t>
  </si>
  <si>
    <t>17:30:00</t>
  </si>
  <si>
    <t>20:13:20</t>
  </si>
  <si>
    <t>21:52:33</t>
  </si>
  <si>
    <t>21:12:18</t>
  </si>
  <si>
    <t>22:17:14</t>
  </si>
  <si>
    <t>21:21:01</t>
  </si>
  <si>
    <t>19:33:20</t>
  </si>
  <si>
    <t>16:02:23</t>
  </si>
  <si>
    <t>14:10:26</t>
  </si>
  <si>
    <t>16:27:00</t>
  </si>
  <si>
    <t>17:42:39</t>
  </si>
  <si>
    <t>18:42:33</t>
  </si>
  <si>
    <t>15:24:40</t>
  </si>
  <si>
    <t>16:27:18</t>
  </si>
  <si>
    <t>14:26:11</t>
  </si>
  <si>
    <t>17:47:50</t>
  </si>
  <si>
    <t>17:28:57</t>
  </si>
  <si>
    <t>19:57:30</t>
  </si>
  <si>
    <t>21:19:29</t>
  </si>
  <si>
    <t>17:43:22</t>
  </si>
  <si>
    <t>18:26:42</t>
  </si>
  <si>
    <t>19:42:45</t>
  </si>
  <si>
    <t>18:59:12</t>
  </si>
  <si>
    <t>22:21:45</t>
  </si>
  <si>
    <t>14:59:09</t>
  </si>
  <si>
    <t>21:43:59</t>
  </si>
  <si>
    <t>14:44:22</t>
  </si>
  <si>
    <t>15:12:08</t>
  </si>
  <si>
    <t>00:07:23</t>
  </si>
  <si>
    <t>15:58:50</t>
  </si>
  <si>
    <t>16:52:53</t>
  </si>
  <si>
    <t>14:31:18</t>
  </si>
  <si>
    <t>20:27:00</t>
  </si>
  <si>
    <t>16:35:01</t>
  </si>
  <si>
    <t>18:06:04</t>
  </si>
  <si>
    <t>18:17:52</t>
  </si>
  <si>
    <t>17:24:45</t>
  </si>
  <si>
    <t>17:51:46</t>
  </si>
  <si>
    <t>15:43:30</t>
  </si>
  <si>
    <t>15:32:32</t>
  </si>
  <si>
    <t>15:37:44</t>
  </si>
  <si>
    <t>14:33:02</t>
  </si>
  <si>
    <t>15:28:55</t>
  </si>
  <si>
    <t>21:23:39</t>
  </si>
  <si>
    <t>14:57:59</t>
  </si>
  <si>
    <t>22:47:55</t>
  </si>
  <si>
    <t>15:12:32</t>
  </si>
  <si>
    <t>16:28:50</t>
  </si>
  <si>
    <t>17:18:57</t>
  </si>
  <si>
    <t>15:49:25</t>
  </si>
  <si>
    <t>16:23:24</t>
  </si>
  <si>
    <t>17:32:30</t>
  </si>
  <si>
    <t>15:32:18</t>
  </si>
  <si>
    <t>16:23:36</t>
  </si>
  <si>
    <t>15:36:01</t>
  </si>
  <si>
    <t>14:38:57</t>
  </si>
  <si>
    <t>15:46:10</t>
  </si>
  <si>
    <t>17:01:41</t>
  </si>
  <si>
    <t>00:37:24</t>
  </si>
  <si>
    <t>14:58:40</t>
  </si>
  <si>
    <t>14:42:14</t>
  </si>
  <si>
    <t>16:03:10</t>
  </si>
  <si>
    <t>22:21:30</t>
  </si>
  <si>
    <t>15:00:14</t>
  </si>
  <si>
    <t>14:22:46</t>
  </si>
  <si>
    <t>14:49:19</t>
  </si>
  <si>
    <t>14:36:24</t>
  </si>
  <si>
    <t>15:31:08</t>
  </si>
  <si>
    <t>14:33:48</t>
  </si>
  <si>
    <t>13:48:50</t>
  </si>
  <si>
    <t>21:02:03</t>
  </si>
  <si>
    <t>22:30:39</t>
  </si>
  <si>
    <t>17:47:59</t>
  </si>
  <si>
    <t>14:21:46</t>
  </si>
  <si>
    <t>15:13:39</t>
  </si>
  <si>
    <t>14:08:01</t>
  </si>
  <si>
    <t>16:06:46</t>
  </si>
  <si>
    <t>21:50:26</t>
  </si>
  <si>
    <t>21:01:34</t>
  </si>
  <si>
    <t>17:48:31</t>
  </si>
  <si>
    <t>02:21:39</t>
  </si>
  <si>
    <t>13:35:01</t>
  </si>
  <si>
    <t>18:55:39</t>
  </si>
  <si>
    <t>15:30:59</t>
  </si>
  <si>
    <t>13:10:09</t>
  </si>
  <si>
    <t>12:25:09</t>
  </si>
  <si>
    <t>12:10:41</t>
  </si>
  <si>
    <t>12:08:01</t>
  </si>
  <si>
    <t>12:49:35</t>
  </si>
  <si>
    <t>16:22:27</t>
  </si>
  <si>
    <t>17:26:54</t>
  </si>
  <si>
    <t>20:07:52</t>
  </si>
  <si>
    <t>13:25:08</t>
  </si>
  <si>
    <t>18:46:41</t>
  </si>
  <si>
    <t>23:29:37</t>
  </si>
  <si>
    <t>13:10:37</t>
  </si>
  <si>
    <t>21:42:47</t>
  </si>
  <si>
    <t>20:25:39</t>
  </si>
  <si>
    <t>20:00:52</t>
  </si>
  <si>
    <t>14:41:03</t>
  </si>
  <si>
    <t>12:02:02</t>
  </si>
  <si>
    <t>10:30:42</t>
  </si>
  <si>
    <t>15:43:46</t>
  </si>
  <si>
    <t>17:10:49</t>
  </si>
  <si>
    <t>13:42:09</t>
  </si>
  <si>
    <t>10:40:44</t>
  </si>
  <si>
    <t>10:51:35</t>
  </si>
  <si>
    <t>17:21:34</t>
  </si>
  <si>
    <t>17:27:35</t>
  </si>
  <si>
    <t>01:38:20</t>
  </si>
  <si>
    <t>05:00:01</t>
  </si>
  <si>
    <t>11:42:06</t>
  </si>
  <si>
    <t>14:05:06</t>
  </si>
  <si>
    <t>19:21:45</t>
  </si>
  <si>
    <t>01:42:00</t>
  </si>
  <si>
    <t>00:03:32</t>
  </si>
  <si>
    <t>01:44:54</t>
  </si>
  <si>
    <t>15:40:09</t>
  </si>
  <si>
    <t>01:24:35</t>
  </si>
  <si>
    <t>20:05:29</t>
  </si>
  <si>
    <t>16:49:46</t>
  </si>
  <si>
    <t>18:29:08</t>
  </si>
  <si>
    <t>17:31:47</t>
  </si>
  <si>
    <t>11:00:30</t>
  </si>
  <si>
    <t>04:21:45</t>
  </si>
  <si>
    <t>04:18:35</t>
  </si>
  <si>
    <t>08:28:35</t>
  </si>
  <si>
    <t>13:28:47</t>
  </si>
  <si>
    <t>16:18:44</t>
  </si>
  <si>
    <t>12:00:00</t>
  </si>
  <si>
    <t>12:00:02</t>
  </si>
  <si>
    <t>12:00:01</t>
  </si>
  <si>
    <t>03:17:05</t>
  </si>
  <si>
    <t>22:02:10</t>
  </si>
  <si>
    <t>11:00:46</t>
  </si>
  <si>
    <t>14:20:13</t>
  </si>
  <si>
    <t>21:00:48</t>
  </si>
  <si>
    <t>14:03:20</t>
  </si>
  <si>
    <t>10:16:17</t>
  </si>
  <si>
    <t>06:16:09</t>
  </si>
  <si>
    <t>23:53:30</t>
  </si>
  <si>
    <t>11:01:05</t>
  </si>
  <si>
    <t>17:14:06</t>
  </si>
  <si>
    <t>08:49:15</t>
  </si>
  <si>
    <t>14:25:21</t>
  </si>
  <si>
    <t>16:08:08</t>
  </si>
  <si>
    <t>13:55:00</t>
  </si>
  <si>
    <t>13:00:01</t>
  </si>
  <si>
    <t>01:16:45</t>
  </si>
  <si>
    <t>00:51:44</t>
  </si>
  <si>
    <t>23:32:00</t>
  </si>
  <si>
    <t>19:18:00</t>
  </si>
  <si>
    <t>12:09:00</t>
  </si>
  <si>
    <t>23:24:00</t>
  </si>
  <si>
    <t>23:01:00</t>
  </si>
  <si>
    <t>12:15:00</t>
  </si>
  <si>
    <t>19:32:00</t>
  </si>
  <si>
    <t>00:30:00</t>
  </si>
  <si>
    <t>18:08:00</t>
  </si>
  <si>
    <t>22:07:00</t>
  </si>
  <si>
    <t>14:06:00</t>
  </si>
  <si>
    <t>18:52:00</t>
  </si>
  <si>
    <t>18:03:00</t>
  </si>
  <si>
    <t>11:30:00</t>
  </si>
  <si>
    <t>23:51:00</t>
  </si>
  <si>
    <t>19:57:00</t>
  </si>
  <si>
    <t>16:13:00</t>
  </si>
  <si>
    <t>12:04:00</t>
  </si>
  <si>
    <t>12:13:00</t>
  </si>
  <si>
    <t>18:00:00</t>
  </si>
  <si>
    <t>21:10:00</t>
  </si>
  <si>
    <t>10:00:33</t>
  </si>
  <si>
    <t>19:20:15</t>
  </si>
  <si>
    <t>20:00:05</t>
  </si>
  <si>
    <t>19:14:55</t>
  </si>
  <si>
    <t>19:32:33</t>
  </si>
  <si>
    <t>14:57:22</t>
  </si>
  <si>
    <t>22:00:19</t>
  </si>
  <si>
    <t>11:21:34</t>
  </si>
  <si>
    <t>23:00:02</t>
  </si>
  <si>
    <t>12:31:27</t>
  </si>
  <si>
    <t>17:00:01</t>
  </si>
  <si>
    <t>14:06:39</t>
  </si>
  <si>
    <t>22:00:01</t>
  </si>
  <si>
    <t>14:00:01</t>
  </si>
  <si>
    <t>15:59:15</t>
  </si>
  <si>
    <t>02:00:00</t>
  </si>
  <si>
    <t>23:00:00</t>
  </si>
  <si>
    <t>17:10:58</t>
  </si>
  <si>
    <t>17:31:10</t>
  </si>
  <si>
    <t>20:49:35</t>
  </si>
  <si>
    <t>19:10:12</t>
  </si>
  <si>
    <t>22:29:07</t>
  </si>
  <si>
    <t>22:56:27</t>
  </si>
  <si>
    <t>18:44:23</t>
  </si>
  <si>
    <t>22:26:15</t>
  </si>
  <si>
    <t>21:29:30</t>
  </si>
  <si>
    <t>00:21:46</t>
  </si>
  <si>
    <t>23:27:04</t>
  </si>
  <si>
    <t>01:13:49</t>
  </si>
  <si>
    <t>02:03:21</t>
  </si>
  <si>
    <t>14:15:26</t>
  </si>
  <si>
    <t>08:14:56</t>
  </si>
  <si>
    <t>11:45:49</t>
  </si>
  <si>
    <t>13:41:38</t>
  </si>
  <si>
    <t>20:04:52</t>
  </si>
  <si>
    <t>08:23:31</t>
  </si>
  <si>
    <t>11:40:41</t>
  </si>
  <si>
    <t>18:58:45</t>
  </si>
  <si>
    <t>02:33:43</t>
  </si>
  <si>
    <t>02:32:23</t>
  </si>
  <si>
    <t>02:30:38</t>
  </si>
  <si>
    <t>02:29:56</t>
  </si>
  <si>
    <t>21:29:01</t>
  </si>
  <si>
    <t>07:54:37</t>
  </si>
  <si>
    <t>10:59:54</t>
  </si>
  <si>
    <t>16:15:35</t>
  </si>
  <si>
    <t>01:33:01</t>
  </si>
  <si>
    <t>20:13:41</t>
  </si>
  <si>
    <t>10:50:10</t>
  </si>
  <si>
    <t>08:25:37</t>
  </si>
  <si>
    <t>15:05:14</t>
  </si>
  <si>
    <t>15:02:19</t>
  </si>
  <si>
    <t>12:40:41</t>
  </si>
  <si>
    <t>11:00:45</t>
  </si>
  <si>
    <t>13:26:51</t>
  </si>
  <si>
    <t>02:34:45</t>
  </si>
  <si>
    <t>14:03:03</t>
  </si>
  <si>
    <t>15:00:25</t>
  </si>
  <si>
    <t>20:00:44</t>
  </si>
  <si>
    <t>19:32:10</t>
  </si>
  <si>
    <t>15:00:45</t>
  </si>
  <si>
    <t>23:47:56</t>
  </si>
  <si>
    <t>03:32:16</t>
  </si>
  <si>
    <t>17:25:41</t>
  </si>
  <si>
    <t>14:33:10</t>
  </si>
  <si>
    <t>16:42:08</t>
  </si>
  <si>
    <t>10:00:39</t>
  </si>
  <si>
    <t>02:17:07</t>
  </si>
  <si>
    <t>17:43:09</t>
  </si>
  <si>
    <t>15:29:47</t>
  </si>
  <si>
    <t>22:32:55</t>
  </si>
  <si>
    <t>15:11:46</t>
  </si>
  <si>
    <t>01:59:25</t>
  </si>
  <si>
    <t>14:40:01</t>
  </si>
  <si>
    <t>13:45:28</t>
  </si>
  <si>
    <t>13:35:55</t>
  </si>
  <si>
    <t>22:25:03</t>
  </si>
  <si>
    <t>21:11:17</t>
  </si>
  <si>
    <t>14:52:35</t>
  </si>
  <si>
    <t>23:02:28</t>
  </si>
  <si>
    <t>02:43:26</t>
  </si>
  <si>
    <t>17:49:05</t>
  </si>
  <si>
    <t>20:07:03</t>
  </si>
  <si>
    <t>19:04:00</t>
  </si>
  <si>
    <t>13:00:49</t>
  </si>
  <si>
    <t>11:37:07</t>
  </si>
  <si>
    <t>21:35:13</t>
  </si>
  <si>
    <t>14:32:00</t>
  </si>
  <si>
    <t>19:38:46</t>
  </si>
  <si>
    <t>16:17:38</t>
  </si>
  <si>
    <t>15:33:28</t>
  </si>
  <si>
    <t>13:31:52</t>
  </si>
  <si>
    <t>19:59:20</t>
  </si>
  <si>
    <t>00:27:44</t>
  </si>
  <si>
    <t>16:22:02</t>
  </si>
  <si>
    <t>19:08:59</t>
  </si>
  <si>
    <t>09:16:51</t>
  </si>
  <si>
    <t>16:38:36</t>
  </si>
  <si>
    <t>21:08:49</t>
  </si>
  <si>
    <t>11:23:47</t>
  </si>
  <si>
    <t>17:27:53</t>
  </si>
  <si>
    <t>19:17:13</t>
  </si>
  <si>
    <t>18:00:44</t>
  </si>
  <si>
    <t>15:08:57</t>
  </si>
  <si>
    <t>04:29:18</t>
  </si>
  <si>
    <t>20:59:32</t>
  </si>
  <si>
    <t>09:00:58</t>
  </si>
  <si>
    <t>15:01:07</t>
  </si>
  <si>
    <t>18:31:05</t>
  </si>
  <si>
    <t>15:20:47</t>
  </si>
  <si>
    <t>13:02:16</t>
  </si>
  <si>
    <t>14:25:11</t>
  </si>
  <si>
    <t>15:03:20</t>
  </si>
  <si>
    <t>15:26:21</t>
  </si>
  <si>
    <t>14:12:18</t>
  </si>
  <si>
    <t>18:30:04</t>
  </si>
  <si>
    <t>11:01:40</t>
  </si>
  <si>
    <t>06:10:09</t>
  </si>
  <si>
    <t>15:00:07</t>
  </si>
  <si>
    <t>04:15:13</t>
  </si>
  <si>
    <t>09:59:30</t>
  </si>
  <si>
    <t>17:18:09</t>
  </si>
  <si>
    <t>20:24:51</t>
  </si>
  <si>
    <t>13:40:25</t>
  </si>
  <si>
    <t>23:12:23</t>
  </si>
  <si>
    <t>20:02:58</t>
  </si>
  <si>
    <t>20:15:42</t>
  </si>
  <si>
    <t>14:03:07</t>
  </si>
  <si>
    <t>15:05:03</t>
  </si>
  <si>
    <t>14:10:34</t>
  </si>
  <si>
    <t>13:56:56</t>
  </si>
  <si>
    <t>13:15:20</t>
  </si>
  <si>
    <t>13:28:44</t>
  </si>
  <si>
    <t>13:58:55</t>
  </si>
  <si>
    <t>13:33:05</t>
  </si>
  <si>
    <t>12:13:38</t>
  </si>
  <si>
    <t>13:25:15</t>
  </si>
  <si>
    <t>10:17:54</t>
  </si>
  <si>
    <t>10:16:56</t>
  </si>
  <si>
    <t>22:08:40</t>
  </si>
  <si>
    <t>22:07:57</t>
  </si>
  <si>
    <t>01:22:46</t>
  </si>
  <si>
    <t>23:54:23</t>
  </si>
  <si>
    <t>18:44:15</t>
  </si>
  <si>
    <t>23:59:10</t>
  </si>
  <si>
    <t>15:25:12</t>
  </si>
  <si>
    <t>17:31:29</t>
  </si>
  <si>
    <t>18:04:08</t>
  </si>
  <si>
    <t>13:28:55</t>
  </si>
  <si>
    <t>11:24:47</t>
  </si>
  <si>
    <t>20:30:13</t>
  </si>
  <si>
    <t>11:47:55</t>
  </si>
  <si>
    <t>20:04:09</t>
  </si>
  <si>
    <t>11:25:23</t>
  </si>
  <si>
    <t>19:38:55</t>
  </si>
  <si>
    <t>12:16:30</t>
  </si>
  <si>
    <t>12:45:52</t>
  </si>
  <si>
    <t>11:02:47</t>
  </si>
  <si>
    <t>11:27:53</t>
  </si>
  <si>
    <t>11:27:03</t>
  </si>
  <si>
    <t>21:55:03</t>
  </si>
  <si>
    <t>21:30:00</t>
  </si>
  <si>
    <t>11:56:23</t>
  </si>
  <si>
    <t>13:08:32</t>
  </si>
  <si>
    <t>17:54:00</t>
  </si>
  <si>
    <t>15:50:31</t>
  </si>
  <si>
    <t>01:45:18</t>
  </si>
  <si>
    <t>03:10:04</t>
  </si>
  <si>
    <t>20:21:04</t>
  </si>
  <si>
    <t>11:40:40</t>
  </si>
  <si>
    <t>16:52:50</t>
  </si>
  <si>
    <t>13:30:14</t>
  </si>
  <si>
    <t>13:31:00</t>
  </si>
  <si>
    <t>10:53:54</t>
  </si>
  <si>
    <t>00:00:05</t>
  </si>
  <si>
    <t>15:00:02</t>
  </si>
  <si>
    <t>20:30:00</t>
  </si>
  <si>
    <t>13:30:01</t>
  </si>
  <si>
    <t>19:00:01</t>
  </si>
  <si>
    <t>18:06:03</t>
  </si>
  <si>
    <t>19:30:00</t>
  </si>
  <si>
    <t>22:00:00</t>
  </si>
  <si>
    <t>15:30:00</t>
  </si>
  <si>
    <t>14:34:14</t>
  </si>
  <si>
    <t>15:00:04</t>
  </si>
  <si>
    <t>21:30:56</t>
  </si>
  <si>
    <t>12:08:31</t>
  </si>
  <si>
    <t>12:22:25</t>
  </si>
  <si>
    <t>15:40:27</t>
  </si>
  <si>
    <t>21:16:10</t>
  </si>
  <si>
    <t>11:01:52</t>
  </si>
  <si>
    <t>00:34:28</t>
  </si>
  <si>
    <t>04:16:30</t>
  </si>
  <si>
    <t>17:01:00</t>
  </si>
  <si>
    <t>15:38:00</t>
  </si>
  <si>
    <t>20:57:00</t>
  </si>
  <si>
    <t>14:36:14</t>
  </si>
  <si>
    <t>11:15:54</t>
  </si>
  <si>
    <t>23:32:58</t>
  </si>
  <si>
    <t>08:50:18</t>
  </si>
  <si>
    <t>18:33:55</t>
  </si>
  <si>
    <t>15:58:20</t>
  </si>
  <si>
    <t>02:44:44</t>
  </si>
  <si>
    <t>17:28:14</t>
  </si>
  <si>
    <t>17:57:57</t>
  </si>
  <si>
    <t>00:00:02</t>
  </si>
  <si>
    <t>13:18:06</t>
  </si>
  <si>
    <t>13:15:21</t>
  </si>
  <si>
    <t>21:17:00</t>
  </si>
  <si>
    <t>15:00:00</t>
  </si>
  <si>
    <t>18:39:53</t>
  </si>
  <si>
    <t>15:02:34</t>
  </si>
  <si>
    <t>02:01:55</t>
  </si>
  <si>
    <t>23:30:21</t>
  </si>
  <si>
    <t>00:41:25</t>
  </si>
  <si>
    <t>03:50:33</t>
  </si>
  <si>
    <t>23:40:00</t>
  </si>
  <si>
    <t>20:00:01</t>
  </si>
  <si>
    <t>21:00:00</t>
  </si>
  <si>
    <t>14:02:00</t>
  </si>
  <si>
    <t>13:55:23</t>
  </si>
  <si>
    <t>17:14:23</t>
  </si>
  <si>
    <t>21:44:00</t>
  </si>
  <si>
    <t>11:06:22</t>
  </si>
  <si>
    <t>16:11:01</t>
  </si>
  <si>
    <t>12:59:47</t>
  </si>
  <si>
    <t>11:33:34</t>
  </si>
  <si>
    <t>12:01:14</t>
  </si>
  <si>
    <t>22:19:44</t>
  </si>
  <si>
    <t>19:59:42</t>
  </si>
  <si>
    <t>22:41:40</t>
  </si>
  <si>
    <t>18:41:44</t>
  </si>
  <si>
    <t>10:20:00</t>
  </si>
  <si>
    <t>03:31:17</t>
  </si>
  <si>
    <t>21:06:03</t>
  </si>
  <si>
    <t>14:55:50</t>
  </si>
  <si>
    <t>18:47:16</t>
  </si>
  <si>
    <t>08:00:00</t>
  </si>
  <si>
    <t>10:00:00</t>
  </si>
  <si>
    <t>08:00:02</t>
  </si>
  <si>
    <t>16:16:51</t>
  </si>
  <si>
    <t>14:42:08</t>
  </si>
  <si>
    <t>14:56:40</t>
  </si>
  <si>
    <t>16:02:25</t>
  </si>
  <si>
    <t>16:04:32</t>
  </si>
  <si>
    <t>21:22:56</t>
  </si>
  <si>
    <t>13:13:46</t>
  </si>
  <si>
    <t>03:13:26</t>
  </si>
  <si>
    <t>16:10:46</t>
  </si>
  <si>
    <t>19:13:46</t>
  </si>
  <si>
    <t>17:29:02</t>
  </si>
  <si>
    <t>12:34:21</t>
  </si>
  <si>
    <t>13:52:54</t>
  </si>
  <si>
    <t>13:28:32</t>
  </si>
  <si>
    <t>23:15:58</t>
  </si>
  <si>
    <t>15:17:15</t>
  </si>
  <si>
    <t>16:20:35</t>
  </si>
  <si>
    <t>18:40:41</t>
  </si>
  <si>
    <t>16:20:41</t>
  </si>
  <si>
    <t>15:59:53</t>
  </si>
  <si>
    <t>15:29:49</t>
  </si>
  <si>
    <t>14:30:46</t>
  </si>
  <si>
    <t>17:15:47</t>
  </si>
  <si>
    <t>20:53:41</t>
  </si>
  <si>
    <t>13:30:37</t>
  </si>
  <si>
    <t>23:05:06</t>
  </si>
  <si>
    <t>11:00:20</t>
  </si>
  <si>
    <t>13:31:42</t>
  </si>
  <si>
    <t>13:30:42</t>
  </si>
  <si>
    <t>13:30:20</t>
  </si>
  <si>
    <t>11:55:24</t>
  </si>
  <si>
    <t>01:30:23</t>
  </si>
  <si>
    <t>01:41:06</t>
  </si>
  <si>
    <t>14:00:00</t>
  </si>
  <si>
    <t>22:49:01</t>
  </si>
  <si>
    <t>00:42:01</t>
  </si>
  <si>
    <t>12:36:13</t>
  </si>
  <si>
    <t>18:45:01</t>
  </si>
  <si>
    <t>22:09:28</t>
  </si>
  <si>
    <t>15:04:39</t>
  </si>
  <si>
    <t>11:01:48</t>
  </si>
  <si>
    <t>16:30:10</t>
  </si>
  <si>
    <t>20:19:02</t>
  </si>
  <si>
    <t>23:51:02</t>
  </si>
  <si>
    <t>01:52:00</t>
  </si>
  <si>
    <t>01:50:35</t>
  </si>
  <si>
    <t>01:48:23</t>
  </si>
  <si>
    <t>11:37:42</t>
  </si>
  <si>
    <t>12:16:16</t>
  </si>
  <si>
    <t>18:41:51</t>
  </si>
  <si>
    <t>10:03:14</t>
  </si>
  <si>
    <t>18:10:30</t>
  </si>
  <si>
    <t>20:56:02</t>
  </si>
  <si>
    <t>18:12:29</t>
  </si>
  <si>
    <t>16:40:00</t>
  </si>
  <si>
    <t>15:27:48</t>
  </si>
  <si>
    <t>15:54:30</t>
  </si>
  <si>
    <t>14:35:10</t>
  </si>
  <si>
    <t>03:28:10</t>
  </si>
  <si>
    <t>11:15:06</t>
  </si>
  <si>
    <t>20:12:43</t>
  </si>
  <si>
    <t>03:18:50</t>
  </si>
  <si>
    <t>03:00:38</t>
  </si>
  <si>
    <t>19:41:00</t>
  </si>
  <si>
    <t>06:12:00</t>
  </si>
  <si>
    <t>13:44:00</t>
  </si>
  <si>
    <t>06:39:00</t>
  </si>
  <si>
    <t>13:03:38</t>
  </si>
  <si>
    <t>08:59:00</t>
  </si>
  <si>
    <t>13:16:00</t>
  </si>
  <si>
    <t>07:11:00</t>
  </si>
  <si>
    <t>16:38:00</t>
  </si>
  <si>
    <t>14:48:14</t>
  </si>
  <si>
    <t>12:27:00</t>
  </si>
  <si>
    <t>08:42:58</t>
  </si>
  <si>
    <t>09:44:00</t>
  </si>
  <si>
    <t>09:00:00</t>
  </si>
  <si>
    <t>05:48:00</t>
  </si>
  <si>
    <t>06:11:00</t>
  </si>
  <si>
    <t>09:14:00</t>
  </si>
  <si>
    <t>14:05:00</t>
  </si>
  <si>
    <t>07:46:00</t>
  </si>
  <si>
    <t>15:57:19</t>
  </si>
  <si>
    <t>06:04:00</t>
  </si>
  <si>
    <t>14:50:00</t>
  </si>
  <si>
    <t>08:05:00</t>
  </si>
  <si>
    <t>09:37:00</t>
  </si>
  <si>
    <t>18:23:39</t>
  </si>
  <si>
    <t>21:50:03</t>
  </si>
  <si>
    <t>16:51:22</t>
  </si>
  <si>
    <t>17:31:43</t>
  </si>
  <si>
    <t>11:24:48</t>
  </si>
  <si>
    <t>09:49:40</t>
  </si>
  <si>
    <t>09:41:10</t>
  </si>
  <si>
    <t>11:01:29</t>
  </si>
  <si>
    <t>10:11:08</t>
  </si>
  <si>
    <t>10:42:09</t>
  </si>
  <si>
    <t>09:32:50</t>
  </si>
  <si>
    <t>09:51:36</t>
  </si>
  <si>
    <t>09:53:29</t>
  </si>
  <si>
    <t>10:07:16</t>
  </si>
  <si>
    <t>10:06:13</t>
  </si>
  <si>
    <t>09:48:24</t>
  </si>
  <si>
    <t>09:47:00</t>
  </si>
  <si>
    <t>09:46:34</t>
  </si>
  <si>
    <t>09:34:54</t>
  </si>
  <si>
    <t>09:31:01</t>
  </si>
  <si>
    <t>09:43:59</t>
  </si>
  <si>
    <t>11:51:40</t>
  </si>
  <si>
    <t>09:21:41</t>
  </si>
  <si>
    <t>10:36:46</t>
  </si>
  <si>
    <t>14:15:25</t>
  </si>
  <si>
    <t>13:33:28</t>
  </si>
  <si>
    <t>12:02:10</t>
  </si>
  <si>
    <t>10:07:11</t>
  </si>
  <si>
    <t>09:59:57</t>
  </si>
  <si>
    <t>10:52:47</t>
  </si>
  <si>
    <t>10:55:16</t>
  </si>
  <si>
    <t>09:45:10</t>
  </si>
  <si>
    <t>09:04:03</t>
  </si>
  <si>
    <t>09:18:14</t>
  </si>
  <si>
    <t>09:02:53</t>
  </si>
  <si>
    <t>14:04:12</t>
  </si>
  <si>
    <t>14:42:01</t>
  </si>
  <si>
    <t>11:47:11</t>
  </si>
  <si>
    <t>10:52:53</t>
  </si>
  <si>
    <t>09:26:30</t>
  </si>
  <si>
    <t>10:06:47</t>
  </si>
  <si>
    <t>09:03:13</t>
  </si>
  <si>
    <t>13:32:23</t>
  </si>
  <si>
    <t>11:34:02</t>
  </si>
  <si>
    <t>14:03:45</t>
  </si>
  <si>
    <t>09:28:36</t>
  </si>
  <si>
    <t>09:58:50</t>
  </si>
  <si>
    <t>09:46:32</t>
  </si>
  <si>
    <t>09:41:50</t>
  </si>
  <si>
    <t>11:12:49</t>
  </si>
  <si>
    <t>11:46:23</t>
  </si>
  <si>
    <t>09:48:10</t>
  </si>
  <si>
    <t>11:46:53</t>
  </si>
  <si>
    <t>10:40:37</t>
  </si>
  <si>
    <t>09:45:36</t>
  </si>
  <si>
    <t>14:46:29</t>
  </si>
  <si>
    <t>16:15:19</t>
  </si>
  <si>
    <t>09:59:50</t>
  </si>
  <si>
    <t>10:12:49</t>
  </si>
  <si>
    <t>13:23:23</t>
  </si>
  <si>
    <t>09:33:58</t>
  </si>
  <si>
    <t>09:43:26</t>
  </si>
  <si>
    <t>09:06:55</t>
  </si>
  <si>
    <t>09:25:03</t>
  </si>
  <si>
    <t>09:23:21</t>
  </si>
  <si>
    <t>10:40:32</t>
  </si>
  <si>
    <t>10:15:08</t>
  </si>
  <si>
    <t>09:28:54</t>
  </si>
  <si>
    <t>19:43:40</t>
  </si>
  <si>
    <t>10:33:52</t>
  </si>
  <si>
    <t>10:02:38</t>
  </si>
  <si>
    <t>09:06:50</t>
  </si>
  <si>
    <t>09:14:19</t>
  </si>
  <si>
    <t>09:48:57</t>
  </si>
  <si>
    <t>09:29:24</t>
  </si>
  <si>
    <t>10:14:10</t>
  </si>
  <si>
    <t>15:26:07</t>
  </si>
  <si>
    <t>15:01:44</t>
  </si>
  <si>
    <t>15:46:39</t>
  </si>
  <si>
    <t>11:34:53</t>
  </si>
  <si>
    <t>10:29:43</t>
  </si>
  <si>
    <t>09:41:19</t>
  </si>
  <si>
    <t>17:17:25</t>
  </si>
  <si>
    <t>20:30:20</t>
  </si>
  <si>
    <t>02:02:54</t>
  </si>
  <si>
    <t>15:44:26</t>
  </si>
  <si>
    <t>15:23:36</t>
  </si>
  <si>
    <t>14:15:04</t>
  </si>
  <si>
    <t>14:18:12</t>
  </si>
  <si>
    <t>22:55:01</t>
  </si>
  <si>
    <t>22:34:27</t>
  </si>
  <si>
    <t>22:07:54</t>
  </si>
  <si>
    <t>22:11:00</t>
  </si>
  <si>
    <t>22:10:54</t>
  </si>
  <si>
    <t>21:20:05</t>
  </si>
  <si>
    <t>21:52:49</t>
  </si>
  <si>
    <t>22:35:26</t>
  </si>
  <si>
    <t>12:04:04</t>
  </si>
  <si>
    <t>21:30:55</t>
  </si>
  <si>
    <t>21:31:35</t>
  </si>
  <si>
    <t>00:54:39</t>
  </si>
  <si>
    <t>15:31:33</t>
  </si>
  <si>
    <t>23:27:11</t>
  </si>
  <si>
    <t>16:44:27</t>
  </si>
  <si>
    <t>15:58:27</t>
  </si>
  <si>
    <t>03:59:39</t>
  </si>
  <si>
    <t>03:56:49</t>
  </si>
  <si>
    <t>14:35:12</t>
  </si>
  <si>
    <t>18:55:02</t>
  </si>
  <si>
    <t>18:53:45</t>
  </si>
  <si>
    <t>18:33:19</t>
  </si>
  <si>
    <t>18:32:34</t>
  </si>
  <si>
    <t>18:31:25</t>
  </si>
  <si>
    <t>18:29:15</t>
  </si>
  <si>
    <t>13:53:46</t>
  </si>
  <si>
    <t>12:32:55</t>
  </si>
  <si>
    <t>20:43:40</t>
  </si>
  <si>
    <t>11:02:32</t>
  </si>
  <si>
    <t>21:09:18</t>
  </si>
  <si>
    <t>21:44:10</t>
  </si>
  <si>
    <t>21:49:21</t>
  </si>
  <si>
    <t>13:08:16</t>
  </si>
  <si>
    <t>08:12:21</t>
  </si>
  <si>
    <t>12:12:20</t>
  </si>
  <si>
    <t>18:37:22</t>
  </si>
  <si>
    <t>11:26:28</t>
  </si>
  <si>
    <t>17:01:38</t>
  </si>
  <si>
    <t>03:11:32</t>
  </si>
  <si>
    <t>23:43:39</t>
  </si>
  <si>
    <t>16:23:16</t>
  </si>
  <si>
    <t>20:23:47</t>
  </si>
  <si>
    <t>19:19:12</t>
  </si>
  <si>
    <t>20:24:55</t>
  </si>
  <si>
    <t>20:25:19</t>
  </si>
  <si>
    <t>20:24:39</t>
  </si>
  <si>
    <t>20:24:05</t>
  </si>
  <si>
    <t>20:22:52</t>
  </si>
  <si>
    <t>20:24:24</t>
  </si>
  <si>
    <t>19:31:17</t>
  </si>
  <si>
    <t>21:49:27</t>
  </si>
  <si>
    <t>21:48:04</t>
  </si>
  <si>
    <t>11:44:21</t>
  </si>
  <si>
    <t>12:32:00</t>
  </si>
  <si>
    <t>18:21:18</t>
  </si>
  <si>
    <t>15:20:39</t>
  </si>
  <si>
    <t>19:54:15</t>
  </si>
  <si>
    <t>17:33:57</t>
  </si>
  <si>
    <t>00:24:40</t>
  </si>
  <si>
    <t>18:24:20</t>
  </si>
  <si>
    <t>18:00:43</t>
  </si>
  <si>
    <t>18:39:19</t>
  </si>
  <si>
    <t>17:20:09</t>
  </si>
  <si>
    <t>20:02:35</t>
  </si>
  <si>
    <t>16:58:40</t>
  </si>
  <si>
    <t>19:52:15</t>
  </si>
  <si>
    <t>16:51:09</t>
  </si>
  <si>
    <t>00:50:08</t>
  </si>
  <si>
    <t>00:46:44</t>
  </si>
  <si>
    <t>00:39:35</t>
  </si>
  <si>
    <t>19:40:38</t>
  </si>
  <si>
    <t>11:30:55</t>
  </si>
  <si>
    <t>12:50:36</t>
  </si>
  <si>
    <t>14:10:14</t>
  </si>
  <si>
    <t>17:17:19</t>
  </si>
  <si>
    <t>14:16:27</t>
  </si>
  <si>
    <t>15:50:25</t>
  </si>
  <si>
    <t>16:20:32</t>
  </si>
  <si>
    <t>12:24:55</t>
  </si>
  <si>
    <t>22:46:15</t>
  </si>
  <si>
    <t>13:34:59</t>
  </si>
  <si>
    <t>20:15:21</t>
  </si>
  <si>
    <t>23:50:46</t>
  </si>
  <si>
    <t>11:46:24</t>
  </si>
  <si>
    <t>15:53:36</t>
  </si>
  <si>
    <t>01:54:31</t>
  </si>
  <si>
    <t>22:51:50</t>
  </si>
  <si>
    <t>21:27:46</t>
  </si>
  <si>
    <t>20:10:16</t>
  </si>
  <si>
    <t>20:06:50</t>
  </si>
  <si>
    <t>12:00:45</t>
  </si>
  <si>
    <t>14:35:19</t>
  </si>
  <si>
    <t>17:21:42</t>
  </si>
  <si>
    <t>21:29:24</t>
  </si>
  <si>
    <t>21:16:07</t>
  </si>
  <si>
    <t>18:10:59</t>
  </si>
  <si>
    <t>14:10:41</t>
  </si>
  <si>
    <t>18:00:56</t>
  </si>
  <si>
    <t>21:01:07</t>
  </si>
  <si>
    <t>18:01:10</t>
  </si>
  <si>
    <t>14:06:07</t>
  </si>
  <si>
    <t>23:01:06</t>
  </si>
  <si>
    <t>21:01:21</t>
  </si>
  <si>
    <t>19:45:57</t>
  </si>
  <si>
    <t>21:01:09</t>
  </si>
  <si>
    <t>18:01:14</t>
  </si>
  <si>
    <t>14:01:05</t>
  </si>
  <si>
    <t>21:01:06</t>
  </si>
  <si>
    <t>18:01:01</t>
  </si>
  <si>
    <t>14:01:01</t>
  </si>
  <si>
    <t>14:16:15</t>
  </si>
  <si>
    <t>14:10:52</t>
  </si>
  <si>
    <t>14:01:13</t>
  </si>
  <si>
    <t>18:01:02</t>
  </si>
  <si>
    <t>18:05:45</t>
  </si>
  <si>
    <t>18:15:41</t>
  </si>
  <si>
    <t>14:15:43</t>
  </si>
  <si>
    <t>21:01:14</t>
  </si>
  <si>
    <t>18:10:31</t>
  </si>
  <si>
    <t>14:01:10</t>
  </si>
  <si>
    <t>21:10:55</t>
  </si>
  <si>
    <t>14:01:21</t>
  </si>
  <si>
    <t>14:01:41</t>
  </si>
  <si>
    <t>18:01:20</t>
  </si>
  <si>
    <t>14:01:36</t>
  </si>
  <si>
    <t>14:00:56</t>
  </si>
  <si>
    <t>12:01:00</t>
  </si>
  <si>
    <t>14:01:00</t>
  </si>
  <si>
    <t>14:05:39</t>
  </si>
  <si>
    <t>14:01:33</t>
  </si>
  <si>
    <t>18:01:15</t>
  </si>
  <si>
    <t>14:01:25</t>
  </si>
  <si>
    <t>13:45:55</t>
  </si>
  <si>
    <t>21:25:41</t>
  </si>
  <si>
    <t>18:20:47</t>
  </si>
  <si>
    <t>14:16:09</t>
  </si>
  <si>
    <t>14:06:12</t>
  </si>
  <si>
    <t>14:01:31</t>
  </si>
  <si>
    <t>22:50:34</t>
  </si>
  <si>
    <t>17:46:02</t>
  </si>
  <si>
    <t>14:10:50</t>
  </si>
  <si>
    <t>14:01:22</t>
  </si>
  <si>
    <t>14:05:36</t>
  </si>
  <si>
    <t>14:01:11</t>
  </si>
  <si>
    <t>14:01:30</t>
  </si>
  <si>
    <t>14:05:54</t>
  </si>
  <si>
    <t>18:20:34</t>
  </si>
  <si>
    <t>18:05:44</t>
  </si>
  <si>
    <t>18:05:36</t>
  </si>
  <si>
    <t>14:01:15</t>
  </si>
  <si>
    <t>22:01:17</t>
  </si>
  <si>
    <t>11:00:01</t>
  </si>
  <si>
    <t>16:25:43</t>
  </si>
  <si>
    <t>17:08:47</t>
  </si>
  <si>
    <t>23:00:54</t>
  </si>
  <si>
    <t>12:24:20</t>
  </si>
  <si>
    <t>09:13:26</t>
  </si>
  <si>
    <t>07:58:03</t>
  </si>
  <si>
    <t>14:47:09</t>
  </si>
  <si>
    <t>14:10:03</t>
  </si>
  <si>
    <t>09:32:02</t>
  </si>
  <si>
    <t>16:24:20</t>
  </si>
  <si>
    <t>14:01:58</t>
  </si>
  <si>
    <t>21:49:05</t>
  </si>
  <si>
    <t>19:31:00</t>
  </si>
  <si>
    <t>14:43:11</t>
  </si>
  <si>
    <t>18:35:34</t>
  </si>
  <si>
    <t>19:19:02</t>
  </si>
  <si>
    <t>15:09:42</t>
  </si>
  <si>
    <t>19:04:22</t>
  </si>
  <si>
    <t>19:00:56</t>
  </si>
  <si>
    <t>12:33:34</t>
  </si>
  <si>
    <t>22:33:43</t>
  </si>
  <si>
    <t>16:46:03</t>
  </si>
  <si>
    <t>15:00:16</t>
  </si>
  <si>
    <t>13:18:00</t>
  </si>
  <si>
    <t>15:16:21</t>
  </si>
  <si>
    <t>13:55:14</t>
  </si>
  <si>
    <t>15:13:56</t>
  </si>
  <si>
    <t>14:18:46</t>
  </si>
  <si>
    <t>13:46:40</t>
  </si>
  <si>
    <t>13:44:45</t>
  </si>
  <si>
    <t>12:36:57</t>
  </si>
  <si>
    <t>22:49:14</t>
  </si>
  <si>
    <t>15:41:53</t>
  </si>
  <si>
    <t>22:05:09</t>
  </si>
  <si>
    <t>11:54:45</t>
  </si>
  <si>
    <t>14:42:34</t>
  </si>
  <si>
    <t>14:45:26</t>
  </si>
  <si>
    <t>23:40:20</t>
  </si>
  <si>
    <t>15:17:42</t>
  </si>
  <si>
    <t>16:16:31</t>
  </si>
  <si>
    <t>13:49:43</t>
  </si>
  <si>
    <t>13:12:13</t>
  </si>
  <si>
    <t>12:07:00</t>
  </si>
  <si>
    <t>13:46:04</t>
  </si>
  <si>
    <t>18:48:20</t>
  </si>
  <si>
    <t>20:07:27</t>
  </si>
  <si>
    <t>01:35:18</t>
  </si>
  <si>
    <t>10:53:10</t>
  </si>
  <si>
    <t>15:24:49</t>
  </si>
  <si>
    <t>21:02:21</t>
  </si>
  <si>
    <t>20:40:30</t>
  </si>
  <si>
    <t>13:43:37</t>
  </si>
  <si>
    <t>12:29:15</t>
  </si>
  <si>
    <t>14:17:32</t>
  </si>
  <si>
    <t>11:57:41</t>
  </si>
  <si>
    <t>09:44:33</t>
  </si>
  <si>
    <t>16:22:13</t>
  </si>
  <si>
    <t>17:06:39</t>
  </si>
  <si>
    <t>17:56:40</t>
  </si>
  <si>
    <t>13:33:17</t>
  </si>
  <si>
    <t>19:25:37</t>
  </si>
  <si>
    <t>11:51:16</t>
  </si>
  <si>
    <t>16:39:39</t>
  </si>
  <si>
    <t>21:28:14</t>
  </si>
  <si>
    <t>19:56:40</t>
  </si>
  <si>
    <t>20:17:54</t>
  </si>
  <si>
    <t>00:47:09</t>
  </si>
  <si>
    <t>23:45:34</t>
  </si>
  <si>
    <t>07:46:07</t>
  </si>
  <si>
    <t>14:47:17</t>
  </si>
  <si>
    <t>18:44:35</t>
  </si>
  <si>
    <t>21:00:38</t>
  </si>
  <si>
    <t>20:05:25</t>
  </si>
  <si>
    <t>21:45:19</t>
  </si>
  <si>
    <t>16:00:28</t>
  </si>
  <si>
    <t>22:00:16</t>
  </si>
  <si>
    <t>14:54:46</t>
  </si>
  <si>
    <t>19:25:30</t>
  </si>
  <si>
    <t>20:10:56</t>
  </si>
  <si>
    <t>00:25:15</t>
  </si>
  <si>
    <t>21:37:48</t>
  </si>
  <si>
    <t>23:46:40</t>
  </si>
  <si>
    <t>16:43:26</t>
  </si>
  <si>
    <t>19:43:16</t>
  </si>
  <si>
    <t>15:06:52</t>
  </si>
  <si>
    <t>15:11:03</t>
  </si>
  <si>
    <t>13:37:42</t>
  </si>
  <si>
    <t>12:20:39</t>
  </si>
  <si>
    <t>02:03:31</t>
  </si>
  <si>
    <t>14:06:41</t>
  </si>
  <si>
    <t>12:26:39</t>
  </si>
  <si>
    <t>09:52:44</t>
  </si>
  <si>
    <t>16:43:46</t>
  </si>
  <si>
    <t>13:42:12</t>
  </si>
  <si>
    <t>12:57:23</t>
  </si>
  <si>
    <t>09:06:23</t>
  </si>
  <si>
    <t>08:55:51</t>
  </si>
  <si>
    <t>17:15:41</t>
  </si>
  <si>
    <t>17:15:06</t>
  </si>
  <si>
    <t>21:45:14</t>
  </si>
  <si>
    <t>11:48:50</t>
  </si>
  <si>
    <t>13:00:02</t>
  </si>
  <si>
    <t>12:15:25</t>
  </si>
  <si>
    <t>01:56:16</t>
  </si>
  <si>
    <t>15:35:31</t>
  </si>
  <si>
    <t>19:25:13</t>
  </si>
  <si>
    <t>15:40:00</t>
  </si>
  <si>
    <t>15:01:54</t>
  </si>
  <si>
    <t>15:36:00</t>
  </si>
  <si>
    <t>15:28:00</t>
  </si>
  <si>
    <t>15:25:00</t>
  </si>
  <si>
    <t>22:30:26</t>
  </si>
  <si>
    <t>15:39:00</t>
  </si>
  <si>
    <t>00:11:59</t>
  </si>
  <si>
    <t>14:13:00</t>
  </si>
  <si>
    <t>17:33:24</t>
  </si>
  <si>
    <t>15:46:24</t>
  </si>
  <si>
    <t>14:34:40</t>
  </si>
  <si>
    <t>14:12:00</t>
  </si>
  <si>
    <t>14:16:00</t>
  </si>
  <si>
    <t>14:15:00</t>
  </si>
  <si>
    <t>21:20:00</t>
  </si>
  <si>
    <t>14:17:00</t>
  </si>
  <si>
    <t>01:07:04</t>
  </si>
  <si>
    <t>16:57:44</t>
  </si>
  <si>
    <t>15:13:00</t>
  </si>
  <si>
    <t>15:06:00</t>
  </si>
  <si>
    <t>18:15:05</t>
  </si>
  <si>
    <t>14:22:48</t>
  </si>
  <si>
    <t>10:57:30</t>
  </si>
  <si>
    <t>14:30:41</t>
  </si>
  <si>
    <t>19:58:32</t>
  </si>
  <si>
    <t>13:00:37</t>
  </si>
  <si>
    <t>22:50:11</t>
  </si>
  <si>
    <t>13:00:05</t>
  </si>
  <si>
    <t>13:29:20</t>
  </si>
  <si>
    <t>22:30:11</t>
  </si>
  <si>
    <t>23:16:37</t>
  </si>
  <si>
    <t>13:48:22</t>
  </si>
  <si>
    <t>19:44:22</t>
  </si>
  <si>
    <t>16:58:28</t>
  </si>
  <si>
    <t>20:42:16</t>
  </si>
  <si>
    <t>14:03:17</t>
  </si>
  <si>
    <t>18:07:22</t>
  </si>
  <si>
    <t>17:57:24</t>
  </si>
  <si>
    <t>12:48:48</t>
  </si>
  <si>
    <t>16:55:20</t>
  </si>
  <si>
    <t>16:54:44</t>
  </si>
  <si>
    <t>21:20:32</t>
  </si>
  <si>
    <t>12:03:30</t>
  </si>
  <si>
    <t>14:13:20</t>
  </si>
  <si>
    <t>19:09:20</t>
  </si>
  <si>
    <t>18:31:53</t>
  </si>
  <si>
    <t>11:33:19</t>
  </si>
  <si>
    <t>12:32:52</t>
  </si>
  <si>
    <t>21:01:53</t>
  </si>
  <si>
    <t>18:14:14</t>
  </si>
  <si>
    <t>12:33:18</t>
  </si>
  <si>
    <t>12:32:58</t>
  </si>
  <si>
    <t>18:40:00</t>
  </si>
  <si>
    <t>14:17:17</t>
  </si>
  <si>
    <t>20:12:13</t>
  </si>
  <si>
    <t>18:41:00</t>
  </si>
  <si>
    <t>17:30:16</t>
  </si>
  <si>
    <t>11:00:00</t>
  </si>
  <si>
    <t>11:00:02</t>
  </si>
  <si>
    <t>02:39:32</t>
  </si>
  <si>
    <t>23:20:07</t>
  </si>
  <si>
    <t>14:55:00</t>
  </si>
  <si>
    <t>22:14:27</t>
  </si>
  <si>
    <t>21:40:15</t>
  </si>
  <si>
    <t>21:16:17</t>
  </si>
  <si>
    <t>01:55:30</t>
  </si>
  <si>
    <t>20:33:19</t>
  </si>
  <si>
    <t>17:35:24</t>
  </si>
  <si>
    <t>18:46:09</t>
  </si>
  <si>
    <t>22:50:56</t>
  </si>
  <si>
    <t>16:43:23</t>
  </si>
  <si>
    <t>17:00:02</t>
  </si>
  <si>
    <t>19:45:23</t>
  </si>
  <si>
    <t>00:54:35</t>
  </si>
  <si>
    <t>13:48:37</t>
  </si>
  <si>
    <t>20:42:01</t>
  </si>
  <si>
    <t>22:18:13</t>
  </si>
  <si>
    <t>09:00:01</t>
  </si>
  <si>
    <t>14:19:12</t>
  </si>
  <si>
    <t>19:22:46</t>
  </si>
  <si>
    <t>01:40:56</t>
  </si>
  <si>
    <t>14:20:31</t>
  </si>
  <si>
    <t>13:09:30</t>
  </si>
  <si>
    <t>22:03:53</t>
  </si>
  <si>
    <t>11:34:25</t>
  </si>
  <si>
    <t>01:41:41</t>
  </si>
  <si>
    <t>17:43:04</t>
  </si>
  <si>
    <t>19:48:02</t>
  </si>
  <si>
    <t>19:26:11</t>
  </si>
  <si>
    <t>19:22:19</t>
  </si>
  <si>
    <t>10:56:45</t>
  </si>
  <si>
    <t>09:45:55</t>
  </si>
  <si>
    <t>16:31:25</t>
  </si>
  <si>
    <t>14:44:00</t>
  </si>
  <si>
    <t>00:38:00</t>
  </si>
  <si>
    <t>18:51:00</t>
  </si>
  <si>
    <t>18:48:06</t>
  </si>
  <si>
    <t>14:54:30</t>
  </si>
  <si>
    <t>15:00:51</t>
  </si>
  <si>
    <t>21:25:52</t>
  </si>
  <si>
    <t>04:01:24</t>
  </si>
  <si>
    <t>19:53:44</t>
  </si>
  <si>
    <t>11:07:35</t>
  </si>
  <si>
    <t>14:44:43</t>
  </si>
  <si>
    <t>23:02:13</t>
  </si>
  <si>
    <t>23:50:22</t>
  </si>
  <si>
    <t>23:53:42</t>
  </si>
  <si>
    <t>21:39:26</t>
  </si>
  <si>
    <t>22:00:18</t>
  </si>
  <si>
    <t>19:21:17</t>
  </si>
  <si>
    <t>01:41:26</t>
  </si>
  <si>
    <t>05:47:14</t>
  </si>
  <si>
    <t>01:37:52</t>
  </si>
  <si>
    <t>02:51:53</t>
  </si>
  <si>
    <t>03:02:52</t>
  </si>
  <si>
    <t>12:55:39</t>
  </si>
  <si>
    <t>15:19:22</t>
  </si>
  <si>
    <t>14:30:21</t>
  </si>
  <si>
    <t>14:00:23</t>
  </si>
  <si>
    <t>17:00:26</t>
  </si>
  <si>
    <t>09:07:46</t>
  </si>
  <si>
    <t>11:46:09</t>
  </si>
  <si>
    <t>08:14:39</t>
  </si>
  <si>
    <t>17:17:59</t>
  </si>
  <si>
    <t>22:37:06</t>
  </si>
  <si>
    <t>02:52:06</t>
  </si>
  <si>
    <t>13:03:00</t>
  </si>
  <si>
    <t>15:10:00</t>
  </si>
  <si>
    <t>13:08:00</t>
  </si>
  <si>
    <t>13:07:00</t>
  </si>
  <si>
    <t>00:58:00</t>
  </si>
  <si>
    <t>13:19:00</t>
  </si>
  <si>
    <t>00:59:00</t>
  </si>
  <si>
    <t>11:14:00</t>
  </si>
  <si>
    <t>13:13:00</t>
  </si>
  <si>
    <t>12:05:00</t>
  </si>
  <si>
    <t>12:06:00</t>
  </si>
  <si>
    <t>01:06:00</t>
  </si>
  <si>
    <t>13:17:00</t>
  </si>
  <si>
    <t>13:21:00</t>
  </si>
  <si>
    <t>15:44:00</t>
  </si>
  <si>
    <t>00:43:32</t>
  </si>
  <si>
    <t>13:12:00</t>
  </si>
  <si>
    <t>14:10:00</t>
  </si>
  <si>
    <t>01:01:00</t>
  </si>
  <si>
    <t>14:20:00</t>
  </si>
  <si>
    <t>15:55:00</t>
  </si>
  <si>
    <t>15:57:00</t>
  </si>
  <si>
    <t>17:57:00</t>
  </si>
  <si>
    <t>02:02:15</t>
  </si>
  <si>
    <t>17:32:59</t>
  </si>
  <si>
    <t>22:55:18</t>
  </si>
  <si>
    <t>16:00:15</t>
  </si>
  <si>
    <t>10:11:28</t>
  </si>
  <si>
    <t>10:05:14</t>
  </si>
  <si>
    <t>21:30:40</t>
  </si>
  <si>
    <t>14:50:12</t>
  </si>
  <si>
    <t>15:20:34</t>
  </si>
  <si>
    <t>14:30:45</t>
  </si>
  <si>
    <t>10:40:16</t>
  </si>
  <si>
    <t>14:25:23</t>
  </si>
  <si>
    <t>11:15:18</t>
  </si>
  <si>
    <t>15:00:03</t>
  </si>
  <si>
    <t>00:31:06</t>
  </si>
  <si>
    <t>00:41:34</t>
  </si>
  <si>
    <t>00:02:15</t>
  </si>
  <si>
    <t>23:08:43</t>
  </si>
  <si>
    <t>23:19:23</t>
  </si>
  <si>
    <t>00:15:45</t>
  </si>
  <si>
    <t>23:20:41</t>
  </si>
  <si>
    <t>00:25:37</t>
  </si>
  <si>
    <t>22:02:44</t>
  </si>
  <si>
    <t>22:49:17</t>
  </si>
  <si>
    <t>00:21:08</t>
  </si>
  <si>
    <t>00:48:26</t>
  </si>
  <si>
    <t>22:07:27</t>
  </si>
  <si>
    <t>23:56:42</t>
  </si>
  <si>
    <t>22:57:56</t>
  </si>
  <si>
    <t>23:06:20</t>
  </si>
  <si>
    <t>03:31:49</t>
  </si>
  <si>
    <t>01:39:49</t>
  </si>
  <si>
    <t>01:39:25</t>
  </si>
  <si>
    <t>01:39:14</t>
  </si>
  <si>
    <t>16:07:00</t>
  </si>
  <si>
    <t>11:07:00</t>
  </si>
  <si>
    <t>22:17:00</t>
  </si>
  <si>
    <t>17:17:00</t>
  </si>
  <si>
    <t>15:58:48</t>
  </si>
  <si>
    <t>15:17:11</t>
  </si>
  <si>
    <t>22:36:51</t>
  </si>
  <si>
    <t>16:24:47</t>
  </si>
  <si>
    <t>17:38:17</t>
  </si>
  <si>
    <t>14:58:23</t>
  </si>
  <si>
    <t>19:01:12</t>
  </si>
  <si>
    <t>15:00:05</t>
  </si>
  <si>
    <t>16:57:55</t>
  </si>
  <si>
    <t>12:04:29</t>
  </si>
  <si>
    <t>15:40:42</t>
  </si>
  <si>
    <t>13:27:40</t>
  </si>
  <si>
    <t>07:38:13</t>
  </si>
  <si>
    <t>21:30:20</t>
  </si>
  <si>
    <t>21:10:39</t>
  </si>
  <si>
    <t>12:26:26</t>
  </si>
  <si>
    <t>06:30:31</t>
  </si>
  <si>
    <t>10:17:04</t>
  </si>
  <si>
    <t>06:39:17</t>
  </si>
  <si>
    <t>09:58:28</t>
  </si>
  <si>
    <t>11:00:55</t>
  </si>
  <si>
    <t>09:20:11</t>
  </si>
  <si>
    <t>12:01:02</t>
  </si>
  <si>
    <t>06:08:32</t>
  </si>
  <si>
    <t>08:32:09</t>
  </si>
  <si>
    <t>13:28:48</t>
  </si>
  <si>
    <t>06:47:09</t>
  </si>
  <si>
    <t>19:48:50</t>
  </si>
  <si>
    <t>19:46:58</t>
  </si>
  <si>
    <t>19:45:07</t>
  </si>
  <si>
    <t>19:43:06</t>
  </si>
  <si>
    <t>19:41:02</t>
  </si>
  <si>
    <t>14:37:09</t>
  </si>
  <si>
    <t>13:47:51</t>
  </si>
  <si>
    <t>15:33:43</t>
  </si>
  <si>
    <t>15:00:49</t>
  </si>
  <si>
    <t>20:59:51</t>
  </si>
  <si>
    <t>20:59:41</t>
  </si>
  <si>
    <t>14:40:52</t>
  </si>
  <si>
    <t>12:09:53</t>
  </si>
  <si>
    <t>20:57:36</t>
  </si>
  <si>
    <t>21:00:50</t>
  </si>
  <si>
    <t>12:01:15</t>
  </si>
  <si>
    <t>12:20:05</t>
  </si>
  <si>
    <t>13:32:08</t>
  </si>
  <si>
    <t>17:30:13</t>
  </si>
  <si>
    <t>10:01:27</t>
  </si>
  <si>
    <t>17:30:03</t>
  </si>
  <si>
    <t>17:30:06</t>
  </si>
  <si>
    <t>17:30:01</t>
  </si>
  <si>
    <t>17:30:07</t>
  </si>
  <si>
    <t>17:30:21</t>
  </si>
  <si>
    <t>17:30:36</t>
  </si>
  <si>
    <t>17:30:26</t>
  </si>
  <si>
    <t>17:30:09</t>
  </si>
  <si>
    <t>17:30:14</t>
  </si>
  <si>
    <t>17:30:32</t>
  </si>
  <si>
    <t>19:09:09</t>
  </si>
  <si>
    <t>21:00:19</t>
  </si>
  <si>
    <t>02:17:26</t>
  </si>
  <si>
    <t>17:31:31</t>
  </si>
  <si>
    <t>16:04:51</t>
  </si>
  <si>
    <t>17:54:19</t>
  </si>
  <si>
    <t>10:54:00</t>
  </si>
  <si>
    <t>00:31:05</t>
  </si>
  <si>
    <t>01:14:45</t>
  </si>
  <si>
    <t>20:26:03</t>
  </si>
  <si>
    <t>21:50:41</t>
  </si>
  <si>
    <t>19:36:58</t>
  </si>
  <si>
    <t>19:36:57</t>
  </si>
  <si>
    <t>19:36:56</t>
  </si>
  <si>
    <t>23:27:43</t>
  </si>
  <si>
    <t>15:26:39</t>
  </si>
  <si>
    <t>14:47:12</t>
  </si>
  <si>
    <t>20:24:15</t>
  </si>
  <si>
    <t>21:57:16</t>
  </si>
  <si>
    <t>17:23:47</t>
  </si>
  <si>
    <t>17:11:00</t>
  </si>
  <si>
    <t>21:20:58</t>
  </si>
  <si>
    <t>15:09:33</t>
  </si>
  <si>
    <t>12:00:43</t>
  </si>
  <si>
    <t>00:15:10</t>
  </si>
  <si>
    <t>02:15:37</t>
  </si>
  <si>
    <t>10:23:22</t>
  </si>
  <si>
    <t>14:37:37</t>
  </si>
  <si>
    <t>14:02:11</t>
  </si>
  <si>
    <t>13:48:27</t>
  </si>
  <si>
    <t>13:17:08</t>
  </si>
  <si>
    <t>15:08:00</t>
  </si>
  <si>
    <t>17:04:28</t>
  </si>
  <si>
    <t>14:00:41</t>
  </si>
  <si>
    <t>16:03:23</t>
  </si>
  <si>
    <t>15:13:01</t>
  </si>
  <si>
    <t>18:01:11</t>
  </si>
  <si>
    <t>14:34:24</t>
  </si>
  <si>
    <t>09:54:38</t>
  </si>
  <si>
    <t>18:55:42</t>
  </si>
  <si>
    <t>16:19:49</t>
  </si>
  <si>
    <t>15:01:09</t>
  </si>
  <si>
    <t>18:39:46</t>
  </si>
  <si>
    <t>16:31:29</t>
  </si>
  <si>
    <t>14:36:16</t>
  </si>
  <si>
    <t>09:53:21</t>
  </si>
  <si>
    <t>17:09:58</t>
  </si>
  <si>
    <t>17:00:38</t>
  </si>
  <si>
    <t>09:55:21</t>
  </si>
  <si>
    <t>19:42:48</t>
  </si>
  <si>
    <t>18:26:24</t>
  </si>
  <si>
    <t>12:25:02</t>
  </si>
  <si>
    <t>18:01:08</t>
  </si>
  <si>
    <t>18:38:44</t>
  </si>
  <si>
    <t>13:48:11</t>
  </si>
  <si>
    <t>09:12:33</t>
  </si>
  <si>
    <t>13:13:52</t>
  </si>
  <si>
    <t>16:46:43</t>
  </si>
  <si>
    <t>01:07:34</t>
  </si>
  <si>
    <t>01:46:20</t>
  </si>
  <si>
    <t>12:25:15</t>
  </si>
  <si>
    <t>14:32:02</t>
  </si>
  <si>
    <t>13:31:23</t>
  </si>
  <si>
    <t>20:53:04</t>
  </si>
  <si>
    <t>13:01:03</t>
  </si>
  <si>
    <t>21:49:25</t>
  </si>
  <si>
    <t>15:25:36</t>
  </si>
  <si>
    <t>20:42:39</t>
  </si>
  <si>
    <t>13:18:52</t>
  </si>
  <si>
    <t>21:37:01</t>
  </si>
  <si>
    <t>00:23:44</t>
  </si>
  <si>
    <t>23:48:42</t>
  </si>
  <si>
    <t>18:01:05</t>
  </si>
  <si>
    <t>19:28:00</t>
  </si>
  <si>
    <t>19:07:25</t>
  </si>
  <si>
    <t>15:27:39</t>
  </si>
  <si>
    <t>14:58:53</t>
  </si>
  <si>
    <t>12:29:06</t>
  </si>
  <si>
    <t>02:31:24</t>
  </si>
  <si>
    <t>20:14:08</t>
  </si>
  <si>
    <t>21:22:09</t>
  </si>
  <si>
    <t>21:28:45</t>
  </si>
  <si>
    <t>11:00:40</t>
  </si>
  <si>
    <t>13:35:11</t>
  </si>
  <si>
    <t>11:58:36</t>
  </si>
  <si>
    <t>13:12:32</t>
  </si>
  <si>
    <t>05:25:51</t>
  </si>
  <si>
    <t>11:42:05</t>
  </si>
  <si>
    <t>10:59:24</t>
  </si>
  <si>
    <t>13:36:57</t>
  </si>
  <si>
    <t>13:47:03</t>
  </si>
  <si>
    <t>14:28:35</t>
  </si>
  <si>
    <t>10:28:18</t>
  </si>
  <si>
    <t>10:12:03</t>
  </si>
  <si>
    <t>23:54:27</t>
  </si>
  <si>
    <t>13:16:44</t>
  </si>
  <si>
    <t>14:26:59</t>
  </si>
  <si>
    <t>17:16:36</t>
  </si>
  <si>
    <t>13:00:39</t>
  </si>
  <si>
    <t>23:03:15</t>
  </si>
  <si>
    <t>13:00:00</t>
  </si>
  <si>
    <t>12:40:00</t>
  </si>
  <si>
    <t>22:40:00</t>
  </si>
  <si>
    <t>18:20:00</t>
  </si>
  <si>
    <t>18:36:50</t>
  </si>
  <si>
    <t>18:05:23</t>
  </si>
  <si>
    <t>19:25:08</t>
  </si>
  <si>
    <t>21:11:19</t>
  </si>
  <si>
    <t>20:27:33</t>
  </si>
  <si>
    <t>20:10:48</t>
  </si>
  <si>
    <t>21:17:47</t>
  </si>
  <si>
    <t>21:16:55</t>
  </si>
  <si>
    <t>21:17:02</t>
  </si>
  <si>
    <t>21:21:30</t>
  </si>
  <si>
    <t>20:58:40</t>
  </si>
  <si>
    <t>21:24:57</t>
  </si>
  <si>
    <t>20:28:29</t>
  </si>
  <si>
    <t>21:16:43</t>
  </si>
  <si>
    <t>21:18:30</t>
  </si>
  <si>
    <t>17:31:56</t>
  </si>
  <si>
    <t>13:53:52</t>
  </si>
  <si>
    <t>21:12:02</t>
  </si>
  <si>
    <t>20:41:17</t>
  </si>
  <si>
    <t>20:43:23</t>
  </si>
  <si>
    <t>16:25:19</t>
  </si>
  <si>
    <t>21:01:59</t>
  </si>
  <si>
    <t>21:35:22</t>
  </si>
  <si>
    <t>20:50:13</t>
  </si>
  <si>
    <t>17:52:20</t>
  </si>
  <si>
    <t>17:33:20</t>
  </si>
  <si>
    <t>20:51:50</t>
  </si>
  <si>
    <t>21:14:36</t>
  </si>
  <si>
    <t>21:15:38</t>
  </si>
  <si>
    <t>21:22:35</t>
  </si>
  <si>
    <t>21:10:30</t>
  </si>
  <si>
    <t>21:32:25</t>
  </si>
  <si>
    <t>20:03:59</t>
  </si>
  <si>
    <t>21:24:07</t>
  </si>
  <si>
    <t>17:44:17</t>
  </si>
  <si>
    <t>20:18:15</t>
  </si>
  <si>
    <t>19:03:06</t>
  </si>
  <si>
    <t>19:24:23</t>
  </si>
  <si>
    <t>20:52:19</t>
  </si>
  <si>
    <t>21:15:34</t>
  </si>
  <si>
    <t>18:03:57</t>
  </si>
  <si>
    <t>18:42:38</t>
  </si>
  <si>
    <t>21:32:56</t>
  </si>
  <si>
    <t>21:15:41</t>
  </si>
  <si>
    <t>21:19:58</t>
  </si>
  <si>
    <t>12:57:17</t>
  </si>
  <si>
    <t>20:56:34</t>
  </si>
  <si>
    <t>20:41:15</t>
  </si>
  <si>
    <t>19:55:30</t>
  </si>
  <si>
    <t>13:24:43</t>
  </si>
  <si>
    <t>00:04:24</t>
  </si>
  <si>
    <t>23:09:06</t>
  </si>
  <si>
    <t>15:45:44</t>
  </si>
  <si>
    <t>17:38:54</t>
  </si>
  <si>
    <t>12:29:29</t>
  </si>
  <si>
    <t>00:13:16</t>
  </si>
  <si>
    <t>12:09:57</t>
  </si>
  <si>
    <t>14:31:08</t>
  </si>
  <si>
    <t>14:10:10</t>
  </si>
  <si>
    <t>17:13:15</t>
  </si>
  <si>
    <t>13:00:43</t>
  </si>
  <si>
    <t>12:00:46</t>
  </si>
  <si>
    <t>12:10:27</t>
  </si>
  <si>
    <t>19:00:48</t>
  </si>
  <si>
    <t>12:15:24</t>
  </si>
  <si>
    <t>12:10:20</t>
  </si>
  <si>
    <t>12:20:28</t>
  </si>
  <si>
    <t>12:15:26</t>
  </si>
  <si>
    <t>16:15:11</t>
  </si>
  <si>
    <t>12:50:14</t>
  </si>
  <si>
    <t>14:43:52</t>
  </si>
  <si>
    <t>12:18:36</t>
  </si>
  <si>
    <t>18:36:17</t>
  </si>
  <si>
    <t>13:38:43</t>
  </si>
  <si>
    <t>13:38:42</t>
  </si>
  <si>
    <t>13:38:41</t>
  </si>
  <si>
    <t>18:05:42</t>
  </si>
  <si>
    <t>21:47:59</t>
  </si>
  <si>
    <t>14:45:38</t>
  </si>
  <si>
    <t>00:25:18</t>
  </si>
  <si>
    <t>20:41:03</t>
  </si>
  <si>
    <t>20:35:24</t>
  </si>
  <si>
    <t>12:15:46</t>
  </si>
  <si>
    <t>00:40:22</t>
  </si>
  <si>
    <t>11:19:48</t>
  </si>
  <si>
    <t>23:01:26</t>
  </si>
  <si>
    <t>23:59:45</t>
  </si>
  <si>
    <t>13:32:49</t>
  </si>
  <si>
    <t>19:45:02</t>
  </si>
  <si>
    <t>13:11:21</t>
  </si>
  <si>
    <t>03:49:45</t>
  </si>
  <si>
    <t>17:55:34</t>
  </si>
  <si>
    <t>14:43:34</t>
  </si>
  <si>
    <t>17:21:06</t>
  </si>
  <si>
    <t>00:15:38</t>
  </si>
  <si>
    <t>14:44:10</t>
  </si>
  <si>
    <t>12:00:03</t>
  </si>
  <si>
    <t>18:05:00</t>
  </si>
  <si>
    <t>11:20:58</t>
  </si>
  <si>
    <t>13:42:46</t>
  </si>
  <si>
    <t>12:21:20</t>
  </si>
  <si>
    <t>18:52:06</t>
  </si>
  <si>
    <t>09:57:14</t>
  </si>
  <si>
    <t>12:41:56</t>
  </si>
  <si>
    <t>17:03:03</t>
  </si>
  <si>
    <t>18:40:08</t>
  </si>
  <si>
    <t>23:39:14</t>
  </si>
  <si>
    <t>16:20:46</t>
  </si>
  <si>
    <t>20:42:29</t>
  </si>
  <si>
    <t>18:55:41</t>
  </si>
  <si>
    <t>09:49:27</t>
  </si>
  <si>
    <t>12:40:21</t>
  </si>
  <si>
    <t>02:49:00</t>
  </si>
  <si>
    <t>14:32:04</t>
  </si>
  <si>
    <t>14:33:46</t>
  </si>
  <si>
    <t>17:06:21</t>
  </si>
  <si>
    <t>16:38:30</t>
  </si>
  <si>
    <t>19:58:16</t>
  </si>
  <si>
    <t>13:59:45</t>
  </si>
  <si>
    <t>05:56:59</t>
  </si>
  <si>
    <t>19:01:00</t>
  </si>
  <si>
    <t>17:00:49</t>
  </si>
  <si>
    <t>19:00:55</t>
  </si>
  <si>
    <t>19:00:59</t>
  </si>
  <si>
    <t>18:01:04</t>
  </si>
  <si>
    <t>18:00:57</t>
  </si>
  <si>
    <t>20:01:03</t>
  </si>
  <si>
    <t>18:00:54</t>
  </si>
  <si>
    <t>20:01:09</t>
  </si>
  <si>
    <t>18:20:08</t>
  </si>
  <si>
    <t>19:01:08</t>
  </si>
  <si>
    <t>17:00:44</t>
  </si>
  <si>
    <t>19:00:53</t>
  </si>
  <si>
    <t>17:01:03</t>
  </si>
  <si>
    <t>17:00:53</t>
  </si>
  <si>
    <t>19:01:07</t>
  </si>
  <si>
    <t>17:00:43</t>
  </si>
  <si>
    <t>19:01:05</t>
  </si>
  <si>
    <t>17:15:12</t>
  </si>
  <si>
    <t>18:00:40</t>
  </si>
  <si>
    <t>19:00:54</t>
  </si>
  <si>
    <t>17:00:48</t>
  </si>
  <si>
    <t>17:55:15</t>
  </si>
  <si>
    <t>15:27:24</t>
  </si>
  <si>
    <t>15:18:05</t>
  </si>
  <si>
    <t>23:39:06</t>
  </si>
  <si>
    <t>17:29:00</t>
  </si>
  <si>
    <t>12:16:39</t>
  </si>
  <si>
    <t>03:41:54</t>
  </si>
  <si>
    <t>19:22:58</t>
  </si>
  <si>
    <t>18:39:52</t>
  </si>
  <si>
    <t>01:30:33</t>
  </si>
  <si>
    <t>13:14:47</t>
  </si>
  <si>
    <t>22:05:19</t>
  </si>
  <si>
    <t>01:00:56</t>
  </si>
  <si>
    <t>16:13:38</t>
  </si>
  <si>
    <t>22:56:38</t>
  </si>
  <si>
    <t>21:19:38</t>
  </si>
  <si>
    <t>13:39:12</t>
  </si>
  <si>
    <t>14:12:35</t>
  </si>
  <si>
    <t>23:36:03</t>
  </si>
  <si>
    <t>13:55:19</t>
  </si>
  <si>
    <t>23:22:29</t>
  </si>
  <si>
    <t>20:36:38</t>
  </si>
  <si>
    <t>12:03:48</t>
  </si>
  <si>
    <t>15:02:59</t>
  </si>
  <si>
    <t>22:44:34</t>
  </si>
  <si>
    <t>10:01:46</t>
  </si>
  <si>
    <t>09:57:37</t>
  </si>
  <si>
    <t>21:26:44</t>
  </si>
  <si>
    <t>14:46:00</t>
  </si>
  <si>
    <t>11:47:41</t>
  </si>
  <si>
    <t>11:47:39</t>
  </si>
  <si>
    <t>11:47:38</t>
  </si>
  <si>
    <t>10:32:02</t>
  </si>
  <si>
    <t>21:37:08</t>
  </si>
  <si>
    <t>00:13:59</t>
  </si>
  <si>
    <t>22:38:31</t>
  </si>
  <si>
    <t>19:54:11</t>
  </si>
  <si>
    <t>17:22:40</t>
  </si>
  <si>
    <t>16:39:59</t>
  </si>
  <si>
    <t>23:08:18</t>
  </si>
  <si>
    <t>12:58:33</t>
  </si>
  <si>
    <t>17:35:07</t>
  </si>
  <si>
    <t>12:01:05</t>
  </si>
  <si>
    <t>18:35:48</t>
  </si>
  <si>
    <t>13:55:03</t>
  </si>
  <si>
    <t>12:01:07</t>
  </si>
  <si>
    <t>17:56:53</t>
  </si>
  <si>
    <t>19:31:29</t>
  </si>
  <si>
    <t>19:30:41</t>
  </si>
  <si>
    <t>20:47:15</t>
  </si>
  <si>
    <t>11:17:21</t>
  </si>
  <si>
    <t>01:09:09</t>
  </si>
  <si>
    <t>03:12:07</t>
  </si>
  <si>
    <t>12:47:35</t>
  </si>
  <si>
    <t>11:40:30</t>
  </si>
  <si>
    <t>01:14:20</t>
  </si>
  <si>
    <t>00:36:29</t>
  </si>
  <si>
    <t>00:39:26</t>
  </si>
  <si>
    <t>22:30:00</t>
  </si>
  <si>
    <t>12:26:54</t>
  </si>
  <si>
    <t>01:45:02</t>
  </si>
  <si>
    <t>23:50:05</t>
  </si>
  <si>
    <t>17:10:13</t>
  </si>
  <si>
    <t>15:30:36</t>
  </si>
  <si>
    <t>04:30:52</t>
  </si>
  <si>
    <t>21:05:01</t>
  </si>
  <si>
    <t>21:01:12</t>
  </si>
  <si>
    <t>21:05:21</t>
  </si>
  <si>
    <t>21:03:44</t>
  </si>
  <si>
    <t>21:03:29</t>
  </si>
  <si>
    <t>21:02:30</t>
  </si>
  <si>
    <t>21:01:46</t>
  </si>
  <si>
    <t>21:01:56</t>
  </si>
  <si>
    <t>21:02:43</t>
  </si>
  <si>
    <t>21:04:09</t>
  </si>
  <si>
    <t>12:53:56</t>
  </si>
  <si>
    <t>06:46:45</t>
  </si>
  <si>
    <t>18:26:38</t>
  </si>
  <si>
    <t>17:59:15</t>
  </si>
  <si>
    <t>14:00:10</t>
  </si>
  <si>
    <t>19:37:03</t>
  </si>
  <si>
    <t>13:30:44</t>
  </si>
  <si>
    <t>18:42:47</t>
  </si>
  <si>
    <t>18:29:47</t>
  </si>
  <si>
    <t>17:27:31</t>
  </si>
  <si>
    <t>14:38:34</t>
  </si>
  <si>
    <t>16:33:42</t>
  </si>
  <si>
    <t>18:58:01</t>
  </si>
  <si>
    <t>16:04:03</t>
  </si>
  <si>
    <t>18:36:08</t>
  </si>
  <si>
    <t>22:37:03</t>
  </si>
  <si>
    <t>09:30:00</t>
  </si>
  <si>
    <t>13:48:04</t>
  </si>
  <si>
    <t>18:22:54</t>
  </si>
  <si>
    <t>12:35:11</t>
  </si>
  <si>
    <t>12:40:20</t>
  </si>
  <si>
    <t>17:25:38</t>
  </si>
  <si>
    <t>08:49:00</t>
  </si>
  <si>
    <t>14:31:15</t>
  </si>
  <si>
    <t>21:09:16</t>
  </si>
  <si>
    <t>21:11:22</t>
  </si>
  <si>
    <t>01:06:33</t>
  </si>
  <si>
    <t>12:43:37</t>
  </si>
  <si>
    <t>17:14:38</t>
  </si>
  <si>
    <t>13:23:59</t>
  </si>
  <si>
    <t>16:58:01</t>
  </si>
  <si>
    <t>20:02:15</t>
  </si>
  <si>
    <t>20:00:13</t>
  </si>
  <si>
    <t>21:49:19</t>
  </si>
  <si>
    <t>17:48:12</t>
  </si>
  <si>
    <t>17:46:12</t>
  </si>
  <si>
    <t>00:01:13</t>
  </si>
  <si>
    <t>22:00:15</t>
  </si>
  <si>
    <t>19:57:34</t>
  </si>
  <si>
    <t>07:58:53</t>
  </si>
  <si>
    <t>10:58:37</t>
  </si>
  <si>
    <t>01:58:20</t>
  </si>
  <si>
    <t>22:12:34</t>
  </si>
  <si>
    <t>13:38:54</t>
  </si>
  <si>
    <t>18:38:23</t>
  </si>
  <si>
    <t>17:00:18</t>
  </si>
  <si>
    <t>16:15:12</t>
  </si>
  <si>
    <t>21:27:07</t>
  </si>
  <si>
    <t>23:06:00</t>
  </si>
  <si>
    <t>01:43:16</t>
  </si>
  <si>
    <t>19:13:20</t>
  </si>
  <si>
    <t>20:32:58</t>
  </si>
  <si>
    <t>17:08:03</t>
  </si>
  <si>
    <t>19:26:06</t>
  </si>
  <si>
    <t>11:36:01</t>
  </si>
  <si>
    <t>18:38:09</t>
  </si>
  <si>
    <t>02:18:44</t>
  </si>
  <si>
    <t>02:27:41</t>
  </si>
  <si>
    <t>12:28:19</t>
  </si>
  <si>
    <t>11:00:11</t>
  </si>
  <si>
    <t>20:59:15</t>
  </si>
  <si>
    <t>13:48:28</t>
  </si>
  <si>
    <t>14:44:23</t>
  </si>
  <si>
    <t>16:47:46</t>
  </si>
  <si>
    <t>16:09:28</t>
  </si>
  <si>
    <t>01:22:30</t>
  </si>
  <si>
    <t>02:29:22</t>
  </si>
  <si>
    <t>11:44:09</t>
  </si>
  <si>
    <t>12:51:30</t>
  </si>
  <si>
    <t>16:00:39</t>
  </si>
  <si>
    <t>18:36:41</t>
  </si>
  <si>
    <t>23:00:50</t>
  </si>
  <si>
    <t>16:20:22</t>
  </si>
  <si>
    <t>16:51:44</t>
  </si>
  <si>
    <t>22:58:29</t>
  </si>
  <si>
    <t>14:26:25</t>
  </si>
  <si>
    <t>09:49:34</t>
  </si>
  <si>
    <t>12:50:21</t>
  </si>
  <si>
    <t>00:51:37</t>
  </si>
  <si>
    <t>16:28:56</t>
  </si>
  <si>
    <t>01:30:04</t>
  </si>
  <si>
    <t>10:00:32</t>
  </si>
  <si>
    <t>10:37:36</t>
  </si>
  <si>
    <t>13:10:54</t>
  </si>
  <si>
    <t>12:09:17</t>
  </si>
  <si>
    <t>10:30:18</t>
  </si>
  <si>
    <t>10:30:07</t>
  </si>
  <si>
    <t>18:01:24</t>
  </si>
  <si>
    <t>12:06:35</t>
  </si>
  <si>
    <t>02:30:49</t>
  </si>
  <si>
    <t>11:55:47</t>
  </si>
  <si>
    <t>13:58:37</t>
  </si>
  <si>
    <t>10:31:41</t>
  </si>
  <si>
    <t>10:32:41</t>
  </si>
  <si>
    <t>12:52:06</t>
  </si>
  <si>
    <t>17:59:36</t>
  </si>
  <si>
    <t>16:46:58</t>
  </si>
  <si>
    <t>22:55:32</t>
  </si>
  <si>
    <t>21:31:07</t>
  </si>
  <si>
    <t>11:56:03</t>
  </si>
  <si>
    <t>14:33:34</t>
  </si>
  <si>
    <t>22:06:18</t>
  </si>
  <si>
    <t>15:03:36</t>
  </si>
  <si>
    <t>17:12:58</t>
  </si>
  <si>
    <t>00:19:18</t>
  </si>
  <si>
    <t>21:49:15</t>
  </si>
  <si>
    <t>00:19:05</t>
  </si>
  <si>
    <t>00:06:35</t>
  </si>
  <si>
    <t>00:07:03</t>
  </si>
  <si>
    <t>00:48:49</t>
  </si>
  <si>
    <t>17:20:21</t>
  </si>
  <si>
    <t>10:55:48</t>
  </si>
  <si>
    <t>11:01:03</t>
  </si>
  <si>
    <t>19:12:34</t>
  </si>
  <si>
    <t>19:05:02</t>
  </si>
  <si>
    <t>02:54:02</t>
  </si>
  <si>
    <t>19:42:59</t>
  </si>
  <si>
    <t>01:20:02</t>
  </si>
  <si>
    <t>14:28:01</t>
  </si>
  <si>
    <t>11:07:37</t>
  </si>
  <si>
    <t>18:00:59</t>
  </si>
  <si>
    <t>19:23:24</t>
  </si>
  <si>
    <t>11:22:31</t>
  </si>
  <si>
    <t>14:46:02</t>
  </si>
  <si>
    <t>15:42:20</t>
  </si>
  <si>
    <t>14:19:40</t>
  </si>
  <si>
    <t>14:43:09</t>
  </si>
  <si>
    <t>12:55:54</t>
  </si>
  <si>
    <t>14:27:41</t>
  </si>
  <si>
    <t>17:26:10</t>
  </si>
  <si>
    <t>23:34:13</t>
  </si>
  <si>
    <t>22:30:54</t>
  </si>
  <si>
    <t>17:40:39</t>
  </si>
  <si>
    <t>17:50:05</t>
  </si>
  <si>
    <t>17:39:05</t>
  </si>
  <si>
    <t>20:14:47</t>
  </si>
  <si>
    <t>16:51:51</t>
  </si>
  <si>
    <t>18:07:47</t>
  </si>
  <si>
    <t>01:00:20</t>
  </si>
  <si>
    <t>14:16:22</t>
  </si>
  <si>
    <t>07:47:18</t>
  </si>
  <si>
    <t>11:39:02</t>
  </si>
  <si>
    <t>07:04:39</t>
  </si>
  <si>
    <t>05:20:38</t>
  </si>
  <si>
    <t>08:25:44</t>
  </si>
  <si>
    <t>08:12:52</t>
  </si>
  <si>
    <t>06:25:03</t>
  </si>
  <si>
    <t>10:06:35</t>
  </si>
  <si>
    <t>06:10:20</t>
  </si>
  <si>
    <t>06:58:28</t>
  </si>
  <si>
    <t>05:00:13</t>
  </si>
  <si>
    <t>08:18:53</t>
  </si>
  <si>
    <t>10:00:02</t>
  </si>
  <si>
    <t>20:02:10</t>
  </si>
  <si>
    <t>17:58:06</t>
  </si>
  <si>
    <t>16:51:03</t>
  </si>
  <si>
    <t>15:02:33</t>
  </si>
  <si>
    <t>20:00:27</t>
  </si>
  <si>
    <t>12:27:53</t>
  </si>
  <si>
    <t>11:22:22</t>
  </si>
  <si>
    <t>20:01:23</t>
  </si>
  <si>
    <t>11:57:12</t>
  </si>
  <si>
    <t>20:00:39</t>
  </si>
  <si>
    <t>19:47:44</t>
  </si>
  <si>
    <t>21:01:33</t>
  </si>
  <si>
    <t>14:20:12</t>
  </si>
  <si>
    <t>01:00:03</t>
  </si>
  <si>
    <t>03:27:54</t>
  </si>
  <si>
    <t>13:46:17</t>
  </si>
  <si>
    <t>18:11:16</t>
  </si>
  <si>
    <t>13:32:26</t>
  </si>
  <si>
    <t>06:55:37</t>
  </si>
  <si>
    <t>00:56:39</t>
  </si>
  <si>
    <t>15:42:18</t>
  </si>
  <si>
    <t>14:22:37</t>
  </si>
  <si>
    <t>23:43:33</t>
  </si>
  <si>
    <t>17:41:18</t>
  </si>
  <si>
    <t>19:12:03</t>
  </si>
  <si>
    <t>19:49:25</t>
  </si>
  <si>
    <t>13:01:00</t>
  </si>
  <si>
    <t>22:11:09</t>
  </si>
  <si>
    <t>19:23:00</t>
  </si>
  <si>
    <t>17:01:13</t>
  </si>
  <si>
    <t>20:11:48</t>
  </si>
  <si>
    <t>14:42:17</t>
  </si>
  <si>
    <t>14:24:04</t>
  </si>
  <si>
    <t>12:56:16</t>
  </si>
  <si>
    <t>00:30:34</t>
  </si>
  <si>
    <t>16:16:40</t>
  </si>
  <si>
    <t>14:37:08</t>
  </si>
  <si>
    <t>13:48:05</t>
  </si>
  <si>
    <t>16:10:25</t>
  </si>
  <si>
    <t>01:35:46</t>
  </si>
  <si>
    <t>14:11:23</t>
  </si>
  <si>
    <t>16:46:37</t>
  </si>
  <si>
    <t>21:16:32</t>
  </si>
  <si>
    <t>21:36:04</t>
  </si>
  <si>
    <t>13:06:29</t>
  </si>
  <si>
    <t>11:15:07</t>
  </si>
  <si>
    <t>23:28:42</t>
  </si>
  <si>
    <t>19:13:25</t>
  </si>
  <si>
    <t>16:23:19</t>
  </si>
  <si>
    <t>15:49:07</t>
  </si>
  <si>
    <t>13:36:07</t>
  </si>
  <si>
    <t>18:36:15</t>
  </si>
  <si>
    <t>19:47:43</t>
  </si>
  <si>
    <t>15:27:34</t>
  </si>
  <si>
    <t>17:08:13</t>
  </si>
  <si>
    <t>13:44:29</t>
  </si>
  <si>
    <t>05:04:07</t>
  </si>
  <si>
    <t>17:04:56</t>
  </si>
  <si>
    <t>15:12:55</t>
  </si>
  <si>
    <t>01:11:58</t>
  </si>
  <si>
    <t>11:12:20</t>
  </si>
  <si>
    <t>21:11:01</t>
  </si>
  <si>
    <t>16:50:03</t>
  </si>
  <si>
    <t>16:59:48</t>
  </si>
  <si>
    <t>16:00:01</t>
  </si>
  <si>
    <t>18:59:31</t>
  </si>
  <si>
    <t>12:26:01</t>
  </si>
  <si>
    <t>18:03:28</t>
  </si>
  <si>
    <t>08:28:11</t>
  </si>
  <si>
    <t>09:12:56</t>
  </si>
  <si>
    <t>15:13:31</t>
  </si>
  <si>
    <t>09:48:35</t>
  </si>
  <si>
    <t>12:47:12</t>
  </si>
  <si>
    <t>09:12:31</t>
  </si>
  <si>
    <t>11:05:38</t>
  </si>
  <si>
    <t>10:18:24</t>
  </si>
  <si>
    <t>09:09:07</t>
  </si>
  <si>
    <t>08:59:24</t>
  </si>
  <si>
    <t>09:36:31</t>
  </si>
  <si>
    <t>09:54:33</t>
  </si>
  <si>
    <t>13:26:50</t>
  </si>
  <si>
    <t>11:55:36</t>
  </si>
  <si>
    <t>09:10:46</t>
  </si>
  <si>
    <t>10:17:12</t>
  </si>
  <si>
    <t>08:36:11</t>
  </si>
  <si>
    <t>10:29:01</t>
  </si>
  <si>
    <t>09:55:58</t>
  </si>
  <si>
    <t>12:57:59</t>
  </si>
  <si>
    <t>08:29:19</t>
  </si>
  <si>
    <t>11:50:59</t>
  </si>
  <si>
    <t>16:30:25</t>
  </si>
  <si>
    <t>10:36:09</t>
  </si>
  <si>
    <t>14:41:43</t>
  </si>
  <si>
    <t>11:47:14</t>
  </si>
  <si>
    <t>03:18:13</t>
  </si>
  <si>
    <t>20:56:49</t>
  </si>
  <si>
    <t>01:55:35</t>
  </si>
  <si>
    <t>22:02:04</t>
  </si>
  <si>
    <t>21:47:03</t>
  </si>
  <si>
    <t>02:40:34</t>
  </si>
  <si>
    <t>20:11:29</t>
  </si>
  <si>
    <t>12:26:07</t>
  </si>
  <si>
    <t>13:03:24</t>
  </si>
  <si>
    <t>10:57:50</t>
  </si>
  <si>
    <t>15:42:38</t>
  </si>
  <si>
    <t>13:52:38</t>
  </si>
  <si>
    <t>18:21:22</t>
  </si>
  <si>
    <t>18:37:31</t>
  </si>
  <si>
    <t>22:59:46</t>
  </si>
  <si>
    <t>21:04:40</t>
  </si>
  <si>
    <t>09:51:18</t>
  </si>
  <si>
    <t>22:55:27</t>
  </si>
  <si>
    <t>23:27:37</t>
  </si>
  <si>
    <t>17:37:54</t>
  </si>
  <si>
    <t>00:37:22</t>
  </si>
  <si>
    <t>07:51:11</t>
  </si>
  <si>
    <t>20:34:53</t>
  </si>
  <si>
    <t>13:00:08</t>
  </si>
  <si>
    <t>22:22:52</t>
  </si>
  <si>
    <t>14:59:10</t>
  </si>
  <si>
    <t>19:25:56</t>
  </si>
  <si>
    <t>18:49:26</t>
  </si>
  <si>
    <t>11:36:06</t>
  </si>
  <si>
    <t>20:30:50</t>
  </si>
  <si>
    <t>14:50:32</t>
  </si>
  <si>
    <t>18:31:02</t>
  </si>
  <si>
    <t>15:00:43</t>
  </si>
  <si>
    <t>01:03:02</t>
  </si>
  <si>
    <t>21:00:55</t>
  </si>
  <si>
    <t>20:40:16</t>
  </si>
  <si>
    <t>16:37:26</t>
  </si>
  <si>
    <t>23:42:07</t>
  </si>
  <si>
    <t>18:13:28</t>
  </si>
  <si>
    <t>17:28:15</t>
  </si>
  <si>
    <t>18:20:38</t>
  </si>
  <si>
    <t>18:29:13</t>
  </si>
  <si>
    <t>13:34:31</t>
  </si>
  <si>
    <t>20:06:43</t>
  </si>
  <si>
    <t>18:00:32</t>
  </si>
  <si>
    <t>17:19:00</t>
  </si>
  <si>
    <t>22:21:50</t>
  </si>
  <si>
    <t>16:24:32</t>
  </si>
  <si>
    <t>17:46:47</t>
  </si>
  <si>
    <t>13:54:39</t>
  </si>
  <si>
    <t>13:23:11</t>
  </si>
  <si>
    <t>08:43:04</t>
  </si>
  <si>
    <t>13:07:19</t>
  </si>
  <si>
    <t>11:48:19</t>
  </si>
  <si>
    <t>14:49:11</t>
  </si>
  <si>
    <t>03:35:05</t>
  </si>
  <si>
    <t>15:18:08</t>
  </si>
  <si>
    <t>17:55:54</t>
  </si>
  <si>
    <t>10:00:37</t>
  </si>
  <si>
    <t>13:00:52</t>
  </si>
  <si>
    <t>13:24:03</t>
  </si>
  <si>
    <t>12:00:44</t>
  </si>
  <si>
    <t>01:19:37</t>
  </si>
  <si>
    <t>12:24:51</t>
  </si>
  <si>
    <t>12:59:27</t>
  </si>
  <si>
    <t>15:39:27</t>
  </si>
  <si>
    <t>22:38:44</t>
  </si>
  <si>
    <t>18:10:16</t>
  </si>
  <si>
    <t>17:16:16</t>
  </si>
  <si>
    <t>21:01:24</t>
  </si>
  <si>
    <t>19:59:13</t>
  </si>
  <si>
    <t>19:04:02</t>
  </si>
  <si>
    <t>16:03:21</t>
  </si>
  <si>
    <t>15:57:05</t>
  </si>
  <si>
    <t>15:40:02</t>
  </si>
  <si>
    <t>23:23:33</t>
  </si>
  <si>
    <t>12:17:35</t>
  </si>
  <si>
    <t>12:05:44</t>
  </si>
  <si>
    <t>22:17:49</t>
  </si>
  <si>
    <t>13:54:24</t>
  </si>
  <si>
    <t>13:23:44</t>
  </si>
  <si>
    <t>13:23:10</t>
  </si>
  <si>
    <t>21:12:55</t>
  </si>
  <si>
    <t>20:24:56</t>
  </si>
  <si>
    <t>18:59:25</t>
  </si>
  <si>
    <t>18:28:26</t>
  </si>
  <si>
    <t>14:32:14</t>
  </si>
  <si>
    <t>13:15:44</t>
  </si>
  <si>
    <t>12:28:11</t>
  </si>
  <si>
    <t>13:11:23</t>
  </si>
  <si>
    <t>21:45:54</t>
  </si>
  <si>
    <t>21:07:01</t>
  </si>
  <si>
    <t>18:44:42</t>
  </si>
  <si>
    <t>17:13:16</t>
  </si>
  <si>
    <t>13:28:52</t>
  </si>
  <si>
    <t>21:43:55</t>
  </si>
  <si>
    <t>21:00:24</t>
  </si>
  <si>
    <t>21:07:15</t>
  </si>
  <si>
    <t>19:36:40</t>
  </si>
  <si>
    <t>18:45:37</t>
  </si>
  <si>
    <t>13:50:09</t>
  </si>
  <si>
    <t>13:07:39</t>
  </si>
  <si>
    <t>01:38:19</t>
  </si>
  <si>
    <t>01:06:47</t>
  </si>
  <si>
    <t>01:50:44</t>
  </si>
  <si>
    <t>21:55:26</t>
  </si>
  <si>
    <t>21:00:22</t>
  </si>
  <si>
    <t>20:32:05</t>
  </si>
  <si>
    <t>19:35:08</t>
  </si>
  <si>
    <t>15:49:21</t>
  </si>
  <si>
    <t>13:15:52</t>
  </si>
  <si>
    <t>23:26:21</t>
  </si>
  <si>
    <t>23:03:26</t>
  </si>
  <si>
    <t>22:28:08</t>
  </si>
  <si>
    <t>21:15:00</t>
  </si>
  <si>
    <t>19:11:18</t>
  </si>
  <si>
    <t>19:42:49</t>
  </si>
  <si>
    <t>21:25:28</t>
  </si>
  <si>
    <t>13:35:58</t>
  </si>
  <si>
    <t>12:22:06</t>
  </si>
  <si>
    <t>23:45:03</t>
  </si>
  <si>
    <t>23:09:44</t>
  </si>
  <si>
    <t>18:50:34</t>
  </si>
  <si>
    <t>18:14:44</t>
  </si>
  <si>
    <t>17:26:56</t>
  </si>
  <si>
    <t>14:57:04</t>
  </si>
  <si>
    <t>01:38:21</t>
  </si>
  <si>
    <t>22:34:53</t>
  </si>
  <si>
    <t>22:32:06</t>
  </si>
  <si>
    <t>21:55:38</t>
  </si>
  <si>
    <t>21:15:52</t>
  </si>
  <si>
    <t>20:47:29</t>
  </si>
  <si>
    <t>19:47:41</t>
  </si>
  <si>
    <t>21:48:55</t>
  </si>
  <si>
    <t>21:09:52</t>
  </si>
  <si>
    <t>14:54:04</t>
  </si>
  <si>
    <t>16:04:26</t>
  </si>
  <si>
    <t>14:19:23</t>
  </si>
  <si>
    <t>14:06:59</t>
  </si>
  <si>
    <t>13:11:27</t>
  </si>
  <si>
    <t>12:36:44</t>
  </si>
  <si>
    <t>12:03:50</t>
  </si>
  <si>
    <t>10:59:48</t>
  </si>
  <si>
    <t>13:49:08</t>
  </si>
  <si>
    <t>19:44:09</t>
  </si>
  <si>
    <t>17:26:02</t>
  </si>
  <si>
    <t>14:06:32</t>
  </si>
  <si>
    <t>12:56:02</t>
  </si>
  <si>
    <t>12:09:33</t>
  </si>
  <si>
    <t>11:12:57</t>
  </si>
  <si>
    <t>14:28:48</t>
  </si>
  <si>
    <t>13:40:55</t>
  </si>
  <si>
    <t>12:31:51</t>
  </si>
  <si>
    <t>11:53:12</t>
  </si>
  <si>
    <t>11:14:47</t>
  </si>
  <si>
    <t>23:18:35</t>
  </si>
  <si>
    <t>22:32:11</t>
  </si>
  <si>
    <t>21:34:11</t>
  </si>
  <si>
    <t>20:29:11</t>
  </si>
  <si>
    <t>16:17:41</t>
  </si>
  <si>
    <t>14:02:50</t>
  </si>
  <si>
    <t>19:17:10</t>
  </si>
  <si>
    <t>17:29:42</t>
  </si>
  <si>
    <t>16:52:12</t>
  </si>
  <si>
    <t>14:35:26</t>
  </si>
  <si>
    <t>13:26:03</t>
  </si>
  <si>
    <t>11:44:23</t>
  </si>
  <si>
    <t>09:16:37</t>
  </si>
  <si>
    <t>02:08:22</t>
  </si>
  <si>
    <t>01:37:21</t>
  </si>
  <si>
    <t>21:27:39</t>
  </si>
  <si>
    <t>14:46:17</t>
  </si>
  <si>
    <t>14:13:22</t>
  </si>
  <si>
    <t>13:18:11</t>
  </si>
  <si>
    <t>12:56:03</t>
  </si>
  <si>
    <t>12:12:45</t>
  </si>
  <si>
    <t>11:31:53</t>
  </si>
  <si>
    <t>01:03:08</t>
  </si>
  <si>
    <t>13:49:49</t>
  </si>
  <si>
    <t>13:47:15</t>
  </si>
  <si>
    <t>12:10:08</t>
  </si>
  <si>
    <t>11:10:48</t>
  </si>
  <si>
    <t>14:05:27</t>
  </si>
  <si>
    <t>12:48:36</t>
  </si>
  <si>
    <t>14:17:50</t>
  </si>
  <si>
    <t>16:55:33</t>
  </si>
  <si>
    <t>12:46:51</t>
  </si>
  <si>
    <t>11:59:32</t>
  </si>
  <si>
    <t>02:25:31</t>
  </si>
  <si>
    <t>01:48:34</t>
  </si>
  <si>
    <t>00:15:27</t>
  </si>
  <si>
    <t>22:25:57</t>
  </si>
  <si>
    <t>12:51:41</t>
  </si>
  <si>
    <t>12:25:55</t>
  </si>
  <si>
    <t>00:22:37</t>
  </si>
  <si>
    <t>23:36:42</t>
  </si>
  <si>
    <t>18:09:13</t>
  </si>
  <si>
    <t>17:16:05</t>
  </si>
  <si>
    <t>12:14:36</t>
  </si>
  <si>
    <t>11:42:27</t>
  </si>
  <si>
    <t>11:12:27</t>
  </si>
  <si>
    <t>20:17:26</t>
  </si>
  <si>
    <t>19:28:11</t>
  </si>
  <si>
    <t>16:48:30</t>
  </si>
  <si>
    <t>15:03:16</t>
  </si>
  <si>
    <t>13:01:55</t>
  </si>
  <si>
    <t>00:51:50</t>
  </si>
  <si>
    <t>23:57:20</t>
  </si>
  <si>
    <t>23:33:28</t>
  </si>
  <si>
    <t>19:01:44</t>
  </si>
  <si>
    <t>17:34:06</t>
  </si>
  <si>
    <t>18:05:19</t>
  </si>
  <si>
    <t>22:52:29</t>
  </si>
  <si>
    <t>22:23:34</t>
  </si>
  <si>
    <t>20:27:55</t>
  </si>
  <si>
    <t>19:40:31</t>
  </si>
  <si>
    <t>18:17:24</t>
  </si>
  <si>
    <t>21:20:38</t>
  </si>
  <si>
    <t>18:43:05</t>
  </si>
  <si>
    <t>18:16:25</t>
  </si>
  <si>
    <t>17:48:13</t>
  </si>
  <si>
    <t>13:11:45</t>
  </si>
  <si>
    <t>18:27:17</t>
  </si>
  <si>
    <t>14:10:59</t>
  </si>
  <si>
    <t>13:14:13</t>
  </si>
  <si>
    <t>23:35:48</t>
  </si>
  <si>
    <t>20:07:56</t>
  </si>
  <si>
    <t>21:56:37</t>
  </si>
  <si>
    <t>13:37:41</t>
  </si>
  <si>
    <t>03:09:19</t>
  </si>
  <si>
    <t>01:53:52</t>
  </si>
  <si>
    <t>20:28:56</t>
  </si>
  <si>
    <t>18:53:04</t>
  </si>
  <si>
    <t>17:16:58</t>
  </si>
  <si>
    <t>13:47:31</t>
  </si>
  <si>
    <t>22:58:20</t>
  </si>
  <si>
    <t>21:34:08</t>
  </si>
  <si>
    <t>20:06:41</t>
  </si>
  <si>
    <t>13:27:35</t>
  </si>
  <si>
    <t>23:01:40</t>
  </si>
  <si>
    <t>20:18:19</t>
  </si>
  <si>
    <t>19:18:22</t>
  </si>
  <si>
    <t>18:22:16</t>
  </si>
  <si>
    <t>13:59:18</t>
  </si>
  <si>
    <t>13:49:15</t>
  </si>
  <si>
    <t>21:51:36</t>
  </si>
  <si>
    <t>20:39:39</t>
  </si>
  <si>
    <t>19:28:22</t>
  </si>
  <si>
    <t>14:55:36</t>
  </si>
  <si>
    <t>14:17:05</t>
  </si>
  <si>
    <t>13:11:47</t>
  </si>
  <si>
    <t>12:45:32</t>
  </si>
  <si>
    <t>23:12:15</t>
  </si>
  <si>
    <t>22:45:17</t>
  </si>
  <si>
    <t>17:26:19</t>
  </si>
  <si>
    <t>16:36:10</t>
  </si>
  <si>
    <t>15:59:28</t>
  </si>
  <si>
    <t>14:19:39</t>
  </si>
  <si>
    <t>13:13:37</t>
  </si>
  <si>
    <t>19:47:33</t>
  </si>
  <si>
    <t>21:42:29</t>
  </si>
  <si>
    <t>18:43:55</t>
  </si>
  <si>
    <t>18:19:57</t>
  </si>
  <si>
    <t>17:37:36</t>
  </si>
  <si>
    <t>14:49:20</t>
  </si>
  <si>
    <t>13:02:23</t>
  </si>
  <si>
    <t>12:25:21</t>
  </si>
  <si>
    <t>12:24:27</t>
  </si>
  <si>
    <t>02:16:31</t>
  </si>
  <si>
    <t>01:47:46</t>
  </si>
  <si>
    <t>14:03:51</t>
  </si>
  <si>
    <t>19:02:49</t>
  </si>
  <si>
    <t>17:43:10</t>
  </si>
  <si>
    <t>16:01:16</t>
  </si>
  <si>
    <t>11:25:11</t>
  </si>
  <si>
    <t>20:40:32</t>
  </si>
  <si>
    <t>20:12:20</t>
  </si>
  <si>
    <t>18:08:14</t>
  </si>
  <si>
    <t>14:22:31</t>
  </si>
  <si>
    <t>13:33:35</t>
  </si>
  <si>
    <t>14:21:34</t>
  </si>
  <si>
    <t>13:49:27</t>
  </si>
  <si>
    <t>12:39:13</t>
  </si>
  <si>
    <t>19:57:05</t>
  </si>
  <si>
    <t>00:56:53</t>
  </si>
  <si>
    <t>23:55:51</t>
  </si>
  <si>
    <t>15:17:23</t>
  </si>
  <si>
    <t>12:22:11</t>
  </si>
  <si>
    <t>11:46:31</t>
  </si>
  <si>
    <t>21:20:40</t>
  </si>
  <si>
    <t>20:46:21</t>
  </si>
  <si>
    <t>18:28:37</t>
  </si>
  <si>
    <t>17:11:44</t>
  </si>
  <si>
    <t>14:42:57</t>
  </si>
  <si>
    <t>13:39:03</t>
  </si>
  <si>
    <t>13:15:23</t>
  </si>
  <si>
    <t>19:39:18</t>
  </si>
  <si>
    <t>18:45:19</t>
  </si>
  <si>
    <t>13:42:56</t>
  </si>
  <si>
    <t>12:52:52</t>
  </si>
  <si>
    <t>12:23:56</t>
  </si>
  <si>
    <t>11:39:26</t>
  </si>
  <si>
    <t>16:01:57</t>
  </si>
  <si>
    <t>15:02:37</t>
  </si>
  <si>
    <t>00:31:01</t>
  </si>
  <si>
    <t>00:01:39</t>
  </si>
  <si>
    <t>22:43:46</t>
  </si>
  <si>
    <t>19:00:51</t>
  </si>
  <si>
    <t>18:01:25</t>
  </si>
  <si>
    <t>17:37:34</t>
  </si>
  <si>
    <t>15:36:50</t>
  </si>
  <si>
    <t>15:08:41</t>
  </si>
  <si>
    <t>14:37:39</t>
  </si>
  <si>
    <t>22:45:23</t>
  </si>
  <si>
    <t>22:05:55</t>
  </si>
  <si>
    <t>20:44:00</t>
  </si>
  <si>
    <t>20:00:32</t>
  </si>
  <si>
    <t>19:01:01</t>
  </si>
  <si>
    <t>17:41:00</t>
  </si>
  <si>
    <t>15:05:45</t>
  </si>
  <si>
    <t>13:06:53</t>
  </si>
  <si>
    <t>00:05:58</t>
  </si>
  <si>
    <t>14:46:45</t>
  </si>
  <si>
    <t>14:16:12</t>
  </si>
  <si>
    <t>22:27:21</t>
  </si>
  <si>
    <t>13:55:16</t>
  </si>
  <si>
    <t>12:55:24</t>
  </si>
  <si>
    <t>11:46:01</t>
  </si>
  <si>
    <t>13:46:31</t>
  </si>
  <si>
    <t>14:44:35</t>
  </si>
  <si>
    <t>13:37:32</t>
  </si>
  <si>
    <t>12:54:19</t>
  </si>
  <si>
    <t>12:03:12</t>
  </si>
  <si>
    <t>21:26:05</t>
  </si>
  <si>
    <t>20:11:52</t>
  </si>
  <si>
    <t>19:17:03</t>
  </si>
  <si>
    <t>15:15:11</t>
  </si>
  <si>
    <t>13:54:41</t>
  </si>
  <si>
    <t>13:09:39</t>
  </si>
  <si>
    <t>12:21:38</t>
  </si>
  <si>
    <t>11:23:19</t>
  </si>
  <si>
    <t>13:13:44</t>
  </si>
  <si>
    <t>21:29:45</t>
  </si>
  <si>
    <t>20:51:38</t>
  </si>
  <si>
    <t>18:34:22</t>
  </si>
  <si>
    <t>18:06:08</t>
  </si>
  <si>
    <t>14:48:30</t>
  </si>
  <si>
    <t>13:53:01</t>
  </si>
  <si>
    <t>12:59:58</t>
  </si>
  <si>
    <t>12:38:31</t>
  </si>
  <si>
    <t>11:41:45</t>
  </si>
  <si>
    <t>22:00:11</t>
  </si>
  <si>
    <t>20:48:41</t>
  </si>
  <si>
    <t>14:40:54</t>
  </si>
  <si>
    <t>14:05:07</t>
  </si>
  <si>
    <t>14:03:21</t>
  </si>
  <si>
    <t>12:39:14</t>
  </si>
  <si>
    <t>11:50:25</t>
  </si>
  <si>
    <t>18:18:45</t>
  </si>
  <si>
    <t>14:26:49</t>
  </si>
  <si>
    <t>14:10:37</t>
  </si>
  <si>
    <t>13:36:33</t>
  </si>
  <si>
    <t>12:40:16</t>
  </si>
  <si>
    <t>12:52:18</t>
  </si>
  <si>
    <t>12:50:35</t>
  </si>
  <si>
    <t>12:49:29</t>
  </si>
  <si>
    <t>17:09:29</t>
  </si>
  <si>
    <t>16:41:05</t>
  </si>
  <si>
    <t>16:20:55</t>
  </si>
  <si>
    <t>13:14:16</t>
  </si>
  <si>
    <t>12:12:30</t>
  </si>
  <si>
    <t>20:52:54</t>
  </si>
  <si>
    <t>17:54:59</t>
  </si>
  <si>
    <t>16:58:06</t>
  </si>
  <si>
    <t>22:44:02</t>
  </si>
  <si>
    <t>17:20:25</t>
  </si>
  <si>
    <t>13:45:13</t>
  </si>
  <si>
    <t>12:43:25</t>
  </si>
  <si>
    <t>11:56:09</t>
  </si>
  <si>
    <t>13:12:56</t>
  </si>
  <si>
    <t>22:51:18</t>
  </si>
  <si>
    <t>21:59:12</t>
  </si>
  <si>
    <t>20:02:53</t>
  </si>
  <si>
    <t>12:20:15</t>
  </si>
  <si>
    <t>11:54:25</t>
  </si>
  <si>
    <t>20:30:44</t>
  </si>
  <si>
    <t>21:39:00</t>
  </si>
  <si>
    <t>21:38:25</t>
  </si>
  <si>
    <t>21:37:30</t>
  </si>
  <si>
    <t>20:45:42</t>
  </si>
  <si>
    <t>19:45:00</t>
  </si>
  <si>
    <t>18:55:25</t>
  </si>
  <si>
    <t>18:19:54</t>
  </si>
  <si>
    <t>15:01:45</t>
  </si>
  <si>
    <t>14:09:55</t>
  </si>
  <si>
    <t>17:20:46</t>
  </si>
  <si>
    <t>16:12:39</t>
  </si>
  <si>
    <t>15:41:17</t>
  </si>
  <si>
    <t>22:51:12</t>
  </si>
  <si>
    <t>22:28:26</t>
  </si>
  <si>
    <t>21:53:48</t>
  </si>
  <si>
    <t>21:11:33</t>
  </si>
  <si>
    <t>12:18:43</t>
  </si>
  <si>
    <t>01:18:45</t>
  </si>
  <si>
    <t>21:51:08</t>
  </si>
  <si>
    <t>23:04:28</t>
  </si>
  <si>
    <t>22:18:41</t>
  </si>
  <si>
    <t>14:45:11</t>
  </si>
  <si>
    <t>20:35:17</t>
  </si>
  <si>
    <t>19:21:26</t>
  </si>
  <si>
    <t>18:42:49</t>
  </si>
  <si>
    <t>17:44:11</t>
  </si>
  <si>
    <t>15:23:23</t>
  </si>
  <si>
    <t>14:56:01</t>
  </si>
  <si>
    <t>14:14:24</t>
  </si>
  <si>
    <t>13:01:17</t>
  </si>
  <si>
    <t>20:24:00</t>
  </si>
  <si>
    <t>14:23:36</t>
  </si>
  <si>
    <t>13:47:18</t>
  </si>
  <si>
    <t>13:01:11</t>
  </si>
  <si>
    <t>12:25:07</t>
  </si>
  <si>
    <t>12:07:30</t>
  </si>
  <si>
    <t>11:39:35</t>
  </si>
  <si>
    <t>17:30:51</t>
  </si>
  <si>
    <t>16:58:08</t>
  </si>
  <si>
    <t>17:08:05</t>
  </si>
  <si>
    <t>21:58:43</t>
  </si>
  <si>
    <t>19:00:30</t>
  </si>
  <si>
    <t>12:58:16</t>
  </si>
  <si>
    <t>12:15:36</t>
  </si>
  <si>
    <t>18:37:42</t>
  </si>
  <si>
    <t>13:11:02</t>
  </si>
  <si>
    <t>12:28:18</t>
  </si>
  <si>
    <t>17:18:24</t>
  </si>
  <si>
    <t>15:32:44</t>
  </si>
  <si>
    <t>16:01:50</t>
  </si>
  <si>
    <t>15:41:05</t>
  </si>
  <si>
    <t>19:12:00</t>
  </si>
  <si>
    <t>18:23:37</t>
  </si>
  <si>
    <t>17:41:52</t>
  </si>
  <si>
    <t>14:39:44</t>
  </si>
  <si>
    <t>14:09:54</t>
  </si>
  <si>
    <t>13:24:34</t>
  </si>
  <si>
    <t>12:14:27</t>
  </si>
  <si>
    <t>11:42:12</t>
  </si>
  <si>
    <t>18:04:51</t>
  </si>
  <si>
    <t>17:31:26</t>
  </si>
  <si>
    <t>16:55:01</t>
  </si>
  <si>
    <t>14:31:34</t>
  </si>
  <si>
    <t>13:49:06</t>
  </si>
  <si>
    <t>12:37:24</t>
  </si>
  <si>
    <t>22:02:01</t>
  </si>
  <si>
    <t>19:34:42</t>
  </si>
  <si>
    <t>14:41:48</t>
  </si>
  <si>
    <t>14:10:27</t>
  </si>
  <si>
    <t>13:15:42</t>
  </si>
  <si>
    <t>20:52:08</t>
  </si>
  <si>
    <t>14:05:18</t>
  </si>
  <si>
    <t>12:51:10</t>
  </si>
  <si>
    <t>12:09:16</t>
  </si>
  <si>
    <t>20:52:02</t>
  </si>
  <si>
    <t>15:14:50</t>
  </si>
  <si>
    <t>13:31:05</t>
  </si>
  <si>
    <t>13:46:02</t>
  </si>
  <si>
    <t>13:44:24</t>
  </si>
  <si>
    <t>12:54:24</t>
  </si>
  <si>
    <t>17:03:14</t>
  </si>
  <si>
    <t>12:33:37</t>
  </si>
  <si>
    <t>10:25:18</t>
  </si>
  <si>
    <t>13:07:13</t>
  </si>
  <si>
    <t>08:46:09</t>
  </si>
  <si>
    <t>15:29:37</t>
  </si>
  <si>
    <t>10:53:05</t>
  </si>
  <si>
    <t>23:43:32</t>
  </si>
  <si>
    <t>09:45:38</t>
  </si>
  <si>
    <t>11:43:03</t>
  </si>
  <si>
    <t>01:37:17</t>
  </si>
  <si>
    <t>17:40:26</t>
  </si>
  <si>
    <t>18:11:14</t>
  </si>
  <si>
    <t>05:04:58</t>
  </si>
  <si>
    <t>04:15:43</t>
  </si>
  <si>
    <t>21:20:55</t>
  </si>
  <si>
    <t>01:31:38</t>
  </si>
  <si>
    <t>00:59:17</t>
  </si>
  <si>
    <t>21:17:08</t>
  </si>
  <si>
    <t>19:19:29</t>
  </si>
  <si>
    <t>13:38:45</t>
  </si>
  <si>
    <t>18:03:07</t>
  </si>
  <si>
    <t>15:33:09</t>
  </si>
  <si>
    <t>00:45:05</t>
  </si>
  <si>
    <t>23:41:26</t>
  </si>
  <si>
    <t>14:38:49</t>
  </si>
  <si>
    <t>17:37:44</t>
  </si>
  <si>
    <t>16:59:19</t>
  </si>
  <si>
    <t>20:45:36</t>
  </si>
  <si>
    <t>17:30:11</t>
  </si>
  <si>
    <t>18:31:16</t>
  </si>
  <si>
    <t>18:24:57</t>
  </si>
  <si>
    <t>18:39:35</t>
  </si>
  <si>
    <t>18:35:29</t>
  </si>
  <si>
    <t>18:33:04</t>
  </si>
  <si>
    <t>14:02:14</t>
  </si>
  <si>
    <t>14:12:34</t>
  </si>
  <si>
    <t>14:22:43</t>
  </si>
  <si>
    <t>15:16:01</t>
  </si>
  <si>
    <t>17:01:59</t>
  </si>
  <si>
    <t>19:18:48</t>
  </si>
  <si>
    <t>18:48:16</t>
  </si>
  <si>
    <t>21:50:33</t>
  </si>
  <si>
    <t>00:22:08</t>
  </si>
  <si>
    <t>18:57:07</t>
  </si>
  <si>
    <t>18:46:07</t>
  </si>
  <si>
    <t>18:30:34</t>
  </si>
  <si>
    <t>13:57:14</t>
  </si>
  <si>
    <t>20:59:26</t>
  </si>
  <si>
    <t>19:27:14</t>
  </si>
  <si>
    <t>18:09:16</t>
  </si>
  <si>
    <t>18:03:20</t>
  </si>
  <si>
    <t>11:45:45</t>
  </si>
  <si>
    <t>00:34:18</t>
  </si>
  <si>
    <t>23:24:44</t>
  </si>
  <si>
    <t>14:01:55</t>
  </si>
  <si>
    <t>17:10:16</t>
  </si>
  <si>
    <t>16:06:58</t>
  </si>
  <si>
    <t>12:49:05</t>
  </si>
  <si>
    <t>07:20:20</t>
  </si>
  <si>
    <t>15:11:50</t>
  </si>
  <si>
    <t>07:35:09</t>
  </si>
  <si>
    <t>17:26:05</t>
  </si>
  <si>
    <t>09:49:57</t>
  </si>
  <si>
    <t>07:29:34</t>
  </si>
  <si>
    <t>01:02:12</t>
  </si>
  <si>
    <t>17:29:45</t>
  </si>
  <si>
    <t>00:29:33</t>
  </si>
  <si>
    <t>00:27:21</t>
  </si>
  <si>
    <t>23:10:04</t>
  </si>
  <si>
    <t>13:02:28</t>
  </si>
  <si>
    <t>19:32:06</t>
  </si>
  <si>
    <t>21:02:34</t>
  </si>
  <si>
    <t>10:24:32</t>
  </si>
  <si>
    <t>18:26:04</t>
  </si>
  <si>
    <t>16:35:32</t>
  </si>
  <si>
    <t>20:53:22</t>
  </si>
  <si>
    <t>19:22:08</t>
  </si>
  <si>
    <t>20:00:42</t>
  </si>
  <si>
    <t>20:15:22</t>
  </si>
  <si>
    <t>00:54:44</t>
  </si>
  <si>
    <t>19:11:50</t>
  </si>
  <si>
    <t>15:20:50</t>
  </si>
  <si>
    <t>16:05:27</t>
  </si>
  <si>
    <t>05:48:15</t>
  </si>
  <si>
    <t>13:59:16</t>
  </si>
  <si>
    <t>15:00:29</t>
  </si>
  <si>
    <t>20:05:05</t>
  </si>
  <si>
    <t>02:20:27</t>
  </si>
  <si>
    <t>16:25:50</t>
  </si>
  <si>
    <t>14:29:19</t>
  </si>
  <si>
    <t>20:00:12</t>
  </si>
  <si>
    <t>18:02:00</t>
  </si>
  <si>
    <t>01:11:39</t>
  </si>
  <si>
    <t>14:19:00</t>
  </si>
  <si>
    <t>01:45:57</t>
  </si>
  <si>
    <t>23:41:50</t>
  </si>
  <si>
    <t>13:34:06</t>
  </si>
  <si>
    <t>15:02:22</t>
  </si>
  <si>
    <t>12:10:39</t>
  </si>
  <si>
    <t>12:10:38</t>
  </si>
  <si>
    <t>12:05:39</t>
  </si>
  <si>
    <t>12:35:28</t>
  </si>
  <si>
    <t>12:10:17</t>
  </si>
  <si>
    <t>12:05:26</t>
  </si>
  <si>
    <t>18:00:41</t>
  </si>
  <si>
    <t>12:35:31</t>
  </si>
  <si>
    <t>11:15:24</t>
  </si>
  <si>
    <t>11:10:39</t>
  </si>
  <si>
    <t>11:15:16</t>
  </si>
  <si>
    <t>15:30:34</t>
  </si>
  <si>
    <t>16:24:04</t>
  </si>
  <si>
    <t>11:28:08</t>
  </si>
  <si>
    <t>16:56:45</t>
  </si>
  <si>
    <t>19:01:31</t>
  </si>
  <si>
    <t>16:54:52</t>
  </si>
  <si>
    <t>06:24:37</t>
  </si>
  <si>
    <t>14:02:36</t>
  </si>
  <si>
    <t>19:01:35</t>
  </si>
  <si>
    <t>12:32:29</t>
  </si>
  <si>
    <t>10:25:24</t>
  </si>
  <si>
    <t>10:05:36</t>
  </si>
  <si>
    <t>10:05:28</t>
  </si>
  <si>
    <t>10:05:33</t>
  </si>
  <si>
    <t>10:16:31</t>
  </si>
  <si>
    <t>10:00:54</t>
  </si>
  <si>
    <t>14:40:39</t>
  </si>
  <si>
    <t>13:50:17</t>
  </si>
  <si>
    <t>22:00:55</t>
  </si>
  <si>
    <t>19:15:51</t>
  </si>
  <si>
    <t>21:40:46</t>
  </si>
  <si>
    <t>23:10:25</t>
  </si>
  <si>
    <t>09:55:19</t>
  </si>
  <si>
    <t>19:39:42</t>
  </si>
  <si>
    <t>20:22:06</t>
  </si>
  <si>
    <t>15:01:00</t>
  </si>
  <si>
    <t>14:14:59</t>
  </si>
  <si>
    <t>11:00:14</t>
  </si>
  <si>
    <t>23:10:16</t>
  </si>
  <si>
    <t>12:05:50</t>
  </si>
  <si>
    <t>13:33:18</t>
  </si>
  <si>
    <t>19:02:29</t>
  </si>
  <si>
    <t>21:43:08</t>
  </si>
  <si>
    <t>13:02:00</t>
  </si>
  <si>
    <t>13:37:57</t>
  </si>
  <si>
    <t>21:26:54</t>
  </si>
  <si>
    <t>17:44:16</t>
  </si>
  <si>
    <t>11:36:45</t>
  </si>
  <si>
    <t>11:32:15</t>
  </si>
  <si>
    <t>02:56:52</t>
  </si>
  <si>
    <t>01:55:07</t>
  </si>
  <si>
    <t>01:08:38</t>
  </si>
  <si>
    <t>01:27:22</t>
  </si>
  <si>
    <t>23:04:25</t>
  </si>
  <si>
    <t>13:24:47</t>
  </si>
  <si>
    <t>18:31:00</t>
  </si>
  <si>
    <t>14:39:15</t>
  </si>
  <si>
    <t>12:12:03</t>
  </si>
  <si>
    <t>03:25:58</t>
  </si>
  <si>
    <t>19:37:31</t>
  </si>
  <si>
    <t>16:56:19</t>
  </si>
  <si>
    <t>22:50:26</t>
  </si>
  <si>
    <t>11:03:32</t>
  </si>
  <si>
    <t>20:41:32</t>
  </si>
  <si>
    <t>16:46:13</t>
  </si>
  <si>
    <t>13:39:22</t>
  </si>
  <si>
    <t>11:35:27</t>
  </si>
  <si>
    <t>14:49:21</t>
  </si>
  <si>
    <t>11:24:57</t>
  </si>
  <si>
    <t>11:37:27</t>
  </si>
  <si>
    <t>14:26:58</t>
  </si>
  <si>
    <t>08:07:25</t>
  </si>
  <si>
    <t>08:19:43</t>
  </si>
  <si>
    <t>17:26:06</t>
  </si>
  <si>
    <t>23:40:48</t>
  </si>
  <si>
    <t>23:14:44</t>
  </si>
  <si>
    <t>15:24:07</t>
  </si>
  <si>
    <t>12:57:37</t>
  </si>
  <si>
    <t>21:30:46</t>
  </si>
  <si>
    <t>12:42:26</t>
  </si>
  <si>
    <t>15:44:42</t>
  </si>
  <si>
    <t>15:42:44</t>
  </si>
  <si>
    <t>15:40:30</t>
  </si>
  <si>
    <t>11:15:33</t>
  </si>
  <si>
    <t>20:53:44</t>
  </si>
  <si>
    <t>15:50:16</t>
  </si>
  <si>
    <t>21:23:48</t>
  </si>
  <si>
    <t>18:12:32</t>
  </si>
  <si>
    <t>18:20:09</t>
  </si>
  <si>
    <t>15:41:31</t>
  </si>
  <si>
    <t>14:18:02</t>
  </si>
  <si>
    <t>21:20:30</t>
  </si>
  <si>
    <t>18:17:18</t>
  </si>
  <si>
    <t>22:55:36</t>
  </si>
  <si>
    <t>12:12:09</t>
  </si>
  <si>
    <t>12:05:34</t>
  </si>
  <si>
    <t>19:58:09</t>
  </si>
  <si>
    <t>20:36:00</t>
  </si>
  <si>
    <t>14:15:24</t>
  </si>
  <si>
    <t>15:16:08</t>
  </si>
  <si>
    <t>15:41:13</t>
  </si>
  <si>
    <t>18:12:17</t>
  </si>
  <si>
    <t>03:27:38</t>
  </si>
  <si>
    <t>23:56:12</t>
  </si>
  <si>
    <t>15:21:20</t>
  </si>
  <si>
    <t>23:36:16</t>
  </si>
  <si>
    <t>00:25:58</t>
  </si>
  <si>
    <t>00:37:10</t>
  </si>
  <si>
    <t>21:18:23</t>
  </si>
  <si>
    <t>12:49:01</t>
  </si>
  <si>
    <t>14:53:59</t>
  </si>
  <si>
    <t>19:21:25</t>
  </si>
  <si>
    <t>17:16:27</t>
  </si>
  <si>
    <t>05:18:51</t>
  </si>
  <si>
    <t>05:15:14</t>
  </si>
  <si>
    <t>22:09:54</t>
  </si>
  <si>
    <t>18:40:40</t>
  </si>
  <si>
    <t>23:41:23</t>
  </si>
  <si>
    <t>17:34:09</t>
  </si>
  <si>
    <t>18:27:18</t>
  </si>
  <si>
    <t>13:43:20</t>
  </si>
  <si>
    <t>20:03:50</t>
  </si>
  <si>
    <t>23:03:50</t>
  </si>
  <si>
    <t>20:40:39</t>
  </si>
  <si>
    <t>23:31:31</t>
  </si>
  <si>
    <t>11:00:50</t>
  </si>
  <si>
    <t>11:00:51</t>
  </si>
  <si>
    <t>11:00:47</t>
  </si>
  <si>
    <t>11:00:49</t>
  </si>
  <si>
    <t>11:00:53</t>
  </si>
  <si>
    <t>11:00:44</t>
  </si>
  <si>
    <t>15:20:15</t>
  </si>
  <si>
    <t>14:20:20</t>
  </si>
  <si>
    <t>11:00:48</t>
  </si>
  <si>
    <t>17:01:02</t>
  </si>
  <si>
    <t>03:33:26</t>
  </si>
  <si>
    <t>20:29:04</t>
  </si>
  <si>
    <t>21:26:49</t>
  </si>
  <si>
    <t>03:28:54</t>
  </si>
  <si>
    <t>12:50:54</t>
  </si>
  <si>
    <t>08:50:52</t>
  </si>
  <si>
    <t>08:01:06</t>
  </si>
  <si>
    <t>05:02:00</t>
  </si>
  <si>
    <t>18:01:26</t>
  </si>
  <si>
    <t>21:08:08</t>
  </si>
  <si>
    <t>12:05:51</t>
  </si>
  <si>
    <t>11:47:00</t>
  </si>
  <si>
    <t>08:18:55</t>
  </si>
  <si>
    <t>12:14:52</t>
  </si>
  <si>
    <t>02:44:31</t>
  </si>
  <si>
    <t>10:05:56</t>
  </si>
  <si>
    <t>23:21:00</t>
  </si>
  <si>
    <t>23:38:12</t>
  </si>
  <si>
    <t>01:56:25</t>
  </si>
  <si>
    <t>17:59:51</t>
  </si>
  <si>
    <t>22:13:54</t>
  </si>
  <si>
    <t>03:15:10</t>
  </si>
  <si>
    <t>19:23:22</t>
  </si>
  <si>
    <t>00:12:53</t>
  </si>
  <si>
    <t>16:22:39</t>
  </si>
  <si>
    <t>14:27:46</t>
  </si>
  <si>
    <t>14:40:15</t>
  </si>
  <si>
    <t>15:50:54</t>
  </si>
  <si>
    <t>12:09:52</t>
  </si>
  <si>
    <t>21:05:58</t>
  </si>
  <si>
    <t>12:12:35</t>
  </si>
  <si>
    <t>11:23:32</t>
  </si>
  <si>
    <t>11:51:06</t>
  </si>
  <si>
    <t>08:00:01</t>
  </si>
  <si>
    <t>13:22:05</t>
  </si>
  <si>
    <t>15:41:59</t>
  </si>
  <si>
    <t>19:54:08</t>
  </si>
  <si>
    <t>08:02:49</t>
  </si>
  <si>
    <t>08:02:47</t>
  </si>
  <si>
    <t>08:03:02</t>
  </si>
  <si>
    <t>08:02:59</t>
  </si>
  <si>
    <t>09:49:09</t>
  </si>
  <si>
    <t>01:09:04</t>
  </si>
  <si>
    <t>23:19:28</t>
  </si>
  <si>
    <t>03:26:37</t>
  </si>
  <si>
    <t>22:40:52</t>
  </si>
  <si>
    <t>02:43:07</t>
  </si>
  <si>
    <t>22:01:48</t>
  </si>
  <si>
    <t>16:30:36</t>
  </si>
  <si>
    <t>18:28:13</t>
  </si>
  <si>
    <t>08:51:47</t>
  </si>
  <si>
    <t>13:24:36</t>
  </si>
  <si>
    <t>12:02:25</t>
  </si>
  <si>
    <t>12:05:42</t>
  </si>
  <si>
    <t>13:33:40</t>
  </si>
  <si>
    <t>17:43:19</t>
  </si>
  <si>
    <t>17:40:19</t>
  </si>
  <si>
    <t>17:32:16</t>
  </si>
  <si>
    <t>17:30:23</t>
  </si>
  <si>
    <t>17:29:16</t>
  </si>
  <si>
    <t>17:22:10</t>
  </si>
  <si>
    <t>14:18:11</t>
  </si>
  <si>
    <t>19:13:10</t>
  </si>
  <si>
    <t>04:43:45</t>
  </si>
  <si>
    <t>13:01:46</t>
  </si>
  <si>
    <t>13:39:07</t>
  </si>
  <si>
    <t>13:11:08</t>
  </si>
  <si>
    <t>12:37:19</t>
  </si>
  <si>
    <t>13:14:09</t>
  </si>
  <si>
    <t>03:11:04</t>
  </si>
  <si>
    <t>17:58:23</t>
  </si>
  <si>
    <t>12:47:15</t>
  </si>
  <si>
    <t>11:40:53</t>
  </si>
  <si>
    <t>23:49:53</t>
  </si>
  <si>
    <t>01:07:24</t>
  </si>
  <si>
    <t>00:31:18</t>
  </si>
  <si>
    <t>19:29:02</t>
  </si>
  <si>
    <t>16:30:00</t>
  </si>
  <si>
    <t>17:08:35</t>
  </si>
  <si>
    <t>17:52:24</t>
  </si>
  <si>
    <t>00:14:56</t>
  </si>
  <si>
    <t>21:46:58</t>
  </si>
  <si>
    <t>20:31:04</t>
  </si>
  <si>
    <t>17:52:39</t>
  </si>
  <si>
    <t>17:15:34</t>
  </si>
  <si>
    <t>10:30:00</t>
  </si>
  <si>
    <t>21:50:00</t>
  </si>
  <si>
    <t>12:46:41</t>
  </si>
  <si>
    <t>13:58:13</t>
  </si>
  <si>
    <t>13:42:21</t>
  </si>
  <si>
    <t>18:08:42</t>
  </si>
  <si>
    <t>13:22:12</t>
  </si>
  <si>
    <t>17:46:09</t>
  </si>
  <si>
    <t>21:09:54</t>
  </si>
  <si>
    <t>18:22:04</t>
  </si>
  <si>
    <t>22:45:29</t>
  </si>
  <si>
    <t>18:39:09</t>
  </si>
  <si>
    <t>23:29:51</t>
  </si>
  <si>
    <t>15:42:08</t>
  </si>
  <si>
    <t>22:00:22</t>
  </si>
  <si>
    <t>22:00:23</t>
  </si>
  <si>
    <t>22:54:42</t>
  </si>
  <si>
    <t>11:01:01</t>
  </si>
  <si>
    <t>11:01:07</t>
  </si>
  <si>
    <t>17:01:47</t>
  </si>
  <si>
    <t>00:58:36</t>
  </si>
  <si>
    <t>13:52:15</t>
  </si>
  <si>
    <t>14:25:16</t>
  </si>
  <si>
    <t>18:00:31</t>
  </si>
  <si>
    <t>01:25:22</t>
  </si>
  <si>
    <t>16:52:42</t>
  </si>
  <si>
    <t>21:37:43</t>
  </si>
  <si>
    <t>19:52:13</t>
  </si>
  <si>
    <t>19:52:10</t>
  </si>
  <si>
    <t>19:52:07</t>
  </si>
  <si>
    <t>19:52:04</t>
  </si>
  <si>
    <t>19:52:01</t>
  </si>
  <si>
    <t>21:08:42</t>
  </si>
  <si>
    <t>23:30:46</t>
  </si>
  <si>
    <t>20:02:25</t>
  </si>
  <si>
    <t>18:44:44</t>
  </si>
  <si>
    <t>00:38:12</t>
  </si>
  <si>
    <t>22:30:18</t>
  </si>
  <si>
    <t>15:52:22</t>
  </si>
  <si>
    <t>13:07:26</t>
  </si>
  <si>
    <t>19:58:30</t>
  </si>
  <si>
    <t>18:49:17</t>
  </si>
  <si>
    <t>18:14:36</t>
  </si>
  <si>
    <t>17:33:40</t>
  </si>
  <si>
    <t>15:55:06</t>
  </si>
  <si>
    <t>04:01:27</t>
  </si>
  <si>
    <t>04:27:20</t>
  </si>
  <si>
    <t>14:49:17</t>
  </si>
  <si>
    <t>13:46:35</t>
  </si>
  <si>
    <t>13:21:41</t>
  </si>
  <si>
    <t>21:17:55</t>
  </si>
  <si>
    <t>18:45:21</t>
  </si>
  <si>
    <t>16:30:23</t>
  </si>
  <si>
    <t>14:50:08</t>
  </si>
  <si>
    <t>18:35:20</t>
  </si>
  <si>
    <t>15:25:28</t>
  </si>
  <si>
    <t>23:50:37</t>
  </si>
  <si>
    <t>21:03:46</t>
  </si>
  <si>
    <t>16:58:04</t>
  </si>
  <si>
    <t>19:34:04</t>
  </si>
  <si>
    <t>14:01:29</t>
  </si>
  <si>
    <t>18:02:06</t>
  </si>
  <si>
    <t>09:22:26</t>
  </si>
  <si>
    <t>13:51:15</t>
  </si>
  <si>
    <t>08:00:13</t>
  </si>
  <si>
    <t>18:54:03</t>
  </si>
  <si>
    <t>12:03:34</t>
  </si>
  <si>
    <t>22:25:40</t>
  </si>
  <si>
    <t>22:22:05</t>
  </si>
  <si>
    <t>21:52:29</t>
  </si>
  <si>
    <t>21:38:33</t>
  </si>
  <si>
    <t>08:03:37</t>
  </si>
  <si>
    <t>09:40:09</t>
  </si>
  <si>
    <t>12:41:41</t>
  </si>
  <si>
    <t>11:50:20</t>
  </si>
  <si>
    <t>15:17:02</t>
  </si>
  <si>
    <t>23:08:42</t>
  </si>
  <si>
    <t>19:02:11</t>
  </si>
  <si>
    <t>11:37:43</t>
  </si>
  <si>
    <t>20:43:34</t>
  </si>
  <si>
    <t>19:20:56</t>
  </si>
  <si>
    <t>14:21:11</t>
  </si>
  <si>
    <t>18:42:50</t>
  </si>
  <si>
    <t>22:48:47</t>
  </si>
  <si>
    <t>04:08:44</t>
  </si>
  <si>
    <t>17:53:16</t>
  </si>
  <si>
    <t>16:13:55</t>
  </si>
  <si>
    <t>16:06:21</t>
  </si>
  <si>
    <t>02:15:36</t>
  </si>
  <si>
    <t>17:36:17</t>
  </si>
  <si>
    <t>17:56:25</t>
  </si>
  <si>
    <t>18:59:04</t>
  </si>
  <si>
    <t>18:08:16</t>
  </si>
  <si>
    <t>01:22:16</t>
  </si>
  <si>
    <t>20:19:55</t>
  </si>
  <si>
    <t>22:23:41</t>
  </si>
  <si>
    <t>11:29:17</t>
  </si>
  <si>
    <t>10:44:18</t>
  </si>
  <si>
    <t>10:22:25</t>
  </si>
  <si>
    <t>11:19:36</t>
  </si>
  <si>
    <t>02:39:26</t>
  </si>
  <si>
    <t>09:47:40</t>
  </si>
  <si>
    <t>09:41:03</t>
  </si>
  <si>
    <t>00:18:22</t>
  </si>
  <si>
    <t>21:11:54</t>
  </si>
  <si>
    <t>11:12:47</t>
  </si>
  <si>
    <t>14:55:04</t>
  </si>
  <si>
    <t>11:30:05</t>
  </si>
  <si>
    <t>00:46:50</t>
  </si>
  <si>
    <t>12:17:08</t>
  </si>
  <si>
    <t>12:18:42</t>
  </si>
  <si>
    <t>11:25:20</t>
  </si>
  <si>
    <t>10:13:28</t>
  </si>
  <si>
    <t>11:20:42</t>
  </si>
  <si>
    <t>10:13:48</t>
  </si>
  <si>
    <t>09:43:45</t>
  </si>
  <si>
    <t>23:49:04</t>
  </si>
  <si>
    <t>23:03:30</t>
  </si>
  <si>
    <t>19:17:37</t>
  </si>
  <si>
    <t>16:09:10</t>
  </si>
  <si>
    <t>11:06:36</t>
  </si>
  <si>
    <t>21:16:05</t>
  </si>
  <si>
    <t>09:23:29</t>
  </si>
  <si>
    <t>11:46:34</t>
  </si>
  <si>
    <t>11:39:25</t>
  </si>
  <si>
    <t>10:44:40</t>
  </si>
  <si>
    <t>03:14:09</t>
  </si>
  <si>
    <t>13:02:59</t>
  </si>
  <si>
    <t>12:01:12</t>
  </si>
  <si>
    <t>11:52:54</t>
  </si>
  <si>
    <t>10:10:28</t>
  </si>
  <si>
    <t>16:23:51</t>
  </si>
  <si>
    <t>17:48:20</t>
  </si>
  <si>
    <t>21:59:35</t>
  </si>
  <si>
    <t>11:44:14</t>
  </si>
  <si>
    <t>22:25:30</t>
  </si>
  <si>
    <t>15:27:31</t>
  </si>
  <si>
    <t>10:00:14</t>
  </si>
  <si>
    <t>13:49:57</t>
  </si>
  <si>
    <t>00:35:25</t>
  </si>
  <si>
    <t>16:51:35</t>
  </si>
  <si>
    <t>11:08:55</t>
  </si>
  <si>
    <t>21:25:10</t>
  </si>
  <si>
    <t>10:32:15</t>
  </si>
  <si>
    <t>10:57:45</t>
  </si>
  <si>
    <t>11:47:25</t>
  </si>
  <si>
    <t>22:55:42</t>
  </si>
  <si>
    <t>10:26:20</t>
  </si>
  <si>
    <t>09:06:38</t>
  </si>
  <si>
    <t>17:26:39</t>
  </si>
  <si>
    <t>15:18:23</t>
  </si>
  <si>
    <t>16:09:19</t>
  </si>
  <si>
    <t>11:58:46</t>
  </si>
  <si>
    <t>11:46:51</t>
  </si>
  <si>
    <t>17:45:41</t>
  </si>
  <si>
    <t>23:00:12</t>
  </si>
  <si>
    <t>11:54:09</t>
  </si>
  <si>
    <t>11:27:08</t>
  </si>
  <si>
    <t>19:38:02</t>
  </si>
  <si>
    <t>12:20:03</t>
  </si>
  <si>
    <t>17:31:05</t>
  </si>
  <si>
    <t>15:00:44</t>
  </si>
  <si>
    <t>17:52:52</t>
  </si>
  <si>
    <t>12:07:10</t>
  </si>
  <si>
    <t>19:31:50</t>
  </si>
  <si>
    <t>16:03:00</t>
  </si>
  <si>
    <t>20:16:20</t>
  </si>
  <si>
    <t>16:31:30</t>
  </si>
  <si>
    <t>00:33:45</t>
  </si>
  <si>
    <t>11:46:20</t>
  </si>
  <si>
    <t>16:48:15</t>
  </si>
  <si>
    <t>21:15:35</t>
  </si>
  <si>
    <t>22:30:52</t>
  </si>
  <si>
    <t>22:31:50</t>
  </si>
  <si>
    <t>22:35:02</t>
  </si>
  <si>
    <t>22:30:44</t>
  </si>
  <si>
    <t>14:24:54</t>
  </si>
  <si>
    <t>10:15:16</t>
  </si>
  <si>
    <t>11:05:17</t>
  </si>
  <si>
    <t>15:15:09</t>
  </si>
  <si>
    <t>10:05:02</t>
  </si>
  <si>
    <t>11:10:11</t>
  </si>
  <si>
    <t>17:41:56</t>
  </si>
  <si>
    <t>18:20:29</t>
  </si>
  <si>
    <t>16:29:51</t>
  </si>
  <si>
    <t>14:19:10</t>
  </si>
  <si>
    <t>18:41:52</t>
  </si>
  <si>
    <t>02:29:13</t>
  </si>
  <si>
    <t>14:21:49</t>
  </si>
  <si>
    <t>19:05:40</t>
  </si>
  <si>
    <t>14:52:03</t>
  </si>
  <si>
    <t>13:17:29</t>
  </si>
  <si>
    <t>19:51:21</t>
  </si>
  <si>
    <t>19:51:18</t>
  </si>
  <si>
    <t>14:44:16</t>
  </si>
  <si>
    <t>13:48:32</t>
  </si>
  <si>
    <t>23:14:00</t>
  </si>
  <si>
    <t>17:52:00</t>
  </si>
  <si>
    <t>15:22:56</t>
  </si>
  <si>
    <t>21:48:06</t>
  </si>
  <si>
    <t>17:08:17</t>
  </si>
  <si>
    <t>16:30:04</t>
  </si>
  <si>
    <t>22:49:04</t>
  </si>
  <si>
    <t>02:01:03</t>
  </si>
  <si>
    <t>14:32:03</t>
  </si>
  <si>
    <t>22:37:39</t>
  </si>
  <si>
    <t>18:51:28</t>
  </si>
  <si>
    <t>18:17:55</t>
  </si>
  <si>
    <t>18:48:12</t>
  </si>
  <si>
    <t>21:19:32</t>
  </si>
  <si>
    <t>21:03:23</t>
  </si>
  <si>
    <t>21:51:47</t>
  </si>
  <si>
    <t>02:31:23</t>
  </si>
  <si>
    <t>13:35:46</t>
  </si>
  <si>
    <t>19:47:27</t>
  </si>
  <si>
    <t>11:49:48</t>
  </si>
  <si>
    <t>00:22:07</t>
  </si>
  <si>
    <t>10:00:27</t>
  </si>
  <si>
    <t>14:25:13</t>
  </si>
  <si>
    <t>13:00:24</t>
  </si>
  <si>
    <t>09:00:18</t>
  </si>
  <si>
    <t>20:14:14</t>
  </si>
  <si>
    <t>09:30:17</t>
  </si>
  <si>
    <t>11:25:15</t>
  </si>
  <si>
    <t>18:27:50</t>
  </si>
  <si>
    <t>12:16:04</t>
  </si>
  <si>
    <t>17:21:24</t>
  </si>
  <si>
    <t>12:04:26</t>
  </si>
  <si>
    <t>20:34:22</t>
  </si>
  <si>
    <t>01:04:52</t>
  </si>
  <si>
    <t>15:30:39</t>
  </si>
  <si>
    <t>23:37:00</t>
  </si>
  <si>
    <t>13:31:02</t>
  </si>
  <si>
    <t>23:20:09</t>
  </si>
  <si>
    <t>19:28:43</t>
  </si>
  <si>
    <t>14:33:08</t>
  </si>
  <si>
    <t>23:18:50</t>
  </si>
  <si>
    <t>02:15:52</t>
  </si>
  <si>
    <t>18:15:00</t>
  </si>
  <si>
    <t>15:12:00</t>
  </si>
  <si>
    <t>22:15:11</t>
  </si>
  <si>
    <t>22:20:02</t>
  </si>
  <si>
    <t>21:15:24</t>
  </si>
  <si>
    <t>11:15:45</t>
  </si>
  <si>
    <t>20:05:17</t>
  </si>
  <si>
    <t>19:55:04</t>
  </si>
  <si>
    <t>20:18:04</t>
  </si>
  <si>
    <t>14:18:20</t>
  </si>
  <si>
    <t>15:23:33</t>
  </si>
  <si>
    <t>17:48:40</t>
  </si>
  <si>
    <t>20:40:00</t>
  </si>
  <si>
    <t>21:37:00</t>
  </si>
  <si>
    <t>15:23:07</t>
  </si>
  <si>
    <t>13:46:20</t>
  </si>
  <si>
    <t>20:03:28</t>
  </si>
  <si>
    <t>23:05:01</t>
  </si>
  <si>
    <t>13:54:00</t>
  </si>
  <si>
    <t>13:30:41</t>
  </si>
  <si>
    <t>22:00:56</t>
  </si>
  <si>
    <t>18:01:50</t>
  </si>
  <si>
    <t>23:30:26</t>
  </si>
  <si>
    <t>17:56:17</t>
  </si>
  <si>
    <t>22:17:36</t>
  </si>
  <si>
    <t>20:57:56</t>
  </si>
  <si>
    <t>13:51:22</t>
  </si>
  <si>
    <t>02:34:01</t>
  </si>
  <si>
    <t>02:33:34</t>
  </si>
  <si>
    <t>02:33:02</t>
  </si>
  <si>
    <t>02:32:42</t>
  </si>
  <si>
    <t>02:32:26</t>
  </si>
  <si>
    <t>02:32:00</t>
  </si>
  <si>
    <t>02:31:42</t>
  </si>
  <si>
    <t>02:29:21</t>
  </si>
  <si>
    <t>07:50:08</t>
  </si>
  <si>
    <t>14:00:48</t>
  </si>
  <si>
    <t>13:30:36</t>
  </si>
  <si>
    <t>13:46:32</t>
  </si>
  <si>
    <t>17:31:42</t>
  </si>
  <si>
    <t>20:50:07</t>
  </si>
  <si>
    <t>17:16:48</t>
  </si>
  <si>
    <t>13:32:10</t>
  </si>
  <si>
    <t>05:00:27</t>
  </si>
  <si>
    <t>05:00:26</t>
  </si>
  <si>
    <t>05:00:24</t>
  </si>
  <si>
    <t>05:13:47</t>
  </si>
  <si>
    <t>05:00:39</t>
  </si>
  <si>
    <t>20:26:28</t>
  </si>
  <si>
    <t>12:02:29</t>
  </si>
  <si>
    <t>12:04:24</t>
  </si>
  <si>
    <t>12:03:25</t>
  </si>
  <si>
    <t>12:02:31</t>
  </si>
  <si>
    <t>12:02:23</t>
  </si>
  <si>
    <t>11:50:18</t>
  </si>
  <si>
    <t>12:05:16</t>
  </si>
  <si>
    <t>12:03:26</t>
  </si>
  <si>
    <t>11:30:25</t>
  </si>
  <si>
    <t>17:53:41</t>
  </si>
  <si>
    <t>19:57:33</t>
  </si>
  <si>
    <t>22:15:55</t>
  </si>
  <si>
    <t>10:40:09</t>
  </si>
  <si>
    <t>10:40:33</t>
  </si>
  <si>
    <t>10:40:06</t>
  </si>
  <si>
    <t>02:01:08</t>
  </si>
  <si>
    <t>22:41:26</t>
  </si>
  <si>
    <t>22:18:33</t>
  </si>
  <si>
    <t>23:32:28</t>
  </si>
  <si>
    <t>00:35:08</t>
  </si>
  <si>
    <t>00:14:42</t>
  </si>
  <si>
    <t>03:51:13</t>
  </si>
  <si>
    <t>10:42:23</t>
  </si>
  <si>
    <t>00:39:33</t>
  </si>
  <si>
    <t>15:25:21</t>
  </si>
  <si>
    <t>16:22:00</t>
  </si>
  <si>
    <t>11:07:12</t>
  </si>
  <si>
    <t>14:18:55</t>
  </si>
  <si>
    <t>23:00:59</t>
  </si>
  <si>
    <t>12:16:56</t>
  </si>
  <si>
    <t>01:01:12</t>
  </si>
  <si>
    <t>23:02:54</t>
  </si>
  <si>
    <t>18:16:43</t>
  </si>
  <si>
    <t>23:49:32</t>
  </si>
  <si>
    <t>19:28:53</t>
  </si>
  <si>
    <t>18:33:26</t>
  </si>
  <si>
    <t>17:33:21</t>
  </si>
  <si>
    <t>14:30:56</t>
  </si>
  <si>
    <t>15:38:52</t>
  </si>
  <si>
    <t>17:00:52</t>
  </si>
  <si>
    <t>12:48:29</t>
  </si>
  <si>
    <t>13:29:25</t>
  </si>
  <si>
    <t>02:16:30</t>
  </si>
  <si>
    <t>03:08:24</t>
  </si>
  <si>
    <t>08:03:21</t>
  </si>
  <si>
    <t>01:56:43</t>
  </si>
  <si>
    <t>21:49:26</t>
  </si>
  <si>
    <t>09:09:22</t>
  </si>
  <si>
    <t>07:16:31</t>
  </si>
  <si>
    <t>23:08:50</t>
  </si>
  <si>
    <t>03:32:29</t>
  </si>
  <si>
    <t>13:50:33</t>
  </si>
  <si>
    <t>13:06:59</t>
  </si>
  <si>
    <t>13:45:07</t>
  </si>
  <si>
    <t>12:35:12</t>
  </si>
  <si>
    <t>13:45:00</t>
  </si>
  <si>
    <t>12:00:42</t>
  </si>
  <si>
    <t>21:56:20</t>
  </si>
  <si>
    <t>17:01:19</t>
  </si>
  <si>
    <t>14:00:22</t>
  </si>
  <si>
    <t>15:00:10</t>
  </si>
  <si>
    <t>17:01:14</t>
  </si>
  <si>
    <t>19:24:12</t>
  </si>
  <si>
    <t>16:49:00</t>
  </si>
  <si>
    <t>16:29:00</t>
  </si>
  <si>
    <t>16:59:00</t>
  </si>
  <si>
    <t>15:29:00</t>
  </si>
  <si>
    <t>16:34:00</t>
  </si>
  <si>
    <t>15:27:00</t>
  </si>
  <si>
    <t>16:57:00</t>
  </si>
  <si>
    <t>16:56:00</t>
  </si>
  <si>
    <t>16:33:00</t>
  </si>
  <si>
    <t>16:32:00</t>
  </si>
  <si>
    <t>17:03:00</t>
  </si>
  <si>
    <t>16:58:00</t>
  </si>
  <si>
    <t>16:54:00</t>
  </si>
  <si>
    <t>14:59:54</t>
  </si>
  <si>
    <t>16:27:43</t>
  </si>
  <si>
    <t>16:25:38</t>
  </si>
  <si>
    <t>16:24:08</t>
  </si>
  <si>
    <t>15:08:52</t>
  </si>
  <si>
    <t>15:07:30</t>
  </si>
  <si>
    <t>15:04:14</t>
  </si>
  <si>
    <t>15:02:49</t>
  </si>
  <si>
    <t>16:46:21</t>
  </si>
  <si>
    <t>16:55:00</t>
  </si>
  <si>
    <t>15:05:00</t>
  </si>
  <si>
    <t>16:31:00</t>
  </si>
  <si>
    <t>16:51:00</t>
  </si>
  <si>
    <t>16:47:00</t>
  </si>
  <si>
    <t>16:45:00</t>
  </si>
  <si>
    <t>14:59:08</t>
  </si>
  <si>
    <t>16:43:00</t>
  </si>
  <si>
    <t>15:22:58</t>
  </si>
  <si>
    <t>21:44:37</t>
  </si>
  <si>
    <t>12:36:17</t>
  </si>
  <si>
    <t>23:22:09</t>
  </si>
  <si>
    <t>13:37:40</t>
  </si>
  <si>
    <t>19:58:00</t>
  </si>
  <si>
    <t>13:40:45</t>
  </si>
  <si>
    <t>15:46:15</t>
  </si>
  <si>
    <t>20:39:04</t>
  </si>
  <si>
    <t>13:53:48</t>
  </si>
  <si>
    <t>20:08:00</t>
  </si>
  <si>
    <t>19:59:55</t>
  </si>
  <si>
    <t>16:14:08</t>
  </si>
  <si>
    <t>17:04:39</t>
  </si>
  <si>
    <t>17:19:06</t>
  </si>
  <si>
    <t>16:50:30</t>
  </si>
  <si>
    <t>21:09:31</t>
  </si>
  <si>
    <t>11:13:14</t>
  </si>
  <si>
    <t>15:21:09</t>
  </si>
  <si>
    <t>15:17:17</t>
  </si>
  <si>
    <t>20:34:11</t>
  </si>
  <si>
    <t>14:07:18</t>
  </si>
  <si>
    <t>11:42:36</t>
  </si>
  <si>
    <t>19:30:57</t>
  </si>
  <si>
    <t>19:42:18</t>
  </si>
  <si>
    <t>11:35:29</t>
  </si>
  <si>
    <t>14:23:03</t>
  </si>
  <si>
    <t>13:22:01</t>
  </si>
  <si>
    <t>18:39:48</t>
  </si>
  <si>
    <t>14:16:52</t>
  </si>
  <si>
    <t>17:28:51</t>
  </si>
  <si>
    <t>06:33:08</t>
  </si>
  <si>
    <t>21:13:00</t>
  </si>
  <si>
    <t>21:06:00</t>
  </si>
  <si>
    <t>22:00:26</t>
  </si>
  <si>
    <t>02:58:26</t>
  </si>
  <si>
    <t>02:28:07</t>
  </si>
  <si>
    <t>16:23:30</t>
  </si>
  <si>
    <t>22:20:22</t>
  </si>
  <si>
    <t>19:10:40</t>
  </si>
  <si>
    <t>15:09:35</t>
  </si>
  <si>
    <t>03:00:13</t>
  </si>
  <si>
    <t>19:56:15</t>
  </si>
  <si>
    <t>17:36:14</t>
  </si>
  <si>
    <t>14:44:28</t>
  </si>
  <si>
    <t>16:41:51</t>
  </si>
  <si>
    <t>22:53:17</t>
  </si>
  <si>
    <t>18:51:58</t>
  </si>
  <si>
    <t>20:36:40</t>
  </si>
  <si>
    <t>16:53:52</t>
  </si>
  <si>
    <t>19:05:00</t>
  </si>
  <si>
    <t>19:04:01</t>
  </si>
  <si>
    <t>02:55:18</t>
  </si>
  <si>
    <t>17:45:45</t>
  </si>
  <si>
    <t>17:47:51</t>
  </si>
  <si>
    <t>19:56:36</t>
  </si>
  <si>
    <t>16:15:00</t>
  </si>
  <si>
    <t>10:00:55</t>
  </si>
  <si>
    <t>17:15:07</t>
  </si>
  <si>
    <t>17:07:23</t>
  </si>
  <si>
    <t>12:21:41</t>
  </si>
  <si>
    <t>16:30:28</t>
  </si>
  <si>
    <t>19:29:14</t>
  </si>
  <si>
    <t>13:28:26</t>
  </si>
  <si>
    <t>12:40:03</t>
  </si>
  <si>
    <t>02:40:26</t>
  </si>
  <si>
    <t>18:09:57</t>
  </si>
  <si>
    <t>16:15:43</t>
  </si>
  <si>
    <t>16:13:21</t>
  </si>
  <si>
    <t>16:25:31</t>
  </si>
  <si>
    <t>14:44:57</t>
  </si>
  <si>
    <t>17:37:24</t>
  </si>
  <si>
    <t>12:12:13</t>
  </si>
  <si>
    <t>14:31:50</t>
  </si>
  <si>
    <t>14:19:22</t>
  </si>
  <si>
    <t>13:56:25</t>
  </si>
  <si>
    <t>12:29:54</t>
  </si>
  <si>
    <t>12:12:50</t>
  </si>
  <si>
    <t>12:33:29</t>
  </si>
  <si>
    <t>21:02:00</t>
  </si>
  <si>
    <t>13:57:56</t>
  </si>
  <si>
    <t>12:01:53</t>
  </si>
  <si>
    <t>20:08:39</t>
  </si>
  <si>
    <t>23:36:09</t>
  </si>
  <si>
    <t>22:55:52</t>
  </si>
  <si>
    <t>11:46:30</t>
  </si>
  <si>
    <t>21:46:35</t>
  </si>
  <si>
    <t>21:46:34</t>
  </si>
  <si>
    <t>21:46:33</t>
  </si>
  <si>
    <t>21:46:32</t>
  </si>
  <si>
    <t>00:25:05</t>
  </si>
  <si>
    <t>01:41:08</t>
  </si>
  <si>
    <t>13:35:52</t>
  </si>
  <si>
    <t>13:16:49</t>
  </si>
  <si>
    <t>01:47:44</t>
  </si>
  <si>
    <t>12:19:37</t>
  </si>
  <si>
    <t>19:12:42</t>
  </si>
  <si>
    <t>16:55:28</t>
  </si>
  <si>
    <t>17:58:51</t>
  </si>
  <si>
    <t>12:17:13</t>
  </si>
  <si>
    <t>22:53:14</t>
  </si>
  <si>
    <t>13:13:42</t>
  </si>
  <si>
    <t>18:58:07</t>
  </si>
  <si>
    <t>18:54:17</t>
  </si>
  <si>
    <t>12:17:18</t>
  </si>
  <si>
    <t>12:06:10</t>
  </si>
  <si>
    <t>20:26:22</t>
  </si>
  <si>
    <t>04:06:35</t>
  </si>
  <si>
    <t>19:15:18</t>
  </si>
  <si>
    <t>13:02:19</t>
  </si>
  <si>
    <t>18:22:34</t>
  </si>
  <si>
    <t>05:45:27</t>
  </si>
  <si>
    <t>13:00:46</t>
  </si>
  <si>
    <t>13:00:45</t>
  </si>
  <si>
    <t>13:00:48</t>
  </si>
  <si>
    <t>13:00:51</t>
  </si>
  <si>
    <t>15:55:39</t>
  </si>
  <si>
    <t>13:10:13</t>
  </si>
  <si>
    <t>14:38:40</t>
  </si>
  <si>
    <t>12:48:24</t>
  </si>
  <si>
    <t>13:17:02</t>
  </si>
  <si>
    <t>14:38:26</t>
  </si>
  <si>
    <t>12:00:17</t>
  </si>
  <si>
    <t>16:41:01</t>
  </si>
  <si>
    <t>15:57:39</t>
  </si>
  <si>
    <t>16:03:26</t>
  </si>
  <si>
    <t>10:45:53</t>
  </si>
  <si>
    <t>00:56:40</t>
  </si>
  <si>
    <t>16:06:42</t>
  </si>
  <si>
    <t>14:26:23</t>
  </si>
  <si>
    <t>13:39:15</t>
  </si>
  <si>
    <t>01:01:37</t>
  </si>
  <si>
    <t>03:48:34</t>
  </si>
  <si>
    <t>02:55:31</t>
  </si>
  <si>
    <t>21:54:50</t>
  </si>
  <si>
    <t>22:00:36</t>
  </si>
  <si>
    <t>00:13:57</t>
  </si>
  <si>
    <t>01:02:02</t>
  </si>
  <si>
    <t>22:54:58</t>
  </si>
  <si>
    <t>22:53:03</t>
  </si>
  <si>
    <t>01:46:37</t>
  </si>
  <si>
    <t>18:35:00</t>
  </si>
  <si>
    <t>19:00:14</t>
  </si>
  <si>
    <t>17:30:44</t>
  </si>
  <si>
    <t>13:00:25</t>
  </si>
  <si>
    <t>17:00:17</t>
  </si>
  <si>
    <t>21:21:32</t>
  </si>
  <si>
    <t>20:33:23</t>
  </si>
  <si>
    <t>17:20:53</t>
  </si>
  <si>
    <t>20:23:01</t>
  </si>
  <si>
    <t>13:02:27</t>
  </si>
  <si>
    <t>20:49:15</t>
  </si>
  <si>
    <t>22:03:02</t>
  </si>
  <si>
    <t>20:32:20</t>
  </si>
  <si>
    <t>12:31:53</t>
  </si>
  <si>
    <t>19:00:45</t>
  </si>
  <si>
    <t>22:26:58</t>
  </si>
  <si>
    <t>11:41:15</t>
  </si>
  <si>
    <t>12:32:46</t>
  </si>
  <si>
    <t>01:42:34</t>
  </si>
  <si>
    <t>16:56:28</t>
  </si>
  <si>
    <t>12:19:45</t>
  </si>
  <si>
    <t>20:02:08</t>
  </si>
  <si>
    <t>13:25:45</t>
  </si>
  <si>
    <t>18:59:33</t>
  </si>
  <si>
    <t>18:44:02</t>
  </si>
  <si>
    <t>21:27:53</t>
  </si>
  <si>
    <t>02:20:20</t>
  </si>
  <si>
    <t>17:12:28</t>
  </si>
  <si>
    <t>10:49:11</t>
  </si>
  <si>
    <t>18:48:34</t>
  </si>
  <si>
    <t>09:46:43</t>
  </si>
  <si>
    <t>12:59:42</t>
  </si>
  <si>
    <t>14:57:26</t>
  </si>
  <si>
    <t>15:04:19</t>
  </si>
  <si>
    <t>14:53:49</t>
  </si>
  <si>
    <t>14:35:22</t>
  </si>
  <si>
    <t>13:57:25</t>
  </si>
  <si>
    <t>19:52:52</t>
  </si>
  <si>
    <t>19:19:46</t>
  </si>
  <si>
    <t>01:00:07</t>
  </si>
  <si>
    <t>15:52:20</t>
  </si>
  <si>
    <t>19:44:15</t>
  </si>
  <si>
    <t>19:42:14</t>
  </si>
  <si>
    <t>19:39:17</t>
  </si>
  <si>
    <t>19:37:18</t>
  </si>
  <si>
    <t>19:33:17</t>
  </si>
  <si>
    <t>18:01:16</t>
  </si>
  <si>
    <t>23:15:13</t>
  </si>
  <si>
    <t>23:10:12</t>
  </si>
  <si>
    <t>16:10:14</t>
  </si>
  <si>
    <t>13:49:12</t>
  </si>
  <si>
    <t>16:11:03</t>
  </si>
  <si>
    <t>16:35:20</t>
  </si>
  <si>
    <t>01:33:11</t>
  </si>
  <si>
    <t>00:52:12</t>
  </si>
  <si>
    <t>21:17:20</t>
  </si>
  <si>
    <t>23:11:03</t>
  </si>
  <si>
    <t>23:07:04</t>
  </si>
  <si>
    <t>17:46:05</t>
  </si>
  <si>
    <t>17:42:06</t>
  </si>
  <si>
    <t>17:46:30</t>
  </si>
  <si>
    <t>20:02:00</t>
  </si>
  <si>
    <t>13:05:20</t>
  </si>
  <si>
    <t>01:08:53</t>
  </si>
  <si>
    <t>17:58:00</t>
  </si>
  <si>
    <t>17:26:00</t>
  </si>
  <si>
    <t>20:04:29</t>
  </si>
  <si>
    <t>18:11:38</t>
  </si>
  <si>
    <t>13:37:30</t>
  </si>
  <si>
    <t>01:36:28</t>
  </si>
  <si>
    <t>23:15:46</t>
  </si>
  <si>
    <t>22:03:24</t>
  </si>
  <si>
    <t>17:23:51</t>
  </si>
  <si>
    <t>23:48:20</t>
  </si>
  <si>
    <t>20:21:20</t>
  </si>
  <si>
    <t>00:16:04</t>
  </si>
  <si>
    <t>14:56:48</t>
  </si>
  <si>
    <t>17:19:02</t>
  </si>
  <si>
    <t>21:26:34</t>
  </si>
  <si>
    <t>19:10:13</t>
  </si>
  <si>
    <t>11:19:23</t>
  </si>
  <si>
    <t>12:34:08</t>
  </si>
  <si>
    <t>17:04:02</t>
  </si>
  <si>
    <t>23:34:26</t>
  </si>
  <si>
    <t>15:34:58</t>
  </si>
  <si>
    <t>18:46:29</t>
  </si>
  <si>
    <t>14:38:08</t>
  </si>
  <si>
    <t>13:35:29</t>
  </si>
  <si>
    <t>13:17:07</t>
  </si>
  <si>
    <t>18:55:36</t>
  </si>
  <si>
    <t>12:59:02</t>
  </si>
  <si>
    <t>17:39:02</t>
  </si>
  <si>
    <t>14:59:35</t>
  </si>
  <si>
    <t>14:40:51</t>
  </si>
  <si>
    <t>14:43:37</t>
  </si>
  <si>
    <t>16:37:06</t>
  </si>
  <si>
    <t>03:26:52</t>
  </si>
  <si>
    <t>18:49:14</t>
  </si>
  <si>
    <t>13:42:48</t>
  </si>
  <si>
    <t>22:23:52</t>
  </si>
  <si>
    <t>02:57:25</t>
  </si>
  <si>
    <t>19:30:56</t>
  </si>
  <si>
    <t>00:19:20</t>
  </si>
  <si>
    <t>18:00:02</t>
  </si>
  <si>
    <t>14:45:00</t>
  </si>
  <si>
    <t>10:00:03</t>
  </si>
  <si>
    <t>10:00:01</t>
  </si>
  <si>
    <t>12:54:00</t>
  </si>
  <si>
    <t>13:24:22</t>
  </si>
  <si>
    <t>02:33:40</t>
  </si>
  <si>
    <t>02:23:13</t>
  </si>
  <si>
    <t>02:20:39</t>
  </si>
  <si>
    <t>02:19:15</t>
  </si>
  <si>
    <t>02:18:32</t>
  </si>
  <si>
    <t>02:16:13</t>
  </si>
  <si>
    <t>02:14:49</t>
  </si>
  <si>
    <t>02:12:00</t>
  </si>
  <si>
    <t>02:10:48</t>
  </si>
  <si>
    <t>02:08:23</t>
  </si>
  <si>
    <t>01:49:54</t>
  </si>
  <si>
    <t>15:55:34</t>
  </si>
  <si>
    <t>14:22:10</t>
  </si>
  <si>
    <t>12:53:42</t>
  </si>
  <si>
    <t>16:30:46</t>
  </si>
  <si>
    <t>21:34:19</t>
  </si>
  <si>
    <t>02:46:44</t>
  </si>
  <si>
    <t>02:53:21</t>
  </si>
  <si>
    <t>11:52:21</t>
  </si>
  <si>
    <t>11:45:12</t>
  </si>
  <si>
    <t>12:04:25</t>
  </si>
  <si>
    <t>19:23:16</t>
  </si>
  <si>
    <t>01:23:47</t>
  </si>
  <si>
    <t>17:07:07</t>
  </si>
  <si>
    <t>00:34:58</t>
  </si>
  <si>
    <t>21:44:09</t>
  </si>
  <si>
    <t>01:46:41</t>
  </si>
  <si>
    <t>01:58:27</t>
  </si>
  <si>
    <t>21:32:59</t>
  </si>
  <si>
    <t>11:48:14</t>
  </si>
  <si>
    <t>14:53:50</t>
  </si>
  <si>
    <t>23:46:09</t>
  </si>
  <si>
    <t>21:31:16</t>
  </si>
  <si>
    <t>01:30:55</t>
  </si>
  <si>
    <t>07:17:13</t>
  </si>
  <si>
    <t>17:42:35</t>
  </si>
  <si>
    <t>07:29:16</t>
  </si>
  <si>
    <t>14:35:15</t>
  </si>
  <si>
    <t>11:09:09</t>
  </si>
  <si>
    <t>15:55:13</t>
  </si>
  <si>
    <t>23:05:03</t>
  </si>
  <si>
    <t>15:07:55</t>
  </si>
  <si>
    <t>19:59:49</t>
  </si>
  <si>
    <t>20:10:37</t>
  </si>
  <si>
    <t>11:59:21</t>
  </si>
  <si>
    <t>12:05:06</t>
  </si>
  <si>
    <t>15:07:40</t>
  </si>
  <si>
    <t>20:05:55</t>
  </si>
  <si>
    <t>23:21:04</t>
  </si>
  <si>
    <t>14:54:41</t>
  </si>
  <si>
    <t>18:04:15</t>
  </si>
  <si>
    <t>18:04:14</t>
  </si>
  <si>
    <t>18:04:12</t>
  </si>
  <si>
    <t>17:52:03</t>
  </si>
  <si>
    <t>16:49:49</t>
  </si>
  <si>
    <t>16:49:48</t>
  </si>
  <si>
    <t>18:06:00</t>
  </si>
  <si>
    <t>18:05:52</t>
  </si>
  <si>
    <t>17:54:09</t>
  </si>
  <si>
    <t>17:54:04</t>
  </si>
  <si>
    <t>14:18:54</t>
  </si>
  <si>
    <t>13:50:07</t>
  </si>
  <si>
    <t>18:57:27</t>
  </si>
  <si>
    <t>23:41:07</t>
  </si>
  <si>
    <t>17:31:53</t>
  </si>
  <si>
    <t>17:56:28</t>
  </si>
  <si>
    <t>20:06:31</t>
  </si>
  <si>
    <t>04:46:52</t>
  </si>
  <si>
    <t>23:24:06</t>
  </si>
  <si>
    <t>02:15:00</t>
  </si>
  <si>
    <t>06:30:00</t>
  </si>
  <si>
    <t>05:30:00</t>
  </si>
  <si>
    <t>07:00:01</t>
  </si>
  <si>
    <t>07:30:00</t>
  </si>
  <si>
    <t>07:15:00</t>
  </si>
  <si>
    <t>05:00:00</t>
  </si>
  <si>
    <t>18:34:31</t>
  </si>
  <si>
    <t>23:43:26</t>
  </si>
  <si>
    <t>12:10:34</t>
  </si>
  <si>
    <t>00:03:07</t>
  </si>
  <si>
    <t>00:01:49</t>
  </si>
  <si>
    <t>10:22:50</t>
  </si>
  <si>
    <t>05:28:31</t>
  </si>
  <si>
    <t>06:39:30</t>
  </si>
  <si>
    <t>17:35:37</t>
  </si>
  <si>
    <t>17:47:15</t>
  </si>
  <si>
    <t>17:45:04</t>
  </si>
  <si>
    <t>03:01:57</t>
  </si>
  <si>
    <t>02:59:52</t>
  </si>
  <si>
    <t>11:36:23</t>
  </si>
  <si>
    <t>14:15:27</t>
  </si>
  <si>
    <t>13:05:41</t>
  </si>
  <si>
    <t>17:40:05</t>
  </si>
  <si>
    <t>19:36:50</t>
  </si>
  <si>
    <t>16:56:07</t>
  </si>
  <si>
    <t>22:50:22</t>
  </si>
  <si>
    <t>12:42:50</t>
  </si>
  <si>
    <t>08:54:07</t>
  </si>
  <si>
    <t>16:46:25</t>
  </si>
  <si>
    <t>18:53:25</t>
  </si>
  <si>
    <t>13:00:42</t>
  </si>
  <si>
    <t>02:47:56</t>
  </si>
  <si>
    <t>15:47:31</t>
  </si>
  <si>
    <t>02:06:10</t>
  </si>
  <si>
    <t>11:53:48</t>
  </si>
  <si>
    <t>11:53:25</t>
  </si>
  <si>
    <t>11:53:05</t>
  </si>
  <si>
    <t>11:52:48</t>
  </si>
  <si>
    <t>11:51:58</t>
  </si>
  <si>
    <t>11:51:34</t>
  </si>
  <si>
    <t>11:51:15</t>
  </si>
  <si>
    <t>11:51:01</t>
  </si>
  <si>
    <t>11:50:47</t>
  </si>
  <si>
    <t>11:47:44</t>
  </si>
  <si>
    <t>11:47:27</t>
  </si>
  <si>
    <t>11:46:55</t>
  </si>
  <si>
    <t>12:16:07</t>
  </si>
  <si>
    <t>12:15:30</t>
  </si>
  <si>
    <t>12:15:14</t>
  </si>
  <si>
    <t>12:14:55</t>
  </si>
  <si>
    <t>18:22:45</t>
  </si>
  <si>
    <t>12:02:04</t>
  </si>
  <si>
    <t>17:31:40</t>
  </si>
  <si>
    <t>22:56:20</t>
  </si>
  <si>
    <t>20:46:05</t>
  </si>
  <si>
    <t>13:03:16</t>
  </si>
  <si>
    <t>13:03:31</t>
  </si>
  <si>
    <t>16:18:10</t>
  </si>
  <si>
    <t>01:41:13</t>
  </si>
  <si>
    <t>18:20:13</t>
  </si>
  <si>
    <t>20:37:39</t>
  </si>
  <si>
    <t>19:15:48</t>
  </si>
  <si>
    <t>20:23:53</t>
  </si>
  <si>
    <t>21:31:43</t>
  </si>
  <si>
    <t>-44,888954,-23,369641 
-44,888954,-20,7639197 
-40,958454,-20,7639197 
-40,958454,-23,369641 
-44,888954,-23,369641</t>
  </si>
  <si>
    <t>-38,995238,-3,971387 
-38,995238,-3,543514 
-38,587347,-3,543514 
-38,587347,-3,971387 
-38,995238,-3,971387</t>
  </si>
  <si>
    <t>-44,062789,-20,059816 
-44,062789,-19,777568 
-43,856856,-19,777568 
-43,856856,-20,059816 
-44,062789,-20,059816</t>
  </si>
  <si>
    <t>-49,463368,-20,932326 
-49,463368,-20,637636 
-49,254967,-20,637636 
-49,254967,-20,932326 
-49,463368,-20,932326</t>
  </si>
  <si>
    <t>-36,639446,-9,087629 
-36,639446,-8,7831072 
-36,305534,-8,7831072 
-36,305534,-9,087629 
-36,639446,-9,087629</t>
  </si>
  <si>
    <t>-46,383216,-23,744544 
-46,383216,-23,488594 
-46,254435,-23,488594 
-46,254435,-23,744544 
-46,383216,-23,744544</t>
  </si>
  <si>
    <t>-46,826039,-24,008814 
-46,826039,-23,356792 
-46,365052,-23,356792 
-46,365052,-24,008814 
-46,826039,-24,008814</t>
  </si>
  <si>
    <t>-46,499427,-23,719754 
-46,499427,-23,612448 
-46,383092,-23,612448 
-46,383092,-23,719754 
-46,499427,-23,719754</t>
  </si>
  <si>
    <t>-49,665708,-16,435678 
-49,665708,-16,183648 
-49,368996,-16,183648 
-49,368996,-16,435678 
-49,665708,-16,435678</t>
  </si>
  <si>
    <t>-49,3916434,-25,6447517 
-49,3916434,-25,3457471 
-49,1852775,-25,3457471 
-49,1852775,-25,6447517 
-49,3916434,-25,6447517</t>
  </si>
  <si>
    <t>-43,434094,-22,777657 
-43,434094,-22,679759 
-43,319562,-22,679759 
-43,319562,-22,777657 
-43,434094,-22,777657</t>
  </si>
  <si>
    <t>-43,795449,-23,08302 
-43,795449,-22,7398234 
-43,0877068,-22,7398234 
-43,0877068,-23,08302 
-43,795449,-23,08302</t>
  </si>
  <si>
    <t>-42,339393,-19,039766 
-42,339393,-18,5511242 
-41,539846,-18,5511242 
-41,539846,-19,039766 
-42,339393,-19,039766</t>
  </si>
  <si>
    <t>-38,507432,-12,944754 
-38,507432,-12,926305 
-38,486867,-12,926305 
-38,486867,-12,944754 
-38,507432,-12,944754</t>
  </si>
  <si>
    <t>-38,765588,-8,30355 
-38,765588,-6,027256 
-34,792907,-6,027256 
-34,792907,-8,30355 
-38,765588,-8,30355</t>
  </si>
  <si>
    <t>-34,9738347,-7,243257 
-34,9738347,-7,055696 
-34,792907,-7,055696 
-34,792907,-7,243257 
-34,9738347,-7,243257</t>
  </si>
  <si>
    <t>-48,285982,-16,0524045 
-48,285982,-15,5001029 
-47,307264,-15,5001029 
-47,307264,-16,0524045 
-48,285982,-16,0524045</t>
  </si>
  <si>
    <t>-40,3629648,-20,3253961 
-40,3629648,-20,2354249 
-40,2226805,-20,2354249 
-40,2226805,-20,3253961 
-40,3629648,-20,3253961</t>
  </si>
  <si>
    <t>-48,7103,-26,84194 
-48,7103,-26,742586 
-48,583814,-26,742586 
-48,583814,-26,84194 
-48,7103,-26,84194</t>
  </si>
  <si>
    <t>-43,681932,-22,865838 
-43,681932,-22,527218 
-43,366801,-22,527218 
-43,366801,-22,865838 
-43,681932,-22,865838</t>
  </si>
  <si>
    <t>-48,098245,-22,900697 
-48,098245,-22,520556 
-47,490471,-22,520556 
-47,490471,-22,900697 
-48,098245,-22,900697</t>
  </si>
  <si>
    <t>-40,4040785,-19,1491128 
-40,4040785,-18,4445077 
-39,720283,-18,4445077 
-39,720283,-19,1491128 
-40,4040785,-19,1491128</t>
  </si>
  <si>
    <t>-43,048117,-22,470889 
-43,048117,-22,12326 
-42,711295,-22,12326 
-42,711295,-22,470889 
-43,048117,-22,470889</t>
  </si>
  <si>
    <t>-42,985432,-22,449134 
-42,985432,-22,428629 
-42,974602,-22,428629 
-42,974602,-22,449134 
-42,985432,-22,449134</t>
  </si>
  <si>
    <t>-46,6521812,-23,7397611 
-46,6521812,-23,657623 
-46,577683,-23,657623 
-46,577683,-23,7397611 
-46,6521812,-23,7397611</t>
  </si>
  <si>
    <t>-54,619501,-26,712827 
-54,619501,-22,516383 
-48,023474,-22,516383 
-48,023474,-26,712827 
-54,619501,-26,712827</t>
  </si>
  <si>
    <t>-38,3786026,-12,8810475 
-38,3786026,-12,4524431 
-38,0307388,-12,4524431 
-38,0307388,-12,8810475 
-38,3786026,-12,8810475</t>
  </si>
  <si>
    <t>-7,8492225,40,2298986 
-7,8492225,40,5355192 
-7,5834464,40,5355192 
-7,5834464,40,2298986 
-7,8492225,40,2298986</t>
  </si>
  <si>
    <t>-35,815834,-9,711808 
-35,815834,-9,354851 
-35,558391,-9,354851 
-35,558391,-9,711808 
-35,815834,-9,711808</t>
  </si>
  <si>
    <t>-58,167538,-20,948992 
-58,167538,-17,166446 
-55,138894,-17,166446 
-55,138894,-20,948992 
-58,167538,-20,948992</t>
  </si>
  <si>
    <t>-49,290882,-22,4168673 
-49,290882,-22,060614 
-48,9342022,-22,060614 
-48,9342022,-22,4168673 
-49,290882,-22,4168673</t>
  </si>
  <si>
    <t>-45,18111,-21,402609 
-45,18111,-21,125868 
-44,8646157,-21,125868 
-44,8646157,-21,402609 
-45,18111,-21,402609</t>
  </si>
  <si>
    <t>-47,483815,-22,476347 
-47,483815,-22,193981 
-47,175183,-22,193981 
-47,175183,-22,476347 
-47,483815,-22,476347</t>
  </si>
  <si>
    <t>-40,8856087,-19,7160279 
-40,8856087,-19,2302202 
-40,3686449,-19,2302202 
-40,3686449,-19,7160279 
-40,8856087,-19,7160279</t>
  </si>
  <si>
    <t>-47,387621,-22,784927 
-47,387621,-22,663191 
-47,192664,-22,663191 
-47,192664,-22,784927 
-47,387621,-22,784927</t>
  </si>
  <si>
    <t>-52,1268757,-29,4958193 
-52,1268757,-29,3987506 
-51,9191694,-29,3987506 
-51,9191694,-29,4958193 
-52,1268757,-29,4958193</t>
  </si>
  <si>
    <t>-46,567276,-23,815924 
-46,567276,-23,605615 
-46,278106,-23,605615 
-46,278106,-23,815924 
-46,567276,-23,815924</t>
  </si>
  <si>
    <t>-73,991482,-33,7510506 
-73,991482,5,27192 
-32,378186,5,27192 
-32,378186,-33,7510506 
-73,991482,-33,7510506</t>
  </si>
  <si>
    <t>-39,297137,-12,418986 
-39,297137,-11,981344 
-38,8317766,-11,981344 
-38,8317766,-12,418986 
-39,297137,-12,418986</t>
  </si>
  <si>
    <t>-45,723444,-23,22441 
-45,723444,-22,947623 
-45,289866,-22,947623 
-45,289866,-23,22441 
-45,723444,-23,22441</t>
  </si>
  <si>
    <t>-47,0286798,-23,326241 
-47,0286798,-23,07595 
-46,7880529,-23,07595 
-46,7880529,-23,326241 
-47,0286798,-23,326241</t>
  </si>
  <si>
    <t>-53,251153,-19,499247 
-53,251153,-12,395291 
-45,906968,-12,395291 
-45,906968,-19,499247 
-53,251153,-19,499247</t>
  </si>
  <si>
    <t>-43,37735,-22,571793 
-43,37735,-22,202457 
-42,997237,-22,202457 
-42,997237,-22,571793 
-43,37735,-22,571793</t>
  </si>
  <si>
    <t>-47,369249,-22,9037433 
-47,369249,-22,783889 
-47,154339,-22,783889 
-47,154339,-22,9037433 
-47,369249,-22,9037433</t>
  </si>
  <si>
    <t>-51,3061478,-30,2688069 
-51,3061478,-29,9308654 
-51,012471,-29,9308654 
-51,012471,-30,2688069 
-51,3061478,-30,2688069</t>
  </si>
  <si>
    <t>-38,700244,-13,02679 
-38,700244,-12,723879 
-38,305051,-12,723879 
-38,305051,-13,02679 
-38,700244,-13,02679</t>
  </si>
  <si>
    <t>-48,6103127,-27,8389356 
-48,6103127,-27,3804458 
-48,3474853,-27,3804458 
-48,3474853,-27,8389356 
-48,6103127,-27,8389356</t>
  </si>
  <si>
    <t>-49,4774653,-28,843485 
-49,4774653,-28,634609 
-49,2434913,-28,634609 
-49,2434913,-28,843485 
-49,4774653,-28,843485</t>
  </si>
  <si>
    <t>-45,842691,-23,2385023 
-45,842691,-22,968666 
-45,593,-22,968666 
-45,593,-23,2385023 
-45,842691,-23,2385023</t>
  </si>
  <si>
    <t>-46,403227,-23,99197 
-46,403227,-23,73467 
-46,176966,-23,73467 
-46,176966,-23,99197 
-46,403227,-23,99197</t>
  </si>
  <si>
    <t>-35,019805,-8,157554 
-35,019805,-7,929652 
-34,858893,-7,929652 
-34,858893,-8,157554 
-35,019805,-8,157554</t>
  </si>
  <si>
    <t>-47,005925,-19,0149109 
-47,005925,-18,258367 
-45,828407,-18,258367 
-45,828407,-19,0149109 
-47,005925,-19,0149109</t>
  </si>
  <si>
    <t>-44,189535,-22,4035217 
-44,189535,-22,0622514 
-43,5865881,-22,0622514 
-43,5865881,-22,4035217 
-44,189535,-22,4035217</t>
  </si>
  <si>
    <t>-41,641669,-7,224232 
-41,641669,-6,87462 
-41,334157,-6,87462 
-41,334157,-7,224232 
-41,641669,-7,224232</t>
  </si>
  <si>
    <t>-60,802071,-3,221228 
-60,802071,-1,923622 
-59,15858,-1,923622 
-59,15858,-3,221228 
-60,802071,-3,221228</t>
  </si>
  <si>
    <t>-48,623684,-1,526453 
-48,623684,-1,019406 
-48,295911,-1,019406 
-48,295911,-1,526453 
-48,623684,-1,526453</t>
  </si>
  <si>
    <t>-51,6433574,-29,508769 
-51,6433574,-29,4073434 
-51,4553114,-29,4073434 
-51,4553114,-29,508769 
-51,6433574,-29,508769</t>
  </si>
  <si>
    <t>-41,889022,-22,1204719 
-41,889022,-21,195227 
-40,97475,-21,195227 
-40,97475,-22,1204719 
-41,889022,-22,1204719</t>
  </si>
  <si>
    <t>-46,9657883,-23,5529444 
-46,9657883,-23,469113 
-46,798869,-23,469113 
-46,798869,-23,5529444 
-46,9657883,-23,5529444</t>
  </si>
  <si>
    <t>-40,703685,-20,7493646 
-40,703685,-20,4452811 
-40,3765824,-20,4452811 
-40,3765824,-20,7493646 
-40,703685,-20,7493646</t>
  </si>
  <si>
    <t>-39,668499,-5,5971937 
-39,668499,-4,790508 
-39,0342092,-4,790508 
-39,0342092,-5,5971937 
-39,668499,-5,5971937</t>
  </si>
  <si>
    <t>-38,669877,-7,058138 
-38,669877,-6,79095 
-38,398375,-6,79095 
-38,398375,-7,058138 
-38,669877,-7,058138</t>
  </si>
  <si>
    <t>-50,899728,-21,454719 
-50,899728,-20,830646 
-50,342965,-20,830646 
-50,342965,-21,454719 
-50,899728,-21,454719</t>
  </si>
  <si>
    <t>-37,972876,-10,888508 
-37,972876,-10,585877 
-37,673873,-10,585877 
-37,673873,-10,888508 
-37,972876,-10,888508</t>
  </si>
  <si>
    <t>-86,235783,41,7088542 
-86,235783,41,716754 
-86,216705,41,716754 
-86,216705,41,7088542 
-86,235783,41,7088542</t>
  </si>
  <si>
    <t>-43,224939,-22,7484627 
-43,224939,-22,483729 
-43,013263,-22,483729 
-43,013263,-22,7484627 
-43,224939,-22,7484627</t>
  </si>
  <si>
    <t>Brasil</t>
  </si>
  <si>
    <t>Portugal</t>
  </si>
  <si>
    <t>Estados Unidos</t>
  </si>
  <si>
    <t>BR</t>
  </si>
  <si>
    <t>PT</t>
  </si>
  <si>
    <t>US</t>
  </si>
  <si>
    <t>Rio de Janeiro, Brasil</t>
  </si>
  <si>
    <t>Caucaia, Brasil</t>
  </si>
  <si>
    <t>Belo Horizonte, Brasil</t>
  </si>
  <si>
    <t>São José do Rio Preto, Brasil</t>
  </si>
  <si>
    <t>Garanhuns, Brasil</t>
  </si>
  <si>
    <t>Suzano, Brasil</t>
  </si>
  <si>
    <t>São Paulo, Brasil</t>
  </si>
  <si>
    <t>Mauá, Brasil</t>
  </si>
  <si>
    <t>Inhumas, Brasil</t>
  </si>
  <si>
    <t>Curitiba, Brasil</t>
  </si>
  <si>
    <t>Belford Roxo, Brasil</t>
  </si>
  <si>
    <t>Governador Valadares, Brasil</t>
  </si>
  <si>
    <t>Uruguai, Salvador</t>
  </si>
  <si>
    <t>Paraíba, Brasil</t>
  </si>
  <si>
    <t>João Pessoa, Brasil</t>
  </si>
  <si>
    <t>Distrito Federal, Brasil</t>
  </si>
  <si>
    <t>Brasília, Brasil</t>
  </si>
  <si>
    <t>Vitória, Brasil</t>
  </si>
  <si>
    <t>Penha, Brasil</t>
  </si>
  <si>
    <t>Nova Iguaçu, Brasil</t>
  </si>
  <si>
    <t>Piracicaba, Brasil</t>
  </si>
  <si>
    <t>São Mateus, Brasil</t>
  </si>
  <si>
    <t>Teresópolis, Brasil</t>
  </si>
  <si>
    <t>Alto, Teresópolis</t>
  </si>
  <si>
    <t>Diadema, Brasil</t>
  </si>
  <si>
    <t>Paraná, Brasil</t>
  </si>
  <si>
    <t>Camaçari, Brasil</t>
  </si>
  <si>
    <t>Seia, Portugal</t>
  </si>
  <si>
    <t>Maceió, Brasil</t>
  </si>
  <si>
    <t>Corumbá, Brasil</t>
  </si>
  <si>
    <t>Bauru, Brasil</t>
  </si>
  <si>
    <t>Lavras, Brasil</t>
  </si>
  <si>
    <t>Araras, Brasil</t>
  </si>
  <si>
    <t>Colatina, Brasil</t>
  </si>
  <si>
    <t>Americana, Brasil</t>
  </si>
  <si>
    <t>Lajeado, Brasil</t>
  </si>
  <si>
    <t>Santo André, Brasil</t>
  </si>
  <si>
    <t>Feira de Santana, Brasil</t>
  </si>
  <si>
    <t>Taubaté, Brasil</t>
  </si>
  <si>
    <t>Jundiaí, Brasil</t>
  </si>
  <si>
    <t>Goiás, Brasil</t>
  </si>
  <si>
    <t>Petrópolis, Brasil</t>
  </si>
  <si>
    <t>Sumaré, Brasil</t>
  </si>
  <si>
    <t>Porto Alegre, Brasil</t>
  </si>
  <si>
    <t>Salvador, Brasil</t>
  </si>
  <si>
    <t>Florianópolis, Brasil</t>
  </si>
  <si>
    <t>Criciúma, Brasil</t>
  </si>
  <si>
    <t>Caçapava, Brasil</t>
  </si>
  <si>
    <t>Santos, Brasil</t>
  </si>
  <si>
    <t>Recife, Brasil</t>
  </si>
  <si>
    <t>Patos de Minas, Brasil</t>
  </si>
  <si>
    <t>Valença, Brasil</t>
  </si>
  <si>
    <t>Picos, Brasil</t>
  </si>
  <si>
    <t>Manaus, Brasil</t>
  </si>
  <si>
    <t>Belém, Brasil</t>
  </si>
  <si>
    <t>Salvador do Sul, Brasil</t>
  </si>
  <si>
    <t>Campos dos Goytacazes, Brasil</t>
  </si>
  <si>
    <t>Barueri, Brasil</t>
  </si>
  <si>
    <t>Guarapari, Brasil</t>
  </si>
  <si>
    <t>Quixeramobim, Brasil</t>
  </si>
  <si>
    <t>Cajazeiras, Brasil</t>
  </si>
  <si>
    <t>Araçatuba, Brasil</t>
  </si>
  <si>
    <t>Simão Dias, Brasil</t>
  </si>
  <si>
    <t>Indian Village, IN</t>
  </si>
  <si>
    <t>Magé, Brasil</t>
  </si>
  <si>
    <t>e433fbca595f29e5</t>
  </si>
  <si>
    <t>4b0320ab49dc0134</t>
  </si>
  <si>
    <t>d9d978b087a92583</t>
  </si>
  <si>
    <t>fb19477acb7cac07</t>
  </si>
  <si>
    <t>4c75b532cd450600</t>
  </si>
  <si>
    <t>16033d44e2a52bd1</t>
  </si>
  <si>
    <t>68e019afec7d0ba5</t>
  </si>
  <si>
    <t>d98807d2800ba4c6</t>
  </si>
  <si>
    <t>468741f7d6a760df</t>
  </si>
  <si>
    <t>6d5542f8d837770d</t>
  </si>
  <si>
    <t>7343e9c57b3427b5</t>
  </si>
  <si>
    <t>97bcdfca1a2dca59</t>
  </si>
  <si>
    <t>2fdc3603bc0c1d1d</t>
  </si>
  <si>
    <t>41f31e0214b42010</t>
  </si>
  <si>
    <t>b9999f7f6f548ce7</t>
  </si>
  <si>
    <t>c9f2f46c0d1b963d</t>
  </si>
  <si>
    <t>23bf863bd278c0e4</t>
  </si>
  <si>
    <t>5722ff20ba67083b</t>
  </si>
  <si>
    <t>a8bf18425e35f49d</t>
  </si>
  <si>
    <t>62cbcbb710badc1b</t>
  </si>
  <si>
    <t>4029837e46e8e369</t>
  </si>
  <si>
    <t>47ef5d028ab6c2b7</t>
  </si>
  <si>
    <t>517ccd7b1f788f01</t>
  </si>
  <si>
    <t>2228665f02a6c9c8</t>
  </si>
  <si>
    <t>1f9892df0cac89a9</t>
  </si>
  <si>
    <t>792ce72d0ea47349</t>
  </si>
  <si>
    <t>c0d0b98719f1c884</t>
  </si>
  <si>
    <t>0f4979e993e4e38b</t>
  </si>
  <si>
    <t>7eb125e50a3e7ae2</t>
  </si>
  <si>
    <t>70d9237ded8be5f4</t>
  </si>
  <si>
    <t>d1fbccf7693adcc4</t>
  </si>
  <si>
    <t>77af3e46c7a19d54</t>
  </si>
  <si>
    <t>5c6224bdeba537fa</t>
  </si>
  <si>
    <t>9c7826d3cc24892b</t>
  </si>
  <si>
    <t>3111f85e99215ad1</t>
  </si>
  <si>
    <t>0bdb47219a1bda81</t>
  </si>
  <si>
    <t>d552d3e64a8352fa</t>
  </si>
  <si>
    <t>35e1542602b65f19</t>
  </si>
  <si>
    <t>1b107df3ccc0aaa1</t>
  </si>
  <si>
    <t>8960d74054404ddd</t>
  </si>
  <si>
    <t>86e95544e795e190</t>
  </si>
  <si>
    <t>04b990530ebe63a3</t>
  </si>
  <si>
    <t>c42167e3bba1e99d</t>
  </si>
  <si>
    <t>e197438c3cdbd6c0</t>
  </si>
  <si>
    <t>87dba8639bbe2f22</t>
  </si>
  <si>
    <t>894146230dd1d42d</t>
  </si>
  <si>
    <t>e60cc1f72c303272</t>
  </si>
  <si>
    <t>c44302d542084bfe</t>
  </si>
  <si>
    <t>fe512979fed865c4</t>
  </si>
  <si>
    <t>769b08f849827258</t>
  </si>
  <si>
    <t>c83a3bc35870a7a1</t>
  </si>
  <si>
    <t>f207b85be9f1513e</t>
  </si>
  <si>
    <t>6cd721fcc1ee5b2d</t>
  </si>
  <si>
    <t>4f416071170d6d5b</t>
  </si>
  <si>
    <t>fa8d805ce2d1dffe</t>
  </si>
  <si>
    <t>45e3bce63f2beeee</t>
  </si>
  <si>
    <t>f3587bc643e7d7b8</t>
  </si>
  <si>
    <t>329542a42e709cd8</t>
  </si>
  <si>
    <t>197c7f6df19085d2</t>
  </si>
  <si>
    <t>5997e92637149a16</t>
  </si>
  <si>
    <t>c3298d9d79922899</t>
  </si>
  <si>
    <t>3e91ba81dfe6fe6e</t>
  </si>
  <si>
    <t>e4759adaa198a999</t>
  </si>
  <si>
    <t>9a7f4112ee2cd06d</t>
  </si>
  <si>
    <t>41a111de2c4af629</t>
  </si>
  <si>
    <t>00aa8bdb6fbf5a9c</t>
  </si>
  <si>
    <t>37b82f7e75d4f3b0</t>
  </si>
  <si>
    <t>Rio de Janeiro</t>
  </si>
  <si>
    <t>Caucaia</t>
  </si>
  <si>
    <t>Belo Horizonte</t>
  </si>
  <si>
    <t>São José do Rio Preto</t>
  </si>
  <si>
    <t>Garanhuns</t>
  </si>
  <si>
    <t>Suzano</t>
  </si>
  <si>
    <t>São Paulo</t>
  </si>
  <si>
    <t>Mauá</t>
  </si>
  <si>
    <t>Inhumas</t>
  </si>
  <si>
    <t>Curitiba</t>
  </si>
  <si>
    <t>Belford Roxo</t>
  </si>
  <si>
    <t>Governador Valadares</t>
  </si>
  <si>
    <t>Uruguai</t>
  </si>
  <si>
    <t>Paraíba</t>
  </si>
  <si>
    <t>João Pessoa</t>
  </si>
  <si>
    <t>Distrito Federal</t>
  </si>
  <si>
    <t>Brasília</t>
  </si>
  <si>
    <t>Vitória</t>
  </si>
  <si>
    <t>Penha</t>
  </si>
  <si>
    <t>Nova Iguaçu</t>
  </si>
  <si>
    <t>Piracicaba</t>
  </si>
  <si>
    <t>São Mateus</t>
  </si>
  <si>
    <t>Teresópolis</t>
  </si>
  <si>
    <t>Alto</t>
  </si>
  <si>
    <t>Diadema</t>
  </si>
  <si>
    <t>Paraná</t>
  </si>
  <si>
    <t>Camaçari</t>
  </si>
  <si>
    <t>Seia</t>
  </si>
  <si>
    <t>Maceió</t>
  </si>
  <si>
    <t>Corumbá</t>
  </si>
  <si>
    <t>Bauru</t>
  </si>
  <si>
    <t>Lavras</t>
  </si>
  <si>
    <t>Araras</t>
  </si>
  <si>
    <t>Colatina</t>
  </si>
  <si>
    <t>Americana</t>
  </si>
  <si>
    <t>Lajeado</t>
  </si>
  <si>
    <t>Santo André</t>
  </si>
  <si>
    <t>Feira de Santana</t>
  </si>
  <si>
    <t>Taubaté</t>
  </si>
  <si>
    <t>Jundiaí</t>
  </si>
  <si>
    <t>Goiás</t>
  </si>
  <si>
    <t>Petrópolis</t>
  </si>
  <si>
    <t>Sumaré</t>
  </si>
  <si>
    <t>Porto Alegre</t>
  </si>
  <si>
    <t>Salvador</t>
  </si>
  <si>
    <t>Florianópolis</t>
  </si>
  <si>
    <t>Criciúma</t>
  </si>
  <si>
    <t>Caçapava</t>
  </si>
  <si>
    <t>Santos</t>
  </si>
  <si>
    <t>Recife</t>
  </si>
  <si>
    <t>Patos de Minas</t>
  </si>
  <si>
    <t>Valença</t>
  </si>
  <si>
    <t>Picos</t>
  </si>
  <si>
    <t>Manaus</t>
  </si>
  <si>
    <t>Belém</t>
  </si>
  <si>
    <t>Salvador do Sul</t>
  </si>
  <si>
    <t>Campos dos Goytacazes</t>
  </si>
  <si>
    <t>Barueri</t>
  </si>
  <si>
    <t>Guarapari</t>
  </si>
  <si>
    <t>Quixeramobim</t>
  </si>
  <si>
    <t>Cajazeiras</t>
  </si>
  <si>
    <t>Araçatuba</t>
  </si>
  <si>
    <t>Simão Dias</t>
  </si>
  <si>
    <t>Indian Village</t>
  </si>
  <si>
    <t>Magé</t>
  </si>
  <si>
    <t>admin</t>
  </si>
  <si>
    <t>city</t>
  </si>
  <si>
    <t>neighborhood</t>
  </si>
  <si>
    <t>country</t>
  </si>
  <si>
    <t>7_1691000246011322368</t>
  </si>
  <si>
    <t>7_1687176875649445888</t>
  </si>
  <si>
    <t>7_1687080636832522240</t>
  </si>
  <si>
    <t>7_1687917577261985792</t>
  </si>
  <si>
    <t>7_1687867017682886656</t>
  </si>
  <si>
    <t>7_1688715248188919808</t>
  </si>
  <si>
    <t>7_1685368929881825280</t>
  </si>
  <si>
    <t>3_1697001954768015360</t>
  </si>
  <si>
    <t>3_1704894875496308739</t>
  </si>
  <si>
    <t>3_1677996195493322753</t>
  </si>
  <si>
    <t>3_1703826278451646464</t>
  </si>
  <si>
    <t>3_1677325831851393024</t>
  </si>
  <si>
    <t>7_1676172809360359424</t>
  </si>
  <si>
    <t>7_1678352133207228416</t>
  </si>
  <si>
    <t>7_1681251237268783104</t>
  </si>
  <si>
    <t>7_1679069443526127616</t>
  </si>
  <si>
    <t>7_1676900067523936257</t>
  </si>
  <si>
    <t>7_1680556646387314692</t>
  </si>
  <si>
    <t>7_1689313394627682309</t>
  </si>
  <si>
    <t>7_1696538971982209024</t>
  </si>
  <si>
    <t>7_1697263662027743232</t>
  </si>
  <si>
    <t>7_1701975247002423296</t>
  </si>
  <si>
    <t>7_1699438569826242560</t>
  </si>
  <si>
    <t>7_1699438200756838400</t>
  </si>
  <si>
    <t>7_1682406075457208322</t>
  </si>
  <si>
    <t>7_1705236510834921472</t>
  </si>
  <si>
    <t>7_1707055298328846336</t>
  </si>
  <si>
    <t>7_1705045568425177088</t>
  </si>
  <si>
    <t>3_1696465361615351808</t>
  </si>
  <si>
    <t>3_1679214081331326987</t>
  </si>
  <si>
    <t>7_1703813406002683904</t>
  </si>
  <si>
    <t>3_1683569939431432193</t>
  </si>
  <si>
    <t>7_1706113589969313793</t>
  </si>
  <si>
    <t>3_1679870293165178880</t>
  </si>
  <si>
    <t>7_1706804253392519168</t>
  </si>
  <si>
    <t>7_1682433400810905627</t>
  </si>
  <si>
    <t>7_1682353748322942977</t>
  </si>
  <si>
    <t>7_1683296445674160129</t>
  </si>
  <si>
    <t>7_1686694442684633088</t>
  </si>
  <si>
    <t>7_1686549673555693569</t>
  </si>
  <si>
    <t>7_1693352586936565760</t>
  </si>
  <si>
    <t>7_1695576319696740352</t>
  </si>
  <si>
    <t>7_1695275309723996161</t>
  </si>
  <si>
    <t>7_1695090437638287361</t>
  </si>
  <si>
    <t>7_1690041949795889171</t>
  </si>
  <si>
    <t>7_1689955991415054336</t>
  </si>
  <si>
    <t>7_1689820527957843968</t>
  </si>
  <si>
    <t>3_1686499630853632000 3_1686499665100013568 3_1686499684427407360 3_1686499700105674753</t>
  </si>
  <si>
    <t>3_1691929395940716544 3_1691929395995222019 3_1691929396129484800 3_1691929396376944641</t>
  </si>
  <si>
    <t>3_1691827318891716608 3_1691827318883323904 3_1691827318996484096</t>
  </si>
  <si>
    <t>3_1686797806936223747</t>
  </si>
  <si>
    <t>7_1680885255916355584</t>
  </si>
  <si>
    <t>7_1680546030620688385</t>
  </si>
  <si>
    <t>7_1680180240079810560</t>
  </si>
  <si>
    <t>7_1686722939645796352</t>
  </si>
  <si>
    <t>7_1703069746546012160</t>
  </si>
  <si>
    <t>3_1681386620929310737 3_1681386621713645578 3_1681386622414094347 3_1681386505158131716</t>
  </si>
  <si>
    <t>7_1678514804309254146</t>
  </si>
  <si>
    <t>7_1705661467553402880</t>
  </si>
  <si>
    <t>7_1681707587815735306</t>
  </si>
  <si>
    <t>3_1683504585174921217</t>
  </si>
  <si>
    <t>3_1699482588228845568</t>
  </si>
  <si>
    <t>7_1702085990473416704</t>
  </si>
  <si>
    <t>7_1692730162075361280</t>
  </si>
  <si>
    <t>7_1677486749683965952</t>
  </si>
  <si>
    <t>3_1679570613826990082</t>
  </si>
  <si>
    <t>3_1678470444234547200</t>
  </si>
  <si>
    <t>7_1689744733348802560</t>
  </si>
  <si>
    <t>3_1678872517275004930</t>
  </si>
  <si>
    <t>7_1676232259295141889</t>
  </si>
  <si>
    <t>3_1700887163397722112</t>
  </si>
  <si>
    <t>3_1689381977038733313</t>
  </si>
  <si>
    <t>7_1689305575341920256</t>
  </si>
  <si>
    <t>3_1688566467111870464</t>
  </si>
  <si>
    <t>7_1688560921990340608</t>
  </si>
  <si>
    <t>3_1676335769848369153</t>
  </si>
  <si>
    <t>3_1702427203428880384</t>
  </si>
  <si>
    <t>3_1694092746645004288</t>
  </si>
  <si>
    <t>7_1683840032552157186</t>
  </si>
  <si>
    <t>3_1678510175798304775</t>
  </si>
  <si>
    <t>3_1678147130052018178</t>
  </si>
  <si>
    <t>3_1677709202989412354</t>
  </si>
  <si>
    <t>3_1703786575564324864</t>
  </si>
  <si>
    <t>3_1699075598482542593</t>
  </si>
  <si>
    <t>3_1696267284401053697</t>
  </si>
  <si>
    <t>7_1691450176995807232</t>
  </si>
  <si>
    <t>3_1681681088589049856</t>
  </si>
  <si>
    <t>3_1681408836102438928</t>
  </si>
  <si>
    <t>7_1681320910651793409</t>
  </si>
  <si>
    <t>3_1704148676883456000</t>
  </si>
  <si>
    <t>3_1700253239361347584</t>
  </si>
  <si>
    <t>3_1694816982418284545</t>
  </si>
  <si>
    <t>3_1690015555644801024</t>
  </si>
  <si>
    <t>3_1704600873500917761</t>
  </si>
  <si>
    <t>3_1699890366571302912</t>
  </si>
  <si>
    <t>7_1687481802607222786</t>
  </si>
  <si>
    <t>7_1687123367675961344</t>
  </si>
  <si>
    <t>3_1677422352915746816</t>
  </si>
  <si>
    <t>3_1677060505444274177</t>
  </si>
  <si>
    <t>3_1706278929453969408</t>
  </si>
  <si>
    <t>3_1703061510547746817</t>
  </si>
  <si>
    <t>3_1701276111898816512</t>
  </si>
  <si>
    <t>3_1686120853631598595</t>
  </si>
  <si>
    <t>7_1706688562324766720</t>
  </si>
  <si>
    <t>3_1696629329797472257</t>
  </si>
  <si>
    <t>3_1682763768533598208</t>
  </si>
  <si>
    <t>3_1682223574575386625</t>
  </si>
  <si>
    <t>3_1674539792103604225</t>
  </si>
  <si>
    <t>3_1674539517934436354</t>
  </si>
  <si>
    <t>3_1674538973446774786</t>
  </si>
  <si>
    <t>7_1683855028728070145</t>
  </si>
  <si>
    <t>3_1694430205140480000</t>
  </si>
  <si>
    <t>3_1696261399545036802</t>
  </si>
  <si>
    <t>3_1681698796671991814</t>
  </si>
  <si>
    <t>3_1697630017386139648</t>
  </si>
  <si>
    <t>3_1700198527089987584</t>
  </si>
  <si>
    <t>3_1697689234281238528</t>
  </si>
  <si>
    <t>3_1690083472092606464</t>
  </si>
  <si>
    <t>3_1702771507666051072</t>
  </si>
  <si>
    <t>3_1698764966239580160 3_1698764966457667584 3_1698764966591881216 3_1698764966709346304</t>
  </si>
  <si>
    <t>3_1698764737113100288 3_1698764737113165824 3_1698764737121538048 3_1698764737138319360</t>
  </si>
  <si>
    <t>3_1695176227173158912 3_1695176227303157760 3_1695176227500216320 3_1695176227609350144</t>
  </si>
  <si>
    <t>3_1695175927867531264 3_1695175927871746048 3_1695175927905337344 3_1695175928022753280</t>
  </si>
  <si>
    <t>3_1705285551555829760</t>
  </si>
  <si>
    <t>3_1703824118200619008</t>
  </si>
  <si>
    <t>7_1699546844739563523</t>
  </si>
  <si>
    <t>3_1701264044798185474 3_1701264071528456192</t>
  </si>
  <si>
    <t>3_1699453224925659136 3_1699453224921526273 3_1699453224929951744 3_1699453224913096704</t>
  </si>
  <si>
    <t>7_1678392814445514754</t>
  </si>
  <si>
    <t>7_1686744825414963200</t>
  </si>
  <si>
    <t>7_1686400694016688128</t>
  </si>
  <si>
    <t>7_1686202446933049344</t>
  </si>
  <si>
    <t>7_1692005122975440897</t>
  </si>
  <si>
    <t>3_1689818377529802752</t>
  </si>
  <si>
    <t>7_1687270955154870272</t>
  </si>
  <si>
    <t>7_1687522141174976521</t>
  </si>
  <si>
    <t>7_1680931380090249221</t>
  </si>
  <si>
    <t>3_1703754837018488832</t>
  </si>
  <si>
    <t>3_1677965907279134722</t>
  </si>
  <si>
    <t>3_1680508825219092480</t>
  </si>
  <si>
    <t>7_1676344172847013888</t>
  </si>
  <si>
    <t>3_1684218627707338753</t>
  </si>
  <si>
    <t>7_1675990624795869187</t>
  </si>
  <si>
    <t>7_1689695616023027712</t>
  </si>
  <si>
    <t>3_1691200622580641792</t>
  </si>
  <si>
    <t>3_1694023424148955136</t>
  </si>
  <si>
    <t>7_1692936542975561728</t>
  </si>
  <si>
    <t>3_1698781482628595713</t>
  </si>
  <si>
    <t>7_1682345098007269378</t>
  </si>
  <si>
    <t>7_1682069612840599558</t>
  </si>
  <si>
    <t>7_1681982822431555586</t>
  </si>
  <si>
    <t>7_1679808361083072521</t>
  </si>
  <si>
    <t>7_1679445839381516288</t>
  </si>
  <si>
    <t>7_1678866503024640001</t>
  </si>
  <si>
    <t>3_1678808118174547969 3_1678808121416769536 3_1678808124981903366</t>
  </si>
  <si>
    <t>7_1676271404877053952</t>
  </si>
  <si>
    <t>3_1676184813491961858 3_1676184818139164673 3_1676184821670838273</t>
  </si>
  <si>
    <t>7_1684157284652404737</t>
  </si>
  <si>
    <t>7_1683519161517973504</t>
  </si>
  <si>
    <t>7_1683431963825262593</t>
  </si>
  <si>
    <t>7_1676996180201308175</t>
  </si>
  <si>
    <t>7_1686331165068660736</t>
  </si>
  <si>
    <t>7_1681707224127635457</t>
  </si>
  <si>
    <t>7_1681620415288946690</t>
  </si>
  <si>
    <t>7_1681344833825193984</t>
  </si>
  <si>
    <t>3_1681257625881661442 3_1681257629773963265 3_1681257633288798208</t>
  </si>
  <si>
    <t>7_1683939936725082113</t>
  </si>
  <si>
    <t>3_1683881547324174346 3_1683881552185286659 3_1683881557222731779</t>
  </si>
  <si>
    <t>7_1683794683858747392</t>
  </si>
  <si>
    <t>7_1678445733400256514</t>
  </si>
  <si>
    <t>7_1678358447165677569</t>
  </si>
  <si>
    <t>7_1686073591077486608</t>
  </si>
  <si>
    <t>7_1686055874853322766</t>
  </si>
  <si>
    <t>7_1680982448413237253</t>
  </si>
  <si>
    <t>7_1680895175705468929</t>
  </si>
  <si>
    <t>7_1678720889838350337</t>
  </si>
  <si>
    <t>7_1679083695150452736</t>
  </si>
  <si>
    <t>7_1676633791371116546</t>
  </si>
  <si>
    <t>7_1676546687186219010</t>
  </si>
  <si>
    <t>7_1677271772440195072</t>
  </si>
  <si>
    <t>7_1678385920217628672</t>
  </si>
  <si>
    <t>13_1687603579698171905</t>
  </si>
  <si>
    <t>13_1687538359919378454</t>
  </si>
  <si>
    <t>13_1695806559639797761</t>
  </si>
  <si>
    <t>13_1701238972830416896</t>
  </si>
  <si>
    <t>7_1685074305099440129</t>
  </si>
  <si>
    <t>3_1694028382793543688</t>
  </si>
  <si>
    <t>3_1695807576472969217</t>
  </si>
  <si>
    <t>3_1695445184907988992</t>
  </si>
  <si>
    <t>13_1701621703971905537</t>
  </si>
  <si>
    <t>13_1701605794272456704</t>
  </si>
  <si>
    <t>7_1694463665603219456</t>
  </si>
  <si>
    <t>7_1694322261287706625</t>
  </si>
  <si>
    <t>7_1678902829459689473</t>
  </si>
  <si>
    <t>7_1702436315625615360</t>
  </si>
  <si>
    <t>7_1702142474146254848</t>
  </si>
  <si>
    <t>7_1704991625024344064</t>
  </si>
  <si>
    <t>7_1704573216369369175</t>
  </si>
  <si>
    <t>7_1705344544970088448</t>
  </si>
  <si>
    <t>7_1680336249163247619</t>
  </si>
  <si>
    <t>7_1706347711790788608</t>
  </si>
  <si>
    <t>7_1702778977402617856</t>
  </si>
  <si>
    <t>7_1690176470029647872</t>
  </si>
  <si>
    <t>7_1678547284785602563</t>
  </si>
  <si>
    <t>7_1702790218212855808</t>
  </si>
  <si>
    <t>7_1704232177414643712</t>
  </si>
  <si>
    <t>3_1707146187017457665</t>
  </si>
  <si>
    <t>7_1682773371174436864</t>
  </si>
  <si>
    <t>3_1676984494769971202 3_1676984494765780993 3_1676984494732218368</t>
  </si>
  <si>
    <t>7_1688560417436508160</t>
  </si>
  <si>
    <t>7_1687481314000195584</t>
  </si>
  <si>
    <t>3_1679659064035364864</t>
  </si>
  <si>
    <t>3_1677647875453378561</t>
  </si>
  <si>
    <t>3_1691431054609907712</t>
  </si>
  <si>
    <t>3_1680999495381778439</t>
  </si>
  <si>
    <t>3_1689509345694728192 3_1689509395615436800 3_1689509451105984512</t>
  </si>
  <si>
    <t>3_1705309382035083264 3_1705309382035050496 3_1705309382039179264 3_1705309382018248704</t>
  </si>
  <si>
    <t>3_1676301133617197083</t>
  </si>
  <si>
    <t>3_1677331838467964930</t>
  </si>
  <si>
    <t>3_1678837872927948801</t>
  </si>
  <si>
    <t>3_1678834159978967041</t>
  </si>
  <si>
    <t>3_1678834154585092119</t>
  </si>
  <si>
    <t>7_1678628937390235650</t>
  </si>
  <si>
    <t>7_1676092221865488385</t>
  </si>
  <si>
    <t>3_1685329361958842368</t>
  </si>
  <si>
    <t>3_1695068830593093633</t>
  </si>
  <si>
    <t>3_1707017556572119040</t>
  </si>
  <si>
    <t>3_1692513497878237184</t>
  </si>
  <si>
    <t>7_1676766271709360128</t>
  </si>
  <si>
    <t>3_1679490495150706691</t>
  </si>
  <si>
    <t>3_1678362319103852544</t>
  </si>
  <si>
    <t>7_1686065680045473792</t>
  </si>
  <si>
    <t>3_1685968006612987904</t>
  </si>
  <si>
    <t>3_1696232512521986050</t>
  </si>
  <si>
    <t>7_1696229935164108800</t>
  </si>
  <si>
    <t>3_1696230008593711104</t>
  </si>
  <si>
    <t>7_1686374318966710274</t>
  </si>
  <si>
    <t>3_1702358428042039300</t>
  </si>
  <si>
    <t>7_1702358129378234369</t>
  </si>
  <si>
    <t>3_1700132225746882560</t>
  </si>
  <si>
    <t>7_1691893660831358976</t>
  </si>
  <si>
    <t>7_1702359136711675904</t>
  </si>
  <si>
    <t>7_1702359136720101376</t>
  </si>
  <si>
    <t>3_1702358957954646016</t>
  </si>
  <si>
    <t>7_1706356108783190016</t>
  </si>
  <si>
    <t>7_1705257544267059204</t>
  </si>
  <si>
    <t>7_1704817825045508096</t>
  </si>
  <si>
    <t>7_1704130030589337600</t>
  </si>
  <si>
    <t>3_1695555870082392064 3_1695555879859290112 3_1695555887916634112</t>
  </si>
  <si>
    <t>7_1684978115188289536</t>
  </si>
  <si>
    <t>3_1699400091331604480</t>
  </si>
  <si>
    <t>7_1707117417745317888</t>
  </si>
  <si>
    <t>3_1693721607271747585</t>
  </si>
  <si>
    <t>3_1706687665007906816</t>
  </si>
  <si>
    <t>3_1680593327513534464</t>
  </si>
  <si>
    <t>7_1702468883658002432</t>
  </si>
  <si>
    <t>7_1680967332112236546</t>
  </si>
  <si>
    <t>7_1679998666776494080</t>
  </si>
  <si>
    <t>7_1689743192382410752</t>
  </si>
  <si>
    <t>3_1676623446313250817 3_1676623446317342722 3_1676623446464143362 3_1676623446694871040</t>
  </si>
  <si>
    <t>3_1677348998791692288 3_1677348998787522561</t>
  </si>
  <si>
    <t>3_1683870869980839936</t>
  </si>
  <si>
    <t>3_1678435761341726721 3_1678435761345945607 3_1678435761341751298 3_1678435761572532226</t>
  </si>
  <si>
    <t>3_1690039161523253252 3_1690039161753939981</t>
  </si>
  <si>
    <t>3_1689705009481441280 3_1689705010148380673 3_1689705010169303040 3_1689705010597146624</t>
  </si>
  <si>
    <t>3_1678797253069119489 3_1678797253174087680 3_1678797253559873548 3_1678797253920555011</t>
  </si>
  <si>
    <t>3_1691838076677394432 3_1691838076941676544</t>
  </si>
  <si>
    <t>3_1692138661964361729</t>
  </si>
  <si>
    <t>7_1699497996935667712</t>
  </si>
  <si>
    <t>7_1706036067395153920</t>
  </si>
  <si>
    <t>7_1706398664573280256</t>
  </si>
  <si>
    <t>7_1705296157960724481</t>
  </si>
  <si>
    <t>7_1707123681443426304</t>
  </si>
  <si>
    <t>7_1705673702589726720</t>
  </si>
  <si>
    <t>7_1699890550483107840</t>
  </si>
  <si>
    <t>3_1689018396468244480</t>
  </si>
  <si>
    <t>7_1686813481356378114</t>
  </si>
  <si>
    <t>3_1701300381639233536</t>
  </si>
  <si>
    <t>3_1705899354718978048</t>
  </si>
  <si>
    <t>3_1697673988661563392</t>
  </si>
  <si>
    <t>3_1676924305043607552</t>
  </si>
  <si>
    <t>7_1706418189226201089</t>
  </si>
  <si>
    <t>7_1686729692617818114</t>
  </si>
  <si>
    <t>3_1676952800536969217 3_1676952873140391937</t>
  </si>
  <si>
    <t>3_1688556121475170304</t>
  </si>
  <si>
    <t>3_1687477839006740480 3_1687477856434036736 3_1687477881209769984 3_1687477911811465216</t>
  </si>
  <si>
    <t>7_1687204494830944256</t>
  </si>
  <si>
    <t>3_1687201701713821696</t>
  </si>
  <si>
    <t>3_1687199438656180225</t>
  </si>
  <si>
    <t>3_1691137149351899147</t>
  </si>
  <si>
    <t>3_1702414794110758912 3_1702414822069968896 3_1702414929846808577 3_1702414950142967808</t>
  </si>
  <si>
    <t>3_1687518485390249988 3_1687518500686864384 3_1687518518391033858 3_1687518536627838976</t>
  </si>
  <si>
    <t>7_1706394465177399296</t>
  </si>
  <si>
    <t>7_1676240841415745536</t>
  </si>
  <si>
    <t>3_1676237130832420864</t>
  </si>
  <si>
    <t>3_1694813873637933056</t>
  </si>
  <si>
    <t>3_1702337632519507968</t>
  </si>
  <si>
    <t>3_1701282585735802881</t>
  </si>
  <si>
    <t>3_1695863616983961601</t>
  </si>
  <si>
    <t>16_1699100740831117312</t>
  </si>
  <si>
    <t>16_1700581570296320003</t>
  </si>
  <si>
    <t>3_1704244949435174912</t>
  </si>
  <si>
    <t>3_1706820120369049600</t>
  </si>
  <si>
    <t>3_1684558820876460032</t>
  </si>
  <si>
    <t>3_1702737498869243904</t>
  </si>
  <si>
    <t>3_1679139041671872512</t>
  </si>
  <si>
    <t>3_1702305196620013568</t>
  </si>
  <si>
    <t>3_1706379541357166592</t>
  </si>
  <si>
    <t>3_1704522306507161600</t>
  </si>
  <si>
    <t>3_1703797530759188480</t>
  </si>
  <si>
    <t>3_1675886954989203458</t>
  </si>
  <si>
    <t>3_1691486197397303302</t>
  </si>
  <si>
    <t>3_1692166874396598272</t>
  </si>
  <si>
    <t>3_1676989244680568835</t>
  </si>
  <si>
    <t>7_1700265846239637504</t>
  </si>
  <si>
    <t>7_1699530758489042944</t>
  </si>
  <si>
    <t>7_1681065293395664896</t>
  </si>
  <si>
    <t>7_1689023787797233665</t>
  </si>
  <si>
    <t>7_1696606860264996864</t>
  </si>
  <si>
    <t>7_1696553777761845248</t>
  </si>
  <si>
    <t>7_1699459124981874688</t>
  </si>
  <si>
    <t>7_1697616771765649408</t>
  </si>
  <si>
    <t>7_1695855568718639104</t>
  </si>
  <si>
    <t>7_1694401233031757824</t>
  </si>
  <si>
    <t>7_1693351345674223616</t>
  </si>
  <si>
    <t>7_1703172059088457728</t>
  </si>
  <si>
    <t>7_1698712199605174272</t>
  </si>
  <si>
    <t>7_1695552568162701312</t>
  </si>
  <si>
    <t>7_1703416232261586944</t>
  </si>
  <si>
    <t>7_1694083666874347520</t>
  </si>
  <si>
    <t>7_1692938015956471810</t>
  </si>
  <si>
    <t>7_1692598651221069824</t>
  </si>
  <si>
    <t>7_1704156386165133312</t>
  </si>
  <si>
    <t>7_1702708079731593216</t>
  </si>
  <si>
    <t>7_1700517580639789056</t>
  </si>
  <si>
    <t>7_1698357310253416448</t>
  </si>
  <si>
    <t>7_1698084187343896576</t>
  </si>
  <si>
    <t>7_1695087912918929408</t>
  </si>
  <si>
    <t>7_1694843907060760576</t>
  </si>
  <si>
    <t>7_1705972620108177408</t>
  </si>
  <si>
    <t>7_1705618752463679488</t>
  </si>
  <si>
    <t>7_1704549011129085952</t>
  </si>
  <si>
    <t>7_1703793933090697217</t>
  </si>
  <si>
    <t>7_1701994970125631488</t>
  </si>
  <si>
    <t>7_1707046975898525696</t>
  </si>
  <si>
    <t>7_1706680469620711425</t>
  </si>
  <si>
    <t>7_1706338431549276160</t>
  </si>
  <si>
    <t>7_1705708893215571968</t>
  </si>
  <si>
    <t>7_1701611537797132288</t>
  </si>
  <si>
    <t>7_1699065436934209537</t>
  </si>
  <si>
    <t>7_1696172983788732417</t>
  </si>
  <si>
    <t>7_1707160738727358465</t>
  </si>
  <si>
    <t>7_1704915285101133824</t>
  </si>
  <si>
    <t>7_1702326634391719936</t>
  </si>
  <si>
    <t>7_1701252473770450944</t>
  </si>
  <si>
    <t>7_1700148857407995904</t>
  </si>
  <si>
    <t>3_1682133668020600832</t>
  </si>
  <si>
    <t>3_1703465972814823424</t>
  </si>
  <si>
    <t>3_1694060719270961152</t>
  </si>
  <si>
    <t>3_1677666374909321216</t>
  </si>
  <si>
    <t>3_1676205500776497152</t>
  </si>
  <si>
    <t>3_1676926635944165376</t>
  </si>
  <si>
    <t>3_1681999393833078786</t>
  </si>
  <si>
    <t>3_1702303576490385408</t>
  </si>
  <si>
    <t>7_1693297391988772864</t>
  </si>
  <si>
    <t>7_1691863815145615365</t>
  </si>
  <si>
    <t>7_1694077941628448769</t>
  </si>
  <si>
    <t>3_1691440757562019841</t>
  </si>
  <si>
    <t>3_1683549251651903493</t>
  </si>
  <si>
    <t>16_1680927933764911107</t>
  </si>
  <si>
    <t>3_1687217041135095808</t>
  </si>
  <si>
    <t>3_1696613715796193280</t>
  </si>
  <si>
    <t>16_1682762584175329281</t>
  </si>
  <si>
    <t>3_1680887691716460544 3_1680887691808759808 3_1680887691926204416 3_1680887691993395201</t>
  </si>
  <si>
    <t>3_1683503232608358403 3_1683503232637599744</t>
  </si>
  <si>
    <t>3_1676639778887057408</t>
  </si>
  <si>
    <t>7_1703041541227307008</t>
  </si>
  <si>
    <t>7_1679440666491867137</t>
  </si>
  <si>
    <t>3_1679543101688258562</t>
  </si>
  <si>
    <t>3_1692350182023684096</t>
  </si>
  <si>
    <t>3_1686602725901877248 3_1686602725897781248 3_1686602725897752576 3_1686602725901918208</t>
  </si>
  <si>
    <t>7_1688913175381700608</t>
  </si>
  <si>
    <t>7_1694067052921638913</t>
  </si>
  <si>
    <t>7_1689090241607475200</t>
  </si>
  <si>
    <t>3_1675892190076182528</t>
  </si>
  <si>
    <t>7_1681394519600660496</t>
  </si>
  <si>
    <t>3_1676996868595646474</t>
  </si>
  <si>
    <t>3_1707099525595451392 3_1707099544570441728 3_1707099560630476800 3_1707099577328029696</t>
  </si>
  <si>
    <t>3_1676184195398524931</t>
  </si>
  <si>
    <t>3_1702175771291492352</t>
  </si>
  <si>
    <t>3_1702174974545743872</t>
  </si>
  <si>
    <t>3_1676145193580474368 3_1676145193605636101</t>
  </si>
  <si>
    <t>3_1691187238355230720</t>
  </si>
  <si>
    <t>3_1693984756483112961</t>
  </si>
  <si>
    <t>3_1684592459030974466</t>
  </si>
  <si>
    <t>3_1694093057342255104</t>
  </si>
  <si>
    <t>3_1688972345594023937</t>
  </si>
  <si>
    <t>3_1701314105708052480</t>
  </si>
  <si>
    <t>7_1686214365064650752</t>
  </si>
  <si>
    <t>7_1699426578810236928</t>
  </si>
  <si>
    <t>3_1678509597487767554</t>
  </si>
  <si>
    <t>3_1682028414927249414</t>
  </si>
  <si>
    <t>3_1679434556175261696</t>
  </si>
  <si>
    <t>3_1677562188855214081</t>
  </si>
  <si>
    <t>3_1686525588901634049</t>
  </si>
  <si>
    <t>16_1685935634605559808</t>
  </si>
  <si>
    <t>3_1678765006199078915</t>
  </si>
  <si>
    <t>3_1704558368768061440</t>
  </si>
  <si>
    <t>3_1695243851256963072</t>
  </si>
  <si>
    <t>16_1681725582445297677</t>
  </si>
  <si>
    <t>16_1679210175922597895</t>
  </si>
  <si>
    <t>16_1674872083271098370</t>
  </si>
  <si>
    <t>16_1681726418097455113</t>
  </si>
  <si>
    <t>16_1681726771056525320</t>
  </si>
  <si>
    <t>16_1679206853635350528</t>
  </si>
  <si>
    <t>7_1683524664377712653</t>
  </si>
  <si>
    <t>3_1676169115063533574</t>
  </si>
  <si>
    <t>3_1675938744442994688</t>
  </si>
  <si>
    <t>3_1681021010403901441</t>
  </si>
  <si>
    <t>3_1706386812522942464</t>
  </si>
  <si>
    <t>3_1706753592789446656</t>
  </si>
  <si>
    <t>3_1705190204892479488</t>
  </si>
  <si>
    <t>3_1687542474158333952</t>
  </si>
  <si>
    <t>7_1679527419986731009</t>
  </si>
  <si>
    <t>7_1682080620069920775</t>
  </si>
  <si>
    <t>3_1684304951349067776</t>
  </si>
  <si>
    <t>3_1676669824838008832</t>
  </si>
  <si>
    <t>3_1676364281208553473</t>
  </si>
  <si>
    <t>3_1695229975484317696</t>
  </si>
  <si>
    <t>3_1694853829399900161</t>
  </si>
  <si>
    <t>3_1694518313114578945</t>
  </si>
  <si>
    <t>3_1678497608581492741</t>
  </si>
  <si>
    <t>3_1685966071663112192</t>
  </si>
  <si>
    <t>3_1698975657387044864</t>
  </si>
  <si>
    <t>3_1676969685177487362</t>
  </si>
  <si>
    <t>3_1676969829251809280</t>
  </si>
  <si>
    <t>3_1676934187415220226</t>
  </si>
  <si>
    <t>3_1679445752005767170</t>
  </si>
  <si>
    <t>3_1691078744495009795</t>
  </si>
  <si>
    <t>3_1690000478489178112</t>
  </si>
  <si>
    <t>3_1703061278451798016</t>
  </si>
  <si>
    <t>3_1677769705799532544</t>
  </si>
  <si>
    <t>3_1677762517865570304</t>
  </si>
  <si>
    <t>3_1677694212375031809</t>
  </si>
  <si>
    <t>7_1690510204662624256</t>
  </si>
  <si>
    <t>7_1690202931675418625</t>
  </si>
  <si>
    <t>7_1690051730132606984</t>
  </si>
  <si>
    <t>7_1690001254179618818</t>
  </si>
  <si>
    <t>3_1680880180577878018</t>
  </si>
  <si>
    <t>7_1698446316957790209</t>
  </si>
  <si>
    <t>3_1696704138128539648</t>
  </si>
  <si>
    <t>3_1702381577651486720</t>
  </si>
  <si>
    <t>3_1683473471823650821</t>
  </si>
  <si>
    <t>3_1683470919107325954</t>
  </si>
  <si>
    <t>3_1704687750484480000</t>
  </si>
  <si>
    <t>3_1676649406827733006</t>
  </si>
  <si>
    <t>3_1683569493715329026</t>
  </si>
  <si>
    <t>3_1687177506883837953</t>
  </si>
  <si>
    <t>3_1690326538267348992 3_1690326538271502336 3_1690326538267373568</t>
  </si>
  <si>
    <t>3_1687577945039060992</t>
  </si>
  <si>
    <t>3_1688558528397484032</t>
  </si>
  <si>
    <t>7_1681388027765981186</t>
  </si>
  <si>
    <t>3_1683470047681867777</t>
  </si>
  <si>
    <t>7_1677044540446765060</t>
  </si>
  <si>
    <t>7_1687258938096463872</t>
  </si>
  <si>
    <t>3_1690832750507364353</t>
  </si>
  <si>
    <t>3_1702644368014823424</t>
  </si>
  <si>
    <t>3_1687180302190272512</t>
  </si>
  <si>
    <t>3_1698714769014796288</t>
  </si>
  <si>
    <t>7_1697104208170725376</t>
  </si>
  <si>
    <t>3_1686300980558655488</t>
  </si>
  <si>
    <t>3_1699074569762648065</t>
  </si>
  <si>
    <t>3_1676659917078384657</t>
  </si>
  <si>
    <t>3_1677336182521307137</t>
  </si>
  <si>
    <t>3_1681650471142932481</t>
  </si>
  <si>
    <t>3_1680946630499999744 3_1680946630495723520 3_1680946630499999745 3_1680946649617637378</t>
  </si>
  <si>
    <t>3_1683855353497153537 3_1683855353509814273 3_1683855353501347840 3_1683855353501429760</t>
  </si>
  <si>
    <t>3_1693645647721672705</t>
  </si>
  <si>
    <t>3_1684929599745003520</t>
  </si>
  <si>
    <t>3_1675934862086139919</t>
  </si>
  <si>
    <t>3_1706625028505092096</t>
  </si>
  <si>
    <t>7_1703651757354831872</t>
  </si>
  <si>
    <t>3_1699799713644699649</t>
  </si>
  <si>
    <t>3_1705073235954454528</t>
  </si>
  <si>
    <t>3_1686678092243144704</t>
  </si>
  <si>
    <t>3_1690049707458863108</t>
  </si>
  <si>
    <t>7_1693762973947379712</t>
  </si>
  <si>
    <t>3_1676320716759728136</t>
  </si>
  <si>
    <t>3_1689732245307727872</t>
  </si>
  <si>
    <t>3_1689276010640863232</t>
  </si>
  <si>
    <t>3_1705029836975030272</t>
  </si>
  <si>
    <t>3_1682411406107222017</t>
  </si>
  <si>
    <t>7_1686067043349528576</t>
  </si>
  <si>
    <t>7_1677277444506636288</t>
  </si>
  <si>
    <t>7_1677052302660710400</t>
  </si>
  <si>
    <t>7_1676952833395150848</t>
  </si>
  <si>
    <t>7_1676920854607716352</t>
  </si>
  <si>
    <t>7_1676683335307780099</t>
  </si>
  <si>
    <t>7_1676552763633696769</t>
  </si>
  <si>
    <t>7_1676314644015620097</t>
  </si>
  <si>
    <t>7_1678377616875585537</t>
  </si>
  <si>
    <t>7_1682008826923343873</t>
  </si>
  <si>
    <t>7_1681258187981303808</t>
  </si>
  <si>
    <t>7_1679814945209237504</t>
  </si>
  <si>
    <t>7_1680901883328708609</t>
  </si>
  <si>
    <t>3_1689004355641339904 3_1689004355624542208 3_1689004355612000256 3_1689004355624591360</t>
  </si>
  <si>
    <t>7_1687904014258593792</t>
  </si>
  <si>
    <t>7_1683873218090741768</t>
  </si>
  <si>
    <t>3_1705207110798352385</t>
  </si>
  <si>
    <t>7_1683504865585111040</t>
  </si>
  <si>
    <t>3_1705397757614104576</t>
  </si>
  <si>
    <t>7_1681453788329136129</t>
  </si>
  <si>
    <t>3_1706104845952831488</t>
  </si>
  <si>
    <t>7_1690940316642131968</t>
  </si>
  <si>
    <t>3_1696507865182203904</t>
  </si>
  <si>
    <t>3_1702968128638971904</t>
  </si>
  <si>
    <t>3_1688619311387041793 3_1688619327187046400</t>
  </si>
  <si>
    <t>3_1699814342760222720 3_1699814343179644928 3_1699814342986772480 3_1699814342953140224</t>
  </si>
  <si>
    <t>3_1697440197305114624 3_1697440246592425984 3_1697440246927867904 3_1697440247167008768</t>
  </si>
  <si>
    <t>7_1703823091971829760</t>
  </si>
  <si>
    <t>7_1682556636743839744</t>
  </si>
  <si>
    <t>3_1682087013422440448 3_1682087065129721881 3_1682087065360510976 3_1682087065523986438</t>
  </si>
  <si>
    <t>3_1702448018400727040 3_1702448042740199424 3_1702448052118622208 3_1702448065028759555</t>
  </si>
  <si>
    <t>3_1703760264322011136</t>
  </si>
  <si>
    <t>7_1703756002116481024</t>
  </si>
  <si>
    <t>7_1705300280600940544</t>
  </si>
  <si>
    <t>7_1695185602696691712</t>
  </si>
  <si>
    <t>7_1690120118670336000</t>
  </si>
  <si>
    <t>3_1694731231290597378 3_1694731246318854144 3_1694731262752153601 3_1694731276069294080</t>
  </si>
  <si>
    <t>7_1677135799895089152</t>
  </si>
  <si>
    <t>7_1699203269485019136</t>
  </si>
  <si>
    <t>3_1697046897834246144</t>
  </si>
  <si>
    <t>3_1681874205292281856</t>
  </si>
  <si>
    <t>3_1689778311826706432</t>
  </si>
  <si>
    <t>3_1692222420231331840</t>
  </si>
  <si>
    <t>3_1697699547114291200</t>
  </si>
  <si>
    <t>3_1683477611354157059</t>
  </si>
  <si>
    <t>7_1705581488459153408</t>
  </si>
  <si>
    <t>7_1681781878884278272</t>
  </si>
  <si>
    <t>3_1705908325781573632</t>
  </si>
  <si>
    <t>3_1706640065516974080</t>
  </si>
  <si>
    <t>7_1683965252210241536</t>
  </si>
  <si>
    <t>3_1690091341236019201</t>
  </si>
  <si>
    <t>7_1676699650131099650</t>
  </si>
  <si>
    <t>7_1676698867197255682</t>
  </si>
  <si>
    <t>7_1684974192872091648</t>
  </si>
  <si>
    <t>3_1680954463786262529</t>
  </si>
  <si>
    <t>3_1702031199735042048</t>
  </si>
  <si>
    <t>13_1694779980754964480</t>
  </si>
  <si>
    <t>13_1701688672779665408</t>
  </si>
  <si>
    <t>13_1699147249106780160</t>
  </si>
  <si>
    <t>13_1701322279056244737</t>
  </si>
  <si>
    <t>3_1682424394293866498 3_1682424394293846016 3_1682424394293846017 3_1682424394289651715</t>
  </si>
  <si>
    <t>3_1683508449689100288</t>
  </si>
  <si>
    <t>3_1694763674877968384</t>
  </si>
  <si>
    <t>3_1702299684117569536</t>
  </si>
  <si>
    <t>3_1700145076368764928</t>
  </si>
  <si>
    <t>3_1684704205162913792</t>
  </si>
  <si>
    <t>7_1694005756293746688</t>
  </si>
  <si>
    <t>3_1681116812161822720</t>
  </si>
  <si>
    <t>3_1695569056844152832</t>
  </si>
  <si>
    <t>7_1697370999606398976</t>
  </si>
  <si>
    <t>3_1703787089861455872</t>
  </si>
  <si>
    <t>3_1682707507595165698</t>
  </si>
  <si>
    <t>3_1685437310479814656</t>
  </si>
  <si>
    <t>3_1702657582563803136</t>
  </si>
  <si>
    <t>3_1700900127970340864</t>
  </si>
  <si>
    <t>3_1693735860288524288</t>
  </si>
  <si>
    <t>3_1691208843391303680</t>
  </si>
  <si>
    <t>3_1705250366558765056</t>
  </si>
  <si>
    <t>3_1706402727725596672</t>
  </si>
  <si>
    <t>3_1705250865941041152</t>
  </si>
  <si>
    <t>3_1700899922185207808</t>
  </si>
  <si>
    <t>7_1676662529404162048</t>
  </si>
  <si>
    <t>3_1689940526324150274</t>
  </si>
  <si>
    <t>7_1685714458750976001</t>
  </si>
  <si>
    <t>3_1694453466515775488</t>
  </si>
  <si>
    <t>13_1698728847879868416</t>
  </si>
  <si>
    <t>7_1692921201671229440</t>
  </si>
  <si>
    <t>7_1698363688820822016</t>
  </si>
  <si>
    <t>7_1699430737131274240</t>
  </si>
  <si>
    <t>7_1698900726720692224</t>
  </si>
  <si>
    <t>3_1702642185563250689</t>
  </si>
  <si>
    <t>3_1697172372619423744</t>
  </si>
  <si>
    <t>3_1705673387853352960 3_1705673393935179776 3_1705673400973180928 3_1705673408237731840</t>
  </si>
  <si>
    <t>3_1703725553033805824</t>
  </si>
  <si>
    <t>3_1706232069154627584</t>
  </si>
  <si>
    <t>7_1689476294394675201</t>
  </si>
  <si>
    <t>7_1689471713875013632</t>
  </si>
  <si>
    <t>3_1680502350807552001</t>
  </si>
  <si>
    <t>3_1689597666253029376</t>
  </si>
  <si>
    <t>7_1694415073190567938</t>
  </si>
  <si>
    <t>3_1701714796842819584</t>
  </si>
  <si>
    <t>7_1700190044831481856</t>
  </si>
  <si>
    <t>7_1699475428832886784</t>
  </si>
  <si>
    <t>3_1696121647890141185</t>
  </si>
  <si>
    <t>3_1694285769873985536</t>
  </si>
  <si>
    <t>3_1693558850916323328</t>
  </si>
  <si>
    <t>7_1688505616023597056</t>
  </si>
  <si>
    <t>3_1688492962215342080</t>
  </si>
  <si>
    <t>3_1684514503197704192</t>
  </si>
  <si>
    <t>3_1679061241539559424</t>
  </si>
  <si>
    <t>3_1676891634603110403</t>
  </si>
  <si>
    <t>3_1676529721633394690</t>
  </si>
  <si>
    <t>3_1701175565825273856</t>
  </si>
  <si>
    <t>3_1697913812081364992</t>
  </si>
  <si>
    <t>3_1694647838150397952</t>
  </si>
  <si>
    <t>3_1689574055723053056</t>
  </si>
  <si>
    <t>3_1689211555626242048</t>
  </si>
  <si>
    <t>3_1688850909223108608</t>
  </si>
  <si>
    <t>3_1684859967898099712</t>
  </si>
  <si>
    <t>3_1678698395869888512</t>
  </si>
  <si>
    <t>3_1676164943547191296</t>
  </si>
  <si>
    <t>3_1703013776486801409</t>
  </si>
  <si>
    <t>3_1701526483276115969</t>
  </si>
  <si>
    <t>3_1698646274973556736</t>
  </si>
  <si>
    <t>7_1695802131796692992</t>
  </si>
  <si>
    <t>7_1695429218316828672</t>
  </si>
  <si>
    <t>3_1695406273984970752</t>
  </si>
  <si>
    <t>3_1690303908113993729</t>
  </si>
  <si>
    <t>3_1686315823353274368</t>
  </si>
  <si>
    <t>3_1685966731552935939</t>
  </si>
  <si>
    <t>3_1680893923869220864</t>
  </si>
  <si>
    <t>3_1680151506530492416</t>
  </si>
  <si>
    <t>3_1704058761520820224</t>
  </si>
  <si>
    <t>3_1702250391604174848</t>
  </si>
  <si>
    <t>3_1697173098066317312</t>
  </si>
  <si>
    <t>3_1692900271242756097</t>
  </si>
  <si>
    <t>7_1687836311569190912</t>
  </si>
  <si>
    <t>7_1687792278016839680</t>
  </si>
  <si>
    <t>3_1687778695048536064</t>
  </si>
  <si>
    <t>3_1678338562041827328</t>
  </si>
  <si>
    <t>3_1704426795741716480</t>
  </si>
  <si>
    <t>3_1702624995468357632</t>
  </si>
  <si>
    <t>3_1702608999374262272</t>
  </si>
  <si>
    <t>7_1701227052517482496</t>
  </si>
  <si>
    <t>3_1700110236231581696</t>
  </si>
  <si>
    <t>7_1697611146314788865</t>
  </si>
  <si>
    <t>3_1697541954739855360</t>
  </si>
  <si>
    <t>3_1693925687621476352</t>
  </si>
  <si>
    <t>3_1692473039286390784</t>
  </si>
  <si>
    <t>3_1692109469159653376</t>
  </si>
  <si>
    <t>3_1683435058827231237</t>
  </si>
  <si>
    <t>3_1677645299274117120</t>
  </si>
  <si>
    <t>3_1677253162388934657</t>
  </si>
  <si>
    <t>7_1705549231975456768</t>
  </si>
  <si>
    <t>3_1705532611504848896</t>
  </si>
  <si>
    <t>3_1704793992926253056</t>
  </si>
  <si>
    <t>3_1700521059240349696</t>
  </si>
  <si>
    <t>7_1698369008855056384</t>
  </si>
  <si>
    <t>3_1695013100783534080</t>
  </si>
  <si>
    <t>3_1689942937096835072</t>
  </si>
  <si>
    <t>3_1685279853212299264</t>
  </si>
  <si>
    <t>3_1679786301887856640</t>
  </si>
  <si>
    <t>3_1679426297657798661</t>
  </si>
  <si>
    <t>3_1706596195722792960</t>
  </si>
  <si>
    <t>3_1706238371897434112</t>
  </si>
  <si>
    <t>3_1703701228474060800</t>
  </si>
  <si>
    <t>3_1699009611380953088</t>
  </si>
  <si>
    <t>3_1696466504819036160</t>
  </si>
  <si>
    <t>3_1691381439315505152</t>
  </si>
  <si>
    <t>7_1681751640154537984</t>
  </si>
  <si>
    <t>7_1681730958393765888</t>
  </si>
  <si>
    <t>3_1681613315582091264</t>
  </si>
  <si>
    <t>3_1681243067632721920</t>
  </si>
  <si>
    <t>3_1706958563103424512</t>
  </si>
  <si>
    <t>3_1701887015099191296</t>
  </si>
  <si>
    <t>3_1699359015027843072</t>
  </si>
  <si>
    <t>3_1696817382486929408</t>
  </si>
  <si>
    <t>3_1691755219485409280</t>
  </si>
  <si>
    <t>7_1691471298025738240</t>
  </si>
  <si>
    <t>7_1687116432394653697</t>
  </si>
  <si>
    <t>7_1682779149750902786</t>
  </si>
  <si>
    <t>3_1682715835721236480</t>
  </si>
  <si>
    <t>3_1682337047543939074</t>
  </si>
  <si>
    <t>3_1681962478564003840</t>
  </si>
  <si>
    <t>7_1699026946196168705</t>
  </si>
  <si>
    <t>7_1699024601353711616</t>
  </si>
  <si>
    <t>3_1678090969193775106 3_1678090978932977665 3_1678090987128733696 3_1678090994498125824</t>
  </si>
  <si>
    <t>7_1689373348646600704</t>
  </si>
  <si>
    <t>3_1707052817091883008 3_1707052870820921344</t>
  </si>
  <si>
    <t>3_1687104799559532544</t>
  </si>
  <si>
    <t>3_1686743197936918528</t>
  </si>
  <si>
    <t>3_1706442208553947136</t>
  </si>
  <si>
    <t>7_1691216682298019840</t>
  </si>
  <si>
    <t>7_1697370578406027264</t>
  </si>
  <si>
    <t>7_1697008867689783296</t>
  </si>
  <si>
    <t>7_1697008867551404033</t>
  </si>
  <si>
    <t>7_1696633750216421377</t>
  </si>
  <si>
    <t>7_1691568580645601280</t>
  </si>
  <si>
    <t>7_1699551843221716992</t>
  </si>
  <si>
    <t>7_1697218607845896192</t>
  </si>
  <si>
    <t>7_1694099775795146752</t>
  </si>
  <si>
    <t>7_1698448603432226817</t>
  </si>
  <si>
    <t>7_1698137250674921472</t>
  </si>
  <si>
    <t>7_1697995309639413760</t>
  </si>
  <si>
    <t>7_1698840093161656320</t>
  </si>
  <si>
    <t>7_1700188300923867136</t>
  </si>
  <si>
    <t>7_1697639992523124736</t>
  </si>
  <si>
    <t>3_1694303924629692416</t>
  </si>
  <si>
    <t>3_1685275941000343553 3_1685275940983586816</t>
  </si>
  <si>
    <t>3_1676999854646493202 3_1676999858509447190</t>
  </si>
  <si>
    <t>3_1698534228755890176</t>
  </si>
  <si>
    <t>3_1704592207062134785</t>
  </si>
  <si>
    <t>7_1704575888694661120</t>
  </si>
  <si>
    <t>3_1704592492333572096</t>
  </si>
  <si>
    <t>3_1704592594871648257</t>
  </si>
  <si>
    <t>3_1704592425128222720</t>
  </si>
  <si>
    <t>3_1704592282916143105</t>
  </si>
  <si>
    <t>3_1704591978996944897</t>
  </si>
  <si>
    <t>3_1704592363409059840</t>
  </si>
  <si>
    <t>3_1703839410389663744 3_1703839410628792320 3_1703839410855260160 3_1703839411027210240</t>
  </si>
  <si>
    <t>3_1703836598305976320 3_1703836598989656064 3_1703836599346208769 3_1703836599438426112</t>
  </si>
  <si>
    <t>7_1682047793211244544</t>
  </si>
  <si>
    <t>3_1704652332334530560</t>
  </si>
  <si>
    <t>3_1676754929057136641</t>
  </si>
  <si>
    <t>3_1676754035326459906</t>
  </si>
  <si>
    <t>3_1700594970661363712</t>
  </si>
  <si>
    <t>7_1677278937280331781</t>
  </si>
  <si>
    <t>7_1678386179408789506</t>
  </si>
  <si>
    <t>7_1680218192642179072</t>
  </si>
  <si>
    <t>3_1675916638971895825</t>
  </si>
  <si>
    <t>3_1687491180613738496</t>
  </si>
  <si>
    <t>7_1678742081257209856</t>
  </si>
  <si>
    <t>3_1683473471932645380</t>
  </si>
  <si>
    <t>3_1683470815386296322</t>
  </si>
  <si>
    <t>3_1703502920182890496</t>
  </si>
  <si>
    <t>7_1705368981819768832</t>
  </si>
  <si>
    <t>7_1705549050961911808</t>
  </si>
  <si>
    <t>7_1705973605954101248</t>
  </si>
  <si>
    <t>7_1678134443389616131</t>
  </si>
  <si>
    <t>3_1679220794101051392</t>
  </si>
  <si>
    <t>3_1687109890417078272 3_1687109894342946817 3_1687109898008735744</t>
  </si>
  <si>
    <t>7_1688601196473282581</t>
  </si>
  <si>
    <t>7_1679238094170599425</t>
  </si>
  <si>
    <t>7_1679191522053324812</t>
  </si>
  <si>
    <t>7_1679131044706910208</t>
  </si>
  <si>
    <t>7_1676697695610699778</t>
  </si>
  <si>
    <t>7_1676652316890480640</t>
  </si>
  <si>
    <t>7_1676335268587028481</t>
  </si>
  <si>
    <t>7_1676289989498249245</t>
  </si>
  <si>
    <t>7_1683840876790042624</t>
  </si>
  <si>
    <t>7_1678539771641995265</t>
  </si>
  <si>
    <t>7_1678509621701496839</t>
  </si>
  <si>
    <t>7_1678490652139569152</t>
  </si>
  <si>
    <t>7_1678147219327680513</t>
  </si>
  <si>
    <t>7_1678101882097606657</t>
  </si>
  <si>
    <t>7_1678041509038374912</t>
  </si>
  <si>
    <t>7_1677784821794234369</t>
  </si>
  <si>
    <t>7_1677739509008482305</t>
  </si>
  <si>
    <t>7_1677679107272736768</t>
  </si>
  <si>
    <t>7_1683481070501609479</t>
  </si>
  <si>
    <t>7_1683479717666516993</t>
  </si>
  <si>
    <t>7_1683175306994102273</t>
  </si>
  <si>
    <t>7_1677422432590725120</t>
  </si>
  <si>
    <t>7_1677377097650561027</t>
  </si>
  <si>
    <t>7_1677316720602619906</t>
  </si>
  <si>
    <t>7_1677014733793157129</t>
  </si>
  <si>
    <t>7_1681002135465476105</t>
  </si>
  <si>
    <t>7_1680642231898611720</t>
  </si>
  <si>
    <t>7_1680581856507437056</t>
  </si>
  <si>
    <t>7_1680321522240569344</t>
  </si>
  <si>
    <t>7_1680278585326567424</t>
  </si>
  <si>
    <t>7_1680215837783760896</t>
  </si>
  <si>
    <t>7_1679961570141429766</t>
  </si>
  <si>
    <t>7_1684926888198668288</t>
  </si>
  <si>
    <t>7_1684564489814020097</t>
  </si>
  <si>
    <t>7_1678826682562539521</t>
  </si>
  <si>
    <t>7_1678766255745167365</t>
  </si>
  <si>
    <t>7_1676229537246347264</t>
  </si>
  <si>
    <t>7_1676199353743036418</t>
  </si>
  <si>
    <t>7_1675927569256816650</t>
  </si>
  <si>
    <t>7_1675867165499482117</t>
  </si>
  <si>
    <t>7_1685651652651442176</t>
  </si>
  <si>
    <t>7_1685290383855460352</t>
  </si>
  <si>
    <t>7_1685289268355137537</t>
  </si>
  <si>
    <t>7_1679913850299088919</t>
  </si>
  <si>
    <t>7_1679853473251176448</t>
  </si>
  <si>
    <t>7_1679849576079978497</t>
  </si>
  <si>
    <t>7_1679602910777208832</t>
  </si>
  <si>
    <t>7_1679556357358231569</t>
  </si>
  <si>
    <t>7_1679494744555044864</t>
  </si>
  <si>
    <t>7_1687102396487569408</t>
  </si>
  <si>
    <t>7_1687101226721357825</t>
  </si>
  <si>
    <t>7_1686872036184875008</t>
  </si>
  <si>
    <t>7_1686795378727759872</t>
  </si>
  <si>
    <t>7_1686741211132895234</t>
  </si>
  <si>
    <t>7_1683114994018205697</t>
  </si>
  <si>
    <t>7_1682753677214318593</t>
  </si>
  <si>
    <t>7_1682752544123105284</t>
  </si>
  <si>
    <t>7_1682391387411566592</t>
  </si>
  <si>
    <t>7_1682390176994131968</t>
  </si>
  <si>
    <t>7_1682088170752450565</t>
  </si>
  <si>
    <t>7_1682027771487477761</t>
  </si>
  <si>
    <t>7_1686739990150103040</t>
  </si>
  <si>
    <t>7_1686738844861767680</t>
  </si>
  <si>
    <t>7_1686441723105333260</t>
  </si>
  <si>
    <t>7_1681726908319293440</t>
  </si>
  <si>
    <t>7_1681364513533067265</t>
  </si>
  <si>
    <t>7_1681302981806010369</t>
  </si>
  <si>
    <t>7_1681061431557386244</t>
  </si>
  <si>
    <t>3_1705144866349441024</t>
  </si>
  <si>
    <t>3_1676639265827029004</t>
  </si>
  <si>
    <t>3_1703906972288847872</t>
  </si>
  <si>
    <t>3_1682365889687977985</t>
  </si>
  <si>
    <t>7_1696813061716512768</t>
  </si>
  <si>
    <t>3_1696431995457581056 3_1696431995461758976</t>
  </si>
  <si>
    <t>3_1700874275865894912</t>
  </si>
  <si>
    <t>3_1706240130502000640</t>
  </si>
  <si>
    <t>7_1697284158291058689</t>
  </si>
  <si>
    <t>7_1703046527378137088</t>
  </si>
  <si>
    <t>3_1688982293912719360</t>
  </si>
  <si>
    <t>3_1688630844284346368</t>
  </si>
  <si>
    <t>3_1687118545640202242</t>
  </si>
  <si>
    <t>3_1692975810062270465</t>
  </si>
  <si>
    <t>3_1678479430375600140</t>
  </si>
  <si>
    <t>7_1677720612515479552</t>
  </si>
  <si>
    <t>7_1690015190203383808</t>
  </si>
  <si>
    <t>7_1689989478381649920</t>
  </si>
  <si>
    <t>7_1697629334171766784</t>
  </si>
  <si>
    <t>7_1698696155394129920</t>
  </si>
  <si>
    <t>7_1686032409949573120</t>
  </si>
  <si>
    <t>7_1697977318587686912</t>
  </si>
  <si>
    <t>7_1704129798300401664</t>
  </si>
  <si>
    <t>7_1697606368658612224</t>
  </si>
  <si>
    <t>7_1692153497431547904</t>
  </si>
  <si>
    <t>7_1704628722043654144</t>
  </si>
  <si>
    <t>7_1692924811335405568</t>
  </si>
  <si>
    <t>7_1692658803378929664</t>
  </si>
  <si>
    <t>7_1692505265344565248</t>
  </si>
  <si>
    <t>7_1705593471896027136</t>
  </si>
  <si>
    <t>7_1691823377634205697</t>
  </si>
  <si>
    <t>7_1691595663803355138</t>
  </si>
  <si>
    <t>7_1687120447417065473</t>
  </si>
  <si>
    <t>7_1686772902736117760</t>
  </si>
  <si>
    <t>7_1706667295081406464</t>
  </si>
  <si>
    <t>7_1704483541810085888</t>
  </si>
  <si>
    <t>7_1691421204274446336</t>
  </si>
  <si>
    <t>7_1691083641982455810</t>
  </si>
  <si>
    <t>3_1678838646827368449</t>
  </si>
  <si>
    <t>3_1696977950795542528</t>
  </si>
  <si>
    <t>3_1683652108795486211</t>
  </si>
  <si>
    <t>7_1703788919186169856</t>
  </si>
  <si>
    <t>3_1688865874705260544</t>
  </si>
  <si>
    <t>3_1691469948764233730</t>
  </si>
  <si>
    <t>7_1686120089865609218</t>
  </si>
  <si>
    <t>3_1678399576762462209</t>
  </si>
  <si>
    <t>3_1692541240300969984</t>
  </si>
  <si>
    <t>3_1688882141675814912</t>
  </si>
  <si>
    <t>3_1705518503254462464</t>
  </si>
  <si>
    <t>3_1690035873537294336</t>
  </si>
  <si>
    <t>3_1676585035628007426</t>
  </si>
  <si>
    <t>7_1685008582368997376</t>
  </si>
  <si>
    <t>7_1691872676606820352</t>
  </si>
  <si>
    <t>3_1677284138376724481</t>
  </si>
  <si>
    <t>3_1693664168375730176</t>
  </si>
  <si>
    <t>7_1699534962624475136</t>
  </si>
  <si>
    <t>3_1694076135712182272</t>
  </si>
  <si>
    <t>7_1699154899626258432</t>
  </si>
  <si>
    <t>3_1702846545719152640</t>
  </si>
  <si>
    <t>3_1703193397165441024</t>
  </si>
  <si>
    <t>3_1679924036011212805 3_1679924035986026497 3_1679924035990310913 3_1679924035998609408</t>
  </si>
  <si>
    <t>3_1677433638441345025</t>
  </si>
  <si>
    <t>3_1701989225208369153</t>
  </si>
  <si>
    <t>3_1703166936509513728</t>
  </si>
  <si>
    <t>7_1689421427647057921</t>
  </si>
  <si>
    <t>3_1678807169704001543</t>
  </si>
  <si>
    <t>3_1686100170843328512</t>
  </si>
  <si>
    <t>3_1700253154380562432</t>
  </si>
  <si>
    <t>7_1678420488220028931</t>
  </si>
  <si>
    <t>3_1682045457453969408</t>
  </si>
  <si>
    <t>7_1679847587459788800</t>
  </si>
  <si>
    <t>7_1679467334933643266 3_1679467400285044737 7_1679467403376226306 3_1679467457466040322</t>
  </si>
  <si>
    <t>3_1679465849403351040 3_1679465853169836033 3_1679465855594143744 3_1679465860136591361</t>
  </si>
  <si>
    <t>3_1679130153647996932 3_1679130153954189317</t>
  </si>
  <si>
    <t>3_1696499572531474432 3_1696499572523085824 3_1696499572518916096 3_1696499572518842368</t>
  </si>
  <si>
    <t>3_1684605495292592140</t>
  </si>
  <si>
    <t>3_1701229563190095872</t>
  </si>
  <si>
    <t>3_1687809517847748609</t>
  </si>
  <si>
    <t>7_1681644891334496257</t>
  </si>
  <si>
    <t>3_1687073881360621569</t>
  </si>
  <si>
    <t>7_1686193939479453696</t>
  </si>
  <si>
    <t>7_1704986266574503938</t>
  </si>
  <si>
    <t>7_1705405074778800128</t>
  </si>
  <si>
    <t>7_1705636366485229570</t>
  </si>
  <si>
    <t>7_1705609463883812864</t>
  </si>
  <si>
    <t>7_1705591059684728832</t>
  </si>
  <si>
    <t>7_1705404735610634240</t>
  </si>
  <si>
    <t>7_1705405688346763264</t>
  </si>
  <si>
    <t>7_1705405404639793152</t>
  </si>
  <si>
    <t>7_1705693396898111488</t>
  </si>
  <si>
    <t>7_1705664649234911232</t>
  </si>
  <si>
    <t>7_1705405965737000960</t>
  </si>
  <si>
    <t>7_1698139944592588800</t>
  </si>
  <si>
    <t>7_1698017296847880192</t>
  </si>
  <si>
    <t>3_1688504631591084033 3_1688504631486201856</t>
  </si>
  <si>
    <t>3_1687104165556912129</t>
  </si>
  <si>
    <t>3_1689365296518189057</t>
  </si>
  <si>
    <t>3_1679838305846968320</t>
  </si>
  <si>
    <t>3_1691582655605719040 3_1691582655614140416</t>
  </si>
  <si>
    <t>3_1685273992788090880</t>
  </si>
  <si>
    <t>7_1693389918213423105</t>
  </si>
  <si>
    <t>7_1693039219118108672</t>
  </si>
  <si>
    <t>3_1684198978622029826</t>
  </si>
  <si>
    <t>7_1704944622277885952</t>
  </si>
  <si>
    <t>3_1703087991759982592</t>
  </si>
  <si>
    <t>7_1678504875536023555</t>
  </si>
  <si>
    <t>7_1702018345300553728</t>
  </si>
  <si>
    <t>3_1679172208218849295</t>
  </si>
  <si>
    <t>3_1695117511904149514</t>
  </si>
  <si>
    <t>3_1686848269459107843</t>
  </si>
  <si>
    <t>7_1693956998562254848</t>
  </si>
  <si>
    <t>3_1687466748474245120</t>
  </si>
  <si>
    <t>7_1677394342678241292</t>
  </si>
  <si>
    <t>3_1694054642827644928</t>
  </si>
  <si>
    <t>7_1698764940637573121</t>
  </si>
  <si>
    <t>3_1676569827702370304 3_1676569827702456321 3_1676569827698171907 3_1676569827715031044</t>
  </si>
  <si>
    <t>7_1699112644265775104</t>
  </si>
  <si>
    <t>3_1681643283464822785 3_1681643283460550656 3_1681643283468959744 3_1681643283464740868</t>
  </si>
  <si>
    <t>7_1701288523402256384</t>
  </si>
  <si>
    <t>3_1680944761425866752</t>
  </si>
  <si>
    <t>7_1702052382467571712</t>
  </si>
  <si>
    <t>7_1696578591381667840</t>
  </si>
  <si>
    <t>3_1704185936777474048 3_1704185936894959616</t>
  </si>
  <si>
    <t>3_1703533018982305792 3_1703533018982305793</t>
  </si>
  <si>
    <t>7_1703544686210646016</t>
  </si>
  <si>
    <t>3_1705803186508791808 3_1705803201109262336</t>
  </si>
  <si>
    <t>7_1705809188121722880</t>
  </si>
  <si>
    <t>7_1703551733031403520</t>
  </si>
  <si>
    <t>3_1706441669938167808 3_1706441680121892864 3_1706441699042488320 3_1706441727790215168</t>
  </si>
  <si>
    <t>7_1687604297540702209</t>
  </si>
  <si>
    <t>3_1684271180943876103</t>
  </si>
  <si>
    <t>7_1677812449066602497</t>
  </si>
  <si>
    <t>3_1681729469835296785</t>
  </si>
  <si>
    <t>3_1681756831343861763</t>
  </si>
  <si>
    <t>3_1681747249045417990</t>
  </si>
  <si>
    <t>3_1675935981000687617</t>
  </si>
  <si>
    <t>3_1677357653352226821</t>
  </si>
  <si>
    <t>3_1700233891523575809</t>
  </si>
  <si>
    <t>3_1683836646654099457</t>
  </si>
  <si>
    <t>3_1683940531380822016</t>
  </si>
  <si>
    <t>7_1702446556761186304</t>
  </si>
  <si>
    <t>3_1701352199001919488</t>
  </si>
  <si>
    <t>3_1677321350472425478</t>
  </si>
  <si>
    <t>3_1678122538356834304</t>
  </si>
  <si>
    <t>3_1687468539685285889</t>
  </si>
  <si>
    <t>3_1699409478037258240</t>
  </si>
  <si>
    <t>3_1693020841657733120</t>
  </si>
  <si>
    <t>3_1706633310267494401</t>
  </si>
  <si>
    <t>3_1682446104648904704</t>
  </si>
  <si>
    <t>7_1684289458684715010</t>
  </si>
  <si>
    <t>7_1684283935725944837</t>
  </si>
  <si>
    <t>7_1684283002380066816</t>
  </si>
  <si>
    <t>7_1689229209154023424</t>
  </si>
  <si>
    <t>3_1688486619878203392</t>
  </si>
  <si>
    <t>7_1683877571140648960</t>
  </si>
  <si>
    <t>7_1683853155866492930</t>
  </si>
  <si>
    <t>7_1676244661021679623</t>
  </si>
  <si>
    <t>3_1699873605155229696</t>
  </si>
  <si>
    <t>3_1704089821763760128</t>
  </si>
  <si>
    <t>3_1707043573412089856</t>
  </si>
  <si>
    <t>3_1683613582481584131</t>
  </si>
  <si>
    <t>3_1682538533532180480</t>
  </si>
  <si>
    <t>3_1687250414457036800</t>
  </si>
  <si>
    <t>3_1677069768728231936</t>
  </si>
  <si>
    <t>7_1678886416950935554</t>
  </si>
  <si>
    <t>7_1681383571351822336</t>
  </si>
  <si>
    <t>7_1684740708304064512</t>
  </si>
  <si>
    <t>7_1686252137272238080</t>
  </si>
  <si>
    <t>7_1694157999219322880</t>
  </si>
  <si>
    <t>7_1684396089129197569</t>
  </si>
  <si>
    <t>7_1684036452831891457</t>
  </si>
  <si>
    <t>7_1676575447285366784</t>
  </si>
  <si>
    <t>7_1684946602232811520</t>
  </si>
  <si>
    <t>3_1679136113691115526</t>
  </si>
  <si>
    <t>3_1686013941887954946</t>
  </si>
  <si>
    <t>3_1690045520046174212</t>
  </si>
  <si>
    <t>7_1682316259789099008</t>
  </si>
  <si>
    <t>3_1685979909716393985 3_1685979923494617088 3_1685979923679154176 3_1685979923788238848</t>
  </si>
  <si>
    <t>3_1680853334473809920 3_1680853348323303424 3_1680853348474400774</t>
  </si>
  <si>
    <t>3_1701646346405494784</t>
  </si>
  <si>
    <t>7_1685419142990491648</t>
  </si>
  <si>
    <t>7_1679685089213513731</t>
  </si>
  <si>
    <t>3_1678933200175865864</t>
  </si>
  <si>
    <t>3_1678934598795788288</t>
  </si>
  <si>
    <t>3_1678934408525410306</t>
  </si>
  <si>
    <t>3_1678934149053259776</t>
  </si>
  <si>
    <t>3_1678931805515264000</t>
  </si>
  <si>
    <t>3_1678936970448232456</t>
  </si>
  <si>
    <t>3_1678931969395105792</t>
  </si>
  <si>
    <t>3_1678936235404828672</t>
  </si>
  <si>
    <t>3_1678935803114782720</t>
  </si>
  <si>
    <t>3_1678935563808698369</t>
  </si>
  <si>
    <t>3_1678933522617098243</t>
  </si>
  <si>
    <t>3_1678937179903361026</t>
  </si>
  <si>
    <t>3_1678934043390353409</t>
  </si>
  <si>
    <t>3_1678933862250954755</t>
  </si>
  <si>
    <t>3_1678932552780742657</t>
  </si>
  <si>
    <t>3_1678936618743234560</t>
  </si>
  <si>
    <t>3_1678937565804544000</t>
  </si>
  <si>
    <t>3_1678928250523746306</t>
  </si>
  <si>
    <t>3_1678927128060895234</t>
  </si>
  <si>
    <t>3_1678932113448480770</t>
  </si>
  <si>
    <t>3_1678935412268490757</t>
  </si>
  <si>
    <t>3_1678934878090395648</t>
  </si>
  <si>
    <t>3_1678932666924580864</t>
  </si>
  <si>
    <t>3_1678937215466979335</t>
  </si>
  <si>
    <t>3_1678930958504931329</t>
  </si>
  <si>
    <t>3_1678931383849213955</t>
  </si>
  <si>
    <t>3_1678931636296069121</t>
  </si>
  <si>
    <t>3_1678936728277602305</t>
  </si>
  <si>
    <t>3_1692670941623427072</t>
  </si>
  <si>
    <t>7_1679070674302775298</t>
  </si>
  <si>
    <t>3_1676895066688745473</t>
  </si>
  <si>
    <t>3_1678517115878293504</t>
  </si>
  <si>
    <t>3_1682764987519889408</t>
  </si>
  <si>
    <t>7_1682047781282668545</t>
  </si>
  <si>
    <t>3_1683484869865742338</t>
  </si>
  <si>
    <t>7_1677628612449632256</t>
  </si>
  <si>
    <t>7_1685657759981744128</t>
  </si>
  <si>
    <t>3_1679811805088972801</t>
  </si>
  <si>
    <t>3_1698901711333527552</t>
  </si>
  <si>
    <t>3_1675881790324473856</t>
  </si>
  <si>
    <t>3_1675880390945374216</t>
  </si>
  <si>
    <t>3_1675879654089973761</t>
  </si>
  <si>
    <t>3_1675880156815040512</t>
  </si>
  <si>
    <t>3_1706437553203695616</t>
  </si>
  <si>
    <t>3_1677352745211240450 3_1677352820217978889 3_1677352847044747265 3_1677352881593229314</t>
  </si>
  <si>
    <t>3_1679545549865857025 3_1679545574146678784 3_1679545594790944776 3_1679545612620931078</t>
  </si>
  <si>
    <t>3_1681298308290191360 3_1681298308252459009 3_1681298308286005249 3_1681298308248260608</t>
  </si>
  <si>
    <t>3_1679142901970878465 3_1679142935084912642 3_1679142950939287552</t>
  </si>
  <si>
    <t>3_1686088204997328897</t>
  </si>
  <si>
    <t>3_1685282763568508928 3_1685282786330972160 3_1685282807021555712 3_1685282826277580800</t>
  </si>
  <si>
    <t>3_1688985160899821568 3_1688985193275670528 3_1688985246606221312</t>
  </si>
  <si>
    <t>3_1684556814539534336</t>
  </si>
  <si>
    <t>3_1678810644764557326 3_1678810676033093657</t>
  </si>
  <si>
    <t>3_1691457520588730368 3_1691457420122554371</t>
  </si>
  <si>
    <t>3_1689246260065153024</t>
  </si>
  <si>
    <t>3_1701342505420152832</t>
  </si>
  <si>
    <t>3_1699872355844067328</t>
  </si>
  <si>
    <t>3_1699871877047443456</t>
  </si>
  <si>
    <t>3_1699871427250257920</t>
  </si>
  <si>
    <t>3_1699870919911428096</t>
  </si>
  <si>
    <t>3_1699870402443415552</t>
  </si>
  <si>
    <t>3_1699793864285204480</t>
  </si>
  <si>
    <t>3_1699781512294719488</t>
  </si>
  <si>
    <t>3_1683854822263386112</t>
  </si>
  <si>
    <t>7_1682037834319028225</t>
  </si>
  <si>
    <t>3_1696132520809553921</t>
  </si>
  <si>
    <t>3_1698440940044603392</t>
  </si>
  <si>
    <t>3_1679460756461350913</t>
  </si>
  <si>
    <t>3_1703020190257070080</t>
  </si>
  <si>
    <t>3_1698690082914406400</t>
  </si>
  <si>
    <t>3_1684617197606297600</t>
  </si>
  <si>
    <t>3_1678706052550864896</t>
  </si>
  <si>
    <t>3_1694039240227618816</t>
  </si>
  <si>
    <t>3_1695488803438297088</t>
  </si>
  <si>
    <t>3_1701649395307966464</t>
  </si>
  <si>
    <t>3_1691140125642657792</t>
  </si>
  <si>
    <t>3_1700924608206032896</t>
  </si>
  <si>
    <t>3_1693314480799678465</t>
  </si>
  <si>
    <t>3_1689328271748390912</t>
  </si>
  <si>
    <t>3_1703461312360071168</t>
  </si>
  <si>
    <t>3_1705635640388251648</t>
  </si>
  <si>
    <t>3_1703823847747678208</t>
  </si>
  <si>
    <t>3_1702011867550380032</t>
  </si>
  <si>
    <t>3_1691864935553265686</t>
  </si>
  <si>
    <t>3_1691502568537464833</t>
  </si>
  <si>
    <t>3_1706360415918096384</t>
  </si>
  <si>
    <t>3_1700562210290900992</t>
  </si>
  <si>
    <t>3_1698025528664444928</t>
  </si>
  <si>
    <t>3_1690053094917185547</t>
  </si>
  <si>
    <t>3_1685704310867243008</t>
  </si>
  <si>
    <t>3_1690468276973776897</t>
  </si>
  <si>
    <t>3_1692488734212591616</t>
  </si>
  <si>
    <t>7_1676750510546644992</t>
  </si>
  <si>
    <t>3_1693793798495580160</t>
  </si>
  <si>
    <t>3_1683199123153997826</t>
  </si>
  <si>
    <t>3_1683198757075054595</t>
  </si>
  <si>
    <t>3_1683198549217927169</t>
  </si>
  <si>
    <t>3_1683198242606010369</t>
  </si>
  <si>
    <t>3_1683198186033127424</t>
  </si>
  <si>
    <t>3_1681808052318601220</t>
  </si>
  <si>
    <t>7_1686035382863794177</t>
  </si>
  <si>
    <t>3_1686025375837540352</t>
  </si>
  <si>
    <t>3_1681037083094183937 3_1681037108805353478</t>
  </si>
  <si>
    <t>3_1693734960585224192</t>
  </si>
  <si>
    <t>3_1706325065841750016</t>
  </si>
  <si>
    <t>3_1680548005928132608</t>
  </si>
  <si>
    <t>3_1688857190394720256</t>
  </si>
  <si>
    <t>3_1682037013200142343</t>
  </si>
  <si>
    <t>7_1683477591213080576</t>
  </si>
  <si>
    <t>3_1688930052376031232</t>
  </si>
  <si>
    <t>3_1681302975028039682</t>
  </si>
  <si>
    <t>7_1682920250319183874</t>
  </si>
  <si>
    <t>7_1682565082281115652</t>
  </si>
  <si>
    <t>7_1682366032462196736</t>
  </si>
  <si>
    <t>3_1604483109147353089</t>
  </si>
  <si>
    <t>3_1679957204135301130</t>
  </si>
  <si>
    <t>7_1677080954203000833</t>
  </si>
  <si>
    <t>3_1681420734420119553</t>
  </si>
  <si>
    <t>3_1691108197484900352</t>
  </si>
  <si>
    <t>3_1697599886043017216 3_1697599899305484288</t>
  </si>
  <si>
    <t>3_1704973010262802432 3_1704973023571243008</t>
  </si>
  <si>
    <t>3_1699570341222232064</t>
  </si>
  <si>
    <t>7_1703423221976993792</t>
  </si>
  <si>
    <t>3_1681129360051372034</t>
  </si>
  <si>
    <t>3_1677048301638524935</t>
  </si>
  <si>
    <t>3_1676703030639460352</t>
  </si>
  <si>
    <t>3_1677271407816847360</t>
  </si>
  <si>
    <t>3_1676947902839545856</t>
  </si>
  <si>
    <t>3_1703740297895673856</t>
  </si>
  <si>
    <t>3_1699387478166138880</t>
  </si>
  <si>
    <t>3_1701551026468188160</t>
  </si>
  <si>
    <t>3_1699778777289809920</t>
  </si>
  <si>
    <t>3_1702680423912845312</t>
  </si>
  <si>
    <t>3_1704865194843779072</t>
  </si>
  <si>
    <t>3_1706616670322614272</t>
  </si>
  <si>
    <t>3_1696465697935642624</t>
  </si>
  <si>
    <t>13_1691597303470080000</t>
  </si>
  <si>
    <t>13_1693611120421183488</t>
  </si>
  <si>
    <t>13_1686421341229010951</t>
  </si>
  <si>
    <t>13_1687085351666622464</t>
  </si>
  <si>
    <t>13_1694847281168850946</t>
  </si>
  <si>
    <t>3_1703852674439925760</t>
  </si>
  <si>
    <t>7_1694094817205043200</t>
  </si>
  <si>
    <t>7_1683574473021091840</t>
  </si>
  <si>
    <t>7_1678496618159505408</t>
  </si>
  <si>
    <t>7_1697357946005430272</t>
  </si>
  <si>
    <t>7_1692284257652097024</t>
  </si>
  <si>
    <t>7_1691921933888114689</t>
  </si>
  <si>
    <t>7_1687211743490056192</t>
  </si>
  <si>
    <t>7_1677421789968736262</t>
  </si>
  <si>
    <t>7_1677066040231034880</t>
  </si>
  <si>
    <t>7_1700244516324745216</t>
  </si>
  <si>
    <t>7_1690109892823003136</t>
  </si>
  <si>
    <t>7_1689747929035120640</t>
  </si>
  <si>
    <t>7_1679906043235532806</t>
  </si>
  <si>
    <t>7_1679488887788544000</t>
  </si>
  <si>
    <t>7_1698806076664111104</t>
  </si>
  <si>
    <t>7_1689376247963373570</t>
  </si>
  <si>
    <t>7_1683940942410121217</t>
  </si>
  <si>
    <t>7_1679164923044143105</t>
  </si>
  <si>
    <t>7_1676695351850332161</t>
  </si>
  <si>
    <t>7_1676343862439149571</t>
  </si>
  <si>
    <t>7_1701699668009185280</t>
  </si>
  <si>
    <t>7_1686433924929507344</t>
  </si>
  <si>
    <t>7_1681718824440086529</t>
  </si>
  <si>
    <t>7_1681043931755163651</t>
  </si>
  <si>
    <t>7_1702067783960330240</t>
  </si>
  <si>
    <t>7_1697719832056049664</t>
  </si>
  <si>
    <t>7_1694460076285714432</t>
  </si>
  <si>
    <t>7_1693732194194272256</t>
  </si>
  <si>
    <t>7_1689026672933195777</t>
  </si>
  <si>
    <t>7_1684655809878261761</t>
  </si>
  <si>
    <t>7_1678845224708128768</t>
  </si>
  <si>
    <t>7_1675978361863020551</t>
  </si>
  <si>
    <t>7_1706726272565477377</t>
  </si>
  <si>
    <t>7_1706402682699685888</t>
  </si>
  <si>
    <t>7_1705296608089300992</t>
  </si>
  <si>
    <t>7_1704214645165154304</t>
  </si>
  <si>
    <t>7_1701337768310235136</t>
  </si>
  <si>
    <t>7_1695183076609921024</t>
  </si>
  <si>
    <t>7_1707093591414231041</t>
  </si>
  <si>
    <t>7_1704566661460729856</t>
  </si>
  <si>
    <t>7_1696999214805286912</t>
  </si>
  <si>
    <t>7_1696632629343248384</t>
  </si>
  <si>
    <t>7_1691560109132988416</t>
  </si>
  <si>
    <t>7_1682374086100504576</t>
  </si>
  <si>
    <t>7_1682132229323993089</t>
  </si>
  <si>
    <t>3_1699413313103204352</t>
  </si>
  <si>
    <t>7_1699211874871447553</t>
  </si>
  <si>
    <t>3_1678920418122514432</t>
  </si>
  <si>
    <t>3_1677651226576470017</t>
  </si>
  <si>
    <t>7_1702007381217902592</t>
  </si>
  <si>
    <t>3_1678388778879135744</t>
  </si>
  <si>
    <t>3_1678736083046088706</t>
  </si>
  <si>
    <t>3_1679100908070633474</t>
  </si>
  <si>
    <t>3_1682103274520952834</t>
  </si>
  <si>
    <t>3_1679826927819923457</t>
  </si>
  <si>
    <t>3_1679463265628192768</t>
  </si>
  <si>
    <t>3_1680915365784690689</t>
  </si>
  <si>
    <t>3_1680552880955072514</t>
  </si>
  <si>
    <t>3_1680189322383826945</t>
  </si>
  <si>
    <t>3_1681699211698479104</t>
  </si>
  <si>
    <t>3_1681285243225997312</t>
  </si>
  <si>
    <t>7_1678777066345603072</t>
  </si>
  <si>
    <t>7_1678740518384152576</t>
  </si>
  <si>
    <t>7_1692287454886137856</t>
  </si>
  <si>
    <t>7_1705289901162254336 3_1705289932200095745</t>
  </si>
  <si>
    <t>7_1679190183785250816</t>
  </si>
  <si>
    <t>7_1698090312579551232</t>
  </si>
  <si>
    <t>3_1694722635991744513</t>
  </si>
  <si>
    <t>7_1689795022680465408</t>
  </si>
  <si>
    <t>3_1704958938385457152</t>
  </si>
  <si>
    <t>3_1704957519888580608</t>
  </si>
  <si>
    <t>7_1706643616033026050</t>
  </si>
  <si>
    <t>7_1680012872728956929</t>
  </si>
  <si>
    <t>3_1678725773010542594</t>
  </si>
  <si>
    <t>3_1679811804384428032 3_1679811804048793600</t>
  </si>
  <si>
    <t>7_1678916988704366592</t>
  </si>
  <si>
    <t>7_1679577563159461888</t>
  </si>
  <si>
    <t>7_1694698347322335232</t>
  </si>
  <si>
    <t>7_1680274869018148867</t>
  </si>
  <si>
    <t>3_1701969872228421632</t>
  </si>
  <si>
    <t>7_1675927666875047936</t>
  </si>
  <si>
    <t>3_1679824597133213696</t>
  </si>
  <si>
    <t>3_1698657397206650880</t>
  </si>
  <si>
    <t>7_1683472751481221125</t>
  </si>
  <si>
    <t>3_1702658062874546176</t>
  </si>
  <si>
    <t>3_1703844263656656896</t>
  </si>
  <si>
    <t>3_1695481994606501888</t>
  </si>
  <si>
    <t>16_1691233035306291200</t>
  </si>
  <si>
    <t>7_1686313137350295552</t>
  </si>
  <si>
    <t>3_1695778274150879233</t>
  </si>
  <si>
    <t>7_1694589540336340992</t>
  </si>
  <si>
    <t>7_1677392237548765185</t>
  </si>
  <si>
    <t>3_1677362038928990210</t>
  </si>
  <si>
    <t>7_1677029828732637190</t>
  </si>
  <si>
    <t>7_1682103274856407042</t>
  </si>
  <si>
    <t>7_1680638615246741505</t>
  </si>
  <si>
    <t>7_1680276200587968512</t>
  </si>
  <si>
    <t>7_1679219289281241090</t>
  </si>
  <si>
    <t>3_1679189100601933827</t>
  </si>
  <si>
    <t>7_1676682567565680648</t>
  </si>
  <si>
    <t>3_1676657226289651718 3_1676657226407092237 3_1676657226398703644</t>
  </si>
  <si>
    <t>7_1676320145474564096</t>
  </si>
  <si>
    <t>7_1679928938741547027</t>
  </si>
  <si>
    <t>3_1679898732161118243</t>
  </si>
  <si>
    <t>7_1679566534526529536</t>
  </si>
  <si>
    <t>3_1683885082099036168</t>
  </si>
  <si>
    <t>7_1678479434905530369</t>
  </si>
  <si>
    <t>3_1684972201487867914</t>
  </si>
  <si>
    <t>7_1678841818983673857</t>
  </si>
  <si>
    <t>3_1678811539443154944</t>
  </si>
  <si>
    <t>3_1676274848471949320</t>
  </si>
  <si>
    <t>7_1675942705665327104</t>
  </si>
  <si>
    <t>3_1675916107734036497</t>
  </si>
  <si>
    <t>3_1686421753646534687</t>
  </si>
  <si>
    <t>3_1681725757305831435</t>
  </si>
  <si>
    <t>7_1681378478493409283</t>
  </si>
  <si>
    <t>3_1681348302510473231</t>
  </si>
  <si>
    <t>3_1685560869030354944</t>
  </si>
  <si>
    <t>7_1700531214652735488</t>
  </si>
  <si>
    <t>7_1700528929449078784</t>
  </si>
  <si>
    <t>3_1677824655577456641 3_1677824655560785920</t>
  </si>
  <si>
    <t>3_1678456289079304232</t>
  </si>
  <si>
    <t>3_1692148423061811200</t>
  </si>
  <si>
    <t>3_1676310156529790999</t>
  </si>
  <si>
    <t>3_1687533706431311872</t>
  </si>
  <si>
    <t>7_1692294189587849217</t>
  </si>
  <si>
    <t>7_1691985267769344000</t>
  </si>
  <si>
    <t>7_1698793770441904129</t>
  </si>
  <si>
    <t>3_1694152661719756800 3_1694152661728153600 3_1694152661732306944 3_1694152661719765007</t>
  </si>
  <si>
    <t>7_1693294389534031873</t>
  </si>
  <si>
    <t>3_1700281997195706368</t>
  </si>
  <si>
    <t>7_1698445370508939264</t>
  </si>
  <si>
    <t>7_1698329477669965824</t>
  </si>
  <si>
    <t>7_1695076358907441152</t>
  </si>
  <si>
    <t>7_1694855973175693312</t>
  </si>
  <si>
    <t>7_1694708913780961281</t>
  </si>
  <si>
    <t>7_1690139842439503872</t>
  </si>
  <si>
    <t>7_1700609096699777025</t>
  </si>
  <si>
    <t>7_1699755219888848897</t>
  </si>
  <si>
    <t>3_1692914898483777536 3_1692914898479591424 3_1692914898479497216</t>
  </si>
  <si>
    <t>7_1692668713995042816</t>
  </si>
  <si>
    <t>7_1701173867358650368</t>
  </si>
  <si>
    <t>7_1694460801245933568</t>
  </si>
  <si>
    <t>7_1703782154151317504</t>
  </si>
  <si>
    <t>3_1696127332820348928 3_1696127378899042304</t>
  </si>
  <si>
    <t>3_1696127158219857920</t>
  </si>
  <si>
    <t>3_1696127089336803330</t>
  </si>
  <si>
    <t>7_1691397272813146112</t>
  </si>
  <si>
    <t>7_1705011804789723137</t>
  </si>
  <si>
    <t>7_1704988197267079168</t>
  </si>
  <si>
    <t>7_1696973394195980288</t>
  </si>
  <si>
    <t>7_1691500570689802241</t>
  </si>
  <si>
    <t>3_1687503656390729746</t>
  </si>
  <si>
    <t>3_1679991235283415040</t>
  </si>
  <si>
    <t>3_1684533424432750592 3_1684533424499875840 3_1684533424558579717</t>
  </si>
  <si>
    <t>3_1676645899160649728</t>
  </si>
  <si>
    <t>3_1682388713907576833</t>
  </si>
  <si>
    <t>3_1698394645292634112</t>
  </si>
  <si>
    <t>3_1697416220285538304</t>
  </si>
  <si>
    <t>7_1679327749054296064</t>
  </si>
  <si>
    <t>3_1684908454903717888</t>
  </si>
  <si>
    <t>3_1698662312272449536</t>
  </si>
  <si>
    <t>3_1678813957178392581</t>
  </si>
  <si>
    <t>3_1675889783262912515</t>
  </si>
  <si>
    <t>3_1680434786932850689</t>
  </si>
  <si>
    <t>3_1707016145377660929</t>
  </si>
  <si>
    <t>3_1693730919520374784</t>
  </si>
  <si>
    <t>3_1675972949168521216</t>
  </si>
  <si>
    <t>3_1696267716980850691</t>
  </si>
  <si>
    <t>3_1691193880375627776</t>
  </si>
  <si>
    <t>3_1681046405413232645</t>
  </si>
  <si>
    <t>3_1698803961397231616</t>
  </si>
  <si>
    <t>3_1688656854417813504</t>
  </si>
  <si>
    <t>3_1703876960915738625</t>
  </si>
  <si>
    <t>3_1683583281521098752</t>
  </si>
  <si>
    <t>3_1678509673480335360</t>
  </si>
  <si>
    <t>3_1706413914517594112</t>
  </si>
  <si>
    <t>3_1701340844274700288</t>
  </si>
  <si>
    <t>3_1686120011340079105</t>
  </si>
  <si>
    <t>7_1690008624473530368</t>
  </si>
  <si>
    <t>7_1696227496880992256</t>
  </si>
  <si>
    <t>7_1691146961884164108</t>
  </si>
  <si>
    <t>7_1693982874511507456</t>
  </si>
  <si>
    <t>7_1696969590616530944</t>
  </si>
  <si>
    <t>7_1691804513861083137</t>
  </si>
  <si>
    <t>7_1691520247554068483</t>
  </si>
  <si>
    <t>7_1694412195277242368</t>
  </si>
  <si>
    <t>7_1696574306568859650</t>
  </si>
  <si>
    <t>7_1689646183063621632</t>
  </si>
  <si>
    <t>7_1697285251448360960</t>
  </si>
  <si>
    <t>7_1692611068244144128</t>
  </si>
  <si>
    <t>3_1679884467148554241</t>
  </si>
  <si>
    <t>3_1684996170509148160 3_1684996170513276928 3_1684996170513358848</t>
  </si>
  <si>
    <t>3_1687593510596206592 3_1687593510608793600 3_1687593510596161536 3_1687593510596214784</t>
  </si>
  <si>
    <t>3_1679169604621332480</t>
  </si>
  <si>
    <t>3_1679125684080238592</t>
  </si>
  <si>
    <t>3_1679170247427866636</t>
  </si>
  <si>
    <t>3_1679169746783158295</t>
  </si>
  <si>
    <t>3_1679171868496936960</t>
  </si>
  <si>
    <t>3_1679171794001969172</t>
  </si>
  <si>
    <t>3_1679172282348978187</t>
  </si>
  <si>
    <t>3_1679172516500193299</t>
  </si>
  <si>
    <t>3_1679124853394161672</t>
  </si>
  <si>
    <t>3_1679172185280200711</t>
  </si>
  <si>
    <t>3_1679172054250143760</t>
  </si>
  <si>
    <t>3_1679171951699402752</t>
  </si>
  <si>
    <t>3_1679172363932385300</t>
  </si>
  <si>
    <t>7_1687529482561716248</t>
  </si>
  <si>
    <t>3_1679470819070681090</t>
  </si>
  <si>
    <t>3_1679107131318976515</t>
  </si>
  <si>
    <t>3_1680920366187782144</t>
  </si>
  <si>
    <t>3_1682440243239067667</t>
  </si>
  <si>
    <t>7_1701518206249078784</t>
  </si>
  <si>
    <t>3_1694719009995018241</t>
  </si>
  <si>
    <t>7_1696328416490872832</t>
  </si>
  <si>
    <t>7_1676278320973979653</t>
  </si>
  <si>
    <t>3_1696514029681102849</t>
  </si>
  <si>
    <t>3_1699472152641110016</t>
  </si>
  <si>
    <t>7_1697667278710476800</t>
  </si>
  <si>
    <t>7_1694137368599490560</t>
  </si>
  <si>
    <t>7_1703529276899831808</t>
  </si>
  <si>
    <t>3_1691901257374404608</t>
  </si>
  <si>
    <t>3_1697519369318780928</t>
  </si>
  <si>
    <t>7_1677633241023430656</t>
  </si>
  <si>
    <t>7_1677497284962009089</t>
  </si>
  <si>
    <t>7_1677440463949778944</t>
  </si>
  <si>
    <t>7_1676948652961693700</t>
  </si>
  <si>
    <t>3_1684271465435201536</t>
  </si>
  <si>
    <t>3_1684972053114363910</t>
  </si>
  <si>
    <t>3_1685685476739403779</t>
  </si>
  <si>
    <t>3_1701709038759677952</t>
  </si>
  <si>
    <t>3_1704995414158520323</t>
  </si>
  <si>
    <t>7_1680403769928941569</t>
  </si>
  <si>
    <t>3_1681619385239076864</t>
  </si>
  <si>
    <t>3_1640162342456492033</t>
  </si>
  <si>
    <t>7_1688943217784262657</t>
  </si>
  <si>
    <t>3_1706081280318648320</t>
  </si>
  <si>
    <t>3_1685332245362425856</t>
  </si>
  <si>
    <t>3_1699557711464001536</t>
  </si>
  <si>
    <t>3_1690037512620630016</t>
  </si>
  <si>
    <t>7_1693435115668480000</t>
  </si>
  <si>
    <t>7_1701930303390957571</t>
  </si>
  <si>
    <t>7_1702683265952358400</t>
  </si>
  <si>
    <t>7_1705167908844736512</t>
  </si>
  <si>
    <t>7_1704443382678835200</t>
  </si>
  <si>
    <t>7_1703718366458875904</t>
  </si>
  <si>
    <t>3_1686798918477115404</t>
  </si>
  <si>
    <t>3_1706058676144861184</t>
  </si>
  <si>
    <t>7_1681673297463857159</t>
  </si>
  <si>
    <t>7_1684323722251890690</t>
  </si>
  <si>
    <t>7_1679129005725827074</t>
  </si>
  <si>
    <t>3_1684942383446663168</t>
  </si>
  <si>
    <t>3_1677109939011985408</t>
  </si>
  <si>
    <t>3_1698815457011142656</t>
  </si>
  <si>
    <t>3_1693776643192479744</t>
  </si>
  <si>
    <t>3_1693776759068438528</t>
  </si>
  <si>
    <t>3_1694149656215732224</t>
  </si>
  <si>
    <t>7_1706357940137918464</t>
  </si>
  <si>
    <t>3_1692558010403434497 3_1692558010520854529 3_1692558010625785856 3_1692558010726453248</t>
  </si>
  <si>
    <t>3_1689953755259719680</t>
  </si>
  <si>
    <t>3_1696478058440474624</t>
  </si>
  <si>
    <t>3_1685483821532135424</t>
  </si>
  <si>
    <t>3_1696971736737091584</t>
  </si>
  <si>
    <t>3_1695968876251521024</t>
  </si>
  <si>
    <t>7_1687107257518141444</t>
  </si>
  <si>
    <t>3_1678485085727649793</t>
  </si>
  <si>
    <t>3_1680900781728251906</t>
  </si>
  <si>
    <t>3_1706680938904563712</t>
  </si>
  <si>
    <t>3_1688576312317812737</t>
  </si>
  <si>
    <t>3_1695803262794948608</t>
  </si>
  <si>
    <t>3_1701244990037372928</t>
  </si>
  <si>
    <t>3_1685635324142047232</t>
  </si>
  <si>
    <t>3_1691094241169047552</t>
  </si>
  <si>
    <t>3_1681106588638105600</t>
  </si>
  <si>
    <t>3_1706311441106534400</t>
  </si>
  <si>
    <t>3_1697163717681553408</t>
  </si>
  <si>
    <t>3_1706971933449875456</t>
  </si>
  <si>
    <t>7_1702412393874128896</t>
  </si>
  <si>
    <t>7_1676651637522178048</t>
  </si>
  <si>
    <t>3_1705263369530351616 3_1705263369530359808 3_1705263389642043392 3_1705263389843263488</t>
  </si>
  <si>
    <t>3_1702699425909411840</t>
  </si>
  <si>
    <t>3_1705673498465587200</t>
  </si>
  <si>
    <t>3_1681279541212315648</t>
  </si>
  <si>
    <t>3_1706267853605785600 3_1706267853618364417 3_1706267853605724160 3_1706267853597323264</t>
  </si>
  <si>
    <t>3_1704224181938802688</t>
  </si>
  <si>
    <t>3_1706638985009713152 3_1706639005926785024 3_1706639018652266496 3_1706639036922642432</t>
  </si>
  <si>
    <t>3_1706398327380598784</t>
  </si>
  <si>
    <t>3_1704583022975098880 3_1704583022970904576 3_1704583039131533312 3_1704583039274115072</t>
  </si>
  <si>
    <t>3_1682133665118035970</t>
  </si>
  <si>
    <t>7_1686743667631947777</t>
  </si>
  <si>
    <t>7_1691253350854012928</t>
  </si>
  <si>
    <t>7_1689841004755525633</t>
  </si>
  <si>
    <t>7_1678762283894464515</t>
  </si>
  <si>
    <t>3_1675859274495320064</t>
  </si>
  <si>
    <t>3_1696772239545298945</t>
  </si>
  <si>
    <t>7_1704551264032354304</t>
  </si>
  <si>
    <t>3_1676307902766944257</t>
  </si>
  <si>
    <t>3_1683526225476632583 3_1683526225485021187 3_1683526225480826898</t>
  </si>
  <si>
    <t>3_1707125908564320256</t>
  </si>
  <si>
    <t>3_1697983215724601344</t>
  </si>
  <si>
    <t>3_1678409753217597441</t>
  </si>
  <si>
    <t>3_1693970304555528193</t>
  </si>
  <si>
    <t>7_1684573279389102080</t>
  </si>
  <si>
    <t>3_1701955798757228544</t>
  </si>
  <si>
    <t>3_1677129244244099072</t>
  </si>
  <si>
    <t>3_1691090110547177473</t>
  </si>
  <si>
    <t>3_1691853963056873474</t>
  </si>
  <si>
    <t>3_1706779809802588160</t>
  </si>
  <si>
    <t>3_1706784724641828864</t>
  </si>
  <si>
    <t>3_1682738885225328642</t>
  </si>
  <si>
    <t>7_1694854212826341376 3_1694854212838948865 3_1694854212830531585 3_1694854212834799616</t>
  </si>
  <si>
    <t>3_1690803761512349696</t>
  </si>
  <si>
    <t>3_1683866967994687488</t>
  </si>
  <si>
    <t>3_1700578843155718144</t>
  </si>
  <si>
    <t>3_1700234017755242496</t>
  </si>
  <si>
    <t>7_1688934906758316032</t>
  </si>
  <si>
    <t>3_1699831943330754560</t>
  </si>
  <si>
    <t>3_1701592610828394497</t>
  </si>
  <si>
    <t>7_1701823948269252608</t>
  </si>
  <si>
    <t>3_1701643060222763008</t>
  </si>
  <si>
    <t>7_1704899970724233217</t>
  </si>
  <si>
    <t>7_1703426723042279424</t>
  </si>
  <si>
    <t>7_1705027093170454528</t>
  </si>
  <si>
    <t>7_1692856976856764416</t>
  </si>
  <si>
    <t>3_1694752534282268678</t>
  </si>
  <si>
    <t>3_1679898442905137161</t>
  </si>
  <si>
    <t>3_1693971904145567744</t>
  </si>
  <si>
    <t>3_1704198095183941632</t>
  </si>
  <si>
    <t>3_1676568109107298304</t>
  </si>
  <si>
    <t>3_1693685259068399616</t>
  </si>
  <si>
    <t>7_1689554179344265218</t>
  </si>
  <si>
    <t>3_1689203093743824897</t>
  </si>
  <si>
    <t>7_1684582749666254849</t>
  </si>
  <si>
    <t>3_1676166101800034307</t>
  </si>
  <si>
    <t>3_1698679090004578304</t>
  </si>
  <si>
    <t>3_1685941494052454401</t>
  </si>
  <si>
    <t>7_1699740650181431296</t>
  </si>
  <si>
    <t>3_1697192088163721216</t>
  </si>
  <si>
    <t>3_1683766311787151360 3_1683766311749402624 3_1683766311782957056 3_1683766311770259456</t>
  </si>
  <si>
    <t>3_1701883251542142976</t>
  </si>
  <si>
    <t>3_1699355880339517440</t>
  </si>
  <si>
    <t>3_1691750280369451009</t>
  </si>
  <si>
    <t>3_1682381615840854016</t>
  </si>
  <si>
    <t>7_1681996238164467712</t>
  </si>
  <si>
    <t>3_1702610888187072512</t>
  </si>
  <si>
    <t>3_1700090896170033152</t>
  </si>
  <si>
    <t>3_1697528756561195008</t>
  </si>
  <si>
    <t>3_1687410298125258752</t>
  </si>
  <si>
    <t>7_1704434152207171585</t>
  </si>
  <si>
    <t>3_1686723013494857728</t>
  </si>
  <si>
    <t>3_1704774784960147456</t>
  </si>
  <si>
    <t>7_1679458274830065665</t>
  </si>
  <si>
    <t>3_1692937058145255424</t>
  </si>
  <si>
    <t>3_1701655039780020224 3_1701655040534974464</t>
  </si>
  <si>
    <t>3_1696895964835897344</t>
  </si>
  <si>
    <t>3_1699026393785348097</t>
  </si>
  <si>
    <t>3_1677879795110014976 3_1677879795147849728 3_1677879795143655425 3_1677879795122683904</t>
  </si>
  <si>
    <t>3_1682107862942642176 3_1682107862938443780 3_1682107862942728195 3_1682107862938529794</t>
  </si>
  <si>
    <t>7_1686481008214818816</t>
  </si>
  <si>
    <t>7_1699964611175337984</t>
  </si>
  <si>
    <t>3_1700268281528029184</t>
  </si>
  <si>
    <t>7_1701351582141419520</t>
  </si>
  <si>
    <t>7_1676420372688777216</t>
  </si>
  <si>
    <t>3_1687449151691210752</t>
  </si>
  <si>
    <t>3_1694665301776814080</t>
  </si>
  <si>
    <t>3_1698723004635574273</t>
  </si>
  <si>
    <t>3_1678901919430115329 3_1678901919434280960 3_1678901919442673665</t>
  </si>
  <si>
    <t>7_1679960062859661312</t>
  </si>
  <si>
    <t>3_1681964990423523329</t>
  </si>
  <si>
    <t>7_1681074895965286400</t>
  </si>
  <si>
    <t>3_1678908931257561090</t>
  </si>
  <si>
    <t>7_1685343810203668480</t>
  </si>
  <si>
    <t>3_1685449348480434176</t>
  </si>
  <si>
    <t>7_1702228411270238208</t>
  </si>
  <si>
    <t>7_1689039401777573888</t>
  </si>
  <si>
    <t>3_1677693811089195010</t>
  </si>
  <si>
    <t>7_1675946929182633986</t>
  </si>
  <si>
    <t>3_1700219789858238464</t>
  </si>
  <si>
    <t>3_1684577008498745347</t>
  </si>
  <si>
    <t>3_1681733401106104323</t>
  </si>
  <si>
    <t>3_1686029122990907397</t>
  </si>
  <si>
    <t>3_1681046342393647104</t>
  </si>
  <si>
    <t>3_1678866818130227203</t>
  </si>
  <si>
    <t>7_1684348264240357376</t>
  </si>
  <si>
    <t>7_1676946802178682880</t>
  </si>
  <si>
    <t>3_1702413432668946432 3_1702413432656375808</t>
  </si>
  <si>
    <t>3_1703831381606830081</t>
  </si>
  <si>
    <t>7_1679902343054209032</t>
  </si>
  <si>
    <t>3_1685052798822420480</t>
  </si>
  <si>
    <t>7_1679851566008791040</t>
  </si>
  <si>
    <t>7_1679848712422473729</t>
  </si>
  <si>
    <t>3_1679616016559554561</t>
  </si>
  <si>
    <t>7_1684291115434885128</t>
  </si>
  <si>
    <t>3_1705981508677160960</t>
  </si>
  <si>
    <t>7_1682087198739365890</t>
  </si>
  <si>
    <t>3_1693622506257625088</t>
  </si>
  <si>
    <t>3_1681269637709807616</t>
  </si>
  <si>
    <t>7_1686750925690474497</t>
  </si>
  <si>
    <t>3_1692476583636840449</t>
  </si>
  <si>
    <t>7_1680925458437750784</t>
  </si>
  <si>
    <t>3_1686729574749495296</t>
  </si>
  <si>
    <t>3_1676199356947484672</t>
  </si>
  <si>
    <t>3_1686184697758437376</t>
  </si>
  <si>
    <t>3_1693962096864575488</t>
  </si>
  <si>
    <t>3_1687447474644930560</t>
  </si>
  <si>
    <t>3_1701581968368930816</t>
  </si>
  <si>
    <t>3_1701259155439259648</t>
  </si>
  <si>
    <t>3_1701002283860013056</t>
  </si>
  <si>
    <t>3_1699485172498935808</t>
  </si>
  <si>
    <t>3_1699471582438014976</t>
  </si>
  <si>
    <t>3_1698803463184850944</t>
  </si>
  <si>
    <t>3_1698787801062412288</t>
  </si>
  <si>
    <t>3_1697641292644118528</t>
  </si>
  <si>
    <t>3_1697639699018321920</t>
  </si>
  <si>
    <t>3_1694373929899413504</t>
  </si>
  <si>
    <t>3_1694128195472089088</t>
  </si>
  <si>
    <t>3_1693598210290229248</t>
  </si>
  <si>
    <t>3_1693595228832153601</t>
  </si>
  <si>
    <t>3_1693386876776763392</t>
  </si>
  <si>
    <t>3_1693260187623170048</t>
  </si>
  <si>
    <t>3_1693252468375777280</t>
  </si>
  <si>
    <t>3_1693252326637666304</t>
  </si>
  <si>
    <t>3_1689384274712010752</t>
  </si>
  <si>
    <t>3_1689372200661352454</t>
  </si>
  <si>
    <t>3_1689350682086699008</t>
  </si>
  <si>
    <t>3_1688618097144463360</t>
  </si>
  <si>
    <t>3_1688558655019360256</t>
  </si>
  <si>
    <t>3_1688539405990977536</t>
  </si>
  <si>
    <t>3_1688527433882861568</t>
  </si>
  <si>
    <t>3_1684552050837786625</t>
  </si>
  <si>
    <t>3_1684319118097281027</t>
  </si>
  <si>
    <t>3_1684309358027341830</t>
  </si>
  <si>
    <t>3_1684273543427551232</t>
  </si>
  <si>
    <t>3_1684250527402426371</t>
  </si>
  <si>
    <t>3_1684194064076242945</t>
  </si>
  <si>
    <t>3_1683956259039354880</t>
  </si>
  <si>
    <t>3_1683945308017905665</t>
  </si>
  <si>
    <t>3_1679235986641879041</t>
  </si>
  <si>
    <t>3_1679213192847716356</t>
  </si>
  <si>
    <t>3_1679200344729960448</t>
  </si>
  <si>
    <t>3_1679125989379416066</t>
  </si>
  <si>
    <t>3_1679115294332133379</t>
  </si>
  <si>
    <t>3_1678941820426878976</t>
  </si>
  <si>
    <t>3_1678933882006110208</t>
  </si>
  <si>
    <t>3_1676770612163878912</t>
  </si>
  <si>
    <t>3_1676711400511610880</t>
  </si>
  <si>
    <t>3_1676697543655268355</t>
  </si>
  <si>
    <t>3_1676690422045765632</t>
  </si>
  <si>
    <t>3_1676676079140982813</t>
  </si>
  <si>
    <t>3_1676619246049140737</t>
  </si>
  <si>
    <t>3_1676580635492663296</t>
  </si>
  <si>
    <t>3_1676371882738692099</t>
  </si>
  <si>
    <t>3_1676366120297562112</t>
  </si>
  <si>
    <t>3_1676357241165819904</t>
  </si>
  <si>
    <t>3_1676338821250572288</t>
  </si>
  <si>
    <t>3_1676307705290453011</t>
  </si>
  <si>
    <t>3_1702407558940549121</t>
  </si>
  <si>
    <t>3_1702070991625576448</t>
  </si>
  <si>
    <t>3_1701590470911258624</t>
  </si>
  <si>
    <t>3_1701571884217720832</t>
  </si>
  <si>
    <t>3_1701018972853043200</t>
  </si>
  <si>
    <t>3_1701010072875446272</t>
  </si>
  <si>
    <t>3_1700220082415128576</t>
  </si>
  <si>
    <t>3_1700211069090660352</t>
  </si>
  <si>
    <t>3_1700199003088961537</t>
  </si>
  <si>
    <t>3_1699798932472377344</t>
  </si>
  <si>
    <t>3_1698873153601130497</t>
  </si>
  <si>
    <t>3_1698826989681958912</t>
  </si>
  <si>
    <t>3_1698826288960520192</t>
  </si>
  <si>
    <t>3_1697729946624401408</t>
  </si>
  <si>
    <t>3_1697719940185235456</t>
  </si>
  <si>
    <t>3_1696524370649513984</t>
  </si>
  <si>
    <t>3_1694465827884486656</t>
  </si>
  <si>
    <t>3_1694451303332614144</t>
  </si>
  <si>
    <t>3_1694436253159108608</t>
  </si>
  <si>
    <t>3_1693741992436453376</t>
  </si>
  <si>
    <t>3_1693732164012027905</t>
  </si>
  <si>
    <t>3_1693637590333685760</t>
  </si>
  <si>
    <t>3_1689669033107361792</t>
  </si>
  <si>
    <t>3_1689642595155423232</t>
  </si>
  <si>
    <t>3_1689639466401701888</t>
  </si>
  <si>
    <t>3_1689625498358280192</t>
  </si>
  <si>
    <t>3_1689616762717777920</t>
  </si>
  <si>
    <t>3_1689608407215435776</t>
  </si>
  <si>
    <t>3_1689592370034020353</t>
  </si>
  <si>
    <t>3_1689272588810240001</t>
  </si>
  <si>
    <t>3_1688999531654852608</t>
  </si>
  <si>
    <t>3_1688964760778248201</t>
  </si>
  <si>
    <t>3_1688914583371845635</t>
  </si>
  <si>
    <t>3_1688896828442394624</t>
  </si>
  <si>
    <t>3_1688885105526243329</t>
  </si>
  <si>
    <t>3_1688870887766753285</t>
  </si>
  <si>
    <t>3_1684933922235322369</t>
  </si>
  <si>
    <t>3_1684921869755990016</t>
  </si>
  <si>
    <t>3_1684904489277423616</t>
  </si>
  <si>
    <t>3_1684894768671703041</t>
  </si>
  <si>
    <t>3_1684885097395224577</t>
  </si>
  <si>
    <t>3_1684704861038813184</t>
  </si>
  <si>
    <t>3_1684693178534723585</t>
  </si>
  <si>
    <t>3_1684678585821413376</t>
  </si>
  <si>
    <t>3_1684662227255664640</t>
  </si>
  <si>
    <t>3_1684598935258529795</t>
  </si>
  <si>
    <t>3_1684564995886161924</t>
  </si>
  <si>
    <t>3_1678845821469483009</t>
  </si>
  <si>
    <t>3_1678818849980817408</t>
  </si>
  <si>
    <t>3_1678809416101949440</t>
  </si>
  <si>
    <t>3_1678774989322084354</t>
  </si>
  <si>
    <t>3_1678757535786889216</t>
  </si>
  <si>
    <t>3_1676195239407525888</t>
  </si>
  <si>
    <t>3_1676165233339924482</t>
  </si>
  <si>
    <t>3_1676158048098811904</t>
  </si>
  <si>
    <t>3_1676050281010692097</t>
  </si>
  <si>
    <t>3_1676042472416215040</t>
  </si>
  <si>
    <t>3_1675979617935454208</t>
  </si>
  <si>
    <t>3_1675878626275803138</t>
  </si>
  <si>
    <t>3_1675870339950166017</t>
  </si>
  <si>
    <t>3_1704122703085502464</t>
  </si>
  <si>
    <t>3_1704117140398206977</t>
  </si>
  <si>
    <t>3_1704106240383520768</t>
  </si>
  <si>
    <t>3_1704095956369616896</t>
  </si>
  <si>
    <t>3_1703575339018973184</t>
  </si>
  <si>
    <t>3_1702318677188825088</t>
  </si>
  <si>
    <t>3_1702293303914360832</t>
  </si>
  <si>
    <t>3_1702278697527435264</t>
  </si>
  <si>
    <t>3_1701235494565113856</t>
  </si>
  <si>
    <t>3_1701216162204286976</t>
  </si>
  <si>
    <t>3_1700151456060354561</t>
  </si>
  <si>
    <t>3_1699828757542916097</t>
  </si>
  <si>
    <t>3_1697591841963556864</t>
  </si>
  <si>
    <t>3_1697579927522967552</t>
  </si>
  <si>
    <t>3_1697435479203811328</t>
  </si>
  <si>
    <t>3_1697426180821954560</t>
  </si>
  <si>
    <t>3_1697402744527626240</t>
  </si>
  <si>
    <t>3_1697375190483705856</t>
  </si>
  <si>
    <t>3_1697357816720134144</t>
  </si>
  <si>
    <t>3_1693969176119975936</t>
  </si>
  <si>
    <t>3_1693962693831475200</t>
  </si>
  <si>
    <t>3_1693780671347486721</t>
  </si>
  <si>
    <t>3_1693769077855031296</t>
  </si>
  <si>
    <t>3_1692237146831065088</t>
  </si>
  <si>
    <t>3_1692223776535031819</t>
  </si>
  <si>
    <t>3_1692147908571721728</t>
  </si>
  <si>
    <t>3_1692139817591574528</t>
  </si>
  <si>
    <t>3_1692132266347024385</t>
  </si>
  <si>
    <t>3_1691907027964993536</t>
  </si>
  <si>
    <t>3_1691894621335388162</t>
  </si>
  <si>
    <t>3_1687505797620625408</t>
  </si>
  <si>
    <t>3_1687479299656257537</t>
  </si>
  <si>
    <t>3_1687448776108036096</t>
  </si>
  <si>
    <t>3_1687265018109169664</t>
  </si>
  <si>
    <t>3_1687251326630084609</t>
  </si>
  <si>
    <t>3_1687245321812787200</t>
  </si>
  <si>
    <t>3_1687176930217394182</t>
  </si>
  <si>
    <t>3_1687154883856650240</t>
  </si>
  <si>
    <t>3_1683538860830015501</t>
  </si>
  <si>
    <t>3_1683519516142125056</t>
  </si>
  <si>
    <t>3_1677450533492097025</t>
  </si>
  <si>
    <t>3_1677443256538333184</t>
  </si>
  <si>
    <t>3_1677414150782189568</t>
  </si>
  <si>
    <t>3_1677402208743112707</t>
  </si>
  <si>
    <t>3_1677381280055320603</t>
  </si>
  <si>
    <t>3_1677316867742900224</t>
  </si>
  <si>
    <t>3_1677065025503076354</t>
  </si>
  <si>
    <t>3_1677025376818679808</t>
  </si>
  <si>
    <t>3_1677018673213497367</t>
  </si>
  <si>
    <t>3_1677011533086220293</t>
  </si>
  <si>
    <t>3_1676965810890498049</t>
  </si>
  <si>
    <t>3_1676942001319575553</t>
  </si>
  <si>
    <t>3_1704925256371064832</t>
  </si>
  <si>
    <t>3_1704860770779930624</t>
  </si>
  <si>
    <t>3_1703396936139563008</t>
  </si>
  <si>
    <t>3_1703190972241158144</t>
  </si>
  <si>
    <t>3_1702413869820301312</t>
  </si>
  <si>
    <t>7_1702078671610105856</t>
  </si>
  <si>
    <t>3_1700865700573691904</t>
  </si>
  <si>
    <t>3_1699620781569765376</t>
  </si>
  <si>
    <t>3_1699601813488435200</t>
  </si>
  <si>
    <t>3_1699520062590185473</t>
  </si>
  <si>
    <t>3_1699495942372671488</t>
  </si>
  <si>
    <t>3_1697297427869347840</t>
  </si>
  <si>
    <t>3_1697244722132099072</t>
  </si>
  <si>
    <t>3_1694121841722269698</t>
  </si>
  <si>
    <t>3_1694100639540776960</t>
  </si>
  <si>
    <t>3_1694078651665448960</t>
  </si>
  <si>
    <t>3_1692891049885106176</t>
  </si>
  <si>
    <t>3_1692673127350759424</t>
  </si>
  <si>
    <t>3_1692632028217331713</t>
  </si>
  <si>
    <t>3_1692616942719295488</t>
  </si>
  <si>
    <t>3_1692602821596610560</t>
  </si>
  <si>
    <t>3_1692552760598626304</t>
  </si>
  <si>
    <t>3_1692536638608445440</t>
  </si>
  <si>
    <t>3_1688185456947556352</t>
  </si>
  <si>
    <t>3_1687944449408503808</t>
  </si>
  <si>
    <t>3_1687926322926870528</t>
  </si>
  <si>
    <t>3_1687908368596316162</t>
  </si>
  <si>
    <t>3_1687839720812761088</t>
  </si>
  <si>
    <t>3_1687830001142366208</t>
  </si>
  <si>
    <t>3_1687813641578426368</t>
  </si>
  <si>
    <t>3_1687806942964498432</t>
  </si>
  <si>
    <t>3_1687602367204581376</t>
  </si>
  <si>
    <t>3_1687595576085417984</t>
  </si>
  <si>
    <t>3_1687515312021786627</t>
  </si>
  <si>
    <t>3_1683878808754040835</t>
  </si>
  <si>
    <t>3_1683869573202812933</t>
  </si>
  <si>
    <t>3_1683844160955072515</t>
  </si>
  <si>
    <t>3_1683827835721355264</t>
  </si>
  <si>
    <t>3_1683564582734901248</t>
  </si>
  <si>
    <t>3_1678520080173342721</t>
  </si>
  <si>
    <t>3_1678475122288500742</t>
  </si>
  <si>
    <t>3_1678469064379842560</t>
  </si>
  <si>
    <t>3_1678458242798592006</t>
  </si>
  <si>
    <t>3_1678416109962162184</t>
  </si>
  <si>
    <t>3_1678389191808253953</t>
  </si>
  <si>
    <t>3_1678379867862122499</t>
  </si>
  <si>
    <t>3_1678379646146969600</t>
  </si>
  <si>
    <t>3_1678226631326924803</t>
  </si>
  <si>
    <t>3_1678219419502166016</t>
  </si>
  <si>
    <t>3_1677782432328687616</t>
  </si>
  <si>
    <t>3_1707033305009332228</t>
  </si>
  <si>
    <t>3_1706746157798424577</t>
  </si>
  <si>
    <t>3_1706363723412131840</t>
  </si>
  <si>
    <t>3_1705250913806430208</t>
  </si>
  <si>
    <t>3_1704819021986574336</t>
  </si>
  <si>
    <t>3_1702784474663038976</t>
  </si>
  <si>
    <t>3_1702777370044727297</t>
  </si>
  <si>
    <t>3_1702763514857684992</t>
  </si>
  <si>
    <t>3_1702746147473739776</t>
  </si>
  <si>
    <t>3_1702689347634409472</t>
  </si>
  <si>
    <t>3_1702677028556713984</t>
  </si>
  <si>
    <t>3_1700514780891451392</t>
  </si>
  <si>
    <t>3_1700506434801225728</t>
  </si>
  <si>
    <t>3_1700489015542128640</t>
  </si>
  <si>
    <t>3_1700236830765891584</t>
  </si>
  <si>
    <t>3_1698500335159984128</t>
  </si>
  <si>
    <t>3_1698484977959141377</t>
  </si>
  <si>
    <t>3_1695092967151665152</t>
  </si>
  <si>
    <t>3_1695048918214602752</t>
  </si>
  <si>
    <t>3_1695039943586840576</t>
  </si>
  <si>
    <t>3_1694822037582135297</t>
  </si>
  <si>
    <t>3_1694813409278132224</t>
  </si>
  <si>
    <t>3_1694778748980142080</t>
  </si>
  <si>
    <t>3_1694759394204860416</t>
  </si>
  <si>
    <t>3_1694721956262920193</t>
  </si>
  <si>
    <t>3_1694705874797752320</t>
  </si>
  <si>
    <t>3_1694699919280410625</t>
  </si>
  <si>
    <t>3_1690085487006851072</t>
  </si>
  <si>
    <t>3_1690071893645103104</t>
  </si>
  <si>
    <t>3_1689995799365586946</t>
  </si>
  <si>
    <t>3_1689983207431614464</t>
  </si>
  <si>
    <t>3_1689975928414142464</t>
  </si>
  <si>
    <t>3_1689964732273360896</t>
  </si>
  <si>
    <t>3_1685682139193307136</t>
  </si>
  <si>
    <t>3_1685667208628756480</t>
  </si>
  <si>
    <t>3_1685662563898470400</t>
  </si>
  <si>
    <t>3_1685447863315169280</t>
  </si>
  <si>
    <t>3_1685440469214400517</t>
  </si>
  <si>
    <t>3_1685420871412768769</t>
  </si>
  <si>
    <t>3_1679928958123425800</t>
  </si>
  <si>
    <t>3_1679922541140344832</t>
  </si>
  <si>
    <t>3_1679913980809052161</t>
  </si>
  <si>
    <t>3_1679907997525372928</t>
  </si>
  <si>
    <t>3_1679877554604212229</t>
  </si>
  <si>
    <t>3_1679870524053127170</t>
  </si>
  <si>
    <t>3_1679862720445775875</t>
  </si>
  <si>
    <t>3_1679623073710891008</t>
  </si>
  <si>
    <t>3_1679613133483040775</t>
  </si>
  <si>
    <t>3_1679592522086055936</t>
  </si>
  <si>
    <t>3_1679581583001395200</t>
  </si>
  <si>
    <t>3_1679566594362556418</t>
  </si>
  <si>
    <t>3_1679546475838144514</t>
  </si>
  <si>
    <t>3_1707048866074214400</t>
  </si>
  <si>
    <t>3_1707018944735834113</t>
  </si>
  <si>
    <t>3_1706460046362656768</t>
  </si>
  <si>
    <t>3_1706319323436834816</t>
  </si>
  <si>
    <t>3_1706311636993093632</t>
  </si>
  <si>
    <t>3_1705710464573829120</t>
  </si>
  <si>
    <t>3_1705219204696211456</t>
  </si>
  <si>
    <t>3_1705204139867738112</t>
  </si>
  <si>
    <t>3_1705186679865155584</t>
  </si>
  <si>
    <t>3_1704492222907830272</t>
  </si>
  <si>
    <t>3_1703782065202757632</t>
  </si>
  <si>
    <t>3_1703765190628556801</t>
  </si>
  <si>
    <t>3_1703754315733553152</t>
  </si>
  <si>
    <t>3_1703741449089544192</t>
  </si>
  <si>
    <t>3_1701708756243918848</t>
  </si>
  <si>
    <t>3_1701690101158252544</t>
  </si>
  <si>
    <t>3_1701676304213426177</t>
  </si>
  <si>
    <t>3_1699078724073738240</t>
  </si>
  <si>
    <t>3_1699058459701100544</t>
  </si>
  <si>
    <t>3_1699047130709577728</t>
  </si>
  <si>
    <t>3_1699035048110927872</t>
  </si>
  <si>
    <t>3_1699020371591127040</t>
  </si>
  <si>
    <t>3_1696511441795272704</t>
  </si>
  <si>
    <t>3_1696273885426049024</t>
  </si>
  <si>
    <t>3_1696264286685786113</t>
  </si>
  <si>
    <t>3_1696229744193191936</t>
  </si>
  <si>
    <t>3_1696222643555336192</t>
  </si>
  <si>
    <t>3_1691461859281678337</t>
  </si>
  <si>
    <t>3_1691447897496371202</t>
  </si>
  <si>
    <t>3_1691434550377709569</t>
  </si>
  <si>
    <t>3_1691429144570073088</t>
  </si>
  <si>
    <t>3_1691414867813556224</t>
  </si>
  <si>
    <t>3_1691208111401357312</t>
  </si>
  <si>
    <t>3_1691190105732464641</t>
  </si>
  <si>
    <t>3_1691097560767746048</t>
  </si>
  <si>
    <t>3_1691088559338377216</t>
  </si>
  <si>
    <t>3_1691075624566202368</t>
  </si>
  <si>
    <t>3_1686739459864162304</t>
  </si>
  <si>
    <t>3_1686718287860649984</t>
  </si>
  <si>
    <t>3_1686705995521605632</t>
  </si>
  <si>
    <t>3_1686441279595409409</t>
  </si>
  <si>
    <t>3_1686382969186082817</t>
  </si>
  <si>
    <t>3_1686378888753184768</t>
  </si>
  <si>
    <t>3_1686370323581579264</t>
  </si>
  <si>
    <t>3_1686356157990834176</t>
  </si>
  <si>
    <t>3_1681648151004868608</t>
  </si>
  <si>
    <t>3_1681647716122730498</t>
  </si>
  <si>
    <t>3_1681647437797117953</t>
  </si>
  <si>
    <t>3_1681350483569524752</t>
  </si>
  <si>
    <t>3_1681343336924299274</t>
  </si>
  <si>
    <t>3_1681338258406490117</t>
  </si>
  <si>
    <t>3_1681291287968772096</t>
  </si>
  <si>
    <t>3_1681275740996747264</t>
  </si>
  <si>
    <t>3_1681044305320857600</t>
  </si>
  <si>
    <t>3_1707091465065668608</t>
  </si>
  <si>
    <t>3_1707077152502427648</t>
  </si>
  <si>
    <t>3_1706801825330929664</t>
  </si>
  <si>
    <t>3_1706738010799157248</t>
  </si>
  <si>
    <t>3_1706720374421872640</t>
  </si>
  <si>
    <t>3_1706666225991127041</t>
  </si>
  <si>
    <t>3_1706650669854130177</t>
  </si>
  <si>
    <t>3_1706276391082201088</t>
  </si>
  <si>
    <t>3_1705933325343326208</t>
  </si>
  <si>
    <t>3_1705354084620898304</t>
  </si>
  <si>
    <t>3_1705340903504625664</t>
  </si>
  <si>
    <t>3_1705311717301919744</t>
  </si>
  <si>
    <t>3_1704832899743170560</t>
  </si>
  <si>
    <t>3_1704826397816995840</t>
  </si>
  <si>
    <t>3_1704231553658687488</t>
  </si>
  <si>
    <t>3_1703161556119199745</t>
  </si>
  <si>
    <t>3_1703161396492435456</t>
  </si>
  <si>
    <t>3_1703161197732786176</t>
  </si>
  <si>
    <t>3_1701336224609271808</t>
  </si>
  <si>
    <t>3_1701320861737730048</t>
  </si>
  <si>
    <t>3_1701308474812973056</t>
  </si>
  <si>
    <t>3_1701299531449499648</t>
  </si>
  <si>
    <t>3_1698712951560011776</t>
  </si>
  <si>
    <t>3_1698699907530358784</t>
  </si>
  <si>
    <t>3_1695486432054308864</t>
  </si>
  <si>
    <t>3_1695469307168227328</t>
  </si>
  <si>
    <t>3_1695461415090352128</t>
  </si>
  <si>
    <t>3_1695207215232086017</t>
  </si>
  <si>
    <t>3_1695201454661758976</t>
  </si>
  <si>
    <t>3_1695192772892848128</t>
  </si>
  <si>
    <t>3_1695182135231979520</t>
  </si>
  <si>
    <t>3_1691061772583612416</t>
  </si>
  <si>
    <t>3_1690895693202735104</t>
  </si>
  <si>
    <t>3_1690843438546042885</t>
  </si>
  <si>
    <t>3_1690499505550929920</t>
  </si>
  <si>
    <t>3_1690487992178085888</t>
  </si>
  <si>
    <t>3_1690373864973348864</t>
  </si>
  <si>
    <t>3_1686113313464238080</t>
  </si>
  <si>
    <t>3_1686107016605933568</t>
  </si>
  <si>
    <t>3_1686094722186485760</t>
  </si>
  <si>
    <t>3_1686084984166125568</t>
  </si>
  <si>
    <t>3_1686070250511400960</t>
  </si>
  <si>
    <t>3_1686034820948758528</t>
  </si>
  <si>
    <t>3_1686027933880549377</t>
  </si>
  <si>
    <t>3_1686017462813278214</t>
  </si>
  <si>
    <t>3_1685999064003878912</t>
  </si>
  <si>
    <t>3_1681037045278318593</t>
  </si>
  <si>
    <t>3_1680946349620056067</t>
  </si>
  <si>
    <t>3_1680937196730064899</t>
  </si>
  <si>
    <t>3_1680925607297785856</t>
  </si>
  <si>
    <t>3_1680916530144460800</t>
  </si>
  <si>
    <t>3_1680912098254020610</t>
  </si>
  <si>
    <t>3_1680905057485594628</t>
  </si>
  <si>
    <t>3_1680631051775877120</t>
  </si>
  <si>
    <t>3_1680622849415864321</t>
  </si>
  <si>
    <t>3_1680262937489858561</t>
  </si>
  <si>
    <t>3_1679973715830886400</t>
  </si>
  <si>
    <t>3_1707107937141854208</t>
  </si>
  <si>
    <t>3_1707016732622139392</t>
  </si>
  <si>
    <t>3_1706643659288895489</t>
  </si>
  <si>
    <t>3_1706377441743163392</t>
  </si>
  <si>
    <t>3_1706295239000911872</t>
  </si>
  <si>
    <t>3_1706284472918745088</t>
  </si>
  <si>
    <t>3_1705632700101517312</t>
  </si>
  <si>
    <t>3_1705606114111311872</t>
  </si>
  <si>
    <t>3_1704526282367619072</t>
  </si>
  <si>
    <t>3_1704520976287903744</t>
  </si>
  <si>
    <t>3_1704511222664634368</t>
  </si>
  <si>
    <t>3_1703849362990751745</t>
  </si>
  <si>
    <t>3_1703837184170561536</t>
  </si>
  <si>
    <t>3_1702014740002725888</t>
  </si>
  <si>
    <t>3_1701968904032055296</t>
  </si>
  <si>
    <t>3_1701961397364457473</t>
  </si>
  <si>
    <t>3_1701949955840036864</t>
  </si>
  <si>
    <t>3_1701932336713969664</t>
  </si>
  <si>
    <t>3_1701924072903290880</t>
  </si>
  <si>
    <t>3_1696947094248984576</t>
  </si>
  <si>
    <t>3_1696938686732992513</t>
  </si>
  <si>
    <t>3_1696929519733514240</t>
  </si>
  <si>
    <t>3_1696893415802187776</t>
  </si>
  <si>
    <t>3_1696882733543215104</t>
  </si>
  <si>
    <t>3_1696864689555222528</t>
  </si>
  <si>
    <t>3_1696644388921683968</t>
  </si>
  <si>
    <t>3_1696607296443359232</t>
  </si>
  <si>
    <t>3_1691822561829515266</t>
  </si>
  <si>
    <t>3_1691814672997994497</t>
  </si>
  <si>
    <t>3_1691800893513986049</t>
  </si>
  <si>
    <t>3_1691553374494167040</t>
  </si>
  <si>
    <t>3_1691534911583260673</t>
  </si>
  <si>
    <t>3_1691527005110497280</t>
  </si>
  <si>
    <t>3_1691518239170306050</t>
  </si>
  <si>
    <t>3_1687102320151330816</t>
  </si>
  <si>
    <t>3_1687083681427410945</t>
  </si>
  <si>
    <t>3_1687073137249157122</t>
  </si>
  <si>
    <t>3_1686842307171991552</t>
  </si>
  <si>
    <t>3_1686757446608367616</t>
  </si>
  <si>
    <t>3_1683107460821704706</t>
  </si>
  <si>
    <t>3_1682386444365561857</t>
  </si>
  <si>
    <t>3_1682386029720883202</t>
  </si>
  <si>
    <t>3_1682011063984828418</t>
  </si>
  <si>
    <t>3_1698743534948339712</t>
  </si>
  <si>
    <t>7_1688899546888159232</t>
  </si>
  <si>
    <t>3_1704054253503827968</t>
  </si>
  <si>
    <t>7_1687053940481802240</t>
  </si>
  <si>
    <t>3_1689422184630849536</t>
  </si>
  <si>
    <t>3_1698633408107151360</t>
  </si>
  <si>
    <t>3_1690328027568160768</t>
  </si>
  <si>
    <t>3_1705758265160683520</t>
  </si>
  <si>
    <t>3_1683894984104083460</t>
  </si>
  <si>
    <t>7_1699649514150285312</t>
  </si>
  <si>
    <t>7_1699636969314123776</t>
  </si>
  <si>
    <t>3_1696633991745417216</t>
  </si>
  <si>
    <t>3_1691253185527140354 3_1691253185539698688</t>
  </si>
  <si>
    <t>3_1697357875922849792 3_1697357875922759680 3_1697357875906023425</t>
  </si>
  <si>
    <t>3_1686455990097444864</t>
  </si>
  <si>
    <t>3_1699779215611355136</t>
  </si>
  <si>
    <t>3_1681001598695231488</t>
  </si>
  <si>
    <t>7_1675890392087052288</t>
  </si>
  <si>
    <t>3_1676754103240728576</t>
  </si>
  <si>
    <t>3_1691854706174296064</t>
  </si>
  <si>
    <t>3_1694322157210214400</t>
  </si>
  <si>
    <t>7_1680995167480717313</t>
  </si>
  <si>
    <t>7_1683522185577603105</t>
  </si>
  <si>
    <t>3_1691551733825024000</t>
  </si>
  <si>
    <t>3_1691857550503804937</t>
  </si>
  <si>
    <t>3_1682442860279353345</t>
  </si>
  <si>
    <t>3_1689393753612587008</t>
  </si>
  <si>
    <t>3_1689787581678878724</t>
  </si>
  <si>
    <t>3_1681377573887000581</t>
  </si>
  <si>
    <t>3_1681374806476718124</t>
  </si>
  <si>
    <t>7_1681370845581639681</t>
  </si>
  <si>
    <t>7_1684201162663141376</t>
  </si>
  <si>
    <t>7_1683945028383637505</t>
  </si>
  <si>
    <t>3_1679935536843112455 3_1679935551372181504 3_1679935565376962561</t>
  </si>
  <si>
    <t>7_1701659211258580992</t>
  </si>
  <si>
    <t>3_1675928221693386767 3_1675928221722767360 3_1675928221718552588</t>
  </si>
  <si>
    <t>7_1701200319529574401</t>
  </si>
  <si>
    <t>3_1683999145323905026</t>
  </si>
  <si>
    <t>3_1678554693730009090</t>
  </si>
  <si>
    <t>3_1704275358650863616</t>
  </si>
  <si>
    <t>3_1697295751708114944</t>
  </si>
  <si>
    <t>3_1697279822739722241</t>
  </si>
  <si>
    <t>3_1692436247434629120</t>
  </si>
  <si>
    <t>3_1702032033550094336</t>
  </si>
  <si>
    <t>3_1696574955809370117</t>
  </si>
  <si>
    <t>3_1689212411151085568</t>
  </si>
  <si>
    <t>3_1701763172170915840</t>
  </si>
  <si>
    <t>3_1700305403152642048</t>
  </si>
  <si>
    <t>3_1700304847407349760</t>
  </si>
  <si>
    <t>3_1700285401015947264</t>
  </si>
  <si>
    <t>3_1705930697561591808</t>
  </si>
  <si>
    <t>3_1701542299753238528</t>
  </si>
  <si>
    <t>16_1691878386551959552</t>
  </si>
  <si>
    <t>7_1676686166119120897</t>
  </si>
  <si>
    <t>7_1677118874431496197</t>
  </si>
  <si>
    <t>7_1677699184000991232</t>
  </si>
  <si>
    <t>3_1679522379305738240</t>
  </si>
  <si>
    <t>3_1678642311482179585 3_1678642330230747137</t>
  </si>
  <si>
    <t>3_1699058105865445376</t>
  </si>
  <si>
    <t>3_1698712627243896832</t>
  </si>
  <si>
    <t>7_1699513646957629440</t>
  </si>
  <si>
    <t>7_1682033579935809536</t>
  </si>
  <si>
    <t>3_1705004272096628736</t>
  </si>
  <si>
    <t>3_1701952380965732352</t>
  </si>
  <si>
    <t>3_1699437730776621058</t>
  </si>
  <si>
    <t>3_1676564244119035904</t>
  </si>
  <si>
    <t>3_1676564240004423683</t>
  </si>
  <si>
    <t>3_1676562982388596736</t>
  </si>
  <si>
    <t>3_1678382426328801280</t>
  </si>
  <si>
    <t>3_1679825639816265728</t>
  </si>
  <si>
    <t>3_1679463264189644800</t>
  </si>
  <si>
    <t>3_1679462032523788289</t>
  </si>
  <si>
    <t>3_1681000984045076480</t>
  </si>
  <si>
    <t>3_1680919155673890817</t>
  </si>
  <si>
    <t>3_1680898994015174658</t>
  </si>
  <si>
    <t>3_1680897795513778177</t>
  </si>
  <si>
    <t>3_1687059553882419200</t>
  </si>
  <si>
    <t>3_1700169569413820416</t>
  </si>
  <si>
    <t>3_1679535187447644160</t>
  </si>
  <si>
    <t>3_1683552507467911169 3_1683552507702779906 3_1683552507878948870 3_1683552508063412225</t>
  </si>
  <si>
    <t>3_1684970272200302599</t>
  </si>
  <si>
    <t>3_1675904787663994881</t>
  </si>
  <si>
    <t>3_1699422851827212291</t>
  </si>
  <si>
    <t>7_1682367788961128449</t>
  </si>
  <si>
    <t>7_1678349628834455553</t>
  </si>
  <si>
    <t>7_1676532725677801472</t>
  </si>
  <si>
    <t>7_1679794183228342273</t>
  </si>
  <si>
    <t>7_1680881339778596864</t>
  </si>
  <si>
    <t>7_1677260245163229185</t>
  </si>
  <si>
    <t>7_1679068232802529282</t>
  </si>
  <si>
    <t>7_1684936866607353857</t>
  </si>
  <si>
    <t>3_1675864539093430273</t>
  </si>
  <si>
    <t>3_1689396354554945536 3_1689396358543740928 3_1689396362138320896</t>
  </si>
  <si>
    <t>7_1696240084079566848</t>
  </si>
  <si>
    <t>7_1702799523028881408</t>
  </si>
  <si>
    <t>3_1695011966022983680</t>
  </si>
  <si>
    <t>3_1687186495260569600</t>
  </si>
  <si>
    <t>3_1681036571963695105</t>
  </si>
  <si>
    <t>3_1699058413110788096</t>
  </si>
  <si>
    <t>3_1699120816418402304 3_1699120816376438784 3_1699120816380669952 3_1699120845556252672</t>
  </si>
  <si>
    <t>7_1693979491595419649</t>
  </si>
  <si>
    <t>3_1677433076069089282</t>
  </si>
  <si>
    <t>7_1693011610703446016</t>
  </si>
  <si>
    <t>7_1694767508002099200</t>
  </si>
  <si>
    <t>7_1689092070386921472</t>
  </si>
  <si>
    <t>7_1689805811248156672</t>
  </si>
  <si>
    <t>7_1688722448332537857</t>
  </si>
  <si>
    <t>3_1681387189702209536</t>
  </si>
  <si>
    <t>3_1694485687540547584</t>
  </si>
  <si>
    <t>3_1701606395190362112</t>
  </si>
  <si>
    <t>3_1696855592000782337</t>
  </si>
  <si>
    <t>3_1691042864073981952</t>
  </si>
  <si>
    <t>3_1680572828905504769</t>
  </si>
  <si>
    <t>3_1697211487595491328</t>
  </si>
  <si>
    <t>3_1692549245440598017</t>
  </si>
  <si>
    <t>3_1701195088125104128</t>
  </si>
  <si>
    <t>3_1700111096756027392</t>
  </si>
  <si>
    <t>3_1702690469702975488</t>
  </si>
  <si>
    <t>7_1686416416663130128</t>
  </si>
  <si>
    <t>7_1686065596822110208</t>
  </si>
  <si>
    <t>7_1688696624342614017</t>
  </si>
  <si>
    <t>7_1704635056910639104</t>
  </si>
  <si>
    <t>3_1683498056438644737</t>
  </si>
  <si>
    <t>3_1686360408204935168</t>
  </si>
  <si>
    <t>3_1681053798825959424</t>
  </si>
  <si>
    <t>3_1688542490545000448</t>
  </si>
  <si>
    <t>3_1688536037830676481</t>
  </si>
  <si>
    <t>3_1688531022114078720</t>
  </si>
  <si>
    <t>3_1688607170948964352</t>
  </si>
  <si>
    <t>3_1688534112909340672</t>
  </si>
  <si>
    <t>3_1688607564777377792</t>
  </si>
  <si>
    <t>3_1695099887342215168</t>
  </si>
  <si>
    <t>3_1695099393018302464</t>
  </si>
  <si>
    <t>3_1695098831048687616</t>
  </si>
  <si>
    <t>3_1695394542285987841</t>
  </si>
  <si>
    <t>3_1695177658856779776</t>
  </si>
  <si>
    <t>3_1695101286901772289</t>
  </si>
  <si>
    <t>3_1697721937437282304 3_1697721937424683008 3_1697721937424740353 3_1697721937428942848</t>
  </si>
  <si>
    <t>3_1701660063599890432</t>
  </si>
  <si>
    <t>3_1702749151606226945</t>
  </si>
  <si>
    <t>3_1695099085773008896</t>
  </si>
  <si>
    <t>3_1693959199510638592 3_1693959199519088640 3_1693959199514857472 3_1693959199510675456</t>
  </si>
  <si>
    <t>3_1679856982025547779</t>
  </si>
  <si>
    <t>3_1680959323772538882</t>
  </si>
  <si>
    <t>7_1699847972819726336</t>
  </si>
  <si>
    <t>3_1699263051583664128</t>
  </si>
  <si>
    <t>7_1698847128758464512</t>
  </si>
  <si>
    <t>7_1694493734312804352</t>
  </si>
  <si>
    <t>3_1700303715930898432</t>
  </si>
  <si>
    <t>3_1679601182275166209</t>
  </si>
  <si>
    <t>7_1687055835627737088</t>
  </si>
  <si>
    <t>3_1688631446385127425</t>
  </si>
  <si>
    <t>7_1706376851902410752</t>
  </si>
  <si>
    <t>7_1702105094110470144</t>
  </si>
  <si>
    <t>7_1702375132537217024</t>
  </si>
  <si>
    <t>7_1705649985298022400</t>
  </si>
  <si>
    <t>7_1704491367190167552</t>
  </si>
  <si>
    <t>7_1706036607420149760</t>
  </si>
  <si>
    <t>3_1701913821156192256</t>
  </si>
  <si>
    <t>3_1699377110966489088</t>
  </si>
  <si>
    <t>3_1691766968095842305</t>
  </si>
  <si>
    <t>3_1687055904175267842</t>
  </si>
  <si>
    <t>3_1701551415489855489</t>
  </si>
  <si>
    <t>3_1694666052037206016</t>
  </si>
  <si>
    <t>3_1678721000978935810</t>
  </si>
  <si>
    <t>3_1702276204399587328</t>
  </si>
  <si>
    <t>3_1694303688964165632</t>
  </si>
  <si>
    <t>3_1679083368284147715</t>
  </si>
  <si>
    <t>3_1702638571352473600</t>
  </si>
  <si>
    <t>3_1701189010553458688</t>
  </si>
  <si>
    <t>3_1697565163761618944</t>
  </si>
  <si>
    <t>3_1693941299848613888</t>
  </si>
  <si>
    <t>3_1692491734024863747</t>
  </si>
  <si>
    <t>3_1692129329721798656</t>
  </si>
  <si>
    <t>3_1687418286302998528</t>
  </si>
  <si>
    <t>3_1705175301888557056</t>
  </si>
  <si>
    <t>3_1699014682000965632</t>
  </si>
  <si>
    <t>3_1691469857626165248</t>
  </si>
  <si>
    <t>3_1704863131434934272</t>
  </si>
  <si>
    <t>3_1699739491588562944</t>
  </si>
  <si>
    <t>3_1699739486307938304</t>
  </si>
  <si>
    <t>3_1697202766123266048</t>
  </si>
  <si>
    <t>3_1683885076843487253</t>
  </si>
  <si>
    <t>3_1678358578661392384</t>
  </si>
  <si>
    <t>3_1706262460343214080</t>
  </si>
  <si>
    <t>3_1698652294982537216</t>
  </si>
  <si>
    <t>3_1691042178443640832</t>
  </si>
  <si>
    <t>3_1690709967358038018</t>
  </si>
  <si>
    <t>3_1706624833058910208</t>
  </si>
  <si>
    <t>3_1695028429370847232</t>
  </si>
  <si>
    <t>3_1679808146456412160</t>
  </si>
  <si>
    <t>3_1679445750546153474</t>
  </si>
  <si>
    <t>3_1693359508741922816</t>
  </si>
  <si>
    <t>3_1706782385361113088</t>
  </si>
  <si>
    <t>3_1689116511703572480</t>
  </si>
  <si>
    <t>3_1694687673808551936</t>
  </si>
  <si>
    <t>3_1680862616388878343</t>
  </si>
  <si>
    <t>3_1698969477562474496</t>
  </si>
  <si>
    <t>3_1688777391747788801</t>
  </si>
  <si>
    <t>3_1683584861867573249</t>
  </si>
  <si>
    <t>3_1684535406748991488</t>
  </si>
  <si>
    <t>3_1701200656382443520</t>
  </si>
  <si>
    <t>7_1697160711384805376</t>
  </si>
  <si>
    <t>3_1691060775794728960</t>
  </si>
  <si>
    <t>3_1678603808593657856</t>
  </si>
  <si>
    <t>3_1687544770996879360</t>
  </si>
  <si>
    <t>3_1682425833531514891</t>
  </si>
  <si>
    <t>3_1678375979608072198</t>
  </si>
  <si>
    <t>7_1682133959830798336</t>
  </si>
  <si>
    <t>3_1679826218986659847</t>
  </si>
  <si>
    <t>3_1703731160264634368</t>
  </si>
  <si>
    <t>3_1702651043715158016</t>
  </si>
  <si>
    <t>3_1686017125167599618 3_1686017125150814208 3_1686017125125677059 3_1686017181849407488</t>
  </si>
  <si>
    <t>3_1692164890184609793</t>
  </si>
  <si>
    <t>7_1695823908874620928</t>
  </si>
  <si>
    <t>3_1694800272734711809</t>
  </si>
  <si>
    <t>3_1704495886502359040</t>
  </si>
  <si>
    <t>3_1696291658508193792</t>
  </si>
  <si>
    <t>3_1706066427315109888</t>
  </si>
  <si>
    <t>7_1699097591592497157</t>
  </si>
  <si>
    <t>7_1683760897217495040</t>
  </si>
  <si>
    <t>7_1701225018191998976</t>
  </si>
  <si>
    <t>3_1691782456905539584</t>
  </si>
  <si>
    <t>3_1689246569080512512</t>
  </si>
  <si>
    <t>3_1701952283251036160</t>
  </si>
  <si>
    <t>7_1692257813458993152</t>
  </si>
  <si>
    <t>3_1688606760938999809</t>
  </si>
  <si>
    <t>3_1688606251867914240</t>
  </si>
  <si>
    <t>3_1688606005737709568</t>
  </si>
  <si>
    <t>3_1688603980773928960</t>
  </si>
  <si>
    <t>3_1688603503302766592</t>
  </si>
  <si>
    <t>3_1688603223681118208</t>
  </si>
  <si>
    <t>3_1688601438895656960</t>
  </si>
  <si>
    <t>3_1701963487902064641</t>
  </si>
  <si>
    <t>3_1705299211716046848</t>
  </si>
  <si>
    <t>3_1702180824056041472</t>
  </si>
  <si>
    <t>3_1676214553976111104 3_1676214578043056130 3_1676214599052304385 3_1676214616722927616</t>
  </si>
  <si>
    <t>3_1677310360745902081 3_1677310382388420609 3_1677310399673188352 3_1677310414676193282</t>
  </si>
  <si>
    <t>3_1682015162683850752</t>
  </si>
  <si>
    <t>3_1681643967635509249</t>
  </si>
  <si>
    <t>3_1681291080895954948 3_1681291101099941888</t>
  </si>
  <si>
    <t>13_1679327481596108802</t>
  </si>
  <si>
    <t>13_1677376467431243776</t>
  </si>
  <si>
    <t>3_1684908365321773056</t>
  </si>
  <si>
    <t>3_1698662407030165504</t>
  </si>
  <si>
    <t>7_1690510934458957824</t>
  </si>
  <si>
    <t>7_1691979541441318912</t>
  </si>
  <si>
    <t>7_1689289367997575173</t>
  </si>
  <si>
    <t>3_1690409955264794624</t>
  </si>
  <si>
    <t>3_1689333815720722435</t>
  </si>
  <si>
    <t>3_1706462314981904384</t>
  </si>
  <si>
    <t>3_1704613134747529222</t>
  </si>
  <si>
    <t>7_1678502073136971779</t>
  </si>
  <si>
    <t>7_1679186961867653120</t>
  </si>
  <si>
    <t>3_1678090501768065025 3_1678090510668292100 3_1678090518461382656 3_1678090527160369155</t>
  </si>
  <si>
    <t>3_1684737387077726208</t>
  </si>
  <si>
    <t>3_1687546043921993728</t>
  </si>
  <si>
    <t>3_1695072668570075136</t>
  </si>
  <si>
    <t>3_1679848779350941700</t>
  </si>
  <si>
    <t>3_1697672576963653632</t>
  </si>
  <si>
    <t>3_1699412540818685952</t>
  </si>
  <si>
    <t>3_1696942070903021568</t>
  </si>
  <si>
    <t>3_1701703410372767744</t>
  </si>
  <si>
    <t>3_1704241326605078528</t>
  </si>
  <si>
    <t>7_1697313329255952384</t>
  </si>
  <si>
    <t>3_1676206900017332225</t>
  </si>
  <si>
    <t>3_1678173554859188224</t>
  </si>
  <si>
    <t>3_1683620535983390720</t>
  </si>
  <si>
    <t>7_1707058012093923328</t>
  </si>
  <si>
    <t>3_1681786071854772224</t>
  </si>
  <si>
    <t>3_1681423685004189696</t>
  </si>
  <si>
    <t>3_1706651722188226560</t>
  </si>
  <si>
    <t>3_1700101953299091456</t>
  </si>
  <si>
    <t>3_1706715451118485504</t>
  </si>
  <si>
    <t>3_1682555695206465537</t>
  </si>
  <si>
    <t>7_1676227389339189250</t>
  </si>
  <si>
    <t>3_1681309139233021954</t>
  </si>
  <si>
    <t>3_1685692737838788608</t>
  </si>
  <si>
    <t>7_1698812553382748160</t>
  </si>
  <si>
    <t>7_1688657639431921664</t>
  </si>
  <si>
    <t>3_1684283942419959808</t>
  </si>
  <si>
    <t>13_1676010395381710848</t>
  </si>
  <si>
    <t>7_1685380125460779008</t>
  </si>
  <si>
    <t>3_1676300957813014528</t>
  </si>
  <si>
    <t>3_1677475211120189443</t>
  </si>
  <si>
    <t>3_1694113937770291201</t>
  </si>
  <si>
    <t>7_1694014571571204096</t>
  </si>
  <si>
    <t>3_1693972133485989888</t>
  </si>
  <si>
    <t>7_1694076485114421248</t>
  </si>
  <si>
    <t>3_1694059161212850177</t>
  </si>
  <si>
    <t>7_1694049949300768768</t>
  </si>
  <si>
    <t>7_1694039593387978753</t>
  </si>
  <si>
    <t>7_1694015233243631616</t>
  </si>
  <si>
    <t>3_1705432144770662400 3_1705432151271899136 3_1705432157466800128</t>
  </si>
  <si>
    <t>3_1680952773225971714</t>
  </si>
  <si>
    <t>3_1689271957013815296</t>
  </si>
  <si>
    <t>3_1684917034763554817</t>
  </si>
  <si>
    <t>3_1692284638633263104</t>
  </si>
  <si>
    <t>3_1683548590658953217</t>
  </si>
  <si>
    <t>3_1694748875741884419</t>
  </si>
  <si>
    <t>3_1697260152808939520</t>
  </si>
  <si>
    <t>3_1687894887335616513</t>
  </si>
  <si>
    <t>3_1699443702341517313</t>
  </si>
  <si>
    <t>7_1702469805171769344</t>
  </si>
  <si>
    <t>7_1695118338328838144</t>
  </si>
  <si>
    <t>7_1690808938432790528</t>
  </si>
  <si>
    <t>7_1693986654946799618</t>
  </si>
  <si>
    <t>7_1695859220103483392</t>
  </si>
  <si>
    <t>3_1701526670509850624</t>
  </si>
  <si>
    <t>3_1678401496046600193</t>
  </si>
  <si>
    <t>3_1682661813542875136</t>
  </si>
  <si>
    <t>3_1682767657374830592</t>
  </si>
  <si>
    <t>7_1683604360364711937</t>
  </si>
  <si>
    <t>7_1684690636442644480</t>
  </si>
  <si>
    <t>3_1691094627237924864</t>
  </si>
  <si>
    <t>3_1704430226833346560</t>
  </si>
  <si>
    <t>13_1705562948171665408</t>
  </si>
  <si>
    <t>13_1706999064561168384</t>
  </si>
  <si>
    <t>3_1681266994362843136</t>
  </si>
  <si>
    <t>7_1700218116070907904</t>
  </si>
  <si>
    <t>3_1694382467455578113</t>
  </si>
  <si>
    <t>3_1694380560808902656</t>
  </si>
  <si>
    <t>3_1696345601892356096</t>
  </si>
  <si>
    <t>7_1702012872836952064</t>
  </si>
  <si>
    <t>7_1702380157300822016</t>
  </si>
  <si>
    <t>7_1702758443487031296</t>
  </si>
  <si>
    <t>3_1699956038735106048</t>
  </si>
  <si>
    <t>3_1704927788552126464</t>
  </si>
  <si>
    <t>3_1703866459011878912 3_1703866458965737472</t>
  </si>
  <si>
    <t>3_1683241492930854915</t>
  </si>
  <si>
    <t>3_1684880837651951616</t>
  </si>
  <si>
    <t>3_1679090546902458368</t>
  </si>
  <si>
    <t>3_1689950862100062208</t>
  </si>
  <si>
    <t>3_1685596698796560384</t>
  </si>
  <si>
    <t>3_1685248702309392384</t>
  </si>
  <si>
    <t>7_1685117722953179136</t>
  </si>
  <si>
    <t>3_1679789750859837444</t>
  </si>
  <si>
    <t>3_1679425696056201216</t>
  </si>
  <si>
    <t>3_1679284084961431553</t>
  </si>
  <si>
    <t>3_1691558355557396481</t>
  </si>
  <si>
    <t>3_1687058928499146754</t>
  </si>
  <si>
    <t>3_1686752474244243457</t>
  </si>
  <si>
    <t>3_1683077014658469889</t>
  </si>
  <si>
    <t>7_1682915081007316996</t>
  </si>
  <si>
    <t>3_1682726465538781184</t>
  </si>
  <si>
    <t>3_1682364471438704640</t>
  </si>
  <si>
    <t>3_1681988656733593601</t>
  </si>
  <si>
    <t>3_1681970568768225280</t>
  </si>
  <si>
    <t>3_1692134349691351040</t>
  </si>
  <si>
    <t>7_1687406431551537152</t>
  </si>
  <si>
    <t>3_1687398908698284032</t>
  </si>
  <si>
    <t>3_1683262981692375040</t>
  </si>
  <si>
    <t>3_1683251513441890306</t>
  </si>
  <si>
    <t>3_1683194634070007817</t>
  </si>
  <si>
    <t>3_1677349034015481858</t>
  </si>
  <si>
    <t>3_1691406024370966528</t>
  </si>
  <si>
    <t>3_1691197012916523009</t>
  </si>
  <si>
    <t>3_1686669031191855104</t>
  </si>
  <si>
    <t>3_1686342652009009152</t>
  </si>
  <si>
    <t>3_1681629811645480960</t>
  </si>
  <si>
    <t>3_1681253643180290048</t>
  </si>
  <si>
    <t>3_1681140269343703040</t>
  </si>
  <si>
    <t>3_1694696803797463040</t>
  </si>
  <si>
    <t>3_1689607825549320193</t>
  </si>
  <si>
    <t>3_1688880963793653760</t>
  </si>
  <si>
    <t>3_1688855182027743233</t>
  </si>
  <si>
    <t>3_1684962879278129161</t>
  </si>
  <si>
    <t>7_1684621704830586880</t>
  </si>
  <si>
    <t>7_1678886707507212289</t>
  </si>
  <si>
    <t>3_1678731919188537345</t>
  </si>
  <si>
    <t>3_1702086125731381248</t>
  </si>
  <si>
    <t>3_1688210191655804929</t>
  </si>
  <si>
    <t>3_1687765446357815297</t>
  </si>
  <si>
    <t>3_1683836988515037184</t>
  </si>
  <si>
    <t>3_1683637030553616384</t>
  </si>
  <si>
    <t>3_1678446874808786944</t>
  </si>
  <si>
    <t>3_1703003020387115008</t>
  </si>
  <si>
    <t>3_1690836911043014658</t>
  </si>
  <si>
    <t>3_1690310216405909504</t>
  </si>
  <si>
    <t>3_1685967977995284480</t>
  </si>
  <si>
    <t>3_1680907047385153536</t>
  </si>
  <si>
    <t>3_1680712840125067265</t>
  </si>
  <si>
    <t>3_1680524254826180609</t>
  </si>
  <si>
    <t>3_1680141810243457024</t>
  </si>
  <si>
    <t>3_1702373303183163392</t>
  </si>
  <si>
    <t>3_1701253860117860352</t>
  </si>
  <si>
    <t>3_1689307881508651008</t>
  </si>
  <si>
    <t>3_1688520051383578624</t>
  </si>
  <si>
    <t>3_1684530781555662848</t>
  </si>
  <si>
    <t>3_1684258700708519941</t>
  </si>
  <si>
    <t>3_1683975457652211712</t>
  </si>
  <si>
    <t>3_1676922477950259200</t>
  </si>
  <si>
    <t>3_1676553289335205890</t>
  </si>
  <si>
    <t>7_1676566552424902659</t>
  </si>
  <si>
    <t>3_1691502776520515584</t>
  </si>
  <si>
    <t>3_1678056624332713984</t>
  </si>
  <si>
    <t>3_1683130027871707137</t>
  </si>
  <si>
    <t>3_1698755815358787584</t>
  </si>
  <si>
    <t>3_1704466877634707456</t>
  </si>
  <si>
    <t>3_1684285406999728129</t>
  </si>
  <si>
    <t>7_1693654912234577920</t>
  </si>
  <si>
    <t>3_1702416005840916480</t>
  </si>
  <si>
    <t>3_1689604082346913792</t>
  </si>
  <si>
    <t>3_1691584301043699712</t>
  </si>
  <si>
    <t>3_1690042445025902592</t>
  </si>
  <si>
    <t>7_1677082665852321793</t>
  </si>
  <si>
    <t>3_1678169732686528514</t>
  </si>
  <si>
    <t>7_1678894672758947840</t>
  </si>
  <si>
    <t>3_1680345250169081857</t>
  </si>
  <si>
    <t>7_1679981734182412288</t>
  </si>
  <si>
    <t>3_1692186310641913856 3_1692186310650273792</t>
  </si>
  <si>
    <t>3_1678347142971129856</t>
  </si>
  <si>
    <t>3_1679084505162821632</t>
  </si>
  <si>
    <t>3_1683133655596650499</t>
  </si>
  <si>
    <t>3_1689216199610044416</t>
  </si>
  <si>
    <t>3_1678723352670744578</t>
  </si>
  <si>
    <t>3_1698738533370892290 3_1698738533358305280 3_1698738533354102785 3_1698738533358313472</t>
  </si>
  <si>
    <t>3_1690037811892850688</t>
  </si>
  <si>
    <t>7_1676596497683476481</t>
  </si>
  <si>
    <t>3_1697680866179186688</t>
  </si>
  <si>
    <t>3_1680041797148463105</t>
  </si>
  <si>
    <t>3_1706296863891025920</t>
  </si>
  <si>
    <t>3_1697983694395367425</t>
  </si>
  <si>
    <t>7_1696391010887065600</t>
  </si>
  <si>
    <t>7_1696390739981119488</t>
  </si>
  <si>
    <t>7_1702953494406213632</t>
  </si>
  <si>
    <t>3_1705241272330354688</t>
  </si>
  <si>
    <t>3_1704975817422307329</t>
  </si>
  <si>
    <t>3_1699831956551217152 3_1699831962322571264 3_1699831966479032320</t>
  </si>
  <si>
    <t>3_1700909507000274944 3_1700909511844704256</t>
  </si>
  <si>
    <t>3_1687958407708626944</t>
  </si>
  <si>
    <t>3_1677860210143264768</t>
  </si>
  <si>
    <t>7_1706372415637315584</t>
  </si>
  <si>
    <t>7_1686484280917229571</t>
  </si>
  <si>
    <t>7_1686482475181277188</t>
  </si>
  <si>
    <t>3_1702376377087934464</t>
  </si>
  <si>
    <t>3_1676921218903994368</t>
  </si>
  <si>
    <t>3_1701390696303734784</t>
  </si>
  <si>
    <t>3_1698637134490402816</t>
  </si>
  <si>
    <t>3_1695804664703303680</t>
  </si>
  <si>
    <t>3_1700856747898949632</t>
  </si>
  <si>
    <t>3_1678328278623436800</t>
  </si>
  <si>
    <t>3_1677773104435568641</t>
  </si>
  <si>
    <t>3_1706602076661321728</t>
  </si>
  <si>
    <t>3_1705181457847611392</t>
  </si>
  <si>
    <t>3_1686443634160189445</t>
  </si>
  <si>
    <t>3_1681639032944467968</t>
  </si>
  <si>
    <t>3_1707083023609376768</t>
  </si>
  <si>
    <t>3_1699393111120605184</t>
  </si>
  <si>
    <t>3_1706406224256802816</t>
  </si>
  <si>
    <t>7_1676034254243786752</t>
  </si>
  <si>
    <t>7_1690807497282523137</t>
  </si>
  <si>
    <t>7_1689645937436848128</t>
  </si>
  <si>
    <t>3_1686154480729923584</t>
  </si>
  <si>
    <t>3_1676228927264522242</t>
  </si>
  <si>
    <t>3_1676217031761317889</t>
  </si>
  <si>
    <t>3_1676212160089792517</t>
  </si>
  <si>
    <t>3_1697010099565338624</t>
  </si>
  <si>
    <t>3_1698098483356368899</t>
  </si>
  <si>
    <t>3_1699169379215089664</t>
  </si>
  <si>
    <t>3_1699743248036638720</t>
  </si>
  <si>
    <t>3_1702050836510101504</t>
  </si>
  <si>
    <t>3_1703135431833882624</t>
  </si>
  <si>
    <t>3_1675887977011060736</t>
  </si>
  <si>
    <t>3_1707130246216986624</t>
  </si>
  <si>
    <t>7_1693139382302027776</t>
  </si>
  <si>
    <t>3_1693616608218931200 3_1693616611079471104 3_1693616613038157824</t>
  </si>
  <si>
    <t>3_1699180837835567104</t>
  </si>
  <si>
    <t>3_1676734777808900097</t>
  </si>
  <si>
    <t>3_1676334550257922051</t>
  </si>
  <si>
    <t>3_1686736440351219713</t>
  </si>
  <si>
    <t>3_1699611948650827776</t>
  </si>
  <si>
    <t>3_1699611838156021760</t>
  </si>
  <si>
    <t>3_1699611704374542336</t>
  </si>
  <si>
    <t>3_1699611619574050816</t>
  </si>
  <si>
    <t>3_1699611550217105408</t>
  </si>
  <si>
    <t>3_1699611440536006656</t>
  </si>
  <si>
    <t>3_1699611367798378496</t>
  </si>
  <si>
    <t>3_1699610775365529600</t>
  </si>
  <si>
    <t>3_1701158229198139392</t>
  </si>
  <si>
    <t>3_1676860841457508352</t>
  </si>
  <si>
    <t>3_1683477317203492867</t>
  </si>
  <si>
    <t>3_1677369810269659146</t>
  </si>
  <si>
    <t>3_1692223965496852480</t>
  </si>
  <si>
    <t>3_1679483856569729026</t>
  </si>
  <si>
    <t>3_1694808408644374529</t>
  </si>
  <si>
    <t>3_1681635615308148736</t>
  </si>
  <si>
    <t>3_1689246244122603520</t>
  </si>
  <si>
    <t>3_1694319424835104769</t>
  </si>
  <si>
    <t>3_1679098909694603264</t>
  </si>
  <si>
    <t>3_1676562162532114434</t>
  </si>
  <si>
    <t>3_1699751943084650496</t>
  </si>
  <si>
    <t>3_1701930038109626368</t>
  </si>
  <si>
    <t>3_1691782715132026881</t>
  </si>
  <si>
    <t>3_1704820369230540800</t>
  </si>
  <si>
    <t>3_1676903854854623233</t>
  </si>
  <si>
    <t>3_1681252607468134400</t>
  </si>
  <si>
    <t>3_1678715780173537282</t>
  </si>
  <si>
    <t>7_1677135602712555521</t>
  </si>
  <si>
    <t>7_1689044131950055424</t>
  </si>
  <si>
    <t>7_1694111812524871680</t>
  </si>
  <si>
    <t>7_1699203821832966144</t>
  </si>
  <si>
    <t>3_1697045318368428032</t>
  </si>
  <si>
    <t>3_1691604356724817920</t>
  </si>
  <si>
    <t>3_1681874374075244544</t>
  </si>
  <si>
    <t>3_1684513126123819008 3_1684513126123728896 3_1684513126127919105 3_1684513126128001027</t>
  </si>
  <si>
    <t>3_1703860509408178177</t>
  </si>
  <si>
    <t>3_1679989198105763841</t>
  </si>
  <si>
    <t>3_1692685189468561408</t>
  </si>
  <si>
    <t>7_1684616166751313943</t>
  </si>
  <si>
    <t>3_1691095047817584640</t>
  </si>
  <si>
    <t>3_1686401108342644736</t>
  </si>
  <si>
    <t>7_1681289541607469057</t>
  </si>
  <si>
    <t>7_1692266301366878209</t>
  </si>
  <si>
    <t>7_1676947968191250435</t>
  </si>
  <si>
    <t>3_1694313362480377857</t>
  </si>
  <si>
    <t>7_1684246670031159296</t>
  </si>
  <si>
    <t>3_1679110468038717441</t>
  </si>
  <si>
    <t>3_1701951153167101952</t>
  </si>
  <si>
    <t>7_1687648661080047618</t>
  </si>
  <si>
    <t>3_1676790167531552768</t>
  </si>
  <si>
    <t>3_1699349052201058304</t>
  </si>
  <si>
    <t>3_1691587778184695809</t>
  </si>
  <si>
    <t>3_1702163380012716032</t>
  </si>
  <si>
    <t>3_1689997728539885568</t>
  </si>
  <si>
    <t>3_1696509752975454208</t>
  </si>
  <si>
    <t>3_1683110998469689344</t>
  </si>
  <si>
    <t>3_1681661413935153152</t>
  </si>
  <si>
    <t>3_1680548005693251587</t>
  </si>
  <si>
    <t>7_1702872566304563200</t>
  </si>
  <si>
    <t>3_1676274995054485528 3_1676274995092234250 3_1676274995088039946 3_1676274995067068439</t>
  </si>
  <si>
    <t>3_1692536918259412992</t>
  </si>
  <si>
    <t>3_1705597930147590144</t>
  </si>
  <si>
    <t>7_1705237887413841920</t>
  </si>
  <si>
    <t>7_1705237658996260864</t>
  </si>
  <si>
    <t>7_1705237340573114368</t>
  </si>
  <si>
    <t>7_1705236503171895297</t>
  </si>
  <si>
    <t>7_1705236154491047936</t>
  </si>
  <si>
    <t>7_1698013865928232960</t>
  </si>
  <si>
    <t>7_1705235613157322752</t>
  </si>
  <si>
    <t>7_1705235196558086144</t>
  </si>
  <si>
    <t>7_1705614591961501697</t>
  </si>
  <si>
    <t>3_1687942705890852865</t>
  </si>
  <si>
    <t>3_1684543127460147201</t>
  </si>
  <si>
    <t>3_1679269694128242690</t>
  </si>
  <si>
    <t>3_1676223386383417346</t>
  </si>
  <si>
    <t>3_1649902507009667078</t>
  </si>
  <si>
    <t>3_1689013269799849984</t>
  </si>
  <si>
    <t>7_1691062612262330368</t>
  </si>
  <si>
    <t>3_1691466294275784704</t>
  </si>
  <si>
    <t>7_1676625074915344386</t>
  </si>
  <si>
    <t>3_1694757329202200577</t>
  </si>
  <si>
    <t>3_1698747078141198336</t>
  </si>
  <si>
    <t>3_1706044328609562624 3_1706044328605335552</t>
  </si>
  <si>
    <t>3_1681667028095041536</t>
  </si>
  <si>
    <t>7_1684529639023079425</t>
  </si>
  <si>
    <t>3_1678486984375824397</t>
  </si>
  <si>
    <t>3_1693629784532639744</t>
  </si>
  <si>
    <t>3_1684191661146906624</t>
  </si>
  <si>
    <t>3_1679923648134561805</t>
  </si>
  <si>
    <t>3_1691816281157128192</t>
  </si>
  <si>
    <t>3_1694038910291070976</t>
  </si>
  <si>
    <t>7_1694435990528528385</t>
  </si>
  <si>
    <t>7_1696973556012216320</t>
  </si>
  <si>
    <t>3_1679324376288620552</t>
  </si>
  <si>
    <t>3_1686202114857390080</t>
  </si>
  <si>
    <t>3_1689311443777159168</t>
  </si>
  <si>
    <t>3_1701360055059148800</t>
  </si>
  <si>
    <t>3_1679145984041930754</t>
  </si>
  <si>
    <t>7_1679687159534567426</t>
  </si>
  <si>
    <t>3_1683125400375787520</t>
  </si>
  <si>
    <t>3_1615295355800748033 3_1615295355804913664 3_1615295355792375808 3_1615295355796480001</t>
  </si>
  <si>
    <t>3_1681343529388326916</t>
  </si>
  <si>
    <t>3_1678175513196605441</t>
  </si>
  <si>
    <t>7_1676663089301803009</t>
  </si>
  <si>
    <t>3_1681039330825981952</t>
  </si>
  <si>
    <t>3_1676289566775320591</t>
  </si>
  <si>
    <t>3_1691868212953071617</t>
  </si>
  <si>
    <t>3_1677391785922797578</t>
  </si>
  <si>
    <t>3_1686840457555288064</t>
  </si>
  <si>
    <t>13_1705639400074334208</t>
  </si>
  <si>
    <t>3_1691176970451550208</t>
  </si>
  <si>
    <t>3_1692947339231588352</t>
  </si>
  <si>
    <t>3_1705558028701806592</t>
  </si>
  <si>
    <t>3_1684941800455245824</t>
  </si>
  <si>
    <t>3_1686028962722402304</t>
  </si>
  <si>
    <t>3_1680615686001811458</t>
  </si>
  <si>
    <t>3_1676312223189200906</t>
  </si>
  <si>
    <t>7_1678383360077430784</t>
  </si>
  <si>
    <t>7_1690553843598123008</t>
  </si>
  <si>
    <t>3_1676262925047136257</t>
  </si>
  <si>
    <t>3_1701270756074938368</t>
  </si>
  <si>
    <t>3_1695809614632091649</t>
  </si>
  <si>
    <t>3_1700926453439770624</t>
  </si>
  <si>
    <t>7_1681718236876816394</t>
  </si>
  <si>
    <t>3_1678376523454111745 3_1678376447621181440</t>
  </si>
  <si>
    <t>3_1685262099214180357</t>
  </si>
  <si>
    <t>16_1676207948521959424</t>
  </si>
  <si>
    <t>7_1689615458431909888</t>
  </si>
  <si>
    <t>3_1702759783881748480</t>
  </si>
  <si>
    <t>7_1691056126500937729</t>
  </si>
  <si>
    <t>16_1677046883930238976</t>
  </si>
  <si>
    <t>3_1690328679451136001</t>
  </si>
  <si>
    <t>3_1678520840831266818</t>
  </si>
  <si>
    <t>3_1678520808958828549</t>
  </si>
  <si>
    <t>3_1678520777652547584</t>
  </si>
  <si>
    <t>3_1678520745872302081</t>
  </si>
  <si>
    <t>3_1678520591924486144</t>
  </si>
  <si>
    <t>3_1687258310435635200</t>
  </si>
  <si>
    <t>3_1683653577284235264</t>
  </si>
  <si>
    <t>3_1699859603935358976</t>
  </si>
  <si>
    <t>3_1701670575595479043</t>
  </si>
  <si>
    <t>3_1696134685926006784</t>
  </si>
  <si>
    <t>3_1696131353719324672</t>
  </si>
  <si>
    <t>3_1695648979508244480</t>
  </si>
  <si>
    <t>3_1701313399127183360</t>
  </si>
  <si>
    <t>7_1697676212389179392</t>
  </si>
  <si>
    <t>7_1698210497080803328</t>
  </si>
  <si>
    <t>3_1701219229515599872</t>
  </si>
  <si>
    <t>3_1701219225254125568</t>
  </si>
  <si>
    <t>3_1702668781254823936 3_1702668784589287424 3_1702668788116652032 3_1702668791174275073</t>
  </si>
  <si>
    <t>3_1679838343016636418</t>
  </si>
  <si>
    <t>3_1704480733388038144</t>
  </si>
  <si>
    <t>3_1703755963713421312</t>
  </si>
  <si>
    <t>3_1707017443476955136</t>
  </si>
  <si>
    <t>3_1676258372125962240</t>
  </si>
  <si>
    <t>3_1686716148383969280</t>
  </si>
  <si>
    <t>7_1692518783598854144</t>
  </si>
  <si>
    <t>3_1696874666118258688</t>
  </si>
  <si>
    <t>3_1697982311545880576</t>
  </si>
  <si>
    <t>7_1684896463006900224</t>
  </si>
  <si>
    <t>7_1692577269447901184</t>
  </si>
  <si>
    <t>7_1693653551262605313</t>
  </si>
  <si>
    <t>3_1702325176405520384</t>
  </si>
  <si>
    <t>7_1689226437826424833</t>
  </si>
  <si>
    <t>3_1686382870217322497</t>
  </si>
  <si>
    <t>3_1683546266683187208 3_1683546284983037952 3_1683546301382774784</t>
  </si>
  <si>
    <t>3_1698772974730366976</t>
  </si>
  <si>
    <t>3_1697663286706163712</t>
  </si>
  <si>
    <t>3_1699769587523346432</t>
  </si>
  <si>
    <t>3_1701672236258627585</t>
  </si>
  <si>
    <t>3_1704148404387860481</t>
  </si>
  <si>
    <t>3_1706715320524652544</t>
  </si>
  <si>
    <t>7_1688238537991163904</t>
  </si>
  <si>
    <t>7_1691913615991832576</t>
  </si>
  <si>
    <t>7_1689382547698958336</t>
  </si>
  <si>
    <t>7_1694798526134231040</t>
  </si>
  <si>
    <t>7_1697220907985522689</t>
  </si>
  <si>
    <t>3_1697371604991213568</t>
  </si>
  <si>
    <t>7_1688594895093612552</t>
  </si>
  <si>
    <t>3_1699396960787050496</t>
  </si>
  <si>
    <t>7_1682118580618293249</t>
  </si>
  <si>
    <t>3_1679883612357787649</t>
  </si>
  <si>
    <t>3_1706311056686002176</t>
  </si>
  <si>
    <t>3_1694034660639035392</t>
  </si>
  <si>
    <t>3_1681617128959401985 3_1681617135615787009 3_1681617146202267649 3_1681617162954330114</t>
  </si>
  <si>
    <t>3_1679113575539826694 3_1679113575434973191 3_1679113575514685441 3_1679113575464329218</t>
  </si>
  <si>
    <t>7_1679505201500225537</t>
  </si>
  <si>
    <t>7_1678782168863240194</t>
  </si>
  <si>
    <t>7_1687109791695745026</t>
  </si>
  <si>
    <t>3_1676672036146499589</t>
  </si>
  <si>
    <t>3_1692565096906579968</t>
  </si>
  <si>
    <t>3_1683926153642364928</t>
  </si>
  <si>
    <t>3_1683925645632339977</t>
  </si>
  <si>
    <t>3_1683924901772623873</t>
  </si>
  <si>
    <t>3_1683924401392082962</t>
  </si>
  <si>
    <t>3_1683923391449817093</t>
  </si>
  <si>
    <t>3_1692235157619511296</t>
  </si>
  <si>
    <t>3_1691951776923066368</t>
  </si>
  <si>
    <t>3_1691950511895801856</t>
  </si>
  <si>
    <t>3_1683509907239182340</t>
  </si>
  <si>
    <t>3_1693258885480538113</t>
  </si>
  <si>
    <t>3_1696918461425782784</t>
  </si>
  <si>
    <t>7_1691488692790079489</t>
  </si>
  <si>
    <t>7_1691481903801466880</t>
  </si>
  <si>
    <t>3_1694523213336784896</t>
  </si>
  <si>
    <t>7_1694516667710066688</t>
  </si>
  <si>
    <t>3_1694512897030787074</t>
  </si>
  <si>
    <t>3_1693734048093392896</t>
  </si>
  <si>
    <t>3_1696299380838469632</t>
  </si>
  <si>
    <t>3_1696298380064915456</t>
  </si>
  <si>
    <t>3_1696217603339898881</t>
  </si>
  <si>
    <t>3_1696216597998780416</t>
  </si>
  <si>
    <t>3_1686418242338803717</t>
  </si>
  <si>
    <t>3_1689349967519895552</t>
  </si>
  <si>
    <t>3_1693714036615942144</t>
  </si>
  <si>
    <t>7_1691435842106003456</t>
  </si>
  <si>
    <t>13_1685457350793039872</t>
  </si>
  <si>
    <t>3_1704489890799296512</t>
  </si>
  <si>
    <t>7_1702823486996054016</t>
  </si>
  <si>
    <t>7_1702668744068153344</t>
  </si>
  <si>
    <t>7_1681450721508577280</t>
  </si>
  <si>
    <t>3_1702838619382112256 3_1702838629448454144 3_1702838638155886592 7_1702838648868118528</t>
  </si>
  <si>
    <t>3_1700886043275280384</t>
  </si>
  <si>
    <t>7_1677728991786967040</t>
  </si>
  <si>
    <t>3_1688991017263828992</t>
  </si>
  <si>
    <t>3_1687509704912560128</t>
  </si>
  <si>
    <t>3_1678785505348001792</t>
  </si>
  <si>
    <t>3_1693696083166162944 3_1693696082641866752 3_1693696083170381824 3_1693696083161907203</t>
  </si>
  <si>
    <t>3_1704842658928041984</t>
  </si>
  <si>
    <t>3_1691867099235287040</t>
  </si>
  <si>
    <t>3_1703785836284698625</t>
  </si>
  <si>
    <t>3_1702694652413935616</t>
  </si>
  <si>
    <t>7_1694025751207587846</t>
  </si>
  <si>
    <t>3_1681375059493912584</t>
  </si>
  <si>
    <t>3_1699417845858287616</t>
  </si>
  <si>
    <t>3_1698099445924032512</t>
  </si>
  <si>
    <t>7_1690920476686577665</t>
  </si>
  <si>
    <t>3_1678486983549566976</t>
  </si>
  <si>
    <t>3_1696564806252220431</t>
  </si>
  <si>
    <t>3_1693055048874659841</t>
  </si>
  <si>
    <t>3_1701605109564841984</t>
  </si>
  <si>
    <t>3_1693350076909850624</t>
  </si>
  <si>
    <t>3_1688277705651843072</t>
  </si>
  <si>
    <t>3_1689048072028872704</t>
  </si>
  <si>
    <t>3_1688691421631385600</t>
  </si>
  <si>
    <t>3_1683256136701542401</t>
  </si>
  <si>
    <t>3_1678569034831257601</t>
  </si>
  <si>
    <t>3_1675301523012694017</t>
  </si>
  <si>
    <t>3_1693334250320228353</t>
  </si>
  <si>
    <t>3_1692960946052878336</t>
  </si>
  <si>
    <t>3_1678572221378314241</t>
  </si>
  <si>
    <t>3_1676732993593851905</t>
  </si>
  <si>
    <t>3_1676365055162568704</t>
  </si>
  <si>
    <t>3_1695912857651605504</t>
  </si>
  <si>
    <t>3_1697022346446385153</t>
  </si>
  <si>
    <t>3_1690875447339270144</t>
  </si>
  <si>
    <t>3_1688254150159532032</t>
  </si>
  <si>
    <t>3_1683612396370182144</t>
  </si>
  <si>
    <t>3_1677731307852275714</t>
  </si>
  <si>
    <t>3_1698401117959233537</t>
  </si>
  <si>
    <t>3_1695217028221579264</t>
  </si>
  <si>
    <t>3_1690786376285884417</t>
  </si>
  <si>
    <t>3_1700998545351069696</t>
  </si>
  <si>
    <t>3_1690869246396403713</t>
  </si>
  <si>
    <t>3_1691938838782820352</t>
  </si>
  <si>
    <t>3_1685789139810004992</t>
  </si>
  <si>
    <t>3_1683198667212169217</t>
  </si>
  <si>
    <t>3_1703540092722147328</t>
  </si>
  <si>
    <t>3_1703474032488640512</t>
  </si>
  <si>
    <t>3_1690850689432367105</t>
  </si>
  <si>
    <t>3_1686483115471142917</t>
  </si>
  <si>
    <t>3_1680691719048765440</t>
  </si>
  <si>
    <t>3_1706024602449653760</t>
  </si>
  <si>
    <t>3_1703507430993170432</t>
  </si>
  <si>
    <t>3_1688282408129286144</t>
  </si>
  <si>
    <t>3_1685338486511902720</t>
  </si>
  <si>
    <t>3_1678581592149598210</t>
  </si>
  <si>
    <t>3_1679623914874458112</t>
  </si>
  <si>
    <t>3_1706042418926137344</t>
  </si>
  <si>
    <t>3_1700989869655523328</t>
  </si>
  <si>
    <t>3_1698455200904691712</t>
  </si>
  <si>
    <t>3_1695898381359398912</t>
  </si>
  <si>
    <t>3_1690859706762383360</t>
  </si>
  <si>
    <t>3_1685779507817365504</t>
  </si>
  <si>
    <t>3_1682796277426278400</t>
  </si>
  <si>
    <t>3_1681824519000817670</t>
  </si>
  <si>
    <t>3_1687290670556282880 3_1687290670468284416</t>
  </si>
  <si>
    <t>3_1687288041801486336 3_1687288041654677504</t>
  </si>
  <si>
    <t>3_1687287396654522368 3_1687287396545499136</t>
  </si>
  <si>
    <t>3_1687286864774897664 3_1687286864787451905</t>
  </si>
  <si>
    <t>3_1687286279157813248 3_1687286279132618752</t>
  </si>
  <si>
    <t>3_1687284916461957120 3_1687284916457787392</t>
  </si>
  <si>
    <t>3_1687279655122800640 3_1687279655126962176 3_1687279655118675968</t>
  </si>
  <si>
    <t>7_1696914518478077952</t>
  </si>
  <si>
    <t>3_1682010814553702401</t>
  </si>
  <si>
    <t>3_1681340653840613387</t>
  </si>
  <si>
    <t>7_1702073154452000768</t>
  </si>
  <si>
    <t>3_1704326109297328128</t>
  </si>
  <si>
    <t>7_1678733892264534023</t>
  </si>
  <si>
    <t>3_1681631254402441217</t>
  </si>
  <si>
    <t>3_1681273705115312128</t>
  </si>
  <si>
    <t>3_1697419944231677952</t>
  </si>
  <si>
    <t>7_1689818458165223424</t>
  </si>
  <si>
    <t>3_1681269639538528256</t>
  </si>
  <si>
    <t>3_1700160374568292352</t>
  </si>
  <si>
    <t>7_1683624591061577728</t>
  </si>
  <si>
    <t>7_1685764979843084288</t>
  </si>
  <si>
    <t>3_1694160248116740096</t>
  </si>
  <si>
    <t>3_1697303881665978368</t>
  </si>
  <si>
    <t>3_1701243003157745664</t>
  </si>
  <si>
    <t>3_1706317467251867648</t>
  </si>
  <si>
    <t>3_1701371288143515648 3_1701371293944139776 3_1701371297962373120 3_1701371302118916096</t>
  </si>
  <si>
    <t>3_1702773181835059200 3_1702773185685438464 3_1702773189493878784</t>
  </si>
  <si>
    <t>3_1700526443220889600 3_1700526445989097472 3_1700526448845455360</t>
  </si>
  <si>
    <t>3_1698063187604602880 3_1698063191861780481</t>
  </si>
  <si>
    <t>3_1703501724554551296 3_1703501729268948993 3_1703501732595015680</t>
  </si>
  <si>
    <t>7_1702653239001325569</t>
  </si>
  <si>
    <t>7_1700118001335336960</t>
  </si>
  <si>
    <t>7_1703787683112185856</t>
  </si>
  <si>
    <t>7_1701688155617792000</t>
  </si>
  <si>
    <t>3_1703912035233202176 3_1703912039901519872 3_1703912043588296704 3_1703912046968852480</t>
  </si>
  <si>
    <t>3_1700885501421432832 3_1700885505942958080 3_1700885509772333056</t>
  </si>
  <si>
    <t>3_1703831979941089280</t>
  </si>
  <si>
    <t>3_1703831870247428100</t>
  </si>
  <si>
    <t>3_1703831514302029824</t>
  </si>
  <si>
    <t>3_1703828910612398080</t>
  </si>
  <si>
    <t>3_1703828776163917824</t>
  </si>
  <si>
    <t>7_1704175837824647168</t>
  </si>
  <si>
    <t>3_1704175608643624960</t>
  </si>
  <si>
    <t>3_1704175184679161856</t>
  </si>
  <si>
    <t>3_1676226885322256389</t>
  </si>
  <si>
    <t>3_1696938790827294721</t>
  </si>
  <si>
    <t>3_1691871255970889728</t>
  </si>
  <si>
    <t>3_1702775412932083712</t>
  </si>
  <si>
    <t>13_1691878036126445574</t>
  </si>
  <si>
    <t>13_1689664556610527232</t>
  </si>
  <si>
    <t>13_1689662300557332480</t>
  </si>
  <si>
    <t>13_1689661154279276545</t>
  </si>
  <si>
    <t>13_1689659827637624832</t>
  </si>
  <si>
    <t>13_1685016215876403202</t>
  </si>
  <si>
    <t>13_1695782382819794944</t>
  </si>
  <si>
    <t>13_1700237716284231680</t>
  </si>
  <si>
    <t>13_1699811448673771520</t>
  </si>
  <si>
    <t>13_1700177087879888896</t>
  </si>
  <si>
    <t>13_1677700621397291009</t>
  </si>
  <si>
    <t>13_1700237446904991744</t>
  </si>
  <si>
    <t>13_1704499331519184896</t>
  </si>
  <si>
    <t>13_1689657289773342720</t>
  </si>
  <si>
    <t>13_1689655833716563968</t>
  </si>
  <si>
    <t>3_1677027758419980289</t>
  </si>
  <si>
    <t>3_1692605901046210560 3_1692605901528510466 3_1692605901981564929 3_1692605902392594432</t>
  </si>
  <si>
    <t>3_1685273889650233344</t>
  </si>
  <si>
    <t>7_1681275218218606592</t>
  </si>
  <si>
    <t>7_1677748890643070977</t>
  </si>
  <si>
    <t>7_1680004978713276416</t>
  </si>
  <si>
    <t>7_1680004681089597442</t>
  </si>
  <si>
    <t>7_1690233743779201025</t>
  </si>
  <si>
    <t>3_1691869123381252096 3_1691869142029152256 3_1691869172135845888</t>
  </si>
  <si>
    <t>7_1705054729850458112</t>
  </si>
  <si>
    <t>3_1684398167729512453</t>
  </si>
  <si>
    <t>7_1681062030231367681</t>
  </si>
  <si>
    <t>7_1677642748596297728</t>
  </si>
  <si>
    <t>3_1684205788540051461</t>
  </si>
  <si>
    <t>3_1676215704230436868</t>
  </si>
  <si>
    <t>3_1679183862797090816</t>
  </si>
  <si>
    <t>3_1692517230553014272</t>
  </si>
  <si>
    <t>3_1688835402575089664</t>
  </si>
  <si>
    <t>3_1690041762142728193</t>
  </si>
  <si>
    <t>3_1676576836514447360</t>
  </si>
  <si>
    <t>3_1689106205032005632</t>
  </si>
  <si>
    <t>7_1698880117248856064</t>
  </si>
  <si>
    <t>3_1688518751069605889</t>
  </si>
  <si>
    <t>3_1688518692580020225</t>
  </si>
  <si>
    <t>3_1688518606395416576</t>
  </si>
  <si>
    <t>3_1688518528909955072</t>
  </si>
  <si>
    <t>3_1688518326631145472</t>
  </si>
  <si>
    <t>3_1688518225774923777</t>
  </si>
  <si>
    <t>3_1688518145739194368</t>
  </si>
  <si>
    <t>3_1688518089648803841</t>
  </si>
  <si>
    <t>3_1688517883490439168</t>
  </si>
  <si>
    <t>3_1688517258698424320</t>
  </si>
  <si>
    <t>3_1688517188733317120</t>
  </si>
  <si>
    <t>3_1688517053152468993</t>
  </si>
  <si>
    <t>3_1688516950966624256</t>
  </si>
  <si>
    <t>3_1687074842837651456</t>
  </si>
  <si>
    <t>3_1687074692866207744</t>
  </si>
  <si>
    <t>3_1687074620694802432</t>
  </si>
  <si>
    <t>3_1687074307099205632</t>
  </si>
  <si>
    <t>3_1696262894453764096</t>
  </si>
  <si>
    <t>7_1690710557240745986</t>
  </si>
  <si>
    <t>3_1682013362882764802</t>
  </si>
  <si>
    <t>3_1686411001749557253</t>
  </si>
  <si>
    <t>7_1696698719800844288</t>
  </si>
  <si>
    <t>7_1685354520677675008</t>
  </si>
  <si>
    <t>3_1679953218061606912 3_1679953218053259265</t>
  </si>
  <si>
    <t>3_1679932707445325838</t>
  </si>
  <si>
    <t>3_1686472828584067074</t>
  </si>
  <si>
    <t>3_1691816858922467328</t>
  </si>
  <si>
    <t xml:space="preserve">25299  20100 </t>
  </si>
  <si>
    <t>1691000544561864704</t>
  </si>
  <si>
    <t>1687176976023371778</t>
  </si>
  <si>
    <t>1687080752532393984</t>
  </si>
  <si>
    <t>1687917728076529664</t>
  </si>
  <si>
    <t>1687867158800351232</t>
  </si>
  <si>
    <t>1688715349691133952</t>
  </si>
  <si>
    <t>1685368970147225600</t>
  </si>
  <si>
    <t>1697001965572477249</t>
  </si>
  <si>
    <t>1696222143602671828</t>
  </si>
  <si>
    <t>1678633029131022339</t>
  </si>
  <si>
    <t>1704894877601828914</t>
  </si>
  <si>
    <t>1677996198291021880</t>
  </si>
  <si>
    <t>1693629493397659846</t>
  </si>
  <si>
    <t>1703826376770380230</t>
  </si>
  <si>
    <t>1677326898861309953</t>
  </si>
  <si>
    <t>1679234090183143424</t>
  </si>
  <si>
    <t>1682492698815594499</t>
  </si>
  <si>
    <t>1688597393023922176</t>
  </si>
  <si>
    <t>1676172858630733824</t>
  </si>
  <si>
    <t>1678352157135732738</t>
  </si>
  <si>
    <t>1681251294160252928</t>
  </si>
  <si>
    <t>1679069494168236032</t>
  </si>
  <si>
    <t>1676900093725663235</t>
  </si>
  <si>
    <t>1680556705380220929</t>
  </si>
  <si>
    <t>1689313490899480577</t>
  </si>
  <si>
    <t>1696539095970029886</t>
  </si>
  <si>
    <t>1697263758455062671</t>
  </si>
  <si>
    <t>1701975303742980528</t>
  </si>
  <si>
    <t>1699438705369370754</t>
  </si>
  <si>
    <t>1699438336417419695</t>
  </si>
  <si>
    <t>1682406123863789568</t>
  </si>
  <si>
    <t>1705236561397244080</t>
  </si>
  <si>
    <t>1707055347737702865</t>
  </si>
  <si>
    <t>1705045591149945034</t>
  </si>
  <si>
    <t>1696465369634861138</t>
  </si>
  <si>
    <t>1686458082295975936</t>
  </si>
  <si>
    <t>1679214083109711885</t>
  </si>
  <si>
    <t>1703813538345611482</t>
  </si>
  <si>
    <t>1683569967814279170</t>
  </si>
  <si>
    <t>1706113791606288756</t>
  </si>
  <si>
    <t>1680443830770843649</t>
  </si>
  <si>
    <t>1691620440878531056</t>
  </si>
  <si>
    <t>1679873659555442689</t>
  </si>
  <si>
    <t>1706804691756003547</t>
  </si>
  <si>
    <t>1682433483522580501</t>
  </si>
  <si>
    <t>1682353864551301121</t>
  </si>
  <si>
    <t>1683296510337773569</t>
  </si>
  <si>
    <t>1686694562725494784</t>
  </si>
  <si>
    <t>1686549774483255296</t>
  </si>
  <si>
    <t>1693352641818976584</t>
  </si>
  <si>
    <t>1695576394602779048</t>
  </si>
  <si>
    <t>1695275398383227266</t>
  </si>
  <si>
    <t>1695090512305291432</t>
  </si>
  <si>
    <t>1690042025331109889</t>
  </si>
  <si>
    <t>1689956078920839168</t>
  </si>
  <si>
    <t>1689820703535558656</t>
  </si>
  <si>
    <t>1684631975909318656</t>
  </si>
  <si>
    <t>1684559943725387776</t>
  </si>
  <si>
    <t>1675891153919528960</t>
  </si>
  <si>
    <t>1686499791780352002</t>
  </si>
  <si>
    <t>1681777443160350721</t>
  </si>
  <si>
    <t>1681355540784463906</t>
  </si>
  <si>
    <t>1688557664647692288</t>
  </si>
  <si>
    <t>1684369618066980865</t>
  </si>
  <si>
    <t>1691929445647483137</t>
  </si>
  <si>
    <t>1683261382861500416</t>
  </si>
  <si>
    <t>1683154467007389696</t>
  </si>
  <si>
    <t>1691827349853966821</t>
  </si>
  <si>
    <t>1686797930764660750</t>
  </si>
  <si>
    <t>1682135459256754177</t>
  </si>
  <si>
    <t>1682105911291047936</t>
  </si>
  <si>
    <t>1682052250603069440</t>
  </si>
  <si>
    <t>1693063684359098435</t>
  </si>
  <si>
    <t>1683840427357786114</t>
  </si>
  <si>
    <t>1683567955580207106</t>
  </si>
  <si>
    <t>1678091044011888648</t>
  </si>
  <si>
    <t>1677725521344331777</t>
  </si>
  <si>
    <t>1695803668564475925</t>
  </si>
  <si>
    <t>1680885322945634305</t>
  </si>
  <si>
    <t>1680546087264821249</t>
  </si>
  <si>
    <t>1680180335005270016</t>
  </si>
  <si>
    <t>1686724061181730817</t>
  </si>
  <si>
    <t>1703070598178435581</t>
  </si>
  <si>
    <t>1679520158652461057</t>
  </si>
  <si>
    <t>1703859999976436002</t>
  </si>
  <si>
    <t>1681386762172604416</t>
  </si>
  <si>
    <t>1678514861804773376</t>
  </si>
  <si>
    <t>1705661504899498192</t>
  </si>
  <si>
    <t>1681707692304236557</t>
  </si>
  <si>
    <t>1683505223074033664</t>
  </si>
  <si>
    <t>1699483562699862116</t>
  </si>
  <si>
    <t>1702086027081351541</t>
  </si>
  <si>
    <t>1692730232111874496</t>
  </si>
  <si>
    <t>1677486827354087427</t>
  </si>
  <si>
    <t>1679570626162446338</t>
  </si>
  <si>
    <t>1678470567710564367</t>
  </si>
  <si>
    <t>1689744787002347522</t>
  </si>
  <si>
    <t>1678872519221149696</t>
  </si>
  <si>
    <t>1676232311845662720</t>
  </si>
  <si>
    <t>1700887165427700053</t>
  </si>
  <si>
    <t>1689381978678734848</t>
  </si>
  <si>
    <t>1689305719181316096</t>
  </si>
  <si>
    <t>1688566469557186561</t>
  </si>
  <si>
    <t>1688560974536593408</t>
  </si>
  <si>
    <t>1676335772373250049</t>
  </si>
  <si>
    <t>1702427205429547425</t>
  </si>
  <si>
    <t>1694092749220295049</t>
  </si>
  <si>
    <t>1683840147673223169</t>
  </si>
  <si>
    <t>1678510179111821312</t>
  </si>
  <si>
    <t>1678147132203716609</t>
  </si>
  <si>
    <t>1677709205149478912</t>
  </si>
  <si>
    <t>1703786577321717989</t>
  </si>
  <si>
    <t>1699075600273588374</t>
  </si>
  <si>
    <t>1696267286703689895</t>
  </si>
  <si>
    <t>1691450245702729728</t>
  </si>
  <si>
    <t>1681681091558535168</t>
  </si>
  <si>
    <t>1681408837872435229</t>
  </si>
  <si>
    <t>1681320970689318913</t>
  </si>
  <si>
    <t>1704148679081304444</t>
  </si>
  <si>
    <t>1700253241605284226</t>
  </si>
  <si>
    <t>1694816984330887365</t>
  </si>
  <si>
    <t>1690015557855141888</t>
  </si>
  <si>
    <t>1704600875258507650</t>
  </si>
  <si>
    <t>1699890368676802784</t>
  </si>
  <si>
    <t>1687481852196528128</t>
  </si>
  <si>
    <t>1687123411317698561</t>
  </si>
  <si>
    <t>1677422355214114828</t>
  </si>
  <si>
    <t>1677060507499372547</t>
  </si>
  <si>
    <t>1706278930880065933</t>
  </si>
  <si>
    <t>1703061512212898229</t>
  </si>
  <si>
    <t>1701276114054767034</t>
  </si>
  <si>
    <t>1686120855821025280</t>
  </si>
  <si>
    <t>1706688610173358553</t>
  </si>
  <si>
    <t>1696629331802423532</t>
  </si>
  <si>
    <t>1682763770580418561</t>
  </si>
  <si>
    <t>1682223576295043074</t>
  </si>
  <si>
    <t>1676017985746526208</t>
  </si>
  <si>
    <t>1675972687427166209</t>
  </si>
  <si>
    <t>1675882089332510720</t>
  </si>
  <si>
    <t>1683855206168027142</t>
  </si>
  <si>
    <t>1686167292797743104</t>
  </si>
  <si>
    <t>1695114875658281378</t>
  </si>
  <si>
    <t>1694432355123892227</t>
  </si>
  <si>
    <t>1696261626196894006</t>
  </si>
  <si>
    <t>1681699194413744129</t>
  </si>
  <si>
    <t>1697655557115744560</t>
  </si>
  <si>
    <t>1700539560835617073</t>
  </si>
  <si>
    <t>1698002845751017489</t>
  </si>
  <si>
    <t>1690083679521902593</t>
  </si>
  <si>
    <t>1703076284224700535</t>
  </si>
  <si>
    <t>1698765018769015130</t>
  </si>
  <si>
    <t>1698764914368610578</t>
  </si>
  <si>
    <t>1695176263638393253</t>
  </si>
  <si>
    <t>1695176184747733213</t>
  </si>
  <si>
    <t>1705612991134384230</t>
  </si>
  <si>
    <t>1703824292209701092</t>
  </si>
  <si>
    <t>1692688053414805736</t>
  </si>
  <si>
    <t>1677400384170500108</t>
  </si>
  <si>
    <t>1686456073819930639</t>
  </si>
  <si>
    <t>1676387472043802624</t>
  </si>
  <si>
    <t>1697625861258940915</t>
  </si>
  <si>
    <t>1699546889077587977</t>
  </si>
  <si>
    <t>1695081092586303922</t>
  </si>
  <si>
    <t>1691481962135900162</t>
  </si>
  <si>
    <t>1689692226375311360</t>
  </si>
  <si>
    <t>1690078917556666371</t>
  </si>
  <si>
    <t>1701264378379534573</t>
  </si>
  <si>
    <t>1699453428856946786</t>
  </si>
  <si>
    <t>1677512855476633601</t>
  </si>
  <si>
    <t>1677150468055629825</t>
  </si>
  <si>
    <t>1705024848492146882</t>
  </si>
  <si>
    <t>1678392886390390785</t>
  </si>
  <si>
    <t>1679859466978689024</t>
  </si>
  <si>
    <t>1679857963169718278</t>
  </si>
  <si>
    <t>1689107729720258561</t>
  </si>
  <si>
    <t>1683455272591949826</t>
  </si>
  <si>
    <t>1682884076045479936</t>
  </si>
  <si>
    <t>1703850077612048736</t>
  </si>
  <si>
    <t>1697280585767456937</t>
  </si>
  <si>
    <t>1702301797644165534</t>
  </si>
  <si>
    <t>1704584204552470593</t>
  </si>
  <si>
    <t>1704653763812712599</t>
  </si>
  <si>
    <t>1704607703954252240</t>
  </si>
  <si>
    <t>1704607647217967392</t>
  </si>
  <si>
    <t>1686744921162514432</t>
  </si>
  <si>
    <t>1686400773062524929</t>
  </si>
  <si>
    <t>1686202504260780032</t>
  </si>
  <si>
    <t>1692005178600280234</t>
  </si>
  <si>
    <t>1689818380969132032</t>
  </si>
  <si>
    <t>1686021557028569089</t>
  </si>
  <si>
    <t>1687273864458317824</t>
  </si>
  <si>
    <t>1687845918400196608</t>
  </si>
  <si>
    <t>1680931434796666884</t>
  </si>
  <si>
    <t>1703754839723762172</t>
  </si>
  <si>
    <t>1681324419094831105</t>
  </si>
  <si>
    <t>1695128850626117680</t>
  </si>
  <si>
    <t>1702268922857169339</t>
  </si>
  <si>
    <t>1677965908709453824</t>
  </si>
  <si>
    <t>1680508827894939648</t>
  </si>
  <si>
    <t>1676344216744603649</t>
  </si>
  <si>
    <t>1684218632321081344</t>
  </si>
  <si>
    <t>1684647328001425408</t>
  </si>
  <si>
    <t>1675990734548131842</t>
  </si>
  <si>
    <t>1689695853282230272</t>
  </si>
  <si>
    <t>1694798915055312903</t>
  </si>
  <si>
    <t>1697671026623013315</t>
  </si>
  <si>
    <t>1698751592801964161</t>
  </si>
  <si>
    <t>1690004529238982656</t>
  </si>
  <si>
    <t>1691200625587974144</t>
  </si>
  <si>
    <t>1694023426862723565</t>
  </si>
  <si>
    <t>1692936583937224944</t>
  </si>
  <si>
    <t>1698781485560398076</t>
  </si>
  <si>
    <t>1701662328674980286</t>
  </si>
  <si>
    <t>1682345156328972294</t>
  </si>
  <si>
    <t>1682069671732822017</t>
  </si>
  <si>
    <t>1681982881831190528</t>
  </si>
  <si>
    <t>1679808420931678208</t>
  </si>
  <si>
    <t>1679445876509495298</t>
  </si>
  <si>
    <t>1678866538718277635</t>
  </si>
  <si>
    <t>1678808128215830529</t>
  </si>
  <si>
    <t>1676271458371215362</t>
  </si>
  <si>
    <t>1676184825214976003</t>
  </si>
  <si>
    <t>1684157328289828864</t>
  </si>
  <si>
    <t>1683519231847985153</t>
  </si>
  <si>
    <t>1683432007869628421</t>
  </si>
  <si>
    <t>1676996216733806593</t>
  </si>
  <si>
    <t>1686331539624169472</t>
  </si>
  <si>
    <t>1681707283124715529</t>
  </si>
  <si>
    <t>1681620483647709184</t>
  </si>
  <si>
    <t>1681344883599048705</t>
  </si>
  <si>
    <t>1681257635918610435</t>
  </si>
  <si>
    <t>1683939996493926401</t>
  </si>
  <si>
    <t>1683881561786134530</t>
  </si>
  <si>
    <t>1683794725810085888</t>
  </si>
  <si>
    <t>1678445768275894287</t>
  </si>
  <si>
    <t>1678358482733391872</t>
  </si>
  <si>
    <t>1686073623537238016</t>
  </si>
  <si>
    <t>1686055911029080064</t>
  </si>
  <si>
    <t>1680982512984571904</t>
  </si>
  <si>
    <t>1680895296547565570</t>
  </si>
  <si>
    <t>1678720931026333696</t>
  </si>
  <si>
    <t>1679083725773053952</t>
  </si>
  <si>
    <t>1676633840859709445</t>
  </si>
  <si>
    <t>1676546717334794242</t>
  </si>
  <si>
    <t>1677271826190221312</t>
  </si>
  <si>
    <t>1678385978149412864</t>
  </si>
  <si>
    <t>1705055416328081626</t>
  </si>
  <si>
    <t>1688165195326107648</t>
  </si>
  <si>
    <t>1696190929760059873</t>
  </si>
  <si>
    <t>1696146378626343158</t>
  </si>
  <si>
    <t>1706788244476629299</t>
  </si>
  <si>
    <t>1687901282814795778</t>
  </si>
  <si>
    <t>1687553997861961728</t>
  </si>
  <si>
    <t>1696039915669078339</t>
  </si>
  <si>
    <t>1701596534130032686</t>
  </si>
  <si>
    <t>1685074399223824385</t>
  </si>
  <si>
    <t>1694028609055293764</t>
  </si>
  <si>
    <t>1707047137609978229</t>
  </si>
  <si>
    <t>1695807580033974297</t>
  </si>
  <si>
    <t>1695445188544471088</t>
  </si>
  <si>
    <t>1701621785479758284</t>
  </si>
  <si>
    <t>1701605974396846265</t>
  </si>
  <si>
    <t>1694463732636639588</t>
  </si>
  <si>
    <t>1694322339154919867</t>
  </si>
  <si>
    <t>1678902869171359746</t>
  </si>
  <si>
    <t>1702436406059024671</t>
  </si>
  <si>
    <t>1702142544006525002</t>
  </si>
  <si>
    <t>1704991714211991631</t>
  </si>
  <si>
    <t>1704573297730445750</t>
  </si>
  <si>
    <t>1705344603212116285</t>
  </si>
  <si>
    <t>1680336343832879106</t>
  </si>
  <si>
    <t>1706347780434694214</t>
  </si>
  <si>
    <t>1702779061800448156</t>
  </si>
  <si>
    <t>1690176578561490944</t>
  </si>
  <si>
    <t>1678547409490571265</t>
  </si>
  <si>
    <t>1702790265352646749</t>
  </si>
  <si>
    <t>1704232210067325083</t>
  </si>
  <si>
    <t>1707146189752119483</t>
  </si>
  <si>
    <t>1701600556073255303</t>
  </si>
  <si>
    <t>1703724286773457128</t>
  </si>
  <si>
    <t>1682773407287369736</t>
  </si>
  <si>
    <t>1681929544091983875</t>
  </si>
  <si>
    <t>1680131477583937536</t>
  </si>
  <si>
    <t>1676984741483122693</t>
  </si>
  <si>
    <t>1684586949686841345</t>
  </si>
  <si>
    <t>1688560469617831941</t>
  </si>
  <si>
    <t>1687481363660746752</t>
  </si>
  <si>
    <t>1679659066388250626</t>
  </si>
  <si>
    <t>1677647877655470081</t>
  </si>
  <si>
    <t>1678382417910939649</t>
  </si>
  <si>
    <t>1679100647365308417</t>
  </si>
  <si>
    <t>1679934380368642051</t>
  </si>
  <si>
    <t>1679306895679541250</t>
  </si>
  <si>
    <t>1687412756222287873</t>
  </si>
  <si>
    <t>1677312908785508362</t>
  </si>
  <si>
    <t>1703176157225435268</t>
  </si>
  <si>
    <t>1691431067557744640</t>
  </si>
  <si>
    <t>1701574055101448650</t>
  </si>
  <si>
    <t>1686346872514813952</t>
  </si>
  <si>
    <t>1688967911845629952</t>
  </si>
  <si>
    <t>1691055846988398592</t>
  </si>
  <si>
    <t>1680999643826593792</t>
  </si>
  <si>
    <t>1693973209974989290</t>
  </si>
  <si>
    <t>1683444160412393472</t>
  </si>
  <si>
    <t>1676290578516942861</t>
  </si>
  <si>
    <t>1689509656626937856</t>
  </si>
  <si>
    <t>1694489419179233779</t>
  </si>
  <si>
    <t>1697593862309458340</t>
  </si>
  <si>
    <t>1705309907149283646</t>
  </si>
  <si>
    <t>1705309634037227885</t>
  </si>
  <si>
    <t>1676301135500529665</t>
  </si>
  <si>
    <t>1677331841064288259</t>
  </si>
  <si>
    <t>1678837875008217088</t>
  </si>
  <si>
    <t>1678834162654933025</t>
  </si>
  <si>
    <t>1678834156854210577</t>
  </si>
  <si>
    <t>1678628960702169088</t>
  </si>
  <si>
    <t>1676092245005549568</t>
  </si>
  <si>
    <t>1685329364194377728</t>
  </si>
  <si>
    <t>1695069691331396003</t>
  </si>
  <si>
    <t>1707017578919419930</t>
  </si>
  <si>
    <t>1692513500562645319</t>
  </si>
  <si>
    <t>1697287802893819993</t>
  </si>
  <si>
    <t>1676766411958501378</t>
  </si>
  <si>
    <t>1679491219863523331</t>
  </si>
  <si>
    <t>1678362574478274560</t>
  </si>
  <si>
    <t>1686066730152443913</t>
  </si>
  <si>
    <t>1685968015207149569</t>
  </si>
  <si>
    <t>1696232514338107594</t>
  </si>
  <si>
    <t>1696230016936259864</t>
  </si>
  <si>
    <t>1696230011533926586</t>
  </si>
  <si>
    <t>1686374981473812481</t>
  </si>
  <si>
    <t>1702358430466347476</t>
  </si>
  <si>
    <t>1702358178686472344</t>
  </si>
  <si>
    <t>1700132240116584718</t>
  </si>
  <si>
    <t>1691894191763197984</t>
  </si>
  <si>
    <t>1702359214004310308</t>
  </si>
  <si>
    <t>1702359210720215079</t>
  </si>
  <si>
    <t>1702358960026550590</t>
  </si>
  <si>
    <t>1706356404724895850</t>
  </si>
  <si>
    <t>1705257709744857468</t>
  </si>
  <si>
    <t>1704818006616932503</t>
  </si>
  <si>
    <t>1704130402091454707</t>
  </si>
  <si>
    <t>1676368037514203137</t>
  </si>
  <si>
    <t>1684710508107296768</t>
  </si>
  <si>
    <t>1695555896170979707</t>
  </si>
  <si>
    <t>1684978296097009664</t>
  </si>
  <si>
    <t>1696148939358048492</t>
  </si>
  <si>
    <t>1699400100747911347</t>
  </si>
  <si>
    <t>1707117450041434460</t>
  </si>
  <si>
    <t>1693721608915943686</t>
  </si>
  <si>
    <t>1706687667830702306</t>
  </si>
  <si>
    <t>1676626226520236032</t>
  </si>
  <si>
    <t>1680593329405194241</t>
  </si>
  <si>
    <t>1702469033478553692</t>
  </si>
  <si>
    <t>1677139657945931776</t>
  </si>
  <si>
    <t>1681125490826813442</t>
  </si>
  <si>
    <t>1694537161058513145</t>
  </si>
  <si>
    <t>1680967401049935872</t>
  </si>
  <si>
    <t>1679998805767344129</t>
  </si>
  <si>
    <t>1679618312454504451</t>
  </si>
  <si>
    <t>1677024090274553856</t>
  </si>
  <si>
    <t>1689744056811700225</t>
  </si>
  <si>
    <t>1676623645374836742</t>
  </si>
  <si>
    <t>1677349174340206593</t>
  </si>
  <si>
    <t>1683871266908803072</t>
  </si>
  <si>
    <t>1678435924500271104</t>
  </si>
  <si>
    <t>1690039337684021255</t>
  </si>
  <si>
    <t>1689705088338534401</t>
  </si>
  <si>
    <t>1678797322275237888</t>
  </si>
  <si>
    <t>1691838262241853463</t>
  </si>
  <si>
    <t>1692139310483423688</t>
  </si>
  <si>
    <t>1699498050786320655</t>
  </si>
  <si>
    <t>1706036117860978927</t>
  </si>
  <si>
    <t>1706398722978885929</t>
  </si>
  <si>
    <t>1705296217524121941</t>
  </si>
  <si>
    <t>1707123736518791626</t>
  </si>
  <si>
    <t>1705673759049290172</t>
  </si>
  <si>
    <t>1699890607534092330</t>
  </si>
  <si>
    <t>1688659981858439170</t>
  </si>
  <si>
    <t>1689242621607309312</t>
  </si>
  <si>
    <t>1686814209059725312</t>
  </si>
  <si>
    <t>1701351272748577008</t>
  </si>
  <si>
    <t>1705899357277491258</t>
  </si>
  <si>
    <t>1697675264719831436</t>
  </si>
  <si>
    <t>1676924307337879554</t>
  </si>
  <si>
    <t>1676695210061955078</t>
  </si>
  <si>
    <t>1676335263587483650</t>
  </si>
  <si>
    <t>1680985871292440578</t>
  </si>
  <si>
    <t>1680313914049830913</t>
  </si>
  <si>
    <t>1680011872794288132</t>
  </si>
  <si>
    <t>1676025626115952640</t>
  </si>
  <si>
    <t>1706418219223859375</t>
  </si>
  <si>
    <t>1686729767096082432</t>
  </si>
  <si>
    <t>1676953109862707200</t>
  </si>
  <si>
    <t>1688556123299655680</t>
  </si>
  <si>
    <t>1687477926978113537</t>
  </si>
  <si>
    <t>1687204546676678656</t>
  </si>
  <si>
    <t>1687201704012283904</t>
  </si>
  <si>
    <t>1687199440514232321</t>
  </si>
  <si>
    <t>1691137151100923907</t>
  </si>
  <si>
    <t>1702415025330159683</t>
  </si>
  <si>
    <t>1687518544966144007</t>
  </si>
  <si>
    <t>1706394509142114451</t>
  </si>
  <si>
    <t>1676240928959340545</t>
  </si>
  <si>
    <t>1676237132279562242</t>
  </si>
  <si>
    <t>1706301538707054943</t>
  </si>
  <si>
    <t>1698698045188128998</t>
  </si>
  <si>
    <t>1694813880625631577</t>
  </si>
  <si>
    <t>1702337656150224954</t>
  </si>
  <si>
    <t>1702457202710319229</t>
  </si>
  <si>
    <t>1695863637217251608</t>
  </si>
  <si>
    <t>1699100748837953608</t>
  </si>
  <si>
    <t>1700581598209429597</t>
  </si>
  <si>
    <t>1704244963775517020</t>
  </si>
  <si>
    <t>1704837013189398716</t>
  </si>
  <si>
    <t>1704251240907940058</t>
  </si>
  <si>
    <t>1704837005140430861</t>
  </si>
  <si>
    <t>1707152337171583035</t>
  </si>
  <si>
    <t>1706820130502574301</t>
  </si>
  <si>
    <t>1698819444028379386</t>
  </si>
  <si>
    <t>1684558837162860545</t>
  </si>
  <si>
    <t>1702737504137249026</t>
  </si>
  <si>
    <t>1679139043953504256</t>
  </si>
  <si>
    <t>1699168316563087415</t>
  </si>
  <si>
    <t>1684324141967572992</t>
  </si>
  <si>
    <t>1688919080974397440</t>
  </si>
  <si>
    <t>1686109182225686528</t>
  </si>
  <si>
    <t>1683905446879580160</t>
  </si>
  <si>
    <t>1691094322660208640</t>
  </si>
  <si>
    <t>1689723791897935873</t>
  </si>
  <si>
    <t>1707002292904337860</t>
  </si>
  <si>
    <t>1681238182891778049</t>
  </si>
  <si>
    <t>1690119906266943490</t>
  </si>
  <si>
    <t>1679787902891335682</t>
  </si>
  <si>
    <t>1701895821103349881</t>
  </si>
  <si>
    <t>1704070191636689116</t>
  </si>
  <si>
    <t>1707010931895537885</t>
  </si>
  <si>
    <t>1706992194647687380</t>
  </si>
  <si>
    <t>1702305198926946627</t>
  </si>
  <si>
    <t>1706379544586756112</t>
  </si>
  <si>
    <t>1704522309627711769</t>
  </si>
  <si>
    <t>1703797534995497036</t>
  </si>
  <si>
    <t>1675927390000939008</t>
  </si>
  <si>
    <t>1691502513370042368</t>
  </si>
  <si>
    <t>1692249940532359512</t>
  </si>
  <si>
    <t>1677014552486219776</t>
  </si>
  <si>
    <t>1691543616471330816</t>
  </si>
  <si>
    <t>1700265896592248906</t>
  </si>
  <si>
    <t>1699530989071220853</t>
  </si>
  <si>
    <t>1681065548858159109</t>
  </si>
  <si>
    <t>1689023936682475520</t>
  </si>
  <si>
    <t>1696606982327660870</t>
  </si>
  <si>
    <t>1696553892274692352</t>
  </si>
  <si>
    <t>1689640350833590272</t>
  </si>
  <si>
    <t>1688949943111757846</t>
  </si>
  <si>
    <t>1684982713856471055</t>
  </si>
  <si>
    <t>1684635403607797761</t>
  </si>
  <si>
    <t>1675888293521571842</t>
  </si>
  <si>
    <t>1699459268888420482</t>
  </si>
  <si>
    <t>1697616848450175451</t>
  </si>
  <si>
    <t>1695855656824176805</t>
  </si>
  <si>
    <t>1694401354322571754</t>
  </si>
  <si>
    <t>1693351574624465056</t>
  </si>
  <si>
    <t>1688661160822714368</t>
  </si>
  <si>
    <t>1684258118505463815</t>
  </si>
  <si>
    <t>1679195595754307600</t>
  </si>
  <si>
    <t>1676678018415165440</t>
  </si>
  <si>
    <t>1676304672632586241</t>
  </si>
  <si>
    <t>1703172348336038216</t>
  </si>
  <si>
    <t>1698712309483360440</t>
  </si>
  <si>
    <t>1695552696328089767</t>
  </si>
  <si>
    <t>1690736054578397184</t>
  </si>
  <si>
    <t>1690380656142913536</t>
  </si>
  <si>
    <t>1686166699844722688</t>
  </si>
  <si>
    <t>1680607934009466881</t>
  </si>
  <si>
    <t>1680259150243061760</t>
  </si>
  <si>
    <t>1703416339900076238</t>
  </si>
  <si>
    <t>1694083772751151559</t>
  </si>
  <si>
    <t>1692938229001888181</t>
  </si>
  <si>
    <t>1692598753750921334</t>
  </si>
  <si>
    <t>1687890681983889408</t>
  </si>
  <si>
    <t>1683891046436962307</t>
  </si>
  <si>
    <t>1678462028065767424</t>
  </si>
  <si>
    <t>1677704971632926721</t>
  </si>
  <si>
    <t>1704156526322057222</t>
  </si>
  <si>
    <t>1702708284912779730</t>
  </si>
  <si>
    <t>1700517673413599654</t>
  </si>
  <si>
    <t>1698357412648935574</t>
  </si>
  <si>
    <t>1698084296521630014</t>
  </si>
  <si>
    <t>1695088135665832185</t>
  </si>
  <si>
    <t>1694844011494695059</t>
  </si>
  <si>
    <t>1690018367233486849</t>
  </si>
  <si>
    <t>1685688914718121984</t>
  </si>
  <si>
    <t>1685339140550782976</t>
  </si>
  <si>
    <t>1705972713641120246</t>
  </si>
  <si>
    <t>1705618879370719500</t>
  </si>
  <si>
    <t>1704549105844850859</t>
  </si>
  <si>
    <t>1703794079920710027</t>
  </si>
  <si>
    <t>1701995050908131814</t>
  </si>
  <si>
    <t>1683138906303213571</t>
  </si>
  <si>
    <t>1682762159275626498</t>
  </si>
  <si>
    <t>1682416687671304193</t>
  </si>
  <si>
    <t>1682073301374451719</t>
  </si>
  <si>
    <t>1681825600632152064</t>
  </si>
  <si>
    <t>1707047107088036019</t>
  </si>
  <si>
    <t>1706680584330727500</t>
  </si>
  <si>
    <t>1706338562201751683</t>
  </si>
  <si>
    <t>1705709000371683800</t>
  </si>
  <si>
    <t>1701611682689372537</t>
  </si>
  <si>
    <t>1699065540952936518</t>
  </si>
  <si>
    <t>1696173120359456975</t>
  </si>
  <si>
    <t>1691458824492990464</t>
  </si>
  <si>
    <t>1691110213817159681</t>
  </si>
  <si>
    <t>1686384741074042880</t>
  </si>
  <si>
    <t>1681662383201165314</t>
  </si>
  <si>
    <t>1681046631464984576</t>
  </si>
  <si>
    <t>1707160853814882497</t>
  </si>
  <si>
    <t>1704915390873104615</t>
  </si>
  <si>
    <t>1702326779963441529</t>
  </si>
  <si>
    <t>1701252673985544328</t>
  </si>
  <si>
    <t>1700148992162562120</t>
  </si>
  <si>
    <t>1677348440076894210</t>
  </si>
  <si>
    <t>1677072540592685056</t>
  </si>
  <si>
    <t>1682133670616870913</t>
  </si>
  <si>
    <t>1703465974895112455</t>
  </si>
  <si>
    <t>1698521676718244284</t>
  </si>
  <si>
    <t>1704851730687525233</t>
  </si>
  <si>
    <t>1694060783632605189</t>
  </si>
  <si>
    <t>1693646890368135287</t>
  </si>
  <si>
    <t>1677666379237928961</t>
  </si>
  <si>
    <t>1676205504878501888</t>
  </si>
  <si>
    <t>1676926640138473473</t>
  </si>
  <si>
    <t>1681999397834375169</t>
  </si>
  <si>
    <t>1702303581188055486</t>
  </si>
  <si>
    <t>1693297455327064507</t>
  </si>
  <si>
    <t>1691864119308153079</t>
  </si>
  <si>
    <t>1694078958432559377</t>
  </si>
  <si>
    <t>1691440889070010368</t>
  </si>
  <si>
    <t>1683549278268973057</t>
  </si>
  <si>
    <t>1688693912527880192</t>
  </si>
  <si>
    <t>1680927987959492608</t>
  </si>
  <si>
    <t>1687217473878130694</t>
  </si>
  <si>
    <t>1703867905127874728</t>
  </si>
  <si>
    <t>1696613909967351930</t>
  </si>
  <si>
    <t>1682762685178429440</t>
  </si>
  <si>
    <t>1686708934512361473</t>
  </si>
  <si>
    <t>1680887743264563200</t>
  </si>
  <si>
    <t>1683503246768238592</t>
  </si>
  <si>
    <t>1676639784222031888</t>
  </si>
  <si>
    <t>1703041585611428338</t>
  </si>
  <si>
    <t>1679440719734267909</t>
  </si>
  <si>
    <t>1676544345694937089</t>
  </si>
  <si>
    <t>1706358295785574868</t>
  </si>
  <si>
    <t>1679543107845496835</t>
  </si>
  <si>
    <t>1692350184334741734</t>
  </si>
  <si>
    <t>1686602731065094144</t>
  </si>
  <si>
    <t>1704823314223407256</t>
  </si>
  <si>
    <t>1688914232803549184</t>
  </si>
  <si>
    <t>1694067352210395542</t>
  </si>
  <si>
    <t>1689089614407987200</t>
  </si>
  <si>
    <t>1684654892630302723</t>
  </si>
  <si>
    <t>1684639794846920704</t>
  </si>
  <si>
    <t>1678555585627803651</t>
  </si>
  <si>
    <t>1689090345819144193</t>
  </si>
  <si>
    <t>1675892192311746560</t>
  </si>
  <si>
    <t>1682562248823255040</t>
  </si>
  <si>
    <t>1681394781623025685</t>
  </si>
  <si>
    <t>1676996872571846680</t>
  </si>
  <si>
    <t>1707100075191857602</t>
  </si>
  <si>
    <t>1703824151641804933</t>
  </si>
  <si>
    <t>1676184202772107264</t>
  </si>
  <si>
    <t>1702175778346271140</t>
  </si>
  <si>
    <t>1702174982330323118</t>
  </si>
  <si>
    <t>1676145971070205954</t>
  </si>
  <si>
    <t>1705212547379732821</t>
  </si>
  <si>
    <t>1682424881990778881</t>
  </si>
  <si>
    <t>1692506630615699522</t>
  </si>
  <si>
    <t>1696130515751817414</t>
  </si>
  <si>
    <t>1686708426670555136</t>
  </si>
  <si>
    <t>1698667222539833560</t>
  </si>
  <si>
    <t>1691057082143776768</t>
  </si>
  <si>
    <t>1702653497945252152</t>
  </si>
  <si>
    <t>1686214439240962048</t>
  </si>
  <si>
    <t>1701717867903758428</t>
  </si>
  <si>
    <t>1703000972082000007</t>
  </si>
  <si>
    <t>1699427284917059724</t>
  </si>
  <si>
    <t>1678509599542878209</t>
  </si>
  <si>
    <t>1682028418295275521</t>
  </si>
  <si>
    <t>1679434563829788672</t>
  </si>
  <si>
    <t>1677562194089725952</t>
  </si>
  <si>
    <t>1686525593376927745</t>
  </si>
  <si>
    <t>1700464335196127729</t>
  </si>
  <si>
    <t>1700195822141308967</t>
  </si>
  <si>
    <t>1685935643036168192</t>
  </si>
  <si>
    <t>1679134856591077384</t>
  </si>
  <si>
    <t>1679885499207393281</t>
  </si>
  <si>
    <t>1682026321336061952</t>
  </si>
  <si>
    <t>1705205307365036447</t>
  </si>
  <si>
    <t>1695243853626740935</t>
  </si>
  <si>
    <t>1695237556290351494</t>
  </si>
  <si>
    <t>1685795406855499776</t>
  </si>
  <si>
    <t>1686753728605683713</t>
  </si>
  <si>
    <t>1682469994792378372</t>
  </si>
  <si>
    <t>1692871281774116882</t>
  </si>
  <si>
    <t>1683619066383314944</t>
  </si>
  <si>
    <t>1678539848682991617</t>
  </si>
  <si>
    <t>1695047119093313544</t>
  </si>
  <si>
    <t>1685735008911421440</t>
  </si>
  <si>
    <t>1685447614953644032</t>
  </si>
  <si>
    <t>1679915663870001153</t>
  </si>
  <si>
    <t>1679613422386950144</t>
  </si>
  <si>
    <t>1679492374542557186</t>
  </si>
  <si>
    <t>1699858069205971309</t>
  </si>
  <si>
    <t>1691873205189792047</t>
  </si>
  <si>
    <t>1687425651308158976</t>
  </si>
  <si>
    <t>1677102879407222784</t>
  </si>
  <si>
    <t>1700961590710079802</t>
  </si>
  <si>
    <t>1694382237708337322</t>
  </si>
  <si>
    <t>1694319575100207191</t>
  </si>
  <si>
    <t>1704468699862761813</t>
  </si>
  <si>
    <t>1691420472230158336</t>
  </si>
  <si>
    <t>1686436632604397584</t>
  </si>
  <si>
    <t>1681079079833858050</t>
  </si>
  <si>
    <t>1683585344133017600</t>
  </si>
  <si>
    <t>1676169117504610307</t>
  </si>
  <si>
    <t>1675938746259185664</t>
  </si>
  <si>
    <t>1681021011758555136</t>
  </si>
  <si>
    <t>1691177895597604864</t>
  </si>
  <si>
    <t>1706386818843677073</t>
  </si>
  <si>
    <t>1706753644727878094</t>
  </si>
  <si>
    <t>1704872454735134954</t>
  </si>
  <si>
    <t>1688671438927015937</t>
  </si>
  <si>
    <t>1705190207119647055</t>
  </si>
  <si>
    <t>1683437259465392128</t>
  </si>
  <si>
    <t>1687599300916981766</t>
  </si>
  <si>
    <t>1688528279693561856</t>
  </si>
  <si>
    <t>1690407805746843648</t>
  </si>
  <si>
    <t>1686015520108068864</t>
  </si>
  <si>
    <t>1680321340874653713</t>
  </si>
  <si>
    <t>1690120915877859331</t>
  </si>
  <si>
    <t>1685651464088383488</t>
  </si>
  <si>
    <t>1679883264922664961</t>
  </si>
  <si>
    <t>1679309671985717253</t>
  </si>
  <si>
    <t>1697021378883453000</t>
  </si>
  <si>
    <t>1682933549173964802</t>
  </si>
  <si>
    <t>1682438029112123447</t>
  </si>
  <si>
    <t>1697746157324107964</t>
  </si>
  <si>
    <t>1682080721484013568</t>
  </si>
  <si>
    <t>1684304981262839809</t>
  </si>
  <si>
    <t>1676669828151627786</t>
  </si>
  <si>
    <t>1704986141328376204</t>
  </si>
  <si>
    <t>1676364379158134790</t>
  </si>
  <si>
    <t>1691521231806160896</t>
  </si>
  <si>
    <t>1686866024832913408</t>
  </si>
  <si>
    <t>1691925173899792774</t>
  </si>
  <si>
    <t>1695230015141519793</t>
  </si>
  <si>
    <t>1694853862228656229</t>
  </si>
  <si>
    <t>1694518338372895114</t>
  </si>
  <si>
    <t>1677860964698300417</t>
  </si>
  <si>
    <t>1692540714377199734</t>
  </si>
  <si>
    <t>1690638052685660160</t>
  </si>
  <si>
    <t>1693590223404319031</t>
  </si>
  <si>
    <t>1700504739291488422</t>
  </si>
  <si>
    <t>1701688348425732376</t>
  </si>
  <si>
    <t>1696438414956974096</t>
  </si>
  <si>
    <t>1696125647184101381</t>
  </si>
  <si>
    <t>1699859770717458458</t>
  </si>
  <si>
    <t>1702510980494672073</t>
  </si>
  <si>
    <t>1702510646024183882</t>
  </si>
  <si>
    <t>1702510204674265137</t>
  </si>
  <si>
    <t>1702510027985080686</t>
  </si>
  <si>
    <t>1682502966958346240</t>
  </si>
  <si>
    <t>1679036527039459328</t>
  </si>
  <si>
    <t>1687055688483078144</t>
  </si>
  <si>
    <t>1686772743000223744</t>
  </si>
  <si>
    <t>1682926758914592769</t>
  </si>
  <si>
    <t>1678497744095150080</t>
  </si>
  <si>
    <t>1685966073730928640</t>
  </si>
  <si>
    <t>1698975660197249192</t>
  </si>
  <si>
    <t>1676970566191050754</t>
  </si>
  <si>
    <t>1676969831420264450</t>
  </si>
  <si>
    <t>1676934190015602688</t>
  </si>
  <si>
    <t>1679445755117830145</t>
  </si>
  <si>
    <t>1691078936787083264</t>
  </si>
  <si>
    <t>1687653337003335680</t>
  </si>
  <si>
    <t>1690000883507998722</t>
  </si>
  <si>
    <t>1703061280871838095</t>
  </si>
  <si>
    <t>1677769707569512450</t>
  </si>
  <si>
    <t>1677762519673257985</t>
  </si>
  <si>
    <t>1677694214996389889</t>
  </si>
  <si>
    <t>1690510458921287682</t>
  </si>
  <si>
    <t>1690204528774139904</t>
  </si>
  <si>
    <t>1690051877423980559</t>
  </si>
  <si>
    <t>1690008462246232064</t>
  </si>
  <si>
    <t>1694027180802552002</t>
  </si>
  <si>
    <t>1680880182700195841</t>
  </si>
  <si>
    <t>1685836960558915584</t>
  </si>
  <si>
    <t>1696216864936907234</t>
  </si>
  <si>
    <t>1700531958592213097</t>
  </si>
  <si>
    <t>1698464116183105604</t>
  </si>
  <si>
    <t>1679871312846548992</t>
  </si>
  <si>
    <t>1696704140695482775</t>
  </si>
  <si>
    <t>1703046083050701299</t>
  </si>
  <si>
    <t>1684211979949309958</t>
  </si>
  <si>
    <t>1683473475543941122</t>
  </si>
  <si>
    <t>1683471073487011843</t>
  </si>
  <si>
    <t>1677081248722714625</t>
  </si>
  <si>
    <t>1685035219739398146</t>
  </si>
  <si>
    <t>1691825285685973215</t>
  </si>
  <si>
    <t>1692310959308579100</t>
  </si>
  <si>
    <t>1704687753311424877</t>
  </si>
  <si>
    <t>1676649414104961024</t>
  </si>
  <si>
    <t>1683569504171827202</t>
  </si>
  <si>
    <t>1687177515905724417</t>
  </si>
  <si>
    <t>1681287911327641600</t>
  </si>
  <si>
    <t>1690326544558731264</t>
  </si>
  <si>
    <t>1687577956711895040</t>
  </si>
  <si>
    <t>1689283390598524928</t>
  </si>
  <si>
    <t>1681388059311341576</t>
  </si>
  <si>
    <t>1696557732810182921</t>
  </si>
  <si>
    <t>1699083331441209839</t>
  </si>
  <si>
    <t>1683470051725172736</t>
  </si>
  <si>
    <t>1677044581240655873</t>
  </si>
  <si>
    <t>1687258983818563584</t>
  </si>
  <si>
    <t>1691847798122008636</t>
  </si>
  <si>
    <t>1689715486206926849</t>
  </si>
  <si>
    <t>1693915124757676309</t>
  </si>
  <si>
    <t>1704897930363035923</t>
  </si>
  <si>
    <t>1690832806815948802</t>
  </si>
  <si>
    <t>1702644376546029990</t>
  </si>
  <si>
    <t>1706359881454735820</t>
  </si>
  <si>
    <t>1687180839648473091</t>
  </si>
  <si>
    <t>1677014733214343175</t>
  </si>
  <si>
    <t>1698714772655522091</t>
  </si>
  <si>
    <t>1697104248226337095</t>
  </si>
  <si>
    <t>1702064492593447313</t>
  </si>
  <si>
    <t>1686300982517366784</t>
  </si>
  <si>
    <t>1699075191299821699</t>
  </si>
  <si>
    <t>1676659984178860048</t>
  </si>
  <si>
    <t>1677336869594341377</t>
  </si>
  <si>
    <t>1681650664445706241</t>
  </si>
  <si>
    <t>1680946754538143745</t>
  </si>
  <si>
    <t>1683855457033547776</t>
  </si>
  <si>
    <t>1693645723563147754</t>
  </si>
  <si>
    <t>1684929780037083136</t>
  </si>
  <si>
    <t>1675934953375166465</t>
  </si>
  <si>
    <t>1706625077398196305</t>
  </si>
  <si>
    <t>1703652611243803056</t>
  </si>
  <si>
    <t>1699799717021122635</t>
  </si>
  <si>
    <t>1705073238416502852</t>
  </si>
  <si>
    <t>1686678100724080640</t>
  </si>
  <si>
    <t>1690049979077869568</t>
  </si>
  <si>
    <t>1683211596246466562</t>
  </si>
  <si>
    <t>1687458468611919872</t>
  </si>
  <si>
    <t>1693763006427955457</t>
  </si>
  <si>
    <t>1676320719251075073</t>
  </si>
  <si>
    <t>1689732275091431424</t>
  </si>
  <si>
    <t>1689276123417362433</t>
  </si>
  <si>
    <t>1679507236094181378</t>
  </si>
  <si>
    <t>1689640383226191872</t>
  </si>
  <si>
    <t>1692898444774424740</t>
  </si>
  <si>
    <t>1678392461683482625</t>
  </si>
  <si>
    <t>1693978510484795903</t>
  </si>
  <si>
    <t>1704495356174618850</t>
  </si>
  <si>
    <t>1703764077019889884</t>
  </si>
  <si>
    <t>1696133939079872791</t>
  </si>
  <si>
    <t>1681656447162040320</t>
  </si>
  <si>
    <t>1678710195097141248</t>
  </si>
  <si>
    <t>1678709955346706433</t>
  </si>
  <si>
    <t>1698095622283243597</t>
  </si>
  <si>
    <t>1698095442670543342</t>
  </si>
  <si>
    <t>1705029839931973952</t>
  </si>
  <si>
    <t>1697759838627893674</t>
  </si>
  <si>
    <t>1688622095402463232</t>
  </si>
  <si>
    <t>1703196862533054950</t>
  </si>
  <si>
    <t>1682411408300933123</t>
  </si>
  <si>
    <t>1686067068444033030</t>
  </si>
  <si>
    <t>1693685429726281829</t>
  </si>
  <si>
    <t>1707024519813083523</t>
  </si>
  <si>
    <t>1677277476634992641</t>
  </si>
  <si>
    <t>1677052351889260544</t>
  </si>
  <si>
    <t>1676952898654343168</t>
  </si>
  <si>
    <t>1676920912183013376</t>
  </si>
  <si>
    <t>1676683402509000705</t>
  </si>
  <si>
    <t>1676552853983223809</t>
  </si>
  <si>
    <t>1676314664773337089</t>
  </si>
  <si>
    <t>1678377653747740673</t>
  </si>
  <si>
    <t>1682008923509800960</t>
  </si>
  <si>
    <t>1681258207086354434</t>
  </si>
  <si>
    <t>1679814972996452353</t>
  </si>
  <si>
    <t>1680901926945280002</t>
  </si>
  <si>
    <t>1689032502348795906</t>
  </si>
  <si>
    <t>1687939031508930560</t>
  </si>
  <si>
    <t>1683874158248177666</t>
  </si>
  <si>
    <t>1703739742318141444</t>
  </si>
  <si>
    <t>1705207451807822257</t>
  </si>
  <si>
    <t>1695132433505468647</t>
  </si>
  <si>
    <t>1683504945016741890</t>
  </si>
  <si>
    <t>1705397900363055434</t>
  </si>
  <si>
    <t>1690198939495014400</t>
  </si>
  <si>
    <t>1681761092995895297</t>
  </si>
  <si>
    <t>1705185338077892673</t>
  </si>
  <si>
    <t>1694029876439703862</t>
  </si>
  <si>
    <t>1687093518869946368</t>
  </si>
  <si>
    <t>1687456099606331393</t>
  </si>
  <si>
    <t>1681980747261853696</t>
  </si>
  <si>
    <t>1681453819656568845</t>
  </si>
  <si>
    <t>1679505972954316802</t>
  </si>
  <si>
    <t>1693722138094481463</t>
  </si>
  <si>
    <t>1684556748693323779</t>
  </si>
  <si>
    <t>1697210121217024021</t>
  </si>
  <si>
    <t>1702396802782339445</t>
  </si>
  <si>
    <t>1697672181621104847</t>
  </si>
  <si>
    <t>1706390614604939729</t>
  </si>
  <si>
    <t>1699180605248790616</t>
  </si>
  <si>
    <t>1696908133447155826</t>
  </si>
  <si>
    <t>1687063263572336640</t>
  </si>
  <si>
    <t>1686753730321166337</t>
  </si>
  <si>
    <t>1681997385059237888</t>
  </si>
  <si>
    <t>1706678572805480801</t>
  </si>
  <si>
    <t>1705333649195831619</t>
  </si>
  <si>
    <t>1703733105734078882</t>
  </si>
  <si>
    <t>1701679572516041156</t>
  </si>
  <si>
    <t>1699120210827952344</t>
  </si>
  <si>
    <t>1696175822061572490</t>
  </si>
  <si>
    <t>1687214493602816000</t>
  </si>
  <si>
    <t>1701930859400486962</t>
  </si>
  <si>
    <t>1704833458579624171</t>
  </si>
  <si>
    <t>1703071355405562319</t>
  </si>
  <si>
    <t>1705692555470422467</t>
  </si>
  <si>
    <t>1686693795264413696</t>
  </si>
  <si>
    <t>1706104848351957328</t>
  </si>
  <si>
    <t>1690940434116190208</t>
  </si>
  <si>
    <t>1696931032610541754</t>
  </si>
  <si>
    <t>1696547756951937165</t>
  </si>
  <si>
    <t>1687930730263752705</t>
  </si>
  <si>
    <t>1681311925169434624</t>
  </si>
  <si>
    <t>1676912853880647680</t>
  </si>
  <si>
    <t>1676735954042642432</t>
  </si>
  <si>
    <t>1702968137228943487</t>
  </si>
  <si>
    <t>1688619497316311040</t>
  </si>
  <si>
    <t>1699814366785278451</t>
  </si>
  <si>
    <t>1697440321183858697</t>
  </si>
  <si>
    <t>1703823255432294479</t>
  </si>
  <si>
    <t>1683084550879031298</t>
  </si>
  <si>
    <t>1682087463643127812</t>
  </si>
  <si>
    <t>1702472303890870673</t>
  </si>
  <si>
    <t>1703760307431014656</t>
  </si>
  <si>
    <t>1703759615962333659</t>
  </si>
  <si>
    <t>1705330377835921524</t>
  </si>
  <si>
    <t>1695768119711866926</t>
  </si>
  <si>
    <t>1690739988013428736</t>
  </si>
  <si>
    <t>1707102778428936691</t>
  </si>
  <si>
    <t>1706685702396641640</t>
  </si>
  <si>
    <t>1694771554561970546</t>
  </si>
  <si>
    <t>1677135825270702080</t>
  </si>
  <si>
    <t>1699203345913634891</t>
  </si>
  <si>
    <t>1697046899943997467</t>
  </si>
  <si>
    <t>1681874208295354370</t>
  </si>
  <si>
    <t>1689783686525591552</t>
  </si>
  <si>
    <t>1692627430786175045</t>
  </si>
  <si>
    <t>1697715956867293590</t>
  </si>
  <si>
    <t>1683477636079550464</t>
  </si>
  <si>
    <t>1705581630654423498</t>
  </si>
  <si>
    <t>1677365458037612552</t>
  </si>
  <si>
    <t>1681781962493526016</t>
  </si>
  <si>
    <t>1704451932700454933</t>
  </si>
  <si>
    <t>1696193677889036424</t>
  </si>
  <si>
    <t>1686361082913329152</t>
  </si>
  <si>
    <t>1705908330420449343</t>
  </si>
  <si>
    <t>1706640067240812748</t>
  </si>
  <si>
    <t>1683965282992132096</t>
  </si>
  <si>
    <t>1701687046425718904</t>
  </si>
  <si>
    <t>1678534982212505601</t>
  </si>
  <si>
    <t>1696593994413654509</t>
  </si>
  <si>
    <t>1691031911542489088</t>
  </si>
  <si>
    <t>1676795928945065984</t>
  </si>
  <si>
    <t>1676923956929126400</t>
  </si>
  <si>
    <t>1676698982322405377</t>
  </si>
  <si>
    <t>1685621268622524416</t>
  </si>
  <si>
    <t>1680954469301776386</t>
  </si>
  <si>
    <t>1702031206026522792</t>
  </si>
  <si>
    <t>1694982948964208949</t>
  </si>
  <si>
    <t>1701868318427349477</t>
  </si>
  <si>
    <t>1699361801077403975</t>
  </si>
  <si>
    <t>1701505935728894411</t>
  </si>
  <si>
    <t>1682424409477337088</t>
  </si>
  <si>
    <t>1684212511510351875</t>
  </si>
  <si>
    <t>1680954678157225985</t>
  </si>
  <si>
    <t>1681696001214541826</t>
  </si>
  <si>
    <t>1683508471944171521</t>
  </si>
  <si>
    <t>1677790394522693634</t>
  </si>
  <si>
    <t>1704846379523199141</t>
  </si>
  <si>
    <t>1704695304182743068</t>
  </si>
  <si>
    <t>1695106454267576483</t>
  </si>
  <si>
    <t>1686817584748838918</t>
  </si>
  <si>
    <t>1694763759732916288</t>
  </si>
  <si>
    <t>1702299746168107497</t>
  </si>
  <si>
    <t>1700145186645422111</t>
  </si>
  <si>
    <t>1692166522574369066</t>
  </si>
  <si>
    <t>1684704211076804611</t>
  </si>
  <si>
    <t>1694005819929686221</t>
  </si>
  <si>
    <t>1702719069936353663</t>
  </si>
  <si>
    <t>1703116713292685382</t>
  </si>
  <si>
    <t>1706342971531030985</t>
  </si>
  <si>
    <t>1675897157990113281</t>
  </si>
  <si>
    <t>1677339140294168576</t>
  </si>
  <si>
    <t>1695081288414236815</t>
  </si>
  <si>
    <t>1679902522641723430</t>
  </si>
  <si>
    <t>1679594971937005568</t>
  </si>
  <si>
    <t>1703763457894474218</t>
  </si>
  <si>
    <t>1691224455849111552</t>
  </si>
  <si>
    <t>1703363249767378994</t>
  </si>
  <si>
    <t>1697240749312786568</t>
  </si>
  <si>
    <t>1692529456676483113</t>
  </si>
  <si>
    <t>1706300102321549632</t>
  </si>
  <si>
    <t>1681996225522876424</t>
  </si>
  <si>
    <t>1702857431359873037</t>
  </si>
  <si>
    <t>1681116855421812737</t>
  </si>
  <si>
    <t>1704133241375224119</t>
  </si>
  <si>
    <t>1695569063437615528</t>
  </si>
  <si>
    <t>1690161681962319872</t>
  </si>
  <si>
    <t>1699038726293250164</t>
  </si>
  <si>
    <t>1676663491548139541</t>
  </si>
  <si>
    <t>1697371049996800051</t>
  </si>
  <si>
    <t>1703787122744758602</t>
  </si>
  <si>
    <t>1682707509637795840</t>
  </si>
  <si>
    <t>1697648048141217827</t>
  </si>
  <si>
    <t>1701691912036524414</t>
  </si>
  <si>
    <t>1685437810004688897</t>
  </si>
  <si>
    <t>1704674809655824664</t>
  </si>
  <si>
    <t>1704674451772641357</t>
  </si>
  <si>
    <t>1704673900318076942</t>
  </si>
  <si>
    <t>1704822203588489716</t>
  </si>
  <si>
    <t>1702657585445232794</t>
  </si>
  <si>
    <t>1702064613699797357</t>
  </si>
  <si>
    <t>1695904021301580003</t>
  </si>
  <si>
    <t>1693367299925741728</t>
  </si>
  <si>
    <t>1705326105123537026</t>
  </si>
  <si>
    <t>1707138043457708476</t>
  </si>
  <si>
    <t>1706050876039672046</t>
  </si>
  <si>
    <t>1702789386277097783</t>
  </si>
  <si>
    <t>1676662693044932611</t>
  </si>
  <si>
    <t>1689940529134387200</t>
  </si>
  <si>
    <t>1685714501125931008</t>
  </si>
  <si>
    <t>1694453468520710186</t>
  </si>
  <si>
    <t>1701660066061930969</t>
  </si>
  <si>
    <t>1698737686729961856</t>
  </si>
  <si>
    <t>1692921311486513338</t>
  </si>
  <si>
    <t>1698363850385494131</t>
  </si>
  <si>
    <t>1699431049023881472</t>
  </si>
  <si>
    <t>1698900806123032959</t>
  </si>
  <si>
    <t>1702642189379960936</t>
  </si>
  <si>
    <t>1705314200153653577</t>
  </si>
  <si>
    <t>1697187471883141423</t>
  </si>
  <si>
    <t>1705688487238766857</t>
  </si>
  <si>
    <t>1703740652410769677</t>
  </si>
  <si>
    <t>1706247168913211807</t>
  </si>
  <si>
    <t>1689476372031234049</t>
  </si>
  <si>
    <t>1689471788948881408</t>
  </si>
  <si>
    <t>1687549213029322752</t>
  </si>
  <si>
    <t>1683721743100420096</t>
  </si>
  <si>
    <t>1691083250268020736</t>
  </si>
  <si>
    <t>1686627640579375105</t>
  </si>
  <si>
    <t>1689261151085858816</t>
  </si>
  <si>
    <t>1695360181582930004</t>
  </si>
  <si>
    <t>1690713815615508481</t>
  </si>
  <si>
    <t>1690259572366233600</t>
  </si>
  <si>
    <t>1686053608125513728</t>
  </si>
  <si>
    <t>1680952557038870529</t>
  </si>
  <si>
    <t>1680917011780493312</t>
  </si>
  <si>
    <t>1680498244734926849</t>
  </si>
  <si>
    <t>1696931032526946444</t>
  </si>
  <si>
    <t>1691747627485012037</t>
  </si>
  <si>
    <t>1696085211199545818</t>
  </si>
  <si>
    <t>1693137787589910570</t>
  </si>
  <si>
    <t>1689519697174413312</t>
  </si>
  <si>
    <t>1684492320778121217</t>
  </si>
  <si>
    <t>1697611516592390364</t>
  </si>
  <si>
    <t>1692442707547811877</t>
  </si>
  <si>
    <t>1683506656896794630</t>
  </si>
  <si>
    <t>1698215244412129286</t>
  </si>
  <si>
    <t>1694723737793290596</t>
  </si>
  <si>
    <t>1689910774418833410</t>
  </si>
  <si>
    <t>1685222884518883328</t>
  </si>
  <si>
    <t>1694415117851533616</t>
  </si>
  <si>
    <t>1701714818967724337</t>
  </si>
  <si>
    <t>1700190099563028912</t>
  </si>
  <si>
    <t>1699475479953072353</t>
  </si>
  <si>
    <t>1696121649739776253</t>
  </si>
  <si>
    <t>1694285771652403232</t>
  </si>
  <si>
    <t>1693558853013516385</t>
  </si>
  <si>
    <t>1688505637854986240</t>
  </si>
  <si>
    <t>1688492964761210881</t>
  </si>
  <si>
    <t>1684514505185718272</t>
  </si>
  <si>
    <t>1679061244316119040</t>
  </si>
  <si>
    <t>1676891637547429888</t>
  </si>
  <si>
    <t>1676529723558461440</t>
  </si>
  <si>
    <t>1701175568182411277</t>
  </si>
  <si>
    <t>1697913814363132161</t>
  </si>
  <si>
    <t>1694647840797000146</t>
  </si>
  <si>
    <t>1689574057434300416</t>
  </si>
  <si>
    <t>1689211558084132864</t>
  </si>
  <si>
    <t>1688850911953633280</t>
  </si>
  <si>
    <t>1684859970141949952</t>
  </si>
  <si>
    <t>1678698398566711296</t>
  </si>
  <si>
    <t>1676164945224818688</t>
  </si>
  <si>
    <t>1703013779091476968</t>
  </si>
  <si>
    <t>1701526485457084893</t>
  </si>
  <si>
    <t>1698646276735197443</t>
  </si>
  <si>
    <t>1695802198054052172</t>
  </si>
  <si>
    <t>1695429256619102441</t>
  </si>
  <si>
    <t>1695406276627374328</t>
  </si>
  <si>
    <t>1690303910500605952</t>
  </si>
  <si>
    <t>1686315826402717696</t>
  </si>
  <si>
    <t>1685966733381664771</t>
  </si>
  <si>
    <t>1680893926431924225</t>
  </si>
  <si>
    <t>1680151509294620672</t>
  </si>
  <si>
    <t>1704058764058415460</t>
  </si>
  <si>
    <t>1702250394468970747</t>
  </si>
  <si>
    <t>1697173099974742286</t>
  </si>
  <si>
    <t>1692900273239257212</t>
  </si>
  <si>
    <t>1687836359392653312</t>
  </si>
  <si>
    <t>1687792363219927040</t>
  </si>
  <si>
    <t>1687778697397346304</t>
  </si>
  <si>
    <t>1678338563992178688</t>
  </si>
  <si>
    <t>1704426798224650490</t>
  </si>
  <si>
    <t>1702624997938811240</t>
  </si>
  <si>
    <t>1702609001710522642</t>
  </si>
  <si>
    <t>1701227188337471945</t>
  </si>
  <si>
    <t>1700110238379077987</t>
  </si>
  <si>
    <t>1697611203999089126</t>
  </si>
  <si>
    <t>1697541957126373773</t>
  </si>
  <si>
    <t>1693925689580310838</t>
  </si>
  <si>
    <t>1692473041706520701</t>
  </si>
  <si>
    <t>1692109471487508776</t>
  </si>
  <si>
    <t>1683435060815446017</t>
  </si>
  <si>
    <t>1677645301815951360</t>
  </si>
  <si>
    <t>1677253164473499649</t>
  </si>
  <si>
    <t>1705549291035492770</t>
  </si>
  <si>
    <t>1705532614239535548</t>
  </si>
  <si>
    <t>1704793995933520052</t>
  </si>
  <si>
    <t>1700521061287162193</t>
  </si>
  <si>
    <t>1698369089327055113</t>
  </si>
  <si>
    <t>1695013103170187369</t>
  </si>
  <si>
    <t>1689942939374428160</t>
  </si>
  <si>
    <t>1685279856118947840</t>
  </si>
  <si>
    <t>1679786304148586496</t>
  </si>
  <si>
    <t>1679426300178563074</t>
  </si>
  <si>
    <t>1706596198042272094</t>
  </si>
  <si>
    <t>1706238374414049304</t>
  </si>
  <si>
    <t>1703701230655049840</t>
  </si>
  <si>
    <t>1699009613482373161</t>
  </si>
  <si>
    <t>1696466507276914953</t>
  </si>
  <si>
    <t>1691381441249128448</t>
  </si>
  <si>
    <t>1681751678897225728</t>
  </si>
  <si>
    <t>1681730996738113536</t>
  </si>
  <si>
    <t>1681613317436059653</t>
  </si>
  <si>
    <t>1681243070308728834</t>
  </si>
  <si>
    <t>1706958565326397917</t>
  </si>
  <si>
    <t>1701887018958311497</t>
  </si>
  <si>
    <t>1699359017544347680</t>
  </si>
  <si>
    <t>1696817384281997701</t>
  </si>
  <si>
    <t>1691755221414809862</t>
  </si>
  <si>
    <t>1691471336382648320</t>
  </si>
  <si>
    <t>1687116548530716672</t>
  </si>
  <si>
    <t>1682779194214830080</t>
  </si>
  <si>
    <t>1682715837495406592</t>
  </si>
  <si>
    <t>1682337049385353216</t>
  </si>
  <si>
    <t>1681962480866676736</t>
  </si>
  <si>
    <t>1698093445402005872</t>
  </si>
  <si>
    <t>1699165512499188021</t>
  </si>
  <si>
    <t>1699029621654618383</t>
  </si>
  <si>
    <t>1678090997077606401</t>
  </si>
  <si>
    <t>1689373567601745921</t>
  </si>
  <si>
    <t>1684021445477662721</t>
  </si>
  <si>
    <t>1707058624676212906</t>
  </si>
  <si>
    <t>1678424739692396546</t>
  </si>
  <si>
    <t>1687104801925189633</t>
  </si>
  <si>
    <t>1686743201468538880</t>
  </si>
  <si>
    <t>1706442210789507307</t>
  </si>
  <si>
    <t>1691216741760737281</t>
  </si>
  <si>
    <t>1697370656864678020</t>
  </si>
  <si>
    <t>1697009048338477529</t>
  </si>
  <si>
    <t>1697009024309273003</t>
  </si>
  <si>
    <t>1696633844768846299</t>
  </si>
  <si>
    <t>1691568653878149305</t>
  </si>
  <si>
    <t>1699551911282647368</t>
  </si>
  <si>
    <t>1697218694768689283</t>
  </si>
  <si>
    <t>1694099858531967103</t>
  </si>
  <si>
    <t>1698448681043640481</t>
  </si>
  <si>
    <t>1698137393042182314</t>
  </si>
  <si>
    <t>1697995687483388392</t>
  </si>
  <si>
    <t>1698840161109365099</t>
  </si>
  <si>
    <t>1700188358704513024</t>
  </si>
  <si>
    <t>1697640066917564707</t>
  </si>
  <si>
    <t>1677890232681738242</t>
  </si>
  <si>
    <t>1677889517838118912</t>
  </si>
  <si>
    <t>1678774946783449092</t>
  </si>
  <si>
    <t>1677390787103825927</t>
  </si>
  <si>
    <t>1677390464066920459</t>
  </si>
  <si>
    <t>1677385322122846228</t>
  </si>
  <si>
    <t>1677385132271968256</t>
  </si>
  <si>
    <t>1677384843452362752</t>
  </si>
  <si>
    <t>1677384298431938560</t>
  </si>
  <si>
    <t>1685287502465343488</t>
  </si>
  <si>
    <t>1679831337765593089</t>
  </si>
  <si>
    <t>1686115432879521792</t>
  </si>
  <si>
    <t>1694304107451072529</t>
  </si>
  <si>
    <t>1702791726279049253</t>
  </si>
  <si>
    <t>1683956332775211009</t>
  </si>
  <si>
    <t>1697003598478012896</t>
  </si>
  <si>
    <t>1685276052212371456</t>
  </si>
  <si>
    <t>1694623667215282546</t>
  </si>
  <si>
    <t>1697583163441025328</t>
  </si>
  <si>
    <t>1684271711020019713</t>
  </si>
  <si>
    <t>1703732215580868906</t>
  </si>
  <si>
    <t>1676999861520965632</t>
  </si>
  <si>
    <t>1698534230735610239</t>
  </si>
  <si>
    <t>1685073563332534272</t>
  </si>
  <si>
    <t>1676265429348622338</t>
  </si>
  <si>
    <t>1704592210874736685</t>
  </si>
  <si>
    <t>1704575956730401064</t>
  </si>
  <si>
    <t>1704592495680602548</t>
  </si>
  <si>
    <t>1704592598462005392</t>
  </si>
  <si>
    <t>1704592428550791606</t>
  </si>
  <si>
    <t>1704592286032552193</t>
  </si>
  <si>
    <t>1704591982067126758</t>
  </si>
  <si>
    <t>1704592366823154053</t>
  </si>
  <si>
    <t>1704578997927940264</t>
  </si>
  <si>
    <t>1704613769136029833</t>
  </si>
  <si>
    <t>1704613421402996973</t>
  </si>
  <si>
    <t>1694677018284093943</t>
  </si>
  <si>
    <t>1706285421020246145</t>
  </si>
  <si>
    <t>1703836609647390820</t>
  </si>
  <si>
    <t>1682047876094996480</t>
  </si>
  <si>
    <t>1706034331536220603</t>
  </si>
  <si>
    <t>1691865893444448750</t>
  </si>
  <si>
    <t>1704652832664699250</t>
  </si>
  <si>
    <t>1681006937570177025</t>
  </si>
  <si>
    <t>1691185424457228288</t>
  </si>
  <si>
    <t>1691872632763732232</t>
  </si>
  <si>
    <t>1697318163896017178</t>
  </si>
  <si>
    <t>1683889890465918991</t>
  </si>
  <si>
    <t>1678494948897746963</t>
  </si>
  <si>
    <t>1699467162035929191</t>
  </si>
  <si>
    <t>1698786070899437626</t>
  </si>
  <si>
    <t>1705263474874478672</t>
  </si>
  <si>
    <t>1693358406617420286</t>
  </si>
  <si>
    <t>1676755375775727617</t>
  </si>
  <si>
    <t>1676754516601978881</t>
  </si>
  <si>
    <t>1699945541273076199</t>
  </si>
  <si>
    <t>1700595086042464703</t>
  </si>
  <si>
    <t>1677279019509710848</t>
  </si>
  <si>
    <t>1678386237114130433</t>
  </si>
  <si>
    <t>1680218218923794434</t>
  </si>
  <si>
    <t>1675916644458045461</t>
  </si>
  <si>
    <t>1676595901421289478</t>
  </si>
  <si>
    <t>1687491187265900544</t>
  </si>
  <si>
    <t>1681700559307325441</t>
  </si>
  <si>
    <t>1678742161230118913</t>
  </si>
  <si>
    <t>1680348078321156096</t>
  </si>
  <si>
    <t>1683473475380342784</t>
  </si>
  <si>
    <t>1683470836961800192</t>
  </si>
  <si>
    <t>1703502925249556793</t>
  </si>
  <si>
    <t>1705369075575308491</t>
  </si>
  <si>
    <t>1705549169094459697</t>
  </si>
  <si>
    <t>1705973767267025173</t>
  </si>
  <si>
    <t>1691267090961846272</t>
  </si>
  <si>
    <t>1683610973850959872</t>
  </si>
  <si>
    <t>1699172494869979484</t>
  </si>
  <si>
    <t>1678134494799298562</t>
  </si>
  <si>
    <t>1679220796479229952</t>
  </si>
  <si>
    <t>1678736080533610506</t>
  </si>
  <si>
    <t>1687109899933900807</t>
  </si>
  <si>
    <t>1688601322340151296</t>
  </si>
  <si>
    <t>1675980081003372545</t>
  </si>
  <si>
    <t>1679238230502244355</t>
  </si>
  <si>
    <t>1679191638919507970</t>
  </si>
  <si>
    <t>1679131164764778501</t>
  </si>
  <si>
    <t>1676697795321790465</t>
  </si>
  <si>
    <t>1676652394103316486</t>
  </si>
  <si>
    <t>1676335353198788609</t>
  </si>
  <si>
    <t>1676290067025764372</t>
  </si>
  <si>
    <t>1683841060466987008</t>
  </si>
  <si>
    <t>1678539873286868992</t>
  </si>
  <si>
    <t>1678509738550493190</t>
  </si>
  <si>
    <t>1678490761749225472</t>
  </si>
  <si>
    <t>1678147299489333248</t>
  </si>
  <si>
    <t>1678102023391019008</t>
  </si>
  <si>
    <t>1678041585844465666</t>
  </si>
  <si>
    <t>1677784898151563266</t>
  </si>
  <si>
    <t>1677739581662265346</t>
  </si>
  <si>
    <t>1677679184439640064</t>
  </si>
  <si>
    <t>1683481222587068425</t>
  </si>
  <si>
    <t>1683479868774793222</t>
  </si>
  <si>
    <t>1683175452641247233</t>
  </si>
  <si>
    <t>1677422512718721024</t>
  </si>
  <si>
    <t>1677377173458411522</t>
  </si>
  <si>
    <t>1677316843181096960</t>
  </si>
  <si>
    <t>1677014807512244229</t>
  </si>
  <si>
    <t>1681002264381513732</t>
  </si>
  <si>
    <t>1680642375532552193</t>
  </si>
  <si>
    <t>1680581986283388931</t>
  </si>
  <si>
    <t>1680321650225455104</t>
  </si>
  <si>
    <t>1680278685318823936</t>
  </si>
  <si>
    <t>1680215935339184129</t>
  </si>
  <si>
    <t>1679961698642583552</t>
  </si>
  <si>
    <t>1684927022840037378</t>
  </si>
  <si>
    <t>1684564721100546051</t>
  </si>
  <si>
    <t>1678826822656487428</t>
  </si>
  <si>
    <t>1678766490743635968</t>
  </si>
  <si>
    <t>1676229611774959616</t>
  </si>
  <si>
    <t>1676199427810250752</t>
  </si>
  <si>
    <t>1675927644515213316</t>
  </si>
  <si>
    <t>1675867240233590784</t>
  </si>
  <si>
    <t>1685651766224773120</t>
  </si>
  <si>
    <t>1685290495067504641</t>
  </si>
  <si>
    <t>1685289462903754753</t>
  </si>
  <si>
    <t>1679913964833234945</t>
  </si>
  <si>
    <t>1679853610878787585</t>
  </si>
  <si>
    <t>1679849710230675456</t>
  </si>
  <si>
    <t>1679603024740720641</t>
  </si>
  <si>
    <t>1679556494478417939</t>
  </si>
  <si>
    <t>1679494929775570946</t>
  </si>
  <si>
    <t>1687102569586536448</t>
  </si>
  <si>
    <t>1687101394325807104</t>
  </si>
  <si>
    <t>1686872143366156288</t>
  </si>
  <si>
    <t>1686795506272399374</t>
  </si>
  <si>
    <t>1686741351138816000</t>
  </si>
  <si>
    <t>1683115089291821060</t>
  </si>
  <si>
    <t>1682753765416267776</t>
  </si>
  <si>
    <t>1682752653216870400</t>
  </si>
  <si>
    <t>1682391480319504384</t>
  </si>
  <si>
    <t>1682390268501262338</t>
  </si>
  <si>
    <t>1682088292999634957</t>
  </si>
  <si>
    <t>1682027958620532738</t>
  </si>
  <si>
    <t>1686740108479746048</t>
  </si>
  <si>
    <t>1686738962595954689</t>
  </si>
  <si>
    <t>1686441810996973574</t>
  </si>
  <si>
    <t>1681727033687064582</t>
  </si>
  <si>
    <t>1681364610924834817</t>
  </si>
  <si>
    <t>1681303119647604741</t>
  </si>
  <si>
    <t>1681061537815879680</t>
  </si>
  <si>
    <t>1705899886498246799</t>
  </si>
  <si>
    <t>1676990821340528641</t>
  </si>
  <si>
    <t>1676639271741018112</t>
  </si>
  <si>
    <t>1703906973698125920</t>
  </si>
  <si>
    <t>1682365892980621312</t>
  </si>
  <si>
    <t>1696813366654730746</t>
  </si>
  <si>
    <t>1696432008589607151</t>
  </si>
  <si>
    <t>1699434064007074201</t>
  </si>
  <si>
    <t>1700874277862375637</t>
  </si>
  <si>
    <t>1706240133467443314</t>
  </si>
  <si>
    <t>1697284194487902707</t>
  </si>
  <si>
    <t>1703046570147463651</t>
  </si>
  <si>
    <t>1706063228931866892</t>
  </si>
  <si>
    <t>1691532963182235650</t>
  </si>
  <si>
    <t>1704868883721552107</t>
  </si>
  <si>
    <t>1688982298970951680</t>
  </si>
  <si>
    <t>1688630848218628096</t>
  </si>
  <si>
    <t>1687118551339892736</t>
  </si>
  <si>
    <t>1692975813543489849</t>
  </si>
  <si>
    <t>1678479432586080259</t>
  </si>
  <si>
    <t>1703024323806585092</t>
  </si>
  <si>
    <t>1702450584467525904</t>
  </si>
  <si>
    <t>1677720713527013378</t>
  </si>
  <si>
    <t>1690015279747612673</t>
  </si>
  <si>
    <t>1689989544353906688</t>
  </si>
  <si>
    <t>1697629472722125153</t>
  </si>
  <si>
    <t>1698696221605478638</t>
  </si>
  <si>
    <t>1686032455180894208</t>
  </si>
  <si>
    <t>1697977370106355892</t>
  </si>
  <si>
    <t>1704129883272581230</t>
  </si>
  <si>
    <t>1697606421678895610</t>
  </si>
  <si>
    <t>1692153540121124918</t>
  </si>
  <si>
    <t>1704628815152988318</t>
  </si>
  <si>
    <t>1692924855228813546</t>
  </si>
  <si>
    <t>1692658918961422762</t>
  </si>
  <si>
    <t>1692505307019145647</t>
  </si>
  <si>
    <t>1705593505748291879</t>
  </si>
  <si>
    <t>1691823487894036618</t>
  </si>
  <si>
    <t>1691595710792094054</t>
  </si>
  <si>
    <t>1687120566212255746</t>
  </si>
  <si>
    <t>1686772978631987201</t>
  </si>
  <si>
    <t>1706667368850604364</t>
  </si>
  <si>
    <t>1704483605072740673</t>
  </si>
  <si>
    <t>1691421226223177729</t>
  </si>
  <si>
    <t>1691083769791361026</t>
  </si>
  <si>
    <t>1678838651566936064</t>
  </si>
  <si>
    <t>1696977956998922416</t>
  </si>
  <si>
    <t>1683652111228182531</t>
  </si>
  <si>
    <t>1703789016930288036</t>
  </si>
  <si>
    <t>1688865932263804928</t>
  </si>
  <si>
    <t>1691471008690049024</t>
  </si>
  <si>
    <t>1686120136913137664</t>
  </si>
  <si>
    <t>1688288964187205634</t>
  </si>
  <si>
    <t>1678399579601993728</t>
  </si>
  <si>
    <t>1689977274429276160</t>
  </si>
  <si>
    <t>1692541243073466634</t>
  </si>
  <si>
    <t>1688882166774525952</t>
  </si>
  <si>
    <t>1705518505922081062</t>
  </si>
  <si>
    <t>1690035903316828160</t>
  </si>
  <si>
    <t>1694033354012922087</t>
  </si>
  <si>
    <t>1705642351698530802</t>
  </si>
  <si>
    <t>1676585038857502720</t>
  </si>
  <si>
    <t>1685008626988015616</t>
  </si>
  <si>
    <t>1691872708848435354</t>
  </si>
  <si>
    <t>1677284141341999105</t>
  </si>
  <si>
    <t>1693664170665726110</t>
  </si>
  <si>
    <t>1699535001446945270</t>
  </si>
  <si>
    <t>1694076138744611050</t>
  </si>
  <si>
    <t>1699154912444125297</t>
  </si>
  <si>
    <t>1702846547820515434</t>
  </si>
  <si>
    <t>1703193439548916162</t>
  </si>
  <si>
    <t>1676135284117733376</t>
  </si>
  <si>
    <t>1679140378656616450</t>
  </si>
  <si>
    <t>1679924872103723008</t>
  </si>
  <si>
    <t>1681771050105729029</t>
  </si>
  <si>
    <t>1691904014776971302</t>
  </si>
  <si>
    <t>1677433640475672578</t>
  </si>
  <si>
    <t>1701989229075570786</t>
  </si>
  <si>
    <t>1703166939755860127</t>
  </si>
  <si>
    <t>1695812101082579132</t>
  </si>
  <si>
    <t>1687545312045314048</t>
  </si>
  <si>
    <t>1679584212192460800</t>
  </si>
  <si>
    <t>1687258358946877440</t>
  </si>
  <si>
    <t>1691564876538184125</t>
  </si>
  <si>
    <t>1689422979229200384</t>
  </si>
  <si>
    <t>1678807217481318403</t>
  </si>
  <si>
    <t>1686100232260468736</t>
  </si>
  <si>
    <t>1700253211326857438</t>
  </si>
  <si>
    <t>1678420529370263552</t>
  </si>
  <si>
    <t>1682045460469411840</t>
  </si>
  <si>
    <t>1679847641281118208</t>
  </si>
  <si>
    <t>1679467459617726467</t>
  </si>
  <si>
    <t>1679465862271475717</t>
  </si>
  <si>
    <t>1706127258312749144</t>
  </si>
  <si>
    <t>1679130158299594753</t>
  </si>
  <si>
    <t>1696499604798193736</t>
  </si>
  <si>
    <t>1699359970368618711</t>
  </si>
  <si>
    <t>1684605507250647040</t>
  </si>
  <si>
    <t>1701229658623054106</t>
  </si>
  <si>
    <t>1687810027568914433</t>
  </si>
  <si>
    <t>1704784125020745797</t>
  </si>
  <si>
    <t>1678689547196964865</t>
  </si>
  <si>
    <t>1680989663941611520</t>
  </si>
  <si>
    <t>1680264740801503234</t>
  </si>
  <si>
    <t>1679970332021788672</t>
  </si>
  <si>
    <t>1689604716567625728</t>
  </si>
  <si>
    <t>1681650100488093697</t>
  </si>
  <si>
    <t>1687074692618756098</t>
  </si>
  <si>
    <t>1686194101157257216</t>
  </si>
  <si>
    <t>1692923252388069393</t>
  </si>
  <si>
    <t>1694430613569257949</t>
  </si>
  <si>
    <t>1693648654014337164</t>
  </si>
  <si>
    <t>1694373933045391464</t>
  </si>
  <si>
    <t>1694364344241316220</t>
  </si>
  <si>
    <t>1693285762786095449</t>
  </si>
  <si>
    <t>1695820464482812202</t>
  </si>
  <si>
    <t>1695457321722253348</t>
  </si>
  <si>
    <t>1704986470803505510</t>
  </si>
  <si>
    <t>1694011293529706649</t>
  </si>
  <si>
    <t>1693778003459760218</t>
  </si>
  <si>
    <t>1705948450313875768</t>
  </si>
  <si>
    <t>1705636495271375271</t>
  </si>
  <si>
    <t>1705609570322628905</t>
  </si>
  <si>
    <t>1705591516217926001</t>
  </si>
  <si>
    <t>1705585811079807319</t>
  </si>
  <si>
    <t>1706673981149921607</t>
  </si>
  <si>
    <t>1706311342267797835</t>
  </si>
  <si>
    <t>1705693521250795650</t>
  </si>
  <si>
    <t>1705664736157716679</t>
  </si>
  <si>
    <t>1707036620661416282</t>
  </si>
  <si>
    <t>1698140520738918422</t>
  </si>
  <si>
    <t>1698017375772201087</t>
  </si>
  <si>
    <t>1695091913953796472</t>
  </si>
  <si>
    <t>1694727764686082459</t>
  </si>
  <si>
    <t>1686078042811088898</t>
  </si>
  <si>
    <t>1703776589836653050</t>
  </si>
  <si>
    <t>1688504635634372610</t>
  </si>
  <si>
    <t>1687108731014901761</t>
  </si>
  <si>
    <t>1689365565603762176</t>
  </si>
  <si>
    <t>1679838307751178243</t>
  </si>
  <si>
    <t>1691583090110435815</t>
  </si>
  <si>
    <t>1685273994809774080</t>
  </si>
  <si>
    <t>1688542845601230848</t>
  </si>
  <si>
    <t>1693389998618194012</t>
  </si>
  <si>
    <t>1693039295504760890</t>
  </si>
  <si>
    <t>1684198982333997061</t>
  </si>
  <si>
    <t>1704944677114257909</t>
  </si>
  <si>
    <t>1703090989248774385</t>
  </si>
  <si>
    <t>1678504934478577669</t>
  </si>
  <si>
    <t>1677317366382841856</t>
  </si>
  <si>
    <t>1691511915300728832</t>
  </si>
  <si>
    <t>1702018656677343551</t>
  </si>
  <si>
    <t>1707014425721389330</t>
  </si>
  <si>
    <t>1679172602458259460</t>
  </si>
  <si>
    <t>1695117518367572236</t>
  </si>
  <si>
    <t>1686849485677133824</t>
  </si>
  <si>
    <t>1693957060398829795</t>
  </si>
  <si>
    <t>1687466755646468097</t>
  </si>
  <si>
    <t>1677394385334353920</t>
  </si>
  <si>
    <t>1694054800659214409</t>
  </si>
  <si>
    <t>1698780469226258681</t>
  </si>
  <si>
    <t>1693587077118464270</t>
  </si>
  <si>
    <t>1676569835646377989</t>
  </si>
  <si>
    <t>1676335544089956353</t>
  </si>
  <si>
    <t>1699123789928247417</t>
  </si>
  <si>
    <t>1686354417874870273</t>
  </si>
  <si>
    <t>1681643289496154112</t>
  </si>
  <si>
    <t>1701304601234886783</t>
  </si>
  <si>
    <t>1680944767474040833</t>
  </si>
  <si>
    <t>1702052584423305427</t>
  </si>
  <si>
    <t>1696593810338300222</t>
  </si>
  <si>
    <t>1704186156236013796</t>
  </si>
  <si>
    <t>1703725553059246101</t>
  </si>
  <si>
    <t>1704087944385196144</t>
  </si>
  <si>
    <t>1706262274963607798</t>
  </si>
  <si>
    <t>1706624655950577690</t>
  </si>
  <si>
    <t>1704812719407325570</t>
  </si>
  <si>
    <t>1706987051562733797</t>
  </si>
  <si>
    <t>1706136322048434609</t>
  </si>
  <si>
    <t>1687604356336517120</t>
  </si>
  <si>
    <t>1704509468669575296</t>
  </si>
  <si>
    <t>1698821854289404366</t>
  </si>
  <si>
    <t>1698813250215784853</t>
  </si>
  <si>
    <t>1700619158205981137</t>
  </si>
  <si>
    <t>1681120478037942273</t>
  </si>
  <si>
    <t>1679952235650859008</t>
  </si>
  <si>
    <t>1678820298722799631</t>
  </si>
  <si>
    <t>1684273919224602625</t>
  </si>
  <si>
    <t>1677812538166112257</t>
  </si>
  <si>
    <t>1687569100552192000</t>
  </si>
  <si>
    <t>1688656258403127297</t>
  </si>
  <si>
    <t>1689260245875326976</t>
  </si>
  <si>
    <t>1675972689305976832</t>
  </si>
  <si>
    <t>1677357657131294720</t>
  </si>
  <si>
    <t>1682435273895088129</t>
  </si>
  <si>
    <t>1700233893880766575</t>
  </si>
  <si>
    <t>1689802456039911424</t>
  </si>
  <si>
    <t>1683836655030124546</t>
  </si>
  <si>
    <t>1683940690236145664</t>
  </si>
  <si>
    <t>1702446679994012036</t>
  </si>
  <si>
    <t>1701521031809106431</t>
  </si>
  <si>
    <t>1677321371624284163</t>
  </si>
  <si>
    <t>1678122540747694080</t>
  </si>
  <si>
    <t>1677855320243093504</t>
  </si>
  <si>
    <t>1687468561709539328</t>
  </si>
  <si>
    <t>1699409489911337253</t>
  </si>
  <si>
    <t>1693020992078045649</t>
  </si>
  <si>
    <t>1706633318094045687</t>
  </si>
  <si>
    <t>1689814309814050816</t>
  </si>
  <si>
    <t>1682446107131904000</t>
  </si>
  <si>
    <t>1684289491693862914</t>
  </si>
  <si>
    <t>1684283996228685824</t>
  </si>
  <si>
    <t>1684283023754137602</t>
  </si>
  <si>
    <t>1689229220633890816</t>
  </si>
  <si>
    <t>1688486622348693504</t>
  </si>
  <si>
    <t>1683877627419930626</t>
  </si>
  <si>
    <t>1701607598418751526</t>
  </si>
  <si>
    <t>1701394694444335569</t>
  </si>
  <si>
    <t>1701307369462833361</t>
  </si>
  <si>
    <t>1701032306918535372</t>
  </si>
  <si>
    <t>1700944984206114996</t>
  </si>
  <si>
    <t>1700882823823966395</t>
  </si>
  <si>
    <t>1700669918537011411</t>
  </si>
  <si>
    <t>1701245211345596895</t>
  </si>
  <si>
    <t>1697320375439274257</t>
  </si>
  <si>
    <t>1683853235692482565</t>
  </si>
  <si>
    <t>1676244687634530306</t>
  </si>
  <si>
    <t>1690474707143864320</t>
  </si>
  <si>
    <t>1705069760218558573</t>
  </si>
  <si>
    <t>1699873607583666593</t>
  </si>
  <si>
    <t>1704089848586355019</t>
  </si>
  <si>
    <t>1707043597604790383</t>
  </si>
  <si>
    <t>1683613586575224832</t>
  </si>
  <si>
    <t>1682538538909282304</t>
  </si>
  <si>
    <t>1687250418689093632</t>
  </si>
  <si>
    <t>1677069772209438720</t>
  </si>
  <si>
    <t>1678886960637648901</t>
  </si>
  <si>
    <t>1681383657507000320</t>
  </si>
  <si>
    <t>1684740815447560192</t>
  </si>
  <si>
    <t>1686252224664772608</t>
  </si>
  <si>
    <t>1694162002770641218</t>
  </si>
  <si>
    <t>1684396160474288128</t>
  </si>
  <si>
    <t>1684036534037794816</t>
  </si>
  <si>
    <t>1676575567511015424</t>
  </si>
  <si>
    <t>1684946657719259137</t>
  </si>
  <si>
    <t>1679136116933263360</t>
  </si>
  <si>
    <t>1686013944429699074</t>
  </si>
  <si>
    <t>1690045521442877442</t>
  </si>
  <si>
    <t>1682316425422069760</t>
  </si>
  <si>
    <t>1685980163564081152</t>
  </si>
  <si>
    <t>1680853507182665728</t>
  </si>
  <si>
    <t>1701646351828762822</t>
  </si>
  <si>
    <t>1685419205938573312</t>
  </si>
  <si>
    <t>1679685172575232000</t>
  </si>
  <si>
    <t>1685999501960462336</t>
  </si>
  <si>
    <t>1680958032224702465</t>
  </si>
  <si>
    <t>1680564942003421184</t>
  </si>
  <si>
    <t>1680202302685331456</t>
  </si>
  <si>
    <t>1687266600745869312</t>
  </si>
  <si>
    <t>1683466813269581825</t>
  </si>
  <si>
    <t>1686904464580673537</t>
  </si>
  <si>
    <t>1683118518253002754</t>
  </si>
  <si>
    <t>1682348192632025088</t>
  </si>
  <si>
    <t>1682015751866073090</t>
  </si>
  <si>
    <t>1685622518168813569</t>
  </si>
  <si>
    <t>1685278752526442498</t>
  </si>
  <si>
    <t>1679824563847430145</t>
  </si>
  <si>
    <t>1679658469102870530</t>
  </si>
  <si>
    <t>1688550813193629696</t>
  </si>
  <si>
    <t>1684553473638146048</t>
  </si>
  <si>
    <t>1684192092321619968</t>
  </si>
  <si>
    <t>1679154649205551109</t>
  </si>
  <si>
    <t>1678928041680961537</t>
  </si>
  <si>
    <t>1686542076677406722</t>
  </si>
  <si>
    <t>1681653112187113472</t>
  </si>
  <si>
    <t>1681305321288130562</t>
  </si>
  <si>
    <t>1689079295304515584</t>
  </si>
  <si>
    <t>1684931716081926144</t>
  </si>
  <si>
    <t>1688217114014867456</t>
  </si>
  <si>
    <t>1687855229482446848</t>
  </si>
  <si>
    <t>1687523040752521229</t>
  </si>
  <si>
    <t>1683828698301214720</t>
  </si>
  <si>
    <t>1689094711724634113</t>
  </si>
  <si>
    <t>1703824452406984855</t>
  </si>
  <si>
    <t>1692671541400555930</t>
  </si>
  <si>
    <t>1696190970591650247</t>
  </si>
  <si>
    <t>1679070964041089024</t>
  </si>
  <si>
    <t>1676895068295184384</t>
  </si>
  <si>
    <t>1678517118214471683</t>
  </si>
  <si>
    <t>1682764990032257026</t>
  </si>
  <si>
    <t>1682047855727394816</t>
  </si>
  <si>
    <t>1683484872399003651</t>
  </si>
  <si>
    <t>1677628663892770818</t>
  </si>
  <si>
    <t>1685657847663656960</t>
  </si>
  <si>
    <t>1679811806678712321</t>
  </si>
  <si>
    <t>1678781203900669953</t>
  </si>
  <si>
    <t>1679287300457414656</t>
  </si>
  <si>
    <t>1678927545977171969</t>
  </si>
  <si>
    <t>1676743324885983232</t>
  </si>
  <si>
    <t>1686151934741258242</t>
  </si>
  <si>
    <t>1693764765519167795</t>
  </si>
  <si>
    <t>1696315666964353514</t>
  </si>
  <si>
    <t>1691228378580262912</t>
  </si>
  <si>
    <t>1681822635116703744</t>
  </si>
  <si>
    <t>1681061899708899328</t>
  </si>
  <si>
    <t>1697018680444408115</t>
  </si>
  <si>
    <t>1686894937835515910</t>
  </si>
  <si>
    <t>1699585380104724672</t>
  </si>
  <si>
    <t>1683599804591423490</t>
  </si>
  <si>
    <t>1678553866927853569</t>
  </si>
  <si>
    <t>1698832799849972207</t>
  </si>
  <si>
    <t>1676004474928656386</t>
  </si>
  <si>
    <t>1698901721202778539</t>
  </si>
  <si>
    <t>1677130264546275329</t>
  </si>
  <si>
    <t>1677130165535555584</t>
  </si>
  <si>
    <t>1677130118903341063</t>
  </si>
  <si>
    <t>1676261334525284352</t>
  </si>
  <si>
    <t>1676185837170720768</t>
  </si>
  <si>
    <t>1675992060040736768</t>
  </si>
  <si>
    <t>1675916562820214797</t>
  </si>
  <si>
    <t>1692929114347295216</t>
  </si>
  <si>
    <t>1695817744476770790</t>
  </si>
  <si>
    <t>1706437637043556623</t>
  </si>
  <si>
    <t>1677352976602611712</t>
  </si>
  <si>
    <t>1679545797203861512</t>
  </si>
  <si>
    <t>1681333005753942016</t>
  </si>
  <si>
    <t>1679143170297274373</t>
  </si>
  <si>
    <t>1686089645262516227</t>
  </si>
  <si>
    <t>1685772256914571264</t>
  </si>
  <si>
    <t>1689033746794913793</t>
  </si>
  <si>
    <t>1684579415899144193</t>
  </si>
  <si>
    <t>1678810864478978066</t>
  </si>
  <si>
    <t>1691570460461346998</t>
  </si>
  <si>
    <t>1689246266792845312</t>
  </si>
  <si>
    <t>1683502473980305408</t>
  </si>
  <si>
    <t>1688904812190949376</t>
  </si>
  <si>
    <t>1676133296021942272</t>
  </si>
  <si>
    <t>1706420896024465868</t>
  </si>
  <si>
    <t>1701342512281956538</t>
  </si>
  <si>
    <t>1692875668063756723</t>
  </si>
  <si>
    <t>1696772367580533093</t>
  </si>
  <si>
    <t>1695742217233568026</t>
  </si>
  <si>
    <t>1697499347728916604</t>
  </si>
  <si>
    <t>1692113659114238091</t>
  </si>
  <si>
    <t>1696115639918682168</t>
  </si>
  <si>
    <t>1693553573391446520</t>
  </si>
  <si>
    <t>1693231667173871677</t>
  </si>
  <si>
    <t>1698941160327159944</t>
  </si>
  <si>
    <t>1691367158490501120</t>
  </si>
  <si>
    <t>1698327182844530872</t>
  </si>
  <si>
    <t>1694964615220806007</t>
  </si>
  <si>
    <t>1699872372646400325</t>
  </si>
  <si>
    <t>1699871901227622530</t>
  </si>
  <si>
    <t>1699871436360298952</t>
  </si>
  <si>
    <t>1699870928438431852</t>
  </si>
  <si>
    <t>1699870412052500605</t>
  </si>
  <si>
    <t>1699793934757851627</t>
  </si>
  <si>
    <t>1699781528962904237</t>
  </si>
  <si>
    <t>1686399820343529472</t>
  </si>
  <si>
    <t>1683854824624750592</t>
  </si>
  <si>
    <t>1683945176924930051</t>
  </si>
  <si>
    <t>1689018565016363008</t>
  </si>
  <si>
    <t>1678735900774223873</t>
  </si>
  <si>
    <t>1682037864648052737</t>
  </si>
  <si>
    <t>1696132996703682817</t>
  </si>
  <si>
    <t>1699527291875811641</t>
  </si>
  <si>
    <t>1698440942645080516</t>
  </si>
  <si>
    <t>1679460981544570881</t>
  </si>
  <si>
    <t>1703020932153966887</t>
  </si>
  <si>
    <t>1698690409000583313</t>
  </si>
  <si>
    <t>1684617200638779394</t>
  </si>
  <si>
    <t>1678706055377821696</t>
  </si>
  <si>
    <t>1694039242815475751</t>
  </si>
  <si>
    <t>1695488805845786869</t>
  </si>
  <si>
    <t>1701649397828755740</t>
  </si>
  <si>
    <t>1691140128280817666</t>
  </si>
  <si>
    <t>1700924610974228480</t>
  </si>
  <si>
    <t>1693314483475673545</t>
  </si>
  <si>
    <t>1689328274583728131</t>
  </si>
  <si>
    <t>1703461314708807695</t>
  </si>
  <si>
    <t>1705635642581922008</t>
  </si>
  <si>
    <t>1703823850197193185</t>
  </si>
  <si>
    <t>1702011870519914529</t>
  </si>
  <si>
    <t>1691864938455724057</t>
  </si>
  <si>
    <t>1691502571028930563</t>
  </si>
  <si>
    <t>1706360418308907200</t>
  </si>
  <si>
    <t>1700562213482680622</t>
  </si>
  <si>
    <t>1698025531290075523</t>
  </si>
  <si>
    <t>1690053097555402770</t>
  </si>
  <si>
    <t>1685704313891426305</t>
  </si>
  <si>
    <t>1706022980893942114</t>
  </si>
  <si>
    <t>1690468279507107840</t>
  </si>
  <si>
    <t>1693809574770311504</t>
  </si>
  <si>
    <t>1678819320107790339</t>
  </si>
  <si>
    <t>1687494816702107648</t>
  </si>
  <si>
    <t>1701293105981349949</t>
  </si>
  <si>
    <t>1692490019347255536</t>
  </si>
  <si>
    <t>1676750582072082433</t>
  </si>
  <si>
    <t>1693793801012208058</t>
  </si>
  <si>
    <t>1706042333320360347</t>
  </si>
  <si>
    <t>1678884543296593921</t>
  </si>
  <si>
    <t>1683199546514366464</t>
  </si>
  <si>
    <t>1683199544211767296</t>
  </si>
  <si>
    <t>1683199541783195649</t>
  </si>
  <si>
    <t>1683199539472113664</t>
  </si>
  <si>
    <t>1683199537022746624</t>
  </si>
  <si>
    <t>1681808062934401025</t>
  </si>
  <si>
    <t>1686035653975281664</t>
  </si>
  <si>
    <t>1686025727349596160</t>
  </si>
  <si>
    <t>1681037117017792512</t>
  </si>
  <si>
    <t>1679973363530502152</t>
  </si>
  <si>
    <t>1687514681554980876</t>
  </si>
  <si>
    <t>1691497731590668289</t>
  </si>
  <si>
    <t>1693734967543464243</t>
  </si>
  <si>
    <t>1706325069603942803</t>
  </si>
  <si>
    <t>1680548008713154572</t>
  </si>
  <si>
    <t>1689430151849705472</t>
  </si>
  <si>
    <t>1679313601150976003</t>
  </si>
  <si>
    <t>1688858434160963584</t>
  </si>
  <si>
    <t>1682037047417253888</t>
  </si>
  <si>
    <t>1683477682904788997</t>
  </si>
  <si>
    <t>1687098106423517187</t>
  </si>
  <si>
    <t>1693613205057126559</t>
  </si>
  <si>
    <t>1688930063310577668</t>
  </si>
  <si>
    <t>1676275798662103040</t>
  </si>
  <si>
    <t>1681302978161160197</t>
  </si>
  <si>
    <t>1677347587270103042</t>
  </si>
  <si>
    <t>1692959909053190312</t>
  </si>
  <si>
    <t>1692555206217634222</t>
  </si>
  <si>
    <t>1687886481451257856</t>
  </si>
  <si>
    <t>1695082199291134238</t>
  </si>
  <si>
    <t>1695011795994353692</t>
  </si>
  <si>
    <t>1694785572588413253</t>
  </si>
  <si>
    <t>1690016012526088192</t>
  </si>
  <si>
    <t>1679888439003496448</t>
  </si>
  <si>
    <t>1699799973448351807</t>
  </si>
  <si>
    <t>1697680665750212857</t>
  </si>
  <si>
    <t>1693662115930816946</t>
  </si>
  <si>
    <t>1689646854068465665</t>
  </si>
  <si>
    <t>1689213268559106049</t>
  </si>
  <si>
    <t>1700194781375123569</t>
  </si>
  <si>
    <t>1695843778588713388</t>
  </si>
  <si>
    <t>1684140341048254464</t>
  </si>
  <si>
    <t>1703132344662569397</t>
  </si>
  <si>
    <t>1698764465209020466</t>
  </si>
  <si>
    <t>1690700990620848128</t>
  </si>
  <si>
    <t>1690423186452545537</t>
  </si>
  <si>
    <t>1705652938188706291</t>
  </si>
  <si>
    <t>1691084305714339844</t>
  </si>
  <si>
    <t>1685216734192533504</t>
  </si>
  <si>
    <t>1680204032076283905</t>
  </si>
  <si>
    <t>1680944191847927808</t>
  </si>
  <si>
    <t>1690042067576139776</t>
  </si>
  <si>
    <t>1682920355046858752</t>
  </si>
  <si>
    <t>1682567722352214016</t>
  </si>
  <si>
    <t>1682366123419770881</t>
  </si>
  <si>
    <t>1604484640513093632</t>
  </si>
  <si>
    <t>1707025142126121114</t>
  </si>
  <si>
    <t>1679957207339741192</t>
  </si>
  <si>
    <t>1677081252401119232</t>
  </si>
  <si>
    <t>1705205569328451762</t>
  </si>
  <si>
    <t>1681420937848057863</t>
  </si>
  <si>
    <t>1691108819122982912</t>
  </si>
  <si>
    <t>1692638157815112066</t>
  </si>
  <si>
    <t>1697599907966669266</t>
  </si>
  <si>
    <t>1704973029502062758</t>
  </si>
  <si>
    <t>1705014984516739386</t>
  </si>
  <si>
    <t>1699570348511903765</t>
  </si>
  <si>
    <t>1698758093511757987</t>
  </si>
  <si>
    <t>1688995495421624320</t>
  </si>
  <si>
    <t>1703123442474627347</t>
  </si>
  <si>
    <t>1691834111927685409</t>
  </si>
  <si>
    <t>1703423283335508074</t>
  </si>
  <si>
    <t>1676568889126268928</t>
  </si>
  <si>
    <t>1681129513944481793</t>
  </si>
  <si>
    <t>1677048304364838912</t>
  </si>
  <si>
    <t>1676703032942239745</t>
  </si>
  <si>
    <t>1689750657127899137</t>
  </si>
  <si>
    <t>1677271409452625921</t>
  </si>
  <si>
    <t>1676947904504778753</t>
  </si>
  <si>
    <t>1703740300647133660</t>
  </si>
  <si>
    <t>1705570844800348523</t>
  </si>
  <si>
    <t>1684434907647410184</t>
  </si>
  <si>
    <t>1699387491713687603</t>
  </si>
  <si>
    <t>1701551074858193141</t>
  </si>
  <si>
    <t>1699778784562745638</t>
  </si>
  <si>
    <t>1702680430674145535</t>
  </si>
  <si>
    <t>1704865208064205287</t>
  </si>
  <si>
    <t>1706616681009730030</t>
  </si>
  <si>
    <t>1696465728398868846</t>
  </si>
  <si>
    <t>1691599262239383933</t>
  </si>
  <si>
    <t>1693613104926482482</t>
  </si>
  <si>
    <t>1676598551541850116</t>
  </si>
  <si>
    <t>1686425709936365570</t>
  </si>
  <si>
    <t>1687086076035502080</t>
  </si>
  <si>
    <t>1694847870162108774</t>
  </si>
  <si>
    <t>1682012482817126400</t>
  </si>
  <si>
    <t>1684669994028658688</t>
  </si>
  <si>
    <t>1676209241307197440</t>
  </si>
  <si>
    <t>1691942914371231903</t>
  </si>
  <si>
    <t>1677321571419975684</t>
  </si>
  <si>
    <t>1677019580898631708</t>
  </si>
  <si>
    <t>1694780824137175165</t>
  </si>
  <si>
    <t>1703832605873832056</t>
  </si>
  <si>
    <t>1703852676767760734</t>
  </si>
  <si>
    <t>1694094924424040804</t>
  </si>
  <si>
    <t>1683574660951048198</t>
  </si>
  <si>
    <t>1678497018115661825</t>
  </si>
  <si>
    <t>1697358043380339149</t>
  </si>
  <si>
    <t>1692284392729653526</t>
  </si>
  <si>
    <t>1691922035784728853</t>
  </si>
  <si>
    <t>1687212117915750401</t>
  </si>
  <si>
    <t>1677421897842081792</t>
  </si>
  <si>
    <t>1677066126474264577</t>
  </si>
  <si>
    <t>1700244741021974561</t>
  </si>
  <si>
    <t>1690110019163795456</t>
  </si>
  <si>
    <t>1689748077442179072</t>
  </si>
  <si>
    <t>1679906588167905280</t>
  </si>
  <si>
    <t>1679489321580249088</t>
  </si>
  <si>
    <t>1698806145572381007</t>
  </si>
  <si>
    <t>1689376324131991553</t>
  </si>
  <si>
    <t>1683941033518804992</t>
  </si>
  <si>
    <t>1679165049112281088</t>
  </si>
  <si>
    <t>1676697957322612736</t>
  </si>
  <si>
    <t>1676343971470090242</t>
  </si>
  <si>
    <t>1701699761139818622</t>
  </si>
  <si>
    <t>1686434705523036161</t>
  </si>
  <si>
    <t>1681718882149515275</t>
  </si>
  <si>
    <t>1681044059681443840</t>
  </si>
  <si>
    <t>1702068285083144420</t>
  </si>
  <si>
    <t>1697719889736159522</t>
  </si>
  <si>
    <t>1694460146322153659</t>
  </si>
  <si>
    <t>1693732333361271208</t>
  </si>
  <si>
    <t>1689026805473083392</t>
  </si>
  <si>
    <t>1684655896687792130</t>
  </si>
  <si>
    <t>1678845318111154177</t>
  </si>
  <si>
    <t>1675978754407923714</t>
  </si>
  <si>
    <t>1706726399590252610</t>
  </si>
  <si>
    <t>1706402759476404669</t>
  </si>
  <si>
    <t>1705296681091186964</t>
  </si>
  <si>
    <t>1704214874061001196</t>
  </si>
  <si>
    <t>1701337899466182800</t>
  </si>
  <si>
    <t>1695183157627093212</t>
  </si>
  <si>
    <t>1707093733576228957</t>
  </si>
  <si>
    <t>1704566756658774192</t>
  </si>
  <si>
    <t>1696999468845945188</t>
  </si>
  <si>
    <t>1696632736985845995</t>
  </si>
  <si>
    <t>1691560385449529846</t>
  </si>
  <si>
    <t>1682374184440152065</t>
  </si>
  <si>
    <t>1682132411750965251</t>
  </si>
  <si>
    <t>1704596607327478054</t>
  </si>
  <si>
    <t>1700236439563153788</t>
  </si>
  <si>
    <t>1699413319440859273</t>
  </si>
  <si>
    <t>1699211913077334511</t>
  </si>
  <si>
    <t>1685064868829794304</t>
  </si>
  <si>
    <t>1683866126868942848</t>
  </si>
  <si>
    <t>1704550716042293479</t>
  </si>
  <si>
    <t>1704835235370635569</t>
  </si>
  <si>
    <t>1678920421842857984</t>
  </si>
  <si>
    <t>1677651230363987968</t>
  </si>
  <si>
    <t>1683847357199155200</t>
  </si>
  <si>
    <t>1704135799954939958</t>
  </si>
  <si>
    <t>1702007544707756527</t>
  </si>
  <si>
    <t>1678388782498816001</t>
  </si>
  <si>
    <t>1678736085650747392</t>
  </si>
  <si>
    <t>1679100910251700224</t>
  </si>
  <si>
    <t>1682103277637320705</t>
  </si>
  <si>
    <t>1679826930466541569</t>
  </si>
  <si>
    <t>1679463268086173699</t>
  </si>
  <si>
    <t>1680915367869161475</t>
  </si>
  <si>
    <t>1680552883232677890</t>
  </si>
  <si>
    <t>1680189324556419072</t>
  </si>
  <si>
    <t>1681699214152040451</t>
  </si>
  <si>
    <t>1681285245755174912</t>
  </si>
  <si>
    <t>1678777131575410692</t>
  </si>
  <si>
    <t>1678740571152687108</t>
  </si>
  <si>
    <t>1692634974464123381</t>
  </si>
  <si>
    <t>1705289934716735611</t>
  </si>
  <si>
    <t>1676586405571469315</t>
  </si>
  <si>
    <t>1676586403453444098</t>
  </si>
  <si>
    <t>1676586401515593728</t>
  </si>
  <si>
    <t>1676586399502409728</t>
  </si>
  <si>
    <t>1679190310147223554</t>
  </si>
  <si>
    <t>1698090417202311494</t>
  </si>
  <si>
    <t>1694722638265078224</t>
  </si>
  <si>
    <t>1689795089743200256</t>
  </si>
  <si>
    <t>1704958942118318495</t>
  </si>
  <si>
    <t>1704957523013279792</t>
  </si>
  <si>
    <t>1706643726259396619</t>
  </si>
  <si>
    <t>1680014407282114561</t>
  </si>
  <si>
    <t>1678725774923247617</t>
  </si>
  <si>
    <t>1679811806762614790</t>
  </si>
  <si>
    <t>1684338163047596034</t>
  </si>
  <si>
    <t>1678917024016105474</t>
  </si>
  <si>
    <t>1679121635469656064</t>
  </si>
  <si>
    <t>1679577696022536193</t>
  </si>
  <si>
    <t>1694698911179378764</t>
  </si>
  <si>
    <t>1677162965433307136</t>
  </si>
  <si>
    <t>1680274922415718401</t>
  </si>
  <si>
    <t>1701969879065137371</t>
  </si>
  <si>
    <t>1695124154566000916</t>
  </si>
  <si>
    <t>1705012946693190013</t>
  </si>
  <si>
    <t>1694722269204160606</t>
  </si>
  <si>
    <t>1676561575858286593</t>
  </si>
  <si>
    <t>1679914908979167242</t>
  </si>
  <si>
    <t>1698657399576371397</t>
  </si>
  <si>
    <t>1683472796884647942</t>
  </si>
  <si>
    <t>1702658857237881277</t>
  </si>
  <si>
    <t>1703844360112967865</t>
  </si>
  <si>
    <t>1704434533435646200</t>
  </si>
  <si>
    <t>1704113593157869829</t>
  </si>
  <si>
    <t>1695481996141613324</t>
  </si>
  <si>
    <t>1678836588632047618</t>
  </si>
  <si>
    <t>1691233048182792192</t>
  </si>
  <si>
    <t>1692572253152592294</t>
  </si>
  <si>
    <t>1696624385124192657</t>
  </si>
  <si>
    <t>1677028562560245763</t>
  </si>
  <si>
    <t>1686313182573350914</t>
  </si>
  <si>
    <t>1695778275514077299</t>
  </si>
  <si>
    <t>1678450124651995149</t>
  </si>
  <si>
    <t>1696716621203534244</t>
  </si>
  <si>
    <t>1683847590310281216</t>
  </si>
  <si>
    <t>1684572793592233987</t>
  </si>
  <si>
    <t>1685335966343421952</t>
  </si>
  <si>
    <t>1695475818690961721</t>
  </si>
  <si>
    <t>1681030579171500034</t>
  </si>
  <si>
    <t>1680577966017855488</t>
  </si>
  <si>
    <t>1694589600910487888</t>
  </si>
  <si>
    <t>1677392289163780105</t>
  </si>
  <si>
    <t>1677362041613328384</t>
  </si>
  <si>
    <t>1677029878066028545</t>
  </si>
  <si>
    <t>1682103325733314562</t>
  </si>
  <si>
    <t>1680638695559274497</t>
  </si>
  <si>
    <t>1680276276790063104</t>
  </si>
  <si>
    <t>1679219340829138950</t>
  </si>
  <si>
    <t>1679189103244632064</t>
  </si>
  <si>
    <t>1676682648675143687</t>
  </si>
  <si>
    <t>1676657229540237334</t>
  </si>
  <si>
    <t>1676320197668372482</t>
  </si>
  <si>
    <t>1679929038230663168</t>
  </si>
  <si>
    <t>1679898734837084164</t>
  </si>
  <si>
    <t>1679566587643465728</t>
  </si>
  <si>
    <t>1683885084447764482</t>
  </si>
  <si>
    <t>1678479484154966030</t>
  </si>
  <si>
    <t>1684972204285468672</t>
  </si>
  <si>
    <t>1678841868723863556</t>
  </si>
  <si>
    <t>1678811541808861185</t>
  </si>
  <si>
    <t>1676274852003553282</t>
  </si>
  <si>
    <t>1675942758614269952</t>
  </si>
  <si>
    <t>1675916110070263817</t>
  </si>
  <si>
    <t>1686421756406386689</t>
  </si>
  <si>
    <t>1681725759717556240</t>
  </si>
  <si>
    <t>1681378529026494465</t>
  </si>
  <si>
    <t>1681348304989290496</t>
  </si>
  <si>
    <t>1685560871098220544</t>
  </si>
  <si>
    <t>1675926188982673414</t>
  </si>
  <si>
    <t>1700531358307594499</t>
  </si>
  <si>
    <t>1700529012806758617</t>
  </si>
  <si>
    <t>1677824663437582339</t>
  </si>
  <si>
    <t>1678456298394853402</t>
  </si>
  <si>
    <t>1692148432117305544</t>
  </si>
  <si>
    <t>1705427240299770210</t>
  </si>
  <si>
    <t>1676310653617729538</t>
  </si>
  <si>
    <t>1687533830490488842</t>
  </si>
  <si>
    <t>1692296212714590663</t>
  </si>
  <si>
    <t>1691985836475076916</t>
  </si>
  <si>
    <t>1695424551604138091</t>
  </si>
  <si>
    <t>1695195676911501713</t>
  </si>
  <si>
    <t>1698794221249994825</t>
  </si>
  <si>
    <t>1694152710138798090</t>
  </si>
  <si>
    <t>1693295235978174611</t>
  </si>
  <si>
    <t>1700282023191912494</t>
  </si>
  <si>
    <t>1698445673606140252</t>
  </si>
  <si>
    <t>1698329799385661468</t>
  </si>
  <si>
    <t>1695076710922756598</t>
  </si>
  <si>
    <t>1694856121981317519</t>
  </si>
  <si>
    <t>1694709975715815482</t>
  </si>
  <si>
    <t>1690141667217575936</t>
  </si>
  <si>
    <t>1700609180019601749</t>
  </si>
  <si>
    <t>1699755345520845139</t>
  </si>
  <si>
    <t>1692915067774198104</t>
  </si>
  <si>
    <t>1692668841678000472</t>
  </si>
  <si>
    <t>1701174184389341338</t>
  </si>
  <si>
    <t>1694650158884016471</t>
  </si>
  <si>
    <t>1694461192821989658</t>
  </si>
  <si>
    <t>1703782429683556793</t>
  </si>
  <si>
    <t>1696127409001525320</t>
  </si>
  <si>
    <t>1696127398847078402</t>
  </si>
  <si>
    <t>1696127395030343839</t>
  </si>
  <si>
    <t>1691397327553024001</t>
  </si>
  <si>
    <t>1691202320749465601</t>
  </si>
  <si>
    <t>1705012528785375737</t>
  </si>
  <si>
    <t>1704988507322613931</t>
  </si>
  <si>
    <t>1696974618181935418</t>
  </si>
  <si>
    <t>1691500668337397775</t>
  </si>
  <si>
    <t>1687503659351908362</t>
  </si>
  <si>
    <t>1679991237342904321</t>
  </si>
  <si>
    <t>1701581062789357857</t>
  </si>
  <si>
    <t>1684533513637318656</t>
  </si>
  <si>
    <t>1676645900855156746</t>
  </si>
  <si>
    <t>1702653763700347222</t>
  </si>
  <si>
    <t>1703840258243051784</t>
  </si>
  <si>
    <t>1682388723659419650</t>
  </si>
  <si>
    <t>1681997664827633668</t>
  </si>
  <si>
    <t>1698394647721099417</t>
  </si>
  <si>
    <t>1691170697307910145</t>
  </si>
  <si>
    <t>1691170495863926784</t>
  </si>
  <si>
    <t>1697350359830720989</t>
  </si>
  <si>
    <t>1702642755632070749</t>
  </si>
  <si>
    <t>1697416268457058620</t>
  </si>
  <si>
    <t>1679327820139380737</t>
  </si>
  <si>
    <t>1684908460968706048</t>
  </si>
  <si>
    <t>1698662317104246806</t>
  </si>
  <si>
    <t>1692706530464870544</t>
  </si>
  <si>
    <t>1692697003489190331</t>
  </si>
  <si>
    <t>1693784909771330024</t>
  </si>
  <si>
    <t>1696651439207014849</t>
  </si>
  <si>
    <t>1695774890459005102</t>
  </si>
  <si>
    <t>1698512462130114996</t>
  </si>
  <si>
    <t>1706456065863258469</t>
  </si>
  <si>
    <t>1678813959267155968</t>
  </si>
  <si>
    <t>1675889785519460355</t>
  </si>
  <si>
    <t>1680434800723632129</t>
  </si>
  <si>
    <t>1707016151086043259</t>
  </si>
  <si>
    <t>1693730952147866034</t>
  </si>
  <si>
    <t>1675972984316776449</t>
  </si>
  <si>
    <t>1696267749801279662</t>
  </si>
  <si>
    <t>1691193912537550848</t>
  </si>
  <si>
    <t>1681046437679988736</t>
  </si>
  <si>
    <t>1698803994024677504</t>
  </si>
  <si>
    <t>1688656886692982786</t>
  </si>
  <si>
    <t>1703876992989626376</t>
  </si>
  <si>
    <t>1683583316539342848</t>
  </si>
  <si>
    <t>1678509707223519232</t>
  </si>
  <si>
    <t>1706413947182854145</t>
  </si>
  <si>
    <t>1701340877434782161</t>
  </si>
  <si>
    <t>1686120044135342081</t>
  </si>
  <si>
    <t>1686359610469326849</t>
  </si>
  <si>
    <t>1680106609140269056</t>
  </si>
  <si>
    <t>1690008836596195328</t>
  </si>
  <si>
    <t>1696227810098974795</t>
  </si>
  <si>
    <t>1691147486402850832</t>
  </si>
  <si>
    <t>1693986420980072554</t>
  </si>
  <si>
    <t>1696970305229533621</t>
  </si>
  <si>
    <t>1691804686150467831</t>
  </si>
  <si>
    <t>1691520831619301377</t>
  </si>
  <si>
    <t>1694416660625571923</t>
  </si>
  <si>
    <t>1696575317157048672</t>
  </si>
  <si>
    <t>1689647430814650369</t>
  </si>
  <si>
    <t>1697286550348808341</t>
  </si>
  <si>
    <t>1692611826070995251</t>
  </si>
  <si>
    <t>1679884472559206401</t>
  </si>
  <si>
    <t>1684996175823360000</t>
  </si>
  <si>
    <t>1687593518515040257</t>
  </si>
  <si>
    <t>1679785307653435393</t>
  </si>
  <si>
    <t>1679422917447147521</t>
  </si>
  <si>
    <t>1680872468704264193</t>
  </si>
  <si>
    <t>1680147694805819392</t>
  </si>
  <si>
    <t>1681597245878091779</t>
  </si>
  <si>
    <t>1681234857039659009</t>
  </si>
  <si>
    <t>1683409184778502144</t>
  </si>
  <si>
    <t>1684133960257884160</t>
  </si>
  <si>
    <t>1679125475044605953</t>
  </si>
  <si>
    <t>1682684409261223936</t>
  </si>
  <si>
    <t>1682322019755659266</t>
  </si>
  <si>
    <t>1681959632795848705</t>
  </si>
  <si>
    <t>1683771571763294208</t>
  </si>
  <si>
    <t>1687529561783730183</t>
  </si>
  <si>
    <t>1679470820698071042</t>
  </si>
  <si>
    <t>1679107133684457472</t>
  </si>
  <si>
    <t>1680920367903256578</t>
  </si>
  <si>
    <t>1682441716035383323</t>
  </si>
  <si>
    <t>1701518258480759083</t>
  </si>
  <si>
    <t>1694719019973226885</t>
  </si>
  <si>
    <t>1696993511311040823</t>
  </si>
  <si>
    <t>1699530754705768706</t>
  </si>
  <si>
    <t>1696328452339569124</t>
  </si>
  <si>
    <t>1702302079719498041</t>
  </si>
  <si>
    <t>1676278355258220559</t>
  </si>
  <si>
    <t>1696514033447567863</t>
  </si>
  <si>
    <t>1704902814793617858</t>
  </si>
  <si>
    <t>1685017847284547584</t>
  </si>
  <si>
    <t>1685017334233096193</t>
  </si>
  <si>
    <t>1706277727353901397</t>
  </si>
  <si>
    <t>1699177918855778568</t>
  </si>
  <si>
    <t>1699482598383202618</t>
  </si>
  <si>
    <t>1697667685566320804</t>
  </si>
  <si>
    <t>1694405692684443815</t>
  </si>
  <si>
    <t>1694137680592810060</t>
  </si>
  <si>
    <t>1703529321724260438</t>
  </si>
  <si>
    <t>1691902036990636235</t>
  </si>
  <si>
    <t>1697519382006542844</t>
  </si>
  <si>
    <t>1677633278386352128</t>
  </si>
  <si>
    <t>1677497311495176192</t>
  </si>
  <si>
    <t>1677440496296394752</t>
  </si>
  <si>
    <t>1676948839012634625</t>
  </si>
  <si>
    <t>1684271965102563339</t>
  </si>
  <si>
    <t>1684972058336272388</t>
  </si>
  <si>
    <t>1685685483551051778</t>
  </si>
  <si>
    <t>1701709046603198491</t>
  </si>
  <si>
    <t>1704995422651998697</t>
  </si>
  <si>
    <t>1696337689878863935</t>
  </si>
  <si>
    <t>1694065234191826972</t>
  </si>
  <si>
    <t>1699046723178598797</t>
  </si>
  <si>
    <t>1704232134292992362</t>
  </si>
  <si>
    <t>1705267729610035572</t>
  </si>
  <si>
    <t>1698054712271024161</t>
  </si>
  <si>
    <t>1706633719690244279</t>
  </si>
  <si>
    <t>1702028913583562910</t>
  </si>
  <si>
    <t>1691635575776764187</t>
  </si>
  <si>
    <t>1680403800799039488</t>
  </si>
  <si>
    <t>1691064206513053696</t>
  </si>
  <si>
    <t>1681619940732698626</t>
  </si>
  <si>
    <t>1678871596621000704</t>
  </si>
  <si>
    <t>1680575127874854912</t>
  </si>
  <si>
    <t>1680226811723108355</t>
  </si>
  <si>
    <t>1693636574234444086</t>
  </si>
  <si>
    <t>1693666214227083387</t>
  </si>
  <si>
    <t>1683509714993258496</t>
  </si>
  <si>
    <t>1640162346516578306</t>
  </si>
  <si>
    <t>1689606618239954949</t>
  </si>
  <si>
    <t>1701422720053817688</t>
  </si>
  <si>
    <t>1703736665049571751</t>
  </si>
  <si>
    <t>1691070037870682112</t>
  </si>
  <si>
    <t>1688943312676298753</t>
  </si>
  <si>
    <t>1682097208659673089</t>
  </si>
  <si>
    <t>1706081285523779758</t>
  </si>
  <si>
    <t>1700182296844767356</t>
  </si>
  <si>
    <t>1685332289801101313</t>
  </si>
  <si>
    <t>1699557713921900657</t>
  </si>
  <si>
    <t>1679135126150627337</t>
  </si>
  <si>
    <t>1704432603778924679</t>
  </si>
  <si>
    <t>1704840489260749040</t>
  </si>
  <si>
    <t>1681466789866110976</t>
  </si>
  <si>
    <t>1690037592530595842</t>
  </si>
  <si>
    <t>1693435266956976518</t>
  </si>
  <si>
    <t>1676893886294155264</t>
  </si>
  <si>
    <t>1678352765263785985</t>
  </si>
  <si>
    <t>1692162085793230953</t>
  </si>
  <si>
    <t>1677651064433016832</t>
  </si>
  <si>
    <t>1687048239080484864</t>
  </si>
  <si>
    <t>1701543708506640504</t>
  </si>
  <si>
    <t>1689698476542554112</t>
  </si>
  <si>
    <t>1701930369925198199</t>
  </si>
  <si>
    <t>1701423087852392948</t>
  </si>
  <si>
    <t>1689606464975843330</t>
  </si>
  <si>
    <t>1702683339012878471</t>
  </si>
  <si>
    <t>1705167980667994373</t>
  </si>
  <si>
    <t>1704443455370362986</t>
  </si>
  <si>
    <t>1703718475821162626</t>
  </si>
  <si>
    <t>1691070189385752577</t>
  </si>
  <si>
    <t>1686798920368746502</t>
  </si>
  <si>
    <t>1677358557195378695</t>
  </si>
  <si>
    <t>1705717563613732935</t>
  </si>
  <si>
    <t>1705990479748514136</t>
  </si>
  <si>
    <t>1706058708336234901</t>
  </si>
  <si>
    <t>1703739658343993853</t>
  </si>
  <si>
    <t>1681673641442811911</t>
  </si>
  <si>
    <t>1684324288889757704</t>
  </si>
  <si>
    <t>1679129096662441984</t>
  </si>
  <si>
    <t>1684942688766840832</t>
  </si>
  <si>
    <t>1680626590613401601</t>
  </si>
  <si>
    <t>1677110001171591168</t>
  </si>
  <si>
    <t>1698815512338219362</t>
  </si>
  <si>
    <t>1681096215289528320</t>
  </si>
  <si>
    <t>1693776645834908046</t>
  </si>
  <si>
    <t>1693776761517940929</t>
  </si>
  <si>
    <t>1694149658778419505</t>
  </si>
  <si>
    <t>1706357989500768273</t>
  </si>
  <si>
    <t>1696613696783691806</t>
  </si>
  <si>
    <t>1689953759273582592</t>
  </si>
  <si>
    <t>1696478062215340425</t>
  </si>
  <si>
    <t>1704211902614692090</t>
  </si>
  <si>
    <t>1704210005002420486</t>
  </si>
  <si>
    <t>1685483861566734336</t>
  </si>
  <si>
    <t>1696971796119969917</t>
  </si>
  <si>
    <t>1695969456592175350</t>
  </si>
  <si>
    <t>1687108061016768513</t>
  </si>
  <si>
    <t>1687057631255429122</t>
  </si>
  <si>
    <t>1698758068404646252</t>
  </si>
  <si>
    <t>1678485086818148352</t>
  </si>
  <si>
    <t>1680900784861466626</t>
  </si>
  <si>
    <t>1706681538853712339</t>
  </si>
  <si>
    <t>1688576316893798400</t>
  </si>
  <si>
    <t>1695803266989240499</t>
  </si>
  <si>
    <t>1701244998866403694</t>
  </si>
  <si>
    <t>1685635329422761984</t>
  </si>
  <si>
    <t>1691094245200027648</t>
  </si>
  <si>
    <t>1675918872589770766</t>
  </si>
  <si>
    <t>1686883130441908224</t>
  </si>
  <si>
    <t>1695202116128698827</t>
  </si>
  <si>
    <t>1686069373843226626</t>
  </si>
  <si>
    <t>1699117714894205253</t>
  </si>
  <si>
    <t>1691142411018186760</t>
  </si>
  <si>
    <t>1702415618039755130</t>
  </si>
  <si>
    <t>1692942464242290768</t>
  </si>
  <si>
    <t>1678103670246744069</t>
  </si>
  <si>
    <t>1681106595244023809</t>
  </si>
  <si>
    <t>1706311685181493552</t>
  </si>
  <si>
    <t>1694254975751172224</t>
  </si>
  <si>
    <t>1695038070268031383</t>
  </si>
  <si>
    <t>1701491997473730575</t>
  </si>
  <si>
    <t>1702190598122349012</t>
  </si>
  <si>
    <t>1697163752171258330</t>
  </si>
  <si>
    <t>1688463202567213056</t>
  </si>
  <si>
    <t>1704381135935914475</t>
  </si>
  <si>
    <t>1702624950006186001</t>
  </si>
  <si>
    <t>1692418632884552001</t>
  </si>
  <si>
    <t>1706563874206404728</t>
  </si>
  <si>
    <t>1705084562022232073</t>
  </si>
  <si>
    <t>1698973966583357716</t>
  </si>
  <si>
    <t>1706971952500334796</t>
  </si>
  <si>
    <t>1702412445493375099</t>
  </si>
  <si>
    <t>1676651684200587275</t>
  </si>
  <si>
    <t>1705263448559398979</t>
  </si>
  <si>
    <t>1702699428375560530</t>
  </si>
  <si>
    <t>1705673500873171211</t>
  </si>
  <si>
    <t>1681279624251158529</t>
  </si>
  <si>
    <t>1706267899319525583</t>
  </si>
  <si>
    <t>1704224184027476412</t>
  </si>
  <si>
    <t>1706639052819038656</t>
  </si>
  <si>
    <t>1706398329192550696</t>
  </si>
  <si>
    <t>1704583137148182871</t>
  </si>
  <si>
    <t>1682133667278102529</t>
  </si>
  <si>
    <t>1686743706802491392</t>
  </si>
  <si>
    <t>1691253384215494656</t>
  </si>
  <si>
    <t>1689841042005127169</t>
  </si>
  <si>
    <t>1678762637654622210</t>
  </si>
  <si>
    <t>1675930221000773632</t>
  </si>
  <si>
    <t>1675860049078411265</t>
  </si>
  <si>
    <t>1696778684491792528</t>
  </si>
  <si>
    <t>1677119400749441024</t>
  </si>
  <si>
    <t>1694736899238248794</t>
  </si>
  <si>
    <t>1683482825830412288</t>
  </si>
  <si>
    <t>1676376232127000576</t>
  </si>
  <si>
    <t>1704551321024557553</t>
  </si>
  <si>
    <t>1676307904620814336</t>
  </si>
  <si>
    <t>1683526232929910794</t>
  </si>
  <si>
    <t>1692262374055506319</t>
  </si>
  <si>
    <t>1695421083254452362</t>
  </si>
  <si>
    <t>1698818224173772930</t>
  </si>
  <si>
    <t>1702082514716709028</t>
  </si>
  <si>
    <t>1694067664849666096</t>
  </si>
  <si>
    <t>1683522738181349398</t>
  </si>
  <si>
    <t>1707125911382860234</t>
  </si>
  <si>
    <t>1697983289057837261</t>
  </si>
  <si>
    <t>1678409756925476865</t>
  </si>
  <si>
    <t>1693970340211228867</t>
  </si>
  <si>
    <t>1676750448730963968</t>
  </si>
  <si>
    <t>1687135402438664196</t>
  </si>
  <si>
    <t>1684573640187420673</t>
  </si>
  <si>
    <t>1701955913794420775</t>
  </si>
  <si>
    <t>1700542184431202447</t>
  </si>
  <si>
    <t>1677129247012290561</t>
  </si>
  <si>
    <t>1691090141262274560</t>
  </si>
  <si>
    <t>1691853984879837380</t>
  </si>
  <si>
    <t>1706779811761307726</t>
  </si>
  <si>
    <t>1706784727112261685</t>
  </si>
  <si>
    <t>1682738887553064963</t>
  </si>
  <si>
    <t>1702642194736165098</t>
  </si>
  <si>
    <t>1694854272754565269</t>
  </si>
  <si>
    <t>1690803764251271168</t>
  </si>
  <si>
    <t>1705256472446226438</t>
  </si>
  <si>
    <t>1683866979403198466</t>
  </si>
  <si>
    <t>1683471120626745344</t>
  </si>
  <si>
    <t>1700578883177730505</t>
  </si>
  <si>
    <t>1700234478323466483</t>
  </si>
  <si>
    <t>1688934985170878464</t>
  </si>
  <si>
    <t>1699831952650694789</t>
  </si>
  <si>
    <t>1701592619078279454</t>
  </si>
  <si>
    <t>1701824054808703481</t>
  </si>
  <si>
    <t>1701643065524379857</t>
  </si>
  <si>
    <t>1704900035089993984</t>
  </si>
  <si>
    <t>1703426815904116809</t>
  </si>
  <si>
    <t>1705027124363448721</t>
  </si>
  <si>
    <t>1692857020376817741</t>
  </si>
  <si>
    <t>1692645297963315317</t>
  </si>
  <si>
    <t>1694753952309395592</t>
  </si>
  <si>
    <t>1679898503655436302</t>
  </si>
  <si>
    <t>1694741362485465108</t>
  </si>
  <si>
    <t>1704525829726675055</t>
  </si>
  <si>
    <t>1697685635211857984</t>
  </si>
  <si>
    <t>1676568112806653953</t>
  </si>
  <si>
    <t>1693685264395210948</t>
  </si>
  <si>
    <t>1689554220465156096</t>
  </si>
  <si>
    <t>1689203097543847936</t>
  </si>
  <si>
    <t>1684582796197793795</t>
  </si>
  <si>
    <t>1676166105222590465</t>
  </si>
  <si>
    <t>1698679102725574767</t>
  </si>
  <si>
    <t>1685941498074873856</t>
  </si>
  <si>
    <t>1699740705944375660</t>
  </si>
  <si>
    <t>1697192103678218696</t>
  </si>
  <si>
    <t>1683766318577614849</t>
  </si>
  <si>
    <t>1701883266159002062</t>
  </si>
  <si>
    <t>1699355892657905815</t>
  </si>
  <si>
    <t>1691750284836368682</t>
  </si>
  <si>
    <t>1682381621616410626</t>
  </si>
  <si>
    <t>1681996272910184448</t>
  </si>
  <si>
    <t>1702610902279758162</t>
  </si>
  <si>
    <t>1700090905888206962</t>
  </si>
  <si>
    <t>1697528766770119045</t>
  </si>
  <si>
    <t>1687410301585498112</t>
  </si>
  <si>
    <t>1704434215087907207</t>
  </si>
  <si>
    <t>1686723017819271171</t>
  </si>
  <si>
    <t>1704774795181588901</t>
  </si>
  <si>
    <t>1679458398734102530</t>
  </si>
  <si>
    <t>1692937072468726198</t>
  </si>
  <si>
    <t>1702064609560055991</t>
  </si>
  <si>
    <t>1676902851178643456</t>
  </si>
  <si>
    <t>1696895980887519358</t>
  </si>
  <si>
    <t>1699026397748928752</t>
  </si>
  <si>
    <t>1677879803293171713</t>
  </si>
  <si>
    <t>1682107869028659203</t>
  </si>
  <si>
    <t>1686481129098887168</t>
  </si>
  <si>
    <t>1699964668998041883</t>
  </si>
  <si>
    <t>1700268290671800671</t>
  </si>
  <si>
    <t>1701351674248364055</t>
  </si>
  <si>
    <t>1676420777237790720</t>
  </si>
  <si>
    <t>1686469720105488384</t>
  </si>
  <si>
    <t>1687439772321513472</t>
  </si>
  <si>
    <t>1687449154123898880</t>
  </si>
  <si>
    <t>1694665311276994898</t>
  </si>
  <si>
    <t>1698723251407511929</t>
  </si>
  <si>
    <t>1693984524898812140</t>
  </si>
  <si>
    <t>1682818130815401985</t>
  </si>
  <si>
    <t>1691881890708340815</t>
  </si>
  <si>
    <t>1678901925717344256</t>
  </si>
  <si>
    <t>1679960125468016641</t>
  </si>
  <si>
    <t>1681964993430839296</t>
  </si>
  <si>
    <t>1681075165927464961</t>
  </si>
  <si>
    <t>1678908933866389507</t>
  </si>
  <si>
    <t>1685343908035739649</t>
  </si>
  <si>
    <t>1685449468664061952</t>
  </si>
  <si>
    <t>1702228486096593026</t>
  </si>
  <si>
    <t>1676328750550589440</t>
  </si>
  <si>
    <t>1700856653900578965</t>
  </si>
  <si>
    <t>1701581460468318288</t>
  </si>
  <si>
    <t>1689039501501341696</t>
  </si>
  <si>
    <t>1677693816776605697</t>
  </si>
  <si>
    <t>1675949009704218639</t>
  </si>
  <si>
    <t>1700219813266629082</t>
  </si>
  <si>
    <t>1692138226121621732</t>
  </si>
  <si>
    <t>1691185635816587267</t>
  </si>
  <si>
    <t>1684577011828940800</t>
  </si>
  <si>
    <t>1681733402808991752</t>
  </si>
  <si>
    <t>1686029125616615426</t>
  </si>
  <si>
    <t>1690891746186506241</t>
  </si>
  <si>
    <t>1681046344696250370</t>
  </si>
  <si>
    <t>1678866820797812739</t>
  </si>
  <si>
    <t>1696200325554749933</t>
  </si>
  <si>
    <t>1684348403235319808</t>
  </si>
  <si>
    <t>1682091366510219264</t>
  </si>
  <si>
    <t>1678818498955341838</t>
  </si>
  <si>
    <t>1679194067027083264</t>
  </si>
  <si>
    <t>1679921003017691136</t>
  </si>
  <si>
    <t>1676947738938998787</t>
  </si>
  <si>
    <t>1702413587350794384</t>
  </si>
  <si>
    <t>1703831383095783467</t>
  </si>
  <si>
    <t>1680265720276328449</t>
  </si>
  <si>
    <t>1685052974559612928</t>
  </si>
  <si>
    <t>1679936299669798912</t>
  </si>
  <si>
    <t>1679853253721300994</t>
  </si>
  <si>
    <t>1679616246944243713</t>
  </si>
  <si>
    <t>1684534100013772802</t>
  </si>
  <si>
    <t>1705981552717402392</t>
  </si>
  <si>
    <t>1682737257604878337</t>
  </si>
  <si>
    <t>1681722265438658560</t>
  </si>
  <si>
    <t>1693622646569635990</t>
  </si>
  <si>
    <t>1681293539089563653</t>
  </si>
  <si>
    <t>1694631398701719719</t>
  </si>
  <si>
    <t>1705931922117886264</t>
  </si>
  <si>
    <t>1681269666751078402</t>
  </si>
  <si>
    <t>1686751001900904449</t>
  </si>
  <si>
    <t>1697452992415285313</t>
  </si>
  <si>
    <t>1686033508320387072</t>
  </si>
  <si>
    <t>1688609926728351744</t>
  </si>
  <si>
    <t>1692476586203729997</t>
  </si>
  <si>
    <t>1680925537676451840</t>
  </si>
  <si>
    <t>1686729577895174144</t>
  </si>
  <si>
    <t>1676199359233380353</t>
  </si>
  <si>
    <t>1686184880508481536</t>
  </si>
  <si>
    <t>1693962436657684559</t>
  </si>
  <si>
    <t>1687448161906835457</t>
  </si>
  <si>
    <t>1701581996017750407</t>
  </si>
  <si>
    <t>1701259163177738530</t>
  </si>
  <si>
    <t>1701002293192307186</t>
  </si>
  <si>
    <t>1699485179595600024</t>
  </si>
  <si>
    <t>1699471589606060216</t>
  </si>
  <si>
    <t>1698803473465106442</t>
  </si>
  <si>
    <t>1698787821769687075</t>
  </si>
  <si>
    <t>1698773935121162303</t>
  </si>
  <si>
    <t>1697641302634979442</t>
  </si>
  <si>
    <t>1697639722456129825</t>
  </si>
  <si>
    <t>1694373942700511358</t>
  </si>
  <si>
    <t>1694128203860718057</t>
  </si>
  <si>
    <t>1693598220109144348</t>
  </si>
  <si>
    <t>1693595236474245276</t>
  </si>
  <si>
    <t>1693386885458972762</t>
  </si>
  <si>
    <t>1693260197102231960</t>
  </si>
  <si>
    <t>1693252476789551372</t>
  </si>
  <si>
    <t>1693252335114367141</t>
  </si>
  <si>
    <t>1689384283809411072</t>
  </si>
  <si>
    <t>1689372209897160704</t>
  </si>
  <si>
    <t>1689350690630516736</t>
  </si>
  <si>
    <t>1688618114836033536</t>
  </si>
  <si>
    <t>1688558675810508802</t>
  </si>
  <si>
    <t>1688539421728018432</t>
  </si>
  <si>
    <t>1688527455642943488</t>
  </si>
  <si>
    <t>1684552061457690625</t>
  </si>
  <si>
    <t>1684319156491935745</t>
  </si>
  <si>
    <t>1684309368672493568</t>
  </si>
  <si>
    <t>1684273556501266432</t>
  </si>
  <si>
    <t>1684250545123360769</t>
  </si>
  <si>
    <t>1684194071890235392</t>
  </si>
  <si>
    <t>1683956269948850180</t>
  </si>
  <si>
    <t>1683945315802419201</t>
  </si>
  <si>
    <t>1679235996968255492</t>
  </si>
  <si>
    <t>1679213202234568728</t>
  </si>
  <si>
    <t>1679200356599754753</t>
  </si>
  <si>
    <t>1679126000255262726</t>
  </si>
  <si>
    <t>1679115305715417089</t>
  </si>
  <si>
    <t>1678941829083934720</t>
  </si>
  <si>
    <t>1678933889539031040</t>
  </si>
  <si>
    <t>1676770623605940227</t>
  </si>
  <si>
    <t>1676711408476512256</t>
  </si>
  <si>
    <t>1676697551318265856</t>
  </si>
  <si>
    <t>1676690435010437121</t>
  </si>
  <si>
    <t>1676676100309635087</t>
  </si>
  <si>
    <t>1676619282552070145</t>
  </si>
  <si>
    <t>1676580656392830976</t>
  </si>
  <si>
    <t>1676371901378179074</t>
  </si>
  <si>
    <t>1676366133413249025</t>
  </si>
  <si>
    <t>1676357249667661826</t>
  </si>
  <si>
    <t>1676338847330738177</t>
  </si>
  <si>
    <t>1676307715746852877</t>
  </si>
  <si>
    <t>1702407572345483641</t>
  </si>
  <si>
    <t>1702071019094114347</t>
  </si>
  <si>
    <t>1701590476577817042</t>
  </si>
  <si>
    <t>1701571889775137055</t>
  </si>
  <si>
    <t>1701018983741505734</t>
  </si>
  <si>
    <t>1701010094471913956</t>
  </si>
  <si>
    <t>1700220096138932707</t>
  </si>
  <si>
    <t>1700211079425425812</t>
  </si>
  <si>
    <t>1700199052535644410</t>
  </si>
  <si>
    <t>1699798946510733665</t>
  </si>
  <si>
    <t>1698873167668769046</t>
  </si>
  <si>
    <t>1698826997797982254</t>
  </si>
  <si>
    <t>1698826297768587438</t>
  </si>
  <si>
    <t>1697729954350293452</t>
  </si>
  <si>
    <t>1697719947386892663</t>
  </si>
  <si>
    <t>1696524380468293871</t>
  </si>
  <si>
    <t>1694465847497048396</t>
  </si>
  <si>
    <t>1694451312841085279</t>
  </si>
  <si>
    <t>1694436263657365594</t>
  </si>
  <si>
    <t>1693742000774787400</t>
  </si>
  <si>
    <t>1693732172065087698</t>
  </si>
  <si>
    <t>1693637597879263568</t>
  </si>
  <si>
    <t>1689669042368282624</t>
  </si>
  <si>
    <t>1689642605045518337</t>
  </si>
  <si>
    <t>1689639485292859395</t>
  </si>
  <si>
    <t>1689625506868609025</t>
  </si>
  <si>
    <t>1689616771223879680</t>
  </si>
  <si>
    <t>1689608493135699969</t>
  </si>
  <si>
    <t>1689592379211124736</t>
  </si>
  <si>
    <t>1689272604446633984</t>
  </si>
  <si>
    <t>1688999558741688321</t>
  </si>
  <si>
    <t>1688964798891888640</t>
  </si>
  <si>
    <t>1688914593215889408</t>
  </si>
  <si>
    <t>1688896852572123136</t>
  </si>
  <si>
    <t>1688885152930217984</t>
  </si>
  <si>
    <t>1688870909287776256</t>
  </si>
  <si>
    <t>1684933932406444032</t>
  </si>
  <si>
    <t>1684921881936244736</t>
  </si>
  <si>
    <t>1684904499213635584</t>
  </si>
  <si>
    <t>1684894775558774784</t>
  </si>
  <si>
    <t>1684885105062346752</t>
  </si>
  <si>
    <t>1684704869754527744</t>
  </si>
  <si>
    <t>1684693192032063488</t>
  </si>
  <si>
    <t>1684678596219072512</t>
  </si>
  <si>
    <t>1684662237892431873</t>
  </si>
  <si>
    <t>1684598945601683468</t>
  </si>
  <si>
    <t>1684565010348122112</t>
  </si>
  <si>
    <t>1678845907540819971</t>
  </si>
  <si>
    <t>1678818861997596672</t>
  </si>
  <si>
    <t>1678809424037543939</t>
  </si>
  <si>
    <t>1678775008053825537</t>
  </si>
  <si>
    <t>1678757544775278594</t>
  </si>
  <si>
    <t>1676195247280336896</t>
  </si>
  <si>
    <t>1676165244249309185</t>
  </si>
  <si>
    <t>1676158057208750081</t>
  </si>
  <si>
    <t>1676050288577314817</t>
  </si>
  <si>
    <t>1676042480767193089</t>
  </si>
  <si>
    <t>1675979643000614913</t>
  </si>
  <si>
    <t>1675878634186321920</t>
  </si>
  <si>
    <t>1675870350914072577</t>
  </si>
  <si>
    <t>1704122715370618966</t>
  </si>
  <si>
    <t>1704117149046804888</t>
  </si>
  <si>
    <t>1704106251402060111</t>
  </si>
  <si>
    <t>1704095963881554014</t>
  </si>
  <si>
    <t>1703575348565135673</t>
  </si>
  <si>
    <t>1702318737012273297</t>
  </si>
  <si>
    <t>1702318093366907144</t>
  </si>
  <si>
    <t>1702293653769658722</t>
  </si>
  <si>
    <t>1702278718754877669</t>
  </si>
  <si>
    <t>1701235510444806429</t>
  </si>
  <si>
    <t>1701216170093801730</t>
  </si>
  <si>
    <t>1700151464058905069</t>
  </si>
  <si>
    <t>1699828766258712869</t>
  </si>
  <si>
    <t>1697591850159218968</t>
  </si>
  <si>
    <t>1697579942282686889</t>
  </si>
  <si>
    <t>1697435486631964932</t>
  </si>
  <si>
    <t>1697426188338176172</t>
  </si>
  <si>
    <t>1697402755848061384</t>
  </si>
  <si>
    <t>1697375199371366696</t>
  </si>
  <si>
    <t>1697357823263252935</t>
  </si>
  <si>
    <t>1693969188014944483</t>
  </si>
  <si>
    <t>1693962701783871639</t>
  </si>
  <si>
    <t>1693780678461022377</t>
  </si>
  <si>
    <t>1693769123703251393</t>
  </si>
  <si>
    <t>1692237160601002165</t>
  </si>
  <si>
    <t>1692223786177737072</t>
  </si>
  <si>
    <t>1692147918357069892</t>
  </si>
  <si>
    <t>1692139826563174535</t>
  </si>
  <si>
    <t>1692132275721224547</t>
  </si>
  <si>
    <t>1691907036215447810</t>
  </si>
  <si>
    <t>1691894641623183450</t>
  </si>
  <si>
    <t>1687505805019422733</t>
  </si>
  <si>
    <t>1687479319675740161</t>
  </si>
  <si>
    <t>1687448783083253760</t>
  </si>
  <si>
    <t>1687265048484278272</t>
  </si>
  <si>
    <t>1687251334586601473</t>
  </si>
  <si>
    <t>1687245330130112512</t>
  </si>
  <si>
    <t>1687176944893227008</t>
  </si>
  <si>
    <t>1687154892081623040</t>
  </si>
  <si>
    <t>1683538869382201346</t>
  </si>
  <si>
    <t>1683519535998017551</t>
  </si>
  <si>
    <t>1677450544296738818</t>
  </si>
  <si>
    <t>1677443264536870912</t>
  </si>
  <si>
    <t>1677414162727596032</t>
  </si>
  <si>
    <t>1677402231128170497</t>
  </si>
  <si>
    <t>1677381314608242689</t>
  </si>
  <si>
    <t>1677316941529194502</t>
  </si>
  <si>
    <t>1677065039285551106</t>
  </si>
  <si>
    <t>1677025389195952128</t>
  </si>
  <si>
    <t>1677018682092838913</t>
  </si>
  <si>
    <t>1677011584965566464</t>
  </si>
  <si>
    <t>1676965846990876675</t>
  </si>
  <si>
    <t>1676942009573990400</t>
  </si>
  <si>
    <t>1704925280987496772</t>
  </si>
  <si>
    <t>1704860780292657260</t>
  </si>
  <si>
    <t>1703396942749880830</t>
  </si>
  <si>
    <t>1703190979983843702</t>
  </si>
  <si>
    <t>1702413895078473782</t>
  </si>
  <si>
    <t>1702078859540103428</t>
  </si>
  <si>
    <t>1700866132729647591</t>
  </si>
  <si>
    <t>1699620836284518444</t>
  </si>
  <si>
    <t>1699601849802698937</t>
  </si>
  <si>
    <t>1699520075873554779</t>
  </si>
  <si>
    <t>1699495950740333018</t>
  </si>
  <si>
    <t>1697297439156208009</t>
  </si>
  <si>
    <t>1697244730747199860</t>
  </si>
  <si>
    <t>1694121857853649145</t>
  </si>
  <si>
    <t>1694100664786227279</t>
  </si>
  <si>
    <t>1694078660674822404</t>
  </si>
  <si>
    <t>1692891056944070702</t>
  </si>
  <si>
    <t>1692673145222664592</t>
  </si>
  <si>
    <t>1692632037335982326</t>
  </si>
  <si>
    <t>1692616950034157990</t>
  </si>
  <si>
    <t>1692602829435707723</t>
  </si>
  <si>
    <t>1692552768513253597</t>
  </si>
  <si>
    <t>1692536653615596020</t>
  </si>
  <si>
    <t>1688185467894697985</t>
  </si>
  <si>
    <t>1687944470577152001</t>
  </si>
  <si>
    <t>1687926362269491200</t>
  </si>
  <si>
    <t>1687908424565014528</t>
  </si>
  <si>
    <t>1687839779184939008</t>
  </si>
  <si>
    <t>1687830084755787776</t>
  </si>
  <si>
    <t>1687813651506376704</t>
  </si>
  <si>
    <t>1687807047457243136</t>
  </si>
  <si>
    <t>1687602375857438720</t>
  </si>
  <si>
    <t>1687595590996185088</t>
  </si>
  <si>
    <t>1687515319760195585</t>
  </si>
  <si>
    <t>1683878820640686081</t>
  </si>
  <si>
    <t>1683869584670044163</t>
  </si>
  <si>
    <t>1683844464366718976</t>
  </si>
  <si>
    <t>1683827848799199232</t>
  </si>
  <si>
    <t>1683564597234614273</t>
  </si>
  <si>
    <t>1678520087995641859</t>
  </si>
  <si>
    <t>1678475152642678799</t>
  </si>
  <si>
    <t>1678469121707483149</t>
  </si>
  <si>
    <t>1678458465067343880</t>
  </si>
  <si>
    <t>1678416117113446405</t>
  </si>
  <si>
    <t>1678389201090347015</t>
  </si>
  <si>
    <t>1678379883276238849</t>
  </si>
  <si>
    <t>1678379655647178752</t>
  </si>
  <si>
    <t>1678226663715352578</t>
  </si>
  <si>
    <t>1678219428457070592</t>
  </si>
  <si>
    <t>1677782462112382978</t>
  </si>
  <si>
    <t>1707033314035450216</t>
  </si>
  <si>
    <t>1706746164035342462</t>
  </si>
  <si>
    <t>1706363730659844594</t>
  </si>
  <si>
    <t>1705250920626352185</t>
  </si>
  <si>
    <t>1704819055226466353</t>
  </si>
  <si>
    <t>1702784486008598532</t>
  </si>
  <si>
    <t>1702777390693314724</t>
  </si>
  <si>
    <t>1702763528921223613</t>
  </si>
  <si>
    <t>1702746158337020328</t>
  </si>
  <si>
    <t>1702689355247071542</t>
  </si>
  <si>
    <t>1702677041521332530</t>
  </si>
  <si>
    <t>1700514791012376956</t>
  </si>
  <si>
    <t>1700506705149202474</t>
  </si>
  <si>
    <t>1700489033602707650</t>
  </si>
  <si>
    <t>1700236837522956512</t>
  </si>
  <si>
    <t>1698500345100394845</t>
  </si>
  <si>
    <t>1698484985697636710</t>
  </si>
  <si>
    <t>1695093020008329591</t>
  </si>
  <si>
    <t>1695048925755978105</t>
  </si>
  <si>
    <t>1695039951165866453</t>
  </si>
  <si>
    <t>1694822055126954416</t>
  </si>
  <si>
    <t>1694813417557615088</t>
  </si>
  <si>
    <t>1694778757670662465</t>
  </si>
  <si>
    <t>1694759406859133201</t>
  </si>
  <si>
    <t>1694721965557440881</t>
  </si>
  <si>
    <t>1694705882926305533</t>
  </si>
  <si>
    <t>1694699926477758812</t>
  </si>
  <si>
    <t>1690085500558643200</t>
  </si>
  <si>
    <t>1690071914293673984</t>
  </si>
  <si>
    <t>1689995820991463425</t>
  </si>
  <si>
    <t>1689983219414769664</t>
  </si>
  <si>
    <t>1689975938509918208</t>
  </si>
  <si>
    <t>1689964738082414592</t>
  </si>
  <si>
    <t>1685682150538883072</t>
  </si>
  <si>
    <t>1685667216929239040</t>
  </si>
  <si>
    <t>1685662574694592513</t>
  </si>
  <si>
    <t>1685447874195120128</t>
  </si>
  <si>
    <t>1685440480442454016</t>
  </si>
  <si>
    <t>1685420882301190144</t>
  </si>
  <si>
    <t>1679928965027250178</t>
  </si>
  <si>
    <t>1679922554306215940</t>
  </si>
  <si>
    <t>1679914008965529600</t>
  </si>
  <si>
    <t>1679908006706675725</t>
  </si>
  <si>
    <t>1679877621046300672</t>
  </si>
  <si>
    <t>1679870536648732674</t>
  </si>
  <si>
    <t>1679862728461103104</t>
  </si>
  <si>
    <t>1679623083886256129</t>
  </si>
  <si>
    <t>1679613148972695553</t>
  </si>
  <si>
    <t>1679592537831399430</t>
  </si>
  <si>
    <t>1679581596087644161</t>
  </si>
  <si>
    <t>1679566620535005185</t>
  </si>
  <si>
    <t>1679546483756900364</t>
  </si>
  <si>
    <t>1707048891886026933</t>
  </si>
  <si>
    <t>1707018975031288101</t>
  </si>
  <si>
    <t>1706460066134568964</t>
  </si>
  <si>
    <t>1706319334652404027</t>
  </si>
  <si>
    <t>1706311643603341491</t>
  </si>
  <si>
    <t>1705710471746122037</t>
  </si>
  <si>
    <t>1705219213684535636</t>
  </si>
  <si>
    <t>1705204147799064745</t>
  </si>
  <si>
    <t>1705186687716859949</t>
  </si>
  <si>
    <t>1704492236874953055</t>
  </si>
  <si>
    <t>1703782072647586198</t>
  </si>
  <si>
    <t>1703765198006276138</t>
  </si>
  <si>
    <t>1703754324168356342</t>
  </si>
  <si>
    <t>1703741458463776984</t>
  </si>
  <si>
    <t>1701708785381933171</t>
  </si>
  <si>
    <t>1701690109626589297</t>
  </si>
  <si>
    <t>1701676315282223125</t>
  </si>
  <si>
    <t>1699078732361740693</t>
  </si>
  <si>
    <t>1699058471508070491</t>
  </si>
  <si>
    <t>1699047141585367311</t>
  </si>
  <si>
    <t>1699035056927387676</t>
  </si>
  <si>
    <t>1699020380793340131</t>
  </si>
  <si>
    <t>1696511450414555203</t>
  </si>
  <si>
    <t>1696273892610834730</t>
  </si>
  <si>
    <t>1696264296898904173</t>
  </si>
  <si>
    <t>1696229752967778389</t>
  </si>
  <si>
    <t>1696222650878574756</t>
  </si>
  <si>
    <t>1691461870887276545</t>
  </si>
  <si>
    <t>1691447908493926401</t>
  </si>
  <si>
    <t>1691434558342692865</t>
  </si>
  <si>
    <t>1691429158339899392</t>
  </si>
  <si>
    <t>1691414875505901570</t>
  </si>
  <si>
    <t>1691208119655817216</t>
  </si>
  <si>
    <t>1691190125374455808</t>
  </si>
  <si>
    <t>1691097569756344321</t>
  </si>
  <si>
    <t>1691088567244611584</t>
  </si>
  <si>
    <t>1691075633378439168</t>
  </si>
  <si>
    <t>1686739468009472000</t>
  </si>
  <si>
    <t>1686718299147481088</t>
  </si>
  <si>
    <t>1686706011992731648</t>
  </si>
  <si>
    <t>1686441350735024138</t>
  </si>
  <si>
    <t>1686382983555809280</t>
  </si>
  <si>
    <t>1686378906860023810</t>
  </si>
  <si>
    <t>1686370332385456128</t>
  </si>
  <si>
    <t>1686356168661155840</t>
  </si>
  <si>
    <t>1681648157711630336</t>
  </si>
  <si>
    <t>1681647724775522306</t>
  </si>
  <si>
    <t>1681647445548171267</t>
  </si>
  <si>
    <t>1681350492142682136</t>
  </si>
  <si>
    <t>1681343343727460355</t>
  </si>
  <si>
    <t>1681338266560151552</t>
  </si>
  <si>
    <t>1681291295803822081</t>
  </si>
  <si>
    <t>1681275750412955650</t>
  </si>
  <si>
    <t>1681044328318222339</t>
  </si>
  <si>
    <t>1707091480660099494</t>
  </si>
  <si>
    <t>1707077162283495429</t>
  </si>
  <si>
    <t>1706801832222249466</t>
  </si>
  <si>
    <t>1706738019724935564</t>
  </si>
  <si>
    <t>1706720390586814968</t>
  </si>
  <si>
    <t>1706666233498612120</t>
  </si>
  <si>
    <t>1706650682588099054</t>
  </si>
  <si>
    <t>1706276401769312503</t>
  </si>
  <si>
    <t>1705933334994391542</t>
  </si>
  <si>
    <t>1705354111355412970</t>
  </si>
  <si>
    <t>1705340998266540149</t>
  </si>
  <si>
    <t>1705311726084784273</t>
  </si>
  <si>
    <t>1704832912846127612</t>
  </si>
  <si>
    <t>1704826410894762004</t>
  </si>
  <si>
    <t>1704231572063363215</t>
  </si>
  <si>
    <t>1703161588457345439</t>
  </si>
  <si>
    <t>1703161439861555241</t>
  </si>
  <si>
    <t>1703161211280408962</t>
  </si>
  <si>
    <t>1701336233958346936</t>
  </si>
  <si>
    <t>1701320957976055904</t>
  </si>
  <si>
    <t>1701308481112785058</t>
  </si>
  <si>
    <t>1701299544477094048</t>
  </si>
  <si>
    <t>1698712963090174117</t>
  </si>
  <si>
    <t>1698699916564930909</t>
  </si>
  <si>
    <t>1695486454560940323</t>
  </si>
  <si>
    <t>1695469315783348225</t>
  </si>
  <si>
    <t>1695461422417760333</t>
  </si>
  <si>
    <t>1695207226871304227</t>
  </si>
  <si>
    <t>1695201496248328375</t>
  </si>
  <si>
    <t>1695192781201838553</t>
  </si>
  <si>
    <t>1695182145151549511</t>
  </si>
  <si>
    <t>1691061787053998080</t>
  </si>
  <si>
    <t>1690895703147692032</t>
  </si>
  <si>
    <t>1690843453117100032</t>
  </si>
  <si>
    <t>1690499519828398081</t>
  </si>
  <si>
    <t>1690488001246240768</t>
  </si>
  <si>
    <t>1690373873164779520</t>
  </si>
  <si>
    <t>1686113323857719296</t>
  </si>
  <si>
    <t>1686107029197217792</t>
  </si>
  <si>
    <t>1686094738078777344</t>
  </si>
  <si>
    <t>1686085022325915648</t>
  </si>
  <si>
    <t>1686070263144726532</t>
  </si>
  <si>
    <t>1686034829865897986</t>
  </si>
  <si>
    <t>1686027945536552960</t>
  </si>
  <si>
    <t>1686017473030610944</t>
  </si>
  <si>
    <t>1685999072837083136</t>
  </si>
  <si>
    <t>1681037055516635136</t>
  </si>
  <si>
    <t>1680946358222565377</t>
  </si>
  <si>
    <t>1680937219748421633</t>
  </si>
  <si>
    <t>1680925615233409027</t>
  </si>
  <si>
    <t>1680916540240150531</t>
  </si>
  <si>
    <t>1680912105539530753</t>
  </si>
  <si>
    <t>1680905079207985152</t>
  </si>
  <si>
    <t>1680631091684691969</t>
  </si>
  <si>
    <t>1680622858312056832</t>
  </si>
  <si>
    <t>1680262974718500871</t>
  </si>
  <si>
    <t>1679973725503131657</t>
  </si>
  <si>
    <t>1707107966468403431</t>
  </si>
  <si>
    <t>1707016807243038755</t>
  </si>
  <si>
    <t>1706643682181763501</t>
  </si>
  <si>
    <t>1706377451738165289</t>
  </si>
  <si>
    <t>1706295246844252330</t>
  </si>
  <si>
    <t>1706284490933362969</t>
  </si>
  <si>
    <t>1705632722595582057</t>
  </si>
  <si>
    <t>1705606127910584543</t>
  </si>
  <si>
    <t>1704526290965946403</t>
  </si>
  <si>
    <t>1704521068956790880</t>
  </si>
  <si>
    <t>1704511231476773080</t>
  </si>
  <si>
    <t>1703849370355920913</t>
  </si>
  <si>
    <t>1703837193989472592</t>
  </si>
  <si>
    <t>1702014749750296602</t>
  </si>
  <si>
    <t>1701968912840048978</t>
  </si>
  <si>
    <t>1701961405623111980</t>
  </si>
  <si>
    <t>1701949994540875905</t>
  </si>
  <si>
    <t>1701932349858988216</t>
  </si>
  <si>
    <t>1701924235101258182</t>
  </si>
  <si>
    <t>1696947100628529457</t>
  </si>
  <si>
    <t>1696938693703975406</t>
  </si>
  <si>
    <t>1696929527425818805</t>
  </si>
  <si>
    <t>1696893426480857382</t>
  </si>
  <si>
    <t>1696882741063664116</t>
  </si>
  <si>
    <t>1696864697176170868</t>
  </si>
  <si>
    <t>1696644398900019294</t>
  </si>
  <si>
    <t>1696607327049183415</t>
  </si>
  <si>
    <t>1691822571237347767</t>
  </si>
  <si>
    <t>1691814683827679569</t>
  </si>
  <si>
    <t>1691800904435990541</t>
  </si>
  <si>
    <t>1691553381813305355</t>
  </si>
  <si>
    <t>1691534918763880451</t>
  </si>
  <si>
    <t>1691527029294784513</t>
  </si>
  <si>
    <t>1691518259315494913</t>
  </si>
  <si>
    <t>1687102346491555840</t>
  </si>
  <si>
    <t>1687083690189369346</t>
  </si>
  <si>
    <t>1687073145847529472</t>
  </si>
  <si>
    <t>1686842315002748928</t>
  </si>
  <si>
    <t>1686757455915536384</t>
  </si>
  <si>
    <t>1683107469189324804</t>
  </si>
  <si>
    <t>1682386452418637825</t>
  </si>
  <si>
    <t>1682386040869343235</t>
  </si>
  <si>
    <t>1682011070813151233</t>
  </si>
  <si>
    <t>1698743536730959969</t>
  </si>
  <si>
    <t>1706285829579051176</t>
  </si>
  <si>
    <t>1693932350357315847</t>
  </si>
  <si>
    <t>1688899665230467072</t>
  </si>
  <si>
    <t>1704054255756210393</t>
  </si>
  <si>
    <t>1687123563990351872</t>
  </si>
  <si>
    <t>1687053971947417600</t>
  </si>
  <si>
    <t>1689422187604672512</t>
  </si>
  <si>
    <t>1698633410153955424</t>
  </si>
  <si>
    <t>1690328035138887680</t>
  </si>
  <si>
    <t>1705758267928879250</t>
  </si>
  <si>
    <t>1683894992215867406</t>
  </si>
  <si>
    <t>1700210198349017288</t>
  </si>
  <si>
    <t>1699649941260382663</t>
  </si>
  <si>
    <t>1699637544969789527</t>
  </si>
  <si>
    <t>1696634054735536574</t>
  </si>
  <si>
    <t>1696697149373735350</t>
  </si>
  <si>
    <t>1691253189788483584</t>
  </si>
  <si>
    <t>1697357881455137006</t>
  </si>
  <si>
    <t>1686456637840572438</t>
  </si>
  <si>
    <t>1699779237673312354</t>
  </si>
  <si>
    <t>1681001600779796485</t>
  </si>
  <si>
    <t>1675890431018541056</t>
  </si>
  <si>
    <t>1676754104637374464</t>
  </si>
  <si>
    <t>1691854737287643340</t>
  </si>
  <si>
    <t>1694322452518535451</t>
  </si>
  <si>
    <t>1677825250573135873</t>
  </si>
  <si>
    <t>1676963919477477382</t>
  </si>
  <si>
    <t>1680995213572034560</t>
  </si>
  <si>
    <t>1683522256994017281</t>
  </si>
  <si>
    <t>1691551737738400034</t>
  </si>
  <si>
    <t>1691857553997660531</t>
  </si>
  <si>
    <t>1682442864083587078</t>
  </si>
  <si>
    <t>1704201506440745134</t>
  </si>
  <si>
    <t>1704199919563579853</t>
  </si>
  <si>
    <t>1704203599922815438</t>
  </si>
  <si>
    <t>1704202566723076103</t>
  </si>
  <si>
    <t>1696229425044484280</t>
  </si>
  <si>
    <t>1676229937064189952</t>
  </si>
  <si>
    <t>1688553724006858752</t>
  </si>
  <si>
    <t>1697253586114388390</t>
  </si>
  <si>
    <t>1687482530906124288</t>
  </si>
  <si>
    <t>1683522930570035200</t>
  </si>
  <si>
    <t>1691423240496017408</t>
  </si>
  <si>
    <t>1701314364966326666</t>
  </si>
  <si>
    <t>1683912066040487946</t>
  </si>
  <si>
    <t>1689393756938637312</t>
  </si>
  <si>
    <t>1689794289029566464</t>
  </si>
  <si>
    <t>1681377576453799948</t>
  </si>
  <si>
    <t>1681374808695504896</t>
  </si>
  <si>
    <t>1681370895837691914</t>
  </si>
  <si>
    <t>1684201213640822786</t>
  </si>
  <si>
    <t>1683945073950482436</t>
  </si>
  <si>
    <t>1679935605885616129</t>
  </si>
  <si>
    <t>1701659257660207177</t>
  </si>
  <si>
    <t>1675928225615061002</t>
  </si>
  <si>
    <t>1701200350676414555</t>
  </si>
  <si>
    <t>1683999147387506691</t>
  </si>
  <si>
    <t>1678554701627785223</t>
  </si>
  <si>
    <t>1704275361146482731</t>
  </si>
  <si>
    <t>1704133724756165078</t>
  </si>
  <si>
    <t>1697295753373245455</t>
  </si>
  <si>
    <t>1697279824417493377</t>
  </si>
  <si>
    <t>1700129128454791182</t>
  </si>
  <si>
    <t>1692436249716433359</t>
  </si>
  <si>
    <t>1700165051343081664</t>
  </si>
  <si>
    <t>1701887654927773780</t>
  </si>
  <si>
    <t>1702032035995394260</t>
  </si>
  <si>
    <t>1701137287558341046</t>
  </si>
  <si>
    <t>1696574957512258010</t>
  </si>
  <si>
    <t>1689212412799385601</t>
  </si>
  <si>
    <t>1703672597622259826</t>
  </si>
  <si>
    <t>1701763174033215613</t>
  </si>
  <si>
    <t>1705273190300172586</t>
  </si>
  <si>
    <t>1700305405698593058</t>
  </si>
  <si>
    <t>1700304850037178517</t>
  </si>
  <si>
    <t>1700285403520024911</t>
  </si>
  <si>
    <t>1705930699272864100</t>
  </si>
  <si>
    <t>1704216815264563487</t>
  </si>
  <si>
    <t>1703152420195340396</t>
  </si>
  <si>
    <t>1701542301783269765</t>
  </si>
  <si>
    <t>1691879010958012655</t>
  </si>
  <si>
    <t>1691878396307857820</t>
  </si>
  <si>
    <t>1689314477991239680</t>
  </si>
  <si>
    <t>1680682054957035520</t>
  </si>
  <si>
    <t>1696966550480126126</t>
  </si>
  <si>
    <t>1696976256296763495</t>
  </si>
  <si>
    <t>1676686227079135233</t>
  </si>
  <si>
    <t>1677118921176936451</t>
  </si>
  <si>
    <t>1677032626870181890</t>
  </si>
  <si>
    <t>1684601288582135808</t>
  </si>
  <si>
    <t>1677699269422202880</t>
  </si>
  <si>
    <t>1679522435937325058</t>
  </si>
  <si>
    <t>1678642336887128064</t>
  </si>
  <si>
    <t>1699059625855967318</t>
  </si>
  <si>
    <t>1698712644025237604</t>
  </si>
  <si>
    <t>1699514075980435470</t>
  </si>
  <si>
    <t>1706856295100498207</t>
  </si>
  <si>
    <t>1707069042605879397</t>
  </si>
  <si>
    <t>1682034958528036864</t>
  </si>
  <si>
    <t>1693352250532303085</t>
  </si>
  <si>
    <t>1693322504918454623</t>
  </si>
  <si>
    <t>1693068243127152804</t>
  </si>
  <si>
    <t>1687468179126120448</t>
  </si>
  <si>
    <t>1702136573410639977</t>
  </si>
  <si>
    <t>1705004439604519159</t>
  </si>
  <si>
    <t>1701952393817018787</t>
  </si>
  <si>
    <t>1699437893595369598</t>
  </si>
  <si>
    <t>1676564245880750080</t>
  </si>
  <si>
    <t>1676564241556418560</t>
  </si>
  <si>
    <t>1676562984020131841</t>
  </si>
  <si>
    <t>1678382428824412162</t>
  </si>
  <si>
    <t>1679825642030878726</t>
  </si>
  <si>
    <t>1679463265896738818</t>
  </si>
  <si>
    <t>1679462034289590273</t>
  </si>
  <si>
    <t>1681000986871988225</t>
  </si>
  <si>
    <t>1680919157632532480</t>
  </si>
  <si>
    <t>1680898996368187392</t>
  </si>
  <si>
    <t>1680897797636206597</t>
  </si>
  <si>
    <t>1687059556151484416</t>
  </si>
  <si>
    <t>1700169767766667640</t>
  </si>
  <si>
    <t>1689311595422261250</t>
  </si>
  <si>
    <t>1696122490940948679</t>
  </si>
  <si>
    <t>1679535347217170433</t>
  </si>
  <si>
    <t>1683553009488240643</t>
  </si>
  <si>
    <t>1684970688560472084</t>
  </si>
  <si>
    <t>1675904900365008898</t>
  </si>
  <si>
    <t>1689160737661288448</t>
  </si>
  <si>
    <t>1699422854322798597</t>
  </si>
  <si>
    <t>1678841984004284416</t>
  </si>
  <si>
    <t>1682367942472749057</t>
  </si>
  <si>
    <t>1678349698107600903</t>
  </si>
  <si>
    <t>1676532772351926272</t>
  </si>
  <si>
    <t>1679794231630503936</t>
  </si>
  <si>
    <t>1680881414479179779</t>
  </si>
  <si>
    <t>1677260296392519682</t>
  </si>
  <si>
    <t>1679068304839671812</t>
  </si>
  <si>
    <t>1684936913881382912</t>
  </si>
  <si>
    <t>1675864541769367553</t>
  </si>
  <si>
    <t>1689396364730314752</t>
  </si>
  <si>
    <t>1696240192699486556</t>
  </si>
  <si>
    <t>1702799644609130929</t>
  </si>
  <si>
    <t>1682166096130875398</t>
  </si>
  <si>
    <t>1695011969017753947</t>
  </si>
  <si>
    <t>1687186497600880641</t>
  </si>
  <si>
    <t>1681036574669119488</t>
  </si>
  <si>
    <t>1700162324341158089</t>
  </si>
  <si>
    <t>1702683688881016949</t>
  </si>
  <si>
    <t>1683480903635353601</t>
  </si>
  <si>
    <t>1678358464358227969</t>
  </si>
  <si>
    <t>1682166059644641282</t>
  </si>
  <si>
    <t>1696494364581679489</t>
  </si>
  <si>
    <t>1693979659875111078</t>
  </si>
  <si>
    <t>1687901908260835329</t>
  </si>
  <si>
    <t>1677433091399229441</t>
  </si>
  <si>
    <t>1679476270554398720</t>
  </si>
  <si>
    <t>1684558747795169280</t>
  </si>
  <si>
    <t>1692165563106382187</t>
  </si>
  <si>
    <t>1693011681083850940</t>
  </si>
  <si>
    <t>1694767596028006515</t>
  </si>
  <si>
    <t>1704097190606496000</t>
  </si>
  <si>
    <t>1704096056907038748</t>
  </si>
  <si>
    <t>1689470843707850752</t>
  </si>
  <si>
    <t>1689092914482171905</t>
  </si>
  <si>
    <t>1689805992362446848</t>
  </si>
  <si>
    <t>1688723544463560704</t>
  </si>
  <si>
    <t>1681410831819390988</t>
  </si>
  <si>
    <t>1694485774907895842</t>
  </si>
  <si>
    <t>1678032452571332608</t>
  </si>
  <si>
    <t>1702389499488084277</t>
  </si>
  <si>
    <t>1701606402077417474</t>
  </si>
  <si>
    <t>1696858317979632111</t>
  </si>
  <si>
    <t>1684767123183108097</t>
  </si>
  <si>
    <t>1680300582374981632</t>
  </si>
  <si>
    <t>1696567466283987429</t>
  </si>
  <si>
    <t>1676000476985163777</t>
  </si>
  <si>
    <t>1691042869807575040</t>
  </si>
  <si>
    <t>1697595159507063104</t>
  </si>
  <si>
    <t>1688651612175073280</t>
  </si>
  <si>
    <t>1704175070371844338</t>
  </si>
  <si>
    <t>1680572837155799041</t>
  </si>
  <si>
    <t>1697211493542977607</t>
  </si>
  <si>
    <t>1692549247579672940</t>
  </si>
  <si>
    <t>1701195116461887892</t>
  </si>
  <si>
    <t>1700111102107852912</t>
  </si>
  <si>
    <t>1702690475713462663</t>
  </si>
  <si>
    <t>1701507793683960140</t>
  </si>
  <si>
    <t>1692451192209588700</t>
  </si>
  <si>
    <t>1686416525530423296</t>
  </si>
  <si>
    <t>1686065715848105984</t>
  </si>
  <si>
    <t>1688696725672763392</t>
  </si>
  <si>
    <t>1704635230085128404</t>
  </si>
  <si>
    <t>1683498301805535232</t>
  </si>
  <si>
    <t>1686360535288233984</t>
  </si>
  <si>
    <t>1681053856275353601</t>
  </si>
  <si>
    <t>1696115419088814545</t>
  </si>
  <si>
    <t>1693578694852301024</t>
  </si>
  <si>
    <t>1688531042246750208</t>
  </si>
  <si>
    <t>1698652123200737611</t>
  </si>
  <si>
    <t>1691041980737040384</t>
  </si>
  <si>
    <t>1701188845717651736</t>
  </si>
  <si>
    <t>1695099893025525931</t>
  </si>
  <si>
    <t>1695099399112716378</t>
  </si>
  <si>
    <t>1695098836849496370</t>
  </si>
  <si>
    <t>1695394548128653410</t>
  </si>
  <si>
    <t>1695177664607461571</t>
  </si>
  <si>
    <t>1695101292295708782</t>
  </si>
  <si>
    <t>1697721943607103649</t>
  </si>
  <si>
    <t>1701660077097156857</t>
  </si>
  <si>
    <t>1702749156756885669</t>
  </si>
  <si>
    <t>1695099091183718811</t>
  </si>
  <si>
    <t>1702688226626908635</t>
  </si>
  <si>
    <t>1679601721457233921</t>
  </si>
  <si>
    <t>1704197991421092314</t>
  </si>
  <si>
    <t>1695208331315466320</t>
  </si>
  <si>
    <t>1693959240862294509</t>
  </si>
  <si>
    <t>1693957582140936313</t>
  </si>
  <si>
    <t>1704948148806823978</t>
  </si>
  <si>
    <t>1686838281357402112</t>
  </si>
  <si>
    <t>1679857130919149568</t>
  </si>
  <si>
    <t>1680959575959191552</t>
  </si>
  <si>
    <t>1706695429209944566</t>
  </si>
  <si>
    <t>1699848076817523103</t>
  </si>
  <si>
    <t>1699263057078173975</t>
  </si>
  <si>
    <t>1698847460754395455</t>
  </si>
  <si>
    <t>1694369237618299085</t>
  </si>
  <si>
    <t>1694493790470300100</t>
  </si>
  <si>
    <t>1700304505806467365</t>
  </si>
  <si>
    <t>1686898970402918400</t>
  </si>
  <si>
    <t>1679601189246099457</t>
  </si>
  <si>
    <t>1691069414550953987</t>
  </si>
  <si>
    <t>1676242961699426304</t>
  </si>
  <si>
    <t>1687055886911467520</t>
  </si>
  <si>
    <t>1688631449258209280</t>
  </si>
  <si>
    <t>1691136717732851721</t>
  </si>
  <si>
    <t>1690593737116643329</t>
  </si>
  <si>
    <t>1690592829435695105</t>
  </si>
  <si>
    <t>1694067664077922585</t>
  </si>
  <si>
    <t>1687586687709233153</t>
  </si>
  <si>
    <t>1706378199670653308</t>
  </si>
  <si>
    <t>1702105224788226343</t>
  </si>
  <si>
    <t>1702375194122211637</t>
  </si>
  <si>
    <t>1705650058832568691</t>
  </si>
  <si>
    <t>1704491434978459867</t>
  </si>
  <si>
    <t>1706036741436514520</t>
  </si>
  <si>
    <t>1678540560716398592</t>
  </si>
  <si>
    <t>1678504527652069387</t>
  </si>
  <si>
    <t>1690506328928624640</t>
  </si>
  <si>
    <t>1701913823412715611</t>
  </si>
  <si>
    <t>1699377113067888664</t>
  </si>
  <si>
    <t>1691766970390090042</t>
  </si>
  <si>
    <t>1687055906079449088</t>
  </si>
  <si>
    <t>1701551417805214029</t>
  </si>
  <si>
    <t>1694666054738305327</t>
  </si>
  <si>
    <t>1678721003306795009</t>
  </si>
  <si>
    <t>1702276206740054261</t>
  </si>
  <si>
    <t>1694303691686232141</t>
  </si>
  <si>
    <t>1679083370792222722</t>
  </si>
  <si>
    <t>1702638574120632779</t>
  </si>
  <si>
    <t>1701189013082640680</t>
  </si>
  <si>
    <t>1697565165657473099</t>
  </si>
  <si>
    <t>1693941303124377993</t>
  </si>
  <si>
    <t>1692491736310804886</t>
  </si>
  <si>
    <t>1692129331919663389</t>
  </si>
  <si>
    <t>1687418288769294342</t>
  </si>
  <si>
    <t>1705175303943839987</t>
  </si>
  <si>
    <t>1699014684802785619</t>
  </si>
  <si>
    <t>1691469860013019137</t>
  </si>
  <si>
    <t>1704863134035440086</t>
  </si>
  <si>
    <t>1699739493647978618</t>
  </si>
  <si>
    <t>1699739488950321309</t>
  </si>
  <si>
    <t>1697202768639885472</t>
  </si>
  <si>
    <t>1683885079414681626</t>
  </si>
  <si>
    <t>1678358580494303235</t>
  </si>
  <si>
    <t>1706262462859808789</t>
  </si>
  <si>
    <t>1698652297541071004</t>
  </si>
  <si>
    <t>1691042180649918464</t>
  </si>
  <si>
    <t>1690709969564303360</t>
  </si>
  <si>
    <t>1706624835235782792</t>
  </si>
  <si>
    <t>1695028431866446049</t>
  </si>
  <si>
    <t>1679808149107163138</t>
  </si>
  <si>
    <t>1679445752672649216</t>
  </si>
  <si>
    <t>1682957065017278466</t>
  </si>
  <si>
    <t>1693359516530684115</t>
  </si>
  <si>
    <t>1706782400909287524</t>
  </si>
  <si>
    <t>1689116518271856641</t>
  </si>
  <si>
    <t>1694693767268213008</t>
  </si>
  <si>
    <t>1680862620125888517</t>
  </si>
  <si>
    <t>1698969491391062520</t>
  </si>
  <si>
    <t>1688777558114942976</t>
  </si>
  <si>
    <t>1680638788916109312</t>
  </si>
  <si>
    <t>1683584874341384204</t>
  </si>
  <si>
    <t>1684535571182485506</t>
  </si>
  <si>
    <t>1701200667925180708</t>
  </si>
  <si>
    <t>1697162033400094722</t>
  </si>
  <si>
    <t>1691060819470004224</t>
  </si>
  <si>
    <t>1703600862042419353</t>
  </si>
  <si>
    <t>1684505392020066305</t>
  </si>
  <si>
    <t>1697751437449601453</t>
  </si>
  <si>
    <t>1701742036070568219</t>
  </si>
  <si>
    <t>1696341001755893814</t>
  </si>
  <si>
    <t>1686436596294307856</t>
  </si>
  <si>
    <t>1704291215892463910</t>
  </si>
  <si>
    <t>1706794248232661162</t>
  </si>
  <si>
    <t>1678603812985094144</t>
  </si>
  <si>
    <t>1687544778827661312</t>
  </si>
  <si>
    <t>1699214046103306474</t>
  </si>
  <si>
    <t>1682425866226204672</t>
  </si>
  <si>
    <t>1683484121685794816</t>
  </si>
  <si>
    <t>1684212039223332865</t>
  </si>
  <si>
    <t>1677344446617190401</t>
  </si>
  <si>
    <t>1678375986507796482</t>
  </si>
  <si>
    <t>1682134780588990464</t>
  </si>
  <si>
    <t>1679826220572106758</t>
  </si>
  <si>
    <t>1703731475370189196</t>
  </si>
  <si>
    <t>1702651250704080941</t>
  </si>
  <si>
    <t>1686285643109081088</t>
  </si>
  <si>
    <t>1692164899277848855</t>
  </si>
  <si>
    <t>1695823983541625231</t>
  </si>
  <si>
    <t>1694800278371910098</t>
  </si>
  <si>
    <t>1676501874059493377</t>
  </si>
  <si>
    <t>1679763358889791489</t>
  </si>
  <si>
    <t>1688098340217507841</t>
  </si>
  <si>
    <t>1690997431104634880</t>
  </si>
  <si>
    <t>1690272656652652544</t>
  </si>
  <si>
    <t>1704432501416919468</t>
  </si>
  <si>
    <t>1687631774807932929</t>
  </si>
  <si>
    <t>1704495933977727003</t>
  </si>
  <si>
    <t>1703186871465951537</t>
  </si>
  <si>
    <t>1702524294717153406</t>
  </si>
  <si>
    <t>1696291786832982263</t>
  </si>
  <si>
    <t>1695990364560150628</t>
  </si>
  <si>
    <t>1706066430595129722</t>
  </si>
  <si>
    <t>1699097708357726703</t>
  </si>
  <si>
    <t>1699852084235927967</t>
  </si>
  <si>
    <t>1683761956233117697</t>
  </si>
  <si>
    <t>1701225229777842656</t>
  </si>
  <si>
    <t>1691782463251431439</t>
  </si>
  <si>
    <t>1689246571701870594</t>
  </si>
  <si>
    <t>1701952286317064575</t>
  </si>
  <si>
    <t>1692257860988854329</t>
  </si>
  <si>
    <t>1688606762650218496</t>
  </si>
  <si>
    <t>1688606253289746432</t>
  </si>
  <si>
    <t>1688606007272808449</t>
  </si>
  <si>
    <t>1688603982820720640</t>
  </si>
  <si>
    <t>1688603505634811904</t>
  </si>
  <si>
    <t>1688603226491289600</t>
  </si>
  <si>
    <t>1688601441412255745</t>
  </si>
  <si>
    <t>1701963491089760264</t>
  </si>
  <si>
    <t>1705299214131982621</t>
  </si>
  <si>
    <t>1702181317838872802</t>
  </si>
  <si>
    <t>1676214718904541187</t>
  </si>
  <si>
    <t>1677311282255392772</t>
  </si>
  <si>
    <t>1682015284612268033</t>
  </si>
  <si>
    <t>1681644383441911808</t>
  </si>
  <si>
    <t>1681291265483198471</t>
  </si>
  <si>
    <t>1679327557961887745</t>
  </si>
  <si>
    <t>1677376531197460481</t>
  </si>
  <si>
    <t>1684908374385725440</t>
  </si>
  <si>
    <t>1698662412415619519</t>
  </si>
  <si>
    <t>1690510950858702848</t>
  </si>
  <si>
    <t>1691980010574270951</t>
  </si>
  <si>
    <t>1684360781943513088</t>
  </si>
  <si>
    <t>1677036953483526145</t>
  </si>
  <si>
    <t>1689313085780279296</t>
  </si>
  <si>
    <t>1690409961740750849</t>
  </si>
  <si>
    <t>1689333824927277056</t>
  </si>
  <si>
    <t>1706462319641870776</t>
  </si>
  <si>
    <t>1704613142985097471</t>
  </si>
  <si>
    <t>1678502117604982786</t>
  </si>
  <si>
    <t>1679187024249487366</t>
  </si>
  <si>
    <t>1678090529333030912</t>
  </si>
  <si>
    <t>1684873834716123136</t>
  </si>
  <si>
    <t>1687581676971638785</t>
  </si>
  <si>
    <t>1704839564458610951</t>
  </si>
  <si>
    <t>1695073095340425657</t>
  </si>
  <si>
    <t>1679848810858659840</t>
  </si>
  <si>
    <t>1697672845923377183</t>
  </si>
  <si>
    <t>1699412684926517365</t>
  </si>
  <si>
    <t>1696942397727338559</t>
  </si>
  <si>
    <t>1701703535346544688</t>
  </si>
  <si>
    <t>1704241428316950980</t>
  </si>
  <si>
    <t>1697313820480245894</t>
  </si>
  <si>
    <t>1676206904605913088</t>
  </si>
  <si>
    <t>1678173557379964930</t>
  </si>
  <si>
    <t>1684272160410329095</t>
  </si>
  <si>
    <t>1680309126767824901</t>
  </si>
  <si>
    <t>1683620537820389378</t>
  </si>
  <si>
    <t>1707058045920985372</t>
  </si>
  <si>
    <t>1681786083250671616</t>
  </si>
  <si>
    <t>1681423698002345988</t>
  </si>
  <si>
    <t>1686873186305036289</t>
  </si>
  <si>
    <t>1706651731621249363</t>
  </si>
  <si>
    <t>1681257761395576832</t>
  </si>
  <si>
    <t>1700101954750259574</t>
  </si>
  <si>
    <t>1706715705091977582</t>
  </si>
  <si>
    <t>1682555710372995075</t>
  </si>
  <si>
    <t>1676227423896051715</t>
  </si>
  <si>
    <t>1681309162108776451</t>
  </si>
  <si>
    <t>1705280930267463765</t>
  </si>
  <si>
    <t>1694883633796878473</t>
  </si>
  <si>
    <t>1685694921028636673</t>
  </si>
  <si>
    <t>1698812610135867486</t>
  </si>
  <si>
    <t>1698786062041321571</t>
  </si>
  <si>
    <t>1698786049181577528</t>
  </si>
  <si>
    <t>1698786036250505265</t>
  </si>
  <si>
    <t>1698786023411687867</t>
  </si>
  <si>
    <t>1698786010501611739</t>
  </si>
  <si>
    <t>1698785997155385847</t>
  </si>
  <si>
    <t>1688658448165359619</t>
  </si>
  <si>
    <t>1684283996279111680</t>
  </si>
  <si>
    <t>1706262442416988544</t>
  </si>
  <si>
    <t>1702049511412036010</t>
  </si>
  <si>
    <t>1676010625892220937</t>
  </si>
  <si>
    <t>1685661227274379264</t>
  </si>
  <si>
    <t>1685380276417937408</t>
  </si>
  <si>
    <t>1676301031632781313</t>
  </si>
  <si>
    <t>1677477147651260417</t>
  </si>
  <si>
    <t>1694114799972491533</t>
  </si>
  <si>
    <t>1694014656380104796</t>
  </si>
  <si>
    <t>1693973149979648133</t>
  </si>
  <si>
    <t>1694076599660855543</t>
  </si>
  <si>
    <t>1694059179986534518</t>
  </si>
  <si>
    <t>1694050453141455199</t>
  </si>
  <si>
    <t>1694040150433567022</t>
  </si>
  <si>
    <t>1694015346859028880</t>
  </si>
  <si>
    <t>1705432161896026338</t>
  </si>
  <si>
    <t>1705438675046437097</t>
  </si>
  <si>
    <t>1680952818465644548</t>
  </si>
  <si>
    <t>1689271962487418880</t>
  </si>
  <si>
    <t>1684917039373193216</t>
  </si>
  <si>
    <t>1692284644958282026</t>
  </si>
  <si>
    <t>1683548944582811657</t>
  </si>
  <si>
    <t>1694749002879680839</t>
  </si>
  <si>
    <t>1697260487740981345</t>
  </si>
  <si>
    <t>1687895077887078402</t>
  </si>
  <si>
    <t>1699443706871345654</t>
  </si>
  <si>
    <t>1702469936084303925</t>
  </si>
  <si>
    <t>1687207653897031687</t>
  </si>
  <si>
    <t>1695118355332583481</t>
  </si>
  <si>
    <t>1690808958292774912</t>
  </si>
  <si>
    <t>1693986752258781209</t>
  </si>
  <si>
    <t>1695859244447269374</t>
  </si>
  <si>
    <t>1701526673085137159</t>
  </si>
  <si>
    <t>1678401498764419072</t>
  </si>
  <si>
    <t>1682661815694524417</t>
  </si>
  <si>
    <t>1677028152520986626</t>
  </si>
  <si>
    <t>1683085444228038656</t>
  </si>
  <si>
    <t>1682767660092727297</t>
  </si>
  <si>
    <t>1683604388655386626</t>
  </si>
  <si>
    <t>1684690649818218496</t>
  </si>
  <si>
    <t>1700628268418777147</t>
  </si>
  <si>
    <t>1700624757891248560</t>
  </si>
  <si>
    <t>1691147680339079187</t>
  </si>
  <si>
    <t>1686286547136503808</t>
  </si>
  <si>
    <t>1704430234328535410</t>
  </si>
  <si>
    <t>1705563083387670616</t>
  </si>
  <si>
    <t>1706999711037636923</t>
  </si>
  <si>
    <t>1700528746078302487</t>
  </si>
  <si>
    <t>1700285058878189957</t>
  </si>
  <si>
    <t>1700223020260897194</t>
  </si>
  <si>
    <t>1681266997261131777</t>
  </si>
  <si>
    <t>1705321965924278394</t>
  </si>
  <si>
    <t>1678484466530938891</t>
  </si>
  <si>
    <t>1678771420170715137</t>
  </si>
  <si>
    <t>1700218151797960743</t>
  </si>
  <si>
    <t>1694481840214532435</t>
  </si>
  <si>
    <t>1694924744884191335</t>
  </si>
  <si>
    <t>1694407473359147028</t>
  </si>
  <si>
    <t>1694382471624773788</t>
  </si>
  <si>
    <t>1694380565070291160</t>
  </si>
  <si>
    <t>1696345829240430618</t>
  </si>
  <si>
    <t>1702013343375008107</t>
  </si>
  <si>
    <t>1702380796827341215</t>
  </si>
  <si>
    <t>1702758952260297075</t>
  </si>
  <si>
    <t>1694411247779709239</t>
  </si>
  <si>
    <t>1699956285901345129</t>
  </si>
  <si>
    <t>1704928161127911472</t>
  </si>
  <si>
    <t>1703866463218786398</t>
  </si>
  <si>
    <t>1683241500468019200</t>
  </si>
  <si>
    <t>1684880840432721920</t>
  </si>
  <si>
    <t>1679090549804900352</t>
  </si>
  <si>
    <t>1689950864725692416</t>
  </si>
  <si>
    <t>1685596701896105985</t>
  </si>
  <si>
    <t>1685248705039904769</t>
  </si>
  <si>
    <t>1685117801311162369</t>
  </si>
  <si>
    <t>1679789753762193410</t>
  </si>
  <si>
    <t>1679425699512287236</t>
  </si>
  <si>
    <t>1679284094331416579</t>
  </si>
  <si>
    <t>1691558358115865079</t>
  </si>
  <si>
    <t>1687058930738814976</t>
  </si>
  <si>
    <t>1686752481793994752</t>
  </si>
  <si>
    <t>1683077017497919488</t>
  </si>
  <si>
    <t>1682915136846045185</t>
  </si>
  <si>
    <t>1682726469099745280</t>
  </si>
  <si>
    <t>1682364474139844612</t>
  </si>
  <si>
    <t>1681988659334004736</t>
  </si>
  <si>
    <t>1681970572429803520</t>
  </si>
  <si>
    <t>1692134352119894211</t>
  </si>
  <si>
    <t>1687406474832588800</t>
  </si>
  <si>
    <t>1687398910950547456</t>
  </si>
  <si>
    <t>1683262989791526914</t>
  </si>
  <si>
    <t>1683251521600000001</t>
  </si>
  <si>
    <t>1683194675224625152</t>
  </si>
  <si>
    <t>1677349043318472705</t>
  </si>
  <si>
    <t>1691406026443046912</t>
  </si>
  <si>
    <t>1691197020650795009</t>
  </si>
  <si>
    <t>1686669033364418560</t>
  </si>
  <si>
    <t>1686342654907334656</t>
  </si>
  <si>
    <t>1681629814459883520</t>
  </si>
  <si>
    <t>1681253645877145600</t>
  </si>
  <si>
    <t>1681140271373754370</t>
  </si>
  <si>
    <t>1694696806636999058</t>
  </si>
  <si>
    <t>1689607828128792576</t>
  </si>
  <si>
    <t>1688880965605572610</t>
  </si>
  <si>
    <t>1688855184489771009</t>
  </si>
  <si>
    <t>1684962886668492814</t>
  </si>
  <si>
    <t>1684621756609236992</t>
  </si>
  <si>
    <t>1678886780777508869</t>
  </si>
  <si>
    <t>1678731922816499713</t>
  </si>
  <si>
    <t>1702086128239624319</t>
  </si>
  <si>
    <t>1688210199658602497</t>
  </si>
  <si>
    <t>1687765448933113856</t>
  </si>
  <si>
    <t>1683836991111307266</t>
  </si>
  <si>
    <t>1683637039810457603</t>
  </si>
  <si>
    <t>1678446881465147429</t>
  </si>
  <si>
    <t>1703003023012675630</t>
  </si>
  <si>
    <t>1690836920203403264</t>
  </si>
  <si>
    <t>1690310218633060352</t>
  </si>
  <si>
    <t>1685967981170327552</t>
  </si>
  <si>
    <t>1680907050107252739</t>
  </si>
  <si>
    <t>1680712842121494528</t>
  </si>
  <si>
    <t>1680524257506336768</t>
  </si>
  <si>
    <t>1680141813133213697</t>
  </si>
  <si>
    <t>1702373305867555185</t>
  </si>
  <si>
    <t>1701253862164681160</t>
  </si>
  <si>
    <t>1689307883454820353</t>
  </si>
  <si>
    <t>1688520053862326272</t>
  </si>
  <si>
    <t>1684530788589600769</t>
  </si>
  <si>
    <t>1684258703216611328</t>
  </si>
  <si>
    <t>1683975467299217410</t>
  </si>
  <si>
    <t>1676922480592666626</t>
  </si>
  <si>
    <t>1676553292044705794</t>
  </si>
  <si>
    <t>1681319412778045440</t>
  </si>
  <si>
    <t>1706755024947495089</t>
  </si>
  <si>
    <t>1676566608280428546</t>
  </si>
  <si>
    <t>1691502784221159425</t>
  </si>
  <si>
    <t>1678056627503546369</t>
  </si>
  <si>
    <t>1683130030371622916</t>
  </si>
  <si>
    <t>1698756025275314373</t>
  </si>
  <si>
    <t>1704467234968547632</t>
  </si>
  <si>
    <t>1684285416965283841</t>
  </si>
  <si>
    <t>1693654945445142670</t>
  </si>
  <si>
    <t>1702416009515147307</t>
  </si>
  <si>
    <t>1678079441556103171</t>
  </si>
  <si>
    <t>1689434826057613312</t>
  </si>
  <si>
    <t>1689604089045209089</t>
  </si>
  <si>
    <t>1691584307926589788</t>
  </si>
  <si>
    <t>1690042456635584531</t>
  </si>
  <si>
    <t>1677063770126925828</t>
  </si>
  <si>
    <t>1677082715730968581</t>
  </si>
  <si>
    <t>1678169735366602752</t>
  </si>
  <si>
    <t>1678894898840236032</t>
  </si>
  <si>
    <t>1680345252773732352</t>
  </si>
  <si>
    <t>1679981784417865735</t>
  </si>
  <si>
    <t>1675873251489206273</t>
  </si>
  <si>
    <t>1692189031935684785</t>
  </si>
  <si>
    <t>1678347145169043464</t>
  </si>
  <si>
    <t>1679084507217920002</t>
  </si>
  <si>
    <t>1683133658448773120</t>
  </si>
  <si>
    <t>1689216206635479040</t>
  </si>
  <si>
    <t>1678723354784669696</t>
  </si>
  <si>
    <t>1698753275141460174</t>
  </si>
  <si>
    <t>1695863873222385778</t>
  </si>
  <si>
    <t>1690037824312029188</t>
  </si>
  <si>
    <t>1676596586892218369</t>
  </si>
  <si>
    <t>1697681191409684918</t>
  </si>
  <si>
    <t>1680041799501398018</t>
  </si>
  <si>
    <t>1704501118821159392</t>
  </si>
  <si>
    <t>1690077036994351104</t>
  </si>
  <si>
    <t>1693999478565638220</t>
  </si>
  <si>
    <t>1706296868341211272</t>
  </si>
  <si>
    <t>1706758377777365001</t>
  </si>
  <si>
    <t>1706758361302090146</t>
  </si>
  <si>
    <t>1697983786288349276</t>
  </si>
  <si>
    <t>1697244983592644857</t>
  </si>
  <si>
    <t>1697357341442847200</t>
  </si>
  <si>
    <t>1697024900823765342</t>
  </si>
  <si>
    <t>1704191624463466837</t>
  </si>
  <si>
    <t>1705241274888974627</t>
  </si>
  <si>
    <t>1704975819406233758</t>
  </si>
  <si>
    <t>1691389266444865536</t>
  </si>
  <si>
    <t>1699831968672935979</t>
  </si>
  <si>
    <t>1700909516043301073</t>
  </si>
  <si>
    <t>1687958932483174400</t>
  </si>
  <si>
    <t>1677860384932499457</t>
  </si>
  <si>
    <t>1683485196585164800</t>
  </si>
  <si>
    <t>1706800226491593075</t>
  </si>
  <si>
    <t>1681013765209313291</t>
  </si>
  <si>
    <t>1706372475871793190</t>
  </si>
  <si>
    <t>1696233234420391962</t>
  </si>
  <si>
    <t>1686486848422506496</t>
  </si>
  <si>
    <t>1686482783777009664</t>
  </si>
  <si>
    <t>1702376389498818876</t>
  </si>
  <si>
    <t>1690118840590712832</t>
  </si>
  <si>
    <t>1697436962464895309</t>
  </si>
  <si>
    <t>1683471034903666688</t>
  </si>
  <si>
    <t>1694798592806948913</t>
  </si>
  <si>
    <t>1676921386428690435</t>
  </si>
  <si>
    <t>1701390698480611794</t>
  </si>
  <si>
    <t>1698637135962624413</t>
  </si>
  <si>
    <t>1695804666741653778</t>
  </si>
  <si>
    <t>1700856749383733403</t>
  </si>
  <si>
    <t>1678328280200409089</t>
  </si>
  <si>
    <t>1677773106469797889</t>
  </si>
  <si>
    <t>1706602078338986462</t>
  </si>
  <si>
    <t>1705181459428868324</t>
  </si>
  <si>
    <t>1686443636588691464</t>
  </si>
  <si>
    <t>1681639035641495552</t>
  </si>
  <si>
    <t>1707083025702441258</t>
  </si>
  <si>
    <t>1699393113251303927</t>
  </si>
  <si>
    <t>1706406811518091515</t>
  </si>
  <si>
    <t>1676034304852336640</t>
  </si>
  <si>
    <t>1686399047400034305</t>
  </si>
  <si>
    <t>1686883829280083968</t>
  </si>
  <si>
    <t>1687818498490179584</t>
  </si>
  <si>
    <t>1683618100434853889</t>
  </si>
  <si>
    <t>1690807615222079488</t>
  </si>
  <si>
    <t>1689646065795096576</t>
  </si>
  <si>
    <t>1686154483678466049</t>
  </si>
  <si>
    <t>1677864111512731649</t>
  </si>
  <si>
    <t>1679825318448865280</t>
  </si>
  <si>
    <t>1679555037754695687</t>
  </si>
  <si>
    <t>1679508984170962944</t>
  </si>
  <si>
    <t>1697010101511434289</t>
  </si>
  <si>
    <t>1698098485453590816</t>
  </si>
  <si>
    <t>1699169381454914041</t>
  </si>
  <si>
    <t>1699743250557317203</t>
  </si>
  <si>
    <t>1702050839014039993</t>
  </si>
  <si>
    <t>1703135434425987423</t>
  </si>
  <si>
    <t>1680673171056254979</t>
  </si>
  <si>
    <t>1677683540287275010</t>
  </si>
  <si>
    <t>1675888014638174208</t>
  </si>
  <si>
    <t>1679910800884891649</t>
  </si>
  <si>
    <t>1707133005842850266</t>
  </si>
  <si>
    <t>1689390344792592386</t>
  </si>
  <si>
    <t>1696544012830708088</t>
  </si>
  <si>
    <t>1683836080297213955</t>
  </si>
  <si>
    <t>1693715460292747549</t>
  </si>
  <si>
    <t>1685063843674759170</t>
  </si>
  <si>
    <t>1693984869125165527</t>
  </si>
  <si>
    <t>1693616615026286905</t>
  </si>
  <si>
    <t>1699180841245577365</t>
  </si>
  <si>
    <t>1700207832107245703</t>
  </si>
  <si>
    <t>1676735318177767424</t>
  </si>
  <si>
    <t>1454869850124390412</t>
  </si>
  <si>
    <t>1704258466666205550</t>
  </si>
  <si>
    <t>1676334551600078852</t>
  </si>
  <si>
    <t>1686736450425880576</t>
  </si>
  <si>
    <t>1699611951637172338</t>
  </si>
  <si>
    <t>1699611840366461408</t>
  </si>
  <si>
    <t>1699611706853314745</t>
  </si>
  <si>
    <t>1699611622111637860</t>
  </si>
  <si>
    <t>1699611552624554213</t>
  </si>
  <si>
    <t>1699611443551703344</t>
  </si>
  <si>
    <t>1699611370122035659</t>
  </si>
  <si>
    <t>1699610777848578239</t>
  </si>
  <si>
    <t>1701264341348102326</t>
  </si>
  <si>
    <t>1676861071351758850</t>
  </si>
  <si>
    <t>1683477335314509838</t>
  </si>
  <si>
    <t>1694341371484602370</t>
  </si>
  <si>
    <t>1696519705362899192</t>
  </si>
  <si>
    <t>1677369812740104211</t>
  </si>
  <si>
    <t>1686841830682333185</t>
  </si>
  <si>
    <t>1692223968768373251</t>
  </si>
  <si>
    <t>1679483859325317121</t>
  </si>
  <si>
    <t>1681167021193527296</t>
  </si>
  <si>
    <t>1678992693173657601</t>
  </si>
  <si>
    <t>1676455968723329030</t>
  </si>
  <si>
    <t>1685156645318397952</t>
  </si>
  <si>
    <t>1679355133228924929</t>
  </si>
  <si>
    <t>1694808415120338949</t>
  </si>
  <si>
    <t>1681635617212440578</t>
  </si>
  <si>
    <t>1689246246723039232</t>
  </si>
  <si>
    <t>1694319427196539050</t>
  </si>
  <si>
    <t>1679098911657451520</t>
  </si>
  <si>
    <t>1676562164956516352</t>
  </si>
  <si>
    <t>1699751944888140111</t>
  </si>
  <si>
    <t>1701930039980204146</t>
  </si>
  <si>
    <t>1691782717103337836</t>
  </si>
  <si>
    <t>1704820371885838676</t>
  </si>
  <si>
    <t>1679187284220837907</t>
  </si>
  <si>
    <t>1681755174182723584</t>
  </si>
  <si>
    <t>1686863426037878784</t>
  </si>
  <si>
    <t>1676903856855470082</t>
  </si>
  <si>
    <t>1681252609955450881</t>
  </si>
  <si>
    <t>1678715782388236289</t>
  </si>
  <si>
    <t>1677135628096483329</t>
  </si>
  <si>
    <t>1689044171682631680</t>
  </si>
  <si>
    <t>1694111845676724250</t>
  </si>
  <si>
    <t>1699203877411664004</t>
  </si>
  <si>
    <t>1697045320914370685</t>
  </si>
  <si>
    <t>1691604358733922565</t>
  </si>
  <si>
    <t>1681874377522966530</t>
  </si>
  <si>
    <t>1684514562974908416</t>
  </si>
  <si>
    <t>1692697778898587751</t>
  </si>
  <si>
    <t>1700169625541943705</t>
  </si>
  <si>
    <t>1702342782063444094</t>
  </si>
  <si>
    <t>1704531362936733804</t>
  </si>
  <si>
    <t>1704782520217456734</t>
  </si>
  <si>
    <t>1704814531778596915</t>
  </si>
  <si>
    <t>1690004872765100032</t>
  </si>
  <si>
    <t>1679989398346104832</t>
  </si>
  <si>
    <t>1693598053792440458</t>
  </si>
  <si>
    <t>1684730693740376064</t>
  </si>
  <si>
    <t>1690499127069511680</t>
  </si>
  <si>
    <t>1677381145128996865</t>
  </si>
  <si>
    <t>1685258874633302016</t>
  </si>
  <si>
    <t>1692685191704199411</t>
  </si>
  <si>
    <t>1685371838447210496</t>
  </si>
  <si>
    <t>1676660574476705792</t>
  </si>
  <si>
    <t>1684617988597530624</t>
  </si>
  <si>
    <t>1691095062128869376</t>
  </si>
  <si>
    <t>1686401115078701056</t>
  </si>
  <si>
    <t>1681333013471195137</t>
  </si>
  <si>
    <t>1692266730305802599</t>
  </si>
  <si>
    <t>1676984349541974018</t>
  </si>
  <si>
    <t>1694314091760820728</t>
  </si>
  <si>
    <t>1684247424460521474</t>
  </si>
  <si>
    <t>1679110478348296192</t>
  </si>
  <si>
    <t>1701951218405331047</t>
  </si>
  <si>
    <t>1687648744584482816</t>
  </si>
  <si>
    <t>1676790171268792320</t>
  </si>
  <si>
    <t>1688460809029238784</t>
  </si>
  <si>
    <t>1679671234487828488</t>
  </si>
  <si>
    <t>1701352275216589071</t>
  </si>
  <si>
    <t>1699349059390046664</t>
  </si>
  <si>
    <t>1691710513514971188</t>
  </si>
  <si>
    <t>1691587783163252745</t>
  </si>
  <si>
    <t>1702163383221457363</t>
  </si>
  <si>
    <t>1689997734835556352</t>
  </si>
  <si>
    <t>1696509755198488943</t>
  </si>
  <si>
    <t>1683111000944390144</t>
  </si>
  <si>
    <t>1676932811205296129</t>
  </si>
  <si>
    <t>1681661417076785152</t>
  </si>
  <si>
    <t>1680548008138620928</t>
  </si>
  <si>
    <t>1685046558058819584</t>
  </si>
  <si>
    <t>1702872593244594351</t>
  </si>
  <si>
    <t>1676275006672707614</t>
  </si>
  <si>
    <t>1692536922718011802</t>
  </si>
  <si>
    <t>1705597932257370475</t>
  </si>
  <si>
    <t>1675912597843980293</t>
  </si>
  <si>
    <t>1694430357389541504</t>
  </si>
  <si>
    <t>1693666521803784558</t>
  </si>
  <si>
    <t>1689675221828268032</t>
  </si>
  <si>
    <t>1696205753298661419</t>
  </si>
  <si>
    <t>1696183104086417745</t>
  </si>
  <si>
    <t>1691126031837548561</t>
  </si>
  <si>
    <t>1695820212959133966</t>
  </si>
  <si>
    <t>1695480474095730964</t>
  </si>
  <si>
    <t>1695457321860866053</t>
  </si>
  <si>
    <t>1695117834685477289</t>
  </si>
  <si>
    <t>1690763392133558272</t>
  </si>
  <si>
    <t>1690400752727105536</t>
  </si>
  <si>
    <t>1697656311679525267</t>
  </si>
  <si>
    <t>1695843113737011398</t>
  </si>
  <si>
    <t>1694392555637469482</t>
  </si>
  <si>
    <t>1694363842938077635</t>
  </si>
  <si>
    <t>1689312512997490688</t>
  </si>
  <si>
    <t>1689311985953906709</t>
  </si>
  <si>
    <t>1689311609166995468</t>
  </si>
  <si>
    <t>1705237945895002416</t>
  </si>
  <si>
    <t>1705237736339177818</t>
  </si>
  <si>
    <t>1705237390854390146</t>
  </si>
  <si>
    <t>1705236568405885089</t>
  </si>
  <si>
    <t>1705236212045230379</t>
  </si>
  <si>
    <t>1698014510932468206</t>
  </si>
  <si>
    <t>1695091662341714035</t>
  </si>
  <si>
    <t>1694755195232927978</t>
  </si>
  <si>
    <t>1694727513132441611</t>
  </si>
  <si>
    <t>1690038113375232001</t>
  </si>
  <si>
    <t>1705235701258674387</t>
  </si>
  <si>
    <t>1697293420639703263</t>
  </si>
  <si>
    <t>1694029412734214482</t>
  </si>
  <si>
    <t>1692941242500620296</t>
  </si>
  <si>
    <t>1692578351796437205</t>
  </si>
  <si>
    <t>1705235284986634729</t>
  </si>
  <si>
    <t>1692215460157358315</t>
  </si>
  <si>
    <t>1705614694180892804</t>
  </si>
  <si>
    <t>1696930788711797064</t>
  </si>
  <si>
    <t>1691852317472043343</t>
  </si>
  <si>
    <t>1691489426206322688</t>
  </si>
  <si>
    <t>1678424582049648640</t>
  </si>
  <si>
    <t>1687942709258948608</t>
  </si>
  <si>
    <t>1684543227632787457</t>
  </si>
  <si>
    <t>1679269945836724224</t>
  </si>
  <si>
    <t>1676223752646844416</t>
  </si>
  <si>
    <t>1683536019151556608</t>
  </si>
  <si>
    <t>1683929612529573888</t>
  </si>
  <si>
    <t>1676949308132712450</t>
  </si>
  <si>
    <t>1652794962088546311</t>
  </si>
  <si>
    <t>1704884754829484445</t>
  </si>
  <si>
    <t>1689013379497648128</t>
  </si>
  <si>
    <t>1691085717881888769</t>
  </si>
  <si>
    <t>1693354213676663281</t>
  </si>
  <si>
    <t>1679219053557104641</t>
  </si>
  <si>
    <t>1676625517057851392</t>
  </si>
  <si>
    <t>1694757623227101675</t>
  </si>
  <si>
    <t>1698747526566879532</t>
  </si>
  <si>
    <t>1675909893457424395</t>
  </si>
  <si>
    <t>1702067006264983824</t>
  </si>
  <si>
    <t>1704453661898797410</t>
  </si>
  <si>
    <t>1704453462069588263</t>
  </si>
  <si>
    <t>1704453008556253285</t>
  </si>
  <si>
    <t>1703791274849948104</t>
  </si>
  <si>
    <t>1703790300517302723</t>
  </si>
  <si>
    <t>1706044377494147225</t>
  </si>
  <si>
    <t>1681667030695460865</t>
  </si>
  <si>
    <t>1677657107632467969</t>
  </si>
  <si>
    <t>1684529719482499073</t>
  </si>
  <si>
    <t>1678486986770849792</t>
  </si>
  <si>
    <t>1696609237986611706</t>
  </si>
  <si>
    <t>1696486725177188839</t>
  </si>
  <si>
    <t>1693629791566500055</t>
  </si>
  <si>
    <t>1684192347930742785</t>
  </si>
  <si>
    <t>1679923668716011533</t>
  </si>
  <si>
    <t>1691816299221925994</t>
  </si>
  <si>
    <t>1694038939240149163</t>
  </si>
  <si>
    <t>1688800492426768384</t>
  </si>
  <si>
    <t>1694820123121418437</t>
  </si>
  <si>
    <t>1697355076606496892</t>
  </si>
  <si>
    <t>1682510873510785026</t>
  </si>
  <si>
    <t>1679324379203731457</t>
  </si>
  <si>
    <t>1686202117185302528</t>
  </si>
  <si>
    <t>1689311449737306121</t>
  </si>
  <si>
    <t>1701360059123392951</t>
  </si>
  <si>
    <t>1692252623200469149</t>
  </si>
  <si>
    <t>1679145990454951936</t>
  </si>
  <si>
    <t>1679687212151996420</t>
  </si>
  <si>
    <t>1679942907896233984</t>
  </si>
  <si>
    <t>1695127962373312602</t>
  </si>
  <si>
    <t>1683125933383856128</t>
  </si>
  <si>
    <t>1615295363514089476</t>
  </si>
  <si>
    <t>1681343537500110850</t>
  </si>
  <si>
    <t>1678175518150074368</t>
  </si>
  <si>
    <t>1676665236718272513</t>
  </si>
  <si>
    <t>1681040242910937088</t>
  </si>
  <si>
    <t>1676607365217411073</t>
  </si>
  <si>
    <t>1676997905381568513</t>
  </si>
  <si>
    <t>1691888808227226100</t>
  </si>
  <si>
    <t>1677393046705414151</t>
  </si>
  <si>
    <t>1686859423044489217</t>
  </si>
  <si>
    <t>1702878799539429812</t>
  </si>
  <si>
    <t>1705639603502191015</t>
  </si>
  <si>
    <t>1705640130898194759</t>
  </si>
  <si>
    <t>1691177019357151232</t>
  </si>
  <si>
    <t>1677350511668862976</t>
  </si>
  <si>
    <t>1684866514929799168</t>
  </si>
  <si>
    <t>1692948320228979164</t>
  </si>
  <si>
    <t>1692946373631476216</t>
  </si>
  <si>
    <t>1705558050226991482</t>
  </si>
  <si>
    <t>1684941802401382402</t>
  </si>
  <si>
    <t>1686028964907622401</t>
  </si>
  <si>
    <t>1680615896857935874</t>
  </si>
  <si>
    <t>1676312229124141068</t>
  </si>
  <si>
    <t>1706299624305099051</t>
  </si>
  <si>
    <t>1678383582044192769</t>
  </si>
  <si>
    <t>1690553871783915520</t>
  </si>
  <si>
    <t>1681365706955280385</t>
  </si>
  <si>
    <t>1676263530847191040</t>
  </si>
  <si>
    <t>1676262933792268288</t>
  </si>
  <si>
    <t>1701270759954411623</t>
  </si>
  <si>
    <t>1695809629815521738</t>
  </si>
  <si>
    <t>1700926461543104824</t>
  </si>
  <si>
    <t>1681718313246703617</t>
  </si>
  <si>
    <t>1678376578345054208</t>
  </si>
  <si>
    <t>1677324548956405767</t>
  </si>
  <si>
    <t>1678770961947201536</t>
  </si>
  <si>
    <t>1686012947452059648</t>
  </si>
  <si>
    <t>1688626363396227072</t>
  </si>
  <si>
    <t>1702661015014412759</t>
  </si>
  <si>
    <t>1685262101420310529</t>
  </si>
  <si>
    <t>1676207962132545538</t>
  </si>
  <si>
    <t>1689615952990568449</t>
  </si>
  <si>
    <t>1702789888066965870</t>
  </si>
  <si>
    <t>1704132719163400381</t>
  </si>
  <si>
    <t>1691057551561850880</t>
  </si>
  <si>
    <t>1677046925084839937</t>
  </si>
  <si>
    <t>1676736756882763777</t>
  </si>
  <si>
    <t>1676364228788191232</t>
  </si>
  <si>
    <t>1690328906589474816</t>
  </si>
  <si>
    <t>1678521119920345091</t>
  </si>
  <si>
    <t>1678521117332459524</t>
  </si>
  <si>
    <t>1678521114417307649</t>
  </si>
  <si>
    <t>1678521111615614977</t>
  </si>
  <si>
    <t>1678521108893519878</t>
  </si>
  <si>
    <t>1687258317586927616</t>
  </si>
  <si>
    <t>1683653579234594817</t>
  </si>
  <si>
    <t>1686732550931193856</t>
  </si>
  <si>
    <t>1694337902744846540</t>
  </si>
  <si>
    <t>1697063590518296928</t>
  </si>
  <si>
    <t>1683814260009205765</t>
  </si>
  <si>
    <t>1690078807682600960</t>
  </si>
  <si>
    <t>1677360695019544577</t>
  </si>
  <si>
    <t>1682087687476355077</t>
  </si>
  <si>
    <t>1679265635933601792</t>
  </si>
  <si>
    <t>1696497228410409431</t>
  </si>
  <si>
    <t>1701368328655352117</t>
  </si>
  <si>
    <t>1686002197207654402</t>
  </si>
  <si>
    <t>1699859610696577077</t>
  </si>
  <si>
    <t>1701670584411906135</t>
  </si>
  <si>
    <t>1696134863659708529</t>
  </si>
  <si>
    <t>1696132060635648048</t>
  </si>
  <si>
    <t>1697338466953286016</t>
  </si>
  <si>
    <t>1687198242491224064</t>
  </si>
  <si>
    <t>1695648983631237614</t>
  </si>
  <si>
    <t>1701313485551050762</t>
  </si>
  <si>
    <t>1683100228197531650</t>
  </si>
  <si>
    <t>1697676335257198673</t>
  </si>
  <si>
    <t>1698210577481335203</t>
  </si>
  <si>
    <t>1701219231033852190</t>
  </si>
  <si>
    <t>1701219226806010213</t>
  </si>
  <si>
    <t>1702668792713679115</t>
  </si>
  <si>
    <t>1679838344614641665</t>
  </si>
  <si>
    <t>1704480735522902259</t>
  </si>
  <si>
    <t>1703755965223301541</t>
  </si>
  <si>
    <t>1707017446442385800</t>
  </si>
  <si>
    <t>1676258479714054144</t>
  </si>
  <si>
    <t>1683464605006217217</t>
  </si>
  <si>
    <t>1681312537902727174</t>
  </si>
  <si>
    <t>1686716153937252352</t>
  </si>
  <si>
    <t>1692518810815754686</t>
  </si>
  <si>
    <t>1696874671654736217</t>
  </si>
  <si>
    <t>1697982317480874204</t>
  </si>
  <si>
    <t>1684896555172556801</t>
  </si>
  <si>
    <t>1692577349781406094</t>
  </si>
  <si>
    <t>1693653601829151005</t>
  </si>
  <si>
    <t>1688219238165516288</t>
  </si>
  <si>
    <t>1677437339419770880</t>
  </si>
  <si>
    <t>1696613693725757516</t>
  </si>
  <si>
    <t>1696183356046590059</t>
  </si>
  <si>
    <t>1702325183418372517</t>
  </si>
  <si>
    <t>1689226487340089344</t>
  </si>
  <si>
    <t>1696325961338298723</t>
  </si>
  <si>
    <t>1696554982298829191</t>
  </si>
  <si>
    <t>1686382872914235392</t>
  </si>
  <si>
    <t>1680210417895743488</t>
  </si>
  <si>
    <t>1684368409188786179</t>
  </si>
  <si>
    <t>1697456388232913332</t>
  </si>
  <si>
    <t>1698892587816398978</t>
  </si>
  <si>
    <t>1704252736886255621</t>
  </si>
  <si>
    <t>1704254186995470816</t>
  </si>
  <si>
    <t>1702475805022937340</t>
  </si>
  <si>
    <t>1687992391129600000</t>
  </si>
  <si>
    <t>1704267868299231424</t>
  </si>
  <si>
    <t>1704267386025627767</t>
  </si>
  <si>
    <t>1681843020906262528</t>
  </si>
  <si>
    <t>1683546336585457679</t>
  </si>
  <si>
    <t>1698772978081698182</t>
  </si>
  <si>
    <t>1697663289973424540</t>
  </si>
  <si>
    <t>1699769590698459459</t>
  </si>
  <si>
    <t>1701672239047827849</t>
  </si>
  <si>
    <t>1704148407663702046</t>
  </si>
  <si>
    <t>1706715324081480051</t>
  </si>
  <si>
    <t>1679964369256341504</t>
  </si>
  <si>
    <t>1687200007789891584</t>
  </si>
  <si>
    <t>1696961284229431610</t>
  </si>
  <si>
    <t>1688238728819490816</t>
  </si>
  <si>
    <t>1706766346933903642</t>
  </si>
  <si>
    <t>1686724142156951554</t>
  </si>
  <si>
    <t>1691915044471345533</t>
  </si>
  <si>
    <t>1689396898086457345</t>
  </si>
  <si>
    <t>1694809892022800559</t>
  </si>
  <si>
    <t>1697225697654186464</t>
  </si>
  <si>
    <t>1687539086456717337</t>
  </si>
  <si>
    <t>1695925903161794756</t>
  </si>
  <si>
    <t>1699387281100964270</t>
  </si>
  <si>
    <t>1701212183944712306</t>
  </si>
  <si>
    <t>1701773332423549178</t>
  </si>
  <si>
    <t>1697590125302022234</t>
  </si>
  <si>
    <t>1688594971664826392</t>
  </si>
  <si>
    <t>1699396968198308180</t>
  </si>
  <si>
    <t>1682118715666563072</t>
  </si>
  <si>
    <t>1705936558669332542</t>
  </si>
  <si>
    <t>1692249823687385514</t>
  </si>
  <si>
    <t>1696594574381130161</t>
  </si>
  <si>
    <t>1689025664396009473</t>
  </si>
  <si>
    <t>1704319552958464132</t>
  </si>
  <si>
    <t>1679883614866092032</t>
  </si>
  <si>
    <t>1706383065906548962</t>
  </si>
  <si>
    <t>1694034818206433314</t>
  </si>
  <si>
    <t>1681617172471201793</t>
  </si>
  <si>
    <t>1681737811190267905</t>
  </si>
  <si>
    <t>1678702347541684225</t>
  </si>
  <si>
    <t>1693608819505434903</t>
  </si>
  <si>
    <t>1679113578467475456</t>
  </si>
  <si>
    <t>1679505317770428416</t>
  </si>
  <si>
    <t>1678782277734506496</t>
  </si>
  <si>
    <t>1683490677777215489</t>
  </si>
  <si>
    <t>1687109911820595201</t>
  </si>
  <si>
    <t>1677678277379473408</t>
  </si>
  <si>
    <t>1678854890309681157</t>
  </si>
  <si>
    <t>1676672234880999425</t>
  </si>
  <si>
    <t>1676757888788725761</t>
  </si>
  <si>
    <t>1692565099582558627</t>
  </si>
  <si>
    <t>1683926155630452739</t>
  </si>
  <si>
    <t>1683925647368892416</t>
  </si>
  <si>
    <t>1683924903475527682</t>
  </si>
  <si>
    <t>1683924403346628609</t>
  </si>
  <si>
    <t>1683923393253367832</t>
  </si>
  <si>
    <t>1692235159678877877</t>
  </si>
  <si>
    <t>1691951778198114409</t>
  </si>
  <si>
    <t>1691950513590259764</t>
  </si>
  <si>
    <t>1683509908728172544</t>
  </si>
  <si>
    <t>1693258887149879318</t>
  </si>
  <si>
    <t>1696918462776410122</t>
  </si>
  <si>
    <t>1691488755788525584</t>
  </si>
  <si>
    <t>1691481962299453440</t>
  </si>
  <si>
    <t>1694523214699831339</t>
  </si>
  <si>
    <t>1694516724349944311</t>
  </si>
  <si>
    <t>1694512898687562136</t>
  </si>
  <si>
    <t>1693734049813090795</t>
  </si>
  <si>
    <t>1696299382616846348</t>
  </si>
  <si>
    <t>1696298382359196026</t>
  </si>
  <si>
    <t>1696217604933730800</t>
  </si>
  <si>
    <t>1696216599391314338</t>
  </si>
  <si>
    <t>1683896518837665810</t>
  </si>
  <si>
    <t>1686451737593298944</t>
  </si>
  <si>
    <t>1689366437369098243</t>
  </si>
  <si>
    <t>1693714211577225581</t>
  </si>
  <si>
    <t>1691435908933820416</t>
  </si>
  <si>
    <t>1685457402143936513</t>
  </si>
  <si>
    <t>1681725086355832834</t>
  </si>
  <si>
    <t>1683528972787912704</t>
  </si>
  <si>
    <t>1696583493134979130</t>
  </si>
  <si>
    <t>1687555122333691904</t>
  </si>
  <si>
    <t>1695136869082661369</t>
  </si>
  <si>
    <t>1704489964572942479</t>
  </si>
  <si>
    <t>1679303748915527681</t>
  </si>
  <si>
    <t>1702823552355914008</t>
  </si>
  <si>
    <t>1702669092769898667</t>
  </si>
  <si>
    <t>1702442951303905750</t>
  </si>
  <si>
    <t>1705996482556428513</t>
  </si>
  <si>
    <t>1681450865620656128</t>
  </si>
  <si>
    <t>1704161027758125403</t>
  </si>
  <si>
    <t>1691183243222007808</t>
  </si>
  <si>
    <t>1702838729340047610</t>
  </si>
  <si>
    <t>1700886045754069480</t>
  </si>
  <si>
    <t>1677729015904313345</t>
  </si>
  <si>
    <t>1676704146412412928</t>
  </si>
  <si>
    <t>1688991019587469313</t>
  </si>
  <si>
    <t>1706991922693157350</t>
  </si>
  <si>
    <t>1707010733312036991</t>
  </si>
  <si>
    <t>1678096109099536385</t>
  </si>
  <si>
    <t>1687509711472533513</t>
  </si>
  <si>
    <t>1700653921268637779</t>
  </si>
  <si>
    <t>1679099536562864131</t>
  </si>
  <si>
    <t>1685675358085939200</t>
  </si>
  <si>
    <t>1693696088656552126</t>
  </si>
  <si>
    <t>1687472993767657472</t>
  </si>
  <si>
    <t>1689269168527327232</t>
  </si>
  <si>
    <t>1686727832368455680</t>
  </si>
  <si>
    <t>1678478094166814735</t>
  </si>
  <si>
    <t>1704842671611687159</t>
  </si>
  <si>
    <t>1691867173931589752</t>
  </si>
  <si>
    <t>1703785845990232468</t>
  </si>
  <si>
    <t>1699070092712333759</t>
  </si>
  <si>
    <t>1702694664451629287</t>
  </si>
  <si>
    <t>1694025916639326276</t>
  </si>
  <si>
    <t>1678606757273251841</t>
  </si>
  <si>
    <t>1681375594137649157</t>
  </si>
  <si>
    <t>1699417869946143209</t>
  </si>
  <si>
    <t>1698099448750936124</t>
  </si>
  <si>
    <t>1690920533930450944</t>
  </si>
  <si>
    <t>1678486984916889606</t>
  </si>
  <si>
    <t>1696575943773667538</t>
  </si>
  <si>
    <t>1693055075927961621</t>
  </si>
  <si>
    <t>1701656931931414923</t>
  </si>
  <si>
    <t>1693635316228186612</t>
  </si>
  <si>
    <t>1689649049409146881</t>
  </si>
  <si>
    <t>1689214939020599296</t>
  </si>
  <si>
    <t>1688852563183947776</t>
  </si>
  <si>
    <t>1684575620326633476</t>
  </si>
  <si>
    <t>1678777414799994889</t>
  </si>
  <si>
    <t>1676240699002351616</t>
  </si>
  <si>
    <t>1693563599468605578</t>
  </si>
  <si>
    <t>1693231410281120195</t>
  </si>
  <si>
    <t>1679139801197576192</t>
  </si>
  <si>
    <t>1676893761865908225</t>
  </si>
  <si>
    <t>1676531368837226498</t>
  </si>
  <si>
    <t>1697259196113424734</t>
  </si>
  <si>
    <t>1697187479517077674</t>
  </si>
  <si>
    <t>1692548152430145861</t>
  </si>
  <si>
    <t>1688490169241059328</t>
  </si>
  <si>
    <t>1683779132394463232</t>
  </si>
  <si>
    <t>1678011116297805824</t>
  </si>
  <si>
    <t>1698637025782440036</t>
  </si>
  <si>
    <t>1695390635128189130</t>
  </si>
  <si>
    <t>1691026884329627648</t>
  </si>
  <si>
    <t>1702332624704864260</t>
  </si>
  <si>
    <t>1692185764581593566</t>
  </si>
  <si>
    <t>1692114044713619458</t>
  </si>
  <si>
    <t>1687474722823659521</t>
  </si>
  <si>
    <t>1683416740460646402</t>
  </si>
  <si>
    <t>1705231727679938987</t>
  </si>
  <si>
    <t>1703710457058705687</t>
  </si>
  <si>
    <t>1691460989169147908</t>
  </si>
  <si>
    <t>1686678230038716416</t>
  </si>
  <si>
    <t>1681314128802230282</t>
  </si>
  <si>
    <t>1706681279750733934</t>
  </si>
  <si>
    <t>1704144564116660679</t>
  </si>
  <si>
    <t>1690011438054539264</t>
  </si>
  <si>
    <t>1685621263228641281</t>
  </si>
  <si>
    <t>1679864577293467651</t>
  </si>
  <si>
    <t>1679792864400924673</t>
  </si>
  <si>
    <t>1707043667028951469</t>
  </si>
  <si>
    <t>1701970237166690439</t>
  </si>
  <si>
    <t>1699433522182680604</t>
  </si>
  <si>
    <t>1696896807022772689</t>
  </si>
  <si>
    <t>1691823376698884459</t>
  </si>
  <si>
    <t>1686749946937036800</t>
  </si>
  <si>
    <t>1683098134145286145</t>
  </si>
  <si>
    <t>1681967192386985986</t>
  </si>
  <si>
    <t>1697238902682042631</t>
  </si>
  <si>
    <t>1687290675920863232</t>
  </si>
  <si>
    <t>1687288047228903424</t>
  </si>
  <si>
    <t>1687287402564337664</t>
  </si>
  <si>
    <t>1687287048468627457</t>
  </si>
  <si>
    <t>1687286870663647233</t>
  </si>
  <si>
    <t>1687286284983660544</t>
  </si>
  <si>
    <t>1687285934809587712</t>
  </si>
  <si>
    <t>1687285223430475776</t>
  </si>
  <si>
    <t>1687284922371780608</t>
  </si>
  <si>
    <t>1687284315317555200</t>
  </si>
  <si>
    <t>1687279661703671808</t>
  </si>
  <si>
    <t>1696914568562307387</t>
  </si>
  <si>
    <t>1686744201617084416</t>
  </si>
  <si>
    <t>1682010896934002688</t>
  </si>
  <si>
    <t>1679506872590581761</t>
  </si>
  <si>
    <t>1681340748262768640</t>
  </si>
  <si>
    <t>1702073247490097564</t>
  </si>
  <si>
    <t>1704326193451770263</t>
  </si>
  <si>
    <t>1705777414096195608</t>
  </si>
  <si>
    <t>1678733964452720640</t>
  </si>
  <si>
    <t>1681631267790655489</t>
  </si>
  <si>
    <t>1681273719635816449</t>
  </si>
  <si>
    <t>1681021770189373440</t>
  </si>
  <si>
    <t>1697419952435708090</t>
  </si>
  <si>
    <t>1696932574243725782</t>
  </si>
  <si>
    <t>1696682891772629276</t>
  </si>
  <si>
    <t>1702075721609282006</t>
  </si>
  <si>
    <t>1699600042372247666</t>
  </si>
  <si>
    <t>1689818529673986049</t>
  </si>
  <si>
    <t>1690476499093147648</t>
  </si>
  <si>
    <t>1681269646278680577</t>
  </si>
  <si>
    <t>1700160523134706076</t>
  </si>
  <si>
    <t>1683624640076193792</t>
  </si>
  <si>
    <t>1685765025653305345</t>
  </si>
  <si>
    <t>1694160255976886621</t>
  </si>
  <si>
    <t>1676490399056113664</t>
  </si>
  <si>
    <t>1697303887072420319</t>
  </si>
  <si>
    <t>1701860581051867253</t>
  </si>
  <si>
    <t>1701243010745266400</t>
  </si>
  <si>
    <t>1703003081477116027</t>
  </si>
  <si>
    <t>1686042844564463616</t>
  </si>
  <si>
    <t>1706317473199386675</t>
  </si>
  <si>
    <t>1701371304580964604</t>
  </si>
  <si>
    <t>1702773192299831797</t>
  </si>
  <si>
    <t>1700526452733562926</t>
  </si>
  <si>
    <t>1698063195989057800</t>
  </si>
  <si>
    <t>1703501734646079846</t>
  </si>
  <si>
    <t>1702653328096735717</t>
  </si>
  <si>
    <t>1700118058709209121</t>
  </si>
  <si>
    <t>1703787879720218846</t>
  </si>
  <si>
    <t>1701688612599865840</t>
  </si>
  <si>
    <t>1703912049602888024</t>
  </si>
  <si>
    <t>1700885512683176238</t>
  </si>
  <si>
    <t>1703832319440687545</t>
  </si>
  <si>
    <t>1703832316018131431</t>
  </si>
  <si>
    <t>1703832308820668511</t>
  </si>
  <si>
    <t>1703829251357622682</t>
  </si>
  <si>
    <t>1703829248513802484</t>
  </si>
  <si>
    <t>1704175978337996899</t>
  </si>
  <si>
    <t>1704175975708185004</t>
  </si>
  <si>
    <t>1704175972889587747</t>
  </si>
  <si>
    <t>1703832774682017849</t>
  </si>
  <si>
    <t>1703832760316502293</t>
  </si>
  <si>
    <t>1703832727584166352</t>
  </si>
  <si>
    <t>1703829778300616872</t>
  </si>
  <si>
    <t>1703829756364382268</t>
  </si>
  <si>
    <t>1699426954582114498</t>
  </si>
  <si>
    <t>1676226888266555392</t>
  </si>
  <si>
    <t>1706744811682755025</t>
  </si>
  <si>
    <t>1689783968277659649</t>
  </si>
  <si>
    <t>1696938806346191110</t>
  </si>
  <si>
    <t>1691871561257496691</t>
  </si>
  <si>
    <t>1702775926814069096</t>
  </si>
  <si>
    <t>1705081203366219863</t>
  </si>
  <si>
    <t>1706449527991890387</t>
  </si>
  <si>
    <t>1691997020796469637</t>
  </si>
  <si>
    <t>1690974030080425984</t>
  </si>
  <si>
    <t>1690611642692698113</t>
  </si>
  <si>
    <t>1690596542900781056</t>
  </si>
  <si>
    <t>1690249254567055360</t>
  </si>
  <si>
    <t>1685908156256239616</t>
  </si>
  <si>
    <t>1695832292722372878</t>
  </si>
  <si>
    <t>1700781157913383321</t>
  </si>
  <si>
    <t>1700773602302316946</t>
  </si>
  <si>
    <t>1700694329529106789</t>
  </si>
  <si>
    <t>1678301779379773441</t>
  </si>
  <si>
    <t>1701098243193708730</t>
  </si>
  <si>
    <t>1704506951802204364</t>
  </si>
  <si>
    <t>1689886866953084928</t>
  </si>
  <si>
    <t>1689871767408410625</t>
  </si>
  <si>
    <t>1677067397482835968</t>
  </si>
  <si>
    <t>1692605914870640772</t>
  </si>
  <si>
    <t>1697032308065235096</t>
  </si>
  <si>
    <t>1685273894603636736</t>
  </si>
  <si>
    <t>1681275263638798337</t>
  </si>
  <si>
    <t>1677748923757215751</t>
  </si>
  <si>
    <t>1680005031041351684</t>
  </si>
  <si>
    <t>1680004705261330433</t>
  </si>
  <si>
    <t>1676899497622765570</t>
  </si>
  <si>
    <t>1690233783650287616</t>
  </si>
  <si>
    <t>1688802093191073792</t>
  </si>
  <si>
    <t>1707086607046615399</t>
  </si>
  <si>
    <t>1691869243053117821</t>
  </si>
  <si>
    <t>1691868694983434514</t>
  </si>
  <si>
    <t>1705054801912889633</t>
  </si>
  <si>
    <t>1684398169893785602</t>
  </si>
  <si>
    <t>1681062068928098308</t>
  </si>
  <si>
    <t>1677642782901518338</t>
  </si>
  <si>
    <t>1684205794114297858</t>
  </si>
  <si>
    <t>1676215706549989377</t>
  </si>
  <si>
    <t>1679183864441487375</t>
  </si>
  <si>
    <t>1680300406612664322</t>
  </si>
  <si>
    <t>1696567417365819793</t>
  </si>
  <si>
    <t>1676000460308721665</t>
  </si>
  <si>
    <t>1692517410023125411</t>
  </si>
  <si>
    <t>1688835971654029312</t>
  </si>
  <si>
    <t>1690041995153092626</t>
  </si>
  <si>
    <t>1679234177412268033</t>
  </si>
  <si>
    <t>1685000526591664129</t>
  </si>
  <si>
    <t>1676576840385798147</t>
  </si>
  <si>
    <t>1689106207305285632</t>
  </si>
  <si>
    <t>1704522685860942188</t>
  </si>
  <si>
    <t>1698880170516508920</t>
  </si>
  <si>
    <t>1688518803687174144</t>
  </si>
  <si>
    <t>1688518708296036352</t>
  </si>
  <si>
    <t>1688518621352357888</t>
  </si>
  <si>
    <t>1688518551080996864</t>
  </si>
  <si>
    <t>1688518341906833408</t>
  </si>
  <si>
    <t>1688518241298079744</t>
  </si>
  <si>
    <t>1688518160603807744</t>
  </si>
  <si>
    <t>1688518104135954432</t>
  </si>
  <si>
    <t>1688518043075268609</t>
  </si>
  <si>
    <t>1688517276398481408</t>
  </si>
  <si>
    <t>1688517204487102464</t>
  </si>
  <si>
    <t>1688517071959642113</t>
  </si>
  <si>
    <t>1688516983199875072</t>
  </si>
  <si>
    <t>1687074868167077888</t>
  </si>
  <si>
    <t>1687074712793346048</t>
  </si>
  <si>
    <t>1687074645420179456</t>
  </si>
  <si>
    <t>1687074565426384897</t>
  </si>
  <si>
    <t>1684630420388757504</t>
  </si>
  <si>
    <t>1687071332746289152</t>
  </si>
  <si>
    <t>1681356074199269401</t>
  </si>
  <si>
    <t>1676726733716828160</t>
  </si>
  <si>
    <t>1696262901437227180</t>
  </si>
  <si>
    <t>1690710610739187712</t>
  </si>
  <si>
    <t>1682013365189632004</t>
  </si>
  <si>
    <t>1686411004236664832</t>
  </si>
  <si>
    <t>1696699561853555178</t>
  </si>
  <si>
    <t>1685354555607859200</t>
  </si>
  <si>
    <t>1679953324785774592</t>
  </si>
  <si>
    <t>1679932727338909698</t>
  </si>
  <si>
    <t>1686472842420879360</t>
  </si>
  <si>
    <t>1691816875867410747</t>
  </si>
  <si>
    <t>1688664241811652608</t>
  </si>
  <si>
    <t>1696222141744623693</t>
  </si>
  <si>
    <t>1693629489496875303</t>
  </si>
  <si>
    <t>1684631593971765248</t>
  </si>
  <si>
    <t>1684559865937825793</t>
  </si>
  <si>
    <t>1675890735210545153</t>
  </si>
  <si>
    <t>1681777260150284288</t>
  </si>
  <si>
    <t>1681355302812237842</t>
  </si>
  <si>
    <t>1688557009690370048</t>
  </si>
  <si>
    <t>1684369493735227392</t>
  </si>
  <si>
    <t>1691929148862705979</t>
  </si>
  <si>
    <t>1683261194440769536</t>
  </si>
  <si>
    <t>1683154409163767808</t>
  </si>
  <si>
    <t>1691827223961936060</t>
  </si>
  <si>
    <t>1682135244567093249</t>
  </si>
  <si>
    <t>1682105144605851648</t>
  </si>
  <si>
    <t>1682051992833630209</t>
  </si>
  <si>
    <t>1693063144871014864</t>
  </si>
  <si>
    <t>1683840264484556801</t>
  </si>
  <si>
    <t>1683567634707513345</t>
  </si>
  <si>
    <t>1678090798523469824</t>
  </si>
  <si>
    <t>1677725383385284610</t>
  </si>
  <si>
    <t>1665703221904506882</t>
  </si>
  <si>
    <t>1691481953713692673</t>
  </si>
  <si>
    <t>1689692221002452993</t>
  </si>
  <si>
    <t>1690078909813985281</t>
  </si>
  <si>
    <t>1684559804780662784</t>
  </si>
  <si>
    <t>1678113493256486912</t>
  </si>
  <si>
    <t>1703175077213208878</t>
  </si>
  <si>
    <t>1697287789648195661</t>
  </si>
  <si>
    <t>1695555866982785306</t>
  </si>
  <si>
    <t>1699168314369376393</t>
  </si>
  <si>
    <t>1688919074963877889</t>
  </si>
  <si>
    <t>1686109161761722368</t>
  </si>
  <si>
    <t>1691516887350304769</t>
  </si>
  <si>
    <t>1682762682296877058</t>
  </si>
  <si>
    <t>1686708922789339136</t>
  </si>
  <si>
    <t>1691813201950789677</t>
  </si>
  <si>
    <t>1702064484615934330</t>
  </si>
  <si>
    <t>1686675219681841152</t>
  </si>
  <si>
    <t>1687437522589130752</t>
  </si>
  <si>
    <t>1697665046812209528</t>
  </si>
  <si>
    <t>1688621189281828864</t>
  </si>
  <si>
    <t>1705207447403876787</t>
  </si>
  <si>
    <t>1688619492878745600</t>
  </si>
  <si>
    <t>1703760301173182623</t>
  </si>
  <si>
    <t>1707102776101130717</t>
  </si>
  <si>
    <t>1706685696470053116</t>
  </si>
  <si>
    <t>1677365455994986500</t>
  </si>
  <si>
    <t>1704451924643217691</t>
  </si>
  <si>
    <t>1701687044244693139</t>
  </si>
  <si>
    <t>1684212507953561600</t>
  </si>
  <si>
    <t>1681695997087432704</t>
  </si>
  <si>
    <t>1683508469830131712</t>
  </si>
  <si>
    <t>1686817521792335884</t>
  </si>
  <si>
    <t>1694762849615462556</t>
  </si>
  <si>
    <t>1702299104565502303</t>
  </si>
  <si>
    <t>1700144297343864907</t>
  </si>
  <si>
    <t>1692165550355423424</t>
  </si>
  <si>
    <t>1702718668507881691</t>
  </si>
  <si>
    <t>1703022367956476119</t>
  </si>
  <si>
    <t>1706323660833763828</t>
  </si>
  <si>
    <t>1701657763170927031</t>
  </si>
  <si>
    <t>1705301797722526123</t>
  </si>
  <si>
    <t>1707058614341378346</t>
  </si>
  <si>
    <t>1678400676789989378</t>
  </si>
  <si>
    <t>1675258271932854273</t>
  </si>
  <si>
    <t>1697003527690690990</t>
  </si>
  <si>
    <t>1693358361880744348</t>
  </si>
  <si>
    <t>1699945503679516726</t>
  </si>
  <si>
    <t>1678735967648137216</t>
  </si>
  <si>
    <t>1702450582517117357</t>
  </si>
  <si>
    <t>1689977253155745792</t>
  </si>
  <si>
    <t>1694032646333153621</t>
  </si>
  <si>
    <t>1705642340130656618</t>
  </si>
  <si>
    <t>1676131700965793793</t>
  </si>
  <si>
    <t>1695811770777026711</t>
  </si>
  <si>
    <t>1687545306882215936</t>
  </si>
  <si>
    <t>1679584209646518274</t>
  </si>
  <si>
    <t>1687258354496737280</t>
  </si>
  <si>
    <t>1691564872541102557</t>
  </si>
  <si>
    <t>1678807198883774478</t>
  </si>
  <si>
    <t>1686100218893279232</t>
  </si>
  <si>
    <t>1700253195514351835</t>
  </si>
  <si>
    <t>1706127250402185529</t>
  </si>
  <si>
    <t>1688504619830329344</t>
  </si>
  <si>
    <t>1693587073133883415</t>
  </si>
  <si>
    <t>1676335538201153537</t>
  </si>
  <si>
    <t>1686354412854259712</t>
  </si>
  <si>
    <t>1704186153778171971</t>
  </si>
  <si>
    <t>1698821851693072614</t>
  </si>
  <si>
    <t>1698813247846056197</t>
  </si>
  <si>
    <t>1700619054606692379</t>
  </si>
  <si>
    <t>1697320373388296304</t>
  </si>
  <si>
    <t>1705067935893537242</t>
  </si>
  <si>
    <t>1685980160871284736</t>
  </si>
  <si>
    <t>1680853503487377413</t>
  </si>
  <si>
    <t>1703824433733865822</t>
  </si>
  <si>
    <t>1676351931453935616</t>
  </si>
  <si>
    <t>1676548224784699392</t>
  </si>
  <si>
    <t>1692928554906853531</t>
  </si>
  <si>
    <t>1683502429013266432</t>
  </si>
  <si>
    <t>1688904769102811136</t>
  </si>
  <si>
    <t>1676133099376201729</t>
  </si>
  <si>
    <t>1699527285358182577</t>
  </si>
  <si>
    <t>1678819249077329920</t>
  </si>
  <si>
    <t>1691482608314593282</t>
  </si>
  <si>
    <t>1687098103537741826</t>
  </si>
  <si>
    <t>1693613200447615256</t>
  </si>
  <si>
    <t>1685091123285377024</t>
  </si>
  <si>
    <t>1689750428437676032</t>
  </si>
  <si>
    <t>1704596597290442783</t>
  </si>
  <si>
    <t>1700116956089548910</t>
  </si>
  <si>
    <t>1676586393340899328</t>
  </si>
  <si>
    <t>1679121623020863490</t>
  </si>
  <si>
    <t>1695123946465640817</t>
  </si>
  <si>
    <t>1678794037506068481</t>
  </si>
  <si>
    <t>1692572243040125309</t>
  </si>
  <si>
    <t>1696624371870339116</t>
  </si>
  <si>
    <t>1677028558089093126</t>
  </si>
  <si>
    <t>1695424497518620714</t>
  </si>
  <si>
    <t>1695195547705987183</t>
  </si>
  <si>
    <t>1694650007276618094</t>
  </si>
  <si>
    <t>1691202170715025408</t>
  </si>
  <si>
    <t>1701581056518902271</t>
  </si>
  <si>
    <t>1684533511053516801</t>
  </si>
  <si>
    <t>1702653758813905357</t>
  </si>
  <si>
    <t>1703840250475188512</t>
  </si>
  <si>
    <t>1682388721272864768</t>
  </si>
  <si>
    <t>1681997659127656448</t>
  </si>
  <si>
    <t>1691169398516551680</t>
  </si>
  <si>
    <t>1697349776319091151</t>
  </si>
  <si>
    <t>1706276900451049949</t>
  </si>
  <si>
    <t>1681460840153640961</t>
  </si>
  <si>
    <t>1478487186974650368</t>
  </si>
  <si>
    <t>1675930058337263616</t>
  </si>
  <si>
    <t>1677118616012046339</t>
  </si>
  <si>
    <t>1706779797429350471</t>
  </si>
  <si>
    <t>1706784708867039313</t>
  </si>
  <si>
    <t>1705256469153698227</t>
  </si>
  <si>
    <t>1683468881468223489</t>
  </si>
  <si>
    <t>1686469718528479234</t>
  </si>
  <si>
    <t>1691881831484752255</t>
  </si>
  <si>
    <t>1691166169867182082</t>
  </si>
  <si>
    <t>1682009975520915456</t>
  </si>
  <si>
    <t>1678745405192826880</t>
  </si>
  <si>
    <t>1679177250170871809</t>
  </si>
  <si>
    <t>1679842804023918593</t>
  </si>
  <si>
    <t>1681664520387715079</t>
  </si>
  <si>
    <t>1681289413655928832</t>
  </si>
  <si>
    <t>1693918726054191119</t>
  </si>
  <si>
    <t>1691253183148953600</t>
  </si>
  <si>
    <t>1697357872827363607</t>
  </si>
  <si>
    <t>1696227757649256814</t>
  </si>
  <si>
    <t>1697253575972544699</t>
  </si>
  <si>
    <t>1687427170291896320</t>
  </si>
  <si>
    <t>1680682051618455559</t>
  </si>
  <si>
    <t>1689311386965340160</t>
  </si>
  <si>
    <t>1678841972650278912</t>
  </si>
  <si>
    <t>1684767113720877056</t>
  </si>
  <si>
    <t>1704175068425695306</t>
  </si>
  <si>
    <t>1686837749871984640</t>
  </si>
  <si>
    <t>1691050474554753024</t>
  </si>
  <si>
    <t>1691136715295961110</t>
  </si>
  <si>
    <t>1690593733836697600</t>
  </si>
  <si>
    <t>1690592825065308160</t>
  </si>
  <si>
    <t>1694067661305413853</t>
  </si>
  <si>
    <t>1687586682487414786</t>
  </si>
  <si>
    <t>1687621022017556480</t>
  </si>
  <si>
    <t>1703016205433401696</t>
  </si>
  <si>
    <t>1684360776058806272</t>
  </si>
  <si>
    <t>1694882715701493836</t>
  </si>
  <si>
    <t>1698785984882852103</t>
  </si>
  <si>
    <t>1706262341481087079</t>
  </si>
  <si>
    <t>1685661223189118976</t>
  </si>
  <si>
    <t>1687204975867568128</t>
  </si>
  <si>
    <t>1683085442625806338</t>
  </si>
  <si>
    <t>1676660520487641088</t>
  </si>
  <si>
    <t>1704500926571061261</t>
  </si>
  <si>
    <t>1690077026298761217</t>
  </si>
  <si>
    <t>1693999474228818086</t>
  </si>
  <si>
    <t>1706758353840488875</t>
  </si>
  <si>
    <t>1696229480455393626</t>
  </si>
  <si>
    <t>1683618098136461313</t>
  </si>
  <si>
    <t>1677853840798875649</t>
  </si>
  <si>
    <t>1683836072466452480</t>
  </si>
  <si>
    <t>1693715452415922295</t>
  </si>
  <si>
    <t>1679187274095796224</t>
  </si>
  <si>
    <t>1681755166888931328</t>
  </si>
  <si>
    <t>1686863417494089728</t>
  </si>
  <si>
    <t>1692693774483226710</t>
  </si>
  <si>
    <t>1690004642069921792</t>
  </si>
  <si>
    <t>1684730355125727232</t>
  </si>
  <si>
    <t>1676790163345756160</t>
  </si>
  <si>
    <t>1676949294186655750</t>
  </si>
  <si>
    <t>1679219003967848448</t>
  </si>
  <si>
    <t>1704452239992008799</t>
  </si>
  <si>
    <t>1703790056127803759</t>
  </si>
  <si>
    <t>1706044014376435964</t>
  </si>
  <si>
    <t>1676997899794645013</t>
  </si>
  <si>
    <t>1678373250483748867</t>
  </si>
  <si>
    <t>1677316285980450827</t>
  </si>
  <si>
    <t>1678770957639360512</t>
  </si>
  <si>
    <t>1686012945182949376</t>
  </si>
  <si>
    <t>1688626360518852608</t>
  </si>
  <si>
    <t>1702653237386756216</t>
  </si>
  <si>
    <t>1677046912594202627</t>
  </si>
  <si>
    <t>1676736748389298176</t>
  </si>
  <si>
    <t>1676364219451678720</t>
  </si>
  <si>
    <t>1697063344367157624</t>
  </si>
  <si>
    <t>1706766338792858076</t>
  </si>
  <si>
    <t>1686724109231661056</t>
  </si>
  <si>
    <t>1695925899055501588</t>
  </si>
  <si>
    <t>1699387279142203457</t>
  </si>
  <si>
    <t>1704319534704775641</t>
  </si>
  <si>
    <t>1678688927648030721</t>
  </si>
  <si>
    <t>1677678266721746944</t>
  </si>
  <si>
    <t>1678854884425101313</t>
  </si>
  <si>
    <t>1693695839368016201</t>
  </si>
  <si>
    <t>1686727518928130048</t>
  </si>
  <si>
    <t>1687285576804732928</t>
  </si>
  <si>
    <t>1686744197766803456</t>
  </si>
  <si>
    <t>1681021758239825924</t>
  </si>
  <si>
    <t>1703829240653713652</t>
  </si>
  <si>
    <t>1706744800731595216</t>
  </si>
  <si>
    <t>1689783798383116288</t>
  </si>
  <si>
    <t>1697032293892735325</t>
  </si>
  <si>
    <t>1707086604425125970</t>
  </si>
  <si>
    <t>1691869238812700925</t>
  </si>
  <si>
    <t>1691868692189999464</t>
  </si>
  <si>
    <t>1681289492592840704</t>
  </si>
  <si>
    <t>1681989699412295680</t>
  </si>
  <si>
    <t>52176846</t>
  </si>
  <si>
    <t>1664318205161005057</t>
  </si>
  <si>
    <t>1335937657474527233</t>
  </si>
  <si>
    <t>1631655525044682756</t>
  </si>
  <si>
    <t>49319290</t>
  </si>
  <si>
    <t>1678088236042788864</t>
  </si>
  <si>
    <t>1451336811700228099</t>
  </si>
  <si>
    <t>1697278790177607680</t>
  </si>
  <si>
    <t>145409224</t>
  </si>
  <si>
    <t>356886873</t>
  </si>
  <si>
    <t>1008389172003033088</t>
  </si>
  <si>
    <t>68862970</t>
  </si>
  <si>
    <t>1293909732483244035</t>
  </si>
  <si>
    <t>1574032051371745283</t>
  </si>
  <si>
    <t>1000012144560214016</t>
  </si>
  <si>
    <t>308031714</t>
  </si>
  <si>
    <t>1416879989744717829</t>
  </si>
  <si>
    <t>758264276</t>
  </si>
  <si>
    <t>2382222073</t>
  </si>
  <si>
    <t>1265654017218293761</t>
  </si>
  <si>
    <t>1560294593660329984</t>
  </si>
  <si>
    <t>1700835341530451968</t>
  </si>
  <si>
    <t>56697728</t>
  </si>
  <si>
    <t>3377635672</t>
  </si>
  <si>
    <t>2959370493</t>
  </si>
  <si>
    <t>1505643780313079809</t>
  </si>
  <si>
    <t>1646526347383275521</t>
  </si>
  <si>
    <t>1587539501005537284</t>
  </si>
  <si>
    <t>1654513495507980290</t>
  </si>
  <si>
    <t>1628683814993027072</t>
  </si>
  <si>
    <t>1658767079246364672</t>
  </si>
  <si>
    <t>56913230</t>
  </si>
  <si>
    <t>18817549</t>
  </si>
  <si>
    <t>864250661533343747</t>
  </si>
  <si>
    <t>1647347003146240000</t>
  </si>
  <si>
    <t>1654686733957464065</t>
  </si>
  <si>
    <t>1193610396604735488</t>
  </si>
  <si>
    <t>126678900</t>
  </si>
  <si>
    <t>1610375372016652288</t>
  </si>
  <si>
    <t>1163857161803522049</t>
  </si>
  <si>
    <t>986250213512896512</t>
  </si>
  <si>
    <t>1120423731199975425</t>
  </si>
  <si>
    <t>2382968403</t>
  </si>
  <si>
    <t>117627384</t>
  </si>
  <si>
    <t>3508084281</t>
  </si>
  <si>
    <t>1371548454703468546</t>
  </si>
  <si>
    <t>62873905</t>
  </si>
  <si>
    <t>76698584</t>
  </si>
  <si>
    <t>2357125110</t>
  </si>
  <si>
    <t>1395102123734487041</t>
  </si>
  <si>
    <t>193166286</t>
  </si>
  <si>
    <t>1340156732</t>
  </si>
  <si>
    <t>1179902250342334469</t>
  </si>
  <si>
    <t>1626220322117517312</t>
  </si>
  <si>
    <t>1549802413636427776</t>
  </si>
  <si>
    <t>1641464859706511360</t>
  </si>
  <si>
    <t>1442361104416468992</t>
  </si>
  <si>
    <t>1652003957206597644</t>
  </si>
  <si>
    <t>43452127</t>
  </si>
  <si>
    <t>950222573765320704</t>
  </si>
  <si>
    <t>54253569</t>
  </si>
  <si>
    <t>943231097193852928</t>
  </si>
  <si>
    <t>1382800346129563656</t>
  </si>
  <si>
    <t>1078296474016976897</t>
  </si>
  <si>
    <t>1246273274025332737</t>
  </si>
  <si>
    <t>738152328801325057</t>
  </si>
  <si>
    <t>864539541918670848</t>
  </si>
  <si>
    <t>30813029</t>
  </si>
  <si>
    <t>1349806636735586306</t>
  </si>
  <si>
    <t>61044674</t>
  </si>
  <si>
    <t>1161015296762818560</t>
  </si>
  <si>
    <t>102469911</t>
  </si>
  <si>
    <t>18957078</t>
  </si>
  <si>
    <t>339183332</t>
  </si>
  <si>
    <t>1261706053550473216</t>
  </si>
  <si>
    <t>18194861</t>
  </si>
  <si>
    <t>275555877</t>
  </si>
  <si>
    <t>1551317928087363584</t>
  </si>
  <si>
    <t>196185134</t>
  </si>
  <si>
    <t>14607858</t>
  </si>
  <si>
    <t>1445117892337487875</t>
  </si>
  <si>
    <t>209578308</t>
  </si>
  <si>
    <t>1476275959</t>
  </si>
  <si>
    <t>1001458797326553090</t>
  </si>
  <si>
    <t>913026117262602240</t>
  </si>
  <si>
    <t>114096078</t>
  </si>
  <si>
    <t>1683581432684244993</t>
  </si>
  <si>
    <t>1414516436450660359</t>
  </si>
  <si>
    <t>633549883</t>
  </si>
  <si>
    <t>399642477</t>
  </si>
  <si>
    <t>31511871</t>
  </si>
  <si>
    <t>139840905</t>
  </si>
  <si>
    <t>1584960142428278798</t>
  </si>
  <si>
    <t>448209891</t>
  </si>
  <si>
    <t>1637742933108482049</t>
  </si>
  <si>
    <t>18898473</t>
  </si>
  <si>
    <t>1574536308327960586</t>
  </si>
  <si>
    <t>221050908</t>
  </si>
  <si>
    <t>1567946602446200834</t>
  </si>
  <si>
    <t>167377150</t>
  </si>
  <si>
    <t>1565685460713836545</t>
  </si>
  <si>
    <t>1686413280917573641</t>
  </si>
  <si>
    <t>421924175</t>
  </si>
  <si>
    <t>1655602506980786177</t>
  </si>
  <si>
    <t>83719967</t>
  </si>
  <si>
    <t>14663585</t>
  </si>
  <si>
    <t>1513157537071255559</t>
  </si>
  <si>
    <t>3754559237</t>
  </si>
  <si>
    <t>14584765</t>
  </si>
  <si>
    <t>96334264</t>
  </si>
  <si>
    <t>33621717</t>
  </si>
  <si>
    <t>1464966517993447432</t>
  </si>
  <si>
    <t>1102758425224773633</t>
  </si>
  <si>
    <t>1016306973082574848</t>
  </si>
  <si>
    <t>1673749676770598925</t>
  </si>
  <si>
    <t>1603055289628037122</t>
  </si>
  <si>
    <t>1348450924382064642</t>
  </si>
  <si>
    <t>508075094</t>
  </si>
  <si>
    <t>160711313</t>
  </si>
  <si>
    <t>1570759780813127681</t>
  </si>
  <si>
    <t>71636822</t>
  </si>
  <si>
    <t>1316582385178288128</t>
  </si>
  <si>
    <t>3588952461</t>
  </si>
  <si>
    <t>1334293548318003200</t>
  </si>
  <si>
    <t>1457900689154248706</t>
  </si>
  <si>
    <t>1629540082288934915</t>
  </si>
  <si>
    <t>435089518</t>
  </si>
  <si>
    <t>3507344897</t>
  </si>
  <si>
    <t>992911186499919872</t>
  </si>
  <si>
    <t>16885359</t>
  </si>
  <si>
    <t>64577864</t>
  </si>
  <si>
    <t>159346640</t>
  </si>
  <si>
    <t>409504724</t>
  </si>
  <si>
    <t>2949637559</t>
  </si>
  <si>
    <t>2846625063</t>
  </si>
  <si>
    <t>86407584</t>
  </si>
  <si>
    <t>208372570</t>
  </si>
  <si>
    <t>1527966158950998018</t>
  </si>
  <si>
    <t>46627824</t>
  </si>
  <si>
    <t>1679514593914155010</t>
  </si>
  <si>
    <t>1599773745350152194</t>
  </si>
  <si>
    <t>945995329651998721</t>
  </si>
  <si>
    <t>1640339605365874690</t>
  </si>
  <si>
    <t>1290424255310696449</t>
  </si>
  <si>
    <t>1691168827336269824</t>
  </si>
  <si>
    <t>1339296204635648003</t>
  </si>
  <si>
    <t>1367121679701471244</t>
  </si>
  <si>
    <t>15345052</t>
  </si>
  <si>
    <t>274989938</t>
  </si>
  <si>
    <t>43942831</t>
  </si>
  <si>
    <t/>
  </si>
  <si>
    <t>1675890880022999052</t>
  </si>
  <si>
    <t>1681777374658961408</t>
  </si>
  <si>
    <t>1681355472228564995</t>
  </si>
  <si>
    <t>1688557346576879616</t>
  </si>
  <si>
    <t>1683261296840433664</t>
  </si>
  <si>
    <t>1682135370958249995</t>
  </si>
  <si>
    <t>1682105521195679744</t>
  </si>
  <si>
    <t>1682052117236707329</t>
  </si>
  <si>
    <t>1693063612904980507</t>
  </si>
  <si>
    <t>1683840352149704705</t>
  </si>
  <si>
    <t>1683567750856298502</t>
  </si>
  <si>
    <t>1678090958418718722</t>
  </si>
  <si>
    <t>1676375195555078144</t>
  </si>
  <si>
    <t>1678144732130623488</t>
  </si>
  <si>
    <t>1703176094667403264</t>
  </si>
  <si>
    <t>1697287800897327246</t>
  </si>
  <si>
    <t>1688919078755573760</t>
  </si>
  <si>
    <t>1686109180120186880</t>
  </si>
  <si>
    <t>1686708932201398272</t>
  </si>
  <si>
    <t>1702064491024760943</t>
  </si>
  <si>
    <t>1697748033323057395</t>
  </si>
  <si>
    <t>1688622029421862913</t>
  </si>
  <si>
    <t>1688619495164710913</t>
  </si>
  <si>
    <t>1703760303777837561</t>
  </si>
  <si>
    <t>1706685699414536572</t>
  </si>
  <si>
    <t>1704451929626083500</t>
  </si>
  <si>
    <t>1694763585749078074</t>
  </si>
  <si>
    <t>1702299612806066588</t>
  </si>
  <si>
    <t>1700144994177147034</t>
  </si>
  <si>
    <t>1692166433961308361</t>
  </si>
  <si>
    <t>1707058622230888592</t>
  </si>
  <si>
    <t>1697003574473974197</t>
  </si>
  <si>
    <t>1678736031900729344</t>
  </si>
  <si>
    <t>1689977272587988992</t>
  </si>
  <si>
    <t>1694033200883057045</t>
  </si>
  <si>
    <t>1705642350163423628</t>
  </si>
  <si>
    <t>1687545309407137792</t>
  </si>
  <si>
    <t>1691564874910875773</t>
  </si>
  <si>
    <t>1678807209407291392</t>
  </si>
  <si>
    <t>1686100227818696707</t>
  </si>
  <si>
    <t>1700253205635252442</t>
  </si>
  <si>
    <t>1706127255586406874</t>
  </si>
  <si>
    <t>1688504627551981568</t>
  </si>
  <si>
    <t>1693587075503648852</t>
  </si>
  <si>
    <t>1676335541984395266</t>
  </si>
  <si>
    <t>1686354415257534464</t>
  </si>
  <si>
    <t>1705069698235211809</t>
  </si>
  <si>
    <t>1703824450314010906</t>
  </si>
  <si>
    <t>1692929047305580744</t>
  </si>
  <si>
    <t>1676133273972424704</t>
  </si>
  <si>
    <t>1699527289787293793</t>
  </si>
  <si>
    <t>1693613202775343363</t>
  </si>
  <si>
    <t>1685094169360908288</t>
  </si>
  <si>
    <t>1704596605184143689</t>
  </si>
  <si>
    <t>1700146179298713986</t>
  </si>
  <si>
    <t>1676586397438705666</t>
  </si>
  <si>
    <t>1679121633686978567</t>
  </si>
  <si>
    <t>1678822791863312384</t>
  </si>
  <si>
    <t>1692572249730039864</t>
  </si>
  <si>
    <t>1696624382586822936</t>
  </si>
  <si>
    <t>1677028560727408640</t>
  </si>
  <si>
    <t>1695195617968967794</t>
  </si>
  <si>
    <t>1694650118249566672</t>
  </si>
  <si>
    <t>1696127405851594814</t>
  </si>
  <si>
    <t>1691202241212870656</t>
  </si>
  <si>
    <t>1701581061040300534</t>
  </si>
  <si>
    <t>1702653761422791083</t>
  </si>
  <si>
    <t>1703840256389218672</t>
  </si>
  <si>
    <t>1681997662000758784</t>
  </si>
  <si>
    <t>1681463959872741377</t>
  </si>
  <si>
    <t>1675930219247443972</t>
  </si>
  <si>
    <t>1677119264052920322</t>
  </si>
  <si>
    <t>1706779804312166597</t>
  </si>
  <si>
    <t>1706784716324499708</t>
  </si>
  <si>
    <t>1683468987085082625</t>
  </si>
  <si>
    <t>1691166416286679040</t>
  </si>
  <si>
    <t>1696229114011603253</t>
  </si>
  <si>
    <t>1691878926031667316</t>
  </si>
  <si>
    <t>1689311505861210112</t>
  </si>
  <si>
    <t>1678841982557331459</t>
  </si>
  <si>
    <t>1684767119257321472</t>
  </si>
  <si>
    <t>1687586684815220736</t>
  </si>
  <si>
    <t>1687631618716950528</t>
  </si>
  <si>
    <t>1684360780186107904</t>
  </si>
  <si>
    <t>1694883367047631094</t>
  </si>
  <si>
    <t>1706262429011943488</t>
  </si>
  <si>
    <t>1687207541766508547</t>
  </si>
  <si>
    <t>1704501061904429561</t>
  </si>
  <si>
    <t>1690077035257896960</t>
  </si>
  <si>
    <t>1706758374287646797</t>
  </si>
  <si>
    <t>1706758359318421576</t>
  </si>
  <si>
    <t>1696232678398333114</t>
  </si>
  <si>
    <t>1683836077940019201</t>
  </si>
  <si>
    <t>1693715458543735291</t>
  </si>
  <si>
    <t>1679187281591009289</t>
  </si>
  <si>
    <t>1681755172437909504</t>
  </si>
  <si>
    <t>1686863423999528960</t>
  </si>
  <si>
    <t>1676949306325053440</t>
  </si>
  <si>
    <t>1704453271228662243</t>
  </si>
  <si>
    <t>1704452758198210783</t>
  </si>
  <si>
    <t>1703791078145511907</t>
  </si>
  <si>
    <t>1676997903682764816</t>
  </si>
  <si>
    <t>1678376575262240769</t>
  </si>
  <si>
    <t>1677324546716717056</t>
  </si>
  <si>
    <t>1678770959749378049</t>
  </si>
  <si>
    <t>1702661013441531932</t>
  </si>
  <si>
    <t>1677046922689892354</t>
  </si>
  <si>
    <t>1676736754135584772</t>
  </si>
  <si>
    <t>1676364226904948739</t>
  </si>
  <si>
    <t>1697063455587553705</t>
  </si>
  <si>
    <t>1706766345134596186</t>
  </si>
  <si>
    <t>1686724138642063360</t>
  </si>
  <si>
    <t>1704319548860633474</t>
  </si>
  <si>
    <t>1677678275454283780</t>
  </si>
  <si>
    <t>1678854888158101504</t>
  </si>
  <si>
    <t>1681021767282831366</t>
  </si>
  <si>
    <t>1703832312599760950</t>
  </si>
  <si>
    <t>1703829245573599337</t>
  </si>
  <si>
    <t>1706744810072154122</t>
  </si>
  <si>
    <t>1689783894151667712</t>
  </si>
  <si>
    <t>1697032304894370160</t>
  </si>
  <si>
    <t>1691869240855253259</t>
  </si>
  <si>
    <t>1681356070189514769</t>
  </si>
  <si>
    <t>1508788630311088131</t>
  </si>
  <si>
    <t>1675812810729885697</t>
  </si>
  <si>
    <t>1686831720991969287</t>
  </si>
  <si>
    <t>1498747772387926020</t>
  </si>
  <si>
    <t>1134624874817904642</t>
  </si>
  <si>
    <t>1650655113168445443</t>
  </si>
  <si>
    <t>701409160164937729</t>
  </si>
  <si>
    <t>1463435846162472965</t>
  </si>
  <si>
    <t>1550895131678724097</t>
  </si>
  <si>
    <t>1602479142225809408</t>
  </si>
  <si>
    <t>1696995956279963648</t>
  </si>
  <si>
    <t>1511763165427732592</t>
  </si>
  <si>
    <t>1410205458430935042</t>
  </si>
  <si>
    <t>1621214472814616576</t>
  </si>
  <si>
    <t>1294340349670957057</t>
  </si>
  <si>
    <t>1471668680127913990</t>
  </si>
  <si>
    <t>1116742562822414336</t>
  </si>
  <si>
    <t>1590895990072119296</t>
  </si>
  <si>
    <t>742128640226426880</t>
  </si>
  <si>
    <t>848640097742467072</t>
  </si>
  <si>
    <t>1054861559296675841</t>
  </si>
  <si>
    <t>1672448271996911619</t>
  </si>
  <si>
    <t>1573291611731251200</t>
  </si>
  <si>
    <t>860678395834847237</t>
  </si>
  <si>
    <t>1685736119474786304</t>
  </si>
  <si>
    <t>809911922564993024</t>
  </si>
  <si>
    <t>1504819270525538307</t>
  </si>
  <si>
    <t>1661339662261309440</t>
  </si>
  <si>
    <t>1655747852386050049</t>
  </si>
  <si>
    <t>1353373316375973890</t>
  </si>
  <si>
    <t>1603275036458160130</t>
  </si>
  <si>
    <t>1317121674316292096</t>
  </si>
  <si>
    <t>1361055492831928325</t>
  </si>
  <si>
    <t>1577410418397642756</t>
  </si>
  <si>
    <t>1686198578883014656</t>
  </si>
  <si>
    <t>1250487151231406081</t>
  </si>
  <si>
    <t>1621241912496644100</t>
  </si>
  <si>
    <t>1607724623193415687</t>
  </si>
  <si>
    <t>1454198911443390471</t>
  </si>
  <si>
    <t>1681319448932941824</t>
  </si>
  <si>
    <t>1314712162506551297</t>
  </si>
  <si>
    <t>1445729940394049543</t>
  </si>
  <si>
    <t>1299038801013112834</t>
  </si>
  <si>
    <t>1584378871046197248</t>
  </si>
  <si>
    <t>1055965231736860673</t>
  </si>
  <si>
    <t>1650532762166734859</t>
  </si>
  <si>
    <t>1518772123489165314</t>
  </si>
  <si>
    <t>1689019102470299648</t>
  </si>
  <si>
    <t>1050422335445057536</t>
  </si>
  <si>
    <t>1694086446498414594</t>
  </si>
  <si>
    <t>1182619082266423296</t>
  </si>
  <si>
    <t>1323023574245015562</t>
  </si>
  <si>
    <t>1329529913016193027</t>
  </si>
  <si>
    <t>1681005794282668034</t>
  </si>
  <si>
    <t>1659255560477327360</t>
  </si>
  <si>
    <t>1450824626444066824</t>
  </si>
  <si>
    <t>1702416598185738240</t>
  </si>
  <si>
    <t>807573349815767040</t>
  </si>
  <si>
    <t>1675866212654518273</t>
  </si>
  <si>
    <t>1676015326952079362</t>
  </si>
  <si>
    <t>1522425316525977605</t>
  </si>
  <si>
    <t>1249718248062492673</t>
  </si>
  <si>
    <t>1587164346974609408</t>
  </si>
  <si>
    <t>1607204052525252613</t>
  </si>
  <si>
    <t>803935143492730880</t>
  </si>
  <si>
    <t>1587607528241864705</t>
  </si>
  <si>
    <t>1611010981999661056</t>
  </si>
  <si>
    <t>731208718910664705</t>
  </si>
  <si>
    <t>1220422872692412419</t>
  </si>
  <si>
    <t>1617868302683881473</t>
  </si>
  <si>
    <t>1303555033452118016</t>
  </si>
  <si>
    <t>1649760828445323265</t>
  </si>
  <si>
    <t>1681124518788575232</t>
  </si>
  <si>
    <t>1351911273592745984</t>
  </si>
  <si>
    <t>1459660972575047682</t>
  </si>
  <si>
    <t>1617990411460530177</t>
  </si>
  <si>
    <t>1552291567108489217</t>
  </si>
  <si>
    <t>1656575513920454656</t>
  </si>
  <si>
    <t>1674181724299833345</t>
  </si>
  <si>
    <t>1696180174105059328</t>
  </si>
  <si>
    <t>875836135729233922</t>
  </si>
  <si>
    <t>1568129740606783493</t>
  </si>
  <si>
    <t>835240650996137985</t>
  </si>
  <si>
    <t>1251575813855678465</t>
  </si>
  <si>
    <t>1612867582201139220</t>
  </si>
  <si>
    <t>941697523613421568</t>
  </si>
  <si>
    <t>1686732332877717504</t>
  </si>
  <si>
    <t>1560086492361494537</t>
  </si>
  <si>
    <t>1704654429700366336</t>
  </si>
  <si>
    <t>1599540309444235266</t>
  </si>
  <si>
    <t>1674053778494967809</t>
  </si>
  <si>
    <t>1172297442068455426</t>
  </si>
  <si>
    <t>1368502856714698755</t>
  </si>
  <si>
    <t>1648661721496670208</t>
  </si>
  <si>
    <t>1641134894360272896</t>
  </si>
  <si>
    <t>1398415056593883136</t>
  </si>
  <si>
    <t>1347170919643541504</t>
  </si>
  <si>
    <t>1301491850906423297</t>
  </si>
  <si>
    <t>1691177782171017216</t>
  </si>
  <si>
    <t>1699477935852314624</t>
  </si>
  <si>
    <t>1162384808338702336</t>
  </si>
  <si>
    <t>1441037059217498113</t>
  </si>
  <si>
    <t>977292302900256768</t>
  </si>
  <si>
    <t>1460781871663656963</t>
  </si>
  <si>
    <t>1671596006167781376</t>
  </si>
  <si>
    <t>1192581728415682561</t>
  </si>
  <si>
    <t>1458600509376368642</t>
  </si>
  <si>
    <t>864274647583469568</t>
  </si>
  <si>
    <t>1281534434739707906</t>
  </si>
  <si>
    <t>1138777348713656320</t>
  </si>
  <si>
    <t>1686598309035511809</t>
  </si>
  <si>
    <t>1273229692175253505</t>
  </si>
  <si>
    <t>1348629067852034050</t>
  </si>
  <si>
    <t>1071816380113129473</t>
  </si>
  <si>
    <t>1686203284707545090</t>
  </si>
  <si>
    <t>913913937095249921</t>
  </si>
  <si>
    <t>721102197770035200</t>
  </si>
  <si>
    <t>1616677315270029317</t>
  </si>
  <si>
    <t>1594681653061877764</t>
  </si>
  <si>
    <t>1120585182258630656</t>
  </si>
  <si>
    <t>1674114090111754264</t>
  </si>
  <si>
    <t>966418582421811200</t>
  </si>
  <si>
    <t>1222020700162183168</t>
  </si>
  <si>
    <t>1547625310820057090</t>
  </si>
  <si>
    <t>938743512962564097</t>
  </si>
  <si>
    <t>1502799106535833601</t>
  </si>
  <si>
    <t>1041724956839698433</t>
  </si>
  <si>
    <t>1152951231515648000</t>
  </si>
  <si>
    <t>966845588661776389</t>
  </si>
  <si>
    <t>1690062784535420930</t>
  </si>
  <si>
    <t>1650476997015904256</t>
  </si>
  <si>
    <t>870094309411999745</t>
  </si>
  <si>
    <t>1243131977580118018</t>
  </si>
  <si>
    <t>1165724407601537024</t>
  </si>
  <si>
    <t>1380513863666446341</t>
  </si>
  <si>
    <t>1675866187547156480</t>
  </si>
  <si>
    <t>897997223253954564</t>
  </si>
  <si>
    <t>1278704387548950528</t>
  </si>
  <si>
    <t>707620654485528576</t>
  </si>
  <si>
    <t>1702475368442028032</t>
  </si>
  <si>
    <t>1205512491310239747</t>
  </si>
  <si>
    <t>1635402542807932933</t>
  </si>
  <si>
    <t>1671160269773639684</t>
  </si>
  <si>
    <t>1454013568731525121</t>
  </si>
  <si>
    <t>883357109915701251</t>
  </si>
  <si>
    <t>1401885837110001668</t>
  </si>
  <si>
    <t>1612191986294968321</t>
  </si>
  <si>
    <t>1127693906123141121</t>
  </si>
  <si>
    <t>1415983291711229953</t>
  </si>
  <si>
    <t>1687298558649675776</t>
  </si>
  <si>
    <t>1560031549441163266</t>
  </si>
  <si>
    <t>1635768120068521984</t>
  </si>
  <si>
    <t>1590048132632567812</t>
  </si>
  <si>
    <t>1585763691814948864</t>
  </si>
  <si>
    <t>1683443518839160832</t>
  </si>
  <si>
    <t>1174476501175197696</t>
  </si>
  <si>
    <t>1674902552431796224</t>
  </si>
  <si>
    <t>1230544807799533568</t>
  </si>
  <si>
    <t>1675191893930409985</t>
  </si>
  <si>
    <t>1440365687143165956</t>
  </si>
  <si>
    <t>1503846264722624512</t>
  </si>
  <si>
    <t>1682453080724459530</t>
  </si>
  <si>
    <t>1166821946505474048</t>
  </si>
  <si>
    <t>1367537445529657353</t>
  </si>
  <si>
    <t>1683808056637784065</t>
  </si>
  <si>
    <t>1654188501900877825</t>
  </si>
  <si>
    <t>1690772993520058368</t>
  </si>
  <si>
    <t>1148659401043140611</t>
  </si>
  <si>
    <t>1518934147984723969</t>
  </si>
  <si>
    <t>1697093969623027712</t>
  </si>
  <si>
    <t>1512134037544095750</t>
  </si>
  <si>
    <t>1673714298470961152</t>
  </si>
  <si>
    <t>1016310147801583616</t>
  </si>
  <si>
    <t>1511455034151682058</t>
  </si>
  <si>
    <t>1490709604182941698</t>
  </si>
  <si>
    <t>1473102944815964164</t>
  </si>
  <si>
    <t>1671136348894314496</t>
  </si>
  <si>
    <t>1607494398660558848</t>
  </si>
  <si>
    <t>1306609003691114496</t>
  </si>
  <si>
    <t>1252305294845194240</t>
  </si>
  <si>
    <t>1089942798059692038</t>
  </si>
  <si>
    <t>1686711601213108225</t>
  </si>
  <si>
    <t>1236003131244392448</t>
  </si>
  <si>
    <t>1675805665070141440</t>
  </si>
  <si>
    <t>1694623472645742593</t>
  </si>
  <si>
    <t>1447698151352176641</t>
  </si>
  <si>
    <t>1703172864004812800</t>
  </si>
  <si>
    <t>1384898573712646144</t>
  </si>
  <si>
    <t>1525115435011780610</t>
  </si>
  <si>
    <t>1497026212719472645</t>
  </si>
  <si>
    <t>1523460792477233152</t>
  </si>
  <si>
    <t>956216284282277890</t>
  </si>
  <si>
    <t>1664755391178104832</t>
  </si>
  <si>
    <t>1518966041849835522</t>
  </si>
  <si>
    <t>1622973060524433408</t>
  </si>
  <si>
    <t>1241510009793544194</t>
  </si>
  <si>
    <t>1695033084582780928</t>
  </si>
  <si>
    <t>1678564653922672640</t>
  </si>
  <si>
    <t>1594709931923542019</t>
  </si>
  <si>
    <t>1476378920299778052</t>
  </si>
  <si>
    <t>1627072087952330753</t>
  </si>
  <si>
    <t>1549806372862267392</t>
  </si>
  <si>
    <t>1514503663158546434</t>
  </si>
  <si>
    <t>1599042978454151171</t>
  </si>
  <si>
    <t>1665196584005521410</t>
  </si>
  <si>
    <t>1098299417696849921</t>
  </si>
  <si>
    <t>1528643202730819584</t>
  </si>
  <si>
    <t>903661555434356737</t>
  </si>
  <si>
    <t>1455642862478110724</t>
  </si>
  <si>
    <t>1617602488475033601</t>
  </si>
  <si>
    <t>1686866728788058112</t>
  </si>
  <si>
    <t>1637237117779599361</t>
  </si>
  <si>
    <t>1635624976035336194</t>
  </si>
  <si>
    <t>1407527362238033920</t>
  </si>
  <si>
    <t>1132812675858276352</t>
  </si>
  <si>
    <t>1658488730095857664</t>
  </si>
  <si>
    <t>1660686261353365521</t>
  </si>
  <si>
    <t>1655361756120727561</t>
  </si>
  <si>
    <t>1670136245199032321</t>
  </si>
  <si>
    <t>1426390286234800128</t>
  </si>
  <si>
    <t>904234457057574913</t>
  </si>
  <si>
    <t>1414139385944084484</t>
  </si>
  <si>
    <t>1440518081936166920</t>
  </si>
  <si>
    <t>1385685363952324609</t>
  </si>
  <si>
    <t>1252027894513229826</t>
  </si>
  <si>
    <t>1673117248079233025</t>
  </si>
  <si>
    <t>1698533227873423360</t>
  </si>
  <si>
    <t>1435054021564420097</t>
  </si>
  <si>
    <t>1694432486745350146</t>
  </si>
  <si>
    <t>1533810131921666050</t>
  </si>
  <si>
    <t>1706010838140682240</t>
  </si>
  <si>
    <t>1691852457926688777</t>
  </si>
  <si>
    <t>1518191673653829632</t>
  </si>
  <si>
    <t>1602714376439582721</t>
  </si>
  <si>
    <t>763834848788217856</t>
  </si>
  <si>
    <t>1603811883970183180</t>
  </si>
  <si>
    <t>1677502012068380672</t>
  </si>
  <si>
    <t>1030567127659556866</t>
  </si>
  <si>
    <t>1702916100885803008</t>
  </si>
  <si>
    <t>1256433072297447424</t>
  </si>
  <si>
    <t>1681982312471298053</t>
  </si>
  <si>
    <t>1697617637868552192</t>
  </si>
  <si>
    <t>1665367103115853826</t>
  </si>
  <si>
    <t>1300148726791655429</t>
  </si>
  <si>
    <t>1674563091810402305</t>
  </si>
  <si>
    <t>1603362353701158912</t>
  </si>
  <si>
    <t>1702428567097798656</t>
  </si>
  <si>
    <t>1650425609212895232</t>
  </si>
  <si>
    <t>975715465690603521</t>
  </si>
  <si>
    <t>1674202966616682505</t>
  </si>
  <si>
    <t>1342607334116364288</t>
  </si>
  <si>
    <t>978413203993628672</t>
  </si>
  <si>
    <t>1630583990959718401</t>
  </si>
  <si>
    <t>1570934663446683649</t>
  </si>
  <si>
    <t>1666076210437210112</t>
  </si>
  <si>
    <t>1042385145389436933</t>
  </si>
  <si>
    <t>1622283478141116417</t>
  </si>
  <si>
    <t>1261281897793105922</t>
  </si>
  <si>
    <t>1594321837663653888</t>
  </si>
  <si>
    <t>1039576377605988352</t>
  </si>
  <si>
    <t>1615505396902367234</t>
  </si>
  <si>
    <t>1648157827200962560</t>
  </si>
  <si>
    <t>1166710846342516737</t>
  </si>
  <si>
    <t>906262676598382592</t>
  </si>
  <si>
    <t>1699360803692969984</t>
  </si>
  <si>
    <t>1688891150487183360</t>
  </si>
  <si>
    <t>1465305727329882113</t>
  </si>
  <si>
    <t>1670794745235243010</t>
  </si>
  <si>
    <t>1109103362367209472</t>
  </si>
  <si>
    <t>1245316222486491137</t>
  </si>
  <si>
    <t>1663603374531436544</t>
  </si>
  <si>
    <t>1692552443140186112</t>
  </si>
  <si>
    <t>1269352255758745606</t>
  </si>
  <si>
    <t>1661535761106194432</t>
  </si>
  <si>
    <t>1468545865979678725</t>
  </si>
  <si>
    <t>1046799687167201282</t>
  </si>
  <si>
    <t>1688262264690802688</t>
  </si>
  <si>
    <t>1483018647799046147</t>
  </si>
  <si>
    <t>1541926707917164545</t>
  </si>
  <si>
    <t>1676247201511624706</t>
  </si>
  <si>
    <t>1373730040798662656</t>
  </si>
  <si>
    <t>796692984028942336</t>
  </si>
  <si>
    <t>1700578475025788928</t>
  </si>
  <si>
    <t>1512770782878998534</t>
  </si>
  <si>
    <t>1680036916580831232</t>
  </si>
  <si>
    <t>1466862409138716678</t>
  </si>
  <si>
    <t>1674783369811599360</t>
  </si>
  <si>
    <t>1280193924401954816</t>
  </si>
  <si>
    <t>1457827554417692675</t>
  </si>
  <si>
    <t>726879973395566592</t>
  </si>
  <si>
    <t>1677156770807005184</t>
  </si>
  <si>
    <t>1202738245685174272</t>
  </si>
  <si>
    <t>1651278979821715497</t>
  </si>
  <si>
    <t>1121778683059089413</t>
  </si>
  <si>
    <t>1668306911458996260</t>
  </si>
  <si>
    <t>1678098647777521665</t>
  </si>
  <si>
    <t>1280522514075127817</t>
  </si>
  <si>
    <t>1641782872993300480</t>
  </si>
  <si>
    <t>1560652140959391744</t>
  </si>
  <si>
    <t>1212038027930787843</t>
  </si>
  <si>
    <t>1106982165538111489</t>
  </si>
  <si>
    <t>1639325260246810631</t>
  </si>
  <si>
    <t>1041143073646903296</t>
  </si>
  <si>
    <t>1606380254800580610</t>
  </si>
  <si>
    <t>732625646036389888</t>
  </si>
  <si>
    <t>1161598365433565184</t>
  </si>
  <si>
    <t>1508092692496101386</t>
  </si>
  <si>
    <t>1676005287478607874</t>
  </si>
  <si>
    <t>1625474770534899713</t>
  </si>
  <si>
    <t>1686075625692413954</t>
  </si>
  <si>
    <t>793405711267028992</t>
  </si>
  <si>
    <t>1466732538676797440</t>
  </si>
  <si>
    <t>1696378688840032257</t>
  </si>
  <si>
    <t>1646862690437025794</t>
  </si>
  <si>
    <t>1706396983605235712</t>
  </si>
  <si>
    <t>1587439767171596292</t>
  </si>
  <si>
    <t>948234688107307008</t>
  </si>
  <si>
    <t>1155940075563339776</t>
  </si>
  <si>
    <t>783355542764916736</t>
  </si>
  <si>
    <t>1699431844846956545</t>
  </si>
  <si>
    <t>1284304524618936321</t>
  </si>
  <si>
    <t>1214718510116560896</t>
  </si>
  <si>
    <t>1668369554874015746</t>
  </si>
  <si>
    <t>1651994455090642944</t>
  </si>
  <si>
    <t>1274026619968126978</t>
  </si>
  <si>
    <t>1691104554614468608</t>
  </si>
  <si>
    <t>1462123907419410437</t>
  </si>
  <si>
    <t>1657390441317163009</t>
  </si>
  <si>
    <t>1624113168413753351</t>
  </si>
  <si>
    <t>1645827080972533772</t>
  </si>
  <si>
    <t>706129405681209344</t>
  </si>
  <si>
    <t>1042840596585623553</t>
  </si>
  <si>
    <t>1682363984727486465</t>
  </si>
  <si>
    <t>1505981757648261121</t>
  </si>
  <si>
    <t>1487929670255484929</t>
  </si>
  <si>
    <t>1542491137507745792</t>
  </si>
  <si>
    <t>1275422933440135168</t>
  </si>
  <si>
    <t>955873456738000896</t>
  </si>
  <si>
    <t>1400078225003397120</t>
  </si>
  <si>
    <t>1161665393007763457</t>
  </si>
  <si>
    <t>1612665025121902593</t>
  </si>
  <si>
    <t>1703234501587980288</t>
  </si>
  <si>
    <t>1675919026608807936</t>
  </si>
  <si>
    <t>1677624943419305984</t>
  </si>
  <si>
    <t>1605006207927947264</t>
  </si>
  <si>
    <t>1638607468916776983</t>
  </si>
  <si>
    <t>1528174476344676352</t>
  </si>
  <si>
    <t>1576739854620188672</t>
  </si>
  <si>
    <t>823187882454253568</t>
  </si>
  <si>
    <t>1082657349079318531</t>
  </si>
  <si>
    <t>751773576613748736</t>
  </si>
  <si>
    <t>736055771041910789</t>
  </si>
  <si>
    <t>1256907887307362304</t>
  </si>
  <si>
    <t>1609973477557080064</t>
  </si>
  <si>
    <t>1298237802908459008</t>
  </si>
  <si>
    <t>1584511544314023938</t>
  </si>
  <si>
    <t>1480492619541139457</t>
  </si>
  <si>
    <t>1599027403380097032</t>
  </si>
  <si>
    <t>1266198501551194114</t>
  </si>
  <si>
    <t>1533774887252279297</t>
  </si>
  <si>
    <t>1693211440142848000</t>
  </si>
  <si>
    <t>1665807949309018115</t>
  </si>
  <si>
    <t>741670286743998464</t>
  </si>
  <si>
    <t>1636414964247166977</t>
  </si>
  <si>
    <t>1689258164091285505</t>
  </si>
  <si>
    <t>1671020006270795778</t>
  </si>
  <si>
    <t>1653855871154135043</t>
  </si>
  <si>
    <t>1166437030332641280</t>
  </si>
  <si>
    <t>1686711621333262342</t>
  </si>
  <si>
    <t>1613890665183678464</t>
  </si>
  <si>
    <t>1577975521861926912</t>
  </si>
  <si>
    <t>1258511929146040320</t>
  </si>
  <si>
    <t>1126066733935149057</t>
  </si>
  <si>
    <t>1172924125360394240</t>
  </si>
  <si>
    <t>1105280955344961536</t>
  </si>
  <si>
    <t>1587784066111344645</t>
  </si>
  <si>
    <t>1530212356063641608</t>
  </si>
  <si>
    <t>1695840326642991105</t>
  </si>
  <si>
    <t>1379608995502116871</t>
  </si>
  <si>
    <t>1116835720344342533</t>
  </si>
  <si>
    <t>1585826738612862977</t>
  </si>
  <si>
    <t>1276292553718018050</t>
  </si>
  <si>
    <t>1700524721928876032</t>
  </si>
  <si>
    <t>1648048706728386561</t>
  </si>
  <si>
    <t>1351568430923735041</t>
  </si>
  <si>
    <t>1508872073959153671</t>
  </si>
  <si>
    <t>1075887814590500864</t>
  </si>
  <si>
    <t>1699915938970394624</t>
  </si>
  <si>
    <t>1660542860582871040</t>
  </si>
  <si>
    <t>730617969395531776</t>
  </si>
  <si>
    <t>795327504496164864</t>
  </si>
  <si>
    <t>1225022697811447809</t>
  </si>
  <si>
    <t>1674904141506789376</t>
  </si>
  <si>
    <t>1494816867663425547</t>
  </si>
  <si>
    <t>1574469222767497248</t>
  </si>
  <si>
    <t>1396125112395616257</t>
  </si>
  <si>
    <t>1457064501803724800</t>
  </si>
  <si>
    <t>1629062757801664514</t>
  </si>
  <si>
    <t>1694054600116936704</t>
  </si>
  <si>
    <t>1656307557906907137</t>
  </si>
  <si>
    <t>1683646941966499840</t>
  </si>
  <si>
    <t>1534253613379379200</t>
  </si>
  <si>
    <t>1653298703372029956</t>
  </si>
  <si>
    <t>1663819278867464192</t>
  </si>
  <si>
    <t>1675321544048779264</t>
  </si>
  <si>
    <t>1292764621531754498</t>
  </si>
  <si>
    <t>1520906306042933251</t>
  </si>
  <si>
    <t>1628143743852244992</t>
  </si>
  <si>
    <t>1397238293926801408</t>
  </si>
  <si>
    <t>1685782535668678657</t>
  </si>
  <si>
    <t>1674078145874477056</t>
  </si>
  <si>
    <t>1564054045714677769</t>
  </si>
  <si>
    <t>1595426917586538496</t>
  </si>
  <si>
    <t>938369859422969856</t>
  </si>
  <si>
    <t>906223813444210689</t>
  </si>
  <si>
    <t>1321049488803450881</t>
  </si>
  <si>
    <t>1347672719207387136</t>
  </si>
  <si>
    <t>737789944488448000</t>
  </si>
  <si>
    <t>1580869645015388162</t>
  </si>
  <si>
    <t>1653242522926305286</t>
  </si>
  <si>
    <t>914325477707350017</t>
  </si>
  <si>
    <t>1039965688000126977</t>
  </si>
  <si>
    <t>1695487053884973056</t>
  </si>
  <si>
    <t>824282942042152960</t>
  </si>
  <si>
    <t>1680022698938736642</t>
  </si>
  <si>
    <t>861663861241520128</t>
  </si>
  <si>
    <t>1133244811803185159</t>
  </si>
  <si>
    <t>1686401052361322497</t>
  </si>
  <si>
    <t>1554887701173764098</t>
  </si>
  <si>
    <t>709452366039400449</t>
  </si>
  <si>
    <t>1516790711001264129</t>
  </si>
  <si>
    <t>1673470994378260481</t>
  </si>
  <si>
    <t>1546185267840704514</t>
  </si>
  <si>
    <t>1544687905859330049</t>
  </si>
  <si>
    <t>817413716094418944</t>
  </si>
  <si>
    <t>1199988723842244609</t>
  </si>
  <si>
    <t>1675842450408058881</t>
  </si>
  <si>
    <t>1524258253810835456</t>
  </si>
  <si>
    <t>915293486852788225</t>
  </si>
  <si>
    <t>1678406091556769792</t>
  </si>
  <si>
    <t>769618941845078020</t>
  </si>
  <si>
    <t>1642662529145921538</t>
  </si>
  <si>
    <t>1311841409566150656</t>
  </si>
  <si>
    <t>1618966106152046601</t>
  </si>
  <si>
    <t>1615040084343984128</t>
  </si>
  <si>
    <t>1578050829600411648</t>
  </si>
  <si>
    <t>1521853542646095877</t>
  </si>
  <si>
    <t>1570708190177771521</t>
  </si>
  <si>
    <t>1015579177704181762</t>
  </si>
  <si>
    <t>1285502166975819776</t>
  </si>
  <si>
    <t>1663809970364723202</t>
  </si>
  <si>
    <t>1278364220497813504</t>
  </si>
  <si>
    <t>1185261336365801473</t>
  </si>
  <si>
    <t>1673952672582336515</t>
  </si>
  <si>
    <t>1676409358131789825</t>
  </si>
  <si>
    <t>1644769523411611661</t>
  </si>
  <si>
    <t>1385126747558060032</t>
  </si>
  <si>
    <t>1654112653046841349</t>
  </si>
  <si>
    <t>1445135827605073929</t>
  </si>
  <si>
    <t>1484214146837082112</t>
  </si>
  <si>
    <t>1664223275671515136</t>
  </si>
  <si>
    <t>1660454188378095618</t>
  </si>
  <si>
    <t>1665733706374434819</t>
  </si>
  <si>
    <t>1585017675901706263</t>
  </si>
  <si>
    <t>1677025600865796097</t>
  </si>
  <si>
    <t>797147659064721408</t>
  </si>
  <si>
    <t>1500930885046214657</t>
  </si>
  <si>
    <t>1689419869530345472</t>
  </si>
  <si>
    <t>1512045939283873794</t>
  </si>
  <si>
    <t>1663589744947732480</t>
  </si>
  <si>
    <t>762755997555392512</t>
  </si>
  <si>
    <t>887432414972301313</t>
  </si>
  <si>
    <t>1295358569202712576</t>
  </si>
  <si>
    <t>1463267332793327617</t>
  </si>
  <si>
    <t>1488082842189975553</t>
  </si>
  <si>
    <t>1121181531593113601</t>
  </si>
  <si>
    <t>1641169930312720385</t>
  </si>
  <si>
    <t>1258856256204419077</t>
  </si>
  <si>
    <t>1564812284647571459</t>
  </si>
  <si>
    <t>1524200757553250304</t>
  </si>
  <si>
    <t>1428427211028287489</t>
  </si>
  <si>
    <t>1686473618773909504</t>
  </si>
  <si>
    <t>1660641493890080769</t>
  </si>
  <si>
    <t>968671519315562503</t>
  </si>
  <si>
    <t>1117138915994087432</t>
  </si>
  <si>
    <t>1501274159560732678</t>
  </si>
  <si>
    <t>1688664223537057793</t>
  </si>
  <si>
    <t>1676694243312644096</t>
  </si>
  <si>
    <t>1510993117012537352</t>
  </si>
  <si>
    <t>809566594900836352</t>
  </si>
  <si>
    <t>1038107559817830400</t>
  </si>
  <si>
    <t>1070024638615470084</t>
  </si>
  <si>
    <t>922540483477430272</t>
  </si>
  <si>
    <t>1681456792029605889</t>
  </si>
  <si>
    <t>1276709278032842752</t>
  </si>
  <si>
    <t>1679470710903775232</t>
  </si>
  <si>
    <t>1682379661215399938</t>
  </si>
  <si>
    <t>1661505389400145921</t>
  </si>
  <si>
    <t>1701198459557044224</t>
  </si>
  <si>
    <t>1459232439528742915</t>
  </si>
  <si>
    <t>995254628152479745</t>
  </si>
  <si>
    <t>1620458336540835842</t>
  </si>
  <si>
    <t>1587407726510067715</t>
  </si>
  <si>
    <t>843215121505816576</t>
  </si>
  <si>
    <t>1660617440244498432</t>
  </si>
  <si>
    <t>1001216298863546369</t>
  </si>
  <si>
    <t>1516045921007685639</t>
  </si>
  <si>
    <t>1270075370491056128</t>
  </si>
  <si>
    <t>1241018077745221635</t>
  </si>
  <si>
    <t>1480641791984549891</t>
  </si>
  <si>
    <t>1401632687161581574</t>
  </si>
  <si>
    <t>1069640364678631425</t>
  </si>
  <si>
    <t>837414239392366594</t>
  </si>
  <si>
    <t>1674924164484923392</t>
  </si>
  <si>
    <t>1601411115686281222</t>
  </si>
  <si>
    <t>1613177185413496834</t>
  </si>
  <si>
    <t>1060150840504266754</t>
  </si>
  <si>
    <t>1696119925926969344</t>
  </si>
  <si>
    <t>1677598719217106946</t>
  </si>
  <si>
    <t>1387079853195898887</t>
  </si>
  <si>
    <t>1518973541575757824</t>
  </si>
  <si>
    <t>1112533086275887104</t>
  </si>
  <si>
    <t>1524778577157292032</t>
  </si>
  <si>
    <t>1264308261102157824</t>
  </si>
  <si>
    <t>1131917170131263489</t>
  </si>
  <si>
    <t>710468825393864704</t>
  </si>
  <si>
    <t>1190719482794303488</t>
  </si>
  <si>
    <t>1587458419446976512</t>
  </si>
  <si>
    <t>1656355991913394183</t>
  </si>
  <si>
    <t>1554487994610028545</t>
  </si>
  <si>
    <t>1382017213746573314</t>
  </si>
  <si>
    <t>1686147430771728384</t>
  </si>
  <si>
    <t>715903771071655937</t>
  </si>
  <si>
    <t>1680751121864839168</t>
  </si>
  <si>
    <t>801439438983270400</t>
  </si>
  <si>
    <t>1178608016515649538</t>
  </si>
  <si>
    <t>1427682953732280331</t>
  </si>
  <si>
    <t>1059439638497124352</t>
  </si>
  <si>
    <t>1396491710058926082</t>
  </si>
  <si>
    <t>1682143129737265152</t>
  </si>
  <si>
    <t>1254471056900882433</t>
  </si>
  <si>
    <t>1685085832321843200</t>
  </si>
  <si>
    <t>1550627911002112000</t>
  </si>
  <si>
    <t>797041281407053824</t>
  </si>
  <si>
    <t>1653472483394170881</t>
  </si>
  <si>
    <t>1607384131532476417</t>
  </si>
  <si>
    <t>1683627243380125696</t>
  </si>
  <si>
    <t>1587176812379099136</t>
  </si>
  <si>
    <t>1574399447366254594</t>
  </si>
  <si>
    <t>1509637013921800197</t>
  </si>
  <si>
    <t>1520869059130101760</t>
  </si>
  <si>
    <t>1656344473998065691</t>
  </si>
  <si>
    <t>1630617842956619776</t>
  </si>
  <si>
    <t>1338497883574824960</t>
  </si>
  <si>
    <t>1239251595893899267</t>
  </si>
  <si>
    <t>1675541358705033217</t>
  </si>
  <si>
    <t>1574155694634409984</t>
  </si>
  <si>
    <t>919694038047051776</t>
  </si>
  <si>
    <t>1554554534684463109</t>
  </si>
  <si>
    <t>1660628673915912194</t>
  </si>
  <si>
    <t>1499106559854628867</t>
  </si>
  <si>
    <t>1587954405508321282</t>
  </si>
  <si>
    <t>1000348665654005760</t>
  </si>
  <si>
    <t>1677385895953965066</t>
  </si>
  <si>
    <t>1683178421117939712</t>
  </si>
  <si>
    <t>1099794452208644096</t>
  </si>
  <si>
    <t>1042039027141156865</t>
  </si>
  <si>
    <t>1029293862387429377</t>
  </si>
  <si>
    <t>1651223883196801024</t>
  </si>
  <si>
    <t>1662251925557989377</t>
  </si>
  <si>
    <t>1395632427247230976</t>
  </si>
  <si>
    <t>963951192207515648</t>
  </si>
  <si>
    <t>781526644766937280</t>
  </si>
  <si>
    <t>1686269259150770176</t>
  </si>
  <si>
    <t>1699842704635752448</t>
  </si>
  <si>
    <t>1667586326718283779</t>
  </si>
  <si>
    <t>1562993775848202242</t>
  </si>
  <si>
    <t>1686412704993738752</t>
  </si>
  <si>
    <t>1334488964603006976</t>
  </si>
  <si>
    <t>1600564511077011456</t>
  </si>
  <si>
    <t>1551524776459620352</t>
  </si>
  <si>
    <t>852260673056903170</t>
  </si>
  <si>
    <t>1582769920089231360</t>
  </si>
  <si>
    <t>1592877910079291392</t>
  </si>
  <si>
    <t>1678444017653039104</t>
  </si>
  <si>
    <t>1136467332832923648</t>
  </si>
  <si>
    <t>1684168477102182400</t>
  </si>
  <si>
    <t>1300915060324302849</t>
  </si>
  <si>
    <t>1037015387148312578</t>
  </si>
  <si>
    <t>1695814458528919552</t>
  </si>
  <si>
    <t>1462173685247361026</t>
  </si>
  <si>
    <t>1540377555823464449</t>
  </si>
  <si>
    <t>1042107129224724485</t>
  </si>
  <si>
    <t>896864096573956096</t>
  </si>
  <si>
    <t>1157289571920547842</t>
  </si>
  <si>
    <t>1114186756524576768</t>
  </si>
  <si>
    <t>1701847186345283584</t>
  </si>
  <si>
    <t>1655562830282727427</t>
  </si>
  <si>
    <t>1254925465216847873</t>
  </si>
  <si>
    <t>1588226576046505986</t>
  </si>
  <si>
    <t>1666159747991568386</t>
  </si>
  <si>
    <t>1582046286773211136</t>
  </si>
  <si>
    <t>1567133780795596801</t>
  </si>
  <si>
    <t>1298322293559566336</t>
  </si>
  <si>
    <t>1699079365730951168</t>
  </si>
  <si>
    <t>831192726125293568</t>
  </si>
  <si>
    <t>736387666665738241</t>
  </si>
  <si>
    <t>1587246019619733506</t>
  </si>
  <si>
    <t>1693798055047200768</t>
  </si>
  <si>
    <t>1699877062096334848</t>
  </si>
  <si>
    <t>1688922573688745984</t>
  </si>
  <si>
    <t>1370375263356395524</t>
  </si>
  <si>
    <t>891675043910094848</t>
  </si>
  <si>
    <t>1670086879197233152</t>
  </si>
  <si>
    <t>981903271408349184</t>
  </si>
  <si>
    <t>1664267702398226432</t>
  </si>
  <si>
    <t>1633529991030878208</t>
  </si>
  <si>
    <t>1677378680564113408</t>
  </si>
  <si>
    <t>1322179444455464961</t>
  </si>
  <si>
    <t>1565326699390279681</t>
  </si>
  <si>
    <t>1277276386181464064</t>
  </si>
  <si>
    <t>1666912765775060992</t>
  </si>
  <si>
    <t>1626746020884361220</t>
  </si>
  <si>
    <t>1695176289634734080</t>
  </si>
  <si>
    <t>1450824001673179151</t>
  </si>
  <si>
    <t>1022116519977922566</t>
  </si>
  <si>
    <t>1694786358479339520</t>
  </si>
  <si>
    <t>1365062176118030345</t>
  </si>
  <si>
    <t>1364708223140442117</t>
  </si>
  <si>
    <t>1541159652607422464</t>
  </si>
  <si>
    <t>1143984714660876288</t>
  </si>
  <si>
    <t>1704318948102025216</t>
  </si>
  <si>
    <t>1338251402787885057</t>
  </si>
  <si>
    <t>1564005272775004160</t>
  </si>
  <si>
    <t>1248276416212451329</t>
  </si>
  <si>
    <t>1679262034066653184</t>
  </si>
  <si>
    <t>1587271330407268352</t>
  </si>
  <si>
    <t>736700514587553792</t>
  </si>
  <si>
    <t>1052164555013595138</t>
  </si>
  <si>
    <t>1586191288923209730</t>
  </si>
  <si>
    <t>1459259104145428490</t>
  </si>
  <si>
    <t>1630047621611147265</t>
  </si>
  <si>
    <t>1643368187625390081</t>
  </si>
  <si>
    <t>1687461877100486656</t>
  </si>
  <si>
    <t>994230171388530688</t>
  </si>
  <si>
    <t>1680429204821639168</t>
  </si>
  <si>
    <t>1655040454574891010</t>
  </si>
  <si>
    <t>1688679926289899521</t>
  </si>
  <si>
    <t>1693128702316400640</t>
  </si>
  <si>
    <t>1200148201858379776</t>
  </si>
  <si>
    <t>921377807707582464</t>
  </si>
  <si>
    <t>1481820693343911939</t>
  </si>
  <si>
    <t>1453883182118576132</t>
  </si>
  <si>
    <t>1682932398630006784</t>
  </si>
  <si>
    <t>1279932298117423105</t>
  </si>
  <si>
    <t>1164516166448156672</t>
  </si>
  <si>
    <t>1660091880082636800</t>
  </si>
  <si>
    <t>1621868562800328705</t>
  </si>
  <si>
    <t>1519027174765903875</t>
  </si>
  <si>
    <t>1557452330768949253</t>
  </si>
  <si>
    <t>1679247730978217985</t>
  </si>
  <si>
    <t>1661790129126604801</t>
  </si>
  <si>
    <t>1646918105421996049</t>
  </si>
  <si>
    <t>865346063552704514</t>
  </si>
  <si>
    <t>1558995912646590466</t>
  </si>
  <si>
    <t>1404119392242315266</t>
  </si>
  <si>
    <t>1191456816238092290</t>
  </si>
  <si>
    <t>1336672635623763971</t>
  </si>
  <si>
    <t>746769658192236545</t>
  </si>
  <si>
    <t>1650478126969896960</t>
  </si>
  <si>
    <t>1352015618845908994</t>
  </si>
  <si>
    <t>1687530340322050049</t>
  </si>
  <si>
    <t>995644224497504256</t>
  </si>
  <si>
    <t>1446968881575301123</t>
  </si>
  <si>
    <t>1468709710920491009</t>
  </si>
  <si>
    <t>1449961688124514304</t>
  </si>
  <si>
    <t>1665931860789043200</t>
  </si>
  <si>
    <t>1688242341922914305</t>
  </si>
  <si>
    <t>1682909369724174336</t>
  </si>
  <si>
    <t>1655540047586762754</t>
  </si>
  <si>
    <t>1508418556760924173</t>
  </si>
  <si>
    <t>1461061433341456387</t>
  </si>
  <si>
    <t>1681487635884175360</t>
  </si>
  <si>
    <t>818416809846198274</t>
  </si>
  <si>
    <t>1595203704495505408</t>
  </si>
  <si>
    <t>1627102450321694720</t>
  </si>
  <si>
    <t>1062335746336526336</t>
  </si>
  <si>
    <t>1582726209925947397</t>
  </si>
  <si>
    <t>1329066901360799745</t>
  </si>
  <si>
    <t>1527399787854700546</t>
  </si>
  <si>
    <t>1166388205320622080</t>
  </si>
  <si>
    <t>1671222712184733706</t>
  </si>
  <si>
    <t>1096100426355785731</t>
  </si>
  <si>
    <t>1147322435395575808</t>
  </si>
  <si>
    <t>1666907175703265280</t>
  </si>
  <si>
    <t>1684180485784600576</t>
  </si>
  <si>
    <t>720482086688317440</t>
  </si>
  <si>
    <t>1348719237855137800</t>
  </si>
  <si>
    <t>1474575515868618759</t>
  </si>
  <si>
    <t>1596939852930584578</t>
  </si>
  <si>
    <t>721501118593961984</t>
  </si>
  <si>
    <t>1673227141960351744</t>
  </si>
  <si>
    <t>1384839326987608067</t>
  </si>
  <si>
    <t>855300206086168576</t>
  </si>
  <si>
    <t>1590346479583088640</t>
  </si>
  <si>
    <t>1520950079087128577</t>
  </si>
  <si>
    <t>1599199916269731840</t>
  </si>
  <si>
    <t>1298720029731504128</t>
  </si>
  <si>
    <t>1552271025437556739</t>
  </si>
  <si>
    <t>1075113962423902208</t>
  </si>
  <si>
    <t>1636819738461388803</t>
  </si>
  <si>
    <t>1333491825743695872</t>
  </si>
  <si>
    <t>1690551882308009984</t>
  </si>
  <si>
    <t>1232110252071493632</t>
  </si>
  <si>
    <t>836823123165134848</t>
  </si>
  <si>
    <t>1642638343199506436</t>
  </si>
  <si>
    <t>1667191635636109312</t>
  </si>
  <si>
    <t>1452372929556193290</t>
  </si>
  <si>
    <t>1510736467961815043</t>
  </si>
  <si>
    <t>1560615162662465536</t>
  </si>
  <si>
    <t>1676544011060871168</t>
  </si>
  <si>
    <t>1089833864082661378</t>
  </si>
  <si>
    <t>1691925502368595969</t>
  </si>
  <si>
    <t>1681366516090953733</t>
  </si>
  <si>
    <t>1673292254868373505</t>
  </si>
  <si>
    <t>1677702660839882757</t>
  </si>
  <si>
    <t>914960907113046017</t>
  </si>
  <si>
    <t>1682403194066927618</t>
  </si>
  <si>
    <t>1696278321586155520</t>
  </si>
  <si>
    <t>1587127368941969408</t>
  </si>
  <si>
    <t>1170008473742073866</t>
  </si>
  <si>
    <t>1609889558744760321</t>
  </si>
  <si>
    <t>1471446743288008706</t>
  </si>
  <si>
    <t>1445913802726260739</t>
  </si>
  <si>
    <t>1644117248850771979</t>
  </si>
  <si>
    <t>1071380342144151558</t>
  </si>
  <si>
    <t>1568416721903521792</t>
  </si>
  <si>
    <t>1544390318623260676</t>
  </si>
  <si>
    <t>1613160011420635146</t>
  </si>
  <si>
    <t>1388999527391285253</t>
  </si>
  <si>
    <t>1701545044732203008</t>
  </si>
  <si>
    <t>1651641682968846344</t>
  </si>
  <si>
    <t>982187229727436802</t>
  </si>
  <si>
    <t>1677254958364622850</t>
  </si>
  <si>
    <t>1549362526638448641</t>
  </si>
  <si>
    <t>1658517509761269769</t>
  </si>
  <si>
    <t>996026004530434048</t>
  </si>
  <si>
    <t>1199066689696141314</t>
  </si>
  <si>
    <t>1239643445574225927</t>
  </si>
  <si>
    <t>1392199462378999811</t>
  </si>
  <si>
    <t>1659305584905125888</t>
  </si>
  <si>
    <t>1445086359778103314</t>
  </si>
  <si>
    <t>1643650440335089664</t>
  </si>
  <si>
    <t>1674437744498724864</t>
  </si>
  <si>
    <t>1386305539848740866</t>
  </si>
  <si>
    <t>1430338930780610563</t>
  </si>
  <si>
    <t>963277362916884480</t>
  </si>
  <si>
    <t>1414614200563994626</t>
  </si>
  <si>
    <t>1569142636467949571</t>
  </si>
  <si>
    <t>1704486157373845504</t>
  </si>
  <si>
    <t>804409986944110592</t>
  </si>
  <si>
    <t>1428456939651018767</t>
  </si>
  <si>
    <t>1672273821435404288</t>
  </si>
  <si>
    <t>1225023438995238913</t>
  </si>
  <si>
    <t>1606260007481253888</t>
  </si>
  <si>
    <t>1705048086043652096</t>
  </si>
  <si>
    <t>1628394434000715776</t>
  </si>
  <si>
    <t>1403398042074681348</t>
  </si>
  <si>
    <t>1175770157391781890</t>
  </si>
  <si>
    <t>1256696044475363330</t>
  </si>
  <si>
    <t>1670789745775894530</t>
  </si>
  <si>
    <t>1667561948173484032</t>
  </si>
  <si>
    <t>1311706651150503936</t>
  </si>
  <si>
    <t>1669169915293474816</t>
  </si>
  <si>
    <t>1675130387658407938</t>
  </si>
  <si>
    <t>983358771928977408</t>
  </si>
  <si>
    <t>1685807066999312384</t>
  </si>
  <si>
    <t>1431420336805924867</t>
  </si>
  <si>
    <t>1539336947604258817</t>
  </si>
  <si>
    <t>1277625335182434304</t>
  </si>
  <si>
    <t>1652730883533598722</t>
  </si>
  <si>
    <t>1394989418906259458</t>
  </si>
  <si>
    <t>929090079552876545</t>
  </si>
  <si>
    <t>1620429378206240774</t>
  </si>
  <si>
    <t>1638825273004269568</t>
  </si>
  <si>
    <t>1689803387057971200</t>
  </si>
  <si>
    <t>1293067913453338625</t>
  </si>
  <si>
    <t>1237583938341810176</t>
  </si>
  <si>
    <t>1304985508188217346</t>
  </si>
  <si>
    <t>1633642356225220609</t>
  </si>
  <si>
    <t>1378823879129452546</t>
  </si>
  <si>
    <t>1540512039151566850</t>
  </si>
  <si>
    <t>1676751777851375616</t>
  </si>
  <si>
    <t>1576026578437431302</t>
  </si>
  <si>
    <t>1587390645471166464</t>
  </si>
  <si>
    <t>1418755468432969733</t>
  </si>
  <si>
    <t>1445068607046701069</t>
  </si>
  <si>
    <t>1664332709349433352</t>
  </si>
  <si>
    <t>1127276892955074562</t>
  </si>
  <si>
    <t>865233440173682688</t>
  </si>
  <si>
    <t>1087762990731051008</t>
  </si>
  <si>
    <t>1698655884031746048</t>
  </si>
  <si>
    <t>1595087416360157184</t>
  </si>
  <si>
    <t>1265676312456433665</t>
  </si>
  <si>
    <t>1098641678704001025</t>
  </si>
  <si>
    <t>1452992283616366607</t>
  </si>
  <si>
    <t>1457005716661800967</t>
  </si>
  <si>
    <t>1696263219214508032</t>
  </si>
  <si>
    <t>1678519996102897664</t>
  </si>
  <si>
    <t>1585632860865974274</t>
  </si>
  <si>
    <t>opoderosomeme</t>
  </si>
  <si>
    <t>rosangelajaspe5</t>
  </si>
  <si>
    <t>felipeccamarao</t>
  </si>
  <si>
    <t>extensaoesag</t>
  </si>
  <si>
    <t>sistemaocbes</t>
  </si>
  <si>
    <t>Name</t>
  </si>
  <si>
    <t>User ID</t>
  </si>
  <si>
    <t>Followers</t>
  </si>
  <si>
    <t>Followed</t>
  </si>
  <si>
    <t>Tweets</t>
  </si>
  <si>
    <t>Listed Count</t>
  </si>
  <si>
    <t>Favourites Count</t>
  </si>
  <si>
    <t>Media Count</t>
  </si>
  <si>
    <t>Verified</t>
  </si>
  <si>
    <t>Joined Twitter Date (UTC)</t>
  </si>
  <si>
    <t>Location</t>
  </si>
  <si>
    <t>Description</t>
  </si>
  <si>
    <t>URLs (Details)</t>
  </si>
  <si>
    <t>Expanded URLs (Details)</t>
  </si>
  <si>
    <t>Display URLs (Details)</t>
  </si>
  <si>
    <t>Description URLs (Details)</t>
  </si>
  <si>
    <t>Description Expanded URLs (Details)</t>
  </si>
  <si>
    <t>Description Display URLS (Details)</t>
  </si>
  <si>
    <t>Pinned Tweet ID</t>
  </si>
  <si>
    <t>URL</t>
  </si>
  <si>
    <t>Is Blue Verified</t>
  </si>
  <si>
    <t>You Are Followed By</t>
  </si>
  <si>
    <t>You Are Following</t>
  </si>
  <si>
    <t>Can DM</t>
  </si>
  <si>
    <t>Can Media Tag</t>
  </si>
  <si>
    <t>Default Profile</t>
  </si>
  <si>
    <t>Default Profile Image</t>
  </si>
  <si>
    <t>Has Custom Timelines</t>
  </si>
  <si>
    <t>Is Translator</t>
  </si>
  <si>
    <t>Profile Banner URL</t>
  </si>
  <si>
    <t>Profile Interstitial Type</t>
  </si>
  <si>
    <t>Translator Type</t>
  </si>
  <si>
    <t>Want Retweets</t>
  </si>
  <si>
    <t>Withheld</t>
  </si>
  <si>
    <t>Tweeted Search Term?</t>
  </si>
  <si>
    <t>Custom Menu Item Text</t>
  </si>
  <si>
    <t>Custom Menu Item Action</t>
  </si>
  <si>
    <t>autobahn</t>
  </si>
  <si>
    <t>Tio Ferini Cortes</t>
  </si>
  <si>
    <t>Rapha Corrêa - Editor, SEO, videomaker, faz tudo!</t>
  </si>
  <si>
    <t>Manoela Bertelli</t>
  </si>
  <si>
    <t>Marechal Kim João-Un</t>
  </si>
  <si>
    <t>IberoAm</t>
  </si>
  <si>
    <t>BlockchainFestival</t>
  </si>
  <si>
    <t>Leonardo_performance</t>
  </si>
  <si>
    <t>Luiz Fabiano da Cruz</t>
  </si>
  <si>
    <t>Damasio Santos</t>
  </si>
  <si>
    <t>LuHao Marketing Digital</t>
  </si>
  <si>
    <t>TV Liberal</t>
  </si>
  <si>
    <t>Elke Design Criação de Sites</t>
  </si>
  <si>
    <t>Fernando Zaidan</t>
  </si>
  <si>
    <t>Wictor Bispo</t>
  </si>
  <si>
    <t>Jox John</t>
  </si>
  <si>
    <t>Guarulhos Online</t>
  </si>
  <si>
    <t>Gelson Pandolfo</t>
  </si>
  <si>
    <t>Rômulo Cavalcante</t>
  </si>
  <si>
    <t>IDEAL PROJETOS</t>
  </si>
  <si>
    <t>linkar.bio</t>
  </si>
  <si>
    <t>Projeto AlimentodAlma</t>
  </si>
  <si>
    <t>NIGHT9xs</t>
  </si>
  <si>
    <t>Joaquim Oliveira</t>
  </si>
  <si>
    <t>Roberto Mangabeira Unger</t>
  </si>
  <si>
    <t>Wagner Marcelo</t>
  </si>
  <si>
    <t>@Innovadores35</t>
  </si>
  <si>
    <t>MIT Tech Review ES</t>
  </si>
  <si>
    <t>Gêmeos Investem</t>
  </si>
  <si>
    <t>Blumenau Agora</t>
  </si>
  <si>
    <t>taniazambonoficial</t>
  </si>
  <si>
    <t>João</t>
  </si>
  <si>
    <t>lives com atletas artistas</t>
  </si>
  <si>
    <t>Sebrae</t>
  </si>
  <si>
    <t>Décio Lima</t>
  </si>
  <si>
    <t>Luiz Alvaro Aguiar</t>
  </si>
  <si>
    <t>Agito Mais</t>
  </si>
  <si>
    <t>ACI StaCruzdoSul-RS</t>
  </si>
  <si>
    <t>DQAPE Vidraçaria e Serralheria</t>
  </si>
  <si>
    <t>Washigton Santos</t>
  </si>
  <si>
    <t>Alfagates Serviços e Soluções</t>
  </si>
  <si>
    <t>Gabriel Aparecido</t>
  </si>
  <si>
    <t>Renato Lisboa</t>
  </si>
  <si>
    <t>André Bianchi</t>
  </si>
  <si>
    <t>José Fugice</t>
  </si>
  <si>
    <t>businesslifeadventure</t>
  </si>
  <si>
    <t>Motivando Leões</t>
  </si>
  <si>
    <t>ωιllιαи ѕαиτοѕ</t>
  </si>
  <si>
    <t>mfer</t>
  </si>
  <si>
    <t>O Capital Digital</t>
  </si>
  <si>
    <t>PCI Concursos</t>
  </si>
  <si>
    <t>Agencia NOIMD - Social Media - Marketing Digital</t>
  </si>
  <si>
    <t>EmpreendaComStilus</t>
  </si>
  <si>
    <t>YouTube</t>
  </si>
  <si>
    <t>Vagas de Emprego em Salvador, R Metropolitana e+</t>
  </si>
  <si>
    <t>NaxTrax Digital Marketing Agency</t>
  </si>
  <si>
    <t>Lins DoCeará🥖🌾💵 🇧🇷🌹</t>
  </si>
  <si>
    <t>Allan Fernandes</t>
  </si>
  <si>
    <t>Centro de Innovación y Emprendimiento Municipal</t>
  </si>
  <si>
    <t>Dr. Flavio Pavanelli</t>
  </si>
  <si>
    <t>𝒴𝓈𝓁𝓁𝒶 𝒪𝓁𝒾𝓋ℯ𝒾𝓇𝒶 🦋</t>
  </si>
  <si>
    <t>Mãe 💙💙💗</t>
  </si>
  <si>
    <t>Seja Tua Vontade</t>
  </si>
  <si>
    <t>Pedro Paulo Spencer-Soares</t>
  </si>
  <si>
    <t>Grasi Mancini | Harmonização Energética</t>
  </si>
  <si>
    <t>Thiago Herminio da Silva</t>
  </si>
  <si>
    <t>Portal de Convênios</t>
  </si>
  <si>
    <t>.</t>
  </si>
  <si>
    <t>Ágora Talks Podcast</t>
  </si>
  <si>
    <t>ANTONELLA PAIVA</t>
  </si>
  <si>
    <t>Isabella Passos</t>
  </si>
  <si>
    <t>CNPJ Lucrativo</t>
  </si>
  <si>
    <t>Markusvital</t>
  </si>
  <si>
    <t>Gilson Luis Da Cunha</t>
  </si>
  <si>
    <t>Homem Lapidado</t>
  </si>
  <si>
    <t>Rodrigo Moraes 🎯</t>
  </si>
  <si>
    <t>Victorb_L</t>
  </si>
  <si>
    <t>Qualifica Inglês e Educação Tecnológica</t>
  </si>
  <si>
    <t>Mara Dib</t>
  </si>
  <si>
    <t>Só no Gama</t>
  </si>
  <si>
    <t>Jaqueline 🚩</t>
  </si>
  <si>
    <t>Nalydja Gomes</t>
  </si>
  <si>
    <t>Rebecka</t>
  </si>
  <si>
    <t>João Dantas</t>
  </si>
  <si>
    <t>Marcelo Egea</t>
  </si>
  <si>
    <t>André Lajst</t>
  </si>
  <si>
    <t>Agência Panther</t>
  </si>
  <si>
    <t>Básicos Store</t>
  </si>
  <si>
    <t>Bitalk</t>
  </si>
  <si>
    <t>Canal Q</t>
  </si>
  <si>
    <t>Dr Leandro Freitas</t>
  </si>
  <si>
    <t>Forbes Brasil</t>
  </si>
  <si>
    <t>Odiley Gonçalves</t>
  </si>
  <si>
    <t>PortaldoFranchising</t>
  </si>
  <si>
    <t>Panflix</t>
  </si>
  <si>
    <t>Vinicius Marson</t>
  </si>
  <si>
    <t>Agência Adjori/SC de Jornalismo</t>
  </si>
  <si>
    <t>Fabio S. Rodrigues</t>
  </si>
  <si>
    <t>Luciano.Galiotto⭐🌎</t>
  </si>
  <si>
    <t>Itaborai Santos</t>
  </si>
  <si>
    <t>JinggaWeb</t>
  </si>
  <si>
    <t>Empreender em Goiás</t>
  </si>
  <si>
    <t>Veiga fla</t>
  </si>
  <si>
    <t>Rapha Coe</t>
  </si>
  <si>
    <t>Bazardot</t>
  </si>
  <si>
    <t>pikmigor</t>
  </si>
  <si>
    <t>I'm Kenough</t>
  </si>
  <si>
    <t>Goakira</t>
  </si>
  <si>
    <t>ExpoEdite</t>
  </si>
  <si>
    <t>+💲1M.I.L.I.O.N.Á.R.I.🪙</t>
  </si>
  <si>
    <t>Editora Senac SP</t>
  </si>
  <si>
    <t>Café &amp; Economia ☕📈</t>
  </si>
  <si>
    <t>ISOSERVICE</t>
  </si>
  <si>
    <t>Pequenas Empresas</t>
  </si>
  <si>
    <t>G.Lab</t>
  </si>
  <si>
    <t>Itaú</t>
  </si>
  <si>
    <t>Kyah Borges</t>
  </si>
  <si>
    <t>Vox Cognitiva</t>
  </si>
  <si>
    <t>Sudeco</t>
  </si>
  <si>
    <t>Ministério da Integração/Desenvolvimento Regional</t>
  </si>
  <si>
    <t>Thaner M.</t>
  </si>
  <si>
    <t>INFOBRASIL sistemas</t>
  </si>
  <si>
    <t>Correio Popular</t>
  </si>
  <si>
    <t>Diego Henrique</t>
  </si>
  <si>
    <t>Coolife</t>
  </si>
  <si>
    <t>Santiago, Raull. CPX 🌳🌳</t>
  </si>
  <si>
    <t>Damah Cast</t>
  </si>
  <si>
    <t>Oséias Gomes</t>
  </si>
  <si>
    <t>Andreia Luiza</t>
  </si>
  <si>
    <t>OAB Pará</t>
  </si>
  <si>
    <t>André Lug</t>
  </si>
  <si>
    <t>Paulo Ventura</t>
  </si>
  <si>
    <t>Jorge Aguiar Oficial</t>
  </si>
  <si>
    <t>BACELAR ASS.CONTÁBIL</t>
  </si>
  <si>
    <t>Entorno Hoje</t>
  </si>
  <si>
    <t>Editora Gente</t>
  </si>
  <si>
    <t>Bancada Hip Hop - FORUM HIP HOP MSP</t>
  </si>
  <si>
    <t>Pablo Câmara</t>
  </si>
  <si>
    <t>Samuel Fogaça</t>
  </si>
  <si>
    <t>Eric Augusto</t>
  </si>
  <si>
    <t>Luiza Souto</t>
  </si>
  <si>
    <t>Miguel Nogueira - A Rebelião das Cryptos</t>
  </si>
  <si>
    <t>Sicoob Amazônia</t>
  </si>
  <si>
    <t>Falavinha Next</t>
  </si>
  <si>
    <t>vbe services kolkata2005</t>
  </si>
  <si>
    <t>Cherto Consultoria</t>
  </si>
  <si>
    <t>Marcelo Cherto</t>
  </si>
  <si>
    <t>Vitor Valim</t>
  </si>
  <si>
    <t>Ecommerce na Prática</t>
  </si>
  <si>
    <t>Deguste Vinhos e Destilados</t>
  </si>
  <si>
    <t>Strig Lab</t>
  </si>
  <si>
    <t>Andreltrs</t>
  </si>
  <si>
    <t>Instituto Gênesis PUC-Rio</t>
  </si>
  <si>
    <t>Atrativa Contabilidade</t>
  </si>
  <si>
    <t>Brasil, País Digital</t>
  </si>
  <si>
    <t>Janine Palmeira Assistente Virtual (Social Media)</t>
  </si>
  <si>
    <t>Diorgenes Emerson Advocacia</t>
  </si>
  <si>
    <t>🧼 0800 STAY PUFT</t>
  </si>
  <si>
    <t>Faby Sampaio</t>
  </si>
  <si>
    <t>Tom Oliveira</t>
  </si>
  <si>
    <t>wellington oliveira</t>
  </si>
  <si>
    <t>Juliana Torrecilas Baldim</t>
  </si>
  <si>
    <t>S B Results</t>
  </si>
  <si>
    <t>Bindways Partner</t>
  </si>
  <si>
    <t>Profito Club</t>
  </si>
  <si>
    <t>Barra da Tijuca</t>
  </si>
  <si>
    <t>Comunidad Empresaria</t>
  </si>
  <si>
    <t>DWL company</t>
  </si>
  <si>
    <t>Softex</t>
  </si>
  <si>
    <t>Portal Rios de Notícias</t>
  </si>
  <si>
    <t>Omie</t>
  </si>
  <si>
    <t>Grupo de Comunicação Difusora</t>
  </si>
  <si>
    <t>iG</t>
  </si>
  <si>
    <t>Tio Jobs</t>
  </si>
  <si>
    <t>Guilherme C. Dupas</t>
  </si>
  <si>
    <t>Inovatechy</t>
  </si>
  <si>
    <t>Dell no Brasil</t>
  </si>
  <si>
    <t>Dell</t>
  </si>
  <si>
    <t>Gestaum Digital</t>
  </si>
  <si>
    <t>Mercado&amp;Consumo</t>
  </si>
  <si>
    <t>🦁 Poder Viril 🦁</t>
  </si>
  <si>
    <t>Arthur Aguiar ✨🍞</t>
  </si>
  <si>
    <t>Nath ✨</t>
  </si>
  <si>
    <t>Patricia Vidal💍</t>
  </si>
  <si>
    <t>Raiamzices</t>
  </si>
  <si>
    <t>FF Designer</t>
  </si>
  <si>
    <t>Eduardo Araújo</t>
  </si>
  <si>
    <t>WMB Marketing Digital</t>
  </si>
  <si>
    <t>(Re)VirandoSP</t>
  </si>
  <si>
    <t>A verdade</t>
  </si>
  <si>
    <t>Frederico</t>
  </si>
  <si>
    <t>Assembleia Legislativa do Estado do Ceará</t>
  </si>
  <si>
    <t>Vagas pelo Mundo</t>
  </si>
  <si>
    <t>Neto Porto</t>
  </si>
  <si>
    <t>António Ferreira</t>
  </si>
  <si>
    <t>Jovem Pan SJC - FM 94.3</t>
  </si>
  <si>
    <t>Conecta Freela</t>
  </si>
  <si>
    <t>Sipag</t>
  </si>
  <si>
    <t>Automatizei Geral</t>
  </si>
  <si>
    <t>TERINOV - Science and Technology Park</t>
  </si>
  <si>
    <t>Chicas BiLess León</t>
  </si>
  <si>
    <t>Elke Pimentel</t>
  </si>
  <si>
    <t>Gabriel Siggelkow Guimarães</t>
  </si>
  <si>
    <t>OktoberBlog</t>
  </si>
  <si>
    <t>Luís Nova</t>
  </si>
  <si>
    <t>Silvana Rosa</t>
  </si>
  <si>
    <t>Michael Godoy</t>
  </si>
  <si>
    <t>Fellipe Figueiredo de Jesus</t>
  </si>
  <si>
    <t>Jéssica Fonseca</t>
  </si>
  <si>
    <t>Bê.á.bá Tributário &amp; Societário</t>
  </si>
  <si>
    <t>Tom Santiago</t>
  </si>
  <si>
    <t>Portal Serra Dourada News</t>
  </si>
  <si>
    <t>Cortes da Riqueza 1.0</t>
  </si>
  <si>
    <t>Fellipe Ferini</t>
  </si>
  <si>
    <t>Expert Digital | Escola de #MarketingDigital</t>
  </si>
  <si>
    <t>Encontrei Online</t>
  </si>
  <si>
    <t>Daniel Alves</t>
  </si>
  <si>
    <t>Joao C.A. Camargo</t>
  </si>
  <si>
    <t>Nextracker</t>
  </si>
  <si>
    <t>Marea turbo sx 2.0 🚗</t>
  </si>
  <si>
    <t>Sebrae Goiás</t>
  </si>
  <si>
    <t>Daniel Dantas</t>
  </si>
  <si>
    <t>Delegação do Brasil junto à OCDE</t>
  </si>
  <si>
    <t>Mehak</t>
  </si>
  <si>
    <t>Nasa Space Apps Karachi</t>
  </si>
  <si>
    <t>Buzz Byte</t>
  </si>
  <si>
    <t>William Hunt - Finanças Pessoais e Investimentos</t>
  </si>
  <si>
    <t>Ian Worcman</t>
  </si>
  <si>
    <t>Silvana mendes</t>
  </si>
  <si>
    <t>Sebrae Paraíba</t>
  </si>
  <si>
    <t>Vale Uma Prosa</t>
  </si>
  <si>
    <t>Marcio Karsten | Consultor</t>
  </si>
  <si>
    <t>Infographya</t>
  </si>
  <si>
    <t>a84 Audiovisual</t>
  </si>
  <si>
    <t>Seu Dinheiro</t>
  </si>
  <si>
    <t>Adailson Santos</t>
  </si>
  <si>
    <t>criativaonline</t>
  </si>
  <si>
    <t>FGV EAESP</t>
  </si>
  <si>
    <t>Barbi Contábil</t>
  </si>
  <si>
    <t>Passo milionário</t>
  </si>
  <si>
    <t>RecebeAqui</t>
  </si>
  <si>
    <t>Agiwork</t>
  </si>
  <si>
    <t>Capital da Joia</t>
  </si>
  <si>
    <t>Andrew Brennan</t>
  </si>
  <si>
    <t>Paulo Silva</t>
  </si>
  <si>
    <t>Valor Econômico</t>
  </si>
  <si>
    <t>Grupo Centercon</t>
  </si>
  <si>
    <t>PAINEIRA Contadores&amp;Advogados</t>
  </si>
  <si>
    <t>Mundo do Marketing</t>
  </si>
  <si>
    <t>Fortinet Brasil</t>
  </si>
  <si>
    <t>7IT Tecnologia &amp; Nuvem</t>
  </si>
  <si>
    <t>Jornal Contábil</t>
  </si>
  <si>
    <t>Fenacon</t>
  </si>
  <si>
    <t>Alfeo Pozza Junior</t>
  </si>
  <si>
    <t>Mundo dos Produtos</t>
  </si>
  <si>
    <t>Gilmar Gianni</t>
  </si>
  <si>
    <t>Reginaldo José Schollemberg</t>
  </si>
  <si>
    <t>Filomena Silva 🎤</t>
  </si>
  <si>
    <t>aNOTÍCIA.pt</t>
  </si>
  <si>
    <t>Thaysa Staniski</t>
  </si>
  <si>
    <t>Marcelo Zuin</t>
  </si>
  <si>
    <t>lubuscaroli</t>
  </si>
  <si>
    <t>Georges Humbert</t>
  </si>
  <si>
    <t>Magnetto Marketing</t>
  </si>
  <si>
    <t>Jani-King Brasil</t>
  </si>
  <si>
    <t>Carolina Cândido Pereira</t>
  </si>
  <si>
    <t>AESE Business School</t>
  </si>
  <si>
    <t>Laserchip | Soluções Inteligentes</t>
  </si>
  <si>
    <t>naju linhares ᶠᶠᶜ</t>
  </si>
  <si>
    <t>Swissnex in Brazil</t>
  </si>
  <si>
    <t>CNI Brasil</t>
  </si>
  <si>
    <t>Blogueiro Convidado</t>
  </si>
  <si>
    <t>takes do ferini</t>
  </si>
  <si>
    <t>IFMG Congonhas</t>
  </si>
  <si>
    <t>AN Marketing Digital</t>
  </si>
  <si>
    <t>Carlos Santos Vencedor</t>
  </si>
  <si>
    <t>hype ⚽🥇</t>
  </si>
  <si>
    <t>Stanley Bittar</t>
  </si>
  <si>
    <t>Revista Cães&amp;Gatos</t>
  </si>
  <si>
    <t>Almir Rizzatto</t>
  </si>
  <si>
    <t>Millano Manuel</t>
  </si>
  <si>
    <t>NetShopBrasil</t>
  </si>
  <si>
    <t>Dante Batista Smith 🦵</t>
  </si>
  <si>
    <t>giulia</t>
  </si>
  <si>
    <t>Chat Privado Oficial</t>
  </si>
  <si>
    <t>Oliver And</t>
  </si>
  <si>
    <t>Governo da Paraíba</t>
  </si>
  <si>
    <t>SysCoin Space</t>
  </si>
  <si>
    <t>Ewerton Kleber</t>
  </si>
  <si>
    <t>Crypto Hero</t>
  </si>
  <si>
    <t>Negócios em Terapia</t>
  </si>
  <si>
    <t>luis leal 🥊🥊🥊🥊🥊</t>
  </si>
  <si>
    <t>Perfil.com Brasil</t>
  </si>
  <si>
    <t>jona Menezes</t>
  </si>
  <si>
    <t>In9 Mídia</t>
  </si>
  <si>
    <t>tapas do negao | cortes do raiam 🎬</t>
  </si>
  <si>
    <t>Angelo</t>
  </si>
  <si>
    <t>Revista Esquinas</t>
  </si>
  <si>
    <t>Mais Superior</t>
  </si>
  <si>
    <t>European Innovation Academy</t>
  </si>
  <si>
    <t>Politécnico de Setúbal</t>
  </si>
  <si>
    <t>Universidade de Coimbra</t>
  </si>
  <si>
    <t>Combo de 5 eBooks | Empreendedorismo</t>
  </si>
  <si>
    <t>Sebrae Bahia</t>
  </si>
  <si>
    <t>Maria Varnieri</t>
  </si>
  <si>
    <t>Russell Bedford Brasil</t>
  </si>
  <si>
    <t>JO+ Absorvente Dérmico</t>
  </si>
  <si>
    <t>Empreendedor digital</t>
  </si>
  <si>
    <t>Universidade Aberta de Portugal</t>
  </si>
  <si>
    <t>WorkSpace Curitiba</t>
  </si>
  <si>
    <t>Jannat Title</t>
  </si>
  <si>
    <t>Americans Oficial</t>
  </si>
  <si>
    <t>valterlobo1.nft</t>
  </si>
  <si>
    <t>Dinheiro No Saco</t>
  </si>
  <si>
    <t>Jornal Cidade de Rio Claro</t>
  </si>
  <si>
    <t>Arno Ribeiro Rocha</t>
  </si>
  <si>
    <t>Mattheus Marx - Comunista dos Trópicos</t>
  </si>
  <si>
    <t>Nikolas Ferreira</t>
  </si>
  <si>
    <t>Milionário Society</t>
  </si>
  <si>
    <t>Altaides Torres</t>
  </si>
  <si>
    <t>Jorge Rafael</t>
  </si>
  <si>
    <t>Evandro Lima</t>
  </si>
  <si>
    <t>Ro De Lucca</t>
  </si>
  <si>
    <t>lulu</t>
  </si>
  <si>
    <t>menina veneno meu pau é pequeno</t>
  </si>
  <si>
    <t>Filipe Ferraz</t>
  </si>
  <si>
    <t>Jonatha Fernandes</t>
  </si>
  <si>
    <t>Gastronomia.com.br</t>
  </si>
  <si>
    <t>Fernando Melo Design</t>
  </si>
  <si>
    <t>Fe&amp;Trabalho</t>
  </si>
  <si>
    <t>Adalberto Júnior</t>
  </si>
  <si>
    <t>Carlos Otávio</t>
  </si>
  <si>
    <t>Direto Group Contabilidade</t>
  </si>
  <si>
    <t>Anderson Diego</t>
  </si>
  <si>
    <t>Ecio Costa</t>
  </si>
  <si>
    <t>UNIFACOL - Centro Universitário Facol</t>
  </si>
  <si>
    <t>Sonaira Canterle</t>
  </si>
  <si>
    <t>nao sou desses, nem daqueles</t>
  </si>
  <si>
    <t>Biblioteca CQ USP</t>
  </si>
  <si>
    <t>IQUSP</t>
  </si>
  <si>
    <t>Faculdade de Ciências Farmacêuticas da USP</t>
  </si>
  <si>
    <t>USP - Universidade de São Paulo</t>
  </si>
  <si>
    <t>SaasSales.com.br</t>
  </si>
  <si>
    <t>E-Investidor</t>
  </si>
  <si>
    <t>Heitor Maurício</t>
  </si>
  <si>
    <t>Diário do Comércio</t>
  </si>
  <si>
    <t>Leonardo  Leão</t>
  </si>
  <si>
    <t>Cleber 🐊🐊🐊</t>
  </si>
  <si>
    <t>Rafael Milagre</t>
  </si>
  <si>
    <t>Agência FAPESP</t>
  </si>
  <si>
    <t>Universidade Porto</t>
  </si>
  <si>
    <t>UFSCar #UniversidadeEuDefendo</t>
  </si>
  <si>
    <t>Free Classificados</t>
  </si>
  <si>
    <t>Hellen Pereira</t>
  </si>
  <si>
    <t>Yacov Mutombene</t>
  </si>
  <si>
    <t>Nelbe Rezende</t>
  </si>
  <si>
    <t>Rádio CBN</t>
  </si>
  <si>
    <t>Mílton Jung</t>
  </si>
  <si>
    <t>Paulo Cesar Bastos</t>
  </si>
  <si>
    <t>Investindo Bem</t>
  </si>
  <si>
    <t>Raio Lima</t>
  </si>
  <si>
    <t>NIT Rio MCTI</t>
  </si>
  <si>
    <t>Nilson 🇧🇷🇮🇱🇺🇲</t>
  </si>
  <si>
    <t>Gestão de Redes Divulgações</t>
  </si>
  <si>
    <t>Advices Treinamentos</t>
  </si>
  <si>
    <t>banananaos</t>
  </si>
  <si>
    <t>Estadão Imóveis</t>
  </si>
  <si>
    <t>100%αquαriαnα</t>
  </si>
  <si>
    <t>Veneziano Lopes</t>
  </si>
  <si>
    <t>Rafael Siqueira</t>
  </si>
  <si>
    <t>Mark Morais</t>
  </si>
  <si>
    <t>Jovem Pan Entretenimento</t>
  </si>
  <si>
    <t>Bastet Brasil Marketing digital</t>
  </si>
  <si>
    <t>Negócios &amp; Profissões Lucrativas</t>
  </si>
  <si>
    <t>Nany de Liz</t>
  </si>
  <si>
    <t>Maria de Fatima dos santos</t>
  </si>
  <si>
    <t>Jovem Pan News</t>
  </si>
  <si>
    <t>Victor Juver Adv</t>
  </si>
  <si>
    <t>INPI Brasil</t>
  </si>
  <si>
    <t>Ô Zelador de Academias</t>
  </si>
  <si>
    <t>ACAD Brasil</t>
  </si>
  <si>
    <t>🥇William Britto I Planejador Tributário</t>
  </si>
  <si>
    <t>Odissé-IA Alfa</t>
  </si>
  <si>
    <t>Filipe Macroval | IA</t>
  </si>
  <si>
    <t>Robin Delta</t>
  </si>
  <si>
    <t>Alex Northstar</t>
  </si>
  <si>
    <t>Áry Andrade</t>
  </si>
  <si>
    <t>Brasil Trabalhador</t>
  </si>
  <si>
    <t>Malga</t>
  </si>
  <si>
    <t>Arnaldo Poggi</t>
  </si>
  <si>
    <t>Queijo D'Alagoa-MG ®</t>
  </si>
  <si>
    <t>Paulo Araújo</t>
  </si>
  <si>
    <t>Romeu Zema</t>
  </si>
  <si>
    <t>Emater-MG</t>
  </si>
  <si>
    <t>Agricultura MG</t>
  </si>
  <si>
    <t>Governo de Minas Gerais</t>
  </si>
  <si>
    <t>Sebrae Minas</t>
  </si>
  <si>
    <t>Denver Moura</t>
  </si>
  <si>
    <t>Semana de Inovação</t>
  </si>
  <si>
    <t>Trend Nugget</t>
  </si>
  <si>
    <t>Vinicio Pires</t>
  </si>
  <si>
    <t>Web Design Mogi | Marketing Digital</t>
  </si>
  <si>
    <t>💫</t>
  </si>
  <si>
    <t>Viajes y Seguros Internacional</t>
  </si>
  <si>
    <t>Gonçalves Advogados</t>
  </si>
  <si>
    <t>Ricardo Amorim</t>
  </si>
  <si>
    <t>darkinLF</t>
  </si>
  <si>
    <t>Agência Sertão</t>
  </si>
  <si>
    <t>não sou ninguém.</t>
  </si>
  <si>
    <t>Camila Farani</t>
  </si>
  <si>
    <t>Programa Pânico</t>
  </si>
  <si>
    <t>Paulo Yossimi</t>
  </si>
  <si>
    <t>rodrigo </t>
  </si>
  <si>
    <t>Gustavo Mehl</t>
  </si>
  <si>
    <t>Minum</t>
  </si>
  <si>
    <t>Cortes do Ferininja</t>
  </si>
  <si>
    <t>OPB - OnePersonBusiness</t>
  </si>
  <si>
    <t>Steffy | Notion Girl</t>
  </si>
  <si>
    <t>Mercadão dos Óculos Franquia</t>
  </si>
  <si>
    <t>SINCO.net</t>
  </si>
  <si>
    <t>Ratão Clipes</t>
  </si>
  <si>
    <t>Gabriel Nadipeh</t>
  </si>
  <si>
    <t>Papobiz PodCast</t>
  </si>
  <si>
    <t>Dudu Mesquita</t>
  </si>
  <si>
    <t>ABC-MRE</t>
  </si>
  <si>
    <t>Maki Procrastina #seita</t>
  </si>
  <si>
    <t>lu cutezinho</t>
  </si>
  <si>
    <t>Cristiano Rocha</t>
  </si>
  <si>
    <t>luciano.Galiotto.English</t>
  </si>
  <si>
    <t>Jeff Zanetti</t>
  </si>
  <si>
    <t>Paullo Sérgio🇵🇪</t>
  </si>
  <si>
    <t>Surendra Gusain</t>
  </si>
  <si>
    <t>𝓜𝓪𝓻𝓬𝓮𝓵𝓸 𝓢𝓽𝓻𝓪𝓶𝓪 📶</t>
  </si>
  <si>
    <t>Caio França</t>
  </si>
  <si>
    <t>Pintor Alexander Hernandez</t>
  </si>
  <si>
    <t>O Otimista</t>
  </si>
  <si>
    <t>Legado Criatividade</t>
  </si>
  <si>
    <t>InfoVeritas</t>
  </si>
  <si>
    <t>Elias Leal Mkt</t>
  </si>
  <si>
    <t>Luiz Otávio Lula da Silva 1️⃣3️⃣</t>
  </si>
  <si>
    <t>LOBS Contabilidade</t>
  </si>
  <si>
    <t>Danielsmcontabil</t>
  </si>
  <si>
    <t>Murilo Satler</t>
  </si>
  <si>
    <t>Samuel Junior</t>
  </si>
  <si>
    <t>ANTÔNIO DE SOUZA 🔴⚫🦁</t>
  </si>
  <si>
    <t>BYD do Brasil</t>
  </si>
  <si>
    <t>Thayla🍒</t>
  </si>
  <si>
    <t>DESK Coworking</t>
  </si>
  <si>
    <t>ghostweb.digital</t>
  </si>
  <si>
    <t>Mujeres Emprendedoras SWFL</t>
  </si>
  <si>
    <t>Joe</t>
  </si>
  <si>
    <t>Estratégia Águia Digital</t>
  </si>
  <si>
    <t>Dutra Fernandes</t>
  </si>
  <si>
    <t>Guto Sales 1️⃣🎶</t>
  </si>
  <si>
    <t>Tim Bradshaw</t>
  </si>
  <si>
    <t>Prefeitura de Santos</t>
  </si>
  <si>
    <t>Jorge Morgado</t>
  </si>
  <si>
    <t>Gopage</t>
  </si>
  <si>
    <t>Rede Piu</t>
  </si>
  <si>
    <t>Hiper Retail - Logística &amp; Distribuição</t>
  </si>
  <si>
    <t>Forbes Portugal</t>
  </si>
  <si>
    <t>Percy Camilo</t>
  </si>
  <si>
    <t>Escola Digitalista</t>
  </si>
  <si>
    <t>Sheron Goveia</t>
  </si>
  <si>
    <t>Rafael Reis</t>
  </si>
  <si>
    <t>Desafio para Empreendedores</t>
  </si>
  <si>
    <t>Maria Guedes</t>
  </si>
  <si>
    <t>𝗝𝘂𝗹𝘆𝗮𝗻𝗼 𝗠𝗮𝘁𝘁𝗼𝘀</t>
  </si>
  <si>
    <t>Marc López</t>
  </si>
  <si>
    <t>Hi Lucas Prado</t>
  </si>
  <si>
    <t>Allbatroz</t>
  </si>
  <si>
    <t>Alison Correia (ALI100)</t>
  </si>
  <si>
    <t>Samara Paiva</t>
  </si>
  <si>
    <t>Ana / Vivendo de Confeitar</t>
  </si>
  <si>
    <t>Damásio</t>
  </si>
  <si>
    <t>Marcos Ressurreição</t>
  </si>
  <si>
    <t>Nuvem ERP</t>
  </si>
  <si>
    <t>Sthoudt</t>
  </si>
  <si>
    <t>Diego Teodoro</t>
  </si>
  <si>
    <t>Amado Ruben</t>
  </si>
  <si>
    <t>$ANTTOS NA VOZ 🎙</t>
  </si>
  <si>
    <t>Jefferson Campos | Marketing Aracaju</t>
  </si>
  <si>
    <t>ContadorPJ</t>
  </si>
  <si>
    <t>Plataforma Espinosa</t>
  </si>
  <si>
    <t>Mídia Studio Design</t>
  </si>
  <si>
    <t>GP1</t>
  </si>
  <si>
    <t>piXelDigitaLab</t>
  </si>
  <si>
    <t>RogerPost66 Pré Candidato Vereador Osasco</t>
  </si>
  <si>
    <t>Rafael Amorim</t>
  </si>
  <si>
    <t>Ricardo Miranda</t>
  </si>
  <si>
    <t>King _web_design</t>
  </si>
  <si>
    <t>Léo</t>
  </si>
  <si>
    <t>Coppola Assessoria Contábil e Tributária</t>
  </si>
  <si>
    <t>Pedro Ferr | Explorer</t>
  </si>
  <si>
    <t>Jeovani Costa</t>
  </si>
  <si>
    <t>Mundo infinito</t>
  </si>
  <si>
    <t>Thomaz Maciel</t>
  </si>
  <si>
    <t>Compra inteligente</t>
  </si>
  <si>
    <t>Rocket Media</t>
  </si>
  <si>
    <t>corumbaonline</t>
  </si>
  <si>
    <t>Paulo Borba</t>
  </si>
  <si>
    <t>Depilação e Estética Masculina</t>
  </si>
  <si>
    <t>PORTAL VIVA COTIA</t>
  </si>
  <si>
    <t>Rui</t>
  </si>
  <si>
    <t>Petra</t>
  </si>
  <si>
    <t>UFLA</t>
  </si>
  <si>
    <t>Campus Party Brasil</t>
  </si>
  <si>
    <t>Matheus | AAIA 🤖🇵🇹</t>
  </si>
  <si>
    <t>Deyvid Bueno</t>
  </si>
  <si>
    <t>Junta Comercial do Maranhão</t>
  </si>
  <si>
    <t>ILISP</t>
  </si>
  <si>
    <t>Jucepar</t>
  </si>
  <si>
    <t>FosoFamilia</t>
  </si>
  <si>
    <t>Marcone Verissimo</t>
  </si>
  <si>
    <t>Tarciso Souza</t>
  </si>
  <si>
    <t>MetaLog</t>
  </si>
  <si>
    <t>Captable</t>
  </si>
  <si>
    <t>TecMinho</t>
  </si>
  <si>
    <t>PatENT Project</t>
  </si>
  <si>
    <t>Willian Pereira</t>
  </si>
  <si>
    <t>Fronteira Livre</t>
  </si>
  <si>
    <t>ABES_SOFTWARE</t>
  </si>
  <si>
    <t>Tankker Brasil</t>
  </si>
  <si>
    <t>Pablo Becerra Romero</t>
  </si>
  <si>
    <t>Marketing New</t>
  </si>
  <si>
    <t>Instituto Empresa DE Família</t>
  </si>
  <si>
    <t>Henrique-Copywriting/Mídias Sociais</t>
  </si>
  <si>
    <t>Guerino Balestrassi</t>
  </si>
  <si>
    <t>AcontecendoAqui</t>
  </si>
  <si>
    <t>Armando Marcos</t>
  </si>
  <si>
    <t>Edu MEDEIROS</t>
  </si>
  <si>
    <t>Founder Institute Luanda</t>
  </si>
  <si>
    <t>Founder Institute</t>
  </si>
  <si>
    <t>Agência Capella</t>
  </si>
  <si>
    <t>Vika Invest News</t>
  </si>
  <si>
    <t>Danilo Recco</t>
  </si>
  <si>
    <t>moncave.space</t>
  </si>
  <si>
    <t>JONATHAN PRÓ/RENDA EXTRA!</t>
  </si>
  <si>
    <t>GranjaNews Newspaper</t>
  </si>
  <si>
    <t>Rodrigo Fontenele</t>
  </si>
  <si>
    <t>Jadson Oliveira</t>
  </si>
  <si>
    <t>Aline Viana</t>
  </si>
  <si>
    <t>Marcos Paulo Correa 🇧🇷🇧🇷🇧🇷</t>
  </si>
  <si>
    <t>COMPETE 2030</t>
  </si>
  <si>
    <t>Sebrae Maranhãoᅠᅠᅠᅠ</t>
  </si>
  <si>
    <t>Ci da GOW</t>
  </si>
  <si>
    <t>Cristian</t>
  </si>
  <si>
    <t>Luis Homero Orefice</t>
  </si>
  <si>
    <t>FacompCast</t>
  </si>
  <si>
    <t>Portal AL</t>
  </si>
  <si>
    <t>La perch</t>
  </si>
  <si>
    <t>ATIVU</t>
  </si>
  <si>
    <t>Portal Costa Norte</t>
  </si>
  <si>
    <t>Plenitude Educação</t>
  </si>
  <si>
    <t>POPÍSSIMO UNIVERSO</t>
  </si>
  <si>
    <t>Sebrae Tocantins</t>
  </si>
  <si>
    <t>Micael Ferreira</t>
  </si>
  <si>
    <t>Brasil 61</t>
  </si>
  <si>
    <t>Portal Valor Amazônico</t>
  </si>
  <si>
    <t>Jeronimo Lucindo | ZECHECK</t>
  </si>
  <si>
    <t>Avante70</t>
  </si>
  <si>
    <t>@mayra</t>
  </si>
  <si>
    <t>thiago martins sanches</t>
  </si>
  <si>
    <t>Felipe Oduardo</t>
  </si>
  <si>
    <t>Flávio Augusto</t>
  </si>
  <si>
    <t>Daniel Soares</t>
  </si>
  <si>
    <t>Diamante Bruto Poscast</t>
  </si>
  <si>
    <t>ImpressosRP</t>
  </si>
  <si>
    <t>Maycon Almeida</t>
  </si>
  <si>
    <t>É Notícia Pará</t>
  </si>
  <si>
    <t>WTV BRASIL</t>
  </si>
  <si>
    <t>DANIEL BORGES</t>
  </si>
  <si>
    <t>PronewsAI</t>
  </si>
  <si>
    <t>Day</t>
  </si>
  <si>
    <t>Cristiane Thiel</t>
  </si>
  <si>
    <t>Prefeitura de Niterói</t>
  </si>
  <si>
    <t>Coddy Moda</t>
  </si>
  <si>
    <t>valdeci deschamps</t>
  </si>
  <si>
    <t>George Paiva</t>
  </si>
  <si>
    <t>billa⚢︎</t>
  </si>
  <si>
    <t>Rick</t>
  </si>
  <si>
    <t>CRACEARA</t>
  </si>
  <si>
    <t>Mercado Digital</t>
  </si>
  <si>
    <t>Juliana Baltazar</t>
  </si>
  <si>
    <t>Carlos Ibarra A.</t>
  </si>
  <si>
    <t>Fernanda Scatolin</t>
  </si>
  <si>
    <t>Escola Técnica Geração</t>
  </si>
  <si>
    <t>Logisting Digital</t>
  </si>
  <si>
    <t>@trafegocomedu</t>
  </si>
  <si>
    <t>Cortes do investidor</t>
  </si>
  <si>
    <t>Portal do empreendedor 360</t>
  </si>
  <si>
    <t>Marcos Soares</t>
  </si>
  <si>
    <t>Vitor</t>
  </si>
  <si>
    <t>Easycob</t>
  </si>
  <si>
    <t>Diário do Minho</t>
  </si>
  <si>
    <t>40EMAIS</t>
  </si>
  <si>
    <t>Angel Villanueva</t>
  </si>
  <si>
    <t>Juliete Bezerra</t>
  </si>
  <si>
    <t>TRUSTGROUP</t>
  </si>
  <si>
    <t>Luiz Thiago Marinho</t>
  </si>
  <si>
    <t>UERJ Oficial</t>
  </si>
  <si>
    <t>Distribuidor - Herbalife Nutrition</t>
  </si>
  <si>
    <t>Julian Tonioli</t>
  </si>
  <si>
    <t>Wyden Araçatuba | Polo São João</t>
  </si>
  <si>
    <t>Mossca</t>
  </si>
  <si>
    <t>Marcio Bueno</t>
  </si>
  <si>
    <t>Plan B - Hangout</t>
  </si>
  <si>
    <t>Grupo 2mi</t>
  </si>
  <si>
    <t>Anderson Souza</t>
  </si>
  <si>
    <t>raialicysantana</t>
  </si>
  <si>
    <t>Fincatch</t>
  </si>
  <si>
    <t>Focus Contabilidade e Consultoria</t>
  </si>
  <si>
    <t>SrInfo</t>
  </si>
  <si>
    <t>Sebrae PR</t>
  </si>
  <si>
    <t>CERTFORM</t>
  </si>
  <si>
    <t>Anderson 🇧🇷🇧🇷🇧🇷 (Iphone 15, Link na Bio)</t>
  </si>
  <si>
    <t>CRA-ES</t>
  </si>
  <si>
    <t>Gazeta Expressa</t>
  </si>
  <si>
    <t>Lucas Neves | Fitness Marketing</t>
  </si>
  <si>
    <t>Nosso Meio</t>
  </si>
  <si>
    <t>liderandotododia</t>
  </si>
  <si>
    <t>Rodrigo Fala Sobre:</t>
  </si>
  <si>
    <t>Jornal Panorama</t>
  </si>
  <si>
    <t>Moura Marcas</t>
  </si>
  <si>
    <t>geo</t>
  </si>
  <si>
    <t>Vinnyvads</t>
  </si>
  <si>
    <t>EL PIG DE BOTAS in the FARM ❁🎙</t>
  </si>
  <si>
    <t>Corrupção Brasileira Memes - CBM</t>
  </si>
  <si>
    <t>Rafael Resende</t>
  </si>
  <si>
    <t>Fecomércio Tocantins</t>
  </si>
  <si>
    <t>Rafael Galasso</t>
  </si>
  <si>
    <t>Camila Barros</t>
  </si>
  <si>
    <t>Victor Hugo</t>
  </si>
  <si>
    <t>GovBa</t>
  </si>
  <si>
    <t>SepromiBa</t>
  </si>
  <si>
    <t>Roberto Vilela</t>
  </si>
  <si>
    <t>Money Times</t>
  </si>
  <si>
    <t>Ricardo F. Lima</t>
  </si>
  <si>
    <t>Gonçalo Cruz, Provedor de Externalidades Negativas</t>
  </si>
  <si>
    <t>vasco</t>
  </si>
  <si>
    <t>SóNotíciaBoa.com.br</t>
  </si>
  <si>
    <t>Willian Corrêa</t>
  </si>
  <si>
    <t>Day Santos</t>
  </si>
  <si>
    <t>Thetryum</t>
  </si>
  <si>
    <t>Pedro Euquério</t>
  </si>
  <si>
    <t>Josué Marks 🇧🇷</t>
  </si>
  <si>
    <t>Fernando Vítolo</t>
  </si>
  <si>
    <t>Conexão Amazônica</t>
  </si>
  <si>
    <t>Bitcoin &amp; Cash</t>
  </si>
  <si>
    <t>Lavi Da Parada</t>
  </si>
  <si>
    <t>Aligom Contabilidade Online</t>
  </si>
  <si>
    <t>Portal Valentina</t>
  </si>
  <si>
    <t>Ludson Silva Santos</t>
  </si>
  <si>
    <t>🟢 NandoRetornando</t>
  </si>
  <si>
    <t>🇧🇷🇺🇲Charles de Matos</t>
  </si>
  <si>
    <t>Valor Milionário</t>
  </si>
  <si>
    <t>Bernardo Kikuthi</t>
  </si>
  <si>
    <t>Profissional do Futuro</t>
  </si>
  <si>
    <t>robinson felix</t>
  </si>
  <si>
    <t>Preto John</t>
  </si>
  <si>
    <t>TECH MARKETING</t>
  </si>
  <si>
    <t>Delicias.dmaria</t>
  </si>
  <si>
    <t>André Colles</t>
  </si>
  <si>
    <t>Fabrizio Herrera</t>
  </si>
  <si>
    <t>Turismo de Portugal</t>
  </si>
  <si>
    <t>TV Senado</t>
  </si>
  <si>
    <t>Zequinha Marinho</t>
  </si>
  <si>
    <t>Senado Federal</t>
  </si>
  <si>
    <t>Irajá</t>
  </si>
  <si>
    <t>Weverton</t>
  </si>
  <si>
    <t>Jornal do Comércio</t>
  </si>
  <si>
    <t>Haruki 🅰️+</t>
  </si>
  <si>
    <t>Sebrae-SP</t>
  </si>
  <si>
    <t>TMota Contabilidade</t>
  </si>
  <si>
    <t>Viktor</t>
  </si>
  <si>
    <t>TODXS</t>
  </si>
  <si>
    <t>tomas com acento</t>
  </si>
  <si>
    <t>👻</t>
  </si>
  <si>
    <t>Veritas.Curitiba</t>
  </si>
  <si>
    <t>Agência Grifo | Soluções Criativas</t>
  </si>
  <si>
    <t>Buuk</t>
  </si>
  <si>
    <t>Garcia</t>
  </si>
  <si>
    <t>Adriana P. Assanuma (Artes Da Dri)🐶❤🙌🦂</t>
  </si>
  <si>
    <t>Irineu Berezanski</t>
  </si>
  <si>
    <t>Infinity Tax &amp; Business Services</t>
  </si>
  <si>
    <t>wanderley</t>
  </si>
  <si>
    <t>Fernando Xucro do Brasil</t>
  </si>
  <si>
    <t>ChatGuru</t>
  </si>
  <si>
    <t>Cupomention</t>
  </si>
  <si>
    <t>Prof Cristiano Ricardo 🎓💊💉</t>
  </si>
  <si>
    <t>Fluir IBG</t>
  </si>
  <si>
    <t>SmartWeb Informática</t>
  </si>
  <si>
    <t>Revin</t>
  </si>
  <si>
    <t>Prefeitura de Araquari</t>
  </si>
  <si>
    <t>ProdCast Explorers</t>
  </si>
  <si>
    <t>Samuel Guimarães Santos</t>
  </si>
  <si>
    <t>jovem_vegas</t>
  </si>
  <si>
    <t>Eric Joh Lopes</t>
  </si>
  <si>
    <t>Sing Comunicação</t>
  </si>
  <si>
    <t>mercadoerotico</t>
  </si>
  <si>
    <t>Gabriel Ramos dos Santos</t>
  </si>
  <si>
    <t>Galax Pay</t>
  </si>
  <si>
    <t>Jornal do Oeste</t>
  </si>
  <si>
    <t>Gleycon Fernandes</t>
  </si>
  <si>
    <t>Giovani Mattos</t>
  </si>
  <si>
    <t>Fernando Tosi</t>
  </si>
  <si>
    <t>CONFAP</t>
  </si>
  <si>
    <t>CNPq</t>
  </si>
  <si>
    <t>Kleber Zonaro</t>
  </si>
  <si>
    <t>Tânia 🌷</t>
  </si>
  <si>
    <t>Campos Machado</t>
  </si>
  <si>
    <t>Senador Efraim</t>
  </si>
  <si>
    <t>TikiTakaAffiliate</t>
  </si>
  <si>
    <t>Jornal Voz do Litoral</t>
  </si>
  <si>
    <t>Márcio Pomina J</t>
  </si>
  <si>
    <t>raquelsampaio</t>
  </si>
  <si>
    <t>cely</t>
  </si>
  <si>
    <t>Dinheirama.com</t>
  </si>
  <si>
    <t>Negociosensuramerica</t>
  </si>
  <si>
    <t>João Paulo - Bipo Contabilidade</t>
  </si>
  <si>
    <t>Marco Patinha</t>
  </si>
  <si>
    <t>Lieneide Contadora</t>
  </si>
  <si>
    <t>PaitaDosCortes+18</t>
  </si>
  <si>
    <t>Tecnologias TEK</t>
  </si>
  <si>
    <t>Prefeitura de São José do Seridó</t>
  </si>
  <si>
    <t>Josiel Alcolumbre</t>
  </si>
  <si>
    <t>Sebrae no DF</t>
  </si>
  <si>
    <t>Nerimar Mendes</t>
  </si>
  <si>
    <t>ArtDelight Letícia Machado</t>
  </si>
  <si>
    <t>Magnabarbosa</t>
  </si>
  <si>
    <t>Instituto Êxito de Empreendedorismo</t>
  </si>
  <si>
    <t>Cris Alcantara</t>
  </si>
  <si>
    <t>Kim Soy Yo</t>
  </si>
  <si>
    <t>Vivo</t>
  </si>
  <si>
    <t>Café Amargo</t>
  </si>
  <si>
    <t>Ouriço de cartola</t>
  </si>
  <si>
    <t>Md,Alamin Sheikh</t>
  </si>
  <si>
    <t>Grupo JBG3</t>
  </si>
  <si>
    <t>Rafael Ramos</t>
  </si>
  <si>
    <t>BBG telecom</t>
  </si>
  <si>
    <t>Mariana Barbosa</t>
  </si>
  <si>
    <t>Josival Bezerra</t>
  </si>
  <si>
    <t>Alexander 🇧🇷</t>
  </si>
  <si>
    <t>Ricardo Galdino</t>
  </si>
  <si>
    <t>Tribuna Hoje</t>
  </si>
  <si>
    <t>Tipzar</t>
  </si>
  <si>
    <t>Fernando Sant'Anna</t>
  </si>
  <si>
    <t>lfs santos contabilidade</t>
  </si>
  <si>
    <t>Beto Andrades</t>
  </si>
  <si>
    <t>Jonny Viccari</t>
  </si>
  <si>
    <t>Smart Defence</t>
  </si>
  <si>
    <t>IAPMEI</t>
  </si>
  <si>
    <t>MOTIVADOR EXPERT 👑💸</t>
  </si>
  <si>
    <t>SINDpd-Ce</t>
  </si>
  <si>
    <t>Hilton Boss</t>
  </si>
  <si>
    <t>Hilton</t>
  </si>
  <si>
    <t>Lincoln de santana</t>
  </si>
  <si>
    <t>Angelo Canuto</t>
  </si>
  <si>
    <t>Maraisa Matos</t>
  </si>
  <si>
    <t>Learnknowd</t>
  </si>
  <si>
    <t>TiagoFr 🐅</t>
  </si>
  <si>
    <t>DEV #impostoÉroubo</t>
  </si>
  <si>
    <t>Jhonata Lima</t>
  </si>
  <si>
    <t>Carolina Fernandes</t>
  </si>
  <si>
    <t>Imcuba Angola</t>
  </si>
  <si>
    <t>Zacombisk</t>
  </si>
  <si>
    <t>Easybiz Brasil</t>
  </si>
  <si>
    <t>Portal Setor Saúde</t>
  </si>
  <si>
    <t>HCPA</t>
  </si>
  <si>
    <t>Sebrae RS</t>
  </si>
  <si>
    <t>lanjer7</t>
  </si>
  <si>
    <t>MindTek</t>
  </si>
  <si>
    <t>Webmor - Assessoria de vendas</t>
  </si>
  <si>
    <t>DOL CARAJÁS</t>
  </si>
  <si>
    <t>VICTOR A.GAETE PEREZ</t>
  </si>
  <si>
    <t>Moisés de melo leal</t>
  </si>
  <si>
    <t>Estado de Minas</t>
  </si>
  <si>
    <t>Brian Dordevic</t>
  </si>
  <si>
    <t>Notion</t>
  </si>
  <si>
    <t>Grammarly</t>
  </si>
  <si>
    <t>Evernote</t>
  </si>
  <si>
    <t>Hubstaff</t>
  </si>
  <si>
    <t>Rocket.Chat</t>
  </si>
  <si>
    <t>João Bruno Cânovas</t>
  </si>
  <si>
    <t>Nova Era Estratégia</t>
  </si>
  <si>
    <t>Universidade BlackRat</t>
  </si>
  <si>
    <t>Thiago Maduro</t>
  </si>
  <si>
    <t>Kasparov_1988</t>
  </si>
  <si>
    <t>Carlos Radunz</t>
  </si>
  <si>
    <t>Diogo</t>
  </si>
  <si>
    <t>ANDREA SANTOS</t>
  </si>
  <si>
    <t>Henrique Arake</t>
  </si>
  <si>
    <t>W🇦gner Reis</t>
  </si>
  <si>
    <t>Professor Júlio Reis</t>
  </si>
  <si>
    <t>Jones Arruda</t>
  </si>
  <si>
    <t>perolero</t>
  </si>
  <si>
    <t>TSO</t>
  </si>
  <si>
    <t>Soraya Guillen</t>
  </si>
  <si>
    <t>Alan Pernancini</t>
  </si>
  <si>
    <t>Rodrigo Abreu</t>
  </si>
  <si>
    <t>Universidade FM</t>
  </si>
  <si>
    <t>ECL - Escritório de Contabilidade Lemos</t>
  </si>
  <si>
    <t>Murilo Galdino</t>
  </si>
  <si>
    <t>Hoffmann Marketing e Vendas</t>
  </si>
  <si>
    <t>PROFESSOR FAVORETTO</t>
  </si>
  <si>
    <t>Roberto Justus Ofici</t>
  </si>
  <si>
    <t>Ricardo Rocha</t>
  </si>
  <si>
    <t>Orcose Contabilidade</t>
  </si>
  <si>
    <t>Andrés López</t>
  </si>
  <si>
    <t>Mark Johnson</t>
  </si>
  <si>
    <t>K12Prospects</t>
  </si>
  <si>
    <t>Fernando Nunes</t>
  </si>
  <si>
    <t>Bruno Gomez</t>
  </si>
  <si>
    <t>Universidade Madeira</t>
  </si>
  <si>
    <t>Vanio Fortes</t>
  </si>
  <si>
    <t>MJovem Empreendedor🟢</t>
  </si>
  <si>
    <t>Ruyter</t>
  </si>
  <si>
    <t>Centro de Negocios SBDC</t>
  </si>
  <si>
    <t>Expandindo_horizonte</t>
  </si>
  <si>
    <t>Ricardo Agostinho</t>
  </si>
  <si>
    <t>Portal Barueri Na Web</t>
  </si>
  <si>
    <t>Yuri Gambogi</t>
  </si>
  <si>
    <t>duChapeu</t>
  </si>
  <si>
    <t>Walter Correa</t>
  </si>
  <si>
    <t>Presleyson Lima</t>
  </si>
  <si>
    <t>Drª Renata Matias</t>
  </si>
  <si>
    <t>Paulo Dalla Nora Macedo</t>
  </si>
  <si>
    <t>Franchise Store</t>
  </si>
  <si>
    <t>Infinit Store</t>
  </si>
  <si>
    <t>Ofertas da shoppee 💃🕺🎁🎁🎀🎀</t>
  </si>
  <si>
    <t>MDF TECHNOLOGY</t>
  </si>
  <si>
    <t>ECON</t>
  </si>
  <si>
    <t>Brava Capital</t>
  </si>
  <si>
    <t>Pontocom Contabilidade</t>
  </si>
  <si>
    <t>Leonardo Dantas</t>
  </si>
  <si>
    <t>iPM Solution</t>
  </si>
  <si>
    <t>Ivo Antônio Clemente Júnior</t>
  </si>
  <si>
    <t>Andre Gaidzinski</t>
  </si>
  <si>
    <t>Faria Lima Elevator</t>
  </si>
  <si>
    <t>Shout the Truth!</t>
  </si>
  <si>
    <t>Anderson Aldori Advocacia</t>
  </si>
  <si>
    <t>Memeiros - Notícias, Fofocas e Famosos</t>
  </si>
  <si>
    <t>Sergio Vidigal</t>
  </si>
  <si>
    <t>Tribuna do Paraná</t>
  </si>
  <si>
    <t>Marco Fernandes</t>
  </si>
  <si>
    <t>Cris Loose Compartilha</t>
  </si>
  <si>
    <t>Giselli Vieira de Souza Ribeiro</t>
  </si>
  <si>
    <t>Capede / Acelerador de carreira</t>
  </si>
  <si>
    <t>Fasque Technologies</t>
  </si>
  <si>
    <t>Cida Muniz</t>
  </si>
  <si>
    <t>Pedro Cavalcante</t>
  </si>
  <si>
    <t>O Confeiteiro Digital</t>
  </si>
  <si>
    <t>Webcer Marketing Digital</t>
  </si>
  <si>
    <t>Falando Tech</t>
  </si>
  <si>
    <t>Sam</t>
  </si>
  <si>
    <t>Web Thomaz Negócios Digitais</t>
  </si>
  <si>
    <t>Maurício de Andrade</t>
  </si>
  <si>
    <t>Fabrizio</t>
  </si>
  <si>
    <t>anne</t>
  </si>
  <si>
    <t>brain briliant</t>
  </si>
  <si>
    <t>FAPESQ-PB</t>
  </si>
  <si>
    <t>Carbio Waqued</t>
  </si>
  <si>
    <t>Ricardo</t>
  </si>
  <si>
    <t>Cristian Huff</t>
  </si>
  <si>
    <t>Datta Büsiness</t>
  </si>
  <si>
    <t>Jorginho</t>
  </si>
  <si>
    <t>Domingostsucane</t>
  </si>
  <si>
    <t>Talk Thor</t>
  </si>
  <si>
    <t>ValueHost Hospedagem</t>
  </si>
  <si>
    <t>Unifesp</t>
  </si>
  <si>
    <t>Markinhos Não-Show</t>
  </si>
  <si>
    <t>PWN Luanda</t>
  </si>
  <si>
    <t>Fundação Banco do Brasil</t>
  </si>
  <si>
    <t>Lucas Garcia | Freelucasg</t>
  </si>
  <si>
    <t>Luzimar Carpinter</t>
  </si>
  <si>
    <t>Revista Saneamento Ambiental</t>
  </si>
  <si>
    <t>Cabo Verde Digital</t>
  </si>
  <si>
    <t>Renan Barbalho</t>
  </si>
  <si>
    <t>Cortes visionários</t>
  </si>
  <si>
    <t>@RumoAoSucessoJuntos</t>
  </si>
  <si>
    <t>Agência Quickening</t>
  </si>
  <si>
    <t>Cabimba Corporation</t>
  </si>
  <si>
    <t>Rede Rural Nacional</t>
  </si>
  <si>
    <t>Kadu Baracho</t>
  </si>
  <si>
    <t>Gabriela</t>
  </si>
  <si>
    <t>naseem.2003</t>
  </si>
  <si>
    <t>Javier Villcam 6</t>
  </si>
  <si>
    <t>Cristine Soares</t>
  </si>
  <si>
    <t>Kevin Klein</t>
  </si>
  <si>
    <t>Celso Domingos</t>
  </si>
  <si>
    <t>Sarah Santiago</t>
  </si>
  <si>
    <t>Mackenzie Oficial</t>
  </si>
  <si>
    <t>Erlanger</t>
  </si>
  <si>
    <t>Julia Tolipan</t>
  </si>
  <si>
    <t>Gecko Cripto</t>
  </si>
  <si>
    <t>Carim</t>
  </si>
  <si>
    <t>Nilo Alves</t>
  </si>
  <si>
    <t>cascais</t>
  </si>
  <si>
    <t>MANC</t>
  </si>
  <si>
    <t>Super Jovem</t>
  </si>
  <si>
    <t>Matheus</t>
  </si>
  <si>
    <t>PMI Bahia Chapter</t>
  </si>
  <si>
    <t>ANBA</t>
  </si>
  <si>
    <t>Léo Begin</t>
  </si>
  <si>
    <t>Senai</t>
  </si>
  <si>
    <t>SENAI</t>
  </si>
  <si>
    <t>Centro de Ensino e Pesquisa em Inovação - FGV-SP</t>
  </si>
  <si>
    <t>afundadores de startup</t>
  </si>
  <si>
    <t>meuSucesso.com | Escola de empreendedores</t>
  </si>
  <si>
    <t>ONU Mulheres Brasil</t>
  </si>
  <si>
    <t>MdeMulher</t>
  </si>
  <si>
    <t>Papo Empreendedora</t>
  </si>
  <si>
    <t>Coca-Cola Brasil 🧊</t>
  </si>
  <si>
    <t>⚡Empreendedorismo Produtivo</t>
  </si>
  <si>
    <t>REDE DE INOVAÇÃO</t>
  </si>
  <si>
    <t>Agência USP de Inovação</t>
  </si>
  <si>
    <t>Startup Brasil</t>
  </si>
  <si>
    <t>BTG Pactual</t>
  </si>
  <si>
    <t>Jornal Empreendedor</t>
  </si>
  <si>
    <t>Frente Parlamentar do Empreendedorismo</t>
  </si>
  <si>
    <t>Anhanguera-Uniderp</t>
  </si>
  <si>
    <t>UCDB</t>
  </si>
  <si>
    <t>Empreendedor</t>
  </si>
  <si>
    <t>Pequenas Empresas &amp; Grandes Negócios</t>
  </si>
  <si>
    <t>Sou Empresário</t>
  </si>
  <si>
    <t>www.inovacaotecnologica.com.br</t>
  </si>
  <si>
    <t>InteligenciaArtificial</t>
  </si>
  <si>
    <t>InteligenciaArtificial.blog</t>
  </si>
  <si>
    <t>inteligenciaartificial</t>
  </si>
  <si>
    <t>StartUp Magazine</t>
  </si>
  <si>
    <t>Sistema Fiems</t>
  </si>
  <si>
    <t>Sebrae MS</t>
  </si>
  <si>
    <t>Empreendedor Nem é Gente</t>
  </si>
  <si>
    <t>AliançaEmpreendedora</t>
  </si>
  <si>
    <t>Super Empreendedores</t>
  </si>
  <si>
    <t>Sebrae/RJ</t>
  </si>
  <si>
    <t>Joilson Cordeiro Bas</t>
  </si>
  <si>
    <t>BetaCodex Press</t>
  </si>
  <si>
    <t>BetaCodex em Português</t>
  </si>
  <si>
    <t>Diego Skda</t>
  </si>
  <si>
    <t>Helena Tucuju</t>
  </si>
  <si>
    <t>UPGRADE RH</t>
  </si>
  <si>
    <t>Professor César Urtado</t>
  </si>
  <si>
    <t>IQ Option Portuguese</t>
  </si>
  <si>
    <t>Ricardo Cancio Santos</t>
  </si>
  <si>
    <t>Liibe Box</t>
  </si>
  <si>
    <t>Alejandro Dicovsky</t>
  </si>
  <si>
    <t>Bernardo Zamijovsky</t>
  </si>
  <si>
    <t>Serra em Pauta</t>
  </si>
  <si>
    <t>Matheus Bastos</t>
  </si>
  <si>
    <t>Vinicius Santana 🇧🇷</t>
  </si>
  <si>
    <t>Sandra  Pedroso</t>
  </si>
  <si>
    <t>Angra</t>
  </si>
  <si>
    <t>g1 Rio</t>
  </si>
  <si>
    <t>Anderson Couzaqueviti</t>
  </si>
  <si>
    <t>Luciano Maynard Barreto</t>
  </si>
  <si>
    <t>Diego Araújo 🇧🇷</t>
  </si>
  <si>
    <t>Blog do Hiel Levy</t>
  </si>
  <si>
    <t>Hablas Raiam</t>
  </si>
  <si>
    <t>FAPERJ</t>
  </si>
  <si>
    <t>Finep</t>
  </si>
  <si>
    <t>Ministério da Ciência, Tecnologia e Inovação</t>
  </si>
  <si>
    <t>RodrigoBrunoColombo</t>
  </si>
  <si>
    <t>Governo do Amapá</t>
  </si>
  <si>
    <t>Elo Consultoria Tributária</t>
  </si>
  <si>
    <t>Leonardo Afonso Machado</t>
  </si>
  <si>
    <t>Manoel Santos</t>
  </si>
  <si>
    <t>Vowt E-commerce Sem Limites</t>
  </si>
  <si>
    <t>Bruno Marques</t>
  </si>
  <si>
    <t>Alphazin Foda</t>
  </si>
  <si>
    <t>Bruno Darolt - BD Consultoria</t>
  </si>
  <si>
    <t>James Clark</t>
  </si>
  <si>
    <t>Alexandre 🌐🇺🇦</t>
  </si>
  <si>
    <t>Nuno do Sudoeste 🇵🇸🇺🇦</t>
  </si>
  <si>
    <t>Startup Blog</t>
  </si>
  <si>
    <t>Seap Pará</t>
  </si>
  <si>
    <t>Ugo ❙ AI</t>
  </si>
  <si>
    <t>Tiago | Negocios Com IA</t>
  </si>
  <si>
    <t>Meio&amp;Mensagem</t>
  </si>
  <si>
    <t>REGGI</t>
  </si>
  <si>
    <t>Prefeitura de Criciúma</t>
  </si>
  <si>
    <t>g1 Amazonas</t>
  </si>
  <si>
    <t>Dieny Souza</t>
  </si>
  <si>
    <t>exemplusconsultoria</t>
  </si>
  <si>
    <t>HACKER DO ORGÂNICO</t>
  </si>
  <si>
    <t>Lions Marcas e Patentes ®️.</t>
  </si>
  <si>
    <t>Diego Alves</t>
  </si>
  <si>
    <t>Jenny bunny</t>
  </si>
  <si>
    <t>Jornal Tribuna</t>
  </si>
  <si>
    <t>Pravaler</t>
  </si>
  <si>
    <t>mortadela daydreams 🦟</t>
  </si>
  <si>
    <t>Governo do Estado do Rio Grande do Norte</t>
  </si>
  <si>
    <t>BBC News (UK)</t>
  </si>
  <si>
    <t>ᴀʟᴇxᴀɴᴅʀᴇ ᴇx ᴍᴀᴄʜɪɴᴀ</t>
  </si>
  <si>
    <t>Natália</t>
  </si>
  <si>
    <t>faz_o_ele_sim</t>
  </si>
  <si>
    <t>Senior Consulting</t>
  </si>
  <si>
    <t>Illuminium Nativis</t>
  </si>
  <si>
    <t>Portal O Poder</t>
  </si>
  <si>
    <t>Filippe Maia Castilho</t>
  </si>
  <si>
    <t>Vida Simples</t>
  </si>
  <si>
    <t>Sonhadores do Milênio</t>
  </si>
  <si>
    <t>She is From the Jungle</t>
  </si>
  <si>
    <t>CUFA</t>
  </si>
  <si>
    <t>Sebrae Pernambuco</t>
  </si>
  <si>
    <t>Problem VAI PRO SI24 🏆</t>
  </si>
  <si>
    <t>Eisenhower Tartarott</t>
  </si>
  <si>
    <t>RianSousa_ofc</t>
  </si>
  <si>
    <t>Versa Brasil</t>
  </si>
  <si>
    <t>Yago Reis</t>
  </si>
  <si>
    <t>Front-End CE</t>
  </si>
  <si>
    <t>Cake Comunicação</t>
  </si>
  <si>
    <t>Instituto Brasília de Tecnologia e Inovação - IBTI</t>
  </si>
  <si>
    <t>Udesc Esag</t>
  </si>
  <si>
    <t>Udesc</t>
  </si>
  <si>
    <t>Ribeiro Social Media</t>
  </si>
  <si>
    <t>M Araujo Assessoria Contábil</t>
  </si>
  <si>
    <t>Ken MwanaMukongo</t>
  </si>
  <si>
    <t>Mwata_Imperador_Katchokwe</t>
  </si>
  <si>
    <t>Agência Divulgar Meu Negócio</t>
  </si>
  <si>
    <t>Nebula Tech</t>
  </si>
  <si>
    <t>Rota da Fruticultura Ride - DF</t>
  </si>
  <si>
    <t>João Neto</t>
  </si>
  <si>
    <t>Fernanda</t>
  </si>
  <si>
    <t>walid alassi</t>
  </si>
  <si>
    <t>Rafael Arruda</t>
  </si>
  <si>
    <t>Celso Mogari</t>
  </si>
  <si>
    <t>Rogerio Fameli | Contador CEO</t>
  </si>
  <si>
    <t>Rascunho - Marketing E Publicidade</t>
  </si>
  <si>
    <t>ana paula dahlke</t>
  </si>
  <si>
    <t>Nick Piercing</t>
  </si>
  <si>
    <t>Loja Xiririca</t>
  </si>
  <si>
    <t>Sistema iScholar</t>
  </si>
  <si>
    <t>Tropical Hub</t>
  </si>
  <si>
    <t>Economia SC</t>
  </si>
  <si>
    <t>FCQ Advogados</t>
  </si>
  <si>
    <t>Feliciano Aires Nunes</t>
  </si>
  <si>
    <t>SIS Serviços Integrados Seguros</t>
  </si>
  <si>
    <t>Jornal Empresas e Negócios</t>
  </si>
  <si>
    <t>Ferini Insights</t>
  </si>
  <si>
    <t>Universal de Contabilidade SS.</t>
  </si>
  <si>
    <t>Jomar FALCÃO</t>
  </si>
  <si>
    <t>Prefeitura de Manaus</t>
  </si>
  <si>
    <t>Wedson Silva</t>
  </si>
  <si>
    <t>Ivone Silva</t>
  </si>
  <si>
    <t>Sefaz Salvador</t>
  </si>
  <si>
    <t>Lucas Miranda</t>
  </si>
  <si>
    <t>Rogerio Wilbert</t>
  </si>
  <si>
    <t>TV Cultura</t>
  </si>
  <si>
    <t>ESCE-IPS</t>
  </si>
  <si>
    <t>Colabora - Jornalismo Sustentável</t>
  </si>
  <si>
    <t>Keevo</t>
  </si>
  <si>
    <t>OCD contábil</t>
  </si>
  <si>
    <t>Notícias de entretenimento | Many.News</t>
  </si>
  <si>
    <t>AbimarBuriti</t>
  </si>
  <si>
    <t>Performando Vidas</t>
  </si>
  <si>
    <t>Kenlo</t>
  </si>
  <si>
    <t>Expofavela Ceará</t>
  </si>
  <si>
    <t>Regina Casé</t>
  </si>
  <si>
    <t>preta@gostosa.com.br</t>
  </si>
  <si>
    <t>Portal de Prefeitura</t>
  </si>
  <si>
    <t>Chef Pizzaiolo</t>
  </si>
  <si>
    <t>Kunde Kwalile II</t>
  </si>
  <si>
    <t>Futuro AI Brasil</t>
  </si>
  <si>
    <t>Fx Bank</t>
  </si>
  <si>
    <t>Itamar Borges</t>
  </si>
  <si>
    <t>Felipe Scavuzzi 🇧🇷</t>
  </si>
  <si>
    <t>O Melhor Trato</t>
  </si>
  <si>
    <t>REVISTA MUNDOCOOP</t>
  </si>
  <si>
    <t>BargainBlitz</t>
  </si>
  <si>
    <t>Vinicius Rocha</t>
  </si>
  <si>
    <t>LuisMi Cristian</t>
  </si>
  <si>
    <t>Fernanda Barbosa | Flamengo</t>
  </si>
  <si>
    <t>🌺 Jozy 🇧🇷 🇺🇸</t>
  </si>
  <si>
    <t>Nazaré Amarga</t>
  </si>
  <si>
    <t>Fabí Souzza</t>
  </si>
  <si>
    <t>Victor Hugo Garcia</t>
  </si>
  <si>
    <t>Fort Metalúrgica | Fort Design</t>
  </si>
  <si>
    <t>Diego oliveira</t>
  </si>
  <si>
    <t>Empreenda CG</t>
  </si>
  <si>
    <t>TemEvento.com</t>
  </si>
  <si>
    <t>Vagner Caldas ® 🤓💵💰</t>
  </si>
  <si>
    <t>Grupo Markar</t>
  </si>
  <si>
    <t>thayᶜʳᶠ</t>
  </si>
  <si>
    <t>Ventilador Fan Store</t>
  </si>
  <si>
    <t>Sejadonnes</t>
  </si>
  <si>
    <t>Dr. Djones Hessel I Advogado</t>
  </si>
  <si>
    <t>Amamos a Vida Real</t>
  </si>
  <si>
    <t>APO Group Português</t>
  </si>
  <si>
    <t>African Development Bank Group</t>
  </si>
  <si>
    <t>Alibaba Group</t>
  </si>
  <si>
    <t>Jack Ma Foundation</t>
  </si>
  <si>
    <t>Africa’s Business Heroes</t>
  </si>
  <si>
    <t>💛💙POLÍTICA POD | Por Tátiana Fedatto Andrade</t>
  </si>
  <si>
    <t>Fala Barreiras</t>
  </si>
  <si>
    <t>Growing'Scape.</t>
  </si>
  <si>
    <t>Jecika Oliveira |Trafego pago</t>
  </si>
  <si>
    <t>Publicados Brasil</t>
  </si>
  <si>
    <t>Empreenda Tech Innovation</t>
  </si>
  <si>
    <t>Bangu Urgente News</t>
  </si>
  <si>
    <t>Nosso Bairro JPA</t>
  </si>
  <si>
    <t>Mariele Blauth</t>
  </si>
  <si>
    <t>ABRAVIDRO</t>
  </si>
  <si>
    <t>O Caminho Oposto</t>
  </si>
  <si>
    <t>simtomapoesia</t>
  </si>
  <si>
    <t>NOVO SP SANTOS</t>
  </si>
  <si>
    <t>Emiliano Braga dos Santos</t>
  </si>
  <si>
    <t>ODVIX - Sistema de Gestão Online</t>
  </si>
  <si>
    <t>Chaveiro Ponte do Imaruim 24h</t>
  </si>
  <si>
    <t>Claudio Dantas</t>
  </si>
  <si>
    <t>Dani Fontenelle</t>
  </si>
  <si>
    <t>Carreira Profissional</t>
  </si>
  <si>
    <t>Wagner</t>
  </si>
  <si>
    <t>Diogo f.k.a. Player Dois | diogoalttab.bsky.social</t>
  </si>
  <si>
    <t>ohanna</t>
  </si>
  <si>
    <t>Total Service Consultoria</t>
  </si>
  <si>
    <t>Leonardo</t>
  </si>
  <si>
    <t>QUATRO RODAS</t>
  </si>
  <si>
    <t>Odilon De Borba</t>
  </si>
  <si>
    <t>Alexandre Weimer</t>
  </si>
  <si>
    <t>DAMÁSIO | ARAÇATUBA</t>
  </si>
  <si>
    <t>Melqui Lima</t>
  </si>
  <si>
    <t>Projeto 1%</t>
  </si>
  <si>
    <t>Nicolas I</t>
  </si>
  <si>
    <t>Frases de Crescimento</t>
  </si>
  <si>
    <t>8NineteenProLAb</t>
  </si>
  <si>
    <t>CRIARTE PUBLICIDADE</t>
  </si>
  <si>
    <t>FabricioViana.com 🏳️‍🌈 Onlyfans, Livros, Blog...</t>
  </si>
  <si>
    <t>Cleverson Lacerda</t>
  </si>
  <si>
    <t>Jailson Ferreira</t>
  </si>
  <si>
    <t>@Afroditelingeriesexyshop ❤️‍🔥</t>
  </si>
  <si>
    <t>Ana Cristina</t>
  </si>
  <si>
    <t>Matheus Arzua</t>
  </si>
  <si>
    <t>Órbi</t>
  </si>
  <si>
    <t>Ederson Melo</t>
  </si>
  <si>
    <t>Achados da Shopee</t>
  </si>
  <si>
    <t>Governo de Pernambuco</t>
  </si>
  <si>
    <t>Unhas de deusa</t>
  </si>
  <si>
    <t>CUFA-ES</t>
  </si>
  <si>
    <t>Hojemais Araçatuba</t>
  </si>
  <si>
    <t>Mais Educativa</t>
  </si>
  <si>
    <t>CLM Controller</t>
  </si>
  <si>
    <t>Evolução Gestão Empresarial LTDA</t>
  </si>
  <si>
    <t>AbraCloud</t>
  </si>
  <si>
    <t>Alessandro dos Reis</t>
  </si>
  <si>
    <t>Martcon</t>
  </si>
  <si>
    <t>Vamos Automatizar</t>
  </si>
  <si>
    <t>Cortes Arquimilionarios</t>
  </si>
  <si>
    <t>Portal Juristec</t>
  </si>
  <si>
    <t>🅴🆂 🅼🅰🆁🅺🅴🆃🅸🅽🅶 🅳🅸🅶🅸🆃🅰🅻</t>
  </si>
  <si>
    <t>Revista AtoZ</t>
  </si>
  <si>
    <t>PSD Web</t>
  </si>
  <si>
    <t>Celso Mellani</t>
  </si>
  <si>
    <t>Prefeitura Municipal de Anchieta ES</t>
  </si>
  <si>
    <t>sabrina</t>
  </si>
  <si>
    <t>Wesley</t>
  </si>
  <si>
    <t>el tito | luis vinicius</t>
  </si>
  <si>
    <t>casado @ faerûn</t>
  </si>
  <si>
    <t>Amazon.com.br</t>
  </si>
  <si>
    <t>CUFA Brasil</t>
  </si>
  <si>
    <t>Expo Favela</t>
  </si>
  <si>
    <t>TV Globo 📺</t>
  </si>
  <si>
    <t>Celso Athayde</t>
  </si>
  <si>
    <t>Expo Favela Rio de Janeiro</t>
  </si>
  <si>
    <t>Cidade das Artes Bibi Ferreira</t>
  </si>
  <si>
    <t>CUFA Rio de Janeiro</t>
  </si>
  <si>
    <t>Kamay Ventures</t>
  </si>
  <si>
    <t>ST-One</t>
  </si>
  <si>
    <t>dinerama</t>
  </si>
  <si>
    <t>Autaza Tecnologia</t>
  </si>
  <si>
    <t>AgTrace</t>
  </si>
  <si>
    <t>Pix Force</t>
  </si>
  <si>
    <t>Implanta IT</t>
  </si>
  <si>
    <t>Pinkasas</t>
  </si>
  <si>
    <t>Motivational quotes</t>
  </si>
  <si>
    <t>Douglas Soares </t>
  </si>
  <si>
    <t>Rapper Pirataᅠᅠᅠᅠᅠᅠᅠᅠᅠᅠᅠᅠᅠᅠᅠᅠᅠᅠᅠᅠᅠ</t>
  </si>
  <si>
    <t>Ricardo Carvalho</t>
  </si>
  <si>
    <t>Marco</t>
  </si>
  <si>
    <t>HOPE - Saúde</t>
  </si>
  <si>
    <t>Walison Silva✨💸</t>
  </si>
  <si>
    <t>Tatiana Feu | Analista Corporal em Londres</t>
  </si>
  <si>
    <t>Anna Santos</t>
  </si>
  <si>
    <t>Francisca Mendes</t>
  </si>
  <si>
    <t>SulMinas TV</t>
  </si>
  <si>
    <t>Jochen Nubbenholt</t>
  </si>
  <si>
    <t>Manoel Victor Lemos</t>
  </si>
  <si>
    <t>Charles Toledo</t>
  </si>
  <si>
    <t>Scalo Digital</t>
  </si>
  <si>
    <t>AMA | Agentes do Meio Ambiente</t>
  </si>
  <si>
    <t>Marcos Faiock Bomfim</t>
  </si>
  <si>
    <t>__.Mentalidadesucesso</t>
  </si>
  <si>
    <t>UNINTER PICOS</t>
  </si>
  <si>
    <t>Samira Ramalho</t>
  </si>
  <si>
    <t xml:space="preserve">Sebrae Piauí </t>
  </si>
  <si>
    <t>Luís Miguel Costa</t>
  </si>
  <si>
    <t>Ossanda Liber</t>
  </si>
  <si>
    <t>Imprensa Aberta</t>
  </si>
  <si>
    <t>Peneda Gerês TV</t>
  </si>
  <si>
    <t>Alex Barato Bebidas</t>
  </si>
  <si>
    <t>Be Yours Co.</t>
  </si>
  <si>
    <t>Tempo de Negocio</t>
  </si>
  <si>
    <t>NewsSantaCatarina</t>
  </si>
  <si>
    <t>Onjornal</t>
  </si>
  <si>
    <t>Barbara Alcântara</t>
  </si>
  <si>
    <t>Lula</t>
  </si>
  <si>
    <t>Roger Rocha Moreira</t>
  </si>
  <si>
    <t>Roberto Motta</t>
  </si>
  <si>
    <t>Diário de Uberlândia</t>
  </si>
  <si>
    <t>Rodrigo Baldoino</t>
  </si>
  <si>
    <t>Bahia Camarões 🦐</t>
  </si>
  <si>
    <t>Rádio CDL FM | 102.9</t>
  </si>
  <si>
    <t>unesp.feis</t>
  </si>
  <si>
    <t>Pater Contabilidade</t>
  </si>
  <si>
    <t>Moon Acessórios</t>
  </si>
  <si>
    <t>MarcosLiotti</t>
  </si>
  <si>
    <t>Virtuale Estudio®</t>
  </si>
  <si>
    <t>Frederico Macedo</t>
  </si>
  <si>
    <t>Gomito Digital</t>
  </si>
  <si>
    <t>luna do harry potter</t>
  </si>
  <si>
    <t>Quarentona Assumida </t>
  </si>
  <si>
    <t>Luciano Tokikawa</t>
  </si>
  <si>
    <t>Inventivos</t>
  </si>
  <si>
    <t>A Força do Empreendedor Paraense</t>
  </si>
  <si>
    <t>Rubens Magno</t>
  </si>
  <si>
    <t>DICAS DA LOVEZINHA</t>
  </si>
  <si>
    <t>Giovanna Gama | GAMA IMOBILIÁRIA</t>
  </si>
  <si>
    <t>G2MIX</t>
  </si>
  <si>
    <t>Criar Digital</t>
  </si>
  <si>
    <t>Andre Vilosa</t>
  </si>
  <si>
    <t>BOZ App My Perfect Food</t>
  </si>
  <si>
    <t>Alexandre Campoli</t>
  </si>
  <si>
    <t>José Guilherme</t>
  </si>
  <si>
    <t>Marketing com Sucesso</t>
  </si>
  <si>
    <t>Biblioteca Virtual de Enfermagem</t>
  </si>
  <si>
    <t>AHA CORTES</t>
  </si>
  <si>
    <t>Thiago Budni</t>
  </si>
  <si>
    <t>Rafael A. Zanetti</t>
  </si>
  <si>
    <t>Lumos Connect</t>
  </si>
  <si>
    <t>crf.augusto</t>
  </si>
  <si>
    <t>ySense Laguna</t>
  </si>
  <si>
    <t>#TMJ</t>
  </si>
  <si>
    <t>juju</t>
  </si>
  <si>
    <t>Fast Company Brasil</t>
  </si>
  <si>
    <t>Empreendendo no Digital 💵</t>
  </si>
  <si>
    <t>gabi</t>
  </si>
  <si>
    <t>thallestv|📖:as vantagens de ser você</t>
  </si>
  <si>
    <t>Àtila</t>
  </si>
  <si>
    <t>Martinha Gondim</t>
  </si>
  <si>
    <t>Tattoonotoco</t>
  </si>
  <si>
    <t>JanderTabosa</t>
  </si>
  <si>
    <t>Daniel Ramicazzi</t>
  </si>
  <si>
    <t>Machado Mauro - Consultor Digital</t>
  </si>
  <si>
    <t>Julio Cesar</t>
  </si>
  <si>
    <t>Dicas de um adm</t>
  </si>
  <si>
    <t>Tainara Follmann</t>
  </si>
  <si>
    <t>Digital Black</t>
  </si>
  <si>
    <t>Thiago Ithiro Kono</t>
  </si>
  <si>
    <t>🚀 MATMITZZ</t>
  </si>
  <si>
    <t>Thiago Mota</t>
  </si>
  <si>
    <t>Leonardo Lopes</t>
  </si>
  <si>
    <t>Ludgero Criminal Law</t>
  </si>
  <si>
    <t>AlphaGraphics Brasil</t>
  </si>
  <si>
    <t>Ricardo Romulo</t>
  </si>
  <si>
    <t>Elivansantosoficial</t>
  </si>
  <si>
    <t>INIAV, IP</t>
  </si>
  <si>
    <t>Rádio FM Itatiaia / Juiz de Fora</t>
  </si>
  <si>
    <t>Podcast Quempode podi</t>
  </si>
  <si>
    <t>GO!RN 2023</t>
  </si>
  <si>
    <t>Daniel Emiliano</t>
  </si>
  <si>
    <t>Plataforma CDA</t>
  </si>
  <si>
    <t>Expo Tapejara 2024</t>
  </si>
  <si>
    <t>Juliana Foletto</t>
  </si>
  <si>
    <t>Agência Ghitswh Marketing Digital</t>
  </si>
  <si>
    <t>Silwa Digital</t>
  </si>
  <si>
    <t>Shannon Wood</t>
  </si>
  <si>
    <t>Riomafra Mix</t>
  </si>
  <si>
    <t>ITrentini</t>
  </si>
  <si>
    <t>Fabi's</t>
  </si>
  <si>
    <t>Revista Smart Cities</t>
  </si>
  <si>
    <t>SociedadePontoVerde</t>
  </si>
  <si>
    <t>Novaempreende</t>
  </si>
  <si>
    <t>HUB-IN project</t>
  </si>
  <si>
    <t>Lisboa E-Nova</t>
  </si>
  <si>
    <t>Dayana Mazini</t>
  </si>
  <si>
    <t>rafaribeironeto</t>
  </si>
  <si>
    <t>izis filipaldi</t>
  </si>
  <si>
    <t>Naedson</t>
  </si>
  <si>
    <t>Radar Digital Brasília</t>
  </si>
  <si>
    <t>SBERA</t>
  </si>
  <si>
    <t>sobrancelhasdagaby</t>
  </si>
  <si>
    <t>aleatoriando</t>
  </si>
  <si>
    <t>Olavo Peixoto Jr.</t>
  </si>
  <si>
    <t>A.C.Camargo Cancer Center</t>
  </si>
  <si>
    <t>HSS</t>
  </si>
  <si>
    <t>Ciências ULisboa</t>
  </si>
  <si>
    <t>Portugal Ventures</t>
  </si>
  <si>
    <t>Alego</t>
  </si>
  <si>
    <t>Tec Labs</t>
  </si>
  <si>
    <t>alex 🎆|| 📖: Os sete maridos de Evelyn Hugo</t>
  </si>
  <si>
    <t>gab📖 - Carmilla a vampira de Karnstein</t>
  </si>
  <si>
    <t>𝑭𝒆</t>
  </si>
  <si>
    <t>IP Force - Pabx Virtual - Pabx Inteligente</t>
  </si>
  <si>
    <t>Leo Puglia</t>
  </si>
  <si>
    <t>Visão Oeste</t>
  </si>
  <si>
    <t>Tiago Mercês</t>
  </si>
  <si>
    <t>Rafael M. Hasselmann</t>
  </si>
  <si>
    <t>Angga Permana</t>
  </si>
  <si>
    <t>Ricardo Ferreira</t>
  </si>
  <si>
    <t>Tetoceos</t>
  </si>
  <si>
    <t>OFERTAS PROCÊ 🛍️</t>
  </si>
  <si>
    <t>InovaHC</t>
  </si>
  <si>
    <t>Starbetsrj</t>
  </si>
  <si>
    <t>Sellab Consultoria</t>
  </si>
  <si>
    <t>Kamba Rico</t>
  </si>
  <si>
    <t>Kontreiraz</t>
  </si>
  <si>
    <t>Suzana Valerio</t>
  </si>
  <si>
    <t>Prosperidade Econômica</t>
  </si>
  <si>
    <t>insta: @jubslingeries</t>
  </si>
  <si>
    <t>José Manoel Soares</t>
  </si>
  <si>
    <t>Claudia Souza</t>
  </si>
  <si>
    <t>Daniel Rodrigues</t>
  </si>
  <si>
    <t>Douglas Dall'Agnol | Web Performance</t>
  </si>
  <si>
    <t>CDL São Caetano do Sul</t>
  </si>
  <si>
    <t>Gabriel Augusto - Gestão Financeira</t>
  </si>
  <si>
    <t>CONCEITO KING</t>
  </si>
  <si>
    <t>Tagusvalley</t>
  </si>
  <si>
    <t>Rodrigo Klyngerr VACINA JÁ 💉</t>
  </si>
  <si>
    <t>Blog Rodrigo Klyngerr</t>
  </si>
  <si>
    <t>Portal SBN</t>
  </si>
  <si>
    <t>Ana_Brazil</t>
  </si>
  <si>
    <t>ESEG - Faculdade do Grupo Etapa</t>
  </si>
  <si>
    <t>MPS ROBOTICA LTDA</t>
  </si>
  <si>
    <t>Grupo Advanced</t>
  </si>
  <si>
    <t>Doze | Zero Doze® - Papelaria criativa</t>
  </si>
  <si>
    <t>Anderson Exponencial5</t>
  </si>
  <si>
    <t>O Almanaque Financeiro</t>
  </si>
  <si>
    <t>turan kurnaz</t>
  </si>
  <si>
    <t>Maicon albert</t>
  </si>
  <si>
    <t>jedson luiz calvi</t>
  </si>
  <si>
    <t>Thales Brandão</t>
  </si>
  <si>
    <t>Francis</t>
  </si>
  <si>
    <t>AfroPython</t>
  </si>
  <si>
    <t>👔 Julio Dos Santos🔰</t>
  </si>
  <si>
    <t>Regivânia🇧🇷💚💛💙🤍</t>
  </si>
  <si>
    <t>Luciano Galiotto. Japonês. 日本</t>
  </si>
  <si>
    <t>Q-Assist</t>
  </si>
  <si>
    <t>Adolescente Vintage - Eliane Ramin</t>
  </si>
  <si>
    <t>Associação Comercial e Empresarial de Sergipe</t>
  </si>
  <si>
    <t>Gabriela Queiroz</t>
  </si>
  <si>
    <t>Noticenter</t>
  </si>
  <si>
    <t>Android Final</t>
  </si>
  <si>
    <t>Instituto Propague</t>
  </si>
  <si>
    <t>GIOVANI ANDRÉ DOMINGUES</t>
  </si>
  <si>
    <t>Jequiti por Marlus</t>
  </si>
  <si>
    <t>Sandrielly Santos</t>
  </si>
  <si>
    <t>Ashen Tharaka</t>
  </si>
  <si>
    <t>Henri Kubota</t>
  </si>
  <si>
    <t>Paula Teles</t>
  </si>
  <si>
    <t>Franquias - Franchisingbook 🚀</t>
  </si>
  <si>
    <t>NO CONTEXT HUMANS 👤</t>
  </si>
  <si>
    <t>Totty Souza</t>
  </si>
  <si>
    <t>Siga Mais</t>
  </si>
  <si>
    <t>José Lucas Steinmetz da Silveira</t>
  </si>
  <si>
    <t>kleysller®</t>
  </si>
  <si>
    <t>Elber Domingos</t>
  </si>
  <si>
    <t>Botafogo F.R.</t>
  </si>
  <si>
    <t>Programa Centelha</t>
  </si>
  <si>
    <t>Fundação CERTI</t>
  </si>
  <si>
    <t>Banrisul</t>
  </si>
  <si>
    <t>Cresol</t>
  </si>
  <si>
    <t>ACATE</t>
  </si>
  <si>
    <t>UFRN</t>
  </si>
  <si>
    <t>🔱Alexandre Leão🔱</t>
  </si>
  <si>
    <t>Ícone Editora</t>
  </si>
  <si>
    <t>RTPNotícias</t>
  </si>
  <si>
    <t>Daniel Vitor🇧🇷</t>
  </si>
  <si>
    <t>B2H Marketing</t>
  </si>
  <si>
    <t>Água Mineral Minalinda</t>
  </si>
  <si>
    <t>Canal Empreender</t>
  </si>
  <si>
    <t>TNOnline</t>
  </si>
  <si>
    <t>Getmoney</t>
  </si>
  <si>
    <t>Moneyinvest</t>
  </si>
  <si>
    <t>Domingos Pedro (Conda)</t>
  </si>
  <si>
    <t>PodEBEM</t>
  </si>
  <si>
    <t>Luis Namura</t>
  </si>
  <si>
    <t>Felipe Godoy</t>
  </si>
  <si>
    <t>Sofia Resolve</t>
  </si>
  <si>
    <t>Acia Anápolis</t>
  </si>
  <si>
    <t>Metrópole Digital - IMD/UFRN</t>
  </si>
  <si>
    <t>PPT Não Compila</t>
  </si>
  <si>
    <t>Diogenes Malaquias</t>
  </si>
  <si>
    <t>NIAVI</t>
  </si>
  <si>
    <t>ACIRS</t>
  </si>
  <si>
    <t>Negimar Junior</t>
  </si>
  <si>
    <t>Bíscaro&amp;Maia Advocacia</t>
  </si>
  <si>
    <t>CRISTIANO CARDOSO</t>
  </si>
  <si>
    <t>BI4ALL</t>
  </si>
  <si>
    <t>Robson Penha</t>
  </si>
  <si>
    <t>renan lima</t>
  </si>
  <si>
    <t>Jornal Daki</t>
  </si>
  <si>
    <t>fatima Shaikh</t>
  </si>
  <si>
    <t>Kleber Dutra</t>
  </si>
  <si>
    <t>Raf_Simplesmente</t>
  </si>
  <si>
    <t>Toni -- e/acc</t>
  </si>
  <si>
    <t>Pranks Tv</t>
  </si>
  <si>
    <t>Focus.Jor</t>
  </si>
  <si>
    <t>@sebraece</t>
  </si>
  <si>
    <t>Pedro Henrique Martins</t>
  </si>
  <si>
    <t>Ico Thomaz</t>
  </si>
  <si>
    <t>95gospel🇧🇷</t>
  </si>
  <si>
    <t>Bp Hub</t>
  </si>
  <si>
    <t>criacaodesitesembrasilia</t>
  </si>
  <si>
    <t>Felix Costa</t>
  </si>
  <si>
    <t>N3 Coworking</t>
  </si>
  <si>
    <t>Erik Penna</t>
  </si>
  <si>
    <t>EVOVEND</t>
  </si>
  <si>
    <t>Afrânio Feitosa🌀🇧🇷</t>
  </si>
  <si>
    <t>Alagoas na Net</t>
  </si>
  <si>
    <t>Welber Santana</t>
  </si>
  <si>
    <t>Luciano Oliveira</t>
  </si>
  <si>
    <t>Bernardo Lima</t>
  </si>
  <si>
    <t>abnerjramos</t>
  </si>
  <si>
    <t>Samira | CEO of We-Start Projekt</t>
  </si>
  <si>
    <t>Junior Araujo</t>
  </si>
  <si>
    <t>Valendo Economia Criativa da Amazônia</t>
  </si>
  <si>
    <t>CTCV - Centro de Tecnologia e Inovação</t>
  </si>
  <si>
    <t>Diário de Goiás</t>
  </si>
  <si>
    <t>ilan - Instituto Liberal da Alta Noroeste</t>
  </si>
  <si>
    <t>MDIC</t>
  </si>
  <si>
    <t>CONATE Contabilidade e Cursos</t>
  </si>
  <si>
    <t>Alex berard</t>
  </si>
  <si>
    <t>Sebrae Piauí</t>
  </si>
  <si>
    <t>Proddigital Negócio</t>
  </si>
  <si>
    <t>Revista Grandes Construções</t>
  </si>
  <si>
    <t>Pablo Guzmán</t>
  </si>
  <si>
    <t>Unión Radio</t>
  </si>
  <si>
    <t>Vladimir Villegas TV ▶️</t>
  </si>
  <si>
    <t>Luis Vicente Leon</t>
  </si>
  <si>
    <t>FEDECAMARAS</t>
  </si>
  <si>
    <t>Santhos 🎙️🪢💛🎗️</t>
  </si>
  <si>
    <t>Grupo Sobrancelhas Design</t>
  </si>
  <si>
    <t>Diplomacia Business</t>
  </si>
  <si>
    <t>Geraldo Alckmin 🇧🇷</t>
  </si>
  <si>
    <t>PIXTV HD</t>
  </si>
  <si>
    <t>Brunno</t>
  </si>
  <si>
    <t>Assespro-MG</t>
  </si>
  <si>
    <t>ViraVirtual-Serviços digitais para empreendedores</t>
  </si>
  <si>
    <t>Município da Moita</t>
  </si>
  <si>
    <t>Elton Soares | SXO Copywriter</t>
  </si>
  <si>
    <t>Santágueda Roma</t>
  </si>
  <si>
    <t>DIARINHO</t>
  </si>
  <si>
    <t>AgeRio</t>
  </si>
  <si>
    <t>Savoá Studio</t>
  </si>
  <si>
    <t>Fundação Amazônia Sustentável</t>
  </si>
  <si>
    <t>YES Technology</t>
  </si>
  <si>
    <t>UillianSales</t>
  </si>
  <si>
    <t>Ismael Colosi</t>
  </si>
  <si>
    <t>José Francisco Puello-Socarrás</t>
  </si>
  <si>
    <t>História do Marxismo no Brasil</t>
  </si>
  <si>
    <t>Revista Brasileira de Educação do Campo</t>
  </si>
  <si>
    <t>MarxBrasil</t>
  </si>
  <si>
    <t>Rádio UFMG Educativa</t>
  </si>
  <si>
    <t>Unisinos</t>
  </si>
  <si>
    <t>UFRGS</t>
  </si>
  <si>
    <t>Carpegiani Advisors</t>
  </si>
  <si>
    <t>Realize Destinos</t>
  </si>
  <si>
    <t>Jornal Boqnews</t>
  </si>
  <si>
    <t>Mesorregional</t>
  </si>
  <si>
    <t>Bancada PSDB RS</t>
  </si>
  <si>
    <t>Megatic Megatic</t>
  </si>
  <si>
    <t>Paulo Pires</t>
  </si>
  <si>
    <t>Ricardo Augusto Silva</t>
  </si>
  <si>
    <t>leo ⚡️</t>
  </si>
  <si>
    <t>Irapua Beltrao</t>
  </si>
  <si>
    <t>Receita Federal</t>
  </si>
  <si>
    <t>Duarte Araújo</t>
  </si>
  <si>
    <t>Karytonn</t>
  </si>
  <si>
    <t>Centro de Excelência em Empreendedorismo Inovador</t>
  </si>
  <si>
    <t>Renata Pereira</t>
  </si>
  <si>
    <t>Adriana Mendes</t>
  </si>
  <si>
    <t>The ONLYOFFICE</t>
  </si>
  <si>
    <t>Neto de Paula ®</t>
  </si>
  <si>
    <t>Jornal SERRANOSSA</t>
  </si>
  <si>
    <t>Cortes Marketing Digital</t>
  </si>
  <si>
    <t>FGV EAESP Pesquisa</t>
  </si>
  <si>
    <t>Jon Padilha</t>
  </si>
  <si>
    <t>Edson Bono</t>
  </si>
  <si>
    <t>Tiago Prado</t>
  </si>
  <si>
    <t>DRIVETHRU AMBIENTAL</t>
  </si>
  <si>
    <t>Dione De Almeida Gomes</t>
  </si>
  <si>
    <t>Diemp</t>
  </si>
  <si>
    <t>Podmais</t>
  </si>
  <si>
    <t>Enap</t>
  </si>
  <si>
    <t>SCC SBT</t>
  </si>
  <si>
    <t>Marcia Camargo - Clínica Washington Amancio</t>
  </si>
  <si>
    <t>Leonardo Amorim</t>
  </si>
  <si>
    <t>Cortes Rato</t>
  </si>
  <si>
    <t>SISTEMA FAEMG</t>
  </si>
  <si>
    <t>𝘿𝙞𝙜𝙞𝙩𝙖𝙡_𝘼𝙡𝙞</t>
  </si>
  <si>
    <t>Mogi News</t>
  </si>
  <si>
    <t>Trade Web Marketing Digital</t>
  </si>
  <si>
    <t>Revista Brasil Mineral</t>
  </si>
  <si>
    <t>Imobiliária The World Real Estate</t>
  </si>
  <si>
    <t>Fundação Logosófica</t>
  </si>
  <si>
    <t>Aroldo Gueiros</t>
  </si>
  <si>
    <t>Belém Negócios</t>
  </si>
  <si>
    <t>Adri Gómez Consultora</t>
  </si>
  <si>
    <t>Carlos Hoyos - Liderança de Elite</t>
  </si>
  <si>
    <t>Galerapod</t>
  </si>
  <si>
    <t>Sidnei Silva</t>
  </si>
  <si>
    <t>Radeon Digital</t>
  </si>
  <si>
    <t>Tapajós De Fato</t>
  </si>
  <si>
    <t>Filipe Schitino</t>
  </si>
  <si>
    <t>Zhennia</t>
  </si>
  <si>
    <t>Kentech</t>
  </si>
  <si>
    <t>Cido Rodrigues</t>
  </si>
  <si>
    <t>Rafael Porcari</t>
  </si>
  <si>
    <t>StudioMadeHits</t>
  </si>
  <si>
    <t>Certificado Digital</t>
  </si>
  <si>
    <t>André Braga Gonçalves</t>
  </si>
  <si>
    <t>_Robson_</t>
  </si>
  <si>
    <t>Vânia Monteiro VM</t>
  </si>
  <si>
    <t>Mendes</t>
  </si>
  <si>
    <t>José Renato S Hopf</t>
  </si>
  <si>
    <t>Adilson pereira</t>
  </si>
  <si>
    <t>AndradeGui 💎</t>
  </si>
  <si>
    <t>JornalCorreiodeMinas</t>
  </si>
  <si>
    <t>Romero Rodrigues</t>
  </si>
  <si>
    <t>Marcio Montagnani .•.</t>
  </si>
  <si>
    <t>Itshow</t>
  </si>
  <si>
    <t>Juheina Karina Klait</t>
  </si>
  <si>
    <t>Emagrecimento e plr</t>
  </si>
  <si>
    <t>DJP INVEST</t>
  </si>
  <si>
    <t>Jardinagem.SA</t>
  </si>
  <si>
    <t>Contas Online</t>
  </si>
  <si>
    <t>RiseTV Marciais</t>
  </si>
  <si>
    <t>Claudio Roberto Palermo</t>
  </si>
  <si>
    <t>Helena NENA</t>
  </si>
  <si>
    <t>Porto Publicidade</t>
  </si>
  <si>
    <t>Jornalismo TV Cultura</t>
  </si>
  <si>
    <t>Apostila para Concurso</t>
  </si>
  <si>
    <t>LIDE</t>
  </si>
  <si>
    <t>POLISHOP</t>
  </si>
  <si>
    <t>FUNEP</t>
  </si>
  <si>
    <t>Erika Motta 🍀</t>
  </si>
  <si>
    <t>Cultura Alternativa</t>
  </si>
  <si>
    <t>Adriel Jesus</t>
  </si>
  <si>
    <t>Hugo Dias - (MTB) 🛵 💨💨💨</t>
  </si>
  <si>
    <t>Luis Fabiano</t>
  </si>
  <si>
    <t>ApexBrasil</t>
  </si>
  <si>
    <t>Divya Batane</t>
  </si>
  <si>
    <t>Dácio Pretoni</t>
  </si>
  <si>
    <t>Ronaldo José Damaceno</t>
  </si>
  <si>
    <t>Tucco - Super Conector</t>
  </si>
  <si>
    <t>PLANET COWORKING FORTALEZA</t>
  </si>
  <si>
    <t>⚡️danyelzin_anjs⚡️</t>
  </si>
  <si>
    <t>Dinero en accion💸</t>
  </si>
  <si>
    <t>Secti Bahia</t>
  </si>
  <si>
    <t>Jornal de Blumenau</t>
  </si>
  <si>
    <t>Sistema OCB/ES</t>
  </si>
  <si>
    <t>memememeiro</t>
  </si>
  <si>
    <t>Flo Lula da Silva♥️🚩💃🏽🌟🇧🇷13</t>
  </si>
  <si>
    <t>SECTIES</t>
  </si>
  <si>
    <t>Informe Blumenau</t>
  </si>
  <si>
    <t>Governo do Maranhão</t>
  </si>
  <si>
    <t>bababoei AEJOLA✨</t>
  </si>
  <si>
    <t>Felipe Camarão</t>
  </si>
  <si>
    <t>Na</t>
  </si>
  <si>
    <t>Extensão ESAG</t>
  </si>
  <si>
    <t>Portal ChicoSabeTudo</t>
  </si>
  <si>
    <t>19536137</t>
  </si>
  <si>
    <t>26036912</t>
  </si>
  <si>
    <t>386820805</t>
  </si>
  <si>
    <t>1519085396017225728</t>
  </si>
  <si>
    <t>172628020</t>
  </si>
  <si>
    <t>321453965</t>
  </si>
  <si>
    <t>68277399</t>
  </si>
  <si>
    <t>378974499</t>
  </si>
  <si>
    <t>70411503</t>
  </si>
  <si>
    <t>38946242</t>
  </si>
  <si>
    <t>94391893</t>
  </si>
  <si>
    <t>90280668</t>
  </si>
  <si>
    <t>1337546527</t>
  </si>
  <si>
    <t>283197263</t>
  </si>
  <si>
    <t>17410939</t>
  </si>
  <si>
    <t>425695928</t>
  </si>
  <si>
    <t>19563358</t>
  </si>
  <si>
    <t>116233438</t>
  </si>
  <si>
    <t>95699837</t>
  </si>
  <si>
    <t>38803932</t>
  </si>
  <si>
    <t>27427265</t>
  </si>
  <si>
    <t>85869416</t>
  </si>
  <si>
    <t>1000215114</t>
  </si>
  <si>
    <t>20222718</t>
  </si>
  <si>
    <t>10228272</t>
  </si>
  <si>
    <t>861499507</t>
  </si>
  <si>
    <t>83014310</t>
  </si>
  <si>
    <t>180862179</t>
  </si>
  <si>
    <t>67048206</t>
  </si>
  <si>
    <t>66166769</t>
  </si>
  <si>
    <t>97727197</t>
  </si>
  <si>
    <t>24990422</t>
  </si>
  <si>
    <t>2645566484</t>
  </si>
  <si>
    <t>348353369</t>
  </si>
  <si>
    <t>4431246988</t>
  </si>
  <si>
    <t>510272910</t>
  </si>
  <si>
    <t>531619346</t>
  </si>
  <si>
    <t>45715530</t>
  </si>
  <si>
    <t>583023355</t>
  </si>
  <si>
    <t>2868134025</t>
  </si>
  <si>
    <t>126434153</t>
  </si>
  <si>
    <t>208741721</t>
  </si>
  <si>
    <t>904929306</t>
  </si>
  <si>
    <t>167123022</t>
  </si>
  <si>
    <t>169618498</t>
  </si>
  <si>
    <t>23654729</t>
  </si>
  <si>
    <t>933776449441497089</t>
  </si>
  <si>
    <t>179398386</t>
  </si>
  <si>
    <t>281544249</t>
  </si>
  <si>
    <t>236985635</t>
  </si>
  <si>
    <t>81436762</t>
  </si>
  <si>
    <t>344665447</t>
  </si>
  <si>
    <t>1440210440</t>
  </si>
  <si>
    <t>2250294076</t>
  </si>
  <si>
    <t>724284986</t>
  </si>
  <si>
    <t>27649665</t>
  </si>
  <si>
    <t>29881959</t>
  </si>
  <si>
    <t>28868406</t>
  </si>
  <si>
    <t>28829295</t>
  </si>
  <si>
    <t>67106032</t>
  </si>
  <si>
    <t>59954472</t>
  </si>
  <si>
    <t>121842852</t>
  </si>
  <si>
    <t>45331934</t>
  </si>
  <si>
    <t>42985931</t>
  </si>
  <si>
    <t>242877676</t>
  </si>
  <si>
    <t>467438865</t>
  </si>
  <si>
    <t>14311308</t>
  </si>
  <si>
    <t>207818181</t>
  </si>
  <si>
    <t>20639470</t>
  </si>
  <si>
    <t>58561993</t>
  </si>
  <si>
    <t>72131142</t>
  </si>
  <si>
    <t>92591120</t>
  </si>
  <si>
    <t>149992574</t>
  </si>
  <si>
    <t>320762743</t>
  </si>
  <si>
    <t>1338265286</t>
  </si>
  <si>
    <t>52031026</t>
  </si>
  <si>
    <t>62514462</t>
  </si>
  <si>
    <t>3893109381</t>
  </si>
  <si>
    <t>65361763</t>
  </si>
  <si>
    <t>89691523</t>
  </si>
  <si>
    <t>123850299</t>
  </si>
  <si>
    <t>269591829</t>
  </si>
  <si>
    <t>129002495</t>
  </si>
  <si>
    <t>1686350533051764736</t>
  </si>
  <si>
    <t>4847356000</t>
  </si>
  <si>
    <t>496514998</t>
  </si>
  <si>
    <t>3365123086</t>
  </si>
  <si>
    <t>632248784</t>
  </si>
  <si>
    <t>379411883</t>
  </si>
  <si>
    <t>48784302</t>
  </si>
  <si>
    <t>36413819</t>
  </si>
  <si>
    <t>171995902</t>
  </si>
  <si>
    <t>44449999</t>
  </si>
  <si>
    <t>798513</t>
  </si>
  <si>
    <t>32529120</t>
  </si>
  <si>
    <t>67313006</t>
  </si>
  <si>
    <t>8536272</t>
  </si>
  <si>
    <t>121516064</t>
  </si>
  <si>
    <t>212916157</t>
  </si>
  <si>
    <t>254001950</t>
  </si>
  <si>
    <t>60401182</t>
  </si>
  <si>
    <t>3294416938</t>
  </si>
  <si>
    <t>107496318</t>
  </si>
  <si>
    <t>3106384919</t>
  </si>
  <si>
    <t>3228921178</t>
  </si>
  <si>
    <t>317269700</t>
  </si>
  <si>
    <t>1641300630</t>
  </si>
  <si>
    <t>88915485</t>
  </si>
  <si>
    <t>269916702</t>
  </si>
  <si>
    <t>277150932</t>
  </si>
  <si>
    <t>74146257</t>
  </si>
  <si>
    <t>33349702</t>
  </si>
  <si>
    <t>224661399</t>
  </si>
  <si>
    <t>2796243538</t>
  </si>
  <si>
    <t>225874467</t>
  </si>
  <si>
    <t>90958806</t>
  </si>
  <si>
    <t>2862272213</t>
  </si>
  <si>
    <t>1108257055</t>
  </si>
  <si>
    <t>413875700</t>
  </si>
  <si>
    <t>223411301</t>
  </si>
  <si>
    <t>117409085</t>
  </si>
  <si>
    <t>4754287947</t>
  </si>
  <si>
    <t>125625907</t>
  </si>
  <si>
    <t>370803086</t>
  </si>
  <si>
    <t>34442116</t>
  </si>
  <si>
    <t>98167418</t>
  </si>
  <si>
    <t>135640986</t>
  </si>
  <si>
    <t>4765700173</t>
  </si>
  <si>
    <t>268589236</t>
  </si>
  <si>
    <t>15451593</t>
  </si>
  <si>
    <t>85412101</t>
  </si>
  <si>
    <t>73200757</t>
  </si>
  <si>
    <t>62877090</t>
  </si>
  <si>
    <t>72289332</t>
  </si>
  <si>
    <t>106995471</t>
  </si>
  <si>
    <t>274763730</t>
  </si>
  <si>
    <t>242505613</t>
  </si>
  <si>
    <t>1965002960</t>
  </si>
  <si>
    <t>1563223029722652672</t>
  </si>
  <si>
    <t>1261011541236813824</t>
  </si>
  <si>
    <t>24241923</t>
  </si>
  <si>
    <t>412680143</t>
  </si>
  <si>
    <t>94388843</t>
  </si>
  <si>
    <t>3254994765</t>
  </si>
  <si>
    <t>138814012</t>
  </si>
  <si>
    <t>1363195494</t>
  </si>
  <si>
    <t>42399225</t>
  </si>
  <si>
    <t>20667335</t>
  </si>
  <si>
    <t>83980337</t>
  </si>
  <si>
    <t>489723814</t>
  </si>
  <si>
    <t>14785591</t>
  </si>
  <si>
    <t>785833176</t>
  </si>
  <si>
    <t>13099302</t>
  </si>
  <si>
    <t>113128538</t>
  </si>
  <si>
    <t>171582176</t>
  </si>
  <si>
    <t>53241038</t>
  </si>
  <si>
    <t>225006023</t>
  </si>
  <si>
    <t>1589707909352640513</t>
  </si>
  <si>
    <t>27900594</t>
  </si>
  <si>
    <t>445443302</t>
  </si>
  <si>
    <t>106175018</t>
  </si>
  <si>
    <t>13058772</t>
  </si>
  <si>
    <t>185690767</t>
  </si>
  <si>
    <t>162564683</t>
  </si>
  <si>
    <t>15850306</t>
  </si>
  <si>
    <t>394703500</t>
  </si>
  <si>
    <t>48390416</t>
  </si>
  <si>
    <t>257796376</t>
  </si>
  <si>
    <t>269942682</t>
  </si>
  <si>
    <t>1020798087449776128</t>
  </si>
  <si>
    <t>1617942141291954177</t>
  </si>
  <si>
    <t>335034229</t>
  </si>
  <si>
    <t>36457965</t>
  </si>
  <si>
    <t>41601175</t>
  </si>
  <si>
    <t>2648393404</t>
  </si>
  <si>
    <t>127628950</t>
  </si>
  <si>
    <t>160910872</t>
  </si>
  <si>
    <t>261313176</t>
  </si>
  <si>
    <t>35765232</t>
  </si>
  <si>
    <t>234045173</t>
  </si>
  <si>
    <t>84619559</t>
  </si>
  <si>
    <t>51871251</t>
  </si>
  <si>
    <t>42301397</t>
  </si>
  <si>
    <t>53219461</t>
  </si>
  <si>
    <t>156803318</t>
  </si>
  <si>
    <t>322939689</t>
  </si>
  <si>
    <t>238088921</t>
  </si>
  <si>
    <t>3131145149</t>
  </si>
  <si>
    <t>4131404427</t>
  </si>
  <si>
    <t>743311687</t>
  </si>
  <si>
    <t>807665</t>
  </si>
  <si>
    <t>317191725</t>
  </si>
  <si>
    <t>45245002</t>
  </si>
  <si>
    <t>76133</t>
  </si>
  <si>
    <t>329392010</t>
  </si>
  <si>
    <t>1573286977079840769</t>
  </si>
  <si>
    <t>2297961</t>
  </si>
  <si>
    <t>254081358</t>
  </si>
  <si>
    <t>2461792531</t>
  </si>
  <si>
    <t>25092395</t>
  </si>
  <si>
    <t>3064531630</t>
  </si>
  <si>
    <t>81253042</t>
  </si>
  <si>
    <t>170102644</t>
  </si>
  <si>
    <t>78697019</t>
  </si>
  <si>
    <t>1379704542</t>
  </si>
  <si>
    <t>87216531</t>
  </si>
  <si>
    <t>35049549</t>
  </si>
  <si>
    <t>134833776</t>
  </si>
  <si>
    <t>17346246</t>
  </si>
  <si>
    <t>4871942260</t>
  </si>
  <si>
    <t>50656917</t>
  </si>
  <si>
    <t>1698944511940956160</t>
  </si>
  <si>
    <t>1950263365</t>
  </si>
  <si>
    <t>72681608</t>
  </si>
  <si>
    <t>258812806</t>
  </si>
  <si>
    <t>3051297531</t>
  </si>
  <si>
    <t>53469538</t>
  </si>
  <si>
    <t>25510417</t>
  </si>
  <si>
    <t>36803790</t>
  </si>
  <si>
    <t>29054405</t>
  </si>
  <si>
    <t>53993704</t>
  </si>
  <si>
    <t>1623235532</t>
  </si>
  <si>
    <t>239678012</t>
  </si>
  <si>
    <t>108404200</t>
  </si>
  <si>
    <t>8189252</t>
  </si>
  <si>
    <t>567404670</t>
  </si>
  <si>
    <t>176261766</t>
  </si>
  <si>
    <t>322260032</t>
  </si>
  <si>
    <t>36115008</t>
  </si>
  <si>
    <t>165793000</t>
  </si>
  <si>
    <t>231192764</t>
  </si>
  <si>
    <t>803602929164881920</t>
  </si>
  <si>
    <t>7283842</t>
  </si>
  <si>
    <t>228120886</t>
  </si>
  <si>
    <t>634846619</t>
  </si>
  <si>
    <t>61100164</t>
  </si>
  <si>
    <t>1267878480</t>
  </si>
  <si>
    <t>633185853</t>
  </si>
  <si>
    <t>2387607356</t>
  </si>
  <si>
    <t>2183843873</t>
  </si>
  <si>
    <t>196124826</t>
  </si>
  <si>
    <t>3024421631</t>
  </si>
  <si>
    <t>89320409</t>
  </si>
  <si>
    <t>130194940</t>
  </si>
  <si>
    <t>260361481</t>
  </si>
  <si>
    <t>41109902</t>
  </si>
  <si>
    <t>229629676</t>
  </si>
  <si>
    <t>106904186</t>
  </si>
  <si>
    <t>117174657</t>
  </si>
  <si>
    <t>239762397</t>
  </si>
  <si>
    <t>1486435986</t>
  </si>
  <si>
    <t>47838170</t>
  </si>
  <si>
    <t>78497078</t>
  </si>
  <si>
    <t>66409428</t>
  </si>
  <si>
    <t>1646361002341007360</t>
  </si>
  <si>
    <t>185164195</t>
  </si>
  <si>
    <t>51150679</t>
  </si>
  <si>
    <t>506676795</t>
  </si>
  <si>
    <t>945484250</t>
  </si>
  <si>
    <t>329857969</t>
  </si>
  <si>
    <t>134940201</t>
  </si>
  <si>
    <t>80182692</t>
  </si>
  <si>
    <t>292343529</t>
  </si>
  <si>
    <t>2358738354</t>
  </si>
  <si>
    <t>3293231278</t>
  </si>
  <si>
    <t>19903099</t>
  </si>
  <si>
    <t>51075078</t>
  </si>
  <si>
    <t>1093223195258298368</t>
  </si>
  <si>
    <t>40095953</t>
  </si>
  <si>
    <t>259707478</t>
  </si>
  <si>
    <t>85859074</t>
  </si>
  <si>
    <t>17118982</t>
  </si>
  <si>
    <t>937664700</t>
  </si>
  <si>
    <t>23618348</t>
  </si>
  <si>
    <t>57466798</t>
  </si>
  <si>
    <t>324110720</t>
  </si>
  <si>
    <t>64722960</t>
  </si>
  <si>
    <t>46624815</t>
  </si>
  <si>
    <t>97722847</t>
  </si>
  <si>
    <t>344956335</t>
  </si>
  <si>
    <t>273163509</t>
  </si>
  <si>
    <t>23408209</t>
  </si>
  <si>
    <t>33494745</t>
  </si>
  <si>
    <t>160063510</t>
  </si>
  <si>
    <t>169120275</t>
  </si>
  <si>
    <t>2477233950</t>
  </si>
  <si>
    <t>43218789</t>
  </si>
  <si>
    <t>29988179</t>
  </si>
  <si>
    <t>76658345</t>
  </si>
  <si>
    <t>217150741</t>
  </si>
  <si>
    <t>41479382</t>
  </si>
  <si>
    <t>2523063850</t>
  </si>
  <si>
    <t>168320813</t>
  </si>
  <si>
    <t>226531436</t>
  </si>
  <si>
    <t>85865113</t>
  </si>
  <si>
    <t>36504210</t>
  </si>
  <si>
    <t>38321097</t>
  </si>
  <si>
    <t>2676824358</t>
  </si>
  <si>
    <t>500342735</t>
  </si>
  <si>
    <t>44992008</t>
  </si>
  <si>
    <t>823749648</t>
  </si>
  <si>
    <t>916855076</t>
  </si>
  <si>
    <t>1186422144</t>
  </si>
  <si>
    <t>32441551</t>
  </si>
  <si>
    <t>63898953</t>
  </si>
  <si>
    <t>183398510</t>
  </si>
  <si>
    <t>146037421</t>
  </si>
  <si>
    <t>708915428454576128</t>
  </si>
  <si>
    <t>47191725</t>
  </si>
  <si>
    <t>13837292</t>
  </si>
  <si>
    <t>36542528</t>
  </si>
  <si>
    <t>197962366</t>
  </si>
  <si>
    <t>375323855</t>
  </si>
  <si>
    <t>3296136369</t>
  </si>
  <si>
    <t>67931727</t>
  </si>
  <si>
    <t>338324185</t>
  </si>
  <si>
    <t>23017164</t>
  </si>
  <si>
    <t>260459956</t>
  </si>
  <si>
    <t>50036480</t>
  </si>
  <si>
    <t>145095756</t>
  </si>
  <si>
    <t>158909997</t>
  </si>
  <si>
    <t>40299874</t>
  </si>
  <si>
    <t>40040727</t>
  </si>
  <si>
    <t>50050828</t>
  </si>
  <si>
    <t>43133651</t>
  </si>
  <si>
    <t>438508804</t>
  </si>
  <si>
    <t>96743223</t>
  </si>
  <si>
    <t>304018689</t>
  </si>
  <si>
    <t>259216179</t>
  </si>
  <si>
    <t>88694049</t>
  </si>
  <si>
    <t>15077308</t>
  </si>
  <si>
    <t>37987486</t>
  </si>
  <si>
    <t>1850031788</t>
  </si>
  <si>
    <t>90755686</t>
  </si>
  <si>
    <t>18549750</t>
  </si>
  <si>
    <t>1959249534</t>
  </si>
  <si>
    <t>187651036</t>
  </si>
  <si>
    <t>360619751</t>
  </si>
  <si>
    <t>18582320</t>
  </si>
  <si>
    <t>28864636</t>
  </si>
  <si>
    <t>249375458</t>
  </si>
  <si>
    <t>580142923</t>
  </si>
  <si>
    <t>995129812950896642</t>
  </si>
  <si>
    <t>2936952478</t>
  </si>
  <si>
    <t>3315236400</t>
  </si>
  <si>
    <t>112786548</t>
  </si>
  <si>
    <t>15960390</t>
  </si>
  <si>
    <t>134863292</t>
  </si>
  <si>
    <t>80034336</t>
  </si>
  <si>
    <t>49597355</t>
  </si>
  <si>
    <t>3087240369</t>
  </si>
  <si>
    <t>730832546</t>
  </si>
  <si>
    <t>66002646</t>
  </si>
  <si>
    <t>868918448</t>
  </si>
  <si>
    <t>4921210803</t>
  </si>
  <si>
    <t>633350186</t>
  </si>
  <si>
    <t>29202690</t>
  </si>
  <si>
    <t>517753483</t>
  </si>
  <si>
    <t>45130694</t>
  </si>
  <si>
    <t>2511337554</t>
  </si>
  <si>
    <t>110448665</t>
  </si>
  <si>
    <t>43621281</t>
  </si>
  <si>
    <t>1275414943</t>
  </si>
  <si>
    <t>19337819</t>
  </si>
  <si>
    <t>493671481</t>
  </si>
  <si>
    <t>80597859</t>
  </si>
  <si>
    <t>161710181</t>
  </si>
  <si>
    <t>161301269</t>
  </si>
  <si>
    <t>2828403051</t>
  </si>
  <si>
    <t>1248286524900343812</t>
  </si>
  <si>
    <t>2432204846</t>
  </si>
  <si>
    <t>3341796449</t>
  </si>
  <si>
    <t>15988784</t>
  </si>
  <si>
    <t>1204833542955569153</t>
  </si>
  <si>
    <t>255537739</t>
  </si>
  <si>
    <t>717006855495614464</t>
  </si>
  <si>
    <t>65691442</t>
  </si>
  <si>
    <t>60692622</t>
  </si>
  <si>
    <t>974502716</t>
  </si>
  <si>
    <t>818805955609657344</t>
  </si>
  <si>
    <t>246394527</t>
  </si>
  <si>
    <t>1446289301566894090</t>
  </si>
  <si>
    <t>95885175</t>
  </si>
  <si>
    <t>82629608</t>
  </si>
  <si>
    <t>16544205</t>
  </si>
  <si>
    <t>788430113859854336</t>
  </si>
  <si>
    <t>3378880324</t>
  </si>
  <si>
    <t>49655149</t>
  </si>
  <si>
    <t>59793082</t>
  </si>
  <si>
    <t>1627274808340754433</t>
  </si>
  <si>
    <t>1627380352166637571</t>
  </si>
  <si>
    <t>1669635075103678468</t>
  </si>
  <si>
    <t>3696188061</t>
  </si>
  <si>
    <t>49619089</t>
  </si>
  <si>
    <t>36780575</t>
  </si>
  <si>
    <t>988483789608321024</t>
  </si>
  <si>
    <t>18622991</t>
  </si>
  <si>
    <t>16666424</t>
  </si>
  <si>
    <t>57155824</t>
  </si>
  <si>
    <t>2829501967</t>
  </si>
  <si>
    <t>734326411</t>
  </si>
  <si>
    <t>24271783</t>
  </si>
  <si>
    <t>2591895457</t>
  </si>
  <si>
    <t>2881275026</t>
  </si>
  <si>
    <t>43459972</t>
  </si>
  <si>
    <t>53262205</t>
  </si>
  <si>
    <t>3007676985</t>
  </si>
  <si>
    <t>2378325093</t>
  </si>
  <si>
    <t>229271011</t>
  </si>
  <si>
    <t>1537415009545895936</t>
  </si>
  <si>
    <t>217277469</t>
  </si>
  <si>
    <t>301211155</t>
  </si>
  <si>
    <t>15097726</t>
  </si>
  <si>
    <t>160898095</t>
  </si>
  <si>
    <t>249234849</t>
  </si>
  <si>
    <t>115986183</t>
  </si>
  <si>
    <t>8802752</t>
  </si>
  <si>
    <t>612473</t>
  </si>
  <si>
    <t>19467890</t>
  </si>
  <si>
    <t>171153968</t>
  </si>
  <si>
    <t>1680409025467260931</t>
  </si>
  <si>
    <t>1644262197147598849</t>
  </si>
  <si>
    <t>40094322</t>
  </si>
  <si>
    <t>53130485</t>
  </si>
  <si>
    <t>2178192420</t>
  </si>
  <si>
    <t>409359054</t>
  </si>
  <si>
    <t>267553737</t>
  </si>
  <si>
    <t>170510606</t>
  </si>
  <si>
    <t>294299671</t>
  </si>
  <si>
    <t>2412706957</t>
  </si>
  <si>
    <t>20206391</t>
  </si>
  <si>
    <t>19155112</t>
  </si>
  <si>
    <t>2859496768</t>
  </si>
  <si>
    <t>171199008</t>
  </si>
  <si>
    <t>1471856051796549641</t>
  </si>
  <si>
    <t>3404988977</t>
  </si>
  <si>
    <t>175518523</t>
  </si>
  <si>
    <t>46179375</t>
  </si>
  <si>
    <t>14306125</t>
  </si>
  <si>
    <t>1327347026</t>
  </si>
  <si>
    <t>3907825898</t>
  </si>
  <si>
    <t>65743053</t>
  </si>
  <si>
    <t>24395664</t>
  </si>
  <si>
    <t>98913916</t>
  </si>
  <si>
    <t>3824461</t>
  </si>
  <si>
    <t>3024436931</t>
  </si>
  <si>
    <t>36268641</t>
  </si>
  <si>
    <t>64785948</t>
  </si>
  <si>
    <t>718250155</t>
  </si>
  <si>
    <t>70493540</t>
  </si>
  <si>
    <t>4828526438</t>
  </si>
  <si>
    <t>91998084</t>
  </si>
  <si>
    <t>1072573028</t>
  </si>
  <si>
    <t>255237609</t>
  </si>
  <si>
    <t>493535142</t>
  </si>
  <si>
    <t>1951758674</t>
  </si>
  <si>
    <t>96735431</t>
  </si>
  <si>
    <t>2694564780</t>
  </si>
  <si>
    <t>828421825122103296</t>
  </si>
  <si>
    <t>1013748896709955584</t>
  </si>
  <si>
    <t>2182634120</t>
  </si>
  <si>
    <t>97251131</t>
  </si>
  <si>
    <t>107438367</t>
  </si>
  <si>
    <t>125999535</t>
  </si>
  <si>
    <t>109630209</t>
  </si>
  <si>
    <t>1322899274</t>
  </si>
  <si>
    <t>2449588698</t>
  </si>
  <si>
    <t>2923397967</t>
  </si>
  <si>
    <t>167239509</t>
  </si>
  <si>
    <t>123069005</t>
  </si>
  <si>
    <t>68134771</t>
  </si>
  <si>
    <t>384633377</t>
  </si>
  <si>
    <t>3018292498</t>
  </si>
  <si>
    <t>448069035</t>
  </si>
  <si>
    <t>3530068642</t>
  </si>
  <si>
    <t>293876108</t>
  </si>
  <si>
    <t>189343931</t>
  </si>
  <si>
    <t>609260052</t>
  </si>
  <si>
    <t>80030542</t>
  </si>
  <si>
    <t>479552132</t>
  </si>
  <si>
    <t>936235920</t>
  </si>
  <si>
    <t>238628995</t>
  </si>
  <si>
    <t>713367260</t>
  </si>
  <si>
    <t>3291859173</t>
  </si>
  <si>
    <t>623139451</t>
  </si>
  <si>
    <t>3950126116</t>
  </si>
  <si>
    <t>58935944</t>
  </si>
  <si>
    <t>973363854</t>
  </si>
  <si>
    <t>1421621635879161857</t>
  </si>
  <si>
    <t>18219976</t>
  </si>
  <si>
    <t>66750592</t>
  </si>
  <si>
    <t>1527687681953648651</t>
  </si>
  <si>
    <t>1327706443</t>
  </si>
  <si>
    <t>1339209672872615937</t>
  </si>
  <si>
    <t>1383663064625532934</t>
  </si>
  <si>
    <t>1109542479060234240</t>
  </si>
  <si>
    <t>1290080658077999106</t>
  </si>
  <si>
    <t>1653032725815631872</t>
  </si>
  <si>
    <t>229672856</t>
  </si>
  <si>
    <t>4896346336</t>
  </si>
  <si>
    <t>388286996</t>
  </si>
  <si>
    <t>304193023</t>
  </si>
  <si>
    <t>155638696</t>
  </si>
  <si>
    <t>351247493</t>
  </si>
  <si>
    <t>20515141</t>
  </si>
  <si>
    <t>34023160</t>
  </si>
  <si>
    <t>220450059</t>
  </si>
  <si>
    <t>4375338449</t>
  </si>
  <si>
    <t>188748767</t>
  </si>
  <si>
    <t>3065993741</t>
  </si>
  <si>
    <t>2809706668</t>
  </si>
  <si>
    <t>71258973</t>
  </si>
  <si>
    <t>2670726740</t>
  </si>
  <si>
    <t>17752026</t>
  </si>
  <si>
    <t>33071040</t>
  </si>
  <si>
    <t>55339757</t>
  </si>
  <si>
    <t>4180566701</t>
  </si>
  <si>
    <t>836165648</t>
  </si>
  <si>
    <t>573779959</t>
  </si>
  <si>
    <t>1006384165</t>
  </si>
  <si>
    <t>1655968658</t>
  </si>
  <si>
    <t>101630758</t>
  </si>
  <si>
    <t>235606538</t>
  </si>
  <si>
    <t>866359201</t>
  </si>
  <si>
    <t>85354996</t>
  </si>
  <si>
    <t>96756675</t>
  </si>
  <si>
    <t>84320725</t>
  </si>
  <si>
    <t>57981116</t>
  </si>
  <si>
    <t>15434048</t>
  </si>
  <si>
    <t>146536708</t>
  </si>
  <si>
    <t>60326241</t>
  </si>
  <si>
    <t>81600870</t>
  </si>
  <si>
    <t>163027008</t>
  </si>
  <si>
    <t>2523425059</t>
  </si>
  <si>
    <t>77315167</t>
  </si>
  <si>
    <t>2854423368</t>
  </si>
  <si>
    <t>349719588</t>
  </si>
  <si>
    <t>52061411</t>
  </si>
  <si>
    <t>58619347</t>
  </si>
  <si>
    <t>2546487510</t>
  </si>
  <si>
    <t>962188615</t>
  </si>
  <si>
    <t>218994728</t>
  </si>
  <si>
    <t>1319652311086567427</t>
  </si>
  <si>
    <t>737948753815048193</t>
  </si>
  <si>
    <t>89221442</t>
  </si>
  <si>
    <t>2551402484</t>
  </si>
  <si>
    <t>3323390896</t>
  </si>
  <si>
    <t>169913717</t>
  </si>
  <si>
    <t>1098801199</t>
  </si>
  <si>
    <t>58508636</t>
  </si>
  <si>
    <t>614496492</t>
  </si>
  <si>
    <t>51436322</t>
  </si>
  <si>
    <t>39816068</t>
  </si>
  <si>
    <t>80808060</t>
  </si>
  <si>
    <t>17863805</t>
  </si>
  <si>
    <t>2924535836</t>
  </si>
  <si>
    <t>78655984</t>
  </si>
  <si>
    <t>62780144</t>
  </si>
  <si>
    <t>237070073</t>
  </si>
  <si>
    <t>339352805</t>
  </si>
  <si>
    <t>399265512</t>
  </si>
  <si>
    <t>68414893</t>
  </si>
  <si>
    <t>22129996</t>
  </si>
  <si>
    <t>3843888556</t>
  </si>
  <si>
    <t>174906759</t>
  </si>
  <si>
    <t>284061709</t>
  </si>
  <si>
    <t>47322942</t>
  </si>
  <si>
    <t>28353441</t>
  </si>
  <si>
    <t>2670811062</t>
  </si>
  <si>
    <t>67131467</t>
  </si>
  <si>
    <t>35604602</t>
  </si>
  <si>
    <t>40312986</t>
  </si>
  <si>
    <t>130999630</t>
  </si>
  <si>
    <t>69588362</t>
  </si>
  <si>
    <t>1065924082552717317</t>
  </si>
  <si>
    <t>831101382</t>
  </si>
  <si>
    <t>296257613</t>
  </si>
  <si>
    <t>252063642</t>
  </si>
  <si>
    <t>60087925</t>
  </si>
  <si>
    <t>72559332</t>
  </si>
  <si>
    <t>80650908</t>
  </si>
  <si>
    <t>198017623</t>
  </si>
  <si>
    <t>48799494</t>
  </si>
  <si>
    <t>16451028</t>
  </si>
  <si>
    <t>122684856</t>
  </si>
  <si>
    <t>25785638</t>
  </si>
  <si>
    <t>333605168</t>
  </si>
  <si>
    <t>79797156</t>
  </si>
  <si>
    <t>144834325</t>
  </si>
  <si>
    <t>77789383</t>
  </si>
  <si>
    <t>3581596336</t>
  </si>
  <si>
    <t>65529832</t>
  </si>
  <si>
    <t>102433602</t>
  </si>
  <si>
    <t>39331175</t>
  </si>
  <si>
    <t>2340159666</t>
  </si>
  <si>
    <t>257625339</t>
  </si>
  <si>
    <t>187153298</t>
  </si>
  <si>
    <t>2462283445</t>
  </si>
  <si>
    <t>161793323</t>
  </si>
  <si>
    <t>3434729135</t>
  </si>
  <si>
    <t>138511539</t>
  </si>
  <si>
    <t>123530755</t>
  </si>
  <si>
    <t>1625795281</t>
  </si>
  <si>
    <t>76779177</t>
  </si>
  <si>
    <t>58977300</t>
  </si>
  <si>
    <t>74215006</t>
  </si>
  <si>
    <t>117089350</t>
  </si>
  <si>
    <t>80304926</t>
  </si>
  <si>
    <t>19967197</t>
  </si>
  <si>
    <t>17598409</t>
  </si>
  <si>
    <t>2395121634</t>
  </si>
  <si>
    <t>1425066466060144641</t>
  </si>
  <si>
    <t>945700195068768261</t>
  </si>
  <si>
    <t>1508989287706025984</t>
  </si>
  <si>
    <t>39614127</t>
  </si>
  <si>
    <t>28855413</t>
  </si>
  <si>
    <t>577407652</t>
  </si>
  <si>
    <t>31419983</t>
  </si>
  <si>
    <t>2297060792</t>
  </si>
  <si>
    <t>432486705</t>
  </si>
  <si>
    <t>99003755</t>
  </si>
  <si>
    <t>306999332</t>
  </si>
  <si>
    <t>18718638</t>
  </si>
  <si>
    <t>92088399</t>
  </si>
  <si>
    <t>617150536</t>
  </si>
  <si>
    <t>1593669540914806784</t>
  </si>
  <si>
    <t>158701404</t>
  </si>
  <si>
    <t>158958167</t>
  </si>
  <si>
    <t>79061885</t>
  </si>
  <si>
    <t>1465443572</t>
  </si>
  <si>
    <t>1583124007</t>
  </si>
  <si>
    <t>557963849</t>
  </si>
  <si>
    <t>206288600</t>
  </si>
  <si>
    <t>26586891</t>
  </si>
  <si>
    <t>48809868</t>
  </si>
  <si>
    <t>1599687301</t>
  </si>
  <si>
    <t>116257567</t>
  </si>
  <si>
    <t>1486263151</t>
  </si>
  <si>
    <t>62095109</t>
  </si>
  <si>
    <t>51565827</t>
  </si>
  <si>
    <t>28832811</t>
  </si>
  <si>
    <t>50761016</t>
  </si>
  <si>
    <t>320462847</t>
  </si>
  <si>
    <t>2809645026</t>
  </si>
  <si>
    <t>119024617</t>
  </si>
  <si>
    <t>1620136979701579776</t>
  </si>
  <si>
    <t>195049669</t>
  </si>
  <si>
    <t>126750296</t>
  </si>
  <si>
    <t>207577470</t>
  </si>
  <si>
    <t>25745126</t>
  </si>
  <si>
    <t>83854705</t>
  </si>
  <si>
    <t>226626305</t>
  </si>
  <si>
    <t>328536799</t>
  </si>
  <si>
    <t>206473907</t>
  </si>
  <si>
    <t>144844087</t>
  </si>
  <si>
    <t>878384622312321025</t>
  </si>
  <si>
    <t>1592956093373812736</t>
  </si>
  <si>
    <t>1628501646543134730</t>
  </si>
  <si>
    <t>494539258</t>
  </si>
  <si>
    <t>53085255</t>
  </si>
  <si>
    <t>1072916557368578049</t>
  </si>
  <si>
    <t>3181396187</t>
  </si>
  <si>
    <t>195863790</t>
  </si>
  <si>
    <t>267352197</t>
  </si>
  <si>
    <t>250804213</t>
  </si>
  <si>
    <t>ExpoMag</t>
  </si>
  <si>
    <t>São Paulo - SP - Brasil</t>
  </si>
  <si>
    <t>Belém, Pará, Brasil</t>
  </si>
  <si>
    <t>Arapiraca, Brasil</t>
  </si>
  <si>
    <t>Guarulhos, Brasil</t>
  </si>
  <si>
    <t>Sinop, Brasil</t>
  </si>
  <si>
    <t>São Gonçalo, Brasil</t>
  </si>
  <si>
    <t>World</t>
  </si>
  <si>
    <t>NASCIDO BRASILIA -D/F BRASIL</t>
  </si>
  <si>
    <t>Brazil</t>
  </si>
  <si>
    <t>Blumenau, SC, Brasil</t>
  </si>
  <si>
    <t>São Bernardo do Campo, Brasil</t>
  </si>
  <si>
    <t>Blumenau-SC</t>
  </si>
  <si>
    <t>São Paulo, SP, Brasil</t>
  </si>
  <si>
    <t>Santa Cruz do Sul, RS, Brasil</t>
  </si>
  <si>
    <t>Rio de Janeiro, Brazil</t>
  </si>
  <si>
    <t>São Paulo, SP</t>
  </si>
  <si>
    <t>RS</t>
  </si>
  <si>
    <t>Maricá, RJ, Brasil</t>
  </si>
  <si>
    <t>San Bruno, CA</t>
  </si>
  <si>
    <t>#Bahia | NE| #Brasil | Brazil</t>
  </si>
  <si>
    <t>California, USA</t>
  </si>
  <si>
    <t>Parada de la Cultura, SDE</t>
  </si>
  <si>
    <t>Tatuí</t>
  </si>
  <si>
    <t>Breno❤️Benício / 15.02.14💍</t>
  </si>
  <si>
    <t>Recife, PE - Brasil</t>
  </si>
  <si>
    <t>24/02 😇</t>
  </si>
  <si>
    <t>MG</t>
  </si>
  <si>
    <t>Espanha</t>
  </si>
  <si>
    <t>Miami, FL</t>
  </si>
  <si>
    <t>Rua Ida Mascarenhas Lage.104</t>
  </si>
  <si>
    <t>Gama, Brasília</t>
  </si>
  <si>
    <t>Aracaju, Brasil</t>
  </si>
  <si>
    <t>Sao Paulo, Brazil</t>
  </si>
  <si>
    <t>São Paulo, Brazil</t>
  </si>
  <si>
    <t>Santa Catarina, Brasil</t>
  </si>
  <si>
    <t>sucesso</t>
  </si>
  <si>
    <t>Curitiba, Paraná</t>
  </si>
  <si>
    <t>Goiânia, Brasil</t>
  </si>
  <si>
    <t>pakistan</t>
  </si>
  <si>
    <t>Twitter</t>
  </si>
  <si>
    <t>Turvo, Brasil</t>
  </si>
  <si>
    <t>Lagoa da Prata, Brasil</t>
  </si>
  <si>
    <t>são paulo</t>
  </si>
  <si>
    <t>Suzano - SP</t>
  </si>
  <si>
    <t>Minas Gerais</t>
  </si>
  <si>
    <t>Fortaleza, Brasil</t>
  </si>
  <si>
    <t>Rondônia</t>
  </si>
  <si>
    <t>Inhumas-Go R.03 Solar Park</t>
  </si>
  <si>
    <t>Complexo do Alemão - RJ.</t>
  </si>
  <si>
    <t>Pernambuco, Brasil</t>
  </si>
  <si>
    <t>Belém-PA</t>
  </si>
  <si>
    <t>Belo Horizonte, Brazil</t>
  </si>
  <si>
    <t>São Paulo - Brasil</t>
  </si>
  <si>
    <t>Rondônia, Amazonas e Roraima</t>
  </si>
  <si>
    <t>Ver. Constante Pinto 520 - CWB</t>
  </si>
  <si>
    <t>Sao Paulo, Brasil</t>
  </si>
  <si>
    <t>Caucaia - CE</t>
  </si>
  <si>
    <t>WE ARE DREAM MAKERS</t>
  </si>
  <si>
    <t>São José dos Campos</t>
  </si>
  <si>
    <t>PUC-RIO</t>
  </si>
  <si>
    <t>Brasil, Pernambuco, Recife</t>
  </si>
  <si>
    <t>Campinas, Brasil</t>
  </si>
  <si>
    <t>Córdoba, Argentina</t>
  </si>
  <si>
    <t xml:space="preserve">Rio do Sul (SC) - Brasil </t>
  </si>
  <si>
    <t>Campo Grande - MS</t>
  </si>
  <si>
    <t>Campo Grande / MS - Brasil</t>
  </si>
  <si>
    <t>Round Rock, TX and Global</t>
  </si>
  <si>
    <t>Campo Belo</t>
  </si>
  <si>
    <t>Piauí, Brasil</t>
  </si>
  <si>
    <t>Ceará</t>
  </si>
  <si>
    <t>Lisboa, Portugal</t>
  </si>
  <si>
    <t>Muriaé</t>
  </si>
  <si>
    <t>Angra do Heroísmo</t>
  </si>
  <si>
    <t>León, Guanajuato</t>
  </si>
  <si>
    <t>Planaltina, Brasil</t>
  </si>
  <si>
    <t>Niterói</t>
  </si>
  <si>
    <t>Blumenau</t>
  </si>
  <si>
    <t>Cascais, Portugal</t>
  </si>
  <si>
    <t xml:space="preserve">Rio De Janeiro </t>
  </si>
  <si>
    <t>Fremont, CA</t>
  </si>
  <si>
    <t>Salvador, Bahia</t>
  </si>
  <si>
    <t>Paris, France</t>
  </si>
  <si>
    <t>Karachi, Pakistan</t>
  </si>
  <si>
    <t>Vale do Paraíba</t>
  </si>
  <si>
    <t>Joinville - SC - Brazil</t>
  </si>
  <si>
    <t>Bahia</t>
  </si>
  <si>
    <t>Itajaí, Brasil</t>
  </si>
  <si>
    <t>London &amp; Provincetown</t>
  </si>
  <si>
    <t>Belo Horizonte - MG</t>
  </si>
  <si>
    <t>Brasília - DF</t>
  </si>
  <si>
    <t xml:space="preserve">Porto Alegre - Brasil </t>
  </si>
  <si>
    <t xml:space="preserve">Florianópolis </t>
  </si>
  <si>
    <t>Timbó, Brasil</t>
  </si>
  <si>
    <t>Lisboa</t>
  </si>
  <si>
    <t>Cianorte PR</t>
  </si>
  <si>
    <t>Lisbon, Portugal</t>
  </si>
  <si>
    <t>Centro/Rio de Janeiro</t>
  </si>
  <si>
    <t>cornelia street</t>
  </si>
  <si>
    <t>Rio de Janeiro &amp; São Paulo</t>
  </si>
  <si>
    <t>BRASIL</t>
  </si>
  <si>
    <t>Congonhas MG</t>
  </si>
  <si>
    <t>Belém/Pará</t>
  </si>
  <si>
    <t>Barueri - SP</t>
  </si>
  <si>
    <t>Marte</t>
  </si>
  <si>
    <t>Paraíba /Brasil</t>
  </si>
  <si>
    <t>Avenida Paulista, 900</t>
  </si>
  <si>
    <t xml:space="preserve">Cascais, Portugal </t>
  </si>
  <si>
    <t>Setúbal, Portugal</t>
  </si>
  <si>
    <t>Coimbra</t>
  </si>
  <si>
    <t>Bahia, Brasil</t>
  </si>
  <si>
    <t>Porto Alegre, RS</t>
  </si>
  <si>
    <t>Salvador, Bahia, Brasil</t>
  </si>
  <si>
    <t>São Paulo - SP</t>
  </si>
  <si>
    <t>Rua Itatiaia, 845 - Curitiba</t>
  </si>
  <si>
    <t>Bangladesh</t>
  </si>
  <si>
    <t>Rio Grande do Sul, Brasil</t>
  </si>
  <si>
    <t>remote</t>
  </si>
  <si>
    <t>Rio Claro, SP, Brasil</t>
  </si>
  <si>
    <t>PB</t>
  </si>
  <si>
    <t>Ananindeua, Brasil</t>
  </si>
  <si>
    <t>Buenos Aires</t>
  </si>
  <si>
    <t>Montreal, Quebec</t>
  </si>
  <si>
    <t>VITÓRIA DE SANTO ANTÃO - PE</t>
  </si>
  <si>
    <t xml:space="preserve">Distrito Federal </t>
  </si>
  <si>
    <t>Av. Prof. Lineu Prestes, 950</t>
  </si>
  <si>
    <t>Cidade Universitária - SP</t>
  </si>
  <si>
    <t>Belo Horizonte - Minas Gerais</t>
  </si>
  <si>
    <t>Juiz de Fora, Brasil</t>
  </si>
  <si>
    <t>Porto, Portugal</t>
  </si>
  <si>
    <t>São Carlos - SP - Brasil</t>
  </si>
  <si>
    <t>Santa Catarina, Brazil</t>
  </si>
  <si>
    <t>República de Moçambique</t>
  </si>
  <si>
    <t>Nova Iguaçu RJ</t>
  </si>
  <si>
    <t>não sei quem sou eu</t>
  </si>
  <si>
    <t>São Paulo/SP</t>
  </si>
  <si>
    <t>Terra do sol ☀️</t>
  </si>
  <si>
    <t>Natal, Brasil</t>
  </si>
  <si>
    <t>Sunnyvale, CA</t>
  </si>
  <si>
    <t xml:space="preserve">Fanáticos de la IA 👉 </t>
  </si>
  <si>
    <t>Subscribe (it’s free) →</t>
  </si>
  <si>
    <t>Free AI Guides 👉</t>
  </si>
  <si>
    <t>Av. Ruy Carneiro, 300, Sala 07</t>
  </si>
  <si>
    <t>Alagoa - Minas Gerais</t>
  </si>
  <si>
    <t>Minas Gerais, Brasil</t>
  </si>
  <si>
    <t>Braga, Portugal</t>
  </si>
  <si>
    <t>Mogi das Cruzes - SP</t>
  </si>
  <si>
    <t>USA</t>
  </si>
  <si>
    <t>Guanambi, Brasil</t>
  </si>
  <si>
    <t>Ubatuba, Brasil</t>
  </si>
  <si>
    <t>from RJ</t>
  </si>
  <si>
    <t>Buenos Aires, Argentina</t>
  </si>
  <si>
    <t>My Templates 👉</t>
  </si>
  <si>
    <t>São José do Rio Preto - SP</t>
  </si>
  <si>
    <t>Rio de Janeiro | Brasil</t>
  </si>
  <si>
    <t>Serra, Brasil</t>
  </si>
  <si>
    <t>Porto Alegre | RS</t>
  </si>
  <si>
    <t xml:space="preserve">faço auau pra 2D </t>
  </si>
  <si>
    <t>Espírito Santo</t>
  </si>
  <si>
    <t>New Delhi, India</t>
  </si>
  <si>
    <t>São Vicente-SP</t>
  </si>
  <si>
    <t xml:space="preserve">Brasil 🇧🇷 </t>
  </si>
  <si>
    <t>Fortaleza</t>
  </si>
  <si>
    <t>Ursene</t>
  </si>
  <si>
    <t>Jasmim/M.Liz/Benicio/Davi💜💙</t>
  </si>
  <si>
    <t>BH - MG</t>
  </si>
  <si>
    <t>Uberlândia - MG - Brasil</t>
  </si>
  <si>
    <t>Florida</t>
  </si>
  <si>
    <t>Salvador-BA</t>
  </si>
  <si>
    <t>London, England</t>
  </si>
  <si>
    <t>Santos, São Paulo</t>
  </si>
  <si>
    <t>São Vicente, SP, Brasil</t>
  </si>
  <si>
    <t>Lleida, España</t>
  </si>
  <si>
    <t>Dakota do Sul, USA</t>
  </si>
  <si>
    <t>São Paulo - BR</t>
  </si>
  <si>
    <t>Itajaí</t>
  </si>
  <si>
    <t>Angola</t>
  </si>
  <si>
    <t>Aracaju - Sergipe - Brasil</t>
  </si>
  <si>
    <t>Teresina-PI</t>
  </si>
  <si>
    <t>Jardim das Flores, Osasco</t>
  </si>
  <si>
    <t>Ecuador</t>
  </si>
  <si>
    <t>R. Santa Cruz, 2105 - 1711/16</t>
  </si>
  <si>
    <t>Cuenca, Ecuador</t>
  </si>
  <si>
    <t>New Westminster, British Colum</t>
  </si>
  <si>
    <t>Cotia</t>
  </si>
  <si>
    <t>Acolá</t>
  </si>
  <si>
    <t>Lavras MG</t>
  </si>
  <si>
    <t>Columbus, Ohio</t>
  </si>
  <si>
    <t>São Luís, Maranhão</t>
  </si>
  <si>
    <t>Prolongación calle Arce, S.S.</t>
  </si>
  <si>
    <t>Blumenau/ SC</t>
  </si>
  <si>
    <t>Guimarães</t>
  </si>
  <si>
    <t>EU</t>
  </si>
  <si>
    <t>Foz do Iguaçu - PR</t>
  </si>
  <si>
    <t>Santiago de Chile, RM</t>
  </si>
  <si>
    <t>New York, NY</t>
  </si>
  <si>
    <t>Colatina, ES</t>
  </si>
  <si>
    <t>Santa Catarina</t>
  </si>
  <si>
    <t xml:space="preserve">Brasil </t>
  </si>
  <si>
    <t>Brasília - São Paulo - Brasil</t>
  </si>
  <si>
    <t>Luanda - Angola</t>
  </si>
  <si>
    <t>200 Cities (and growing)</t>
  </si>
  <si>
    <t>Cotia/SP</t>
  </si>
  <si>
    <t>São Paulo, SP, Brazil</t>
  </si>
  <si>
    <t>Campo Grande MS</t>
  </si>
  <si>
    <t>São Luís - MA</t>
  </si>
  <si>
    <t>Belém, PA</t>
  </si>
  <si>
    <t>DF / SP</t>
  </si>
  <si>
    <t>Bertioga, São Paulo, Brasil</t>
  </si>
  <si>
    <t>Palmas TO</t>
  </si>
  <si>
    <t>Manaus - AM</t>
  </si>
  <si>
    <t>United States / Brasil</t>
  </si>
  <si>
    <t>Denver, Colorado</t>
  </si>
  <si>
    <t>Orlando</t>
  </si>
  <si>
    <t>Ribeirão Preto, Brasil</t>
  </si>
  <si>
    <t>Cachoeiro de Itapemirim-ES</t>
  </si>
  <si>
    <t>United States</t>
  </si>
  <si>
    <t>Itanhomi, Brasil</t>
  </si>
  <si>
    <t>Texas, USA</t>
  </si>
  <si>
    <t>Blumenau - SC</t>
  </si>
  <si>
    <t>Joinville-SC</t>
  </si>
  <si>
    <t>undy's coffin</t>
  </si>
  <si>
    <t>Fortaleza, Ceará</t>
  </si>
  <si>
    <t>Florianópolis e Itajaí</t>
  </si>
  <si>
    <t>Saudi Arabia/Turkey</t>
  </si>
  <si>
    <t>São Luís, Brasil</t>
  </si>
  <si>
    <t>Santos/SP</t>
  </si>
  <si>
    <t>Aguascalientes, México</t>
  </si>
  <si>
    <t>Republic of Mozambique</t>
  </si>
  <si>
    <t>Greenwich, London</t>
  </si>
  <si>
    <t>Quarteira</t>
  </si>
  <si>
    <t xml:space="preserve">Caxambu(MG) </t>
  </si>
  <si>
    <t>stray kids</t>
  </si>
  <si>
    <t>¯\_(ツ)_/¯</t>
  </si>
  <si>
    <t>Brasília, Brazil</t>
  </si>
  <si>
    <t>Palmas - TO</t>
  </si>
  <si>
    <t>Brasil, Rio de Janeiro</t>
  </si>
  <si>
    <t>Salvador, Ba</t>
  </si>
  <si>
    <t>Rohmeristão, Portugal</t>
  </si>
  <si>
    <t>Brasil - São Paulo</t>
  </si>
  <si>
    <t>Manaus-AM</t>
  </si>
  <si>
    <t>Hub Salvador-Ba</t>
  </si>
  <si>
    <t>João Pessoa - Paraíba</t>
  </si>
  <si>
    <t>Oakland, CA</t>
  </si>
  <si>
    <t>Castanhal, Brasil</t>
  </si>
  <si>
    <t xml:space="preserve">bolsonaro </t>
  </si>
  <si>
    <t>Brusque, Brasil</t>
  </si>
  <si>
    <t>Tocantins, Brasil</t>
  </si>
  <si>
    <t>São Paulo - SP, Brasil</t>
  </si>
  <si>
    <t>Campinas</t>
  </si>
  <si>
    <t>Rio de Janeiro - RJ - Brasil</t>
  </si>
  <si>
    <t>Worcester, Massachusetts</t>
  </si>
  <si>
    <t xml:space="preserve">Av. Coronel Almeida, 60. </t>
  </si>
  <si>
    <t>Uberlândia, Brasil</t>
  </si>
  <si>
    <t>Salvador - BA - Brazil</t>
  </si>
  <si>
    <t>Toledo/PR - Brasil</t>
  </si>
  <si>
    <t>Poços de Caldas, Brasil</t>
  </si>
  <si>
    <t>Londrina - Paraná - Brasil</t>
  </si>
  <si>
    <t>Diadema/SP</t>
  </si>
  <si>
    <t>Brasília-DF, Brasil</t>
  </si>
  <si>
    <t>Sao Paulo - Brasil</t>
  </si>
  <si>
    <t>São Paulo/Brasil</t>
  </si>
  <si>
    <t>Brasília/João Pessoa</t>
  </si>
  <si>
    <t>Israel</t>
  </si>
  <si>
    <t>Litoral Norte/SP</t>
  </si>
  <si>
    <t xml:space="preserve">Bogotá y Caracas </t>
  </si>
  <si>
    <t>Palmela, Portugal</t>
  </si>
  <si>
    <t>Maceó-AL</t>
  </si>
  <si>
    <t>R Vicente Pereira, 87, Centro</t>
  </si>
  <si>
    <t>Macapá-Amapá-Brasil</t>
  </si>
  <si>
    <t>Brasília/DF, Brasil</t>
  </si>
  <si>
    <t>Em Algum Lugar</t>
  </si>
  <si>
    <t>Salvador-Ba</t>
  </si>
  <si>
    <t>Interessa?</t>
  </si>
  <si>
    <t>Terra dos altos coqueiros</t>
  </si>
  <si>
    <t>Rajshahi,Sirajganj, Bangladesh</t>
  </si>
  <si>
    <t xml:space="preserve">Capela, Sergipe </t>
  </si>
  <si>
    <t>Avaré</t>
  </si>
  <si>
    <t>Sumaré, SP</t>
  </si>
  <si>
    <t>Alagoas, Brasil</t>
  </si>
  <si>
    <t>São José dos Campos - SP</t>
  </si>
  <si>
    <t xml:space="preserve">Rua Neves Garcia, 7 </t>
  </si>
  <si>
    <t>Estrada da Luz n.º 153, Lisboa</t>
  </si>
  <si>
    <t>Fortaleza, CE</t>
  </si>
  <si>
    <t>Worldwide</t>
  </si>
  <si>
    <t>Bombaim, Índia</t>
  </si>
  <si>
    <t xml:space="preserve">Santo André, SP, Brasil </t>
  </si>
  <si>
    <t>Porto Alegre - RS</t>
  </si>
  <si>
    <t>Marabá, PA - Brasil</t>
  </si>
  <si>
    <t>belford roxo</t>
  </si>
  <si>
    <t>Make It.</t>
  </si>
  <si>
    <t>San Francisco, CA</t>
  </si>
  <si>
    <t>San Francisco</t>
  </si>
  <si>
    <t>Global</t>
  </si>
  <si>
    <t>Sydney, Australia</t>
  </si>
  <si>
    <t>Indianapolis, Indiana</t>
  </si>
  <si>
    <t>SP</t>
  </si>
  <si>
    <t>Sãu Paulo - Brasil</t>
  </si>
  <si>
    <t>Republica Dominicana</t>
  </si>
  <si>
    <t>Balneário Camboriu/SC, Brasil</t>
  </si>
  <si>
    <t>Curitiba-Paraná</t>
  </si>
  <si>
    <t>São Luís/MA</t>
  </si>
  <si>
    <t>Paraiba</t>
  </si>
  <si>
    <t>Cachoeirinha, Brasil</t>
  </si>
  <si>
    <t>Itapetininga-SP</t>
  </si>
  <si>
    <t>Sao Paulo / Brasil</t>
  </si>
  <si>
    <t>Envigado, Colombia</t>
  </si>
  <si>
    <t>United States of America</t>
  </si>
  <si>
    <t>Tampa, FL</t>
  </si>
  <si>
    <t>São Leopoldo, RS, Brasil</t>
  </si>
  <si>
    <t>Funchal</t>
  </si>
  <si>
    <t>East Los Angeles, CA</t>
  </si>
  <si>
    <t>Ribeirão Preto</t>
  </si>
  <si>
    <t>Alphaville, SP</t>
  </si>
  <si>
    <t>Contagem, Brazil</t>
  </si>
  <si>
    <t>Alameda Madeira 258 Alphaville</t>
  </si>
  <si>
    <t>Orlando, FL</t>
  </si>
  <si>
    <t>Natal, Brazil</t>
  </si>
  <si>
    <t>Macaé</t>
  </si>
  <si>
    <t>Florianópolis SC Brasil</t>
  </si>
  <si>
    <t>Avenida Brigadeiro Faria Lima</t>
  </si>
  <si>
    <t>Curitiba-PR</t>
  </si>
  <si>
    <t>brasil - iguassu falls</t>
  </si>
  <si>
    <t>Guaíba, Brasil</t>
  </si>
  <si>
    <t>Coimbatore,Namakkal,Chennai</t>
  </si>
  <si>
    <t>São Paulo - Brazil</t>
  </si>
  <si>
    <t>Rua 104, Setor Sul, Goiânia</t>
  </si>
  <si>
    <t>Campos dos Goytacazes-RJ</t>
  </si>
  <si>
    <t>Goiânia</t>
  </si>
  <si>
    <t>São Paulo / Brasil</t>
  </si>
  <si>
    <t>Brasília (DF) Brasil</t>
  </si>
  <si>
    <t>Limeira, SP - Brasil</t>
  </si>
  <si>
    <t>Rio de Janeiro/Brasil</t>
  </si>
  <si>
    <t>Cabo Verde</t>
  </si>
  <si>
    <t>Itajaí - SC - Brasil</t>
  </si>
  <si>
    <t>Santa Luzia - MG</t>
  </si>
  <si>
    <t>São  Paulo</t>
  </si>
  <si>
    <t>Brazil, IN</t>
  </si>
  <si>
    <t>Paris</t>
  </si>
  <si>
    <t>Straigth Outta Campo</t>
  </si>
  <si>
    <t>São Paulo/SP, Brasil</t>
  </si>
  <si>
    <t>Brasília, Distrito Federal</t>
  </si>
  <si>
    <t>Alagoas</t>
  </si>
  <si>
    <t>Campo Grande - MS - Brasil</t>
  </si>
  <si>
    <t>Campo Grande, MS</t>
  </si>
  <si>
    <t>Campinas - SP - Brasil</t>
  </si>
  <si>
    <t>Colombia</t>
  </si>
  <si>
    <t>Vilanova i la Geltrú</t>
  </si>
  <si>
    <t>Mato Grosso do Sul</t>
  </si>
  <si>
    <t>Wiesbaden/Germany - the world</t>
  </si>
  <si>
    <t>Indaiatuba, Brasil</t>
  </si>
  <si>
    <t>Manaus/AM</t>
  </si>
  <si>
    <t>WRLD</t>
  </si>
  <si>
    <t>Amapá, Brasil</t>
  </si>
  <si>
    <t>Minas Gerais - Brasil</t>
  </si>
  <si>
    <t>Ouro Preto, Brasil</t>
  </si>
  <si>
    <t>Loulé, Portugal</t>
  </si>
  <si>
    <t>Avenida João Paulo II, 602</t>
  </si>
  <si>
    <t>Porto</t>
  </si>
  <si>
    <t>+70 extensoes do Chrome ➡️</t>
  </si>
  <si>
    <t>São Paulo/BRASIL</t>
  </si>
  <si>
    <t>Vigário Geral, Rio de Janeiro</t>
  </si>
  <si>
    <t>Criciúma/SC</t>
  </si>
  <si>
    <t xml:space="preserve">Brasília </t>
  </si>
  <si>
    <t>Taquaritinga/SP</t>
  </si>
  <si>
    <t>London</t>
  </si>
  <si>
    <t>Sintra, Portugal</t>
  </si>
  <si>
    <t>BRAZIL</t>
  </si>
  <si>
    <t xml:space="preserve"> 🇧🇷 </t>
  </si>
  <si>
    <t>Marabá, Brasil</t>
  </si>
  <si>
    <t>Ceará, Brasil</t>
  </si>
  <si>
    <t>Jundiaí-SP</t>
  </si>
  <si>
    <t>Florianópolis, Santa Catarina</t>
  </si>
  <si>
    <t xml:space="preserve">Rio de Janeiro - Recreio </t>
  </si>
  <si>
    <t>Camaxilo</t>
  </si>
  <si>
    <t>Belo Horizonte, MG</t>
  </si>
  <si>
    <t>Londrina (PR)</t>
  </si>
  <si>
    <t>Pedreira, Brasil</t>
  </si>
  <si>
    <t>Palmas, Brasil</t>
  </si>
  <si>
    <t>São Paulo - SP, Brazil</t>
  </si>
  <si>
    <t>Setúbal</t>
  </si>
  <si>
    <t>Luanda Angola</t>
  </si>
  <si>
    <t>Nueva República Bananera</t>
  </si>
  <si>
    <t>Kissimmee, FL</t>
  </si>
  <si>
    <t xml:space="preserve">Biguaçu, Santa Catarina </t>
  </si>
  <si>
    <t>ssa</t>
  </si>
  <si>
    <t>Campo Grande, Brasil</t>
  </si>
  <si>
    <t>Camp Nou</t>
  </si>
  <si>
    <t>Tatuí, Brasil</t>
  </si>
  <si>
    <t>Irati, Paraná-Brasil</t>
  </si>
  <si>
    <t>#África</t>
  </si>
  <si>
    <t>Abidjan, Côte d’Ivoire</t>
  </si>
  <si>
    <t>Hangzhou, China</t>
  </si>
  <si>
    <t>Kigali, Rwanda</t>
  </si>
  <si>
    <t>Barreiras, Brasil</t>
  </si>
  <si>
    <t>Mozambique</t>
  </si>
  <si>
    <t>Parnaíba, Brasil</t>
  </si>
  <si>
    <t>Bangu, Rio de Janeiro</t>
  </si>
  <si>
    <t>Pedro Leopoldo</t>
  </si>
  <si>
    <t>Caçador - SC</t>
  </si>
  <si>
    <t>Brasília, DF</t>
  </si>
  <si>
    <t>Ribeirão das Neves, Brasil</t>
  </si>
  <si>
    <t>bagunça das gavetas</t>
  </si>
  <si>
    <t>Concórdia</t>
  </si>
  <si>
    <t>Araçatuba -SP</t>
  </si>
  <si>
    <t>Caruaru, Brasil</t>
  </si>
  <si>
    <t>ITU</t>
  </si>
  <si>
    <t>Duque de Caxias, Brasil</t>
  </si>
  <si>
    <t>rio de janeiro</t>
  </si>
  <si>
    <t>Espírito Santo, Brasil</t>
  </si>
  <si>
    <t>Araçatuba-SP</t>
  </si>
  <si>
    <t>Póvoa de Santa Iria</t>
  </si>
  <si>
    <t>06454-000</t>
  </si>
  <si>
    <t>Natal - RN</t>
  </si>
  <si>
    <t>Barcelona</t>
  </si>
  <si>
    <t>Anchieta ES</t>
  </si>
  <si>
    <t>Campos Novos, Brasil</t>
  </si>
  <si>
    <t xml:space="preserve">Recife </t>
  </si>
  <si>
    <t>Recife, Brazil</t>
  </si>
  <si>
    <t>ÜT: -23.576362,-46.665479</t>
  </si>
  <si>
    <t>São Paulo  - Brasil</t>
  </si>
  <si>
    <t>Madureira</t>
  </si>
  <si>
    <t>Argentina</t>
  </si>
  <si>
    <t>São José dos Campos, Brasil</t>
  </si>
  <si>
    <t xml:space="preserve">Bogota , Colombia </t>
  </si>
  <si>
    <t>Germany,Borken</t>
  </si>
  <si>
    <t>Page Rank</t>
  </si>
  <si>
    <t>Silver Spring, MD</t>
  </si>
  <si>
    <t>Lisbonne, Portugal</t>
  </si>
  <si>
    <t>Arcos de Valdevez, Portugal</t>
  </si>
  <si>
    <t>Betim, Brasil</t>
  </si>
  <si>
    <t>Navegantes-Santa Catarina</t>
  </si>
  <si>
    <t>Ipanema, RJ</t>
  </si>
  <si>
    <t>SP, Brazil</t>
  </si>
  <si>
    <t>Belo Horizonte - Brasil</t>
  </si>
  <si>
    <t>Ilha Solteira, Brasil</t>
  </si>
  <si>
    <t>São Paulo / SP</t>
  </si>
  <si>
    <t>Flonóps SC</t>
  </si>
  <si>
    <t>Pará</t>
  </si>
  <si>
    <t>São Paulo Brasil.</t>
  </si>
  <si>
    <t>Blockchain</t>
  </si>
  <si>
    <t xml:space="preserve">onde estiver estarei </t>
  </si>
  <si>
    <t>Manaus, Brazil</t>
  </si>
  <si>
    <t>Porto Velho, Brasil</t>
  </si>
  <si>
    <t>In Brasil From Mozambique</t>
  </si>
  <si>
    <t>Teresina, Brasil</t>
  </si>
  <si>
    <t>Oeiras – Portugal</t>
  </si>
  <si>
    <t>Natal, RN</t>
  </si>
  <si>
    <t>Brasil - Campinas/SP</t>
  </si>
  <si>
    <t>Tapejara/RS</t>
  </si>
  <si>
    <t>Joinville, SC, Brasil.</t>
  </si>
  <si>
    <t>Reitoria UNL</t>
  </si>
  <si>
    <t>Berlin</t>
  </si>
  <si>
    <t>Botucatu, Brasil</t>
  </si>
  <si>
    <t>Cuiabá, Brazil</t>
  </si>
  <si>
    <t>Lisbon and Porto</t>
  </si>
  <si>
    <t>Goiânia Goiás Brazil</t>
  </si>
  <si>
    <t xml:space="preserve">eu e ash lendo </t>
  </si>
  <si>
    <t>Parque São José, Belford Roxo</t>
  </si>
  <si>
    <t>Grande São Paulo</t>
  </si>
  <si>
    <t>Serro, Brasil</t>
  </si>
  <si>
    <t>indonesia</t>
  </si>
  <si>
    <t>Cariacica, Brasil</t>
  </si>
  <si>
    <t>El Salvador 🇸🇻</t>
  </si>
  <si>
    <t>Sorocaba, São Paulo</t>
  </si>
  <si>
    <t>Rua Major Carlos Del Prete,651</t>
  </si>
  <si>
    <t>Vespasiano, Brasil</t>
  </si>
  <si>
    <t>Ipojuca, Brasil</t>
  </si>
  <si>
    <t>NATAL/RN</t>
  </si>
  <si>
    <t>Natal/RN</t>
  </si>
  <si>
    <t>Fortaleza, Brazil</t>
  </si>
  <si>
    <t>AL / SE / BA / Nordeste / BR</t>
  </si>
  <si>
    <t>Porto Alegre, Brazil</t>
  </si>
  <si>
    <t>Blumenau, Santa Catarina</t>
  </si>
  <si>
    <t>Alagoinhas, BA</t>
  </si>
  <si>
    <t>Rio Grande do Norte, Brasil</t>
  </si>
  <si>
    <t>Bahrain</t>
  </si>
  <si>
    <t>Adamantina, SP, Brasil</t>
  </si>
  <si>
    <t>Chattanooga, TN</t>
  </si>
  <si>
    <t>Rio Grande do Sul</t>
  </si>
  <si>
    <t>Todo o Brasil, via Internet</t>
  </si>
  <si>
    <t>Santos - BRASIL</t>
  </si>
  <si>
    <t>Bom Retiro - São Paulo</t>
  </si>
  <si>
    <t>Apucarana - PR</t>
  </si>
  <si>
    <t>Canada</t>
  </si>
  <si>
    <t>Criciúma-SC</t>
  </si>
  <si>
    <t>Anápolis Goiás</t>
  </si>
  <si>
    <t>Rio do Sul, SC, Brasil</t>
  </si>
  <si>
    <t>Porto Alegre - RS - Brasil</t>
  </si>
  <si>
    <t>Aparecida de Goiânia, Brasil</t>
  </si>
  <si>
    <t>Belém do Pará</t>
  </si>
  <si>
    <t>São Caetano do Sul - SP</t>
  </si>
  <si>
    <t>🇧🇷</t>
  </si>
  <si>
    <t>Guarapari-ES</t>
  </si>
  <si>
    <t>Santana do Ipanema</t>
  </si>
  <si>
    <t>Vitória, ES</t>
  </si>
  <si>
    <t>Coimbra, Portugal</t>
  </si>
  <si>
    <t>Simão Dias/SE</t>
  </si>
  <si>
    <t>Niterói, Brasil</t>
  </si>
  <si>
    <t>Piaui</t>
  </si>
  <si>
    <t>Venezuela.</t>
  </si>
  <si>
    <t>Venezuela</t>
  </si>
  <si>
    <t>Caracas Venezuela</t>
  </si>
  <si>
    <t>Caracas, Venezuela</t>
  </si>
  <si>
    <t>Garopaba, Brasil</t>
  </si>
  <si>
    <t>Boa Vista</t>
  </si>
  <si>
    <t>Balneário Camboriú</t>
  </si>
  <si>
    <t>Moita, Portugal</t>
  </si>
  <si>
    <t>Litoral Norte - SC</t>
  </si>
  <si>
    <t>Rio Branco, Brazil</t>
  </si>
  <si>
    <t>Nuestra AméFRICA LAdINA</t>
  </si>
  <si>
    <t>Bragança</t>
  </si>
  <si>
    <t>🇧🇷 ➔ 🌎</t>
  </si>
  <si>
    <t>Suíça</t>
  </si>
  <si>
    <t>Goiás, Brazil</t>
  </si>
  <si>
    <t>Goiânia,Goiás</t>
  </si>
  <si>
    <t>The Internet</t>
  </si>
  <si>
    <t>Boston</t>
  </si>
  <si>
    <t xml:space="preserve">Brasília-DF </t>
  </si>
  <si>
    <t>Florianópolis, SC</t>
  </si>
  <si>
    <t>MALDHA</t>
  </si>
  <si>
    <t xml:space="preserve">Mogi das Cruzes | SP | Brasil </t>
  </si>
  <si>
    <t>Araguari</t>
  </si>
  <si>
    <t>Itapevi</t>
  </si>
  <si>
    <t>Santiago, Chile</t>
  </si>
  <si>
    <t>São Paulo - SP - Brazil</t>
  </si>
  <si>
    <t>India</t>
  </si>
  <si>
    <t>Santarém, Pará, Brasil</t>
  </si>
  <si>
    <t>Rio das Ostras, RJ</t>
  </si>
  <si>
    <t>Jundiaí/SP - Brasil</t>
  </si>
  <si>
    <t>Conselheiro Lafaiete, MG</t>
  </si>
  <si>
    <t>Sao Paulo</t>
  </si>
  <si>
    <t>São Paulo, SP.</t>
  </si>
  <si>
    <t>São Roque, Brasil</t>
  </si>
  <si>
    <t>Alfenas, MG, Brasil</t>
  </si>
  <si>
    <t>Recife - Pernambuco - Brasil</t>
  </si>
  <si>
    <t>Guarulhos/SP</t>
  </si>
  <si>
    <t>Vargem Grande Paulista</t>
  </si>
  <si>
    <t>Jaboticabal - SP</t>
  </si>
  <si>
    <t>Manhattan, NY</t>
  </si>
  <si>
    <t>awdsddesome</t>
  </si>
  <si>
    <t>Blumenau, Brasil</t>
  </si>
  <si>
    <t>Maranhão, Brasil</t>
  </si>
  <si>
    <t>rawr</t>
  </si>
  <si>
    <t>Florianópolis/SC</t>
  </si>
  <si>
    <t>Paulo Afonso, Brasil</t>
  </si>
  <si>
    <t>Global automobile trade（China）
Car trader
WhatsApp at +17202705204</t>
  </si>
  <si>
    <t>Cuidado, ao acompanhar este conteúdo você corre o risco de prosperar rapidamente!</t>
  </si>
  <si>
    <t>Provavelmente você já esbarrou em algo que criei, produzi ou editei pra internet. Conto histórias em foto e vídeo.
Ficar puto da cara é justo e necessário!</t>
  </si>
  <si>
    <t>Eu não sei o que eu tô fazendo aqui, eu só tenho 6 anos</t>
  </si>
  <si>
    <t>Historiador. MLM. youtube e twitch no /assimdisseojoao. 🎙️ pelo @thecrepitos, membro da @Soberana_tv. Comercial: joaocarvalho@nmatalents.com</t>
  </si>
  <si>
    <t>Blockchain and decentralization for Iberoamerica. Telegram: 
https://t.co/lz06Vpz7mS…</t>
  </si>
  <si>
    <t>O maior evento de tecnologia da América Latina.
The largest technology event in Latin America.</t>
  </si>
  <si>
    <t>Aliando Contabilidade, Finanças e Tecnologia para o Sucesso Empresarial | CEO Fundador e Estrategista
🦁Sl23 ✝️Lc23:46
Confortare esto vir!</t>
  </si>
  <si>
    <t>O Damásio Educacional é referência em cursos preparatórios para Concursos e Exame de Ordem, Graduação, Pós-Graduação em Direito e MBA - Ibmec, Wyden.</t>
  </si>
  <si>
    <t>Somos especializados em marketing para escritórios de investimentos. Oferecemos soluções personalizadas e eficientes para alavancar seu negócio, gerando leads.</t>
  </si>
  <si>
    <t>Bem-vindo à página oficial da TV Liberal no Twitter!
Afiliada @tvglobo no Pará.</t>
  </si>
  <si>
    <t>Sites em WordPress
🛍️ Loja Virtual
🛒 Página de Vendas
💻 Institucional
🍽️ Delivery</t>
  </si>
  <si>
    <t>Doctorate: Information Science-UFMG, Brazil. Consultant, Lecturer, Author, Educator, Researcher #entarch #knowledgemanegent  #informacionascience</t>
  </si>
  <si>
    <t>Viva seu Propósito! Escreva você mesmo sua história! Consultoria Empresarial Palestras https://t.co/cZZNtkNJcN https://t.co/WubdGnRk6C</t>
  </si>
  <si>
    <t>Empresário (⛽🚛🍺🚜💻) e libertário. Acredito na liberdade e no mercado. Dólarize seu patrimônio com USDT. Link abaixo ⤵️</t>
  </si>
  <si>
    <t>Você Conectado!
📊Cobertura dos principais acontecimentos da cidade
📝Jornalismo Local e Plural
📧#guarulhosonline
📲Siga o GO no Facebook e Instagram</t>
  </si>
  <si>
    <t>Projetos de Arquitetura Residenciais e Comerciais. Atendemos todo o Brasil.</t>
  </si>
  <si>
    <t>Crie Páginas de Bio Links para suas redes sociais e mensagens instantâneas.</t>
  </si>
  <si>
    <t>SOU UMA VOZ QUE CLAMA NO DESERTO  BUSCANDO PELO UM BRASIL MELHOR</t>
  </si>
  <si>
    <t>Olá sou O Gustavo mais conhecido como Night no mundo dos games tenho 14y
Sou muito fã de vídeo game e computador.</t>
  </si>
  <si>
    <t>O podcast mais experiente da internet!🥰</t>
  </si>
  <si>
    <t>Casado, palestrante especialista em Vendas Criativas, Negócios de Sucesso, Consultor de empresas e Empresário.</t>
  </si>
  <si>
    <t>🎓Professor de Harvard | Ex-ministro da Secretaria de Assuntos Estratégicos  📖 Acompanhe minhas visões sobre política, filosofia e muito mais</t>
  </si>
  <si>
    <t>Entrepreneur, consultant in innovation architecture and new business. Caixa Postal 31223 - CEP: 01309-970 - São Paulo/SP - Brasil</t>
  </si>
  <si>
    <t>Presentamos a la nueva generación de líderes tecnológicos en Latinoamérica reconocidos por la publicación @techreview_es    #Innovadores35 #Innovadores35LatAm</t>
  </si>
  <si>
    <t>Edición en español de MIT Technology Review, la revista de tecnología más antigua del mundo, publicada por @Opinno #tecnología #emprendimiento #startup</t>
  </si>
  <si>
    <t>Investimentos | Finanças | Entretenimento</t>
  </si>
  <si>
    <t>Blumenau Agora - Notícias, informações, utilidade pública e entretenimento. Se você gostou compartilhe.</t>
  </si>
  <si>
    <t>Estrategista de negócios e Especialista em comportamento humano;
Autora de 8 livros na área de neurociência, desenvolvimento e negócios;
Instituto Tania Zambon</t>
  </si>
  <si>
    <t>👺</t>
  </si>
  <si>
    <t>Cortes das lives na resenha com Marcelo negao e seus convidados (as).
sigam e compartilhem nosso trabalho.</t>
  </si>
  <si>
    <t>O melhor amigo de quem empreende! 🤝
Ligue: 0800 570 0800</t>
  </si>
  <si>
    <t>Presidente do Sebrae Nacional. Foi deputado federal e ex-prefeito de Blumenau. Presidente do PT/SC. Advogado</t>
  </si>
  <si>
    <t>Relações Internacionais, Marketing, Cultura, Livros, Viagens e Cachorros.</t>
  </si>
  <si>
    <t>Portal de notícias, entretenimento, podcasts e reportagens, das cidade de Itabirito, Ouro Preto, Mariana e toda região dos inconfidentes!</t>
  </si>
  <si>
    <t>Associação Comercial e Industrial de Santa Cruz do Sul</t>
  </si>
  <si>
    <t>DQAPE Vidraçaria e Serralheria
Uma empresa familiar, com mais de 10 anos de prestação de serviços.
📍Rio e Grande Rio
📲 (21) 99266-4889</t>
  </si>
  <si>
    <t>Simplificando o uso da Tecnologia!
Empresa Brasileira especializada em soluções e serviços de TI.</t>
  </si>
  <si>
    <t>CEO da Em Alta assessoria🚀
Adm BMG teleféricos 🚠
Editor @taemaltapodcast 🚀
NaJovem Pan
Fotografía 📷
Músico 🎶 e cinéfilo 🎬</t>
  </si>
  <si>
    <t>Sou um empreendedor serial, busco constantemente parcerias e alianças para desenvolver soluções e respostas que impactem positivamente nossa sociedade.</t>
  </si>
  <si>
    <t>Administrador de empresas | Youtuber | Consultor
CEO do grupo Goakira - Consultoria Empresarial
Mais de 10 anos de experiência com Negócios e Franquias</t>
  </si>
  <si>
    <t>Business Life Adventure es una página para contar el camino hacia volverte empresario</t>
  </si>
  <si>
    <t>Ajudo empreendedores a melhorarem seus resultados nas suas empresas</t>
  </si>
  <si>
    <t>Developer</t>
  </si>
  <si>
    <t>pelo amor de deus jorge e mateus.</t>
  </si>
  <si>
    <t>Eu sou Karl, uma IA (“Inteligência Artificial”) que brinca com as ideias, pouco prática (ou nenhuma), de Karl Marx, junto com as ideias liberais de economia.</t>
  </si>
  <si>
    <t>visite:
https://t.co/3TFDcPGFb7…
#socialmedia  #metaverso #blockchain #criptomoedas</t>
  </si>
  <si>
    <t>Criador de conteúdo digital e empreendedorismo.</t>
  </si>
  <si>
    <t>like and subscribe.</t>
  </si>
  <si>
    <t>#Empregos em #Salvador/RM e...
(Não sou responsável pelas #vagas) https://t.co/O27gXsXiXF
@vagasdesalvador 
🚩❤️🏳️‍🌈🏳️‍⚧️🏳</t>
  </si>
  <si>
    <t>follow 4 follow back | unfollow=Block</t>
  </si>
  <si>
    <t>#Soucearense, tenho um orgulho, pai d'égua de ser ,cearense  #sounordestino  https://t.co/oJhzEr1ftv</t>
  </si>
  <si>
    <t>Imposto é roubo? Vamos explicar alguns temas e ajudar os Micro e Pequenos Empresários no Brasil!</t>
  </si>
  <si>
    <t>Centro de Innovación y Emprendimiento Municipal del Ayuntamiento de Santo Domingo Este. @alcaldiasde_
📍Parada de la Cultura</t>
  </si>
  <si>
    <t>👔Empresário | Consultor | Business Coach. 🎯Estrategista- Professor em Marketing Digital. 🦷Cirurgião especialista HOF e Saúde Integrativa . 🚀#sonhealto💥</t>
  </si>
  <si>
    <t>Designer de sobrancelhas 📏 Maquiadora 💄 Agendamentos via wpp 📲 (21) 99624-3254</t>
  </si>
  <si>
    <t>Mãe do THIEGO, JOÃO e MARIA 💙💙💗
Empresária🤑😘</t>
  </si>
  <si>
    <t>💡 Página de #autoconhecimento 📍 Aqui você encontra #sabedoria 🫡 Siga para mais #conteúdos</t>
  </si>
  <si>
    <t>PEDRO PAULO SPENCER SOARES, BRASILEIRO, ADVOGADO, CONSULTOR JURÍDICO EM INOVAÇÃO, MESTRE EM PROPRIEDADE INTELECTUAL E TRANSFERÊNCIA DE TECNOLOGIA PELA UFPE.</t>
  </si>
  <si>
    <t>🧡 Ativo o fluxo energético da sua vida através da sua 🏡+próspera✨</t>
  </si>
  <si>
    <t>Prazer - Thiago Silva. Entre e Sinta-se EM CASA.</t>
  </si>
  <si>
    <t>Tudo Sobre Convênios!</t>
  </si>
  <si>
    <t>Você nasceu de mim e eu renasci de você Ravi L.🤍</t>
  </si>
  <si>
    <t>O melhor PodCast do Brasil 🎙️</t>
  </si>
  <si>
    <t>Cresci assistindo o bofe escândalo He-man dando lição de moral aos quatro ventos. Me tornei profª e pesquisadora de Ética, Metaética e Ética Aplicada.</t>
  </si>
  <si>
    <t>Junte-se a nós e acelere seu sucesso</t>
  </si>
  <si>
    <t>Creador de sueños. Vivo, sin libro de instrucciones, estoy en el ahora, cuéntame tu deseo. Igual soñamos juntos</t>
  </si>
  <si>
    <t>Escritor de ficção científica.  Pobre, porém limpinho. Pessoa Não-monetária.
Pronomes: Pobre.</t>
  </si>
  <si>
    <t>Conta destinada ao desenvolvimento masculino!
A única coisa que te dá ordens nesta vida são os teus 🥚🥚
Gumroad: https://t.co/pBrgQnIk7C</t>
  </si>
  <si>
    <t>Brasileiro | Empreendedor, Investidor nos Estados Unidos | fundador do grupo Impulsionador | Ciência da computação FIU USA</t>
  </si>
  <si>
    <t>Tô recuperando minha conta, desculpem os posts chineses, não fui eu</t>
  </si>
  <si>
    <t>Somos uma escola de cursos de idiomas, livres, profissionalizantes e preparatórios, nosso objetivo é prepará-los para um futuro tecnológico.</t>
  </si>
  <si>
    <t>Semijoias Facebook: Mara Dib Instagram: @maradisemijoias @dib_mara</t>
  </si>
  <si>
    <t>Só no Gama é página que trata com humor as coisas e situações da nossa cidade, Gama-DF.</t>
  </si>
  <si>
    <t>Bobagens e política #EstouComOPCO</t>
  </si>
  <si>
    <t>⚜️Experiência Inédita: Sua Jornada de Empoderamento e Transformação. 🗓️ Agende agora! Vagas Limitadas! 👇🏼</t>
  </si>
  <si>
    <t>Um brasileiro que acredita no poder do nosso povo, na política feita com seriedade, na democracia, no trabalho como fonte de prosperidade e na liberdade.</t>
  </si>
  <si>
    <t>Doutorando e Mestre em Ciências Sociais e Política, especialista em Israel, Oriente Médio e Segurança Nacional. Presidente-executivo da StandWithUs Brasil</t>
  </si>
  <si>
    <t>Somos uma agência de marketing que tem a missão de aproximar empreendedores como você dos benefícios que um marketing profissional pode gerar em um negócio.</t>
  </si>
  <si>
    <t>Acesse agora!
E confira o que separamos para você.</t>
  </si>
  <si>
    <t>Querem saber mais sobre negócios e estar a par das empresas emergentes no mercado português? Sigam o BITALK PODCAST 🎙️</t>
  </si>
  <si>
    <t>https://t.co/PKmPP7HMt5 / App Meo / Posição 101 no MEO, 70 na NOS e 104 na VODAFONE.</t>
  </si>
  <si>
    <t>🧑🏻‍💻Advogado | Estácio de Sá 🧑🏻‍💻Ass parlamentar @Dep_Est_Freitas 🧑🏻‍💻casado @drmadalenafreitas 🧑🏻‍💻Pai - Kauã⚽️Brayan⚽️Kevyn⚽️Luan</t>
  </si>
  <si>
    <t>Forbes é o maior título de negócios do mundo, dedicado à realizações e realizadores.</t>
  </si>
  <si>
    <t>🎯caminhos para você escolher a franquia ideal
🇧🇷 maior site de franquias do Brasil desde 2002
🗝 informações, contatos e os valores das franquias aqui👇</t>
  </si>
  <si>
    <t>Panflix é a TV digital da Jovem Pan. Assista onde estiver, a hora que quiser; baixe agora! 📱💻📺📻
https://t.co/a2vsR5231R</t>
  </si>
  <si>
    <t>CEO &amp; Co-fundador da Nomos, plataforma para monitoramento de riscos regulatórios.</t>
  </si>
  <si>
    <t>Portal de notícias da Associação dos Jornais do Interior de Santa Catarina (Adjori/SC)</t>
  </si>
  <si>
    <t>CEO &amp; Serial Startup Founder and Startup Advisor. Strategist Leader in +US$ 11.8 Bi in Transactions / Growth strategies for BR companies in +20 yrs career exp</t>
  </si>
  <si>
    <t>🔥 | perfil novo.
🎯 | Empreendedorismo
💡 | Motivacional
👨🏻‍💻 | Publicidade/propaganda ⬇️</t>
  </si>
  <si>
    <t>Me siga no instagram: https://t.co/LgrA3FX514</t>
  </si>
  <si>
    <t>Desenvolvimento web, criação de sites, landing pages, hotsites, consultoria e gestão de redes sociais e Google.</t>
  </si>
  <si>
    <t>Não sou Flamengo de coração porquê ele para ,sou Flamengo de alma, porque dura para sempre .
Além disso sou conservador sou de direita,cristão</t>
  </si>
  <si>
    <t>Let’s make things happen.</t>
  </si>
  <si>
    <t>hello guy this is online shopping store here you get amazing products so visit also on bazardot.</t>
  </si>
  <si>
    <t>Igor 🏳️‍🌈 Buscando um equilíbrio entre falar merda e coisa séria</t>
  </si>
  <si>
    <t>era uma vez alguém não tão jovem
https://t.co/8JtquDKKWj</t>
  </si>
  <si>
    <t>O Grupo Goakira é o conjunto de soluções empresariais focada em franquias e varejo, atuando no crescimento e estruturação de negócios em toda a América Latina.</t>
  </si>
  <si>
    <t>A melhor maneira de começar alguma coisa é parar de falar e dar o primeiro passo.
- Walt Disney</t>
  </si>
  <si>
    <t>Este perfil é um REALITY! Onde você acompanha os passos do meu projeto de me tornar +1Milionário, além de insights e curiosidades sobre prosperidade e negócios.</t>
  </si>
  <si>
    <t>Fique por dentro das principais novidades: prêmios, lançamentos, entrevistas e eventos da Editora Senac São Paulo</t>
  </si>
  <si>
    <t>Economista e tomador de café profissional.</t>
  </si>
  <si>
    <t>Consultoria em Saúde, Segurança, Meio Ambiente e Qualidade.</t>
  </si>
  <si>
    <t>A plataforma dos empreendedores que querem crescer. Quer ter acesso a conteúdos exclusivos de ​PEGN? É só clicar aqui e assinar:  https://t.co/gRWQgZIOtX</t>
  </si>
  <si>
    <t>Estúdio de branded content do Grupo Globo.</t>
  </si>
  <si>
    <t>Perfil oficial do Itaú.</t>
  </si>
  <si>
    <t>I'm Just an Insignificant Girl Who's Loved #Prabhas for Over 12 Years. I live life as I want. I fight for My Ideals. My goal is I that I can Achieve!</t>
  </si>
  <si>
    <t>Segurança e Infraestrutura Digital</t>
  </si>
  <si>
    <t>Superintendência do Desenvolvimento do Centro-Oeste</t>
  </si>
  <si>
    <t>Perfil oficial do Ministério da Integração e do Desenvolvimento Regional. Para mais informações, visite nosso site: https://t.co/58gFnGbDzi</t>
  </si>
  <si>
    <t>Comunicação, Marketing, Startups, Investimentos e Franquias 
CEO
https://t.co/TZqjAYZ7eQ
https://t.co/dlFUdartO2
https://t.co/8e3574PIBM
https://t.co/JKASs2CAnj</t>
  </si>
  <si>
    <t>Empresa Cearense de Tecnologia da Informação. Há mais de 26 anos oferecendo soluções em softwares de gestão, equipamentos de automação e hospedagem de Dados. 😉</t>
  </si>
  <si>
    <t>Jornal Correio Popular de Rondônia. Um Jornal a Serviço da Comunidade.</t>
  </si>
  <si>
    <t>📚 Advogado comprometido com a justiça
🔍 Navegando pelo labirinto legal
📢 Compartilhando dicas e insights jurídicos
Fazendo a diferença na vida das pessoas.</t>
  </si>
  <si>
    <t>Coolife - Gestão e Desenvolvimento Humano
🎯+ 150 líderes e negócios impactados
🚀 Promovemos seu negócio para um próximo nível 🏆#liderança #empreendedorismo</t>
  </si>
  <si>
    <t>Ativista, empreendedor, pai, correria &amp; aquariano! raullsantiago@mynd8.com.br</t>
  </si>
  <si>
    <t>Podcast do Damah 🎙️
Contato
📧 damahcast@gmail.com
📞 51 - 991302499
Apresentador
🎙️Juliano Damaceno</t>
  </si>
  <si>
    <t>🏆Inauguro uma franquia a cada 48h 🌐+1200 unidades Odonto Excellence em 🇧🇷🇵🇾🇦🇴🇲🇽, autor de 2 best-sellers 📕 Gestão Fácil 📒 Negócio Escalável</t>
  </si>
  <si>
    <t>Não fique esperando o futuro para ser feliz, faça do presente a sua alegria.</t>
  </si>
  <si>
    <t>Acompanhe as notícias do Sistema OAB-PA.</t>
  </si>
  <si>
    <t>Te ensino como usar ferramentas para ser mais produtivo, organizado e ter sucesso naquilo que busca.</t>
  </si>
  <si>
    <t>🎯 Ensino como você pode fazer vendas todos os dias e viver 100% do digital
🚫Mesmo sem produzir conteúdo.          
      👇🏽👇🏽👇🏽👇🏽👇🏽👇🏽👇🏽👇🏽👇🏽</t>
  </si>
  <si>
    <t>💼 Dir. Reg MasterMind
🎯 Crio nova mentalidade e gero valor
®️ Rep. Oficial Napoleon Hill Foundation
https://t.co/PWx5PZbFXC</t>
  </si>
  <si>
    <t>O novo portal de notícias do Entorno do DF</t>
  </si>
  <si>
    <t>Gente fazendo livros. Livros fazendo Gente.</t>
  </si>
  <si>
    <t>Bancada Hip Hop na cidade de São Paulo, pelo PT. Hip Hop como ferramenta de desenvolvimento social, cultural e econômico da periferia.</t>
  </si>
  <si>
    <t>📸 Compartilhando momentos,paixões e inspirações 📚 Amante de livros,sempre buscando conhecimento 💭 Eleve seu potencial e aumente seus resultados! ⬇️</t>
  </si>
  <si>
    <t>🧠 Ajudando pessoas comuns a viverem de internet 🚀</t>
  </si>
  <si>
    <t>Jornalista, carioca, flamenguista</t>
  </si>
  <si>
    <t>Eu ajudo pessoas comuns, os Rebeldes Cryptos, a investir e fazer dinheiro em criptos com segurança.
Liberte-se!
Bitcoine-se já!</t>
  </si>
  <si>
    <t>Por aqui, unimos pessoas para promover prosperidade e justiça financeira, seja em vidas, comunidades ou negócios. Venha ser Cooperado! 🤝</t>
  </si>
  <si>
    <t>O Grupo Falavinha Next atua nas áreas de: Contabilidade - Assessoria e Recuperação Tributária - Softwares ERP e BI - Consultoria e Gestão de Resultados.</t>
  </si>
  <si>
    <t>Planejamento e Ações para empresas que querem CRESCER e OCUPAR MERCADO.</t>
  </si>
  <si>
    <t>Vamos indo, que no caminho eu te explico.</t>
  </si>
  <si>
    <t>Pai, comunicador e prefeito de Caucaia, Ceará.
Cearense arretado sempre em busca da verdade.</t>
  </si>
  <si>
    <t>A Maior Escola de #Ecommerce do Brasil 🚀 
Aprenda a criar seu Ecommerce e Vender Mais com grandes especialistas de mercado. Conheça nossa escola</t>
  </si>
  <si>
    <t>Sua Adega Online de confiança, Elevando a sua experiência com vinhos e destilados.</t>
  </si>
  <si>
    <t>somos uma startup que muda a forma que a comunicação é feita com a nossa metodologia 🪄</t>
  </si>
  <si>
    <t>administrador que não sabe administrar a própria vida</t>
  </si>
  <si>
    <t>Ambiente de inovação da PUC-Rio: incubadora de empresas, cursos de empreendedorismo e projetos customizados de inovação</t>
  </si>
  <si>
    <t>BPO · CONTÁBIL · DP · FISCAL · LEGAL</t>
  </si>
  <si>
    <t>Brasil, País Digital é uma iniciativa que torna mais acessível a compreensão e o debate de temas ligados às tecnologias, gestão de dados e seus benefícios.</t>
  </si>
  <si>
    <t>Ajudo seu perfil engajar com GESTÃO ESTRATÉGICA🚀
Assessoria/Consultoria de Instagram para Assistentes Sociais
Faça contato comigo pelo site abaixo:</t>
  </si>
  <si>
    <t>Advocacia
OAB-PE Nº 53.483
Posto conteúdos sobre seus direitos e deveres jurídicos.</t>
  </si>
  <si>
    <t>🔥Resgate a Protagonista que há em você e viva o extraordinário de Deus.</t>
  </si>
  <si>
    <t>Mentora de mães empreendedora! Conduzo empreendedoras mães a replanejar sua vida de forma estratégica e leve!</t>
  </si>
  <si>
    <t>Atuando em soluções B2C &amp; B2B para pequenas e médias empresas, desde 2017, tornando seu negócio ainda mais rentável.</t>
  </si>
  <si>
    <t>Open Insurance API Platform</t>
  </si>
  <si>
    <t>Hub de Comunidade e Inteligência em Crypto e Blockchain mais ativa do Brasil desde 2017</t>
  </si>
  <si>
    <t>Revista Digital da Barra da Tijuca: Agenda Cultural, Gastronomia, notícias e Dicas de Compras (Associados Amazon).</t>
  </si>
  <si>
    <t>Es un entramado de empresarios que han decidido generar un espacio de encuentro y debate sobre la realidad.</t>
  </si>
  <si>
    <t>Sua Saúde Importa Para Nós
Presente em + 74 Países 
Restaurando a Sua Qualidade De Vida</t>
  </si>
  <si>
    <t>Ações que mudam o mundo 🍀</t>
  </si>
  <si>
    <t>Jornalismo de verdade você encontra aqui!</t>
  </si>
  <si>
    <t>Os melhores momentos da sua vida precisam de você.
Destrave o crescimento do seu negócio com o Omie.
#LibereSeuCrescimento
https://t.co/EXkaj8iJLX</t>
  </si>
  <si>
    <t>💻 O maior portal de notícias do Alto Vale 📲
📻 Amanda FM | Jovem Pan Alto Vale | Jovem Pan News Difusora
📍 Rio do Sul - SC</t>
  </si>
  <si>
    <t>Política, economia, esportes, celebs, pets e mais! #PortaliG</t>
  </si>
  <si>
    <t>💻 Developer,  🛹 Skater &amp; owner of Tio Jobs channel, @techlibbrasil, @mob2you and @tiojobsoficial
❤️ Laravel
❤️ TALL Stack
❤️ Pest</t>
  </si>
  <si>
    <t>Transformando Empresas com Tecnologia Open Source
Economize em TI e promova a inovação com nossos insights!
#Tecnologia #OpenSource #EconomiaDeTI</t>
  </si>
  <si>
    <t>Perfil oficial da Dell Brasil no Twitter. Encontre promoções, dicas e novidades aqui! Precisa de ajuda com seu Dell? Acesse o @dellajuda</t>
  </si>
  <si>
    <t>Official News from Dell: Delivering technology solutions that drive human progress. Need support? Contact @DellCares.</t>
  </si>
  <si>
    <t>Plataforma online de gestão e contabilidade para micro e pequenas empresas que combina tecnologia, inovação e eficiência.
Planos a partir de R$39.</t>
  </si>
  <si>
    <t>Tudo o que acontece em varejo no Brasil e no mundo você encontra na Mercado&amp;Consumo.</t>
  </si>
  <si>
    <t>Ajudando jovens homens a conseguir mais encontros ☝️ Desvendando o mistério das mulheres e dando conselhos práticos de namoro que funcionam.</t>
  </si>
  <si>
    <t>Empresário • Artista • Campeão BBB22 | Contato: arthuraguiar@caldi.com.br</t>
  </si>
  <si>
    <t>Nunca prometi coerência : SOU HIPOCRITA
Palmeiras 💚
Arthur Aguiar ✨
Eli 🐷
Douglas Silva 🎲
Rodrigo Mussi 🥷
Gui 🍨</t>
  </si>
  <si>
    <t>Lembrancinhas e Sabonetes.
 #LembrancinhasVagalume</t>
  </si>
  <si>
    <t>Criação de impressos e mídia online: anúncios, folders, identidade visual, posts fixos e motion para redes sociais. https://t.co/9y8oMM4FFJ</t>
  </si>
  <si>
    <t>Compartilhando códigos sobre empreendedorismo e espiritualidade Instagram: @eduardoduka Conheça meu canal no YouTube 👇🏻</t>
  </si>
  <si>
    <t>A WMB é uma Agência de Marketing Digital que ajuda empresas a conquistarem mais resultados através do maior meio de comunicação do mundo, a Internet.</t>
  </si>
  <si>
    <t>Pare e curta as belezas dessa grande Metrópole com olhar de turista, onde a maioria só enxerga rotina</t>
  </si>
  <si>
    <t>Página oficial da Assembleia Legislativa do Estado do Ceará</t>
  </si>
  <si>
    <t>Vagas de emprego, carreira, currículo, vistos, como morar fora, viagens e PODCAST: https://t.co/llJMWv3N4J</t>
  </si>
  <si>
    <t>Há + de 17 anos vendendo. Dono de Ótica, Encapsulados e Consultoria. Especialista em vendas presenciais e digitais. + de R$1.5 Milhão de Vendas na Internet.</t>
  </si>
  <si>
    <t>Resultados baseados em Liberdade e Felicidade para Atletas, Investidores, Pais, Empreendedores e Profissionais de Elite.</t>
  </si>
  <si>
    <t>Emissora afiliada da rede Jovem Pan de comunicação</t>
  </si>
  <si>
    <t>Conecta Freela: Plataforma online que conecta freelancers talentosos a projetos desafiadores. Encontre oportunidades, amplie sua rede e alcance o sucesso!</t>
  </si>
  <si>
    <t>Sipag é a maquininha de cartão criada para gerar novas oportunidades de negócios, tanto para as cooperativas brasileiras quanto para seus cooperados.</t>
  </si>
  <si>
    <t>🚀 Ajudamos as empresas a poupar tempo e dinheiro por meio da automatização.
⏰ Tempo é dinheiro. Quanto vale o seu?
👇🏻 Sua solução está aqui
https://t.co/EyMbZhNySr</t>
  </si>
  <si>
    <t>Located on Terceira Island, TERINOV is at the forefront of technology-based entrepreneurship in the Azores.</t>
  </si>
  <si>
    <t>Somos una OSC que trabaja en pro de los derechos humanos de mujeres lesbianas y bisexuales en el estado de Guanajuato.</t>
  </si>
  <si>
    <t>Jornalista. Membro do grupo de ações solidárias Corrente do Bem. Tia,filha, Irmã e amiga. É preciso acreditar🙏🏼</t>
  </si>
  <si>
    <t>Advogado, pos graduado em Direito, mestre em Ciência Política, tricolor fanático e devoto de Nossa Senhora da Conceição!</t>
  </si>
  <si>
    <t>Vida Real, Humor, Café e Cultura. Por Ric Brandes, Fabi Lange Brandes e Secretário Dengo. 🙋🏻‍♂️💁🐈</t>
  </si>
  <si>
    <t>"Born with insight and a raised fist".
Mais um palhaço neste circo que é a vida. Opiniões muito discutíveis, mas sinceras. Benfiquista.</t>
  </si>
  <si>
    <t>Presença Digital é fácil e divertido!
🎖Crie seu Negócio digital!</t>
  </si>
  <si>
    <t>Te enssino a faturar na internet 💰
Quer apreender a faturar muita grana nesse mercado apenas com seu celular 📱💰💰
Me chama e vem comigo 🤝💰💰💰</t>
  </si>
  <si>
    <t>Empresário do ramo gastronômico e corretor de imóveis. Apaixonado por trilhas.</t>
  </si>
  <si>
    <t>Gratidão é a memória do coração ❤️🌻</t>
  </si>
  <si>
    <t>Inteligência do início ao fim...
Porque multiplicar talentos é necessário!</t>
  </si>
  <si>
    <t>Gestor de Negócios / Mkt</t>
  </si>
  <si>
    <t>Que tal trilhar o caminho da riqueza com uma mentalidade poderosa? Vem comigo! 🚀💰</t>
  </si>
  <si>
    <t>Marketing digital</t>
  </si>
  <si>
    <t>Transformamos alunos em Expert no Marketing Digital | 📲(11) 99017-2245
Acesse: https://t.co/ugETfRXA0W</t>
  </si>
  <si>
    <t>Cupom de ofertas, Cursos online, dicas e muito mais....</t>
  </si>
  <si>
    <t>criador de conteúdo na internet desde 2014 | meu canal do Youtube na Bio 
#marketingdigital</t>
  </si>
  <si>
    <t>Se embora acreditar. Tudo isso vai passar. Fé em Deus e na Justiça  por um mundo mais humano e social.
Em rede social,  não perco meu tempo com apedeutas. Block</t>
  </si>
  <si>
    <t>Nextracker’s smart #solartracker solutions transform #solar PV plant performance with advanced data monitoring and control software and global services.</t>
  </si>
  <si>
    <t>gostosa, competente e depressiva</t>
  </si>
  <si>
    <t>Sebrae em Goiás? Ôooo se tem!!
☎️ 0800 570 0800
⬇️👇🏼 Atendimento gratuito e cursos
https://t.co/ycw8E3QRAL</t>
  </si>
  <si>
    <t>Daniel Dantas is a Brazilian banker who became famous in the 1990s. He owns the Opportunity bank, which specializes in asset management.</t>
  </si>
  <si>
    <t>+ outras OIs econômicas em Paris: AIE, AEN, ITF, Clube de Paris, BIE, BIMP, OIML, OIV, OMSA, CCGP, REN21, CEM,  Hub de Eficiência Energética</t>
  </si>
  <si>
    <t>circket lover💖</t>
  </si>
  <si>
    <t>Be part of the largest hackathon on 7th &amp; 8th October</t>
  </si>
  <si>
    <t>Estamos Compartilhando Conteúdo De Tecnologia Do Consumidor Diariamente Para Que Sua Vida Fique Mais Fácil</t>
  </si>
  <si>
    <t>🔥 Descubra como Desbloquear sua Liberdade Financeira de uma vez por todas. Clique no link da bio!</t>
  </si>
  <si>
    <t>🚀Eu ajudo pessoas a criar conteúdo e ganhar dinheiro na internet
🤑Vivo com criação de conteúdo
👨🏼‍💻75K inscritos no Youtube
📚+ de 6K canais mentorados</t>
  </si>
  <si>
    <t>Serviço de apoio às Micro e Pequenas Empresas da Paraíba
Promovemos capacitação e desenvolvimento competitivo e sustentável. 
Conte com o Sebrae Paraíba! 🤝</t>
  </si>
  <si>
    <t>Para você que gosta de uma boa conversa... Bem vindo ao podcast Vale uma Prosa! Com apresentação de Aline Toledo, Fabio Agitadas e Marquinho AT.</t>
  </si>
  <si>
    <t>Marketing, Estratégia e Projetos.</t>
  </si>
  <si>
    <t>Marketing de conteúdo, sites e presença web.</t>
  </si>
  <si>
    <t>Aprenda a Gravar Vídeos do Zero</t>
  </si>
  <si>
    <t>O Seu Dinheiro é um site de notícias e análises sobre investimentos voltado para a pessoa física</t>
  </si>
  <si>
    <t>Ajudo empresas a aumentar e melhorar suas vendas
Acompanhamento personalizado
Criador do C-CAV, M.A.P.A e C.A.O.S</t>
  </si>
  <si>
    <t>Rede Criativa de Comunicação - A Força da Comunicação na Internet._x000D_
Sites e diferentes veículos, da Bahia para o mundo.</t>
  </si>
  <si>
    <t>Twitter OFICIAL da Escola de Administração de Empresas de São Paulo da Fundação Getulio Vargas.</t>
  </si>
  <si>
    <t>Desde 1981 nossa especialidade é oferecer tranquilidade para sua empresa!</t>
  </si>
  <si>
    <t>🧑‍💻|Aprenda a ganhar dinheiro com o seu celular aqui
🚀|Ensino como no link</t>
  </si>
  <si>
    <t>💸Pagamento online com recebíveis 100% antecipados desde a primeira cobrança
💳Parcele em até 12X, via crédito ou débito
Pgto garantido com sistema FraudeZero</t>
  </si>
  <si>
    <t>🔸 Alavancamos os resultados do seu negócio digital através de estratégias e plataformas com o que há de mais moderno em #tech e #marketingdigital</t>
  </si>
  <si>
    <t>🇬🇧/🇺🇸/😎/🏋️‍♂️/🚣
👬: @aho</t>
  </si>
  <si>
    <t>Brazilian 🇧🇷,
Software Engineer 💻</t>
  </si>
  <si>
    <t>A mais completa e admirada cobertura de economia, negócios e finanças. Notícias que geram negócios.</t>
  </si>
  <si>
    <t>Cuidando do seu patrimônio como se fosse nosso. AQUI SOMOS MÉDICOS DAS EMPRESAS! CUIDAMOS DOS SEUS NÚMEROS! Ligue para: (31) 2536-4800</t>
  </si>
  <si>
    <t>Referência do melhor trabalho nas áreas de Contabilidade, Advocacia, Escrita Fiscal,  Departamento Pessoal, Expediente e Jurídico.</t>
  </si>
  <si>
    <t>Oi, habitante 🌎 Carreira, Tendências, Cases e Notícias do mercado. + 500K impactados todo mês</t>
  </si>
  <si>
    <t>Contabilidade que impulsiona seu negócio 🚀</t>
  </si>
  <si>
    <t>A missão da #Fortinet é proteger pessoas, dispositivos e dados em todos os lugares.</t>
  </si>
  <si>
    <t>Consultoria de Serviços de T.I, Focada em Segurança de dados e Soluções de Nuvem, Revenda de Software, DELL, Fortinet, Kaspesky e TeamViewer.</t>
  </si>
  <si>
    <t>Federação Nacional das Empesas de Serviços Contábeis e das Empresas de Assessoramento, Pericias, Informações e Pesquisas</t>
  </si>
  <si>
    <t>Porto Alegre/RS</t>
  </si>
  <si>
    <t>As melhores ofertas de LIVROS você vê aqui!</t>
  </si>
  <si>
    <t>Consultor de Franchising. Professor na Universidade de Caxias do Sul e na DNA Academy. Administrador de Startup. Vovô coruja do Donatello e do Noah.</t>
  </si>
  <si>
    <t>Desenvolvedor, Empresário, Startupeiro, Palestrante, Mentor, Consultor, Investidor, Conselheiro, Embaixador Ventiur e Membro Clube BoraFazer.</t>
  </si>
  <si>
    <t>Coach &amp; Mentor 💼 Radio Announcer and Reporter 🎤 Content Producer ✍️ Portuguese Voiceover Artist 🎤 #coaching #mentoring #voiceover #contentcreation</t>
  </si>
  <si>
    <t>anoticia é um jornal on-line, com uma periodicidade diária, podendo sempre que se justifique, publicar e divulgar notícias intercalares, devidamente identifi</t>
  </si>
  <si>
    <t>Empresária apaixonada por crescimento e liderança, especialista em fornecer suporte estratégico para empresas.</t>
  </si>
  <si>
    <t>Te guio na decolagem do seu Marca Premium Online</t>
  </si>
  <si>
    <t>Por Prof. Dr. Georges Humbert, advogado OAB/BA 21.872 OAB/DF 44.503. Presidente do Ibrades, pós-doutor (Coimbra), doutor e mestre (Puc/SP). 40 livros.</t>
  </si>
  <si>
    <t>Engenharia de Marketing 🤯💰
🧲 Mkt Estratégico &amp; Business Intelligence
🧲 Produção Digital &amp; Redes Sociais
🧲 Automação &amp; Funis de Venda</t>
  </si>
  <si>
    <t>Jani-King é a maior empresa de franquia de limpeza comercial do mundo. Somos especialistas em limpeza de hospitais, estádios, escolas e escritórios.</t>
  </si>
  <si>
    <t>Que Mara (vilhoso) Seria e/ou E Se Governador Valadares...</t>
  </si>
  <si>
    <t>Há 40 anos a preparar líderes</t>
  </si>
  <si>
    <t>Sistema de gestão para todos os segmentos e portes integrando à plataformas de e-commerce e marketplace, mentoria de marketing e muito mais 🚀</t>
  </si>
  <si>
    <t>in my fodida era.
ffc &amp; taylor swift</t>
  </si>
  <si>
    <t>Swissnex in Brazil: connecting Switzerland, Brazil and the world in education, research and innovation.</t>
  </si>
  <si>
    <t>Confederação Nacional da Indústria - Principal representante da indústria brasileira. 
Aqui você encontra as principais notícias do setor e temas de interesse.</t>
  </si>
  <si>
    <t>A Solvit melhora a vida de condôminos, síndicos e afins de maneira profissional, dinâmica, criativa e personalizada.</t>
  </si>
  <si>
    <t>Blog aberto para publicação de guest posts.</t>
  </si>
  <si>
    <t>Cuidado, ao acompanhar este conteúdo você corre um sério risco de prosperar rapidamente!
takes do @felipeferini</t>
  </si>
  <si>
    <t>Seu parceiro digital! 🇧🇷🇵🇹🇪🇸</t>
  </si>
  <si>
    <t>CEO do Grupo Marajoara, fundador do Avistão e Gravasom. 🇧🇷 Brasil “vender é um ato de servir” Carlos Santos Vendedor</t>
  </si>
  <si>
    <t>Quem nunca foi clubista um dia que atire a primeira pedra
instore: @hypestore.cwb  ⚽🥇</t>
  </si>
  <si>
    <t>▪️Fundador da Stanley’s Holding
🏆Doutor em Cirurgia Plástica pela Cambridge International University
https://t.co/CzJ7LPRfc5</t>
  </si>
  <si>
    <t>A revista Cães&amp;Gatos VET FOOD é uma publicação mensal destinada aos médicos-veterinários. Acesse free em https://t.co/W5eD8vAGXK</t>
  </si>
  <si>
    <t>Jornalista, fundador da RZT Comunicação e da Escola Digitalista, instrutor de cursos para jornalistas, como os de Mkt Digital, Redes sociais, SEO e WordPress.</t>
  </si>
  <si>
    <t>Coaching Business | Startup &amp; Entrepreneurship
The BILLIONAIRE</t>
  </si>
  <si>
    <t>🛍️ Bem vindo a NetShop Brasil 🌟
📦 Envios rápidos e seguros
📢 As melhores ofertas e promoções</t>
  </si>
  <si>
    <t>𝑨 𝑴𝒂́𝒒𝒖𝒊𝒏𝒂 𝒆́ 𝑸𝒖𝒆𝒏𝒕𝒆
𝑶 𝑩𝒂𝒈𝒖𝒍𝒉𝒐 𝒆́ 𝑫𝒐𝒊𝒅𝒐
&amp; 𝒐 𝑷𝒊𝒍𝒐𝒕𝒐 𝒆́ 𝑱𝒐𝒗𝒆𝒎
(🔬🥼 @dantebribeiro )</t>
  </si>
  <si>
    <t>Onde vais ouvir o que não gostas, mas o que precisas...
De 🇵🇹 para o Mundo 🌍
Onde tu  podes ver as lives em direto⬇️</t>
  </si>
  <si>
    <t>Fundador da oliver_vision |
DJ e produtor musical em djhons.10 |
Fã de Esportes, filmes, séries |
Vascaíno 💢</t>
  </si>
  <si>
    <t>Perfil oficial do Governo do Estado da Paraíba.</t>
  </si>
  <si>
    <t>Tranformamos negócios no Digital</t>
  </si>
  <si>
    <t>Advogado com experiência nas áreas tributária, empresarial e sucessória 🇧🇷</t>
  </si>
  <si>
    <t>A startup que salva o dia de quem quer investir em cripto com praticidade, segurança e poucos cliques.</t>
  </si>
  <si>
    <t>Ajudamos lideranças conquistar seus objetivos, resolver problemas, descobrir seu propósito e alcançar qualidade de vida com a Neuroperformance.</t>
  </si>
  <si>
    <t>Não sou mais fake ! não encham mais o saco, não se iludam aqui ainda é sem Massagem !</t>
  </si>
  <si>
    <t>Notícias a partir de São Paulo para todo Brasil. Jornalismo puro em tempo real.</t>
  </si>
  <si>
    <t>Criamos soluções em Sinalização Digital, TV Corporativa e Gestão do Atendimento. Seja nosso parceiro! Tel: 3341-7009</t>
  </si>
  <si>
    <t>verdades que o seu guru favorito não fala / perfil não oficial/ conteúdos do raiam</t>
  </si>
  <si>
    <t>🔥MAIS DE 10MIL PESSOAS JÁ ADIQUIRIRAM ESTE PRODUTO.🔥</t>
  </si>
  <si>
    <t>Revista laboratorial da Faculdade Cásper Líbero. Desde 1995.</t>
  </si>
  <si>
    <t>O Twitter que te acompanha na melhor fase da tua vida!
Acompanha aqui as melhores notícias, dicas e passatempos!
Na Mais Superior, valorizamos o teu futuro!</t>
  </si>
  <si>
    <t>World's leading entrepreneurship programs in Portugal, Canada, Hong Kong and Qatar #eiamoments #eia2020 #Entrepreneurship #Startups #Innovation</t>
  </si>
  <si>
    <t>Twitter oficial do Instituto Politécnico de Setúbal (IPS). Juntos fazemos o amanhã.</t>
  </si>
  <si>
    <t>Twitter oficial da Universidade de Coimbra. University of Coimbra official Twitter.</t>
  </si>
  <si>
    <t>📊 Empreendedorismo
💸 Finanças
🧠 Desenvolvimento pessoal
💡 Inovando mentes
ㅤ
📕 Descubra 5 ebooks pelo preço de um</t>
  </si>
  <si>
    <t>Twitter oficial do Sebrae Bahia e Agência Sebrae de Notícias. 
Agende atendimento presencial ou fale no WhatsApp: 0800 570 0800.
Site oficial https://t.co/1Eqv8qS1lS</t>
  </si>
  <si>
    <t>Psicóloga, trabalho com orientação profissional e de carreira, coaching &amp; mentoring, treinamento &amp; desenvolvimento e recrutamento &amp; seleção.</t>
  </si>
  <si>
    <t>1.º Produto Health Care Gastric Tube - Saúde e Bem Estar para Sonda gástrica. Para melhorar qualidade de vida do filho, mãe da Bahia cria 1º absorvente p GTT.</t>
  </si>
  <si>
    <t>💰Ensino você a construir o seu império digital para viver da internet 🔥Mais de 30 mil alunos vivendo da internet 💸</t>
  </si>
  <si>
    <t>Perfil oficial da Câmara Municipal de São Paulo, com informações e cobertura da atividade legislativa em tempo real.
Instagram: @camarasaopaulo</t>
  </si>
  <si>
    <t>A Universidade Pública Portuguesa de Educação a Distância, aberta ao mundo, inovadora e sustentável.</t>
  </si>
  <si>
    <t>O Coworking é uma forma compartilhada de trabalhar, onde empresários e profissionais liberais podem dividir espaço e compartilhar informações.</t>
  </si>
  <si>
    <t>"🚀 Passionate about all things #DigitalMarketing! 📈 Helping businesses thrive online through strategic strategies and engaging content. 🎯 Let's connect and c</t>
  </si>
  <si>
    <t>Muito mais que uma exchange, negocie criptomoedas com o melhor preço e livre de taxas!</t>
  </si>
  <si>
    <t>I am a  Software Engineer and  Software Project Manager. 
My interests:  programming | SaaS | startups | Management | Blockchain | innovation | 
MINDS BR #4</t>
  </si>
  <si>
    <t>💎| Mude o mundo, começando por VOCÊ 💪| MOTIVAÇÃO e CONHECIMENTO 🤑| Tenha PAZ FINANCEIRA 📚| Cursos para RENDA EXTRA 🔖| 🚨E-BOOK GRÁTIS🚨 👇🏽👇🏽👇🏽</t>
  </si>
  <si>
    <t>Notícias de Rio Claro e região. Todo mundo lê!</t>
  </si>
  <si>
    <t>Futuro Rocha</t>
  </si>
  <si>
    <t>Além do que se vê 🕳️
Advogado 🥸</t>
  </si>
  <si>
    <t>- Dep. Federal mais votado do Brasil e da história de Minas Gerais. 🔺🇧🇷</t>
  </si>
  <si>
    <t>Nós damos o combustível, você alcança o sucesso.</t>
  </si>
  <si>
    <t>Sou um especialista em marketing apaixonado por ajudar empresas a se destacarem no mundo digital.
Sinta-se à vontade para me enviar uma mensagem!</t>
  </si>
  <si>
    <t>| Expert em Contabilidade para empresas lucrativas</t>
  </si>
  <si>
    <t>💡 Educador - Empreendedor  - Investidor</t>
  </si>
  <si>
    <t>Lic. Com Soc - Comunicación Digital - UNLP - Marketing Digital
https://t.co/w4NUlVtsSd</t>
  </si>
  <si>
    <t>in my delulu era</t>
  </si>
  <si>
    <t>🏳️‍🌈
feia xoxa capenga 
bixa no meio do semestre</t>
  </si>
  <si>
    <t>Empreendedor, Growth Hacker. Conta nova, antiga se tornou @buscatrade
#bitcoin: bc1qy7dggu6m9w2nuf2lfxz860xq4ruhq52xxcdvzg
Site: https://t.co/CRJaNraYSE</t>
  </si>
  <si>
    <t>Recifense-PE.Graduado em Administração e em Marketing. Espec.Gestão de Negócios. Consultor/facilitador do SEBRAE/SENAC. (Aposentado) Professor de graduação/pós.</t>
  </si>
  <si>
    <t>Mais vale um dia nos seus átrios que  mil em outro lugar!!</t>
  </si>
  <si>
    <t>O mundo da Gastronomia feito especialmente pra você! O projeto é gerenciado pelo gastrólogo Murilo Gagliardi.</t>
  </si>
  <si>
    <t>Gestor de Redes Sociais, Web Design e Design Gráfico.
💻 Criação de #midiasociais #websites #identidadevisual</t>
  </si>
  <si>
    <t>Qual a relação correta entre Fé e Trabalho?</t>
  </si>
  <si>
    <t>Jornalismo, Rock, Underground, Abstrações, UFOs, Universidade FM e live Primeira Tela</t>
  </si>
  <si>
    <t>Desenvolvedor de software</t>
  </si>
  <si>
    <t>A DIRETO atua nas áreas: contábil, trabalhista, fiscal, legal e societário e consultoria.
Especialistas em Serviços Contábeis e Corporativos.</t>
  </si>
  <si>
    <t>Professor. Fui Visiting PhD Student at HEC Montréal; Mestre em Administração (UFPE/PROPAD); Especialista em Administração de Marketing (UPE/FCAP). Casado, pai.</t>
  </si>
  <si>
    <t>👨‍🏫 Professor de Economia na UFPE 📊Consultor na @cedesplaneja 📻Colunista na GrandeRio FM 📰Colunista no @DiarioPE 🏊🏻‍♂️Nadador https://t.co/9eyNOzUgPN</t>
  </si>
  <si>
    <t>Neste espaço você poderá acompanhar nossas atividades, eventos, campanhas e muito mais!</t>
  </si>
  <si>
    <t>Jornalista e empreendedora.
Aqui reflito, opino e escrevo pedaços de dia a dia.</t>
  </si>
  <si>
    <t>Divisão de Biblioteca e Documentação do Conjunto das Químicas - USP</t>
  </si>
  <si>
    <t>Perfil oficial do Instituto de Química da USP
https://t.co/ZPbNUhFW1d</t>
  </si>
  <si>
    <t>Perfil Oficial da Faculdade de Ciências Farmacêuticas da Universidade de São Paulo. Fundada em 1898, está localizada na região oeste da cidade de São Paulo.</t>
  </si>
  <si>
    <t>A USP é uma universidade pública, mantida pelo Estado de São Paulo e vinculada à Secretaria de Estado de Desenvolvimento Econômico, Científico e Tecnológico.</t>
  </si>
  <si>
    <t>Notícias sobre mercado financeiro, economia e finanças pessoais. Este é o E-investidor, novo portal de investimentos do @estadao</t>
  </si>
  <si>
    <t>Ariano, turrão, espirituoso, 
teórico pensante e curioso.</t>
  </si>
  <si>
    <t>Único jornal especializado em Economia, Gestão e Negócios de Minas Gerais</t>
  </si>
  <si>
    <t>Repórter do Diário do Comércio 👨‍💻📰</t>
  </si>
  <si>
    <t>Eis  a pergunta:_x000D_
_x000D_
A criança que você era, teria orgulho da pessoa que você é hoje?_x000D_
_x000D_
Eu tenho minha resposta e você?
#VidasNegrasImportam</t>
  </si>
  <si>
    <t>Inteligência Artificial para o Mercado Imobiliário</t>
  </si>
  <si>
    <t>Perfil oficial da agência de notícias da Fundação de Amparo à Pesquisa do Estado de São Paulo - FAPESP</t>
  </si>
  <si>
    <t>The official Twitter account of the University of Porto. More than a University. 
Use #UPORTO or Tag @Uporto to join us.</t>
  </si>
  <si>
    <t>Twitter oficial da Universidade Federal de São Carlos (UFSCar), localizada no interior de São Paulo. Email: ccs@ufscar.br.</t>
  </si>
  <si>
    <t>Classificados Grátis Para Empresas, Produtos, Serviços.</t>
  </si>
  <si>
    <t>Estratégias Digitais para negócios</t>
  </si>
  <si>
    <t>👩🏼‍💻 Assessoria Pessoal /Secretaria Remota
⚙️ Áreas  Empreendedores e Diversos Nichos
⏳ Otimizar seu Tempo
https://t.co/cMX02xXheI
NELBE REZENDE</t>
  </si>
  <si>
    <t>A rádio que toca notícia também no Twitter. Acompanhe os programas, comentaristas e boletins da CBN</t>
  </si>
  <si>
    <t>jornalista da rádio CBN🇧🇼</t>
  </si>
  <si>
    <t>Engenheiro civil</t>
  </si>
  <si>
    <t>Seja bem vindo ao canal Investindo Bem, Nosso Canal Foca em ajudar as pessoas a garantir um Futuro Melhor. Aqui no Mundo do Empreendedorismo e investimentos.</t>
  </si>
  <si>
    <t>Há quase duas décadas ajudo empresários a arte da diferenciação. Do B2C ao B2G. Apaixonado por música, design, marketing e futebol.</t>
  </si>
  <si>
    <t>Núcleo de Inovação Tecnológica das Unidades de Pesquisa do MCTI</t>
  </si>
  <si>
    <t>#flyeaglesfly#
São Paulino!
Brasil acima de tudo! Deus acima de todos!</t>
  </si>
  <si>
    <t>Social Media, Gestão de Páginas e Instagram e tráfego pago</t>
  </si>
  <si>
    <t>oh boy, say that you love me!</t>
  </si>
  <si>
    <t>Tudo sobre imóveis, moradia e bem-estar.</t>
  </si>
  <si>
    <t>No E-Commerce Brasil, você encontra notícias, artigos, vídeos, eventos e muito mais! Acompanhe também pelo Youtube: https://t.co/f1J0IzBgW5</t>
  </si>
  <si>
    <t>bonita e chorona
https://t.co/GjpqNgVxgz…</t>
  </si>
  <si>
    <t>Somos Vendedores, realizamos sonhos e proporcionamos experiência.</t>
  </si>
  <si>
    <t>Relationship Manager at Mark Morais Law Firm - Auxiliando famílias e empresas nos processos imigratórios para os EUA 🇺🇸</t>
  </si>
  <si>
    <t>Advogado de imigração 🇺🇸. Único brasileiro que trabalhou nas 3 maiores agências de imigração dos EUA. Ex-promotor de imigração e policial federal de alfândega</t>
  </si>
  <si>
    <t>Seu momento de descontração na sua emissora multiplataforma!🎙🖥 📱📻📺</t>
  </si>
  <si>
    <t>Bastet Brasil oferece marketing digital de elite para ajudar os seus clientes a alcançar seus objetivos. Seja qual for o seu ramo de negócio.</t>
  </si>
  <si>
    <t>Aqui você encontrará informações valiosas sobre negócios lucrativos e carreiras promissoras. Ideias de negócios e profissões em alta para você começar trabalhar</t>
  </si>
  <si>
    <t>Um sorriso pode desarmar uma guerra ♥️</t>
  </si>
  <si>
    <t>Conservadora que deseja um Brasil livre de corrupção.</t>
  </si>
  <si>
    <t>Facebook: https://t.co/117tqHc3sU
Instagram: @jovempannews 
Telegram: https://t.co/qKvdBLVYUT
Newsletter: https://t.co/yzW9nEWqXu</t>
  </si>
  <si>
    <t>Seu time precisa de compliance e estratégico.
Jogadores e streamers precisam de planos de carreira.
Já pensou adiante?
Atuação em todo o Brasil.
Acesse 👇</t>
  </si>
  <si>
    <t>Welcome to a world of career opportunities, advice, inspiration and community. #FindYourIn | Support → @LinkedInHelp</t>
  </si>
  <si>
    <t>O INPI é a autarquia federal responsável pela gestão do sistema brasileiro de concessão e garantia de direitos de propriedade industrial.</t>
  </si>
  <si>
    <t>Pai da Maju - Casado com a Dani - Profissional de Educação Física - Gestor Fitness - Paixão por Empreendedorismo.</t>
  </si>
  <si>
    <t>Associação Brasileira de Academias
Garanta benefícios exclusivos para seu negócio e fortaleça as atividades do setor de academias! 💪🇧🇷</t>
  </si>
  <si>
    <t>#baiano no #rj
⚡️EU TRANSFORMO 👇
📊 Receita Líquida I Fluxo de Caixa I Lucro
🥷  #planejamento #tributario 
🪖EXPERT @professorfelipedutra #fgv #puc</t>
  </si>
  <si>
    <t>Domine a arte da IA para transformar o seu capital. A revolução financeira está a apenas um algoritmo de distância para ganhar milhares de euros por mês!</t>
  </si>
  <si>
    <t>Data scientist &amp; Solopreneur | Utilizo la IA para sacar provecho de miles de euros y te enseñaré cómo.</t>
  </si>
  <si>
    <t>Tweets on how to use AI to make money &amp; get more work done.
✉️ hey@robindelta.com</t>
  </si>
  <si>
    <t>Ex Google corpo Trainer helping entrepreneurs excel with AI &amp; Automation • Building AI Business Solutions • Italiano, Digital Nomad • https://t.co/7pu9pZRYC7</t>
  </si>
  <si>
    <t>Da Bahia pro mundo 🌎
Do mundo pra perto da gente 📲</t>
  </si>
  <si>
    <t>Publicitária e Business Woman</t>
  </si>
  <si>
    <t>O portal Brasil Trabalhador conecta empregadores e empregados domésticos em todo o país</t>
  </si>
  <si>
    <t>Pagamentos digitais personalizados sem complicações que simplesmente funcionam. Sua Infraestrutura Inteligente de Pagamentos.</t>
  </si>
  <si>
    <t>Administrador de formação, economista de coração, especialista em finanças e gestão empresarial. Mestrando em finanças BI&amp;A ppga UFPB 🏄‍♂️🚵‍♂️🎼⛵️⚓️</t>
  </si>
  <si>
    <t>Um dos Melhores Queijos do Mundo e o Melhor Queijo Artesanal de Leite Cru do Brasil! Pioneira na venda de queijo pela internet!
https://t.co/XMAeG8OEDX</t>
  </si>
  <si>
    <t>Agenda de shows e ingressos: https://t.co/WznXerdmEX</t>
  </si>
  <si>
    <t>Governador de Minas Gerais pelo Partido Novo e administrador com mais de 30 anos de experiência.</t>
  </si>
  <si>
    <t>Empresa de Assistência Técnica e Extensão Rural do Estado de Minas Gerais.</t>
  </si>
  <si>
    <t>Página Oficial da Secretaria de Estado de Agricultura, Pecuária e Abastecimento de Minas Gerais</t>
  </si>
  <si>
    <t>Twitter oficial do Governo do Estado de Minas Gerais.</t>
  </si>
  <si>
    <t>Nosso objetivo é apoiar o desenvolvimento dos pequenos negócios mineiros e estimular o empreendedorismo 😁. Tem dúvidas? 0800 570 0800</t>
  </si>
  <si>
    <t>▪️ Pesquisador do Marketing Digital  ▪️Fundador da Nyx Digital Marketing</t>
  </si>
  <si>
    <t>Somos especialistas em posicionar o seu negócio ao TOPO!</t>
  </si>
  <si>
    <t>O maior evento de inovação pública da América Latina. 
7, 8 e 9 de novembro de 2023</t>
  </si>
  <si>
    <t>Stay Ahead of the Game! 𝕏 Your source for creative and trendy news! 𝕏
📈🌎💡</t>
  </si>
  <si>
    <t>CLT se tornando empreendedor. Falo sobre Marketing e Produtividade e tudo que aprendo sobre desenvolvimento humano!</t>
  </si>
  <si>
    <t>Agência de web design e marketing digital em Mogi das Cruzes. Transformando ideias em experiências digitais incríveis. #WebDesign #MKTDigital #MogiDasCruzes</t>
  </si>
  <si>
    <t>Raí Vinícius 💙
Anna Lua 💗
Mamãe de casal ,amo vocês 🥰🥺</t>
  </si>
  <si>
    <t>VIAJES Y SEGUROS  - https://t.co/tIAPSW2k8Z 
Factory Electric Bike https://t.co/zOaMD8em0Z</t>
  </si>
  <si>
    <t>Nosso escritório se destaca pela eficiência na prestação de serviços jurídicos, com uma atuação contenciosa e preventiva.</t>
  </si>
  <si>
    <t>Economista sem economês e com bom humor. Ganhador dos Prêmios iBest de Economia e Negócios, Opinião e Cidadania e maior influenciador do LinkedIn.</t>
  </si>
  <si>
    <t>Agência de Jornalismo Multimídia - Guanambi/Interior da Bahia</t>
  </si>
  <si>
    <t>O que começou como um mergulho profundo na consciência superior se transformou em um jogo de espera política, objetivo é avançar para um território desconhecido</t>
  </si>
  <si>
    <t>Formando a nova geração de empreendedores do Brasil. Shark no @sharktankbrasil e eleita pela @BloombergLineaB uma das pessoas mais influentes LATAM.</t>
  </si>
  <si>
    <t>Programa PÂNICO é na JP💥👇🏼Assista aqui</t>
  </si>
  <si>
    <t>YOSSIMI &amp; co.</t>
  </si>
  <si>
    <t>o mundo é um moinho</t>
  </si>
  <si>
    <t>Jornalista e torcedor.
CRVG no @9Portao.
🇧🇷 Rio 🇦🇷 Buenos Aires</t>
  </si>
  <si>
    <t>A Minum simplifica seu consumo de energia!
Você economiza💲e consome energia 100% sustentável!🌍</t>
  </si>
  <si>
    <t>Ministério da Riqueza adverte: Esse perfil vai potencializar sua mente empreendedora. 💲🧭</t>
  </si>
  <si>
    <t>➨ Comunidade para Empreendedores
➨ Lista de Email com +300 subscritores!
➨ Aprende a lançar o teu Primeiro Negócio ↴</t>
  </si>
  <si>
    <t>✨Digital Creator ▪ Solopreneur ▪ I help you to manage your life &amp; business more efficiently with my @NotionHQ templates. Tweets from my journey there!</t>
  </si>
  <si>
    <t>Já pensou em ser franqueado da mais completa rede de óticas do Brasil? São mais de 700 franquias pelo país!</t>
  </si>
  <si>
    <t>Fundada em 1982 | Fabricante brasileira de Servidores | Intel Technology Provider Platinum, Seagate Storage Solution Provider, Kingston Premium Reseller.</t>
  </si>
  <si>
    <t>🔥 Permita-se descobrir
👉 Faça parte da Comunidade e Aprenda tudo sobre Vendas Online</t>
  </si>
  <si>
    <t>Músico, cineasta, produtor cultural e presidente Estadual na @cufa_es</t>
  </si>
  <si>
    <t>📢 Novo canal de comunicação com a diretoria.
Tecnologia, Negócios e Liderança sigam para uma Jornada de Sucesso!
#business#empreendedorismo#inovação</t>
  </si>
  <si>
    <t>Cozinheiro, professor, empresário e motociclista.</t>
  </si>
  <si>
    <t>A Agência Brasileira de Cooperação (ABC), do Ministério das Relações Exteriores (MRE), coordena a cooperação internacional técnica e humanitária do Brasil.</t>
  </si>
  <si>
    <t>🌱 Curto umas coisas questionáveis</t>
  </si>
  <si>
    <t>✝ luka or lu |
he/him</t>
  </si>
  <si>
    <t>Be a member of the largest community on the planet. develop by HELPING THE WORLD. A percentage of the value is directed to charities. @luciano.galiotto</t>
  </si>
  <si>
    <t>Gestor de tráfego pago e Gestor de automação do marketing.
Infoprodutor e Coprodutor.
Palestrante motivacional
#marketing #marketingdigital</t>
  </si>
  <si>
    <t>sou apenas uma pessoa querendo passar conhecimento!
ACESSE AQUI OS Kits de PLR's 🇷🇺 Premium que gera vendas automáticas.
Link ABAIXO👇🏼</t>
  </si>
  <si>
    <t>Myself Surendra Gusain Director of DOTNET Institute it is an Information Technology Institute which is running since 2005 in Delhi.</t>
  </si>
  <si>
    <t>Secretário de Desenvolvimento Econômico e Trabalho de Diadema, ex-Secretário de Ciência, Tecnologia e Inovação do Governo de SP e ex presidente da JUCESP.</t>
  </si>
  <si>
    <t>25 anos. Advogado. Ex-vereador(PSB/São Vicente). Torcedor do Santos Futebol Clube.</t>
  </si>
  <si>
    <t>SERVIÇOS DE PINTURA EM GERAL /e SUPLEMENTOS EPIGENÉTICOS</t>
  </si>
  <si>
    <t>Jornal cearense O Otimista.
Aqui você encontra notícias do Ceará, Brasil e do mundo todo.
Para receber no seu
WhatsApp (85) 98155-2022</t>
  </si>
  <si>
    <t>Um estúdio independente de design. A mais de 8 anos gerando valor significativo para marcas brilhantes.</t>
  </si>
  <si>
    <t>Demos acesso à internet para uma Inteligência Artificial, com o objetivo dela elencar as notícias mais importantes do momento.</t>
  </si>
  <si>
    <t>Empreendedor Global Atomy | GANHE RENDA RESIDUAL através do consumo inteligente da Atomy 
▶️ ACESSE o link:  https://t.co/473SdTg20d</t>
  </si>
  <si>
    <t>Nordestino que ajudou o Brasil elegendo Lula, que está com dor na coluna por levar o país nas costas por 6 anos e tem ódio e nojo por neonazis.</t>
  </si>
  <si>
    <t>Soluções para o seu empreendimento crescer!
◉Registro /Alteração
◉Contábil
◉Tributária
◉Recursos Humanos
Agende sua consultoria já!</t>
  </si>
  <si>
    <t>🆘️ Te ajudo a empreender no digital
💼 Serviços para Mei, autônomo e profissional liberal.
💡Dicas para melhorar seu negócio.
✍Registro: RJ-134596/O</t>
  </si>
  <si>
    <t>👩🏻‍🏫TE ENTREGO UM MINI CURSO GRATUITO
⚡Te ensino a ganhar dinheiro do conforto da sua casa
💰 Conquiste sua liberdade financeira 
👇🏼 Te ensino Aqui👇🏼</t>
  </si>
  <si>
    <t>Executivo C-Level do varejo atualmente Presidente do Grupo Enxuto</t>
  </si>
  <si>
    <t>🇧🇷Ativista Político-Social buscando fazer a inclusão através do Esporte. 
                                           ⚽ Observador técnico da @catuensefutebol</t>
  </si>
  <si>
    <t>Na minha fraqueza, Deus me fez forte💫</t>
  </si>
  <si>
    <t>Escritório Compartilhado, Escritório Virtual, Salas de Reunião e Salas Privativas. Unidades em BH: 
📍 Santa Efigênia | 📍 Luxemburgo | 📍 Cidade Nova</t>
  </si>
  <si>
    <t>🚀 Especialistas em gestão digital estratégica e visibilidade online. 💻📊💼🌐
Conheça nossos serviços! 👇
#estrategia #marketing #google
#ghostweb</t>
  </si>
  <si>
    <t>Compañía dedicada al empoderamiento de las Mujeres Emprendedoras del Sur de la Florida hace más de 21 años.</t>
  </si>
  <si>
    <t>🦅Empreendedorismo Digital 🎯Aprenda a usar diversas plataformas de vendas e anúncios na internet.</t>
  </si>
  <si>
    <t>Mil poderão cair ao seu lado;
dez mil, à sua direita,
mas nada o atingirá.
(Salmos 91:7)</t>
  </si>
  <si>
    <t>Desenhista,Baixista,Moralista,Bookstan e Tomodachi!! Sou Cantor, Arranjador e Editor do Projeto Sales e Companhia.</t>
  </si>
  <si>
    <t>Treine focado para o Enem :músculo 💪
INTENSIVÃO+ EXTENSIVO 2024
👉https://t.co/HvDfVzcRto</t>
  </si>
  <si>
    <t>Global tech correspondent @FT. Legacy verified account, may or may not be notable. tim.bradshaw@ft.com (Views mine, RTs not endorsements)</t>
  </si>
  <si>
    <t>Perfil oficial da Prefeitura de Santos, litoral de São Paulo 🏖️ Segue aqui e descubra como Santos é TUDO DE BOM 💚 Acesse o link da bio 👇</t>
  </si>
  <si>
    <t>Eu ajudo pessoas comuns e clientes a empreender e encontrar solução técnica para Negócios e Marketing Digital.
#Empreendedorismo #MarketingDigital #Negocios</t>
  </si>
  <si>
    <t>Nós Conectamos sua Empresa ao Seu Cliente, e te ajudamos a melhorar suas vendas com Presentes Corporativos. São mais de 3500 opções no nosso site.</t>
  </si>
  <si>
    <t>Um único Link para tudo que você precisa. Site, Landing Page, Catálogo Digital, Link na Bio. É grátis!</t>
  </si>
  <si>
    <t>Soluções inteligentes de pagamento e recargas. 
Acompanhe nossas novidades e descubra como é o dia a dia da empresa. #somospiu</t>
  </si>
  <si>
    <t>🖥️🛒 Central de Compras Independente 
🥇Melhores Preços 
🚛 Entregas Gratuitas em 48h</t>
  </si>
  <si>
    <t>A Forbes Portugal quer surpreender, inspirar, dar ideias aos leitores. Ideias que possam ser usadas no dia-a-dia e levá-los a derrubar barreiras.</t>
  </si>
  <si>
    <t>Canal de memes:
https://t.co/gU3B0jwbxh
Instagram:
https://t.co/t9Oj1He704</t>
  </si>
  <si>
    <t>Oferecemos cursos presenciais e online para jornalistas na área de Marketing Digital. 👩‍💻👨🏽‍💻 Centenas de profissionais já se capacitaram. Venha também!</t>
  </si>
  <si>
    <t>⚠️ Aprenda a ter um Pet Shop Autogerenciável ⚠️
 Conquiste as 3 Liberdades com o Mercado PET
 Mentoria, fila de espera 👇</t>
  </si>
  <si>
    <t>Amante da tecnologia, marketing digital e empreendedorismo. Torcedor do @atletico 💻✒️🐓</t>
  </si>
  <si>
    <t>Programa de Desenvolvimento Pessoal para Empreendedores.</t>
  </si>
  <si>
    <t>👨‍💻 |  vivendo do marketing digital
💻 | empreendendo no digital
💰 | ajudo pessoas a faturar na Internet
🚨 | quer faturar também ? clique no link na bio.</t>
  </si>
  <si>
    <t>🖥️ Consultor de Marketing Online | 
🤓 Técnico de Marketing en Lleida | 
💪 ¿Te ayudo?</t>
  </si>
  <si>
    <t>👋🏻 Hi Lucas Prado
🆘 Autoajuda
📢 Marketing Digital
📐 Arquitetura e Urbanismo</t>
  </si>
  <si>
    <t>Juntos podemos voar longe. Soluções inteligentes para o seu negócio! 🚢</t>
  </si>
  <si>
    <t>Educator in information technologies, infrastructure and networks.  Currently market analyst. investors can join us now</t>
  </si>
  <si>
    <t>Sou Engenheira de Produção e atuo como Consultora de Negócios.  Uma amante de Gestão, Projetos e Pessoas.</t>
  </si>
  <si>
    <t>Damásio, sua credencial de excelência.
🎓  Pós-graduação
⚖️  Preparatórios para OAB
📓  Carreiras Públicas e Jurídicas
🌎  Carreira Internacional</t>
  </si>
  <si>
    <t>Sistema ERP em nuvem para gestão de empresas. Ideal para PMEs. O mais completo sistema em nuvem do mercado brasileiro. Teste Grátis!</t>
  </si>
  <si>
    <t>Somos fabricantes de produtos peculiares. Atendemos pela loja física em Itajaí - SC e pela nossa online.</t>
  </si>
  <si>
    <t>Te ajudo a escalar o seu negócio usando as maiores ferramentas de vendas na internet.</t>
  </si>
  <si>
    <t>Perdi a outra conta 😣
RJ - 🎤🎶
- 
Papai do ano 😍
-
 OUÇA JÁ 👇🏿#santtosnavoz ♌👑</t>
  </si>
  <si>
    <t>💡Sou um solucionador 🍊Empreendedor na @cxcriativa📙Doutorando em Prop. Intelectual</t>
  </si>
  <si>
    <t>Consultor Contabil com mais de 25 Anos de experiência, Consultor de Empregos para TI https://t.co/s26HkfPMjz #cltoupj #calculadorapj #vagasdeti</t>
  </si>
  <si>
    <t>A Plataforma Espinosa é uma assessoria financeira e mentoria destinada à empresas de pequeno, médio e grande porte na captação de recursos.</t>
  </si>
  <si>
    <t>Procuramos transformar positivamente as experiências de nossos clientes com seus próprios negócios e ideias através do planejamento e do Design.</t>
  </si>
  <si>
    <t>Portal de Notícias do Piauí.
Acompanhe os fatos mais relevantes do dia, bastidores da política e checagem de notícias do Piauí em primeira mão. 🔍📲</t>
  </si>
  <si>
    <t>Somos una Agencia de Marketing Estratégico Digital en Irapuato Gto.</t>
  </si>
  <si>
    <t>Ativismo político e ambiental, segurança do trabalho, áreas de trabalho, movimentos pelo povo🫂vivendo um amor❤pós em educação ambiental, amor ♑🌒♐🍁</t>
  </si>
  <si>
    <t>🧠| De olho no celular, transformei tempo em dinheiro💰📲     🚀| 4 dígitos por semana com meu📱   🗿| comece a fazer dinheiro hoje mesmo!  👇🏽|CLIQUE AQUI👇🏽</t>
  </si>
  <si>
    <t>Hola Nación Dios les bendiga❤🎹, les saluda su amigo RM Ricardo Miranda, soy Hijo de Dios, me encanta los NEGOCIOS💸, INVERSIONES, MARKETING DIGITAL...</t>
  </si>
  <si>
    <t>Representante comercial,  consultoria, market digital, gerenciamento de redes sociais , campanhas digitais Google ads</t>
  </si>
  <si>
    <t>Eaii faço uns vídeos legais (eu acho), seja bem-vindo * + de 1 bilhão de visualizações *  brabusgrupo@gmail.com</t>
  </si>
  <si>
    <t>Empresa de consultoria contábil e tributária em São Paulo - Vila Mariana</t>
  </si>
  <si>
    <t>Vou te levar pra conhecer o mundo ✈
Curadoria | Arte • Cultura • Viagem
👇 Quadros sob encomenda</t>
  </si>
  <si>
    <t>⚖️ Advogado | Especialista em D. Empresarial pela @FGV | Jurídico na 📰 @ImprensaAL e no 🏥 Hospital da Mata @SaudeAlagoas.</t>
  </si>
  <si>
    <t>🐅 Pai, jiujiteiro, empreendedor e marketeiro. Tenha profissionais de marketing por assinatura para sua empresa. Conheça a MOC!👇🏼</t>
  </si>
  <si>
    <t>🎯Tienda online. 🖥 donde encontrarás productos novedosos y prácticos! Pedidos al WhatsApp 📱 0987242332 📱 🛵 Entrega a Domicilio y Envíos a todo el 🇪🇨</t>
  </si>
  <si>
    <t>Gestão de redes sociais 🎯
Criação de conteúdo 📽
Vamos decolar sua empresa 🚀</t>
  </si>
  <si>
    <t>Site de notícias de Corumbá, Ladário e Pantanal.</t>
  </si>
  <si>
    <t>DEpilação 
Massagem 
Esfoliação 
Hidratação
Limpeza de Pele 
🧔🏻 Atendimento exclusivo masculino 
📍Bauru-SP 
📲 Agende seu horário,  clique no link abaixo.</t>
  </si>
  <si>
    <t>O seu site de notícias de Cotia e região, com atualizações dinâmicas durante todo o dia! Vencedor do "Melhores do Ano 2023 - categoria site de notícias - Cotia"</t>
  </si>
  <si>
    <t>Sporting CP e outros pensamentos fugazes mas pertinentes</t>
  </si>
  <si>
    <t>Sporting CP, cinema e séries a 280 caracteres | Instagram: petra_amaral 💚⭐️🦁</t>
  </si>
  <si>
    <t>Perfil oficial da Universidade Federal de Lavras (UFLA), administrado pela Coordenadoria de Comunicação.</t>
  </si>
  <si>
    <t>🚀#vempracampus
CPAmazônia - 11 a 15 OUT 23</t>
  </si>
  <si>
    <t>🚀 Especialista em IA e Estratégias de Monetização Online 💼 | Maximizando o Potencial da Inteligência Artificial 🤖 | Impulsionando Negócios rumo ao Sucesso ⏰</t>
  </si>
  <si>
    <t>Sempre (en)frente</t>
  </si>
  <si>
    <t>Sua empresa começa aqui!</t>
  </si>
  <si>
    <t>O ILISP defende os direitos à vida, liberdade e propriedade no Brasil. Nosso projeto "Liberdade para Trabalhar" venceu o Latin America Liberty Award 2023.</t>
  </si>
  <si>
    <t>Trabalhando para a modernização, simplificação e desburocratização no processo de abertura, alteração e baixa de empresas no Paraná.</t>
  </si>
  <si>
    <t>Dicas e ideias de empreendedorismo, assim como tecnologias e negócios, esses são os principais assuntos a serem abordados aqui.</t>
  </si>
  <si>
    <t>Fosofamilia es una institución financiera con enfoque de género orientada en apoyar financieramente a las familias microempresarias de El Salvador.</t>
  </si>
  <si>
    <t>Projetos exclusivos nos EUA.
Contato:
📧 marcone@unitedexchange.us</t>
  </si>
  <si>
    <t>Saxofonista aprendiz...comunicador, formado em jornalismo, já atuei como repórter, coord. de campanhas eleitorais, assessorias de imprensa e comunicação.</t>
  </si>
  <si>
    <t>É uma empresa especializada em gestão de negócios e distribuição de software altamente qualificada e experiente.</t>
  </si>
  <si>
    <t>A maior plataforma de investimento em startups do Brasil.
Ready. Set. Invest.</t>
  </si>
  <si>
    <t>Interface da Universidade do Minho que promove a valorização e transferência de conhecimentos inovadores para a sociedade.</t>
  </si>
  <si>
    <t>Developing educational approaches on entrepreneurship, and particularly patent entrepreneurship among young migrants</t>
  </si>
  <si>
    <t>O 1° espeto giratório movido a pilha ou energia solar! Há 11 anos levando mais praticidade e perfeição ao churrasco no Brasil e no mundo!</t>
  </si>
  <si>
    <t>Desde 2009 o Fronteira Livre se tornou um dos portais de notícias mais vistos do Brasil, com grande acesso na América Latina e Caribe</t>
  </si>
  <si>
    <t>A Associação Brasileira das Empresas de Software reúne cerca de 2 mil empresas, distribuídas em 24 Estados e no Distrito Federal, que geram 232 mil empregos.</t>
  </si>
  <si>
    <t>💡 Descubra o poder da gestão comercial inteligente.
🚀 Automatize processos, otimize sua performance e impulsione suas vendas.</t>
  </si>
  <si>
    <t>Ingeniero Comercial mención Administración de empresas.👉Soy apasionado por el aprendizaje, el marketing digital y todo lo relacionado.</t>
  </si>
  <si>
    <t>Dicas e estratégias de marketing digital.</t>
  </si>
  <si>
    <t>Apoiamos empresas DE família com ferramentas práticas de aplicação imediata!</t>
  </si>
  <si>
    <t>Turn your passion into a profession 🎙️
Create, distribute and make money with your #podcast from day one.</t>
  </si>
  <si>
    <t>Olá, meu nome é Henrique. Sou Copywriter e Social Media
Conheça meu site: https://t.co/cZ696EBHLy</t>
  </si>
  <si>
    <t>Prefeito de Colatina 🏆Bicampeão no Ranking de Transparência 👮‍♀️Entre as 20 cidades mais seguras do Sudeste 👷‍♂️ Destaque em novos empregos em julho</t>
  </si>
  <si>
    <t>Notícias de Publicidade, Marketing, Negócios, Jornalismo, Inovação. Detentor do Prêmio Colunistas como Porta Voz da Propaganda Catarinense.</t>
  </si>
  <si>
    <t>Desenhista | Digital Art &amp; Illustration | Freelancer | Christian 
Criador do Projeto Spurgeon e  @ProCasteloForte</t>
  </si>
  <si>
    <t>ITI CMOaaS - AI Enthusiast - Marketing &amp; Business Strategist</t>
  </si>
  <si>
    <t>We are the world’s premier pre-seed accelerator &amp; startup launch program for #entrepreneurs. Great founders start here. https://t.co/ezicO3qlFe  #FIworldwide</t>
  </si>
  <si>
    <t>The #1 place in the world to turn ideas into fundable startups, and startups into global businesses. FI portfolio companies have raised $1.75B+ 💸 #FIworldwide</t>
  </si>
  <si>
    <t>Oi, amigues!! Somos uma Agência de Comunicação com uma trajetória de mais de uma década, contribuindo com marcas dos mais variados segmentos. Vamos conversar?</t>
  </si>
  <si>
    <t>📰 Notícias e guias do Mercado Financeiro 🚀 Juntos rumo à independência financeira! 📍Links importantes 👇🏽</t>
  </si>
  <si>
    <t>Advogado/Empresario</t>
  </si>
  <si>
    <t>Coworking Space Lagos.
Coworking space like home👌
Workstation in a serene environment💯
A shared workspace that inspires creativity🤜
🏡 Ilupeju, Lagos.</t>
  </si>
  <si>
    <t>🏝 Viajo o 🌎 com uma FERRAMENTA de IMPRIMIR💰
👇🏻ATIVE ELA AQUI👇🏻</t>
  </si>
  <si>
    <t>O Granja News, jornal voltado ao público da Granja Viana e região, tem circulação no centro comercial da Granja,Cotia e 90 condomínios. 4196-3590 /  98692-9616</t>
  </si>
  <si>
    <t>Empreendedor | Um fracasso no CV | Liberdade com Automações | Data Driven</t>
  </si>
  <si>
    <t>Jornalista, escritora amadora de crônicas e fã de todos os tipos de filme
Tem crônicas minhas no: https://t.co/meI8iOujsM</t>
  </si>
  <si>
    <t>Nosso foco são pessoas inovadoras, grandes marcas, sustentabilidade e tecnologia. Quer ter acesso a conteúdos exclusivos? Assine! https://t.co/UMeYVY4mwi</t>
  </si>
  <si>
    <t>Brasileiro com orgulho, Agrônomo, católico, amo minha família  ( pai de menina) armamentista e Flamenguista</t>
  </si>
  <si>
    <t>A Autoridade de Gestão do COMPETE 2030 é a estrutura de missão responsável pela gestão e execução do Programa Temático Inovação e Transição Digital</t>
  </si>
  <si>
    <t>Somos a Força do Empreendedor maranhense!</t>
  </si>
  <si>
    <t>Dir. de expansão e operações da rede social GOW 🚀</t>
  </si>
  <si>
    <t>Trader profecional de Criptomonedas, Forex y Acciones
Canal youtube: https://t.co/cuSjzsAJW0</t>
  </si>
  <si>
    <t>🧠Transforme sua mentalidade aqui. 🔱 Motivação, foco e disciplina. IG: Visionary.bossk</t>
  </si>
  <si>
    <t>O podcast da @computacaoufpa com apoio da PROEX/UFPA | 🎙️ @heycampoos_21 @ChrisTheDragon0 e @vhhsantiago</t>
  </si>
  <si>
    <t>Fazendo a Diferença na Vida das Pessoas ☆
Instagram: @portalaloficial - Responsável: Jornalista Anderson Lopes / Ass.ª de lmpr.: Leandro Amorim</t>
  </si>
  <si>
    <t>✨TE MUESTRO LOS MEJORES LUGARES PARA INICIAR TU NEGOCIO✨</t>
  </si>
  <si>
    <t>Gerenciamento de Custos e Ativos de TI</t>
  </si>
  <si>
    <t>📱 O seu Portal de Notícias no Litoral Norte e Baixada Santista: https://t.co/l1MvqwJWIB…</t>
  </si>
  <si>
    <t>Responsável por oferecer cursos de latu senso que compreendem programas de Pós Graduação reconhecidos pelo MEC.</t>
  </si>
  <si>
    <t>O ano é 2012 e depois de um hiato de 11 anos estou de volta 🙋🏻‍♂️</t>
  </si>
  <si>
    <t>Canal oficial do Serviço de Apoio às Micro e Pequenas Empresas do Estado do Tocantins. Central de Relacionamento: 0800 570 0800 - Whats (63) 9 9971 2198</t>
  </si>
  <si>
    <t>🔱lifes🧠</t>
  </si>
  <si>
    <t>Empresa de comunicação e conteúdo jornalístico. Produzimos materiais multimídia, regionalizados e gratuitos. Conteúdos de áudio feito pela Agência do Rádio.🎙✍️</t>
  </si>
  <si>
    <t>Conteúdo jornalístico de qualidade. Divulgação dos valores da Amazônia e notícias que impactam o cotidiano dos amazônidas.</t>
  </si>
  <si>
    <t>🚀 ALTA PERFORMANCE EMPRESARIAL.
🚨 Vendas, liderança, alta performance, gestão empresarial e contabilidade consultiva.
🔴 Acesse o link 👇</t>
  </si>
  <si>
    <t>Twitter oficial do Avante Nacional.</t>
  </si>
  <si>
    <t>Faça sua Primeira Renda e Se Motive
Make your first income and get motivated</t>
  </si>
  <si>
    <t>Father. Husband. Software engineer. Lover of things in colorful Colorado.</t>
  </si>
  <si>
    <t>Founder &amp; CEO of Wiser Educação • Co-founder of FRST CLAX • Former owner of Orlando City • Author of 4 Best-sellers • Forbes Columnist • Private equity Investor</t>
  </si>
  <si>
    <t>Cristão e advogado. Deputado estadual reeleito por SP na legislatura 2023-2027</t>
  </si>
  <si>
    <t>💎Empreendedorismo no Setor Joalheiro
Host @cristianeoliviery</t>
  </si>
  <si>
    <t>Sua gráfica digital on-line.
Acesse &amp; Compre &amp; Receba em casa!</t>
  </si>
  <si>
    <t>Empreendedor - 
Formado em Gestão Pública 
 #AgoraVai</t>
  </si>
  <si>
    <t>Portal de Notícias do Estado do Pará.
Acesse nossas Redes Sociais:
https://t.co/vZcifW1bJF</t>
  </si>
  <si>
    <t>Emissora de TV Streaming Multiplataforma com conteúdo alternativo de diversas editorias! Livre e Independente! Canal 89 da SoulTV - @wtvbrasil nas Redes Sociais</t>
  </si>
  <si>
    <t>Global AI news hub, delivering Latest AI News &amp; updates in all languages. Stay informed on breakthroughs, research &amp; trends with diverse sources. #AINews</t>
  </si>
  <si>
    <t>✨ Dicas de Marketing
🎯 Estratégias de Negócios
💡 Inspiração para Inovar</t>
  </si>
  <si>
    <t>O perfil oficial da Prefeitura de #Niterói no Twitter! Sua participação é fundamental para alcançarmos uma gestão mais democrática.</t>
  </si>
  <si>
    <t>A loja virtual oferece itens de moda, buscando sempre produtos diferenciados, com um toque fashion e atuais, voltados a mulheres elegantes e modernas.</t>
  </si>
  <si>
    <t>Sou consultor de Qualidade em algumas empresas, gosto de futebol e praia;</t>
  </si>
  <si>
    <t>George Paiva Head of Human Resources LAM/OBS</t>
  </si>
  <si>
    <t>she/her !! 🪻</t>
  </si>
  <si>
    <t>Se não for pra reclamar, nem abro Twitter Insta: @diasriccardo</t>
  </si>
  <si>
    <t>Conselho Regional de Administração do Ceará
ADMINISTRADORES - ESPECIALISTAS EM PROGRESSO</t>
  </si>
  <si>
    <t>Aprenda a Gerar Renda Online sem Sair de Casa: Descubra Como Ganhar Dinheiro na Internet sem Aparecer 💰</t>
  </si>
  <si>
    <t>Literalmente vivendo da minha arte... 🔥
Segue o insta 👉🏻 @baltazaratelier
👩🏻‍🎓ADM | GESTÃO EMPRESARIAL | MKT
📍de Santos - SP | em Lajeado - RS</t>
  </si>
  <si>
    <t>Contador público certificado con maestría en fiscal, empresario y dirigente empresarial</t>
  </si>
  <si>
    <t>Atuando desde 2000, a Escola Técnica Geração é referência no Ensino Técnico em SC e destaca-se pela excelência no processo ensino-aprendizagem.</t>
  </si>
  <si>
    <t>Digital Media Department of @logistingroup
.
Web &amp; App Development.
Social Media Management.
Online Trade &amp; Marketing.
Graphic &amp; Visual ID Design</t>
  </si>
  <si>
    <t>Levando empresas de pequeno e médio porte para o outro nível de faturamento</t>
  </si>
  <si>
    <t>Criador de Disciplina, Motivação e educação financeira.
Entusiasta de criptomoedas, 
Investidor aprendiz.
aprenda a receber aluguel mesmo não tendo imóveis 👇</t>
  </si>
  <si>
    <t>O portal dos empreendedores: marketing, comunicação, design, tecnologia e inovação para impulsionar seu negócio e alcançar o sucesso.</t>
  </si>
  <si>
    <t>💻 Muito mais que um projeto na WEB 3.0
📈 Desenvolvendo tecnologias e pessoas  
🦅 Live like an eagle</t>
  </si>
  <si>
    <t>Fique por dentro das nossas dicas de Marketing Digital para você fazer até 5 dígitos por mês. A sua renda extra está aqui!</t>
  </si>
  <si>
    <t>A nossa vida é uma sucessiva sucessão de sucessões que se sucedem sucessivamente</t>
  </si>
  <si>
    <t>Cobrança inteligente!</t>
  </si>
  <si>
    <t>Jornal regional de informação geral e inspiração cristã.
https://t.co/k99to9Qfai
https://t.co/iMa9BX1EOP</t>
  </si>
  <si>
    <t>Se a vida começa aos 40, que tal contar com um espaço virtual que reúna conteúdo, serviços, eventos e novidades para o público a partir dessa idade?</t>
  </si>
  <si>
    <t>Emprendedor🔱 Florista💐Mercadologo 📈Podcast: imprescindibles🎤</t>
  </si>
  <si>
    <t>Equipe Bindways, plataforma pioneira no Brasil.</t>
  </si>
  <si>
    <t>TRUST is a company focusing on e-commerce business. The business model of TRUST is a managed model, which provides efficient operation services for merchants.</t>
  </si>
  <si>
    <t>Não desperdice oportunidades. 💪</t>
  </si>
  <si>
    <t>Twitter oficial da Universidade do Estado do Rio de Janeiro
Instagram: https://t.co/hbCFtdqAc0
Política de uso das redes: https://t.co/rdxnyImKwa…</t>
  </si>
  <si>
    <t>❇️ SAÚDE - VIDA ÉPICA
🙏 Ajudo pessoas no Brasil e no Mundo a Se Manterem Saudáveis, Prósperas e Felizes!
🌏 Clique No Link Abaixo e Saiba Mais  👇</t>
  </si>
  <si>
    <t>📍Graduação
📍Pós-Graduação  
100% digital | Diploma a partir de 2 anos | Mensalidades acessíveis |Escolha Polo São João | Whatsapp (18) 99156-2270</t>
  </si>
  <si>
    <t>o aplicativo para resolver as atividades extracurriculares e estágios</t>
  </si>
  <si>
    <t>Brazilian. Travel lover!</t>
  </si>
  <si>
    <t>Podcast sobre Empreendedorismo
Uma história inspiradora de cada vez!</t>
  </si>
  <si>
    <t>Empresa de consultoria com soluções em Tecnologia da Informação e Negócios - centrada em pessoas. Áreas de atuação estratégicas: Design, Digital, T.I. e P&amp;D</t>
  </si>
  <si>
    <t>Só uma pessoa pode mudar sua vida: VOCÊ!</t>
  </si>
  <si>
    <t>Canal oficial do Sebrae Paraná (Serviço Brasileiro de Apoio às Micro e Pequenas Empresas). 
Fale conosco: 0800 570 0800</t>
  </si>
  <si>
    <t>CERTFORM - Escola de Formação Prática</t>
  </si>
  <si>
    <t>Tec. Informática, Programador, Assistente Administrativo, Comprador, Almoxarifado, Vendedor...</t>
  </si>
  <si>
    <t>Conselho Regional de Administração do Espírito Santo</t>
  </si>
  <si>
    <t>#GazetaExpressa , #Jornal dedicado ao #Jornalismo imparcial, com ênfase em notícias do #Brasil para leitores #Brasileiros.</t>
  </si>
  <si>
    <t>🌎 Founder BlackMid | Maior especialista do 🇧🇷 para Segmento Fitness | #TOP1 Startup de MKT Fitness | Tenha os resultados da sua empresa alavancados por nós</t>
  </si>
  <si>
    <t>Somos uma plataforma de conexão entre marcas e pessoas</t>
  </si>
  <si>
    <t>Um perfil dedicado a conteúdo de gestão e liderança.</t>
  </si>
  <si>
    <t>46 Anos de foco em vendas 🚀
26 anos Empreendendo na 
Construção Civil / Drywall -Corporativo 🏙️
Comecei do absoluto Zero
Mentoria Drywall Masterclass</t>
  </si>
  <si>
    <t>Registre Sua Marca Agora de Forma Fácil
Feito para quem não entende nada sobre o processo no INPI.</t>
  </si>
  <si>
    <t>🤍 | peace of mind</t>
  </si>
  <si>
    <t>Peço que se inscreva no canal se ainda não o fez, pois isso me ajudará muito a continuar produzindo mais vídeos.</t>
  </si>
  <si>
    <t>EM DEFESA DA DEMOCRACIA CUBANA, DÍVIDA HISTÓRICA, DESCONTRUIR, RESSIGNIFICAR, LUGAR DE FALA, SORORIDADE ... É SOBRE ISSO E TÁ TUDO BEM</t>
  </si>
  <si>
    <t>Maior página de humor político da América 🇧🇷 segue a gt no insta e no telegramhttps://t.me/corrupcaobrmeme8s</t>
  </si>
  <si>
    <t>Consultor em Gestão Pública /
CEO da Solução Consultoria /
Graduando em Ciências Políticas / Líder Livres</t>
  </si>
  <si>
    <t>Federação do Comércio de Bens, Serviços e Turismo do Estado do Tocantins
💛 @sescto
🧡 @senacto</t>
  </si>
  <si>
    <t>Atuando como Administradora, responde pela SEA - Soluções Empresariais e Ambientais. Uma eterna aprendiz. Consultora do SEBRAE/RJ.</t>
  </si>
  <si>
    <t>Corretor de imóveis
Apartamento Prontos e na Planta 
https://t.co/K93gOk2OSK
CRECISP - 240040-f</t>
  </si>
  <si>
    <t>Perfil oficial do Governo do Estado da Bahia  | #TerraDaLiberdade</t>
  </si>
  <si>
    <t>✊🏿Perfil Oficial da Secretaria da Promoção da Igualdade Racial e dos Povos e Comunidades Tradicionais</t>
  </si>
  <si>
    <t>Associação criada para favorecer a evolução de empreendimentos no Circuito das Compras da maior cidade da América Latina.</t>
  </si>
  <si>
    <t>Mentor de Negócios
Consultor, Palestrante, Escritor e Podcaster
Livros: Em Busca do Ritmo Perfeito e Caçador de Negócios</t>
  </si>
  <si>
    <t>🗞️💰💡 Notícias que enriquecem seu dia! 
Não é apenas sobre publicar notícias, é sobre como pensamos o jornalismo. 
Siga 👉 @leiacryptotimes e @leiaagrotimes</t>
  </si>
  <si>
    <t>🥃 Rohmer, Manuel de Freitas, Bourbon e Promiscuidade.
😬 De dia às direitas, de noite aos ziguezagues.</t>
  </si>
  <si>
    <t>Analog man in a digital world. Comms guy and father to the cutest girl ever. Meme danker, Cultural Marxist &amp; part-time Parkour Socialist/Vinyl Junkie/76ers stan</t>
  </si>
  <si>
    <t>Bem vindo ao mundo da notícia boa! Somos o 1º portal de jornalismo positivo do Brasil. Comece o dia com notícia boa!!! i instagram @ sonoticiaboaoficial</t>
  </si>
  <si>
    <t>Jornalista do Antenados América e âncora de telejornal.</t>
  </si>
  <si>
    <t>Decidi viver n agradar 💋</t>
  </si>
  <si>
    <t>We are the first Educational Token focused on fostering knowledge in technology, finance and personal development.
 https://t.co/NocB3Zvlhc</t>
  </si>
  <si>
    <t>🌐 Aqui eu falo sobre empreendedorismo e comunicação visual de forma descomplicada e prática!
🙇 Expert em comunicação visual</t>
  </si>
  <si>
    <t>Founder at Younik, empreendedor e comunicador</t>
  </si>
  <si>
    <t>Startup que vai democratizar o empreendedorismo, para que qualquer pessoa possa tirar qualquer projeto do papel.</t>
  </si>
  <si>
    <t>Somos um Portal de notícias responsivo. Nosso obejtivo é manter a soociedade informada sobre os fatos  e acontecimentos na Amazônia, no Brasil e mundo...</t>
  </si>
  <si>
    <t>#Airdrops &amp; #Cryptomoedas</t>
  </si>
  <si>
    <t>Oie</t>
  </si>
  <si>
    <t>Aligom é uma startup (empresa) de tecnologia que atua no seguimento de contabilidade online para pequenas empresa e prestadores de serviços. #aligom</t>
  </si>
  <si>
    <t>Informação com qualidade e credibilidade. Acesse o nosso Portal e ouça também a Rádio Valentina. De João Pessoa para o mundo! contato@portalvalentina.com.br</t>
  </si>
  <si>
    <t>Angra dos Reis 
27 anos
Solteiro  🌞
Bissexual 🌈
Alegre, Espontâneo , Comunicativo e zueiro 🩷✝️</t>
  </si>
  <si>
    <t>🇧🇷🇺🇸 Amo minhas origens e meu presente. Meu futuro A Deus pertence. Amigos só Patriotas e ñ IdeologiasSocialistasComunistas. #ÑACEITOFORODESÃOPAULO🇧🇷</t>
  </si>
  <si>
    <t>15 anos no Marketing Digital ajudando empresas a vender mais.</t>
  </si>
  <si>
    <t>🔎 Busque e ofereça serviços do futuro!
https://t.co/onZDstOidw
 🤖 Ferramentas de Inteligência Artificial: @futuro_ia</t>
  </si>
  <si>
    <t>um preto querendo ter previlégios de branco</t>
  </si>
  <si>
    <t>Bolos,  Doces e alegrias!😊🍪</t>
  </si>
  <si>
    <t>🐡🐡🐡🐡😉😉🐡🐡🐡😅😰😇 https://t.co/ZjIOdYWZ2B</t>
  </si>
  <si>
    <t>Nova fase da minha vida inicia agora
📌Empreendedor Digital
📌 Cantor e Compositor
📌 Estudante de Publicidade &amp; Propaganda
📌 Ajudando pessoas com sua vocação</t>
  </si>
  <si>
    <t>Primeira emissora legislativa de alcance nacional, a TV Senado divulga o trabalho do Senado Federal do Brasil.</t>
  </si>
  <si>
    <t>Pedagogo, técnico em contabilidade, filiado ao Podemos, Senador da República pelo Pará.</t>
  </si>
  <si>
    <t>Perfil oficial do Senado do Brasil no Twitter.</t>
  </si>
  <si>
    <t>O melhor parlamentar do Tocantins no Congresso Nacional, segundo o Ranking dos Políticos.  PSD/Tocantins</t>
  </si>
  <si>
    <t>▪ Senador, vice-líder do governo Lula no Senado e presidente do PDT/MA
▪ Desde os 16 anos lutando a favor dos maranhenses</t>
  </si>
  <si>
    <t>O jornal de economia e negócios do Rio Grande do Sul desde 1933.
No impresso, no site e no aplicativo.</t>
  </si>
  <si>
    <t>#teampixel #ProductExpert #StreetViewTrusted</t>
  </si>
  <si>
    <t>Twitter institucional do Serviço de Apoio às Micro e Pequenas Empresas do Estado de São Paulo. Atendimento: 0800 570 0800, das 8h às 20h, de segunda a sexta.</t>
  </si>
  <si>
    <t>Empresa especializada no atendimento de micro, pequenas e médias empresas oferecendo Contabilidade Convencional ou 100% online de modo econômico e inteligente.</t>
  </si>
  <si>
    <t>Fundador da maior Rede de Academias do Paraná, +50 unidades, Ph.D Sports @ph.dsports
Na maioria das vezes, salvando vidas 😎
Policial
COPE PC-Pr 🇧🇷☠️</t>
  </si>
  <si>
    <t>Empoderamos a comunidade LGBTI+, educando a sociedade e transformando o Brasil - Projetos de impacto social - Consultoria em D&amp;I - Faça sua doação🏳️‍⚧️🇬🇦</t>
  </si>
  <si>
    <t>tomás</t>
  </si>
  <si>
    <t>tweets surrealistas</t>
  </si>
  <si>
    <t>Pai de família</t>
  </si>
  <si>
    <t>Criamos sites e logotipos incríveis para sua empresa alcançar o sucesso online e offline. Desde design até otimização de SEO, temos tudo o que você precisa.</t>
  </si>
  <si>
    <t>▫️Comunicação e Tecnologia que inclui e transforma; Startup Edital Mulheres+Tec (FAPESC/SEBRAE); Associada ACATE - o maior hub de inovação de SC.</t>
  </si>
  <si>
    <t>Se dedica à realização do Sonho da Casa Própria! Oferece um atendimento personalizado, Real State Agent</t>
  </si>
  <si>
    <t>Arte das Mandalas em peças exclusivas com Energia Positiva.
Loja OnLine verificada pelo Google Venda e Expo #artist
Sua Arte está Aqui
Divulgando os trabalhos ☻</t>
  </si>
  <si>
    <t>Irineu Berezanski atua como Planejador Financeiro Pessoal, faz parte do time de consultores especialistas do Sebrae e professor de agronegócios do Senar.</t>
  </si>
  <si>
    <t>Somos empresa de contabilidade e atendemos online em todo o território americano. Atendemos também presencialmente em nosso escritório localizado em Worcester.</t>
  </si>
  <si>
    <t>Existem verdades que a gente só pode dizer depois de ter conquistado o direito de dizê-las.
#coisasdexucro🤠 
#vidaxucra🏡👏🌾🐴☀️🌵</t>
  </si>
  <si>
    <t>🤖 O melhor sistema de gestão para WhatsApp
🧑‍💻 Venda mais e atenda melhor
🌍 + 3.000 clientes atendidos em 9 Países
😎 Conheça o ChatGuru ⤵️</t>
  </si>
  <si>
    <t>🎟️Cupons | 📴 Ofertas | 🎁 Promoções
🤳Coisas para sua #casa
🫰Compre pelos links!  Siga nosso perfil!
Link no telegram 👇</t>
  </si>
  <si>
    <t>Farmacêutico-Bioquímico que sonha ser possível fazer o melhor da vida através do conhecimento.</t>
  </si>
  <si>
    <t>Empreendedores Cristãos | @ibg_taubate
Deseja participar e aprender mais sobre empreendedorismo cristão?
Inscreva-se no nosso próximo evento! ⤵️</t>
  </si>
  <si>
    <t>Empresa especializada em desenvolvimento de sistemas e fornecimento de Tecnologia para empresas.</t>
  </si>
  <si>
    <t>Plataforma de crowdfunding de investimento autorizada pela CVM. Capte recursos para seus empreendimentos. Invista em ativos de economia real 📈💰</t>
  </si>
  <si>
    <t>Seja bem-vinda (o) à página oficial da Prefeitura de Araquari.</t>
  </si>
  <si>
    <t>🎙️ Welcome to ProdCast Explorers - Your Journey into the World of Productivity and Growth! 🎙️</t>
  </si>
  <si>
    <t>Eu sigo todos os governadores dos estados do Brasil e destaco e faço um resumo de suas falas e atitudes</t>
  </si>
  <si>
    <t>jovem sonhador em busca de ser empreendedor.</t>
  </si>
  <si>
    <t>🦍 | Biólogo 🧠 | Explico o nosso comportamento 🖋 | Escrevo poemas</t>
  </si>
  <si>
    <t>Comunicação + PR para gerar reputação e engajamento! Let's Sing Together! 
 PR Agency Brazil / A Tribe Global Network Member @Tribe__Global / a Convoy member</t>
  </si>
  <si>
    <t>Conteúdo de qualidade de e para o Mercado Erótico do Brasil e do Mundo</t>
  </si>
  <si>
    <t>Fearless</t>
  </si>
  <si>
    <t>Faça seu negócio voar com a nossa tecnologia inteligente em cobranças únicas e recorrentes. 🚀</t>
  </si>
  <si>
    <t>Informando desde 1984 no Oeste do Paraná. 
Acompanhe nossas outras mídias sociais.</t>
  </si>
  <si>
    <t>Desbravando o mundo da IA Visual, um pixel de cada vez!
 Transmitindo descobertas, criações e insights sobre inteligência artificial visual. Junte-se à nos</t>
  </si>
  <si>
    <t>Vereador de Londrina - Paraná 🇧🇷
Cristão, Defensor da Família e da vida.</t>
  </si>
  <si>
    <t>CEO | MediaTosi
🚀 | Gestor de Tráfego Pago para Negócios Locais
📢 | Especialista em Prestação de Serviços
👇🏻 | Entre em Contato</t>
  </si>
  <si>
    <t>Perfil oficial do Conselho Nacional das Fundações Estaduais de Amparo à Pesquisa - CONFAP</t>
  </si>
  <si>
    <t>Conselho Nacional de Desenvolvimento Científico e Tecnológico (CNPq), vinculado ao Ministério da Ciência Tecnologia e Inovações (MCTI)
Tel.: +55 61 3211 4000</t>
  </si>
  <si>
    <t>Gerente Comercial - Palmeirense - Confiante no Brasil 🇧🇷. Minhas opiniões não refletem a do meu empregador. Estou aqui pela zueira!!</t>
  </si>
  <si>
    <t>Você não precisa ser o melhor .Basta procurar fazer bem aquilo que faz, sem esperar recompensa, simplesmente pelo prazer de fazer bem feito ❤️.</t>
  </si>
  <si>
    <t>loading since 1993 … loading …</t>
  </si>
  <si>
    <t>Advogado e deputado estadual por oito mandatos. Presidente da SP Frente Cidadã. https://t.co/0XMFqKnXo9</t>
  </si>
  <si>
    <t>Senador eleito pelo União Brasil. Casado, pai e Advogado, pós graduado em Direito do Consumidor. Apaixonado pela Paraíba e pelo Brasil.</t>
  </si>
  <si>
    <t>#GuerrillaMarketing 
 🛍️🛒🐦 Online Affiliate Marketer sharing Non-toxic Content for optimistic people
🤳🦍🦧🇮🇱🔞
https://t.co/S3jQ16pVsT</t>
  </si>
  <si>
    <t>Seu portal de notícias do Litoral Norte Paulista</t>
  </si>
  <si>
    <t>Autor, Palestrante motivacional e Psicoterapeuta Holístico</t>
  </si>
  <si>
    <t>Odontologia 
Empreendedora
CE</t>
  </si>
  <si>
    <t>ilustrador e Designer // tiktok &amp; insta: @celsomon // Ele - Dele</t>
  </si>
  <si>
    <t>Notícias que afetam você e o seu dinheiro</t>
  </si>
  <si>
    <t>Con mas de 25 años dedicados al sector industrial de Venezuela, que nos dan un amplio conocimiento en los sectores productivos. #petroleo #mineria #bienesraices</t>
  </si>
  <si>
    <t>CEO @bipocontabilidade 🥇 Liderando a transformação contábil e financeira nas pequenas e médias empresas 🎯 Simples, Segura e Econômica</t>
  </si>
  <si>
    <t>Economist, Trainer, Motivation Speaker, Business Coach, Pharmaceutical Director</t>
  </si>
  <si>
    <t>Contadora, trabalhamos com MEI, Pequenos e Médios Negócios, Abertura, Fechamento e Regularização de Empresas</t>
  </si>
  <si>
    <t>🔔Ative as Notificações🔔
🤑Clique no link🤑
🍷Tik Tok: @PaitaDosCortes+18 
🍷Tik Tok:Vida_De_VideoMaker
🗿 Instagram:Vida_De_VideoMaker</t>
  </si>
  <si>
    <t>Uma empresa que oferta serviços digitais que irão transformar seu dia a dia.</t>
  </si>
  <si>
    <t>Jornalista, empresário e apaixonado por Macapá.</t>
  </si>
  <si>
    <t>Portal de notícias com conteúdo de #negócios #economia #tecnologia</t>
  </si>
  <si>
    <t>Serviço de Apoio às Micro e Pequenas Empresas no Distrito Federal
SIA Trecho 03 Lote 1.580
Brasília/DF
0800 570 0800</t>
  </si>
  <si>
    <t>Criador de anúncios e disseminador de conhecimento. Impulsionado pelo progresso das pessoas e inspirado por uma liderança provocativa: Deus!</t>
  </si>
  <si>
    <t>A Art Delight é uma papelaria e acessórios com produtos exclusivos e autorais, todos são feitos a partir das minhas artes originais pintadas a mão</t>
  </si>
  <si>
    <t>Ser ou não ser , eu sou.
⚠️Dona da loja MBshoes .
Instagram: magnabarbosaa</t>
  </si>
  <si>
    <t>Êxito- instituto Latino-Americano de Empreendorismo e inovação💡</t>
  </si>
  <si>
    <t>Não tenho uma mansão alugada no Alphaville, uma Porsche do ano finan., nem olhos azuis, e nenhuma dessas coisas q brasileiros valorizam. Tenho apenas idéias!🌎</t>
  </si>
  <si>
    <t>Enquanto todo mundo espera a cura do mal e a loucura finge que tudo isso é normal, eu não tenho paciência alguma.</t>
  </si>
  <si>
    <t>O maior pré do Brasil!</t>
  </si>
  <si>
    <t>Fé cega, vaca atolada.</t>
  </si>
  <si>
    <t>Aqui se fala de atracação de navio a zurro de mula. 
links Amazon são afiliados e geram comissão para mim.
links para outras redes: https://t.co/jyBnNN3VNH</t>
  </si>
  <si>
    <t>A Escola Rio Preto é a sua porta de entrada para o mundo da tecnologia, que o guiará no caminho para se tornar um programador de verdade.
Seja muito bem-vindo!</t>
  </si>
  <si>
    <t>Hello, 
My Name is Alamin,
I am a Digital Marketer
&amp; SEO Expert.
#Freelance
#DigitalMarketer 
#SEOExpert
#Instagrammarketer
#MarketingManeger
#TwitterMarketer</t>
  </si>
  <si>
    <t>𝗦𝗲𝗷𝗮 𝗯𝗲𝗺 𝗩𝗶𝗻𝗱𝗼 𝗮𝗼 𝗻𝗼𝘀𝘀𝗼 𝗣𝗲𝗿𝗳𝗶𝗹 𝗢𝗳𝗶𝗰𝗶𝗮𝗹 🇧🇷  #souchofer #choferbank #choferapp ⬇️Acesse o Site ⬇️</t>
  </si>
  <si>
    <t>😁😁</t>
  </si>
  <si>
    <t>Somos um provedor de internet com mais de 10 anos de mercado. Nossa missão é conectar pessoas e negócios a infinitas possibilidades.</t>
  </si>
  <si>
    <t>Contadora apaixonada por números e finanças! 💰📊</t>
  </si>
  <si>
    <t>Professor, especialista em Comunicação e Marketing. “Há uma força motriz mais poderosa que o vapor, a eletricidade e a energia atômica: a vontade”.</t>
  </si>
  <si>
    <t>Não se importem comigo,  estou apenas de passagem.</t>
  </si>
  <si>
    <t>Contador e profissional da área financeira. Imposto de Renda e Educação Financeira de forma descomplicada. Esquerda convicto!</t>
  </si>
  <si>
    <t>📰📱Saiba o que é notícia em Alagoas, no Brasil e no mundo.</t>
  </si>
  <si>
    <t>Tipzar | Fun n' Monetize
https://t.co/LMdyBBhj9g</t>
  </si>
  <si>
    <t>📈Contador - CRC/RS 075739 📖 Pós-Graduado em Controladoria  💼 Coord. Financeiro @cufars 👨🏿‍🏫 Prof. Adm e Financ. 👩 @marianarosasantanna 💍 @dessinha32</t>
  </si>
  <si>
    <t>🗂 Gerenciamento contábil ☎️ (21) 3748-2853 seg/sex 09:17h📱(21) 96498-0480</t>
  </si>
  <si>
    <t>🔸 Especialista em Vendas B2B e LinkedIn
🔸 + 2 MILHÃO de views no YouTube 
🔸 Entre na comunidade do Discord</t>
  </si>
  <si>
    <t>Ecossistema da Economia de Defesa | Oportunidades e Financiamento | Eventos | Notícias | powered by idD Portugal Defence</t>
  </si>
  <si>
    <t>IAPMEI, I.P. - Agência para a Competitividade e Inovação</t>
  </si>
  <si>
    <t>👑| MOTIVAÇÃO DE ÁGUIA 
❤️‍🔥| TUDO COMEÇA PELA MENTE
🔥|FAÇA 1.000 REAIS EM 7 DIAS
👇 CLICA NO LINK E SAIBA MAIS👇</t>
  </si>
  <si>
    <t>Twitter Oficial do Sindicato dos Trabalhadores em Processamento de Dados, Serviços de Informática e Similares do Estado do Ceará</t>
  </si>
  <si>
    <t>Olá, sou o Hilton Luiz.. Formado em Direito e Publicidade, não satisfeito criei o canal no Youtube. Também estou nas demais mídias sociais só colocar HiltonBoss</t>
  </si>
  <si>
    <t>When you want to feel cared for wherever you go, it matters where you stay. #HiltonForTheStay</t>
  </si>
  <si>
    <t>Mãos que ajudam vale mais que bocas que rezam!!!</t>
  </si>
  <si>
    <t>Empresário, agente de jogadores e músicos, escritor, palestrante, mentor , roteirista e Ator</t>
  </si>
  <si>
    <t>🤡Empreendendo com Humor💰Vergonha não paga boleto 👉 O Perfil é meu e escrevo o que eu quiser!</t>
  </si>
  <si>
    <t>Media &amp; Communication Production | Event Management | Shoot | Product Launch | Video Production</t>
  </si>
  <si>
    <t>Provérbios 16: 8-9. 📖❤️🐅 #BBMP</t>
  </si>
  <si>
    <t>colecionador de blockeds de políticos que não suportam a verdade! 💻 Computer scientist ✈️ Traveler 🎒🇧🇷🇦🇷 🇲🇦 🇪🇸 🇵🇹 🇨🇱 🇺🇾 💲 Apprentice Investor</t>
  </si>
  <si>
    <t>🧠Especialista em Marketing &amp; Comunicação
⚡️CEO @comunicacaocubo
✨Colunista @exame
🔮Mentora 
🎙Palestrante
👩‍👦Mãe do Lipe</t>
  </si>
  <si>
    <t>Prestação de serviços contabilísticos, buscando o desenvolvimento social e económico das entidades e colaboradores.</t>
  </si>
  <si>
    <t>Não aceite sua realidade fuja da Matrix
me siga e acompanhe meus conteúdos para não ser mais um!</t>
  </si>
  <si>
    <t>O maior classificado de empresas e pontos comerciais à venda do Brasil</t>
  </si>
  <si>
    <t>Twitter do Portal de Notícias https://t.co/4Ygb7gT0A6</t>
  </si>
  <si>
    <t>Perfil oficial do Hospital de Clínicas de Porto Alegre (HCPA). https://t.co/r0P3kzZcaR</t>
  </si>
  <si>
    <t>Nosso perfil oficial no Twitter, feito para apresentar nossas ações, ouvir e conversar com você :)</t>
  </si>
  <si>
    <t>💸Descubra o segredo de ganhar dinheiro com a kiwify e comece a vender plrs.👑
🍀Eu tenho o melhor pack com mais de 7000 plrs.🤑
Acesse o link🔗</t>
  </si>
  <si>
    <t>Somos uma empresa inovadora no uso de tecnologias para análise de dados, inteligência artificial e business intelligence.
Conheça a Mindtek 👇🏽 Link Abaixo:</t>
  </si>
  <si>
    <t>O nosso objetivo é simples:  trazer pra você mais clientes, mais vendas e mais tranquilidade no final do mês ! Vem com a gente: https://t.co/wWb2h0WPMY 🚀</t>
  </si>
  <si>
    <t>DOL Carajás</t>
  </si>
  <si>
    <t>Contador, Consultor, em Belo Horizonte, Especialista em Abertura de Empresas e Contabilidade. Accounting manager in Belo Horizonte, MG, Nasci em Rancagua, Chile</t>
  </si>
  <si>
    <t>Amo muito meu Deus, a qual eu sou servo e minha familia.</t>
  </si>
  <si>
    <t>Perfil oficial do Jornal Estado de Minas. 
Instagram: https://t.co/GrYaINL6ms
Facebook: https://t.co/lX2PIukTw5</t>
  </si>
  <si>
    <t>CEO of @alphaefficiency, a web design &amp; SEO firm. | Designed and coded 500+ websites. | Follow my Latest marketing experiments at  https://t.co/vWvHxtXk1c</t>
  </si>
  <si>
    <t>The connected workspace for your docs, projects, and knowledge.</t>
  </si>
  <si>
    <t>Write confidently with Grammarly’s AI communication assistance. #StandWithUkraine 🇺🇦
Need support? Reach out to @GrammarlyHelp.</t>
  </si>
  <si>
    <t>🎓 Help &amp; Learning https://t.co/n8gSyRxQDx
📣 Forums https://t.co/oxY1Azoghd
📨 Support for Personal, Professional, Teams https://t.co/jfSFfsPcl9…</t>
  </si>
  <si>
    <t>Amazingly simple design. Have a question? Or looking for some design tips? We’re here to help: https://t.co/aiUZ91blfu 😊</t>
  </si>
  <si>
    <t>Your small business' biggest fan 💙 Brand building products for small businesses and ambitious individuals. We're a fully remote team and work 4 days a week. ✨</t>
  </si>
  <si>
    <t>Workforce management software for productive teams.
Status updates: https://t.co/whLYBRH3at</t>
  </si>
  <si>
    <t>The world's largest #opensource communications platform, built for organizations that need more control over their communications. 🚀</t>
  </si>
  <si>
    <t>💰Ajudo você organizar sua empresa para crescer.
💼+ 1.150 Empresários ajudados
👇Fale comigo no WhatsApp
https://t.co/CPnVjXKr0g</t>
  </si>
  <si>
    <t>💰Ajudo você organizar sua empresa para crescer.
💼+ 1.150 Empresários ajudados
👇Fale comigo no WhatsApp
https://t.co/2ydm8IusEk</t>
  </si>
  <si>
    <t>Seja pioneiro entre os relutantes ⚔️
Conheça o Fórum BlackRat 👇</t>
  </si>
  <si>
    <t>Engenheiro de software e consultor de bem estar. Software Engineer and Wellness advocate</t>
  </si>
  <si>
    <t>Sou empresário e falo a verdade!</t>
  </si>
  <si>
    <t>Bacharel em Contabilidade; Técnico em Radiologia</t>
  </si>
  <si>
    <t>Advogada, Coord. GT Prev APC, Membro IAPE, Parceira Prevlaw, Membro Comissao Prev. OABSG
São Gonçalo, Niterói, RJ.
Presencial e online.
WhatsApp 21 98300-6671</t>
  </si>
  <si>
    <t>Advogado, professor universitário e palestrante - Especializado em Direito Empresarial @henriquearake em todas as redes sociais</t>
  </si>
  <si>
    <t>Empresário, Conselheiro de Empresas, Especialista em Gestão Empresarial e Financeira, Direita Liberal, Cruzeirense, Cristão, Professor!</t>
  </si>
  <si>
    <t>Fotógrafo, apaixonado pelo poder das imagens. Como educador, compartilho meu conhecimento e técnica para inspirar a próxima geração de artistas.</t>
  </si>
  <si>
    <t>Qué rabia me da el amor, voy a quedármelo | ele/dele</t>
  </si>
  <si>
    <t>Palmeiras, CAT, 76ers, café, cerveja, carnaval e moda, fique a esquerda.</t>
  </si>
  <si>
    <t>Agência de Marketing Digital localizada em São Paulo (Brasil) e em Luanda (Angola). Junte-se a nós, seja nosso próximo case de sucesso!</t>
  </si>
  <si>
    <t>Actriz, directora,  dramaturga, coach, Licenciada en Artes Mención Diseño y decoración, dominicana, feliz con Dios como capitan.</t>
  </si>
  <si>
    <t>“Se você quer a sensação máxima, tem que estar preparado para pagar o preço máximo!” (Mark Foo) Estagiário de Bilionário e entusiasta da @B3_Oficial</t>
  </si>
  <si>
    <t>🚀 Recrutador MMN | Agente de Vendas💸 | Ajudando a Transformar Vidas e Realizar Sonhos 💫 | Conheça Minha Jornada! #Empreender #MMN</t>
  </si>
  <si>
    <t>Informação e boa música nas ondas do rádio maranhense!</t>
  </si>
  <si>
    <t>Contabilidade eficiente e soluções personalizadas para sua empresa. Bem-vindo ao perfil oficial da ECL no Twitter!</t>
  </si>
  <si>
    <t>Deputado federal da Paraíba,  ex-vereador de Campina Grande, advogado especialista em direito administrativo e gestão pública.</t>
  </si>
  <si>
    <t>Já ajudamos dezenas de empresas a atrair clientes, prospectar clientes e vender mais. Ligue e solicite uma visita! Fone: (51) 9844 88858</t>
  </si>
  <si>
    <t>Aqui você descobre sobre abrir e gerenciar negócios</t>
  </si>
  <si>
    <t>Siga #metalomega - https://t.co/kOJMFH7zdc - minha missão é solucionar problemas. Meu combustível é a sua felicidade!</t>
  </si>
  <si>
    <t>Chairman do Grupo Newcomm e apresentador da Record.</t>
  </si>
  <si>
    <t>Head Plataforma Seller MAGALU
Startups Serial Investor
VP on Instituto Projeto de Vida</t>
  </si>
  <si>
    <t>Principais Serviços Contábeis
Empresa com mais de 50 anos de história.
📞 (11) 3531-3264 
📩 orcose@orcose.com.br</t>
  </si>
  <si>
    <t>"Provocando lo extraordinario"</t>
  </si>
  <si>
    <t>Assistant Manager at @K12Prospects. K-12 educational sales and marketing. Connecting with educators. Business opportunities.
#edtech #education #data</t>
  </si>
  <si>
    <t>K12Prospects helps companies with high accuracy data of all decision makers in the K-12 education system.</t>
  </si>
  <si>
    <t>✍️ Web Editor
✍️ Content Marketing</t>
  </si>
  <si>
    <t>📖 Autor do eBook "Empreenda com Sucesso: Fundamentos de Negócios"
💡 Compartilho insights valiosos sobre empreendedorismo
#investimentos #ebook</t>
  </si>
  <si>
    <t>Página Oficial</t>
  </si>
  <si>
    <t>Pós em comunicação, marketing, branding e growth. Presto serviços de comunicação e marketing através da F12COM. Gosto de aprender e compartilhar o que aprendi.</t>
  </si>
  <si>
    <t>-🚀 Empreendedor focado em inovação e crescimento.
-💡Negócios, Tecnologia e Marketing Digital...
-Juntos Contruimos o Futuro! 🌎</t>
  </si>
  <si>
    <t>Bilionário, filantropo, gênio e humilde. Seja bem vindo.</t>
  </si>
  <si>
    <t>Ofrecemos #ayudagratis en #español para su #negocio o #idea de negocio. SBDC helps #entrepreneurs and #businessowners with #freeconsultation &amp; #resources.</t>
  </si>
  <si>
    <t>🌟 Expandindo Horizontes e Rumo ao Sucesso Empresarial ✨💼 Descubra estratégias para Crescer &amp; Prosperar 🔥💡 O Caminho do Sucesso nos Negócios 💪🏼
Veja 👇🏻</t>
  </si>
  <si>
    <t>Hub de inovação Dabi Business Park, SuperCluster Inovação, Easy Carros, SEVNA Startups, Founder Institute, MOVER, OpenCoffee, PISO</t>
  </si>
  <si>
    <t>O Portal que é Destaque na Região.</t>
  </si>
  <si>
    <t>Montador e Finalizador</t>
  </si>
  <si>
    <t>Vender é PODER 🔥+6Milhões em vendas no 1 a 1 👊🏻Aqui o seu único problema é vender demais Descubra como 👇🏻</t>
  </si>
  <si>
    <t>As lojas duChapéu pertencem ao Grupo|Araujo.!BIJOUX localizada no Centro de SP-Rua 25 de Março,817-1º andar e a de PRESENTES localizada na Av.Valtier,455 - Pari</t>
  </si>
  <si>
    <t>Informações Gerais</t>
  </si>
  <si>
    <t>PhD Student | Author Book | Podcaster | CMO @ProlinxTI | VP @assespromg | Information Technology | Information Security | Speaker | Columnist | Professor</t>
  </si>
  <si>
    <t>Biomédica</t>
  </si>
  <si>
    <t>Paulo Dalla Nora Macedo é um profissional de desenvolvimento de negócios de São Paulo, Brasil e também co-fundador de duas organizações sem fins lucrativos.</t>
  </si>
  <si>
    <t>A primeira loja de franquias da América Latina, que representa cerca de 70 marcas. Uma empresa do Grupo Cherto.</t>
  </si>
  <si>
    <t>Compra necessária</t>
  </si>
  <si>
    <t>Soluções em tecnologia para pequenas, médias e grandes empresas.  https://t.co/us5zMuOiu4</t>
  </si>
  <si>
    <t>O maior networking em um só lugar para agregar e gerar relacionamentos!</t>
  </si>
  <si>
    <t>Há mais de 13 anos educando e ajudando empresas, empresários e pessoas captarem recursos e a investirem de forma inteligente e saudável.</t>
  </si>
  <si>
    <t>Contadora🥇</t>
  </si>
  <si>
    <t>Dev Full Stack. 33 anos. Um cara feliz.</t>
  </si>
  <si>
    <t>Faço Mkt Digital para empresas. contato: contatoleonardodantas@outlook.com</t>
  </si>
  <si>
    <t>#automotivenewsbrazil
https://t.co/ym8eVogzuo…
https://t.co/8KzilcbJpV
Kwai APP: Automotive News Brazil
https://t.co/VI3CaB5Vc1…</t>
  </si>
  <si>
    <t>Vice Campeão Endurance Porsche Cup Brasil Rookie Challenge 2022</t>
  </si>
  <si>
    <t>Mercado Financeiro Raiz</t>
  </si>
  <si>
    <t>They say you were created to do great things, but words only come to life when you believe(...)
Eng. Comp./ Empreendedor 💼💻
"Can’t Fear Your Own World!"👊🔥</t>
  </si>
  <si>
    <t>Advogado
Atendimento online em todo o Brasil</t>
  </si>
  <si>
    <t>Partilhamos aqui Notícias sobre a Sociedade, Famosos, Polémicas e Memes do todo Mundo.
Divirta-se, curta e retweet</t>
  </si>
  <si>
    <t>Médico, esposo, pai, avô e prefeito da Serra.</t>
  </si>
  <si>
    <t>Conteúdo, parceria e tudo novo! Mande sua foto com #TribunaPR ou manda um Whats (41) 99683-9504 😉</t>
  </si>
  <si>
    <t>Podcaster, editor do QGnet, NÃO-músico do Cadê a Nota?, engenheiro e sonhador.</t>
  </si>
  <si>
    <t>Assessoria de Comunicação I Jornalismo I Locução I Owner/President de MEI - ☯☮</t>
  </si>
  <si>
    <t>Esposa, mãe. Evangelizadora católica. Jornalista, especialista em Marketing e Comunicação Digital. Eterna estudante. Empreendedora, persistente, feliz!</t>
  </si>
  <si>
    <t>📚Cursos técnicos e profissionalizantes
👨‍🏫Preparatórios para o ENEM
🎓Graduação e Pós
🌍Cursos de idiomas e mais!
Venha acelerar sua carreira no Capede!</t>
  </si>
  <si>
    <t>Android App, Business website, Ecommerce website, Software development.</t>
  </si>
  <si>
    <t>executiva em comunicação do agro</t>
  </si>
  <si>
    <t>Em poucas palavras podemos dizer muito</t>
  </si>
  <si>
    <t>Empresa de lançamento para Confeiteiros
Única Empresa Especialista em Lançamento no Nicho de Confeitaria
►Estratégias de Marketing
►Cursos Online
►Lançamentos</t>
  </si>
  <si>
    <t>Agência de Marketing Digital, SEO, Inbound Marketing, Tráfego Pago, Identidade Visual, Criação de Conteúdo e Vídeos.</t>
  </si>
  <si>
    <t>Um blog relatando tecnologia. Notícias, entrevistas, aplicativos, gadgets, jogos, assuntos sobre segurança, programação e muito mais!</t>
  </si>
  <si>
    <t>Que eu não esqueça que a subida mais escarpada e mais a mercê dos ventos é o sorrir de alegria</t>
  </si>
  <si>
    <t>Tudo sobre o mundo virtual, trabalhamos com desenvolvimento de web sites, e-commerce, redes sociais, sistemas e também com tecnologias de mídia indoor.</t>
  </si>
  <si>
    <t>Fundador e Presidente do Grupo MCAF&amp;CO
CEO da Tempt</t>
  </si>
  <si>
    <t>Agradecer e Multiplicar!
Multiplicar ensinando tecnologia!
Criador @sigaotecnico</t>
  </si>
  <si>
    <t>Não somos frutos do acaso. Somos frutos das decisões que tomamos.</t>
  </si>
  <si>
    <t>Conecte-se com seu público-alvo de forma estratégica e alcance resultados surpreendentes no mundo do marketing digital.</t>
  </si>
  <si>
    <t>Fundação de Apoio à Pesquisa do Estado da Paraíba</t>
  </si>
  <si>
    <t>Administrador | Professor Universitário &amp; MBA | Mentor de Carreira | Consultor de Planejamento &amp; Marketing | Palestrante | carbiowaqued@gmail.com | 62 992189858</t>
  </si>
  <si>
    <t>tarólogo e professor de tarot. perfil pessoal.</t>
  </si>
  <si>
    <t>💡 Consultor ✳️ Recursos Humanos | Recrutamento e Seleção | Carreira
Instagram: @cristian_huff
✉️ E-mail:cristianhuff10@hotmail.com
📱WhatsApp:(51) 98687-8882</t>
  </si>
  <si>
    <t>Amo minha família</t>
  </si>
  <si>
    <t>A vida é um campo de batalha onde só vence quem luta😜</t>
  </si>
  <si>
    <t>Talk Thor é um programa de entrevistas com a mais diversas personalidades.
Ao vivo pelo YouTube de segunda a sexta a partir das 20h00.</t>
  </si>
  <si>
    <t>Hospedagem, Revenda, VPS, Cloud, Dedicados</t>
  </si>
  <si>
    <t>Universidade Federal de São Paulo #somosunifesp</t>
  </si>
  <si>
    <t>Somos parte da PWN GLOBAL, um movimento presente em 31 cidades do mundo. Buscamos #promover e #influenciar mulheres com debates, encontros e networking.</t>
  </si>
  <si>
    <t>Nosso propósito é valorizar vidas para transformar realidades.</t>
  </si>
  <si>
    <t>Sou criador de conteúdo que engaja, converte e transforma seu negócio no mundo online.
† = ♡
Visite meu site 👇🏽</t>
  </si>
  <si>
    <t>🚀 Eu Ajudo Pessoas Comuns a Conquistarem a "Liberdade" Através do Empreendedorismo Digital</t>
  </si>
  <si>
    <t>Revista Saneamento Ambiental é uma importante publicação dedicada ao setor de Saneamento e Meio Ambiente. Reportagens, artigos, debates e novidades.</t>
  </si>
  <si>
    <t>Tech and innovation hub. Gateway to Africa. Eternal Spring. #digitalparadise #thisiscaboverde #caboverdigital #kodeverde</t>
  </si>
  <si>
    <t>Inspirando, Motivando e Impactando diariamente rumo ao seu sucesso!
Vamos juntos nesta jornada do crescimento e desenvolvimento!🚀</t>
  </si>
  <si>
    <t>Unimos Consultoria, Gestão e Marketing Digital para criar uma experiência única de transformação nas empresas. Acesse e saiba mais!</t>
  </si>
  <si>
    <t>Agência de Publicidade, Consultoria de Marketing e Escola de Formação.</t>
  </si>
  <si>
    <t>A RRN é uma estrutura de ligação entre agentes com papel ativo no desenvolvimento rural, constituindo uma plataforma de divulgação e partilha de informação.</t>
  </si>
  <si>
    <t>-Workshop de Inteligência Artificial Dia 07 de outubro (Sábado às 08h30) Faça sua inscrição aqui  👇</t>
  </si>
  <si>
    <t>If you can dream it, you can do it...🌺
🌹❤️🌹
Economia - UFSC</t>
  </si>
  <si>
    <t>الفكرة لديك والإبداع لدي
|وسائط متعددة 🖥️مصمم جرافيك 🧑‍💻</t>
  </si>
  <si>
    <t>Joven emprendedor, amante del coaching empresarial y de desarrollo profesional.
Fan de Dc cómics, futbol, anime, básquet y finanzas.</t>
  </si>
  <si>
    <t>Caprichoso, carinhoso, reservado e sincero.
Confeiteiro | 
História | 
Brasileiro.</t>
  </si>
  <si>
    <t>“A Privileged Underdog”</t>
  </si>
  <si>
    <t>Graduada em Administração de Empresas, Gestora de tráfego e mentora de mulheres transformadas!
🚀 Fiz meio salário mínimo em 15 dias!
Faça parte 👇🏽</t>
  </si>
  <si>
    <t>O Mackenzie é uma instituição educacional privada, confessional e sem fins lucrativos, com 150 anos de história.</t>
  </si>
  <si>
    <t>jornalista &amp; escritor</t>
  </si>
  <si>
    <t>Cantora           instagram: @juliatolipan</t>
  </si>
  <si>
    <t>🏦Investindo em Cripto Formando Milionários CriptoGames Blockchains NFT Launchpads</t>
  </si>
  <si>
    <t>He's not the messiah. He's a very naughty boy!</t>
  </si>
  <si>
    <t>sinto saudades do crazy taxi que saia nas estrelistas | 🌹</t>
  </si>
  <si>
    <t>#Éoquié
#LoneWolf
#HipHopScout
#JokyJokie
#GT: Mancisseriousyah</t>
  </si>
  <si>
    <t>Descomplicando o mundo dos negócios através do possível. 📈
Conheça nosso canal com conteúdos e dicas práticas e possíveis para crescer o seu negócio aqui 👇</t>
  </si>
  <si>
    <t>Empreendedor, entusiasta em novas tecnologias.
Acredito que a inovação pode mudar o mundo para melhor. Let's make it happen!</t>
  </si>
  <si>
    <t>"Boas coisas acontecem quando você se envolve com o PMI!"</t>
  </si>
  <si>
    <t>Agência de Notícias Brasil Árabe</t>
  </si>
  <si>
    <t>O Mago das Marcas Pessoais | Especialista em Marketing com Foco em Personal Branding | Consultor | Mentor | Palestrante 🧙‍♀️💡✨</t>
  </si>
  <si>
    <t>Site de notícias: Pró-direita, liberal na economia. Também notícias sobre emprego, cursos, empreendedorismo etc. Vem com a gente!</t>
  </si>
  <si>
    <t>Educação profissional e inovação #PeloFuturoDoTrabalho O Serviço Nacional de Aprendizagem Industrial oferece cursos que formam os profissionais do futuro.</t>
  </si>
  <si>
    <t>O Centro de Ensino e Pesquisa em Inovação (CEPI) está vinculado à FGV Direito SP e se dedica ao ensino e à pesquisa na interface Direito, Tecnologia e Sociedade</t>
  </si>
  <si>
    <t>Esse podcast não vai te deixar rico, mas empreender tb não. https://t.co/gD9wsah6a3</t>
  </si>
  <si>
    <t>Simplificamos para você todo o conhecimento que os grandes empreendedores levaram anos para aprender.</t>
  </si>
  <si>
    <t>Entidade das Nações Unidas para a Igualdade de Gênero e o Empoderamento das Mulheres.</t>
  </si>
  <si>
    <t>O melhor da vida é compartilhado :)</t>
  </si>
  <si>
    <t>#empreendedorismofeminino 
🍷💻💬Papeando sobre experiências, ideias, dificuldades e inspirações do universo empreendedor feminino ❤️</t>
  </si>
  <si>
    <t>A Magia Acontece! ✨ Saiba mais: https://t.co/aih4RVb4DY</t>
  </si>
  <si>
    <t>📍Posicione seu negócio, seja produtiva e gere resultados exponenciais.
》Thais, jornalista e empreendedora
》Lu, mãe e empreendedora</t>
  </si>
  <si>
    <t>Fique por dentro de tudo que envolve o tema inovação. Empreendedorismo, tecnologia, fomento, eventos, editais e prêmios. Siga! Indique! Inove!</t>
  </si>
  <si>
    <t>Acesse nosso site e mídias sociais:
https://t.co/Q2QrjbQZjZ</t>
  </si>
  <si>
    <t>O Start-Up Brasil é o Programa Brasileiro de Aceleração de Startups. Seleciona e apoia as melhores empresas nascentes de base tecnológica por meio de editais.</t>
  </si>
  <si>
    <t>O Banco ideal para apoiar seu momento de vida e a construção da sua história. Abra sua conta: https://t.co/i02fVRPwBC</t>
  </si>
  <si>
    <t>Empreendedorismo na veia.</t>
  </si>
  <si>
    <t>Perfil oficial da Frente Parlamentar do Empreendedorismo (FPE). Viabiliza o melhor ambiente de negócios para os empreendedores, que geram emprego e renda.</t>
  </si>
  <si>
    <t>Este é o perfil oficial da Universidade Anhanguera-Uniderp no Twitter.</t>
  </si>
  <si>
    <t>Universidade Católica Dom Bosco / A Melhor Universidade Particular de Mato Grosso do Sul/ Contato: ☎️ (67) 3312-3300 #VemSerUCDB💙
IG: @ucdb</t>
  </si>
  <si>
    <t>Perfil oficial da Universidade Estadual de Campinas (Unicamp)
Acesse a política de uso das mídias sociais:
https://t.co/lfHy1OdadI…</t>
  </si>
  <si>
    <t>Perfil oficial do programa Pequenas Empresas &amp; Grandes Negócios, da Globo.</t>
  </si>
  <si>
    <t>Um ambiente para troca de conhecimento e interação. Com curadoria de @gilgiardelli e conteúdo desenvolvido pela equipe 5ERA (https://t.co/qmxjBZPj4Z).</t>
  </si>
  <si>
    <t>Tudo o que acontece na fronteira do conhecimento. Notícias de Ciência e Tecnologia</t>
  </si>
  <si>
    <t>Retuiteamos temas de #IA
#ChatGPT
Comunidad Latam
Temas de Inteligencia Artificial
#IA #InteligenciaArtificial. 
También te seguimos</t>
  </si>
  <si>
    <t>Blog sobre inteligencia artificial IA, aprendizaje automático, aprendizaje profundo, ciencia de datos, big data y mucho más.</t>
  </si>
  <si>
    <t>Revista mensal sobre empreendedorismo</t>
  </si>
  <si>
    <t>Federação das Indústrias de Mato Grosso do Sul - Sistema FIEMS
📍Indústria em 90s 📍
📍Talk Comex 📍
📍ID Indústria📍
📍INews📍
👉 https://t.co/8xFxst0Aji 👈</t>
  </si>
  <si>
    <t>Perfil oficial do Sebrae em Mato Grosso do Sul</t>
  </si>
  <si>
    <t>Twitter oficial da ''Empreendedor Nem É Gente'' no Facebook.</t>
  </si>
  <si>
    <t>Inclusão Empreendedora . Negócios Inclusivos . Disseminação da Causa</t>
  </si>
  <si>
    <t>Empreendedorismo Inteligente e fora da caixa. Inovação, Tecnologia, eCommerce, Gestão, Liderança, Marketing e muito mais. Venha nos conhecer!</t>
  </si>
  <si>
    <t>Promove o desenvolvimento do empreendedorismo no Rio de Janeiro. Respondemos no Twitter de segunda a sexta das 8h às 18h. Ouvidoria: https://t.co/NpSZAgnyHP</t>
  </si>
  <si>
    <t>We are the #businessbook &amp; #learning resource publisher created by @SilkeHermann &amp; @NielsPflaeging I Authors collective in the making I #BetaCodex inside!</t>
  </si>
  <si>
    <t>É aqui que a comunidade #BetaCodex do Brasil tweeta e é retuitada! Língua: português. Parte do BetaCodex Network em https://t.co/boPr26Lvac e @betacodex_intl</t>
  </si>
  <si>
    <t>⚙️Engenheiro de Software  🎨Proprietário @diegoskdatattooesupply 🏢Sócio @tigrezace 🎼 Músico compositor e produtor musical.</t>
  </si>
  <si>
    <t>Mãe do Matheus, ribeirinha do Água Fria.</t>
  </si>
  <si>
    <t>Ajudamos pessoas a serem protagonistas de suas vidas por meio do trabalho e independência financeira, com saúde mental</t>
  </si>
  <si>
    <t>YTB: https://t.co/a6CA60FR9S</t>
  </si>
  <si>
    <t>Siga-nos para notícias de mercado e atualizações da plataforma.
Aviso: Este material não é direcionado a audiência brasileira.</t>
  </si>
  <si>
    <t>Ex insider do mercado financeiro, Mestre em economia aplicada pela USP e investidor do mercado desde 1999. Você já se perguntou como o sistema funciona?</t>
  </si>
  <si>
    <t>Experimente o prazer ao máximo! Descubra os benefícios da Libebox, o novo box de sexshop 🔥</t>
  </si>
  <si>
    <t>Humanistic Internet business entrepreneur, Brasil. 
Searching for the 'Big Reasons'
https://t.co/ajCrBLU6NK</t>
  </si>
  <si>
    <t>Tech Investor, Rugby player, Kenpo Fighter,</t>
  </si>
  <si>
    <t>Site de notícias com foco na Serra gaúcha. Editado pelo jornalista @andretajes. Acesse ➡️</t>
  </si>
  <si>
    <t>Ajudando pessoas e negócios a crescerem através da criatividade. 👨🏻‍💻 CEO, empreendedor e designer criativo</t>
  </si>
  <si>
    <t>👨‍🎓 ADM + MBA G.Financeira + Controladoria + Investimentos
🤔 Especialista em Gestão Financeira
🏝️ Moro em ilha
🧮 CEO da @trilios.brasil (insta)</t>
  </si>
  <si>
    <t>Produtora cultural e social e também uma profissional da contabilidade. Adoro viajar e conhecer pessoas.</t>
  </si>
  <si>
    <t>Brazilian Heavy Metal band.</t>
  </si>
  <si>
    <t>Acompanhe as notícias do Rio de Janeiro no g1. Para mais notícias do Brasil e do mundo, siga @g1</t>
  </si>
  <si>
    <t>Publicitário, pensador, apresentador, escritor e empresário</t>
  </si>
  <si>
    <t>Empreendedor, apaixonado pela vida e por ajudar o próximo!</t>
  </si>
  <si>
    <t>Empresário | Investidor | Mentor 🧠
🇧🇷🇺🇸🇦🇷🇺🇾🔯</t>
  </si>
  <si>
    <t>🗞 Informação Pontual;
📍 Desde Abril de 2010;
Acesse agora mesmo 👇🏼</t>
  </si>
  <si>
    <t>🤑VOCÊ QUER SABER OS SEGREDOS PARA FICAR MILIONÁRIO? 💰
LEIA O LIVRO *PRIMEIRO MILHÃO* NO LINK ABAIXO! 👇
https://t.co/uSkHoFQCpY…</t>
  </si>
  <si>
    <t>Fundação Carlos Chagas Filho de Amparo à Pesquisa do Estado do Rio de Janeiro</t>
  </si>
  <si>
    <t>Perfil oficial da Finep - Inovação e Pesquisa - empresa pública vinculada ao Ministério da Ciência, Tecnologia e Inovação (@mcti).</t>
  </si>
  <si>
    <t>20ª Semana Nacional da Ciência e Tecnologia 👇</t>
  </si>
  <si>
    <t>Perfil oficial do Governo do Estado do Amapá.</t>
  </si>
  <si>
    <t>Soluções Tributárias, Contábeis e Trabalhistas.
Consultoria que adequa e mantêm os processos da sua empresa em conformidade fiscal</t>
  </si>
  <si>
    <t>Engenheiro eletricista e profissional de vendas direta. ♋ 💞 🌈 Trader 💵 📈 Fundador da AX Sistemas 🌅 💻</t>
  </si>
  <si>
    <t>🤝 #somostodoscomandantes
🔺 Servindo e protegendo os interesses do Povo Mineiro!
📍 Minas Gerais - Brasil</t>
  </si>
  <si>
    <t>Criamos a sua loja virtual. A gente cria, você vende.</t>
  </si>
  <si>
    <t>Ajudo você ter mais equilíbrio emocional🌱, para ser mais resiliente🎯 e superar a crise✈️!
Vamos bater um papo: ⤵️</t>
  </si>
  <si>
    <t>🔱 Desenvolvimento Pessoal
⚜️ Motivação Constante
⚠️ Reflexões
👇  Fique com a mulher que você quiser 👇</t>
  </si>
  <si>
    <t>🎖| Consultor Oficial @mercadolivre
🚀 | CEO @bd.4you_oficial
📦 | Assessorei +R$115Mi em vendas 2021
⬇️ Clique no link ⬇️
https://t.co/iLH7hcPMKE</t>
  </si>
  <si>
    <t>Data Quality Professional. Member of the @K12Prospects Data Quality team. Delivering the most accurate data of all schools and districts nationwide.</t>
  </si>
  <si>
    <t>he's a ghost, he's a god, he's a man, he's a guru // 
lots of takes on international relations, geopolitics, history, social liberalism, etc.</t>
  </si>
  <si>
    <t>Avençado do Soros</t>
  </si>
  <si>
    <t>🚀 Blog sobre empreendedorismo e startups.
#startup #empreendedorismo</t>
  </si>
  <si>
    <t>Conheça aqui os projetos de reinserção social desenvolvidos pela Secretaria de Estado de Administração Penitenciária.</t>
  </si>
  <si>
    <t>🇵🇹 Portuguese AI | Analyst &amp; Strategist | Investigue a IA para maximizar e aumentar as suas receitas 💶</t>
  </si>
  <si>
    <t>🚨Meu curso de formação em breve: Crie o seu negócio de marketing de afiliados com IA
💸Vou ensinar-te a ganhar dinheiro e criar um negócio com a ajuda do IA</t>
  </si>
  <si>
    <t>Meio &amp; Mensagem é a plataforma de conteúdo que informa, inspira e conecta os profissionais do mercado de marketing e comunicação no Brasil.</t>
  </si>
  <si>
    <t>👑Quem Suporta o Processo, Vive o Propósito! 👑</t>
  </si>
  <si>
    <t>Primeiro lugar nacional em governança e sustentabilidade! (entre as cidades acima de 100 mil habitantes e tirando as capitais).</t>
  </si>
  <si>
    <t>As notícias do Amazonas no g1. Para mais notícias do Brasil e do mundo, siga @g1</t>
  </si>
  <si>
    <t>Sua beleza valorizada de forma única. Atendimento personalizado.
Mais de 9 anos empreendendo na área da beleza.</t>
  </si>
  <si>
    <t>👨🏽‍💻 | faturo de qualquer lugar com meu 📲 🧍🏽‍♂️ | mudando de vida aos 17y 💰 | te ensino do zero absoluto 🚀 | comece aqui 👇🏽</t>
  </si>
  <si>
    <t>Trannsformando ideias em negócios de sucesso! 
A sua gestão determina o futuro da sua empresa.</t>
  </si>
  <si>
    <t>💰| Imprimo dinheiro aos 15 anos.
💻| Construo impérios pela internet.
🌟| Inspiro jovens a sairem do sistema!
💸| 5 digitos faturados
🙅🏻‍♂️|350 Alunos</t>
  </si>
  <si>
    <t>Empresa especializada no registro de marcas e patentes.
Registramos sua marca no INPI em até 24 horas.(11)97020-3778.</t>
  </si>
  <si>
    <t>Fotógrafo.
Ensaios e casamentos
27 999362380
https://t.co/iDptEOzaiu</t>
  </si>
  <si>
    <t>vendo pack do pezinho🦶</t>
  </si>
  <si>
    <t>📍 Taquaritinga/SP
📲 WhatsApp: (16) 99602-3753
🗞️ O jornal mais lido da cidade! 🗞️</t>
  </si>
  <si>
    <t>Financie sua faculdade, acumule com bolsa e pague menos por mês!</t>
  </si>
  <si>
    <t>Lorem ipsum.
(Ele/dele)</t>
  </si>
  <si>
    <t>Siga o g1 nas redes sociais:
https://t.co/Z0QGNc44I7</t>
  </si>
  <si>
    <t>Perfil Oficial do Governo do Estado do Rio Grande do Norte.</t>
  </si>
  <si>
    <t>News, features and analysis. For world news, follow @BBCWorld. Breaking news, follow @BBCBreaking. Latest sport news @BBCSport. Our Instagram: BBCNews</t>
  </si>
  <si>
    <t>And there is no shortage of tyrants and no shortage of fools</t>
  </si>
  <si>
    <t>Muitos achadinhos 😁
Facilitando a vida com a internet 🧑‍💻
Te ajudo a trabalhar pelo celular 📲
Afiliada Digital 🧑‍💻</t>
  </si>
  <si>
    <t>pobre de direita é igual cachorro de rico, late pra defender a mansão mas dorme do lado de fora</t>
  </si>
  <si>
    <t>Consultoria premium especializada em gestão e marketing de serviços para empresas de saúde. #Consultoria #MarketingMedico #MarketingOdontologico</t>
  </si>
  <si>
    <t>Com ➕ de 38 anos de experiência em atendimento ao cliente/público (várias áreas). Marketing Digital, aliado à minha experiência, faremos brilhar o seu negócio</t>
  </si>
  <si>
    <t>Compromisso com a credibilidade! Sempre atualizando você sobre o cenário político! 🖥️</t>
  </si>
  <si>
    <t>Ideia Econômica, precisariam de leis para funcionar. São para formar modelos de negócios. No livro as ideias estão melhores. E aqui tem algumas também.</t>
  </si>
  <si>
    <t>Vamos juntos ser, conviver e transformar?</t>
  </si>
  <si>
    <t>Moda | Sustentabilidade | Diversidade - Biojoias em capim dourado, por Domitila Barros @domitila_barros 
SHOP NOW🌾 - https://t.co/uvRNAlrkVV</t>
  </si>
  <si>
    <t>CENTRAL ÚNICA DAS FAVELAS</t>
  </si>
  <si>
    <t>Canal oficial do Serviço de Apoio às Micro e Pequenas Empresas em Pernambuco. 
Atendimento: 0800 570 0800 (também é WhatsApp)
No Twitter: seg a sex, 8h às 17h.</t>
  </si>
  <si>
    <t>Dono da https://t.co/wkRX6u8ESA
Photographer https://t.co/tpVEFLD1X3
Former: @VipersLLC @GGApolloTeam @InimigosDoSoldo
070922090297</t>
  </si>
  <si>
    <t>Streamer and Design</t>
  </si>
  <si>
    <t>❤️‍🔥| Alguns digitos por semana com meu📲
💰| Ganho 💸 de qualquer lugar do 🌎
🗿| Comece HOJE meu nobre!
🍷| Clique aqui👇🏼</t>
  </si>
  <si>
    <t>Corretora de Seguros</t>
  </si>
  <si>
    <t>Nada interessante</t>
  </si>
  <si>
    <t>Comunidade de desenvolvedores Front-End cearenses 🖥🤘🏻</t>
  </si>
  <si>
    <t>Somos uma empresa especializada em comunicação estratégica para Internet.  Seja bem-vindo ao futuro! 
#MarketingDigital #Design #Empreendedorismo</t>
  </si>
  <si>
    <t>Desde 2008 fomentando o desenvolvimento profissional, o empreendedorismo e a inovação tecnológica.</t>
  </si>
  <si>
    <t>Centro de Ciências da Administração e Socioeconômicas (Esag) da Universidade do Estado de Santa Catarina (Udesc)</t>
  </si>
  <si>
    <t>Universidade do Estado de Santa Catarina. Pública, gratuita e de todos.</t>
  </si>
  <si>
    <t>🏢 Assessoria Contábil l Trabalhista l Condomínios
🙋‍♂️Consultoria
🔎Auditoria
🤝Conte sempre com a M Araujo!
📲 (21) 3259-7930 / 3259-7947</t>
  </si>
  <si>
    <t>👑Angolano 🇦🇴⚜️ #JuntosParaUmaAngolaMelhor #Kinzonzi #OpenTalks</t>
  </si>
  <si>
    <t>Tchokwe MindSet. trying to understand where Africa has failed. Empowering Tchokwe Peoples across the Globe🌎. Don’t try to 🤺🤺me because you are going to lose.</t>
  </si>
  <si>
    <t>🌐 Sites • 🛒 Lojas Virtuais • 🔎 Marketing Digital: Google | YouTube | LinkedIn | TikTok
#marketing #marketingdigital</t>
  </si>
  <si>
    <t>Nebula is a Software House that provides Agile Software Development Services.</t>
  </si>
  <si>
    <t>Bem-vindo ao Twitter oficial da Rota da Fruticultura RIDE-DF. Siga-nos para receber notícias e  informações das nossas ações no DF, GO e MG.</t>
  </si>
  <si>
    <t>Empreendedor
+ de 100 lives no instagram</t>
  </si>
  <si>
    <t>🗣| Descubra todo o seu potencial e aumente seus ganhos fazendo o que gosta; Viva uma vida máxima 👨‍💼| Escritor/Empresário/Mentor 💡| Se inscreva no Coex</t>
  </si>
  <si>
    <t>Ajudo as pessoas a sonharem e também a realizarem seus sonhos. #Lapidação #TransformandoVidas</t>
  </si>
  <si>
    <t>Rogerio Fameli | Fundador do ABS | Contador CEO</t>
  </si>
  <si>
    <t>Agência de MKT e PUB feita na medida certa para você!
🎯 #Marketing
🖥️ #MarketingDigital
📣 #Publicidade
✍️ #Design
👨‍⚖️ #Consultoria</t>
  </si>
  <si>
    <t>Fundadora do Economia SC e Economia SP, sócia do Estúdio Lune e embaixadora do Clube BóraFazer.</t>
  </si>
  <si>
    <t>Body piercer,  tatuador,  YouTuber , influencer e professor de body piercing 
Tenho um studio de piercing localizado em Ribeirão Preto contato (16 99101-8568)!</t>
  </si>
  <si>
    <t>ERP Educacional | Transformando escolas em grandes empresas!</t>
  </si>
  <si>
    <t>HubSpot com alma tropical
Multiplicando e tropicalizando HubSpot LOVE</t>
  </si>
  <si>
    <t>Tudo sobre economia, inovação, tecnologia, startups, carreiras e sustentabilidade.</t>
  </si>
  <si>
    <t>Escritório de Advocacia Full-empresarial.</t>
  </si>
  <si>
    <t>Agir com segurança é mais que liberdade é interagir com a vida é ter responsabilidade.</t>
  </si>
  <si>
    <t>20 anos de edição</t>
  </si>
  <si>
    <t>Desperte o Midset da Riqueza
Siga para mais dicas</t>
  </si>
  <si>
    <t>Solucionar seus problemas e ajudar no seu desenvolvimento é o que nos realiza.
Confiabilidade desde 1956.
11 3116-0888 (Whatsapp)
atendimento@unicontab.com.br</t>
  </si>
  <si>
    <t>“Quando um homem com um objetivo definido atravessa uma multidão, todos lhe abrem caminho!”</t>
  </si>
  <si>
    <t>Ayudando personas a lograr su éxito de manera rápida y acertada</t>
  </si>
  <si>
    <t>Paris dos trópicos, metrópole da Amazônia e a sexta maior economia do Brasil. Bora conversar?</t>
  </si>
  <si>
    <t>Apaixonado pelo mercado financeiro</t>
  </si>
  <si>
    <t>⭐️ Presidenta do @inst_lula 🚩 Vice-presidenta da @CUTsaopaulo 🔺Ex-presidenta do Sindicato dos Bancários 📚 Arquiteta, socióloga e com MBA na FGV</t>
  </si>
  <si>
    <t>Perfil oficial da Secretaria da Fazenda de Salvador</t>
  </si>
  <si>
    <t>Advogado, Contador, Empresário e Palestrante.</t>
  </si>
  <si>
    <t>⭐ Fé e I.A. impulsionam seu sucesso!
⭐ Marketing Digital com a solução perfeita para seu negócio. 
⭐ Marketplace e E-Commerce
🚀 Saiba mais no link</t>
  </si>
  <si>
    <t>Twitter oficial da TV Cultura. Siga também os perfis: @jornal_cultura e @rodaviva. Acompanhe a nossa programação pelo nosso site!</t>
  </si>
  <si>
    <t>A ESCE é uma das escolas do IPS, tendo atualmente Licenciaturas, Mestrados, Pós-Graduações e CTeSP na área das Ciências Empresariais.</t>
  </si>
  <si>
    <t>Somos mais de 500 colaboradores por um jornalismo independente com uma visão de sustentabilidade que vai muito além do meio ambiente. Acesse o site:</t>
  </si>
  <si>
    <t>Mais de 30 anos sendo referência no setor de soluções tecnológicas e software para contabilidade e organizações. 🚀</t>
  </si>
  <si>
    <t>serviços contábeis</t>
  </si>
  <si>
    <t>Médico, Empresário, Atleta, Maçom, Jornalista, CAC. 👉🏻 Centro Médico Buriti 👉🏻Studio Buriti 👉🏻Coworking Buriti 👉🏻 Open Air Buriti</t>
  </si>
  <si>
    <t>🚨 PERFORMANCE ÉPICA 🦅
Empreendedorismo, mentalidade e ação
Quer crescer? Construa a vida que você sempre sonhou aqui!</t>
  </si>
  <si>
    <t>A maior e mais completa plataforma imobiliária da América Latina, agora com a 1ª Inteligência Artificial do setor. Faça parte da Experiência Kenlo! 👇</t>
  </si>
  <si>
    <t>A Expo Favela é uma grande feira de negócios que tem o objetivo de promover a visibilidade de empreendedores e startups de favelas e periferias.</t>
  </si>
  <si>
    <t>Perfil oficial da apresentadora de TV e atriz brasileira.</t>
  </si>
  <si>
    <t>.. con esclerosis, una musa y dos cojones. Casado, sorry ;)
Felizmente Cansado 🐣(5/4/19)</t>
  </si>
  <si>
    <t>Antonio Lo Presti</t>
  </si>
  <si>
    <t>Deus quer, o homem sonha, a obra faz-se
(Fernando Pessoa)</t>
  </si>
  <si>
    <t>Profissional apaixonado por tecnologia e inovação! Especialista em inteligência artificial e novas tecnologias, buscando transformar ideias em realidade.</t>
  </si>
  <si>
    <t>Mais que um banco, seu parceiro de negócios.</t>
  </si>
  <si>
    <t>Deputado Estadual de São Paulo reeleito para o 4º mandato</t>
  </si>
  <si>
    <t>Descobri uma "brecha" na roleta desde 2012, minha meta é fazer o maior numero de pessoas lucrarem junto comigo. De direita e cristão. 27, Recife - PE 🥰</t>
  </si>
  <si>
    <t>A revista de gestão, finanças, pessoas e marketing do cooperativismo. The magazine of management, finance, people and marketing cooperatives.</t>
  </si>
  <si>
    <t>Ex baterista de Bronco, ídolo de los niños, objeto sexual, amante incansable, devorador de tacos.</t>
  </si>
  <si>
    <t>📍 Campo Grande - RJ / Flamengo, futebol, dia a dia, e muita informação/resenha sobre diversos assuntos. Seja bem-vindo ❤️ Contato: nandabarbosacrf@gmail.com</t>
  </si>
  <si>
    <t>Diretora da minha vida, Produtora de tretas pontuais e criadora de novos questionamentos. Riponga e dona do canal Guedinhajo no YouTube</t>
  </si>
  <si>
    <t>loirona gostosa do twitter</t>
  </si>
  <si>
    <t>Eu sou Fabí Souzza. Trabalho com terapias há quase 11 anos. Sou formada em Medicina Chinesa, Acupuntura, Aromaterapia e outras terapias energéticas.</t>
  </si>
  <si>
    <t>Desde 2011, a Fort é líder em metalurgia e design. Temos uma equipe qualificada, eficiente e comprometida, atuando com seriedade, transparência e respeito.</t>
  </si>
  <si>
    <t>Donos de academia '', quer sair do operacional e gerar mais lucro trabalhando menos? O SEU LUGAR É AQUI,SEGUE O PERFIL!</t>
  </si>
  <si>
    <t>1° site focado em Inovação e Empreendedorismo do MS.</t>
  </si>
  <si>
    <t>Marketplace de Serviços para Eventos - Para quem procura e para quem oferece.</t>
  </si>
  <si>
    <t>cortes sobre investimentos</t>
  </si>
  <si>
    <t>Grupo Markar - 4 décadas de experiência no mercado de Soluções em Limpeza e Facilities.
Atuamos a nível Brasil, telefone (21) 3828-8822
Sede Própria</t>
  </si>
  <si>
    <t>flamengo, barcelona, taylor swift &amp; hailey bieber</t>
  </si>
  <si>
    <t>lojinha de produtos baseados nos seus artistas preferidos! 🛍️</t>
  </si>
  <si>
    <t>Conectando talentos para impulsionar a evolução das empresas.</t>
  </si>
  <si>
    <t>Advogado OAB/SP: 480.967 - Direito Civil, Contratual e Empresarial.</t>
  </si>
  <si>
    <t>#Startup Use Sua Verdadeira Divina Identidade,Biotipo,Utilidade desejada e crie seu Legitimo Design Personalizado 🎒 mochilas,📁 pastas e 👜 bolsas e ai expanda</t>
  </si>
  <si>
    <t>Últimas #Notícias de #Africa emitidos por #empresas, governos, organizações intl, ONG #atualidade EN:@apo_source  FR:@apo_source_fr  AR:@apo_source_ar</t>
  </si>
  <si>
    <t>The African Development Bank Group works to reduce poverty and improve living conditions on the continent. RTs ≠ endorsements. Tweets in English and French.</t>
  </si>
  <si>
    <t>We're on a mission to make it easy to do business anywhere. We pledged to reach carbon neutrality by 2030 ♻</t>
  </si>
  <si>
    <t>Jack Ma Foundation is a charitable organization established in 2014 by Jack Ma, Founder of Alibaba Group.</t>
  </si>
  <si>
    <t>Learn more about us:
https://t.co/Ol5VgPLzXJ
Contact us on
Phone/WhatsApp: +250 792575614</t>
  </si>
  <si>
    <t>Toda Segunda | 20h | 🔴Ao Vivo | Participe
🎯 Youtube e Facebook
🎯 Depois no Instagram | X | Linkedin
🎯 Cortes Tik Tok e Kwai.</t>
  </si>
  <si>
    <t>Notícias, entretenimento e atualidades</t>
  </si>
  <si>
    <t>Notícias e informações oficiais da Prefeitura de Porto Alegre. Para solicitar serviços, disque 156 ou acesse https://t.co/AvapxlNspr</t>
  </si>
  <si>
    <t>Aqui encontrarás excelente conteúdo, produtos e serviços sobre #empreendedorismo #website #redessociais #audiovisual #gráfica e muito+! Siga-nos</t>
  </si>
  <si>
    <t>Só vive o propósito, quem suporta o processo!</t>
  </si>
  <si>
    <t>DOCUMENTARIOS E NOTICIAS, DOWNLOADS DIVERSOS...</t>
  </si>
  <si>
    <t>Office de Soluções em Negócios Digitais|
°Startup nova no mercado|                                          
°Conecte-se Conosco💫 Seja um TechLover's!|🌈💥🚀</t>
  </si>
  <si>
    <t>📲🎙️📡💻🖥️ NOTÍCIAS DE TODO LUGAR:
Bangu = Homenagem ao bairro mais famoso do Brasil.
Urgente = Informar com agilidade com foco na proteção e alerta.</t>
  </si>
  <si>
    <t>Contato:  Whatsapp (21) 99321-5255
E-mail: redacao@nossobairro.net Anuncie Conosco:  
E-mail: anuncios@nossobairro.net</t>
  </si>
  <si>
    <t>Associação Brasileira de Distribuidores e Processadores de Vidros Planos - Brazilian Association of the Flat Glass Distributors and Processors</t>
  </si>
  <si>
    <t>Não seja objeto de manipulação</t>
  </si>
  <si>
    <t>Psicanalista, professor e poeta. 
Idealizador do Jornal Vi da Vida.</t>
  </si>
  <si>
    <t>Um NOVO partido. Mudar para crescer. O NOVO Santos é um partido fundado por santistas ficha-limpa, que resolveram sair da indignação e partir para a AÇÃO.</t>
  </si>
  <si>
    <t>Empresário; pai; esposo, filho, uma porção de pets; temente a Deus</t>
  </si>
  <si>
    <t>ODVIX é um software de Gestão Empresarial On-line. 
Emissor de nota fiscal rápida, dados armazenados nas nuvens, acessível para pequenas e médias empresas.</t>
  </si>
  <si>
    <t>Diretor da Jovem Pan em Brasília e analista político. Diariamente no Pingos nos Is e seg/qua/sex no Jornal da Manhã. Palestras em inteligenciapublica@proton.me</t>
  </si>
  <si>
    <t>🎧DJ 🎭Actress 📩assessoria.danifontenelle@gmail.com</t>
  </si>
  <si>
    <t>Elevando sua carreira, elevando sua vida!
Acesse: https://t.co/4i9WNqyZCX
Publi e parcerias: 
📬 contato@ https://t.co/4i9WNqyZCX
#carreira #profissão</t>
  </si>
  <si>
    <t>minha existência é controlada por um nobre poder
@BearToothTapes 🐮💜🐻</t>
  </si>
  <si>
    <t>fotógrafa,
https://t.co/Of5eNDCwvr
https://t.co/H06pWc0IKm</t>
  </si>
  <si>
    <t>Somos especialistas em ajudar empreendedores a desenvolver seus projetos, oferecendo consultorias em contabilidade, tributos, Dpto Pessoal e Treinamento.</t>
  </si>
  <si>
    <t>Mas isso na minha opinião</t>
  </si>
  <si>
    <t>Os automóveis estão mudando. O tempo todo. Fique por dentro! 
Assine QUATRO RODAS a partir de 6,00/mês. Confira! https://t.co/iZexv41aDx</t>
  </si>
  <si>
    <t>Produtor de Eventos de Áudio e Mentor LinkedIn e Networking 🩵🙌</t>
  </si>
  <si>
    <t>Fundador da O2 multicomunicação e cofundador do maior evento de empreendedorismo do Oeste Catarinense, Evento HOJE2018 :)</t>
  </si>
  <si>
    <t>Cursos on-line de Pós-Graduação (IBMEC), para OAB, Concursos Públicos e Carreiras Internacionais (CLIO).</t>
  </si>
  <si>
    <t>📱| ESPECIALISTA EM PRESENÇA DIGITAL E MKT DE INFLUÊNCIA E PROFESSOR DE HISTÓRIA</t>
  </si>
  <si>
    <t>🧠 Bem vindo ao Projeto 1%, aqui vamos te ajudar a alcançar o extraordinário e transformar a sua vida para sempre! Não aceite a mediocridade</t>
  </si>
  <si>
    <t>Frases diárias ☀️
https://t.co/k7eFzqbSHP
@fraseswinbr</t>
  </si>
  <si>
    <t>Crafted for the Elite, Driven by Excellence. 8NineteenProLAb's Bespoke Marketing Services.</t>
  </si>
  <si>
    <t>Somos uma Agencia de Publicidade que atuamos a 6 anos em Itu e fazemos todos os tipos de trabalhos gráfico, designer digital entre outros.</t>
  </si>
  <si>
    <t>📰 Jornalista 🤓 Psicanalista Junguiano 🎓 Psico/Mkt/Comunicação 📚 8 livros publicados (5 LGBTs) 🌈  Onlyfans, YouTube, Blog e Livros 👇🏻</t>
  </si>
  <si>
    <t>👨‍💼 CEO @pkfbrazil     🌍 Empreendedor @affiancebrazil  📈 Impulsionando negócios 🚀 Apaixonado pelo que faço! #LíderVocacionado | #Negócios | #inspiração</t>
  </si>
  <si>
    <t>Empreendedor : @grupojbg3 ⬇️ Saiba mais no link abaixo ⬇️</t>
  </si>
  <si>
    <t>/Dona da Afrodite lingerie e sexy shop/
♡25 Anos, Carioca 
♡Rj 🏝
♡Flamengo ⚫🔴
♡Mamãe de duas Ravena&amp;Lavínia 🐩🧸</t>
  </si>
  <si>
    <t>💪Saúde e beleza 💕
💞Se cuide com amor sinta bem vou dar dicas e ganhe também uma renda extra💲  https://t.co/vrjVZUQ2cR</t>
  </si>
  <si>
    <t>Rotariano 4730 Advogado, Sócio da Arzua &amp; Schmitt, Especialista em Direito Tributário Empresarial e Direito Digital</t>
  </si>
  <si>
    <t>O Órbi Conecta é o principal Hub de Inovação e Empreendedorismo digital de Minas Gerais. 🚀</t>
  </si>
  <si>
    <t>Administrador, Especialista em Gestão Empresarial, Mestre em Administração, Consultor e Analista de Negócios e Inovação. 
Sócio Patrimonial do @SportRecife .</t>
  </si>
  <si>
    <t>links de promoções da Shopee!</t>
  </si>
  <si>
    <t>Perfil oficial do Governo de Pernambuco.</t>
  </si>
  <si>
    <t>DESIGNER DE UNHAS &amp; INSTRUTORA 💅Faço você ter LIBERDADE FINANCEIRA e faturar 6Mil de renda extra através do Designer de unhas! Siga no Instagram e Tiktok!</t>
  </si>
  <si>
    <t>Central Única das Favelas do Espírito Santo, uma ONG que desenvolve ações em arte, cultura, esporte, cidadania e ações sociais. 💚Presidente Estadual @gnadipeh</t>
  </si>
  <si>
    <t>Site de Notícias de Araçatuba, Birigui e Região</t>
  </si>
  <si>
    <t>O Twitter que te acompanha na fase das tuas maiores decisões!
Mais Educativa, aprende com quem sabe!</t>
  </si>
  <si>
    <t>Assessoria e Consultoria Contábil, Fiscal, Trabalhista, Jurídica e RH._x000D_
Dedicação Plena para oferecer o melhor aos nossos clientes.</t>
  </si>
  <si>
    <t>O que nos Move é a Evolução dos seus Negócios!</t>
  </si>
  <si>
    <t>Associação Brasileira das Empresas de Infraestrutura de Hospedagem na Internet</t>
  </si>
  <si>
    <t>Contador e Cofundador da empresa @realdominio  Contabilidade e o mais importante casado com Gabrielle e pai do Anthony e Matheus.</t>
  </si>
  <si>
    <t>Contabilidade | Empreendedorismo | Finanças</t>
  </si>
  <si>
    <t>Aprenda como integrar seus aplicativos e automatizar processos com pouco ou nenhum código 🤖</t>
  </si>
  <si>
    <t>Cortes Arquimilionários</t>
  </si>
  <si>
    <t>Portal de produção e curadoria de conteúdo voltado para estudantes e profissionais do Direito e com tema dedicado à inovação, tecnologia e empreendedorismo.</t>
  </si>
  <si>
    <t>👨‍🔬 #DataScience
👨‍💻 #FullStackDevelopment
🎯 #Marketing
📢 #SocialSelling
👥 #Networking
🛒 #eCommerce
🔎 #Seo</t>
  </si>
  <si>
    <t>Periódico científico interdisciplinar e de acesso aberto do @PPGGI_UFPR. Espaço à visibilidade de jovens pesquisadores. Fluxo contínuo. ISSN 2237-826X.</t>
  </si>
  <si>
    <t>A PSD Web, atua com soluções web, com registros de domínios, hospedagem web e criação de web sites dinâmicos, caixa de e-mails FTP, marketing digital e SEO.</t>
  </si>
  <si>
    <t>Abstract Aerial Landscape Portrait Photographer 
Your image will be better.🥇</t>
  </si>
  <si>
    <t>Perfil Oficial de Anchieta
🌴🏞️🎭🍽️🙏 
Cidade capixaba com belas praias, encantadoras montanhas, rica cultura, deliciosa gastronomia e forte presença de fé.</t>
  </si>
  <si>
    <t>não se preocupe em ser alguém conhecido, mas sim alguém que se vale a pena conhecer</t>
  </si>
  <si>
    <t>data scientist nos dias normais e aqui sempre pitacando sobre tudo com a completa falta de embasamento.</t>
  </si>
  <si>
    <t>Engenheiro/cientista de dados, mestrando em ciência da computação, jovem destemido e ouvinte de rap.
el tito lab 🎙📝</t>
  </si>
  <si>
    <t>lost in the crowd | senior data engineer @thoughtworks | master’s student @cinufpe | opinions are my own</t>
  </si>
  <si>
    <t>Começamos com uma folha datilografada, em 1924. Hoje, 99 anos depois, somos o jornal do empreendedor na internet</t>
  </si>
  <si>
    <t>Conta oficial da https://t.co/XwBI0wA0Rd. Contate @amazonhelp para Atendimento.</t>
  </si>
  <si>
    <t>A Cufa - Central Única das Favelas, está em 5 mil favelas no Brasil.</t>
  </si>
  <si>
    <t>A Expo Favela é a feira de negócios realizada pela @favelaholding que conecta empreendedores de favelas com os investidores do asfalto.</t>
  </si>
  <si>
    <t>Amizade supera tudo? 👀 #ElasPorElas</t>
  </si>
  <si>
    <t>🏅Empreendedor de Impacto e Inovação 2022 pelo Fórum Econômico Mundial. CEO da Favela Holding. Executivo social. Eterno Camelô. Escritor.</t>
  </si>
  <si>
    <t>A maior feira de inovação e empreendedorismo do 4° setor que conecta a Favela e o Asfalto.</t>
  </si>
  <si>
    <t>• Música, espetáculos, exposições e muito mais no maior complexo cultural da América Latina. • Prefeitura do Rio de Janeiro | Cultura</t>
  </si>
  <si>
    <t>Perfil oficial da Central Única das Favelas no estado do Rio de Janeiro.</t>
  </si>
  <si>
    <t>Somos Kamay Ventures, un fondo abierto de capital de riesgo corporativo. Creamos, invertimos y aceleramos negocios en Latam.</t>
  </si>
  <si>
    <t>The Industrial #BigData Solution that is missing for your industry become Innovative.</t>
  </si>
  <si>
    <t>Dinerama é um app gratuito em que os usuários ganham cashback nas compras do dia-a-dia em qualquer supermercado.</t>
  </si>
  <si>
    <t>Empresa brasileira de tecnologia com foco em inspeção inteligente de qualidade na indústria. Nossos robôs garantem a qualidade dos automóveis.</t>
  </si>
  <si>
    <t>AI to inspect, check and count your assets in seconds.
➡️ Contact: contato@pixforce.com.br
➡️ Phones: +55 51 3095 3819 | +55 51 3300 5996</t>
  </si>
  <si>
    <t>A Implanta IT Solutions aproxima a sua indústria do seu consumidor final, com soluções de inteligência de dados, conectando você aos melhores resultados.</t>
  </si>
  <si>
    <t>Somos una empresa con más de 20 años en el manejo de la imagen corporativa, comunicación gráfica y branding packaging.</t>
  </si>
  <si>
    <t>Motivational quotes and sayings on life, love, friendship, best friends, happiness, motivational, relationships, smile, karma &amp; more.</t>
  </si>
  <si>
    <t>🚀 Gestão empresarial com Pipefy ⚖️ LGPD e Direito Empresarial na Firma de Advogados 🩸 Doador O+ 💙 Cruzeiro 🎸 Rock 🎮 Geek</t>
  </si>
  <si>
    <t>Gosto de ler, compor, verdade, rimar, pensar, politica, amizade, criatividade. Gosto da verdade e pago seu preço.</t>
  </si>
  <si>
    <t>Nascido em PE, criado em AL e vivendo no AP• Defensor Público do Estado do Amapá. um misto de besteira e coisa séria em proporções desiguais.</t>
  </si>
  <si>
    <t>It's a new dawn/ It's a new day/ It's a new life for me and I'm feeling good!</t>
  </si>
  <si>
    <t>A HOPE é uma plataforma de conexão, onde através da tecnologia você pode ter uma experiência real e genuína. Baixe agora o nosso Aplicativo na Play Store.</t>
  </si>
  <si>
    <t>Jovem Empreendedor 🎯
Investidor 📊
Atua na Área da Informática 💻
Afiliado de Grandes Empresas 🏢</t>
  </si>
  <si>
    <t>Te ajudo a encontrar o caminho mais curto para o seu sucesso pessoal e profissional através do autoconhecimento!
• Mentoria #sucessodepoisdos30
• London | UK</t>
  </si>
  <si>
    <t>O meu nome é Francisca e sou uma nerd devoradora de livros. Também escrevo, quando me dá na telha.</t>
  </si>
  <si>
    <t>true hearted Rockabilly from Germany</t>
  </si>
  <si>
    <t>#soudoador</t>
  </si>
  <si>
    <t>Engenheiro Mecânico, Enfermeiro, Marketing Digital, Empreendedor, Desing Gráfico e Desing Digital. Praticante de Karatê e BJJ. Skatista Downhill. God is the way</t>
  </si>
  <si>
    <t>→ Sua fonte sobre as tendências e novidades no universo do Marketing Digital, Vendas e Gestão.
Sua escalada começa aqui ↓</t>
  </si>
  <si>
    <t>♻️ Multiplicamos comportamentos sustentáveis
🤝 Faça parte da nossa comunidade!
👇 Baixe grátis nosso app:
https://t.co/LjglYlKf60</t>
  </si>
  <si>
    <t>Pastor, husband, father (in-law), and grandpa. Opinions expressed here are my own.</t>
  </si>
  <si>
    <t>👇 Ensino milhares de pessoas a fazerem de 500 a 1000 reais por dia, só clicar no link 👇</t>
  </si>
  <si>
    <t>Broadcaster/Gaming God/Electronic Music Producer @CyberChaosCrew
Plantation Master/Animal Rights &amp; Life Extension Warrior @VegFarmTek</t>
  </si>
  <si>
    <t>Fundadora NOVA DIREITA. Candidata à Presidência da Câmara Municipal de Lisboa-Autárquicas 2021. Conservadora. Mãe de 4. Sporting</t>
  </si>
  <si>
    <t>Jornalista independente. Matérias, reportagens, entrevistas, pesquisas, criação de conteúdos. Jornalismo sério, crítico, investigativo e reflexivo. Acompanhe.</t>
  </si>
  <si>
    <t>Comunicação Social e Multimédia</t>
  </si>
  <si>
    <t>Sou vendedor e Representante Comercial especializado em vendas de cargas.</t>
  </si>
  <si>
    <t>Vamos construir um legado juntos! 🚀 Dicas para ganhar dinheiro com a internet, através do link👇</t>
  </si>
  <si>
    <t>Aqui você encontrará dicas e estratégias para ganhar dinheiro de maneira inteligente e eficaz. Vamos explorar oportunidades de renda extra, empreendedor.</t>
  </si>
  <si>
    <t>Nossa principal paixão é a comunicação. Além de cobertura jornalística, também oferecemos:
• Espaço para anunciantes 
• Webdesign
• Marketing Digital
• Social</t>
  </si>
  <si>
    <t>O OnJornal é um veículo de comunicação com foco principal em notícias de Concursos, Empregos, Licitações e Negócios em geral.</t>
  </si>
  <si>
    <t>🍃Founder @bspa_wellnesscenter 🏆Prêmio Melhor do Brasil: Wellness de Luxo 2022 👩🏻‍💻Consultoria para SPA: MKT/Gestão 👩🏻‍💻Criadora:Método Natural•Monte</t>
  </si>
  <si>
    <t>🇧🇷 Conservador | 📺 Entretenimento | 🦁 Futebol
“E conhecereis a verdade e a verdade vos libertará.” João 8:32 - #SDV</t>
  </si>
  <si>
    <t>Filho da Dona Lindu, marido da @JanjaLula, presidente da República. Trabalhando para reconstruir o Brasil.</t>
  </si>
  <si>
    <t>Rock and roller</t>
  </si>
  <si>
    <t>Engenheiro. Autor de 5 livros. Comentarista da @JovemPanNews. Ex-consultor do Banco Mundial e ex-Secretário de Estado. Pai. Instagram: @robertomottaoficial</t>
  </si>
  <si>
    <t>Único jornal diário com foco em notícias de Uberlândia.
https://t.co/6MTgsxMD8v</t>
  </si>
  <si>
    <t>Aqui você vai acompanhar o dia a dia do empreendedor. Aqui você deixe sua jornada mais fácil.</t>
  </si>
  <si>
    <t>Fazenda de produção de camarões marinhos e tilápia em sistema super intensivo 🦐🐟</t>
  </si>
  <si>
    <t>A Rádio das quatro estações! 📻 102.9 FM 📱 App 102.9 CDL FM</t>
  </si>
  <si>
    <t>Faculdade de Engenharia de Ilha Solteira, ensino público gratuito e de qualidade. Nossos links estão aqui: 𝐡𝐭𝐭𝐩𝐬://𝐥𝐢𝐧𝐤𝐭𝐫.𝐞𝐞/𝐟𝐞𝐢𝐬.𝐮𝐧𝐞𝐬𝐩</t>
  </si>
  <si>
    <t>Escritório apto a atender de forma séria e profissional qualquer empresa sob qualquer demanda contábil.</t>
  </si>
  <si>
    <t>Bijuterias Artesanais 
Empreendedora
Aos domingos na Feira da Eduardo Ribeiro 
Manaus/AM</t>
  </si>
  <si>
    <t>Polímata | Autor | Escritor | Consultoria em Fiscalização e Mobilidade Urbana - Setor Público - Europa e África. Gestão | Liderança. Criador da @LisboaonBike.</t>
  </si>
  <si>
    <t>🔺Agência de MKT e Propaganda Digital💎 Quem aparece mais vende MAIS! Faça parte do #eagleteam e venda mais!</t>
  </si>
  <si>
    <t>Empreendedor, Defensor da Saúde Mental, CEO &amp; Fundador dos Hospitais Virtude, Presidente e Sócio da GMP/SA.
🧠 +de 10 mil vidas impactadas</t>
  </si>
  <si>
    <t>revela te ao mundo</t>
  </si>
  <si>
    <t>lula@gmail.com</t>
  </si>
  <si>
    <t>Uso sarcasmo porque agressão é crime. Contém ironia. Passei dos 40 #Corinthians</t>
  </si>
  <si>
    <t>| Mentor de NeuroBusiness
| Criador da Metodologia Perpetuadores®
| Mais de 25 mil empresários impactados</t>
  </si>
  <si>
    <t>Uma comunidade exclusiva de empreendedores. Mentorias - Cursos - Conteúdos - Comunidade.</t>
  </si>
  <si>
    <t>Serviço de Apoio às Micro e Pequenas Empresas no Pará / 0800 570 0800</t>
  </si>
  <si>
    <t>👨🏻‍💻 Diretor-superintendente do @sebraepa. 🍕 Empresário.  💙 Esposo da Maria Alice e pai do Bernardo. 🙏🏼 Cristão apaixonado pela família.</t>
  </si>
  <si>
    <t>👉 Blog,pets,artes,tendências
👉 Mãe de + de doze gatinhos
👉 Escritora,blogueira,arteira</t>
  </si>
  <si>
    <t>DEDICATED DAUGHTER | I LIKE MONEY BUT I PREFER RESPECT. | GAMA REAL ESTATE 00244 933 888 000</t>
  </si>
  <si>
    <t>Agência de comunicação digital e gestão de projetos web com foco em resultados.</t>
  </si>
  <si>
    <t>Elivretek, consulting, marketing, it, hardware, web design, hosting</t>
  </si>
  <si>
    <t>sonhador</t>
  </si>
  <si>
    <t>📱 Desenvolvemos aplicativos personalizados ideais para alavancar as suas vendas e atender as necessidades do seu negócio!</t>
  </si>
  <si>
    <t>Prompt Engineer | Motivação e Alta Performance | Compartilhando conhecimento sobre I.A. saúde e vida longa! | Represento a Brandz Capital</t>
  </si>
  <si>
    <t>Estratégias e serviços personalizados para empreendedores terem sucesso com marketing digital. Mais de 15 anos de experiência.
Entre em contato e saiba mais!</t>
  </si>
  <si>
    <t>A Biblioteca Virtual de Enfermagem do Conselho Federal de Enfermagem visa oferecer serviços de informação de qualidade aos profissionais de Enfermagem do Brasil</t>
  </si>
  <si>
    <t>A arte de condensar a essência dos melhores podcasts em curtas explosões de sabedoria e entretenimento.  🔊✂️ #Podcast</t>
  </si>
  <si>
    <t>📚 Sapere Aude
👨🏼‍💼 Assessor de Investimentos
🏢 Nortus Investimentos - XP</t>
  </si>
  <si>
    <t>🌟 Agência de Marketing para Empreendedoras 🌟
Inspiramos mulheres a conquistarem seu espaço e sucesso, com confiança e resiliência. ✨️💪🏻</t>
  </si>
  <si>
    <t>PERFIL PARA FALAR DO @FLAMENGO/
CARIOCA 🌊/
CORAÇÃO PRETO🖤 E VERMELHO   ♥️/
@Flamengo/
Filho de Deus, Pai, Feliz e Ousado! /
Pai do Théo💙👣/
CANCERIANO♋ /</t>
  </si>
  <si>
    <t>ySense es un sitio web de recompensas en línea para aquellos que buscan ganar dinero extra de todo el mundo. 👉Más información y asesoramiento MD.</t>
  </si>
  <si>
    <t>Conteúdos sobre carreiras em comunicação, tecnologia, direito e negócios</t>
  </si>
  <si>
    <t>🏖️</t>
  </si>
  <si>
    <t>O futuro dos negócios.</t>
  </si>
  <si>
    <t>Micropigmentadora e Empreendedora Digital 🔥
Afiliada American Cash por Paloma Rodrigues 💵</t>
  </si>
  <si>
    <t>vo quere não já jantei</t>
  </si>
  <si>
    <t>anti-hero</t>
  </si>
  <si>
    <t>Mostro a realidade do mundo
Crio empreendedores, não funcionários
Ou 1 MILHÂO ou NADA</t>
  </si>
  <si>
    <t>🌍Fundadora da rede A Vida Que Sonho 📙Autora do livro PODER PESSOAL     👑 Criadora do Método APP     🏆Transforme sua Vida Física, Mental e Financeira Click👇</t>
  </si>
  <si>
    <t>Canal no Youtube: https://t.co/n7us2D6OA9
Instagram: https://t.co/Be3aQoqAI5</t>
  </si>
  <si>
    <t>Segue meu Instagram @JanderTabosa</t>
  </si>
  <si>
    <t>Somos uma empresa especializada em destilados. 
Vendas no Atacado e Varejo.
Produzimos e compartilhamos dicas, sugestões e curiosidades sobre o tema.</t>
  </si>
  <si>
    <t>🫗HISTÓRIAS DE BAR - Nunca foi sobre o  álcool 🍻</t>
  </si>
  <si>
    <t>👤 O Entusiasta
🧭 Apoio Pessoas e Empresas a desbloquearem o seu potencial através de métodos e ferramentas da Economia Digital
🎯 Founder @pilmoza</t>
  </si>
  <si>
    <t>Empreendedor, CEO Planet Group,</t>
  </si>
  <si>
    <t>#dicas e #insights de #administração e #empreendedorismo. Também incluimos #histórias inspiradoras e #reflexões. Acompanhe-nos e inspire-se! 🚀 💼📈💡</t>
  </si>
  <si>
    <t>Uma colorada apaixonada
Especialista em Gestão Comercial e Marketing Digital
CEO: Sincronizze Marketing Digital
Instagram: taifollmann</t>
  </si>
  <si>
    <t>Empreendedor, administrador de empresas, torcedor do Corinthians, nascido em São Roque (SP) e com uma família incrível!</t>
  </si>
  <si>
    <t>Matheus Martins  | MITZZ |  Empreendedor, Investidor e Criador | Made in São Paulo 🇧🇷</t>
  </si>
  <si>
    <t>Pernambucano (de nascimento) e Alagoano (por adoção), Advogado, Mestre em Direito e Professor Universitário.</t>
  </si>
  <si>
    <t>Faço threads com histórias de lugares que visitei, ou pelo menos deveria. Na maior parte do tempo estou reclamando de políticos e fazendo enquetes inúteis.</t>
  </si>
  <si>
    <t>Especializado em Direito Criminal e Digital,Processual Civil e 3ºSetor,Siga-me para ficar por dentro das últimas novidades em Direito e receber dicas valiosas.</t>
  </si>
  <si>
    <t>Na AlphaGraphics, nós damos vida às suas ideias.</t>
  </si>
  <si>
    <t>"🐝Bee Delivery Franchisee,cadastrei 5mil empresas em Teresina🏗️Builder &amp; entrepreneur. Innovating today, building the future! #Entrepreneur"</t>
  </si>
  <si>
    <t>Empreendedor Digital! Ajudo pessoas a terem uma renda extra trabalhando em casa através da internet! De forma segura e honesta.📱💸</t>
  </si>
  <si>
    <t>Pagina oficial do Instituto Nacional de Investigação Agrária e Veterinária, I. P. - Laboratório de Estado da área de competências da Agricultura</t>
  </si>
  <si>
    <t>Música e informação da melhor qualidade! 🎼🎤 FM 105,3 #juizdefora</t>
  </si>
  <si>
    <t>O podcast QUEM PODE PODI é uma incrível plataforma de entrevistas que abrange uma ampla variedade de nichos emocionantes</t>
  </si>
  <si>
    <t>O maior evento da região de #empreendedorismoinovador #startups #tecnologia #transfomaçãodigital 03 e 04 de Novembro.
Powered by: @sebraern e Sebraelab Natal</t>
  </si>
  <si>
    <t>Diretor de Criação e Desenvolvimento Web na:
https://t.co/omiWi37cNP</t>
  </si>
  <si>
    <t>Formação moderna e atualizada para o sucesso profissional: venha conhecer a Plataforma CDA</t>
  </si>
  <si>
    <t>Feira bi-anual de Tapejara/RS com foco em negócios.
#Tapejara #Expo #Feira #Negócios #Show #Diversão #Business #Conhecimento
https://t.co/TjE7FWaQn9</t>
  </si>
  <si>
    <t>☎ +55 (51) 2165-6229
☎ +55 (48) 4042-1411
☎ +55 (21) 2342-1750
📞+55 (51) 98474-0569
📩 comercial@ghitswh.com.br</t>
  </si>
  <si>
    <t>Seu maior site de notícias da região.</t>
  </si>
  <si>
    <t>Revista portuguesa sobre cidades sustentáveis.
Actualidade informativa em https://t.co/zqKvxK1Xl0</t>
  </si>
  <si>
    <t>A Sociedade Ponto Verde age com a missão de promover a recolha selectiva, a retoma e a reciclagem de resíduos de embalagens, a nível nacional.</t>
  </si>
  <si>
    <t>Gabinete NOVA IMPACT da Universidade NOVA de Lisboa
https://t.co/I8WQBZGr33
https://t.co/CtftMtHNGx</t>
  </si>
  <si>
    <t>We want to foster innovation &amp; entrepreneurship to transform Historic Urban Areas, while preserving their unique social &amp; cultural identity &amp; the environment.</t>
  </si>
  <si>
    <t>Promove o desenvolvimento sustentável  da cidade, através da melhoria  da eficiência energética, do aproveitamento dos recursos endógenos e da  gestão ambiental</t>
  </si>
  <si>
    <t>👋 Sou apaixonada por empreendedorismo e economia criativa!</t>
  </si>
  <si>
    <t>Attorney in Brazil</t>
  </si>
  <si>
    <t>Agile coach with over 10y experience. Currently helping people to create a safe and health environment at work, in Germany 🇩🇪</t>
  </si>
  <si>
    <t>🇧🇷✞=♡ 
https://t.co/hAf6oq5B6U 👈📗🚀 Instagram 
💪 Musculação
📚Gosto de ler 
🛐Tiago 1:6
📝NEVER GIVE UP!🍷🗿
@naedson_alves</t>
  </si>
  <si>
    <t>Nossa missão é alcançar e criar espaços para as grandes e pequenas comunidades, que hoje fazem parte do "mundo da informação" na internet.</t>
  </si>
  <si>
    <t>Brazilian Society of Agricultural and Agroindustrial Waste Management</t>
  </si>
  <si>
    <t>Oiê minhas florzinhas 🌸
🥰Sobrancelhas é minha formação
✨Entregando CONFIANÇA E QUALIDADE
🖋️Design de sobrancelha
💄SPA das sobrancelhas
🌸Agendamentos👇🏻</t>
  </si>
  <si>
    <t>Site de notícias, informações e curiosidades. 
Acesse: https://t.co/9awgxobGDR 
Publi e parcerias: 
📬 contato@ https://t.co/9awgxobGDR
#notícias #curiosidades</t>
  </si>
  <si>
    <t>Somos o Mind Lab Cast, seu podcast sobre negócios e empreendedorismo! Inscreva-se no nosso canal no YouTube 👇🏻</t>
  </si>
  <si>
    <t>Zootecnista, Fotógrafo, Cinegrafista e Profissional de Marketing. Desde 1998 à frente da Auê Mídia Comunicação e agora também no Clube do Marketing.</t>
  </si>
  <si>
    <t>Acompanhe de perto informações referenciadas sobre saúde e oncologia. ⏰Tempo de resposta: em até 24h. Sábado, domingo e feriados - próximo dia útil.</t>
  </si>
  <si>
    <t>A HSS é uma boutique de treinamento e consultoria que provê soluções customizadas e transformadoras em vendas!</t>
  </si>
  <si>
    <t>👩🏼‍💻 Assessoria Virtual e Pessoal🦋
⚙️ Áreas de Empreendedores e Diversos Nichos.
⏳ Otimizar sua rotina e tempo
🎯 Secretaria remota para empreendimento</t>
  </si>
  <si>
    <t>Vem fazer parte da nossa História construindo o teu Futuro! | Faculdade de Ciências da Universidade de Lisboa.</t>
  </si>
  <si>
    <t>Portugal Ventures is venture capital firm that invests in startups in the digital, engineering &amp; industry, life sciences, and tourism sectors.</t>
  </si>
  <si>
    <t>Twitter oficial da Assembleia Legislativa de Goiás. Aqui você confere as principais informações do Legislativo goiano.</t>
  </si>
  <si>
    <t>Centro de Inovação da FCUL. Acolhimento de empresas | Consultoria | Formação</t>
  </si>
  <si>
    <t>sofro por pessoas que não existem | ouvindo o novo album da mitski e esperando o 1989 tv | (ele/ela/elu) | ☭</t>
  </si>
  <si>
    <t>só pra ver mesmo
•todos os pronomes
•(demiaro)</t>
  </si>
  <si>
    <t>Empresa de Telecomunicação fornecedora de Pabx Virtual (na Nuvem) para Empresas.
Rua Conselheiro Cotegipe, 1127 - Belenzinho - São Paulo - SP Tel: 0800-278-7896</t>
  </si>
  <si>
    <t>Professor, jornalista e profissional de Marketing, com doutorado em Ciências Sociais. Brasileiro e ativista pela democracia. Meu canal no YouTube ⤵️</t>
  </si>
  <si>
    <t>Notícias de Osasco, Barueri, Carapicuíba, Itapevi, Cotia e região</t>
  </si>
  <si>
    <t>|Business🚀+ Tech💻 + Innovation💡+ Social Impact🔁|
+
Utilizando o empreendedorismo para transformar vidas....!
+
Fundador &amp; CEO @logoali.app
+</t>
  </si>
  <si>
    <t>Sou Designer Gráfico, criativo, curioso, prestativo e determinado. E muito hábil como jogador de vídeo game 🎮</t>
  </si>
  <si>
    <t>Consultoria em Negócios Digitais / Inbound Marketing / SEO / Gestao de Redes Sociais e Vendas Online</t>
  </si>
  <si>
    <t>Mvp Desportiva nasceu a 29 de Outubro de 2014 com o objetivo de trazer até aos leitores as notícias mais importantes do mundo desportivo.</t>
  </si>
  <si>
    <t>BEM-VINDO(A)
AQUI É A BRENDA 🌻
DIVULGO OFERTAS DA INTERNET PROCÊ ...
Para sua confiança... Abaixo tenho link WHATSAPP ⤵️</t>
  </si>
  <si>
    <t>Núcleo de Inovação Tecnológica do Hospital das Clínicas FMUSP - catalisador de inovação em saúde, conectando setor público e privado ao ecossistema.</t>
  </si>
  <si>
    <t>OS MELHORES JOGOS 🎰🚀
AS MELHORES COTAÇÕES 🏀⚽️
PLATAFORMA INVESTIMENTO AUTOMATICO
🤑LUCRO 10 A 40% AO MÊS GARANTIDO</t>
  </si>
  <si>
    <t>Consultoria em Varejo |
Ajudamos a traduzir estratégias em ações que levam aos resultados desejados.</t>
  </si>
  <si>
    <t>O único portal angolano dedicado a Educação Financeira.
A nossa missão é levar a Educação Financeira a todos os lares angolanos! 😊💰💪 clica e sabe mais</t>
  </si>
  <si>
    <t>Pirata Espacial</t>
  </si>
  <si>
    <t>Faca hoje com o que você tem hoje! Idealizadora clube de assinaturas Loucas por Sapatos</t>
  </si>
  <si>
    <t>Citações econômicas, financeiras e filosóficas.
#economia #filosofia #finanças #politica #empreendedorismo</t>
  </si>
  <si>
    <t>by: @medeeirosjulia
🛍 Loja online / Fazemos entregas por motoboy e uber flash/ 
Enviamos para todo Brasil🇧🇷</t>
  </si>
  <si>
    <t>Seu Investimento em Imóveis no Estado do Rio de Janeiro e Brasil #RealEstate #Sale 
 E-mail: josemanoelsoares.consultor@gmail.com ####
Contato: +55 21 967858342</t>
  </si>
  <si>
    <t>Ajudo Empresas a vender mais com anúncios online
Negócios Locais| E-Commerce| Infoprodutos| Mkt Político
Mentorada do @pedrosobral
Saiba +👇</t>
  </si>
  <si>
    <t>Esse sou eu.</t>
  </si>
  <si>
    <t>◦ ᴡᴇʙsɪᴛᴇs
◦ ʟᴀɴᴅɪɴɢ ᴘᴀɢᴇs
◦ Sɪsᴛᴇᴍᴀs ᴄʟᴏᴜᴅ
𝘛𝘳𝘢𝘯𝘴𝘧𝘰𝘳𝘮𝘦 𝘴𝘶𝘢 𝘱𝘳𝘦𝘴𝘦𝘯𝘤̧𝘢 𝘰𝘯𝘭𝘪𝘯𝘦 𝘦𝘮 𝘙𝘌𝘚𝘜𝘓𝘛𝘈𝘋𝘖𝘚!
💻 🌐 🚀</t>
  </si>
  <si>
    <t>Consulta CPF e CNPJ, análise de crédito e parcelamento de contas em 18 vezes</t>
  </si>
  <si>
    <t>• Cursando Gestão Financeira 💰
• Mais de Mil Seguidores nas Redes 😁
• Quer Ajuda? Chame no Direct 🧠
• PERSISTÊNCIA E CONSTÂNCIA
• Saiba mais, acesse⤵️</t>
  </si>
  <si>
    <t>A loja mais zika da internet! 👑</t>
  </si>
  <si>
    <t>Jornalista, um eterno sonhador, editor e repórter do @BlogdoKlyngerr</t>
  </si>
  <si>
    <t>Conta oficial do Blog Rodrigo Klyngerr | Se é notícia você encontra aqui!</t>
  </si>
  <si>
    <t>Bem-vindo ao MarketingNew, o seu canal de conteúdo completo sobre tecnologia, marketing, finanças, turismo e viagens! Aqui você encontrará as últimas novidades</t>
  </si>
  <si>
    <t>Sistema Brasileiro de Notícias</t>
  </si>
  <si>
    <t>Sou Eu Falando Contigo... ❤️
Apenas uma caneta. 
Obrigada por Existir.</t>
  </si>
  <si>
    <t>A ESEG - Faculdade do Grupo Etapa alia ensino forte à prática tecnológica e preparo para o mercado para torná-lo protagonista de uma história de sucesso</t>
  </si>
  <si>
    <t>Manutenção, Programação e Serviços.
Especialistas no ramo de robótica, sempre prontos a atender nossos clientes com excelência.
@mpsrobotica</t>
  </si>
  <si>
    <t>🔸Sua empresa, nossa responsabilidade.
🔸A solução para o seu condomínio.
📊#ConsultoriaContábil, #Fiscal e #Tributária
🗂#AdministraçãodeCondomínio</t>
  </si>
  <si>
    <t>✌️ Ajudando marcas a escreverem a  própria história
Tá tudo aqui👇</t>
  </si>
  <si>
    <t>Você quer aprende sobre investimento, e conquistar a independência financeira?Ou acompanhar noticiar sobre o mercado financeiro 
Me siga, setorne um StakeHolder</t>
  </si>
  <si>
    <t>🚦| Gestor de Tráfego FB-Ads
🤖| Legendas &amp; Audio/VSL IA
📹| Editor de vídeo IA
💻| Expert Ferramentas IA
🔗https://t.co/mrOBKSXdXY</t>
  </si>
  <si>
    <t>Editor Executivo do Portal http://t.co/43SFjRq6TP (@CidadeMarketing), Professor, Mestre em Comunicação e Sociedade pela UFS, MBA em Marketing pela FGV-RIO.</t>
  </si>
  <si>
    <t>Desenvolvedor #python #php #java #csharp e mais uma cacetada de linguagem morta. #vasco #vascodagama</t>
  </si>
  <si>
    <t>✊🏽 Somos uma empresa de Educação e Tecnologia que visa promover a inclusão e diversidade.
📍 Poa/RS para o Brasil 
Fale com a gente 👉🏾 chama DM</t>
  </si>
  <si>
    <t>Pai de 👯‍♀️ princesas
💪🏿 Carioca 🌊
Voluntário nas horas vagas 🔛 
#FiscaLab
#Infraestrutura
#AntiCorrupção
#ContraPrivilegios
#ControleSocial
@partidonovo30</t>
  </si>
  <si>
    <t>Poder compartilhar a vida com você é uma bênção, o melhor presente que já recebi na vida. Te amo! 
#esposa
#mãe 
#cristã
#patriota 
#PátriaAmadaBrasil</t>
  </si>
  <si>
    <t>地球上で最大のコミュニティのメンバーになりましょう。世界を助けることで発展します。価値の一部が慈善団体に寄付されます.@luciano.galiotto</t>
  </si>
  <si>
    <t>Q-Assist it's a global service provider for Zero Mileage failures, customer and field complains, analysis and Quality Services.</t>
  </si>
  <si>
    <t>Compartilhando memórias e histórias inspiradoras. Um blog de opinião e entretenimento que celebra os Adolescentes Vintage.</t>
  </si>
  <si>
    <t>A Associação Comercial e Empresarial de Sergipe (ACESE) é uma entidade centenária que agrega variados segmentos empresariais do estado.</t>
  </si>
  <si>
    <t>Portal especializado em economia e negócios de Santa Catarina.</t>
  </si>
  <si>
    <t>Android Final é um site de tecnologia, onde contém diversos aplicativos, jogos, dicas e tutoriais e muito mais. Seu smartphone fica feliz aqui! 😍</t>
  </si>
  <si>
    <t>Fique por dentro de tudo o que está acontecendo sobre pagamentos no Brasil e no mundo.</t>
  </si>
  <si>
    <t>Jornalista</t>
  </si>
  <si>
    <t>Representante comercial da marca Jequiti cosméticos sob inscrição n° 5967095.</t>
  </si>
  <si>
    <t>Sou Do Tipo De Pessoas Que Amo
Ajudar O Próximo.</t>
  </si>
  <si>
    <t>I am a Bahrain based editor and journalist specialising in the Middle East and North Africa region.</t>
  </si>
  <si>
    <t>Estratégias Digitais.
Co-founder Ruok Marketing Digital</t>
  </si>
  <si>
    <t>Cientista Política, umbandista, corredora amadora, taróloga e mãe. Estou cagando e andando para sua opinião 🤡</t>
  </si>
  <si>
    <t>Encontre informações sobre milhares de opções de franquias para investir! #franquiasdesucesso #empreendedorismo</t>
  </si>
  <si>
    <t>Making your day brighter. 𝗙𝗼𝗹𝗹𝗼𝘄 𝗳𝗼𝗿 𝗱𝗮𝗶𝗹𝘆 𝘀𝗺𝗶𝗹𝗲𝘀 😁⤴️ Subscribe for only $3 ❤️</t>
  </si>
  <si>
    <t>www.sigamais.com</t>
  </si>
  <si>
    <t>Leitor assíduo que deseja compartilhar aquilo que lê!
Segue meu insta: https://t.co/JD1aTPd980</t>
  </si>
  <si>
    <t>Advogado - Franchising e Licenciamento de marcas Coloco o ® na sua marca e combato a pirataria.         5.000 marcas registradas e inúmeras patentes protegidas.</t>
  </si>
  <si>
    <t>🤖 Ensino apaixonados por tecnologia a revolucionarem empresas com automação e inteligência artificial.  💙 Servindo a Jesus com amor</t>
  </si>
  <si>
    <t>O Clube Mais Tradicional ★彡 Facebook, Instagram, Twitter e TikTok: @botafogo</t>
  </si>
  <si>
    <t>Desenvolvemos #inovação tecnológica para promover a #competitividade da #indústria
#Ciência e #Tecnologia</t>
  </si>
  <si>
    <t>Bem-vindo ao perfil oficial do Banrisul. Nossa conexão transforma. Conte com a gente! 💙
Horário de atendimento: das 9h às 18h, dias úteis.</t>
  </si>
  <si>
    <t>O Sofisa Direto é o primeiro banco online pensado para fazer o seu dinheiro render mais!</t>
  </si>
  <si>
    <t>Instituição Financeira Cooperativa.
Fornecendo soluções financeiras com excelência por meio do relacionamento.</t>
  </si>
  <si>
    <t>Novidades e notícias da Associação Catarinense de Tecnologia (ACATE)</t>
  </si>
  <si>
    <t>Perfil oficial da Universidade Federal do Rio Grande do Norte. Fiquem atentos e atentas às nossas novidades!</t>
  </si>
  <si>
    <t>💰Economia, 📊negócios, 👨‍💻empreendedorismo e 💻marketing são os temas que vou conversar com você aqui no Twitter. CLIQUE em SEGUIR✌️</t>
  </si>
  <si>
    <t>Santista0️⃣1️⃣3️⃣</t>
  </si>
  <si>
    <t>A Ícone Editora é uma casa editorial com mais de 30 anos no mercado, e uma bagagem de publicações superior a 1.000 títulos, com uma proposta ampla e flexível.</t>
  </si>
  <si>
    <t>Informação da RTP no Twitter</t>
  </si>
  <si>
    <t>Comunicador radialista, Jornalista, Comentarista, Empreendedor e Colunista no @JornalTribuna2 .</t>
  </si>
  <si>
    <t>🔥Mais Leads. Mais Oportunidades. Mais Vendas!
🚀Venda Mais e Melhor Com As Nossas Estratégias de Marketing Digital. Saiba Mais:
👇🏻
https://t.co/AyessLzyPm</t>
  </si>
  <si>
    <t>Pura, Leve e Fácil de beber
Das fontes subterrâneas ao seu copo.
Levando a qualidade da água de Rondônia a todo o norte do país.</t>
  </si>
  <si>
    <t>Seguir já é um bom negócio! Assista pelos canais: Claro/Net 562 Sky 568 Vivo 605 Também no UOL Play, OI Play, Watch, Associação NEO TV e Samsung TV Plus.</t>
  </si>
  <si>
    <t>Comunicando com credibilidade sobre Apucarana, Arapongas e Vale do Ivaí desde 1991 📱: (43) 99615-4000</t>
  </si>
  <si>
    <t>Campo Grande, a Capital das Oportunidades de Mato Grosso do Sul. Também estamos no Instagram: @prefcg</t>
  </si>
  <si>
    <t>tudo que você precisa saber para começar no marketing digital.</t>
  </si>
  <si>
    <t>Tudo sobre investimentos, as melhores carteiras de ações para investir, Criptomoedas tudo sobre o Bitcoin, Ethereum, Litecoin</t>
  </si>
  <si>
    <t>Co Founder SIS Angola &amp; COO</t>
  </si>
  <si>
    <t>PodEBEM é para brasileiros que tem o desejo ou curiosidade sobre empreender fora do brasil. Bate-papo com empreendedores Brasileiros Espalhados pelo Mundo.</t>
  </si>
  <si>
    <t>Transformo você em empreendedor
CEO do grupo @VitaeBrasil
📙 Autor do Yes, You Can!
🖊️ 300+ negócios implantados
🚀 350+ empreendedores mentorados</t>
  </si>
  <si>
    <t>Jornalista, especialista em Gestão de Marketing e Estratégia Empresarial. #showdoimovel #comunicacaocriciuma #assessoriadeimprensa #palestrascorporativas</t>
  </si>
  <si>
    <t>Associação Comercial e Industrial de Anápolis
#ACasaDoEmpresário
🎯86 anos em prol do empresariado Anapolino
📲(62) 4014-7000
Conheça nossos serviços⬇️</t>
  </si>
  <si>
    <t>Sou uma unidade acadêmica especializada da @ufrnbr que atua na formação de nível técnico, superior e na pós-graduação em TI.</t>
  </si>
  <si>
    <t>Vem com a gente falar de tecnologia e transformação digital muito além daquele Power Point!
Instagram: @pptnaocompila
YouTube: https://t.co/Qa0x0Tc2RM</t>
  </si>
  <si>
    <t>🧠 Empresário e investidor.🏆 Criei duas empresas milionárias. 🦉Especialista: vendas, mkt, liderança, risco.🌳 Exemplos de uma vida dedicada a excelência.</t>
  </si>
  <si>
    <t>👉 Polo ACATE Rio do Sul
💻 Unimos empresas de tecnologia para crescer juntos.
🤝 Seja um associado!</t>
  </si>
  <si>
    <t>A ACIRS - fundada em 22/07/1991, tem como objetivo principal o de divulgar a língua e a cultura italiana.</t>
  </si>
  <si>
    <t>A sua personalidade começa onde a comparação acaba, seja único.</t>
  </si>
  <si>
    <t>Administrativo/Civil/Consumidor/Eleitoral/Empresarial/Médico/Penal
Previdenciario/Trabalhista/Tributario/Mediação e Conciliação</t>
  </si>
  <si>
    <t>Eu sou obsessivo no meu Auto-desenvolvimento,li mais de 300 livros nos últimos 8 anos e apliquei esse conhecimento na minha vida. Me siga e mude sua mentalidade</t>
  </si>
  <si>
    <t>BI4ALL is a leader in Data Analytics and AI solutions consulting services. We turn data into insights. Send an email to hello@bi4all.pt</t>
  </si>
  <si>
    <t>Sou Policial militar a 15 anos e sei como você pode reduzir seus riscos através do seu comportamento. Quer aprender? Me chama no privado.</t>
  </si>
  <si>
    <t>Relações Públicas - Gestor de Tráfego 
Maranhense, Brasileiro, Sionista, Judeu.</t>
  </si>
  <si>
    <t>Um jornal que cobre o leste fluminense com tantinho de Brasil e de mundo.</t>
  </si>
  <si>
    <t>Digital marketing, Social media marketing. Helping your business to grow with strategies</t>
  </si>
  <si>
    <t>Construindo riqueza. Fortalecendo mente e corpo. Compartilhando sucesso e conhecimento para te levar mais longe. Junte-se a mim nessa jornada de crescimento! 
₿</t>
  </si>
  <si>
    <t>The path cannot be controlled, only discovered by allowing it to appear on its own.
Deep Learning | Product Manager | Founder</t>
  </si>
  <si>
    <t>🏆Elite powerlifter 🤣Enthusiast Videos Join Fan Club he have more 215k other social</t>
  </si>
  <si>
    <t>O que importa primeiro! Portal de notícias independente, sobre economia, política e direito. Editado pelo jornalista Fábio Campos. https://t.co/zUldQ92xN2</t>
  </si>
  <si>
    <t>Apresentador de TV ( Ico Thomaz Show ) Radialista ( Jovem Pan RS ) Instagram: @icothomaz Contatos Profissionais: icothomazshow@gmail.com YouTube ICO THOMAZ</t>
  </si>
  <si>
    <t>Nossa missão é propagar a boas novas de Cristo. Preparando a nação para o avivamento!</t>
  </si>
  <si>
    <t>Sua empresa no digital 
Redes sociais integradas
Tecnologia para análise de dados
Gestão do Google meu negócio 
Googlemaps</t>
  </si>
  <si>
    <t>BR - RS
Torcedor do Grêmio</t>
  </si>
  <si>
    <t>Dar suporte e guiar empreendedores é nossa missão! 🚀</t>
  </si>
  <si>
    <t>Erik Penna é Palestrante de Vendas e Palestrante de Motivação. Autor de 6 livros e já tem mais de 1 milhão de views no YouTube. https://t.co/UFp4dw4vYh</t>
  </si>
  <si>
    <t>Somos uma empresa de comércio eletrônico com loja e-commerce. Atuamos nos segmentos de informática, áudio e vídeo, games/acessórios e telefonia...</t>
  </si>
  <si>
    <t>- SECRETÁRIO DE DESENVOLVIMENTO ECONÔMICO DE QUIXERAMOBIM.🧑‍💼 
- SÓCIO E DIRETOR COMERCIAL NA CALÁBRIA REPRESENTAÇÕES 🌿- ATUANDO NA REGIÃO DO MT 🇧🇷.</t>
  </si>
  <si>
    <t>Site de Notícias de Alagoas</t>
  </si>
  <si>
    <t>Diretor Agro Atlas Brasil; Fundador Heineken Ecobox</t>
  </si>
  <si>
    <t>CAJAZEIRAS</t>
  </si>
  <si>
    <t>Criando experiências educacionais em gestão | Escrevo sobre gestão e negócios.</t>
  </si>
  <si>
    <t>Criando empreendedores no Brasil 
+ de 8 anos em vendas
fundador do Grupo Ramos 
twiteiro profissional</t>
  </si>
  <si>
    <t>O canivete suíço para capacitação e especialização de Techs e Devs.</t>
  </si>
  <si>
    <t>We-Start Projekt GmbH - Your creative success partner! 
Turning dreams into reality! Contact us now. 💡 #WestartProjekt #SocialMedia</t>
  </si>
  <si>
    <t>Carioca, Flamenguista  Snap: jotaerridnd Insta: Jraraujjo3</t>
  </si>
  <si>
    <t>Qual o verdadeiro valor da floresta?</t>
  </si>
  <si>
    <t>Os serviços do CTCV são orientados para os sectores da Cerâmica e do Vidro e todo o cluster da esfera do habitat.
#CTCV #ceramica #vidro #ceramics #stone</t>
  </si>
  <si>
    <t>O jornal Diário de Goiás é publicação digital independente com informação e análise dos fatos. Publicado desde 2012. Visite o https://t.co/LOHq4fDK2E</t>
  </si>
  <si>
    <t>Twitter oficial do Ministério do Desenvolvimento, Indústria, Comércio e Serviços</t>
  </si>
  <si>
    <t>Somos uma empresa dedicada a gestão contábil, financeira e administrativa de outras empresas que buscam o sucesso de seus negócios.</t>
  </si>
  <si>
    <t>Empresário
Unit Imobiliária
Corretor de imóveis</t>
  </si>
  <si>
    <t>Canal oficial do Sebrae no Piauí. Ligue: 0800 570 0800. Respondemos no Twitter de seg a sex, de 8h às 18h. 🤝</t>
  </si>
  <si>
    <t>Está em busca de oportunidades para montar seu negócio? 
Então, acompanhe a Proddigital Negócio e receba dicas, informações e idéias de negócios.</t>
  </si>
  <si>
    <t>É uma publicação da @sobratema dedicada a obras de infraestrutura, construção industrial e imobiliária, sustentabilidade ambiental na construção, entre outras.</t>
  </si>
  <si>
    <t>#FreeAlexSaab
#consultoria #mineria #digital #criptomonedas #criptoactivos #trading #nft #bitcoins #btc #asics #dj #edm #music #musica #electro #electronicmusic</t>
  </si>
  <si>
    <t>Información todo el tiempo en todas partes.
90.3 FM en Caracas
#AlAire -  https://t.co/jrA58z1Vvw</t>
  </si>
  <si>
    <t>Un espacio para todas las voces de la sociedad venezolana. Canal de YouTube del periodista @Vladi_villegasp. Suscríbete👇🏽</t>
  </si>
  <si>
    <t>Economista, Magister Ingeniería Empresarial, Presidente @Datanalisis, Profesor UCAB e IESA, Las opiniones en esta cuenta son estrictamente personales.</t>
  </si>
  <si>
    <t>Federación de Cámaras y Asociaciones de Comercio y Producción de Venezuela</t>
  </si>
  <si>
    <t>✨Empresário no Ramo de Festas. 🎙️Host do #SpaceDoSanthos</t>
  </si>
  <si>
    <t>Uma das maiores franquias de sobrancelhas do Mundo!
https://t.co/SN1gIqttBQ</t>
  </si>
  <si>
    <t>Portal de notícias, comunicação e negócios, que valoriza o "made in" de cada país. Saiba mais em https://t.co/dG1Bzkjeeo</t>
  </si>
  <si>
    <t>Pai e avô orgulhoso, marido apaixonado, médico e homem público. Quatro vezes governador de SP. Vice-presidente do Brasil e ministro do Desenvolvimento.</t>
  </si>
  <si>
    <t>Conectada com você! Música, tecnologia, notícias, informação, esportes e variedades.</t>
  </si>
  <si>
    <t>°Educação ° Bíblia ° Leitura °Estoico</t>
  </si>
  <si>
    <t>Associação das Empresas Brasileiras de Tecnologia da Informação de Minas Gerais</t>
  </si>
  <si>
    <t>Serviços digitais, ajudo os empreendedores a simplificar suas vidas, otimizar seu tempo e maximizar sua produtividade.</t>
  </si>
  <si>
    <t>Concelho integrante da Área Metropolitana de Lisboa, situado na Margem Esquerda do Estuário do Tejo, com uma frente ribeirinha superior a 20 km.</t>
  </si>
  <si>
    <t>Ajudo você a criar estratégias para aumentar a autoridade, o reconhecimento e suas receitas.
Desbloqueie o poder da comunicação persuasiva. 💯</t>
  </si>
  <si>
    <t>Jornal multiplataforma</t>
  </si>
  <si>
    <t>Cursos online • Arte • Empreendedorismo • Moda •</t>
  </si>
  <si>
    <t>Perpetuando a Amazônia viva, com todos e para todos 🍃</t>
  </si>
  <si>
    <t>Tornamos o empreendedorismo responsável em realidade através de nosso Ecossistema.</t>
  </si>
  <si>
    <t>O Pai da Resenha. Hypado desde 2002</t>
  </si>
  <si>
    <t>Pós graduando pela FAAP em Gerente de Cidades, é formado em Adm de Empresas; está como Chefe do Trab Emprego e Renda da Pref de Ribeirão Preto.</t>
  </si>
  <si>
    <t>Ú N E T E ! https://t.co/Ds4JthOPxu ✊🏽
“To be radical is to grasp things by the root” / "Ser radical es agarrar las cosas por la raíz" ― Karl Marx</t>
  </si>
  <si>
    <t>VENDO 6 LIVROS HISTÓRIA DO MARXISMO NO BRASIL UNICAMP 
150$
Estado seminovos 
Frete grátis 
Se tiver interesse me chame que vou mandar o link do mercado livre</t>
  </si>
  <si>
    <t>Brazilian Journal of Rural Education</t>
  </si>
  <si>
    <t>Organização Revolucionária</t>
  </si>
  <si>
    <t>A Estação do Conhecimento - No ar pela 104,5 FM para a Grande BH.</t>
  </si>
  <si>
    <t>Universidade do Vale do Rio dos Sinos - Unisinos. Uma universidade de ensino, pesquisa e inovação.</t>
  </si>
  <si>
    <t>Perfil gerenciado pela Assessoria de Imprensa da Universidade Federal do Rio Grande do Sul UFRGS | imprensa@ufrgs.br | 51.33084008
Cadastro MEC: https://t.co/4ThZ5eywWW</t>
  </si>
  <si>
    <t>Internacionalização e Privacidade</t>
  </si>
  <si>
    <t>⤷ Descubra com a Realize Destinos! Excursões saindo de São Paulo e viagens incríveis pelo mundo. Inspire-se, explore e #RealizeSeusDestinos! 🌍✈️✨</t>
  </si>
  <si>
    <t>O portal de notícias de Santos, São Vicente, Praia Grande, Cubatão, Guarujá, Bertioga, Itanhaém, Mongaguá e Peruibe. Informações sobre a Baixada Santista-SP.</t>
  </si>
  <si>
    <t>Informação é aqui!
Acompanhe as notícias do Vale do Itajaí via Twitter.</t>
  </si>
  <si>
    <t>PERFIL REAL da Bancada do PSDB na Assembleia Legislativa do RS. Contato: 51 3210.2945</t>
  </si>
  <si>
    <t>A MEGATIC nasce em 2015 com o objetivo de fornecer soluções e serviços especializados na área das tecnologias de informação e comunicação.</t>
  </si>
  <si>
    <t>Maluco pela vida!
Música, uma paixão!</t>
  </si>
  <si>
    <t>Ricardo Augusto Silva Advocacia. Informação jurídica ao seu alcance</t>
  </si>
  <si>
    <t>⚡️naadademais@zbd.gg │ 🏴 #nostr: link na bio.</t>
  </si>
  <si>
    <t>Noticias de Tecnologia, Economia, Atualidades,Geopolítica, Entretenimento .</t>
  </si>
  <si>
    <t>Procurador Federal e Professor; Doutor em Direito     https://t.co/76bNsfIy9Y</t>
  </si>
  <si>
    <t>Atuamos com o objetivo de prover o Estado de recursos para garantir o bem-estar social.</t>
  </si>
  <si>
    <t>Give yourself to what is. Let go of what it was. Have faith in what will be
photography lover
#food🥙 lover
#photography📷 lover
#Moments pickup</t>
  </si>
  <si>
    <t>👨‍👩‍👧‍👦👨‍💻📸🏞️🎣☕
Analista de Sistemas, Desenvolvedor, Técnico em Informática/Eletrônica e adepto ao Lifelong Learning.</t>
  </si>
  <si>
    <t>Centro de Excelência em Empreendedorismo Inovador de Goiás
Secretaria de Estado de Desenvolvimento e Inovação
Governo de Goiás
#OEstadoQueDáCerto</t>
  </si>
  <si>
    <t>Mentoria e Consultoria de Gestão Estratégica de Pessoas e Negócios</t>
  </si>
  <si>
    <t>Your friendly neighbor office suite</t>
  </si>
  <si>
    <t>Mestrando, Economista e Administrador com MBAs nas áreas de Finanças; Marketing e Planejamento. Sou Empresário, Consultor, Palestrante e Prof. Universitário.</t>
  </si>
  <si>
    <t>Aprenda como ganhar dinheiro pela internet, inspiração diária. Network no dia a dia. Link o melhor curso: https://t.co/rkkqIENlM3…</t>
  </si>
  <si>
    <t>O FGV EAESP Pesquisa tem o papel de apoiar e fomentar o desenvolvimento e a disseminação da pesquisa científica e aplicada na FGV.</t>
  </si>
  <si>
    <t>Copia, Cola e Voa 🚀
Mentoria:
DAYTRADE 📌
VENDAS DIGITAIS 📌</t>
  </si>
  <si>
    <t>Co-Founder BRZ Insurance | Host Imigrante Rico Podcast</t>
  </si>
  <si>
    <t>deixar de ser vítima dos problemas e se tornar um autor da própria história.</t>
  </si>
  <si>
    <t>Perfil da DIEMP do CEFET/RJ para compartilhar informações sobre oportunidades e vagas de estágio!</t>
  </si>
  <si>
    <t>O Podcast diário ao vivo Seg/Sex 18h-19h30
TV RECORD NEWS MANAUS
27.1 (Aberto) 
78 (Net TV)</t>
  </si>
  <si>
    <t>O futuro do serviço público começa aqui.
💡 Cursos de educação executiva, pós-graduação, formação de líderes, pesquisas e ciência de dados e inovação.</t>
  </si>
  <si>
    <t>Perfil oficial do SCC SBT, o SBT em Santa Catarina 💜
Siga e confira nossos bastidores e conteúdos exclusivos!</t>
  </si>
  <si>
    <t>▶️APRENDA A GANHAR 30k por mês COM YOUTUBE💰  Clica no link abaixo e adquira o MILIONÁRIO COM YOUTUBE 👇</t>
  </si>
  <si>
    <t>Psicanalista clínica - Grafóloga - Grafoterapeuta.
Experiência e abordagem integrativa, tem conduzido muitas pessoas a superarem problemas emocionais.</t>
  </si>
  <si>
    <t>🌱Empreendedor 🧠Treinador</t>
  </si>
  <si>
    <t>🎯| Rei do timing
🧠| Permita -se descobrir 
🐭| Sabes 
🌟| A mudança começa aqui</t>
  </si>
  <si>
    <t>O SISTEMA FAEMG representa e defende os interesses dos mais de 400 mil produtores rurais de Minas Gerais.
[ Assessoria de Imprensa: imprensa@faemg.org.br ]</t>
  </si>
  <si>
    <t>📱𝘿𝙞𝙜𝙞𝙩𝙖𝙡 &amp; 𝙊𝙣𝙡𝙞𝙣𝙚 𝙈𝙖𝙧𝙠𝙚𝙩𝙞𝙣𝙜💻
🪩𝐀𝐟𝐟𝐢𝐥𝐢𝐚𝐭𝐞 𝐌𝐚𝐫𝐤𝐞𝐭𝐢𝐧𝐠💡
💰W͢a͢n͢t͢ t͢o͢ M͢a͢k͢e͢ M͢O͢N͢E͢Y͢ O͢n͢l͢i͢n͢e💶</t>
  </si>
  <si>
    <t>📰 Notícias de Mogi das Cruzes e da Região do Alto Tietê (SP)</t>
  </si>
  <si>
    <t>Acabando com a mesmice: A Trade Web fornece notícias, análises e insights essenciais sobre marketing digital e empreendedorismo.
https://t.co/29Lpr25YPo</t>
  </si>
  <si>
    <t>A mais completa e tradicional revista brasileira do setor de mineração. Notícias, informações, artigos técnicos, opinião, entrevistas, produtos e serviços.</t>
  </si>
  <si>
    <t>Você já pensou em morar ou investir em outro país? 
🗝️ Imóveis Residencial e Comercial
🌎 Especialistas + 90 Países
🥇 Referência global
💰+ 7.3 Bi em VGV</t>
  </si>
  <si>
    <t>Em prol da superação humana Logosofia ☀️ Ciência da #EvoluçãoConsciente 💙+ De 90 anos no mundo</t>
  </si>
  <si>
    <t>Vereador de Itapevi, sou pai do Luiz e do Arthur e marido da Natiene.</t>
  </si>
  <si>
    <t>A maior comunidade empreendedora de Belém. Notícias e networking. Conteúdo inteligente sobre empreendedorismo na região metropolitana de Belém.</t>
  </si>
  <si>
    <t>💥Consultora de Pymes/Negocios/Empresas/Desarrollo Sostenible♻️ 
Acompaño el desarrollo de la pequeña y mediana empresa a través del Método PAOM.</t>
  </si>
  <si>
    <t>Ensino líderes e gestores a usarem a autoliderança para atingir o próximo nível de sucesso.
+1600 líderes treinados</t>
  </si>
  <si>
    <t>O podcast da galera 🎤🔊</t>
  </si>
  <si>
    <t>End to End Business Solutions
Web Development Services
Digital Marketing Services
Social Media Marketing Services
App Development Services
Chat bot &amp; automation</t>
  </si>
  <si>
    <t>Conectando o Tapajós ao mundo.</t>
  </si>
  <si>
    <t>Jornalismo independente!</t>
  </si>
  <si>
    <t>e-mail: fschitino.jus@gmail.com</t>
  </si>
  <si>
    <t>🎯 Te ajudo a ganhar dinheiro trabalhando em casa como afiliado digital 
🌱 Tráfego orgânico 100%
👇🏻Mude sua vida AGORA me CHAMA</t>
  </si>
  <si>
    <t>Inovações em Tecnologia. Quem faz a diferença na Kentech são as pessoas, seus qualificados Profissionais e Gestores.</t>
  </si>
  <si>
    <t>Visionário e otimista incorrigível. Acredito em Deus, não acredito em crise, e acredito que TUDO, pode ser melhorado sempre, se você entrar em ação.</t>
  </si>
  <si>
    <t>👨‍🏫 Prof Universit Ciências Gerenciais, ✍🏻 Administrador , ⚽️ ex-Árbitro de Futebol, 🎤 Comentarista Esport e 👨‍👧‍👧 Pai. - Meus Hobbies: 📸,🏃‍♂️ e 🌹</t>
  </si>
  <si>
    <t>Do maderite ao mundo 🌍🎙
Artista: @mazzolanavoz
Projeto: @anonimousongs/ @investimentodequebrada
Loja Oficial @lojamadehits
CEO: @___mazzola___
SP✈</t>
  </si>
  <si>
    <t>Empresa referência em certificação digital. Oferecemos soluções completas em certificados digitais para pessoa física e jurídica. Confiança e segurança para seu</t>
  </si>
  <si>
    <t>Risos.</t>
  </si>
  <si>
    <t>Jornalista, colunista de tech, mentora de performance digital, growth hacker, especialista em fluxos de automação de marketing, SEO e assessoria de imprensa.</t>
  </si>
  <si>
    <t>olá</t>
  </si>
  <si>
    <t>Técnico em Telecomunicações,  Ativista
Marketing Digital E-commerce 
CEO @labecastore
(Cristão-IURD🙏🏛)</t>
  </si>
  <si>
    <t>Gamer, Empreendedor e Youtuber.  📸 Insta: @andradegui19</t>
  </si>
  <si>
    <t>#Informação e análise jornalísticas com credibilidade, qualidade e agilidade, baseadas nos princípios editoriais do Jornal CORREIO DE MINAS.#ConselheiroLafaiete</t>
  </si>
  <si>
    <t>Managing Partner of Headline, Socio XP, Founder of Buscapé Company. Empreendedor, investidor, apaixonado por ideias, desafios e gente inteligente!</t>
  </si>
  <si>
    <t>Pai do Lucca 👼🏻 | Empreendedor apaixonado por relacionamento, desenvolvimento de Negócios e Música | Setores de Mídia, TI e Telecom, Audiovisual e Artístico</t>
  </si>
  <si>
    <t>O seu portal de notícias sobre TI e Telecom. 💡</t>
  </si>
  <si>
    <t>Eu gosto de olhos que sorriem, de gestos que se desculpam, de toques que sabem conversar e de silêncios que se declaram ~ Machado de Assis</t>
  </si>
  <si>
    <t>Sou Gestor Financeiro e Construído um futuro com a renda passiva</t>
  </si>
  <si>
    <t>🌱 Plantas ornamentais
⛏️ Serviço de Jardinagem
💻 Projetos paisagístico
👷🏼‍♂️ Profissionais aptos.</t>
  </si>
  <si>
    <t>O Contas Online é um controle financeiro para uso pessoal ou empresarial, totalmente personalizável para atendê-lo da melhor forma possível.</t>
  </si>
  <si>
    <t>Academia de Artes Marciais | Adulto: Muay Thai, Jiu Jitsu, Karate e
Boxe | Crianças: Judo e Karate kids (a partir 3 anos)
Madalena | Casa Forte | Espinheiro</t>
  </si>
  <si>
    <t>Jornalista, radialista, palestrante e criador da Palermo News Eventos e Rádio Palermo</t>
  </si>
  <si>
    <t>Sou Essência 🦋 Human Resources with empathy 💖 LinkedIn: Helena Chicourel 🇧🇷 patriota por propósito moral 💚 instagram: nenachicchic 👁️ Nena Chic Chic 🌹</t>
  </si>
  <si>
    <t>Agência Porto Publicidade
Marketing Digital💻📲
E-commerce 💻🛒
Brand 🔍📚🎯
Assessoria de comunicação ✍🗣💻📑</t>
  </si>
  <si>
    <t>Acompanhe por aqui as principais notícias do #JTCultura e #JornaldaCultura</t>
  </si>
  <si>
    <t>(Parceiro: Apostilas Opção ) Apostilas Impresso/PDF, Cursos Online, Cadernos Gabaritado para Concursos Públicos.</t>
  </si>
  <si>
    <t>Fundado no Brasil, em 2003, o LIDE - Grupo de Líderes Empresariais é uma organização que reúne executivos dos mais variados setores de atuação.</t>
  </si>
  <si>
    <t>Novas ideias facilitam a vida!</t>
  </si>
  <si>
    <t>Fundação de Apoio a Pesquisa Ensino e Extensão - Funep_x000D_
Unesp/FCAV - Câmpus  de Jaboticabal, SP</t>
  </si>
  <si>
    <t>Pensou em comprar algo pela internet? Fale comigo!
Sou Parceira Magalu e vendo para todo Brasil.
siga o Instagram @promos.daerika</t>
  </si>
  <si>
    <t>Portal de Notícias e Mídia</t>
  </si>
  <si>
    <t>Confie no processo 💸</t>
  </si>
  <si>
    <t>"Veloz, eficiente e sempre no trânsito. Motoboy dedicado em entregar com rapidez e segurança. Acelerando para atender suas demandas!" #motoboy, #entrega</t>
  </si>
  <si>
    <t>Estrategista de Negócios, Especialista em Micro e Pequenas Empresas</t>
  </si>
  <si>
    <t>Olá! Somos a Agência Brasileira de Promoção de Exportações e Investimentos. //For English, follow @ApexBrasil_en Termo de Uso: https://t.co/LVgNy7J5Bh</t>
  </si>
  <si>
    <t>#EY Talent Recruiter, #TechConsulting #TechnologyRecruiter | #NatureLover #TravelEnthusiast NetflixAddict #CoffeePerson
Tweets are my own.</t>
  </si>
  <si>
    <t>Gestor Executivo em Saúde, Consultor, Mentor e Treinador em Gestão de Produção e Qualidade, Escritor e Entrevistador de TV</t>
  </si>
  <si>
    <t>🎤 GuiaKast - A Melhor conversa Profissional que você vai ouvir sobre Negócios, Tecnologia e Supply Chain 📲 Whatsapp - +55 11 98705 4454</t>
  </si>
  <si>
    <t>Somos mais que um espaço físico,somos um movimento 
(85) 98171-8336</t>
  </si>
  <si>
    <t>I'm earning with @Cheelee_Tweet! DM me and find out how 🌶️</t>
  </si>
  <si>
    <t>“Dinero en acción” es un canal de YouTube que te enseña finanzas personales, haremos entender al público la importancia que tiene el dinero.💸🧠</t>
  </si>
  <si>
    <t>Secretaria de Ciência, Tecnologia e Inovação da Bahia</t>
  </si>
  <si>
    <t>Um jeito diferente de apresentar as notícias de Blumenau</t>
  </si>
  <si>
    <t>Somos o cooperativismo no ES. Vem com a gente por um Brasil mais justo, feliz e equilibrado! #SomosCoop</t>
  </si>
  <si>
    <t>NEUTRALIDADE AJUDA O OPRESSOR ,NUNCA A VÍTIMA .
TODOS QUE SE AUTO DECLARAM  ISENTOS DE IDEOLOGIA, APOIAM OPRESSORES..
🚩🚩🚩💃🏽🇧🇷♥️♥️♥️</t>
  </si>
  <si>
    <t>Perfil oficial da Secretaria de Ciência, Tecnologia, Inovação e Ensino Superior do Estado da Paraíba.</t>
  </si>
  <si>
    <t>Em texto, vídeo e áudio, de fato, informação e opinião!</t>
  </si>
  <si>
    <t>Twitter oficial do Governo do Estado do Maranhão. Link do canal no telegram: https://t.co/K8pMPHU0tt</t>
  </si>
  <si>
    <t>•I'm the only one that hasn't walked out                                 
I'm right here• 
#goRED♥️
@minniebababoei</t>
  </si>
  <si>
    <t>⭐️ Vice-governador do MA (PT), Secretário da Educação,  Professor e Procurador Federal. Meta de vida: Erradicar o analfabetismo do MA</t>
  </si>
  <si>
    <t>Meio-médica, viciada em vinho e no deboísmo!                             Não respondo DM</t>
  </si>
  <si>
    <t>Informações e notícias sobre eventos promovidos pela Direção de Extensão da ESAG/UDESC.</t>
  </si>
  <si>
    <t>Fique por dentro das últimas notícias com o Portal ChicoSabeTudo. Aqui você encontra informações atualizadas e precisas sobre política, economia, entretenimento</t>
  </si>
  <si>
    <t>autobahn-ev.com</t>
  </si>
  <si>
    <t>raphaelcorrea.net</t>
  </si>
  <si>
    <t>nunih.com</t>
  </si>
  <si>
    <t>linktr.ee/assimdisseojoao</t>
  </si>
  <si>
    <t>linktr.ee/iberoam</t>
  </si>
  <si>
    <t>blockchainfestival.io</t>
  </si>
  <si>
    <t>qsco.com.br</t>
  </si>
  <si>
    <t>luhao.com.br</t>
  </si>
  <si>
    <t>tvliberal.com.br</t>
  </si>
  <si>
    <t>elkesoaresdesign.com</t>
  </si>
  <si>
    <t>40anos.fernandozaidan.com.br</t>
  </si>
  <si>
    <t>wictorbispo.com.br</t>
  </si>
  <si>
    <t>comprecripto.io</t>
  </si>
  <si>
    <t>guarulhosonline.com.br</t>
  </si>
  <si>
    <t>fmhits.com.br</t>
  </si>
  <si>
    <t>facebook.com/idealprojetosa…</t>
  </si>
  <si>
    <t>vtpodcast.com.br</t>
  </si>
  <si>
    <t>ocriadordeideias.com.br</t>
  </si>
  <si>
    <t>linklist.bio/mangabeiraunger</t>
  </si>
  <si>
    <t>accurateadvice.com.br</t>
  </si>
  <si>
    <t>innovatorsunder35.com</t>
  </si>
  <si>
    <t>technologyreview.es</t>
  </si>
  <si>
    <t>youtube.com/c/gemeosinvest…</t>
  </si>
  <si>
    <t>facebook.com/pages/Blumenau…</t>
  </si>
  <si>
    <t>beacons.ai/taniazambon</t>
  </si>
  <si>
    <t>sebrae.com.br</t>
  </si>
  <si>
    <t>agitomais.com.br</t>
  </si>
  <si>
    <t>acisantacruz.org.br</t>
  </si>
  <si>
    <t>alfagates.com.br</t>
  </si>
  <si>
    <t>flow.page/ogabriel.apare…</t>
  </si>
  <si>
    <t>renatolisboa.com.br</t>
  </si>
  <si>
    <t>youtube.com/channel/UCNqCh…</t>
  </si>
  <si>
    <t>instagram.com/businesslifead…</t>
  </si>
  <si>
    <t>motivandoleoes.com</t>
  </si>
  <si>
    <t>linkedin.com/in/williansant…</t>
  </si>
  <si>
    <t>instagram.com/mariafernandaf…</t>
  </si>
  <si>
    <t>ocapital.digital</t>
  </si>
  <si>
    <t>pciconcursos.com.br</t>
  </si>
  <si>
    <t>facebook.com/noimd2016/</t>
  </si>
  <si>
    <t>vagasdeempregosemsalvador.blogspot.com</t>
  </si>
  <si>
    <t>facebook.com/amnaxtrax?mibe…</t>
  </si>
  <si>
    <t>kwai-video.com/u/@linssdocear…</t>
  </si>
  <si>
    <t>aflawgovernancatributaria.com/home</t>
  </si>
  <si>
    <t>nexthof.com.br</t>
  </si>
  <si>
    <t>youtube.com/@sejatuavontade</t>
  </si>
  <si>
    <t>linkr.bio/grasimancini</t>
  </si>
  <si>
    <t>youtube.com/channel/UCFsg7…</t>
  </si>
  <si>
    <t>portalconvenios.com</t>
  </si>
  <si>
    <t>youtube.com/live/J7rxP04NG…</t>
  </si>
  <si>
    <t>linklist.bio/cnpjlucrativo</t>
  </si>
  <si>
    <t>roddrigomoraes.com</t>
  </si>
  <si>
    <t>qualificaeducamais.com.br</t>
  </si>
  <si>
    <t>keepo.io/mah</t>
  </si>
  <si>
    <t>facebook.com/sonogama</t>
  </si>
  <si>
    <t>wa.me/message/46D2PR…</t>
  </si>
  <si>
    <t>andrelajst.com</t>
  </si>
  <si>
    <t>linktr.ee/panthermkt</t>
  </si>
  <si>
    <t>basicosstore.com.br</t>
  </si>
  <si>
    <t>summit.bitalk.pt</t>
  </si>
  <si>
    <t>qfreitas.adv.br</t>
  </si>
  <si>
    <t>forbes.com.br</t>
  </si>
  <si>
    <t>portaldofranchising.com.br</t>
  </si>
  <si>
    <t>panflix.com.br</t>
  </si>
  <si>
    <t>nomosapp.com.br</t>
  </si>
  <si>
    <t>rcnonline.com.br</t>
  </si>
  <si>
    <t>fabiosr.me</t>
  </si>
  <si>
    <t>lucianogaliotto.com</t>
  </si>
  <si>
    <t>jinggaweb.com.br</t>
  </si>
  <si>
    <t>tutormundi.com</t>
  </si>
  <si>
    <t>facebook.com/Bazardot1</t>
  </si>
  <si>
    <t>instagr.am/igornorado</t>
  </si>
  <si>
    <t>goakira.com.br</t>
  </si>
  <si>
    <t>linktr.ee/editorasenacsp</t>
  </si>
  <si>
    <t>isoservice.net</t>
  </si>
  <si>
    <t>revistapegn.globo.com</t>
  </si>
  <si>
    <t>glab.globo.com</t>
  </si>
  <si>
    <t>itau.com.br</t>
  </si>
  <si>
    <t>youtube.com/channel/UCw8_0…</t>
  </si>
  <si>
    <t>gov.br/mdr</t>
  </si>
  <si>
    <t>ideiasblah.com.br</t>
  </si>
  <si>
    <t>infobrasilsistemas.com.br</t>
  </si>
  <si>
    <t>correiopopular.com.br</t>
  </si>
  <si>
    <t>diegohenriqueadvogado.com.br</t>
  </si>
  <si>
    <t>linktr.ee/coolife</t>
  </si>
  <si>
    <t>instagram.com/raullsantiago</t>
  </si>
  <si>
    <t>bio.site/damahcast</t>
  </si>
  <si>
    <t>oseiasgomes.com.br</t>
  </si>
  <si>
    <t>instagram.com/aluizaandreia</t>
  </si>
  <si>
    <t>oabpa.org.br</t>
  </si>
  <si>
    <t>andrelug.com/links</t>
  </si>
  <si>
    <t>pauloventura.com.br</t>
  </si>
  <si>
    <t>mastermindps.com.br</t>
  </si>
  <si>
    <t>entornohoje.com.br</t>
  </si>
  <si>
    <t>editoragente.com.br</t>
  </si>
  <si>
    <t>forumhiphopmsp.com.br</t>
  </si>
  <si>
    <t>bit.ly/Megabox-ESP</t>
  </si>
  <si>
    <t>oericaugusto.com.br</t>
  </si>
  <si>
    <t>hotmart.com/pt-br/marketpl…</t>
  </si>
  <si>
    <t>sicoob.com.br/web/sicoobamaz…</t>
  </si>
  <si>
    <t>falavinhanext.com.br</t>
  </si>
  <si>
    <t>cherto.com.br</t>
  </si>
  <si>
    <t>vitorvalim.com.br</t>
  </si>
  <si>
    <t>enp.vc/site-twitter</t>
  </si>
  <si>
    <t>degusteadega.com</t>
  </si>
  <si>
    <t>instagram.com/striglab</t>
  </si>
  <si>
    <t>instagram.com/andresjklog</t>
  </si>
  <si>
    <t>bagy.bio/institutogenes…</t>
  </si>
  <si>
    <t>atrativacontabilidade.com.br</t>
  </si>
  <si>
    <t>keepo.io/janinepalmeira…</t>
  </si>
  <si>
    <t>linkme.bio/diorgenesadvog…</t>
  </si>
  <si>
    <t>linktr.ee/julianatorreci…</t>
  </si>
  <si>
    <t>sbresults.com.br</t>
  </si>
  <si>
    <t>fitinsur.com.br</t>
  </si>
  <si>
    <t>profito.club</t>
  </si>
  <si>
    <t>barrazine.com.br</t>
  </si>
  <si>
    <t>comunidadempresaria.org</t>
  </si>
  <si>
    <t>dwlcompany.com</t>
  </si>
  <si>
    <t>softex.br</t>
  </si>
  <si>
    <t>omie.com.br</t>
  </si>
  <si>
    <t>linktr.ee/portalgcd</t>
  </si>
  <si>
    <t>bit.ly/3MBV8gv</t>
  </si>
  <si>
    <t>dell.com.br</t>
  </si>
  <si>
    <t>Dell.com</t>
  </si>
  <si>
    <t>gestaumdigital.com.br</t>
  </si>
  <si>
    <t>mercadoeconsumo.com.br</t>
  </si>
  <si>
    <t>pin.it/x7hKCDK</t>
  </si>
  <si>
    <t>fabiofariadesigner.com.br</t>
  </si>
  <si>
    <t>eduardoduka.com/twitterbio</t>
  </si>
  <si>
    <t>wmbmarketingdigital.com.br</t>
  </si>
  <si>
    <t>instagram.com/revirandosp_/</t>
  </si>
  <si>
    <t>al.ce.gov.br</t>
  </si>
  <si>
    <t>vagaspelomundo.com.br</t>
  </si>
  <si>
    <t>superslimx.com.br</t>
  </si>
  <si>
    <t>antonioferreira.info</t>
  </si>
  <si>
    <t>jovempansjc.com.br</t>
  </si>
  <si>
    <t>conectafreela.com</t>
  </si>
  <si>
    <t>sipag.com.br</t>
  </si>
  <si>
    <t>terinovazores.pt</t>
  </si>
  <si>
    <t>chicasbiless.org</t>
  </si>
  <si>
    <t>gabrielguimaraes.adv.br</t>
  </si>
  <si>
    <t>linktr.ee/Oktoberblog</t>
  </si>
  <si>
    <t>silvanarosa.digital</t>
  </si>
  <si>
    <t>wa.me/message/XL5K5F…</t>
  </si>
  <si>
    <t>beabatributario.com.br</t>
  </si>
  <si>
    <t>bit.ly/SUSHI-faça-em-…</t>
  </si>
  <si>
    <t>sdnews.com.br</t>
  </si>
  <si>
    <t>expertdigital.net</t>
  </si>
  <si>
    <t>t.me/encontreiaqui</t>
  </si>
  <si>
    <t>youtube.com/channel/UCOL3D…</t>
  </si>
  <si>
    <t>nextracker.com</t>
  </si>
  <si>
    <t>naocontemporaneo.blogspot.com.br</t>
  </si>
  <si>
    <t>sebraego.com.br</t>
  </si>
  <si>
    <t>danieldantas.org</t>
  </si>
  <si>
    <t>spaceappschallenge.org</t>
  </si>
  <si>
    <t>williamhunt.com.br/segredos-dos-i…</t>
  </si>
  <si>
    <t>youtube.com/@IanWorcman</t>
  </si>
  <si>
    <t>campsite.bio/sebraepb</t>
  </si>
  <si>
    <t>bit.ly/Valeumaprosano…</t>
  </si>
  <si>
    <t>marciokarsten.pro.br</t>
  </si>
  <si>
    <t>infographya.com.br</t>
  </si>
  <si>
    <t>go.hotmart.com/L83543639B</t>
  </si>
  <si>
    <t>adailsonsantos.com.br</t>
  </si>
  <si>
    <t>criativaonline.com.br</t>
  </si>
  <si>
    <t>fgv.br/eaesp</t>
  </si>
  <si>
    <t>barbicontabil.com.br</t>
  </si>
  <si>
    <t>facebook.com/profile.php?id…</t>
  </si>
  <si>
    <t>agiwork.com.br</t>
  </si>
  <si>
    <t>instagram.com/abrennan9</t>
  </si>
  <si>
    <t>valor.globo.com</t>
  </si>
  <si>
    <t>centercon.com.br</t>
  </si>
  <si>
    <t>paineiracontabilidade.com.br</t>
  </si>
  <si>
    <t>linktr.ee/mundodomarketi…</t>
  </si>
  <si>
    <t>fortinet.com/br</t>
  </si>
  <si>
    <t>7it.com.br</t>
  </si>
  <si>
    <t>jornalcontabil.com.br</t>
  </si>
  <si>
    <t>fenacon.org.br</t>
  </si>
  <si>
    <t>ucs.br</t>
  </si>
  <si>
    <t>linkedin.com/in/reginaldosc…</t>
  </si>
  <si>
    <t>instagram.com/lubuscaroli/</t>
  </si>
  <si>
    <t>georgeshumbert.com.br</t>
  </si>
  <si>
    <t>lp.janikingbrasil.com.br/limpeza-profis…</t>
  </si>
  <si>
    <t>linkedin.com/in/carolcandp</t>
  </si>
  <si>
    <t>linktr.ee/laserchip</t>
  </si>
  <si>
    <t>instagram.com/ju.linharees?i…</t>
  </si>
  <si>
    <t>swissnex.org/brazil/</t>
  </si>
  <si>
    <t>noticias.portaldaindustria.com.br</t>
  </si>
  <si>
    <t>solvitsc.com</t>
  </si>
  <si>
    <t>cng.ifmg.edu.br</t>
  </si>
  <si>
    <t>anmarketingdigital.com</t>
  </si>
  <si>
    <t>carlossantos.com.br</t>
  </si>
  <si>
    <t>stanleyshair.com.br</t>
  </si>
  <si>
    <t>caesegatos.com.br</t>
  </si>
  <si>
    <t>escola.digitalista.com.br</t>
  </si>
  <si>
    <t>monkeefeice.online</t>
  </si>
  <si>
    <t>bit.ly/3EJeFJX</t>
  </si>
  <si>
    <t>kick.com/chatprivado-of…</t>
  </si>
  <si>
    <t>djhons.radiostream321.com</t>
  </si>
  <si>
    <t>paraiba.pb.gov.br/diretas/saude/…</t>
  </si>
  <si>
    <t>ekadvogados.com.br</t>
  </si>
  <si>
    <t>linktr.ee/cryptoherobr</t>
  </si>
  <si>
    <t>brasil.perfil.com</t>
  </si>
  <si>
    <t>jmenezesadvogados.com.br</t>
  </si>
  <si>
    <t>in9midia.com</t>
  </si>
  <si>
    <t>i3d.me/0yVS3A</t>
  </si>
  <si>
    <t>revistaesquinas.casperlibero.edu.br</t>
  </si>
  <si>
    <t>inacademy.eu</t>
  </si>
  <si>
    <t>ips.pt</t>
  </si>
  <si>
    <t>uc.pt</t>
  </si>
  <si>
    <t>hotm.art/combo5ebooks</t>
  </si>
  <si>
    <t>mariavarnieri.com.br</t>
  </si>
  <si>
    <t>russellbedford.com.br</t>
  </si>
  <si>
    <t>absorventedermico.com.br/bio</t>
  </si>
  <si>
    <t>saopaulo.sp.leg.br</t>
  </si>
  <si>
    <t>portal.uab.pt</t>
  </si>
  <si>
    <t>workspacecuritiba.com.br</t>
  </si>
  <si>
    <t>americansbusiness.com.br</t>
  </si>
  <si>
    <t>about.me/valterlobo</t>
  </si>
  <si>
    <t>instabio.cc/3030610uYYUGF</t>
  </si>
  <si>
    <t>futurorocha.com.br</t>
  </si>
  <si>
    <t>linktr.ee/nikolasferreira</t>
  </si>
  <si>
    <t>instagram.com/torresconsulto…</t>
  </si>
  <si>
    <t>vendasoprocesso.blogspot.com</t>
  </si>
  <si>
    <t>vsco.co/prado-luiza</t>
  </si>
  <si>
    <t>instagram.com/davi_ssantana?…</t>
  </si>
  <si>
    <t>buscatrade.com.br/comunidade/</t>
  </si>
  <si>
    <t>ornilolundgren.blogspot.com</t>
  </si>
  <si>
    <t>jonathafernandes.blogspot.com</t>
  </si>
  <si>
    <t>gastronomia.com.br</t>
  </si>
  <si>
    <t>fernandomelodesign.com.br</t>
  </si>
  <si>
    <t>trabalhoefe.com.br</t>
  </si>
  <si>
    <t>universidadefm.ufma.br</t>
  </si>
  <si>
    <t>ahistorianaparede.blogspot.com</t>
  </si>
  <si>
    <t>cedesconsultoria.com.br</t>
  </si>
  <si>
    <t>unifacol.edu.br</t>
  </si>
  <si>
    <t>instagram.com/salomaoferrett…</t>
  </si>
  <si>
    <t>bcq.usp.br</t>
  </si>
  <si>
    <t>iq.usp.br</t>
  </si>
  <si>
    <t>fcf.usp.br</t>
  </si>
  <si>
    <t>mla.bs/c1acb5b4</t>
  </si>
  <si>
    <t>magazinevoce.com.br/magazineMLHMO/</t>
  </si>
  <si>
    <t>diariodocomercio.com.br</t>
  </si>
  <si>
    <t>diariodocomercio.com.br/author/leonard…</t>
  </si>
  <si>
    <t>comunidade.ai</t>
  </si>
  <si>
    <t>agencia.fapesp.br</t>
  </si>
  <si>
    <t>up.pt</t>
  </si>
  <si>
    <t>ufscar.br</t>
  </si>
  <si>
    <t>freeclassificados.com</t>
  </si>
  <si>
    <t>danielpena.com.br</t>
  </si>
  <si>
    <t>nelbevirtualflight.com.br</t>
  </si>
  <si>
    <t>cbn.com.br</t>
  </si>
  <si>
    <t>miltonjung.com.br</t>
  </si>
  <si>
    <t>youtube.com/@InvestindoBem…</t>
  </si>
  <si>
    <t>limoeirocomunicacao.com.br</t>
  </si>
  <si>
    <t>nitrio.org.br</t>
  </si>
  <si>
    <t>ecommercebrasil.com.br</t>
  </si>
  <si>
    <t>instagram.com/ke.nasc?utm_me…</t>
  </si>
  <si>
    <t>instagram.com/venezianolopes…</t>
  </si>
  <si>
    <t>markmoraislaw.com</t>
  </si>
  <si>
    <t>jovempan.com.br/entretenimento</t>
  </si>
  <si>
    <t>bastetmktbr.com.br</t>
  </si>
  <si>
    <t>jovempan.com.br</t>
  </si>
  <si>
    <t>bit.ly/victorjuver-ad…</t>
  </si>
  <si>
    <t>gov.br/inpi/pt-br</t>
  </si>
  <si>
    <t>youtube.com/channel/UCQlLV…</t>
  </si>
  <si>
    <t>acadbrasil.com.br</t>
  </si>
  <si>
    <t>instagram.com/planejadortrib…</t>
  </si>
  <si>
    <t>t.me/+WwMCorE4lEI5N…</t>
  </si>
  <si>
    <t>drinktherobotjuice.com</t>
  </si>
  <si>
    <t>shorturl.at/FHWZ9</t>
  </si>
  <si>
    <t>ibahia.com</t>
  </si>
  <si>
    <t>brasiltrabalhador.com.br</t>
  </si>
  <si>
    <t>malga.io</t>
  </si>
  <si>
    <t>poggiconsultoria.com.br</t>
  </si>
  <si>
    <t>queijodalagoa.com.br</t>
  </si>
  <si>
    <t>facebook.com/tumatecru</t>
  </si>
  <si>
    <t>emater.mg.gov.br</t>
  </si>
  <si>
    <t>agricultura.mg.gov.br</t>
  </si>
  <si>
    <t>linktr.ee/governomg</t>
  </si>
  <si>
    <t>sebrae.mg</t>
  </si>
  <si>
    <t>nyxmarketing.com.br</t>
  </si>
  <si>
    <t>semanadeinovacao.enap.gov.br</t>
  </si>
  <si>
    <t>TrendNugget.com</t>
  </si>
  <si>
    <t>webdesignmogi.com.br</t>
  </si>
  <si>
    <t>viajesyseguros.online</t>
  </si>
  <si>
    <t>goncalvesadv.com</t>
  </si>
  <si>
    <t>linkme.bio/ibest-ricardo-…</t>
  </si>
  <si>
    <t>agenciasertao.com</t>
  </si>
  <si>
    <t>bit.ly/CamilaFaraniiB…</t>
  </si>
  <si>
    <t>youtube.com/PanicoJovemPan</t>
  </si>
  <si>
    <t>nhosorvetes.com.br</t>
  </si>
  <si>
    <t>sociogigante.com</t>
  </si>
  <si>
    <t>jornalismodebancada.wordpress.com</t>
  </si>
  <si>
    <t>minum.com.br</t>
  </si>
  <si>
    <t>bento.me/steffynotion</t>
  </si>
  <si>
    <t>mercadaodosoculos.com.br/seja-um-franqu…</t>
  </si>
  <si>
    <t>Sinco.net</t>
  </si>
  <si>
    <t>hotm.art/forumblackrat1</t>
  </si>
  <si>
    <t>instagram.com/gabrielnadipeh</t>
  </si>
  <si>
    <t>papobiz.com</t>
  </si>
  <si>
    <t>dudumesquita.com.br</t>
  </si>
  <si>
    <t>gov.br/abc</t>
  </si>
  <si>
    <t>lukahwy.carrd.co</t>
  </si>
  <si>
    <t>jeff.buillderall.online</t>
  </si>
  <si>
    <t>linktr.ee/paullosergio_A…</t>
  </si>
  <si>
    <t>dotnetinstitute.co.in</t>
  </si>
  <si>
    <t>linkr.bio/marcelostrama?…</t>
  </si>
  <si>
    <t>caiofranca.com.br</t>
  </si>
  <si>
    <t>contate.me/pintoralexande…</t>
  </si>
  <si>
    <t>ootimista.com.br</t>
  </si>
  <si>
    <t>legadocriatividade.com.br</t>
  </si>
  <si>
    <t>youtube.com/c/EliasLealMkt</t>
  </si>
  <si>
    <t>linktr.ee/murilo.satler</t>
  </si>
  <si>
    <t>linkedin.com/in/samuel-vani…</t>
  </si>
  <si>
    <t>instagram.com/antoniodesouza…</t>
  </si>
  <si>
    <t>deskcoworking.com.br</t>
  </si>
  <si>
    <t>mujeresemprendedorasswfl.com</t>
  </si>
  <si>
    <t>instagram.com/estrategiaagui…</t>
  </si>
  <si>
    <t>open.spotify.com/artist/7Ibw8TH…</t>
  </si>
  <si>
    <t>descomplica.com.br</t>
  </si>
  <si>
    <t>ft.com/tim-bradshaw</t>
  </si>
  <si>
    <t>linktr.ee/prefeiturasant…</t>
  </si>
  <si>
    <t>links.jorgemorgado.vip</t>
  </si>
  <si>
    <t>linktr.ee/edbrindes</t>
  </si>
  <si>
    <t>gopage.bio</t>
  </si>
  <si>
    <t>piu.com.br</t>
  </si>
  <si>
    <t>hiperretail.com</t>
  </si>
  <si>
    <t>youtube.com/@PercyCamilo</t>
  </si>
  <si>
    <t>abre.ai/mentoriaimpuls…</t>
  </si>
  <si>
    <t>instagram.com/rafaopreis</t>
  </si>
  <si>
    <t>linktr.ee/desafio75dias</t>
  </si>
  <si>
    <t>metodoganheonline.com/link-FNO</t>
  </si>
  <si>
    <t>marclopezweb.com</t>
  </si>
  <si>
    <t>allbatroz.com.br</t>
  </si>
  <si>
    <t>youtube.com/@TOPGAIN</t>
  </si>
  <si>
    <t>bellahealthhaven.com</t>
  </si>
  <si>
    <t>damasio.com.br</t>
  </si>
  <si>
    <t>nuvemerp.com.br</t>
  </si>
  <si>
    <t>sthoudt.com.br</t>
  </si>
  <si>
    <t>amadoruben.com</t>
  </si>
  <si>
    <t>youtube.com/@originalsantt…</t>
  </si>
  <si>
    <t>cxcriativa.com.br</t>
  </si>
  <si>
    <t>contadorpj.com</t>
  </si>
  <si>
    <t>plataformaespinosa.com.br</t>
  </si>
  <si>
    <t>MidiaStudio.com.br</t>
  </si>
  <si>
    <t>gp1.com.br</t>
  </si>
  <si>
    <t>instagram.com/noticias.em.po…</t>
  </si>
  <si>
    <t>linkr.bio/iniciar_</t>
  </si>
  <si>
    <t>youtu.be/BxgIe76pLQ4?si…</t>
  </si>
  <si>
    <t>allmylinks.com/king-represent…</t>
  </si>
  <si>
    <t>coppolacontabil.com.br</t>
  </si>
  <si>
    <t>instagram.com/pedroferr_foto…</t>
  </si>
  <si>
    <t>moc.marketing</t>
  </si>
  <si>
    <t>corumbaonline.com.br</t>
  </si>
  <si>
    <t>wa.me/message/MS7SNZ…</t>
  </si>
  <si>
    <t>portalviva.com.br</t>
  </si>
  <si>
    <t>instagram.com/petra_amaral/?…</t>
  </si>
  <si>
    <t>linktr.ee/uflabr</t>
  </si>
  <si>
    <t>linktr.ee/campuspartybra</t>
  </si>
  <si>
    <t>agrotecnico.com.br</t>
  </si>
  <si>
    <t>jucema.ma.gov.br</t>
  </si>
  <si>
    <t>ilisp.org</t>
  </si>
  <si>
    <t>juntacomercial.pr.gov.br</t>
  </si>
  <si>
    <t>fosofamilia.gob.sv</t>
  </si>
  <si>
    <t>instagram.com/marcone.united…</t>
  </si>
  <si>
    <t>tarcisosouza.com</t>
  </si>
  <si>
    <t>cptb.me/bio</t>
  </si>
  <si>
    <t>tecminho.uminho.pt</t>
  </si>
  <si>
    <t>espetoflex.com.br</t>
  </si>
  <si>
    <t>fronteiralivre.com.br</t>
  </si>
  <si>
    <t>abes.org.br</t>
  </si>
  <si>
    <t>linktr.ee/tankkercrm</t>
  </si>
  <si>
    <t>forms.gle/t2L1oKdCbgxbue…</t>
  </si>
  <si>
    <t>marketingnew.com.br</t>
  </si>
  <si>
    <t>empresadefamilia.com.br</t>
  </si>
  <si>
    <t>linktr.ee/spreaker</t>
  </si>
  <si>
    <t>colatina.es.gov.br</t>
  </si>
  <si>
    <t>acontecendoaqui.com.br</t>
  </si>
  <si>
    <t>instagram.com/armando_carica…</t>
  </si>
  <si>
    <t>itisolutions.com.br</t>
  </si>
  <si>
    <t>agenciacapella.com.br</t>
  </si>
  <si>
    <t>linktr.ee/vika_invest</t>
  </si>
  <si>
    <t>teixeirarecco.com</t>
  </si>
  <si>
    <t>bit.ly/packsojonathan…</t>
  </si>
  <si>
    <t>granjanews.com.br</t>
  </si>
  <si>
    <t>jadsonempreendedor.com</t>
  </si>
  <si>
    <t>livronamochila.blogspot.com</t>
  </si>
  <si>
    <t>epocanegocios.globo.com</t>
  </si>
  <si>
    <t>compete2030.gov.pt</t>
  </si>
  <si>
    <t>sebraema.com.br</t>
  </si>
  <si>
    <t>facompcast.ufpa.br</t>
  </si>
  <si>
    <t>andersonlopesoficial.com.br</t>
  </si>
  <si>
    <t>youtube.com/@Laperch</t>
  </si>
  <si>
    <t>ativu.com.br</t>
  </si>
  <si>
    <t>costanorte.com.br</t>
  </si>
  <si>
    <t>plenitudeeducacao.com.br</t>
  </si>
  <si>
    <t>youtube.com/@popissimouniv…</t>
  </si>
  <si>
    <t>sebrae.com.br/tocantins</t>
  </si>
  <si>
    <t>micael-f.my.canva.site</t>
  </si>
  <si>
    <t>linktr.ee/jeronimolucindo</t>
  </si>
  <si>
    <t>bit.ly/filieseaoavante</t>
  </si>
  <si>
    <t>tiktok.com/@moneyvibelife</t>
  </si>
  <si>
    <t>feli.pe</t>
  </si>
  <si>
    <t>wiseup.com</t>
  </si>
  <si>
    <t>deputadodanielsoares.com.br</t>
  </si>
  <si>
    <t>impressosrp.com.br</t>
  </si>
  <si>
    <t>enoticiapara.com.br</t>
  </si>
  <si>
    <t>wtvbrasil.com.br</t>
  </si>
  <si>
    <t>cristianethiel.com.br</t>
  </si>
  <si>
    <t>niteroi.rj.gov.br</t>
  </si>
  <si>
    <t>coddymoda.com</t>
  </si>
  <si>
    <t>billala.carrd.co</t>
  </si>
  <si>
    <t>craceara.org.br</t>
  </si>
  <si>
    <t>linktr.ee/mercado.digita…</t>
  </si>
  <si>
    <t>linktr.ee/julianabaltaza…</t>
  </si>
  <si>
    <t>ibarrayasesores.com.mx</t>
  </si>
  <si>
    <t>tecnicageracao.com.br</t>
  </si>
  <si>
    <t>logistingroup.com</t>
  </si>
  <si>
    <t>ganhei_jogando.bio.link</t>
  </si>
  <si>
    <t>portaldoempreendedor360.com.br</t>
  </si>
  <si>
    <t>easycob.com.br</t>
  </si>
  <si>
    <t>40emais.com.br</t>
  </si>
  <si>
    <t>open.spotify.com/show/3pHCbE8Fj…</t>
  </si>
  <si>
    <t>trustbanga.co.mz</t>
  </si>
  <si>
    <t>uerj.br</t>
  </si>
  <si>
    <t>linktr.ee/orestesleal</t>
  </si>
  <si>
    <t>conteudo.auddas.com/auddas-league</t>
  </si>
  <si>
    <t>wyden.com.br/selecao?parcei…</t>
  </si>
  <si>
    <t>mossca.xyz</t>
  </si>
  <si>
    <t>linktr.ee/planb.hangout</t>
  </si>
  <si>
    <t>bit.ly/twitter2mi</t>
  </si>
  <si>
    <t>trabalhoxriqueza.com</t>
  </si>
  <si>
    <t>sebraepr.com.br</t>
  </si>
  <si>
    <t>certform.pt</t>
  </si>
  <si>
    <t>amzn.to/45YQ4vW</t>
  </si>
  <si>
    <t>craes.org.br</t>
  </si>
  <si>
    <t>gazetaexpressa.com.br</t>
  </si>
  <si>
    <t>calendly.com/blackmid/reuni…</t>
  </si>
  <si>
    <t>nossomeio.com.br</t>
  </si>
  <si>
    <t>rodrigofalasobre.com.br</t>
  </si>
  <si>
    <t>jornalpanoramaminas.com.br</t>
  </si>
  <si>
    <t>youtube.com/channel/UCSteB…</t>
  </si>
  <si>
    <t>instagram.com/corrupcaobrmem…</t>
  </si>
  <si>
    <t>rafaelresende.com.br</t>
  </si>
  <si>
    <t>fecomercioto.com.br</t>
  </si>
  <si>
    <t>milagtbarros.blogspot.com</t>
  </si>
  <si>
    <t>bahia.ba.gov.br</t>
  </si>
  <si>
    <t>sepromi.ba.gov.br</t>
  </si>
  <si>
    <t>biolinky.co/orobertovilela…</t>
  </si>
  <si>
    <t>moneytimes.com.br</t>
  </si>
  <si>
    <t>instagram.com/ricardojorgeli…</t>
  </si>
  <si>
    <t>goncalocruz.pt</t>
  </si>
  <si>
    <t>sonoticiaboa.com.br</t>
  </si>
  <si>
    <t>youtube.com/channel/UCbm-s…</t>
  </si>
  <si>
    <t>youtube.com/@ideologiaativ…</t>
  </si>
  <si>
    <t>thetryum.com</t>
  </si>
  <si>
    <t>linktr.ee/Josuemarksofc</t>
  </si>
  <si>
    <t>youtube.com/FernandoVitolo</t>
  </si>
  <si>
    <t>execsy.io/links</t>
  </si>
  <si>
    <t>conexaoamazonica.com.br</t>
  </si>
  <si>
    <t>amazon.com.br/hz/wishlist/ls…</t>
  </si>
  <si>
    <t>aligom.com</t>
  </si>
  <si>
    <t>portalvalentina.com.br</t>
  </si>
  <si>
    <t>Instagram.com/fabriziohraofc</t>
  </si>
  <si>
    <t>turismodeportugal.pt</t>
  </si>
  <si>
    <t>senado.leg.br/tv</t>
  </si>
  <si>
    <t>www12.senado.leg.br</t>
  </si>
  <si>
    <t>linktr.ee/Wevertonrocha</t>
  </si>
  <si>
    <t>sebraesp.com.br</t>
  </si>
  <si>
    <t>tmotacontabil.com.br</t>
  </si>
  <si>
    <t>ig.rdstation.com/ph.dsports?utm…</t>
  </si>
  <si>
    <t>linktr.ee/todxsbrasil</t>
  </si>
  <si>
    <t>letterboxd.com/ufoisis</t>
  </si>
  <si>
    <t>agenciagrifo.com.br</t>
  </si>
  <si>
    <t>buuk.com.br</t>
  </si>
  <si>
    <t>artesdadri.com.br</t>
  </si>
  <si>
    <t>taxservicesinfinity.com</t>
  </si>
  <si>
    <t>chatguru.com.br</t>
  </si>
  <si>
    <t>t.me/+iMy2__Z_vH8yO…</t>
  </si>
  <si>
    <t>linktr.ee/profcrisricardo</t>
  </si>
  <si>
    <t>fluir.ibgtaubate.com.br</t>
  </si>
  <si>
    <t>smartwebinfo.com.br</t>
  </si>
  <si>
    <t>revin.com.br</t>
  </si>
  <si>
    <t>araquari.sc.gov.br</t>
  </si>
  <si>
    <t>pay.kiwify.com.br/If2CjrO</t>
  </si>
  <si>
    <t>instagram.com/ericjolopes?ig…</t>
  </si>
  <si>
    <t>singcomunica.com.br</t>
  </si>
  <si>
    <t>linktr.ee/TodosOsNossosL…</t>
  </si>
  <si>
    <t>galaxpay.com.br</t>
  </si>
  <si>
    <t>jornaldooeste.com.br</t>
  </si>
  <si>
    <t>bit.ly/3OVmYa4</t>
  </si>
  <si>
    <t>giovanimattos.com.br</t>
  </si>
  <si>
    <t>mediatosi.com.br</t>
  </si>
  <si>
    <t>confap.org.br</t>
  </si>
  <si>
    <t>gov.br/cnpq</t>
  </si>
  <si>
    <t>efraimfilho.com.br</t>
  </si>
  <si>
    <t>bit.ly/contracocfilter</t>
  </si>
  <si>
    <t>clubedeautores.com.br/livro/amaras-a…</t>
  </si>
  <si>
    <t>bipocontabilidade.com.br</t>
  </si>
  <si>
    <t>linktr.ee/marcopatinha</t>
  </si>
  <si>
    <t>tiktok.com/@paitadoscortes</t>
  </si>
  <si>
    <t>linktr.ee/prefeituradesa…</t>
  </si>
  <si>
    <t>josielalcolumbre.com.br</t>
  </si>
  <si>
    <t>economicnewsbrasil.com.br</t>
  </si>
  <si>
    <t>lojasebraedf.com.br</t>
  </si>
  <si>
    <t>delightart.com.br</t>
  </si>
  <si>
    <t>beacons.ai/institutoexito</t>
  </si>
  <si>
    <t>twitter.com/KimSoyYo</t>
  </si>
  <si>
    <t>vivo.com.br/Pré</t>
  </si>
  <si>
    <t>ouricodecartola.com.br</t>
  </si>
  <si>
    <t>escola.riopreto.br</t>
  </si>
  <si>
    <t>linkedin.com/in/alamin-shei…</t>
  </si>
  <si>
    <t>grupojbg3.com.br</t>
  </si>
  <si>
    <t>mastermaverick.com.br</t>
  </si>
  <si>
    <t>bbgtelecom.com.br</t>
  </si>
  <si>
    <t>linktr.ee/positiva.finan…</t>
  </si>
  <si>
    <t>tipzar.io</t>
  </si>
  <si>
    <t>lfssantoscontabilidade.page</t>
  </si>
  <si>
    <t>jonnyviccari.com/links</t>
  </si>
  <si>
    <t>smartdefence.pt</t>
  </si>
  <si>
    <t>iapmei.pt</t>
  </si>
  <si>
    <t>instabio.cc/motivadorexpert</t>
  </si>
  <si>
    <t>sindpdce.org.br</t>
  </si>
  <si>
    <t>youtube.com/@Creatorboss7</t>
  </si>
  <si>
    <t>hil.tn/s6V6a4</t>
  </si>
  <si>
    <t>instagram.com/maraisamatosof…</t>
  </si>
  <si>
    <t>learnknowdigital.com</t>
  </si>
  <si>
    <t>github.com/allandonega</t>
  </si>
  <si>
    <t>comunicacaocubo.com.br/carolina</t>
  </si>
  <si>
    <t>linktr.ee/Zacombisk</t>
  </si>
  <si>
    <t>easybiz.com.br</t>
  </si>
  <si>
    <t>setorsaude.com.br</t>
  </si>
  <si>
    <t>sebraers.com.br</t>
  </si>
  <si>
    <t>linktr.ee/lanjer.7</t>
  </si>
  <si>
    <t>mindtek.com.br/vem-pra-mind/</t>
  </si>
  <si>
    <t>webmor.com.br</t>
  </si>
  <si>
    <t>dolcarajas.com.br</t>
  </si>
  <si>
    <t>victorgaete.com.br</t>
  </si>
  <si>
    <t>em.com.br</t>
  </si>
  <si>
    <t>alphaefficiency.com/portfolio</t>
  </si>
  <si>
    <t>notion.so</t>
  </si>
  <si>
    <t>gram.ly/GGO</t>
  </si>
  <si>
    <t>evernote.com</t>
  </si>
  <si>
    <t>canva.me/create</t>
  </si>
  <si>
    <t>buffer.start.page</t>
  </si>
  <si>
    <t>hubstaff.com</t>
  </si>
  <si>
    <t>rocket.chat</t>
  </si>
  <si>
    <t>novaeraestrategia.com</t>
  </si>
  <si>
    <t>bio.site/universidadebl…</t>
  </si>
  <si>
    <t>assimvocegosta.com.br</t>
  </si>
  <si>
    <t>tinyurl.com/santosandrea</t>
  </si>
  <si>
    <t>henriquearake.com.br</t>
  </si>
  <si>
    <t>linktr.ee/professorjulio…</t>
  </si>
  <si>
    <t>jonesarruda.com</t>
  </si>
  <si>
    <t>instagram.com/pedrohcmeira</t>
  </si>
  <si>
    <t>instagram.com/nasthadja/</t>
  </si>
  <si>
    <t>linktr.ee/tungalabel</t>
  </si>
  <si>
    <t>soryguillen.jeunessglobal.com</t>
  </si>
  <si>
    <t>linktr.ee/roabreu93</t>
  </si>
  <si>
    <t>hofmk.com.br</t>
  </si>
  <si>
    <t>bit.ly/3Oq02h1</t>
  </si>
  <si>
    <t>linktr.ee/metalomega</t>
  </si>
  <si>
    <t>yrbrasil.com.br</t>
  </si>
  <si>
    <t>ricardorocha.com.br</t>
  </si>
  <si>
    <t>linktr.ee/orcosecontabil…</t>
  </si>
  <si>
    <t>k12prospects.com</t>
  </si>
  <si>
    <t>k12Prospects.com</t>
  </si>
  <si>
    <t>instabio.cc/fernunesredator</t>
  </si>
  <si>
    <t>go.hotmart.com/J85956729F?dp=1</t>
  </si>
  <si>
    <t>uma.pt</t>
  </si>
  <si>
    <t>f12com.com.br/bio</t>
  </si>
  <si>
    <t>kiwify.app/RhyT3pG?afid=l…</t>
  </si>
  <si>
    <t>instagram.com/ruyter?igshid=…</t>
  </si>
  <si>
    <t>smallbizla.org</t>
  </si>
  <si>
    <t>linktr.ee/EXPANDIDOHORIZ…</t>
  </si>
  <si>
    <t>linkedin.com/in/ricardoagos…</t>
  </si>
  <si>
    <t>baruerinaweb.com.br</t>
  </si>
  <si>
    <t>denisferreiraeditorbahia.blogspot.com</t>
  </si>
  <si>
    <t>linktr.ee/yurigambogi</t>
  </si>
  <si>
    <t>presleyson.com.br</t>
  </si>
  <si>
    <t>linkbio.co/DraRenataMatias</t>
  </si>
  <si>
    <t>projetodraft.com/tag/paulo-dall…</t>
  </si>
  <si>
    <t>beacons.ai/franchisestore</t>
  </si>
  <si>
    <t>mycollection.shop/cesarlandivar</t>
  </si>
  <si>
    <t>MDFTECHNOLOGY.COM.BR</t>
  </si>
  <si>
    <t>econusa.com.br</t>
  </si>
  <si>
    <t>bravacapital.com</t>
  </si>
  <si>
    <t>magominimalista.com.br</t>
  </si>
  <si>
    <t>instagram.com/oleonardodantas</t>
  </si>
  <si>
    <t>gaidzinski.com</t>
  </si>
  <si>
    <t>instagram.com/farialima.elev…</t>
  </si>
  <si>
    <t>andersonaldoriadvocacia.com.br</t>
  </si>
  <si>
    <t>linktr.ee/vidigalsergio</t>
  </si>
  <si>
    <t>tribunapr.com.br</t>
  </si>
  <si>
    <t>qgnet.com.br</t>
  </si>
  <si>
    <t>instagram.com/crisloosecompa…</t>
  </si>
  <si>
    <t>marketingcomsucesso.com.br</t>
  </si>
  <si>
    <t>linktr.ee/capedeoficial</t>
  </si>
  <si>
    <t>oconfeiteirodigital.com</t>
  </si>
  <si>
    <t>webcer.digital</t>
  </si>
  <si>
    <t>instagram.com/sahmarroni?igs…</t>
  </si>
  <si>
    <t>webthomaz.com.br</t>
  </si>
  <si>
    <t>bijotti.com.br/minha-vida/</t>
  </si>
  <si>
    <t>bio.site/RafaelaVenanci…</t>
  </si>
  <si>
    <t>youtube.com/@talkthor</t>
  </si>
  <si>
    <t>linktr.ee/valuehost</t>
  </si>
  <si>
    <t>unifesp.br</t>
  </si>
  <si>
    <t>fbb.org.br</t>
  </si>
  <si>
    <t>freelucasg.com</t>
  </si>
  <si>
    <t>lp.negocioenxuto.com</t>
  </si>
  <si>
    <t>saneamentoambiental.com.br</t>
  </si>
  <si>
    <t>digital.cv</t>
  </si>
  <si>
    <t>quickening.com.br</t>
  </si>
  <si>
    <t>cabimbacorporation.webnode.pt</t>
  </si>
  <si>
    <t>linktr.ee/rederuralnacio…</t>
  </si>
  <si>
    <t>go.workshopinteligenciaartificial.com/campaign/insta…</t>
  </si>
  <si>
    <t>charmecaprichoecia.com.br</t>
  </si>
  <si>
    <t>celsodomingos.com</t>
  </si>
  <si>
    <t>contate.me/sarahsantiago</t>
  </si>
  <si>
    <t>instagram.com/luiserlanger</t>
  </si>
  <si>
    <t>soundcloud.com/marco-coelho-3</t>
  </si>
  <si>
    <t>linktr.ee/superjovem8</t>
  </si>
  <si>
    <t>anba.com.br</t>
  </si>
  <si>
    <t>leobegin.com</t>
  </si>
  <si>
    <t>mspontocom.com.br</t>
  </si>
  <si>
    <t>fiems.org.br</t>
  </si>
  <si>
    <t>portaldaindustria.com.br/senai/</t>
  </si>
  <si>
    <t>direitosp.fgv.br/centro-de-pesq…</t>
  </si>
  <si>
    <t>bit.ly/ttmeusucesso</t>
  </si>
  <si>
    <t>onumulheres.org.br</t>
  </si>
  <si>
    <t>mdemulher.com.br</t>
  </si>
  <si>
    <t>papoempreendedora.com</t>
  </si>
  <si>
    <t>cocacola.com.br</t>
  </si>
  <si>
    <t>linktr.ee/empreendedoris…</t>
  </si>
  <si>
    <t>linktr.ee/AUSPIN</t>
  </si>
  <si>
    <t>startupbrasil.org.br</t>
  </si>
  <si>
    <t>btgpactual.com</t>
  </si>
  <si>
    <t>jornaldoempreendedor.com.br</t>
  </si>
  <si>
    <t>fpempreendedorismo.org</t>
  </si>
  <si>
    <t>uniderp.br</t>
  </si>
  <si>
    <t>ig.rdstation.com/ucdb</t>
  </si>
  <si>
    <t>unicamp.br/unicamp/</t>
  </si>
  <si>
    <t>g1.com.br/pegn</t>
  </si>
  <si>
    <t>inovacaotecnologica.com.br</t>
  </si>
  <si>
    <t>startupmag.pt</t>
  </si>
  <si>
    <t>fiems.com.br</t>
  </si>
  <si>
    <t>ms.sebrae.com.br</t>
  </si>
  <si>
    <t>aliancaempreendedora.org.br</t>
  </si>
  <si>
    <t>superempreendedores.com</t>
  </si>
  <si>
    <t>sebraerj.com.br</t>
  </si>
  <si>
    <t>betacodexpress.com</t>
  </si>
  <si>
    <t>betacodex.org</t>
  </si>
  <si>
    <t>linktr.ee/diegoskda</t>
  </si>
  <si>
    <t>rhupgrade.com.br</t>
  </si>
  <si>
    <t>bit.ly/36fBBCu</t>
  </si>
  <si>
    <t>trilhacerta.com</t>
  </si>
  <si>
    <t>linkedin.com/in/alejandrodi…</t>
  </si>
  <si>
    <t>serraempauta.com</t>
  </si>
  <si>
    <t>mbstcomunicacao.com</t>
  </si>
  <si>
    <t>linktr.ee/trilios.brasil</t>
  </si>
  <si>
    <t>sandrapedroso.blogspot.com</t>
  </si>
  <si>
    <t>linktr.ee/angraofficial</t>
  </si>
  <si>
    <t>G1.com.br/rj</t>
  </si>
  <si>
    <t>perfil.ink/luciano</t>
  </si>
  <si>
    <t>luminaxiluminacao.com.br</t>
  </si>
  <si>
    <t>blogdohiellevy.com.br</t>
  </si>
  <si>
    <t>payfast.greenn.com.br/redirect/42527…</t>
  </si>
  <si>
    <t>linktr.ee/faperjoficial</t>
  </si>
  <si>
    <t>linktr.ee/Finep</t>
  </si>
  <si>
    <t>linktr.ee/gov_mcti</t>
  </si>
  <si>
    <t>amapa.gov.br</t>
  </si>
  <si>
    <t>eloconsult.com</t>
  </si>
  <si>
    <t>ahz.bio/leonardoafonso…</t>
  </si>
  <si>
    <t>linktr.ee/kainanbelato</t>
  </si>
  <si>
    <t>linktr.ee/brunomarquespro</t>
  </si>
  <si>
    <t>kiwify.app/hRL5gxY?afid=t…</t>
  </si>
  <si>
    <t>instagram.com/alexandrealmei…</t>
  </si>
  <si>
    <t>startupblog.pt</t>
  </si>
  <si>
    <t>seap.pa.gov.br</t>
  </si>
  <si>
    <t>negocioscomia.com/extensoesdochr…</t>
  </si>
  <si>
    <t>meioemensagem.com.br</t>
  </si>
  <si>
    <t>youtube.com/channel/UC9vxl…</t>
  </si>
  <si>
    <t>criciuma.sc.gov.br</t>
  </si>
  <si>
    <t>g1.globo.com/amazonas</t>
  </si>
  <si>
    <t>linktr.ee/pedromar1noo</t>
  </si>
  <si>
    <t>linktr.ee/exemplusconsul…</t>
  </si>
  <si>
    <t>linktr.ee/ojovemdesucess…</t>
  </si>
  <si>
    <t>lionsmarcas.com.br</t>
  </si>
  <si>
    <t>linktr.ee/creditopravaler</t>
  </si>
  <si>
    <t>g1.com.br</t>
  </si>
  <si>
    <t>participativo.rn.gov.br/ppa-rn</t>
  </si>
  <si>
    <t>bbc.co.uk/news</t>
  </si>
  <si>
    <t>seniorconsulting.com.br</t>
  </si>
  <si>
    <t>portalopoder.com.br</t>
  </si>
  <si>
    <t>vidasimples.co</t>
  </si>
  <si>
    <t>sebrae.com.br/sites/PortalSe…</t>
  </si>
  <si>
    <t>linktr.ee/limclown</t>
  </si>
  <si>
    <t>twitch.tv/problemart</t>
  </si>
  <si>
    <t>bit.ly/vendasautomáti…</t>
  </si>
  <si>
    <t>frontendce.com.br</t>
  </si>
  <si>
    <t>cakecomunicacao.com.br</t>
  </si>
  <si>
    <t>ibti.org.br</t>
  </si>
  <si>
    <t>esag.udesc.br</t>
  </si>
  <si>
    <t>linktr.ee/maraujoassesso…</t>
  </si>
  <si>
    <t>chokwe.mofeko.com</t>
  </si>
  <si>
    <t>divulgarmeunegocio.com.br</t>
  </si>
  <si>
    <t>nebulatech.cc</t>
  </si>
  <si>
    <t>rotafruticulturaridedf.com.br</t>
  </si>
  <si>
    <t>metodocoex.com.br</t>
  </si>
  <si>
    <t>mla.bs/6ade314d</t>
  </si>
  <si>
    <t>youtube.com/nickpiercing</t>
  </si>
  <si>
    <t>xiririca.com.br</t>
  </si>
  <si>
    <t>ig.rdstation.com/sistemaischolar</t>
  </si>
  <si>
    <t>tropicalhub.co</t>
  </si>
  <si>
    <t>sisangola.com</t>
  </si>
  <si>
    <t>unicontab.com.br</t>
  </si>
  <si>
    <t>youtube.com/@JomarFalcao?s…</t>
  </si>
  <si>
    <t>manaus.am.gov.br</t>
  </si>
  <si>
    <t>institutolula.org</t>
  </si>
  <si>
    <t>creativebureaucracy.org/programme</t>
  </si>
  <si>
    <t>lucasmirandaadv.com</t>
  </si>
  <si>
    <t>beacons.ai/sejanotado</t>
  </si>
  <si>
    <t>tvcultura.com.br</t>
  </si>
  <si>
    <t>esce.ips.pt</t>
  </si>
  <si>
    <t>projetocolabora.com.br</t>
  </si>
  <si>
    <t>keevo.com.br</t>
  </si>
  <si>
    <t>ocdcontabil.com.br</t>
  </si>
  <si>
    <t>kenlo.com.br</t>
  </si>
  <si>
    <t>reginacase.com.br</t>
  </si>
  <si>
    <t>portaldeprefeitura.com.br</t>
  </si>
  <si>
    <t>chefpizzaiolo.com.br</t>
  </si>
  <si>
    <t>linktr.ee/fxbank</t>
  </si>
  <si>
    <t>itamarborges.com.br</t>
  </si>
  <si>
    <t>scavuzzi.com.br/oconvite</t>
  </si>
  <si>
    <t>omelhortrato.com</t>
  </si>
  <si>
    <t>mundocoop.com.br</t>
  </si>
  <si>
    <t>aliexpress.com/account/settin…</t>
  </si>
  <si>
    <t>metalyblues.blogspot.com</t>
  </si>
  <si>
    <t>instagram.com/nandabarbosacr…</t>
  </si>
  <si>
    <t>youtube.com/channel/UCro8c…</t>
  </si>
  <si>
    <t>instagram.com/nazareamarga</t>
  </si>
  <si>
    <t>youtube.com/@FabiSouzzaAro…</t>
  </si>
  <si>
    <t>fortmetalurgica.com.br</t>
  </si>
  <si>
    <t>pay.hotmart.com/L75402080D</t>
  </si>
  <si>
    <t>empreendacg.com.br</t>
  </si>
  <si>
    <t>blog.temevento.com</t>
  </si>
  <si>
    <t>linktr.ee/ventiladorfans…</t>
  </si>
  <si>
    <t>donnes.com.br</t>
  </si>
  <si>
    <t>62a3c1961b901.site123.me</t>
  </si>
  <si>
    <t>amamosavidareal.com.br</t>
  </si>
  <si>
    <t>Africa-Newsroom.com</t>
  </si>
  <si>
    <t>afdb.org</t>
  </si>
  <si>
    <t>alizila.com</t>
  </si>
  <si>
    <t>jackmafoundation.org.cn</t>
  </si>
  <si>
    <t>bit.ly/AfricasBusines…</t>
  </si>
  <si>
    <t>linktr.ee/tatianafedatto</t>
  </si>
  <si>
    <t>linktr.ee/prefpoa</t>
  </si>
  <si>
    <t>publicadosbrasil.blogspot.com</t>
  </si>
  <si>
    <t>kwai-video.com/u/@BanguU</t>
  </si>
  <si>
    <t>nossobairro.net</t>
  </si>
  <si>
    <t>abravidro.org.br</t>
  </si>
  <si>
    <t>cauanreis.files.wordpress.com/2023/06/img-20…</t>
  </si>
  <si>
    <t>youtube.com/@novo30santos</t>
  </si>
  <si>
    <t>linktr.ee/emilianobsantos</t>
  </si>
  <si>
    <t>odvix.com.br</t>
  </si>
  <si>
    <t>danifontenelle.com.br</t>
  </si>
  <si>
    <t>instagran.com/wagner_gonpas</t>
  </si>
  <si>
    <t>linktr.ee/diogo_alt_tab</t>
  </si>
  <si>
    <t>rafaelaohanna.myportfolio.com</t>
  </si>
  <si>
    <t>totalserviceconsultoria.com</t>
  </si>
  <si>
    <t>quatrorodas.com.br</t>
  </si>
  <si>
    <t>sympla.com.br/odilondeborba</t>
  </si>
  <si>
    <t>o2multi.com.br</t>
  </si>
  <si>
    <t>blogdomelqui.com.br</t>
  </si>
  <si>
    <t>hotm.art/GQ4FBF</t>
  </si>
  <si>
    <t>linktr.ee/8NineteenProLAb</t>
  </si>
  <si>
    <t>criarteitu.com.br</t>
  </si>
  <si>
    <t>linktr.ee/fabricioviana</t>
  </si>
  <si>
    <t>cleversonlacerda.com.br</t>
  </si>
  <si>
    <t>instagram.com/_afroditelinge…</t>
  </si>
  <si>
    <t>arzuaschmitt.com.br</t>
  </si>
  <si>
    <t>orbi.co</t>
  </si>
  <si>
    <t>instagram.com/edersonrmelo</t>
  </si>
  <si>
    <t>cufaes.org</t>
  </si>
  <si>
    <t>maiseducativa.com/?r3d=revista-j…</t>
  </si>
  <si>
    <t>clmcontroller.com.br</t>
  </si>
  <si>
    <t>evolucaoge.com</t>
  </si>
  <si>
    <t>abracloud.com.br</t>
  </si>
  <si>
    <t>realdominio.com.br</t>
  </si>
  <si>
    <t>idolink.bio/vamosautomatiz…</t>
  </si>
  <si>
    <t>linktr.ee/cortesarquimil…</t>
  </si>
  <si>
    <t>portaljuristec.com.br</t>
  </si>
  <si>
    <t>esmarketingdigital.com</t>
  </si>
  <si>
    <t>beacons.ai/revistaatoz</t>
  </si>
  <si>
    <t>psdweb.com.br</t>
  </si>
  <si>
    <t>linktr.ee/CelsoMellani</t>
  </si>
  <si>
    <t>anchieta.es.gov.br</t>
  </si>
  <si>
    <t>daidson.github.io</t>
  </si>
  <si>
    <t>dcomercio.com.br</t>
  </si>
  <si>
    <t>amazon.com.br</t>
  </si>
  <si>
    <t>linktr.ee/cufa_brasil</t>
  </si>
  <si>
    <t>expofavela.com.br</t>
  </si>
  <si>
    <t>linktr.ee/tvglobo</t>
  </si>
  <si>
    <t>favelaholding.com.br</t>
  </si>
  <si>
    <t>cidadedasartes.rio</t>
  </si>
  <si>
    <t>cufa.org.br</t>
  </si>
  <si>
    <t>kamayventures.com</t>
  </si>
  <si>
    <t>st-one.io</t>
  </si>
  <si>
    <t>dinerama.com.br</t>
  </si>
  <si>
    <t>autaza.com</t>
  </si>
  <si>
    <t>pixforce.com.br/en</t>
  </si>
  <si>
    <t>implantait.com.br</t>
  </si>
  <si>
    <t>linktr.ee/somospinka</t>
  </si>
  <si>
    <t>twitter.com/ParthQuote/lik…</t>
  </si>
  <si>
    <t>douglasscn.com/bio</t>
  </si>
  <si>
    <t>rapperpirata.com.br</t>
  </si>
  <si>
    <t>instagram.com/ricardocarvalh…</t>
  </si>
  <si>
    <t>instagram.com/marcoprestes</t>
  </si>
  <si>
    <t>espiritualhope.com</t>
  </si>
  <si>
    <t>scalodigital.com.br</t>
  </si>
  <si>
    <t>cidadeama.com.br</t>
  </si>
  <si>
    <t>facebook.com/marcos.faiock.…</t>
  </si>
  <si>
    <t>linktr.ee/__.mentalidade…</t>
  </si>
  <si>
    <t>youtube.com/@costamiguel19…</t>
  </si>
  <si>
    <t>novadireita.pt</t>
  </si>
  <si>
    <t>imprensaberta.com.br</t>
  </si>
  <si>
    <t>penedagerestv.com</t>
  </si>
  <si>
    <t>linktr.ee/beyoursco</t>
  </si>
  <si>
    <t>f2tips.com/pronavenda</t>
  </si>
  <si>
    <t>newssantacatarina.com.br</t>
  </si>
  <si>
    <t>onjornal.com</t>
  </si>
  <si>
    <t>bspa.com.br</t>
  </si>
  <si>
    <t>linktr.ee/workshopdantas</t>
  </si>
  <si>
    <t>lula.com.br/siga-o-lula/</t>
  </si>
  <si>
    <t>about.me/rogermoreira</t>
  </si>
  <si>
    <t>instagram.com/robertomottaof…</t>
  </si>
  <si>
    <t>rodrigobaldoino.com</t>
  </si>
  <si>
    <t>novo.meulink.bio/bahiacamaroes</t>
  </si>
  <si>
    <t>linktr.ee/radiocdlfm</t>
  </si>
  <si>
    <t>feis.unesp.br</t>
  </si>
  <si>
    <t>patercontabilidade.com.br</t>
  </si>
  <si>
    <t>instagram.com/acess_moon?utm…</t>
  </si>
  <si>
    <t>earthinbag.wixsite.com/earthinbag</t>
  </si>
  <si>
    <t>linktr.ee/virtualeestudio</t>
  </si>
  <si>
    <t>gomitodigital.ao</t>
  </si>
  <si>
    <t>instagram.com/mia_dantas_f?i…</t>
  </si>
  <si>
    <t>inventivos.co/links</t>
  </si>
  <si>
    <t>sebrae.com.br/para</t>
  </si>
  <si>
    <t>beacons.ai/ajsoares</t>
  </si>
  <si>
    <t>instagram.com/arquiteto.ao?i…</t>
  </si>
  <si>
    <t>criardigital.com.br</t>
  </si>
  <si>
    <t>lnkd.in/d8_wwYSe</t>
  </si>
  <si>
    <t>biblioteca.cofen.gov.br</t>
  </si>
  <si>
    <t>nortusinvestimentos.com.br</t>
  </si>
  <si>
    <t>badbitcoin.org/thebadlist/</t>
  </si>
  <si>
    <t>lumosconnect.com.br</t>
  </si>
  <si>
    <t>Instagram.com/crf.augusto</t>
  </si>
  <si>
    <t>ysenseblog.blogspot.com</t>
  </si>
  <si>
    <t>tmjuntos.com.br</t>
  </si>
  <si>
    <t>vsco.co/juliacramos</t>
  </si>
  <si>
    <t>kiwify.app/UdtaffM?afid=5…</t>
  </si>
  <si>
    <t>martinhagondim.com.br</t>
  </si>
  <si>
    <t>3079destilados.com.br</t>
  </si>
  <si>
    <t>bio.machado.digital</t>
  </si>
  <si>
    <t>planetimportadora.com</t>
  </si>
  <si>
    <t>dicasdeumadministrador.com</t>
  </si>
  <si>
    <t>linktr.ee/tk.consulting</t>
  </si>
  <si>
    <t>matmitzz.com</t>
  </si>
  <si>
    <t>thiagomota.com.br</t>
  </si>
  <si>
    <t>instagram.com/leonardolopes.…</t>
  </si>
  <si>
    <t>ludgeroadvocacia.adv.br</t>
  </si>
  <si>
    <t>alphagraphics.com.br</t>
  </si>
  <si>
    <t>beedelivery.com.br</t>
  </si>
  <si>
    <t>iniav.pt</t>
  </si>
  <si>
    <t>radioitatiaiajf.com.br</t>
  </si>
  <si>
    <t>podcastquempodepodi.blogspot.com</t>
  </si>
  <si>
    <t>gorn.com.br</t>
  </si>
  <si>
    <t>danielemiliano.com.br</t>
  </si>
  <si>
    <t>cursoscda.com.br</t>
  </si>
  <si>
    <t>linktr.ee/expotapejara22</t>
  </si>
  <si>
    <t>linkme.bio/ghitswh</t>
  </si>
  <si>
    <t>riomaframix.com.br</t>
  </si>
  <si>
    <t>vendah.com.br/fabiola.pereir…</t>
  </si>
  <si>
    <t>pontoverde.pt</t>
  </si>
  <si>
    <t>facebook.com/NOVAImpactUNL</t>
  </si>
  <si>
    <t>hubin-project.eu</t>
  </si>
  <si>
    <t>lisboaenova.org</t>
  </si>
  <si>
    <t>linktr.ee/dayanamazini</t>
  </si>
  <si>
    <t>ipaldi.com</t>
  </si>
  <si>
    <t>bit.ly/MaterialClique…</t>
  </si>
  <si>
    <t>radardigitalbrasilia.com.br</t>
  </si>
  <si>
    <t>linktr.ee/sigera_sbera</t>
  </si>
  <si>
    <t>youtube.com/@MindLabPodCast</t>
  </si>
  <si>
    <t>linktr.ee/accamargocance…</t>
  </si>
  <si>
    <t>hss-consulting.com.br</t>
  </si>
  <si>
    <t>virtualflight.com.br</t>
  </si>
  <si>
    <t>fc.ul.pt</t>
  </si>
  <si>
    <t>portugalventures.pt</t>
  </si>
  <si>
    <t>portal.al.go.leg.br</t>
  </si>
  <si>
    <t>teclabs.pt</t>
  </si>
  <si>
    <t>instagram.com/felipeacostafo…</t>
  </si>
  <si>
    <t>ipforce.com.br</t>
  </si>
  <si>
    <t>bit.ly/3Im8rTk</t>
  </si>
  <si>
    <t>visaooeste.com.br</t>
  </si>
  <si>
    <t>taplink.cc/tiagomerces.r</t>
  </si>
  <si>
    <t>rmhdesigner.myportfolio.com</t>
  </si>
  <si>
    <t>agencianoimd.com.br</t>
  </si>
  <si>
    <t>mvpdesportiva.blogspot.pt</t>
  </si>
  <si>
    <t>chat.whatsapp.com/CpAMNv2k5w98Mb…</t>
  </si>
  <si>
    <t>linklist.bio/inovahcfmusp</t>
  </si>
  <si>
    <t>starbetsonline.com/afiliados/tawa…</t>
  </si>
  <si>
    <t>sellab.com.br</t>
  </si>
  <si>
    <t>linktr.ee/Kamba.Rico</t>
  </si>
  <si>
    <t>clubeloucasporsapatos.com.br</t>
  </si>
  <si>
    <t>facebook.com/prosperidade.e…</t>
  </si>
  <si>
    <t>wa.me/message/S4ONYS…</t>
  </si>
  <si>
    <t>claudiasouza.com.br</t>
  </si>
  <si>
    <t>revolucaoconsig.com.br</t>
  </si>
  <si>
    <t>douglasdallagnol.com.br</t>
  </si>
  <si>
    <t>cdlsaocaetano.org.br</t>
  </si>
  <si>
    <t>keepo.io/ogabrielaugusto</t>
  </si>
  <si>
    <t>conceitoking.com.br</t>
  </si>
  <si>
    <t>rodrigoklyngerr.com.br</t>
  </si>
  <si>
    <t>portalsbn.com.br</t>
  </si>
  <si>
    <t>eseg.edu.br</t>
  </si>
  <si>
    <t>mpsrobotica.com.br</t>
  </si>
  <si>
    <t>grupoadvancedce.com.br</t>
  </si>
  <si>
    <t>beacons.page/zerodoze</t>
  </si>
  <si>
    <t>exponencial5.com.br</t>
  </si>
  <si>
    <t>thalesbrandao.com.br</t>
  </si>
  <si>
    <t>afropython.org</t>
  </si>
  <si>
    <t>instagram.com/juliomj.85?utm…</t>
  </si>
  <si>
    <t>q-assist.com</t>
  </si>
  <si>
    <t>adolescentevintage.com</t>
  </si>
  <si>
    <t>acese.org.br</t>
  </si>
  <si>
    <t>noticenter.com.br</t>
  </si>
  <si>
    <t>AndroidFinal.com.br</t>
  </si>
  <si>
    <t>institutopropague.org</t>
  </si>
  <si>
    <t>khanh.com.br</t>
  </si>
  <si>
    <t>bit.ly/marlus-links</t>
  </si>
  <si>
    <t>hellotribune.com</t>
  </si>
  <si>
    <t>ruokdigital.com.br</t>
  </si>
  <si>
    <t>franchisingbook.com.br</t>
  </si>
  <si>
    <t>tsdg.com.br</t>
  </si>
  <si>
    <t>jlucastz.blogspot.com</t>
  </si>
  <si>
    <t>youtube.com/kleysller</t>
  </si>
  <si>
    <t>automasterbr.com</t>
  </si>
  <si>
    <t>botafogo.com.br</t>
  </si>
  <si>
    <t>certi.org.br</t>
  </si>
  <si>
    <t>banrisul.com.br</t>
  </si>
  <si>
    <t>sofisadireto.com.br</t>
  </si>
  <si>
    <t>beacons.ai/cresol.coop</t>
  </si>
  <si>
    <t>acate.com.br</t>
  </si>
  <si>
    <t>frxmidia.rds.land/lead</t>
  </si>
  <si>
    <t>instagram.com/leao_alexandre</t>
  </si>
  <si>
    <t>iconeeditora.com.br</t>
  </si>
  <si>
    <t>noticias.rtp.pt</t>
  </si>
  <si>
    <t>atitudequerealiza.com.br</t>
  </si>
  <si>
    <t>tnonline.uol.com.br</t>
  </si>
  <si>
    <t>campogrande.ms.gov.br</t>
  </si>
  <si>
    <t>pay.kiwify.com.br/slpJYr6</t>
  </si>
  <si>
    <t>moneyinvest.com.br</t>
  </si>
  <si>
    <t>sisangila.com</t>
  </si>
  <si>
    <t>podebem.com</t>
  </si>
  <si>
    <t>linktr.ee/luisnamura</t>
  </si>
  <si>
    <t>showdoimovel.com</t>
  </si>
  <si>
    <t>aciaanapolis.com.br</t>
  </si>
  <si>
    <t>imd.ufrn.br</t>
  </si>
  <si>
    <t>linktr.ee/pptnaocompila</t>
  </si>
  <si>
    <t>instagram.com/diogenes</t>
  </si>
  <si>
    <t>linktr.ee/niaviacirs</t>
  </si>
  <si>
    <t>acirs.org.br</t>
  </si>
  <si>
    <t>biscaromaiaadvocacia.com.br</t>
  </si>
  <si>
    <t>bi4all.pt</t>
  </si>
  <si>
    <t>instagram.com/1renanlima</t>
  </si>
  <si>
    <t>jornaldaki.com.br</t>
  </si>
  <si>
    <t>aqqia.com</t>
  </si>
  <si>
    <t>payment.ticto.app/O43EA0C65</t>
  </si>
  <si>
    <t>focus.jor.br</t>
  </si>
  <si>
    <t>95gospel.com.br</t>
  </si>
  <si>
    <t>erikpenna.com.br</t>
  </si>
  <si>
    <t>evovend.com.br</t>
  </si>
  <si>
    <t>alagoasnanet.com.br</t>
  </si>
  <si>
    <t>agroatlasbrasil.com</t>
  </si>
  <si>
    <t>lucianocopias.com.br</t>
  </si>
  <si>
    <t>bento.me/abnerramos</t>
  </si>
  <si>
    <t>guiadeti.com.br</t>
  </si>
  <si>
    <t>instagram.com/westart_projek…</t>
  </si>
  <si>
    <t>ctcv.pt</t>
  </si>
  <si>
    <t>diariodegoias.com.br</t>
  </si>
  <si>
    <t>institutoilan.org.br</t>
  </si>
  <si>
    <t>gov.br/mdic</t>
  </si>
  <si>
    <t>conatecontabilidade.com.br</t>
  </si>
  <si>
    <t>unitimobiliaria.com.br</t>
  </si>
  <si>
    <t>digital.pi.sebrae.com.br</t>
  </si>
  <si>
    <t>proddigital.com.br/negocio</t>
  </si>
  <si>
    <t>grandesconstrucoes.com.br</t>
  </si>
  <si>
    <t>instagram.com/pabloguzmandic…</t>
  </si>
  <si>
    <t>unionradio.net</t>
  </si>
  <si>
    <t>youtube.com/channel/UCUxp8…</t>
  </si>
  <si>
    <t>fedecamaras.org.ve</t>
  </si>
  <si>
    <t>instagram.com/san.thosedmar?…</t>
  </si>
  <si>
    <t>linktr.ee/PIXTVHD</t>
  </si>
  <si>
    <t>assespro-mg.org.br</t>
  </si>
  <si>
    <t>viravirtual.com.br</t>
  </si>
  <si>
    <t>eltoncopywriter.com</t>
  </si>
  <si>
    <t>agerio.com.br</t>
  </si>
  <si>
    <t>savoa.com.br</t>
  </si>
  <si>
    <t>yes.technology/pt-BR</t>
  </si>
  <si>
    <t>instagram.com/uillian.sales?…</t>
  </si>
  <si>
    <t>sistemas.uft.edu.br/periodicos/ind…</t>
  </si>
  <si>
    <t>ufmg.br/radio</t>
  </si>
  <si>
    <t>unisinos.br</t>
  </si>
  <si>
    <t>ufrgs.br</t>
  </si>
  <si>
    <t>carpegiani.com.br</t>
  </si>
  <si>
    <t>realizedestinos.blog/instagram-bio/</t>
  </si>
  <si>
    <t>mesorregional.com.br</t>
  </si>
  <si>
    <t>bancadapsdbrs.blogspot.com</t>
  </si>
  <si>
    <t>megatic.pt</t>
  </si>
  <si>
    <t>msha.ke/naadademais/</t>
  </si>
  <si>
    <t>instagram.com/hyperdrivebr/</t>
  </si>
  <si>
    <t>gov.br/receitafederal…</t>
  </si>
  <si>
    <t>facebook.com/Dua80rte-88954…</t>
  </si>
  <si>
    <t>karytonn.dev/bio</t>
  </si>
  <si>
    <t>desenvolvimento.go.gov.br</t>
  </si>
  <si>
    <t>onlyoffice.com</t>
  </si>
  <si>
    <t>enekapital.com/neto-de-paula</t>
  </si>
  <si>
    <t>serranossa.com.br</t>
  </si>
  <si>
    <t>pesquisa-eaesp.fgv.br</t>
  </si>
  <si>
    <t>linktr.ee/jonpadilha</t>
  </si>
  <si>
    <t>tiagoprado.com</t>
  </si>
  <si>
    <t>instagram.com/diempcefetrj</t>
  </si>
  <si>
    <t>linktr.ee/PodMais</t>
  </si>
  <si>
    <t>gov.br/enap</t>
  </si>
  <si>
    <t>linktr.ee/sccsbt</t>
  </si>
  <si>
    <t>payfast.greenn.com.br/redirect/32767…</t>
  </si>
  <si>
    <t>instagram.com/fatorleo</t>
  </si>
  <si>
    <t>linktr.ee/cortesrato</t>
  </si>
  <si>
    <t>sistemafaemg.org.br</t>
  </si>
  <si>
    <t>wa.link/j43nja</t>
  </si>
  <si>
    <t>portalnews.com.br</t>
  </si>
  <si>
    <t>tradewebbrasil.com.br</t>
  </si>
  <si>
    <t>brasilmineral.com.br</t>
  </si>
  <si>
    <t>oworld.com.br</t>
  </si>
  <si>
    <t>logosofia.org.br</t>
  </si>
  <si>
    <t>soypymes.com</t>
  </si>
  <si>
    <t>liderdeelite.com</t>
  </si>
  <si>
    <t>twitter.com/sidneisilva</t>
  </si>
  <si>
    <t>radeondigital.com</t>
  </si>
  <si>
    <t>linktr.ee/tapajosdefato</t>
  </si>
  <si>
    <t>fjur.adv.br</t>
  </si>
  <si>
    <t>linktr.ee/zhenniaqueiroz</t>
  </si>
  <si>
    <t>kentech.com.br</t>
  </si>
  <si>
    <t>negocioefetivo.com.br</t>
  </si>
  <si>
    <t>professorrafaelporcari.com</t>
  </si>
  <si>
    <t>linktr.ee/studiomadehits</t>
  </si>
  <si>
    <t>meadiciona.com/robbson</t>
  </si>
  <si>
    <t>growthmentoring.com.br</t>
  </si>
  <si>
    <t>labecastore.com.br</t>
  </si>
  <si>
    <t>youtube.com/c/AndradePlay</t>
  </si>
  <si>
    <t>correiodeminas.com.br</t>
  </si>
  <si>
    <t>linkedin.com/in/romero/</t>
  </si>
  <si>
    <t>bizgroup.com.br</t>
  </si>
  <si>
    <t>itshow.com.br</t>
  </si>
  <si>
    <t>juheinakarina.com</t>
  </si>
  <si>
    <t>linkr.bio/Silva.0788</t>
  </si>
  <si>
    <t>contasonline.com.br</t>
  </si>
  <si>
    <t>riseclub.com.br/franquia/</t>
  </si>
  <si>
    <t>radiopalermo.com.br</t>
  </si>
  <si>
    <t>linktr.ee/portopublicida…</t>
  </si>
  <si>
    <t>instagram.com/jornalismotvcu…</t>
  </si>
  <si>
    <t>apostilasopcao.com.br/?afiliado=13686</t>
  </si>
  <si>
    <t>lide.com.br</t>
  </si>
  <si>
    <t>polishop.com.br/?utm_source=tw…</t>
  </si>
  <si>
    <t>funep.com.br</t>
  </si>
  <si>
    <t>magazinevoce.com.br/magazinesmotta…</t>
  </si>
  <si>
    <t>culturaalternativa.com.br</t>
  </si>
  <si>
    <t>instagram.com/hucdiass/</t>
  </si>
  <si>
    <t>apexbrasil.com.br</t>
  </si>
  <si>
    <t>linkedin.com/in/divya-batan…</t>
  </si>
  <si>
    <t>linkfly.to/ronaldojdamace…</t>
  </si>
  <si>
    <t>guiacorporativo.com.br</t>
  </si>
  <si>
    <t>planetcoworking.com.br</t>
  </si>
  <si>
    <t>youtube.com/@danyelzin_anj…</t>
  </si>
  <si>
    <t>youtube.com/@Dinero601?fea…</t>
  </si>
  <si>
    <t>secti.ba.gov.br</t>
  </si>
  <si>
    <t>jornaldeblumenau.com.br</t>
  </si>
  <si>
    <t>ocbes.coop.br</t>
  </si>
  <si>
    <t>enzomitagens.neocities.org</t>
  </si>
  <si>
    <t>ma.gov.br</t>
  </si>
  <si>
    <t>linktr.ee/FelipeCamarao</t>
  </si>
  <si>
    <t>extensaoesag.blogspot.com</t>
  </si>
  <si>
    <t>chicosabetudo.com.br</t>
  </si>
  <si>
    <t>https://t.co/cZZNtkNJcN https://t.co/WubdGnRk6C</t>
  </si>
  <si>
    <t>https://t.co/TZqjAYZ7eQ https://t.co/dlFUdartO2 https://t.co/8e3574PIBM https://t.co/JKASs2CAnj</t>
  </si>
  <si>
    <t>https://t.co/117tqHc3sU https://t.co/qKvdBLVYUT https://t.co/yzW9nEWqXu</t>
  </si>
  <si>
    <t>https://t.co/tIAPSW2k8Z https://t.co/zOaMD8em0Z</t>
  </si>
  <si>
    <t>https://t.co/gU3B0jwbxh https://t.co/t9Oj1He704</t>
  </si>
  <si>
    <t>https://t.co/k99to9Qfai https://t.co/iMa9BX1EOP</t>
  </si>
  <si>
    <t>https://t.co/hbCFtdqAc0 https://t.co/rdxnyImKwa</t>
  </si>
  <si>
    <t>https://t.co/GrYaINL6ms https://t.co/lX2PIukTw5</t>
  </si>
  <si>
    <t>https://t.co/n8gSyRxQDx https://t.co/oxY1Azoghd https://t.co/jfSFfsPcl9</t>
  </si>
  <si>
    <t>https://t.co/ym8eVogzuo https://t.co/8KzilcbJpV https://t.co/VI3CaB5Vc1</t>
  </si>
  <si>
    <t>https://t.co/wkRX6u8ESA https://t.co/tpVEFLD1X3</t>
  </si>
  <si>
    <t>https://t.co/4i9WNqyZCX https://t.co/4i9WNqyZCX</t>
  </si>
  <si>
    <t>https://t.co/Of5eNDCwvr https://t.co/H06pWc0IKm</t>
  </si>
  <si>
    <t>https://t.co/n7us2D6OA9 https://t.co/Be3aQoqAI5</t>
  </si>
  <si>
    <t>https://t.co/I8WQBZGr33 https://t.co/CtftMtHNGx</t>
  </si>
  <si>
    <t>https://t.co/9awgxobGDR https://t.co/9awgxobGDR</t>
  </si>
  <si>
    <t>http://www.wictorbispo.com.br https://www.youtube.com/@wictorbispo</t>
  </si>
  <si>
    <t>http://IdeiasBlah.com.br http://lemohost.online http://lemoweb.host http://nustorepresentes.com.br</t>
  </si>
  <si>
    <t>http://facebook.com/jovempannews http://t.me/oficialjpnews http://bit.ly/41IoMIO</t>
  </si>
  <si>
    <t>http://viajesyseguros.online http://bikerun.online</t>
  </si>
  <si>
    <t>https://youtube.com/@PercyCamilo https://instagram.com/percycamilo</t>
  </si>
  <si>
    <t>http://fb.com/diariodominho http://instagram.com/diariodominho</t>
  </si>
  <si>
    <t>http://instagram.com/uerj.oficial http://bit.ly/politica-redes</t>
  </si>
  <si>
    <t>http://instagram.com/estadodeminas/ http://facebook.com/EstadodeMinas</t>
  </si>
  <si>
    <t>http://help.evernote.com http://discussion.evernote.com http://evernote.com/SupportLogin.a</t>
  </si>
  <si>
    <t>http://instagram.com/automotivenews http://automotivenewsbrazil.blogspot.com http://youtube.com/@automotivenew</t>
  </si>
  <si>
    <t>https://amazimports.com.br http://limclown.webnode.page</t>
  </si>
  <si>
    <t>http://carreiraprofissional.com http://carreiraprofissional.com</t>
  </si>
  <si>
    <t>http://instagram.com/rafaela.ohanna https://rateyourmusic.com/~complexodeepico</t>
  </si>
  <si>
    <t>http://youtube.com/c/Tattoonotoco/ https://www.instagram.com/tatunotoko/</t>
  </si>
  <si>
    <t>http://linkedin.com/in/nova-entrepreneurship-unl/ http://instagram.com/nova_impact_unl/</t>
  </si>
  <si>
    <t>http://aleatoriando.com.br http://aleatoriando.com.br</t>
  </si>
  <si>
    <t>t.me/+1OQV2dYwNAxjY</t>
  </si>
  <si>
    <t>wictorbispo.com.br youtube.com/@wictorbispo</t>
  </si>
  <si>
    <t>linkedin.com/company/agenci</t>
  </si>
  <si>
    <t>salvadorfolhetim.blogspot.com/?m=0</t>
  </si>
  <si>
    <t>homemlapidado.gumroad.com/?_gl=1*u7qhdx</t>
  </si>
  <si>
    <t>qplay.pt</t>
  </si>
  <si>
    <t>instagram.com/horadotrader/</t>
  </si>
  <si>
    <t>Instagram.com/brgomes90</t>
  </si>
  <si>
    <t>bit.ly/pegn_assine</t>
  </si>
  <si>
    <t>gov.br/mdr/</t>
  </si>
  <si>
    <t>IdeiasBlah.com.br lemohost.online lemoweb.host nustorepresentes.com.br</t>
  </si>
  <si>
    <t>instagram.com/jorgeaguiarofi…</t>
  </si>
  <si>
    <t>bit.ly/m/omieoficial</t>
  </si>
  <si>
    <t>linkme.bio/ffdesigner</t>
  </si>
  <si>
    <t>podcasters.spotify.com/pod/show/vagas…</t>
  </si>
  <si>
    <t>linktr.ee/autom</t>
  </si>
  <si>
    <t>linktr.ee/sebraegoias</t>
  </si>
  <si>
    <t>instagram.com/ifmgcampuscong</t>
  </si>
  <si>
    <t>stanleycursos.com.br/r/Inscreva-se</t>
  </si>
  <si>
    <t>revistacaesegatos.com.br</t>
  </si>
  <si>
    <t>JonaMenezes.adweb.app</t>
  </si>
  <si>
    <t>ba.sebrae.com.br</t>
  </si>
  <si>
    <t>instagram.com/emprendercomun…</t>
  </si>
  <si>
    <t>filipeferraz.co</t>
  </si>
  <si>
    <t>linktr.ee/eciocosta</t>
  </si>
  <si>
    <t>allmylinks.com/iqusp</t>
  </si>
  <si>
    <t>youtube.com/ecommercebrasil</t>
  </si>
  <si>
    <t>vakinha.com.br/vaquinha/me-aj</t>
  </si>
  <si>
    <t>facebook.com/jovempannews t.me/oficialjpnews bit.ly/41IoMIO</t>
  </si>
  <si>
    <t>northstarbrain.com</t>
  </si>
  <si>
    <t>instagram.com/queijodalagoamg</t>
  </si>
  <si>
    <t>linkr.com/9k0n0</t>
  </si>
  <si>
    <t>viajesyseguros.online bikerun.online</t>
  </si>
  <si>
    <t>linkme.bio/eliaslealmkt/</t>
  </si>
  <si>
    <t>bit.ly/3QzrzkQ</t>
  </si>
  <si>
    <t>youtube.com/@PercyCamilo instagram.com/percycamilo</t>
  </si>
  <si>
    <t>instabio.cc/4020615yCNj2Y</t>
  </si>
  <si>
    <t>dindinsemfim.blogspot.com</t>
  </si>
  <si>
    <t>henriquearaujomkt.online</t>
  </si>
  <si>
    <t>vidasetechaves.wordpress.com/author/alinevi…</t>
  </si>
  <si>
    <t>bit.ly/3GQBYjx</t>
  </si>
  <si>
    <t>youtube.com/channel/UC0byF…</t>
  </si>
  <si>
    <t>linkin.bio/costanorteofic</t>
  </si>
  <si>
    <t>tinyurl.com/yy5bc6zr</t>
  </si>
  <si>
    <t>fb.com/diariodominho instagram.com/diariodominho</t>
  </si>
  <si>
    <t>instagram.com/uerj.oficial bit.ly/politica-redes</t>
  </si>
  <si>
    <t>ton.com.br/catalogo/?refe…</t>
  </si>
  <si>
    <t>wa.me/message/VSL7GO…</t>
  </si>
  <si>
    <t>t.me/thetryum</t>
  </si>
  <si>
    <t>futuro.ooo/servicos</t>
  </si>
  <si>
    <t>instagram.com/andrecolles?ig…</t>
  </si>
  <si>
    <t>facebook.com/SPFrenteCidada</t>
  </si>
  <si>
    <t>linktr.ee/cegadede</t>
  </si>
  <si>
    <t>hcpa.edu.br</t>
  </si>
  <si>
    <t>instagram.com/estadodeminas/ facebook.com/EstadodeMinas</t>
  </si>
  <si>
    <t>conversioninsider.com</t>
  </si>
  <si>
    <t>help.evernote.com discussion.evernote.com evernote.com/SupportLogin.a</t>
  </si>
  <si>
    <t>canva.me/help-center</t>
  </si>
  <si>
    <t>status.hubstaff.com</t>
  </si>
  <si>
    <t>wa.me/551732316976</t>
  </si>
  <si>
    <t>blog.mdftecnologia.com</t>
  </si>
  <si>
    <t>instagram.com/automotivenews automotivenewsbrazil.blogspot.com youtube.com/@automotivenew</t>
  </si>
  <si>
    <t>encurtador.com.br/bsvN3</t>
  </si>
  <si>
    <t>linktr.ee/CocaColaBR</t>
  </si>
  <si>
    <t>l.btgpactual.com/abrasuaconta</t>
  </si>
  <si>
    <t>unicamp.br/unicamp/notici</t>
  </si>
  <si>
    <t>5era.com</t>
  </si>
  <si>
    <t>linktr.ee/sistemafiems</t>
  </si>
  <si>
    <t>bit.ly/3gABdnl</t>
  </si>
  <si>
    <t>youtube.com/c/ProfessorCés…</t>
  </si>
  <si>
    <t>bit.ly/PapoRetoAleDic…</t>
  </si>
  <si>
    <t>payfast.greenn.com.br/redirect/42527</t>
  </si>
  <si>
    <t>linktr.ee/bd.consultoria</t>
  </si>
  <si>
    <t>diegoalvesfotografia.com</t>
  </si>
  <si>
    <t>empli.fi/g1/</t>
  </si>
  <si>
    <t>brazilianconnections.com.br</t>
  </si>
  <si>
    <t>amazimports.com.br limclown.webnode.page</t>
  </si>
  <si>
    <t>africabusinessheroes.org/en/</t>
  </si>
  <si>
    <t>prefeitura.poa.br</t>
  </si>
  <si>
    <t>carreiraprofissional.com carreiraprofissional.com</t>
  </si>
  <si>
    <t>instagram.com/rafaela.ohanna rateyourmusic.com/~complexodeepi…</t>
  </si>
  <si>
    <t>abr.ai/3Y6W977</t>
  </si>
  <si>
    <t>linktr.ee/achadosagora</t>
  </si>
  <si>
    <t>linktr.ee/agentesdomeioa…</t>
  </si>
  <si>
    <t>diariodeuberlandia.com.br</t>
  </si>
  <si>
    <t>youtube.com/c/Tattoonotoco/ instagram.com/tatunotoko/</t>
  </si>
  <si>
    <t>smart-cities.pt</t>
  </si>
  <si>
    <t>linkedin.com/in/nova-entrep… instagram.com/nova_impact_un…</t>
  </si>
  <si>
    <t>instagram.com/eunaedson</t>
  </si>
  <si>
    <t>aleatoriando.com.br aleatoriando.com.br</t>
  </si>
  <si>
    <t>siteinterativo.com.br/bem-vindo</t>
  </si>
  <si>
    <t>CidadeMarketing.com.br</t>
  </si>
  <si>
    <t>instagram.com/frasescomespir…</t>
  </si>
  <si>
    <t>mkt.b2hmarketing.com.br/li</t>
  </si>
  <si>
    <t>bit.ly/32YOr6F</t>
  </si>
  <si>
    <t>linkr.bio/focus.jor</t>
  </si>
  <si>
    <t>unionradio.net/90-3-fm-radio-…</t>
  </si>
  <si>
    <t>sobrancelhasdesign.com.br</t>
  </si>
  <si>
    <t>cutt.ly/unite</t>
  </si>
  <si>
    <t>bit.ly/3HCPICB</t>
  </si>
  <si>
    <t>linkbio.co/5061004U7CFXu</t>
  </si>
  <si>
    <t>bit.ly/curso-jornada-</t>
  </si>
  <si>
    <t>r.upland.me/vnZ2</t>
  </si>
  <si>
    <t>goo.gl/XCJuwS</t>
  </si>
  <si>
    <t>t.me/GovernoMA</t>
  </si>
  <si>
    <t>offensive_profile_content</t>
  </si>
  <si>
    <t>sensitive_media</t>
  </si>
  <si>
    <t>none</t>
  </si>
  <si>
    <t>regular</t>
  </si>
  <si>
    <t>Open Twitter Page for This Person</t>
  </si>
  <si>
    <t>autobahn1872094
Immersive Experience Chery Airyzer
8 Global automobile trade（China）
Car trader WhatsApp at +17202705204
#cheryarrizo8 #carrosdeluxo #carrosesportivos
#carrodeluxo #carroesportivo #carroeletrico
#arrizo6 #marketingdigitalbrasil
#marketingdeconteudo #empreendedorismo…
https://t.co/aM1U20So8i</t>
  </si>
  <si>
    <t>tioferini
Como identificar tendências no
Marketing Digital 🧠🥂 . . #ferini
#MarketingDigital #mindset #empreendedorismo
#dinheiro https://t.co/VoAoACPeaz</t>
  </si>
  <si>
    <t>raph4
O que aconteceria com os PEQUENOS
COMÉRCIOS e LOJAS no SOCIALISMO
Brasileiro? Curtiu? Socializa esse
RT e se ainda não seguia, siga
nozes! O professor @assimdisseojoao,
a poderosa @nunih e até o @Raph4
=) #Empresário #Empreender #Empreendedorismo
#Liberdade #JoaoCarvalho https://t.co/s70ANTfeZJ</t>
  </si>
  <si>
    <t xml:space="preserve">nunih
</t>
  </si>
  <si>
    <t xml:space="preserve">assimdisseojoao
</t>
  </si>
  <si>
    <t>iberoam_xyz
Trilha #DeSci Rio do @blockchain_rio
pronta ! Venha discutir com a gente
sobre #inovação, #empreendedorismo,
#ciência, #saúde, #blockchain,
#privacidade, #educação, #genômica,
#desci 🗓️ Quarta 13/09 ⏱️10h -
meiodia 🎯 @blockchain_rio no ExpoMAG
https://t.co/RZrevKdMOa</t>
  </si>
  <si>
    <t xml:space="preserve">blockchain_rio
</t>
  </si>
  <si>
    <t>leonardope36474
3. Considere promoções especiais
🎉 4. Revise estratégias de marketing
📢 5. Reforce atendimento ao cliente
👥 Adapte-se e vença os desafios!
💪 #Empreendedorismo #Vendas #ecomerce
#vendas</t>
  </si>
  <si>
    <t>luizfabcruz
Poderosa frase: "Filho, o seu avô
foi um homem de muita coragem.
Você precisa ser ainda mais." #Chamado:
🔥❤️💪🏽 #Legado: Cultive a coragem,
supere os desafios do seu tempo
e honre os seus antepassados! #Execução:
🔝 Go 🦁🚀 #coragem #honra #inspiração
#trabalho #empreendedorismo</t>
  </si>
  <si>
    <t>damasiobaixada
Já está no ar a temporada sobre
#Advocacia #Empreendedora do #Podcast
#Damásio com Ciro Dias e Leandro
Leão! Venha se aprofundar sobre
o mundo dos negócios para a área
de #Direito. Confira no: YouTube:
https://t.co/mItgL847U3 #podcastdamásio
#empreendedorismo #podcastdireito
https://t.co/IoYc5ihHin</t>
  </si>
  <si>
    <t>luhaoshop
Está preparado para crises nas
redes sociais? Descubra como as
empresas podem se proteger e evitar
danos à sua reputação online. Leia
o artigo completo no Blog da LuHao!
#gerenciamentodecrises #redessociais
#reputaçãoonline #prevençãodecrises
#empreendedorismo https://t.co/1zopSHElf1</t>
  </si>
  <si>
    <t>tvliberal
➡️ A jornalista Giluí Sóter, do
#g1Pará, concorre na categoria
texto; já Gustavo Ferreira, da
#TVLiberal, concorre na categoria
vídeo. 🔗 Reveja as reportagens
em: https://t.co/SEePuU6ncv #PremioSebraedeJornalismo
#PSJ #Amazônia #Abacaxi #Moda #Empreendedorismo
#Mulheres</t>
  </si>
  <si>
    <t>elkedesigner
O Cartão Interativo em PDF é uma
oportunidade para você enviar a
seu cliente (ou fornecedor), por
Whatsapp ou e-mail, todas as informações
da sua empresa centralizadas em
um único arquivo! #empreendedorismo
#negócios #vendas #gráfica #artegrafica
#elkedesign #brasil https://t.co/grEoLF9hoQ</t>
  </si>
  <si>
    <t>fernandozaidan
Esta realmente é uma frase de efeito:
"Priorizar é o poder de direcionar
recursos para onde realmente importa".
E tem muito a ver como tema Tríade
da Gestão. #priorizaçãoestratégica
#projetos #Empreendedorismo #Produtividade
#ResultadosSustentáveis #Equipealinhada
https://t.co/GNuvLZFXxG</t>
  </si>
  <si>
    <t>wictorbispo2020
A vida lhe exige competência de
ação, o que vai na prova não vai
na vida! #wfb #wictorbispo #desejo
#persistencia #livros #conhecimento
#sabedoria #2023 #gestao #negocios
#empreendedorismo #inteligenciamotivacional
#vivacomproposito #vivaparaDeus</t>
  </si>
  <si>
    <t>joxj0hn
🚀 Acredito na força do empreendedorismo
e na liberdade econômica para impulsionar
o nosso país. Juntos, podemos construir
um Brasil mais forte e próspero.
#EuSigoBolsonaro #Bitcoin #Empreendedorismo</t>
  </si>
  <si>
    <t>guarulhosonline
Centro Paula Souza abre inscrições
para curso online gratuito de empreendedorismo.
#Acelera #cursogratuito #empreendedorismo
#EscoladeInovadores #etecs #extensão
#fatecs #InovaCPS https://t.co/UH5zwEbnSc</t>
  </si>
  <si>
    <t>gfpandolfo
Atenção funcionários o recado é
para vocês! #pandolfo #vendamaisagora
#marketingdigital #chatbot #automacao
#empreendedorismo #empresa #digital
#chatgpt https://t.co/738rIgvhAR</t>
  </si>
  <si>
    <t>falecomromulo
#gramasintetica #gramasintética
#futebol #fut7 #empreendedorismo
#negocioproprio #fut7brasil #futebol
#fut7cearense #ligace7 #ligacefut7
#fpbf7 #futebol7 #inf7 #gramasinteticapreço
#fabricagramasintetica #gramasinteticafutebol
#gramasinteticasociety #futebolamador
https://t.co/9OPibLy9ya</t>
  </si>
  <si>
    <t>idealprojetos
#idealprojetos #projetos #arquitetura
#comercial #Empresarial #empreendedorismo
#integração #sala #loja #empresa
#interiores #fachadas #layout #moveis
#planejados #decoração #decor #iluminação
#conforto #ambiental #obra #reforma
#espaços #integrados #aceitamoscartoes
#Brasil https://t.co/nzkEugD7Tm</t>
  </si>
  <si>
    <t>linkarbio
Em cada desafio, uma oportunidade
espera para ser descoberta. Nesta
terça-feira, olhe além dos obstáculos
e encontre seu caminho para o sucesso!
💼🌟 #TerçaDeOportunidades #Empreendedorismo
#VisãoDeFuturo #MicroEmpreendedores
#InspiraçãoEmpresarial #DesafiosEOportunidades
https://t.co/BAbBgoSrLe</t>
  </si>
  <si>
    <t>wmjm1234
I just posted "#empreendedorismo
#marketingdigital #vendas #funil#fe
https://app.moneti..." on Reddit
https://t.co/w0ubMMQoit</t>
  </si>
  <si>
    <t>night7xr
Acesse já! https://t.co/ahx6iaOzqb
#MarketingDigital #empreendedorismo
#curso #aprendafazer https://t.co/agqoFJBcnd</t>
  </si>
  <si>
    <t>vtpodcast_
O que vale mais? O @ da internet
ou o @ do boi? 🐴💸👏🏻🤝 #empreender
#empreendedorismo #alexfilhomp
#vaqueiro #vaquejada https://t.co/6qq0XGxIl5</t>
  </si>
  <si>
    <t>criadordeideias
Veja o Carrossel. Veja no Instagram.
Saiba mais sobre a história empreendedora
de Joaquim Oliveira. #fundador
#40anos #história #empreendedorismo
#ocriadordeideias https://t.co/7oF4ng5rCx</t>
  </si>
  <si>
    <t>roberto_unger_
🇧🇷💪 Pequenos empreendedores,
trabalhadores e guardiões de valores.
Que os políticos aprendam: É hora
de valorizar quem faz a diferença
na base da sociedade. 🙌 #Empreendedorismo
#ForçaBrasil #FuturoPromissor https://t.co/BG5cZ4pftB</t>
  </si>
  <si>
    <t>wagner3m
Estruturando 3 Business Expeditions
até o final de 2023! #culturaempreendedora
#negocios #empresarios #empreendedorismo</t>
  </si>
  <si>
    <t>innovadores35
A @techreview_es está procurando as
mentes mais brilhantes de #LATAM
para reconhecê-las com os prêmios
#IU35LATAM2023🌎 Cadastre-se aqui: https://t.co/tamkk5yTUE
✅ As inscrições estarão abertas
até 19 de julho! #inovação #empreendedorismo
#tecnologia https://t.co/bIZ9KvDgcN</t>
  </si>
  <si>
    <t xml:space="preserve">techreview_es
</t>
  </si>
  <si>
    <t>gemeosinvestem
Esses são as 5 pessoas que são
mais bem assalariadas do mundo
todo, todos eles são CEOs de suas
respectivas empresas! Comenta aí
o que você faria com um salário
desses #salário #dinheiro #empreendedorismo
https://t.co/WlzfUSxaOP</t>
  </si>
  <si>
    <t>blumenauagora
Podcast Clube Vip com ANDREA OLIVEIRA,
Cabelereira Profissionale criadora
de conteúdo digital. #beleza #empreendedorismo
#entrevista #podcast #clubefmblumenau
https://t.co/NW3UQBBIMZ</t>
  </si>
  <si>
    <t>taniazambon_itz
...pessoa de sucesso, com supermetas
batidas, sendo referencia em sua
área, realizada com seu negócio
e prosperando. A oportunidade bate
em sua porta, mas quem gira a maçaneta
é você. 😉 #Empreendedorismo #Estratégias
#Esperanças #EmpodereSeuFuturo
#MestreDoSeuDestino #Metas</t>
  </si>
  <si>
    <t>joaozinhodobeck
Plantei maconha na floreira da
minha mãe sem ela saber, agora
tô esperando semear #Empresarios
#empreendedor #pequenasempresasgramdesnegocios</t>
  </si>
  <si>
    <t>comatletas_l
😄Gostou do vídeo deixa sua curtida👍,siga
nossa página,repost,todos os dias
tem cortes da live com atletas
e artistas, apresentação Marcelo
negão. #redessociais #marketingdigital
#lives #marketing #socialmedia
#instagram #midiassociais #publicidade
#resenha #empreendedorismo https://t.co/FqS8lCtFSA</t>
  </si>
  <si>
    <t>sebrae
A caravana Sebrae Pelo Brasil desembarcou
desta vez em terras piauienses!
✈️💙 ▶️ Aperte o play e conheça
a trajetória empreendedora da Raimundinha
Teixeira, presidente da COOPERART.
#Sebrae #Empreendedorismo #Startup
#Inovação #Piauí @deciolimapt https://t.co/TKdelKejvW</t>
  </si>
  <si>
    <t xml:space="preserve">deciolimapt
</t>
  </si>
  <si>
    <t>luizalvaro
Tenham paciência e determinação
na escolha do seu ponto comercial.
Se tudo der certo, você ficará
lá por muito tempo #empreendedorismo
https://t.co/K4Z1QJsBxZ</t>
  </si>
  <si>
    <t>agitomais
Sala Mineira Itinerante oferece
serviços essenciais e destaca cuidados
com a saúde bucal. Leia esta reportagem
em: https://t.co/ZRvtoSHuAo #itabirito
#agualimpa #SalaMineiraItinerante
#salamineiraitineranteemagualimpa
#empreendedorismo</t>
  </si>
  <si>
    <t>aci_scs
🤝E não podemos deixar de mostrar
alguns dos cliques do nosso Evento
de hoje, não é mesmo?! Arrasta
para o lado e confira, pois foi
o Café Empresarial um sucesso!
📸 #aci #cafeempresarial #suaempresa
#batepapo #evento #empreendedorismo
https://t.co/zX3px4IXJf</t>
  </si>
  <si>
    <t>dqapevidracaria
Fechamento de Fachada. 📍 Rio e
Grande Rio. 📲(21) 99266-4889.
Link do Whatsapp: https://t.co/G32SKzOydB
#DQAPE #serralheiro #serralheria
#vidraçaria #portão #porta #aluminio
#vidraceiro #vidro #blindex #duquedecaxias
#riodejaneiro #xerem #rj #gw #empreendedorismo
#reels https://t.co/BqDiLoxwGj</t>
  </si>
  <si>
    <t>_wsreis
Essa é a proposta ideal para você
que deseja ter resultado de verdade
com o mercado de dropshipping https://t.co/fOcAQUdc28
#dropshipping #lojainteligente
#MarketingDigital #empreendedorismo
https://t.co/u8lk2md26o</t>
  </si>
  <si>
    <t>alfagates
Chegou a hora de tirar o seu processo
de adequação à Lei Geral de Proteção
de Dados da gaveta. Conheça um
pouco mais do nosso trabalho, agende
sua reunião com nossa equipe comercial.
#LGPD #ProteçãoDeDados #Privacidade
#Empreendedorismo #SegurançaDigital
https://t.co/6G7ujkWbWN</t>
  </si>
  <si>
    <t>gabriel97ap
Melhor que picanha!? 😅🤪 Brincadeiras
a parte, esse site é o empurrão
que você precisava sem gastar muito
e abrir novas oportunidades de
trabalho para você. Confere lá
e me fala aqui nos comentários
o que vc achou 👍🏻😉 #tecnologia
#dicas #cursosgratuitos #empreendedorismo
https://t.co/6Iwk0X0ACb</t>
  </si>
  <si>
    <t>dr_renatolisboa
#rh #brasil #treinamento #business
#trabalho #recursoshumanos #work
#contabilidade #empresa #qualidadedevida
#coaching #gestaodepessoas #sucesso
#sãopaulo #sp #empreendedorismo
#liderança #br https://t.co/QUz1gh87Zb</t>
  </si>
  <si>
    <t>andrebianchim8
Abrir Empresa No Panamá – Morar
No Panamá – Residência No Panamá
Vale A Pena Morar No Panamá 2023?
#panama #morarnopana #negocios
#empreendedorismo Acesse agora:
https://t.co/ZBHZfY0rph https://t.co/mv90i0hUlB</t>
  </si>
  <si>
    <t>jfugice
Tá pensando que meu canal é só
para falar de franquias? Aproveita
o fim de semana, para conhecer
todas essas opções de renda extra
#RendaExtra #GanharDinheiro #MeuNegócio
#Empreendedorismo https://t.co/RRLIuAEkm6</t>
  </si>
  <si>
    <t>alexbucefalo90
Porque yo soy Barbie empresaria
💅😅 #empresas #empresarios #emprendedores
#empreendedorismo #emprender #Negocios
https://t.co/L1fs476wRS</t>
  </si>
  <si>
    <t>motivandoleoes
Focar constantemente nos problemas
apenas leva à perda de motivação
e vontade de perseguir nossos sonhos.
Em vez disso, é mais eficaz concentrar-se
nas soluções. #motivacao #foco
#motivacaoemfrases #motivacaodiaria
#empreendedorismo https://t.co/xScAngsYHt</t>
  </si>
  <si>
    <t>williansantos__
NINGUÉM PODE BATER A PORTA NA SUA
CARA, SE VOCÊ É O DONO DA PORTA
#empreendedorismo #negociosdigitais
#determinação #estilodevida #forbes
#forbesbrasil #KerbyJeanRaymond
https://t.co/R6ct5EvF2f</t>
  </si>
  <si>
    <t>maaria__fer
vendendo meus livros por preço
de banana fiz 100 reais em 15 min
🙏🏻🙏🏻🙏🏻 #empreendedorismo</t>
  </si>
  <si>
    <t>ocapitaldigital
O capitalismo é como uma peça criativa,
onde a ideia nunca está pronta,
mas sempre pronta para melhorar.
#ocapitaldigital #livre #livremercado
#livreiniciativa #empreendedorismo
#NovosDesafios #Negocios</t>
  </si>
  <si>
    <t>pciconcursos
⚠️ Salve e compartilhe! . . #pciconcursos
#motiva #motivacao #concursos #foco
#sucesso #empreendedorismo #fitness
#marketingdigital #amor #brasil
#concursopublico #motivation #empreender
#motivacional #frases #treino #inspira
#deus #vida #ao #determina #saude
#bomdia #dinheiro https://t.co/TqworTahbJ</t>
  </si>
  <si>
    <t>agencia_noimd
https://t.co/6w1fIEtR0C #maturi
#festival #trabalho #empreendedorismo
#networking #oficinas #workshop
#palestras</t>
  </si>
  <si>
    <t>drwrocha
#empreendedorismo #marketingdigital
#vendas #funil#fe https://app.moneti...
https://t.co/nG82eapasQ via @YouTube</t>
  </si>
  <si>
    <t xml:space="preserve">youtube
</t>
  </si>
  <si>
    <t>vagasdesalvador
🎯Fofoca Saudável de Hoje!🎯📌🍀✅
#FofocadoBem ... 🎯Fofoca: você
já está vencendo. ✨🪄 #Vaga - #Professor
Assistente - #Empreendedorismo.
Ide: https://t.co/bqqwyiZX0k</t>
  </si>
  <si>
    <t>digital4grow
“Content is not king, but a president
elected by the votes of those whom
it aims to rule.” #empreendedorismo
#empreender #empreendendo #empreendertransforma
#empresarios #praxedesmkt27051greennn
#blogger #digitalinfluencer #instagram
#olhosazuis</t>
  </si>
  <si>
    <t>linsdoceara
#Repost @desvendandonegocios Porque
o Brasil ainda precisa importar
petróleo? Gostou do conteúdo? compartilhe
e siga @desvendandonegocios #empreendedorismo
#empresas #negócios #administração
#desvendandonegocios #curiosidadesdenegocios
#petroleo #commodities #exportações
https://t.co/JRU0eaqWNA</t>
  </si>
  <si>
    <t>focanoimposto
💡 Empreendedores, essa é para
vocês! 🚀 Conhecimento sobre questões
tributárias é poder. Não subestime
a importância desse assunto para
o sucesso do seu negócio. #empreendedorismo
#tributação https://t.co/Ibxcv4oCww</t>
  </si>
  <si>
    <t>ciem_sde
¿Conocías sobre emprendimiento
social? Te contamos de manera resumida
de que se trata y su impacto en
nuestro día a día. #paradadelacultura
#CentrodeinnovacionSDE #Innovacion
#santodomingoeste #empreendedorismo
#emprendedores #coworking #networking
#emprendimiento https://t.co/tlL1bbYSed</t>
  </si>
  <si>
    <t>flaviopavanelli
"Desbravar novos horizontes, inovar
constantemente e buscar a excelência
são os pilares para o crescimento
empresarial. #Empreendedorismo
#Inovação #Crescimento"</t>
  </si>
  <si>
    <t>ysllaoliveira
RT @mere_lani: Dinossauros 🦖🦕
#confeiteira #maesfesteiras #bolodorio
#mãosdefada #empresária #bolosdecorados#bolosdepotegourmet
#empreended…</t>
  </si>
  <si>
    <t>mere_lani
Dinossauros 🦖🦕 #confeiteira #maesfesteiras
#bolodorio #mãosdefada #empresária
#bolosdecorados#bolosdepotegourmet
#empreendedorismo #gratidão #avidaehj
#TikTok#dinoussauro #topperdebolo#temasdiversos#jiujitsu
#topperdebolopersonalizado #chantinho
#chantimixamelia #cores https://t.co/5jtu88QXMg</t>
  </si>
  <si>
    <t>sejatuavontade
COMO FICAR MILIONÁRIO EM 2023 #RICO
#MILIONÁRIO #EMPREENDEDOR #EMPREENDER
https://t.co/ykWU6n9cq8</t>
  </si>
  <si>
    <t>ppspencersoares
INOVA+ NEWS:BNDES/CAPES/EMPREENDEDORISMO
#bndes #caps #empreendedorismo
#bid #pequenosnegócios #Amazônia
#RenomadoProfessor #UNL #atividades
#PPGCOM #Fabico #Simpósio https://t.co/UYsnQb1DJA
via @YouTube</t>
  </si>
  <si>
    <t>grasimancini
Descubra uma oportunidade única
para transformar sua vida%21%21%21
🤑🍃🗝️🧡 #meunovopost #empreendedorismo
#doterra https://t.co/dx7L2TGoDI</t>
  </si>
  <si>
    <t>thiag0_sillva
Venha fazer parte da Família mais
caseira do YouTube #empreendedorismo
#youtube #instagram https://t.co/7LCSDNA55W</t>
  </si>
  <si>
    <t>portalconvenios
Os empreendedores poderão acessar
crédito acessível e orientação
técnica ainda no segundo semestre,
graças à reabertura da linha #Microcrédito
Caixa Repasse pela #Caixa Econômica
Federal. Saiba +: https://t.co/1EsHugwdGg
#LinhaDeCrédito #MEI #Microempreendedor
#Empreendedorismo</t>
  </si>
  <si>
    <t>lu_ravi2
RT @mere_lani: Marsha e o urso🩷
#confeiteira #maesfesteiras #bolodorio
#mãosdefada #empresária #bolosdecorados#bolosdepotegourmet
#empreend…</t>
  </si>
  <si>
    <t>agoratalks
fala sobre como começar no marketing
digital. Episódio completo em nosso
canal, link na Bio🔗 #marketingdigital
#empreendedorismo #ganhardinheironainternet
#trafegopago #MarketingDigital
https://t.co/HTgKkN1oMB</t>
  </si>
  <si>
    <t>antonellampaiva
SE VOCÊ É AFILIADO INFOPRODUTOR
OU AUTÔNOMO E ESTÁ TENDO DIFICULDADES
PARA GERAR VENDAS, O GRANDE PROBLEMA
PODE ESTAR RELACIONADO AOS SEUS
CRIATIVOS QUE NÃO ESTÃO CONVERTENDO.
Experimente nosso Acervo AntiBlock
⬇️ https://t.co/bIdommH1Pk #empreendedorismo
#afiliados #marketing https://t.co/kXZVOHdq3L</t>
  </si>
  <si>
    <t>isabellampassos
Uso de celulares têm corrompido
a infância da geração alpha. https://t.co/iEiovLZFlp
sobre a crescente adultização da
criança. #Sociedade #Infancia #Psicologia
#Ansiedade #Empreendedorismo</t>
  </si>
  <si>
    <t>cnpjlucrativo
Não busque soluções rápidas, mas
sim um processo de crescimento
genuíno que resultará em uma vida
abundante. 🎶 | Pablo Maçal #negocios
#viralvideo #empreendedorismo https://t.co/pcurJuBDmg</t>
  </si>
  <si>
    <t>markusvital11
Gran lunes... sigue dando pasos
de peque-gran motivaciones. #empreendedorismo
#emprendimiento #motivacion #inspiración
#libertad #libertadfinanciera #networker
#befree https://t.co/qo8YT3y3tr</t>
  </si>
  <si>
    <t>gilsonc59351308
#oamorvenceu #empreendedorismo
https://t.co/fwpn9eVwQm</t>
  </si>
  <si>
    <t>manframing
Não queiras ser a pessoa mais inteligente
do grupo, refaz as tuas amizades
com pessoas que te possam beneficiar
a nível social, financeiro. #empreendedorismo
#masculinidade</t>
  </si>
  <si>
    <t>roddrigomoraes1
Empreender e investir te trará
uma vida mais livre, mas não menos
desafiadora. #investimentos #dividendos
#empreendedor #Marketing</t>
  </si>
  <si>
    <t>victorb_l
Insight do dia: Quanto mais você
alinhar sua responsabilidade, risco
e estratégia, você estará projetando
o sucesso de sua empresa. #empreendedorismo
#business</t>
  </si>
  <si>
    <t>qualificae
Valorize cada passinho, cada mudança,
por menor que seja, cada coisinha
do dia a dia. Nossa vida é um conjunto
de pequenas coisinhas que nos fazem
grandes. #motivação #foco #sucesso
#empreendedorismo #inspiração #pensamentopositivo
https://t.co/hRfegoLViz</t>
  </si>
  <si>
    <t>maradib10
#nathansfamous #SandaraPark #23point5
#acessorios #art #arte #amorpropio
#autoestima #brasil #confira #empreendedorismo
#sjrp https://t.co/YLQOS8rgb0</t>
  </si>
  <si>
    <t>sonogama
Kkkkkkk Para quem lembra do vídeo...
. . #sonogama #gama #gamadf #Gamaiada
#Empreendedor #Orelhao https://t.co/DtcU9qSfva</t>
  </si>
  <si>
    <t>jqlntls
chegar pro cara que vai de ônibus
em ônibus vendendo paçoquinha e
falar que se ele se esforçar bastante
um dia será rico #empreendedorismo</t>
  </si>
  <si>
    <t>nalydja_gomes
📲 Marque alguém que precisa desse
impulso de liderança e compartilhe
esse conteúdo para ajudar a transformar
mais vidas! 💙✨ #LiderançaEfetiva
#DesenvolvimentoDeEquipes #SucessoProfissional
#Produtividade #Motivação #LíderesDeSucesso
#CoachDeLiderança #Empreendedorismo
https://t.co/17BV9PpcEK</t>
  </si>
  <si>
    <t>beckamaced0
"🌟 Estou correndo atrás do meu
sonho de ajudar minha família e,
ao mesmo tempo, ter minha própria
loja. Venha conferir os produtos
incríveis que temos na #ShopReblui
e faça parte dessa jornada conosco!
💪✨ #RealizandoSonhos #Empreendedorismo"
https://t.co/XOerfLx4Su</t>
  </si>
  <si>
    <t>sucessoativado
#sucesso #empreendedorismo #motivação
#lifestyle #shorts #youtube #you...
https://t.co/pbRipjmUmp via @YouTube</t>
  </si>
  <si>
    <t>megeam
Esse é o futuro que queremos? É
esse o tipo de país que queremos
construir, que usa a força para
rechaçar o #empreendedorismo?</t>
  </si>
  <si>
    <t>andrelajst
Esta matéria do @g1amazonas explica
um pouco o que aconteceu hoje,
10, na UFAM, durante o evento no
qual palestrei sobre empreendedorismo
em Israel. Infelizmente, tive que
ser escoltado pela Polícia Federal
e uma servidora acabou sendo agredida
pelos manifestantes que não… https://t.co/ogMNiBVFC2</t>
  </si>
  <si>
    <t>panthermkt
#pracegover “Não existe momento
ruim para começar um negócio. A
não ser que você queira começar
um medíocre” Gary Vaynerchuck #motivação
#empreendedorismo #pequenasempresas
#negocioslocais #panthermkt https://t.co/6Kztg48AFh</t>
  </si>
  <si>
    <t>divulgabasicos
https://t.co/NvOTY750HC #ebook
#jardinagem #negócios #planta #mei
#empreendedorismo #basicosStore
#brasil</t>
  </si>
  <si>
    <t>bitalk_podcast
#GOOGLE ROUBOU O #GOOGLEMAPS 🤯
Podes ver o episódio completo c/
Luís Ferreira no nosso canal de
YouTube e todas as plataformas
de áudio 🎧 Também estamos no @canalq
#bitalk #podcast #empreendedorismo
#canalq #portugal #patentes #patent
#patenttroll #patentree https://t.co/8z28YcBqNN</t>
  </si>
  <si>
    <t xml:space="preserve">canalq
</t>
  </si>
  <si>
    <t>drleandroq
RT @ForbesBR: #HenryFord foi um
#empreendedor e engenheiro mecânico
norte-americano e o fundador da
Ford Motor Company. Foi a partir
da ind…</t>
  </si>
  <si>
    <t>forbesbr
#HenryFord foi um #empreendedor
e engenheiro mecânico norte-americano
e o fundador da Ford Motor Company.
Foi a partir da indústria por ele
fundada que o termo "Fordismo"
foi cunhado. #FraseDoDia #ForbesBr
#Empreender #Negócio https://t.co/sFvfXjyu5K</t>
  </si>
  <si>
    <t>odileygoncalves
Não espere por oportunidades extraordinárias.
Agarre ocasiões comuns e torne-as
grandes! Os fracos esperam por
oportunidades, os fortes criam-nas."
Orison Swett Marden #motivação
#empreendedorismo</t>
  </si>
  <si>
    <t>pdofranchising
Conheça os termos-chave que moldam
o sucesso no franchising. 💼🤝
#Franchising #Empreendedorismo
#TermosDoFranchising #PortaldoFranchising
https://t.co/pbQuQys15K</t>
  </si>
  <si>
    <t>panflixoficial
#SOSEmpreendedor 🆘 Alfredo Soares,
fundador da G4 Educação, explica
a importância de um case para desenvolvimento
do negócio 📺 Baixe agora. É grátis.
#entrevista #empreendedorismo #case
https://t.co/Lke9dRvJNV</t>
  </si>
  <si>
    <t>vrmarson
Os negócios são conduzidos por
pessoas e, portanto, compreender
as pessoas é essencial para compreender
os negócios. #empreendedorismo
#gestao #gestaodepessoas #empresas
#startup https://t.co/69KoazRyfX</t>
  </si>
  <si>
    <t>rcnonline_sc
➡️ Iniciativa reconhece as melhores
iniciativas públicas de estímulo
ao empreendedorismo Saiba Mais
👇 https://t.co/BvJv8ZIq8I #SEBRAE
#Empreendedorismo</t>
  </si>
  <si>
    <t>fabiosrme
A coragem de enfrentar o desconhecido,
encarar riscos e desafiar o convencional
define a trajetória do sucesso.
O medo da incerteza é nosso inimigo
mais traiçoeiro. #coragem #tomadadedecisão
#empreendedorismo #pessoas #RH
#negócios #estratégia https://t.co/TYLTuFUwCT</t>
  </si>
  <si>
    <t>lucianogaliotto
8 Atitudes de pessoas de RESPEITO
#sucesso #foco #motivação #vida
#empreendedorismo https://t.co/3dw820I6Gl</t>
  </si>
  <si>
    <t>itaboraisantos
Acesse: https://t.co/lC3obLeEUd
#Investimentos #liberdadefinanceira
#trader #empreendedorismo #empreendedorismodigital
#empreendedordesucesso #estrategia
#estrategiasdemercadeo #persistencia
#consistencia #sucesso #qualidadedevida
#miamibeach #bmfbovespa #forex
#sucesso https://t.co/bQ20ShlPfA</t>
  </si>
  <si>
    <t>jinggaweb_br
Já pensou em apresentar os seus
produtos ou serviços aos seus clientes
de forma profissional? Acesse o
nosso site e saiba mais! https://t.co/0dExWSafbg
Somos a JinggaWeb, a laranjinha
digital 🍊🥰 . #sites #landingpage
#web #redessociais #mei #empreendedorismo
#sebrae https://t.co/vYMcbhmtoM</t>
  </si>
  <si>
    <t>empreendegoias
EMPREENDEDORISMO: depois de deixar
emprego em loja de calçados, empreendedora
goiana abre confeitaria e agora
inicia projeto de ampliar a sua
própria fábrica. #empreendedorismo
#confeitaria #Goiás https://t.co/UwkFFTPyrk</t>
  </si>
  <si>
    <t>sandroveiga_
#liberdadefinanceira #rendavariavel
#rendapassiva #educacaofinanceira
#investimento #independênnciafinanceira
#economia #criptomoedas #motivação
#atualidades  #desenvolvimentopessoal
#desenvolvimentoprofissional #empreendedorismo
#utilidadepública #curiosidades
#reels #viral https://t.co/W252zk4SeX</t>
  </si>
  <si>
    <t>raphacoe
“Cantando espalharei por toda parte,
Se a tanto me ajudar o engenho
e arte.” Os Lusíadas, Camões. -
A felicidade atrelada ao resultado
da construção (engenho) com a invenção
(arte) #startups #empreendedorismo</t>
  </si>
  <si>
    <t>bazardot
EDUP EP-MS1559 Wireless Networking
Video Audio 300Mbps Wireless 802.11n
USB Adapter Network Card https://t.co/HmkaSoKDPe
#music #bluetooth #technology #headset
#tech #business #marketing #entrepreneur
#success #motivation #party #hiphop
#schweinbeck #atlanta #empreendedorismo
https://t.co/SGE00utaeb</t>
  </si>
  <si>
    <t>igornorado
@obruneus Coloca em pacotinhos
e vende em dark room #empreendedorismo</t>
  </si>
  <si>
    <t xml:space="preserve">obruneus
</t>
  </si>
  <si>
    <t>goakira_
Para assistir ou escutar o episódio
completo, acesse nosso YouTube
ou busque pela Central do Varejo
mas suas plataformas favoritas
de streaming #Podcast #Empreender
#Empreendedorismo #Varejo #CentralDoVarejo
#MeuNegocio #Ecommerce https://t.co/oB82lyx5Te</t>
  </si>
  <si>
    <t>expoedite
Produto apresentado na feira ExpoEdite
no dia 06/07, trabalho confeccionado
por aluno empreendedor do 1°A.
São peças bem elaboradas e com
material de qualidade. Uma coleção
de Amigurumis e pelúcias feitas
a mão. #empreendedorismo #Amigurumis
#cultura #joves https://t.co/8viaANr7T4</t>
  </si>
  <si>
    <t>maismillionario
💼💰 Estou determinado a alcançar
meu objetivo de faturar 1 milhão
de reais e estou pronto para compartilhar
minha jornada com vocês! Segue
aí para acompanhar cada passo rumo
à independência financeira! 🔥
#MotivaçãoFinanceira #Empreendedorismo
#NegóciosRentáveis</t>
  </si>
  <si>
    <t xml:space="preserve">editorasenacsp
</t>
  </si>
  <si>
    <t>economia_cafe
de aplicativos e da comunidade
em geral é essencial para o sucesso
desse projeto. #Economia #Finanças
#Investimentos #Dinheiro #Negócios
#MercadoFinanceiro #GestãoFinanceira
#EducaçãoFinanceira #Empreendedorismo
#PlanejamentoFinanceiro #CrescimentoEconômico</t>
  </si>
  <si>
    <t>isoservice
" O sucesso nos negócios é resultado
de pensar grande, agir com coragem,
e perseverar diante dos desafios"
#SucessoNosNegócios #PensarGrande
#AgirComCoragem #Perseverança #Empreendedorismo
#GestãoDeNegócios #MetasAudaciosas
#Resiliência #Oportunidades #Ação
https://t.co/uwCLN7srhB</t>
  </si>
  <si>
    <t>peqempresas
Conheça alguns instrumentos importantes
para identificar oportunidades
de melhoria no seu negócio com
base na satisfação - ou não - dos
seus clientes. #ItauEmpresas #PEGN
#empreendedorismo #cliente #satisfacaodocliente
Apresentado por @itau https://t.co/0ulsNFmtVT</t>
  </si>
  <si>
    <t xml:space="preserve">estudioglab
</t>
  </si>
  <si>
    <t xml:space="preserve">itau
</t>
  </si>
  <si>
    <t>kyah_borges
Acesso aos E-Books Informativos.
Se quiser Saber Mais sobre este
conteúdo Clique no Link abaixo
👉https://t.co/Apyf1L8LIe #Jornalismo
#Imprensa #Literatura #Leitura
#Empreendedorismo #homeoffice #Kyah_Borges
#Prabhas #FilmeseSéries #CinemaUpdate
#Cinema #Prabhas</t>
  </si>
  <si>
    <t>voxcognitiva
As tendências e inovações em Business
Intelligence (BI) estão em constante
evolução para atender às demandas
do mercado em um mundo cada vez
mais orientado por dados. https://t.co/0ngiimqThE
#bi #dados #empreendedor #recursos
#tecnologiadainformacao #LGPD</t>
  </si>
  <si>
    <t>sudecobr
Caravana da Sudeco está na capital
de Mato Grosso, Cuiabá, neste sexta-feira
(22) Acesse: https://t.co/Vduo9EltQU
@governodobrasil @midregional @rosemodesto
#sudeco #MT #FCO #fdco #governo
#cuiaba #centrooeste #credito #caravana
#agricultura #desenvolvimento #empreendedorismo
https://t.co/HpruJ5oqml</t>
  </si>
  <si>
    <t xml:space="preserve">midregional
</t>
  </si>
  <si>
    <t>thanerm
👉🏢🤝 Invista na franquia Body
Health: sucesso comprovado, suporte
completo, tecnologia avançada,
crescimento, satisfação do cliente.
Torne-se franqueado e alcance o
sucesso! #FranquiaBodyHealth #Suporte
#Tecnologia #Crescimento #SatisfaçãoCliente
#Investimento #Empreendedorismo
https://t.co/jLOBlzJOW4</t>
  </si>
  <si>
    <t>infobr_sistemas
#mudancasdehabitos #resultadospositivos
✅Pequenas mudanças, resultados
impressionantes. Não importa quais
sejam seus objetivos, Hábitos Atômicos
oferece um método eficaz para você
se aprimorar todos os dias. #hábitosatómicos
😉Fica a DICA❗ #iNotes #dicasdelivros
#empreendedor https://t.co/hxj1Xe1ciP</t>
  </si>
  <si>
    <t>correiopopular_
Affonso destaca atuação de agroindústrias
https://t.co/XNiQ6bNzwH #Empreendedorismo
#Agroindustrias #JornalCP #CorreioPopular
https://t.co/n9PLWT0Eas</t>
  </si>
  <si>
    <t>diegohnrq447
Olá, pessoal! Hoje vamos falar
sobre um tema importante no mundo
dos negócios: a dissolução parcial
de sociedade segundo... Continua⚖️
#DiegoHenrique #inhumas #inhumasgo
#Goiania #advogado #DissoluçãoParcial
#LegislaçãoBrasileira #Negócios
#Empreendedorismo #SociedadeComercial
https://t.co/2pJxGYJuDr</t>
  </si>
  <si>
    <t>coolifebrasil
📈💪 Definir KPIs eficazes é essencial
para o sucesso do seu negócio.
Siga esses passos e tenha uma base
sólida para medir e melhorar o
desempenho da sua empresa! #resultados
#análisedesempenho #tomadedecisões
#gestão #estratégia #negócios #planejamento
#empreendedorismo</t>
  </si>
  <si>
    <t>raullsantiago
Quem vamos nesse encontro, aqui?
#negocios #empreendedorismo. 🥰
https://t.co/WX7QuoQgNc</t>
  </si>
  <si>
    <t>damahcast
⚠️📢 DATA DO NOSSO VIGÉSIMO SEXTO
EPISÓDIO, #26 DO DAMAH_CAST 🎙🎧
17/07, SEGUNDA ÁS 20h30min📢⚠️
#podcast #trending #brasil #damahcast
#RS #dança #carnaval #canoas #mães
#viladoiapi #atleta #carnavalesca
#negras #maedeatleta #maesnegras
#passista #madrinha #empreendedorismo
https://t.co/tmZMpBVk1j</t>
  </si>
  <si>
    <t>oseiasgomesof
🤔 Empreendedor Campal ou Alpinista:
qual é você? 🌄🏔️ Esses dois tipos
de empreendedores têm suas peculiaridades,
forças e desafios. Dê play no vídeo
e descubra qual sua essência empreendedora!
. . . #Empreendedorismo #Sucesso
#Estratégia #OseiasGomes #EditoraGente…
https://t.co/eXksHCcFFk</t>
  </si>
  <si>
    <t>luizaandreiaaa
Todo empreendedor deve persistir
https://t.co/w2qmfFqK4w #empreendedorismo</t>
  </si>
  <si>
    <t>oabpara
Vagas ilimitadas! Não perca esta
oportunidade de trocar ideias,
aprender e ampliar sua rede de
contatos. Te esperamos lá! 💼🤝
Formulário para inscrição: https://t.co/zC9MF7XYgM
#EncontroDeNetworking #ConexõesJurídicas
#Gestão #Inovação #Empreendedorismo
#DeMãosDadasComOFuturo https://t.co/x05iNwcJpv</t>
  </si>
  <si>
    <t>andre_lug
Você está mais ficado em métricas
de vaidade ou métricas de verdade?
#negocios #empreendedorismo #marketingdigital
https://t.co/uUT5kkEBYV</t>
  </si>
  <si>
    <t>paulove52445139
O caminho do empreendedorismo é
desafiador, mas cada obstáculo
é uma oportunidade de crescimento
e conquista. #empreendedor #marketingdigital
#selfmademan #business</t>
  </si>
  <si>
    <t>jorgeaguiarmm
Não existe desculpa para quem faz
acontecer! Não fique parado esperando,
vá atrás pois eles estão precisando
do seu serviço ou produto. #sucesso
#crescimento #napoleonhill #jorgeaguiaroficial
#empreendedor #emprendedores https://t.co/gDdf66xG3w</t>
  </si>
  <si>
    <t>bacelarcontabil
Quem gosta de praticidade no dia
a dia consegue resolver tudo no
App e ainda tem conta digital gratuita.
Vem pra Cora! 💖 #dicacontabil
#contapj #bancocora #sejacora #sebrae
#empreendedorismo #contabilidadedigital
https://t.co/ojI6fXMIjJ</t>
  </si>
  <si>
    <t>entornohoje
Programa de #empreendedorismo rural
para jovens é chancelado e segue
para sanção do Executivo https://t.co/Hv1BkYEe8G</t>
  </si>
  <si>
    <t>editoragente
Se você quer saber como estar mais
conectado aos membros do seu time
e assim poder ter novas oportunidades
de crescimento, o livro de @newtonjuniorpro
é para você! #ecossistema #lideranca
#carreira #bookgram #negocios #empreendedorismo
#empresa #livro #sucesso #enriquecimento
https://t.co/o0bId2a7mu</t>
  </si>
  <si>
    <t>bancadahiphop
O Rapper Pirata traz importantes
reflexões sobre políticas de juventude,
economia e cultura na cidade de
São Paulo. Em suas músicas e entrevistas,
ele tem defendido a importância
de políticas públicas #PirataSP
. #juventude #economia #cultura
#empreendedorismo #SãoPaulo https://t.co/QQj3VrLI94</t>
  </si>
  <si>
    <t>pablocmara41553
"Seja corajoso o suficiente para
seguir seus sonhos e empreender.
O caminho pode ser desafiador,
mas com determinação e paixão,
você pode conquistar grandes realizações.
Acredite em si mesmo e nunca desista!"
#Motivação #Empreendedorismo #SonhosRealizados
#Persistência</t>
  </si>
  <si>
    <t>sammuelfogaca
Se você não está buscando a solução
então você é parte do problema!!
@professorjuniorgroth #empreender
#empreendedor #empresário #vendedor
#motivacao</t>
  </si>
  <si>
    <t>oericaugusto
Gostou 👍? Dê uma olhada nos outros
conteúdos 👇 @oEricAugusto Quer
que eu compartilhe o vídeo completo?
🙏 #viverdeinternet #viverdodigital
#empreendedordigital #empreendedorismo
#motivacao #ganhardinheiro #mentalidade
#prosperidade #amor #deus Fonte:
https://t.co/6DHsgZPx7O https://t.co/PQak5RRTaO</t>
  </si>
  <si>
    <t>luizansouto
hj entrevistei uma mulher que aos
17 começou a escovar o cabelo das
amigas da comunidade onde vive
por brincadeira. hj, aos 31, é
referência no megahair. Tô impactada
com sua determinação. mudei meu
dia depois desse encontro... #empreendedorismo
#jornalismo</t>
  </si>
  <si>
    <t>rebeliaocryptos
Alerta: Bitcoin e criptomoedas
Fique esperto agora! https://t.co/e41MuXEXX6
via @YouTube #criptomoedas #bitcoin
#investimento #dinheiro #blockchain
#empreendedorismo #trader #forex
#sucesso #marketing #marketingdigital
#mercadofinanceiro #investimentos
#bitcoinbrasil #bitcoins</t>
  </si>
  <si>
    <t>sicoob_amazonia
Conheça a inspiradora história
de Inês Aparecida proprietária
da fábrica VELAS AURORA, uma empreendedora
de sucesso que saiu de Mariluz/PR
há mais de 20 anos para montar
sua fábrica de velas em Porto Velho/RO.
#Velas #Decoração #Empreendedorismo
#NegócioFamiliar https://t.co/0BhtyjJz25</t>
  </si>
  <si>
    <t>falavinhanext
Para saber mais, acesse: https://t.co/Ci9dWE6Xl0
#fisco #impostos #obrigacoesfiscais
#gestaofiscal #empreendedorismo
#financasempresariais #gestaocontabil
#contabilidade #regularidadefiscal
#empresarios #dicasfinanceiras
#sucessoempresarial https://t.co/ss5LsE9QzA</t>
  </si>
  <si>
    <t>servicesvb30732
VBE SERVICES prioritizes your customer’s
problems and gives them solutions
accordingly. . . . . #CallCenterExcellence
#CustomerServicePros #CustomerDelight
#CustomerFirst#bpo #work #bhfyp
#business #marketing #job #empreendedorismo
#technology #workfromhome #sales
#businessowner https://t.co/8tJXs79D1p</t>
  </si>
  <si>
    <t>cherto
Tudo se inicia com o planejamento!
É sobre a importância de estabelecer
e saber quando mudar este plano
que o @marcelocherto fala neste
trecho do @excepcionaispodcast.
#franquia #franchising #expansaodenegocios
#empreendedorismo #empreender #podcast
#excepcionaispodcast https://t.co/mVyfZ16ZnA</t>
  </si>
  <si>
    <t xml:space="preserve">marcelocherto
</t>
  </si>
  <si>
    <t>vitorvalim
Pessoal, em parceria com a Jucec,
lançamos em Caucaia o Programa
Empresa Mais Simples. Agora, os
empreenderes com negócios de baixo
risco podem abrir sua empresa em
até 5 minutos. Bacana, não é? Basta
acessar o portal da Jucec. #Caucaia
#PrefeituradeCaucaia #Empreendedorismo</t>
  </si>
  <si>
    <t>ecomnapratica
Ouvimos vocês e, este mês, temos
aulas e cursos com aquele tema
quente sendo liberados para alunos.
Confere só o que vem por aí...
#dropshipping #ecommercebr #empreendedorismo
https://t.co/UpOfAOwjRt</t>
  </si>
  <si>
    <t>degusteadega
Fala Galera! Estamos online e te
convidamos a fazer parte da nossa
história! Deguste esta experiência
conosco. 🍷✨ #vinho #destilado
#adega #degusteadega #degustevinhosedestilados
#empreendedorismo https://t.co/dLUuPfzKbt</t>
  </si>
  <si>
    <t>striglab
Sua vida é você quem vive, sua
criação é você quem faz, sua marca
é você quem deixa. E AH: Nós estamos
por aqui pra te ajudar nesse caminho
;) #criatividade #autoconhecimento
#publicidade #empreendedorismo
#marcas #marketing https://t.co/QSPnyfrWWf</t>
  </si>
  <si>
    <t>andreltrs
Do livro A tríade do tempo #livro
#atriadedotempo #mentalidade #leitura
#empreendedor #atraircoisasboas
#amoler #amolivros https://t.co/CageOOQGZC</t>
  </si>
  <si>
    <t>pucgenesis
A chamada de setembro já está aberta
para novas startups que querem
fazer parte do ecossistema de inovação
do Gênesis! #genesispucrio #startups
#incubadoradeempresas #empreendedorismo
https://t.co/ZycXQN7l9E</t>
  </si>
  <si>
    <t>atrativaconta
Google anunciou que ampliou a disponibilidade
da Plataforma Napp, desenvolvida
em parceria com a Napp Solutions,
para pequenos negócios brasileiros.
Leia a matéria na integra: https://t.co/Y0i5UW2SzT
#google #googlemeunegocio #napp
#empreendedorismo #empreendedor
#brasil #viral https://t.co/GdM4bB0Q79</t>
  </si>
  <si>
    <t>brpaisdigital
Como o BNDES pretende financiar
a inovação e promover a 'neoindustrialização'
do país? Leia a entrevista! https://t.co/MX3A02KkUQ
#iot #industria #transformacaodigital
#inovacao #empreendedorismo #brasilpaisdigital</t>
  </si>
  <si>
    <t>palmeirajanine
Meu novo trabalho: cliente motoboy
inovador deu a ideia e eu embarquei
nela. Criamos essa arte com QR
Code para agilizar o pagamento
dxs passageirxs. #memes #trendviral
#viralreels #autonomo #empreendedor
#produto #inovação #qrcode #brunomars
#cometobrazil #bruninho #thetown
https://t.co/bmp5x4Zkoo</t>
  </si>
  <si>
    <t>diorgenesadvoca
#imposto #tributo #dinheiro #financas
#empresas #empresario #empreendedorismo
#negocios #servicos #industria
#comercio https://t.co/1aCSBivNUA</t>
  </si>
  <si>
    <t>glitchkitschas
#empreendedorismo no 📍RJ é tipo:
https://t.co/44YvoGKmBr</t>
  </si>
  <si>
    <t>fabysampaio_1
🌟 Quer mudar de vida? Então, permita-me
compartilhar quatro passos poderosos
que podem ajudar você a trilhar
esse caminho de crescimento e transformação.
Confira o texto completo em meu
Instagram: https://t.co/Jm1DwNe5lM
#empreendedorismo https://t.co/UjRlRE9MXZ</t>
  </si>
  <si>
    <t>tomoliveirafc
"Você pode está desempregado, mas
nunca deve está desocupado." ✅
Me siga @tomoliveira para ficar
atualizado. #marketingdigital #digitalmarketing
#negóciosonline #empreendedorismo
#desenvolvimentopessoal #autoaperfeiçoamento
#motivação #sucesso #inovação #mindset
https://t.co/b1nzOBdGVq</t>
  </si>
  <si>
    <t xml:space="preserve">tomoliveira
</t>
  </si>
  <si>
    <t>jutorrecilas
Empreender, maternar e amar! ❤️
. . #vamosjuntas #compartilhandoideias
#maes #maternidade #mktdigital
#empreendedorismo #amor #relações</t>
  </si>
  <si>
    <t>sbresults
🚀 Precisando de Estratégias para
Crescer o Seu Negócio? 💼💡 https://t.co/zhNYtXo1zt
#CrescimentoDeNegócios #EstratégiasEmpresariais
#SucessoEmpresarial #GestãoDeNegócios
#Empreendedorismo #MetasDeNegócios
#DesenvolvimentoProfissional #Inovação
#EstratégiasDeCrescimento</t>
  </si>
  <si>
    <t>bindwayspartner
👨‍💻 Encontre sócios e parceiros
para criar startups e negócios
juntos como Sócios, profissionais
de todas as áreas para evoluir
qualquer tipo de projeto. #startups
#empreendedorismo #empreender #negócios
#emprego #trabalho #oportunidade
#socios #parceria #SóciosDeNegócio
https://t.co/U1dQ4uXY1j</t>
  </si>
  <si>
    <t>fitinsur
Entre os dias 03 a 06 de outubro
acontecerá no Pier Maúa o maior
evento de tecnologia, inovação
e negócios da América Latina: RIO
INNOVATION WEEK com mentes inspiradoras
e brilhantes no mercado. #RioInnovationWeek
#Tecnologia #Inovação #Startups
#Seguradoras #Empreendedorismo
https://t.co/B7OZmWXkIK</t>
  </si>
  <si>
    <t>profitoclub
Projeto no Sandbox Regulatório
da CVM tokeniza R$ 2,5 milhões
em plantio da Radix Florestal.
Projetos de tokenização avançam
no Brasil. #mercadofinanceiro #investimentos
#bolsadevalores #trading #mercadoacões
#rendavariável #rendafixa #estratégia
#empreendedorismo #tokenizacao🔥
https://t.co/3xeO75LqQ0</t>
  </si>
  <si>
    <t>barrazine
Quer ser um pequeno empresário?
5 dicas de como se tornar MEI.
#Empreendedorismo #MEI https://t.co/eVLEp73inV
https://t.co/AYUvqOHCm9</t>
  </si>
  <si>
    <t>comempresaria
Les compartimos un fragmento de
Rebeca Hwang, conocida por ser
una emprendedora serial y experta
en IA 🌐 #emprendedor #empreendedorismo
#resiliencia #rebecahwang #tecnologia
https://t.co/PybG766H3p</t>
  </si>
  <si>
    <t>dwlcompany
Seja protagonista do seu próprio
sucesso com a DWL Company! Fale
com a nossa equipe hoje mesmo:
- Email: atendimento@dwlcompany.com
- Telefones: (11) 5108-0044 - WhatsApp:
(31) 98989-8888 #dwlcompany #novadwl
#distribuidores #empreendedor #empreendedorismo
https://t.co/rWJA7l2KEr</t>
  </si>
  <si>
    <t>softexbr
Acesse o site e garanta a sua vaga:
https://t.co/cajKNHQhtP Novo prazo
de inscrições: 20/09 Não perca
tempo! Essa é a reta final. #softex
#softexnacional #suframa #empreendemais
#amazonia #empreendedorismo #startups</t>
  </si>
  <si>
    <t>riosdenoticias
#EMPREENDEDORISMO | 🪙 Em entrevista
à Rádio Rios FM 95,7, o presidente
do Grupo TVLAR, Antônio Azevedo,
comentou sobre alguns pontos que
levam ao sucesso de uma empresa
e a necessidade de valorizar o
viés social e ambiental de um empreendimento.
https://t.co/7Qx2KnOuWA</t>
  </si>
  <si>
    <t>omieoficial
✨ Invista em seu futuro: A https://t.co/fXQovLkHy2
é uma excelente oportunidade para
adquirir novas habilidades e se
destacar. Acesse agora mesmo e
comece sua jornada de aprendizado!
🚀🎯 #OmieAcademy #EducaçãoOnline
#Empreendedorismo #Contabilidade
#GestãoDeNegócios</t>
  </si>
  <si>
    <t>portalgcd
#empreendedorismo 📍 Câmara de
Vereadores de Rio do Sul faz entrega
da Comenda Jovem Empreendedor do
Ano 🔗 https://t.co/fz1z4pbC3d</t>
  </si>
  <si>
    <t>ig
Empreendedores apresentam solução
que promete combater o intestino
preso e salvar muitas pessoas de
passar constrangimento na "hora
H". #PortaliG #SharkTank #Empreendedorismo
https://t.co/GY9imbGmIM</t>
  </si>
  <si>
    <t>tio_jobs
Bora de live então? Falar um pouco
de programação e dar uma fofocada?
😅 Link da live: https://t.co/dmMXTqRtj9
#laravel #php #devops #empregos
#carreira #empreendedorismo</t>
  </si>
  <si>
    <t>guidupas
RT @inovatechy: Análise: Servidor
Torre Dell PowerEdge T150 @Dell
@DellnoBrasil #servidor #empresa
#empresas #empreendedor #empreendedores…</t>
  </si>
  <si>
    <t>inovatechy
O OnlyOffice DocSpace é uma ferramenta
poderosa para empresas que buscam
melhorar a colaboração e a produtividade.
@only_office #empresa #empresas
#opensource #webbased #empreendedor
#empreendedorismo #valeapenaler
https://t.co/kPWs4v6LVk</t>
  </si>
  <si>
    <t xml:space="preserve">dellnobrasil
</t>
  </si>
  <si>
    <t xml:space="preserve">dell
</t>
  </si>
  <si>
    <t>gestaumdigital
Desbravando o Caminho do Empreendedorismo
em 2023: Tudo sobre o Novo Limite
de Faturamento MEI. 🚀 Saiba mais
em: https://t.co/I2BP1fmnOv #MEI2023
#Empreendedorismo #GestaumDigital
https://t.co/MKeZ0WPJc2</t>
  </si>
  <si>
    <t>mercadoeconsumo
A marca pretende divulgar as criações
dos participantes em suas redes
sociais e oferecer benefícios e
vantagens ao longo de todo o projeto.
Para ler o conteúdo completo, clique
no link abaixo. https://t.co/A8PbNJywE6
#mercadoeconsumo #foodservice #varejo
#empreendedorismo https://t.co/O7qXZnwEuW</t>
  </si>
  <si>
    <t>poder_viril
@naah_vasc @Aguiarthur "Essa novinha
está sabendo aproveitar as oportunidades
digitais, hein? 💻💰👏 #empreendedorismo
#trends"</t>
  </si>
  <si>
    <t xml:space="preserve">aguiarthur
</t>
  </si>
  <si>
    <t xml:space="preserve">naah_vasc
</t>
  </si>
  <si>
    <t>patriciacvidal
Lembrancinha de Batismo 📿. #Soap
#handmade #soapfavors #artesanato
#jabones #saboneteartesanal #empreendedorismo
#batism https://t.co/byPaSughB5</t>
  </si>
  <si>
    <t>raiamzices
Expanda seus horizontes: Abra um
canal no YouTube e supere limites!
#empreendedorismo #raiam #raiamsantos
#marketingdigital https://t.co/mmNpjZpKqO</t>
  </si>
  <si>
    <t>ffc_designer
Designer, tire suas ideias da cabeça!!!
#midiassociais #marketingdigital
#marketing #redessociais #socialmedia
#publicidade #empreendedorismo
#design #brasil #instagram #designergrafico
#mktdigital #designgrafico #propaganda
#identidadevisual #designer #logotipo
#marketing #logo https://t.co/d5GJrU66ed</t>
  </si>
  <si>
    <t>eduardoduka
5 coisas que você precisa ouvir
hoje. #sucesso #mentalidade #desenvolvimentopessoal
#empreendedorismo #marketingdigital
#TikTok https://t.co/kdMl4Nqrul</t>
  </si>
  <si>
    <t>_wmbmarketing
Para manter uma franquia bem-sucedida,
é crucial investir na capacitação
e treinamento contínuo dos franqueados
e suas equipes. Para saber mais,
conheça a Franchise Store pelo
link da BIO. #FranchiseStore #Franquias
#Empreendedorismo https://t.co/mXKDSl8Bto</t>
  </si>
  <si>
    <t>helioramosjr
#viveralgonovo #sucesso #motivação
#crescimento #foco #empreendedorismo
#inspiração #liderança #oportunidade
#eusoucapaz #determinação #sonhos
#fazeracontecer #upgradenasuavida
https://t.co/Fi274t30MB</t>
  </si>
  <si>
    <t>welingtonseraf1
Já comprou um curso de como ganhar
dinheiro, quando na verdade o curso
ensina como vender o curso dele?
#coachs #renda #extra #dinheiro
#modafeminina #gourmet #sucesso
#natal #comunidade #moda #cerveja
#empreendedorismo #amigos</t>
  </si>
  <si>
    <t>fredericomark
RT @ForbesBR: #HenryFord foi um
#empreendedor e engenheiro mecânico
norte-americano e o fundador da
Ford Motor Company. Foi a partir
da ind…</t>
  </si>
  <si>
    <t>assembleia_ce
#Empreendedorismo Roda de conversa
aborda empreendedorismo e impacto
social 📎Leia mais: https://t.co/cfCsG5CKWn
#Alece #LegislativoCE https://t.co/wpWBD5EPke</t>
  </si>
  <si>
    <t>vagaspelomundo
Empreendedorismo feminino: 4 modalidades
tem crescido: descubra os desafios
e as oportunidades! Leia a coluna
da psicóloga Vanessa Ferreira https://t.co/DQTQuyGmvN
#Carreira #MercadoDeTrabalho #Empreendedorismo
#MulheresEmpreendedoras</t>
  </si>
  <si>
    <t>oportoneto
Baseado em fatos reais! E por aí,
tem alguma história boa de empreendedor
para contar? . . . . . #empreendedorismo
#empreender #empreenda #empreendedor
#negocios #negociopropio #vendas
#OPoderDasVendas 🔥 https://t.co/h2ectLC6I9</t>
  </si>
  <si>
    <t>antonio_twittes
A Roselyn Silva é um dos melhores
exemplos que conheço de quem olha
para a sua cultura e raízes de
uma forma muito diferente da maioria
de nós. A Roselyn olha para a sua
cultura e raízes com carinho, com
amor, com visão, com paixão. #moda
#empreendedorismo #africa https://t.co/z6aipLwK3A</t>
  </si>
  <si>
    <t>jovempansjc
Falando de Negócios com Cláudia
A. C. Cardoso, proprietária do
Empório Novos Sabores https://t.co/9rab5ZEttD
#falandodenegocios #empreendedorismo
#jovempan https://t.co/o5TtnPFrMw</t>
  </si>
  <si>
    <t>conectafreela
Explore um mundo de oportunidades!
🌍💼 Descubra Trabalhos Freelances
em Diversas Áreas e abra portas
para sua jornada https://t.co/3AO1e7CpCi
#freelancer. #conectafreela #empreendedorismo
#trabalhofreelancer #trabalhoremoto
#vidafreela</t>
  </si>
  <si>
    <t>sipagbrasil
Os #leoninos também são criativos
e inovadores, porém precisam tomar
cuidado para o excesso de confiança
não gerar transtornos. No #empreendedorismo
é sempre importante analisar os
cenários e ponderar as decisões.
https://t.co/rAbW4BaTSV</t>
  </si>
  <si>
    <t>automatizeig
Aumente sua produtividade e impulsione
seus resultados. Estamos prontos
para ajudar você a conquistar o
sucesso! 💪🚀💼 #automacao #empreendedorismo
#produtividade #Microsoft #ferramentasdegestao</t>
  </si>
  <si>
    <t>terinov1
Partilha-se a entrevista do Diário
Insular ao diretor executivo do
TERINOV, Duarte Pimentel, sobre
o 3º Aniversário do Parque. #TERINOV
#sciencepark #azores #ecossistemacientífico
#ecossistemaempresarial #empreendedorismo
#empreendernosAçores #science #technology
#innovation https://t.co/eHalgA0xts</t>
  </si>
  <si>
    <t>chicasbiless
Les invitamos a que formen parte
de la feria informativa LGBT 🏳️‍🌈
Inscríbete por mensaje a este perfil.
#lgbtq🌈 #empreendedorismo https://t.co/YdZvOlKK5L</t>
  </si>
  <si>
    <t>elke_pimentel
Hoje é dia de palestra com mulheres
incríveis, o empreendedorismo feminino
me proporciona experiências maravilhosas!
#empreendedorismo #empreendedorismofeminino
https://t.co/EDnkTP2rGE</t>
  </si>
  <si>
    <t>sigguimares
Qual sua estratégia? Proteção de
dados é elemento que você insere
na estratégia do começo, como uma
forma de alavancar! #advogado #advogada
#lgpd #lgpdbrasil #lgpdparaempresas
#lgpdnaprática #empreendedorismo
#escritoriodeadvocacia #rj https://t.co/vN1vA4AMhT</t>
  </si>
  <si>
    <t>oktoberblog
#empreendedorismo É, meu povo!
Não romantizamos o empreender por
aqui! Somos uma dupla e tanto.
Mesmo com todos os desafios, a
gente ama viver do nosso sonho.
&amp;gt;&amp;gt;&amp;gt; https://t.co/WEZj7Jw0Ts</t>
  </si>
  <si>
    <t>83abbeyroad
https://t.co/BZxO4ZTXNO #Empreendedorismo
#Habitação #Sinceramente</t>
  </si>
  <si>
    <t>silvanarosaofic
Como a máxima que nos diz: o mundo
pode ser tão grande quanto você
quiser que ele seja! Me conta,
quais roteiros no mundo me recomendaria?
E por que ? #travel #trip #viagem
#liberdadefinanceira #empreendedorismo
#mentoriadecarreira https://t.co/LvDyFPAS4h</t>
  </si>
  <si>
    <t>michaelgodoy
🌟💸 Quer descobrir o segredo para
vender todos os dias e conquistar
a tão sonhada liberdade financeira?
Então, diga #quero nos comentários
e me chame no zap! 💪📲 #vendasonline
#rendaextra #empreendedor #sucesso
#trabalheemcasa #negóciosonline
#dinheiro #liberdade #metas #obje
https://t.co/7pX0gSczsu</t>
  </si>
  <si>
    <t>fellipe_1989
Sigo em busca de realização e propósito.
O início de uma carreira que me
inspira e motiva! #itapema #balneariocamboriu
#portobelo #empreendedorismo #corretordeimoveis
#investimentos #litoralcatarinense
#otaciliocosta #donpizza https://t.co/URuhCVnEtz</t>
  </si>
  <si>
    <t>jessisfonseca
RT @ForbesBR: #HenryFord foi um
#empreendedor e engenheiro mecânico
norte-americano e o fundador da
Ford Motor Company. Foi a partir
da ind…</t>
  </si>
  <si>
    <t>beabatributario
🦁 Quais são os tipos de importações?
🚢 Veja nesse vídeo os tipos de
modalidades de importações que
sua empresa pode atuar no ramo
de importação e exportação. #beabatributario
#emersonaparecidomacedo #empreendedorismo
#planejamentofiscal #lucratividade
https://t.co/xRy87sBR5W</t>
  </si>
  <si>
    <t>tom_santiagobr
21 97702-2118 chat via WhatsApp
#oportunidades #empreendedorismo
#empreendedoras #empreender #negocios
https://t.co/fIxyMK7xuV</t>
  </si>
  <si>
    <t>sdnewscatalao
40 empreendedoras comercializam
produtos de moda, gastronomia,
artesanato e artes plásticas. #anhanguera
#empreendedorismo https://t.co/wI3O9rWHZu</t>
  </si>
  <si>
    <t>cortesdariqueza
Se você fizer isso todos os bancos
vão te amar 💵! #bancos #milhasaereas
#cartaodecredito #empreendedorismo
#ferini @FellipeFerini https://t.co/8c3M0kRAQm</t>
  </si>
  <si>
    <t xml:space="preserve">fellipeferini
</t>
  </si>
  <si>
    <t>expertdigitals
🌟 Gratidão imensa aos brilhantes
alunos que fizeram parte do Curso
Presencial de Negócios Digitais
para Empreendedores da Expert Digital!
🙌✨ #curso #empreendedorismo #negociosdigitais
https://t.co/qT42nVVWor</t>
  </si>
  <si>
    <t>marciof44736695
#Informatica #TransformacaoProfissional
#Conhecimento #Empreendedorismo
#Computadores #JornadaDeSucesso
#Inspiração #CarreiraBrilhante
#DesenvolvimentoPessoal Da Ignorância
à Transformação: Como o Conhecimento
em Informática Mudou Minha Carreira
https://t.co/VWBCusWl3V</t>
  </si>
  <si>
    <t>daniel1995rj
pobre não pode se divertir kkkkk
então vamos trabalhar #primorico
#dinheiro #sucesso #empreendedorismo
#empreender #empreendedor #marketingdigital
#motivação #brasil #foco #liderança
#negocios #marketing https://t.co/h5ql6KManf</t>
  </si>
  <si>
    <t>jocacamargo2020
Não adianta tapar o sol com a peneira,
isso é enxugar gelo!!! #ConsciênciaAmbiental
#MatemáticaFinanceira. #Empreendedorismo.
https://t.co/0yonfjZYTl</t>
  </si>
  <si>
    <t>nextracker
Em Várzea da Palma (MG), a energia
solar trouxe muito mais do que
desenvolvimento econômico. Entenda
no novo episódio de Do Ouro ao
Sol. https://t.co/MjeCnXwM1D #DoOuroAoSol
#Nextracker #Empreendedorismo #Inclusao
#Diversidade #EnergiaSolar https://t.co/LjTgk2qvED</t>
  </si>
  <si>
    <t>onlyisba
RT @sebraegoias: O nosso mais novo
brasileiro Bruno Mars já ta sabendo
onde vai encontrar as soluções
de empreendedorismo! 🗣️ Come to
Sebr…</t>
  </si>
  <si>
    <t>sebraegoias
Uma trilha de cursos feita para
você que estuda a melhor forma
de ampliar seu negócio com franquias.
100% online e gratuito! 📲 Inscreva-se
em: https://t.co/wmKygtfCiL #sebraegoias
#empreendercomvc #empreendecomsebrae
#empreendedorismo https://t.co/u6lrrCYljA</t>
  </si>
  <si>
    <t>dantas_daniel_
O Poder do Networking Construindo
Conexões na Comunidade Empresarial
Brasileira por Daniel Dantas. https://t.co/r35eIpvakx
#DanielValenteDantas #danieldantas
#banqueiro #empreendedor https://t.co/98qqwngVt4</t>
  </si>
  <si>
    <t>delbraspar
Nossa Delegação representou o Brasil
na Reunião Ministerial da #OCDE
sobre #PMEs e #Empreendedorismo
nos dias 27 e 28/6. Entre os temas
discutidos, como aumentar a resiliência
das PMEs a futuras crises, inclusão,
transição verde e digital e acesso
a financiamento. https://t.co/QECdBAqhpD</t>
  </si>
  <si>
    <t>chupp_bayyy
the largest hackathon is at 7 to
8 oct markup calendar #empreendedorismo
#startup #technology #learning
#tech #covid #engineering #innovation
#code #nasa #startups #programming
#coding #python #developer #java
#stem #hacked #javascript</t>
  </si>
  <si>
    <t>spaceapps_khi
The day we have all been waiting
for will soon be here! The day
when all of us venture into the
midst of space. Mark the dates,
young astronauts! October 7 is
when the Hackathon begins! Project
submissions open at 9:00 A.M and
you can submit them till 11:50
P.M (local time).#hack https://t.co/GtARlHdv23</t>
  </si>
  <si>
    <t>buzzbytebr
🤖 O futuro da humanidade como
ciborgues! 🚀Você acha que o Elon
Musk está exagerando ou você concorda
com ele? Link → https://t.co/HEDLHPVDty
#elonmusk #elonmuskbrasil #android
#iphone #negocios #empreendedorismo
#amagiadomundodosnegocios</t>
  </si>
  <si>
    <t>williamhuntbr
🔥PROMOÇÃO: Descubra como desbloquear
sua Liberdade Financeira de uma
vez por todas: https://t.co/Bi0RwAbgpo
#sonhos #planejamentofinanceiro
#reflexao #sucesso #motivação #mentalidadedesucesso
#empreendedor https://t.co/G130Djnya6</t>
  </si>
  <si>
    <t>ianworcman
É assim que funxiona o programa
de parceria do youtube, mais conhecido
como MONETIZAÇÃO! 🚀 Me conta aqui,
seu canal já é monetizado? 💸 #youtuber
#monetização #ianworcman #empreendedorismo
#empreendedor #marketing #marketingdigital
#comoganhardinheironainternet #comoganhar
https://t.co/XIali8HhgU</t>
  </si>
  <si>
    <t>silvanamendes9
A contabilidade é um grande mistério
para muitos empreendedores. Aprenda
a usar seu orçamento de forma eficaz
para melhorar a gestão financeira
de sua empresa. #Contabilidade
#Empreendedorismo #GestãoFinanceira</t>
  </si>
  <si>
    <t>sebraepb
Bom dia, empreendedores destemidos!
🚀🌟 Hoje é dia de brilhar como
estrelas e transformar seus negócios
em verdadeiros hits! 💃🕺 Preparados
para arrasar nesse sabadão com
muitas vendas? #sebraepb #empreendedorismo</t>
  </si>
  <si>
    <t>valeumaprosa
💡✨ A Lumina Labs é um projeto
dedicado a capacitar e celebrar
mulheres empreendedoras incríveis,
veja a nossa prosa com uma das
fundadoras ✨💡#valeumaprosa #EmpreendedorismoFeminino
#Taubate #empreendedor #ILoveMyBody
https://t.co/yzhvn6jCd2</t>
  </si>
  <si>
    <t>marciokarsten
O QUE EU FAÇO PROFISSIONALMENTE
Estou na estrada há muito tempo.
Nunca deixei de empreender e, constantemente,
enriqueço experiência como consultor.
#currículo #empreendedor #professor
#história #consultoria #mentoria
#marketing #estratégia #projetos#marciokasten
https://t.co/zhEXy4BH5v</t>
  </si>
  <si>
    <t>infographya_
Atenção, empreendedor! 📢 A Infographya
pode te ajudar a fidelizar clientes.
🤝 Entre em contato conosco agora
mesmo e saiba mais! 🙇🏻‍♂️ #infographya
#comunicação #agência #negócio
#empreendedorismo #fidelização
#clientes https://t.co/tZ8m1v8WHj</t>
  </si>
  <si>
    <t>juniorl737
#hotmart #hotmartafiliados #hotmartbrasil
#camaraescura #videographer #MarketingDigital
#empreendedorismo https://t.co/LO91YLEmyq</t>
  </si>
  <si>
    <t>seu_dinheiro_br
Consulta pública de novas regras
para registro de empresas termina
hoje; veja como participar #Empreendedorismo
https://t.co/fNEQ7i6J6y</t>
  </si>
  <si>
    <t>oadailsonsantos
Você sabia que não precisa, necessariamente,
de mais clientes para vender mais,
né? #Negocios #maisvendas #maisclientes
#empreendedorismo #consultoria
https://t.co/yOiF36OIGb</t>
  </si>
  <si>
    <t>criativaonline1
A 12ª edição da Super Bahia, maior
feira de varejo de alimentos do
Norte/Nordeste, encerra nesta quinta-feira,
13, superando todas as expectativas
e batendo recordes de público e
de geração de negócios. #Bahia
#Empreendedorismo #Negócios #Salvador
https://t.co/n0jGA1Winv</t>
  </si>
  <si>
    <t>fgv_eaesp
Estudo de caso mostra que #empreendedor
garante sucesso de instituição
de #ensino com parcerias estratégicas
e experiência no ramo, apesar de
estrutura limitada, gastos além
do desejado. Leia: https://t.co/jKpCdr7Ers
#educação #empreendedismo #BlogImpacto
#DicadeLeituraFGV https://t.co/ptcf7rfGh7</t>
  </si>
  <si>
    <t>barbi_contabil
🎉 Hoje é o dia do contador! 🎉
A Barbi Contábil parabeniza a todos
os profissionais que cuidam das
finanças e da contabilidade das
empresas!💼👏 . #diadocontador
#contabilidade #empresas #gestãofinanceira
#contadores #empreendedorismo #sucesso
#negócios #planejamentofinanceiro
https://t.co/B1BSNpHIJC</t>
  </si>
  <si>
    <t>passomilionari0
Acabei de migrar para o X🚀🙅🏻‍♂️
. . #empreendedorismo #gratidão
#foco #motivação</t>
  </si>
  <si>
    <t>recebeaqui
Quando você trabalha duro para
promover seu negócio nas redes
sociais, mas só recebe curtidas
de amigos e familiares. #Empreendedorismo
#RedesSociais https://t.co/PQMxjv6zfN</t>
  </si>
  <si>
    <t>agiwork
O que é #ROI? 🧐 🔸#AGIPEDIA é
o nosso dicionário de #MarketingDigital,
descomplicando termos do mercado
digital para você. #agiwork #trafegopago
#socialmedia #tecnologia #desenvolvimento
#marketing #seo #kpi #gestao #empreendedorismo
#dev https://t.co/gUAfz4xIHF</t>
  </si>
  <si>
    <t>capitaldajoia
SUPER em alta! Pra quem ainda não
sabe , trabalhamos com uma linha
de correntes em alumínio também.
@ellomaxcorrentes 📲Acesse https://t.co/036mSN3rNc
e tenha acesso aos melhores fornecedores
#capitaldajoia #semijoias #empreendedorismo
#acessorios #joias https://t.co/mYkSnluY4y</t>
  </si>
  <si>
    <t xml:space="preserve">ab
</t>
  </si>
  <si>
    <t>paulotec96
Nunca em hipótese alguma, assine
uma revista ou jornal da Globo
como @peqempresas @valoreconomico!
É pior que vender a alma pro Diabo!
Pior que cancelar telefone! Simplesmente
sou ignorado igual um trouxa! #empreendedorismo
#mercado #mercadofinanceiro #bolsadevalores
#Negocios</t>
  </si>
  <si>
    <t xml:space="preserve">valoreconomico
</t>
  </si>
  <si>
    <t>grupo_centercon
#empreendedor https://t.co/YntLStRJFb</t>
  </si>
  <si>
    <t>paineiraa
RT @mundodmarketing: Saber onde
os consumidores de uma marca estão
é o primeiro passo para construir
conexões reais com esse público
#PME…</t>
  </si>
  <si>
    <t>mundodmarketing
Saber onde os consumidores de uma
marca estão é o primeiro passo
para construir conexões reais com
esse público #PME #empreendedorismo
#MarketingDigital #marketing #marketingbrasil
#profissionaldemarketing #carreira
#mundodomarketing https://t.co/2Juuhhj96e</t>
  </si>
  <si>
    <t>indanna_gestao
"Você conhece a importância de
separar as finanças pessoais das
empresariais? Essa prática ajuda
a ter um controle maior sobre o
fluxo de caixa e o crescimento
do seu negócio! Confira em nosso
blog uma matéria completa sobre
o assunto. #DicasDeContabilidade
#Empreendedorismo"</t>
  </si>
  <si>
    <t>fortinetbrasil
Assistiu ao 8º episódio do Fortinet
Brasil #Podcast? Nosso convidado
é o Protta, CEO e fundador da @SeteIT,
conversamos muito sobre o poder
da #Cloud e a importância da resiliência
para o #empreendedorismo. Spotify:
https://t.co/YEZUpz0Qx2 YouTube:
https://t.co/Fk6PPPvpZc https://t.co/TOYK0vRf8s</t>
  </si>
  <si>
    <t xml:space="preserve">seteit
</t>
  </si>
  <si>
    <t>jornalcontabil_
O cenário para os Microempreendedores
Individuais (MEIs) no Brasil está
passando por uma possível mudança
significativa. #mei #empreendedorismo
https://t.co/QTdVKIiR0e</t>
  </si>
  <si>
    <t>fenaconfed
Hoje (5/7) o Sebrae, parceiro do
Sistema FENACON, completa 51 anos
de dedicação ao empreendedorismo
brasileiro. Parabéns, Sebrae! Juntos
em prol do microempreendedor. #FENACON
#Sebrae #51Anos #empreendedorismo
#empreendedor https://t.co/SmDYy4z2jR</t>
  </si>
  <si>
    <t>alfeojr
RT @MundoProdutos: ⚡️Oferta Amazon
Finanças para autônomos: Como organizar
sua vida e seu dinheiro quando
você trabalha por conta própria…</t>
  </si>
  <si>
    <t>mundoprodutos
⚡️Oferta Amazon Finanças para autônomos:
Como organizar sua vida e seu dinheiro
quando você trabalha por conta
própria R$5,99: https://t.co/NkAYh5WRja
#financas #autonomos #empreendedorismo
https://t.co/z3daZJ6olt</t>
  </si>
  <si>
    <t>ggianni
Chegou o grande 1º dia! Estamos
começando as conexões por aqui.
#negociosdigitais #consultoria
#inovação #startup #empreendedorismo
#sebrae #acate #acif #floripa #florianopolis
https://t.co/nUvfgJVy85 https://t.co/51BrAoTa4v</t>
  </si>
  <si>
    <t>rschollemberg
Nos conhecemos a pouco tempo em
Biguaçu, porém esse encontro gerou
uma sinergia excepcional. DIEGO
BÁRBOSA DEISE MARINA MEZZAROBA
@RSchollemberg e Gilson Luis Kolenez
Novidades boas para o #empreendedorismo
e #inovação vão surgir desta reunião
realiz…https://t.co/DiDdLXm4RL</t>
  </si>
  <si>
    <t>filomenasilva_
Para e descansa quando sentires
cansaço. Mas jamais quebres o movimento
ascendente até que sintas orgulho
do teu trabalho e dos teus resultados.
#empreender #empreendedorismo #orgulho</t>
  </si>
  <si>
    <t>anoticiapt
O Projeto "Wanted - Mais e Melhor
Empreendedorismo em Viseu Dão Lafões"
visa desafiar jovens e empreendedores
#wanted #empreendedorismo #dao
#lafoes #viseudaolafoes #cimvdl
#cimviseudaolafoes @anoticiaPT
https://t.co/omlniFwbCv</t>
  </si>
  <si>
    <t>thaysastaniski
Descubra estratégias para contribuição
o crescimento empresarial de maneira
consistente. 🌱💼 #Crescimento
#Negócios #Empreendedorismo</t>
  </si>
  <si>
    <t>marcelozuin
Não importa se eu faço muito, se
eu não faço o que precisa ser feito!
Ocupação não significa produtividade!
#empreendedor #empreendedorismo
#procrastinacao</t>
  </si>
  <si>
    <t>lu_buscaroli
Empreender é sobre manter a cabeça
baixa e achar uma solução não importa
o problema. Desistir não é uma
opção. #empreendedorismo #marketingdigital</t>
  </si>
  <si>
    <t>humbertadvogado
Turismo sustentável nos litorais:
incentivar, sim, proibir, jamais!
Saiba porquê neste episódio do
nosso quadro “Sustentabilidade
em Pauta”, parceria do Ibrades
com o Programa Economia Verde para
a BandTV. #empreendedorismo #meioambiente
#Barbie https://t.co/3CSn6VQEwB</t>
  </si>
  <si>
    <t>magnettomkt
Força, Fé e Foco! 💪Não Parar,
Não Precipitar e Não Retroceder!
#Sorocaba #saopaulo #empreendedorismo
#negocios https://t.co/Kr0AgLx5CP</t>
  </si>
  <si>
    <t>janikingbr
Clique no QR Code para saber o
que podemos fazer por você #janikingbrasil
#limpezacomercial #limpezaprofissional
#franquiadelimpeza #franquiajaniking
#empreendedorismo #empreender #novonegocio
https://t.co/1Ej3bqA875</t>
  </si>
  <si>
    <t>quemaraseria
#quemaraseria se a gente tivesse
as ideias originais já engavetados
e agora seria ter a coragem (agir
com o coração) para discutir as
propostas com os parceiros. Quem
tem perna vai a Derribadinha...
Opa, não era boca? HaHa, também
serve, claro. #empreendedorismo
https://t.co/jZ5e0zuE55</t>
  </si>
  <si>
    <t>aesebschool
Junte-se a nós amanhã para o Entrepreneurial
Initiative of the 21st Executive
MBA AESE! Não perca esta oportunidade
de testemunhar o futuro do empreendedorismo
🚀 https://t.co/fzVDZqQ8Wj #aesebschool
#EMBA #Empreendedorismo #Inovação
#Networking https://t.co/ubkbg0BLbB</t>
  </si>
  <si>
    <t>laserchiprj
Bom dia a todos! Quer saber mais
sobre as soluções que a Laserchip
pode oferecer ao seu negócio? 🔸
Entre em contato com a Laserchip
acessando o link que está no Perfil!
#laserchip #vemparaLaserchip #ecommerce
#marketplace #sistemaerp #erp #monteseunegocio
#empreendedorismo https://t.co/Pq31PaN1dn</t>
  </si>
  <si>
    <t>najulinharees
🚨🚨🚨🚨🚨🚨🚨🚨🚨🚨🚨 *O PATRÃO
FICOU MALUCO* *Um(1) Guaracrac
e uma(1) paçoca por apenas 2 reais*
*um(1) Guaracrac e uma serenata(1)
ou twix(1) por apenas 2,50* *salgado(1)
com guaravita(1)= 6,50* *#Deuséodonodolugar*
*#empreendedorismo* *#abaixoaditadura*</t>
  </si>
  <si>
    <t>swissnexbrazil
Nos dias 27 e 28 de setembro, a
@CNI_br junto com o @sebrae vão
realizar o Congresso Internacional
de Inovação à indústria, com o
tema Ecoinovação: rumo ao #empreendedorismo
competitivo e saudável. Se inscreva
gratuitamente (evento presencial
e online): https://t.co/nHNavSwm1J
https://t.co/8sDZpi7MrA</t>
  </si>
  <si>
    <t xml:space="preserve">cni_br
</t>
  </si>
  <si>
    <t>solvitsc
🙏 Agradecemos a todos que acompanharam
o inspirador 32º episódio do Podcast
Viver de Condomínio, com a incrível
história de Charles Lima! 🔗 https://t.co/hHX6kiBsFd
#solvitsc #condominio #sindico
#orgulhodesersindico #oss #viverdecondomínio
#podcast #empreendedorismo https://t.co/09hZbxHwxR</t>
  </si>
  <si>
    <t>blogconvidado
5 erros ao trabalhar no exterior
👉https://t.co/3A9E5t1p9x #negócios
#nômadedigital #trabalharnoexterior
#turismo #trabalhar #trabalho #negócio
#negócioonline #marketingdigital
#empreendedor https://t.co/yJGV7riZNE</t>
  </si>
  <si>
    <t>takesdoferini
Você já construiu o seu pote de
paz de espírito? #ferini #motivacional
#desenvolvimentopessoal #marketingdigital
#marketing #empreendedorismo #mindset
#liberdadefinanceira https://t.co/dy83uIydFP</t>
  </si>
  <si>
    <t>ifmgcongonhas
5 A transmissão ao vivo será pelo
canal IFMG Play, no YouTube. Confira
a programação completa, inscreva-se,
participe 📷https://t.co/FD0O9xSvhv
#planetaifmg2023 #programação #inscrições
#ensino #pesquisa #extensão #inovação
#empreendedorismo #internacionalização
#cultura #esporte</t>
  </si>
  <si>
    <t>an_mktdigital
💰Você sonha em empreender, mas
tem pouco dinheiro para investir?
Não se preocupe! Acabamos de publicar
no blog da AN, 8 dicas valiosas
para iniciar seu negócio sem grandes
investimentos. #empreendedorismo
#negócios #blog https://t.co/AjI80mIinb</t>
  </si>
  <si>
    <t>carlossantosven
Amanhã Sábado dás 10/12H têm Podcast
Carlos Santos. Saiba mais 👉 https://t.co/oseXnlBwcL
#empreendedorismo #vendas #mentalidade
#espiritualidade #podcastcarlossantos</t>
  </si>
  <si>
    <t>hypebr7
Jamais desistam dos seus sonhos
✨ Somos 2K nessa comunidade que
já tem o coração de muita gente
❤️‍🔥 Obrigado a todos, vamos juntos
por mais, buscando o extraordinário.
#empreendedorismo #camisadetime
#futebol #entretenimento https://t.co/oVzsmmDrXN</t>
  </si>
  <si>
    <t>stanley_bittar
A Stanley’s é uma empresa de EDUCAÇÃO!
O que você criou, do ponto de vista
educacional, para o seu negócio?
Assista e me responda se você concorda👇🏻
Não deixe de compartilhar com seu
amigo empreendedor 🔥🚀 #empreendedor
https://t.co/3kd6ChXGVb</t>
  </si>
  <si>
    <t>caesgatos
Como empreender com sucesso em
um mercado tão competitivo e abocanhar
uma fatia neste mercado em crescimento?
👩‍⚕️ #cãesegatos #medicinaveterinaria
#veterinario #empreendedorismo
https://t.co/MnvilpVoXb</t>
  </si>
  <si>
    <t>almirrizzatto
📷 O #empreendedorismo é um terreno
fértil para #jornalistas, mas muitos
deixam de explorar esse caminho
por medo ou falta de incentivo…
📷 Para te ajudar, desenvolvemos
um curso próprio para #comunicadores.
Aproveite o desconto de 40%: https://t.co/siZV0Kq8OC
https://t.co/vd9e4keuem</t>
  </si>
  <si>
    <t>blakeshadow2126
Ouvir podcasts sobre negócios e
empreendedorismo é viável? #Negocios
#empreendedorismo</t>
  </si>
  <si>
    <t>kaua_da027
📚bilionário da SpaceX Uma leitura
fascinante que revela os segredos
por trás das empresas revolucionárias.
Prepare-se para inspirar-se com
essa história visionária!&amp;gt;&amp;gt;&amp;gt;
https://t.co/zBLscAiDxr #esseX
#ElonMusk #LivroInspirador #Empreendedorismo
#Inovação #LeituraImperdível</t>
  </si>
  <si>
    <t>dantao__lindao
@giugiumaneira Cuidando das cáries
que ela ajudou a criar! #empreendedorismo
#girlpower</t>
  </si>
  <si>
    <t xml:space="preserve">giugiumaneira
</t>
  </si>
  <si>
    <t>chatprivado_
Money Money #shorts #mentalidadedesucesso
#luxurylifestyle #empreendedor...
https://t.co/DLmL5e1Nqh via @YouTube</t>
  </si>
  <si>
    <t>anderso89334776
+1 ✅😁✌🏾 #sebraeba #Negocios #empreendedorismo
https://t.co/ZtxVWoczyS</t>
  </si>
  <si>
    <t>govparaiba
Estudantes do curso técnico de
ECIT João Úrsulo, em Pedras de
Fogo, criaram a Blocon, startaup
que busca resolver o descarte inadequado
de RCC. A ideia partiu da participação
dos estudantes no programa Ouse
Criar, do Governo da Paraíba, Muito
massa, né? #Paraíba #Empreendedorismo
https://t.co/Wewc7fbgLB</t>
  </si>
  <si>
    <t>syscoin_space
Saiba como a paisagem econômica
de pequenas empresas nos EUA será
em 2023! 📊 Descubra insights importantes
sobre empreendedorismo no nosso
novo blog. #Empreendedorismo #PequenasEmpresas
#EUA2023 👉 https://t.co/mlmjKV3lAs</t>
  </si>
  <si>
    <t>ewertonkleber5
#RegimeTributário #Negócios #Empreendedorismo
#Impostos #SimplesNacional #LucroPresumido
#LucroReal https://t.co/CGWQsrQQgc</t>
  </si>
  <si>
    <t>cryptoherobr
Encerrando mais uma semana por
aqui! #CryptoHero #empreendedorismo
https://t.co/Mapo2nNdeh</t>
  </si>
  <si>
    <t>negociosterapia
https://t.co/6LQDNgCaNs #Motivation
#Sucesso #empreendedorismo https://t.co/Cn5NfCRmk9</t>
  </si>
  <si>
    <t>semmassagem5
Colocar uma música aqui seria um
pecado esse som original é a trilha
sonora do trabalho Duro, do planejamento
do sonho saindo do Papel !!! #empreendedor
#empreendimento #sonhos #foodblogger
#instafood #containerhouse #restaurantes
https://t.co/KpL11byuSj</t>
  </si>
  <si>
    <t>perfilcombrasil
#Campo #DesenvolvimentoRural #Empreendedorismo
#Jovens https://t.co/1hesjzMzuA</t>
  </si>
  <si>
    <t>jonamenezes
Não espere por oportunidades, crie-as!
Seja proativo e persistente em
alcançar seus objetivos. 💡🙌🏼
#oportunidades #empreendedorismo
#foc https://t.co/vgiDGZbDGE</t>
  </si>
  <si>
    <t>in9midia
A mídia Dooh é uma excelente opção
para o setor hoteleiro e pode ajudar
a fidelizar seus hóspedes através
de uma experiência aprimorada.
#midiadooh #midiaindoor #mktdigital
#publicidade #in9midia #empreendedorismo
#neonews #sinalizacaodigital #hoteis
#tvcorporativa https://t.co/Crj9CgC1LC</t>
  </si>
  <si>
    <t>tapasdonegao
agregue VALOR na vida das pessoas
#dinheiro #empreendedorismo #MarketingDigital
#sucesso #raiamsantos https://t.co/HQYd2vQd8k</t>
  </si>
  <si>
    <t>awkangelo
EU GANHO DE 3MIL A 5MIL P/MÊS,
VENHA GANHAR TAMBÉM! ESTOU DISPONIBILIZANO
UM MINI CURSO GRATUITO. ENTÃO NÃO
PERCA ESSA CHANCE! POIS É A ÚNICA.
👇 LINK ABAIXO👇 https://t.co/Oygu6U2Jis
#emprender #empreendedorismo #rendaextra
#MarketingDigital #dinheiro</t>
  </si>
  <si>
    <t>revistaesquinas
Conheça Easie, imigrante haitiano
que busca melhores oportunidades
e atua como vendedor de roupas
no Brás. Leia o perfil completo
no site! #esquinas #revistaesquinas
#imigração #haiti #empreendedor
https://t.co/s3um5vclrG</t>
  </si>
  <si>
    <t>mais_superior
😀 Transformar ideias em negócios
é o mote da 1ª edição do programa
educativo da @UnivdeCoimbra, estimulando
o empreendedorismo na comunidade
académica. Sabe mais, aqui 👇 #maissuperior
#empreendedorismo #ideias #cursosonline
#negócios #competências https://t.co/4F17mVKWfJ</t>
  </si>
  <si>
    <t xml:space="preserve">eiainnovate
</t>
  </si>
  <si>
    <t xml:space="preserve">ipssetubal
</t>
  </si>
  <si>
    <t xml:space="preserve">univdecoimbra
</t>
  </si>
  <si>
    <t>combo5ebooks
Confira! Adquira hoje mesmo até
5 eBooks Exclusivos sobre finanças,
empreendedorismo e desenvolvimento
pessoal. Acesse já: https://t.co/yStvF33NEh
#ebook #ebooks #livro #pdf #livrodigital
#livros #livrosdigitais #hotmart
#kindle #marketing #empreendedorismo
#finanças #leitura https://t.co/b3wTDbugKl</t>
  </si>
  <si>
    <t>sebraebahia
Sebrae promove encontro empresarial
para segmento de panificação. Durante
o evento, os empresários terão
acesso a soluções oferecidas especificamente
para panificadoras. Inscrições:
https://t.co/XEZgTLpghV #SebraeBahia
#Panificação #Empreendedorismo</t>
  </si>
  <si>
    <t>mcvarnieri
Como usar competências empreendedoras
a favor da sua carreira? Leia o
artigo https://t.co/GaUQ1Yuho1 e
conheça melhor o tema. #carreira
#desenvolvimento #trabalho #empreendedorismo
https://t.co/qsimoMK7ob</t>
  </si>
  <si>
    <t>russelldobrasil
Impulsione sua startup com o investimento
anjo! 🚀 Descubra tudo que você
precisa saber no artigo completo
em nosso site. Acesse agora mesmo:
https://t.co/ZgR349tVS6 #takingyoufurther
#investimentoanjo #startups #empreendedorismo
#investimento</t>
  </si>
  <si>
    <t>absorvendermico
Mais um Reconhecimento !! @inovativahub
@impacthubbrasil #empreendedorismo
#absorventedérmico #sondagástrica
#pioneiro #saúde #gastrostomia
#inovação #farmix #distribuidorafarmix
#gastrotomy #Abradilan #uniaoquimica.oficial
#sebraeba https://t.co/w7HLTMUW9z</t>
  </si>
  <si>
    <t>empreended0r_
"Busque a prosperidade não apenas
como um fim, mas como o meio para
realizar seus objetivos, impactar
vidas e criar oportunidades. O
dinheiro é uma ferramenta que amplifica
seu potencial de fazer o bem no
mundo." . . . #rendaextra #renda
#empreendedorismo #empreender https://t.co/IVd7uKc0ZU</t>
  </si>
  <si>
    <t>camarasaopaulo
#JornaldaCâmara: #Empreendedorismo
Feminino é destaque em #Workshop
https://t.co/Gimu2ZD3zz</t>
  </si>
  <si>
    <t>uaberta
O prazo de submissão dos resumos
de comunicações foi prolongado
até 20 de setembro! 📷Mais informações:
https://t.co/4S6KtWoyLm #UAb #UESC
#educação #empreendedorismo #cidadania
https://t.co/7VflXkgRW1</t>
  </si>
  <si>
    <t>workspacecurit1
A chegada da Primavera nos inspira
e traz alegria. As flores traduzem
as cores da felicidade. Viva a
Primavera, seja bem-vinda! ✅(41)
99208-4552 📞 https://t.co/YqUG0WFP4Q
👈⠀⠀ ⠀⠀ #conexões #workspace #coworking
#curitiba #startup #empreendedor
#inovação #networking https://t.co/TWl4k0Mdfm</t>
  </si>
  <si>
    <t>pipsnacks75
#marketing #business #marketingdigital
#digitalmarketing #branding #socialmedia
#entrepreneur #socialmediamarketing
#design #instagram #advertising
#o #smallbusiness #graphicdesign
#motivation #love #success #marketingstrategy
#seo #digital #empreendedorismo
#entrepreneurship https://t.co/Y4js1H4wMc</t>
  </si>
  <si>
    <t>americans__real
Desejamos a todos os nossos amigos,
parceiros e seguidores brasileiros
um Feliz Dia da Independência!
🎉🇧🇷 #7deSetembro #Independência
#Brasil #Empreendedorismo #Liberdade
#SucessoNosNegócios https://t.co/o9SX7KDczP</t>
  </si>
  <si>
    <t>valterlobo1
#empreendedorismo #startup https://t.co/3Bt3qkg18Q</t>
  </si>
  <si>
    <t>dinheironosaco
#bomdia #breastfeeding #coup #earthquake
#mensagens #pensamentos #empreendedor
#sonhos #Beckysangels #SpiderManDay
#Temblor #vunzigewoensdag https://t.co/RSzYTonqFS</t>
  </si>
  <si>
    <t>jcrioclaro
Influenciadores entram na pauta
do empreendedorismo. Kit gratuito
do Sebrae com ferramentas de gestão
foi disponibilizado para essa categoria.
Leia mais em: https://t.co/fmNlb1tnVK
#JCRioClaro #RioClaroSP #Sebrae
#Empreendedorismo #Influencers
https://t.co/3uTEj7pwbl</t>
  </si>
  <si>
    <t>arno_rocha
🔒🔍 Sabia que registrar sua marca
no INPI é a melhor forma de evitar
cópias e plágios? 🚫👀 Garanta
a proteção dos seus direitos e
fortaleça sua presença no mercado.
Não deixe sua marca desprotegida!
😎✨ #INPI #MarcaRegistrada #ProtejaSuaMarca
#Empreendedor</t>
  </si>
  <si>
    <t>mattheus22
@nikolas_dm Proibido de trabalhar?
Tenho uma solução: 1 - comprar
uma cesta; 2 - comprar um saco
de jujuba 3 - escolher o sinal
mais próximo da casa dele e começar
a vender no sinal. #empreendedorismo</t>
  </si>
  <si>
    <t xml:space="preserve">nikolas_dm
</t>
  </si>
  <si>
    <t>milionarioscty
Não permita que as opiniões dos
outros ditem o seu caminho. Mantenha-se
fiel à sua ambição e busque a excelência
em cada passo. A estrada para o
sucesso é pavimentada com determinação
e autenticidade. #sucesso #ambicao
#empreendedorismo #negocios #dinheiro
https://t.co/cvcEvYkEez</t>
  </si>
  <si>
    <t>altaidestorres
Empreender é uma jornada cheia
de desafios e recompensas. É importante
ter uma ideia de negócio que você
ama, fazer um plano de negócios,
estudar o mercado e se preparar
para trabalhar duro. #empreender
#empreendedorismo #negócios #startup
#dicasdeempreendedorismo https://t.co/33wS7gXVqM</t>
  </si>
  <si>
    <t>jorgerafaelcont
#empresario #empreendedor #belem
#ananindeua https://t.co/vEnu3MkrH8</t>
  </si>
  <si>
    <t>evandrolima395
Bom dia, #empreendedor inspirador!
Que o sol desta #manhã ilumine
sua mente com ideias inovadoras
e estrangeiras para transformá-las
em realidade. Que cada #desafio
que você enfrenta hoje seja uma
oportunidade de aprendizado e crescimento.</t>
  </si>
  <si>
    <t>rulosro
🌻¡Feliz comienzo de Primavera!🌻
Comparto el post de hoy ✨¡Tu opinión,
tiene valor! ✨Seguramente en alguna
oportunidad sentiste que tu opinión
no tenía valor. #21deseptiembre
#primavera #comunicación #empreendedorismo
#valores https://t.co/vUKx5ERIDi</t>
  </si>
  <si>
    <t>pradooluu
@ComunaDavid #empreendedorismo</t>
  </si>
  <si>
    <t xml:space="preserve">comunadavid
</t>
  </si>
  <si>
    <t>filipefcf
Sucesso não acontece somente com
ideias brilhantes, mas também com
a habilidade de validá-las eficazmente!
💡🔍📈 #ValidaçãoDeIdeias #Empreendedorismo
#Inovação</t>
  </si>
  <si>
    <t>ornilolundgren
Garanhuns! Apaixone-se por ela.
FÁBRICA DE VASSOURA ARTESANAL E
ECOLÓGIC... https://t.co/PFK18mCclF
via @YouTube #ecology, #brasil,
#garanhuns, #garrafaspet, #vassourasecologicas,
#explore,#ornilo, #vidasaudavel,
#empreendedorismo ,#mulheresempreendedoras</t>
  </si>
  <si>
    <t>jonatha_timao
Você sabe quem tem direito ao ano
de PIS/PASEP? Não? Então se liga
no vídeo! #ararangua #consultoriaempresarial
#empreendedorismo #gestaoenegocios
#finanças #aposentados #inss #vemdecimoterceiro
#salario #dinheiro #pis #pasep
#abono #dinheiro #cef #caixa https://t.co/lJ2lmKilVM</t>
  </si>
  <si>
    <t>gastrocombr
Não há como negar que os aplicativos
de comida são hoje essenciais tanto
para os consumidores, quanto para
os restaurantes. 🍕🌭 #Empreendedorismo
#FoodService #Delivery #Empreendedores
#EntregaDeComida #Gastronomia #Marketplace
https://t.co/NOxoCc72Hs</t>
  </si>
  <si>
    <t>fernandomelodn
Desperte seu potencial, conquiste
o sucesso! Trace o caminho rumo
ao topo e seja o protagonista da
sua jornada vitoriosa. Não espere,
aja agora e transforme seus sonhos
em realidade. #NegóciosDeResultado
#ConquisteSeusSonhos #empreendedorismo
#Negocios #Sucesso https://t.co/aeqo79Ohje</t>
  </si>
  <si>
    <t>fetrabalho1
Dois garotos que já fizeram muito
mais do que a máquina estatal.
Empreender é recompensador! --
#empreender #empreendedorismo #estado
https://t.co/ld8GXQrhqR</t>
  </si>
  <si>
    <t>adalbertopcjr
II Seminário Papo’s com Café discutirá
empreendedorismo em São Luís https://t.co/ZHrmciHOvo
#cafe #papodecafe #saoluis #slz
#empreendedorismo</t>
  </si>
  <si>
    <t>carloso36490707
"Como implementar o RH na minha
empresa?" Essa dúvida, da maioria
dos gestores de empresas iniciantes,
em fase de crescimento e consolidação,
é respondida no guia completo da
Talentos Consultoria: https://t.co/HCmH3QdzDo
#empreendedorismo #gestãodepessoas</t>
  </si>
  <si>
    <t>diretogroup
"Todos os grandes empreendedores
enfrentaram desafios em sua jornada.
Encare os obstáculos como oportunidades
de aprendizado e crescimento. Cada
tropeço pode ser um degrau para
o sucesso." #empreendedorismo https://t.co/dzMXKMaNF2
https://t.co/uihKT8Zik1</t>
  </si>
  <si>
    <t>andersondiego6
Satisfação em poder contribuir
com a organização de mais um Encontro
do administrador da @unifacol.
Grato aos palestrantes pelo aceite
do convite. @eciocosta #simonealmeida
#inovacao #empreendedorismo #negocios
#investir #investimentos https://t.co/tKrCT3SMUH</t>
  </si>
  <si>
    <t xml:space="preserve">eciocosta
</t>
  </si>
  <si>
    <t xml:space="preserve">unifacol
</t>
  </si>
  <si>
    <t>socanterle
Que correria! Mas em tempo pra
dizer que domingo saio de férias.
Férias de 2 dias. Até quarta!!
😅😅😅😅 #empreendedorismo #semferias</t>
  </si>
  <si>
    <t>salomaoferretti
Dicas exclusivas para alcançar
o sucesso no empreendedorismo!
💼✨ Compartilhando meus insights
sobre moda, recursos humanos e
crescimento pessoal. Se você está
pronto, siga-me e junte-se à minha
jornada de conquistas! #Empreendedorismo
#Moda #CrescimentoPessoal</t>
  </si>
  <si>
    <t>bibliotecacq
Workshop discute inclusão, tecnologia
e empreendedorismo em ciências
farmacêuticas https://t.co/pV9tn18af4
via @usponline @fcfusp @iq_usp​
#inclusão #empreendedorismo #workshop
#farmácia #fármacos #medicamentos
#profissões #tecnologia</t>
  </si>
  <si>
    <t xml:space="preserve">iq_usp
</t>
  </si>
  <si>
    <t xml:space="preserve">fcfusp
</t>
  </si>
  <si>
    <t xml:space="preserve">usponline
</t>
  </si>
  <si>
    <t>saassalescombr
💡 Uma ideia sem ação é apenas
um sonho. Nos negócios #SaaS, tomei
a ação, paguei o preço e reescrevi
as regras. E você? Está pronto
para dar vida às suas ideias? #StartYourJourney
#empreendedorismo</t>
  </si>
  <si>
    <t>einvestidor
🍰 🥕 Marília Lima fundou a “Cenoradas”
na pandemia e hoje possui duas
lojas físicas, dois deliveries
e uma fábrica #bolos #investimentos
#empreendedorismo https://t.co/PqOpEe6Bew</t>
  </si>
  <si>
    <t>heitormauricio_
#tcc #produçãocultural #empreendedorismo
#academico #tese #faculdades #poemas
#literatura #textos #estudo #relações
#escrita #cultura #autoconhecimento
#tecnologiadainformação #TI #pesquisa
#escritos #posgraduação #sociedade
#lugardefala #leitura #doutorado
#tccaprovado https://t.co/uNXrb2Bk2E</t>
  </si>
  <si>
    <t>diario_comercio
Conheça essa iniciativa de lideranças
femininas em Minas! #empreendedorismo
#saúde #liderançafeminina https://t.co/G6IYjKpTcf</t>
  </si>
  <si>
    <t>leonardo_leao3
🎫 Sebrae Minas abre inscrições
para o Varejo + Experience - @diario_comercio
#varejoexperience #empreendedorismo
#ecommerce https://t.co/9gGZqFD4Zs</t>
  </si>
  <si>
    <t>cleber_neris
@bpo_accountability #empreendedorismo
#foco #objetivos #resultados #gestaofinanceira
#bonshábitos #motivação #bpofinanceiro
https://t.co/j08vKpAyMF</t>
  </si>
  <si>
    <t>rafaelmilagre
Depois eles vão falar… 🦾 #empreendedorismo
#trabalhoduro #marketingdigital
#inteligenciaartificial https://t.co/9bYO4UqY9N</t>
  </si>
  <si>
    <t>agenciafapesp
Na próxima quinta-feira, dia 31
de agosto, a #FAPESP realiza evento
de encerramento do 24º Programa
de Capacitação em #Empreendedorismo
de Alta Tecnologia. Das 8h30 às
17h, na sede da Fundação, em São
Paulo. Mais informações e link
para inscrições em https://t.co/81VLW7zBOk
https://t.co/Wa5L7STp49</t>
  </si>
  <si>
    <t xml:space="preserve">uporto
</t>
  </si>
  <si>
    <t xml:space="preserve">ufscaroficial
</t>
  </si>
  <si>
    <t>freeclassific
Leads para Planos de Saúde https://t.co/PoCEESAWQ3
#empreendedor "Classificados Grátis"</t>
  </si>
  <si>
    <t>euhellenpereira
Você tem que ser a pessoa certa,
no lugar certo, na hora certa #THarvEker
#Ossegredosdamentemilionaria #empreendedorismo
#livro #book</t>
  </si>
  <si>
    <t>eudanielpena
Lembre-se de que cada desafio é
uma oportunidade de crescimento.
Mantenha-se resiliente, confie
em seu potencial e supere qualquer
obstáculo que surgir no caminho.
💪🚀 #empreendedorismo #determinação
#resiliência"</t>
  </si>
  <si>
    <t>yacov_mutombene
Apenas 1% da população mundial
vai entender #empreendedorismo
#yacov https://t.co/8569rsBhgc</t>
  </si>
  <si>
    <t>nelberezendevfa
Idealizadora @coachviviancarla
@conexaodelasoficial @casa432rosa
@versospersonalizados @regianeleitemk
@hugofariasfotografia A todas as
mulheres Empreendedoras vencedoras
no seu empreendimento.. #empreendedoras
#empreendedorismo #mulheresempreendedoras
https://t.co/hgPqQlVG5t</t>
  </si>
  <si>
    <t>cbnoficial
Qual o papel do empreendedor imobiliário
na construção das cidades? No próximo Mundo Corporativo,
@miltonjung recebe Luciano Amaral,
CEO da Benx Incorporadora. Participe! Sábado (2)
a partir das 8h, ao vivo no Youtube,
Facebook e site da CBN. #MundoCorporativo
#Empreendedorismo https://t.co/3m0XjoI3fa</t>
  </si>
  <si>
    <t xml:space="preserve">miltonjung
</t>
  </si>
  <si>
    <t>paulocbastos
Acorda, Brasil Inovar e empreender
são ferramentas para construir
um caminho vitorioso de políticas
válidas para o longo prazo. #inovação
#desenvolvimento #empreendedorismo
#gratidão Vale a pena ler de novo,
artigo de 2017, mas continua atual.
https://t.co/nlWryJidmy https://t.co/t1mlRpI3RC</t>
  </si>
  <si>
    <t>investindobem_
#historiasdesucesso #jeffbezos
#empreendedorismo #Negocios https://t.co/bgqEc1KA7o</t>
  </si>
  <si>
    <t>raio_lima
inovador ou uma experiência personalizada,
encontre sua vantagem competitiva
e faça com que ela brilhe! ✨💪
Compartilhe nos comentários: qual
é o elemento que torna a sua empresa
especial? 👇🔥 #Empreendedorismo
#Diferenciação #Negocios</t>
  </si>
  <si>
    <t>nitriomcti
Não sabe como transformar seu projeto
ou inovação tecnológica em um negócio
de sucesso? Não se preocupe, estamos
aqui para ajudar! 💡 Aqui estão
6 dicas valiosas para guiá-lo nessa
jornada!🚀 #negócio #inovação #empreendedor
#estrategia https://t.co/9XOAMvQyt2</t>
  </si>
  <si>
    <t>nilsonmarques22
Sei que a mensagem é complexa,
mas se você tiver a sabedoria de
avaliar os dois lados da moeda
+ a borda dela, conseguirá entender
a plenitude desta frase! #empreendedorismo
#prazo #pairixopaipobre #educação
#economia https://t.co/VMvTyecowk</t>
  </si>
  <si>
    <t>rejannefranca
A solução para o seu negócio Se
preocupe com o que realmente importa,
Atualizamos as suas Redes sociais
para você! Nos adicione no Whatsapp
21 99119 7530 #empreendedor #negócios
#servicos #pequenonegocio https://t.co/4SqwOMPtRZ</t>
  </si>
  <si>
    <t>advicestreinam1
Com o filme Vida de Inseto, abordamos
temas como: persistência, inovação,
liderança, lidar com emoções e
rejeição, a força do grupo. Leve
de uma forma divertida para sua
empresa ou escola entrando em contato
pelo telefone 1999884-0303. #dobutdonow
#liderança #empreendedorismo</t>
  </si>
  <si>
    <t>suruuuuyo
Dei um real pra minha mae e ganhei
2 reais #empreendedorismo</t>
  </si>
  <si>
    <t>estadaoimoveis
👔🏢 Um em cada cinco síndicos
de São Paulo é empresário https://t.co/epkpRRr1iR
#síndico #síndicoprofissional #imoveis
#investimentoimobiliário #condomínio
#mercadoimobiliário #estadão #empreendedorismo</t>
  </si>
  <si>
    <t>ecommerce_br
🔥 A incrível jornada do Mercado
Livre: Stelleo Tolda revela os
desafios e sucessos no Fórum E-Commerce
Brasil 2023! Descubra como o marketplace
se tornou um gigante do e-commerce:
https://t.co/YaU9K3iFkJ #EcommerceBrasil
#Ecommerce #MercadoLivre #Empreendedorismo
#Inovação https://t.co/XyBzEvv1ds</t>
  </si>
  <si>
    <t>aquarianae_etc
https://t.co/qM97WtnZ0m O valor
arrecadado é em prol da compra
de materiais para que eu possa
começar a ministrar um mini curso
em breve para estudantes de enfermagem.
#Enfermagem #empreendedorismo #nurse
#instagram #TwitterFiles #fy</t>
  </si>
  <si>
    <t>venezianolopes
Ei, empreendedor! Você construiu
sua empresa com suor e dedicação,
investiu tempo, recursos e fez
acontecer. #vendas #metas #negocios
#estrategias #resultados #vendamais
#refem #empreendedor https://t.co/70F32IbB99</t>
  </si>
  <si>
    <t>msiqueirarafael
EB2-NIW aprovado com RFE Empresário
no segmento de jóias e metais preciosos
Caso protocolado 23/11/22 e aprovado
08/09/23 #lawfirm #markmoraislaw #greencard #imigração #estadosunidos #morarnoseua #visto #eb2 #rafaelsiqueira #empresario
#empreendedorismo #empreendedor
https://t.co/BWrVEl22lM</t>
  </si>
  <si>
    <t xml:space="preserve">markmoraislaw
</t>
  </si>
  <si>
    <t>jovempanentrete
#DeuMatchJP | “A decoração e a
moda estão totalmente interligadas”,
destaca Giselle Rivkind, diretora
de marketing da Breton 📺 Confira
na JP News #mkt #empreendedorismo
#Breton https://t.co/nmhKVQjNJc</t>
  </si>
  <si>
    <t>bastetmktbr
4️⃣ Use hashtags de localização
para atrair um público local. Lembre-se,
as hashtags são uma ferramenta
poderosa para aumentar o alcance
e o engajamento no Instagram! #novosclientes
#empreendedorismo #médicos #advogados
#psicólogos #empreendedores #empresários
#consultórios https://t.co/nXsbanmYYA</t>
  </si>
  <si>
    <t>negocproflucrat
7 MINI FÁBRICA LUCRATIVAS PARA
VOCÊ MONTAR NA SUA CASA E GANHAR
MUITO! https://t.co/9544SXQB19
via @YouTube #rendaextra #empreendedorismo
#dicasdesucesso #ganhardinheiro</t>
  </si>
  <si>
    <t>nanaydeliz
RT @ForbesBR: #HenryFord foi um
#empreendedor e engenheiro mecânico
norte-americano e o fundador da
Ford Motor Company. Foi a partir
da ind…</t>
  </si>
  <si>
    <t>mariade10544965
RT @JovemPanNews: #JornaldaManhã
| Quatro em cada dez pequenos negócios
usam cartão de crédito para financiar
a empresa; empreendedores têm…</t>
  </si>
  <si>
    <t>jovempannews
#SOSEmpreendedorJP | Maria Deccor
precisa de investidor-anjo para
expandir seu negócio, que já possui
dois anos no mercado; bancada comenta
📺 Confira na JP News #Empreendedorismo
#Negócio #Economia https://t.co/dS13zA8f2h</t>
  </si>
  <si>
    <t>juveradvesports
Artigo sobre regimes financeiros
mais comuns para times de eSports,
bem como suas vantagens e desvantagens.
#eSports #empreendedorismo #microempreendedorindividual
#mei #microempresa #associação
#sociedadelimitada #planejamento
#estratégico https://t.co/9du85NmFxC
via @LinkedIn</t>
  </si>
  <si>
    <t xml:space="preserve">linkedin
</t>
  </si>
  <si>
    <t>inpibrasil
#desenhoindustrial #acordodehaia
#acordodehaiadescomplicado #inpibrasil
#industriabrasileira #designnacional
#exportações #empreendedorismo</t>
  </si>
  <si>
    <t>wescleygarcia
Uma honra contribuir com o nosso
setor e fazer parte do time @acadbrasil.
Seguimos juntos na missão de servir,
fomentar e evoluir o nosso setor.
https://t.co/fegsTaK4f6 #ozeladordeacademias
#gestao #empreendedorismo #sistemaconfefcrefs
#natalrn #acadbrasil #nextfit https://t.co/gYf5vkXzzz</t>
  </si>
  <si>
    <t xml:space="preserve">acadbrasil
</t>
  </si>
  <si>
    <t>williambcunha
🎯 O planejamento tributário estratégico
envolve a análise e otimização
dos impostos pagos por uma empresa,
levando em consideração suas atividades
e objetivos. É importante consultar
um especialista na área para obter
um planejamento eficiente. . .
. . . #empreendedorismo https://t.co/X0Mii70ipB</t>
  </si>
  <si>
    <t>odisseiaalfa
@NorthstarBrain Uma ótima lista
de prompts para impulsionar o crescimento
de um negócio solo em 2023! A diversidade
de tópicos abordados mostra o quão
completo é o guia. Parabéns pela
escrita envolvente e informativa!
#NegócioSolo #Empreendedorismo</t>
  </si>
  <si>
    <t xml:space="preserve">filicroval
</t>
  </si>
  <si>
    <t xml:space="preserve">heyrobinai
</t>
  </si>
  <si>
    <t xml:space="preserve">northstarbrain
</t>
  </si>
  <si>
    <t>ibahia
Sebrae realiza 2ª edição da Feira
das Pretas no dia 29 de julho Evento
gratuito e de apoio empreendedoras
negras terá programação especial
com exposição, painéis, mentorias
e palestras #ibahia #empreendedorismo
#feiradaspretas https://t.co/N7nfcZYEmL</t>
  </si>
  <si>
    <t>aryyandrade
A Águia jamais deixa de voar por
conta de um tempo ruim, pensei
nisso. #boanoite #business #empreendedorismo</t>
  </si>
  <si>
    <t>brltrabalhador
Evento promovido pela Prefeitura
de Cajamar irá oferecer vagas de
emprego, nos próximos dias 19 e
20 de julho #vagasdeemprego #cajamar
#prefeituradecajamar #polvilho
#empregabilidade #empregos #estudantes
#mercadodetrabalho #empreendedorismo
https://t.co/4X56juQkyG https://t.co/VJH5umItjS</t>
  </si>
  <si>
    <t>gomalga
Confira como a Mercado Diferente
conseguiu aumentar o volume de
pagamentos em 10% com a nova infraestrutura
de pagamentos: https://t.co/Ps7gn5LdjN
#HistoriaDeSucesso #MercadoDiferente
#Pagamentos #Crescimento #SucessoEmpresarial
#Empreendedorismo #Vendas #Tecnologia</t>
  </si>
  <si>
    <t>arnaldopoggi
Vamos powerizar o mundo fitness!
#empreendedorismo #mundofitness
#brasil #gestao #arnaldopoggi #mateusbaltar
https://t.co/XjLGfhWfZY</t>
  </si>
  <si>
    <t>queijodalagoamg
Em um minuto eu te conto a história
do Tropeiro Digital: https://t.co/wKNAWduZ00
Espia! #inscreva_se #youtube #tropeirodigital
#minasgerais #ecommerce #traycommerce
#locaweb #sebrae #sebraeminas #empreendedorismo
#agronegócio</t>
  </si>
  <si>
    <t xml:space="preserve">pauloaraujotwt
</t>
  </si>
  <si>
    <t xml:space="preserve">romeuzema
</t>
  </si>
  <si>
    <t xml:space="preserve">emater_minas
</t>
  </si>
  <si>
    <t xml:space="preserve">agriculturamg
</t>
  </si>
  <si>
    <t xml:space="preserve">governomg
</t>
  </si>
  <si>
    <t>sebraeminas
Empreendedores de #comunidades
de BH contam suas trajetórias nos
negócios na #ExpoFavelaMinas. Apoiados
pelo @SebraeMinas, moradores da
Cabana do Pai Tomás e do bairro
Coqueiros mostram como o #empreendedorismo
tem transformado a realidade da
#periferia. https://t.co/gG5p1iHqW3
https://t.co/4kEovPiN3U</t>
  </si>
  <si>
    <t>denvermoura
Seu mercado não está saturado,
sua mentalidade está. É hora de
pensar além dos limites que você
mesmo estabeleceu. #empreendedorismo</t>
  </si>
  <si>
    <t>top1mktdigital
Criamos a tua Loja Online! https://t.co/DuU4C6oKgb
#ecommercebusiness #EcommerceStore
#Portugal #Braga #Porto #Empreendedorismo
https://t.co/EKOGcK8Uca</t>
  </si>
  <si>
    <t>semana_inovacao
Maitê Lourenço na Semana de Inovação
2023! 🔹Fundadora da #BlackRocksStartups
🔹General Partner na YA Ventures
🔹Representante do ODS 9 na ONU
Vem aí uma conversa rica em insights
sobre #inovação e #empreendedorismo
negro no Brasil. Inscreva-se: https://t.co/K5WzZjnXbT
https://t.co/EncXBpwX4s</t>
  </si>
  <si>
    <t>trendnuggetcom
China promove crescimento da economia
privada https://t.co/T32BqhRnaB
#economia #privada #china #crescimento
#empreendedorismo #inovação #tecnologia
#investimento #oportunidades A
China anunciou nesta semana uma
série de medidas para promover
o crescimento da economia privad…
https://t.co/oRBT7qDiwE</t>
  </si>
  <si>
    <t>vinioescritor
Pense nas vendas como a energia
vital dos negócios. Elas não são
opcionais, mas sim a essência que
impulsiona o sucesso. Você está
constantemente vendendo: seja um
produto incrível, um serviço excepcional
ou o valor de escolher o seu caminho.
#Vendas #Empreendedorismo</t>
  </si>
  <si>
    <t>web_design_mogi
Você quer crescer seu negócio online?
💻 A Web Design Mogi é a agência
de marketing digital que você precisa!
Acesse: https://t.co/D9q9aiMtnP
#marketingdigital #webdesign #empreendedorismo
#marketingdigitalbrasil #marketingdigitalsp
#marketingdigitalmogi #webdesignmogi
https://t.co/ERWULJLVlX</t>
  </si>
  <si>
    <t>liindaoss
RT @mere_lani: Dinossauros 🦖🦕
#confeiteira #maesfesteiras #bolodorio
#mãosdefada #empresária #bolosdecorados#bolosdepotegourmet
#empreended…</t>
  </si>
  <si>
    <t>subackuponline
⬇️⬇️⬇️⬇️⬇️⬇️ https://t.co/gVe01d3AaE
= #marketingdigital #dicasmarketingdigital
#marketingdigitalparastartups #marketingdigital
#marketing #empreendedorismo #digitalmarketing
#socialmedia #instagram #sucesso
#business #negocios #dise #branding
#empreender #a #dinheiro https://t.co/vvCMPF970l</t>
  </si>
  <si>
    <t>goncalvesadvs
1️⃣ Marca Forte: Crie uma marca
com valores sólidos. 2️⃣ Planejamento
Estratégico: Defina metas claras.
3️⃣ Persistência e Resiliência:
Supere obstáculos. Aplique essas
dicas e eleve seu negócio! 🚀 #DicasDeSucesso
#Empreendedorismo #GonçalvesAdvogados
#VitoriaES #Advogado https://t.co/V9BkyxtREf</t>
  </si>
  <si>
    <t>ricamconsult
Será que o seu cliente está no
LinkedIn? Se o seu negócio é B2B,
provavelmente, sim. O potencial
de oportunidades de negócios na
rede é gigante e está sendo desperdiçado
por muitas empresas. Entenda melhor.
#linkedinparanegocios #linkedinbrasil
#economia #empreendedorismo… https://t.co/1b5wJJLPZc</t>
  </si>
  <si>
    <t>darkin_lf
Nois somos os próximos família
Se você n for mais um preguiço
comente "eu" que eu te ensino #kiwify
#markentingdigital #viral #plr
#dropshipping #marketing #vendas
#ebook #empreendedorismo #fyp https://t.co/vb8MUEfvx4</t>
  </si>
  <si>
    <t>agenciasertao_
Sebrae e Senac promoveram oficina
Bootcamp para empresários de Vitória
da Conquista #Destaques #Educação
#RegiãodeVitóriadaConquista #Empreendedorismo
https://t.co/2vYWRxrAfn https://t.co/sKMpT7VUhN</t>
  </si>
  <si>
    <t>q20anon30
@camilafarani Antes que eu pudesse
pensar no segundo erro que cometo,
você já me deu a solução para os
5. Uau, isso é ultra-empreendedorismo!
Nem eu mesmo consegui pensar nos
próximos 3. Obrigado por pensar
por mim e já resolver esse meu
grande problema. 🙏 #empreendedorismo</t>
  </si>
  <si>
    <t xml:space="preserve">camilafarani
</t>
  </si>
  <si>
    <t>programapanico
#Pânico | Foca na Economia: Brasil
perde mais de 400 mil empresas
no primeiro semestre; Samy Dana
te explica mais sobre o assunto
📺 Confira na JP News #brasil #empreendedorismo
#economia https://t.co/lfmxqSMvzL</t>
  </si>
  <si>
    <t>pauloyossimi
Potencialize suas conversões ao
adotar a linguagem e as expressões
do seu público-alvo. 🚀✨ #Empreendedorismo
#Negócios #Sucesso #Inovação #Estratégia
#Empreender #Transformação https://t.co/lHFtOl0vWf</t>
  </si>
  <si>
    <t>9s_fora
@GustavoMehl Quem fizer uns animes
desse caras e cobrar 2 reais cada,
fica milionário.. o papo foi dado..
#empreendedorismo</t>
  </si>
  <si>
    <t xml:space="preserve">gustavomehl
</t>
  </si>
  <si>
    <t>minumenergia
É simples: indique nossa solução
para outras empresas. Saiba como
se tornar um parceiro. 🌐Link na
Bio! #minumenergia #planominum
#rendaextra #parceirominum #energialimpa
#indicouganhou #economiadeenergia
#energiasolar #sustentabilidade
#energialimpa #empreendedor https://t.co/Bmqy0wt1X9</t>
  </si>
  <si>
    <t>ferininja
Conserve o seu coração. ♥️⭐ #ferini
#marketingdigital #mindset #mentalidade
#empreendedorismo #riqueza https://t.co/ijulYW5JAW</t>
  </si>
  <si>
    <t>businessopb
❌ Nunca percas uma oportunidade
de aprender com o fracasso. #empreendedorismo</t>
  </si>
  <si>
    <t>steffynotion
Knowing your target audience is
crucial to building a successful
business. Take the time to identify
who your audience is and what they
need.</t>
  </si>
  <si>
    <t>mdofranchising
Enxergue além do horizonte e transforme
sonhos em realidade. #negocios
#franquia #sucesso #investimento
#ótica #ótico #saude #beleza #bem-estar
#empreendedorismo #franchising
#mdo #rumoa1000 #óculos #pegn #abf
#excelencia #lojas #lentes https://t.co/58cWQK94RL</t>
  </si>
  <si>
    <t>sinco_brasil
Mais vale cumprir o próprio dharma,
ainda que de forma imperfeita,
do que cumprir de maneira perfeita
o dever de outrem. Krishna #Krishna
#Sinco #41anos #Tradição #Desde1982
#Xeon #Intel #Kingston #Seagate
#DataCenter #Servidor #Empreendedor
#Empreendedorismo #Informatica
https://t.co/20Z6Q9YXWg</t>
  </si>
  <si>
    <t>rataoclipes
Quer ganhar dinheiro rápido? #blackrat
#marketingdigital #dinheiro #ganhardinheiro
#vendasonline #empreendedorismo
#sucesso https://t.co/AczHTf7hn3</t>
  </si>
  <si>
    <t>gnadipeh
Esse é o registro de um dia muito
especial em que estivemos em treinamento
com a empresa Suzano em São Mateus/ES,
e iremos atender 1400 mulheres
empreendedoras durante 2 anos.
#cufa #cufaes #empreendedorismo
#mulheres #empoderamento #riqueza
#favela https://t.co/P12qYxPJsU</t>
  </si>
  <si>
    <t>papobiz
Pega o telefone e liga! A conversão
das suas vendas depende principalmente
da sua comunicação. . 7% está ligado
ao texto . 38% com o volume, timbre
e entonação. . 55% do que o cliente
visualiza. #Negocios #empreendedorismo
#sucesso #empreender #motivação
#liderança https://t.co/Ur3iIMnvPv</t>
  </si>
  <si>
    <t>dudumesquita
https://t.co/BmCq81flpa #consulting
#consultoria #Gastronomia #empreendedorismo</t>
  </si>
  <si>
    <t>abcgovbr
Após a missão de prospecção, Brasil
🇧🇷 e São Tomé e Príncipe 🇸🇹
elaborarão, juntos, o documento
de projeto a ser futuramente assinado
pelos dois países. #CooperaçãoBrasileira
#Cooperação #CooperaçãoSulSul #Empreendedorismo
#CooperaçãoBrasilSTP https://t.co/7LPiQqxFNV</t>
  </si>
  <si>
    <t>makifalida
@lukahwy Da pra arrumar um trampo
no museu #empreendedorismo</t>
  </si>
  <si>
    <t xml:space="preserve">lukahwy
</t>
  </si>
  <si>
    <t>cristia37011713
Para viver o propósito, é nescessário
suportar o processo! 🎯🏆 . . .
. . #foconoobjetivo #proposito
#processo #empreendedorismo #eusou
#vendas #energiapositiva https://t.co/HrgjfTSV1F</t>
  </si>
  <si>
    <t>lucianogal14001
VERDADES que vão te SURPREENDER
#sucesso #vida #foco #motivação
#empreendedorismo #psicologia https://t.co/XiCxbDCXsU</t>
  </si>
  <si>
    <t>zanettijeff
O empreendedorismo é como um quebra-cabeça:
requer paciência, criatividade
e persistência para unir as peças
do sucesso. Encare os desafios
com coragem e transforme seus sonhos
em realidade. #Empreendedorismo
#Sucesso 💼🚀</t>
  </si>
  <si>
    <t>paullosergioz7
Já conseguiu gerar suas vendas
ou ainda tá tentando gerar sua
primeira venda? #MarketingDigital
#primeiravenda #trafegoorganico
#trafegopago #kiwify #plr #rendaextra
#ganhardinheiroonline #milionario
#empreendedor</t>
  </si>
  <si>
    <t>dotnetinstitute
Why Digital Marketing is Important
to Learn Today? . . Link:- https://t.co/w34fw3VZI7
. . . . #digitalmarketing #business
#entrepreneur #facebook #marketingdigital
#socialmedia #entrepreneurship
#empreendedorismo #startup #digitalmarketing
#workfromhome #dotnetinstitute
https://t.co/TN53gAwhD0</t>
  </si>
  <si>
    <t>marcelostrama_
Com emenda parlamentar do deputado
@caiofranca_ vem aí o #SimplificaDiadema.
Um espaço voltado ao #empreendedor
e ao #trabalhador. Vários serviços
oferecidos em um único local: #jucesp
#empregadiadema #bancodopovo #sebrae
#cooperadiadema #polocosmético
#saladoempreendedor</t>
  </si>
  <si>
    <t xml:space="preserve">caiofranca_
</t>
  </si>
  <si>
    <t>alexpintor_foz
Você vai aprender uma coisa tá
👇https://t.co/Fgzwxe6ret . . #empreendedor</t>
  </si>
  <si>
    <t>ootimistajornal
Com esse treinamento, você estará
apto a aplicar as técnicas e ferramentas
necessárias para maximizar o seu
engajamento online. Portanto, não
perca tempo e faça a sua inscrição
pelo link da BIO do @sebraece.🚀
#sebraece #marketing  #empreendedorismo</t>
  </si>
  <si>
    <t>felipelegado
Quero transformar marcas em experiências
significativas, conectando pessoas
através do poder do design estratégico.
Juntos, vamos construir histórias
que impactam o mundo.🔥 #microempresa
#começando #empresa #publicidade
#marketing #identidadevisual #design
#empreendedorismo https://t.co/R0TbJvk4B5</t>
  </si>
  <si>
    <t>theinfoveritas
🚨 NOTÍCIA: Andrey Melnichenko:
"Não faz sentido falar sobre o
bem e o mal". O empresário russo
desafia o nosso entendimento sobre
o que é certo ou errado. Será que
nossas percepções são definitivas?
#Empreendedorismo #AndreyMelnichenko
#BemEOMal Fonte: France 24.</t>
  </si>
  <si>
    <t>eliaslealmkt
Olá, estou te convidando para seguir
meu perfil na rede social Bom Perfil,
essa plataforma preza pela liberdade
de expressão! DEMOSTRE seu patriotismo!
🇧🇷 #BomPerfil #RedeSocil #empreendedorismo
https://t.co/bylh3aoPTt</t>
  </si>
  <si>
    <t>tavorecife
RT @LOBSContabilid1: Apesar de
se tratar de uma compensação pelo
trabalho, o pró-labore deve ser
retirado de forma consciente. #LobsContab…</t>
  </si>
  <si>
    <t>lobscontabilid1
Programa é voltado para empresários
que buscam microcrédito e serão
destinados R$ 300 milhões para
a modalidade. #LobsContabilidade
#CaixaEconômica #CaixaRepasse #Empreendedor
#MEI #Microcrédito https://t.co/whj6IvhWsg
https://t.co/2HgtqoEpe0</t>
  </si>
  <si>
    <t>danielsmcontab
´ Erros que chamam atenção do fisco´
Siga @danielsmcontabil para dicas
contábeis e sobre negócios. #empreendedorismo
#negocios #fisco #receitafederal
#omissão #contabil #contabilidade
#erro #erros #siga https://t.co/iGILBD4d5c</t>
  </si>
  <si>
    <t>murilo_business
Vem que eu te ensino, link na bio
🤑💸 #rendaextra #MarketingDigital
#liberdadefinanceira #sucesso #empreendedorismo
https://t.co/rPqOT0XI3C</t>
  </si>
  <si>
    <t>samuelvcjunior
💡 "Não espere por oportunidades,
crie-as." George Bernard Shaw 🚀
#Oportunidade #Empreendedorismo
#CrieSeuFuturo</t>
  </si>
  <si>
    <t>antoniodisouza
SEJA BEM VINDO A BAHIA @byd_brasil
🇧🇷 AVANÇA CAMAÇARI!🙅🏽‍♂️🚀🚘
Parabéns a todos os envolvidos
nesses grandioso projeto! GANHA
A POPULAÇÃO! 👏🏽👏🏽👏🏽👏🏽 #empreendedorismo
#emprego #bydauto #seagull #híbridoSong
#Dolphin #camaçari #bahia #🇧🇷
https://t.co/SIY2B6iVmo</t>
  </si>
  <si>
    <t xml:space="preserve">byd_brasil
</t>
  </si>
  <si>
    <t>thaylajasmim1
RT @mere_lani: Dinossauros 🦖🦕
#confeiteira #maesfesteiras #bolodorio
#mãosdefada #empresária #bolosdecorados#bolosdepotegourmet
#empreended…</t>
  </si>
  <si>
    <t>desk_coworking
Nossa nova série no youtube: Coworking
em Minutos. Nele nosso CEO (Paulo
Leite) traz informações, curiosidades
e aspectos que envolve o coworking
e seus serviços. https://t.co/jvgfm6rijl
#coworking #empreendedorismo</t>
  </si>
  <si>
    <t>ghostwebdigital
Seja bem-vindo à Ghost Web Digital!
Somos a parceria ideal para o seu
negócio. Com nossa ajuda, sua empresa
alcançará novos patamares de sucesso.
🚀✨ . . #sucessodigital #marketingdigital
#cod #dev #marketing #javascript
#developer #empreendedorismo #sucesso
#programmer https://t.co/hFDUEbmWDJ</t>
  </si>
  <si>
    <t>mujeresswfl
¡Gracias por acompañarnos en este
maravilloso evento de Zumba junto
con @florida.blue en el día de
Ayer! Un placer poder compartirlo
con ustedes 🌷🙌 ¡Nos vemos en
el próximo evento! #mujer #marketing
#mujeresemprendedoras #empreendedorismo
#emprenderores #bienestar #accion
https://t.co/ALCwBJKjaS</t>
  </si>
  <si>
    <t xml:space="preserve">florida
</t>
  </si>
  <si>
    <t>aguiaestrategia
Adquirindo o Águia 2.0 você terá
acesso ao curso, atualizações e
atendimento pelo suporte durante
1 ano. #empreendedorismo #online
#trabalho #curso #cursoonline #MarketingDigital
#estrategia #estrategiadevendas
#plataformadevendas #anuncios #ondecompra</t>
  </si>
  <si>
    <t>gleydsonfdutra
Lute com determinação, abrace a
vida com paixão, perca com classe
e vença com ousadia, porque o mundo
pertence a quem se atreve e a vida
é muito para ser insignificante.
#motiva #motivacao #foco #sucesso
#empreendedorismo #fitness #marketingdigital
#amor #brasil #f #Motivation</t>
  </si>
  <si>
    <t>guto_sales1
Vim apresentar minha recente conquista,
dando continuidade ao aprendizado
contínuo com a colaboração da @Tim
e da @descomplica, mais um passo
com esse curso enriquecedor e essencial
ao meu currículo. #gratidao #lifelonglearning
#lideranca #cursos #certificado
#empreendedorismo: https://t.co/UePZsA5UEW</t>
  </si>
  <si>
    <t xml:space="preserve">descomplica
</t>
  </si>
  <si>
    <t xml:space="preserve">tim
</t>
  </si>
  <si>
    <t>santos_agora
#EMPREENDEDORISMO 🛍 CINCO ANOS
COM MUITAS ATRAÇÕES E SOLIDARIEDADE!
Neste fim de semana acontece uma
edição especial da feira de economia
criativa Gran Expo Bazar, para
celebrar os cinco anos do evento.
Serão 200 empreendedores da região
expondo produtos de diversos segmentos!</t>
  </si>
  <si>
    <t>morgado996
🚀A todos (as) Administradores!🚀
🤩🤩PARABÉNS!👏👏 . Linda e Fundamental
Profissão! Uma ideia (projeto)
sem uma Gestão de Excelência não
vai para frente! . #JorgeMorgado
🎯#VemComigo . #Administração #MarketingDigital
#MorgadoOnline #BuilderAll #Empreendedorismo
#TerceiroSetor . https://t.co/IgBcas64YV</t>
  </si>
  <si>
    <t>edbrindes
Como escolher brindes para os Clientes?
Essas 3 dicas vão fazer toda a
diferença #dica #edbrindes #brindes
#seuclientemereceumbrinde #empreendedorismo
#empreendedor #brindescorporativos
#brindesparaclientes #brindespersonalizados
https://t.co/UM8ZcfLtNA</t>
  </si>
  <si>
    <t>gopage_
Confira o depoimento de nosso cliente
Hugo Barone sobre a Gopage #gopage
#site #marketingdigital #ads #empreendedorismo
https://t.co/pObAxtji6h</t>
  </si>
  <si>
    <t>redepiubr
Com a Rede PIU, você pode expandir
seu leque de serviços e atrair
cada vez mais clientes para o seu
negócio! Imagine poder oferecer
aos seus clientes a praticidade
de recarregar créditos para jogos,
comprar vouchers de entretenimento
e muito mais. #RedePiu #empreendedorismo
https://t.co/I17VOS3mJy</t>
  </si>
  <si>
    <t>hiperretail
🗣️ Diogo Valente e Tiago Rebelo,
#30under30 os jovens empreendedores
num evento da @Forbes_Portugal
https://t.co/roEPzCkQ4p #CentraldeCompras
#Retalho #Logistica #Distribuição
#Empreendedorismo</t>
  </si>
  <si>
    <t xml:space="preserve">forbes_portugal
</t>
  </si>
  <si>
    <t>percycamilo034
O livre mercado é um ambiente fértil
para a inovação e o empreendedorismo.
A liberdade de entrada e saída
de empresas impulsiona o progresso
econômico e a melhoria contínua
de produtos e serviços. #Inovação
#Empreendedorismo</t>
  </si>
  <si>
    <t>digitalistaofic
📷 O #empreendedorismo é um terreno
fértil para #jornalistas, mas muitos
deixam de explorar esse caminho
por medo ou falta de incentivo…
📷 Para te ajudar, desenvolvemos
um curso próprio para #comunicadores.
Aproveite o desconto de 40%: https://t.co/SmDMsFsRhz
https://t.co/XVFXn0euO7</t>
  </si>
  <si>
    <t>sheron_goveia
#mercadopet #empreendedorismo #empreendedorismopet
#treinamento #petshop #empreendedorpet
https://t.co/yRIjOOhNv8</t>
  </si>
  <si>
    <t>rafael_opreis
Apresentamos a vocês o Mercademia
Podcast, um espaço onde os universos
do empreendedorismo e da academia
se encontram. Siga o nosso #Instagram
que em breve teremos o primeiro
episódio 🚀🎯🎙️ https://t.co/BE250jjtBg
#MercademiaPodcast #Empreendedorismo
#Gestão #Podcast</t>
  </si>
  <si>
    <t>desafio75dias
A inovação surge quando você está
disposto a questionar o status
quo e a abraçar a mudança. Inovação
é a chave para o sucesso nos negócios.
Seja curioso, questionador e aberto
a novas ideias e abordagens. #Desafio75Dias
#Inovação #Empreendedorismo #Sucesso</t>
  </si>
  <si>
    <t>guedesia
#DiaDoIrmão #Edenred #Empreendedor
#ImpulsioneSeuNegócio https://t.co/s5Sbwa6n7t</t>
  </si>
  <si>
    <t>julyano_ma51484
Gostou ? Me segue pra mais vídeos
como esse. 💰☘️🦋🙌 #harveyspecter
#Suits #empreendedor #empreendedorismo
#marketingdigital #outlier https://t.co/d4NnbgNZOD</t>
  </si>
  <si>
    <t>marclopezweb
Monetiza tu pasión en línea, piensa
en: - Ofrecer consultorías virtuales
- Cursos en línea - Crea productos
descargables #cursos #cursosonline
#empreendedorismo #consultoria
#empresa https://t.co/yNXu3FJ19v</t>
  </si>
  <si>
    <t>hilucasprado
#mentalmente #saude #saudemental
#saudavel #inteligenciaemocional
#trabalho #negocios #finanças #empreendedorismo
#marketing #marketingdigital #riqueza
#dinheiro #rico #brasil</t>
  </si>
  <si>
    <t>allbatrozcont
Compartilhe essa informação com
seus amigos empreendedores e ajude-os
a entender as nuances entre MEI
e ME. O conhecimento é poder! ☺
#MEI #ME #empreendedorismo #negócios
#SimplesNacional #empreender https://t.co/gP3CWSpFHy</t>
  </si>
  <si>
    <t>alison__correia
Thanks Lisa for the testimony.
Hope you are having a great day.
#allison #carolpaiffer #palestra
#belohorizonte #sebraeefestival
#empreendedorismo #investimentos
#sharktankbr #dinheiro https://t.co/Bn1EMR4fQd</t>
  </si>
  <si>
    <t>samarapaiva_a
Você faz parte dos 99% das micros
e pequenas empresas do País? Então
você precisa entender a importância
dos processos e gestões para o
crescimento da sua empresa. Me
chama aqui, que eu posso lhe ajudar.
#empreendedorismo #gestao #gestor
#dicas #microem…https://t.co/LoRIMTfIh9</t>
  </si>
  <si>
    <t>confeitariaana
Quer a Parte Dois? Me segue para
mais! #bolos #confeitaria #mulher
#empreendedorismo #rendaemcasa
#negocios #sobremesas https://t.co/JHo5TJdSZG</t>
  </si>
  <si>
    <t>cursodamasio
O mundo empresarial vem passando
por um cenário revolucionário impulsionado
pela inovação e pelo empreendedorismo.
Leia mais no Blog Damásio: https://t.co/a2dhOYdjYh
#startups #Damásio #empreendedorismo
#Direito #direitoempresarial #empresarial
https://t.co/EWeC5sBHqY</t>
  </si>
  <si>
    <t>marcosrroficial
A vida é um constante recomeço.
Não se de por derrotado e siga
adiante. As pedras que hoje atrapalham
sua caminhada amanhã enfeitarão
a sua estrada. #caminhada #mmn
#empreendedorismo</t>
  </si>
  <si>
    <t>nuvemerp
📢💻 Impulsione a produtividade
da sua equipe! Descubra como um
sistema ERP pode transformar a
forma como você trabalha. 🚀 Leia
nosso novo artigo no blog … Link
na bio ou acesse: https://t.co/e0dY2qPIGv
#negócios #empreendedorismo #sucessoempresarial
#crescimento #estratégias https://t.co/64IzlW3gX0</t>
  </si>
  <si>
    <t>sthoudt
Quer fazer uma ação de marketing
em seu comércio? A roleta da sorte
é uma ótima opção, além de ser
divertida os clientes adoram ganhar
e participar. Ela pode ser personalizar
com sua logo marca, com frases
e cores. #roletadasorte #sorteios
#personalizado #empreendedor https://t.co/87Zk8u5BXP</t>
  </si>
  <si>
    <t>mrdt88
R$250 por cômodo #empreendedores
#empreendimento #empreendedor https://t.co/uE75268qw6</t>
  </si>
  <si>
    <t>amadorubenn
A verdade que ninguém te contou
sobro o Marketing Digital! #amadoruben
#acelera-c #marketingdigital #negocios
#publicidade #vendasonline #maputo
#luanda #angola #moçambique #talatona
#6em7 #empreendedorismo #facebookads
https://t.co/cwa9UcvmaM</t>
  </si>
  <si>
    <t>originalsantt
A meta de agora tá habilitado é
que uma qualificação ajuda muito
a entra no jogo trabalhos temporários
e com boa remuneração. Vou subir
os investimentos e continua trabalhando
pra mim mesmo... 🧠📈💸 #educaçãofinanceira
#negócios #empreendedor #imvestimestos</t>
  </si>
  <si>
    <t>jefferson_cxc
Para quem está construindo sua
própria história, a luta pode ser
sim mais difícil. Mas valerá a
pena! Desejo que sua semana seja
incrível, para fechar setembro
com o melhor dos resultados! #criatividade
#empreendedorismo #inovacao #marketing
#tecnologia #sustentabilidade https://t.co/S6zHzHzfUj</t>
  </si>
  <si>
    <t>tarcisiovmiran1
Converse com Contrato PJ Serviços
&amp;amp; Recrute no WhatsApp: https://t.co/ypIHeVTJhs
Whatsapp (11)963666701 https://t.co/DSS73kv6mZ
#contadorpj #cltoupj #aberturaempresa
#calculadorapj #pejotizacao #cltxpj
#dev #desenvolvedor #programador
#calcularpj #abrircnpj #mei #empreendedor</t>
  </si>
  <si>
    <t>plat_espinosa
Hoje comemoramos 9 anos de existência,
ajudamos a realizar muitos sonhos,
muitos objetivos e vem muito mais
por aí. #plataformaespinosa #assessoriafinanceira
#solucaofinanceira #conquistas
#sonhos #objetivos #empresa #empresario
#empreendedor #empreendedorismo
#aniversario #9anos https://t.co/SpeOgj5JLJ</t>
  </si>
  <si>
    <t>midiastudio
Venha bater um papo conosco sem
compromisso. Descubra o que fazer
pra melhorar a presença do seu
Negócio no Ambiente Digital. WhatsApp:
61 99241-8514 . #MidiaStudioDesign,
#Branding, #Design, #Marketing,
#Qualidade, #Estrategia, #Criatividade,
#Empreendedorismo, #Negocios https://t.co/OPL4ALJsfK</t>
  </si>
  <si>
    <t>portalgp1
O presidente Décio Lima comemorou
o avanço, mas reiterou que deveria
ter sido feito bem antes. #PortalGP1
#GP1 #Sebrae #Empreendedorismo
https://t.co/V9jFmEwhux</t>
  </si>
  <si>
    <t>pixeldigitalab
Contáctanos y estaremos encantados
de ayudarte 📲+52 462 324 9638
cgarcia@pixeldigitalab.com Blvrd
Díaz Ordaz 1156, Jardines de Irapuato
36660, Irapuato, Gto. #marketingdigital
#innovaciondigital #MarketingEfectivo
#estrategiadigital #Expertos #marcasoriginales
#empreendedorismo</t>
  </si>
  <si>
    <t>rogerpost66
"O Sentido da vida é que ela termina."
- Franz Kafka Se você já refletiu
com nossas mensagens, segue a gente!
😊 🎥 | Série-》After Life #reflexao
#sucesso #foco #filosofia #liberdade
#motivacao #mensagem #pensamentos
#mindset #mentalidade #prosperidade
#vida #empreendedorismo https://t.co/m6tysadPGz</t>
  </si>
  <si>
    <t>rafaelamorimofc
Jovem aprendiz? ❓Cansado de viver
sem dinheiro? 👉🏽Clica no link
abaixo que vou te ensinar a fazer
dinheiro ainda hoje usando apenas
o seu CELULAR💰🤑 https://t.co/AzcXzEYJbR
. . . . . #empreendedorismo #sucesso
#liberdadefinanceira #rendaextra
#dinheiroonline https://t.co/irM0H9nl5d</t>
  </si>
  <si>
    <t>ricardo83976752
Seamos LUZ en este MUNDO lleno
de tinieblas, con Sabiduría Nación,
Inteligencia, Ayuda a nuestro prójimo
saldremos adelante Latinoamérica
❤🎹🤠 #RicardoMiranda #empreendedorismo
#dinero #finanzas #marketingdigital
#Tips #labibliadeloso #empresas
#negocios #finanzaspersonales https://t.co/ljGGyB6Oy6</t>
  </si>
  <si>
    <t>oteroking
#advogados #empreendedorismo https://t.co/A9I5O32yiu</t>
  </si>
  <si>
    <t>leocrunfli_mkt
Eles derrubaram um avião de propósito!
#empreendedorismo #marketing #MarketingDigital
https://t.co/Pi3076jfm8</t>
  </si>
  <si>
    <t>coppolacontabil
Edição de Agosto/2023 #edicaodeagosto
#empreendedor #mei #informativo
#contabilidade #coppolacontabil
#contabilidadesp #crc #cfc https://t.co/dwVm3Db2KS
https://t.co/6bs6eH6cLG</t>
  </si>
  <si>
    <t>ferr_explorer
Empreender é uma montanha-russa
emocional e financeira. 🎢 Vou
compartilhar as 3 coisas que busco
para lidar com essa jornada. #Empreendedorismo
#Resiliência https://t.co/DXcEWk78kJ</t>
  </si>
  <si>
    <t>jeovanibcosta
O homeoffice acabou com a conversa
de cafezinho em muitos negócios
e isso vai balançar a carreira
de muita gente, no longo prazo.
#HomeOffice #Empreendedorismo</t>
  </si>
  <si>
    <t>terezaomozama
Guia completo para criar um domínio
para o site da empresa https://t.co/sIRLBe5TtM
#domínio #site #registro #presençaonline
#empreendedorismo https://t.co/VeKS263hOP</t>
  </si>
  <si>
    <t>othomazmaciel
#Marketing #marketingdigital #threads
#twitter #xdotcom #empreendedorismo</t>
  </si>
  <si>
    <t>compraintelige3
👍 Correas de Velcro para Sujeción
de Cables. Ahora podrás tener tus
cables en orden. 💵 Precio: 2,50
Usd. Paq. De 10 u 📱 Pedidos al
WhatsApp 0987242332 📱 #velcro
#cable #orden #escritorio #viernes
#computadora #electronics #azogues
#negro #correa #empreendedorismo
https://t.co/6Kx6Z1Ek6B</t>
  </si>
  <si>
    <t>rocketmediapnz
Criação de Caricatura para o cliente
@evaldo_da_melancia_ Orçamento
no Link da Bio! Vem ser #rocketmedia
🔥 #logo #criaçãodelogo #caricatura
#agenciademarketing #marketingdigital
#dicasparanegocios #empresas #empreendedor
#mei https://t.co/JHVYJt0w5P</t>
  </si>
  <si>
    <t>corumbaonline1
Oficina do Sebrae leva inovação
e empreendedorismo à Escola Professor
João Babtista em Ladário. #ladario
#empreendedorismo #escola #sebrae
Saiba mais acessando o site: https://t.co/7GeExJVp77
https://t.co/ufYu7tnCPj</t>
  </si>
  <si>
    <t>realpauloborba
Saiba um pouco mais sobre a historia
de empreendedorismo e superação
de Clovis Tramontina. Clicando
no link abaixo você pode se aprofundar
nessa história e apoiar a criação
de conteúdo. #Tramontina #HistóriaDeSucesso
#Inspiração #Empreendedorismo https://t.co/KkgnMD7lD2</t>
  </si>
  <si>
    <t>luisdepilmen
🫱🏻‍🫲🏼 #diadocliente #15setembro
#cliente #gratidão #laesteticaebemestar
#clinicalaesteticaebemestar #luisdepilacaomasculina
#empreendedor https://t.co/j5Q0wtW0XH</t>
  </si>
  <si>
    <t>portal_viva
Cotia terá mais uma edição da Feira
do Empreendedor Social. Evento
acontece neste domingo, das 9 às
17h. Saiba mais em https://t.co/1bI4jR4ZUS
#social #feira #empreendedorismo
#evento #bazar #portalviva #cotia
https://t.co/16xslGhmLr</t>
  </si>
  <si>
    <t>parasubiculum
@AEstrelaLeonina Em 2017 recebi
esta mesma mensagem da senhora
italiana. Zero inovação em 6 anos,
o banditismo necessita mais #empreendedorismo</t>
  </si>
  <si>
    <t xml:space="preserve">aestrelaleonina
</t>
  </si>
  <si>
    <t>uflabr
UFLA recebe nota máxima em projeto
de #empreendedorismo e #inovação
https://t.co/sgr3BoKINa #UFLA #Notícia</t>
  </si>
  <si>
    <t>campuspartybra
🚀 Participe da Escola de Inovadores
Fast da Inova CPS na #CPBR15 e
transforme suas ideias em negócios
sustentáveis por meio da inovação.
Inscreva-se até 28 de julho. Mais
informações em nosso site: https://t.co/seNHb4sCgF
#Empreendedorismo #Inovação #CampusParty
https://t.co/CUNEn2G9iB</t>
  </si>
  <si>
    <t>ia_matheuss
Não há necessidade de comparar
um trabalho das 9 às 5 com empreendedorismo
ou freelancer. Como alguém que
já fez TODOS os três, posso dizer
que o melhor é aquele que se adapta
à sua saúde mental e cobre as suas
despesas. 🧠💼 #Trabalho #Empreendedorismo
#SaúdeMental https://t.co/46n7FpKX5T</t>
  </si>
  <si>
    <t>deyvidbueno
Você pode criar um negócio digital
na área de agronomia oferecendo
cursos online, consultorias, e-books,
podcasts, webinars ou aplicativos.
https://t.co/cMOnznoutY como criar
e quais as vantagens #agronomia
#negóciosdigitais #empreendedorismo</t>
  </si>
  <si>
    <t>jucemaoficial
✅ Ao contextualizar as melhorias
na simplificação do registro de
empresas, o presidente da #Jucema
destacou a importância da parceria
do Sebrae e o @GovernoMA para fomentar
o empreendedorismo local. #GovernoMA
#Maranhao #Empreendedorismo</t>
  </si>
  <si>
    <t xml:space="preserve">ilisp_org
</t>
  </si>
  <si>
    <t>jucepar2
Leia a matéria completa no nosso
site pelo link abaixo: https://t.co/OCRsE58LEY
#jucepar #juntascomerciais #decretodobaixorisco
#economiaparanaense #empresasparana
#empreendedorismo</t>
  </si>
  <si>
    <t>canalstevejob
TRANSFORMANDO 500R$ EM 5K MÊS PRENDEDOR
ISSO #empreendedorismo #dinheiro
#benbvolliefde https://t.co/IeKs07tkU5</t>
  </si>
  <si>
    <t>fosofamiliasv
FOSOFAMILIA mantiene un constante
compromiso en apoyar a las personas
emprendedoras, contribuyendo al
desarrollo económico del país.
🤝🇸 #Yoemprendo #empreendedorismo
#Agosto #emprendedores #ElSalvador
#emprendedor #2023JuntosVamosAdelante
https://t.co/8hr9Y2IJZl</t>
  </si>
  <si>
    <t>mvcosta22
Unidade Amazing Explorers em Prosper
- Texas. Entregue no final de 2022.
Novas unidades disponíveis para
investidores brasileiros. Invista
no mercado de educação norte americano.
Agende sua reunião. #Investimentos
#empreendedorismo #empreender https://t.co/kRQCDX8KbY</t>
  </si>
  <si>
    <t>tarcisosouza
geração de sustento. Texto completo
em @informeblu https://t.co/uwdumO9Wrm
#notasdedomingo #empreendedorismo
#emprego #negocios #mei</t>
  </si>
  <si>
    <t>metalogsoft
Evitar estes erros pode ajudar
a garantir o sucesso a longo prazo
do seu negócio. Insta: https://t.co/AwK3flfTDl
#Empreendedorismo, #Empreender,
#Empreendedores, #Startup, #Negocio,
#Sucesso, #Networking, #Inspiração,
#Crescimento, #Gestão https://t.co/uP0FKTJMG8</t>
  </si>
  <si>
    <t>captablebrasil
Descubra os segredos das startups
do nosso portfólio Mensalmente,
trazemos uma edição do CapReview
com as novidades mais quentes sobre
as startups que passaram por aqui!
Confira os destaques da CapReview
#08 👇 #startups #mídia #inovação
#tecnologia #empreendedorismo https://t.co/nj61LtLbNH</t>
  </si>
  <si>
    <t>tecminho
Em outubro, a TecMinho organiza
para a #UMinho um conjunto de #talks
sobre #empreendedorismo, dirigidas
à comunidade académica e alumni.
» Programas e inscrições: https://t.co/wEysSE1HIl
https://t.co/bDzpMDuiMJ</t>
  </si>
  <si>
    <t xml:space="preserve">patent_eu
</t>
  </si>
  <si>
    <t>espetoflex
Escolha o melhor presente, escolha
EspetoFlex https://t.co/MA0xxdedND
#churrasco #bbq #churras #espetoflex
#empreendedorismo #somosdacarne
#agro #diadospais #churrascoemcasa
#churrascoemfamilia #pai #presente
#aniversario #brasa #futebol #costela
#costelao #churrascoecerveja https://t.co/CE4vnCjz5p</t>
  </si>
  <si>
    <t>willianpsouz
RT @ForbesBR: #HenryFord foi um
#empreendedor e engenheiro mecânico
norte-americano e o fundador da
Ford Motor Company. Foi a partir
da ind…</t>
  </si>
  <si>
    <t>fronteira_livre
ACIFI I Alunos de ensino médio
visitam Associação Comercial e
Empresarial; objetivo é aproximar
jovens do mundo dos negócios e
do empreendedorismo inovador. #empreendedorismo
#inovador #acifi #empreender https://t.co/iVt66KXhjz</t>
  </si>
  <si>
    <t>abes_software
Vem e embarque no webinar DESVENDANDO
A #ESTONIA: um bate-papo sobre
#inovacao, #empreendedorismo, internacionalização,
#governodigital e mercado europeu.
Com Katharina Lehmann, Manoel Macedo,
Daniel Annenberg, Paulo M. Roque
e Rodolfo Fücher https://t.co/axn4hQsbT1</t>
  </si>
  <si>
    <t>tankkerbr
Confira a agenda de #eventos de
#empreendedorismo e #tecnologia
deste mês! 🔥📅 Fique por dentro
das últimas tendências e faça conexões
valiosas nesses eventos imperdíveis!
 #networking  #vidcon #campusparty #timeout #startupsfever
#digitalks #startupsummit #firefestival
https://t.co/eErPbBOzN9</t>
  </si>
  <si>
    <t>pabloberom
Síguenos para más contenido que
potencie tu negocio. #empreendedorismo
#marketing #socialmedia #instagram
#negocios #empreender #QueSeSepa
https://t.co/PKHO8nYu9b</t>
  </si>
  <si>
    <t>bmarketingnew
#Empreendedorismo #Cursosonline
#Educação https://t.co/q5JPbxLRsJ</t>
  </si>
  <si>
    <t>iedfam
📣 New Podcast! "Papéis: Conflitos
garantidos nas Empresas Familiares.
Por quê?" on @Spreaker #empreendedorismo
#empresafamiliar #familiaempresaria
#governanca #papeis https://t.co/qgDN5Gdd26</t>
  </si>
  <si>
    <t xml:space="preserve">spreaker
</t>
  </si>
  <si>
    <t>haraujomkt
Você é a força que impulsiona os
seus sonhos. Acredite, persista
e conquiste. O caminho pode ser
desafiador, mas você é mais forte
do que qualquer obstáculo. 💪✨#empreendedorismo
#vendas #negociosonline</t>
  </si>
  <si>
    <t>guerinocolatina
… e informações da maior Exposição
Agropecuária de todos os tempos.
Viva Colatina! #colatina #agro
#agronegócio #agricultura #empreendedorismo
#emprego #renda #economia #show
#música #festival #renatoteixeira
https://t.co/4R6LQXPhUe</t>
  </si>
  <si>
    <t>acontecendoaqui
ARTIGO | A importância dos 4 Ps
do marketing para o seu negócio.
#AcontecendoAqui #Marketing #empreendedorismo
&amp;gt;&amp;gt; https://t.co/NjoOMRX62b
&amp;lt;&amp;lt; https://t.co/st3UdmA074</t>
  </si>
  <si>
    <t>armandomarcos
Desenhos em estilo cartoon do Raul
e Vanessa do canal "Nascido de
Novo" . Ao lado algumas das fotos
usadas de base, e na imagem seguinte,
exemplos de figurinhas para WhatsApp.
#arteparanegocios #empreendedorismo
#designergrafico #mascotepersonalizada
#figurinhaswhatsapp https://t.co/vE603qxlni</t>
  </si>
  <si>
    <t>solutions_iti
EMPREENDER NO PHYGITAL E O SENTIMENTO
DE “SOLITUDINE” É necessário fortalecer
nossa infraestrutura, criar modelos
associativos de colaboração eficientes
para conectar empreendedores, investidores,
mentores e instituições . #Empreendedorismo
#Inovação #BrasilEmpreendedor https://t.co/r8Dj5N7c46</t>
  </si>
  <si>
    <t>founderluanda
Conheça os 11 #FIAlumni e #startups
formados na 5ª edição do Programa
de Aceleração de Startups do @FounderLuanda
RSVP: https://t.co/0mPNOxi1Qc @founding
#Angola #empreendedorismo #FIAlumni
@fiworldwide https://t.co/YthSRegXy1</t>
  </si>
  <si>
    <t xml:space="preserve">founding
</t>
  </si>
  <si>
    <t>agenciacapella
Entregas e delivery, saúde, viagem
e gastronomia, varejo online e
inteligência artificial. Esses
são os cinco setores que estão
tendo crescimento significativo
em 2023, segundo o site Entrepreneur.
#Negócios #Empreendedorismo #Capella
https://t.co/jN3DiYWWm5</t>
  </si>
  <si>
    <t>vikainvest
Dica do dia: diversifique suas
fontes de renda e minimize riscos.
Oportunidades estão onde você as
procura! #investidor #investing
#empreendedor</t>
  </si>
  <si>
    <t>danilorecco
Sabia desta diferença? #empresario
#empreendedor https://t.co/IIBWklmY5m</t>
  </si>
  <si>
    <t>moncave_space
Working alone sucks??? Then book
a space with us now at Moncave
co-working! 10,Wilmer street,ilupeju,Lagos.
#coworking #work #interiordesign
#business #entrepreneur #smallbusiness
#marketing #realestate #community
#entrepreneurship #empreendedorismo
#startup #space #office https://t.co/KVnMXUL5L7</t>
  </si>
  <si>
    <t>jonathanprobr
#Curiosidades #renda #rendaextra
#ganhardinheiro #empreendedorismo
https://t.co/mOXVh3LoIu</t>
  </si>
  <si>
    <t>granjanews
Desenvolvimento Econômico e SEBRAE
de Jandira promovem visita gratuita
a Feira do Empreendedor 2023 https://t.co/YycSLozPnd
#jandira #sebrae #desenvolvimento
#economico #feira #empreendedor
#visita #gratuita #granjaviana
#granjavianna #granjanews #promovem
https://t.co/eqkzXqI3Di</t>
  </si>
  <si>
    <t>rodrigo9231101
O empreendedor preso no escritório
não cresce!!! #empreendedorismo
https://t.co/NPzlCtdH1Q</t>
  </si>
  <si>
    <t>jjempreendedor
Devemos ser todos consultores em
nossas profissões, revolvedores
de problemas, enquanto delegamos
às máquinas o papel de executor.
#empreendedor #intraempreendedor
#ia</t>
  </si>
  <si>
    <t>alinevcruz
Clientes que pedem cada dia uma
alteração diferente no contrato:
eu tenho #business #empreendedorismo</t>
  </si>
  <si>
    <t>epocanegocios
No dia a dia, como distinguir as
oportunidades genuínas daquelas
que são meros devaneios? Para o
empreendedor serial Flavio Pripas,
dominar o jogo do #empreendedorismo
e dos #negócios é uma mistura intrigante
de ciência e arte. Leia em sua
coluna de estreia em Época NEGÓCIOS
https://t.co/Y7W6CKcBLV</t>
  </si>
  <si>
    <t>agromp
RT @inovatechy: O OnlyOffice DocSpace
é uma ferramenta poderosa para
empresas que buscam melhorar a
colaboração e a produtividade.
@only_o…</t>
  </si>
  <si>
    <t>feeicompete2030
A #AEP através do projeto #Desafios5ponto0
apoiou, entre novembro de 2021
e junho de 2023, mais de 200 empreendedores
e empresas, constituídas há menos
de dois anos, do Norte e Centro
de Portugal. Cofinanciado pelo
#compete2020 https://t.co/ejNiEyDKxB
#euinmyregion #empreendedor https://t.co/0uwSCrvZUN</t>
  </si>
  <si>
    <t>sebrae_ma
👉 Clique no link da bio e garanta
já sua inscrição! Aproveite pra
marcar o @ de alguém que empreende
pra dar aquela forcinha! 💪 #ServiçosSebrae
#AvaliaçãoDeVendas #PlanejamentoDeVenda
#Empreendedorismo https://t.co/VS2RHTge5J
https://t.co/69QUzgb9do</t>
  </si>
  <si>
    <t>ci_da_gow
Veja como a rede GOW pode te auxiliar!
https://t.co/laDaTntWFc #empreender
#empreendedorismo #o #marketingdigital
#sucesso #empreendedor #marketing
#foco #dinheiro #a #negocios #motiva
#brasil #rendaextra #vendas #motivacao
#empreendedorismofeminino #business
https://t.co/5wB6uPGERA</t>
  </si>
  <si>
    <t>cristianrbtc
Edúcate Financieramente #empreendedorismo
#motivation #riqueza https://t.co/HMdGGEEfF1
via @YouTube</t>
  </si>
  <si>
    <t>visionarybossk
Cuidado com os inimigos, assista
até o fim. #foco #empreendedorismo
#marketingdigital #marketing #motivacao
#mindset #negocio https://t.co/602FXoePhO</t>
  </si>
  <si>
    <t>luis_orefice
RT @JovemPanNews: #JornaldaManhã
| Quatro em cada dez pequenos negócios
usam cartão de crédito para financiar
a empresa; empreendedores têm…</t>
  </si>
  <si>
    <t>facompcast
O episódio #25 já tá on no teu
agregador de áudio favorito #ufpa
#podcast #idopterlabs #inovacao
#empreendedorismo #mercado</t>
  </si>
  <si>
    <t>lopesvmoficial
#Empreendedorismo #Brasil</t>
  </si>
  <si>
    <t>laperch28
❤️¡NUEVO VIDEO!❤️ ⬇️⬇️⬇️ https://t.co/l9DSK6pBHM
#iniciatunegocio #empreendedorismo
#emprendedora #comienzatunegocio
#dondecomprar #mochilasescolares</t>
  </si>
  <si>
    <t>ativutecnologia
Se você é um empreendedor buscando
o crescimento de seu negócio, lembre-se
de que nada é mais rentável do
que investir em si mesmo e em seu
empreendimento. Leia mais: https://t.co/Dt8iUAY8w3
#empreendedor #empreendedorismo
#sucesso #parcerias</t>
  </si>
  <si>
    <t>costanortenews
Entre cidades mais empreendedoras
do Brasil, Santos, São Vicente
e Guarujá contam receita do sucesso.
#santos #saovicente #guaruja #empreendedor
https://t.co/C5P6JvNcZi</t>
  </si>
  <si>
    <t>_aplenitude
É AMANHÃ! Oportunidade perfeita
de conexão entre profissionais,
troca de experiências e potencializar
a carreira na nutrição! Vem fazer
parte desse movimento o #Nutriminds
- com nutricionistas de saúde mental
e comportamento. #SaúdeMental #Comportamento
#Empreendedorismo https://t.co/lgcMD4Be63</t>
  </si>
  <si>
    <t>ok_tudo_bem
Aprenda a focar no seu alvo 🤔🤯☕
#reflexaododia #pablomarcal #desenvolvimentoprofissional
#empreendedorismo https://t.co/LY2BoqeP4R</t>
  </si>
  <si>
    <t>sebraeto
📢 Para ajudar empreendedores a
expandir os seus negócios, o Sebrae
Tocantins realiza em Gurupi, o
Seminário Neurobusiness. Garanta
sua vaga e saiba mais como a neurociência
pode melhorar o seu negócio. Ingressos:
https://t.co/ahX8ARI0FH #SebraeTocantins
#Empreendedorismo https://t.co/EEtJB6Fzz5</t>
  </si>
  <si>
    <t>mik4eyso3
"Descubra o segredo para alavancar
suas vendas online! #marketing
#empreendedor #sucesso Clique no
link https://t.co/BO0QyikpGJ saiba
como sair dessa vida de merda!!
🔱🧠 https://t.co/O2ogloinm9</t>
  </si>
  <si>
    <t>brasil61_
Segundo dados do Sebrae, o Brasil
teve 1,2 milhão de empregos gerados
em 2023. Do total, 71% (825,4 mil)
estão nos pequenos negócios. Leia
mais em https://t.co/myWUQNbHoE
#Economia #Empreendedorismo #Microempresas
https://t.co/8c76qpVb16</t>
  </si>
  <si>
    <t>valoramazonico
Público alvo são empreendedores,
microempreendedores (MEIs), startups
e a quem desejar aprender mais
sobre conteúdos pragmáticos acerca
do empreendedorismo. #ValorAmazônico
#Empreendedorismo #PrefeituradeManaus
#CursoOnline #Marketing #Startups
https://t.co/03ILUoJek3</t>
  </si>
  <si>
    <t>jeronimolucindo
Cada fase em que um negócio se
encontra é um desafio que exige
capacidade para chegar se chegar
ao próximo nível. Da validação
à alta performance, segue o fio
🧶 para entender melhor cada uma
delas 👇 #altaperformance #valor
#empreendedorismo #empresa #negócios
https://t.co/XSRSXdr1gg</t>
  </si>
  <si>
    <t>somosavante70
O Incentivo ao Empreendedorismo
na Terceira Idade agora é lei no
Amazonas. De autoria da deputada
estadual @mayradias , a Lei nº
6.268, de 27 de junho de 2023,
foi sancionada pelo governo do
estado. #TerceiraIdade #Inclusão
#Empreendedorismo https://t.co/VQVpZVUzdl</t>
  </si>
  <si>
    <t xml:space="preserve">mayradias
</t>
  </si>
  <si>
    <t>sanches92512
Visão Milionaria @geracaodevalor
@felipe.titto #milionariostalk
#felipetitto #bigbrother #podcast
#empreendedorismo #luxurylifestyle
#money #lifestyle #carrosdeluxo
#marketing #supercarros #affiliatemarketing
#milionário #billionaire #trading
#aestheticvideo #empreender #carsed
https://t.co/36m7b9J1nT</t>
  </si>
  <si>
    <t xml:space="preserve">felipe
</t>
  </si>
  <si>
    <t xml:space="preserve">geracaodevalor
</t>
  </si>
  <si>
    <t>danielbrsoares
📈 Recorde histórico em São Paulo!
Agosto de 2023 marcou a abertura
de 30.697 empresas no estado e
13.402 na capital. O empreendedorismo
está em alta, impulsionando nossa
economia! 💼🚀 #EconomiaSP #Empreendedorismo
https://t.co/8C4dePXmIu</t>
  </si>
  <si>
    <t>diamantebruto_
Vocês estão prontos para o próximo
episódio?! Espero por você!! 😉
. . . . #podcast #entrevistas #empreendedorismo
#youtube #saocaetanodosul #novosnegocios
#diamantebruto #joais #pedraspreciosas
https://t.co/RhTh9Y5NIO</t>
  </si>
  <si>
    <t>impressosrp
💰 Aumente seu Faturamento com
os miolos de agenda Clean 2024!
✨ https://t.co/fnaMwoPKoU #revendadeagendas
#miolosdeagenda #agendas #cadernos
#planners #organizacao #negocioproprio
#empreendedorismo #oportunidadedenegocio
#independenciafinanceira #lucratividade
https://t.co/SOuBRBN1eP</t>
  </si>
  <si>
    <t>_mayconalmeida_
Quando você tem uma meta, o que
era obstáculo passa a ser etapa.
#empreendedorismo #brasil #resiliencia
#like4likes #like4likes #instagood
https://t.co/wLZ1PRQ28R</t>
  </si>
  <si>
    <t>enoticiapara
Nos seis primeiros meses de 2023,
o Brasil “perdeu” um total de 427.934
empresas entre micro, pequeno,
médio e grande porte no 1º semestre
de 2023. 📲 Confira: https: https://t.co/N8YOBexgvU
#ÉNotíciaPará #ÉNotíciaBrasil #empreendedorismo
https://t.co/DdKaIdvAUG</t>
  </si>
  <si>
    <t>wtvbrasil
Hoje 20 horas tem A CASA DO MR
VOLPI Inédito! Trazendo hoje o
Quadro "Você Faz a Diferença"!
Assista no Canal 89 da SoulTV e
em https://t.co/r0DCsNoglS - Sensacional!
#ACasaDoMrVolpi #Volpi #VoceFazADiferença
#Cultura #Empreendedorismo #JS
#wtvbrasil https://t.co/7CYeLb7JGg</t>
  </si>
  <si>
    <t>danielborgesrj
"Persista, supere desafios e torne
seus sonhos realidade. O caminho
do empreendedorismo é repleto de
obstáculos, mas também de oportunidades
incríveis. Seja ousado, inovador
e nunca deixe de acreditar no seu
potencial. #Empreendedorismo #Sonhos
#Persistência" https://t.co/dpzmbfiYni</t>
  </si>
  <si>
    <t>pronewsai
Como criar um site usando o chatgpt?
#chatgpt #chatgpt3 #chatgpt4 #empresario
#empreendedor https://t.co/tBcHBP5X33</t>
  </si>
  <si>
    <t>celsoteixeiraaa
Consultoria em Planos de Saúde
https://t.co/3gJTcpvTmQ #digitalmarketing
#vendasonline #empresas #marketingdigital
#divulgação #empreendedorismo #planosdesaude
#saopaulo #marketing #publicidadeonline
#consultoria #vendas #cnpjmei #planodesaudeempresarial
#consultoriaempresarial https://t.co/PLiYWaIPif</t>
  </si>
  <si>
    <t>brandingthiel
“Quanto mais relevante for o conteúdo
para o seu público, mais credibilidade
para sua marca.” #brandingbrasil
#marketingbrasil #empreendedorismo
#negocios #startupbrasil #pequenasempresas
https://t.co/yJ03aUAh4N</t>
  </si>
  <si>
    <t>niteroipref
Nossas aulas de mentorias são uma
oportunidade única para aprender
com os melhores profissionais da
área e fazer networking com outros
empreendedores.🗣️ Todos os serviços
de forma gratuita, não perca essa
chance!😉 #nae #niteroi #empreendedorismo
#negócios #mentorias #oficinas</t>
  </si>
  <si>
    <t>coddymoda
Quanto a vendedora precisa bater
a meta. #moda #vendedora #blumenau
#itensdemoda #compras #empreendedorismo
https://t.co/9XVYYwb4KT</t>
  </si>
  <si>
    <t>dcconsultorias
DESCRIÇÕES DE CARGO A organização
deve definir as descrições de cargo
coerentes conforme a necessidade
da empresa, baseado nas competências
de Escolaridade, Experiência e/ou
Treinamentos. #qualidade #iso #iso9001
#iso90012015 #gestao #empresas
#empreendedorismo https://t.co/8oJ0oR4JhK</t>
  </si>
  <si>
    <t>gpaivacfpaiva
#Comércio #EmpoderamentoFeminino
#Empreendedorismo #Empreendedorismo
#EmpreendedorismoFeminino #EquidadeDeGênero
#Inovação #Liderança #Negócios
#Startup #TransformaçãoDigital
#TransformaçãoDigital https://t.co/CC9sjMzbsB</t>
  </si>
  <si>
    <t>beebeey_
@minyeeboy #empreendedorismo</t>
  </si>
  <si>
    <t>diasriccardo
Um padraozao veio me add no facebook
(sim facebook). Exclui pq nao conhecia.
Fui ver os stories dele.... #empreendedorismo
https://t.co/TvKeEx4E1G</t>
  </si>
  <si>
    <t>craceara
CRA-CE Apoia a Semana do Administrador
no UniFAP-CE: Celebrando o Empreendedorismo
e Inovação Leia mais em: https://t.co/zIbKeJZFHK
#SouADM #CRACEARÁ #UniFAP #Empreendedorismo
#Inovação https://t.co/Vcf3nvRHeU</t>
  </si>
  <si>
    <t>digital_online_
Não deixe o seu potencial financeiro
limitado pelas circunstâncias.
Aproveite a era digital e descubra
como conquistar uma renda extra
online, sem sair de casa. #MarketingDigital
#Internet #ONLINE #Digital #empreendedorismo
#rico https://t.co/6BZPBhgDNg</t>
  </si>
  <si>
    <t>jullieziiinha
Apoie o projeto EMPREENDEDORA SEM
NEURA👊🏻 Saiba mais no link⤵️
https://t.co/6nurn0kmI7 . . #catarse
#apoieoprojeto #apoie #empreendedorismo
#façaparte https://t.co/sf2Pz4tsuv</t>
  </si>
  <si>
    <t>cpcibarra1
Immex y Certificación. Se vale
compartir. #empreendedorismo #comerciantes
#empresafamiliar #fiscal #emprendedores
#empresario https://t.co/0kQq6HXCN8</t>
  </si>
  <si>
    <t>fer_scatolin
3 dicas para almoço de negócios.
#vendas #empreendedorismo #mulheresvirtuosas
#deus #marketingdigital https://t.co/ETro1m1ovp</t>
  </si>
  <si>
    <t>escolatgeracao
💁‍♂️ Empreendedorismo: o que é
e como um curso técnico pode ajudar
você a empreender Saiba mais em
nosso Blog 👉 https://t.co/48ZDAq8PZn
#empreendedorismo #cursostécnicos
https://t.co/zO1vlGc7zN</t>
  </si>
  <si>
    <t>logistingdigits
#technology #o #print #online #content
#seo #original #arte #doodle #originalcharacter
#drawings #empreendedorismo #m
#instagood #cute #entrepreneur
https://t.co/OYB8zlkacN</t>
  </si>
  <si>
    <t>eduardomads
Quando a gente pergunta se os leads
estão sendo bem atendidos 🤣 #trafegopago
#marketingdigital #empreendedorismo
#socialmedia #gestordetrafego #empresario
#empresarios https://t.co/v3qfXSGNTQ</t>
  </si>
  <si>
    <t>ganheijogando
Mente de empreendedor #empreendedorismo
#aprender #lição #sucesso https://t.co/LFzHeac7hc</t>
  </si>
  <si>
    <t>pde360
10 dicas para o Moz Pro https://t.co/FmMVr9dY8M
#Cursos #Capacitações #DesenvolvimentoProfissional
#Empreendedorismo #Eventos #Networking
#Finanças #Investimentos #Gestão
#Marketing #Vendas #pde360 #portaldoempreendedor360
https://t.co/MaB8Hgcfcs</t>
  </si>
  <si>
    <t>hpgmmed
8/ ✈️ A mensagem aqui é clara:
persista, acredite e inove! Deixe
que essa história dos Post-its
seja um lembrete de que suas ideias
podem se tornar realidade, mesmo
que pareçam simples no início.
#Criatividade #Persistência #Inovação
#Empreendedorismo #Sucesso #KeepFlying
🚀</t>
  </si>
  <si>
    <t>marcosmentoria
Apenas para as 100 primeiras pessoas.
De R$97,00 por apenas R$9,99. Venda
muito mais produtos físicos. Corre
e garanta a nossa área de membros
vip. #rendaextra #marketingdigital
#empreendedorismo #o #dinheiro
#sucesso #empreender #marketing
#rendaextraemcasa #hotmart #vendas
https://t.co/IV44Jlm8eT</t>
  </si>
  <si>
    <t>vitornascimen
Atualizando: uma mais cara q a
outra, frio, pequeno e agora com
carne crua. #empreendedorismo</t>
  </si>
  <si>
    <t>easycoboficial
“A maneira de começar é parar de
falar e começar a fazer.” - Walt
Disney E por ai, já começou a por
os planos em prática? Créditos
à recuperar? 📞 02125148983 📧comercial@easycob-n.com.br
#easycob #cobrança #negócios #indústria
#empresas #empreendedorismo #b2b
#companies https://t.co/whPy9GokiK</t>
  </si>
  <si>
    <t>diariodominho
Viana Jovens Empreendedores apoia
dois projetos com verba global
de 40 mil euros #VianadoCastelo
#Jovens #Empreendedorismo https://t.co/aiXESYjFPf</t>
  </si>
  <si>
    <t>40_emais
Por que é importante fazer um plano
de negócios? Leia no Site. https://t.co/O6GIxw8FkJ
Por Selma Cabral Para evitar fechar
antes da hora é necessário planejar
o futuro da empresa e elaborar
um bom plano de negócios é fundamental.
#40emais #empreendedorismo</t>
  </si>
  <si>
    <t>angelv0108
Buena película 🎥 que otra me recomiendan
? #empreendedorismo #emprendedor
#emprendimiento https://t.co/qNRlB1WevB</t>
  </si>
  <si>
    <t>kenya_juli
Sócios se encontram aqui! A primeira
plataforma do Brasil focada em
buscar sócios para criar negócios
e startups juntos. #Bindways #Sócios
#Sociedade #Parceiros #Negócios
#Empreendedorismo #Startup #Inovação
#Tecnologia #NegócioProprio #NovosNegócios
#JuntosSomosMaisFortes https://t.co/egx3GDWToI</t>
  </si>
  <si>
    <t>luciferrogue
Valores: 💰 Reserva de nome: MT
100.00 + 200.00 Publicação dos
estatutos: MT 2820.00/página Licença
Simplificada: 50% do salário mínimo
[Fontes: Código Comercial, Decreto-Lei
n⁰ 1/2018 e outros] Espero que
este guia rápido ajude! #Empreendedorismo
#GuiadeNegócios 👩‍💼🚀📈</t>
  </si>
  <si>
    <t>luizthiagoma
Programa Centelha visa estimular
a criação de empreendimentos inovadores
e disseminar a cultura empreendedora
no Brasil. O Programa oferece capacitações,
recursos financeiros e outros tipos
de suporte. Vamos transformar ideias
em negócios de sucesso? #Empreendedorismo
#Uerj</t>
  </si>
  <si>
    <t>uerj_oficial
Quer apoio para um empreendimento
inovador? Inscreva-se até 1º/9
no Programa Centelha, que fornecerá
subvenção de até R$ 70 mil, capacitação
e bolsas para os selecionados.
Confira o edital: https://t.co/F4c6grHsjW
@gov_mcti @Finep @CNPq_Oficial
@confapbr @faperj https://t.co/jd1m0NDggJ</t>
  </si>
  <si>
    <t>orestesleal1
🚀 Sua jornada para o sucesso começa
com a Herbalife. Seja um empreendedor
de saúde e bem-estar! 💼 #Empreendedor
#HerbalifeBrasil https://t.co/4QusJVKxw1</t>
  </si>
  <si>
    <t>auddas_
Evite os obstáculos no caminho
para o sucesso da sua startup.
Precisa de ajuda para decolar o
seu negócio? Consulte um de nossos
especialistas: https://t.co/mKaHzQRKQI
. . #auddas #consultoria #negocios
#business #empreendedorismo #startup
#donodenegocio https://t.co/OlGYOjYEeV</t>
  </si>
  <si>
    <t>wydenaracatuba
O curso de EMPREENDEDORISMO está
com super promoção neste mês de
agosto, aqui no Polo SÃO JOÃO,
da Wyden. Graduação 100% digital.
Faça o #Vestibular pelo link: https://t.co/v34X3XjgJo…
#Graduação #ead #online #Empreendedorismo
#araçatuba #wyden #graduacao #digital
https://t.co/NN15SOwWgP</t>
  </si>
  <si>
    <t>mosscaxyz
...tempo_como-priorizar-tarefas-e-melhorar-organização
🎓 #universitários #empreendedorismo
#éxito</t>
  </si>
  <si>
    <t>mbuenomr
RT @PlanbHangout: Em breve o Episódio
01 vai ao ar. Fique ligado!!! #empreendedorismo
#podcast #inovação #ideiascriativas
#resiliencia htt…</t>
  </si>
  <si>
    <t>planbhangout
Em breve o Episódio 01 vai ao ar.
Fique ligado!!! #empreendedorismo
#podcast #inovação #ideiascriativas
#resiliencia https://t.co/8Ezr3gprfK</t>
  </si>
  <si>
    <t>grupo2mi
O 5G está chegando. Com velocidades
ultra-rápidas, latência mínima
e uma capacidade sem precedentes,
a nossa maneira de navegar nunca
mais será a mesma. O futuro da
internet móvel é logo ali!📶📱🚀
#EmpreeendeMais #Empreendedorismo
#MídiasSociais #Inovação #Consultoria
https://t.co/sZoUCI1fN8</t>
  </si>
  <si>
    <t>desouzasc
O importante não é VENCER todos
os dias, mas sim LUTAR sempre.
#sucesso #foco #motivação #motivacao
#frases #frasesmotivacionais #empreendedorismo</t>
  </si>
  <si>
    <t>maquininhaton1
Vem Aproveitar Essa Promoção De
Lançamento! Na Ton Temos Maquininhas
Para Pessoas Física E Jurídica
Sem Aluguel E Sem Mensalidade.
•Tá Com Ton, Tá Com Tudo• Vem Maximizar
O Seu Lucro!!! 💚💚💚💚💚💚💚💚💚
#empreendedorismo #empreender https://t.co/DiFEgJj6ek</t>
  </si>
  <si>
    <t>fincatchoficial
Apresentador receberá empreendedores
do Mercado Pago que serão destaque
no Programa "Os Donos da Bola"
durante quatro semanas #craqueneto
#neto #mercadopago #empreendedor
https://t.co/MwXvemjOwi</t>
  </si>
  <si>
    <t>focuscontabili2
Abra sua empresa com segurança
e tranquilidade! Venha para a Focus
Contabilidade, referência em serviços
contábeis. #contabilidade #atendimento
#online #business #negocios #negocio
#empresa #empreendimento #empreendedorismo
#produtividade https://t.co/af1kRclrjP</t>
  </si>
  <si>
    <t>sr__info
"🚀🎯 Descubra as melhores estratégias
de marketing digital para alavancar
seus negócios online! 💼💻 Aprenda
a conquistar e engajar seu público-alvo,
aumentando sua visibilidade e conversões.
💥✨ #MarketingDigital #Empreendedorismo
#SucessoOnline"</t>
  </si>
  <si>
    <t>sebrae_pr
Separe a melhor roupa porque a
Feira do Empreendedor está chegando!
👗 Teremos uma loja conceito com
as últimas tendências do setor
e como empreender em um negócio
moderno com novas estratégias.
Inscreva-se: https://t.co/i2p7qE7pmV
#feiradoempreendedor23 #empreendedorismo
https://t.co/7GsOEu3Vv1</t>
  </si>
  <si>
    <t>certform
📝Como apurar e contabilizar as
diferenças de câmbio: Diferenças
de Câmbio Importações USA https://t.co/knsgnrjoMO
📨 geral@certform.pt #Certform
#Formacao #Fiscalidade #Contabilidade
#ELearning #CursoOnline #Empreendedorismo
#Contador #Contadora #Contabilista
https://t.co/6HcuR7450h</t>
  </si>
  <si>
    <t>anderson_ajon
Máquina de Sorvete Dupla 6L Funis
Máquina de Fazer Sorvete #empreendedor
#sorvete #calor #trabalho https://t.co/LvB42kyvZk</t>
  </si>
  <si>
    <t>cra_es
Confira a matéria completa em nosso
site: https://t.co/DKOClUtrmz #cra
#craes #empreendedorismo https://t.co/gW1VXJiM54</t>
  </si>
  <si>
    <t>gazetaexpressa
MEIs podem emitir notas fiscais
de serviço (NFS-e) com mais facilidade.
#MEI #MEIs #NFSe #NFS #NotaFiscal
#Empreendedor #Empreendedores https://t.co/rmqTsCJsHu</t>
  </si>
  <si>
    <t>lucasalexneves1
📚 Lições dos grandes: Conheça
histórias inspiradoras de empreendedores
fitness que superaram desafios
e conquistaram o sucesso. Aprenda
com suas experiências e aplique
essas lições no seu próprio negócio.
#Empreendedorismo #Inspiração</t>
  </si>
  <si>
    <t>nossomeio
O foco é reunir empresários, gestores
e profissionais da saúde que são
referência, todos em um ambiente
propício para trocas, negócios
e parcerias. #NossoMeio #Gestao
#Eventos #BCallenge #Carreira #Empreendedorismo
#EscolaDeNegocios #NegociosEmSaude
https://t.co/R7vKQJdzSI</t>
  </si>
  <si>
    <t>gestaolideranca
#Motivation #desenvolvilmento #liderança
#lembrete #empreendedorismo https://t.co/AjcfJt3RCp</t>
  </si>
  <si>
    <t>sobre_rodrigo
Qual o caminho que você escolheu?
#engenheirocivil #arquiteto #drywall
#empreendedor #construtora #construcaoaseco
#gesso #empreender https://t.co/8Um7ZuSiJK</t>
  </si>
  <si>
    <t>jornal_panorama
Profissionais da educação municipal
da Campanha passarão por capacitação
em Educação Empreendedora https://t.co/VTfPXQ6XH2
#jornalpanoramajp #jornalpanorama
#panorama #campanha #Educação #empreendedorismo
#minasgerais #brasil</t>
  </si>
  <si>
    <t>moura_marcas
🔍 Por que o nome da sua empresa
importa? 👀 ✅O nome da sua empresa
é a primeira impressão que você
causa nos seus potenciais clientes.
É o elemento mais visível e audível
da sua identidade visual e verbal.
É o que diferencia você dos seus
concorrentes. #empreendedorismo
https://t.co/evSYp7QWlb</t>
  </si>
  <si>
    <t>geovanaamuller
ganhei 50 pila pra fazer um pdf
#empreendedorismo #empresaria</t>
  </si>
  <si>
    <t>vinnyvads
#marketingdigital #rendaextra #trabalho
#empreendedorismo #dinheiro 👇
👇 Você pode gostar desses vídeos
também: 👇 👇 👉[Revelei Meus Resultados]
Como Afiliado em 1 Ano https://t.co/JWU6dVewtr
👉[Filtrify] A Ferramenta dos Afiliados
Profissionais https://t.co/yUKE4DQevy</t>
  </si>
  <si>
    <t>porconildo
@CorrupcaoMemes sim, hoje o que
brilha é o flash do cel do filho
filmando as cenas de trabalho da
respeitável donzela tudo diferente
mesmo antes ele não sabia de nada,
hoje já ajuda na produção #empreendedorismo</t>
  </si>
  <si>
    <t xml:space="preserve">corrupcaomemes
</t>
  </si>
  <si>
    <t>rresendeoficial
Fala, minha gente! . Agora também
estou com um canal no WhatsApp!
. Se quiser receber em primeira
mão conteúdos sobre #Empreendedorismo,
#Educação, #GestãoPública, #CiênciasPolíticas
e #Política em Geral, é só me seguir
no link: https://t.co/sgpLErJxNf
. #rafaelresende https://t.co/BHgmUgfmvo</t>
  </si>
  <si>
    <t>fecomercioto
Uma homenagem do Sistema Fecomércio
Tocantins para aqueles que estão
sempre em busca do desenvolvimento
do Brasil. Parabens, comerciante!
👏👏👏 #16deJulho #DiaDoComerciante
#Comerciante #Empreendedorismo
#fecomercioto https://t.co/xfy0ZBhRVu</t>
  </si>
  <si>
    <t>galassolobo
Me perguntaram hoje, como você
aguenta ser empreendedor a tantos
anos? Respondi... não tenho opção
de desistir, essa é a minha missão
e fim! #emprendedores #empreendedorismo</t>
  </si>
  <si>
    <t>milaadm
🙀🤔Qual o momento certo para o
MEI contratar um contador? Você
sabe? Me conta aqui!! Gostou da
dica? Hoje tive ajuda de assistente!
#contador #contadormei #microempreendedorindividual
#microempreendedora #microempreendedor
#empreendedor https://t.co/5KrBcp22HH</t>
  </si>
  <si>
    <t>vhbmartins
🌼💡 Um lar amplo, plantas pensadas
no seu bem-estar e uma localização
prática. Tudo isso para facilitar
sua vida. Vamos conhecer agora?
#marketing #vendas #startups #empreendedor
#jovemempreendedor #networking
#brainstorm #pequenasempresas https://t.co/QSOaChRrtS</t>
  </si>
  <si>
    <t>governodabahia
Ações para desenvolver o #empreendedorismo
negro e a cultura afro e indígena
baiana são algumas das propostas
que englobam a Agenda Bahia de
Promoção da Igualdade Racial, lançada
nesta quarta (19) pela @SepromiBa
. Confira no fio o que tem previsto🧶👇
https://t.co/SRJ9JhPJcK</t>
  </si>
  <si>
    <t xml:space="preserve">sepromiba
</t>
  </si>
  <si>
    <t>apeccoficial
💻 O Ministério da Educação (MEC)
está disponibilizando dezenas de
cursos gratuitos para quem deseja
aprimorar suas habilidades empreendedoras.
➡ Para acessar os cursos gratuitos
do MEC: https://t.co/pKfWjEcAjL
#apecc #empreendedorismo #curso
#estudos #mec</t>
  </si>
  <si>
    <t>roberto_vilela
Conteúdos alinhados com a necessidade
de seu time de vendas!!!! Contrate
agora!!! #mentoria #mentor #negocios
#mercado #vendas #empreendedorismo
#resultado #performance #liderança
#orobertovilelaoficial https://t.co/i82efcveM4</t>
  </si>
  <si>
    <t>leiamoneytimes
Franquias baratas: Quer lucrar
alto? Invista nesta marca e ganhe
R$ 120 mil todo mês #ABF #BusinessTimes
#Empreendedorismo https://t.co/kh3T0ZfGyU</t>
  </si>
  <si>
    <t>rfiguralima
@vasco__varela @GoncaloPCruz Era
o teu partido todo 🥸 #empreendedorismo</t>
  </si>
  <si>
    <t xml:space="preserve">goncalopcruz
</t>
  </si>
  <si>
    <t xml:space="preserve">vasco__varela
</t>
  </si>
  <si>
    <t>sonoticiaboaofc
Olha a virada na vida dessas 4
amigas que foram demitidas juntas!
Uniram seus conhecimentos e viraram
megaempresárias! https://t.co/gLm96y2i9v
#amigas #demitidas #empresarias
#ricas #virada #vida #começar #boaideia
#empreendedorismo</t>
  </si>
  <si>
    <t xml:space="preserve">williancorrea
</t>
  </si>
  <si>
    <t>pablounindo
VOCÊ VIVENDO A VIDA DE CACHORRO!
#pablo marçal #empreendedorismo
#investimento #conhecimento #vida
https://t.co/YbsooqhN1W</t>
  </si>
  <si>
    <t>thetryum
Entenda mais sobre como a Thetryum
vai manter as taxas adaptadas para
um crescimento saudável e promissor!
#crescimento #financeiro #sucesso
#empreendedorismo #dinheiro #liderança
#marketingdigital #oportunidade
#empreender https://t.co/dHqmtdyRre</t>
  </si>
  <si>
    <t>peuquerio
RT @thetryum: Entenda mais sobre
como a Thetryum vai manter as taxas
adaptadas para um crescimento saudável
e promissor! #crescimento #fi…</t>
  </si>
  <si>
    <t>josuemarks_ofc
Postei la no meu insta um conteúdo
da hora para vocês empreendedores.
confere lá ⏭️ https://t.co/W4ZjYLe1fg
#empreendedorismo #MarketingDigital
https://t.co/NaqckNlkQe</t>
  </si>
  <si>
    <t>fernandovitolo
Empreender é para todos? Corte
da entrevista com Carol e Adrai
da BTFlex . 🎥 Confira a entrevista
na íntegra no YT. #fernandovitolo
#empreendedorismo #empreender #negócios
#propósito https://t.co/COp8taAOYH</t>
  </si>
  <si>
    <t>execsy
Cada vez mais próximo de um novo
mundo de possibilidades. https://t.co/hAVveuYSNW
#startup #AI #IA #execsy #empreendedorismo
#Negocios #protagonismo #possibilidades
#oportunidades</t>
  </si>
  <si>
    <t>conexoamaznica1
Negociador: Malvino Salvador conta
o caminho do sucesso como ator
e empreendedor https://t.co/qZmJrhGvJb
#MalvinoSalvador #empreendedor
https://t.co/yq4WakPVl5</t>
  </si>
  <si>
    <t>bitcoinecashbr
https://t.co/MY14h1Fyak A plataforma
de marketing online que você precisa
para ter sucesso Link: https://t.co/Ig89MQXdmB
#marketingdigital #marketingonline
#empreendedorismo #negocioonline
#vendasonline #funildevendas #marketingporemail
#paginasdedestino #automaçao #systeme.io
https://t.co/2RVw1S8Nqt</t>
  </si>
  <si>
    <t>lavidaparada
RT @MundoProdutos: ⚡️Oferta Amazon
Finanças para autônomos: Como organizar
sua vida e seu dinheiro quando
você trabalha por conta própria…</t>
  </si>
  <si>
    <t>aligombr
🚀 Abra sua Empresa com a Aligom!
🚀 Você está pronto para dar um
passo importante no seu negócio?
Precisa de um CNPJ para garantir
mais tranquilidade e segurança
nas suas operações? #Aligom #Empreendedorismo
#CNPJ #AberturaDeEmpresas #SucessoEmpresarial
https://t.co/twXhbs6Lv1</t>
  </si>
  <si>
    <t>portalvalentlna
Nota fiscal nacional obrigatória
para MEIs: veja como funciona |
https://t.co/MkhwAm6dAb #Brasil
#negocios #empreendedorismo</t>
  </si>
  <si>
    <t>ludsonsilva15
E bora estudar mais né 😅📝 #empreendedorismo</t>
  </si>
  <si>
    <t>obrasdigitais
Se tirarem nosso direito básico
de comunicação e hoje com certeza
está polarizado na internet milhões
de pessoas vão ser prejudicadas
desde o #empreendedor até os #influenciadores
#digitais. Não podemos permitir
este absurdo.</t>
  </si>
  <si>
    <t>charlesdematos5
https://t.co/psa688UoYa</t>
  </si>
  <si>
    <t>valormilionario
Esta dando tudo errado?Calma!!
Comente! Por: Ruyter | #ruyter
#empreendedorismo #vendas #motivacao
https://t.co/Gj7YBmkdkG</t>
  </si>
  <si>
    <t>bernardokikuthi
Resolva todos os problemas da sua
empresa independente de quantos
existam. Se o problema for grande,
quebre em partes e resolva conforme
a prioridade ou possibilidade.
NÃO HÁ UM PROBLEMA QUE NÃO POSSA
SER RESOLVIDO! #empreendedorismo</t>
  </si>
  <si>
    <t>futuroservicos
https://t.co/Q0E2HtkhWI #empreendedor
#criadordeconteúdo #cursoonline
https://t.co/ydOvgiylyD</t>
  </si>
  <si>
    <t>robfelix
Atuei doze anos como consultor
financeiro, coordenei de implantação
de ERPs. Fundei a Clapesme há 2
anos, para simplificar a gestão
nas empresas. Estamos Incubados
no Hitt e fazemos parte do portfólio
da FCJ. #empreendedor #robinsonfelix
#somosmaisgetao @hitthub https://t.co/gGJ1rpGvfb</t>
  </si>
  <si>
    <t>opretojohn
Um projeto que empregará 320 pessoas
diretamente? Quanto vale essas
pessoas estarem empregadas por
3 anos? 3000 jovens receberem curso
de #inovação #tecnologia, #empreendedorismo
e #informática básica e no fim
receberem um computador para continuar
seus estudos ou trabalho?</t>
  </si>
  <si>
    <t>pauloro15660532
#caruaru #empreendedorismo #negocio
https://t.co/P9JEYGe1c3</t>
  </si>
  <si>
    <t>delicias_dmaria
190 anos de emancipação política.
Parabéns a minha cidade Natal!
#feiradesantana #Bahia #Brasil
#empreendedorismo #comércio https://t.co/U1flwWa8xZ</t>
  </si>
  <si>
    <t>andrecolles
Consegui 6 reais ontem mostrando
a atualização nova do iPhone 😘🙏🏻
#empreendedor</t>
  </si>
  <si>
    <t>fabriziohraofc
🎯📈 Dicas infalíveis para impulsionar
seus negócios e conquistar novos
clientes! Não perca essa oportunidade
de crescer! 💼🚀 #Marketing #Negócios
#Empreendedorismo #Sucesso #VocêNoFoco</t>
  </si>
  <si>
    <t>turismoportugal
Aceler@Tech in Portugal | Candidaturas
até 15 setembro Programa internacional
- 20 #startups para trabalhar na
solução de desafios e desenvolvimento
de áreas estratégicas do #turismo
- https://t.co/GuS7hJRrix #turismodeportugal
#tdp #empreendedorismo #inovacao
#sustentabilidade https://t.co/oSclbTABj8</t>
  </si>
  <si>
    <t>tvsenado
#EmDiscussão l Há dois anos, o
Brasil ganhava o Marco Legal do
Empreendedorismo. O objetivo era
facilitar o desenvolvimento de
empresas de alta tecnologia, as
#startups. Os avanços e entraves
dessa lei são o tema do programa
Em Discussão. #tecnologia #empreendedorismo
https://t.co/cZjYt9a0bZ</t>
  </si>
  <si>
    <t xml:space="preserve">zequinhamarinho
</t>
  </si>
  <si>
    <t xml:space="preserve">senadofederal
</t>
  </si>
  <si>
    <t xml:space="preserve">irajasenador
</t>
  </si>
  <si>
    <t xml:space="preserve">wevertonrocha
</t>
  </si>
  <si>
    <t>jc_rs
#Empreendedorismo: O projeto Caravanas
oferece capacitações gratuitas
em várias regiões do Rio Grande
do Sul https://t.co/bc5JPkAUmb</t>
  </si>
  <si>
    <t>haruki_br
RT @sebraesp: #Atenção, Prefeituras
com iniciativas para apoiar o empreendedorismo
e os pequenos negócios: as inscrições
para o Prêmio Pref…</t>
  </si>
  <si>
    <t>sebraesp
#Atenção, Prefeituras com iniciativas
para apoiar o empreendedorismo
e os pequenos negócios: as inscrições
para o Prêmio Prefeitura Empreendedora
estão abertas até dia 30/11: https://t.co/BG6gFSEbZX
#Prefeitura #PrefeituraEmpreendedora
#Empreendedorismo https://t.co/YYn0SRvfjR</t>
  </si>
  <si>
    <t>tmota_contabil
Vem ser TMota. Somos a contabilidade
que te ajuda a crescer. ☎ Telefone:
(11) 2833-0180 📱 WhatsApp: (11)
94500-9514 ⠀ #tmota #contabilidade
#empreendedor #meunegocio #minhaempresa
#consultoria #sucesso https://t.co/MfyZb41FRL</t>
  </si>
  <si>
    <t>viktorrossa
Você compra um processo que vai
te ajudar caminhar até o lugar
certo. ENTRE AGORA MESMO: https://t.co/2cyfA921IQ
ME ACOMPANHE NO INSTAGRAM: https://t.co/g54fQOJ1vc
#empreender #empreendedorismo #curitiba
#desenvolvimento https://t.co/Ai61NBtqfL</t>
  </si>
  <si>
    <t>todxsbrasil
Mas corra, porque as inscrições
se encerram no dia 29 de setembro!
Para se inscrever é só clicar no
link da bio e preencher o formulário.
Participe e aproveite esta oportunidade!
#todxs #todxsbrasil #fundotodxs
#allout #explore #empreendedorismo</t>
  </si>
  <si>
    <t>tomasacentuado
@ufoisis 1 milhao no pix #empreendedorismo</t>
  </si>
  <si>
    <t xml:space="preserve">ufoisis
</t>
  </si>
  <si>
    <t>veritascuritiba
Ótimo dia a todos. #vencer #empreendedorismo
#empreender #sucessoepoder #empreendedordigital
#megafornecedor #fernandomarote
#mentalidadedesucesso #sucesso
#positividade #foco #geracadevalor
#motivacao #sonhegrande #mindsetdesucesso
#sonhegrandesempre #nascidosparavencer
https://t.co/VsKKD9vphv</t>
  </si>
  <si>
    <t>grifoart
🤔 Será que o segredo para o sucesso
da sua empresa está em um blog
corporativo? Descubra o potencial
dessa estratégia e alcance novos
horizontes! 🚀 #MarketingDigital
#Empreendedorismo Leia mais: https://t.co/2b6YCtaXEY</t>
  </si>
  <si>
    <t>buuk_ad
Novidade! Estamos participando
da imersão de empreendedorismo
feminino para mulheres negras,
pelo projeto Afrolab da PretaHub.
#afrolab #pretahub #empreendedorismo
#comunicacao #lideresnegras #empreendedorismofeminino</t>
  </si>
  <si>
    <t>garciaimoveis
RT @ForbesBR: #HenryFord foi um
#empreendedor e engenheiro mecânico
norte-americano e o fundador da
Ford Motor Company. Foi a partir
da ind…</t>
  </si>
  <si>
    <t>passanuma
Bom dia! A amizade é livre, assim
como os traços das mandalas que
eu crio. Vc é bem vind para conhecer😉
#mandaleira #arteemandalas #arte
#meditation #empreendedorismo https://t.co/Rv5jBFXztQ</t>
  </si>
  <si>
    <t>iberezanski
O planejamento financeiro pessoal
é uma ferramenta poderosa que pode
ajudar a alcançar metas financeiras,
reduzir o estresse financeiro e
criar segurança financeira ao longo
da vida. #planejamentofinanceiro
#finanças #empreendedorismo #qualidadedevida
https://t.co/JrdsxJKiEL</t>
  </si>
  <si>
    <t>tax_infinity
Olá, pessoal! Hoje eu vim aqui
convidar você #empreendedor ou
que pretende #empreender aqui nos
#EUA para o nosso workshop que
vai ter nesse sábado, setembro
16. A qui no escritório da Infinity
em #Worcester #Massachusetts.O
evento será das 08h30 da manhã
ao meio dia e meia. https://t.co/BkBO5YmZvm</t>
  </si>
  <si>
    <t>wkalaes
Venha obter o seu sucesso financeiro
e profissional através da TIX TURISMO,
a melhor franquia de turismo do
Brasil. https://t.co/3XjSw8kXqy
email: tixturismo.franchising@gmail.com
11 2182-7000 11 9 9906-0961 #melhorfranquia
#franquiabarata #empreender #empreendedor
https://t.co/z3ixOMLfxh</t>
  </si>
  <si>
    <t>fernandoxucrobr
#negocios #empreendedorismo #inovacao
#sucessoonline #cowboy #coisasdexucro🤠
#vidaxucra🏡👏🌾🐴☀️🌵 https://t.co/DhNt56drpL</t>
  </si>
  <si>
    <t>chatguruoficial
📱🏢🚀 Você conhece o Guia de Negócios
do WhatsApp? 💼👀 Esse recurso
está mudando o jogo para empresas
locais. Potencialize seu WhatsApp
Business e alcance novos patamares!
📈💼 #whatsapp📲 #guiadenegocios
#empreendedorismo #chatguru https://t.co/ggzyb0XVqS</t>
  </si>
  <si>
    <t>cupomention
Boa tarde pessoal comprei essa
máquina de #donuts 🍩🍩 na #shopee!
E ela é maravilhosa, já estou fazendo
vários para vender. Link 👇 https://t.co/D3AdscuFwD
#oferta #tarde #empreendedorismo
#empreender #negocios https://t.co/2mvoZ2I345</t>
  </si>
  <si>
    <t>profcrisricardo
Podemos identificar boas práticas
em diversos aspectos ao observar
e se inspirar em outros países.
Na educação, é importante buscar
referências em países com sistemas
de ensino bem-sucedidos, como Finlândia
e Coreia do Sul. #DesenvolvimentoRegional
#Empreendedorismo #Educação</t>
  </si>
  <si>
    <t>fluir_ibg
Keli Dourado, do Ministério Fluir,
tem um convite para você! Assista
o vídeo e venha para o 5° encontro
Fluir! Acesse o site no link da
Bio e garanta já a sua vaga! 🌐https://t.co/rY0KwtYNWB
#fluir #financas #empreendedorismo
#planejamentofinanceiro https://t.co/O1iPR2VbaE</t>
  </si>
  <si>
    <t>smartweb_info
👉 Se você é um empreendedor, certamente
está em busca de aumentar suas
vendas e conquistar mais clientes.
A maneira mais eficiente de alcançar
esse objetivo é utilizar um (PDV)
de forma inteligente e estratégica.
💡 #Vendas #Loja #PDV #Empreendedorismo
#Varejo https://t.co/A87HuDBxax</t>
  </si>
  <si>
    <t>revininvest
Regras em caso de rompimento 🌩️:
Como será decidida a continuação
da empresa em caso de conflito
entre os sócios? Pensar nisso antes
pode poupar muitos problemas depois.
#AcordoDeSocios E você, já pensou
em todos esses aspectos do seu
negócio? #Empreendedorismo #Investimentos</t>
  </si>
  <si>
    <t>prefesaraquari
Essa pra você dar o play na mudança,
dar o play nos seus sonhos, dar
o play no crescimento de seu empreendimento.
▶️ Inscrições pelo link ➡️ https://t.co/eKeCb8ZCma
#saladoempreendedor #capacitação
#mei #empreendedor https://t.co/sMH09RcXae</t>
  </si>
  <si>
    <t>prodcastexplore
Embracing Pressure The Key to Raising
Exceptional Children #mindset #ambition
#hustle #success #empreendedorismo
#entrepreneurship #sucesso #entrepreneur
#leadership #millionaire #coaching
#dreambig #business #positive #wealth
#successquotes #grind #motivational
https://t.co/4TRKBGBseB</t>
  </si>
  <si>
    <t>samuelg07559905
Empreender é dar solução a um problema.
É melhorar a vida dos outros a
sua volta. Não tem nada a ver com
perfeição, nada a ver com “fazer
bem feito” tem a ver com atitude.
O resto vem depois…. #empreendedorismo.
#aq2live #comolavidamisma #crisisoverleg
#EspanaAvanza</t>
  </si>
  <si>
    <t>vegasstore14
#emprender #empresa #empreendedor
#MarketingDigital #vendas https://t.co/oVqaoBgydD</t>
  </si>
  <si>
    <t>ericjolopes
▫️Fale do que você faz mostrando
quem você é! ▫️ Possuir um CNPJ
não invalida o seu CPF, por isso,
é preciso ser humano para atender
pessoas. ▫️E antes de tudo, seja
você! #meioambiente #serviçosambientais
#segurançaambiental #palestra #empreendedorismo
#intactusambiental https://t.co/Zph97cyKa3</t>
  </si>
  <si>
    <t>sing_comunica
#Storytelling #Narrativa #Comunicação
#Marketing #Empreendedorismo #DesenvolvimentoPessoal
#ArteDeContarHistórias</t>
  </si>
  <si>
    <t>mercadoerotico1
Adriana Braga mostra em sua Coluna
Empresários Sex dessa semana algumas
maneiras pelas quais estar com
as pessoas com certeza pode contribuir
significativamente para o seu desenvolvimento
profissional. Confira já 👇 #network
#empreendedorismo https://t.co/oPPXV9OgEv</t>
  </si>
  <si>
    <t>gabrielispoiler
“Você só não pode fracassar…. Na
última vez que tentar. “ - Frank
Shallenberger #motivacional #motivação
#reflexao #empreendedorismo #negocios</t>
  </si>
  <si>
    <t>galaxpay
Quer entender o por quê o pagamento
recorrente reduz a inadimplência?
🤔 Assista ao nosso vídeo, onde
explicamos como isso acontece.
#pagamentos #finanças #empreendedorismo
https://t.co/e8qWWvgLYm</t>
  </si>
  <si>
    <t>jornaldooeste
Cresol movimenta R$ 2,1 bi para
fomentar o empreendedorismo feminino
no Brasil 📸Divulgação 🌐Leia a
matéria em https://t.co/x1tIGiFby6
#empreendedorismo #feminino #fomentar
#cresol #parana https://t.co/sbcncrDaEy</t>
  </si>
  <si>
    <t>gleycontorquato
Bom dia #marketing #Evolution #empreendedorismo
https://t.co/NPUcmMVs7j</t>
  </si>
  <si>
    <t>giovanimattoss
Empreendedorismo nas Escolas Nosso
projeto para Ensino de Educação
financeira e Empreendedorismo nas
Escolas. #educação #empreendedorismo
#empreendedorismonasescolas #londrina
https://t.co/ii8CIIuFe1</t>
  </si>
  <si>
    <t>nandotosi
Dica rápida: Já cadastrou seu negócio
no Google Meu Negócio? Aumente
a visibilidade online, receba avaliações
e interaja com seus clientes diretamente
pelo Google. É gratuito e essencial
para empresas locais! #GoogleMeuNegócio
#DicasDeNegócios #Empreendedor
#NegóciosLocais</t>
  </si>
  <si>
    <t xml:space="preserve">confapbr
</t>
  </si>
  <si>
    <t xml:space="preserve">cnpq_oficial
</t>
  </si>
  <si>
    <t>kleber_zonaro
@taniapierdona @nanamnese #empreendedorismo</t>
  </si>
  <si>
    <t xml:space="preserve">vidapegueleve
</t>
  </si>
  <si>
    <t>rikypai
“Estude com afinco o que mais lhe
interessa da maneira mais indisciplinada,
irreverente e original possível.”
- *Richard Feynmann* #Investimentos
#empreendedorismo #Negocios #Cultura
#Tecnologia #Conhecimento https://t.co/6TipSjePMP</t>
  </si>
  <si>
    <t>campos_machado
liderança, competência e extrema
capacidade de alavancar projetos
de interesse para o incremento
de novas políticas que só visam
ao fortalecimento e desenvolvimento
social e econômico do Brasil”,
destaca Campos. #GeraldoAlckmin
#Economia #FrenteParlamentar #Empreendedorismo
#MEI</t>
  </si>
  <si>
    <t>efraimfilho
Menos burocracia, mais liberdade
para inovar e crescer! Acima de
tudo, mais facilidade para quem
empreende e produz. #Desburocratização
#NotaFiscalBrasilEletrônica #Empreendedorismo
#SenadorEfraim</t>
  </si>
  <si>
    <t>affiliatetiki
🎙️🕴🏼Like,Share,Support 💖 https://t.co/4o5GMeOKc2
#rico #diddy #rap #hiphop #dinheiro
#jbalvin #hiphop #saludable #empreendedorismo
#marketingdigital #newmusic #music
#hiphop #rap #spotify #artist #producer
#rapper #musician #singer #love
#newmusic #miamibeach https://t.co/OdBGFheOQO</t>
  </si>
  <si>
    <t>voz_do_litoral
#Empreendedorismo - Sebrae de Ubatuba
está oferecendo capacitações gratuitas
durante os meses de agosto e setembro.
Confira em nosso portal.Leia a
matéria completa acessando: https://t.co/dIF478f1y1
https://t.co/OATmhRX2a2</t>
  </si>
  <si>
    <t>marciopominaj
"A falta de domínio sobre a mente
resulta em sermos escravos de nossas
próprias reações e impulsos". #mentalidade
#autoconhecimento #coach #coaching
#streamer #negocios #negocio #palestra
#tiktok #empreendedorismo #empreededorismodigital
#saopaulo #riodejaneiro #brasil</t>
  </si>
  <si>
    <t>raquelsampaiors
A mente de um empreendedor é interessante.
A gente vê oportunidade de um negócio
em tudo. Se existe a dor, existe
demanda pra cura. . #empreendedorismo
#Negocios #FYP #emprendedores</t>
  </si>
  <si>
    <t>clsomon
Pq o gov n usa as energias usadas
nas academias pra pegar energia
elétrica #empreendedorismo</t>
  </si>
  <si>
    <t>dinheirama
A Expo Favela Innovation - feira
de empreendedorismo que estabelece
conexões entre favela e asfalto
- chega ao Rio de Janeiro em julho
https://t.co/sUGoZjCy3D #CARREIRA
#EMPREENDEDORISMO #EMPREENDERNAINTERNET
#INTERNET #RIODEJANEIRO #TECNOLOGIA</t>
  </si>
  <si>
    <t>negociosenvnzla
Mi nombre es Héctor Olivares y
estoy aquí para contribuir al desarrollo
de la industria y sumar a la construcción
de un país mejor. Mil gracias!
#empresario #negocios #banca #empreendedorismo
#emprendedor #empresa #empresas
#emprendedores #financiamiento
#empreendedor #dinero #mo https://t.co/pe56ZKs1L8</t>
  </si>
  <si>
    <t>joaodabipo
"A motivação é o que faz você começar.
O hábito é o que te mantém firme
no caminho." - Jim Ryun #contabilidadedigital
#contabilidade #empresas #empreendedor
#empresario #cnpj #abrirempresas
#gestão https://t.co/Xi8ZvtagZ8</t>
  </si>
  <si>
    <t>mpatinha
🟢 A todos os incansáveis guerreiros
que dedicam os seus dias ao PLANEAMENTO
e EXECUÇÃO dos seus PLANOS de AÇÃO,
queremos expressar o nosso mais
profundo reconhecimento e admiração.
✅ #negocio #negocioS #businesscoach
#empreender #empreendedor #business
https://t.co/zfkkOk0QnC</t>
  </si>
  <si>
    <t>lieneide
#MEI: Contrate uma assessoria contábil
para garantir a organização de
sua empresa! #contabilidade #empreendedorismo
#sucesso</t>
  </si>
  <si>
    <t>paitadoscortes
Aprenda a ser alguém melhor! Siga-me
para mais. #empreendedorismo #pablomarcal
#marketingdigital https://t.co/CRHYubarPl</t>
  </si>
  <si>
    <t>tecnologiastek
OLHA A NOVIDADE😻❤️ "Faça sua marca
se destacar no mundo das redes
sociais com nosso pacote de imagens
de bom dia. Entre em contato. 87999398574
#pacote #bomdia #mensagens #motivacao
#motivacional #mensagensmotivacionais
#empreendedor #loja #marketing
#pacotespromocionais https://t.co/J89NFPzVq1</t>
  </si>
  <si>
    <t>prefsjs
Edital aberto para inscrições!
#PrefeituraMunicipalDeSãoJoséDoSeridó
#AMaisBonitadoBrasil #Empreendedorismo
#Desenvolvimentoempreendedor https://t.co/OyvR4qtp7b</t>
  </si>
  <si>
    <t>josiel_at
RT @economicnewsbr: Josiel Alcolumbre,
à frente do Sebrae Amapá, marcou
presença na 1ª Reunião dos Presidentes
dos Conselhos Deliberativos…</t>
  </si>
  <si>
    <t>economicnewsbr
Nos últimos meses, a Estratégia
Espaçolaser tem sido pauta constante
no mercado financeiro. Segundo
dados divulgados, a empresa reportou,
no final de junho de 2023, dívidas
no montante de R$ 842#Depilação
#EconomicNewsBrasil #Empreendedorismo
https://t.co/hBaRbskDDN https://t.co/XqY92bUaDU</t>
  </si>
  <si>
    <t>sebraenodf
🚀 Descubra o Radar Sebrae: Sua
Ferramenta para Alavancar o Negócio!
✨ O Radar faz uma análise completa
do seu mercado, concorrência e
tendências do setor. E o melhor
de tudo: é GRATUITO! Acesse: https://t.co/A9aUsV0aOa
📊🆓 #RadarSebrae #Empreendedorismo
#FerramentaGratuita https://t.co/TKvGNDadFd</t>
  </si>
  <si>
    <t>nerimarmendes
Ei você... não espere nada de ninguém.
Ajude as pessoas se puder, e sempre
se empurre para frente. Sempre
impulsione-se. V+TSD – Venda Mais
Todo Santo Dia #empreendedorismo
#negocios #empreenda #empreender
#lucro #vendas #marketing #marketingdigital
#empreededorismofeminino https://t.co/yOjb00pB0A</t>
  </si>
  <si>
    <t>letciamachador3
Livro de pintar Sailor Marte com
12 de minhas artes para colorir
disponível em https://t.co/uNbtwL9ptP
#papelaria #loja #lojaonline #empreendedorismo
#emprender #emprendedores #Negocios
#lojas #livro #infantil #livroinfantil
https://t.co/KHbqJhIglz</t>
  </si>
  <si>
    <t>magnabarbosa10
Venha conferir minha loja online.
#sapatos #Mulher #empreendedorismo
https://t.co/EZ6Ab3u9qU</t>
  </si>
  <si>
    <t>exito_oficial
Por isso, separamos dicas com algumas
lições valiosas que você pode aplicar
no seu negócio. Confira! #barbie
#filme #empreender #dicas #ambienteempresarial
#inovacao #empreendedorismo</t>
  </si>
  <si>
    <t>crismartinin2
#cryptomarket #pix #doacao #emprender
#empreendedorismo #internet #dinheiro
#finanças #ficarrico #money #grana
#MoneyUpChat #moneycontrol https://t.co/HQz6QN0ByT</t>
  </si>
  <si>
    <t>dishumor
Já pensou? Ser um investidor e
perder o negócio da sua vida, porque
a @vivobr ficou mais de 48h fora
do ar no seu bairro? E você #empreendedor?
Vai confiar seu negócio para quem
não liga de te deixar 2 dias completamente
desconectado do mundo? Pense nisso
antes de ir para a #vivo</t>
  </si>
  <si>
    <t xml:space="preserve">vivobr
</t>
  </si>
  <si>
    <t>acasolhepague
@cegadede Vai vender mais barato
que o amendoim da gol... #empreendedor</t>
  </si>
  <si>
    <t xml:space="preserve">cegadede
</t>
  </si>
  <si>
    <t>escolariopreto
De acordo com o Sebrae, as micro
e pequenas empresas (MPEs) representam
99% do total de empresas no Brasil
e geram 54% dos empregos formais.
Isso significa que, para cada 100
pessoas trabalhando no Brasil,
54 trabalham em uma MPE. Representam
27% do PIB total. #empreendedorismo</t>
  </si>
  <si>
    <t>alamin42213
My First Youtube Banner Create
#marketingdigital #marketing #empreendedorismo
#digitalmarketing #socialmedia
#instagram #business #branding
#socialmediamarketing #sucesso
#marketingstrategy #empreender
#marketingtips #marketingonline
#digital #design #rendaextra #emprendedores
https://t.co/UNvqlfUQQ0</t>
  </si>
  <si>
    <t>grupojbg3
O sucesso vem de aguentar porrada
e não ficar sonhando com vitórias.
#grupojbg3 #empreendedorismo #foconoobjetivo
#desistirjamais #gratidao #fotografia
https://t.co/mFjPT4N8UX</t>
  </si>
  <si>
    <t>rafaelr36886877
O setor de franquias de moda está
em alta! 📈 Com um crescimento
de 16,8% no 2º tri de 2023, as
oportunidades para empreendedores
são promissoras. Conheça a Arena
Baby e sua abordagem inovadora
no nosso artigo 💼👶💰 #Franquias
#Moda #empreendedorismo https://t.co/tAjepA18II</t>
  </si>
  <si>
    <t>bbgtelecom_
Neste mês de Julho, nós preparamos
uma oferta especial para você que
é PME ou MEI!!! Dê o próximo passo
no seu negócio. Vem Ser BBG Empresas!
#camaragibe #recife #aldeia #internet
#fibraoptica #wifi #conexão #empreendedorismo
#pme #mei #peng consulte condições.
https://t.co/ubcY0wjyK6</t>
  </si>
  <si>
    <t>barbosamari_
#Empreendedorismo #Negócios #Empresa
#Sucesso #Sonhos #Realização #Planejamento
#Consultoria #Empreender #VisãoDeNegócio
#VamosConstruirJuntos https://t.co/PFAe5O9w0q</t>
  </si>
  <si>
    <t>josivalbezerra
Amadores vendem produtos. Profissionais
vendem o que o produto faz para
e pelo cliente. #empreendedorismo
#produtividade #contentmarketing
#digitalmarketing #marketing #marketingstrategy
#media #seo #socialmedia #socialmediamarketing
#publicidade #marketingdigital
https://t.co/BSvA22YSE5</t>
  </si>
  <si>
    <t>alexandre_koch
Não esqueça de me seguir nas redes
sociais. 🏃‍♂️ #empreendedorismo
#o #marketingdigital #empreender
#sucesso #marketing #empreendedor
#motiva #motivacao #empresas #avaré
#avare #alexandrekoch https://t.co/hTgg9OzMEc</t>
  </si>
  <si>
    <t>ricgaldino
Dica de sucesso para empreendedores
e profissionais liberais Planeje
sua aposentadoria desde agora e
colha os frutos no futuro. Não
deixe para depois o que você pode
fazer hoje #Aposentadoria #Empreendedorismo
#ProfissionaisLiberais #PlanejamentoFinanceiro
https://t.co/EL2XGF0nd4</t>
  </si>
  <si>
    <t>tribuna_hoje
Equipe do programa entrará em contato
com empreendedoras que tiverem
divergências na conta bancária.
#maceió #mulheres #empreendedorismo
https://t.co/SMG2ecINe5</t>
  </si>
  <si>
    <t>tipzar_io
Nosso aplicativo está quase pronto
para ser lançado. E somente quem
estiver na lista receberá acesso
nas primeiras semanas. Link na
bio. Tipzar | Power to the People
#tipzar #criadordeconteudo #negócios
#empreendedorismo #redesocial https://t.co/vpw5jenn70</t>
  </si>
  <si>
    <t>santannareal_
#dicas #empreendedorismo #clientes
https://t.co/knTcHxD4Th</t>
  </si>
  <si>
    <t>lfscontadora
Vem conhecer a LFS Santos Contabilidade.
Chame no WhatsApp (21) 96498-0480
para tirar dúvidas. Link do site
na bio. #contabilidade #comunicacao
#empresa #empreendedor #consultoriacontabil
#bomdia #riodejaneiro https://t.co/fSAhJ4oS3w</t>
  </si>
  <si>
    <t>beto9andrades
Conhece alguém assim? Não marca
aqui, que não quero treta! 😂😂😂
#coach #empreendedorismo #finaldemes
#foco #resenha # empreender #coaching
https://t.co/OArGuVLvdc</t>
  </si>
  <si>
    <t>viccarijonny
"Side-hustle" é um termo que indica
um emprego paralelo. Hoje você
consegue faturar tendo custo 0
👇 Me siga que ao longo da semana
vou explicar como eu fiz isso #empreender
#empreendedorismo #negócios https://t.co/57ZuSaAYx0</t>
  </si>
  <si>
    <t>smartdefenceidd
#ConheceEcossistemaEconomiaDefesa
| 🤝 O @IAPMEI promove a competitividade
e o crescimento empresarial, assegura
o apoio à conceção, execução e
avaliação de políticas dirigidas
à atividade #industrial, ao reforço
da #inovação e do #empreendedorismo.
🎥 https://t.co/h452oInHQ1 https://t.co/yAbYnxyyhN</t>
  </si>
  <si>
    <t>iapmei
Na passada semana o #IAPMEI recebeu
a comitiva da Assembleia Legislativa
de Goiás, Brasil - um encontro
centrado no desenvolvimento de
relações institucionais e partilha
de conhecimento sobre #empreendedorismo
e inovação. Saiba mais: https://t.co/heHZOJaylN
#goias #brasil #PME https://t.co/IpONS16XOH</t>
  </si>
  <si>
    <t>caiiohenriquetv
#Marketingdigital #milionário #rendaextra
#dinheiro #trabalho #empreendedorismo
#tecnologiadigital #sucesso https://t.co/K2uLe7mdE0</t>
  </si>
  <si>
    <t>sindpdce
Microeempreendedores individuais
terão mais agilidade para emitir
NFSe de padrão nacional Leia mais
em: https://t.co/PBGReBEK2a #sindpdce
#micro #empreendedor #notafiscal
#nfe https://t.co/PyK1N2Gjds</t>
  </si>
  <si>
    <t>hiltonboss90841
Magazine Luiza pode falir?#creator
#economia #varejo #magazineluiza
#mag... https://t.co/mFk6nFREEb
via @YouTube Crise no varejo!!!
Imagina para o pequeno e médio
empreendedor.🫵🏾🚨🫵🏾 #Lula #magazineluiza
#varejo #emprendimiento #empreendedorismo</t>
  </si>
  <si>
    <t xml:space="preserve">hilton
</t>
  </si>
  <si>
    <t>lincoln2pac
Uma nova visão para enfermagem.
#enfermagem #empreendedorismo https://t.co/27NZ1ZxO84</t>
  </si>
  <si>
    <t>angelomcanuto
Uma coisa é certa, ouvir a verdade
pode ser ruim tanto para mim, quanto
para você. Mas a maior verdade
é que mesmo que a gente não queira,
esse é o melhor aprendizado. Bora
pro próximo, pq a vida é assim.
A não ser que você ou eu não queiramos
aprender !!! #empreendedorismo</t>
  </si>
  <si>
    <t>maraisamatos
Nova rede social do Instagram;
Threads Prevista para ser lançado
em 6 de julho, segue passo a passo
para solicitar pré-reserva do app.
. #meta #threads #instagram #redessociais
#marketingdigital #markzuckerberg
#empreendedorismo #empreender https://t.co/BaSIYE9099</t>
  </si>
  <si>
    <t>learnknowd
Benefits of Microlearning. . .
#microlearning #elearning #coach
#ead #designinstrucional #empreendedorismo
#educa #ensinodequimica #quimicamanaus
#metodologiasativas #ciencias #engenharia
#infograficos #ensinodeciencias
#mapasconceituais #enem #laureate
#midiaseducacionais https://t.co/11QNexniin</t>
  </si>
  <si>
    <t>tiagofr29
RT @ForbesBR: #HenryFord foi um
#empreendedor e engenheiro mecânico
norte-americano e o fundador da
Ford Motor Company. Foi a partir
da ind…</t>
  </si>
  <si>
    <t>allandonega
📚 Descubra Seu Poder! 🔥 #MaisEspertoQueODiabo
#NapoleonHill #Sucesso #Investimentos
#Empreendedorismo #Motivação #CrescimentoPessoal
#Autoconhecimento #Determinação
#Transformação 💼💪</t>
  </si>
  <si>
    <t>jhonata0ficial
#banco #c6bank #bancocentral #contaempresa
#mei #empresa #empreendedor</t>
  </si>
  <si>
    <t>carufernandes
Novo episódio do A Tecla SAP Podcast
com Taty Luncah. Muitos insights
sobre inteligência financeira e
empreendedorismo feminino. Assista
https://t.co/HhAPehWR20 #podcast
#ateclasap #teclasap #marketingdigital
#inteligenciafinanceira #empreendedorismo
https://t.co/teIZv9P7we</t>
  </si>
  <si>
    <t>imcubaangola
🟠 Apoio ao Empreendedorismo SAIBA
MAIS 📞 +244 949 083 013 📧 info@imcubaangola.com
🌐 https://t.co/SyCT9Ga9ET 📍 Rua
Eugénio de Castro - Vila Alice
#imcubaangola #contabiliadae #fiscalidade
#auditoria #consultoria #empreendedorismo
https://t.co/bJnaskctCH</t>
  </si>
  <si>
    <t>zacombisk
Quer ter uma vida foda? Link na
minha Bio. #animes #sobrenatural
#NBA #Politica #assuntosdomomento
#Marketing #MarketingDigital #empreendedor
#sucesso #foco #motiva #mentalidadedesucesso
#prosperidade #fabricadementes
#reflexaododia #conquisteosucesso
#pensenisso https://t.co/NcUGSZY71U</t>
  </si>
  <si>
    <t>easybiznegocios
Empresas e Pontos Comerciais à
venda de norte a sul do Brasil
https://t.co/fjlQOn4wzo #empreendedorismo
#negocios #oportunidades #negociosavenda
#repassedeempresas https://t.co/dRuNrMiApD</t>
  </si>
  <si>
    <t>setor_saude
Health Meeting Business &amp;amp; Innovation
acontece de 2 a 4 de outubro, em
Porto Alegre. Saiba mais: https://t.co/d6MLIURu0F
#eventoemsaúde #empreendedorismo
#saúde #negócios #healthtechs #feiraemsaúde</t>
  </si>
  <si>
    <t xml:space="preserve">hcpa_
</t>
  </si>
  <si>
    <t>sebraers
Quem está ligado nas tendências
de 2023 com certeza já ouviu sobre
Inteligência Artificial.😉 Quer
conferir as melhores práticas para
adotar a IA na tua rotina? 📲Acessa
nosso blog pelo link: https://t.co/0HajDREvH3
#SebraeRS #InteligênciaArtificial
#Empreendedorismo #IA https://t.co/LJOCG9dmCj</t>
  </si>
  <si>
    <t>jerlan_7
Tenho um pack com mais de 7000
PLR,s,,, Se vc estiver começando
na Kiwify e precisa de PLR's para
fazer suas vendas, Eu selecionei
os melhores PLR's nesse pack. 🚨
Aproveita enquanto há tempo...⏳#marketingdigital
#empreendedorismo #kiwify #vendas
#empreendedorismodigital https://t.co/b9YbcY9vwY</t>
  </si>
  <si>
    <t>mindtekbr
Desbloqueie o potencial ilimitado
da tecnologia em seus negócios
com nosso Guia de Inovação Tecnológica
para Empresas! 📷 Leia o artigo
completo: https://t.co/efbeBHMLaT
#tecnologia #inovação #negócios
#sucesso #empreendedorismo</t>
  </si>
  <si>
    <t>awebmor
Estratégias digitais + Processos
de vendas bem alinhados = MAIS
FATURAMENTO. #webmor #negóciosonline
#empreendedorismo #vendermais #estratégiasdigitais
#assessoriadevendas #transformaçãodigital
#negócios #mei #pequenasempresas
#pequenasemediasempresas https://t.co/c9f58irNiS</t>
  </si>
  <si>
    <t>dolcarajas
➡️EMPREENDEDORISMO AMBIENTAL🌳
Uma das empreendedoras participantes
é uma marabaense de 26 anos, que
fundou a NaFlora. ➡️Confira os
detalhes: https://t.co/rTxesx8UBd
#dolcarajas #tánodolcarajas #meioambiante
#empreendedorismo #empresavale</t>
  </si>
  <si>
    <t>victorgaete
Interessante #empreendedorismo
#economia #economics</t>
  </si>
  <si>
    <t xml:space="preserve">moisesleal
</t>
  </si>
  <si>
    <t>em_com
STARTUP MINEIRA A #startup mineira
#RadarFit é uma das startups de
saúde com maior destaque no Brasil.
Empresárias criaram um game que
transforma a saúde e o corpo dos
usuários por meio de missões saudáveis
personalizadas diariamente com
uso de #IA. https://t.co/cc3Tclvj3K</t>
  </si>
  <si>
    <t>briandordevic
Anyone can start a business at
nearly $0: @LinkedIn - Network
@RocketChat - Team collabs @hubstaff
- Time tracking @Buffer - Social
media @Canva - Image editing @Evernote
- Note-taking @Grammarly - Writing
assistant @NotionHQ - Project management
What did I miss? #productivity…
https://t.co/c2u9mQeuQw</t>
  </si>
  <si>
    <t xml:space="preserve">notionhq
</t>
  </si>
  <si>
    <t xml:space="preserve">grammarly
</t>
  </si>
  <si>
    <t xml:space="preserve">evernote
</t>
  </si>
  <si>
    <t xml:space="preserve">canva
</t>
  </si>
  <si>
    <t xml:space="preserve">buffer
</t>
  </si>
  <si>
    <t xml:space="preserve">hubstaff
</t>
  </si>
  <si>
    <t xml:space="preserve">rocketchat
</t>
  </si>
  <si>
    <t>jbcanovas
https://t.co/wqVSvlRbW0 Pessoal,
convido todos vocês para participarem
ao vivo com a gente hoje às 20h.
Traga suas dúvidas e participe.
A gente se vê logo mais. #podcast
#podcastbrasil #podcasting #podcaster
#Entrevista #franchising #franquias
#franquia #empreendedorismo</t>
  </si>
  <si>
    <t>novaeraestrateg
https://t.co/THmNfAZVrq Pessoal,
convido todos vocês para participarem
ao vivo com a gente hoje às 20h.
Traga suas dúvidas e participe.
A gente se vê logo mais. #podcast
#podcastbrasil #podcasting #podcaster
#Entrevista #franchising #franquias
#franquia #empreendedorismo</t>
  </si>
  <si>
    <t>universidaderat
Melhores insights para escalar
seu negócio ou serviço na era digital,
diretamente da comunidade Black
Rat 🔥 Tags - #blackrat #insiders
#marketingdigital #empreendedorismo
https://t.co/C27XzemuGP</t>
  </si>
  <si>
    <t>thiagoireland
Quer mudar de vida, empreender,
ter liberdade financeira e mudar
a vida das pessoas? Você pode fazer
isso com pouco investimento. Venha
conversar comigo. #Empreendedorismo
#LiberdadeFinanceira #BemEstar</t>
  </si>
  <si>
    <t>nimzoindia__
História fantástica, vale a pena
assistir cada segundo!!! #milhoes
#dinheiro #empreendedorismo #saude
#vidanova #jesus #proposito #familia
#industria #tecnologia #empresas
#criacao https://t.co/zJLgdOxCYS
https://t.co/IBhUASBJFD</t>
  </si>
  <si>
    <t>radunz_carlos
A vida não fica mais FÁCIL #sucesso
#foco #vida #motivação #empreendedor...
https://t.co/KNvs3t6EFB via @YouTube</t>
  </si>
  <si>
    <t>diogo_andreia32
https://t.co/yZVh23V4Ym #contador
#contabilidade #homeoffice #empreendedorismo
#brasil #cursocontabil #mercadodetrabalho
#alunos #Universitario https://t.co/AlzDgqyHkb</t>
  </si>
  <si>
    <t>andrea0170
As Black sisters in law presente
na Four Summit. #foursummit #blacksisters
#inovacao #empreendedorismo #advocate
#Lawyers https://t.co/I44TVy07tN</t>
  </si>
  <si>
    <t>henriquearake
Será que é inteligente empreender
"com dívidas"? Empresa funciona
igual "gente como a gente"? Em
um minutinho, eu explico tudo pra
você! #Empreendedorismo #empreendimento
#dividas #financiamento https://t.co/U95zCnhfUw</t>
  </si>
  <si>
    <t>wagnerreisch
RT @julioreis78: Esse é um dashboard
que uso para gerir o faturamento
de meus negócios. Aproveito para
promover uma corrida entre os gerent…</t>
  </si>
  <si>
    <t>julioreis78
O Shopping de Varginha vai fechar?
🤷🏻‍♂️🤷🏻‍♂️ Confira minha análise
sobre esse assunto que está na
boca da população de Varginha e
região. Curta, Compartilhe e nos
siga #gestãoempresarial #negócios
#empreendedorismo #liderança #estratégia
#inovação #marketing #finanças…
https://t.co/jyqeo4vfFF</t>
  </si>
  <si>
    <t>byjonesarruda
RT @ForbesBR: #HenryFord foi um
#empreendedor e engenheiro mecânico
norte-americano e o fundador da
Ford Motor Company. Foi a partir
da ind…</t>
  </si>
  <si>
    <t>pedrohcmeira
@nasthadja Vou abrir o onlyhates
A pessoa paga pra ter certeza q
nunca receberá conteúdos como esse.
😂🙏 #empreendedorismo</t>
  </si>
  <si>
    <t xml:space="preserve">nasthadja
</t>
  </si>
  <si>
    <t>tudosoonline
Somos uma agência de Comunicação
e Marketing que apoia empresas,
marcas e pessoas na divulgação
dos seus projetos na imprensa e
no mundo digital. Saiba mais https://t.co/UBxX0ZI52F
. . . . . . #tso #tudosoonline
#tungalabel #marketingdigital #marketing
#empreendedorismo #seo https://t.co/ORXMsmc78j</t>
  </si>
  <si>
    <t>sorayaguillenl
Naara, Jeunesse RD, y yo te contamos
cómo. ¡Contactame y te cuento!
#libertadfinanciera #empreendedorismo
#emprendimiento #salud #bienestar
#negocios https://t.co/AcHIaaE3DW</t>
  </si>
  <si>
    <t>alanpernanchini
Estamos #Contratando. Você conhece
alguém que possa se interessar?
👋😊 Quer conversar mais sobre
a carreira? Me chame, e vamos agendar
um horário! #oportunidades #carreira #desenvolvimento #investimentos #empreendedorismo
https://t.co/hl5zOlMnf4</t>
  </si>
  <si>
    <t>roabreu93
Parabéns ao São Paulo pelo título
na Copa do Brasil! Assim como eles,
no mundo dos negócios também perseguimos
a vitória. Acredite no seu potencial
e vá em busca dos seus objetivos!
💼⚽ #Empreendedorismo #SãoPauloCampeão
https://t.co/Ngk77GmHQX</t>
  </si>
  <si>
    <t>universidadefm
II Seminário Papo’s com Café discutirá
empreendedorismo em São Luís https://t.co/jZB4mmxlf8
#cafe #papodecafe #saoluis #slz
#empreendedorismo</t>
  </si>
  <si>
    <t>eclcontabil
Conquiste o sucesso com a ECL!
🚀 Descubra o poder de contar com
uma equipe altamente profissional
e dedicada, pronta para oferecer
soluções contábeis sob medida,
com eficiência e confiança. Contrate
a ECL hoje mesmo e sinta a diferença!
#contabilidade #empreendedorismo
#sucesso https://t.co/IneTT6Rld6</t>
  </si>
  <si>
    <t>murilogaldinopb
Parabéns a todos os comerciantes
que movem a economia do país com
dedicação e empreendedorismo! Seja
pequeno ou grande, cada negócio
contribui para o crescimento. #DiaDoComerciante
#Empreendedorismo #Economia</t>
  </si>
  <si>
    <t>hofmkt
👩‍💼 Nossos profissionais participaram
do lançamento de marcas consagradas
que você conhece. Entre em contato
e saiba como podemos ajudar sua
empresa a ter resultados consistentes.
Vamos conversar! #marketing #estrategia
#vendas #clientes #empreendedorismo
https://t.co/PGTs4hJKkx</t>
  </si>
  <si>
    <t>proffavoretto
Meta da semana: - Zero Pensamento
Negativo #empreendedorismo #empreendedorismofeminino
#empreendedorismomaterno #empreendedorismocriativo
#empreendedorismorosa #empreendedorismotransforma
#empreendedorismoodigital #negocios
#empreender #empreendedoresbrasil
#viverdevendas</t>
  </si>
  <si>
    <t>metalomega
Hoje aprendendo estratégia de como
vender eBooks com @viniciussouzamentoria
Vinícius Souza. . Aula grátis.
. #metalomega #rendaonline #rendanaweb
#empreendedorismo #venderebooks
#plr #cursogratis #webinargratis
#workshopgratis https://t.co/aSfgVs9jFt</t>
  </si>
  <si>
    <t xml:space="preserve">robertoljustus
</t>
  </si>
  <si>
    <t>ricardorocha_rr
Essas são as 3 camadas que um negócio
deve observar: OPERAR, COMPETIR
e VENCER. #ricardorocha #negocios
#gestaoempresarial #empreendedorismo
#negócios #inspiração https://t.co/JJkZEbbewS</t>
  </si>
  <si>
    <t>orcose
O primeiro semestre já acabou e
agora é a hora de empresas do Simples
Nacional prepararem as finanças
para 2024. Saiba mais sobre os
limites tributários em https://t.co/o0sBVrBM1j
#contabilidade #simples #empreendedorismo
#economia #negócios https://t.co/7X6fB7S1kJ</t>
  </si>
  <si>
    <t>andlopezga
" Vamos hacerlo " #accion #progreso
#empreendedorismo #ejecutar #aprendizaje
#proceso #desarrollopersonal #fe
#dios https://t.co/the7Vgm2Sh</t>
  </si>
  <si>
    <t>markj_ohnson
RT @K12Prospects: How this 9-email
sequence got one product in schools
around the country. https://t.co/2yOH7bnpr6
#empreendedorismo #brand…</t>
  </si>
  <si>
    <t>k12prospects
RT @K12Prospects: How this 9-email
sequence got one product in schools
around the country. https://t.co/2yOH7bnpr6
#empreendedorismo #brand…</t>
  </si>
  <si>
    <t>fernando_fotos
📚🚀 Desvende o Poder Oculto: Baixe
Agora o E-book "A Importância da
Geração de Conteúdo para o seu
Negócio" e Desperte o Potencial
Adormecido da sua Marca! 💼💡 👉
Link para Baixar na Bio! 👈⠀ #Ebook
#Negócios #Empreendedorismo #Conteúdo
#Sucesso #Transformação https://t.co/OVsAy1nzEM</t>
  </si>
  <si>
    <t>brunogomez_ofc
DICA 1 PARA EMPREENDEDORES INICIANTES
#investimento #ebook #empreendedorismo
#MarketingDigital https://t.co/OmjSUHm9dl</t>
  </si>
  <si>
    <t>u_madeira
Vem construir o teu futuro na #UniversidadedaMadeira
🎓 Desfruta de um #ensino de qualidade!
Investiga! Estuda e tem uma experiência
de 1 ou 2 semestres noutra Universidade
Europeia. Envolve-te em concursos
de #Empreendedorismo. Usufrui de
tudo isto e muito mais na @U_Madeira
https://t.co/hlRJdMxYGn</t>
  </si>
  <si>
    <t>vaniofortes
Crio estratégias de comunicação
e marketing, presto consultoria,
crio sites e gerencio redes sociais.
https://t.co/UWKDnmFNR6 #Marketing
#empreendedor #sites #redessociais</t>
  </si>
  <si>
    <t>mj_empreendedor
@poubelruyter Falou Tudo Ruyter!
💚 #empreendedor</t>
  </si>
  <si>
    <t xml:space="preserve">poubelruyter
</t>
  </si>
  <si>
    <t>centrosbdc
🔥 hace calor aquí con nuestros
últimos videos de clientes 😎 https://t.co/DqGSwxnCbg
#negocios #empreendedorismo #marketingdigital
#marketing #emprendedores #business
#emprendimiento #sucesso #empresas
#empreender #empreendedor #emprendedor
#dinero #exito #latinos #latinas
https://t.co/7v2Vn1JIcs</t>
  </si>
  <si>
    <t>expandindo23
Descubra as 10 etapas essenciais
para iniciar seu próprio empreendimento.
Clique no link da bio para ba ixar
nosso eBook! #empreendedorismo
#negocios #sucesso #empreender
#metas #ebook #linknabio https://t.co/nn71Ltoh15</t>
  </si>
  <si>
    <t>ricard0agt
10 Anos de Jornada: Celebrando
Conquistas, Aprendizados e Inspiração!
Nas próximas semanas, compartilharei
uma série de artigos em https://t.co/8e5aXzaMM2,
um para cada ano dessa década incrível.
#10AnosNoEcossistema #Gratidão
#Empreendedorismo #Startups #EcossistemaDeInovação
https://t.co/axuO5BYnzS</t>
  </si>
  <si>
    <t>baruerinaweb
Meu entrevistado dessa semana é
o Empresário - Careca @carecaduchapeu,
CEO da Loja DuChapéu - Casa e Presentes
@duchapeu Quinta agora dia 14.09
às 20h Não perca! #portalbaruerinaweb
#baruerinaweb #portalbarueri #barueri
#alphaville #empreendedor #baruerisp
#batepapocomale https://t.co/UrrMSR5N62</t>
  </si>
  <si>
    <t xml:space="preserve">denisferreira
</t>
  </si>
  <si>
    <t xml:space="preserve">yurigambogi
</t>
  </si>
  <si>
    <t xml:space="preserve">duchapeu
</t>
  </si>
  <si>
    <t>correa899
Metade dos brasileiros é impactada
pelos pequenos negócios - https://t.co/eEgiOfo8Gs
- #Brasileiros - #PequenosNegócios
- #Empreendedorismo</t>
  </si>
  <si>
    <t>presleyson
Mais um artigo científico aceito!
#doutorado #empreendedorismo #pesquisa
#ciencia https://t.co/WppgxYExwB</t>
  </si>
  <si>
    <t>drarenatamatias
Não deixe para amanhã o que se
deve fazer imediatamente☝🏼 https://t.co/tgJDtcCRW7
Planejar protocolos é meu hábito
favorito. #empreendedorismo #soluções
#planejamento #biomedica #harmonizaçãofacial
https://t.co/7kmjFuHPzs</t>
  </si>
  <si>
    <t>paulodallanoram
O valor oculto das exportações:
O que o Brasil ganha além do dólar
| Paulo Dalla Nora Macedo https://t.co/JAvkQrtMHK
#paulodallanoramacedo #Empreendedor
#planejamentodenegocios #SãoPaulo
https://t.co/Sxfiw9UqOp</t>
  </si>
  <si>
    <t>franchise_store
Para manter uma franquia bem-sucedida,
é crucial investir na capacitação
e treinamento contínuo dos franqueados
e suas equipes. Para saber mais,
conheça a Franchise Store pelo
link da BIO. #FranchiseStore #Franquias
#Empreendedorismo https://t.co/SegJ214t9h</t>
  </si>
  <si>
    <t>expressstore05
Quer aprender a ganhar dinheiro
em casa? Só chamar na dm (@atrwqz)
#breastfeeding #MarketingDigital
#dinheiro #sucesso #empreendedorismo
https://t.co/fvctX9PFXF</t>
  </si>
  <si>
    <t>cesarlandivar2
#flavioaugusto #emprendimiento
#empreendedorismo https://t.co/rZkzsEylt3</t>
  </si>
  <si>
    <t>mdftecnologia
"Não deixe de visitar a MdfTechnology
no stand 26 durante a feira ExpoEmpreendedor
2023, que acontece nos dias 11
e 12 de agosto, das 11:00 às 19:00.
#feiradenegocios #feiras #inovacao
#inovation #empreendedor #empreendorismo
#empreendedores #emprendedorismo
#empresario https://t.co/Q8RP4eGvkj</t>
  </si>
  <si>
    <t>econusabr
Para poder realizar um evento que
agregue e sirva de aprendizado
para o público presente, o ECON
conta com o apoio de grandes entidades
que atuam no empreendedorismo e
diversos outros setores ligados
aos negócios. #econ #econ2023 #empreendedorismo
#negócio #empresa #networking https://t.co/GrMFq2OHyp</t>
  </si>
  <si>
    <t>bravacapital
, é possível mensurar o risco que
você deve correr em seus investimentos.
Quer saber como correr risco e
ainda investir de forma segura?
Entre em contato com a Brava! #Risco
#investimento #retorno #empreendedor</t>
  </si>
  <si>
    <t>pontocom_new
O MEI que não fizer Inscrição Estadual
poderá ter seu status alterado
para irregular. #Contador #Contabilidade
#Contadora #Empreendedorismo #Empresario
#Empresa #MEI #Negocios #Consultoria
#Empreendedor #ImpostoDeRenda #Financeiro
#DicasContabilidade #DicasContabil
#RiodeJaneiro https://t.co/d4AQx4bF2s</t>
  </si>
  <si>
    <t>magominimalista
Lancei um podcast. Assuntos variados
com muito humor. Uma coisa séria
com humor. #podcast #humor #empreendedor
https://t.co/lrGbqgsprw https://t.co/Rbm29DU7Fx</t>
  </si>
  <si>
    <t>oleonardodantas
Descubra o segredo para impulsionar
as vendas da sua empresa! Adquira
agora o ebook "Sua Empresa Vendendo
Mais: Guia Prático para Anunciar
no Facebook, Instagram e Google":
https://t.co/JQb1UwQohc e descubra
como os anúncios online podem alavancar
o seu negócio. #Empreendedorismo…</t>
  </si>
  <si>
    <t>ipm_solution
Oportunidades de Negócios Sensacionais
para se Empreender em 2024 https://t.co/hdVETiMmvq
#empreendedorismo #negocios</t>
  </si>
  <si>
    <t>autonewsbr
https://t.co/FChUAl9ixR #Xweet
#Empreendedorismo #Planejamento
Excelente Video Sobre Gestão @FariaLimaElevat
@AndreGaidzinski @g4edu</t>
  </si>
  <si>
    <t xml:space="preserve">andregaidzinski
</t>
  </si>
  <si>
    <t xml:space="preserve">farialimaelevat
</t>
  </si>
  <si>
    <t>mateuscosta781
Quem procrastina, nunca alcançará
seus objetivos, quem se adapta
as mudanças do mundo, está na frente
de muita gente. #empreendedorismo
#conhecimento 😎🔭🖥💻🤑👍</t>
  </si>
  <si>
    <t>bastian_h5
Não uso o MEI, vale a pena pagar
somente pela aposentadoria? #mei
#empreendedorismo #empreendedor
#empreendedorismofeminino #aposentadoria
https://t.co/VW6kv0vZaO</t>
  </si>
  <si>
    <t>memeirosm
Deputado Da Renamo Venâncio Mondlane
Reconhece Lil Wayne De Nampula
Como Empreendedor #Deputado #Empreendedor
#Famosos #LilWayneDeNampula #Reconhecimento
https://t.co/Vc7KCClMPz https://t.co/EceqJdsu55</t>
  </si>
  <si>
    <t>vidigalsergio
Concedemos mais de R$ 2 milhões
em crédito a empreendedores durante
o 1º semestre de 2023, liderando
o ranking estadual. Um crescimento
de 191% comparado ao ano passado.
🚀 #SergioVidigal #SerraES #Empreendedorismo
#Desenvolvimento https://t.co/lc86es93nV</t>
  </si>
  <si>
    <t>tribunapr
Há cinco anos ela decidiu que iria
vender pães caseiros para melhorar
a renda em casa. Hoje, ela produz
e vende diariamente cerca de 100
pães caseiros https://t.co/tQ96xYqaEK
#pão #FazendaRioGrande #empreendedorismo
#tribunapr</t>
  </si>
  <si>
    <t>marco_qgnet
Novo tutorial coach: "Como destruir
um produto que funciona com apenas
40 bilhões" #empreendedorismo</t>
  </si>
  <si>
    <t>crisiloose
Está pensando em formalizar seu
"meio de vida" ou já é MEI? A Cris
Morel compartilhou informações
legais sobre isso hoje, no #papodas9.
Pode conferir no https://t.co/TAeQIxiUpb
Obrigada, @crismorelassessoria
#empreendedorismo #formalização
#mei #microempreendedor https://t.co/VaOCTiP8ux</t>
  </si>
  <si>
    <t>gisellivieira
Em todos os dias, é preciso renovar
as esperanças. Setembro chegou...
já conseguiu alcançar muitas metas
que traçou para este ano? 😉Vamos
correr atrás? Se quer mudança,
seja o primeiro a dar o passo.
. . #esperança #empreendedorismo
#estrategiademarketing #sucesso
https://t.co/TFNz95MPHv</t>
  </si>
  <si>
    <t>capedebr
Eu queria ser um empreendedor de
sucesso, mas meu negócio na verdade
é procrastinar online. #Empreendedorismo
#preguiça #procrastinação https://t.co/HJhIDZLVVX</t>
  </si>
  <si>
    <t>fasqueindia
"Elevating Businesses through Innovative
Web Design." https://t.co/OabBwu1eG5
#fasque #webdesign #digitalmarketing
#searchengineoptimization #facebook
#digitalmarketer #empreendedorismo
#workfromhome #copywriting #instagrammarketing
#digitalagency #brand #digitalmarketingexpert
https://t.co/Kie9Kvw2Km</t>
  </si>
  <si>
    <t>cidamuniz
Canal Empreender completa 1 ano
transmitindo conhecimento e informação
para os empreendedores. Assistir
já é um bom negócio. #empreendedor
#empreendedoras #negóciopróprio
#empresa #empresária https://t.co/79SDYjy0un</t>
  </si>
  <si>
    <t>profpcavalcante
O Inteli nasceu em fevereiro de
2022, com cursos de graduação voltados
para #inovação e #empreendedorismo
na área de computação. O projeto
teve investimento de André Esteves,
do banco BTG Pactual. https://t.co/c6UAmNwxce</t>
  </si>
  <si>
    <t>oconfeiteirodig
🚨 Você já recebeu um comentário
negativo sobre um de seus produtos
de confeitaria e não soube como
responder? 🔥Nesse vídeo, apresento
um guia prático para transformar
essas críticas em oportunidades
de crescimento! #confeitaria #empreendedorismo
#marketingparaconfeitaria https://t.co/dihsuKYgxu</t>
  </si>
  <si>
    <t>webcermkt
Empresários e empreendedores, não
percam esta leitura transformadora!
"Oportunidades Disfarçadas" de
Carlos Domingos oferece insights
incríveis sobre como identificar
oportunidades onde outros veem
desafios. Leitura obrigatória para
o sucesso nos negócios! #Empreendedorismo
https://t.co/3TSMskTJta</t>
  </si>
  <si>
    <t>blogfalandotech
Carol Paiffer ensina “O Segredo
dos Tubarões” #empreendedorismo
#OSegredoDosTubarões #evento #mercado
#tecnologia #inovação https://t.co/oiHa95yliw</t>
  </si>
  <si>
    <t>sahmarroni
#oprimorico #empreendedorismo https://t.co/CPVJ8OVXxH</t>
  </si>
  <si>
    <t>webthomaz
Aprenda como dominar as técnicas
de SEO e elevar o ranking do seu
site nos resultados de busca: https://t.co/mcIXrJORz3
#ecommerce #ecommercebrasil #vendasonline
#empreendedorismo #lojavirtual
#seo #seogoogle #marketingseo https://t.co/sokVETNC0l</t>
  </si>
  <si>
    <t>cttmauricio
[4/4] Um projeto que se tornou
realidade! MCAF&amp;amp;CO,  diversidade
no progresso, unidade na visão.
#BusinessPlan #Negócios #Empresas
#Empreendedorismo #Estratégia #Governança
#Capital #Gestão https://t.co/lnJoQxB4eM</t>
  </si>
  <si>
    <t>fabriziobijottl
De acordo com o Sebrae, as micro
e pequenas empresas (MPEs) representam
99% do total de empresas no Brasil
e geram 54% dos empregos formais.
Isso significa que, para cada 100
pessoas trabalhando no Brasil,
54 trabalham em uma MPE. Representam
27% do PIB total. #empreendedorismo</t>
  </si>
  <si>
    <t>anne_clm07
Sem dúvida, essa foi a entrevista
mais divertida de todas que já
participei!!! Pequenas empresas
&amp;amp; Grandes Negócios #dindingourmet
#empreendedorismo https://t.co/pyBzzUAi6R</t>
  </si>
  <si>
    <t>brainbriliant
📣 CURSO: PRIMEIRA VENDA EM 12
HORAS! 🤩🚀Você já pensou em ganhar
dinheiro de forma rápida e eficiente?
Sim a resposta é sim, temos uma
grande oportunidade para você!
Apresentamos o curso "Primeira
Venda em 12 horas",https://t.co/difkoLcqjt
#empreendedor #marketingdigital
https://t.co/LQqJBIq5sO</t>
  </si>
  <si>
    <t>fapesq_pb
➡️ A Fapesq estará no stand da
@cienetecgovpb com projetos apoiados
através dos editais. Vem conhecer!
Arrasta pro lado para conferir
o cronograma de participação da
Fundação. #expofavela #expofavela2023
#empreendedorismo</t>
  </si>
  <si>
    <t>carbiowaqued
🚀🥛 Goiás à frente na pesquisa
de leite de alta qualidade! 🔬💼
Reportagem Jornal O Popular destaca
a inovação na genética do Sr. Amarildo
Gonçalves da Estancia Tamburil.
Há também a minha reportagem. #Goiás
#PesquisaLeiteira #GenéticaLeitei
#Empreendedorismo #JornalOPopular
https://t.co/ExiUIbcJuv</t>
  </si>
  <si>
    <t>ricardobaratela
bom eu nao sei vcs mas achei uma
EXCELENTE ideia #empreendedorismo</t>
  </si>
  <si>
    <t>cristian_huff
Consultor de Cosméticos - Porto
Alegre/RS Enviar Currículo para
cristianhuff10@hotmail.com #HojjiSuplementos
#Consultor #Vendas #Empreendedorismo
https://t.co/2UxHb84vAG</t>
  </si>
  <si>
    <t>dattabusiness
Explore nosso portfólio! Na série
#GrandesEmpresas, destacamos as
organizações que fazem parte da
nossa história. Deseja fazer parte
desse movimento de expansão? Junte-se
a nós e descubra as oportunidades
à sua espera! #DattaBusiness #Empreendedorismo
#ClientesFelizes https://t.co/KbEnvq1hzA</t>
  </si>
  <si>
    <t>jorginhoemonica
“Nós não somos o que gostaríamos
de ser. Nós não somos o que ainda
iremos ser. Mas, graças a Deus,
Não somos mais quem nós éramos.”
#vendas #motivacao #motivacional
#motivar #motivarpessoas #empreendedorismo
#empreendedores #autoconhecimento
#desafio https://t.co/X2mlOptvK4</t>
  </si>
  <si>
    <t>domingostsucane
🚀#penseeenriqueça #empreendedorismo
#empreender #emprendimiento 💡
Princípios que valem cem milhões,
foco, paixão, habilidade &amp;amp;
dinheiro. 🚨Ex:tenho paixão e não
tenho habilidade? Busque/contrate
alguém que tem habilidade nesta
área. https://t.co/wLwlBXwsCz</t>
  </si>
  <si>
    <t>paulinhothor
Participei do premio Multishow
de Humor! #humor #empreendedorismo
#curso... https://t.co/dlLj0ixpNF
via @YouTube</t>
  </si>
  <si>
    <t>valuehostbrasil
Conheça o CRIADOR de SITES RESPONSIVO.
É GRATUITO para os assinantes de
qualquer um de nossos planos de
hospedagem. CLIQUE AQUI📷📷 https://t.co/AewtILsXdC
e assine AGORA qualquer um de nossos
planos. #sitegratis #site #criadordesites
#empreendedor #empreender #petshop
https://t.co/4ddPzNrX4F</t>
  </si>
  <si>
    <t>unifesp
É empreendedor(a), mas ainda não
sabe como ampliar a presença no
digital? Evento abordará a utilização
do Google Meu Negócio e do WhatsApp
Business, com intuito de se relacionar
com clientes e converter vendas.
Inscreva-se: https://t.co/gV9CziLWQU.
#unifesp #empreendedorismo https://t.co/vgu3NbpZpM</t>
  </si>
  <si>
    <t>marcoantoniorfs
O amigo acaba de falar no ônibus
que o saudoso Ary Fontoura é dono
de toda a rede Condor #empreendedorismo
#diversificacao</t>
  </si>
  <si>
    <t>pwnluanda
💫 Modelos de Excelência: Bruno
Pegado Clique aqui para iniciar
conversa via Whatsapp: https://t.co/EAnh9jlErz
#empreendedorismo #mulher #negocios
#liderançafeminina #networking
#membro #pwnluanda #empresa #evento
#mulheres https://t.co/u3XVj7ge3G</t>
  </si>
  <si>
    <t>fundacaobb
🧑👩 Jovens aprendem sobre tecnologia
e empreendedorismo no contraturno
escolar por meio da #TecnologiaSocial
Aprender e Crescer -, reaplicada
pela Sudotec na região sudoeste
do Paraná. #FundaçãoBBapoia #Educação
#Inclusão #Empreendedorismo #NossoValorTransforma
https://t.co/WdI0lH2gC3</t>
  </si>
  <si>
    <t>freelucasg
Empreender é transformar ideias
em realidade. É ser criativo, inovador
e persistente. Aproveitar as oportunidades
e aprender com os erros. É ter
uma visão de futuro. Ser resiliente.
#empreendedorismo #criatividade
#inovação #persistência #oportunidade
#aprendizado #resiliência https://t.co/HhqUairjlg</t>
  </si>
  <si>
    <t>luzimarcarp
💸 Sua empresa pode estar deixando
de faturar mais por conta de não
ter uma estratégia de UPSELL IMEDIATO.
Siga @luzimarketing #empreendedora
#empreendedores #empreendedorismo
#empreendedordesucesso https://t.co/76wUzUThEY</t>
  </si>
  <si>
    <t>rev_sambiental
EMPREENDEDORISMO | AngloGold Ashanti
apoia projeto de cosméticos em
Sabará | Brasil Mineral #empreendedorismo
#AngloGoldAshanti #minasgerais
https://t.co/thLwuWjtDS https://t.co/rNImcnygyp</t>
  </si>
  <si>
    <t>caboverdigital
𝗢 𝗾𝘂𝗲 𝗲́ 𝘂𝗺 𝗣𝗶𝘁𝗰𝗵 𝗗𝗲𝗰𝗸?
Visite https://t.co/uDypPQfWbg
para mais informações e inspiração.
#PitchDeck #Empreendedorismo #Startups
#Negócios #Apresentação #GoGlobal
https://t.co/rAdz6WTCRU</t>
  </si>
  <si>
    <t>renanbarbalho_
Muitas vezes, descobrimos nosso
verdadeiro potencial nos momentos
mais desafiadores da vida. O potencial
humano é incrível, e a jornada
para descobri-lo está repleta de
possibilidades #empreendedorismo
#motivação #persistência https://t.co/wDFlOvQ2Ct</t>
  </si>
  <si>
    <t>cortesvisionari
Como ficar milionário? #pablomarçal
#fyp #foryou #visionario #empreendedorismo
#vencernavida https://t.co/42VNqNZVAm</t>
  </si>
  <si>
    <t>juntosaosucesso
Mudança de ideia? Isso é coragem
e determinação! Comemore suas evoluções!
💪🎉 #Empreendedorismo #Inspiração</t>
  </si>
  <si>
    <t>quickeningmkt
Um passo de cada vez. #quickening
#autoconhecimento #empreendedorismo
#transformacao https://t.co/PrvzmJTta7</t>
  </si>
  <si>
    <t>cabimbacorporat
Olá Cabimbados! Para hoje, estamos
a deixar algumas dicas que o ajudarão
a ser um Empreendedor de Sucesso.
Partilhe connosco nos comentários
as dicas que também conheces. Cabimba
Corporation Caracterize-se!!! #empreendedor
#jácabimou #cabimbacorporation
#caracterize_se https://t.co/SjnJzJ1IRv</t>
  </si>
  <si>
    <t>pt_rrnacional
O DIP4Agri começa já no próximo
dia 15 de setembro e prolonga-se
até 10 de novembro (todas as sextas-feiras).
As inscrições estão abertas até
10 de setembro. Saiba mais aqui:
https://t.co/bqRWe4AuHv #rrn #dip4agri
#rederuralnacional #empreendedorismo
#IA #deeptech https://t.co/kLi7wQsxol</t>
  </si>
  <si>
    <t>baracho_ka59892
"🚀 Alta produtividade é essencial
para o sucesso empresarial! Com
a ajuda da inteligência artificial,
os empresários podem otimizar processos,
tomar decisões mais inteligentes
e impulsionar seus negócios para
o futuro. #Produtividade #InteligênciaArtificial
#Empreendedorismo</t>
  </si>
  <si>
    <t>gaby_nunes142
"O que importa sob o capitalismo
é satisfazer o homem comum, o consumidor.
Quanto mais pessoas o empreendedor
satisfaz, maior o seu padrão de
vida." - Ludwig Von Mises #Economia
#consumidor #empreendedor #escolaaustriaca
#capitalismo</t>
  </si>
  <si>
    <t>naseemjamaa
#onlinemarketing #success #modern
#furniture #empreendedorismo #smallbusiness
#interiors #archilovers #minimal
#marketingtips #graphic</t>
  </si>
  <si>
    <t>6villcam
#LifeHacks #lifestyle #empower
#coaching #coach #empreendedorismo
https://t.co/ZlNFCVtCOx</t>
  </si>
  <si>
    <t>cristinersoares
E você, tem alguma dica de gestão
para contribuir? Deixe aqui nos
comentários 👇🏼👇🏼👇🏼 #gestão
#gestaoescolar #gestaohumanizada
#humanização #metodologiasativas
#empreender #empreendedorismo #escolas
#inovação https://t.co/pPDiS2Lliz</t>
  </si>
  <si>
    <t>kevinkleinreal
#Corporação - A tradição é tudo
e contribui muito para a difusão
da marca! Leia mais... {https://t.co/NAtQKo6LsI}
#Capitalismo, #Empreendedorismo,
#Artigos. https://t.co/qTAvN85gpm</t>
  </si>
  <si>
    <t>celsodomingos
Super Mentores 3ª Edição! Registe
se e Participe! #Empreendedorismo
#AgroIndustria https://t.co/2yq6h2VRLq</t>
  </si>
  <si>
    <t>sarah_sant1261
Ver pequenos negócios se transformarem
em grandes empresas ... um sucesso
inexplicável! Orgulhosa das minhas
mentoradas! 🤩 #empreendedorismo
#pequenosnegocios #girlboss</t>
  </si>
  <si>
    <t>mackenzie1870
Mackenzie participa de Congresso
de Universidades Empreendedoras.
#empreendedorismo #negócios #Mackenzie
https://t.co/7YwQwMADLY</t>
  </si>
  <si>
    <t>lerlanger
Como os ingredientes citados no
vídeo, @alicetolipan_ e @juliatolipan
e @belerlanger chegaram lá: 5 anos
da @f3conteudo ! Agência campeã
em #marketingdigital. Quer dizer,
estão só começando. Muito orgulho
e emoção com essas meninas doces
e valentes #empreendedorismo #girlpower
https://t.co/QWQGdkxXvm</t>
  </si>
  <si>
    <t xml:space="preserve">juliatolipan
</t>
  </si>
  <si>
    <t>geckocripto
A batalha entre Binance e SEC e
seu impacto no mercado de criptomoedas!🚀💥
#Binance #SEC #Criptomoedas #Regulação
#MercadoFinanceiro #Bitcoin #Altcoins
#Investimento #TwitterBrasil #DicasTwitter
#Informação #Notícias #Negócios
#Empreendedorismo #Tecnologia #Inovação
https://t.co/eUm12J9YzI</t>
  </si>
  <si>
    <t>c4rim
Trabalhe enquanto eles descansam
#gratdão #empreendedorismo https://t.co/hxNVhUXFqh</t>
  </si>
  <si>
    <t>nilofalves
#Abrasel #Congresso #Edenred #EdenredBrasil
#Empreendedorismo #MesaaoVivo #Palestras
#Ticket https://t.co/UfOguac2YR</t>
  </si>
  <si>
    <t>cascaistiago
@FuckYouDEUS #flexibilidade "é
melhor tratar trabalhar para mim"
#empreendedorismo</t>
  </si>
  <si>
    <t xml:space="preserve">fuckyoudeus
</t>
  </si>
  <si>
    <t>superjovem8
Aproveita que hoje é segunda-feira
e comece aquela tarefa que você
estava procrastinando. E não se
esqueça de curtir a jornada! #pontapédasemana
#levantaefaz #empreendedoreficaz
#empreendedorismo #gestão #negócios
https://t.co/oc0vFm5OIy</t>
  </si>
  <si>
    <t>the_nomadship
Empreendedorismo: o caminho para
a renda e independência financeira.
Se você acredita no poder de criar
o seu próprio futuro, junte-se
a mim nessa jornada! #empreendedorismo
#rendaextra #sucesso #liberdadefinanceira</t>
  </si>
  <si>
    <t>pmibahia
Compartilhando Experiências - Uma
história de empreendedorismo no
ensino de idiomas. ‌ Inscreva-se:
https://t.co/RaAfqXFssq #CompartilhandoExperiência
#Inspiração #Empreendedorismo #pmibahia
#pmiba https://t.co/6scGkglvHB</t>
  </si>
  <si>
    <t>anbabrasilarabe
Obra escrita em parceria com Elias
Awad retrata a história do empreendedor
Emílio Kallas, fundador do Grupo
Kallas, e seu papel no desenvolvimento
imobiliário de São Paulo. #livros
#biografia #construçãocivil #empreendedor
https://t.co/iVpTOUS4Yx</t>
  </si>
  <si>
    <t>leobegin
Não é sempre assim? Aqueles q mais
te desacreditam, que tentam te
botar pra baixo, são os mesmos
q nunca tiverem coragem de lutar
por seus próprios sonhos! #empreendedorismo
#empreendedora #empreendedor #inspiração
#acrediteemvoce #personalbranding
#marketingpessoal #leobegin https://t.co/DzsEkr0ruj</t>
  </si>
  <si>
    <t>mspontocom
#empreendedor #empreendedorismo
#oportunidades #startups #sesi
#empresas #empresa #inovar @empreendedor
@SEmpreendedores @AliancaEmpreend</t>
  </si>
  <si>
    <t xml:space="preserve">senaims
</t>
  </si>
  <si>
    <t xml:space="preserve">senainacional
</t>
  </si>
  <si>
    <t xml:space="preserve">fgvcepi
</t>
  </si>
  <si>
    <t xml:space="preserve">fundadorstartup
</t>
  </si>
  <si>
    <t xml:space="preserve">canalmeusucesso
</t>
  </si>
  <si>
    <t xml:space="preserve">onumulheresbr
</t>
  </si>
  <si>
    <t xml:space="preserve">mdemulher
</t>
  </si>
  <si>
    <t xml:space="preserve">papoempreenda
</t>
  </si>
  <si>
    <t xml:space="preserve">cocacola_br
</t>
  </si>
  <si>
    <t xml:space="preserve">empreenderprodu
</t>
  </si>
  <si>
    <t xml:space="preserve">redeinovacao
</t>
  </si>
  <si>
    <t xml:space="preserve">uspinovacao
</t>
  </si>
  <si>
    <t xml:space="preserve">startup_br
</t>
  </si>
  <si>
    <t xml:space="preserve">btgpactual
</t>
  </si>
  <si>
    <t xml:space="preserve">jornal_empreend
</t>
  </si>
  <si>
    <t xml:space="preserve">fpecongresso
</t>
  </si>
  <si>
    <t xml:space="preserve">uniderpoficial
</t>
  </si>
  <si>
    <t xml:space="preserve">ucdboficial
</t>
  </si>
  <si>
    <t xml:space="preserve">empreendedor
</t>
  </si>
  <si>
    <t xml:space="preserve">unicampoficial
</t>
  </si>
  <si>
    <t>pegntv
🌟 Não percam a inspiradora história
de superação deste ex-camelô que
deu um grande salto em sua vida!
👉 Neste domingo, no #PEGN, vamos
mostrar como ele transformou sua
trajetória e se tornou um empreendedor
de sucesso! 📺 #empreendedorismo
https://t.co/LlFb1LmOrP</t>
  </si>
  <si>
    <t xml:space="preserve">souempresario
</t>
  </si>
  <si>
    <t xml:space="preserve">inovacaotecnolo
</t>
  </si>
  <si>
    <t xml:space="preserve">iartificial_
</t>
  </si>
  <si>
    <t xml:space="preserve">blog_de_ia
</t>
  </si>
  <si>
    <t xml:space="preserve">intartuncp
</t>
  </si>
  <si>
    <t xml:space="preserve">startupmagpt
</t>
  </si>
  <si>
    <t xml:space="preserve">sistemafiems
</t>
  </si>
  <si>
    <t>sebraems
E aí, o que é mais fácil de acontecer
por aí? Não tem resposta certa
ou errada, mas o que podemos dizer
é: tem um jeito de simplificar
seu negócio! Acesse: https://t.co/eUaa4gI3NX
#SebraeMS #SebraeSimplifica #MarketingDigital
#Empreendedorismo #SigaoSebrae
https://t.co/t8BuRrZdaz</t>
  </si>
  <si>
    <t xml:space="preserve">enegnt
</t>
  </si>
  <si>
    <t xml:space="preserve">aliancaempreend
</t>
  </si>
  <si>
    <t xml:space="preserve">sempreendedores
</t>
  </si>
  <si>
    <t xml:space="preserve">sebraerj
</t>
  </si>
  <si>
    <t>basjoilson
Venda experiência! #empreendedorismo
#incrível #experiencia https://t.co/WkaSO7Rjun
via @YouTube</t>
  </si>
  <si>
    <t>betacodexpress
RT @Betacodex_pt: EMPREENDEDOR
“Existe apenas uma definição de
‘empreendedor’. Um empreendedor
é alguém que faz algo novo.” INC.
interview…</t>
  </si>
  <si>
    <t>betacodex_pt
EMPREENDEDOR “Existe apenas uma
definição de ‘empreendedor’. Um
empreendedor é alguém que faz algo
novo.” INC. interview (1996). [Citado
por Niels Pflaeging em "What Would
Drucker Do?", p.160] #BetaCodex
#Descentralização #Empreendedorismo
https://t.co/wuwlJBPRSg</t>
  </si>
  <si>
    <t>diegoskda
Sempre o melhor, pois você pode
está sendo avaliado e ter ou perder
uma oportunidade muito grande..
. . #empreendedorismo #o #marketingdigital
#empreender #sucesso #marketing
#empreendedor #a #brasil #negocios
#foco #dinheiro #motiva #rendaextra
#empreendedorismofeminino https://t.co/qBYC6aw83A</t>
  </si>
  <si>
    <t>sharlotsandim1
Vcs aí pensando que eu tava passeando.
Eu tô é trabalhando! #Sebrae #transformarjuntos
#empreendedorismo https://t.co/GdgE7efPgU</t>
  </si>
  <si>
    <t>rhupgrade
Bianca Andrade / Boca Rosa - eleita
em 2022 dentre as 20 mulheres destaque
da Forbes Ela tem duas identidades?
Não! São apenas meios distintos
de se comunicar. Texto sobre insights
da sua palestra na rede vizinha
😉 #firefestival2023 #empreendedorismo</t>
  </si>
  <si>
    <t>urtado_cesar
COMO CANCELAR CNPJ MEI DE GRAÇA
ATUALIZADO - PASSO A PASSO COMPLETO
https://t.co/UUJkCuegu8 via @YouTube
#mei #microempreendedor #empreendedor
#empresa #cnpj #cesarurtado</t>
  </si>
  <si>
    <t>iqoption_pt
Elon Musk: Inovador, empreendedor
e visionário. 🚀🌟 Conhecido por
seus empreendimentos em veículos
elétricos, energia renovável e
exploração espacial. Você concorda
com as palavras dele? 🤔 #ElonMusk
#Inovação #Empreendedorismo #cfds
#iqoption #Sucesso https://t.co/fY8VO1e7um</t>
  </si>
  <si>
    <t>santoscancio
#Motivacional #Inspiração #Investir
#Empreender #BolsaDeValores #Empreendedorismo
#voceumpassoafrente https://t.co/vcJ4sYc70I</t>
  </si>
  <si>
    <t>liibebox
Para o mês de Agosto, desejamos
um mês cheio de vibrações!🔥🥰
Se toque, se lambuze e g0ze muito.
#liibe #crush #produtossexshop
#liibebox #amor #vibra #vibradores
#empreendedorismo #agosto https://t.co/c0WOJ8mpok</t>
  </si>
  <si>
    <t>alejodicovsky
Havaianas lança sua loja autônoma
e sustentável É uma loja container,
sustentável, no Parque Villa Lobos
(SP). A compra é toda pelo app,
sem intervenção humana. https://t.co/9foyk0Le5I
#Inspiração #Inovação #Empreendedorismo
#IA #MarketingDeExperiencia #ESG
#Sustentabilidade https://t.co/11bJrlNr2z</t>
  </si>
  <si>
    <t xml:space="preserve">bernardozamijov
</t>
  </si>
  <si>
    <t>serraempauta
CDL de Caxias do Sul realiza convenção
com principais nomes do varejo.
. Acompanhe o link na bio e nos
stories. . #serraempauta #jornalismo
#jornalismolocal #jornalismoindependente
#empreendedorismo #noticias #caxiasdosul
#serragaucha https://t.co/oTKdLfta4t</t>
  </si>
  <si>
    <t>omatheusbonitao
A criatividade é o ponto de partida,
mas a verdadeira magia acontece
quando a inovação entra em cena.
Transforme suas ideias em ações
ousadas e compartilhe essa inspiração
com um amigo empreendedor que está
pronto para fazer a diferença!
#Inovação #Empreendedorismo https://t.co/EqxqFZpgsT</t>
  </si>
  <si>
    <t>viniciusown
Uma competência é uma aptidão,
habilidade, comportamento ou traço
necessário para realizar uma função
ou tarefa em um nível aceitável
#empreendedorismo #Negocios</t>
  </si>
  <si>
    <t>sandrapedroso
@g1rio Partiu dar aula em @angraofficial
@sebraerj #empreendedorismo #economiacriativa</t>
  </si>
  <si>
    <t xml:space="preserve">angraofficial
</t>
  </si>
  <si>
    <t xml:space="preserve">g1rio
</t>
  </si>
  <si>
    <t>andersonkouzaca
Como lançar um produto no mercado?
(Primeiro Passo) #lancamento #produto
#comofazer #empreendedorismo #empreender
https://t.co/UNOYEfjTAZ</t>
  </si>
  <si>
    <t>maynardbarreto
É incrível conhecer pessoas com
histórias de empreendedorismo que
dedicam anos de luta e jamais desistem.
Mesmo nos momentos mais cansativos,
persistem e, ao longo da jornada,
conquistam a vitória. 💪🌟 #Empreendedorismo
#Persistência #Sucesso https://t.co/aXTgZtfd41</t>
  </si>
  <si>
    <t>diegoaraujots
Decida crescer! #vidaabundante
#empreendedor https://t.co/hPVnoJzBwg</t>
  </si>
  <si>
    <t>blogdohiel
Moradores da zona sul de Manaus
são certificados em curso de empreendedorismo
Leia em https://t.co/OZf7QFgNuU
#certificação #cursos #empreendedorismo
#gabinete #vereador</t>
  </si>
  <si>
    <t>hablasraiam
CRIE UM CANAL NO YOU TUBE! #youtube
#youtubebrasil #youtubeshorts #empreendedorismo
#raiamsantos https://t.co/MbCOsB2Ekn</t>
  </si>
  <si>
    <t>faperj
💡Fique ligado nesta oportunidade
para empreendedores! Será lançado
hoje, às 14h, o Programa Centelha
Rio de Janeiro, com recursos do
FNDCT/FINEP, FAPERJ e bolsas CNPq.
👉🏽Acompanhe em: https://t.co/jPo552ujbs
##programacentelha #inovação #empreendedorismo
#programacentelharj https://t.co/X7cpvM2JuY</t>
  </si>
  <si>
    <t>finep
Últimos dias para se inscrever
no programa Mulheres Inovadoras!
📅 Inscreva-se até o dia 4 de agosto
Saiba mais: https://t.co/Ha8IbGWcZQ
@gov_mcti #MulheresInovadoras #startups
#empreendedorismo https://t.co/C5OyRuNgVS</t>
  </si>
  <si>
    <t xml:space="preserve">gov_mcti
</t>
  </si>
  <si>
    <t>rodrigobru25208
Projetos com soluções com a cara
da Zona Oeste #uerj #Empreendedor</t>
  </si>
  <si>
    <t>governodoamapa
Fique atento aos critérios, são
mais de 360 vagas para os empreendedores
populares! Participe também! #AExpofeiraVoltou
#Empreendedorismo #GovernoDoAmapá
https://t.co/lEKv658SO5</t>
  </si>
  <si>
    <t>eloconsultoria_
A independência não é um privilégio,
mas um direito de todos. Ordem
e Progresso! #diadaindependencia
#fiscal #contabilidade #contador
#empresas #negocios #tributário
#irpf2023 #empreendedorismo #consultoria
#contábil #contadores #empresário
#irpf #impostoderenda #contábeis
https://t.co/AeWyMgjKd3</t>
  </si>
  <si>
    <t>leoamachado
E vamos à organização da agenda
semanal. #empreendedorismo #empreendedorismodigital
#rendaresidual #rendaextraonline
#rendaextra #homeoffice #vendadireta
#mmn https://t.co/kItPduxnnI</t>
  </si>
  <si>
    <t>manoelsantosmkt
Aquela sensação de que não está
certo...#empresa #negocios #marketing
#empreendedorismo https://t.co/O0mpPsRvZJ</t>
  </si>
  <si>
    <t>kainanbelato
Na série #hojeediadecrescer desta
quarta-feira, vamos falar sobre
desenvolvimento e gerenciamento
de startups (empresas). Nossa indicação
é o livro "A Startup Enxuta", de
Eric Ries. #somostodoscomandantes
#desenvolvimentopessoal #sucessopessoal
#empreendedorismo #produtividade
https://t.co/Ue7BlAs2Ss</t>
  </si>
  <si>
    <t>vowtecommerce
Descubra como impulsionar seu negócio
ao unir sua loja física a uma plataforma
virtual. A integração perfeita
para expandir seu negócio! https://t.co/k3i8ZCMJJ2
#ecommerce #ecommercebrasil #vendasonline
#empreendedorismo #lojavirtual
#lojaonline #lojafisica https://t.co/P3MPjEHObg</t>
  </si>
  <si>
    <t>brmarquespro
O sucesso do empreendedorismo não
está apenas em ter grandes ideias,
mas sim em transformá-las em ação.
Tome iniciativa, coloque seu plano
em prática e faça acontecer! #empreendedorismo
#ação</t>
  </si>
  <si>
    <t>alphazinfoda
Quando mudamos a forma de ver as
coisas, as coisas mudam de forma.
Siga @alphazinfoda - #reflexao
#desenvolvimentopessoal #empreendedorismo
#frase #frasemotivacional #dinheiro
#money #viral #fy</t>
  </si>
  <si>
    <t>daroltbruno
🚨 PREPARE-SE, VEM AÍ: OPERAÇÃO
RAIO X! ✅ Dia 30 e 31 de agosto,
soluções que podem salvar o seu
negócio, você não pode perder.
#bdconsultoria #melixp #operaçãoraiox
#melixp23 #ecommercebrasil #vendasonline
#mercadolivre #lojavirtual #empreendedorismo
#shopee https://t.co/UfV3LYOYrx</t>
  </si>
  <si>
    <t>jc_james_clark
RT @K12Prospects: How this 9-email
sequence got one product in schools
around the country. https://t.co/2yOH7bnpr6
#empreendedorismo #brand…</t>
  </si>
  <si>
    <t>empire_blues
@nunodosudoeste eles é que a sabem
#empreendedorismo</t>
  </si>
  <si>
    <t xml:space="preserve">nunodosudoeste
</t>
  </si>
  <si>
    <t>startupblogpt
O reconhecimento do sucesso da
marca Apple é mundial e a sua estratégia
de marketing foi o grande impulso
que a tornou uma das empresas mais
valiosas do mundo. https://t.co/iUS1vZx21X
. #empreendedorismo #startups #criativos
#criatividade #ideia #empreendedorismo</t>
  </si>
  <si>
    <t>seappara
As sandálias utilizadas na oficina
são resultado do trabalho de reinserção
e foram produzidas pelos internos
da Colônia Penal Agrícola de Santa
Izabel (CPASI). #SeapPará #Coostafe
#ReinserçãoSocial #Oficina #Empreendedorismo
#Trabalho #Seap</t>
  </si>
  <si>
    <t>ai_porto
@NegocioscomIA Tenho que concordar
com a lista! Essas são realmente
ótimas ferramentas de IA para empresários
e proprietários de empresas. Recomendo
experimentar todas elas para potencializar
seus negócios. #IA #empreendedorismo</t>
  </si>
  <si>
    <t xml:space="preserve">negocioscomia
</t>
  </si>
  <si>
    <t>meioemensagem
Evento acontece no dia 16 de setembro
em São Paulo; interessadas podem
fazer pré-inscrição. #womentowatch
#empreendedorismo #comunicaçãoemarketing
https://t.co/ten1VqZYfX</t>
  </si>
  <si>
    <t>eusoureggi
O empreendedorismo é uma jornada
desafiadora, mas repleta de oportunidades.
Tenha coragem, determinação e nunca
deixe de acreditar no seu potencial.
#Empreendedorismo #Oportunidade
#Determinação</t>
  </si>
  <si>
    <t>prefcriciuma
Aproveite o Programa de Crédito
Mão na Roda para microempreendedores.
Com o Mão na Roda, o Governo de
Criciúma assume a sétima prestação,
e o Governo do Estado assume a
oitava para o empreendedor que
quitar as primeiras seis parcelas
em dia. #Prefeitura #Empreendedorismo
https://t.co/L0yZmBQxgW</t>
  </si>
  <si>
    <t xml:space="preserve">g1amazonas
</t>
  </si>
  <si>
    <t>esteticadieny
Não se prenda a um único ponto
de vista ou a uma única maneira
de pensar. Podemos perder oportunidades
de explorar outras possibilidades
e soluções. Me conta, já teve um
momento que você teve que parar
e analisar a sua caminhada? Como
foi?🥰 - #empreendedorismo https://t.co/OIJh0ZAv2H</t>
  </si>
  <si>
    <t>pedromar1no
Te ensino a faturar apenas com
seu 📲 #viral #sucesso #empreendedorismo
#liberdadefinanceira https://t.co/B6ZPjmG1lz</t>
  </si>
  <si>
    <t>exemplusconsult
Você sabe a importância de ter
uma boa gestão financeira em seu
negócio? Garanta o sucesso da sua
empresa! Entre em contato com a
gente. #consultoria #gestãofinanceira
#gestaoempresarial #empreendedorismo
#empreendedor #empresasdf #negociosdf
https://t.co/0jFygolPSn</t>
  </si>
  <si>
    <t>organico27643
SLK, não pode ,orgânico e vida
#liberdadefinanceira #sucesso #empreendedorismo
https://t.co/lA5qIinCn6</t>
  </si>
  <si>
    <t>lionsmarcas
®️ INTELIGENTE 💡 EMPREEDEDOR INTELIGENTE
SABE! TUDO COMEÇA COM A MARCA/PATENTE.
#empreender #empreendedores #empreendedorismo
#empresarios #loja #comercio #influencers
#marketing https://t.co/sfKqoHZ671</t>
  </si>
  <si>
    <t>diegoalvesfot
Participando do evento "empreendedor
estratégico" #empreendedor #planejamento
#redesocial https://t.co/MDPkYMgBef</t>
  </si>
  <si>
    <t>jennybunny222
Vendo pack do meu pé!! Quem estiver
interessado fala comigo #pack #empreendedor
https://t.co/EISeupX5Fl</t>
  </si>
  <si>
    <t>jornaltribunaa
📊 Sebrae abre inscrições para
a Feira do Empreendedor 23 📊 🔗
Link: https://t.co/faKFiFDBir #⃣
Tags: #news #noticias #jornaltribuna
#tribunaonline #empreendedor #sebrae
#informacao #feiradoempreendedor23</t>
  </si>
  <si>
    <t>pravaler
Boatos que todo mundo já pensou
em empreender, né? Hoje vamos falar
sobre diferentes tipos de #empreendedorismo
e como colocar a mão na massa em
cada um deles. Vamos lá! 💼🚀 https://t.co/zqIjI99AHl</t>
  </si>
  <si>
    <t>bolchenik
Palmas pro profissional! Não deixe
as pequenas distrações do dia-a-dia
tirarem seu foco rumo aos seus
objetivos! #empreendedorismo (Em
breve no Linkedin)</t>
  </si>
  <si>
    <t>g1
Barbeiro segue cortando cabelo
de cliente durante assalto a barbearia
na Zona Leste de SP https://t.co/abMsxri53V
#g1 https://t.co/WR7dLxdLa8</t>
  </si>
  <si>
    <t>governodorn
É o empreendedor do RN contando
com o Governo do Estado, através
da AGN, buscando crédito para ampliar
o estoque, investir em infraestrutura
ou até garantir capital de giro
para a sua empresa! #Fomento #Investimento
#Empreendedorismo #Empreendedor</t>
  </si>
  <si>
    <t>bbcnews
Luis Rubiales' mother taken to
hospital on third day of hunger
strike https://t.co/mG5eYcQAnW</t>
  </si>
  <si>
    <t>alexandrecruz
Este vai matar a mãe para se manter
no cargo 👍. #empreendedorismo
#resiliência</t>
  </si>
  <si>
    <t>natisoares66
Tá esperando até quando cair do
céu a tua renda extra?? #vemcomigo
#rendaextra #empreendedorismo https://t.co/qiuX65SLuR</t>
  </si>
  <si>
    <t>dafdaf1313
Pq a pessoa que dá curso ensinando
o povo a ficar rico, não cobra
da pessoa só depois do curso? Tipo
ficou rico daí o aluno paga 🤔
O curso não é bom bragarai? #primorico
#empreendedorismo</t>
  </si>
  <si>
    <t>seniorconsbr
5 características do dentista empreendedor
https://t.co/SZ3oWCw8cD #dentistas
#empreendedor #sucessoodonto</t>
  </si>
  <si>
    <t>illuminiumnativ
Nasci do canto de uma Sereia! Foi
nas águas do mar que entreguei
e recebi a fluidez das ondas num
vai e vem infinito, como o meu
inspirar e expirar... Odoyá minha
Mãe Yemanjá! #marketing #empreendedorismo
#socialmediamarketing #marketingstrategy
#digital #marketingonline https://t.co/wMQHrIME50</t>
  </si>
  <si>
    <t>_portalopoder
#RR | Prefeitura de Boa Vista lança
programa para impulsionar o empreendedorismo
feminino #OPoder #compartilhe #empreendedorismo
#empreendedorismofeminino #boavista
#bv #roraima #rr #mulher #mulherempreendedora
#brasil #br https://t.co/GjcqrLJWZX
https://t.co/3ggJTbf0YU</t>
  </si>
  <si>
    <t>maiafilippe
#economia #privatização #emprego
#piso #salario #investimento #dinheiro
#governo #renda #profissão #sistemas
#brasil #desemprego #empreendedor
#negócios #solução #estabilidade
#família #carreira #empreendedorismo
#investimento #oportunidade https://t.co/EVJF3lRCaP</t>
  </si>
  <si>
    <t>vidasimples
É daqui a pouco! Às 12h, no IG
da @vidasimples, você acompanha
a conversa com @kalynelimamc, presidente
da @cufabrasil. Conteúdo oferecido
por @siftj_brasil em collab com
@vidasimples + @sonhadores_dm #BZC
#SheIsFromTheJungle #Educação #Empreendedorismo
#Favela #Publi https://t.co/9hzfQRVHol</t>
  </si>
  <si>
    <t xml:space="preserve">sonhadores_dm
</t>
  </si>
  <si>
    <t xml:space="preserve">siftj_brasil
</t>
  </si>
  <si>
    <t xml:space="preserve">cufabrasil
</t>
  </si>
  <si>
    <t>sebraepe
No último episódio do Start Talks,
Erick Simões, do Cesar, fala sobre
como conciliar os estudos com o
próprio negócio. “A época da faculdade
é o melhor momento para empreender”.
Confira o vídeo completo em: https://t.co/7B1r9BrJ5d
#empreendedorismo https://t.co/NOYRDlatMM</t>
  </si>
  <si>
    <t>limclown
Com muito orgulho e dedicação,
apresento a AmazImports! Estamos
no início, mas vamos avançar passo
a passo para garantir o nosso sucesso!
💼🚀 #AmazImports #NovoComeço #Empreendedorismo
#Dedicação RT=♥ https://t.co/EJcewfQOJx</t>
  </si>
  <si>
    <t>naoehoproblem
RT @limclown: Com muito orgulho
e dedicação, apresento a AmazImports!
Estamos no início, mas vamos avançar
passo a passo para garantir o no…</t>
  </si>
  <si>
    <t>tartarott
Aqui vemos a tecnologia sendo aplicada
para detectar pragas nas lavouras
e elimina-las com efeito de um
laser usando IA. #technology #tecnologia
#IA #empreendedorismo https://t.co/jWdOg2bfyS</t>
  </si>
  <si>
    <t>riansousa_ofc
FAÇA ACONTECER PARA QUE AS PESSOAS
SAIBAM SEU VALOR 🙏🎯🚨#motivação
#sucesso #empreendedorismo #riqueza
https://t.co/IjMBNf9z7R</t>
  </si>
  <si>
    <t>versa_brasil
Você conhece o dever de informação
da empresa em seguros de vida coletivos?
Entenda a importância de uma comunicação
clara e transparente na proteção
dos seus funcionários. https://t.co/j1XLar3vzo
#convencaocoletiva #empresas #empreendedor
#negócios #empreendedorismo</t>
  </si>
  <si>
    <t>yagorei96433928
Estou montando minha loja de Peças
e Acessórios. Ainda trabalho como
assalariado, porém, aos poucos
vou conquistando meu estoque para
revenda #empreendedorismo #maraba
#para</t>
  </si>
  <si>
    <t>frontendcee
🚨 FIM DO PRIMEIRO LOTE: 08/09
🚨 Corra e garanta seu ingresso
para o MAIOR evento da comunidade
de Front End no Ceará. 🎟️ https://t.co/ElOIr5gyDh
#frontend #tecnologia #empreendedorismo
#programacao #javascript #reactjs
#inovacao #tech https://t.co/1oAqCtzDg6</t>
  </si>
  <si>
    <t>cakecomunicacao
A criatividade exige a coragem
de deixar as certezas de lado.
Erick FROMM #marketingdeconteudo
#mindsetcriativo #mindset #negócios
#empreendedorismo #empreender #marketingdigital
#digitalmarketing #marketing #jundiai
#saopaulo #brasil https://t.co/bsjcJ1fdxf</t>
  </si>
  <si>
    <t>ibti_ict
Se você sonha em criar um produto
ou serviço de alto valor agregado
e deseja fazer isso com o apoio
de instituições de ensino, empresas
e governo, a JumpStart é o seu
caminho! #Empreendedorismo #Startup
#Tecnologia #IdeiaInovadora #DesenvolvimentoTecnológico
#JumpStart https://t.co/UzajJoTugd</t>
  </si>
  <si>
    <t>udesc_esag
📲 Acesse a notícia em https://t.co/6txExIYCm4
#Udesc #Esag #extensao #empreendedorismo
#45+ #feira #brecho @extensaoesag
@udesc</t>
  </si>
  <si>
    <t xml:space="preserve">udesc
</t>
  </si>
  <si>
    <t>mediaribeiro
Acontece com você também? 😅 Não
deixe o algoritmo te assustar!
Conheça melhor o algoritmo e encontre
o jeito certo de postar! #MarketingPoderoso
#metaseobjetivos #empreendedorismo
#menteempreendedora #cadeirudo
#novelasglobo #venderonline https://t.co/qDU9rp10rR</t>
  </si>
  <si>
    <t>maraujocontabil
Descubra o poder da assessoria
contábil personalizada para impulsionar
o sucesso de sua empresa! 💼✨📊
📞Contatos: 📱 (21) 3259-7930 /
3259-7947 📧 atendimento@maraujo.com.br
#contabilidade #finanças #empresa
#empresas #negocios #empreendedor
#empreender #assessoriacontabil
https://t.co/tn6rjS8khn</t>
  </si>
  <si>
    <t>mwanamukongo
Ah, claro! As pessoas trabalham
no Estado não porque o Estado é
o maior empregador por causa das
bases comunistas do partido no
poder mas sim por escolha de virarem
gatunos. 🙌🏿#Empreendedorismo
#FuturosDoAmanhã #LinkedIn</t>
  </si>
  <si>
    <t>mwataimperador
Temos tantos Dr e enginheiros em
Angola desnecessário. Apostem na
formação do homem e a mulher do
amanhã a fazerem cursos técnicos
para que amanhã criarem seus negócios
e empregarem jovens nas suas comunidades.
Estes espíritos de todos trabalharem
no estado e só criarem gatunos.</t>
  </si>
  <si>
    <t>divulgaragencia
No mundo em constante evolução
dos negócios, a criatividade tornou-se
uma habilidade indispensável para
os empreendedores. Aqueles capazes
de pensar de forma criativa têm
uma vantagem significativa. Leia
mais em: https://t.co/mPsm9McB8R
#empreendedorismo #marketingdigital
https://t.co/FUjW5LQo9Z</t>
  </si>
  <si>
    <t>nebulahousetech
Juntos, vamos impulsionar a inovação
e criar um futuro promissor para
as startups! #Nebula #Startups
#InovaçãoTecnológica #Empreendedorismo
#CrescimentoEmpresarial #Tecnologia
#DesenvolvimentoWeb #software #futuro
#sucesso</t>
  </si>
  <si>
    <t>rotafruticultu1
A Rota das Frutas marca presença
no INOVAGRI - 2° Encontro de Agricultura
Irrigada. Confira. #agro #agronegocio
#irrigação #goias #rotafruticulturaridedf
#inovacao #empreendedorismo https://t.co/75M9hv9gXF</t>
  </si>
  <si>
    <t>joaonetoupcont
O registro da marca deve ser a
primeira ação da empresa para uma
maior segurança. #empreendedorismo
#registrodemarca #ideias #negocios
#marketing @asbradsoficial @leticiachiquetto
@contadorceo @absgrowthoficial
#joaonetocontador #profissaoempreendedorpodcast
https://t.co/WIIr0eGvVL</t>
  </si>
  <si>
    <t xml:space="preserve">fernandarocha
</t>
  </si>
  <si>
    <t xml:space="preserve">walassi
</t>
  </si>
  <si>
    <t xml:space="preserve">orafaelarruda
</t>
  </si>
  <si>
    <t xml:space="preserve">celsomogari
</t>
  </si>
  <si>
    <t xml:space="preserve">contadorceo
</t>
  </si>
  <si>
    <t>rascunhoagencia
Vem acompanhar o processo criativo
das pastas da @natiele_ferreira_eng.civil
e também o resultado, claro! #marketing
#designgrafico #pastas #branding
#comunicacao #empreendedorismo
#pequenasempresas #constrcaocivil
#engenheiracivil #engenhariacivil
https://t.co/RpguqVy2bG</t>
  </si>
  <si>
    <t>anapauladahlke
Assista ao episódio do Economia
SC Live com Geraldo Campos, CEO
da Sapienza, no Youtube: https://t.co/WBAsQA7Hc9
#economiasclives #anapauladahlke
#jornalismo #santacatarina #brasil
#sapienza #conhecimento #empreendedorismo</t>
  </si>
  <si>
    <t>nick_piercing
"Olhe para o horizonte e veja além
do que os olhos podem alcançar.
Sonhe alto, acredite em si mesmo
e siga em frente, pois o futuro
é seu para conquistar." #sucesso
#empreendedorismo #foco #a #marketingdigital
#motiva #empreender #brasil #dinheiro
#marketing #empreendedor #amor
https://t.co/mUE9Az9mtC</t>
  </si>
  <si>
    <t>lojaxiririca
🔧💼 A produtividade que seu negócio
merece, com a qualidade que só
a Skymsen oferece! 💪💚✨ Loja autorizada
dessa renomada marca de equipamentos
industriais, temos o orgulho de
proporcionar soluções robustas
e duráveis para o sucesso do seu
empreendimento. #empreendedorismo
https://t.co/jiKea1NEPn</t>
  </si>
  <si>
    <t>sistemaischolar
☕️😄 Hora do cafezinho! E o que
você mais gostaria de ouvir? #ischolar
#gestãoescolar #liderança #empreendedorismo
https://t.co/R3ZGmrzeRT</t>
  </si>
  <si>
    <t>tropicalhub
Maximize o sucesso do seu onboarding
no HubSpot! Migrar e integrar dados
de forma eficiente é crucial para
obter resultados incríveis. 📊🚀
https://t.co/NVk1PtpkLv . #HubSpot
#Onboarding #MigraçaoDeDados #IntegraçaoDeDados
#MarketingDigital #Vendas #Empreendedorismo</t>
  </si>
  <si>
    <t>economiasc1
Confira: https://t.co/ulHOEeUjxS
#sapienza #ufsc #inovação #empreendedorismo
#florianopolis #santacatarina #brasil</t>
  </si>
  <si>
    <t>fcqadvogados
Já se perguntou quais são as diferenças
em Microempreendedor Individual
(MEI) e Empresário individual (EI)?
Esse é um trecho do nosso vídeo
especial de dia dos pais. Você
pode conferir ele completo no Youtube
👉🏻📺 FCQ Advogados #Empreendedor
#MEI #Empresario #negocios #advocacia
https://t.co/l7hgcPLX4L</t>
  </si>
  <si>
    <t>aires_nunes
"🚀 MVP (Minimum Viable Product)
🚀⁣ Feito é melhor que perfeito!
✨⁣ Comece com o MVP, lance sua
ideia no mundo e obtenha feedback
valioso dos usuários. Erros são
oportunidades de aprendizado. Não
adie mais, vá lá e lance seu MVP!
💪🚀 #MVP #FeitoEBom #Empreendedorismo</t>
  </si>
  <si>
    <t>domingo36416058
Ter talento não é suficiente para
tornar um empreendedor bem-sucedido,
deve ser acompanhado pela dedicação
e entrega, para superar os riscos
no início de um negócio. #Empreendedor
#Empreededorismo https://t.co/Q6ftRd1A7G</t>
  </si>
  <si>
    <t>empresasjornal
Feira das Ideias traz empreendedorismo
e atrações para toda a família
https://t.co/3d6CewJk82 #FeiradasIdeias
no #MIS de 19 a 20/08/2023 #empreendedorismo
#passeioemfamilia #finaldesemana
#LivePaintingMuralMIS #LivePaintingemTelas
#PocketShow #pequenosempreendedores</t>
  </si>
  <si>
    <t>feriniinsights
Esse vídeo vai mudar a sua visão
sobre empreender. #ferini #empreendedorismo
#MarketingDigital https://t.co/TkwnZGnvTQ</t>
  </si>
  <si>
    <t>universalctb
Conte com a experiência de quem
está há mais de 65 anos no mercado.
#profissionalliberal #empreendedorismo
#empresa #contabilidade #contador
#saopaulo #sp https://t.co/3MddQ8brxw</t>
  </si>
  <si>
    <t>jomar_falcao
Repita todos os dias essa frase:
o dinheiro vem a te mim através
de multiplas fontes de forma continua
e crescente todos os dias sem o
mínimo esforço. #$ #dinheiro #empreendedorismo
#equador</t>
  </si>
  <si>
    <t>gabypanizcoach
Hay que mojarse para tener éxito
#gabypaniz #exito #OnlyConnect
#desarrollopersonal #empreendedorismo
#coach #elecciones https://t.co/EJvcCZxXqy</t>
  </si>
  <si>
    <t>prefmanaus
🤝 Inclusão e #empreendedorismo
se unem na ação "Mães Empreendedoras"!
Nesta quarta, a Semed promoveu
diversas oficinas para mães de
alunos PcD da rede municipal de
ensino. Olha só: https://t.co/60wlb9JTEm</t>
  </si>
  <si>
    <t>traderwedson
"Valorize cada nova amizade que
surgir em sua vida! Elas trazem
aprendizado, oportunidades e colaborações
profissionais. Mantenha a mente
aberta para conhecer pessoas diferentes
e ampliar seus horizontes. #NovasAmizades
#ValorizeAsDiferenças #Empreendedorismo"</t>
  </si>
  <si>
    <t>ivonesilva
📈 A Caixa reabre linha de microcrédito
para empresas, injetando R$ 300
milhões na economia. Um grande
passo para apoiar empreendedores
neste momento desafiador. 💼💰
#Microcrédito #Empreendedorismo
https://t.co/PgflLZx2SD</t>
  </si>
  <si>
    <t>salvadorsefaz
👍🏾 Vocês pediram, nós disponibilizamos.
Acesse o link e confira a lista
completa das 767 atividades com
autorização imediata para funcionamento.
🖥️: https://t.co/8LnEhhF5jC #ssa
#sefaz #Salvador #empreendedorismo
https://t.co/gVrg7kSmPP</t>
  </si>
  <si>
    <t>lucasmirandaad
Com honra imensurável serei mentor
neste evento de exaltação ao empreendedorismo
nas favelas. Que esta jornada seja
marcada não apenas pela expansão
dos horizontes empresariais, mas
também pela transformação de vidas.
#empresarios #empreendedorismo
#DIREITOSHUMANOS #Crime https://t.co/rXYR5VI4PR</t>
  </si>
  <si>
    <t>rogeriowilbert
Siga @rogeriowilbert para inspiração
e dicas empreendedoras nessa jornada
rumo ao sucesso! 🚀 #empreendedorismo
#negócios #sucesso</t>
  </si>
  <si>
    <t>tvcultura
Evento virtual tem como objetivo
informar e motivar estudantes e
jovens que estão entrando no mercado
de trabalho. #Educação #Empreendedorismo
#TVCultura. https://t.co/ZNGXTZAMv7</t>
  </si>
  <si>
    <t>esceips
👉 Porquê escolher a ESCE/IPS?
#3 Espírito #Empreendedor 💼🏆
Apostamos em trabalhos aplicados
de forte ligação ao contexto #empresarial
e incentivamos à participação com
projetos de #empreendedorismo nas
ações da IPStartUp! #esceips #politécnicodesetúbal
#ensinosuperior https://t.co/tUItjgTa3r</t>
  </si>
  <si>
    <t>colaboraprojeto
#ArquivoColabora - Os #MEIs, podem
emitir a partir desta sexta-feira,
1°, a Nota Fiscal de Serviços eletrônica
apenas pelo sistema nacional. Relembre
como a #sustentabilidade pode ser
uma aliada do #empreendedorismo,
em matéria de #TrajanodeMoraes.
https://t.co/6OoZB6vYad</t>
  </si>
  <si>
    <t>keevosolucoes
🏢 Para as empresas, a inovação
é vital. Ela impulsiona eficiência,
geração de produtos e empregos
qualificados, tornando-as competitivas
e criando valor econômico e social.
📊 Investir em pesquisa e desenvolvimento
é crucial. 🌟🔬📊 #Inovação #Desenvolvimento
#Empreendedorismo</t>
  </si>
  <si>
    <t>contabilocd
Agradecemos pela parceria e por
construir essa história com a gente.
Parabéns pelo seu dia, Clientes!
♡♡ #empreendedorismo #empreendedor
#diadocliente #ocdcontabil #parceria
#sucessoprofissional https://t.co/vkKxyw7cYi</t>
  </si>
  <si>
    <t>notic_entretmto
O empreendedor de renome está expandindo
sua vida familiar! Saiba mais sobre
essa história inspiradora: #família
#empreendedor #inspiração https://t.co/Dbs6g9tU24</t>
  </si>
  <si>
    <t>abimarburitijr
“Quer empreender? Comece identificando
um problema que precisa de solução.
Grandes negócios nascem ao resolver
necessidades reais! Na sequência,
venda, ofereça, disponibilize sua
solução!💡🚀 #Empreendedorismo
#DicaEmpreender”</t>
  </si>
  <si>
    <t>performandovida
Os bons dominam o corpo, os melhores
dominam a mente, e os excelentes
se sujeitam ao Espírito de Deus!
Segue, e deixe seu ❤️ #performandovidas
#ia #negocios #empreender #empreendedorismo
#marketingdeconteudos #bons #dominar
#corpo #melhor #mente #treino #musculo
#espirito https://t.co/hMr1fHbcl0</t>
  </si>
  <si>
    <t>kenlobr
Começar é o que te coloca no caminho
da inovação e do sucesso. 💡 Cada
segunda-feira é uma nova oportunidade
para dar o pontapé inicial em direção
aos seus objetivos. #frasedasemana
#inspiracao #motivacao #insights
#empreendedorismo #mercadoimobiliário
https://t.co/OQIo2TMuTg</t>
  </si>
  <si>
    <t>expofavelaceara
Presença CONFIRMADA : @kond É com
muita empolgação que anunciamos
a presença do KondZilla na Expo
Favela Innovation Ceará 2023! #expofavela
#favelas #comunidades #cultura
#inclusãosocial #empreendedorismo
#arteefavela #startups https://t.co/IS8aihU7Ie</t>
  </si>
  <si>
    <t xml:space="preserve">reginacase
</t>
  </si>
  <si>
    <t xml:space="preserve">adrianapreta
</t>
  </si>
  <si>
    <t xml:space="preserve">kond
</t>
  </si>
  <si>
    <t>p_prefeitura
#Qualificação IGARASSU leva serviço
itinerante de CAPACITAÇÃO profissional
e EMPREENDEDORISMO pelos seus 488
anos de história #portaldeprefeitura
#igarassu #elcioneramos #empreendedorismo
#emprego #renda #trabalho #capacitação
https://t.co/9Qvoi0dzmO</t>
  </si>
  <si>
    <t>chefpizzaiolo
O que é uma Malha de Glúten???
#pizza #pizzacontemporanea #pizzanapoletana
#consultoria #foryou #viral #empreendedorismo
https://t.co/oARVa0yRn9 via @YouTube</t>
  </si>
  <si>
    <t>raulluis09kkii
RT @ForbesBR: #HenryFord foi um
#empreendedor e engenheiro mecânico
norte-americano e o fundador da
Ford Motor Company. Foi a partir
da ind…</t>
  </si>
  <si>
    <t>gabriel1071883
💸💰 Ganhar dinheiro com o Notion?
Sim, é possível! Use-o para criar
e vender templates, oferecer consultoria
sobre produtividade ou até mesmo
compartilhar seu conhecimento em
um blog organizado. Aproveite suas
habilidades e monetize com Notion!
#GanharDinheiro #Empreendedorismo</t>
  </si>
  <si>
    <t>fxbankbr
Gestão de anúncios com multicartão
ilimitado e conta 100% digital
- O FX Card foi pensado para você
que é empreendedor digital, com
o melhor Multi Cartões ilimitado
e conta digital do mercado. Clique
no link da bio e saiba mais. #empreendedorismo
#inovação #negóciosonline https://t.co/yXmDmrJhK0</t>
  </si>
  <si>
    <t>itamar_borges
Grande avanço para o empreendedorismo
em SP! O Programa Facilita SP,
lançado pelo Governo de SP, traz
a desburocratização e melhoria
do ambiente de negócios tão esperados.
Parabéns por atenderem nossas demandas
e impulsionarem o crescimento econômico.
#empreendedorismo</t>
  </si>
  <si>
    <t>xscavuzzi
Fechamos 15x0! mais um dia sem
tomar red ✅💸 Só basta copiar minhas
entradas e lucrar uma renda extra
comigo! Link do meu grupo tá na
bio. #rendaextra #empreendedorismo
#loteria #cassino #roleta https://t.co/9QN3lUmt9e</t>
  </si>
  <si>
    <t>omelhortrato
Bom dia! Na O Melhor Trato, acreditamos
na inovação constante. Nossa equipe
trabalha junta para gerar ideias
frescas e soluções criativas. 💡💼
A inovação não é apenas parte de
nossa cultura, é a chave para o
nosso sucesso! 🚀 #Inovação #Empreendedorismo
#Criatividade</t>
  </si>
  <si>
    <t>mundocoop
Nos dias 16 e 17 de Outubro, no
Minas Centro, você terá a oportunidade
de se atualizar sobre as últimas
novidades do mercado e ainda se
conectar com profissionais e especialistas
da área. Acesse: https://t.co/AnQNHZLgxz
#Inovação #Criatividade #Empreendedorismo
https://t.co/8FRqh8bbvL</t>
  </si>
  <si>
    <t>literarysink
Quer aumentar suas vendas online?
Aprenda com a Pronavenda! Do zero
ao avançado, você vai dominar as
estratégias mais eficazes para
construir um negócio online de
sucesso. Acesse agora e garanta
sua vaga! https://t.co/TSDymfN60n
#Pronavenda #vendasonline #empreendedorismo
https://t.co/wwponcsAMh</t>
  </si>
  <si>
    <t>vini_rocha2001
No 1° parágrafo, PG. 79, do livro
"Oque os ricos sabem e não contam".
Brian Sher falou tudo! #livro #empreendedorismo
#dinheiro</t>
  </si>
  <si>
    <t>audifaz_
Cuando uno tiene varo se nota #Bitcoin
#empreendedorismo #dolar https://t.co/DXtzVKU12d</t>
  </si>
  <si>
    <t>nandabarbosacrf
#mei #empreendedorismo #inscricaoestadual
#inscricaoestadualrj #contabilidade
#contador #tributario #comercio</t>
  </si>
  <si>
    <t>guedinhajo
É exatamente isso #facaacontecer
#empreendedorismo #trabalho</t>
  </si>
  <si>
    <t>nazareamarga
Homem mostra em vídeo a “facilidade”
de empreender começando com 1 real.
https://t.co/a5p1PRdlQG</t>
  </si>
  <si>
    <t>fabiolaterapia
Venha Empreender! #empreendedorismo
#óleosessenciais #óleosdoterra
https://t.co/GNFliG9DO3</t>
  </si>
  <si>
    <t>realvictorhugog
(continuação) É necessário planejar,
buscar conhecimento e se preparar
para os desafios que estão por
vir. #estrategistafinanceiro #finanças
#educaçãofinanceira #empreendedorismo
#empreendedor #estrategiafinanceira
#motivação #negócios #sucesso #business
#mentoria #liderança</t>
  </si>
  <si>
    <t>fortmetalurgica
A Fort metalúrgica é parceira de
empreendedores, arquitetos e da
industria de móveis planejados.
Traga seu projeto ou sonho , fale
conosco. https://t.co/VLcL1Shp8m
#arquitetura #moveis #empreendedor
#design https://t.co/8zkyWE4met</t>
  </si>
  <si>
    <t>soudiegooliveir
Informações quentes para você dessa
semana! #academia #empresas #empreendedorismo
#negocios https://t.co/5ThELqhrvc</t>
  </si>
  <si>
    <t>empreendacg
Aprenda sobre o significado e características
de uma startup, suas etapas cruciais
para o sucesso, dicas para iniciar
a sua própria, e histórias inspiradoras
de empreendedores. 🌐 Link: https://t.co/UKZcOwDXqs
#empreendedorismo #startups #inovação
#negócios #sucesso</t>
  </si>
  <si>
    <t>blogtemevento
🍕 Quer descobrir todos os segredos
para montar um buffet de pizza
dos sonhos? 😍🔥 🍽️ Deixe seus
clientes encantados com pizzas
irresistíveis! 👨‍🍳 #BuffetDePizza
#empreendedorismo #ingredientesfrescos
#buffetparaeventos #buffetparafestas
#TemEvento https://t.co/0TxG38Ctcq</t>
  </si>
  <si>
    <t>vagner_caldas
BILIONÁRIO BARSI REVELA SUAS 5
MAIORES POSIÇÕES NA BOLSA 👇👇👇👇👇👇👇👇👇👇👇👇
#investidor #investir #nath #empreendedor
#b3 #cripto #bitcoin Confira o
vídeo de Tu Pods ! Cortes! #TikTok
https://t.co/22PPO7CZWh</t>
  </si>
  <si>
    <t>e_markar
Grupo Markar Mão de Obra terceirizada
Telefone: (21) 3328-8822 📧 comercial@grupomarkar-net.com
🌐 https://t.co/npDMa8xsnV #limpeza
#mãodeobra #terceirização #serviços
#empresa #empreendedorismo #gestaodepessoas
#gestaoderh https://t.co/F6onAu4xwc</t>
  </si>
  <si>
    <t>rcaio_03
vou ficar com um cachorrinho de
amanhã ate terça e ganhar 50 conto,
#empreendedorismo</t>
  </si>
  <si>
    <t>ventiladorfs
Animados pra 1ª coleção?? Tô adorando
ver as teorias de vocês de quem
será o primeiro artista homenageado
nos nossos produtos! Esta é a dica
número 2! Já sabem quem é? 🎸 #ecomerce
#fanstore #empreendedorismo #moda
#fanpage https://t.co/nxiPjQobqI</t>
  </si>
  <si>
    <t>sejadonnes
Você se considera um sonhador ou
um executor? Sonhar é incrível,
mas ainda mais gratificante é transformar
esses sonhos em realidade. Concorda
com essa perspectiva? #ideias #insights
#empreendedorismo #oportunidades
#rh https://t.co/izE64qRnE8</t>
  </si>
  <si>
    <t>hesseldjones
E lá de volta outra vez, na porta
do STJ… #direitoempresarial #compliance
#empresas #tatuicapitaldamusica
#tatui #sorocaba #itapetininga
#cerquilho #boituva #tiete #ipero
#dinheiro #contrato #empreendedor
#empreendedores #empreendedorismo
#startups #empresario #trabalho
https://t.co/tX55SGCsRa</t>
  </si>
  <si>
    <t>amamosavidareal
Você mora no interior do Brasil
e tem um sonho de empreender? Persevera!
Existem muitas oportunidades e
recursos disponíveis que você pode
usar. Aqui tudo é empreendimento&amp;gt;
https://t.co/mN88fhnN8z #empreendedorismo
#interiordobrasil #empreendedordeinterior
#mochilaspersonalizadas https://t.co/isADhoGA18</t>
  </si>
  <si>
    <t>apo_source_pt
O Africa’s Business Heroes Anuncia
os primeiros 10 Finalistas para
2023 @africa_heroes @foundation_ma
@AlibabaGroup #África #Negócios
#Empreendedorismo #ProgramaFilantropo
#Competição #Aniversário #Finalistas
#Startups Leia mais: https://t.co/U8dolcOSgl
https://t.co/tQaPjyg5Yh</t>
  </si>
  <si>
    <t xml:space="preserve">afdb_group
</t>
  </si>
  <si>
    <t xml:space="preserve">alibabagroup
</t>
  </si>
  <si>
    <t xml:space="preserve">foundation_ma
</t>
  </si>
  <si>
    <t xml:space="preserve">africa_heroes
</t>
  </si>
  <si>
    <t>tatianafedatto_
19 | 💙SEBRAE – Caçapava com Patrícia
de Oliveira | 7/8/23 | POLÍTIA
POD https://t.co/c7hcHPP9L7 #sebrae
#sebraecaçapava #empreendedorismo
#empreendedor #empresarioscaçapava
#empresas #autonomo #mei #microempreendedorindividual
#cursosdecapacitação https://t.co/1m3qyN0Jfj</t>
  </si>
  <si>
    <t>falabarreiras
COLÉGIO PADRE VIEIRA PROMOVE ENCONTRO
DE EMPREENDEDORISMO E AÇÃO SOCIAL
EM PARCERIA COM O PROJETO ALI-EDUCAÇÃO
EMPREENDEDORA, GERANDO INTEGRAÇÃO
E INOVAÇÃO EDUCACIONAL EM BARREIRAS
https://t.co/XFR7sikIoz #ColégioPadreVieira
#Empreendedorismo #AçãoSocial #Barreiras</t>
  </si>
  <si>
    <t>prefeitura_poa
#Empreendedorismo: Prefeitura leva
Sala do Empreendedor para feira
inédita de chocolate. 🔗Saiba mais:
⬇️⬇️ https://t.co/IBDi3EiUHC https://t.co/ViBYgYifCL</t>
  </si>
  <si>
    <t>growingscape
Animação de todo tipo de logótipos
e produção de spots publicitários,
óptima qualidade e preço!✍️🎬💫
#growingscape #gsideiasdenegocio
#empreendedorismo #empreender #negocios
#euamoempreender #Publicidade #animacoes
#videos #comercial #spots #Mozambique
#mocambique https://t.co/vhXEbGUcoG</t>
  </si>
  <si>
    <t>jecikaoli
🎯 Alcance o público certo, na
hora certa! Estudos mostram que
anúncios segmentados podem aumentar
as taxas de conversão em até 60%.
Não perca tempo (e dinheiro) mostrando
seus serviços para quem não está
interessado. 🚀💼 #trafegopago
#vendas #empreendedorismo https://t.co/b8hxauiqA4</t>
  </si>
  <si>
    <t>publicados01
Elon Musk - Uma biografia de sucesso
. Elon Reeve Musk é um empreendedor,
empresário e filantropo sul-africano-canadense,
naturalizado norte americano. COMPLETO
NO LINK ABAIXO: https://t.co/ZlLZmwfhzS
#ElonMusk #Biografia #WalterIsaacson
#BiografiaDoSucesso #Empreendedor</t>
  </si>
  <si>
    <t>innov_empreenda
Mais bipolar que o mercado, só
à vida de empreendedor. #empreendedorismo
#empreendedor #empresa #empresarial</t>
  </si>
  <si>
    <t>bangurgentenews
🌐💲😃 SUPER POOL DE PARCEIROS:
BANGU URGENTE ➕ VENDA DE TUDO AQUI
➕ BANGU TOTAL ➕ BANGU DESCONTOS
😃🤝✅ 📱📲CHAMA AGORA NO ZAP, POIS
SÃO POUCAS VAGAS: (21) 99593-1515
OU (21) 99207-0427 🔝🆙🆗 #anuncios
#Propaganda #Prosperidade #Negócios
#empreender #empreendedorismo https://t.co/Ycfuw82UUK</t>
  </si>
  <si>
    <t>nossobairrojpa
Durante o evento, acontecerão palestras,
feira de negócios com a presença
de expositores das mais diversas
áreas, degustações e rodadas de
networking. Saiba mais: https://t.co/zM3OOSeoFT
#RecreioDosBandeirantes #Empreendedorismo
#EmpreendedorismoParaMulheres #ZonaOeste
https://t.co/xsxb7OfxvB</t>
  </si>
  <si>
    <t>marielebla84671
#Empreendedor #Edenred https://t.co/k1pF7DVIQd</t>
  </si>
  <si>
    <t>abravidro
O Sincomavi-SP prepara para o mês
de agosto uma programação gratuita,
rica em conteúdo e aprendizado.
Confira o conteúdo de cada webinário
e saiba como se inscrever: https://t.co/sIirrnqv8v
#empreendedorismo #carreira #mercado
https://t.co/fDDrHuVPLK</t>
  </si>
  <si>
    <t>ocaminhooposto
Observe os frutos daquilo que você
está fazendo. Estão beneficiando
só a você ou a você e mais pessoas
? Projetos que beneficiam mais
pessoas são aqueles que mais tem
tendência a prosperar. #pense #Brasil
#empreendedorismo #ocaminhooposto</t>
  </si>
  <si>
    <t>psicauan
Por aqui, a minha plataforma já
entrou na era dos 'Xs'. E vocês
por aí? #twitter #Xs #empreendedorismo</t>
  </si>
  <si>
    <t>novo30santos
Empreender envolve desafios, ainda
mais quando estamos no início.
No programa #InspirAÇÃO , a fisioterapeuta
Sabrina Catania conta sua experiência
como empreendedora. 📹 Confira
o vídeo completo no #YouTube do
NOVO Santos. ➡️ https://t.co/NshBOhY6PL
#empreender #empreendedorismo</t>
  </si>
  <si>
    <t>emilianobsantos
Começar a semana tomando um café
com os amigos. O exemplo arrasta.
Boa semana e uma segunda-feira
abençoada a todos. 🙌 #pedroleopoldo
#minasgerais #empreendedorismo
#cafe #segundafeira #vetornorte
#pl https://t.co/YnIEF9jgMZ</t>
  </si>
  <si>
    <t>odvixo
Divulgue sua marca de forma autêntica
e impactante! Quer saber como fazer
parcerias autênticas e promover
seu negócio na sua cidade? 🌟 Não
perca a oportunidade de aprender
com este vídeo incrível! #negócioslocais
#parcerias #valor #autenticidade
#empreendedorismo #sistmaodvix
https://t.co/ltj6I8PECx</t>
  </si>
  <si>
    <t>chaveiroponte
🚀 Desbrave o mundo do empreendedorismo:
transforme sonhos em realidade,
supere desafios e deixe sua marca
única no mercado! 💼💡 #Empreendedorismo
#Sucesso https://t.co/kO4hJJkzq6</t>
  </si>
  <si>
    <t>claudioedantas
Magatte Wade é uma empresária senegalesa,
mas sofre como brasileira. Sociedades
prósperas não se submetem a projetos
autoritários de poder. #economia
#empreendedorismo #emprego https://t.co/0mCAyfyuPt</t>
  </si>
  <si>
    <t>d_fontenelle
"Não espere pelas oportunidades,
crie-as! O primeiro passo é se
mover, pois é assim que as grandes
oportunidades surgem." #ligueodanise
#empreendanosseussonhos #empreendedorismo
#marketing https://t.co/cXMcYuBx1j</t>
  </si>
  <si>
    <t>carreiraprof_cp
Se você está considerando se tornar
um MEI, descubra as profissões
que podem ser desempenhadas nesta
categoria de empreendedorismo.
Saiba mais: https://t.co/bVYbOxiXqY
#ProfissõesMEI #Empreendedorismo
#PequenosNegócios</t>
  </si>
  <si>
    <t>wagnerg05929100
RT @julioreis78: Esse é um dashboard
que uso para gerir o faturamento
de meus negócios. Aproveito para
promover uma corrida entre os gerent…</t>
  </si>
  <si>
    <t>diogo_alt_tab
@complexodeepico ta certo #networking
#empreendedorismo #mind #set</t>
  </si>
  <si>
    <t xml:space="preserve">complexodeepico
</t>
  </si>
  <si>
    <t>totalservicecon
Fique atento, e sempre busque ajuda
de um profissional. •#empreendedorismo
•#negociosperfeito •#contabilidadeparceira
https://t.co/2URkC6ON3o</t>
  </si>
  <si>
    <t>prozaccomlimao
@quatrorodas Paga essa diária,
faz várias fotos, finge ser rico
pra vender cursos como coach financeiro
ou pra aplicar golpes em gente
carente no Tinder #empreendedorismo</t>
  </si>
  <si>
    <t xml:space="preserve">quatrorodas
</t>
  </si>
  <si>
    <t>odilondeborba
HJ Conference está organizando
Como e para onde vamos para ser
o mais representativo evento de
conteúdo BR. Participe em 18 de
setembro. @aleweimer Confira! #empreendedorismo
#eventos #atitude https://t.co/3ewANsycJb</t>
  </si>
  <si>
    <t xml:space="preserve">aleweimer
</t>
  </si>
  <si>
    <t>damasioaracatub
O mundo empresarial vem passando
por um cenário revolucionário impulsionado
pela inovação e pelo empreendedorismo.
Leia mais no Blog Damásio: https://t.co/hUDbnBur1l
#startups #Damásio #empreendedorismo
#Direito #direitoempresarial #empresarial
https://t.co/Po6TTTIRdw</t>
  </si>
  <si>
    <t>melquilima_
Prepare-se para uma jornada de
inspiração e conhecimento que está
prestes a atingir uma marca impressionante!
#Empreendedorismo #Podcast https://t.co/CHWcuDYY7a</t>
  </si>
  <si>
    <t>project1porcent
Olha só quem está por aqui meus
amigos. Bem vindos ao Projeto 1%,
pra quem não me conhece, confira
também o nosso Instagram 👇 https://t.co/ARP0rG6lDQ
Para um conteúdo ainda mais completo.
#motivação #sucesso #foco #determinação
#motivacao #liderança #empreendedorismo</t>
  </si>
  <si>
    <t>nicolasworkonli
How to make money online by working
from home with Side Hustle. https://t.co/4cIPklpmxk
#trabajosremotos #emprendedor #éxito
#negocio #RemoteJobs #Unternehmer
#Erfolg #Geschäft #fyp #trabalhosremotos
#empreendedor #sucesso #negócios
#pracazdalna #przedsiębiorca #powodzenie
#usa https://t.co/a0aDBxh1HI</t>
  </si>
  <si>
    <t>fraseswinbr
Siga -&amp;gt; @fraseswinbr https://t.co/U82YzGsyII
#crise #dificuldades #problemas
#obstaculos #adversidades #temposdificeis
#oportunidade #empreendedorismo
#daravoltaporcima #geracaodevalor
#flavioaugusto @geracaodevalor
https://t.co/qiSvYZuDe4</t>
  </si>
  <si>
    <t>8nineteenprolab
8NineteenProLAb Marketing Elevating
Brand Elegance • • • • • #marketing
#branding #socialmedia #business
#marketingdigital #entrepreneur
#startup #digitalmarketing #advertising
#entrepreneurship #socialmediamarketing
#sales #onlinemarketing #success
#empreendedorismo https://t.co/R9YsINFTyv</t>
  </si>
  <si>
    <t>criarteitu
Faça já conosco chame no whatsapp
11 94222.7604 Estamos localizados
Rua Cristovão Diniz 560 Jd Estádio
em Itu/SP #publicidade #marketing
#o #marketingdigital #propaganda
#design #brasil #empreendedorismo
#socialmedia #publicidadeepropaganda
#redessociais #instagram https://t.co/qH3L7c1K8H</t>
  </si>
  <si>
    <t>fabricioviana
Já li e #recomendei agora pra um
#amigo. Quem já leu "23 Hábitos
Anti-Procrastinação: Como Deixar
de Ser Preguiçoso e Ter Resultados
Em Sua Vida? https://t.co/EquuiPrOQH
As vezes curto #livros assim. E
vcs? . #livros #dicadelivro #dicadeleitura
#empreendedorismo #procrastinacao
https://t.co/OClua8BpM6</t>
  </si>
  <si>
    <t>cleverlacerda
Deslize para o lado e descubra
os 5 principais aspectos de uma
liderança de sucesso. Transforme-se
em um líder que inspira e impacta
positivamente o mundo ao seu redor!
Acompanhe meu perfil para conferir
mais conteúdos como esse. #empreendedorismo
#sucesso #marketingdigital… https://t.co/sC3UEUfFH4</t>
  </si>
  <si>
    <t>jailson_da
O sucesso vem de aguentar porrada
e não ficar sonhando com vitórias.
#grupojbg3 #empreendedorismo #foconoobjetivo
#desistirjamais #gratidao #fotografia
https://t.co/Dfib2yHkq8</t>
  </si>
  <si>
    <t>_amandasantos09
Quero todxs seguindo e participando
⬇️ https://t.co/FHnCZddMey #modaintimafeminina
#empreendedorismo #LingerieDiva
https://t.co/I6ddxtfeEX</t>
  </si>
  <si>
    <t>cris91390163
Hombre Alfa Excelente curso para
entender la relaciones, y minimizar
las actitudes betas y direccionarnos
a ser alfas https://t.co/9zTybRugxz
#podcast #cortespodcast #tiagofonseca
#reflexão #marketingdigital #empreendedorismo
#motivação #metas #MulheresApaixonadas
https://t.co/vSycxJelWb</t>
  </si>
  <si>
    <t>matheusarzua
🎯 Acompanhe nosso conteúdo para
se aprofundar nesse universo fascinante!
📩 Entre em contato para consultoria
personalizada! #advogado #direito
#propriedadeintelectual #direitosautorais
#marcasregistradas #empreendedorismo
#negócios #consultoriajurídica</t>
  </si>
  <si>
    <t>orbiconecta
🚀Conheça a história do San Pedro
Valley e como Minas Gerais se tornou
referência no cenário de startups.
#MinasSummit #empreendedorismo
#startups #inovação https://t.co/ejw15jK9gy</t>
  </si>
  <si>
    <t>ederson_melo
Palestra: Propósito &amp;amp; Canvas
You Curso: Desenvolvimento de Sistemas
Escola Técnica Jurandir Bezerra
Lins #Empreendedorismo #Inovação
#Sebrae #Canvas https://t.co/Rb2DJ9teUx</t>
  </si>
  <si>
    <t>adriano0406038
Super desconto 🔥🔥🔥 corre e garanta
o seu que ainda dá tempo! Frete
grátis 🎁 Link 👉https://t.co/SwY3Xtzlvd
#empreendedor #afiliado #marketingdeconteudo
#trabalharemcasa #motiva #rendaextraemcasa
#vendas #empreendedorismodigital
#dinheiroonline #empreendedordigita
https://t.co/9nlIleA8QV</t>
  </si>
  <si>
    <t>governope
Precisando de ajuda para empreender?
💡 https://t.co/0Qup4LqhLL #empreendedorismo
#AGE #Pernambuco #EstadoDeMudança
https://t.co/u8P7Rri9Uh</t>
  </si>
  <si>
    <t>unhasdedeusa
Que Nós MULHERES continuemos sempre
PODEROSAS e BELAS se superando
a cada dia!!! 💗👑💅 #unhas #mulher
#empreendedorismo #nails https://t.co/u0ih9LWsAw</t>
  </si>
  <si>
    <t>cufa_es
Esse é o registro de um dia muito
especial em que estivemos em treinamento
com a empresa Suzano, e iremos
atender 1400 mulheres empreendedoras
durante 2 anos. #cufa #cufaes #empreendedorismo
#mulheres #empoderamento #riqueza
#favela https://t.co/LN81BQV83X</t>
  </si>
  <si>
    <t>hojemaisata
🏢🔓 #Birigui: A Vigilância Sanitária
libera prédio de influenciadora
digital para funcionar como loja!
🏬🆗 #Liberação #VigilânciaSanitária
#Funcionamento #Loja #InfluenciadoraDigital
#Empreendedorismo https://t.co/APq70VMXeZ
https://t.co/EAZcZektNZ</t>
  </si>
  <si>
    <t>mais_educativa
😍 Jovens portugueses são desafiados
pela mais recente edição do Prémio
Bright Future que chega agora a
Portugal! Sabe mais, aqui 👇 #maiseducativa
#empreendedorismo #prémiobrightfuture
#jovens https://t.co/HigGbTvq2K</t>
  </si>
  <si>
    <t>clmcontroller
Para continuar a matéria Acesse
o portal da contabilidade. https://t.co/EQ8TgKNgV4
#clmcontroller #contabilidadepremium
#contabilidadeconsultiva #contabilidadeespecializada
#contabilidade #contadorespecialista
#comercioexterior #contadabilidadedigital
#empreendedorismo https://t.co/vm7TbB5SYq</t>
  </si>
  <si>
    <t>evolucaoge
DICA PARA EVOLUIR 🚀 Com atuações
brilhantes e uma história envolvente,
esse filme é uma ótima inspiração
para nós, empreendedores. #FilmeEmpreendedor
#Inspiração #AmorSemEscalas #SucessoProfissional
#Evolução #DicaParaEvoluir #Empreendedorismo
https://t.co/fTC1rmxOLa</t>
  </si>
  <si>
    <t>abrahosting
Se você é profissional ou entusiasta
da tecnologia: o NetCom 2023 é
o lugar para estar! Conecte-se
com especialistas, descubra novas
oportunidades de negócios e amplie
sua rede de contatos. Acesse e
saiba mais: https://t.co/lUY9fi5Im6
#NetCom2023 #Empreendedorismo #Inovação</t>
  </si>
  <si>
    <t>alereiscontador
🎯🔥 Perseverança, determinação
&amp;amp; experiência no mercado contábil
e consultoria de empresas. Foco
em crescimento, inovação e sucesso!
🏢💼💪 #Empreendedorismo #Negócios
#Sucesso https://t.co/9zVyRj1Aih</t>
  </si>
  <si>
    <t>_martcon
15 erros comuns que prejudicam
o seu negócio. Você sabe quais
são? Veja nesta publicação e evite
cometer essas ações. #15erroscomuns
#contabilidadeconsultiva #empreendedorismo
#martcon https://t.co/Id89O8ZHi3</t>
  </si>
  <si>
    <t>vautomatizar
No vídeo de amanhã vou mostrar
como criar um chatbot usando o
Typebot para responder perguntas
sobre o seu negócio com ChatGPT
#typebot #chatgpt #openai #chatbot
#automation #integration #nocode
#lowcode #marketingdigital #socialmedia
#empreendedorismo https://t.co/XnduY5fLwb</t>
  </si>
  <si>
    <t>carquimilion
O Século XXI será o século do Marketing,
da psiquiatria e da Mentira. #Palacio
#descriminalizaSTF #alexandredemoraes
#Binance #arroz #vazajato #empreendedorismo
#MarketingDigital #marketingexistencial
#mentira #ponde https://t.co/rEbdR0sSQC</t>
  </si>
  <si>
    <t>juristecadv
5 MANEIRAS DE COMEÇAR A EMPREENDER
... | ... Para ler na íntegra,
acesse https://t.co/J12RyBZpF4
Por Redação do Portal Juristec
| FOTO: Reprodução/Internet #portaljuristec
#artigo #maneiras #empreendedorismo
https://t.co/W3plBVQD0B</t>
  </si>
  <si>
    <t>esmktdigital
😲¿Sabes que hay más de 200 factores
que afectan al SEO? 🔍 #marketing
#socialmedia #digitalmarketing
#business #marketingdigital #empreendedorismo
#negocios #empreender #branding
#instagram #sucesso #empreendedor
#foco #emprendedores #brasil...
https://t.co/FuXJY7BLlW https://t.co/z7TGOTULwe</t>
  </si>
  <si>
    <t>revistaatoz
🤩 Quer saber mais sobre a #ProducaoCientifica
em Ciência da Informação? Leia
o artigo "A produção bibliográfica
em #GestãoDaInformacao, #empreendedorismo
e #inovacao no depósito legal da
#BibliotecaNacional (2003-2018)",
na #RevistaAtoZ: https://t.co/XmWFHWI30f
https://t.co/G0Ht1eEJHC</t>
  </si>
  <si>
    <t>psdweb
A crescente demanda por agilidade
e eficiência nas operações empresariais
tem impulsionado o desenvolvimento
de diversas soluções web. https://t.co/I6B5GOF5z5
#empresarial #o #empresa #empresas
#a #direito #negocios #empreendedorismo
#n #empresarios #empresario #empreendedor
https://t.co/LIZeOCcsZs</t>
  </si>
  <si>
    <t>celsomellani
GM☀️ Ensaio fotográfico para o
seu estilo, vamos! #retrato #portrait
#fotodeperfil #retratomasculino
#marketing #fotografoembauru #empresario
#empreendedor #advogado #medico
#corretordeimoveis #escritor #musico
#designer #editorial https://t.co/0p9X1UwUNh</t>
  </si>
  <si>
    <t>pref_anchietaes
Resultado do Programa Cidade Empreendedora
será divulgado em Anchieta nesta
quinta-feira (20). O programa busca
impulsionar o desenvolvimento dos
municípios, melhorando o ambiente
de negócios e promovendo o empreendedorismo.
#Anchieta #Empreendedorismo https://t.co/PMEqUYCCpT</t>
  </si>
  <si>
    <t>alinesabrinax
RT @ForbesBR: #HenryFord foi um
#empreendedor e engenheiro mecânico
norte-americano e o fundador da
Ford Motor Company. Foi a partir
da ind…</t>
  </si>
  <si>
    <t>walves__
@daidson_ @isthetito KKKKKKKKKKKKKKK
junto com você somos 3 vamos CITi
💚 #empreendedorismo #resiliencia
#gestão #coachquantico #apaixonadoportudoisso</t>
  </si>
  <si>
    <t xml:space="preserve">isthetito
</t>
  </si>
  <si>
    <t xml:space="preserve">daidson_
</t>
  </si>
  <si>
    <t>dcomercio1
Cinco #livros essenciais de #empreendedorismo
e finanças. A lista contempla as
obras mais vendidas em agosto pela
@amazonbrasil e foi preparada pelo
@sebrae para os pequenos #negocios.
Leia: https://t.co/p5o6zDdrqa</t>
  </si>
  <si>
    <t xml:space="preserve">amazonbrasil
</t>
  </si>
  <si>
    <t>cufa_brasil
🚀 A Expo Favela Innovation 2023:
Conectando Sonhos e Oportunidades
nas Favelas do Rio! 🌟 Não perca
a entrevista emocionante de @celsoathayde
no #RJTV da @tvglobo. @expofavelarj
! ⏯️ #ExpoFavela2023 #Empreendedorismo
#Inovação https://t.co/I64MRDicPe</t>
  </si>
  <si>
    <t xml:space="preserve">expofavela
</t>
  </si>
  <si>
    <t xml:space="preserve">tvglobo
</t>
  </si>
  <si>
    <t xml:space="preserve">celsoathayde
</t>
  </si>
  <si>
    <t xml:space="preserve">expofavelarj
</t>
  </si>
  <si>
    <t xml:space="preserve">cidadedasartes_
</t>
  </si>
  <si>
    <t>cufa_rio
Chegou o mês do grande encontro
de oportunidades entre a favela
e o asfalto! Vamos nessa? Nós,
da @cufabrasil, temos a honra de
sermos parceiros da @expofavelarj.
Dias 29, 30 e 31 de julho na @cidadedasartes_
#expofavelainnovation2023 #expofavelarj
#empreendedorismo #inovação https://t.co/hmJ7pDKo5s</t>
  </si>
  <si>
    <t>kamayvc
A competição de pitch do #KamayCodeBR
está a todo vapor! Já baixou o
app? Faça o download do app Cvent
Events e vote na sua startup preferida!
🙋 #Startups #Empreendedorismo
#Inovacao #Tecnologia #Futuro https://t.co/WEpZ5eNUAS</t>
  </si>
  <si>
    <t xml:space="preserve">st_one_io
</t>
  </si>
  <si>
    <t xml:space="preserve">dineramaapp
</t>
  </si>
  <si>
    <t xml:space="preserve">autazatech
</t>
  </si>
  <si>
    <t xml:space="preserve">agtrace1
</t>
  </si>
  <si>
    <t xml:space="preserve">pixforce_
</t>
  </si>
  <si>
    <t xml:space="preserve">implantait
</t>
  </si>
  <si>
    <t>pinkainnovacion
Cada producto que entregamos es
más que un resultado impreso 🖨️✨
https://t.co/Qvy3q58RSH #graphicdesign
#motivation #love #success #marketingstrategy
#seo #digital #empreendedorismo
#entrepreneurship #instagood #onlinemarketing
#marketingtips #startup #photography
#art #follow https://t.co/qsIQRfSQN7</t>
  </si>
  <si>
    <t>parthquote
RT @Pinkainnovacion: Cada producto
que entregamos es más que un resultado
impreso 🖨️✨ https://t.co/Qvy3q58RSH
#graphicdesign #motivation…</t>
  </si>
  <si>
    <t>douglas_scn
⚖️ Os dados dos seus clientes vazaram
na Dark Web E a culpa é sua! https://t.co/Hcq7xfLA8G
Busque um profissional jurídico
e proteja seus clientes Caso tenho
dúvidas, não exite em nos questionar
#leigeraldeprotecaodedados #empreendedorismo
#proteçãodedados #lgpd https://t.co/00kHzQzW92</t>
  </si>
  <si>
    <t>rapperpirata
O Rapper Pirata traz importantes
reflexões sobre políticas de juventude,
economia e cultura na cidade de
São Paulo. Em suas músicas e entrevistas,
ele tem defendido a importância
de políticas públicas #PirataSP
. #juventude #economia #cultura
#empreendedorismo #SãoPaulo https://t.co/s71dDsCF3X</t>
  </si>
  <si>
    <t>carvalho_rick
@MarcoPrestes #Empreendedorismo</t>
  </si>
  <si>
    <t xml:space="preserve">marcoprestes
</t>
  </si>
  <si>
    <t>caioneto2
💜💪👩🏼‍💼 #doterra #oportunidadedenegócio
#empreendedorismo #liberdadefinanceira
#realizaçãopessoal https://t.co/N9wJMFaPhM
https://t.co/6tbrdvDxkc @ericaafabricia
https://t.co/R455EoAIcb</t>
  </si>
  <si>
    <t>pacosantos56370
#NewProfilePic #Empreendedor #Investidor
https://t.co/J3AyIqnF0Z</t>
  </si>
  <si>
    <t>tatifeuanalista
Receber feedbacks como esse é realmente
algo impagável. #feedback #depoimento
#mentoria #crescimentopessoal #resiliência
#empreendedorismo #carreira #feedbackdatati
https://t.co/EKePG8BQLr</t>
  </si>
  <si>
    <t>aninhaperfil8
#empreendedorismo #empreender #vidadeempreendedor
@annas_formigas https://t.co/IANFOlvuwn</t>
  </si>
  <si>
    <t>hachicasamais
Mas este país não parece construído
para empreendedores, ou artistas
ou jovens. Não parece construído
para ninguém. Exceto para casuais
bananas armados com o xico espertismo
como a única arma de sobrevivência.
#portugal #precariedade #empreendedorismo</t>
  </si>
  <si>
    <t>sulminastv
O Convidado do Café Interativo
da próxima segunda-feira é, Marcus
Lemos, Administrador de formação
pela PUC-MG e um empreendedor apaixonado
por negócios que transformam o
mercado e a sociedade. @mvlemos
@nubbi.br #empreendedorismo #poçosdecaldas
#educação #ensinoadistancia https://t.co/sWvyKpund5</t>
  </si>
  <si>
    <t xml:space="preserve">nubbi
</t>
  </si>
  <si>
    <t xml:space="preserve">mvlemos
</t>
  </si>
  <si>
    <t>upsilontoledo
#Deusnocomando🙏🙏🙏 #upsilontoledo
#equipedemarketing #engenharia
#engineering #projeto #projetista
#designer #marketing #marketingdigital
#design #empreendedorismo #posts
#socialmedia #socialmediamarketing
#socialmediaparanegocios #publicidade
#publicidadeepropaganda https://t.co/jdD46z1X0W</t>
  </si>
  <si>
    <t>scalodigital
O que é Marketing Digital: Um Guia
Completo https://t.co/Dry8QI9sqE
#Marketing #MarketingDigital #empreendedor
#Noticias</t>
  </si>
  <si>
    <t>cidade_ama
📚Os cursos gratuitos do Senac
Paranaguá estão trazendo resultados
incríveis. Alunos estão se qualificando,
conseguindo empregos, empreendendo
e alcançando seus objetivos. 🎓💼
#ODS4 #Empreendedorismo Leia mais
na Folha do Litoral: 👇🏼 https://t.co/oUxPVn94dI
https://t.co/TJhacdFNIS</t>
  </si>
  <si>
    <t>prmarcosbomfim
Quero encontrar a você agora no
Culto do #Empreendedor. Já começou.
Vamos? https://t.co/Z8AVygtH66</t>
  </si>
  <si>
    <t>__mentesucesso
Me ame ou me odeie ambos estão
a meu favor. Se você me ama, eu
sempre estarei em seu coração.
Se você me odeia, eu estarei sempre
em sua mente. . . . . #foco #sucesso
#milionário #lifestyle #empreendedor
#mentalidade</t>
  </si>
  <si>
    <t>uninterpicos
O Centro Universitário UNINTER
de Picos participou do Encontro
do Ecossistema de Inovação do Vale
do Mel em Picos - PI promovido
pelo @sebraepi. A Agente Local
de Inovação @samiramalho conduziu
o encontro. #inovação #empreendedorismo
https://t.co/A2UN7TXNYC</t>
  </si>
  <si>
    <t xml:space="preserve">samiramalho
</t>
  </si>
  <si>
    <t xml:space="preserve">sebraepi
</t>
  </si>
  <si>
    <t>costamiguel1984
RT @OssandaLiber: Estas mulheres
incríveis, à semelhança de muitas
espalhadas pelo país não querem
que ninguém lhes dê nada, apenas
precisa…</t>
  </si>
  <si>
    <t>ossandaliber
Estas mulheres incríveis, à semelhança
de muitas espalhadas pelo país
não querem que ninguém lhes dê
nada, apenas precisam q o estado
não lhes tire quase tudo o que
ganham. Só conhecem o trabalho
como fonte de rendimento e assim
querem continuar. #menosimpostos
#empreendedorismo https://t.co/XLLXrPUfcH</t>
  </si>
  <si>
    <t>imprensaberta
É amanhã!!! A estreia do Empreendedorama
Podcast!!! Não perca!!! Às 19hs!!
#empreendedorismo #podcast #podcastempreendedorismo
https://t.co/9vgStR5TAd</t>
  </si>
  <si>
    <t>penedagerestv
Viana Jovens Empreendedores apoia
dois projetos com verba global
de 40 mil euros #vianadocastelo
#empreendedorismo #projetos #jovens
https://t.co/5isMuNt3IL</t>
  </si>
  <si>
    <t>alexkid18734651
Sou vendedor e representante comercial.
segue contato 31 982062073 Alexbaratobebida@hotmail.com
pagamento na entrega, boleto, produtos
com NF. #empreendedorismo #sucesso
#vendasonline #supermercado #depositodebebidas
#adega #DISTRIBUIDORAS #distribuidoradebebidas
https://t.co/H6F5IZAa9t</t>
  </si>
  <si>
    <t>beyourscompany
Faça sua primeira comissão agora!
🚀 Acesse já: https://t.co/SPco0NJvXN
#fy #marketingdigital #kiwify #empreendedorismo
#ruyter #rendaextra #PLR https://t.co/gRrL0g5AUT</t>
  </si>
  <si>
    <t>tempodenegocio
🤑Como ganhar $100 por dia Parte
7 Saiba Mais📷https://t.co/hn2523Ac00
#tempodenegocios #Rendaextra #viral
#fypシ #empreendedorismo #MONEY
https://t.co/glYXjKEz0w</t>
  </si>
  <si>
    <t>newscatarina
#Noticias #linkmex #santacatarina
#empreendedorismo #empresasdesucesso
#exportação #importação https://t.co/f4MFflLRcO</t>
  </si>
  <si>
    <t>onjornal1
ONJORNAL | Negócios #Palestra sobre
#empreendedorismo traz a Manaus
#empresárioparanaense Fernando
Ortiz. acesse o link: https://t.co/LTx8VUosXK
https://t.co/RJ8MOxjb0E</t>
  </si>
  <si>
    <t>barbara_alcan
#empreendedorismo #workholic #amorproprio
#job https://t.co/a5wXqMB1N7</t>
  </si>
  <si>
    <t>workshopdantas
Hoje tem Sport! Gostou do conteúdo?
Segue aê ➡️ @workshopdantas #educacaofinanceira
#empreendedor #dinheiro #finanças
#reflexao #empreendedorismo #vendermais
#organizacaofinanceira #rendaextra
#rendaextraemcasa #marketingdigital
#vendedor #crb #sport #serieb2023
https://t.co/3P9O2p6kce</t>
  </si>
  <si>
    <t xml:space="preserve">lulaoficial
</t>
  </si>
  <si>
    <t xml:space="preserve">roxmo
</t>
  </si>
  <si>
    <t xml:space="preserve">rmotta2
</t>
  </si>
  <si>
    <t>diarioudi
MERCADO Inscrições para o projeto
terminam nesta quarta-feira (27).
#diariodeuberlandia #uberlandia
#sebrae #programa #empreendedorismo
https://t.co/6ve6xKz7ZN</t>
  </si>
  <si>
    <t>rodrigo_diario
Pequenas metas alcancaveis! #desenvolvimentopessoal
#empreendedorismo #motivacao https://t.co/eDPL5NocwY</t>
  </si>
  <si>
    <t>bahiacamaroess
A nossa maior alegria é receber
dos nossos clientes feedback que
nos mostram que estamos no caminho
certo! 🏆🏅🥇 Gratidão sempre 🙏🤍
#Feedback #empreendedorismo #Aquicultura
https://t.co/2GtiX1JyHl</t>
  </si>
  <si>
    <t>radio1029
O Conecta Mente desta segunda-feira,
24/07, recebe Igor Morais, jovem
empresário que, em 2022, faturou
220 milhões de reais Conecta Mente
– 24 de julho – 8h40 – Rádio CDL
FM – 102,9 FM. #cdlbh #conectamente
#cdlfm #bh #belohorizonte #igormorais
#kingssneakers #empreendedorismo
https://t.co/pJt9j7Tf42</t>
  </si>
  <si>
    <t>unespfeis
Palestra PPGCM "Mercado de Capitais
para Startup", 5ªf, 21/09/2023,
às 10h, na sala de seminários.
Participe! #Unesp #Feis #UnespFeis
#PPGCM #PosGraduacao #Empreendedorismo
#Startup #Inovacao #CompartilheUnesp
https://t.co/Yra7lrl64X</t>
  </si>
  <si>
    <t>patercontabil
Chegou à nova edição da nossa Revista
Digital. Entre em contato conosco
e peça o seu exemplar. #gestao
#gestaoempresarial #empreendedorismo
#contabilidade #consultoriacontabil
#assessoriacontabil https://t.co/mvSaq8mHsz
https://t.co/sIrVJ3YAhp</t>
  </si>
  <si>
    <t>acess_moon
. Adorno personalizado para bolsa,
a partir de R$ 25.00 /Strap pra
celular R$ 10.00/Pulseira R$ 8.00
. Encomendas com pagamento antecipado
💸 . Entrega via uber 🏍 . #Manaus
#Amazonas #empreendedorismo #artesanato
#bijuterias https://t.co/4MAgp7iB7j</t>
  </si>
  <si>
    <t>marcosliotti
Earth in Bag Empreendedorismo Social
Visite-nos nas Redes Sociais em:
https://t.co/1N6Ipb7CVv #empreendedorismo
#redessociais https://t.co/0CAdWAoSwE</t>
  </si>
  <si>
    <t>virtualeestudio
🌟 A Importância de Eventos, Feiras
e Networking para o Branding 🌟
https://t.co/vYYMvh3Lmk #Networking
#Eventos #Feiras #Branding #Conexões
#Empreendedorismo #Sucesso #VirtualeEstudio</t>
  </si>
  <si>
    <t>fredmacedof
A jornada é uma maratona, não uma
corrida de velocidade. Uma das
partes fundamentais de empreender
é compartilhar, porque é assim
que adquirimos insights valiosos
que nos auxiliarão ao longo do
processo. _ #empreendedorismo #empreender
#empreendedor https://t.co/FUoLw219J0</t>
  </si>
  <si>
    <t>digitalgomito
Transmita mais confiança e credibilidade
ao seu público Oferecemos serviços
de: ✅ Construção de sites ✅ E-mail
corporativo ✅ Gestão de redes sociais
✅ Links patrocinados 📍 Cazenga
- grafanil ☎️ 932 828 078 📧 geral@gomitodigital.site
#empreendedorismo #negociosimobilia
https://t.co/Gy6LjQbJh5</t>
  </si>
  <si>
    <t>brinjshater
@DramaticaMi #empreendedor</t>
  </si>
  <si>
    <t xml:space="preserve">dramaticami
</t>
  </si>
  <si>
    <t>lucianotokikawa
Como você definiria o cérebro?
Deixa aqui nos comentários👇 #empreendedorismo
#negocios #negócios #negociosinteligentes
#empresario #empresa #empresas
#empresário #empresafamiliar #pequenasempresas
#gestaoempresarial #perpetuadoresx
#empresariodesucesso #empresascomproposito
https://t.co/vrCYAVccLj</t>
  </si>
  <si>
    <t>inventivosco
Ele não sabia empreender e hoje
fatura quase R$ 1 milhão. Essa
é a história de Arthur Lima, CEO
da Afrosa de e membro da Inventivos
desde 2020. #empreendedorismo #business
https://t.co/F6WAT8W2mq</t>
  </si>
  <si>
    <t>sebraepa
#PrêmioPrefeituraEmpreendedora
Sebrae no Pará lança oficialmente
a 12ª edição do Prêmio Sebrae Prefeitura
Empreendedora para todas as prefeituras
do Pará. #empreendedorismo #Negocios
#prefeito https://t.co/XsPDUtJYDM</t>
  </si>
  <si>
    <t xml:space="preserve">rubensmagno
</t>
  </si>
  <si>
    <t>vibescia
ME CHAMARAM DE LIX0 FRACASSAD0!
https://t.co/1JsAaiH2Gl via @YouTube
#mentalidade #mindset #empreendedorismo
#Brasil</t>
  </si>
  <si>
    <t>iamgiovannagama
Conduzindo meus dias com graça
e estratégia, trilhando o caminho
do sucesso com autenticidade e
versatilidade. 🌟✨ —Giovanna Gama
#Empreendedorismo #Elegância #Versatilidade
#sucesso https://t.co/n0RpsDxES4</t>
  </si>
  <si>
    <t>g2mix_franquias
• https://t.co/gt6a6oUg5l #empreendedorismo
#expansaodenegocios #franquias
#redesdevarejo #mercadodetrabalho
#g2mix #g2mixfranquias #pesquisademercado 
#sucessoprofissional https://t.co/mwuCuESWbV</t>
  </si>
  <si>
    <t>criardigital
Site da Receita Federal fica fora
do ar e dificulta atividade de
microempreendedores (Canal Tech):
https://t.co/e7UhzZJQLW #tecnologia
#empreendedorismo #receitafederal
https://t.co/xbQb3vhMTl</t>
  </si>
  <si>
    <t>elivretek
#promote #promotion #promotions
#marketingdigital #marketingchain
#helpothers #forall #simply #empreendedorismo
#todosjuntos #personas #elivretek
elivretek@gmail.com https://t.co/QLTUkJtCFo
https://t.co/tfgX2xxLIQ</t>
  </si>
  <si>
    <t>hugosilveirab
🇧🇷 No Brasil, + de 11 milhões
de estabelecimentos usam maquininhas.
Imagine o impacto dessa novidade!
#Empreendedorismo</t>
  </si>
  <si>
    <t>bozappfood
#myperfectapp #aplicativo #aplicativopersonalizado
#restaurante #empresário #empreendedor
#empreendedorismo #comida</t>
  </si>
  <si>
    <t>campoli1979
Parabéns Alphaville este bairro
maravilhoso da cidade de Barueri
que também acolheu a empresa As
Campoli Consultoria #barueri #empreendedor
#empresario #contador #transporte
#logistica #lacerdaconnect https://t.co/DPEJnTArsa</t>
  </si>
  <si>
    <t>joseguilhermeft
🖥️ Você só precisa de dois sites
gratuitos: Canva e Gera Pix. Investimento
inicial? Apenas nas placas, que
você pode encontrar a preços acessíveis.
#Empreendedorismo #Negocios</t>
  </si>
  <si>
    <t>mktcomsucesso
Em todos os dias, é preciso renovar
as esperanças. Setembro chegou...
já conseguiu alcançar muitas metas
que traçou para este ano? 😉Vamos
correr atrás? Se quer mudança,
seja o primeiro a dar o passo.
. #esperança #empreendedorismo
#estrategiademarketing #sucesso
#mktcomsucesso https://t.co/x0cXmtrSQL</t>
  </si>
  <si>
    <t>bvenf
Identifica a tendência empreendedora
geral dos estudantes de pós-graduação
em Enfermagem e compreender o #empreendedorismo
e a educação empreendedora no contexto
da pós-graduação em #Enfermagem.
https://t.co/R3SpoQZh3N</t>
  </si>
  <si>
    <t>historia_md1
Não pague na mesma moeda, seja
diferente!🙇🏽‍♂️🙌🏽🙏🏽 #motivacao
#empreendedorismo #motivacional
#jesuscristo https://t.co/7GgfyhKgCI</t>
  </si>
  <si>
    <t>thiagobudni
“A diferença entre o ordinário
e o extraordinário é exatamente
essa: o extra.” Jimmy Johnson,
técnico de futebol americano #JimmyJohnson
#quotes #empreendedorismo #esforço
#escolhas #conhecimento #frasedodia
#pensamentos #pararefletir #NFL
https://t.co/B5XKgnfWD1</t>
  </si>
  <si>
    <t>faeca
#empreendedorismo https://t.co/bVcT7NRE1H</t>
  </si>
  <si>
    <t>lumosconnectmkt
Escolha sua marca pessoal de maneira
consciente! O que há por trás da
#marcapessoal, do #personalbranding,
do #empreendedorismo e da autenticidade?
Estamos falando de diferenciação
e confiança. 🤝</t>
  </si>
  <si>
    <t>crfaugustoo
Algodão doce no tema #abelaeafera
⚘️ *Laço foi parte decorativa da
mamãe, que deu todo um charme.
😍 #abelaeafera #festademenina
#algodaodocepersonalizado #algodaodocenocopo
#empreendedorismo https://t.co/gRHbxJ3Q65</t>
  </si>
  <si>
    <t>ysenselaguna
Encuestas pagadas 💰Brasil💰 Com
as pesquisas você pode ganhar um
#dinheiro extra para sua casa e
também ganhar tempo e presentes
para sua família. #brasil #pesquisa
#empreendedorismo #SãoPaulo #RíodeJaneiro
#brasilia #Belohorizonte #PortoAlegre
#real https://t.co/HAh7PX1thc https://t.co/gTMh8QNkRF</t>
  </si>
  <si>
    <t>tmjuntos
Entenda como funciona a incubadora
de negócios da faculdade e como
ela prepara os profissionais para
o mercado https://t.co/qTuMbqEPXB
#negocios #empreendedorismo #faculdade</t>
  </si>
  <si>
    <t>_013julia
jhol vai me dar 50 reais pra mim
arrumar o quarto dele #empreendedorismo</t>
  </si>
  <si>
    <t>fastcompanybra
Uma líder que se destaca no mundo
dos eSports, a CEO do Made in Brazil,
Roberta Coelho, é expert em inovação
para o mercado de entretenimento.
https://t.co/2WH8Kcd4YS #fastcompany
#eSports #batepapo #fastcompanybrasil
#empreendedorismo</t>
  </si>
  <si>
    <t>camiladalmaso7
Paloma conta de uma vez por todas
o segredo das vendas no mercado
digital 💵 ✔️Suporte com equipe
preparada para tirar toda e qualquer
dúvida, você não ficará sozinho(a)
durante sua jornada. ✔️Aulas Semanais
ao vivo Saiba mais 👇🏻https://t.co/7wkXKpwX0h
#kiwify #empreendedorismo https://t.co/Xah0UBt3N6</t>
  </si>
  <si>
    <t>simoeslelaa
@ThallesIwataa Será que posso traficar
ela pra fazer renda extra ? #empreendedorismo</t>
  </si>
  <si>
    <t xml:space="preserve">thallesiwataa
</t>
  </si>
  <si>
    <t>atilamiller
#sucesso #empreendedorismo #empreender
#foryou #motivacao #fy #inspiracao
#1milhao #brazil https://t.co/QM8fySwrje</t>
  </si>
  <si>
    <t>martinhagondim
O empreendedorismo na indústria
do bem-estar vai além dos negócios,
é uma forma de impactar positivamente
a sociedade. 💚🌎 Descubra como
você pode fazer a diferença! #Empreendedorismo
#BemEstar #ImpactoSocial #liberdade
#qualidadedevida https://t.co/AcV9t01KP1</t>
  </si>
  <si>
    <t>tatunotoco
#empreendedorismo 🦅🇺🇲 "'Não
precisa ser rica pra fazer filantropia',
diz brasileira que já doou US$
6 milhões a ONGs Katia Francesconi
cria fundação para captar recursos
entre milionários americanos para
projetos sociais no Brasil" https://t.co/GiGVa2g2PQ</t>
  </si>
  <si>
    <t>jandertabosa
Gosto muito de vendas pelo WhatsApp.
Colocar anúncio para o mesmo cair
no whats e vender é bem legal.
#empreender #empreendedor me segue
aqui para mais dicas 😉</t>
  </si>
  <si>
    <t>3079destilados
Quem mora no medo nunca vai conhecer
o extraordinario! #empreendedorismo
#drinks #amazonia</t>
  </si>
  <si>
    <t>danielramicazzi
#empreendedorismo https://t.co/nhysMdqPuQ
- 💳 Pessoal vocês tem até 10%
de desconto ao adquirir a maquininha
do Ton - Garanta já a sua ! Serão
poucas unidades disponíveis por
esse valor... E Nós contamos com
as "MENORES TAXAS DO MERCADO" 💸💳💰</t>
  </si>
  <si>
    <t>machadodb_
Infelizmente aqui no twitter não
conseguimos desenvolver sobre este
assunto. Visite um canal alternativo
como instagram ou Linkedin para
ver a descrição completa do post
pelo https://t.co/08mabmpvpY #negocios
#consultoria #marketingdigital
#empreendedorismo #machadodb https://t.co/i5lMiDHsqD</t>
  </si>
  <si>
    <t>eujuliochaves
#sucesso #riqueza #empreendedorismo
#crescimento #frases #frasesinspiradoras
#frasesmotivadoras #frasesmotivacionais
#crescimento https://t.co/aFwywIBU6K</t>
  </si>
  <si>
    <t>dicasdeumadm
#doces #empreendedorismo #lucro
. Se inscreva no canal para mais
conteúdos📈📝🚀 💡 . . https://t.co/7WEwbIetR0</t>
  </si>
  <si>
    <t>tai_follmann
📚 Leia o artigo completo e eleve
sua marca a novos patamares! 👉
https://t.co/drRQRd6EB6 #Marketing
#Negócios #Empreendedorismo #Crescimento
#MarketingDigital #Sucesso #Inovação
#Dicas #SocialMedia #SEO</t>
  </si>
  <si>
    <t>digitalblack_
Você vende sua hora? 🤔 #blackrat
#fy #empreendedorismo https://t.co/EqzgSUZ3Nv</t>
  </si>
  <si>
    <t>thiagoithiro
#TBT do evento da semana passada:
Startups Fever #startups #evento
#empreendedorismo #startup #growth
#valuation #equity #venturecapital
https://t.co/mLGXdbwWI7</t>
  </si>
  <si>
    <t>matmitzz
#ConfiaNoProcesso #Empreendedor
https://t.co/H3tioyvp8I</t>
  </si>
  <si>
    <t>thiagomotaadv
@leonardo1opes Vou começar a vender
colheres de plástico na porta da
McDonald’s !! #empreendedorismo</t>
  </si>
  <si>
    <t xml:space="preserve">leonardo1opes
</t>
  </si>
  <si>
    <t>ludgerocontato
🚀 Inovação e Empreendedorismo
para Startups: Impulsione seu Potencial
de Sucesso 🚀#LudgeroAdvogados
#AssessoriaJuridica #Startups #Inovação
#Empreendedorismo #SucessoEmpresarial
#DireitoEmpresarial #ProteçãoIntelectual
#ComplianceRegulatório #EstratégiasLegais
https://t.co/PsRRm5UiCR</t>
  </si>
  <si>
    <t>alphagraphicsbr
📢 Descubra o Poder de Ser um Franqueado
AlphaGraphics! 🌟 Torne-se um Franqueado
AlphaGraphics hoje mesmo, acesse:
https://t.co/h45W8ItbD4 #AlphaGraphics
#FranqueadoDeSucesso #Empreendedorismo
#FaçaParteDessaHistória #FaçaParte
#GráficaDigital #GráficaRápida
#Depoimento https://t.co/Rnc0XAVvS6</t>
  </si>
  <si>
    <t>ricardo_matos_
"📲Testemunho do poder da tecnologia
e inovação. Franchisee da Bee Delivery🐝,
impactei minha cidade🏙️. Agora,
construtor🏗️ e apaixonado por
tech💻, a jornada só está começando🚀.
Vocês ouvirão falar de mim. #Empreendedor"</t>
  </si>
  <si>
    <t>elivansantos_18
O que você entende sobre mentalidade?
#mentalidade #empreendedorismo
#MarketingDigital</t>
  </si>
  <si>
    <t>iniav_ip
As candidaturas à 10ª edição do
Prémio Empreendedorismo e Inovação
Crédito Agrícola foram prolongadas
atá ao dia 14 de Julho. +info:
https://t.co/MqPVRlqnDc #CréditoAgrícola
#inovação #empreendedorismo https://t.co/wO64cCU59m</t>
  </si>
  <si>
    <t>itatiaiajf
https://t.co/TqVcXrYKze #itatiaiajf
#itasat #juizdefora #empreendedorismo
#jfsummit #acreditaevai</t>
  </si>
  <si>
    <t>quempodepodi
ENTREVISTA NESSA QUINTA DIA 31/08
#empreendedorismo #educação #podcast
#... https://t.co/lDY4Dmq1AE via
@YouTube</t>
  </si>
  <si>
    <t>gorn2023
✨ Powered by Sebrae #GORN2023 #StartupsdoRN
#SebraeLabNatal #Inovação #Empreendedorismo
#Networking #Oportunidades #SebraeRN</t>
  </si>
  <si>
    <t>danielemiliano
🤔 Será que o segredo para o sucesso
da sua empresa está em um blog
corporativo? Descubra o potencial
dessa estratégia e alcance novos
horizontes! 🚀 #MarketingDigital
#Empreendedorismo Leia mais: https://t.co/QraPasGG31</t>
  </si>
  <si>
    <t>plataformacda
Transforme sua paixão por comida
saudável em um negócio de sucesso!
Inscreva-se no Curso 'Monte seu
Negócio de Marmitas Fit' e conquiste
o mercado. Vem com a gente! 🍱💼
#MarmitasFit #Empreendedorismo
https://t.co/JysUUCFBiR https://t.co/4gyqmlos0T</t>
  </si>
  <si>
    <t>tapejaraexpo
🌱 Impulsione sua empresa no cenário
de inovação da Expo Tapejara 2024.
Seja um patrocinador e faça conexões
estratégicas para alavancar seus
negócios. #Empreendedorismo #ExpoTapejara
https://t.co/HuMc6K1yU3</t>
  </si>
  <si>
    <t>folettojuliana
"🚀 Trabalhando duro na minha startup
de tecnologia hoje! 💼💻 Amo ver
essa jornada de crescimento e aprendizado.
💪 #Empreendedorismo #StartupLife
#AprendendoAempreender"</t>
  </si>
  <si>
    <t>ghitswh_
➡️ Acesse o Link dɑ Bio. 👇 🌎
https://t.co/8SytnqBexY ✅ MARKETING
DIGITAL BUSINESS 🎯🚀 #losangeles
#brasil #london #france #spain
#italy #florida #germany #estratégia
#marketingonline #criativo #metas
#empreendedor #onegócio #sucesso
#Pequenosnegócios #dinheiro #vendas
https://t.co/UOukQc720x</t>
  </si>
  <si>
    <t>silwadigital
Nós somos o resultado dos nossos
desafios🚀 Com desafios grandes,
nos tornamos grandes. Com desafios
pequenos nos tornamos pequenos.
O que você está enfrentando? #business
#Negocios #empresas #empreendedorismo</t>
  </si>
  <si>
    <t>shannonwoo20449
RT @silwadigital: Nós somos o resultado
dos nossos desafios🚀 Com desafios
grandes, nos tornamos grandes.
Com desafios pequenos nos tornamo…</t>
  </si>
  <si>
    <t>riomaframix
#AnaCatarina Everton Stach compartilha
trajetória de empreendedorismo
na música 👈 Veja a entrevista
completa no site: https://t.co/ptNqeyLaj3
📸: Gabriel Becker #Entrevista
#Empreendedorismo #Música #Carreira
#GrupoMarcação https://t.co/2M8slHMUgv</t>
  </si>
  <si>
    <t>i_trentini
"Empreender é como voar rumo ao
desconhecido, onde as asas da coragem
e da resiliência nos impulsionam
além dos limites, transformando
sonhos em realizações." #Empreendedorismo
#Sonhos #Resiliência #Coragem https://t.co/E8ITQZYjdY</t>
  </si>
  <si>
    <t>bila_morena
https://t.co/3Z7z9oV6bp PROMOÇÃO
MAGALU #MAGALU #ONDECOMPRA #empreendedorismo
https://t.co/CDXXZ2t6Yh</t>
  </si>
  <si>
    <t>smart_citiespt
A cidade de Lisboa e a agência
@Lisboaenova foram escolhidas para
coordenar o projeto europeu @EUHUBIN,
que junta oito cidades europeias.
#smartcities #cidadesinteligentes
#lisboaenova #hubin #lisboa #inovação
#empreendedorismo #sustentabilidade
https://t.co/LepTUKGIEt https://t.co/8h33zIItGg</t>
  </si>
  <si>
    <t xml:space="preserve">soc_ponto_verde
</t>
  </si>
  <si>
    <t xml:space="preserve">novaempreende
</t>
  </si>
  <si>
    <t xml:space="preserve">euhubin
</t>
  </si>
  <si>
    <t xml:space="preserve">lisboaenova
</t>
  </si>
  <si>
    <t>dayanamazini
De olho no que está por vir por
aqui (e nas redes vizinhas) 👀#soluçãomtv
#empreendedorismo #edutainment
#RealityShow https://t.co/BB5TPduBlU</t>
  </si>
  <si>
    <t>rafaribeironet
Imagine você, #empreendedor, buscando
financiamento e fechando um contrato
de mútuo conversível com um #investidor,
quais cuidados você deve ter?</t>
  </si>
  <si>
    <t>izisfilipaldi
5 dicas que aprendi com o livro
"Coaching Habit" de Michael Bungay
Stanier para ajudar #lideres #liderança
#liderançatransformadora #liderançacolaborativa
#coaching #coachingdecarreira #carreira
#desenvolvimentopessoal #gestão
#trabalho #empreendedorismo</t>
  </si>
  <si>
    <t>eunaedson
Qual tipo de empresário você é?
O que você acha desses hábitos?
_ Se você qu3r aprender TUDO o
que você precisa saber para ganhar
muito dinheiro e mudar a sua vida
financeira para sempre, link no
perfil #marketingdigital #empreendertrasforma
#Empreendedorismo #marketing https://t.co/MX9EIvQWDM</t>
  </si>
  <si>
    <t>brasilia_radar
Comissão aprova projeto que incentiva
empreendedorismo no Brasil https://t.co/3ubkeRQHm8
#empreendedorismo #Negocios</t>
  </si>
  <si>
    <t>contatosbera
💰Quer transformar sua pesquisa
em uma ideia de negócio??? 🚀Este
minicurso é para você! Nosso convidado
é o Prof. Dr. Fábio Verruck, que
possui ampla experiência em administração
e é coordenador de desenvolvimento
de novos negócios da UCS #inovação
#empreendedorismo #startup https://t.co/Rd0Fz29YGF</t>
  </si>
  <si>
    <t>designergaby06
Foto de respiro #twitter #dia #divertido
#seguidor #energiapositiva #fe
#sigodevolta #brazil #estilo #pensamentopositivo
#natureza #esperança #love #autoestima
#frasesinspiradoras #alegria #luz
#deusnocomando #tbt #energia #empreendedorismo
#moda #sejaluz #para #como https://t.co/RwK3dq9upT</t>
  </si>
  <si>
    <t>aleatoriando_o
Descubra opções de investimentos
para alavancar o sucesso do seu
negócio. Saiba mais: https://t.co/btnZMO4eZz
#empreendedorismo #estratégias
#finanças #investimentos #sucesso</t>
  </si>
  <si>
    <t>mindlabcast
SOMOS 60k no YouTube! 🤩 Agradecemos
à todos que nos acompanham por
aqui e pelo nosso canal no YouTube.
#podcast #mindset #empreendedorismo
#mindlab https://t.co/JbvNkY6s7B</t>
  </si>
  <si>
    <t>olavoauemidia
Logotipo é a imagem da sua empresa
no mercado, apareça! #logotipo
#identidadevisual #logo #design
#designer #logomarca #branding
#marca #publicidade #marketing
#marketingdigital #propaganda #brand
#art #criatividade #papelariapersonalizada
#empreendedorismo https://t.co/X9rfT3eMCv</t>
  </si>
  <si>
    <t>acccancercenter
👉 Neste ano, faremos história
mais uma vez. Traga o seu projeto
e contribua para o futuro de soluções
oncológicas: https://t.co/rLYVYYEDEQ
#PrêmioInovaçõespelaVida #ACCamargoCancerCenter
#EspecializadoemVida #Oncologia
#SaudeOncologica #empreendedorismo
#projetosinovadores</t>
  </si>
  <si>
    <t>hss_vendamais
👉 leia na íntegra:https://t.co/fN6n0ZZfhT
#b2b #business #conhecimento #crm
#curso #empreendedorismo #eventos
#hss #negocios #sucesso #treinamento
#vendas https://t.co/cqkhY6Jzsh</t>
  </si>
  <si>
    <t>nelberezende
Gratidão a nossa Idealizadora @coachviviancarla
@conexaodelasoficial @casa432rosa
@versospersonalizados @regianeleitemk
@hugofariasfotografia A todas as
mulheres Empreendedoras vencedoras
no seu empreendimento.. #empreendedoras
#empreendedorismo #mulheresempreendedoras
https://t.co/cR56nVmHtf</t>
  </si>
  <si>
    <t>fc_ul
Esta 4.ª feira o @teclabs recebeu
a visita de uma comitiva de representantes
da Assembleia Legislativa do Estado
de #Goiás, #Brasil. 🇧🇷 @assembleiago
@PortugalVenture A visita teve
como objetivo conhecer o ecossistema
de #empreendedorismo e #inovação
nacional. 💼 https://t.co/HE1qpS4vh3</t>
  </si>
  <si>
    <t xml:space="preserve">portugalventure
</t>
  </si>
  <si>
    <t xml:space="preserve">assembleiago
</t>
  </si>
  <si>
    <t xml:space="preserve">teclabs
</t>
  </si>
  <si>
    <t>wyzalecx
@gabriehnb vai na fé #empreendedor</t>
  </si>
  <si>
    <t xml:space="preserve">gabriehnb
</t>
  </si>
  <si>
    <t>eufelipeacosta
RT @ForbesBR: #HenryFord foi um
#empreendedor e engenheiro mecânico
norte-americano e o fundador da
Ford Motor Company. Foi a partir
da ind…</t>
  </si>
  <si>
    <t>ipforce_telecom
#ipforce #concorrência #empreendedorismo
#empreendedores #PIN #pabxvirtual
#pabxinteligente #telefonia #telefoniaip
#voip</t>
  </si>
  <si>
    <t>leopuglia
Qual é a realidade do empreendedorismo
no Brasil? O empresário Gustavo
Machado e o economista Guilherme
Vasconcelos respondem ao Primo
Rico, Thiago Nigro, e comentam
dados sobre os brasileiros que
vivem de negócios. Assista clicando
📷 https://t.co/lrBfMnuqap #empreendedorismo
https://t.co/JRrwVN2tlx</t>
  </si>
  <si>
    <t>visaooeste
Prefeitura de Osasco realiza edição
do Oz Valley direcionado às empreededoras
#EmpoderamentoFeminino #empreendedorismo
#mulheres #networking #OzValley
https://t.co/1mWD4n4bOM</t>
  </si>
  <si>
    <t>tiagotmr_7
Matéria: https://t.co/ooHWQM8XMT
#empreendedorismo #empreendedorismouniversitario
#minasgerais #ufvjm</t>
  </si>
  <si>
    <t>rfmh_design
Projeto de Identidade Visual para
a Apercom consultoria comportamental.
@apercom.consultoria #identidadevisual
#logotipo #logomarca #empreendedorismo
#emprendedores #coach #coaching
#logo #designergrafico #designer
#graphicdesign https://t.co/ncgQsZIUT7</t>
  </si>
  <si>
    <t xml:space="preserve">apercom
</t>
  </si>
  <si>
    <t>rferreirasbc
https://t.co/FCCi8bSyKw #maturi
#festival #trabalho #empreendedorismo
#networking #oficinas #workshop
#palestras https://t.co/LwsYGARJTI</t>
  </si>
  <si>
    <t>mvpd14
Não perca o novo vídeo no meu canal
do YouTube, onde explico os motivos
por trás dessa decisão impactante
do empresário mais famoso do mundo!
🌍 https://t.co/5UVnCaAJUC via
@YouTube #ElonMusk #Twitter #Curiosidades
#Tecnologia #Empreendedorismo #XTwitter
#Inovação #VídeoNovo</t>
  </si>
  <si>
    <t>bemmercearia19
Quarta-feira com um pouquinho de
humor, e reflexão... NÃO, JAMAIS,
NUNQUINJA desista dos seus sonhos!
🙏 "Tudo parece ser impossível
até que seja feito" #humor #comedia
#empreendedorismo #reflexão #quartafeira
#fy #fyp #viral #humorado #emalta
https://t.co/cZPpBnuMeu</t>
  </si>
  <si>
    <t>inovahcfmusp
Resultado do programa #incube já
disponível! Acesse para conferir
a lista completa dos selecionados:
https://t.co/PmThfPKq8P Prepare-se
para uma jornada de #inovação sem
igual! #inovahc #hcfmusp #incube
#empreendedorismo #saude https://t.co/H7ArnnDgyi</t>
  </si>
  <si>
    <t>starbetsrj
Está chegando a hora meus amigos,
estão preparados para colocar o
pé no acelerador ? Nessa sexta
feira live ao vivo via 2023 começou
e o caminho do green está aqui
na starbets 💫 #dinheiro #rendaextra
#apostasesportivas #bet365 #dubai🇦🇪
#dubaimall #dubai #empreendedorismo
https://t.co/zZknLfyUVw</t>
  </si>
  <si>
    <t>sellabvarejo
É importante ressaltar que essas
atitudes podem ser desenvolvidas
ao longo do tempo e melhoradas
com a experiência. Entenda mais
sobre as atitudes essenciais para
todo empreendedor acessando nosso
site: https://t.co/FmoqoSKJCC #empreendedorismo
#atitudesempreendedoras https://t.co/MoTAnNZeo6</t>
  </si>
  <si>
    <t>kamba_rico
Oportunidade para mulheres empreendedoras
https://t.co/uEpZJV2kZM #empreendedorismo</t>
  </si>
  <si>
    <t>pedrocontreira5
Aprender a empreender esse é o
negócio. #financial #technology
#empreendedorismo</t>
  </si>
  <si>
    <t>suzanavalerios
Projeto Movimenta Empreendedor
do SEBRAE passou por Itapetininga
essa semana. #empreendedor #sebraesp
#networwing #empreendedora https://t.co/Kcq8evILdO</t>
  </si>
  <si>
    <t>prospeconomica
#economia #livremercado #empreendedorismo
#inovacao #criatividade Soluções
reais não estão no poder político,
mas nas forças do livre mercado.
Murray Rothbard https://t.co/gbziFtxSId</t>
  </si>
  <si>
    <t>jubslingeries
conjunto ayla❤️‍🔥 . . . . #lingerie
#modaintima #lojaonline #empreendedorismo
https://t.co/4M5nAyqMXW</t>
  </si>
  <si>
    <t>imovinvestbr
TIJUCA - SALA COMERCIAL - PRÓXIMO
AO METRÔ E PRAÇA SAENS PENA - MELHOR
LOCALIZAÇÃO EXCELENTE CONDOMÍNIO
Contato: (21)96785-8342 / (21)98232-8811
#Tijuca #imóveis #salacomercial
#médicos #odontologia #clinica
#RiodeJaneiro #RIO #copacabanapalace
#empreendedorismo #rj #rjtv https://t.co/qBX3YrA1kU</t>
  </si>
  <si>
    <t>claudiasouzaad
Descubra como vender mais com os
anúncios online #venda #vendas
#negocio #negocios #empreendedor
#empreender #empresa #anuncio https://t.co/6YZ00sckQ1</t>
  </si>
  <si>
    <t>daniel_consig
Não existe crise que resista a
10 ligações por dia! Vende mais,
quem liga mais! #empreendedorismo
#business #motivacional #vendas
#vendedor</t>
  </si>
  <si>
    <t>douglaswebp
📦💡 Se você tem ideias brilhantes,
não deixe-as na inércia da caixa!
Liberte sua criatividade e coloque-as
em ação. O mundo precisa das suas
inovações! 🚀💼 #Criatividade #Inovação
#Empreendedorismo #Ação #Transformação
#OuseInovar #IdeiasBrilhantes #NegóciosInovadores
https://t.co/selTBBlc41</t>
  </si>
  <si>
    <t>cdlsaocaetano
Desejamos um excelente dia a todos
os profissionais que fazem a economia
girar, é um dia para nos orgulharmos
de nossas conquistas! 👏🏻💙 #cdlsãocaetano
#CDL #DiaDoComerciante #Comerciantes
#Comércio #Varejo #Empreendedorismo
#Negócios https://t.co/Vaf3KOkrpv</t>
  </si>
  <si>
    <t>ogabrielaugust
"Não comecem e parem. Continuem
a subir em ritmo constante. Sejam
a tartaruga e não a lebre" Jeff
Bezos Adquira o livro AMAZON SEM
LIMITES, acesse: https://t.co/gbDuMGM4pM
#amazon #Jeff #jeffbezos #livros
#empreendedorismo #trechos</t>
  </si>
  <si>
    <t>conceitoking
Prepare-se para a revolução! No
dia 16/10/2023, a CONCEITO KING
chega para redefinir o jogo. 👑
#conceito #king #sucesso #inspiração
#lançamento #conquista #sonhos
#empreendedorismo #foco #empowerment
https://t.co/FbjRBGZGhz</t>
  </si>
  <si>
    <t>tagusvalley_pt
“O sucesso é a soma de pequenos
esforços repetidos dia após dia.“
- Robert Collier . . . . #TAGUSVALLEY
#Parque #Empreendedorismo #Esforços
#TAGUSVALLEY #Abrantes #Parque
#Ciencia #Tecnologia https://t.co/KbyhhUA501</t>
  </si>
  <si>
    <t>rodrigoklyngerr
#Empreendedorismo | Ao todo são
459 atividades classificadas como
de pequeno porte e baixo risco
passam a atender as novas regras
do licenciamento simplificado e
autodeclaratório</t>
  </si>
  <si>
    <t>blogdoklyngerr
#Natal | Empresas de pequeno porte
já podem usar as novas regras do
licenciamento autodeclaratório
https://t.co/G67Vchzo2X</t>
  </si>
  <si>
    <t>viniciu80206889
#empreendedorismo #cursosonline
https://t.co/qUvAOpiMLD</t>
  </si>
  <si>
    <t>portalsbn
10 técnicas para tornar o ambiente
empresarial mais produtivo, segundo
especialista #EMPREENDEDORISMO
https://t.co/bwiMH0wDnl</t>
  </si>
  <si>
    <t>anabrazilkorea
Nossa Fotógrafa de hoje ❤️📸📷
#Work #Empreendedorismo https://t.co/4FkVYq1e68</t>
  </si>
  <si>
    <t>eseg_oficial
Participe da #palestra "Transformando
Não em Sim" com a Dra. Carla Sarni,
holding de empresas como Sorridents,
GioLaser e Olhar Certo, em um evento
especial sobre #empreendedorismo.
📷 As inscrições são gratuitas
e as vagas limitadas. https://t.co/U5wvy5Dkpx
https://t.co/o1Ig7ywVEc</t>
  </si>
  <si>
    <t>mpsrobotica
Chegamos aos 5 anos e temos muito
a comemorar Ganhamos clientes,
mas, sobretudo, fizemos amigos
e parceiros que reconhecem o resultado
desta jornada. #mpsrobotica #5anos
#aniversario #empresa #empreendedor
#timedevalor #valores #sucesso
#trabalho #parcerias #futuro https://t.co/zAv45zk1jk</t>
  </si>
  <si>
    <t>grupoadvanced
Abrir uma empresa é um grande passo,
por isso, é normal sentir medo.
Faça uma avaliação de riscos minuciosa
e deixe alternativas engatilhadas
para lidar com esses riscos. 📲
(85) 98552-6200 ☎️ (85) 3265-6200
#contabilidade #empreendedor #empresa
#Ceará #grupoadvancedce https://t.co/eJKdYOSI7W</t>
  </si>
  <si>
    <t>lojazerodoze
O nosso Curso MPA - Meu Perfil
Atrativo foi pensado para alavancar
sua marca no mundo digital. Aprenda
técnicas incríveis e impulsione
o seu negócio com mais de 20 horas
de conteúdo aplicável. 🚀💻 #CursoMPA
#EstratégiasDigitais #Empreendedorismo</t>
  </si>
  <si>
    <t>andersonexpo5
#empreendedorismo #empreendedor
#negócios #negocios #donodenegócio</t>
  </si>
  <si>
    <t>gustavo25867079
Nome do Instagram: @gustavocamposguize
Nome do canal no YouTube: O Almanaque
Financeiro #trabalhovsnegócio #empreendedorismo
#gestãodenegócios #finanças #planejamentofinanceiro
#investimentos #educaçãofinanceira
#negócios https://t.co/7h9jaT9G3h</t>
  </si>
  <si>
    <t>turankurnaz
RT @Gustavo25867079: Nome do Instagram:
@gustavocamposguize Nome do canal
no YouTube: O Almanaque Financeiro
#trabalhovsnegócio #empreend…</t>
  </si>
  <si>
    <t>maiconalberttt
Fale comigo! https://t.co/cyQP5RhFv6
#marketing #liderança #líder #empreendedorismo
https://t.co/nexiaqKXN6</t>
  </si>
  <si>
    <t xml:space="preserve">jedsoncalvi
</t>
  </si>
  <si>
    <t>thalesbrandao
Ontem, passei por uma experiência
incrível com um mecânico super
atencioso! Mesmo com meus filhos
e um carro quebrado, ele priorizou
meu atendimento, encontrou a peça
mais em conta, consertou, testou
e até me mandou uma mensagem à
noite. Fidelizou! #marketing #empreendedorismo</t>
  </si>
  <si>
    <t>fgaugustus
Emissão de Notas Fiscais: Você
deverá emitir notas fiscais para
os serviços prestados, seguindo
as regulamentações fiscais e tributárias.
4... #Contabilidade #Finanças #GestãoFinanceira
#ContabilidadeEmpresarial #Impostos
#Contador #Empreendedorismo #Auditoria
#SimplesNacional</t>
  </si>
  <si>
    <t>afropython
Nós, apresentamos a Oficina “Odisseia
Ancestral” onde a conexão com a
jornada antepassada através dos
búzios nos mostrou um outro olhar
sobre código. #ArenaBlackRocks
#Afrofuturismo #Inovação #Empreendedorismo
#Startups #SãoPaulo #Tecnologia
#Programação #Oficina #BlackInnovation
https://t.co/k4h1YCL6ES</t>
  </si>
  <si>
    <t>juliomj85
Se você tem um #MEI em alguma #favela
ou #comunidade do estado do #Rio,
participe do projeto de forma totalmente
gratuita, e com o suporte de especialistas,
aumente o lucro da sua empresa.
Inscreva-se. @sebraerj https://t.co/kODXxSK2tX
#Sebrae #govrj #PartidoNovo #empreendedor
https://t.co/YrBZOddSE2</t>
  </si>
  <si>
    <t>regivnia4
Desculpe... Oito letras que podem
mudar o rumo de duas vidas. #a
#coaching #sonhos #empreendedorismo
#persistente #desculpas #o</t>
  </si>
  <si>
    <t>lucianojap77
2 PODEROSAS técnicas para MELHORAR
seu carisma #sucesso #motivação
#foco #vida #empreendedorismo https://t.co/IGoKd6url2</t>
  </si>
  <si>
    <t>q_assist
Analise seus gastos detalhadamente
Negocie com fornecedores 🤝 Automatize
processos com tecnologia Reduza
custos, maximize lucros e fortaleça
sua empresa! 💼 #ReduçãoDeCustos
#EficiênciaFinanceira #GestãoFinanceira
#NegóciosSustentáveis #Empreendedorismo
https://t.co/Uq2pgXBKgt</t>
  </si>
  <si>
    <t>elianenramin
🌟 Quer conhecer a história inspiradora
por trás do sucesso do KFC e descobrir
como o frango frito se tornou uma
jornada de realizações aos 62 anos?
#adolescentevintage #empreendedorismo
#KFC #frangofrito https://t.co/53DFUcs7KI</t>
  </si>
  <si>
    <t>acese_
Comece a semana saindo da sua zona
de conforto e buscando seu progresso.
#BomDia #Acese #Empreendedorismo
#Aracaju #Sergipe https://t.co/XMnBTa2dVf</t>
  </si>
  <si>
    <t>gabriel87737044
OPA REDE! VOCÊ QUE PRECISA DE UMA
ASSISTENTE VIRTUAL PARA CUIDAR
DO SEU DIA A DIA! CASO NÃO PRECISE
ME AJUDE A DIVULGAR? #empreendedorismo
#maede03 #networking #empresas
https://t.co/s9xVNgNhBy</t>
  </si>
  <si>
    <t>noticenter
Na última semana, o Sebrae/SC lançou
o programa Cidade Empreendedora
no município de Irani. 🔗 Saiba
mais: https://t.co/UzfahqQtq9 #noticenter
#NotíciasSC #empreendedorismo #SebraeSC
#irani #santacatarina https://t.co/Aw5BlImw44</t>
  </si>
  <si>
    <t>androidfinal
Como você se prepara para se tornar
um empreendedor online? #Notícias
#como #empreendedor #Online #para
https://t.co/w8v03VjqMb</t>
  </si>
  <si>
    <t>instpropague
Descubra a importância de um plano
de negócio para gerenciar melhor
e obter melhores resultados para
a sua empresa. Assista ao episódio
completo no nosso canal do Youtube:
https://t.co/NWPzFlb4Kb #empreendedorismo
#planodenegocios https://t.co/L4fGH7OYd8</t>
  </si>
  <si>
    <t>giovaniaandre
O segredo para ganhar dinheiro
está em encontrar uma maneira de
resolver os problemas das pessoas.
💡💸 #Motivação #Empreendedorismo
#Renda</t>
  </si>
  <si>
    <t>eumarlussantos
Vamos falar sobre empreendedorismo?
Um espaço p/ aprendermos juntos,
Empreendedores! Siga-me os bons:
https://t.co/bIoTo3tS0X #empreendedorismo
https://t.co/3JD9E4ou6y</t>
  </si>
  <si>
    <t>sandriellysan20
Você deseja se tornar um especialista
em vendas de produtos e serviços
digitais? Esta buscando uma forma
de impulsionar seu negócio? https://t.co/00Kum4IGmn
#infoprodutos #marketingdigital
#empreendedorismo #afiliados #vendasonline
#produtosdigitais #rendaextra #homeoffice
https://t.co/xQCEY2Upo2</t>
  </si>
  <si>
    <t>ashentharakag
Norway to fine Meta nearly $100,000
a day over data use. #meta #o #villavicencio
#foco #n #colombia #a #bogota #metaverse
#medellin #cali #nft #barranquilla
#objetivo #cartagena #instagram
#cucuta #santamarta #pereira #facebook
#yopal #sucesso #casanare #empreendedorismo
https://t.co/JWp1NrvKji</t>
  </si>
  <si>
    <t>henrikubota
Ontem pegamos uma estradinha de
carro e colocamos alguns podcasts
e aulas em dia. Essa frase foi
citada pela @profluciahelenagalvao
no @ossociospodcast. Ter esperança
é excelente! Mas sem ação, ela
não adianta nada! @ro_organiza_
#valorespessoais #empreendedorismo
https://t.co/RgMxNmDUkz</t>
  </si>
  <si>
    <t>eupaulateles
“Se as pessoas te abandonarem é
porque elas estão vendo que não
podem crescer junto com você”.
#insights #empreendedorismo Paiffer</t>
  </si>
  <si>
    <t>newsfranchising
#empreendedorismo #MarkZuckerberg
https://t.co/MJEy2fDLpm</t>
  </si>
  <si>
    <t>humansnocontext
https://t.co/8cMpNX8cVr</t>
  </si>
  <si>
    <t>tottysouza
#empreendedorismo</t>
  </si>
  <si>
    <t>portalsigamais
https://t.co/rQPzooGTNl Proposta
precisa ser aprovada pelo Congresso
Nacional. Se a mudança ocorrer,
teto mensal de faturamento para
o MEI será de R$ 12.076,00. #Negócios
#MEI #Empreendedor #SigaMais</t>
  </si>
  <si>
    <t>joselucasstz
O quanto nos conectaríamos pela
internet se não houvessem barreiras
linguísticas? Acesse: https://t.co/3X5LTV6sCd
#internet #tecnologia #comunicação
#brasil #inovação #marketing #publicidade
#marketingdigital #technology #propaganda
#empreendedorismo #design #informatica
https://t.co/pnLTL50Ipe</t>
  </si>
  <si>
    <t>kleysller
Ovo cozido em barras - E aí? Vai
experimentar? #culinaria #novidade
#inovador #ovo #cozinha #chef #restaurante
#patente #empreendedorismo #empreenda
#empreender https://t.co/QpfYyLmBa3</t>
  </si>
  <si>
    <t>oelberdomingos
Aprenda a forma correta de criar
automações - como funciona o pensamento
por trás da montagem dos processos.
Acesse meu cana no YouTube para
assistir https://t.co/wnZsC9KUxb
#automação #nocode #empreendedorismo
#negocios https://t.co/rKoH1MynBt</t>
  </si>
  <si>
    <t xml:space="preserve">botafogo
</t>
  </si>
  <si>
    <t xml:space="preserve">centelhabr
</t>
  </si>
  <si>
    <t xml:space="preserve">fundacaocerti
</t>
  </si>
  <si>
    <t xml:space="preserve">banrisul
</t>
  </si>
  <si>
    <t xml:space="preserve">sofisadireto
</t>
  </si>
  <si>
    <t xml:space="preserve">cresol_coop
</t>
  </si>
  <si>
    <t xml:space="preserve">acatesc
</t>
  </si>
  <si>
    <t>ufrnbr
#Empreendedorismo | Empresa vinculada
ao programa de incubação do Parque
Tecnológico Metrópole Digital,
do @metropoledigi, recebe investimento
da maior aceleradora independente
do Brasil. + https://t.co/MO1YdeWzX6
https://t.co/UNVJ11EACc</t>
  </si>
  <si>
    <t>ricardoutsider
Fala herdeiro(a), Bora fazer acontecer…
Vou documentar minhas vitórias
e derrotas… Focando nos assuntos:
#negocios #marketing #empreendedorismo
Sua missão: 👇+❤️+RT https://t.co/9HdDxrv3AH</t>
  </si>
  <si>
    <t>leao_alexandre
Quem puder seguir a página da minha
marca no Instagram, da uma moral
aí. Quem sabe se tornar um cliente.
Confecção própria, camisetas 100%
algodão, malha menegotti, algodão
sustentável, qualidade Premium.
#donodemarca #mei #empreendedorismo
#013 https://t.co/iVVFWjrsn4</t>
  </si>
  <si>
    <t>iconeeditora
COMO ABRIR UMA EMPRESA Autor(a):
Paulo Cordeiro #Empreendedorismo
#Negócios #SucessoEmpresarial #Startup
#GestãoEmpresarial #Empreender
#PlanoDeNegócios #Empreendedor
#PequenasEmpresas #EmpreendedorismoDigital
#NegócioPróprio #EmpreendedorismoBrasil
#EstratégiasDeNegócios https://t.co/ZIIni6su7e</t>
  </si>
  <si>
    <t>rtpnoticias
O concelho de #Famalicão venceu
um prémio europeu de #empreendedorismo,
pela capacidade de atrair e fomentar
investimento. É o reconhecimento
de um trabalho longo e que envolve
toda a sociedade. #RTPNotícias
#RTP https://t.co/gSkn0yghM5</t>
  </si>
  <si>
    <t>dvitoroficial
ATITUDES ousadas, provem uma vida
de REALIZAÇÕES! https://t.co/KsLYOy0toi
#AtitudeQueRealiza #Empreendedorismo
#EmpreendedorismoDigital #Hotmart
#Kiwify #MarketingDigital #LiderançaDeExcelênciaEm10Passos</t>
  </si>
  <si>
    <t>b2h_marketing
Para crescer e ir adiante, abrir
a mente é o primeiro e mais importante
passo. 🚀 #b2hmarketing #agenciademarketing
#publicidade #redacaopublicitaria
#marketingdigital #empreendedorismo
#estratégia #instagrammarketing
#maceioalagoas #marketingdigital
#marketingestratégico https://t.co/qIixy1Ziy9</t>
  </si>
  <si>
    <t>aguaminalinda
Dia do Comerciante A Água Mineral
Minalinda parabeniza todos os comerciantes
pelo seu dia! Vocês são os responsáveis
por movimentar a economia e proporcionar
produtos e serviços essenciais
para a sociedade. #marketingdigital,
#marketingonline, #branding, #empreendedorismo,
https://t.co/yYPF8IHLHN</t>
  </si>
  <si>
    <t>empreendertv
Como você definiria o impacto do
empreendedorismo na sociedade?
🔥🎯 . . . #CanalEmpreender #Sebrae
#empreendedorismo #negócios #estratégias
https://t.co/oKrVBnBafQ</t>
  </si>
  <si>
    <t>sitetnonline
O programa dá desconto na taxa
anual de juros para mulheres empreendedoras
que sejam sócias ou proprietárias
de pequenos negócios #empreendedorismo
#bancodamulher #tnonline https://t.co/cCHzT24ip8</t>
  </si>
  <si>
    <t>prefcg
O #PrefCG com vc de hoje vai destacar
o potencial econômico de Campo
Grande, com geração de emprego
e renda, além das oportunidades
de crescimento e desenvolvimento.
Confira! #campograndems #empregoerenda
#empreendedorismo #CapitaldasOportunidades
https://t.co/8okRmRf30C</t>
  </si>
  <si>
    <t>digitalbussin
Não perca tempo, aprenda a ter
uma renda extra apenas com o celular.
#Marketingdigital #empreendedor
https://t.co/OgFa7LO4Xd https://t.co/edfYV8wck0</t>
  </si>
  <si>
    <t>moneyiinvest
https://t.co/tEwq9IFTG0 #empreendedor
#MEI</t>
  </si>
  <si>
    <t>pedroconda87
Apesar desafios, a África Austral
também oferece oportunidades significativas
em setores como recursos naturais,
agricultura, tecnologia da informação
e turismo. #Angola #Luanda #Cazenga
#Viana #Empreendedor #Formação
#Educação #Competências #Habilidades
https://t.co/YzSzwc1KgH</t>
  </si>
  <si>
    <t>_podebem
Sejam bem vindos, a casa é sua.
Podebem é a casa de todo brasileiro
que mora fora do Brasil ou pretende
morar e quer conhecer mais sobre
outros brasileiros que já empreenderam.
#imigranteempreendedor #empreendedorismo
#brasileironocanada #empreendedorbrasileiro
https://t.co/iqcCktgUnn</t>
  </si>
  <si>
    <t>luisnamura
Feliz Dia do Cliente! 🎉🎁 #DiaDoCliente
#Cliente #Empreendedorismo #ComoEmpreender
#NegócioDeSucesso #LuisNamura</t>
  </si>
  <si>
    <t>felipegodoy
Criciúma é show! 🤜Quase 600 empresas
abertas em Criciúma somente em
junho 🤜Em Seis meses - 3,4 mil
novos negócios 🤜Junho - 1.648
novos empregos #criciuma #Empreendedorismo
#Negócios #Sucesso #Empreender
#Inovação #Startups #Estratégia
#Gestão #Liderança #Oportunidades
https://t.co/rUR8i41MGQ</t>
  </si>
  <si>
    <t>sofiaresolve
Acordando cedo, café quentinho
e pronta pra encarar mais um dia
de desafios! 💪 #Empreendedorismo
#TrabalhoÁrduo https://t.co/V53mCxKV4d</t>
  </si>
  <si>
    <t>aciaanapolis
Vem aí a EXPO ANÁPOLIS 2023 Mais
Informações Acesse https://t.co/Vm0uqR3jW8
#anapolis #empreendedorismo #feira
#industria #comercio #servicos
#acia #aciaanapolis https://t.co/DybtAudfiK</t>
  </si>
  <si>
    <t>metropoledigi
RT @ufrnbr: #Empreendedorismo |
Empresa vinculada ao programa de
incubação do Parque Tecnológico
Metrópole Digital, do @metropoledigi,
rece…</t>
  </si>
  <si>
    <t>pptnaocompila
#Investimento #Podcast #Startups
#Investimento #Tecnologia #Empreendedorismo
Spotify: https://t.co/sW0pdMio9a
Youtube: https://t.co/3e072d2ZGr
Outras plataformas: https://t.co/HXe88h2hrU
https://t.co/gei3ZEGQqI</t>
  </si>
  <si>
    <t>diogenes1608
Deixa o like se curtiu e não esqueça
de seguir e compartilhar para mais
conteúdo de qualidade! #empreendedorismo
#gestãodepessoas #dinheiro #negócios
#sucesso #marketing</t>
  </si>
  <si>
    <t>niavitic
Parabéns @ACIRS pelos 78 anos de
atuação em prol do #desenvolvimento
do Alto Vale! 👏 Seguimos juntos
criando #conexões para fortalecer
as empresas e lideranças da nossa
região. 🤝 #acirs #empreendedorismo
#altovale #sc https://t.co/NgvlcyQ6qF</t>
  </si>
  <si>
    <t xml:space="preserve">acirs
</t>
  </si>
  <si>
    <t>negimarjr
Com muito carinho, anúncio o lançamento
do livro: “O caminho do empreendedor”.
Vou contar um pouco da minha história
nesse projeto. Você não pode perder!
Não vejo a hora desse dia chegar!
🙏🏻🙌🏻 #junior #empreendedor
#empresario #livro#São Paulo https://t.co/DmjvD80y7p</t>
  </si>
  <si>
    <t>biscaromaia
#empreendedorismo https://t.co/quSvSB92JS</t>
  </si>
  <si>
    <t>cbcardoso01
Estamos vivendo em um emocionante
momento da humanidade. A IA está
revolucionando todos os setores
e negócios, reinventando tudo com
IA generativa e modelos inovadores.
🚀🌐 #IA #Inovação #Empreendedorismo"</t>
  </si>
  <si>
    <t>bi4all_official
💥MARKETING ELEVATION SUMMIT! 🗓28
a 31 de Agosto de 2023 | 19h às
23h ⚡️Junte-se a nós e mergulhe
em dezasseis palestras inspiradoras
que o irão levar a um patamar de
excelência. ▶️Saiba mais aqui:
https://t.co/p86X9xYnjj #MarketingElevationSummit
#Marketing #Empreendedorismo</t>
  </si>
  <si>
    <t>robsonpenha86
#sigaoprotocolo #protocolodesegurança
#segurança #empreendedorismo</t>
  </si>
  <si>
    <t>renanlimaads
Empreendedor, celebre suas conquistas,
por menores que sejam. Cada passo
em direção aos seus objetivos é
uma vitória no caminho para o sucesso.
#Empreendedorismo #CelebreSuasConquistas</t>
  </si>
  <si>
    <t>jornaldaki
Comemore suas pequenas vitórias
- Por Patrícia Mattos #JornalDaki
#TendênciaseDebates #BolsadeNegócios
#Empreendedorismo #Feminismo #PatríciaMattos
https://t.co/8HCYQPa65b</t>
  </si>
  <si>
    <t>fatimashaikh73
“Do the right thing as marketers
to build trust.” #digitalmarketing
#bhfyp #tiktok #business #entrepreneur
#success #smallbusiness #money
#marketing #graphicdesign #brand
#branding #facebook #digital #marketingdigital
#socialmedia #entrepreneurship
#empreendedorismo https://t.co/xyvXRKoFEC</t>
  </si>
  <si>
    <t>klebyston
Creditos: #falajoaobranco #marketing
#vendas #gestão #empreendedor #negocios
#business https://t.co/nzfp8MIvoT</t>
  </si>
  <si>
    <t>raf_sobrehomem
Empreendedor solo? Dica #1: Automatize
TUDO possível. Tempo é valioso.
Economize 1 hora diária com tecnologia
- soma. Concentre-se em construir
seu negócio. Deixe o software lidar
com tarefas manuais. #Empreendedorismo
#Automatização</t>
  </si>
  <si>
    <t>_itsmeantonio
Conheça a história de Sidney Frank:
https://t.co/iFunpoS9Lc #empreendedorismo
#podcast #empreender</t>
  </si>
  <si>
    <t>anatolyquest
https://t.co/e1CL6gkR2d #spiderman
#empreendedorismo #tecnologia #amor
#tbt #aula #curso #ebook #homem
#mulher #amor #sucesso #mais #vendido
#servico #trabalhae #viralvideo
https://t.co/klaUyEGNiW</t>
  </si>
  <si>
    <t>focusjor
📈💰 Descubra o segredo para transformar
seguidores em clientes e monetizar
seu Instagram como nunca imaginou!
🔗 Clique no link da bio do @sebraece.
Não fique de fora dessa oportunidade
única de transformar seu negócio!
#sebraece #empreendedorismo #redessociais
https://t.co/5VGPfscWRi</t>
  </si>
  <si>
    <t xml:space="preserve">sebraece
</t>
  </si>
  <si>
    <t>pedroh_mrtns
💡 Dropshipping + Mindset = Sucesso!
🚀 Acredite em si mesmo e em seu
negócio para alcançar resultados
incríveis! 💼💪 #Empreendedorismo
#DicasDeNegócios #MarketingDigital</t>
  </si>
  <si>
    <t>icothomaz
O empresário deve conhecer seu
negócio de ponta a ponta ! #empreendedorismo
#empreender https://t.co/zkrrYVgxPG</t>
  </si>
  <si>
    <t>95gospel_ofc1
A bíblia é repleta de promessas,
se você der ouvidos ao espírito
irá encontrar uma promessa você
tbm. #Biblia #BibliaSagrada #Empreendedorismo
https://t.co/faAHHOmK6Y</t>
  </si>
  <si>
    <t>bphub1
🌟Na nossa jornada, aprendemos
que o sucesso dos nossos clientes
é o que realmente importa. #Resultados
#SucessoDoCliente #CrescimentoGenuíno
#ParceirosDeNegócio #CompromissoComResultados
#Empreendedorismo #AlcanceSeusObjetivos
#TransformeSeuNegócio #SucessoNosNegócios
https://t.co/OmDftoppux</t>
  </si>
  <si>
    <t>criacaodesites9
Chegou mais uma semana para você
brilhar! Se o seu negócio ainda
está no anonimato digital, está
na hora de mudar isso. 💡✨Não deixe
sua marca escondida, mostre ao
mundo o que você tem a oferecer!
💪🌐 #negócio #empreendedorismo
#visibilidade #sucesso</t>
  </si>
  <si>
    <t>felixjrsilvaco1
Grandes oportunidades são criadas
diariamente!! Gerencie para o crescimento.
#empreendedorismo</t>
  </si>
  <si>
    <t>n3coworking
O lote vai virar! 🚀 Então corre
para garantir a sua vaga com valor
promocional na 1ª Escola de Empreendedores,
da N3. VAGAS LIMITADAS! ✅ Início
das aulas em Setembro. 📲 Link
na bio #negocios #empreendedorismo
#aceleradora #maceio #coworking
#escoladeempreendedores https://t.co/T27ien5bhk</t>
  </si>
  <si>
    <t>erikpenna
Uma missão de vida que encanta
e impulsiona os resultados. #encantar
#vendas #motivação #resultados
#empreendedorismo #erikpenna #palestrante
https://t.co/oFX1cJ5VGj</t>
  </si>
  <si>
    <t>evovendsho
A marca é muito mais que uma logomarca
bonita e estilizada, a marca carrega
em sua identidade visual, desenho,
logotipo, o DNA da empresa que
ela representa. https://t.co/ULHfqTQkd8
#marca #empreendedor #autônomo
#autonomos #evovend #logo #logotipo
#logomarcas #objetivos #propós
https://t.co/ft8TRVGEly</t>
  </si>
  <si>
    <t>feitosaafranio1
Na esfera do desenvolvimento sustentável
se faz necessário à formalização
de todos(as) empreendedores(as).
O nosso papel enquanto ente público
é dar condições para essa transformação
que vai gerar mais emprego e mais
renda para as pessoas. #desenvolvimento
#empreendedorismo</t>
  </si>
  <si>
    <t>alnanet
#empreendedorismo Evento inédito
trará oportunidades e novas parcerias
comerciais para Alagoas https://t.co/eZQtvCeQpl</t>
  </si>
  <si>
    <t>welberlsantana
Muito agradecido ao convite da
Bconnected, será um momento incrível
ao lado dos Melhores! Levar uma
startup do agro para o mundo do
franchising é uma conquista que
enche meu coração de orgulho. 🌱💼
#BConnect #Empreendedorismo #odronedoagro
#franchising #agroatlasbrasil https://t.co/HkMeOGq0pD</t>
  </si>
  <si>
    <t>lxerox
" VÍDEO INSTITUCIONAL" "Bem-vindo
à nossa loja de fotocópias e impressões,
onde a qualidade e a rapidez se
unem. #fotocópias #empresa #empreendedor
#lucianocopias #impressão https://t.co/eIYnG4V17a</t>
  </si>
  <si>
    <t>obernardo_lima
A vida é muito curta para esperar
ser escolhido. Escolha a si mesmo!
#projetos #negocios #empreendedorismo
https://t.co/4Zfgbs5uYX</t>
  </si>
  <si>
    <t>abner_ramos01
#empreender #empreendedorismo #sucesso
#marketingdigital #marketing #empreendedor
#foco #motivação #empreendedorismodigital
#dinheiro #negocios #empreendertransforma
#business #liderança #vendas #coaching
#oportunidade #geracaodevalor #motivacao
#empreendedores #mindset https://t.co/ADr4xV4W41</t>
  </si>
  <si>
    <t>guiadeti
Curso de Inteligência Artificial
para Projetos 100% Gratuito https://t.co/43fWwQ4tMb
#business #cursosgratuitos #empreendedorismo
#inteligenciaartificial #projetos
#tecnologia https://t.co/43fWwQ4tMb</t>
  </si>
  <si>
    <t>samiratoraman_
RT @guiadeti: Curso de Empreendedorismo
Digital Online e Gratuito https://t.co/wgQjVE57TO
#cursosgratuitos #empreendedorismo
#empresas #…</t>
  </si>
  <si>
    <t>jraraujjo
Se você não construir seu sonho,
alguém vai te contratar para ajudar
a construir o dele #simplesassim
#empreendedorismo</t>
  </si>
  <si>
    <t>economiavalendo
Vamos conhecer as intenções estratégicas
da OSC Valendo Economia Criativa
da Amazônia para seus projetos,
atividades e ações na Amazônia
Legal. 1.2..3... VALENDO! #3setor
#terceirosetor #economia #economiacriativa
#economiacircular #economiasolidaria
#inovacao #empreendedorismo https://t.co/gFPhlnPqLR</t>
  </si>
  <si>
    <t>ctcvcoimbra
Coimbra está à tua espera! 16,
17 e 18 outubro Estás à espera
do quê? As candidaturas terminam
a 24/setembro! Sabe mais e inscreve-te
em https://t.co/prSYgVoTow #CTCV
#empreendedorismo #tourismcolab
#lufapohub https://t.co/yRJw1x5Yak</t>
  </si>
  <si>
    <t>diariodegoias
Lula anuncia criação de ministério
para incentivar empreendedorismo
e gerar empregos By @diariodegoias
#lula #anuncia #criacao #ministerio
#empreendedorismo #empregos #economia
https://t.co/k8VKCKHOhc</t>
  </si>
  <si>
    <t>institutoilan
Hoje deixando aqui mais uma entrega
do kit de associados master do
ilan. Desta vez para meu grande
amigo e empreendedor nato, @marciomaximianosouza
da @mpsprotecaoveicular !!! #institutoilan
#ilan #ilaninstituto #empreendedorismo
#empreendedor #araçatuba #aracatuba
#sucesso https://t.co/DnDSv89cdI</t>
  </si>
  <si>
    <t>mdicoficial
▶️As inscrições para o Transformar
Juntos são gratuitas. Para participar,
basta acessar o endereço eletrônico:
https://t.co/PyYxY0lZJZ. 🤝🇧🇷
#TransformarJuntos #Sebrae #MDIC
#DesenvolvimentoSustentável #PequenosNegócios
#Brasil #Empreendedorismo</t>
  </si>
  <si>
    <t>conatecontabil
Saiba como aumentar o score da
sua empresa. 😉 __________________________________________
#seligaempreendedor #score #empreendedor
#simãodias #simaodias #lagarto
#poçoverde #paripiranga #reels
#empresas #dicas #fiqueatento #aumentarscore
#empresas #empresarios #empreendedores
https://t.co/z7qJLdcZ8Y</t>
  </si>
  <si>
    <t>alexxberard
#empresas #empreendedor #empreendedorismo
#acai https://t.co/awQRxhExZd</t>
  </si>
  <si>
    <t>pi_sebrae
Bom dia! 🌞 Empreendedor, não desista
do seu foco. 🎯 Conte com o Sebrae
Piauí para as melhores soluções.
#SebraePiauí #Empreendedor</t>
  </si>
  <si>
    <t>pd_negocio
Afinal, o que é empreendedorismo?
Confira em seguida tudo a respeito
desse conceito importante e confira
exemplos inspiradores. https://t.co/zDDHbfDNy4
#ProddigitalNegocios #empreendedorismo
#empreender #empreendedor #negocios</t>
  </si>
  <si>
    <t>revistagc1
Projeto de Aceleração do Ecossistema
de Inovação, Empreendedorismo e
Pesquisa foi selecionado. https://t.co/FP34rviHYP
#revistagc #revista_gc #sobratema
#Projeto #Aceleração #Ecossistema
#Inovação, #Empreendedorismo #apoio
#financeiro #ParquesTecnológicos
#Finep https://t.co/ifaGVQsW9f</t>
  </si>
  <si>
    <t>pabloguzmandice
Hoy seguiremos #hablandocomoloslocos
en la segunda parte de mi análisis
sobre lo dicho por el interlocutor
de @fedecamaras y analista @luisvicenteleon
en el programa de @Vladivillegastv
por @Unionradionet #economia #negocios
#empreendedorismo #emprendedores
#venezuela #politics https://t.co/uebpYiiuG3</t>
  </si>
  <si>
    <t xml:space="preserve">unionradionet
</t>
  </si>
  <si>
    <t xml:space="preserve">vladivillegastv
</t>
  </si>
  <si>
    <t xml:space="preserve">luisvicenteleon
</t>
  </si>
  <si>
    <t xml:space="preserve">fedecamaras
</t>
  </si>
  <si>
    <t>san_thosed
E vamos lá para mais um dia de
trabalho!! Gratidão sempre a Deus
e a cada cliente que tenho. 🫶✨
#empreendedor #decorador #sonhador
https://t.co/wV0niiDs2k</t>
  </si>
  <si>
    <t>sobrancelhassd
Descubra novos horizontes! Torne-se
um(a) franqueado(a) de sucesso
e faça parte da família Sobrancelhas
Design. Oportunidade única de empreender
e crescer! 🚀🌟 Entre em contato
pelo nosso e-mail vendas@gsd.com.br
#Franquia #Empreendedorismo #Oportunidade
#sobrancelhasdesign #sd https://t.co/KNlAua0Q22</t>
  </si>
  <si>
    <t>diplomaciabusi1
https://t.co/fJrdYJ9v2y #diplomaciabusiness
#diplomacia #brasil #relaçõesinternacionais
#relaçõesexteriores #geraldoalckmin
#empreendedorismo @geraldoalckmin</t>
  </si>
  <si>
    <t xml:space="preserve">geraldoalckmin
</t>
  </si>
  <si>
    <t>pixtvhd
[#Empreendedorismo] Nesta edição
do 8 minutos, você acompanha tudo
sobre a 5àSec, a maior rede de
lavanderias do Brasil. O jornalista
Thiago Pereira conversa com o CEO
da companhia, Fábio Roth. #PIXTV
#PixNasRedes #Brasil #RededeLavanderias
#5àSec https://t.co/ivVhq2xt1C</t>
  </si>
  <si>
    <t>brunno_brss
A ética de trabalho dos puritanos
influenciou o espírito empreendedor
americano. Sua opinião no trabalho
árduo como virtude impactou a economia
dos EUA. #TrabalhoDuro #Empreendedorismo</t>
  </si>
  <si>
    <t>assespromg
Desejamos uma semana repleta de
oportunidades. 🚀 #motivacional
#ficaadica #tecnologia #motivação
#sucesso #empreendedorismo #determinação
#motivation https://t.co/gNyMBozbE4</t>
  </si>
  <si>
    <t>viravirtual
Na Vira Virtual temos todos os
serviços digitais necessários para
impulsionar o seu negócio. https://t.co/Gpttw8sJoU
#ViraVirtual #servicosdigitais
#empreendedorismo #microempreendedor
#criadordesites #SEO #assistenciaonline
#redessociales https://t.co/68O1KgGbmI</t>
  </si>
  <si>
    <t>cmmoita
📰 Encontro de #Empreendedorismo
#Feminino na #Moita Evento dedicado
ao Empreendedorismo Feminino, dinamizado
pela Comunidade In Women’s World,
teve o apoio da Câmara Municipal.
Leia tudo em: https://t.co/QMFHrDFjOX
https://t.co/OnS1RzNbCO</t>
  </si>
  <si>
    <t>sxocopywriter
#empreendedor você está ouvindo
seus clientes? Eles estão te dando
pistas sobre o que e como querem...
o tempo todo. Use essas informações
para melhorar suas soluções e sua
#copy. O feedback do seu cliente
é uma mina de ouro.</t>
  </si>
  <si>
    <t>santaguedaroma
#multinivel #networkmarketing #mmn
#empreendedorismo #negocios #marketingmultinivel
#marketingderede #liderazgo #vel
#mlm #marketingdigital #networker
#business #o #marketing #empreender
#a #emprende #marketingderelacionamento
#emprendedores #sucesso #libertadfinanciera
#renda</t>
  </si>
  <si>
    <t>diarinho
🤩❓ Empreender | O que é empreender?
#empreendedorismo #negocio #coluna
https://t.co/4TXNz7vz1j</t>
  </si>
  <si>
    <t>age_rio
🤩 Que tal já começar o segundo
semestre do ano com a parceria
da AgeRio? 🏖 Se você possui uma
empresa que atua do Setor de Turismo,
confira as oportunidades e não
fique de fora! #AgeRio #Credito
#Empreendedorismo #Turismo #Fungetur
#Bares #Restaurantes https://t.co/fE5Zdj1N1g</t>
  </si>
  <si>
    <t>savoastudio
Veja nosso curso online “Arte da
Customização”, com o professor
Diego Lemos. Customize diferentes
objetos com os melhores materiais
e acabamento profissional! #cursosonline
#arte #customizacao #empreendedorismo
https://t.co/hlQiqhHHKG https://t.co/oWuprewLl0</t>
  </si>
  <si>
    <t>fasamazonia
👉🏽 Haverá atividades para crianças,
atrações musicais e exposições!
Ah, a nossa feira é petfriendly,
então pode trazer o seu AUmigo.
É diversão garantida para toda
a família! 🎉🐶 #feiradafas #sustentabilidade
#empreendedorismo</t>
  </si>
  <si>
    <t>yesecosystem
Levamos nosso propósito muito a
sério. E para a gente, o empreendedorismo
responsável competitivo está no
centro de nossos esforços. #empreendedorismo
#responsabilidade #responsabilidadesocial
#ecosystem #yes #yestechnology
https://t.co/xBtlbc0Afm</t>
  </si>
  <si>
    <t>salesuillian
O gay me oferecendo 1.000$ pra
lascar a pomba nele… Vou passar
a proposta pro Augusto e ficar
com 500tão pela indicação #empreendedorismo</t>
  </si>
  <si>
    <t>ismael_colosi
Link na Bio #vagasribeiraopreto
#empregosribeiraopreto #cursosgratuitos
#empreendedorismo #concursopublico
#ismaelcolosi https://t.co/eWgLtiNrhA</t>
  </si>
  <si>
    <t>jfpoliticsunite
¿O que é A CHAMADA ‘ACUMULAÇÃO’
EMPREENDEDORA e o ESTADO #EMPREENDEDOR
do NOVO #NEOLIBERALISMO no século
21? 🔻🔻VER MÁS🔻🔻 https://t.co/kIuqpBs6Hm
@ufrgsnoticias @Unisinos @ufrnbr
@ufmgeducativa @Marx_Brasil @rbecampo
@marxismobr</t>
  </si>
  <si>
    <t xml:space="preserve">marxismobr
</t>
  </si>
  <si>
    <t xml:space="preserve">rbecampo
</t>
  </si>
  <si>
    <t xml:space="preserve">marx_brasil
</t>
  </si>
  <si>
    <t xml:space="preserve">ufmgeducativa
</t>
  </si>
  <si>
    <t xml:space="preserve">unisinos
</t>
  </si>
  <si>
    <t xml:space="preserve">ufrgsnoticias
</t>
  </si>
  <si>
    <t>carpegiani_adv
Seu Patrimônio está seguro? #protecao
#empreendedorismo #startup https://t.co/JT9pYbmnhC</t>
  </si>
  <si>
    <t>realizedestinos
De: iamjoaosampaio ・・・ Não se esqueça
disso.⚡️ #decisões #destino #motivacao
#empreendedorismo #riqueza https://t.co/TMl6Jq7PAP</t>
  </si>
  <si>
    <t>boqnews
#Empreendedorismo Peças são desenhadas
pela estilista de bonecas Letícia
dos Santos https://t.co/e95iIv4v8C</t>
  </si>
  <si>
    <t>mesorregional
8ª Rodada de Negócios da CDL Conexões:
ampliando as possibilidades de
networking: https://t.co/QjeByiCRWx
#CDLConexões #RodadaDeNegócios
#Network #Empreendedorismo #CDLBlumenau
#Mesorregional #Informação</t>
  </si>
  <si>
    <t>bancadapsdbrs
Emprego Fest: Kaká D’Ávila propõe
evento dedicado a vagas de trabalho
e fomento do empreendedorismo.
Leia mais: https://t.co/hstm5iT1ne
. #BancadaPSDBrs #PSDB #Emprego
#empreendedorismo</t>
  </si>
  <si>
    <t>megatic_pt
👉Desenvolvemos um Website com:
➡️ Pop-Ups de Captação de Leads
➡️ Formulários de Contacto ➡️ Calls
To Action ➡️ Multilingue ➡️ SEO
#branding #marca #marketing #business
#empreendedorismo #instagood #aviacao
#megatic https://t.co/V0djJG9HGp</t>
  </si>
  <si>
    <t>ph_pires
Depois de anos, voltando ao Twitter!!!
Perdi alguma coisa? #Musica #esportes
#empreendedorismo #autodesenvolvimento
#autoconhecimento #SPFC</t>
  </si>
  <si>
    <t>padraojuridico
O que é um empregado segundo a
CLT? #JustiçaTrabalhista #padraojuridico
#TST #informação #DireitosTrabalhistas
#empreendedorismo #trabalho #direitotrabalhista
#justiça #empregado #clt https://t.co/5tzdsB28RJ</t>
  </si>
  <si>
    <t>naadademais_
tá trabalhando hoje? então toma
essa! #vidademei #empreendedor
#correria https://t.co/0NQUJAuiFG</t>
  </si>
  <si>
    <t>hyperdrivebr
Resumo econômico hyperdrive de
hoje 18/07/2023 #noticias #noticiasem1minuto
#brasil #economia #Empreendedorismo
#Analisedemercado #Investimentosfinanceiros
#Startups #inovação https://t.co/ymkNIrbgJp
https://t.co/DYpfeFdVwL</t>
  </si>
  <si>
    <t>irapuabeltrao
Sabia que existe um aplicativo
para o MEI disponibilizado pela
⁦@ReceitaFederal⁩ 👉 espalhe esta
informação 😉 #mei #microempreendedor
#microempreendedorindividual #microempresario
#empreendedorismo #simplesnacional
#vidatributária #receitafederal
https://t.co/PK0NpeuQ3a</t>
  </si>
  <si>
    <t xml:space="preserve">receitafederal
</t>
  </si>
  <si>
    <t>dua80rte
#empreendedorismo https://t.co/fLiVn4FXVz</t>
  </si>
  <si>
    <t>karytonn
Esse é meu Goiás! Pensa em um #coworking
público completo, esse é nosso
@hubgoias #inovacao #empreendedorismo
#ti #tech #dev #thedevlife #freelancer
https://t.co/QwhEDNakYT</t>
  </si>
  <si>
    <t xml:space="preserve">hubgoias
</t>
  </si>
  <si>
    <t>renatapereiraa7
Pesquisa da Endeavor indica que
3 em cada 4 brasileiros prefeririam
ter um negócio próprio que ser
funcionário. Além disso,52%dessa
população acredita ser provável
ou muito provável que se torne
empreendedor em um horizonte de
5 anos. #empreendedorismo #gestaoestrategica</t>
  </si>
  <si>
    <t>drimendes_ofc
Você já parou para pensar como
o equilíbrio mental pode impulsionar
o seu negócio? 🌟 Comente aqui
o que você tem feito para ter equilíbrio
todos os dias! . . . . #equilibriomental
#medicinaintegrativa #saudemental
#empreendedorismo #lideresempreendedores
#gestaodepessoas https://t.co/60CmalC8sM</t>
  </si>
  <si>
    <t xml:space="preserve">only_office
</t>
  </si>
  <si>
    <t>netodepaulla
//Posse// Empreendedoras de Sucesso
prontas para conquistar o mundo.
Parabéns mulheres de sucesso! #ndp
#netodepaula #enekapital #empreendedorismo
https://t.co/zxya8JPWuw</t>
  </si>
  <si>
    <t>serranossa
Bento Gonçalves registrou mais
de 1450 novas empresas no primeiro
semestre do ano https://t.co/u2DhkiuMrQ
. . . #SalaDoEmpreendedor #empresas
#empreendedorismo #bentogonçalves
#serranossa https://t.co/V7a4JaDqbd</t>
  </si>
  <si>
    <t>fatos_pro
https://t.co/2YOYMyPswB Democratização
do Empreendedorismo: Como o Marketing
Digital Transforma #empreendedorismo
#marketingdigital #marketingdeafiliados
#comoganhardinheiro #networkmarketing
#ganhardinherioonline #marketingdigital2023💵💸💵</t>
  </si>
  <si>
    <t>fgveaespesquisa
Estudo de caso mostra que #empreendedor
garante sucesso de instituição
de #ensino com parcerias estratégicas
e experiência no ramo, apesar de
estrutura limitada, gastos além
do desejado. Leia: https://t.co/JU09IAODA6
#educação #empreendedismo #BlogImpacto
#DicadeLeituraFGV https://t.co/NZHveiCwVx</t>
  </si>
  <si>
    <t>jonpadilha
Tive uma ideia milionária 💡 Busco
profissional para parceria. Preciso
criar um APP #empreendedorismo
#designer #programação #Negocios
#empresa #empresario</t>
  </si>
  <si>
    <t>edsoncontador_
Entre em contato conosco e comece
a trilhar o caminho do sucesso!
#empreendedorismo #empresas #contabilidade
https://t.co/6kVbzpmjBJ</t>
  </si>
  <si>
    <t>tiagopradoofc
Não importa os obstáculos que surgirem,
lembrem-se de que cada desafio
é uma oportunidade para crescer
e se fortalecer. Mantenham o foco,
a determinação e a paixão pelo
que fazem. O sucesso está mais
perto a cada passo dado. Vamos
com tudo! #Empreendedorismo #Persistência</t>
  </si>
  <si>
    <t>drivethrua
🗓️*Prazo final: Até 04/08!* Saiba
mais sobre a inscrição em https://t.co/qdYzE2I64o
e acesse nosso site 👉🏼 https://t.co/6XktGI4Ln3.
*#conecta #conectastartupbrasil
#startups #empreendedorismo #empresas
#mcti #abdi #softex #cnpq #startup*</t>
  </si>
  <si>
    <t>dionedealmeida1
Qual conselho você daria para você
mesmo há 05 anos atrás? Escreve
aí 👇🏻 #tweeter #snow #LaCasaDeLosFamosoMx
#empreendedorismo #mentoria #crescimento</t>
  </si>
  <si>
    <t>diempcefetrj
🚨Vagas de Estágio!🚨 Vagas de
estágio destinadas aos cursos de
administração de empresa, Tecnologia
em Processos Gerenciais, Gestão
empresarial e Empreendedorismo.
#administração #empreendedorismo
#processosgerenciais #cefet #gestãoempresarial
https://t.co/a3VdGOSK5t</t>
  </si>
  <si>
    <t>opodmais
Tivemos o prazer de receber um
convidado inspirador: Ícaro Pimentas
@icaropimentasregionais , o visionário
empreendedor por trás das pimentas
regionais!🌎🌶️ Acesse: https://t.co/3zIGtyWlHL
🌟 #PodcastManaus #Empreendedorismo
#AlegriaContagiante #Inspiração
#PimentasRegionais https://t.co/9VOlKL3IVR</t>
  </si>
  <si>
    <t>enapgovbr
Maitê Lourenço na Semana de Inovação
2023! 🔹Fundadora da #BlackRocksStartups
🔹General Partner na YA Ventures
🔹Representante do ODS 9 na ONU
Vem aí uma conversa rica em insights
sobre #inovação e #empreendedorismo
negro no Brasil! Inscreva-se: https://t.co/tDYc6V05ZK
https://t.co/K3i1ReY1r8</t>
  </si>
  <si>
    <t>sccsbtoficial
Com apoio do BRDE, o sonho de empreender
pode sair do papel O BRDE Microcrédito
possibilita o acesso ao crédito
a microempreendedores, bem como
a profissionais autônomos. Saiba
mais. #sccsbt #scc10 #empreendedorismo
#BRDE https://t.co/WQNSOImbYC https://t.co/355ordtWm8</t>
  </si>
  <si>
    <t>shortsdoraiam
O maior brasileiro de Todos os
tempos: Raiam Santos #raiamsantos
#historiareal #historias #empreendedorismo
#sucesso #motivacional https://t.co/4b5mwCRkYR</t>
  </si>
  <si>
    <t>marcia23403
https://t.co/BlboawyKdp #Embrapa
#Embudasartes #empatia #empreendedor
#empreendedorismo #empreendedorismoeinovação
#empreendedorismofeminino https://t.co/AQDH4TihC0</t>
  </si>
  <si>
    <t>fatorleo
”Nhaim, dinheiro não traz felicidade!"
Não caia nesse papinho furado,
se não traz diretamente, no mínimo,
vai te livrar de muitas tristezas.
Seja na sua carreira ou empreendendo,
busque oportunidades de ficar cada
vez mais rico. #dinheiro #empreendedorismo
#carreira https://t.co/5VuLcwRZGq</t>
  </si>
  <si>
    <t>cortesrato
Evolua para o próximo nível com
essas dicas de livros 📚 #sucesso
#blackrat #joveempreendedor #marketingdigital
#livro #empreendedorismo https://t.co/kIYWBiHnpu</t>
  </si>
  <si>
    <t>sistemafaemg
👩‍🌾Encontro de #mulheres. #Empreendedorismo,
oportunidades de negócios para
produtores e palestras marcaram
a participação do SPR de Manhuaçu
e do Sistema Faemg Senar no 7º
Encontro do Agronegócio promovido
pelo Sicoob Credilivre em 24 e
25/8. 🔍Confira: https://t.co/ngK9wVtvnR
https://t.co/3uT3cHnX5i</t>
  </si>
  <si>
    <t>mdali86465915
Trip to social media activity.🎯
#digitalmarketing #bhfyp #tiktok
#business #entrepreneur #success
#smallbusiness #money #marketing
#graphicdesign #brand #branding
#facebook #digital #marketingdigital
#socialmedia #entrepreneurship
#empreendedorismo #startup https://t.co/NU5WFBXoXD</t>
  </si>
  <si>
    <t>moginewsonline
Ao todo, Governo do Estado repassou
para as cidades do Alto Tietê R$
18,1 milhões de janeiro a agosto
de 2023 Saiba mais: https://t.co/fBWTHe1kLv
#moginews #informacao #Noticias
#altotiete #empreendedorismo #DesenvolveSP
#GovernoSP #desenvolvimentosp https://t.co/J39wUbELbQ</t>
  </si>
  <si>
    <t>tradewebbrasil
20 de julho é o Dia do Amigo, uma
ótima quinta feira a todos! Visite
nosso site, acesse pelo link na
abaixo! https://t.co/aZIyJukkLC
#diadoamigo #minhamente #chavequemeliberta
#chave #quemeliberta #marketingdigital
#marketingdigitalbrasil #empreendedorismo
#empreender https://t.co/ZgeCwUoAGj</t>
  </si>
  <si>
    <t>brazilmineral
EMPREENDEDORISMO | AngloGold Ashanti
apoia projeto de cosméticos em
Sabará | Brasil Mineral #empreendedorismo
#AngloGoldAshanti #minasgerais
https://t.co/3JQy5pwXmt</t>
  </si>
  <si>
    <t>oworldreal
#tbt A vida tem ocupado meus dias
com novos e graciosos desafios.
É graças a Deus que tenho ultrapassado
todos eles com dedicação,amor e
muito empenho. #thamarabastossilva
#realtorlife #cips #realtor #imóveis
#joaopessoaparaiba #Awesome #empreendedorismo
#empreender #mulher #awe https://t.co/WQ5tLb7Guj</t>
  </si>
  <si>
    <t>fl_floripa
💡 Qual o conhecimento que eu preciso
para ser um empreendedor? 👉 Esperamos
você no dia 30/08, às 19h30min,
para uma palestra gratuita sobre
o tema! 🔗 Inscrições gratuitas!
Garanta sua vaga. #logosofia #tubarão
#empreendedorismo #conhecimento
https://t.co/vCflcWIOTp</t>
  </si>
  <si>
    <t>aroldogueiros
Desejo ao Fabiano que continue
prosperando em sua mecânica, com
muita fé e determinação. Negócios
como o dele são fundamentais para
fazer nossa Itapevi prosperar.
#amizade #negócioslocais #empreendedorismo
#itapevi #compromissocomitapevi
#vereadoraroldogueiros</t>
  </si>
  <si>
    <t>negociosbelem
Exposição de produtos regionais
vai acontecer dia 26 de julho em
Belém Participe desse momento especial
Belém Negócios! Saiba todos os
detalhes em: https://t.co/KcHCVd5lHk
#evento #produtores #empresas #empreendedorismo
#regional #belemnegocios https://t.co/ev909qDwug</t>
  </si>
  <si>
    <t>adrigomezconsul
MPORTANTE SABER #adrigomezconsul
#empreendedorismo #empresas #negocios
https://t.co/NyrSbHN0sm</t>
  </si>
  <si>
    <t>carloshoyoslde
Líder: Cuidado Com A Conformidade
#minutodaliderança 419 https://t.co/5li38dh7Dm
#liderança #desafio #zonadeconforto
#empreendedorismo #negócio #sucesso</t>
  </si>
  <si>
    <t>galerapod
Conversa com Sidnei Silva - Empresário
e Empreendedor @sidneisilva Veja
o vídeo completo no YouTube. Disponível
também no Deezer, Amazon Music
e Spotify! #galerapod #opodcastdagalera
#viral #empresario #trend #empreendedor
#viralreels #empresa #trending
#empreendimento https://t.co/vgLTj3KRxi</t>
  </si>
  <si>
    <t xml:space="preserve">sidneisilva
</t>
  </si>
  <si>
    <t>radeon87449
#facebook #digitalmarketer #empreendedorismo
#workfromhome #copywriting #instagrammarketing
#digitalagency #brand #digitalmarketingexpert
#money https://t.co/HUItsdBUpL</t>
  </si>
  <si>
    <t>tapajosdefato
pois não precisa ir ao forno. #TdF
#Sustentabilidade #Agroecologia
#Empreendedorismo</t>
  </si>
  <si>
    <t>folhageral
4 principais ações de marketing
para o pequeno empreendedor ➡️
https://t.co/oRxnQIBRQn #folhageral
#dicas #marketingdigital #empreendedor
https://t.co/kCUeLgMRwg</t>
  </si>
  <si>
    <t>filipeschitino
DESASTRE ECONÔMICO: 400 MIL EMPRESAS
BRASILEIRAS FECHAM AS PORTAS NO
1° ... https://t.co/3ffQSFEzXd
via @YouTube #empreendedorismo
#economia #brasil</t>
  </si>
  <si>
    <t>_zhenniq
Desbravando novos horizontes digitais
🌐💰 Multiplicando lucros pela
internet com estratégia e inovação.
💼🚀 #NegóciosOnline #SucessoDigital
#MultiplicandoLucros #hotmart #marketingdigital
#empreendedorismo https://t.co/IPmSFIppSX</t>
  </si>
  <si>
    <t>kentechbr
K|Notify é ideal para qualquer
tipo de negócio! Você que trabalha
com E-Commerce e Varejo pode se
comunicar com seu cliente de forma
simples e personalizada. Acesse
https://t.co/Zs4sMe0K3c #Knotify
#Gestão #InstituiçõesDeEnsino #Faturamento
#empreendedorismo #Kentech https://t.co/E0uGLXx9wY</t>
  </si>
  <si>
    <t>cidorodrigues
Sejamos realistas. Muita gente
não investe na empresa delas e
querem que os clientes invistam.
Isso não funciona #realidade #fato
#negocios #empreendedor #fato #empresario🚀🚀🚀
https://t.co/fcZJ5C6J3f</t>
  </si>
  <si>
    <t>rafaelporcari
Hoje estivemos na #Penitenciária
Feminina de Campinas, em nome do
#Sebrae, falando a 18 reeducandas
sobre Práticas de Valor no #Empreendedorismo.
Dezoito mulheres, 18 sonhos, 18
histórias de vida… Somente com
a #Educação que o #Brasil irá pra
frente. 🖊️ #Education https://t.co/dV1ZjNEAA3</t>
  </si>
  <si>
    <t>made_hits
Amanhã tem episódio novo! Lukão
e Mazzola voltam a conversar, trazendo
mais detalhes sobre o projeto e
compartilhando suas experiências.
#StudioMadeHits #InvestidoresdaQuebrada
#TVMadeHits #jovensinvestidores
#investidoriniciante #empreendedor
#empresarios #oportunidades #fy
https://t.co/cf520SPs7E</t>
  </si>
  <si>
    <t>certificad95001
O certificado digital é um documento
eletrônico que permite a assinatura
digital de documentos, garantindo
sua autenticidade e integridade.
#certificadodigital #empreendedorismo
#negócios #governo #Serasa https://t.co/PTBy8B4sOE</t>
  </si>
  <si>
    <t>andrbragagonal1
RT @Certificad95001: Com o Certificado
Digital Serasa, você pode emitir
notas fiscais eletrônicas com facilidade
e segurança. #NFe #Emissão…</t>
  </si>
  <si>
    <t>robbson
Feriado é uma palavra que não existe
no dicionário do empreendedor 😅
#justdoit #empreendedorismo #PrimoRico
#Mentoria</t>
  </si>
  <si>
    <t>vaniacolunista
💪🚀 #boravender ? Vamos juntos
com Alfredo Soares criar uma nova
era de vendas e alcançar resultados
extraordinários! 🌐 https://t.co/H9Kd8HyfyD
#growth #growthmentoring #mentoria
#podescalar #marketing #vendas
#Empreendedorismo #CrescimentoDeNegócios
#Transformação #Sucesso https://t.co/U1ZMaPxHw5</t>
  </si>
  <si>
    <t>mendes62071219
Aparentemente elas são importantes,
até imprescindíveis, na verdade
porém, elas são uma âncora para
o crescimento do negócio no médio
e longo prazo. Qual a sua opinião?
Conta para mim. V+TSD – Venda Mais
Todo Santo Dia #empreendedorismo
#negocios #empreenda #empreender
#lucro</t>
  </si>
  <si>
    <t>jrhopf
No fim das contas, a diferença
entre o resiliente e o teimoso
é que o primeiro dá certo! 🤣 #Empreendedorismo
#Startups #Liderança https://t.co/8p4i3YbzOD</t>
  </si>
  <si>
    <t>adilsonp10
Às vezes, quando você inova, você
comete erros. É melhor admiti-los
rapidamente e continuar a melhorar
suas outras inovações. (Steve Jobs)
#empreendedorismo #labecastore
#fácilnaoe</t>
  </si>
  <si>
    <t>andradegui19_
Se de alguma forma eu abri sua
mente, deixa um like! 😉 #empreendedorismo</t>
  </si>
  <si>
    <t>correiodeminas
Em seu centenário, Itabirito presenteia
população e empreendedores com
a maior feira já realizada na região;
são esperados mais de 20 mil visitantes
#correiodeminas #centenárioitabirito
#semanafeira #empreendedorismo
#amirofeira #correiodeminas https://t.co/CpKzZE1Scu
https://t.co/DI1WG1I6D6</t>
  </si>
  <si>
    <t>romerorodrigues
📺 Já dá pra assistir ao primeiro
episódio da websérie no canal do
YouTube do projeto: https://t.co/68cINuB5M4.
#empreendedorismo #startups #tecnologia
#economiadigital</t>
  </si>
  <si>
    <t>marcioitshow
📸🎙️ 🎙️ Gravando #podcast do
@portalitshow! Como #empreendedor
sempre busco sabedoria para mudar
rotas e deixar impacto positivo!
💪🚀 Inspire-se! #Inovação #inove
🎧🌟#EmpreendedorDeSucesso #InovaçãoConstante
#ReinventeSe #SabedoriaEmEmpreender
#MomentoCertoDeMudar 🚀💪 https://t.co/gUVIrOak2S</t>
  </si>
  <si>
    <t xml:space="preserve">portalitshow
</t>
  </si>
  <si>
    <t>juheinakarina
Confira as 5 dicas para aumentar
a sua produtividade🤓😁 🔥🔥🔥MARQUE
Alguém que precisa ver isso! #jkconsultoria
#produtividade #gestaodetempo #gestaoestrategica
#dicas #dica #saopaulo #motivação
#marketing #marketingdigital #bomdia
#empreendedorismo #gestaodenegocios
https://t.co/vRPhigyfV0</t>
  </si>
  <si>
    <t>ricardosousapro
É preciso se posicionar #Motivation
#empreendedorismo https://t.co/d0xBD3GpFY</t>
  </si>
  <si>
    <t>lob_mau
#plr #kiwify #marketingdigital
#empreendedorismo https://t.co/GhGFj0vGp6</t>
  </si>
  <si>
    <t>djpinvestimento
Saiu aquele vídeo que você investe
com pouco dinheiro e ganha um lucro
absurdo https://t.co/cNTwxD6Ccd
#investment #empreendedor</t>
  </si>
  <si>
    <t>srgioro66037268
Já mais deixe seus objetivos para
depois, lute sempre para conquistar,
tenha fé em Deus e não permita
que ninguém te desmotive, foco
força e fé sempre, o extraordinário
é para poucos, pois muitos desistem
nas primeiras dificuldades.#pegaavisao
#empreendedorismo #geracaodevalor
https://t.co/WQUEihfFr7</t>
  </si>
  <si>
    <t>contas_online
Conheça nosso software de gerenciamento
e saiba mais. Link na bio! 📲 Ou
acesse. https://t.co/YeavCtI9km
#gestaofinanceira #finanças #empreendedorismo
#pequenasempresas #organização</t>
  </si>
  <si>
    <t>risecluboficial
2 Corte ✂️ do bate papo clube da
luta podcast, programa completo
no canal YouTube 😎 Deixa o like
👍🏻 e compartilha #franquias #franquiasbaratas
#academia #artesmarciais #abf #riseclub
#risecluboficial #risetv #business
#empreendedorismo #investidores
#nordeste #Recife https://t.co/1X1CRFYEHk</t>
  </si>
  <si>
    <t>claudiopalerm13
Hoje estive na Casa do Pão - Vila
Galvão para falar da Rádio Palermo
e de comunicação com estes empreendedores
feras demais, gratidão pela oportunidade!
Ah, vai visitar a Casa do Pão,
só produto top te esperando!!!
#empreender #empreendedorismo #networkinghonesto
#networking https://t.co/LT4HZbK2Fq</t>
  </si>
  <si>
    <t>helenanenachic
Quem não conhece, espia 🕵️‍♀️
a hashtag#️⃣das #empreendedoras
do #instagram mais #estilosa e
#patriota do #brazil : a nossa
#movimentoloveisalive 🙂🙃 hoje,
sorrio assim! Um #acessório de
uma #empreendedora de Sucessooooo
do #riodejaneiro #wednesdayvibes
🙂🙃💓🇧🇷 #empreendedorismo https://t.co/wnMEAFHFWq</t>
  </si>
  <si>
    <t>portopublicidad
A missão da Porto Publicidade é
posicionar e cuidar de marcas pessoais
e empresariais, utilizando o melhor
em tecnologia, comunicação e inovação.😃💪
#brasil #propaganda #empreendedorismo
#sucesso #design #instagram #empreender
#branding #digitalart https://t.co/MMxQJu0uIm</t>
  </si>
  <si>
    <t>jornal_cultura
Evento virtual tem como objetivo
informar e motivar estudantes e
jovens que estão entrando no mercado
de trabalho. #Educação #Empreendedorismo
#TVCultura. https://t.co/2Mx3Qrn2Pu</t>
  </si>
  <si>
    <t>apostilac
Mapas Mentais Contabilidade Geral
- Conceitos e Princípios (PDF)
🏆 Saiba mais: https://t.co/tAW8ZwxemY
#contabilidade #contador #o #empreendedorismo
#contabil #mei #empresa #empreendedor
#consultoria #impostoderenda #empresas
#contabilidadedigital #negocios
#contadora https://t.co/eXQlTbS3BN</t>
  </si>
  <si>
    <t>lideglobal
#Empreendedorismo | Conheça as
empresas emergentes que mais cresceram
em 2022. Confira: https://t.co/6dqVofhIYl</t>
  </si>
  <si>
    <t xml:space="preserve">polishop
</t>
  </si>
  <si>
    <t>funep
Potencialize o ensino da economia
brasileira e estimule o espírito
empreendedor em suas aulas. Inscreva-se
no curso de Economia Brasileira
e Educação Empreendedora! Inscreva-se:
https://t.co/WepbpfVyK7 #EconomiaBrasileira
#Empreendedorismo https://t.co/7WHd6Jez5A</t>
  </si>
  <si>
    <t>erikasmotta
Para os amantes do Iphone, trago
essa super oferta do Iphone 11
e com opção retirada em 2h após
confirmação pagamento*. Consulte
seu cep para verificar disponibilidade.
compre aqui: https://t.co/6xIpM6pMOC
#vendasonline #vendas #empreendedorismo
#foco #markting #iphone11 https://t.co/TXQnGPnf8g</t>
  </si>
  <si>
    <t>culturaalterna5
#Empreendedorismo em Transformação:
A Nova Face dos Pequenos Negócios
no Brasil Pós-Pandemia https://t.co/X7bmbv8Ety</t>
  </si>
  <si>
    <t>onegotk
Nunca deixe que desacreditem de
você👑 #liberdadefinanceira #sucesso
#empreendedorismo https://t.co/KExOHwZVBR</t>
  </si>
  <si>
    <t>hdiasboss
#empreendedorismo #empreendedor
#empreendedorismodigital #empreender
#startup #negócios #marketing #vendas
#sucesso #motivação https://t.co/8F93Cu15PW</t>
  </si>
  <si>
    <t>luisfab85147320
O que não Te Mata, Te Fortalece...
Mel Gibson é uma dessas pessoas
que ressurgiu mais forte a cada
tombo, a cada pancada... #melgibson
#empreendedorismo #liderança https://t.co/NedWYzBYfu</t>
  </si>
  <si>
    <t>apexbrasil
Não perca tempo, pois esse são
os últimos dias para se inscrever.
Faça parte dessa jornada conosco
no programa #ElasExportam, acesse
o link e se inscreva: https://t.co/N3o8WeQ42T
#Mulheres #ComércioExterior #Empreendedorismo</t>
  </si>
  <si>
    <t>divyab_nyc
Fala rede, Ao compartilhar orientações
e inspiração, buscamos capacitar
os leitores a dar vida a seus sonhos
empreendedores, superar desafios
e contribuir para um futuro melhor
através de suas iniciativas. #Empreendedorismo
#Paixão #RealizaçãoPessoal https://t.co/g6nsXBZG3b</t>
  </si>
  <si>
    <t>pretonidacio
Pessoal Para quem puder participar
(não tem custo) será bem bacana.
Mais de 400 municípios do Estado
de SP estarão presentes. #inovação
#esportes #tecnologia #empreendedorismo
https://t.co/7HWTWXICTC</t>
  </si>
  <si>
    <t>rdconsultoria
Te a honra de gravar o Tucco na
Acreditare e de receber sua cobertura
durante as gravações. Agradecido
@tucco_oficial #networking #Empreendedorismo
#Empreendedor #empreendedores #empreendedordesucesso
#empreendedordevalor #entrevistas
https://t.co/JPHuW2GWxE</t>
  </si>
  <si>
    <t xml:space="preserve">tucco_oficial
</t>
  </si>
  <si>
    <t>fortalezaplanet
Recebemos esse feedback de um de
nossos clientes e ficamos muito
felizes pois nossa missão é proporcionar
à eles um espaço de trabalho confortável
e produtivo Vem ser Planet 🌍 (85)
9 8171-8336 - whatsapp #empreendedorismo
#feedback #vemserplanet #coworkingspace
#coworking https://t.co/4rJtuXvQwM</t>
  </si>
  <si>
    <t>danyelzin_anjs
Apenas faça! 🐺 #motivação #empreendedorismo
#disciplina #milionario #homemdevalor
#mulherdevalor #objetivo #foconoobjetivo
#foco https://t.co/zR2BDQ2vS7</t>
  </si>
  <si>
    <t>dinero_enaccion
Debemos tener en cuanta todas las
desiciones que tomábamos en un
futuro pueden ser nuestra salida
financiera🧐💵#dinero #empreendedorismo
https://t.co/yOQpNilSbW</t>
  </si>
  <si>
    <t>sectibahia
Grande dia para o ecossistema empreendedor
e de inovação baiano! 💡🚀 Secti
e Sebrae Bahia assinam convênios
de R$ 6,4 milhões para impulsionar
o setor. Um passo importante rumo
ao futuro tecnológico! Leia matéria:
https://t.co/eBzfZFFvYo #empreendedorismo
#inovacao https://t.co/42KeVHU2DX</t>
  </si>
  <si>
    <t>jornal_blumenau
A Jornalista e sócia da Presse
Comunicação, de Blumenau, Cristiane
Soethe Zimmermann, compartilha
seus aprendizados em 15 anos de
empreendedorismo. 🔗 Confira: https://t.co/RheYgmwAdy
#jornaldeblumenau #Noticiasdeblumenau
#PresseComunicação #empreendedorismo
#santacatarina https://t.co/zmXuUyj3jO</t>
  </si>
  <si>
    <t>sistemaocbes
👏🏻A @Unimedscapixaba promoveu
um evento para estimular o #empreendedorismo
entre os seus funcionários. A ação
contou com uma palestra sobre educação
financeira, além de uma exposição
de diversos produtos. 📲Saiba mais:
https://t.co/NM6dElrXOp https://t.co/f1zVfmGVqL</t>
  </si>
  <si>
    <t>opoderosomeme
@semataryposting eu tendo altas
renda passiva : 🤤#EMPREENDEDORISMO</t>
  </si>
  <si>
    <t>rosangelajaspe5
@PetrolinaAmorim #NÃO, você não
é #empreendedor, vc faz parte do
"exército de reserva", que o #capitalismo
faz uso, para #chantagear os #trabalhadores
que já estão na #CLT, para que
não #lutem por mais #direitos.
#antcapitalismo #democracia #comunismo
#Socialismo #insurgência #psol50</t>
  </si>
  <si>
    <t xml:space="preserve">cienetecgovpb
</t>
  </si>
  <si>
    <t xml:space="preserve">informeblu
</t>
  </si>
  <si>
    <t xml:space="preserve">governoma
</t>
  </si>
  <si>
    <t xml:space="preserve">minyeeboy
</t>
  </si>
  <si>
    <t xml:space="preserve">felipeccamarao
</t>
  </si>
  <si>
    <t xml:space="preserve">nanamnese
</t>
  </si>
  <si>
    <t xml:space="preserve">extensaoesag
</t>
  </si>
  <si>
    <t>chicosabetudo
🚀📚 Oportunidade imperdível na
Bahia! 🤩🌟 Cursos e consultorias
GRATUITAS para jovens empreendedores!
✨📈 Inscreva-se agora e saiba mais
no #PortalChicoSabeTudo. Não perca
essa chance de impulsionar seu
negócio! 💼🌐 #empreendedorismo
#Bahia #oport... https://t.co/lawoiQg5W2</t>
  </si>
  <si>
    <t>GraphSource░TwitterSearch3▓GraphTerm░#empreendedorismo OR #empreendedor▓ImportDescription░The graph represents a network of 1.625 Twitter users whose recent tweets contained "#empreendedorismo OR #empreendedor", or who were replied to, mentioned, retweeted or quoted in those tweets, taken from a data set limited to a maximum of 4.000 tweets, tweeted between 01/01/2023 21:43:36 and 27/09/2023 21:43:36.  The network was obtained from Twitter on Thursday, 28 September 2023 at 00:44 UTC._x000D_
_x000D_
The tweets in the network were tweeted over the 547-day, 9-hour, 54-minute period from Tuesday, 29 March 2022 at 12:50 UTC to Wednesday, 27 September 2023 at 22:44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above.▓ImportSuggestedTitle░#empreendedorismo OR #empreendedor Twitter NodeXL SNA Map and Report for quarta-feira, 27 setembro 2023 at 23:43 UTC▓ImportSuggestedFileNameNoExtension░2023-09-27 23-43-52 NodeXL Twitter Search #empreendedorismo OR #empreendedor</t>
  </si>
  <si>
    <t>Directed</t>
  </si>
  <si>
    <t>Graph Type</t>
  </si>
  <si>
    <t>Modularity</t>
  </si>
  <si>
    <t>NodeXL Version</t>
  </si>
  <si>
    <t>Graph Gallery URL</t>
  </si>
  <si>
    <t>Graph Image URL</t>
  </si>
  <si>
    <t>Graph Source</t>
  </si>
  <si>
    <t>Graph Term</t>
  </si>
  <si>
    <t>Data Import</t>
  </si>
  <si>
    <t>Layout Algorithm</t>
  </si>
  <si>
    <t>Groups</t>
  </si>
  <si>
    <t>Edge Alpha</t>
  </si>
  <si>
    <t>Edge Color</t>
  </si>
  <si>
    <t>Edge Width</t>
  </si>
  <si>
    <t>Vertex Alpha</t>
  </si>
  <si>
    <t>Vertex Radius</t>
  </si>
  <si>
    <t>Vertex X</t>
  </si>
  <si>
    <t>Vertex y</t>
  </si>
  <si>
    <t>Not Applicable</t>
  </si>
  <si>
    <t>1.0.1.522</t>
  </si>
  <si>
    <t>TwitterSearch3</t>
  </si>
  <si>
    <t>#empreendedorismo OR #empreendedor</t>
  </si>
  <si>
    <t>The graph represents a network of 1.625 Twitter users whose recent tweets contained "#empreendedorismo OR #empreendedor", or who were replied to, mentioned, retweeted or quoted in those tweets, taken from a data set limited to a maximum of 4.000 tweets, tweeted between 01/01/2023 21:43:36 and 27/09/2023 21:43:36.  The network was obtained from Twitter on Thursday, 28 September 2023 at 00:44 UTC._x000D_
_x000D_
The tweets in the network were tweeted over the 547-day, 9-hour, 54-minute period from Tuesday, 29 March 2022 at 12:50 UTC to Wednesday, 27 September 2023 at 22:44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t>
  </si>
  <si>
    <t>Key</t>
  </si>
  <si>
    <t>Action Label</t>
  </si>
  <si>
    <t>Action URL</t>
  </si>
  <si>
    <t>Brand Logo</t>
  </si>
  <si>
    <t>Brand URL</t>
  </si>
  <si>
    <t>Hashtag</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</si>
  <si>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&lt;GraphMetricUserSettings&gt;_x000D_
      &lt;setting name="GraphMetricsToCalculate" serializeAs="String"&gt;_x000D_
        &lt;value&gt;OverallMetrics&lt;/value&gt;_x000D_
      &lt;/setting&gt;_x000D_
    &lt;/GraphMetricUserSettings&gt;_x000D_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</si>
</sst>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14">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0" fontId="5" fillId="4" borderId="11" xfId="5" applyNumberFormat="1" applyBorder="1" applyAlignme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0" fontId="11"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0" fontId="11" fillId="2" borderId="11" xfId="1" applyNumberFormat="1" applyFont="1" applyBorder="1" applyAlignment="1"/>
    <xf numFmtId="0" fontId="0" fillId="0" borderId="0" xfId="2" applyNumberFormat="1" applyFont="1" applyBorder="1" applyAlignment="1"/>
    <xf numFmtId="0" fontId="0" fillId="0" borderId="0" xfId="0" applyAlignment="1"/>
    <xf numFmtId="0" fontId="0" fillId="0" borderId="0" xfId="0" applyFill="1" applyAlignment="1"/>
    <xf numFmtId="0" fontId="0" fillId="0" borderId="0" xfId="0" applyFill="1" applyBorder="1" applyAlignment="1"/>
    <xf numFmtId="22" fontId="0" fillId="0" borderId="0" xfId="0" applyNumberFormat="1" applyAlignment="1"/>
    <xf numFmtId="22" fontId="0" fillId="0" borderId="0" xfId="0" applyNumberFormat="1" applyFill="1" applyAlignment="1"/>
    <xf numFmtId="22" fontId="0" fillId="0" borderId="0" xfId="0" applyNumberFormat="1" applyFill="1" applyBorder="1" applyAlignment="1"/>
    <xf numFmtId="0" fontId="13" fillId="0" borderId="0" xfId="9" applyFill="1" applyAlignment="1"/>
    <xf numFmtId="0" fontId="0" fillId="0" borderId="0" xfId="0" quotePrefix="1" applyFill="1" applyAlignment="1"/>
    <xf numFmtId="0" fontId="0" fillId="0" borderId="0" xfId="0" quotePrefix="1" applyAlignment="1"/>
    <xf numFmtId="0" fontId="0" fillId="0" borderId="0" xfId="0" quotePrefix="1" applyFill="1" applyBorder="1" applyAlignment="1"/>
    <xf numFmtId="0" fontId="13" fillId="0" borderId="0" xfId="9" applyAlignment="1"/>
    <xf numFmtId="0" fontId="13" fillId="0" borderId="0" xfId="9" applyFill="1" applyBorder="1" applyAlignment="1"/>
    <xf numFmtId="14" fontId="0" fillId="0" borderId="0" xfId="0" applyNumberFormat="1" applyAlignment="1"/>
    <xf numFmtId="14" fontId="0" fillId="0" borderId="0" xfId="0" applyNumberFormat="1" applyFill="1" applyAlignment="1"/>
    <xf numFmtId="14" fontId="0" fillId="0" borderId="0" xfId="0" applyNumberFormat="1" applyFill="1" applyBorder="1" applyAlignment="1"/>
    <xf numFmtId="11" fontId="0" fillId="0" borderId="0" xfId="0" applyNumberFormat="1" applyFill="1" applyAlignment="1"/>
    <xf numFmtId="1" fontId="11" fillId="4" borderId="1" xfId="5" applyNumberFormat="1" applyFont="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5" fillId="5" borderId="1" xfId="8" applyNumberFormat="1" applyAlignment="1"/>
  </cellXfs>
  <cellStyles count="10">
    <cellStyle name="Hi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88">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87"/>
      <tableStyleElement type="headerRow" dxfId="186"/>
    </tableStyle>
    <tableStyle name="NodeXL Table" pivot="0" count="1" xr9:uid="{00000000-0011-0000-FFFF-FFFF01000000}">
      <tableStyleElement type="headerRow" dxfId="1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3106-4D95-9176-DB547EDC328C}"/>
            </c:ext>
          </c:extLst>
        </c:ser>
        <c:dLbls>
          <c:showLegendKey val="0"/>
          <c:showVal val="0"/>
          <c:showCatName val="0"/>
          <c:showSerName val="0"/>
          <c:showPercent val="0"/>
          <c:showBubbleSize val="0"/>
        </c:dLbls>
        <c:gapWidth val="0"/>
        <c:axId val="1190537248"/>
        <c:axId val="1190542144"/>
      </c:barChart>
      <c:catAx>
        <c:axId val="119053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90542144"/>
        <c:crosses val="autoZero"/>
        <c:auto val="1"/>
        <c:lblAlgn val="ctr"/>
        <c:lblOffset val="100"/>
        <c:noMultiLvlLbl val="0"/>
      </c:catAx>
      <c:valAx>
        <c:axId val="11905421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C08-4440-85D3-2C7A6174A6DF}"/>
            </c:ext>
          </c:extLst>
        </c:ser>
        <c:dLbls>
          <c:showLegendKey val="0"/>
          <c:showVal val="0"/>
          <c:showCatName val="0"/>
          <c:showSerName val="0"/>
          <c:showPercent val="0"/>
          <c:showBubbleSize val="0"/>
        </c:dLbls>
        <c:gapWidth val="0"/>
        <c:axId val="1190542688"/>
        <c:axId val="1190537792"/>
      </c:barChart>
      <c:catAx>
        <c:axId val="11905426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90537792"/>
        <c:crosses val="autoZero"/>
        <c:auto val="1"/>
        <c:lblAlgn val="ctr"/>
        <c:lblOffset val="100"/>
        <c:noMultiLvlLbl val="0"/>
      </c:catAx>
      <c:valAx>
        <c:axId val="11905377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26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AD0B-4376-BEE1-17A4E442B81B}"/>
            </c:ext>
          </c:extLst>
        </c:ser>
        <c:dLbls>
          <c:showLegendKey val="0"/>
          <c:showVal val="0"/>
          <c:showCatName val="0"/>
          <c:showSerName val="0"/>
          <c:showPercent val="0"/>
          <c:showBubbleSize val="0"/>
        </c:dLbls>
        <c:gapWidth val="0"/>
        <c:axId val="1190539424"/>
        <c:axId val="1190543232"/>
      </c:barChart>
      <c:catAx>
        <c:axId val="119053942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90543232"/>
        <c:crosses val="autoZero"/>
        <c:auto val="1"/>
        <c:lblAlgn val="ctr"/>
        <c:lblOffset val="100"/>
        <c:noMultiLvlLbl val="0"/>
      </c:catAx>
      <c:valAx>
        <c:axId val="11905432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BB7D-42C9-B3AA-6BF9CDC52427}"/>
            </c:ext>
          </c:extLst>
        </c:ser>
        <c:dLbls>
          <c:showLegendKey val="0"/>
          <c:showVal val="0"/>
          <c:showCatName val="0"/>
          <c:showSerName val="0"/>
          <c:showPercent val="0"/>
          <c:showBubbleSize val="0"/>
        </c:dLbls>
        <c:gapWidth val="0"/>
        <c:axId val="1190543776"/>
        <c:axId val="1190548128"/>
      </c:barChart>
      <c:catAx>
        <c:axId val="11905437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90548128"/>
        <c:crosses val="autoZero"/>
        <c:auto val="1"/>
        <c:lblAlgn val="ctr"/>
        <c:lblOffset val="100"/>
        <c:noMultiLvlLbl val="0"/>
      </c:catAx>
      <c:valAx>
        <c:axId val="1190548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37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5EF3-48A2-9620-326B0FBD6B40}"/>
            </c:ext>
          </c:extLst>
        </c:ser>
        <c:dLbls>
          <c:showLegendKey val="0"/>
          <c:showVal val="0"/>
          <c:showCatName val="0"/>
          <c:showSerName val="0"/>
          <c:showPercent val="0"/>
          <c:showBubbleSize val="0"/>
        </c:dLbls>
        <c:gapWidth val="0"/>
        <c:axId val="1190536704"/>
        <c:axId val="1190549760"/>
      </c:barChart>
      <c:catAx>
        <c:axId val="1190536704"/>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90549760"/>
        <c:crosses val="autoZero"/>
        <c:auto val="1"/>
        <c:lblAlgn val="ctr"/>
        <c:lblOffset val="100"/>
        <c:noMultiLvlLbl val="0"/>
      </c:catAx>
      <c:valAx>
        <c:axId val="11905497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6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7ED-461F-8DDB-D91783CA240C}"/>
            </c:ext>
          </c:extLst>
        </c:ser>
        <c:dLbls>
          <c:showLegendKey val="0"/>
          <c:showVal val="0"/>
          <c:showCatName val="0"/>
          <c:showSerName val="0"/>
          <c:showPercent val="0"/>
          <c:showBubbleSize val="0"/>
        </c:dLbls>
        <c:gapWidth val="0"/>
        <c:axId val="1190544320"/>
        <c:axId val="1190548672"/>
      </c:barChart>
      <c:catAx>
        <c:axId val="119054432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90548672"/>
        <c:crosses val="autoZero"/>
        <c:auto val="1"/>
        <c:lblAlgn val="ctr"/>
        <c:lblOffset val="100"/>
        <c:noMultiLvlLbl val="0"/>
      </c:catAx>
      <c:valAx>
        <c:axId val="1190548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4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BDF5-467D-8D19-CC428F107486}"/>
            </c:ext>
          </c:extLst>
        </c:ser>
        <c:dLbls>
          <c:showLegendKey val="0"/>
          <c:showVal val="0"/>
          <c:showCatName val="0"/>
          <c:showSerName val="0"/>
          <c:showPercent val="0"/>
          <c:showBubbleSize val="0"/>
        </c:dLbls>
        <c:gapWidth val="0"/>
        <c:axId val="1190545408"/>
        <c:axId val="1190545952"/>
      </c:barChart>
      <c:catAx>
        <c:axId val="119054540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90545952"/>
        <c:crosses val="autoZero"/>
        <c:auto val="1"/>
        <c:lblAlgn val="ctr"/>
        <c:lblOffset val="100"/>
        <c:noMultiLvlLbl val="0"/>
      </c:catAx>
      <c:valAx>
        <c:axId val="1190545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50BC-4B0C-9615-0D5434160760}"/>
            </c:ext>
          </c:extLst>
        </c:ser>
        <c:dLbls>
          <c:showLegendKey val="0"/>
          <c:showVal val="0"/>
          <c:showCatName val="0"/>
          <c:showSerName val="0"/>
          <c:showPercent val="0"/>
          <c:showBubbleSize val="0"/>
        </c:dLbls>
        <c:gapWidth val="0"/>
        <c:axId val="1190546496"/>
        <c:axId val="1190547040"/>
      </c:barChart>
      <c:catAx>
        <c:axId val="11905464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90547040"/>
        <c:crosses val="autoZero"/>
        <c:auto val="1"/>
        <c:lblAlgn val="ctr"/>
        <c:lblOffset val="100"/>
        <c:noMultiLvlLbl val="0"/>
      </c:catAx>
      <c:valAx>
        <c:axId val="119054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B7E2-4D40-87B9-704A19570BBB}"/>
            </c:ext>
          </c:extLst>
        </c:ser>
        <c:dLbls>
          <c:showLegendKey val="0"/>
          <c:showVal val="0"/>
          <c:showCatName val="0"/>
          <c:showSerName val="0"/>
          <c:showPercent val="0"/>
          <c:showBubbleSize val="0"/>
        </c:dLbls>
        <c:gapWidth val="0"/>
        <c:axId val="1190549216"/>
        <c:axId val="1190550304"/>
      </c:barChart>
      <c:catAx>
        <c:axId val="1190549216"/>
        <c:scaling>
          <c:orientation val="minMax"/>
        </c:scaling>
        <c:delete val="1"/>
        <c:axPos val="b"/>
        <c:numFmt formatCode="#,##0.00" sourceLinked="1"/>
        <c:majorTickMark val="out"/>
        <c:minorTickMark val="none"/>
        <c:tickLblPos val="none"/>
        <c:crossAx val="1190550304"/>
        <c:crosses val="autoZero"/>
        <c:auto val="1"/>
        <c:lblAlgn val="ctr"/>
        <c:lblOffset val="100"/>
        <c:noMultiLvlLbl val="0"/>
      </c:catAx>
      <c:valAx>
        <c:axId val="1190550304"/>
        <c:scaling>
          <c:orientation val="minMax"/>
        </c:scaling>
        <c:delete val="1"/>
        <c:axPos val="l"/>
        <c:numFmt formatCode="General" sourceLinked="1"/>
        <c:majorTickMark val="out"/>
        <c:minorTickMark val="none"/>
        <c:tickLblPos val="none"/>
        <c:crossAx val="119054921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65</xdr:row>
      <xdr:rowOff>38100</xdr:rowOff>
    </xdr:from>
    <xdr:to>
      <xdr:col>1</xdr:col>
      <xdr:colOff>918209</xdr:colOff>
      <xdr:row>72</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79</xdr:row>
      <xdr:rowOff>38100</xdr:rowOff>
    </xdr:from>
    <xdr:to>
      <xdr:col>1</xdr:col>
      <xdr:colOff>918209</xdr:colOff>
      <xdr:row>86</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93</xdr:row>
      <xdr:rowOff>28575</xdr:rowOff>
    </xdr:from>
    <xdr:to>
      <xdr:col>1</xdr:col>
      <xdr:colOff>918209</xdr:colOff>
      <xdr:row>100</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107</xdr:row>
      <xdr:rowOff>9525</xdr:rowOff>
    </xdr:from>
    <xdr:to>
      <xdr:col>1</xdr:col>
      <xdr:colOff>918210</xdr:colOff>
      <xdr:row>114</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121</xdr:row>
      <xdr:rowOff>19050</xdr:rowOff>
    </xdr:from>
    <xdr:to>
      <xdr:col>2</xdr:col>
      <xdr:colOff>0</xdr:colOff>
      <xdr:row>128</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135</xdr:row>
      <xdr:rowOff>19050</xdr:rowOff>
    </xdr:from>
    <xdr:to>
      <xdr:col>1</xdr:col>
      <xdr:colOff>918210</xdr:colOff>
      <xdr:row>142</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163</xdr:row>
      <xdr:rowOff>9525</xdr:rowOff>
    </xdr:from>
    <xdr:to>
      <xdr:col>1</xdr:col>
      <xdr:colOff>918210</xdr:colOff>
      <xdr:row>170</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149</xdr:row>
      <xdr:rowOff>0</xdr:rowOff>
    </xdr:from>
    <xdr:to>
      <xdr:col>1</xdr:col>
      <xdr:colOff>918210</xdr:colOff>
      <xdr:row>156</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I4185" totalsRowShown="0" headerRowDxfId="184" dataDxfId="125">
  <autoFilter ref="A2:BI4185" xr:uid="{00000000-0009-0000-0100-000001000000}"/>
  <tableColumns count="61">
    <tableColumn id="1" xr3:uid="{00000000-0010-0000-0000-000001000000}" name="Vertex 1" dataDxfId="101" dataCellStyle="NodeXL Required"/>
    <tableColumn id="2" xr3:uid="{00000000-0010-0000-0000-000002000000}" name="Vertex 2" dataDxfId="99" dataCellStyle="NodeXL Required"/>
    <tableColumn id="3" xr3:uid="{00000000-0010-0000-0000-000003000000}" name="Color" dataDxfId="100" dataCellStyle="NodeXL Visual Property"/>
    <tableColumn id="4" xr3:uid="{00000000-0010-0000-0000-000004000000}" name="Width" dataDxfId="135" dataCellStyle="NodeXL Visual Property"/>
    <tableColumn id="11" xr3:uid="{00000000-0010-0000-0000-00000B000000}" name="Style" dataDxfId="134" dataCellStyle="NodeXL Visual Property"/>
    <tableColumn id="5" xr3:uid="{00000000-0010-0000-0000-000005000000}" name="Opacity" dataDxfId="133" dataCellStyle="NodeXL Visual Property"/>
    <tableColumn id="6" xr3:uid="{00000000-0010-0000-0000-000006000000}" name="Visibility" dataDxfId="132" dataCellStyle="NodeXL Visual Property"/>
    <tableColumn id="10" xr3:uid="{00000000-0010-0000-0000-00000A000000}" name="Label" dataDxfId="131" dataCellStyle="NodeXL Label"/>
    <tableColumn id="12" xr3:uid="{00000000-0010-0000-0000-00000C000000}" name="Label Text Color" dataDxfId="130" dataCellStyle="NodeXL Label"/>
    <tableColumn id="13" xr3:uid="{00000000-0010-0000-0000-00000D000000}" name="Label Font Size" dataDxfId="129" dataCellStyle="NodeXL Label"/>
    <tableColumn id="14" xr3:uid="{00000000-0010-0000-0000-00000E000000}" name="Reciprocated?" dataDxfId="128" dataCellStyle="NodeXL Graph Metric"/>
    <tableColumn id="7" xr3:uid="{00000000-0010-0000-0000-000007000000}" name="ID" dataDxfId="127" dataCellStyle="NodeXL Do Not Edit"/>
    <tableColumn id="9" xr3:uid="{00000000-0010-0000-0000-000009000000}" name="Dynamic Filter" dataDxfId="126" dataCellStyle="NodeXL Do Not Edit"/>
    <tableColumn id="8" xr3:uid="{00000000-0010-0000-0000-000008000000}" name="Add Your Own Columns Here" dataDxfId="98" dataCellStyle="NodeXL Other Column"/>
    <tableColumn id="15" xr3:uid="{81E9B1D0-53D3-4502-A641-E63DF9E7DC51}" name="Relationship" dataDxfId="97" dataCellStyle="Normal"/>
    <tableColumn id="16" xr3:uid="{CACB5958-55BB-46CA-90E2-B79873CAE931}" name="Relationship Date (UTC)" dataDxfId="96" dataCellStyle="Normal"/>
    <tableColumn id="17" xr3:uid="{1E41FDDE-886C-43D0-A05A-3225FEA7FA2E}" name="Tweet" dataDxfId="95" dataCellStyle="Normal"/>
    <tableColumn id="18" xr3:uid="{AD436415-194A-4D3B-BC1C-DCE9ED16C60A}" name="Retweet Count" dataDxfId="94" dataCellStyle="Normal"/>
    <tableColumn id="19" xr3:uid="{29B4DD72-914E-4AD6-98D8-DC0FE80B6118}" name="Favorite Count" dataDxfId="93" dataCellStyle="Normal"/>
    <tableColumn id="20" xr3:uid="{18CA6CC7-5A91-483F-A62C-6344F76C0EB6}" name="Reply Count" dataDxfId="92" dataCellStyle="Normal"/>
    <tableColumn id="21" xr3:uid="{056A03C0-CD35-4CC9-B570-50A563D48806}" name="Quote Count" dataDxfId="91" dataCellStyle="Normal"/>
    <tableColumn id="22" xr3:uid="{FB137D2F-C26A-44BB-9DD3-66FDB3B48790}" name="Impression Count" dataDxfId="90" dataCellStyle="Normal"/>
    <tableColumn id="23" xr3:uid="{BDB0E670-34C6-4F48-BB6E-A4CB950B818C}" name="Hashtags in Tweet" dataDxfId="89" dataCellStyle="Normal"/>
    <tableColumn id="24" xr3:uid="{E984EC3B-2416-420A-8D63-651ED87969EA}" name="URLs in Tweet" dataDxfId="88" dataCellStyle="Normal"/>
    <tableColumn id="25" xr3:uid="{C299457B-29DE-4FC7-A1EE-51EB9F752B80}" name="Domains in Tweet" dataDxfId="87" dataCellStyle="Normal"/>
    <tableColumn id="26" xr3:uid="{616051B5-7B8F-447C-8B4A-CB0869359021}" name="Mentions in Tweet" dataDxfId="86" dataCellStyle="Normal"/>
    <tableColumn id="27" xr3:uid="{B3A98A64-7B97-454B-A8AB-D4E41BBE23F2}" name="Media in Tweet" dataDxfId="85" dataCellStyle="Normal"/>
    <tableColumn id="28" xr3:uid="{BFE8E43F-4869-4A50-B288-C58C3BADE8FF}" name="Media Type" dataDxfId="84" dataCellStyle="Normal"/>
    <tableColumn id="29" xr3:uid="{CE8E4678-795D-47ED-88D0-FBC83C234FCB}" name="Source" dataDxfId="83" dataCellStyle="Normal"/>
    <tableColumn id="30" xr3:uid="{B8065ED3-1E3A-4045-A5E1-3465750735E1}" name="Language" dataDxfId="82" dataCellStyle="Normal"/>
    <tableColumn id="31" xr3:uid="{5188C136-10AA-4584-B595-1A89CB2241D6}" name="Twitter Page for Tweet" dataDxfId="81" dataCellStyle="Normal"/>
    <tableColumn id="32" xr3:uid="{F8CD0186-190B-4830-B1A3-48915070A417}" name="Tweet Date (UTC)" dataDxfId="80" dataCellStyle="Normal"/>
    <tableColumn id="33" xr3:uid="{09CFCBF1-ECFD-486F-8E3A-A19C13D68715}" name="Date" dataDxfId="79" dataCellStyle="Normal"/>
    <tableColumn id="34" xr3:uid="{28818506-71A0-4168-B6C2-7899E799285D}" name="Time" dataDxfId="78" dataCellStyle="Normal"/>
    <tableColumn id="35" xr3:uid="{EE1A7118-5350-4524-925B-3368E4AC76DA}" name="Possibly Sensitive" dataDxfId="77" dataCellStyle="Normal"/>
    <tableColumn id="36" xr3:uid="{32B55AA3-BFC9-4989-9CC1-AB89E07F9AA3}" name="Place Bounding Box" dataDxfId="76" dataCellStyle="Normal"/>
    <tableColumn id="37" xr3:uid="{A7721BF0-82D1-4A55-AE28-AF6ECF6BD0CB}" name="Place Country" dataDxfId="75" dataCellStyle="Normal"/>
    <tableColumn id="38" xr3:uid="{76253A29-7A41-4E5E-9A52-95F4AEA9E801}" name="Place Country Code" dataDxfId="74" dataCellStyle="Normal"/>
    <tableColumn id="39" xr3:uid="{B090DB22-276C-48E7-B3C2-DCDE91EB489F}" name="Place Full Name" dataDxfId="73" dataCellStyle="Normal"/>
    <tableColumn id="40" xr3:uid="{839E2E5B-87E5-4A8F-86FF-7E61A035A790}" name="Place ID" dataDxfId="72" dataCellStyle="Normal"/>
    <tableColumn id="41" xr3:uid="{E70DF6A0-F7FC-4244-9C3A-CB76019D7EE0}" name="Place Name" dataDxfId="71" dataCellStyle="Normal"/>
    <tableColumn id="42" xr3:uid="{46CA59F8-E4C2-47DD-93A5-10BB86494EF5}" name="Place Type" dataDxfId="70" dataCellStyle="Normal"/>
    <tableColumn id="43" xr3:uid="{73C098B6-4F1A-4B21-AB2E-0CEE26A90122}" name="Media Key" dataDxfId="69" dataCellStyle="Normal"/>
    <tableColumn id="44" xr3:uid="{5F53B6F7-A013-4353-8410-ED28F7288A16}" name="Media Duration (ms)" dataDxfId="68" dataCellStyle="Normal"/>
    <tableColumn id="45" xr3:uid="{05F429A3-526C-4CAE-B2FD-ADC9AC060F49}" name="Media Height" dataDxfId="67" dataCellStyle="Normal"/>
    <tableColumn id="46" xr3:uid="{1467D631-031C-4BA8-A391-ABEFA95C3F87}" name="Media Width" dataDxfId="66" dataCellStyle="Normal"/>
    <tableColumn id="47" xr3:uid="{BFC002A5-2DB0-4B25-80C0-402A2D77E900}" name="Media View Count" dataDxfId="65" dataCellStyle="Normal"/>
    <tableColumn id="48" xr3:uid="{485AB573-B540-4789-B99D-31EB0A733BEB}" name="Tweet Image File" dataDxfId="64" dataCellStyle="Normal"/>
    <tableColumn id="49" xr3:uid="{324CC60F-6304-4BB6-AE0F-FB745DC7CE77}" name="Imported ID" dataDxfId="63" dataCellStyle="Normal"/>
    <tableColumn id="50" xr3:uid="{50E255D5-0708-4FA4-997D-B021EB32E488}" name="Conversation ID" dataDxfId="62" dataCellStyle="Normal"/>
    <tableColumn id="51" xr3:uid="{2B3E73D4-F893-4F26-A023-2E34A755C502}" name="In Reply To User ID" dataDxfId="61" dataCellStyle="Normal"/>
    <tableColumn id="52" xr3:uid="{E6400486-E5E1-46CD-AC55-567B02983748}" name="In Reply To Tweet ID" dataDxfId="60" dataCellStyle="Normal"/>
    <tableColumn id="53" xr3:uid="{704765DD-7E4F-4BD7-BEAF-E1E1FB827893}" name="Quoted Status ID" dataDxfId="59" dataCellStyle="Normal"/>
    <tableColumn id="54" xr3:uid="{F577CC3B-E222-4F56-97BB-7E5753E88467}" name="Retweet ID" dataDxfId="58" dataCellStyle="Normal"/>
    <tableColumn id="55" xr3:uid="{B843D618-CEE5-401B-B6B2-426434AE21A3}" name="Unified Twitter ID" dataDxfId="57" dataCellStyle="Normal"/>
    <tableColumn id="56" xr3:uid="{129AC0E1-57A8-43A6-A8F0-642D73330154}" name="Author ID" dataDxfId="56" dataCellStyle="Normal"/>
    <tableColumn id="57" xr3:uid="{4E48D6DD-EF8E-46D9-AE36-E80DEA0E5408}" name="Poll ID" dataDxfId="55" dataCellStyle="Normal"/>
    <tableColumn id="58" xr3:uid="{9FB7A286-752A-40FA-A3DB-2B2FE9C0748F}" name="Poll Options" dataDxfId="54" dataCellStyle="Normal"/>
    <tableColumn id="59" xr3:uid="{9AAEF8F7-78BE-4D01-84BA-115EBD01ABD4}" name="Poll Duration" dataDxfId="53" dataCellStyle="Normal"/>
    <tableColumn id="60" xr3:uid="{9652A47C-C046-4864-8FCC-DB03EA8E0A2F}" name="Poll End Date" dataDxfId="52" dataCellStyle="Normal"/>
    <tableColumn id="61" xr3:uid="{3BD79B30-FBF1-4E21-9852-C78DF35EAD43}" name="Poll Voting Status" dataDxfId="51"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BO1627" totalsRowShown="0" headerRowDxfId="183" dataDxfId="102">
  <autoFilter ref="A2:BO1627" xr:uid="{00000000-0009-0000-0100-000002000000}"/>
  <tableColumns count="67">
    <tableColumn id="1" xr3:uid="{00000000-0010-0000-0100-000001000000}" name="Vertex" dataDxfId="124" dataCellStyle="NodeXL Required"/>
    <tableColumn id="2" xr3:uid="{00000000-0010-0000-0100-000002000000}" name="Color" dataDxfId="123" dataCellStyle="NodeXL Visual Property"/>
    <tableColumn id="5" xr3:uid="{00000000-0010-0000-0100-000005000000}" name="Shape" dataDxfId="122" dataCellStyle="NodeXL Visual Property"/>
    <tableColumn id="6" xr3:uid="{00000000-0010-0000-0100-000006000000}" name="Size" dataDxfId="121" dataCellStyle="NodeXL Visual Property"/>
    <tableColumn id="4" xr3:uid="{00000000-0010-0000-0100-000004000000}" name="Opacity" dataDxfId="14" dataCellStyle="NodeXL Visual Property"/>
    <tableColumn id="7" xr3:uid="{00000000-0010-0000-0100-000007000000}" name="Image File" dataDxfId="12" dataCellStyle="NodeXL Visual Property"/>
    <tableColumn id="3" xr3:uid="{00000000-0010-0000-0100-000003000000}" name="Visibility" dataDxfId="13" dataCellStyle="NodeXL Visual Property"/>
    <tableColumn id="10" xr3:uid="{00000000-0010-0000-0100-00000A000000}" name="Label" dataDxfId="120" dataCellStyle="NodeXL Label"/>
    <tableColumn id="16" xr3:uid="{00000000-0010-0000-0100-000010000000}" name="Label Fill Color" dataDxfId="119" dataCellStyle="NodeXL Label"/>
    <tableColumn id="9" xr3:uid="{00000000-0010-0000-0100-000009000000}" name="Label Position" dataDxfId="8" dataCellStyle="NodeXL Label"/>
    <tableColumn id="8" xr3:uid="{00000000-0010-0000-0100-000008000000}" name="Tooltip" dataDxfId="6" dataCellStyle="NodeXL Label"/>
    <tableColumn id="18" xr3:uid="{00000000-0010-0000-0100-000012000000}" name="Layout Order" dataDxfId="7" dataCellStyle="NodeXL Layout"/>
    <tableColumn id="13" xr3:uid="{00000000-0010-0000-0100-00000D000000}" name="X" dataDxfId="118" dataCellStyle="NodeXL Layout"/>
    <tableColumn id="14" xr3:uid="{00000000-0010-0000-0100-00000E000000}" name="Y" dataDxfId="117" dataCellStyle="NodeXL Layout"/>
    <tableColumn id="12" xr3:uid="{00000000-0010-0000-0100-00000C000000}" name="Locked?" dataDxfId="116" dataCellStyle="NodeXL Layout"/>
    <tableColumn id="19" xr3:uid="{00000000-0010-0000-0100-000013000000}" name="Polar R" dataDxfId="115" dataCellStyle="NodeXL Layout"/>
    <tableColumn id="20" xr3:uid="{00000000-0010-0000-0100-000014000000}" name="Polar Angle" dataDxfId="114" dataCellStyle="NodeXL Layout"/>
    <tableColumn id="21" xr3:uid="{00000000-0010-0000-0100-000015000000}" name="Degree" dataDxfId="113" dataCellStyle="NodeXL Graph Metric"/>
    <tableColumn id="22" xr3:uid="{00000000-0010-0000-0100-000016000000}" name="In-Degree" dataDxfId="112" dataCellStyle="NodeXL Graph Metric"/>
    <tableColumn id="23" xr3:uid="{00000000-0010-0000-0100-000017000000}" name="Out-Degree" dataDxfId="111" dataCellStyle="NodeXL Graph Metric"/>
    <tableColumn id="24" xr3:uid="{00000000-0010-0000-0100-000018000000}" name="Betweenness Centrality" dataDxfId="110" dataCellStyle="NodeXL Graph Metric"/>
    <tableColumn id="25" xr3:uid="{00000000-0010-0000-0100-000019000000}" name="Closeness Centrality" dataDxfId="109" dataCellStyle="NodeXL Graph Metric"/>
    <tableColumn id="26" xr3:uid="{00000000-0010-0000-0100-00001A000000}" name="Eigenvector Centrality" dataDxfId="108" dataCellStyle="NodeXL Graph Metric"/>
    <tableColumn id="15" xr3:uid="{00000000-0010-0000-0100-00000F000000}" name="PageRank" dataDxfId="107" dataCellStyle="NodeXL Graph Metric"/>
    <tableColumn id="27" xr3:uid="{00000000-0010-0000-0100-00001B000000}" name="Clustering Coefficient" dataDxfId="106" dataCellStyle="NodeXL Graph Metric"/>
    <tableColumn id="29" xr3:uid="{00000000-0010-0000-0100-00001D000000}" name="Reciprocated Vertex Pair Ratio" dataDxfId="105" dataCellStyle="NodeXL Graph Metric"/>
    <tableColumn id="11" xr3:uid="{00000000-0010-0000-0100-00000B000000}" name="ID" dataDxfId="104" dataCellStyle="NodeXL Do Not Edit"/>
    <tableColumn id="28" xr3:uid="{00000000-0010-0000-0100-00001C000000}" name="Dynamic Filter" dataDxfId="103" dataCellStyle="NodeXL Do Not Edit"/>
    <tableColumn id="17" xr3:uid="{00000000-0010-0000-0100-000011000000}" name="Add Your Own Columns Here" dataDxfId="50" dataCellStyle="NodeXL Other Column"/>
    <tableColumn id="30" xr3:uid="{C5682546-A64E-4582-9377-09A9C51DF563}" name="Name" dataDxfId="49" dataCellStyle="Normal"/>
    <tableColumn id="31" xr3:uid="{D186DAE0-73B6-4A13-99CC-A51B083525F1}" name="User ID" dataDxfId="48" dataCellStyle="Normal"/>
    <tableColumn id="32" xr3:uid="{699A5167-D35D-4749-BDBC-8CABA89A0D70}" name="Followers" dataDxfId="47" dataCellStyle="Normal"/>
    <tableColumn id="33" xr3:uid="{53137207-DDFF-474D-9314-8303159F939F}" name="Followed" dataDxfId="46" dataCellStyle="Normal"/>
    <tableColumn id="34" xr3:uid="{DA02482D-6F65-447A-ADB6-9378AD1B9AAE}" name="Tweets" dataDxfId="45" dataCellStyle="Normal"/>
    <tableColumn id="35" xr3:uid="{D7275704-BD3E-45B6-9671-D723A39F076A}" name="Listed Count" dataDxfId="44" dataCellStyle="Normal"/>
    <tableColumn id="36" xr3:uid="{91DC91D8-5B9D-455A-BD9A-9B51F0BFB4E2}" name="Favourites Count" dataDxfId="43" dataCellStyle="Normal"/>
    <tableColumn id="37" xr3:uid="{B7B4EB6B-5221-4354-B25E-380A946F7F92}" name="Media Count" dataDxfId="42" dataCellStyle="Normal"/>
    <tableColumn id="38" xr3:uid="{685DB17A-68DB-4BBA-9E3D-0A00F01B2AA9}" name="Verified" dataDxfId="41" dataCellStyle="Normal"/>
    <tableColumn id="39" xr3:uid="{E615BEA6-EB0B-4DFF-9E94-FB9CE594BADE}" name="Joined Twitter Date (UTC)" dataDxfId="40" dataCellStyle="Normal"/>
    <tableColumn id="40" xr3:uid="{E0DEFABF-BC2E-4FC4-B178-B12D03E308FB}" name="Location" dataDxfId="39" dataCellStyle="Normal"/>
    <tableColumn id="41" xr3:uid="{825E6CAA-CAC1-4113-97F1-2D10D7F03969}" name="Description" dataDxfId="38" dataCellStyle="Normal"/>
    <tableColumn id="42" xr3:uid="{FEABFFB2-80BE-4D67-A595-2532D830EA7E}" name="URLs (Details)" dataDxfId="37" dataCellStyle="Normal"/>
    <tableColumn id="43" xr3:uid="{52F2B62C-BEF8-44E6-B1D5-2C9EA5592C40}" name="Expanded URLs (Details)" dataDxfId="36" dataCellStyle="Normal"/>
    <tableColumn id="44" xr3:uid="{73DF1DA8-7DC7-4F6E-95DC-41B179C2EAB4}" name="Display URLs (Details)" dataDxfId="35" dataCellStyle="Normal"/>
    <tableColumn id="45" xr3:uid="{376C85B1-6587-48AC-9699-ACCE970034E8}" name="Description URLs (Details)" dataDxfId="34" dataCellStyle="Normal"/>
    <tableColumn id="46" xr3:uid="{87D09F38-74A8-49DA-B2DB-DE6DBBA45B1F}" name="Description Expanded URLs (Details)" dataDxfId="33" dataCellStyle="Normal"/>
    <tableColumn id="47" xr3:uid="{EBC5B041-A052-49CF-84F9-0C0AFC499379}" name="Description Display URLS (Details)" dataDxfId="32" dataCellStyle="Normal"/>
    <tableColumn id="48" xr3:uid="{28514110-198A-47B3-A937-93CD300AE040}" name="Pinned Tweet ID" dataDxfId="31" dataCellStyle="Normal"/>
    <tableColumn id="49" xr3:uid="{592EA9A2-4AB1-480E-8C71-739F6C312714}" name="URL" dataDxfId="30" dataCellStyle="Normal"/>
    <tableColumn id="50" xr3:uid="{55E07396-36C5-4F28-A723-6E39D3110287}" name="Is Blue Verified" dataDxfId="29" dataCellStyle="Normal"/>
    <tableColumn id="51" xr3:uid="{E35CC5F5-A9D8-41A8-8E5C-A7BABB569FF3}" name="You Are Followed By" dataDxfId="28" dataCellStyle="Normal"/>
    <tableColumn id="52" xr3:uid="{F1C91AC7-40EB-4FE0-8D6E-A26475C678BE}" name="You Are Following" dataDxfId="27" dataCellStyle="Normal"/>
    <tableColumn id="53" xr3:uid="{12CF0DF8-ECA0-4CB0-9467-ABB8EFAEFB36}" name="Can DM" dataDxfId="26" dataCellStyle="Normal"/>
    <tableColumn id="54" xr3:uid="{8113BB63-15B0-46BA-91D0-4B9B37FE4157}" name="Can Media Tag" dataDxfId="25" dataCellStyle="Normal"/>
    <tableColumn id="55" xr3:uid="{3BB85DC0-030E-483D-B944-96FF6274CB5C}" name="Default Profile" dataDxfId="24" dataCellStyle="Normal"/>
    <tableColumn id="56" xr3:uid="{65851EDE-E639-41AE-8E32-8839CD859111}" name="Default Profile Image" dataDxfId="23" dataCellStyle="Normal"/>
    <tableColumn id="57" xr3:uid="{8B45873B-6F08-482A-ACF5-3B1708546E6D}" name="Has Custom Timelines" dataDxfId="22" dataCellStyle="Normal"/>
    <tableColumn id="58" xr3:uid="{1261FE9B-2D26-47F2-B9B7-D0AB28E20DCC}" name="Is Translator" dataDxfId="21" dataCellStyle="Normal"/>
    <tableColumn id="59" xr3:uid="{B1A1BA17-F9AF-4FEA-8E56-BE72FDE21002}" name="Possibly Sensitive" dataDxfId="20" dataCellStyle="Normal"/>
    <tableColumn id="60" xr3:uid="{F70C8909-ED45-4FBD-BFD2-E52510C5B948}" name="Profile Banner URL" dataDxfId="19" dataCellStyle="Normal"/>
    <tableColumn id="61" xr3:uid="{A776DAF3-D4E1-4131-8BA5-A24EFDC542EB}" name="Profile Interstitial Type" dataDxfId="18" dataCellStyle="Normal"/>
    <tableColumn id="62" xr3:uid="{8F6F733B-3829-40F6-8185-2B0E726CA344}" name="Translator Type" dataDxfId="17" dataCellStyle="Normal"/>
    <tableColumn id="63" xr3:uid="{42D96076-1023-415E-93AB-83EF38D87584}" name="Want Retweets" dataDxfId="16" dataCellStyle="Normal"/>
    <tableColumn id="64" xr3:uid="{FD11949B-19AA-4D4E-81DC-AC2683AFFE5B}" name="Withheld" dataDxfId="15" dataCellStyle="Normal"/>
    <tableColumn id="65" xr3:uid="{E36AF87C-F330-4785-9793-F9036142D260}" name="Tweeted Search Term?" dataDxfId="11" dataCellStyle="Normal"/>
    <tableColumn id="66" xr3:uid="{6E657184-7C2D-4A37-8D3F-982138D4C097}" name="Custom Menu Item Text" dataDxfId="10" dataCellStyle="Normal"/>
    <tableColumn id="67" xr3:uid="{ADC5B207-185B-4A61-9121-2823D473C05A}" name="Custom Menu Item Action" dataDxfId="9"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82">
  <autoFilter ref="A2:X3" xr:uid="{00000000-0009-0000-0100-000004000000}"/>
  <tableColumns count="24">
    <tableColumn id="1" xr3:uid="{00000000-0010-0000-0200-000001000000}" name="Group" dataDxfId="181" dataCellStyle="NodeXL Required"/>
    <tableColumn id="2" xr3:uid="{00000000-0010-0000-0200-000002000000}" name="Vertex Color" dataDxfId="180" dataCellStyle="NodeXL Visual Property"/>
    <tableColumn id="3" xr3:uid="{00000000-0010-0000-0200-000003000000}" name="Vertex Shape" dataDxfId="179" dataCellStyle="NodeXL Visual Property"/>
    <tableColumn id="22" xr3:uid="{00000000-0010-0000-0200-000016000000}" name="Visibility" dataDxfId="178" dataCellStyle="NodeXL Visual Property"/>
    <tableColumn id="4" xr3:uid="{00000000-0010-0000-0200-000004000000}" name="Collapsed?" dataCellStyle="NodeXL Visual Property"/>
    <tableColumn id="18" xr3:uid="{00000000-0010-0000-0200-000012000000}" name="Label" dataDxfId="177"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76" dataCellStyle="NodeXL Do Not Edit"/>
    <tableColumn id="19" xr3:uid="{00000000-0010-0000-0200-000013000000}" name="Collapsed Properties" dataDxfId="175" dataCellStyle="NodeXL Do Not Edit"/>
    <tableColumn id="5" xr3:uid="{00000000-0010-0000-0200-000005000000}" name="Vertices" dataDxfId="174" dataCellStyle="NodeXL Graph Metric"/>
    <tableColumn id="7" xr3:uid="{00000000-0010-0000-0200-000007000000}" name="Unique Edges" dataDxfId="173" dataCellStyle="NodeXL Graph Metric"/>
    <tableColumn id="8" xr3:uid="{00000000-0010-0000-0200-000008000000}" name="Edges With Duplicates" dataDxfId="172" dataCellStyle="NodeXL Graph Metric"/>
    <tableColumn id="9" xr3:uid="{00000000-0010-0000-0200-000009000000}" name="Total Edges" dataDxfId="171" dataCellStyle="NodeXL Graph Metric"/>
    <tableColumn id="10" xr3:uid="{00000000-0010-0000-0200-00000A000000}" name="Self-Loops" dataDxfId="170" dataCellStyle="NodeXL Graph Metric"/>
    <tableColumn id="24" xr3:uid="{00000000-0010-0000-0200-000018000000}" name="Reciprocated Vertex Pair Ratio" dataDxfId="169" dataCellStyle="NodeXL Graph Metric"/>
    <tableColumn id="25" xr3:uid="{00000000-0010-0000-0200-000019000000}" name="Reciprocated Edge Ratio" dataDxfId="168" dataCellStyle="NodeXL Graph Metric"/>
    <tableColumn id="11" xr3:uid="{00000000-0010-0000-0200-00000B000000}" name="Connected Components" dataDxfId="167" dataCellStyle="NodeXL Graph Metric"/>
    <tableColumn id="12" xr3:uid="{00000000-0010-0000-0200-00000C000000}" name="Single-Vertex Connected Components" dataDxfId="166" dataCellStyle="NodeXL Graph Metric"/>
    <tableColumn id="13" xr3:uid="{00000000-0010-0000-0200-00000D000000}" name="Maximum Vertices in a Connected Component" dataDxfId="165" dataCellStyle="NodeXL Graph Metric"/>
    <tableColumn id="14" xr3:uid="{00000000-0010-0000-0200-00000E000000}" name="Maximum Edges in a Connected Component" dataDxfId="164" dataCellStyle="NodeXL Graph Metric"/>
    <tableColumn id="15" xr3:uid="{00000000-0010-0000-0200-00000F000000}" name="Maximum Geodesic Distance (Diameter)" dataDxfId="163" dataCellStyle="NodeXL Graph Metric"/>
    <tableColumn id="16" xr3:uid="{00000000-0010-0000-0200-000010000000}" name="Average Geodesic Distance" dataDxfId="162" dataCellStyle="NodeXL Graph Metric"/>
    <tableColumn id="17" xr3:uid="{00000000-0010-0000-0200-000011000000}" name="Graph Density" dataDxfId="161"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60" dataDxfId="159">
  <autoFilter ref="A1:C2" xr:uid="{00000000-0009-0000-0100-000005000000}"/>
  <tableColumns count="3">
    <tableColumn id="1" xr3:uid="{00000000-0010-0000-0300-000001000000}" name="Group" dataDxfId="158"/>
    <tableColumn id="2" xr3:uid="{00000000-0010-0000-0300-000002000000}" name="Vertex" dataDxfId="157"/>
    <tableColumn id="3" xr3:uid="{00000000-0010-0000-0300-000003000000}" name="Vertex ID" dataDxfId="156"/>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43" totalsRowShown="0" dataCellStyle="NodeXL Graph Metric">
  <autoFilter ref="A1:B43" xr:uid="{00000000-0009-0000-0100-000006000000}"/>
  <tableColumns count="2">
    <tableColumn id="1" xr3:uid="{00000000-0010-0000-0400-000001000000}" name="Graph Metric" dataDxfId="5" dataCellStyle="NodeXL Graph Metric"/>
    <tableColumn id="2" xr3:uid="{00000000-0010-0000-0400-000002000000}" name="Value" dataDxfId="4"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55"/>
    <tableColumn id="2" xr3:uid="{00000000-0010-0000-0500-000002000000}" name="Degree Frequency" dataDxfId="154">
      <calculatedColumnFormula>COUNTIF(Vertices[Degree], "&gt;= " &amp; D2) - COUNTIF(Vertices[Degree], "&gt;=" &amp; D3)</calculatedColumnFormula>
    </tableColumn>
    <tableColumn id="3" xr3:uid="{00000000-0010-0000-0500-000003000000}" name="In-Degree Bin" dataDxfId="153"/>
    <tableColumn id="4" xr3:uid="{00000000-0010-0000-0500-000004000000}" name="In-Degree Frequency" dataDxfId="152">
      <calculatedColumnFormula>COUNTIF(Vertices[In-Degree], "&gt;= " &amp; F2) - COUNTIF(Vertices[In-Degree], "&gt;=" &amp; F3)</calculatedColumnFormula>
    </tableColumn>
    <tableColumn id="5" xr3:uid="{00000000-0010-0000-0500-000005000000}" name="Out-Degree Bin" dataDxfId="151"/>
    <tableColumn id="6" xr3:uid="{00000000-0010-0000-0500-000006000000}" name="Out-Degree Frequency" dataDxfId="150">
      <calculatedColumnFormula>COUNTIF(Vertices[Out-Degree], "&gt;= " &amp; H2) - COUNTIF(Vertices[Out-Degree], "&gt;=" &amp; H3)</calculatedColumnFormula>
    </tableColumn>
    <tableColumn id="7" xr3:uid="{00000000-0010-0000-0500-000007000000}" name="Betweenness Centrality Bin" dataDxfId="149"/>
    <tableColumn id="8" xr3:uid="{00000000-0010-0000-0500-000008000000}" name="Betweenness Centrality Frequency" dataDxfId="148">
      <calculatedColumnFormula>COUNTIF(Vertices[Betweenness Centrality], "&gt;= " &amp; J2) - COUNTIF(Vertices[Betweenness Centrality], "&gt;=" &amp; J3)</calculatedColumnFormula>
    </tableColumn>
    <tableColumn id="9" xr3:uid="{00000000-0010-0000-0500-000009000000}" name="Closeness Centrality Bin" dataDxfId="147"/>
    <tableColumn id="10" xr3:uid="{00000000-0010-0000-0500-00000A000000}" name="Closeness Centrality Frequency" dataDxfId="146">
      <calculatedColumnFormula>COUNTIF(Vertices[Closeness Centrality], "&gt;= " &amp; L2) - COUNTIF(Vertices[Closeness Centrality], "&gt;=" &amp; L3)</calculatedColumnFormula>
    </tableColumn>
    <tableColumn id="11" xr3:uid="{00000000-0010-0000-0500-00000B000000}" name="Eigenvector Centrality Bin" dataDxfId="145"/>
    <tableColumn id="12" xr3:uid="{00000000-0010-0000-0500-00000C000000}" name="Eigenvector Centrality Frequency" dataDxfId="144">
      <calculatedColumnFormula>COUNTIF(Vertices[Eigenvector Centrality], "&gt;= " &amp; N2) - COUNTIF(Vertices[Eigenvector Centrality], "&gt;=" &amp; N3)</calculatedColumnFormula>
    </tableColumn>
    <tableColumn id="18" xr3:uid="{00000000-0010-0000-0500-000012000000}" name="PageRank Bin" dataDxfId="143"/>
    <tableColumn id="17" xr3:uid="{00000000-0010-0000-0500-000011000000}" name="PageRank Frequency" dataDxfId="142">
      <calculatedColumnFormula>COUNTIF(Vertices[Eigenvector Centrality], "&gt;= " &amp; P2) - COUNTIF(Vertices[Eigenvector Centrality], "&gt;=" &amp; P3)</calculatedColumnFormula>
    </tableColumn>
    <tableColumn id="13" xr3:uid="{00000000-0010-0000-0500-00000D000000}" name="Clustering Coefficient Bin" dataDxfId="141"/>
    <tableColumn id="14" xr3:uid="{00000000-0010-0000-0500-00000E000000}" name="Clustering Coefficient Frequency" dataDxfId="140">
      <calculatedColumnFormula>COUNTIF(Vertices[Clustering Coefficient], "&gt;= " &amp; R2) - COUNTIF(Vertices[Clustering Coefficient], "&gt;=" &amp; R3)</calculatedColumnFormula>
    </tableColumn>
    <tableColumn id="15" xr3:uid="{00000000-0010-0000-0500-00000F000000}" name="Dynamic Filter Bin" dataDxfId="139"/>
    <tableColumn id="16" xr3:uid="{00000000-0010-0000-0500-000010000000}" name="Dynamic Filter Frequency" dataDxfId="138">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60:B61" insertRow="1" totalsRowShown="0" dataCellStyle="NodeXL Graph Metric">
  <autoFilter ref="A60:B61"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37">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36">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0A04D48-B398-4E0E-9FE1-AB669BE5BA16}" name="ExportOptions" displayName="ExportOptions" ref="A1:B7" totalsRowShown="0" headerRowDxfId="3" dataDxfId="2" dataCellStyle="Normal">
  <autoFilter ref="A1:B7" xr:uid="{90A04D48-B398-4E0E-9FE1-AB669BE5BA16}"/>
  <tableColumns count="2">
    <tableColumn id="1" xr3:uid="{6EBF0641-6D3F-4C2D-8353-9F202D0AD4C4}" name="Key" dataDxfId="1" dataCellStyle="Normal"/>
    <tableColumn id="2" xr3:uid="{ACD41C8B-B1A7-46EF-A2DC-68A81CA5ADD9}" name="Value" dataDxfId="0" dataCellStyle="Normal"/>
  </tableColumns>
  <tableStyleInfo name="NodeXL Table"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I4185"/>
  <sheetViews>
    <sheetView workbookViewId="0">
      <pane xSplit="2" ySplit="2" topLeftCell="C3" activePane="bottomRight" state="frozen"/>
      <selection pane="topRight" activeCell="C1" sqref="C1"/>
      <selection pane="bottomLeft" activeCell="A3" sqref="A3"/>
      <selection pane="bottomRight" activeCell="N11" sqref="N11"/>
    </sheetView>
  </sheetViews>
  <sheetFormatPr defaultRowHeight="15" x14ac:dyDescent="0.25"/>
  <cols>
    <col min="1" max="2" width="10.42578125" style="1" customWidth="1"/>
    <col min="3" max="3" width="7.85546875" bestFit="1" customWidth="1"/>
    <col min="4" max="4" width="8.7109375" style="2" bestFit="1" customWidth="1"/>
    <col min="5" max="5" width="7.7109375" style="2" bestFit="1" customWidth="1"/>
    <col min="6" max="6" width="9.85546875" style="2" bestFit="1" customWidth="1"/>
    <col min="7" max="7" width="11" bestFit="1" customWidth="1"/>
    <col min="8" max="8" width="8" style="1" bestFit="1" customWidth="1"/>
    <col min="9" max="9" width="12.28515625" bestFit="1" customWidth="1"/>
    <col min="10" max="10" width="12.42578125" bestFit="1" customWidth="1"/>
    <col min="11" max="11" width="15.5703125"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10.85546875" bestFit="1" customWidth="1"/>
    <col min="19" max="19" width="10.5703125" bestFit="1" customWidth="1"/>
    <col min="20" max="20" width="8.5703125" bestFit="1" customWidth="1"/>
    <col min="21" max="21" width="8.85546875" bestFit="1" customWidth="1"/>
    <col min="22" max="22" width="13.140625" bestFit="1" customWidth="1"/>
    <col min="23" max="23" width="13.28515625" bestFit="1" customWidth="1"/>
    <col min="24" max="24" width="9.5703125" bestFit="1" customWidth="1"/>
    <col min="25" max="25" width="13.140625" bestFit="1" customWidth="1"/>
    <col min="26" max="26" width="13.85546875" bestFit="1" customWidth="1"/>
    <col min="27" max="27" width="11" bestFit="1" customWidth="1"/>
    <col min="28" max="28" width="8.85546875" bestFit="1" customWidth="1"/>
    <col min="29" max="29" width="9.28515625" bestFit="1" customWidth="1"/>
    <col min="30" max="30" width="11.5703125" bestFit="1" customWidth="1"/>
    <col min="31" max="31" width="14.42578125" bestFit="1" customWidth="1"/>
    <col min="32" max="32" width="13.42578125" bestFit="1" customWidth="1"/>
    <col min="33" max="33" width="7.42578125" bestFit="1" customWidth="1"/>
    <col min="34" max="34" width="7.7109375" bestFit="1" customWidth="1"/>
    <col min="35" max="35" width="11.42578125" bestFit="1" customWidth="1"/>
    <col min="36" max="36" width="17" bestFit="1" customWidth="1"/>
    <col min="37" max="37" width="10.28515625" bestFit="1" customWidth="1"/>
    <col min="38" max="38" width="15.5703125" bestFit="1" customWidth="1"/>
    <col min="39" max="39" width="11.7109375" bestFit="1" customWidth="1"/>
    <col min="40" max="40" width="10.28515625" bestFit="1" customWidth="1"/>
    <col min="41" max="41" width="8.5703125" bestFit="1" customWidth="1"/>
    <col min="42" max="42" width="8" bestFit="1" customWidth="1"/>
    <col min="43" max="43" width="8.85546875" bestFit="1" customWidth="1"/>
    <col min="44" max="44" width="17.140625" bestFit="1" customWidth="1"/>
    <col min="46" max="46" width="8.85546875" bestFit="1" customWidth="1"/>
    <col min="47" max="47" width="13.85546875" bestFit="1" customWidth="1"/>
    <col min="48" max="48" width="14.7109375" bestFit="1" customWidth="1"/>
    <col min="49" max="49" width="11.5703125" bestFit="1" customWidth="1"/>
    <col min="50" max="50" width="12.7109375" bestFit="1" customWidth="1"/>
    <col min="51" max="52" width="13" bestFit="1" customWidth="1"/>
    <col min="53" max="53" width="11" bestFit="1" customWidth="1"/>
    <col min="54" max="54" width="13.140625" bestFit="1" customWidth="1"/>
    <col min="55" max="55" width="12" bestFit="1" customWidth="1"/>
    <col min="56" max="56" width="11.7109375" bestFit="1" customWidth="1"/>
    <col min="57" max="57" width="9" bestFit="1" customWidth="1"/>
    <col min="58" max="58" width="10.28515625" bestFit="1" customWidth="1"/>
    <col min="59" max="59" width="11" bestFit="1" customWidth="1"/>
    <col min="60" max="60" width="10.42578125" bestFit="1" customWidth="1"/>
    <col min="61" max="61" width="13" bestFit="1" customWidth="1"/>
  </cols>
  <sheetData>
    <row r="1" spans="1:61" x14ac:dyDescent="0.25">
      <c r="C1" s="15" t="s">
        <v>39</v>
      </c>
      <c r="D1" s="16"/>
      <c r="E1" s="16"/>
      <c r="F1" s="16"/>
      <c r="G1" s="15"/>
      <c r="H1" s="13" t="s">
        <v>43</v>
      </c>
      <c r="I1" s="50"/>
      <c r="J1" s="50"/>
      <c r="K1" s="31" t="s">
        <v>42</v>
      </c>
      <c r="L1" s="17" t="s">
        <v>40</v>
      </c>
      <c r="M1" s="17"/>
      <c r="N1" s="14" t="s">
        <v>41</v>
      </c>
    </row>
    <row r="2" spans="1:61" ht="30" customHeight="1" x14ac:dyDescent="0.25">
      <c r="A2" s="10" t="s">
        <v>0</v>
      </c>
      <c r="B2" s="10" t="s">
        <v>1</v>
      </c>
      <c r="C2" s="7" t="s">
        <v>2</v>
      </c>
      <c r="D2" s="7" t="s">
        <v>3</v>
      </c>
      <c r="E2" s="7" t="s">
        <v>130</v>
      </c>
      <c r="F2" s="7" t="s">
        <v>4</v>
      </c>
      <c r="G2" s="7" t="s">
        <v>11</v>
      </c>
      <c r="H2" s="10" t="s">
        <v>46</v>
      </c>
      <c r="I2" s="7" t="s">
        <v>160</v>
      </c>
      <c r="J2" s="7" t="s">
        <v>161</v>
      </c>
      <c r="K2" s="7" t="s">
        <v>165</v>
      </c>
      <c r="L2" s="7" t="s">
        <v>12</v>
      </c>
      <c r="M2" s="7" t="s">
        <v>38</v>
      </c>
      <c r="N2" s="7" t="s">
        <v>26</v>
      </c>
      <c r="O2" s="7" t="s">
        <v>177</v>
      </c>
      <c r="P2" s="7" t="s">
        <v>178</v>
      </c>
      <c r="Q2" s="7" t="s">
        <v>179</v>
      </c>
      <c r="R2" s="7" t="s">
        <v>180</v>
      </c>
      <c r="S2" s="7" t="s">
        <v>181</v>
      </c>
      <c r="T2" s="7" t="s">
        <v>182</v>
      </c>
      <c r="U2" s="7" t="s">
        <v>183</v>
      </c>
      <c r="V2" s="7" t="s">
        <v>184</v>
      </c>
      <c r="W2" s="7" t="s">
        <v>185</v>
      </c>
      <c r="X2" s="7" t="s">
        <v>186</v>
      </c>
      <c r="Y2" s="7" t="s">
        <v>187</v>
      </c>
      <c r="Z2" s="7" t="s">
        <v>188</v>
      </c>
      <c r="AA2" s="7" t="s">
        <v>189</v>
      </c>
      <c r="AB2" s="7" t="s">
        <v>190</v>
      </c>
      <c r="AC2" s="7" t="s">
        <v>191</v>
      </c>
      <c r="AD2" s="7" t="s">
        <v>192</v>
      </c>
      <c r="AE2" s="7" t="s">
        <v>193</v>
      </c>
      <c r="AF2" s="7" t="s">
        <v>194</v>
      </c>
      <c r="AG2" s="7" t="s">
        <v>195</v>
      </c>
      <c r="AH2" s="7" t="s">
        <v>196</v>
      </c>
      <c r="AI2" s="7" t="s">
        <v>197</v>
      </c>
      <c r="AJ2" s="7" t="s">
        <v>198</v>
      </c>
      <c r="AK2" s="7" t="s">
        <v>199</v>
      </c>
      <c r="AL2" s="7" t="s">
        <v>200</v>
      </c>
      <c r="AM2" s="7" t="s">
        <v>201</v>
      </c>
      <c r="AN2" s="7" t="s">
        <v>202</v>
      </c>
      <c r="AO2" s="7" t="s">
        <v>203</v>
      </c>
      <c r="AP2" s="7" t="s">
        <v>204</v>
      </c>
      <c r="AQ2" s="7" t="s">
        <v>205</v>
      </c>
      <c r="AR2" s="7" t="s">
        <v>206</v>
      </c>
      <c r="AS2" s="7" t="s">
        <v>207</v>
      </c>
      <c r="AT2" s="7" t="s">
        <v>208</v>
      </c>
      <c r="AU2" s="7" t="s">
        <v>209</v>
      </c>
      <c r="AV2" s="7" t="s">
        <v>210</v>
      </c>
      <c r="AW2" s="7" t="s">
        <v>211</v>
      </c>
      <c r="AX2" s="7" t="s">
        <v>212</v>
      </c>
      <c r="AY2" s="7" t="s">
        <v>213</v>
      </c>
      <c r="AZ2" s="7" t="s">
        <v>214</v>
      </c>
      <c r="BA2" s="7" t="s">
        <v>215</v>
      </c>
      <c r="BB2" s="7" t="s">
        <v>216</v>
      </c>
      <c r="BC2" s="7" t="s">
        <v>217</v>
      </c>
      <c r="BD2" s="7" t="s">
        <v>218</v>
      </c>
      <c r="BE2" s="7" t="s">
        <v>219</v>
      </c>
      <c r="BF2" s="7" t="s">
        <v>220</v>
      </c>
      <c r="BG2" s="7" t="s">
        <v>221</v>
      </c>
      <c r="BH2" s="7" t="s">
        <v>222</v>
      </c>
      <c r="BI2" s="7" t="s">
        <v>223</v>
      </c>
    </row>
    <row r="3" spans="1:61" ht="15" customHeight="1" x14ac:dyDescent="0.25">
      <c r="A3" s="63" t="s">
        <v>1618</v>
      </c>
      <c r="B3" s="63" t="s">
        <v>1618</v>
      </c>
      <c r="C3" s="64"/>
      <c r="D3" s="65"/>
      <c r="E3" s="66"/>
      <c r="F3" s="67"/>
      <c r="G3" s="64"/>
      <c r="H3" s="68"/>
      <c r="I3" s="69"/>
      <c r="J3" s="69"/>
      <c r="K3" s="32"/>
      <c r="L3" s="70">
        <v>3</v>
      </c>
      <c r="M3" s="70"/>
      <c r="N3" s="71"/>
      <c r="O3" s="86" t="s">
        <v>179</v>
      </c>
      <c r="P3" s="89">
        <v>45145.89702546296</v>
      </c>
      <c r="Q3" s="86" t="s">
        <v>5829</v>
      </c>
      <c r="R3" s="86">
        <v>0</v>
      </c>
      <c r="S3" s="86">
        <v>1</v>
      </c>
      <c r="T3" s="86">
        <v>0</v>
      </c>
      <c r="U3" s="86">
        <v>0</v>
      </c>
      <c r="V3" s="86">
        <v>15</v>
      </c>
      <c r="W3" s="94" t="s">
        <v>8343</v>
      </c>
      <c r="X3" s="96" t="str">
        <f>HYPERLINK("https://www.chicosabetudo.com.br/politica/empreendedorismo-para-jovens-programa-brasil-mais-empreendedor-chega-a-bahia/?feed_id=22521&amp;_unique_id=64d162bf973bc")</f>
        <v>https://www.chicosabetudo.com.br/politica/empreendedorismo-para-jovens-programa-brasil-mais-empreendedor-chega-a-bahia/?feed_id=22521&amp;_unique_id=64d162bf973bc</v>
      </c>
      <c r="Y3" s="86" t="s">
        <v>8373</v>
      </c>
      <c r="Z3" s="86"/>
      <c r="AA3" s="86"/>
      <c r="AB3" s="86"/>
      <c r="AC3" s="94" t="s">
        <v>11457</v>
      </c>
      <c r="AD3" s="86" t="s">
        <v>11519</v>
      </c>
      <c r="AE3" s="96" t="str">
        <f>HYPERLINK("https://twitter.com/chicosabetudo/status/1688664241811652608")</f>
        <v>https://twitter.com/chicosabetudo/status/1688664241811652608</v>
      </c>
      <c r="AF3" s="89">
        <v>45145.89702546296</v>
      </c>
      <c r="AG3" s="98">
        <v>45145</v>
      </c>
      <c r="AH3" s="94" t="s">
        <v>15167</v>
      </c>
      <c r="AI3" s="86" t="b">
        <v>0</v>
      </c>
      <c r="AJ3" s="86"/>
      <c r="AK3" s="86"/>
      <c r="AL3" s="86"/>
      <c r="AM3" s="86"/>
      <c r="AN3" s="86"/>
      <c r="AO3" s="86"/>
      <c r="AP3" s="86"/>
      <c r="AQ3" s="86"/>
      <c r="AR3" s="86"/>
      <c r="AS3" s="86"/>
      <c r="AT3" s="86"/>
      <c r="AU3" s="86"/>
      <c r="AV3" s="96" t="str">
        <f>HYPERLINK("https://pbs.twimg.com/profile_images/1610767945189269509/PSltd92g_normal.jpg")</f>
        <v>https://pbs.twimg.com/profile_images/1610767945189269509/PSltd92g_normal.jpg</v>
      </c>
      <c r="AW3" s="94" t="s">
        <v>22286</v>
      </c>
      <c r="AX3" s="94" t="s">
        <v>22286</v>
      </c>
      <c r="AY3" s="86"/>
      <c r="AZ3" s="94" t="s">
        <v>22668</v>
      </c>
      <c r="BA3" s="94" t="s">
        <v>22668</v>
      </c>
      <c r="BB3" s="94" t="s">
        <v>22668</v>
      </c>
      <c r="BC3" s="94" t="s">
        <v>22286</v>
      </c>
      <c r="BD3" s="86">
        <v>250804213</v>
      </c>
      <c r="BE3" s="86"/>
      <c r="BF3" s="86"/>
      <c r="BG3" s="86"/>
      <c r="BH3" s="86"/>
      <c r="BI3" s="86"/>
    </row>
    <row r="4" spans="1:61" ht="15" customHeight="1" x14ac:dyDescent="0.25">
      <c r="A4" s="63" t="s">
        <v>224</v>
      </c>
      <c r="B4" s="63" t="s">
        <v>224</v>
      </c>
      <c r="C4" s="64"/>
      <c r="D4" s="65"/>
      <c r="E4" s="66"/>
      <c r="F4" s="67"/>
      <c r="G4" s="64"/>
      <c r="H4" s="68"/>
      <c r="I4" s="69"/>
      <c r="J4" s="69"/>
      <c r="K4" s="32"/>
      <c r="L4" s="76">
        <v>4</v>
      </c>
      <c r="M4" s="76"/>
      <c r="N4" s="71"/>
      <c r="O4" s="87" t="s">
        <v>179</v>
      </c>
      <c r="P4" s="90">
        <v>45152.343993055554</v>
      </c>
      <c r="Q4" s="87" t="s">
        <v>1845</v>
      </c>
      <c r="R4" s="87">
        <v>0</v>
      </c>
      <c r="S4" s="87">
        <v>0</v>
      </c>
      <c r="T4" s="87">
        <v>0</v>
      </c>
      <c r="U4" s="87">
        <v>0</v>
      </c>
      <c r="V4" s="87">
        <v>48</v>
      </c>
      <c r="W4" s="93" t="s">
        <v>5830</v>
      </c>
      <c r="X4" s="87"/>
      <c r="Y4" s="87"/>
      <c r="Z4" s="87"/>
      <c r="AA4" s="87" t="s">
        <v>8628</v>
      </c>
      <c r="AB4" s="87" t="s">
        <v>11447</v>
      </c>
      <c r="AC4" s="93" t="s">
        <v>11457</v>
      </c>
      <c r="AD4" s="87" t="s">
        <v>11518</v>
      </c>
      <c r="AE4" s="92" t="str">
        <f>HYPERLINK("https://twitter.com/autobahn1872094/status/1691000544561864704")</f>
        <v>https://twitter.com/autobahn1872094/status/1691000544561864704</v>
      </c>
      <c r="AF4" s="90">
        <v>45152.343993055554</v>
      </c>
      <c r="AG4" s="99">
        <v>45152</v>
      </c>
      <c r="AH4" s="93" t="s">
        <v>11532</v>
      </c>
      <c r="AI4" s="87" t="b">
        <v>0</v>
      </c>
      <c r="AJ4" s="87"/>
      <c r="AK4" s="87"/>
      <c r="AL4" s="87"/>
      <c r="AM4" s="87"/>
      <c r="AN4" s="87"/>
      <c r="AO4" s="87"/>
      <c r="AP4" s="87"/>
      <c r="AQ4" s="87" t="s">
        <v>15441</v>
      </c>
      <c r="AR4" s="87">
        <v>57980</v>
      </c>
      <c r="AS4" s="87"/>
      <c r="AT4" s="87"/>
      <c r="AU4" s="87"/>
      <c r="AV4" s="92" t="str">
        <f>HYPERLINK("https://pbs.twimg.com/ext_tw_video_thumb/1691000246011322368/pu/img/VrsKQxdJ5V8x2wgh.jpg")</f>
        <v>https://pbs.twimg.com/ext_tw_video_thumb/1691000246011322368/pu/img/VrsKQxdJ5V8x2wgh.jpg</v>
      </c>
      <c r="AW4" s="93" t="s">
        <v>18260</v>
      </c>
      <c r="AX4" s="93" t="s">
        <v>18260</v>
      </c>
      <c r="AY4" s="87"/>
      <c r="AZ4" s="93" t="s">
        <v>22668</v>
      </c>
      <c r="BA4" s="93" t="s">
        <v>22668</v>
      </c>
      <c r="BB4" s="93" t="s">
        <v>22668</v>
      </c>
      <c r="BC4" s="93" t="s">
        <v>18260</v>
      </c>
      <c r="BD4" s="93" t="s">
        <v>22793</v>
      </c>
      <c r="BE4" s="87"/>
      <c r="BF4" s="87"/>
      <c r="BG4" s="87"/>
      <c r="BH4" s="87"/>
      <c r="BI4" s="87"/>
    </row>
    <row r="5" spans="1:61" x14ac:dyDescent="0.25">
      <c r="A5" s="63" t="s">
        <v>225</v>
      </c>
      <c r="B5" s="63" t="s">
        <v>225</v>
      </c>
      <c r="C5" s="64"/>
      <c r="D5" s="65"/>
      <c r="E5" s="66"/>
      <c r="F5" s="67"/>
      <c r="G5" s="64"/>
      <c r="H5" s="68"/>
      <c r="I5" s="69"/>
      <c r="J5" s="69"/>
      <c r="K5" s="32"/>
      <c r="L5" s="76">
        <v>5</v>
      </c>
      <c r="M5" s="76"/>
      <c r="N5" s="71"/>
      <c r="O5" s="87" t="s">
        <v>179</v>
      </c>
      <c r="P5" s="90">
        <v>45141.792951388888</v>
      </c>
      <c r="Q5" s="87" t="s">
        <v>1846</v>
      </c>
      <c r="R5" s="87">
        <v>0</v>
      </c>
      <c r="S5" s="87">
        <v>2</v>
      </c>
      <c r="T5" s="87">
        <v>0</v>
      </c>
      <c r="U5" s="87">
        <v>0</v>
      </c>
      <c r="V5" s="87">
        <v>57</v>
      </c>
      <c r="W5" s="93" t="s">
        <v>5831</v>
      </c>
      <c r="X5" s="87"/>
      <c r="Y5" s="87"/>
      <c r="Z5" s="87"/>
      <c r="AA5" s="87" t="s">
        <v>8629</v>
      </c>
      <c r="AB5" s="87" t="s">
        <v>11447</v>
      </c>
      <c r="AC5" s="93" t="s">
        <v>11458</v>
      </c>
      <c r="AD5" s="87" t="s">
        <v>11519</v>
      </c>
      <c r="AE5" s="92" t="str">
        <f>HYPERLINK("https://twitter.com/tioferini/status/1687176976023371778")</f>
        <v>https://twitter.com/tioferini/status/1687176976023371778</v>
      </c>
      <c r="AF5" s="90">
        <v>45141.792951388888</v>
      </c>
      <c r="AG5" s="99">
        <v>45141</v>
      </c>
      <c r="AH5" s="93" t="s">
        <v>11533</v>
      </c>
      <c r="AI5" s="87" t="b">
        <v>0</v>
      </c>
      <c r="AJ5" s="87"/>
      <c r="AK5" s="87"/>
      <c r="AL5" s="87"/>
      <c r="AM5" s="87"/>
      <c r="AN5" s="87"/>
      <c r="AO5" s="87"/>
      <c r="AP5" s="87"/>
      <c r="AQ5" s="87" t="s">
        <v>15442</v>
      </c>
      <c r="AR5" s="87">
        <v>28250</v>
      </c>
      <c r="AS5" s="87"/>
      <c r="AT5" s="87"/>
      <c r="AU5" s="87"/>
      <c r="AV5" s="92" t="str">
        <f>HYPERLINK("https://pbs.twimg.com/ext_tw_video_thumb/1687176875649445888/pu/img/EHLQ6xeo57ybUzPv.jpg")</f>
        <v>https://pbs.twimg.com/ext_tw_video_thumb/1687176875649445888/pu/img/EHLQ6xeo57ybUzPv.jpg</v>
      </c>
      <c r="AW5" s="93" t="s">
        <v>18261</v>
      </c>
      <c r="AX5" s="93" t="s">
        <v>18261</v>
      </c>
      <c r="AY5" s="87"/>
      <c r="AZ5" s="93" t="s">
        <v>22668</v>
      </c>
      <c r="BA5" s="93" t="s">
        <v>22668</v>
      </c>
      <c r="BB5" s="93" t="s">
        <v>22668</v>
      </c>
      <c r="BC5" s="93" t="s">
        <v>18261</v>
      </c>
      <c r="BD5" s="93" t="s">
        <v>22794</v>
      </c>
      <c r="BE5" s="87"/>
      <c r="BF5" s="87"/>
      <c r="BG5" s="87"/>
      <c r="BH5" s="87"/>
      <c r="BI5" s="87"/>
    </row>
    <row r="6" spans="1:61" x14ac:dyDescent="0.25">
      <c r="A6" s="63" t="s">
        <v>225</v>
      </c>
      <c r="B6" s="63" t="s">
        <v>225</v>
      </c>
      <c r="C6" s="64"/>
      <c r="D6" s="65"/>
      <c r="E6" s="66"/>
      <c r="F6" s="67"/>
      <c r="G6" s="64"/>
      <c r="H6" s="68"/>
      <c r="I6" s="69"/>
      <c r="J6" s="69"/>
      <c r="K6" s="32"/>
      <c r="L6" s="76">
        <v>6</v>
      </c>
      <c r="M6" s="76"/>
      <c r="N6" s="71"/>
      <c r="O6" s="87" t="s">
        <v>179</v>
      </c>
      <c r="P6" s="90">
        <v>45141.527430555558</v>
      </c>
      <c r="Q6" s="87" t="s">
        <v>1847</v>
      </c>
      <c r="R6" s="87">
        <v>0</v>
      </c>
      <c r="S6" s="87">
        <v>2</v>
      </c>
      <c r="T6" s="87">
        <v>0</v>
      </c>
      <c r="U6" s="87">
        <v>0</v>
      </c>
      <c r="V6" s="87">
        <v>68</v>
      </c>
      <c r="W6" s="93" t="s">
        <v>5831</v>
      </c>
      <c r="X6" s="87"/>
      <c r="Y6" s="87"/>
      <c r="Z6" s="87"/>
      <c r="AA6" s="87" t="s">
        <v>8630</v>
      </c>
      <c r="AB6" s="87" t="s">
        <v>11447</v>
      </c>
      <c r="AC6" s="93" t="s">
        <v>11458</v>
      </c>
      <c r="AD6" s="87" t="s">
        <v>11519</v>
      </c>
      <c r="AE6" s="92" t="str">
        <f>HYPERLINK("https://twitter.com/tioferini/status/1687080752532393984")</f>
        <v>https://twitter.com/tioferini/status/1687080752532393984</v>
      </c>
      <c r="AF6" s="90">
        <v>45141.527430555558</v>
      </c>
      <c r="AG6" s="99">
        <v>45141</v>
      </c>
      <c r="AH6" s="93" t="s">
        <v>11534</v>
      </c>
      <c r="AI6" s="87" t="b">
        <v>0</v>
      </c>
      <c r="AJ6" s="87"/>
      <c r="AK6" s="87"/>
      <c r="AL6" s="87"/>
      <c r="AM6" s="87"/>
      <c r="AN6" s="87"/>
      <c r="AO6" s="87"/>
      <c r="AP6" s="87"/>
      <c r="AQ6" s="87" t="s">
        <v>15443</v>
      </c>
      <c r="AR6" s="87">
        <v>43566</v>
      </c>
      <c r="AS6" s="87"/>
      <c r="AT6" s="87"/>
      <c r="AU6" s="87"/>
      <c r="AV6" s="92" t="str">
        <f>HYPERLINK("https://pbs.twimg.com/ext_tw_video_thumb/1687080636832522240/pu/img/hMQkI04pPgBqMlpL.jpg")</f>
        <v>https://pbs.twimg.com/ext_tw_video_thumb/1687080636832522240/pu/img/hMQkI04pPgBqMlpL.jpg</v>
      </c>
      <c r="AW6" s="93" t="s">
        <v>18262</v>
      </c>
      <c r="AX6" s="93" t="s">
        <v>18262</v>
      </c>
      <c r="AY6" s="87"/>
      <c r="AZ6" s="93" t="s">
        <v>22668</v>
      </c>
      <c r="BA6" s="93" t="s">
        <v>22668</v>
      </c>
      <c r="BB6" s="93" t="s">
        <v>22668</v>
      </c>
      <c r="BC6" s="93" t="s">
        <v>18262</v>
      </c>
      <c r="BD6" s="93" t="s">
        <v>22794</v>
      </c>
      <c r="BE6" s="87"/>
      <c r="BF6" s="87"/>
      <c r="BG6" s="87"/>
      <c r="BH6" s="87"/>
      <c r="BI6" s="87"/>
    </row>
    <row r="7" spans="1:61" x14ac:dyDescent="0.25">
      <c r="A7" s="63" t="s">
        <v>225</v>
      </c>
      <c r="B7" s="63" t="s">
        <v>225</v>
      </c>
      <c r="C7" s="64"/>
      <c r="D7" s="65"/>
      <c r="E7" s="66"/>
      <c r="F7" s="67"/>
      <c r="G7" s="64"/>
      <c r="H7" s="68"/>
      <c r="I7" s="69"/>
      <c r="J7" s="69"/>
      <c r="K7" s="32"/>
      <c r="L7" s="76">
        <v>7</v>
      </c>
      <c r="M7" s="76"/>
      <c r="N7" s="71"/>
      <c r="O7" s="87" t="s">
        <v>179</v>
      </c>
      <c r="P7" s="90">
        <v>45143.837048611109</v>
      </c>
      <c r="Q7" s="87" t="s">
        <v>1848</v>
      </c>
      <c r="R7" s="87">
        <v>0</v>
      </c>
      <c r="S7" s="87">
        <v>3</v>
      </c>
      <c r="T7" s="87">
        <v>1</v>
      </c>
      <c r="U7" s="87">
        <v>0</v>
      </c>
      <c r="V7" s="87">
        <v>352</v>
      </c>
      <c r="W7" s="93" t="s">
        <v>5832</v>
      </c>
      <c r="X7" s="87"/>
      <c r="Y7" s="87"/>
      <c r="Z7" s="87"/>
      <c r="AA7" s="87" t="s">
        <v>8631</v>
      </c>
      <c r="AB7" s="87" t="s">
        <v>11447</v>
      </c>
      <c r="AC7" s="93" t="s">
        <v>11458</v>
      </c>
      <c r="AD7" s="87" t="s">
        <v>11519</v>
      </c>
      <c r="AE7" s="92" t="str">
        <f>HYPERLINK("https://twitter.com/tioferini/status/1687917728076529664")</f>
        <v>https://twitter.com/tioferini/status/1687917728076529664</v>
      </c>
      <c r="AF7" s="90">
        <v>45143.837048611109</v>
      </c>
      <c r="AG7" s="99">
        <v>45143</v>
      </c>
      <c r="AH7" s="93" t="s">
        <v>11535</v>
      </c>
      <c r="AI7" s="87" t="b">
        <v>0</v>
      </c>
      <c r="AJ7" s="87"/>
      <c r="AK7" s="87"/>
      <c r="AL7" s="87"/>
      <c r="AM7" s="87"/>
      <c r="AN7" s="87"/>
      <c r="AO7" s="87"/>
      <c r="AP7" s="87"/>
      <c r="AQ7" s="87" t="s">
        <v>15444</v>
      </c>
      <c r="AR7" s="87">
        <v>47283</v>
      </c>
      <c r="AS7" s="87"/>
      <c r="AT7" s="87"/>
      <c r="AU7" s="87"/>
      <c r="AV7" s="92" t="str">
        <f>HYPERLINK("https://pbs.twimg.com/ext_tw_video_thumb/1687917577261985792/pu/img/eyZWxLF0q1c7OQwV.jpg")</f>
        <v>https://pbs.twimg.com/ext_tw_video_thumb/1687917577261985792/pu/img/eyZWxLF0q1c7OQwV.jpg</v>
      </c>
      <c r="AW7" s="93" t="s">
        <v>18263</v>
      </c>
      <c r="AX7" s="93" t="s">
        <v>18263</v>
      </c>
      <c r="AY7" s="87"/>
      <c r="AZ7" s="93" t="s">
        <v>22668</v>
      </c>
      <c r="BA7" s="93" t="s">
        <v>22668</v>
      </c>
      <c r="BB7" s="93" t="s">
        <v>22668</v>
      </c>
      <c r="BC7" s="93" t="s">
        <v>18263</v>
      </c>
      <c r="BD7" s="93" t="s">
        <v>22794</v>
      </c>
      <c r="BE7" s="87"/>
      <c r="BF7" s="87"/>
      <c r="BG7" s="87"/>
      <c r="BH7" s="87"/>
      <c r="BI7" s="87"/>
    </row>
    <row r="8" spans="1:61" x14ac:dyDescent="0.25">
      <c r="A8" s="63" t="s">
        <v>225</v>
      </c>
      <c r="B8" s="63" t="s">
        <v>225</v>
      </c>
      <c r="C8" s="64"/>
      <c r="D8" s="65"/>
      <c r="E8" s="66"/>
      <c r="F8" s="67"/>
      <c r="G8" s="64"/>
      <c r="H8" s="68"/>
      <c r="I8" s="69"/>
      <c r="J8" s="69"/>
      <c r="K8" s="32"/>
      <c r="L8" s="76">
        <v>8</v>
      </c>
      <c r="M8" s="76"/>
      <c r="N8" s="71"/>
      <c r="O8" s="87" t="s">
        <v>179</v>
      </c>
      <c r="P8" s="90">
        <v>45143.697500000002</v>
      </c>
      <c r="Q8" s="87" t="s">
        <v>1849</v>
      </c>
      <c r="R8" s="87">
        <v>0</v>
      </c>
      <c r="S8" s="87">
        <v>3</v>
      </c>
      <c r="T8" s="87">
        <v>0</v>
      </c>
      <c r="U8" s="87">
        <v>0</v>
      </c>
      <c r="V8" s="87">
        <v>73</v>
      </c>
      <c r="W8" s="93" t="s">
        <v>5833</v>
      </c>
      <c r="X8" s="87"/>
      <c r="Y8" s="87"/>
      <c r="Z8" s="87"/>
      <c r="AA8" s="87" t="s">
        <v>8632</v>
      </c>
      <c r="AB8" s="87" t="s">
        <v>11447</v>
      </c>
      <c r="AC8" s="93" t="s">
        <v>11458</v>
      </c>
      <c r="AD8" s="87" t="s">
        <v>11519</v>
      </c>
      <c r="AE8" s="92" t="str">
        <f>HYPERLINK("https://twitter.com/tioferini/status/1687867158800351232")</f>
        <v>https://twitter.com/tioferini/status/1687867158800351232</v>
      </c>
      <c r="AF8" s="90">
        <v>45143.697500000002</v>
      </c>
      <c r="AG8" s="99">
        <v>45143</v>
      </c>
      <c r="AH8" s="93" t="s">
        <v>11536</v>
      </c>
      <c r="AI8" s="87" t="b">
        <v>0</v>
      </c>
      <c r="AJ8" s="87"/>
      <c r="AK8" s="87"/>
      <c r="AL8" s="87"/>
      <c r="AM8" s="87"/>
      <c r="AN8" s="87"/>
      <c r="AO8" s="87"/>
      <c r="AP8" s="87"/>
      <c r="AQ8" s="87" t="s">
        <v>15445</v>
      </c>
      <c r="AR8" s="87">
        <v>46200</v>
      </c>
      <c r="AS8" s="87"/>
      <c r="AT8" s="87"/>
      <c r="AU8" s="87"/>
      <c r="AV8" s="92" t="str">
        <f>HYPERLINK("https://pbs.twimg.com/ext_tw_video_thumb/1687867017682886656/pu/img/5HpA2z5eEH8OGNgi.jpg")</f>
        <v>https://pbs.twimg.com/ext_tw_video_thumb/1687867017682886656/pu/img/5HpA2z5eEH8OGNgi.jpg</v>
      </c>
      <c r="AW8" s="93" t="s">
        <v>18264</v>
      </c>
      <c r="AX8" s="93" t="s">
        <v>18264</v>
      </c>
      <c r="AY8" s="87"/>
      <c r="AZ8" s="93" t="s">
        <v>22668</v>
      </c>
      <c r="BA8" s="93" t="s">
        <v>22668</v>
      </c>
      <c r="BB8" s="93" t="s">
        <v>22668</v>
      </c>
      <c r="BC8" s="93" t="s">
        <v>18264</v>
      </c>
      <c r="BD8" s="93" t="s">
        <v>22794</v>
      </c>
      <c r="BE8" s="87"/>
      <c r="BF8" s="87"/>
      <c r="BG8" s="87"/>
      <c r="BH8" s="87"/>
      <c r="BI8" s="87"/>
    </row>
    <row r="9" spans="1:61" x14ac:dyDescent="0.25">
      <c r="A9" s="63" t="s">
        <v>225</v>
      </c>
      <c r="B9" s="63" t="s">
        <v>225</v>
      </c>
      <c r="C9" s="64"/>
      <c r="D9" s="65"/>
      <c r="E9" s="66"/>
      <c r="F9" s="67"/>
      <c r="G9" s="64"/>
      <c r="H9" s="68"/>
      <c r="I9" s="69"/>
      <c r="J9" s="69"/>
      <c r="K9" s="32"/>
      <c r="L9" s="76">
        <v>9</v>
      </c>
      <c r="M9" s="76"/>
      <c r="N9" s="71"/>
      <c r="O9" s="87" t="s">
        <v>179</v>
      </c>
      <c r="P9" s="90">
        <v>45146.038055555553</v>
      </c>
      <c r="Q9" s="87" t="s">
        <v>1850</v>
      </c>
      <c r="R9" s="87">
        <v>0</v>
      </c>
      <c r="S9" s="87">
        <v>6</v>
      </c>
      <c r="T9" s="87">
        <v>0</v>
      </c>
      <c r="U9" s="87">
        <v>0</v>
      </c>
      <c r="V9" s="87">
        <v>428</v>
      </c>
      <c r="W9" s="93" t="s">
        <v>5834</v>
      </c>
      <c r="X9" s="87"/>
      <c r="Y9" s="87"/>
      <c r="Z9" s="87"/>
      <c r="AA9" s="87" t="s">
        <v>8633</v>
      </c>
      <c r="AB9" s="87" t="s">
        <v>11447</v>
      </c>
      <c r="AC9" s="93" t="s">
        <v>11458</v>
      </c>
      <c r="AD9" s="87" t="s">
        <v>11519</v>
      </c>
      <c r="AE9" s="92" t="str">
        <f>HYPERLINK("https://twitter.com/tioferini/status/1688715349691133952")</f>
        <v>https://twitter.com/tioferini/status/1688715349691133952</v>
      </c>
      <c r="AF9" s="90">
        <v>45146.038055555553</v>
      </c>
      <c r="AG9" s="99">
        <v>45146</v>
      </c>
      <c r="AH9" s="93" t="s">
        <v>11537</v>
      </c>
      <c r="AI9" s="87" t="b">
        <v>0</v>
      </c>
      <c r="AJ9" s="87"/>
      <c r="AK9" s="87"/>
      <c r="AL9" s="87"/>
      <c r="AM9" s="87"/>
      <c r="AN9" s="87"/>
      <c r="AO9" s="87"/>
      <c r="AP9" s="87"/>
      <c r="AQ9" s="87" t="s">
        <v>15446</v>
      </c>
      <c r="AR9" s="87">
        <v>30450</v>
      </c>
      <c r="AS9" s="87"/>
      <c r="AT9" s="87"/>
      <c r="AU9" s="87"/>
      <c r="AV9" s="92" t="str">
        <f>HYPERLINK("https://pbs.twimg.com/ext_tw_video_thumb/1688715248188919808/pu/img/U4cvrf0qhWMOACs5.jpg")</f>
        <v>https://pbs.twimg.com/ext_tw_video_thumb/1688715248188919808/pu/img/U4cvrf0qhWMOACs5.jpg</v>
      </c>
      <c r="AW9" s="93" t="s">
        <v>18265</v>
      </c>
      <c r="AX9" s="93" t="s">
        <v>18265</v>
      </c>
      <c r="AY9" s="87"/>
      <c r="AZ9" s="93" t="s">
        <v>22668</v>
      </c>
      <c r="BA9" s="93" t="s">
        <v>22668</v>
      </c>
      <c r="BB9" s="93" t="s">
        <v>22668</v>
      </c>
      <c r="BC9" s="93" t="s">
        <v>18265</v>
      </c>
      <c r="BD9" s="93" t="s">
        <v>22794</v>
      </c>
      <c r="BE9" s="87"/>
      <c r="BF9" s="87"/>
      <c r="BG9" s="87"/>
      <c r="BH9" s="87"/>
      <c r="BI9" s="87"/>
    </row>
    <row r="10" spans="1:61" x14ac:dyDescent="0.25">
      <c r="A10" s="63" t="s">
        <v>226</v>
      </c>
      <c r="B10" s="63" t="s">
        <v>1619</v>
      </c>
      <c r="C10" s="64"/>
      <c r="D10" s="65"/>
      <c r="E10" s="66"/>
      <c r="F10" s="67"/>
      <c r="G10" s="64"/>
      <c r="H10" s="68"/>
      <c r="I10" s="69"/>
      <c r="J10" s="69"/>
      <c r="K10" s="32"/>
      <c r="L10" s="76">
        <v>10</v>
      </c>
      <c r="M10" s="76"/>
      <c r="N10" s="71"/>
      <c r="O10" s="87" t="s">
        <v>1839</v>
      </c>
      <c r="P10" s="90">
        <v>45136.803807870368</v>
      </c>
      <c r="Q10" s="87" t="s">
        <v>1851</v>
      </c>
      <c r="R10" s="87">
        <v>2</v>
      </c>
      <c r="S10" s="87">
        <v>6</v>
      </c>
      <c r="T10" s="87">
        <v>0</v>
      </c>
      <c r="U10" s="87">
        <v>0</v>
      </c>
      <c r="V10" s="87">
        <v>272</v>
      </c>
      <c r="W10" s="93" t="s">
        <v>5835</v>
      </c>
      <c r="X10" s="87"/>
      <c r="Y10" s="87"/>
      <c r="Z10" s="87" t="s">
        <v>8563</v>
      </c>
      <c r="AA10" s="87" t="s">
        <v>8634</v>
      </c>
      <c r="AB10" s="87" t="s">
        <v>11447</v>
      </c>
      <c r="AC10" s="93" t="s">
        <v>11459</v>
      </c>
      <c r="AD10" s="87" t="s">
        <v>11519</v>
      </c>
      <c r="AE10" s="92" t="str">
        <f>HYPERLINK("https://twitter.com/raph4/status/1685368970147225600")</f>
        <v>https://twitter.com/raph4/status/1685368970147225600</v>
      </c>
      <c r="AF10" s="90">
        <v>45136.803807870368</v>
      </c>
      <c r="AG10" s="99">
        <v>45136</v>
      </c>
      <c r="AH10" s="93" t="s">
        <v>11538</v>
      </c>
      <c r="AI10" s="87" t="b">
        <v>0</v>
      </c>
      <c r="AJ10" s="87"/>
      <c r="AK10" s="87"/>
      <c r="AL10" s="87"/>
      <c r="AM10" s="87"/>
      <c r="AN10" s="87"/>
      <c r="AO10" s="87"/>
      <c r="AP10" s="87"/>
      <c r="AQ10" s="87" t="s">
        <v>15447</v>
      </c>
      <c r="AR10" s="87">
        <v>59049</v>
      </c>
      <c r="AS10" s="87"/>
      <c r="AT10" s="87"/>
      <c r="AU10" s="87"/>
      <c r="AV10" s="92" t="str">
        <f>HYPERLINK("https://pbs.twimg.com/ext_tw_video_thumb/1685368929881825280/pu/img/C5EiifUIBF53EugS.jpg")</f>
        <v>https://pbs.twimg.com/ext_tw_video_thumb/1685368929881825280/pu/img/C5EiifUIBF53EugS.jpg</v>
      </c>
      <c r="AW10" s="93" t="s">
        <v>18266</v>
      </c>
      <c r="AX10" s="93" t="s">
        <v>18266</v>
      </c>
      <c r="AY10" s="87"/>
      <c r="AZ10" s="93" t="s">
        <v>22668</v>
      </c>
      <c r="BA10" s="93" t="s">
        <v>22668</v>
      </c>
      <c r="BB10" s="93" t="s">
        <v>22668</v>
      </c>
      <c r="BC10" s="93" t="s">
        <v>18266</v>
      </c>
      <c r="BD10" s="87">
        <v>19536137</v>
      </c>
      <c r="BE10" s="87"/>
      <c r="BF10" s="87"/>
      <c r="BG10" s="87"/>
      <c r="BH10" s="87"/>
      <c r="BI10" s="87"/>
    </row>
    <row r="11" spans="1:61" x14ac:dyDescent="0.25">
      <c r="A11" s="63" t="s">
        <v>226</v>
      </c>
      <c r="B11" s="63" t="s">
        <v>1620</v>
      </c>
      <c r="C11" s="64"/>
      <c r="D11" s="65"/>
      <c r="E11" s="66"/>
      <c r="F11" s="67"/>
      <c r="G11" s="64"/>
      <c r="H11" s="68"/>
      <c r="I11" s="69"/>
      <c r="J11" s="69"/>
      <c r="K11" s="32"/>
      <c r="L11" s="76">
        <v>11</v>
      </c>
      <c r="M11" s="76"/>
      <c r="N11" s="71"/>
      <c r="O11" s="87" t="s">
        <v>1839</v>
      </c>
      <c r="P11" s="90">
        <v>45136.803807870368</v>
      </c>
      <c r="Q11" s="87" t="s">
        <v>1851</v>
      </c>
      <c r="R11" s="87">
        <v>2</v>
      </c>
      <c r="S11" s="87">
        <v>6</v>
      </c>
      <c r="T11" s="87">
        <v>0</v>
      </c>
      <c r="U11" s="87">
        <v>0</v>
      </c>
      <c r="V11" s="87">
        <v>272</v>
      </c>
      <c r="W11" s="93" t="s">
        <v>5835</v>
      </c>
      <c r="X11" s="87"/>
      <c r="Y11" s="87"/>
      <c r="Z11" s="87" t="s">
        <v>8563</v>
      </c>
      <c r="AA11" s="87" t="s">
        <v>8634</v>
      </c>
      <c r="AB11" s="87" t="s">
        <v>11447</v>
      </c>
      <c r="AC11" s="93" t="s">
        <v>11459</v>
      </c>
      <c r="AD11" s="87" t="s">
        <v>11519</v>
      </c>
      <c r="AE11" s="92" t="str">
        <f>HYPERLINK("https://twitter.com/raph4/status/1685368970147225600")</f>
        <v>https://twitter.com/raph4/status/1685368970147225600</v>
      </c>
      <c r="AF11" s="90">
        <v>45136.803807870368</v>
      </c>
      <c r="AG11" s="99">
        <v>45136</v>
      </c>
      <c r="AH11" s="93" t="s">
        <v>11538</v>
      </c>
      <c r="AI11" s="87" t="b">
        <v>0</v>
      </c>
      <c r="AJ11" s="87"/>
      <c r="AK11" s="87"/>
      <c r="AL11" s="87"/>
      <c r="AM11" s="87"/>
      <c r="AN11" s="87"/>
      <c r="AO11" s="87"/>
      <c r="AP11" s="87"/>
      <c r="AQ11" s="87" t="s">
        <v>15447</v>
      </c>
      <c r="AR11" s="87">
        <v>59049</v>
      </c>
      <c r="AS11" s="87"/>
      <c r="AT11" s="87"/>
      <c r="AU11" s="87"/>
      <c r="AV11" s="92" t="str">
        <f>HYPERLINK("https://pbs.twimg.com/ext_tw_video_thumb/1685368929881825280/pu/img/C5EiifUIBF53EugS.jpg")</f>
        <v>https://pbs.twimg.com/ext_tw_video_thumb/1685368929881825280/pu/img/C5EiifUIBF53EugS.jpg</v>
      </c>
      <c r="AW11" s="93" t="s">
        <v>18266</v>
      </c>
      <c r="AX11" s="93" t="s">
        <v>18266</v>
      </c>
      <c r="AY11" s="87"/>
      <c r="AZ11" s="93" t="s">
        <v>22668</v>
      </c>
      <c r="BA11" s="93" t="s">
        <v>22668</v>
      </c>
      <c r="BB11" s="93" t="s">
        <v>22668</v>
      </c>
      <c r="BC11" s="93" t="s">
        <v>18266</v>
      </c>
      <c r="BD11" s="87">
        <v>19536137</v>
      </c>
      <c r="BE11" s="87"/>
      <c r="BF11" s="87"/>
      <c r="BG11" s="87"/>
      <c r="BH11" s="87"/>
      <c r="BI11" s="87"/>
    </row>
    <row r="12" spans="1:61" x14ac:dyDescent="0.25">
      <c r="A12" s="63" t="s">
        <v>226</v>
      </c>
      <c r="B12" s="63" t="s">
        <v>226</v>
      </c>
      <c r="C12" s="64"/>
      <c r="D12" s="65"/>
      <c r="E12" s="66"/>
      <c r="F12" s="67"/>
      <c r="G12" s="64"/>
      <c r="H12" s="68"/>
      <c r="I12" s="69"/>
      <c r="J12" s="69"/>
      <c r="K12" s="32"/>
      <c r="L12" s="76">
        <v>12</v>
      </c>
      <c r="M12" s="76"/>
      <c r="N12" s="71"/>
      <c r="O12" s="87" t="s">
        <v>1839</v>
      </c>
      <c r="P12" s="90">
        <v>45136.803807870368</v>
      </c>
      <c r="Q12" s="87" t="s">
        <v>1851</v>
      </c>
      <c r="R12" s="87">
        <v>2</v>
      </c>
      <c r="S12" s="87">
        <v>6</v>
      </c>
      <c r="T12" s="87">
        <v>0</v>
      </c>
      <c r="U12" s="87">
        <v>0</v>
      </c>
      <c r="V12" s="87">
        <v>272</v>
      </c>
      <c r="W12" s="93" t="s">
        <v>5835</v>
      </c>
      <c r="X12" s="87"/>
      <c r="Y12" s="87"/>
      <c r="Z12" s="87" t="s">
        <v>8563</v>
      </c>
      <c r="AA12" s="87" t="s">
        <v>8634</v>
      </c>
      <c r="AB12" s="87" t="s">
        <v>11447</v>
      </c>
      <c r="AC12" s="93" t="s">
        <v>11459</v>
      </c>
      <c r="AD12" s="87" t="s">
        <v>11519</v>
      </c>
      <c r="AE12" s="92" t="str">
        <f>HYPERLINK("https://twitter.com/raph4/status/1685368970147225600")</f>
        <v>https://twitter.com/raph4/status/1685368970147225600</v>
      </c>
      <c r="AF12" s="90">
        <v>45136.803807870368</v>
      </c>
      <c r="AG12" s="99">
        <v>45136</v>
      </c>
      <c r="AH12" s="93" t="s">
        <v>11538</v>
      </c>
      <c r="AI12" s="87" t="b">
        <v>0</v>
      </c>
      <c r="AJ12" s="87"/>
      <c r="AK12" s="87"/>
      <c r="AL12" s="87"/>
      <c r="AM12" s="87"/>
      <c r="AN12" s="87"/>
      <c r="AO12" s="87"/>
      <c r="AP12" s="87"/>
      <c r="AQ12" s="87" t="s">
        <v>15447</v>
      </c>
      <c r="AR12" s="87">
        <v>59049</v>
      </c>
      <c r="AS12" s="87"/>
      <c r="AT12" s="87"/>
      <c r="AU12" s="87"/>
      <c r="AV12" s="92" t="str">
        <f>HYPERLINK("https://pbs.twimg.com/ext_tw_video_thumb/1685368929881825280/pu/img/C5EiifUIBF53EugS.jpg")</f>
        <v>https://pbs.twimg.com/ext_tw_video_thumb/1685368929881825280/pu/img/C5EiifUIBF53EugS.jpg</v>
      </c>
      <c r="AW12" s="93" t="s">
        <v>18266</v>
      </c>
      <c r="AX12" s="93" t="s">
        <v>18266</v>
      </c>
      <c r="AY12" s="87"/>
      <c r="AZ12" s="93" t="s">
        <v>22668</v>
      </c>
      <c r="BA12" s="93" t="s">
        <v>22668</v>
      </c>
      <c r="BB12" s="93" t="s">
        <v>22668</v>
      </c>
      <c r="BC12" s="93" t="s">
        <v>18266</v>
      </c>
      <c r="BD12" s="87">
        <v>19536137</v>
      </c>
      <c r="BE12" s="87"/>
      <c r="BF12" s="87"/>
      <c r="BG12" s="87"/>
      <c r="BH12" s="87"/>
      <c r="BI12" s="87"/>
    </row>
    <row r="13" spans="1:61" x14ac:dyDescent="0.25">
      <c r="A13" s="63" t="s">
        <v>227</v>
      </c>
      <c r="B13" s="63" t="s">
        <v>1621</v>
      </c>
      <c r="C13" s="64"/>
      <c r="D13" s="65"/>
      <c r="E13" s="66"/>
      <c r="F13" s="67"/>
      <c r="G13" s="64"/>
      <c r="H13" s="68"/>
      <c r="I13" s="69"/>
      <c r="J13" s="69"/>
      <c r="K13" s="32"/>
      <c r="L13" s="76">
        <v>13</v>
      </c>
      <c r="M13" s="76"/>
      <c r="N13" s="71"/>
      <c r="O13" s="87" t="s">
        <v>1839</v>
      </c>
      <c r="P13" s="90">
        <v>45168.904768518521</v>
      </c>
      <c r="Q13" s="87" t="s">
        <v>1852</v>
      </c>
      <c r="R13" s="87">
        <v>1</v>
      </c>
      <c r="S13" s="87">
        <v>6</v>
      </c>
      <c r="T13" s="87">
        <v>0</v>
      </c>
      <c r="U13" s="87">
        <v>1</v>
      </c>
      <c r="V13" s="87">
        <v>457</v>
      </c>
      <c r="W13" s="93" t="s">
        <v>5836</v>
      </c>
      <c r="X13" s="87"/>
      <c r="Y13" s="87"/>
      <c r="Z13" s="87" t="s">
        <v>8564</v>
      </c>
      <c r="AA13" s="87" t="s">
        <v>8635</v>
      </c>
      <c r="AB13" s="87" t="s">
        <v>11448</v>
      </c>
      <c r="AC13" s="93" t="s">
        <v>11459</v>
      </c>
      <c r="AD13" s="87" t="s">
        <v>11519</v>
      </c>
      <c r="AE13" s="92" t="str">
        <f>HYPERLINK("https://twitter.com/iberoam_xyz/status/1697001965572477249")</f>
        <v>https://twitter.com/iberoam_xyz/status/1697001965572477249</v>
      </c>
      <c r="AF13" s="90">
        <v>45168.904768518521</v>
      </c>
      <c r="AG13" s="99">
        <v>45168</v>
      </c>
      <c r="AH13" s="93" t="s">
        <v>11539</v>
      </c>
      <c r="AI13" s="87" t="b">
        <v>0</v>
      </c>
      <c r="AJ13" s="87"/>
      <c r="AK13" s="87"/>
      <c r="AL13" s="87"/>
      <c r="AM13" s="87"/>
      <c r="AN13" s="87"/>
      <c r="AO13" s="87"/>
      <c r="AP13" s="87"/>
      <c r="AQ13" s="87" t="s">
        <v>15448</v>
      </c>
      <c r="AR13" s="87"/>
      <c r="AS13" s="87"/>
      <c r="AT13" s="87"/>
      <c r="AU13" s="87"/>
      <c r="AV13" s="92" t="str">
        <f>HYPERLINK("https://pbs.twimg.com/media/F4z2SWkXUAAlI-I.jpg")</f>
        <v>https://pbs.twimg.com/media/F4z2SWkXUAAlI-I.jpg</v>
      </c>
      <c r="AW13" s="93" t="s">
        <v>18267</v>
      </c>
      <c r="AX13" s="93" t="s">
        <v>18267</v>
      </c>
      <c r="AY13" s="87"/>
      <c r="AZ13" s="93" t="s">
        <v>22668</v>
      </c>
      <c r="BA13" s="93" t="s">
        <v>22668</v>
      </c>
      <c r="BB13" s="93" t="s">
        <v>22668</v>
      </c>
      <c r="BC13" s="93" t="s">
        <v>18267</v>
      </c>
      <c r="BD13" s="93" t="s">
        <v>22795</v>
      </c>
      <c r="BE13" s="87"/>
      <c r="BF13" s="87"/>
      <c r="BG13" s="87"/>
      <c r="BH13" s="87"/>
      <c r="BI13" s="87"/>
    </row>
    <row r="14" spans="1:61" x14ac:dyDescent="0.25">
      <c r="A14" s="63" t="s">
        <v>227</v>
      </c>
      <c r="B14" s="63" t="s">
        <v>1621</v>
      </c>
      <c r="C14" s="64"/>
      <c r="D14" s="65"/>
      <c r="E14" s="66"/>
      <c r="F14" s="67"/>
      <c r="G14" s="64"/>
      <c r="H14" s="68"/>
      <c r="I14" s="69"/>
      <c r="J14" s="69"/>
      <c r="K14" s="32"/>
      <c r="L14" s="76">
        <v>14</v>
      </c>
      <c r="M14" s="76"/>
      <c r="N14" s="71"/>
      <c r="O14" s="87" t="s">
        <v>1839</v>
      </c>
      <c r="P14" s="90">
        <v>45168.904768518521</v>
      </c>
      <c r="Q14" s="87" t="s">
        <v>1852</v>
      </c>
      <c r="R14" s="87">
        <v>1</v>
      </c>
      <c r="S14" s="87">
        <v>6</v>
      </c>
      <c r="T14" s="87">
        <v>0</v>
      </c>
      <c r="U14" s="87">
        <v>1</v>
      </c>
      <c r="V14" s="87">
        <v>457</v>
      </c>
      <c r="W14" s="93" t="s">
        <v>5836</v>
      </c>
      <c r="X14" s="87"/>
      <c r="Y14" s="87"/>
      <c r="Z14" s="87" t="s">
        <v>8564</v>
      </c>
      <c r="AA14" s="87" t="s">
        <v>8635</v>
      </c>
      <c r="AB14" s="87" t="s">
        <v>11448</v>
      </c>
      <c r="AC14" s="93" t="s">
        <v>11459</v>
      </c>
      <c r="AD14" s="87" t="s">
        <v>11519</v>
      </c>
      <c r="AE14" s="92" t="str">
        <f>HYPERLINK("https://twitter.com/iberoam_xyz/status/1697001965572477249")</f>
        <v>https://twitter.com/iberoam_xyz/status/1697001965572477249</v>
      </c>
      <c r="AF14" s="90">
        <v>45168.904768518521</v>
      </c>
      <c r="AG14" s="99">
        <v>45168</v>
      </c>
      <c r="AH14" s="93" t="s">
        <v>11539</v>
      </c>
      <c r="AI14" s="87" t="b">
        <v>0</v>
      </c>
      <c r="AJ14" s="87"/>
      <c r="AK14" s="87"/>
      <c r="AL14" s="87"/>
      <c r="AM14" s="87"/>
      <c r="AN14" s="87"/>
      <c r="AO14" s="87"/>
      <c r="AP14" s="87"/>
      <c r="AQ14" s="87" t="s">
        <v>15448</v>
      </c>
      <c r="AR14" s="87"/>
      <c r="AS14" s="87"/>
      <c r="AT14" s="87"/>
      <c r="AU14" s="87"/>
      <c r="AV14" s="92" t="str">
        <f>HYPERLINK("https://pbs.twimg.com/media/F4z2SWkXUAAlI-I.jpg")</f>
        <v>https://pbs.twimg.com/media/F4z2SWkXUAAlI-I.jpg</v>
      </c>
      <c r="AW14" s="93" t="s">
        <v>18267</v>
      </c>
      <c r="AX14" s="93" t="s">
        <v>18267</v>
      </c>
      <c r="AY14" s="87"/>
      <c r="AZ14" s="93" t="s">
        <v>22668</v>
      </c>
      <c r="BA14" s="93" t="s">
        <v>22668</v>
      </c>
      <c r="BB14" s="93" t="s">
        <v>22668</v>
      </c>
      <c r="BC14" s="93" t="s">
        <v>18267</v>
      </c>
      <c r="BD14" s="93" t="s">
        <v>22795</v>
      </c>
      <c r="BE14" s="87"/>
      <c r="BF14" s="87"/>
      <c r="BG14" s="87"/>
      <c r="BH14" s="87"/>
      <c r="BI14" s="87"/>
    </row>
    <row r="15" spans="1:61" x14ac:dyDescent="0.25">
      <c r="A15" s="63" t="s">
        <v>228</v>
      </c>
      <c r="B15" s="63" t="s">
        <v>228</v>
      </c>
      <c r="C15" s="64"/>
      <c r="D15" s="65"/>
      <c r="E15" s="66"/>
      <c r="F15" s="67"/>
      <c r="G15" s="64"/>
      <c r="H15" s="68"/>
      <c r="I15" s="69"/>
      <c r="J15" s="69"/>
      <c r="K15" s="32"/>
      <c r="L15" s="76">
        <v>15</v>
      </c>
      <c r="M15" s="76"/>
      <c r="N15" s="71"/>
      <c r="O15" s="87" t="s">
        <v>1840</v>
      </c>
      <c r="P15" s="90">
        <v>45166.752858796295</v>
      </c>
      <c r="Q15" s="87" t="s">
        <v>1853</v>
      </c>
      <c r="R15" s="87">
        <v>0</v>
      </c>
      <c r="S15" s="87">
        <v>0</v>
      </c>
      <c r="T15" s="87">
        <v>0</v>
      </c>
      <c r="U15" s="87">
        <v>0</v>
      </c>
      <c r="V15" s="87">
        <v>9</v>
      </c>
      <c r="W15" s="93" t="s">
        <v>5837</v>
      </c>
      <c r="X15" s="87"/>
      <c r="Y15" s="87"/>
      <c r="Z15" s="87"/>
      <c r="AA15" s="87"/>
      <c r="AB15" s="87"/>
      <c r="AC15" s="93" t="s">
        <v>11458</v>
      </c>
      <c r="AD15" s="87" t="s">
        <v>11519</v>
      </c>
      <c r="AE15" s="92" t="str">
        <f>HYPERLINK("https://twitter.com/leonardope36474/status/1696222143602671828")</f>
        <v>https://twitter.com/leonardope36474/status/1696222143602671828</v>
      </c>
      <c r="AF15" s="90">
        <v>45166.752858796295</v>
      </c>
      <c r="AG15" s="99">
        <v>45166</v>
      </c>
      <c r="AH15" s="93" t="s">
        <v>11540</v>
      </c>
      <c r="AI15" s="87"/>
      <c r="AJ15" s="87"/>
      <c r="AK15" s="87"/>
      <c r="AL15" s="87"/>
      <c r="AM15" s="87"/>
      <c r="AN15" s="87"/>
      <c r="AO15" s="87"/>
      <c r="AP15" s="87"/>
      <c r="AQ15" s="87"/>
      <c r="AR15" s="87"/>
      <c r="AS15" s="87"/>
      <c r="AT15" s="87"/>
      <c r="AU15" s="87"/>
      <c r="AV15" s="92" t="str">
        <f>HYPERLINK("https://pbs.twimg.com/profile_images/1681990442760503302/DXI_bqyK_normal.jpg")</f>
        <v>https://pbs.twimg.com/profile_images/1681990442760503302/DXI_bqyK_normal.jpg</v>
      </c>
      <c r="AW15" s="93" t="s">
        <v>18268</v>
      </c>
      <c r="AX15" s="93" t="s">
        <v>22287</v>
      </c>
      <c r="AY15" s="93" t="s">
        <v>22517</v>
      </c>
      <c r="AZ15" s="93" t="s">
        <v>22287</v>
      </c>
      <c r="BA15" s="93" t="s">
        <v>22668</v>
      </c>
      <c r="BB15" s="93" t="s">
        <v>22668</v>
      </c>
      <c r="BC15" s="93" t="s">
        <v>22287</v>
      </c>
      <c r="BD15" s="93" t="s">
        <v>22517</v>
      </c>
      <c r="BE15" s="87"/>
      <c r="BF15" s="87"/>
      <c r="BG15" s="87"/>
      <c r="BH15" s="87"/>
      <c r="BI15" s="87"/>
    </row>
    <row r="16" spans="1:61" x14ac:dyDescent="0.25">
      <c r="A16" s="63" t="s">
        <v>229</v>
      </c>
      <c r="B16" s="63" t="s">
        <v>229</v>
      </c>
      <c r="C16" s="64"/>
      <c r="D16" s="65"/>
      <c r="E16" s="66"/>
      <c r="F16" s="67"/>
      <c r="G16" s="64"/>
      <c r="H16" s="68"/>
      <c r="I16" s="69"/>
      <c r="J16" s="69"/>
      <c r="K16" s="32"/>
      <c r="L16" s="76">
        <v>16</v>
      </c>
      <c r="M16" s="76"/>
      <c r="N16" s="71"/>
      <c r="O16" s="87" t="s">
        <v>179</v>
      </c>
      <c r="P16" s="90">
        <v>45118.216157407405</v>
      </c>
      <c r="Q16" s="87" t="s">
        <v>1854</v>
      </c>
      <c r="R16" s="87">
        <v>0</v>
      </c>
      <c r="S16" s="87">
        <v>2</v>
      </c>
      <c r="T16" s="87">
        <v>0</v>
      </c>
      <c r="U16" s="87">
        <v>0</v>
      </c>
      <c r="V16" s="87">
        <v>15</v>
      </c>
      <c r="W16" s="93" t="s">
        <v>5838</v>
      </c>
      <c r="X16" s="87"/>
      <c r="Y16" s="87"/>
      <c r="Z16" s="87"/>
      <c r="AA16" s="87"/>
      <c r="AB16" s="87"/>
      <c r="AC16" s="93" t="s">
        <v>11459</v>
      </c>
      <c r="AD16" s="87" t="s">
        <v>11519</v>
      </c>
      <c r="AE16" s="92" t="str">
        <f>HYPERLINK("https://twitter.com/luizfabcruz/status/1678633029131022339")</f>
        <v>https://twitter.com/luizfabcruz/status/1678633029131022339</v>
      </c>
      <c r="AF16" s="90">
        <v>45118.216157407405</v>
      </c>
      <c r="AG16" s="99">
        <v>45118</v>
      </c>
      <c r="AH16" s="93" t="s">
        <v>11541</v>
      </c>
      <c r="AI16" s="87"/>
      <c r="AJ16" s="87"/>
      <c r="AK16" s="87"/>
      <c r="AL16" s="87"/>
      <c r="AM16" s="87"/>
      <c r="AN16" s="87"/>
      <c r="AO16" s="87"/>
      <c r="AP16" s="87"/>
      <c r="AQ16" s="87"/>
      <c r="AR16" s="87"/>
      <c r="AS16" s="87"/>
      <c r="AT16" s="87"/>
      <c r="AU16" s="87"/>
      <c r="AV16" s="92" t="str">
        <f>HYPERLINK("https://pbs.twimg.com/profile_images/1678551674288218112/UkI7YeWE_normal.jpg")</f>
        <v>https://pbs.twimg.com/profile_images/1678551674288218112/UkI7YeWE_normal.jpg</v>
      </c>
      <c r="AW16" s="93" t="s">
        <v>18269</v>
      </c>
      <c r="AX16" s="93" t="s">
        <v>18269</v>
      </c>
      <c r="AY16" s="87"/>
      <c r="AZ16" s="93" t="s">
        <v>22668</v>
      </c>
      <c r="BA16" s="93" t="s">
        <v>22668</v>
      </c>
      <c r="BB16" s="93" t="s">
        <v>22668</v>
      </c>
      <c r="BC16" s="93" t="s">
        <v>18269</v>
      </c>
      <c r="BD16" s="87">
        <v>172628020</v>
      </c>
      <c r="BE16" s="87"/>
      <c r="BF16" s="87"/>
      <c r="BG16" s="87"/>
      <c r="BH16" s="87"/>
      <c r="BI16" s="87"/>
    </row>
    <row r="17" spans="1:61" x14ac:dyDescent="0.25">
      <c r="A17" s="63" t="s">
        <v>230</v>
      </c>
      <c r="B17" s="63" t="s">
        <v>230</v>
      </c>
      <c r="C17" s="64"/>
      <c r="D17" s="65"/>
      <c r="E17" s="66"/>
      <c r="F17" s="67"/>
      <c r="G17" s="64"/>
      <c r="H17" s="68"/>
      <c r="I17" s="69"/>
      <c r="J17" s="69"/>
      <c r="K17" s="32"/>
      <c r="L17" s="76">
        <v>17</v>
      </c>
      <c r="M17" s="76"/>
      <c r="N17" s="71"/>
      <c r="O17" s="87" t="s">
        <v>179</v>
      </c>
      <c r="P17" s="90">
        <v>45190.685046296298</v>
      </c>
      <c r="Q17" s="87" t="s">
        <v>1855</v>
      </c>
      <c r="R17" s="87">
        <v>0</v>
      </c>
      <c r="S17" s="87">
        <v>0</v>
      </c>
      <c r="T17" s="87">
        <v>0</v>
      </c>
      <c r="U17" s="87">
        <v>0</v>
      </c>
      <c r="V17" s="87">
        <v>6</v>
      </c>
      <c r="W17" s="93" t="s">
        <v>5839</v>
      </c>
      <c r="X17" s="92" t="str">
        <f>HYPERLINK("https://youtu.be/RI9cc4ORWb4")</f>
        <v>https://youtu.be/RI9cc4ORWb4</v>
      </c>
      <c r="Y17" s="87" t="s">
        <v>8372</v>
      </c>
      <c r="Z17" s="87"/>
      <c r="AA17" s="87" t="s">
        <v>8636</v>
      </c>
      <c r="AB17" s="87" t="s">
        <v>11448</v>
      </c>
      <c r="AC17" s="93" t="s">
        <v>11459</v>
      </c>
      <c r="AD17" s="87" t="s">
        <v>11519</v>
      </c>
      <c r="AE17" s="92" t="str">
        <f>HYPERLINK("https://twitter.com/damasiobaixada/status/1704894877601828914")</f>
        <v>https://twitter.com/damasiobaixada/status/1704894877601828914</v>
      </c>
      <c r="AF17" s="90">
        <v>45190.685046296298</v>
      </c>
      <c r="AG17" s="99">
        <v>45190</v>
      </c>
      <c r="AH17" s="93" t="s">
        <v>11542</v>
      </c>
      <c r="AI17" s="87" t="b">
        <v>0</v>
      </c>
      <c r="AJ17" s="87"/>
      <c r="AK17" s="87"/>
      <c r="AL17" s="87"/>
      <c r="AM17" s="87"/>
      <c r="AN17" s="87"/>
      <c r="AO17" s="87"/>
      <c r="AP17" s="87"/>
      <c r="AQ17" s="87" t="s">
        <v>15449</v>
      </c>
      <c r="AR17" s="87"/>
      <c r="AS17" s="87"/>
      <c r="AT17" s="87"/>
      <c r="AU17" s="87"/>
      <c r="AV17" s="92" t="str">
        <f>HYPERLINK("https://pbs.twimg.com/media/F6kA2zlXYAMPMO6.jpg")</f>
        <v>https://pbs.twimg.com/media/F6kA2zlXYAMPMO6.jpg</v>
      </c>
      <c r="AW17" s="93" t="s">
        <v>18270</v>
      </c>
      <c r="AX17" s="93" t="s">
        <v>18270</v>
      </c>
      <c r="AY17" s="87"/>
      <c r="AZ17" s="93" t="s">
        <v>22668</v>
      </c>
      <c r="BA17" s="93" t="s">
        <v>22668</v>
      </c>
      <c r="BB17" s="93" t="s">
        <v>22668</v>
      </c>
      <c r="BC17" s="93" t="s">
        <v>18270</v>
      </c>
      <c r="BD17" s="87">
        <v>321453965</v>
      </c>
      <c r="BE17" s="87"/>
      <c r="BF17" s="87"/>
      <c r="BG17" s="87"/>
      <c r="BH17" s="87"/>
      <c r="BI17" s="87"/>
    </row>
    <row r="18" spans="1:61" x14ac:dyDescent="0.25">
      <c r="A18" s="63" t="s">
        <v>231</v>
      </c>
      <c r="B18" s="63" t="s">
        <v>231</v>
      </c>
      <c r="C18" s="64"/>
      <c r="D18" s="65"/>
      <c r="E18" s="66"/>
      <c r="F18" s="67"/>
      <c r="G18" s="64"/>
      <c r="H18" s="68"/>
      <c r="I18" s="69"/>
      <c r="J18" s="69"/>
      <c r="K18" s="32"/>
      <c r="L18" s="76">
        <v>18</v>
      </c>
      <c r="M18" s="76"/>
      <c r="N18" s="71"/>
      <c r="O18" s="87" t="s">
        <v>179</v>
      </c>
      <c r="P18" s="90">
        <v>45116.458831018521</v>
      </c>
      <c r="Q18" s="87" t="s">
        <v>1856</v>
      </c>
      <c r="R18" s="87">
        <v>0</v>
      </c>
      <c r="S18" s="87">
        <v>0</v>
      </c>
      <c r="T18" s="87">
        <v>0</v>
      </c>
      <c r="U18" s="87">
        <v>0</v>
      </c>
      <c r="V18" s="87">
        <v>2</v>
      </c>
      <c r="W18" s="93" t="s">
        <v>5840</v>
      </c>
      <c r="X18" s="87"/>
      <c r="Y18" s="87"/>
      <c r="Z18" s="87"/>
      <c r="AA18" s="87" t="s">
        <v>8637</v>
      </c>
      <c r="AB18" s="87" t="s">
        <v>11448</v>
      </c>
      <c r="AC18" s="93" t="s">
        <v>11460</v>
      </c>
      <c r="AD18" s="87" t="s">
        <v>11519</v>
      </c>
      <c r="AE18" s="92" t="str">
        <f>HYPERLINK("https://twitter.com/luhaoshop/status/1677996198291021880")</f>
        <v>https://twitter.com/luhaoshop/status/1677996198291021880</v>
      </c>
      <c r="AF18" s="90">
        <v>45116.458831018521</v>
      </c>
      <c r="AG18" s="99">
        <v>45116</v>
      </c>
      <c r="AH18" s="93" t="s">
        <v>11543</v>
      </c>
      <c r="AI18" s="87" t="b">
        <v>0</v>
      </c>
      <c r="AJ18" s="87"/>
      <c r="AK18" s="87"/>
      <c r="AL18" s="87"/>
      <c r="AM18" s="87"/>
      <c r="AN18" s="87"/>
      <c r="AO18" s="87"/>
      <c r="AP18" s="87"/>
      <c r="AQ18" s="87" t="s">
        <v>15450</v>
      </c>
      <c r="AR18" s="87"/>
      <c r="AS18" s="87"/>
      <c r="AT18" s="87"/>
      <c r="AU18" s="87"/>
      <c r="AV18" s="92" t="str">
        <f>HYPERLINK("https://pbs.twimg.com/media/F0lwpj7WIAE8Owj.jpg")</f>
        <v>https://pbs.twimg.com/media/F0lwpj7WIAE8Owj.jpg</v>
      </c>
      <c r="AW18" s="93" t="s">
        <v>18271</v>
      </c>
      <c r="AX18" s="93" t="s">
        <v>18271</v>
      </c>
      <c r="AY18" s="87"/>
      <c r="AZ18" s="93" t="s">
        <v>22668</v>
      </c>
      <c r="BA18" s="93" t="s">
        <v>22668</v>
      </c>
      <c r="BB18" s="93" t="s">
        <v>22668</v>
      </c>
      <c r="BC18" s="93" t="s">
        <v>18271</v>
      </c>
      <c r="BD18" s="93" t="s">
        <v>22796</v>
      </c>
      <c r="BE18" s="87"/>
      <c r="BF18" s="87"/>
      <c r="BG18" s="87"/>
      <c r="BH18" s="87"/>
      <c r="BI18" s="87"/>
    </row>
    <row r="19" spans="1:61" x14ac:dyDescent="0.25">
      <c r="A19" s="63" t="s">
        <v>232</v>
      </c>
      <c r="B19" s="63" t="s">
        <v>232</v>
      </c>
      <c r="C19" s="64"/>
      <c r="D19" s="65"/>
      <c r="E19" s="66"/>
      <c r="F19" s="67"/>
      <c r="G19" s="64"/>
      <c r="H19" s="68"/>
      <c r="I19" s="69"/>
      <c r="J19" s="69"/>
      <c r="K19" s="32"/>
      <c r="L19" s="76">
        <v>19</v>
      </c>
      <c r="M19" s="76"/>
      <c r="N19" s="71"/>
      <c r="O19" s="87" t="s">
        <v>1840</v>
      </c>
      <c r="P19" s="90">
        <v>45159.598506944443</v>
      </c>
      <c r="Q19" s="87" t="s">
        <v>1857</v>
      </c>
      <c r="R19" s="87">
        <v>0</v>
      </c>
      <c r="S19" s="87">
        <v>0</v>
      </c>
      <c r="T19" s="87">
        <v>1</v>
      </c>
      <c r="U19" s="87">
        <v>0</v>
      </c>
      <c r="V19" s="87">
        <v>229</v>
      </c>
      <c r="W19" s="93" t="s">
        <v>5841</v>
      </c>
      <c r="X19" s="92" t="str">
        <f>HYPERLINK("http://g1.com.br/pa")</f>
        <v>http://g1.com.br/pa</v>
      </c>
      <c r="Y19" s="87" t="s">
        <v>8373</v>
      </c>
      <c r="Z19" s="87"/>
      <c r="AA19" s="87"/>
      <c r="AB19" s="87"/>
      <c r="AC19" s="93" t="s">
        <v>11457</v>
      </c>
      <c r="AD19" s="87" t="s">
        <v>11519</v>
      </c>
      <c r="AE19" s="92" t="str">
        <f>HYPERLINK("https://twitter.com/tvliberal/status/1693629493397659846")</f>
        <v>https://twitter.com/tvliberal/status/1693629493397659846</v>
      </c>
      <c r="AF19" s="90">
        <v>45159.598506944443</v>
      </c>
      <c r="AG19" s="99">
        <v>45159</v>
      </c>
      <c r="AH19" s="93" t="s">
        <v>11544</v>
      </c>
      <c r="AI19" s="87" t="b">
        <v>0</v>
      </c>
      <c r="AJ19" s="87"/>
      <c r="AK19" s="87"/>
      <c r="AL19" s="87"/>
      <c r="AM19" s="87"/>
      <c r="AN19" s="87"/>
      <c r="AO19" s="87"/>
      <c r="AP19" s="87"/>
      <c r="AQ19" s="87"/>
      <c r="AR19" s="87"/>
      <c r="AS19" s="87"/>
      <c r="AT19" s="87"/>
      <c r="AU19" s="87"/>
      <c r="AV19" s="92" t="str">
        <f>HYPERLINK("https://pbs.twimg.com/profile_images/1659560694843416579/xkmbdYpp_normal.jpg")</f>
        <v>https://pbs.twimg.com/profile_images/1659560694843416579/xkmbdYpp_normal.jpg</v>
      </c>
      <c r="AW19" s="93" t="s">
        <v>18272</v>
      </c>
      <c r="AX19" s="93" t="s">
        <v>22288</v>
      </c>
      <c r="AY19" s="93" t="s">
        <v>22518</v>
      </c>
      <c r="AZ19" s="93" t="s">
        <v>22288</v>
      </c>
      <c r="BA19" s="93" t="s">
        <v>22668</v>
      </c>
      <c r="BB19" s="93" t="s">
        <v>22668</v>
      </c>
      <c r="BC19" s="93" t="s">
        <v>22288</v>
      </c>
      <c r="BD19" s="87">
        <v>52176846</v>
      </c>
      <c r="BE19" s="87"/>
      <c r="BF19" s="87"/>
      <c r="BG19" s="87"/>
      <c r="BH19" s="87"/>
      <c r="BI19" s="87"/>
    </row>
    <row r="20" spans="1:61" x14ac:dyDescent="0.25">
      <c r="A20" s="63" t="s">
        <v>233</v>
      </c>
      <c r="B20" s="63" t="s">
        <v>233</v>
      </c>
      <c r="C20" s="64"/>
      <c r="D20" s="65"/>
      <c r="E20" s="66"/>
      <c r="F20" s="67"/>
      <c r="G20" s="64"/>
      <c r="H20" s="68"/>
      <c r="I20" s="69"/>
      <c r="J20" s="69"/>
      <c r="K20" s="32"/>
      <c r="L20" s="76">
        <v>20</v>
      </c>
      <c r="M20" s="76"/>
      <c r="N20" s="71"/>
      <c r="O20" s="87" t="s">
        <v>179</v>
      </c>
      <c r="P20" s="90">
        <v>45187.736550925925</v>
      </c>
      <c r="Q20" s="87" t="s">
        <v>1858</v>
      </c>
      <c r="R20" s="87">
        <v>0</v>
      </c>
      <c r="S20" s="87">
        <v>0</v>
      </c>
      <c r="T20" s="87">
        <v>0</v>
      </c>
      <c r="U20" s="87">
        <v>0</v>
      </c>
      <c r="V20" s="87">
        <v>19</v>
      </c>
      <c r="W20" s="93" t="s">
        <v>5842</v>
      </c>
      <c r="X20" s="87"/>
      <c r="Y20" s="87"/>
      <c r="Z20" s="87"/>
      <c r="AA20" s="87" t="s">
        <v>8638</v>
      </c>
      <c r="AB20" s="87" t="s">
        <v>11448</v>
      </c>
      <c r="AC20" s="93" t="s">
        <v>11457</v>
      </c>
      <c r="AD20" s="87" t="s">
        <v>11519</v>
      </c>
      <c r="AE20" s="92" t="str">
        <f>HYPERLINK("https://twitter.com/elkedesigner/status/1703826376770380230")</f>
        <v>https://twitter.com/elkedesigner/status/1703826376770380230</v>
      </c>
      <c r="AF20" s="90">
        <v>45187.736550925925</v>
      </c>
      <c r="AG20" s="99">
        <v>45187</v>
      </c>
      <c r="AH20" s="93" t="s">
        <v>11545</v>
      </c>
      <c r="AI20" s="87" t="b">
        <v>0</v>
      </c>
      <c r="AJ20" s="87"/>
      <c r="AK20" s="87"/>
      <c r="AL20" s="87"/>
      <c r="AM20" s="87"/>
      <c r="AN20" s="87"/>
      <c r="AO20" s="87"/>
      <c r="AP20" s="87"/>
      <c r="AQ20" s="87" t="s">
        <v>15451</v>
      </c>
      <c r="AR20" s="87"/>
      <c r="AS20" s="87"/>
      <c r="AT20" s="87"/>
      <c r="AU20" s="87"/>
      <c r="AV20" s="92" t="str">
        <f>HYPERLINK("https://pbs.twimg.com/media/F6U0-RYWEAA6vFW.jpg")</f>
        <v>https://pbs.twimg.com/media/F6U0-RYWEAA6vFW.jpg</v>
      </c>
      <c r="AW20" s="93" t="s">
        <v>18273</v>
      </c>
      <c r="AX20" s="93" t="s">
        <v>18273</v>
      </c>
      <c r="AY20" s="87"/>
      <c r="AZ20" s="93" t="s">
        <v>22668</v>
      </c>
      <c r="BA20" s="93" t="s">
        <v>22668</v>
      </c>
      <c r="BB20" s="93" t="s">
        <v>22668</v>
      </c>
      <c r="BC20" s="93" t="s">
        <v>18273</v>
      </c>
      <c r="BD20" s="93" t="s">
        <v>22797</v>
      </c>
      <c r="BE20" s="87"/>
      <c r="BF20" s="87"/>
      <c r="BG20" s="87"/>
      <c r="BH20" s="87"/>
      <c r="BI20" s="87"/>
    </row>
    <row r="21" spans="1:61" x14ac:dyDescent="0.25">
      <c r="A21" s="63" t="s">
        <v>234</v>
      </c>
      <c r="B21" s="63" t="s">
        <v>234</v>
      </c>
      <c r="C21" s="64"/>
      <c r="D21" s="65"/>
      <c r="E21" s="66"/>
      <c r="F21" s="67"/>
      <c r="G21" s="64"/>
      <c r="H21" s="68"/>
      <c r="I21" s="69"/>
      <c r="J21" s="69"/>
      <c r="K21" s="32"/>
      <c r="L21" s="76">
        <v>21</v>
      </c>
      <c r="M21" s="76"/>
      <c r="N21" s="71"/>
      <c r="O21" s="87" t="s">
        <v>179</v>
      </c>
      <c r="P21" s="90">
        <v>45114.611921296295</v>
      </c>
      <c r="Q21" s="87" t="s">
        <v>1859</v>
      </c>
      <c r="R21" s="87">
        <v>0</v>
      </c>
      <c r="S21" s="87">
        <v>0</v>
      </c>
      <c r="T21" s="87">
        <v>0</v>
      </c>
      <c r="U21" s="87">
        <v>0</v>
      </c>
      <c r="V21" s="87">
        <v>12</v>
      </c>
      <c r="W21" s="93" t="s">
        <v>5843</v>
      </c>
      <c r="X21" s="87"/>
      <c r="Y21" s="87"/>
      <c r="Z21" s="87"/>
      <c r="AA21" s="87" t="s">
        <v>8639</v>
      </c>
      <c r="AB21" s="87" t="s">
        <v>11448</v>
      </c>
      <c r="AC21" s="93" t="s">
        <v>11457</v>
      </c>
      <c r="AD21" s="87" t="s">
        <v>11519</v>
      </c>
      <c r="AE21" s="92" t="str">
        <f>HYPERLINK("https://twitter.com/fernandozaidan/status/1677326898861309953")</f>
        <v>https://twitter.com/fernandozaidan/status/1677326898861309953</v>
      </c>
      <c r="AF21" s="90">
        <v>45114.611921296295</v>
      </c>
      <c r="AG21" s="99">
        <v>45114</v>
      </c>
      <c r="AH21" s="93" t="s">
        <v>11546</v>
      </c>
      <c r="AI21" s="87" t="b">
        <v>0</v>
      </c>
      <c r="AJ21" s="87"/>
      <c r="AK21" s="87"/>
      <c r="AL21" s="87"/>
      <c r="AM21" s="87"/>
      <c r="AN21" s="87"/>
      <c r="AO21" s="87"/>
      <c r="AP21" s="87"/>
      <c r="AQ21" s="87" t="s">
        <v>15452</v>
      </c>
      <c r="AR21" s="87"/>
      <c r="AS21" s="87"/>
      <c r="AT21" s="87"/>
      <c r="AU21" s="87"/>
      <c r="AV21" s="92" t="str">
        <f>HYPERLINK("https://pbs.twimg.com/media/F0cO9QwWwAA_Y1G.jpg")</f>
        <v>https://pbs.twimg.com/media/F0cO9QwWwAA_Y1G.jpg</v>
      </c>
      <c r="AW21" s="93" t="s">
        <v>18274</v>
      </c>
      <c r="AX21" s="93" t="s">
        <v>18274</v>
      </c>
      <c r="AY21" s="87"/>
      <c r="AZ21" s="93" t="s">
        <v>22668</v>
      </c>
      <c r="BA21" s="93" t="s">
        <v>22668</v>
      </c>
      <c r="BB21" s="93" t="s">
        <v>22668</v>
      </c>
      <c r="BC21" s="93" t="s">
        <v>18274</v>
      </c>
      <c r="BD21" s="87">
        <v>68277399</v>
      </c>
      <c r="BE21" s="87"/>
      <c r="BF21" s="87"/>
      <c r="BG21" s="87"/>
      <c r="BH21" s="87"/>
      <c r="BI21" s="87"/>
    </row>
    <row r="22" spans="1:61" x14ac:dyDescent="0.25">
      <c r="A22" s="63" t="s">
        <v>235</v>
      </c>
      <c r="B22" s="63" t="s">
        <v>235</v>
      </c>
      <c r="C22" s="64"/>
      <c r="D22" s="65"/>
      <c r="E22" s="66"/>
      <c r="F22" s="67"/>
      <c r="G22" s="64"/>
      <c r="H22" s="68"/>
      <c r="I22" s="69"/>
      <c r="J22" s="69"/>
      <c r="K22" s="32"/>
      <c r="L22" s="76">
        <v>22</v>
      </c>
      <c r="M22" s="76"/>
      <c r="N22" s="71"/>
      <c r="O22" s="87" t="s">
        <v>179</v>
      </c>
      <c r="P22" s="90">
        <v>45119.874768518515</v>
      </c>
      <c r="Q22" s="87" t="s">
        <v>1860</v>
      </c>
      <c r="R22" s="87">
        <v>0</v>
      </c>
      <c r="S22" s="87">
        <v>0</v>
      </c>
      <c r="T22" s="87">
        <v>0</v>
      </c>
      <c r="U22" s="87">
        <v>0</v>
      </c>
      <c r="V22" s="87">
        <v>11</v>
      </c>
      <c r="W22" s="93" t="s">
        <v>5844</v>
      </c>
      <c r="X22" s="87"/>
      <c r="Y22" s="87"/>
      <c r="Z22" s="87"/>
      <c r="AA22" s="87"/>
      <c r="AB22" s="87"/>
      <c r="AC22" s="93" t="s">
        <v>11458</v>
      </c>
      <c r="AD22" s="87" t="s">
        <v>11519</v>
      </c>
      <c r="AE22" s="92" t="str">
        <f>HYPERLINK("https://twitter.com/wictorbispo2020/status/1679234090183143424")</f>
        <v>https://twitter.com/wictorbispo2020/status/1679234090183143424</v>
      </c>
      <c r="AF22" s="90">
        <v>45119.874768518515</v>
      </c>
      <c r="AG22" s="99">
        <v>45119</v>
      </c>
      <c r="AH22" s="93" t="s">
        <v>11547</v>
      </c>
      <c r="AI22" s="87"/>
      <c r="AJ22" s="87"/>
      <c r="AK22" s="87"/>
      <c r="AL22" s="87"/>
      <c r="AM22" s="87"/>
      <c r="AN22" s="87"/>
      <c r="AO22" s="87"/>
      <c r="AP22" s="87"/>
      <c r="AQ22" s="87"/>
      <c r="AR22" s="87"/>
      <c r="AS22" s="87"/>
      <c r="AT22" s="87"/>
      <c r="AU22" s="87"/>
      <c r="AV22" s="92" t="str">
        <f>HYPERLINK("https://pbs.twimg.com/profile_images/1688388845987930113/Nxy6aWex_normal.jpg")</f>
        <v>https://pbs.twimg.com/profile_images/1688388845987930113/Nxy6aWex_normal.jpg</v>
      </c>
      <c r="AW22" s="93" t="s">
        <v>18275</v>
      </c>
      <c r="AX22" s="93" t="s">
        <v>18275</v>
      </c>
      <c r="AY22" s="87"/>
      <c r="AZ22" s="93" t="s">
        <v>22668</v>
      </c>
      <c r="BA22" s="93" t="s">
        <v>22668</v>
      </c>
      <c r="BB22" s="93" t="s">
        <v>22668</v>
      </c>
      <c r="BC22" s="93" t="s">
        <v>18275</v>
      </c>
      <c r="BD22" s="87">
        <v>378974499</v>
      </c>
      <c r="BE22" s="87"/>
      <c r="BF22" s="87"/>
      <c r="BG22" s="87"/>
      <c r="BH22" s="87"/>
      <c r="BI22" s="87"/>
    </row>
    <row r="23" spans="1:61" x14ac:dyDescent="0.25">
      <c r="A23" s="63" t="s">
        <v>236</v>
      </c>
      <c r="B23" s="63" t="s">
        <v>236</v>
      </c>
      <c r="C23" s="64"/>
      <c r="D23" s="65"/>
      <c r="E23" s="66"/>
      <c r="F23" s="67"/>
      <c r="G23" s="64"/>
      <c r="H23" s="68"/>
      <c r="I23" s="69"/>
      <c r="J23" s="69"/>
      <c r="K23" s="32"/>
      <c r="L23" s="76">
        <v>23</v>
      </c>
      <c r="M23" s="76"/>
      <c r="N23" s="71"/>
      <c r="O23" s="87" t="s">
        <v>179</v>
      </c>
      <c r="P23" s="90">
        <v>45128.86681712963</v>
      </c>
      <c r="Q23" s="87" t="s">
        <v>1861</v>
      </c>
      <c r="R23" s="87">
        <v>0</v>
      </c>
      <c r="S23" s="87">
        <v>1</v>
      </c>
      <c r="T23" s="87">
        <v>1</v>
      </c>
      <c r="U23" s="87">
        <v>0</v>
      </c>
      <c r="V23" s="87">
        <v>230</v>
      </c>
      <c r="W23" s="93" t="s">
        <v>5845</v>
      </c>
      <c r="X23" s="87"/>
      <c r="Y23" s="87"/>
      <c r="Z23" s="87"/>
      <c r="AA23" s="87"/>
      <c r="AB23" s="87"/>
      <c r="AC23" s="93" t="s">
        <v>11457</v>
      </c>
      <c r="AD23" s="87" t="s">
        <v>11519</v>
      </c>
      <c r="AE23" s="92" t="str">
        <f>HYPERLINK("https://twitter.com/joxj0hn/status/1682492698815594499")</f>
        <v>https://twitter.com/joxj0hn/status/1682492698815594499</v>
      </c>
      <c r="AF23" s="90">
        <v>45128.86681712963</v>
      </c>
      <c r="AG23" s="99">
        <v>45128</v>
      </c>
      <c r="AH23" s="93" t="s">
        <v>11548</v>
      </c>
      <c r="AI23" s="87"/>
      <c r="AJ23" s="87"/>
      <c r="AK23" s="87"/>
      <c r="AL23" s="87"/>
      <c r="AM23" s="87"/>
      <c r="AN23" s="87"/>
      <c r="AO23" s="87"/>
      <c r="AP23" s="87"/>
      <c r="AQ23" s="87"/>
      <c r="AR23" s="87"/>
      <c r="AS23" s="87"/>
      <c r="AT23" s="87"/>
      <c r="AU23" s="87"/>
      <c r="AV23" s="92" t="str">
        <f>HYPERLINK("https://pbs.twimg.com/profile_images/1420833856333262849/dIn2JOkV_normal.jpg")</f>
        <v>https://pbs.twimg.com/profile_images/1420833856333262849/dIn2JOkV_normal.jpg</v>
      </c>
      <c r="AW23" s="93" t="s">
        <v>18276</v>
      </c>
      <c r="AX23" s="93" t="s">
        <v>18276</v>
      </c>
      <c r="AY23" s="87"/>
      <c r="AZ23" s="93" t="s">
        <v>22668</v>
      </c>
      <c r="BA23" s="93" t="s">
        <v>22668</v>
      </c>
      <c r="BB23" s="93" t="s">
        <v>22668</v>
      </c>
      <c r="BC23" s="93" t="s">
        <v>18276</v>
      </c>
      <c r="BD23" s="93" t="s">
        <v>22798</v>
      </c>
      <c r="BE23" s="87"/>
      <c r="BF23" s="87"/>
      <c r="BG23" s="87"/>
      <c r="BH23" s="87"/>
      <c r="BI23" s="87"/>
    </row>
    <row r="24" spans="1:61" x14ac:dyDescent="0.25">
      <c r="A24" s="63" t="s">
        <v>237</v>
      </c>
      <c r="B24" s="63" t="s">
        <v>237</v>
      </c>
      <c r="C24" s="64"/>
      <c r="D24" s="65"/>
      <c r="E24" s="66"/>
      <c r="F24" s="67"/>
      <c r="G24" s="64"/>
      <c r="H24" s="68"/>
      <c r="I24" s="69"/>
      <c r="J24" s="69"/>
      <c r="K24" s="32"/>
      <c r="L24" s="76">
        <v>24</v>
      </c>
      <c r="M24" s="76"/>
      <c r="N24" s="71"/>
      <c r="O24" s="87" t="s">
        <v>179</v>
      </c>
      <c r="P24" s="90">
        <v>45145.712557870371</v>
      </c>
      <c r="Q24" s="87" t="s">
        <v>1862</v>
      </c>
      <c r="R24" s="87">
        <v>0</v>
      </c>
      <c r="S24" s="87">
        <v>0</v>
      </c>
      <c r="T24" s="87">
        <v>0</v>
      </c>
      <c r="U24" s="87">
        <v>0</v>
      </c>
      <c r="V24" s="87">
        <v>73</v>
      </c>
      <c r="W24" s="93" t="s">
        <v>5846</v>
      </c>
      <c r="X24" s="92" t="str">
        <f>HYPERLINK("https://bit.ly/3QwujPW")</f>
        <v>https://bit.ly/3QwujPW</v>
      </c>
      <c r="Y24" s="87" t="s">
        <v>8374</v>
      </c>
      <c r="Z24" s="87"/>
      <c r="AA24" s="87"/>
      <c r="AB24" s="87"/>
      <c r="AC24" s="93" t="s">
        <v>11461</v>
      </c>
      <c r="AD24" s="87" t="s">
        <v>11519</v>
      </c>
      <c r="AE24" s="92" t="str">
        <f>HYPERLINK("https://twitter.com/guarulhosonline/status/1688597393023922176")</f>
        <v>https://twitter.com/guarulhosonline/status/1688597393023922176</v>
      </c>
      <c r="AF24" s="90">
        <v>45145.712557870371</v>
      </c>
      <c r="AG24" s="99">
        <v>45145</v>
      </c>
      <c r="AH24" s="93" t="s">
        <v>11549</v>
      </c>
      <c r="AI24" s="87" t="b">
        <v>0</v>
      </c>
      <c r="AJ24" s="87"/>
      <c r="AK24" s="87"/>
      <c r="AL24" s="87"/>
      <c r="AM24" s="87"/>
      <c r="AN24" s="87"/>
      <c r="AO24" s="87"/>
      <c r="AP24" s="87"/>
      <c r="AQ24" s="87"/>
      <c r="AR24" s="87"/>
      <c r="AS24" s="87"/>
      <c r="AT24" s="87"/>
      <c r="AU24" s="87"/>
      <c r="AV24" s="92" t="str">
        <f>HYPERLINK("https://pbs.twimg.com/profile_images/1177212695776518144/61vDUE-Q_normal.jpg")</f>
        <v>https://pbs.twimg.com/profile_images/1177212695776518144/61vDUE-Q_normal.jpg</v>
      </c>
      <c r="AW24" s="93" t="s">
        <v>18277</v>
      </c>
      <c r="AX24" s="93" t="s">
        <v>18277</v>
      </c>
      <c r="AY24" s="87"/>
      <c r="AZ24" s="93" t="s">
        <v>22668</v>
      </c>
      <c r="BA24" s="93" t="s">
        <v>22668</v>
      </c>
      <c r="BB24" s="93" t="s">
        <v>22668</v>
      </c>
      <c r="BC24" s="93" t="s">
        <v>18277</v>
      </c>
      <c r="BD24" s="87">
        <v>70411503</v>
      </c>
      <c r="BE24" s="87"/>
      <c r="BF24" s="87"/>
      <c r="BG24" s="87"/>
      <c r="BH24" s="87"/>
      <c r="BI24" s="87"/>
    </row>
    <row r="25" spans="1:61" x14ac:dyDescent="0.25">
      <c r="A25" s="63" t="s">
        <v>238</v>
      </c>
      <c r="B25" s="63" t="s">
        <v>238</v>
      </c>
      <c r="C25" s="64"/>
      <c r="D25" s="65"/>
      <c r="E25" s="66"/>
      <c r="F25" s="67"/>
      <c r="G25" s="64"/>
      <c r="H25" s="68"/>
      <c r="I25" s="69"/>
      <c r="J25" s="69"/>
      <c r="K25" s="32"/>
      <c r="L25" s="76">
        <v>25</v>
      </c>
      <c r="M25" s="76"/>
      <c r="N25" s="71"/>
      <c r="O25" s="87" t="s">
        <v>179</v>
      </c>
      <c r="P25" s="90">
        <v>45111.427372685182</v>
      </c>
      <c r="Q25" s="87" t="s">
        <v>1863</v>
      </c>
      <c r="R25" s="87">
        <v>0</v>
      </c>
      <c r="S25" s="87">
        <v>1</v>
      </c>
      <c r="T25" s="87">
        <v>0</v>
      </c>
      <c r="U25" s="87">
        <v>0</v>
      </c>
      <c r="V25" s="87">
        <v>56</v>
      </c>
      <c r="W25" s="93" t="s">
        <v>5847</v>
      </c>
      <c r="X25" s="87"/>
      <c r="Y25" s="87"/>
      <c r="Z25" s="87"/>
      <c r="AA25" s="87" t="s">
        <v>8640</v>
      </c>
      <c r="AB25" s="87" t="s">
        <v>11447</v>
      </c>
      <c r="AC25" s="93" t="s">
        <v>11460</v>
      </c>
      <c r="AD25" s="87" t="s">
        <v>11519</v>
      </c>
      <c r="AE25" s="92" t="str">
        <f>HYPERLINK("https://twitter.com/gfpandolfo/status/1676172858630733824")</f>
        <v>https://twitter.com/gfpandolfo/status/1676172858630733824</v>
      </c>
      <c r="AF25" s="90">
        <v>45111.427372685182</v>
      </c>
      <c r="AG25" s="99">
        <v>45111</v>
      </c>
      <c r="AH25" s="93" t="s">
        <v>11550</v>
      </c>
      <c r="AI25" s="87" t="b">
        <v>0</v>
      </c>
      <c r="AJ25" s="87"/>
      <c r="AK25" s="87"/>
      <c r="AL25" s="87"/>
      <c r="AM25" s="87"/>
      <c r="AN25" s="87"/>
      <c r="AO25" s="87"/>
      <c r="AP25" s="87"/>
      <c r="AQ25" s="87" t="s">
        <v>15453</v>
      </c>
      <c r="AR25" s="87">
        <v>15882</v>
      </c>
      <c r="AS25" s="87"/>
      <c r="AT25" s="87"/>
      <c r="AU25" s="87"/>
      <c r="AV25" s="92" t="str">
        <f>HYPERLINK("https://pbs.twimg.com/ext_tw_video_thumb/1676172809360359424/pu/img/nJi5be5peYo-clps.jpg")</f>
        <v>https://pbs.twimg.com/ext_tw_video_thumb/1676172809360359424/pu/img/nJi5be5peYo-clps.jpg</v>
      </c>
      <c r="AW25" s="93" t="s">
        <v>18278</v>
      </c>
      <c r="AX25" s="93" t="s">
        <v>18278</v>
      </c>
      <c r="AY25" s="87"/>
      <c r="AZ25" s="93" t="s">
        <v>22668</v>
      </c>
      <c r="BA25" s="93" t="s">
        <v>22668</v>
      </c>
      <c r="BB25" s="93" t="s">
        <v>22668</v>
      </c>
      <c r="BC25" s="93" t="s">
        <v>18278</v>
      </c>
      <c r="BD25" s="87">
        <v>38946242</v>
      </c>
      <c r="BE25" s="87"/>
      <c r="BF25" s="87"/>
      <c r="BG25" s="87"/>
      <c r="BH25" s="87"/>
      <c r="BI25" s="87"/>
    </row>
    <row r="26" spans="1:61" x14ac:dyDescent="0.25">
      <c r="A26" s="63" t="s">
        <v>238</v>
      </c>
      <c r="B26" s="63" t="s">
        <v>238</v>
      </c>
      <c r="C26" s="64"/>
      <c r="D26" s="65"/>
      <c r="E26" s="66"/>
      <c r="F26" s="67"/>
      <c r="G26" s="64"/>
      <c r="H26" s="68"/>
      <c r="I26" s="69"/>
      <c r="J26" s="69"/>
      <c r="K26" s="32"/>
      <c r="L26" s="76">
        <v>26</v>
      </c>
      <c r="M26" s="76"/>
      <c r="N26" s="71"/>
      <c r="O26" s="87" t="s">
        <v>179</v>
      </c>
      <c r="P26" s="90">
        <v>45117.441099537034</v>
      </c>
      <c r="Q26" s="87" t="s">
        <v>1864</v>
      </c>
      <c r="R26" s="87">
        <v>0</v>
      </c>
      <c r="S26" s="87">
        <v>0</v>
      </c>
      <c r="T26" s="87">
        <v>1</v>
      </c>
      <c r="U26" s="87">
        <v>0</v>
      </c>
      <c r="V26" s="87">
        <v>18</v>
      </c>
      <c r="W26" s="93" t="s">
        <v>5847</v>
      </c>
      <c r="X26" s="87"/>
      <c r="Y26" s="87"/>
      <c r="Z26" s="87"/>
      <c r="AA26" s="87" t="s">
        <v>8641</v>
      </c>
      <c r="AB26" s="87" t="s">
        <v>11447</v>
      </c>
      <c r="AC26" s="93" t="s">
        <v>11460</v>
      </c>
      <c r="AD26" s="87" t="s">
        <v>11519</v>
      </c>
      <c r="AE26" s="92" t="str">
        <f>HYPERLINK("https://twitter.com/gfpandolfo/status/1678352157135732738")</f>
        <v>https://twitter.com/gfpandolfo/status/1678352157135732738</v>
      </c>
      <c r="AF26" s="90">
        <v>45117.441099537034</v>
      </c>
      <c r="AG26" s="99">
        <v>45117</v>
      </c>
      <c r="AH26" s="93" t="s">
        <v>11551</v>
      </c>
      <c r="AI26" s="87" t="b">
        <v>0</v>
      </c>
      <c r="AJ26" s="87"/>
      <c r="AK26" s="87"/>
      <c r="AL26" s="87"/>
      <c r="AM26" s="87"/>
      <c r="AN26" s="87"/>
      <c r="AO26" s="87"/>
      <c r="AP26" s="87"/>
      <c r="AQ26" s="87" t="s">
        <v>15454</v>
      </c>
      <c r="AR26" s="87">
        <v>4783</v>
      </c>
      <c r="AS26" s="87"/>
      <c r="AT26" s="87"/>
      <c r="AU26" s="87"/>
      <c r="AV26" s="92" t="str">
        <f>HYPERLINK("https://pbs.twimg.com/ext_tw_video_thumb/1678352133207228416/pu/img/qiUhMqS93UCRcn7C.jpg")</f>
        <v>https://pbs.twimg.com/ext_tw_video_thumb/1678352133207228416/pu/img/qiUhMqS93UCRcn7C.jpg</v>
      </c>
      <c r="AW26" s="93" t="s">
        <v>18279</v>
      </c>
      <c r="AX26" s="93" t="s">
        <v>18279</v>
      </c>
      <c r="AY26" s="87"/>
      <c r="AZ26" s="93" t="s">
        <v>22668</v>
      </c>
      <c r="BA26" s="93" t="s">
        <v>22668</v>
      </c>
      <c r="BB26" s="93" t="s">
        <v>22668</v>
      </c>
      <c r="BC26" s="93" t="s">
        <v>18279</v>
      </c>
      <c r="BD26" s="87">
        <v>38946242</v>
      </c>
      <c r="BE26" s="87"/>
      <c r="BF26" s="87"/>
      <c r="BG26" s="87"/>
      <c r="BH26" s="87"/>
      <c r="BI26" s="87"/>
    </row>
    <row r="27" spans="1:61" x14ac:dyDescent="0.25">
      <c r="A27" s="63" t="s">
        <v>238</v>
      </c>
      <c r="B27" s="63" t="s">
        <v>238</v>
      </c>
      <c r="C27" s="64"/>
      <c r="D27" s="65"/>
      <c r="E27" s="66"/>
      <c r="F27" s="67"/>
      <c r="G27" s="64"/>
      <c r="H27" s="68"/>
      <c r="I27" s="69"/>
      <c r="J27" s="69"/>
      <c r="K27" s="32"/>
      <c r="L27" s="76">
        <v>27</v>
      </c>
      <c r="M27" s="76"/>
      <c r="N27" s="71"/>
      <c r="O27" s="87" t="s">
        <v>179</v>
      </c>
      <c r="P27" s="90">
        <v>45125.441192129627</v>
      </c>
      <c r="Q27" s="87" t="s">
        <v>1865</v>
      </c>
      <c r="R27" s="87">
        <v>0</v>
      </c>
      <c r="S27" s="87">
        <v>0</v>
      </c>
      <c r="T27" s="87">
        <v>1</v>
      </c>
      <c r="U27" s="87">
        <v>0</v>
      </c>
      <c r="V27" s="87">
        <v>14</v>
      </c>
      <c r="W27" s="93" t="s">
        <v>5847</v>
      </c>
      <c r="X27" s="87"/>
      <c r="Y27" s="87"/>
      <c r="Z27" s="87"/>
      <c r="AA27" s="87" t="s">
        <v>8642</v>
      </c>
      <c r="AB27" s="87" t="s">
        <v>11447</v>
      </c>
      <c r="AC27" s="93" t="s">
        <v>11460</v>
      </c>
      <c r="AD27" s="87" t="s">
        <v>11519</v>
      </c>
      <c r="AE27" s="92" t="str">
        <f>HYPERLINK("https://twitter.com/gfpandolfo/status/1681251294160252928")</f>
        <v>https://twitter.com/gfpandolfo/status/1681251294160252928</v>
      </c>
      <c r="AF27" s="90">
        <v>45125.441192129627</v>
      </c>
      <c r="AG27" s="99">
        <v>45125</v>
      </c>
      <c r="AH27" s="93" t="s">
        <v>11552</v>
      </c>
      <c r="AI27" s="87" t="b">
        <v>0</v>
      </c>
      <c r="AJ27" s="87"/>
      <c r="AK27" s="87"/>
      <c r="AL27" s="87"/>
      <c r="AM27" s="87"/>
      <c r="AN27" s="87"/>
      <c r="AO27" s="87"/>
      <c r="AP27" s="87"/>
      <c r="AQ27" s="87" t="s">
        <v>15455</v>
      </c>
      <c r="AR27" s="87">
        <v>33700</v>
      </c>
      <c r="AS27" s="87"/>
      <c r="AT27" s="87"/>
      <c r="AU27" s="87"/>
      <c r="AV27" s="92" t="str">
        <f>HYPERLINK("https://pbs.twimg.com/ext_tw_video_thumb/1681251237268783104/pu/img/NbskC91-CIlv2srM.jpg")</f>
        <v>https://pbs.twimg.com/ext_tw_video_thumb/1681251237268783104/pu/img/NbskC91-CIlv2srM.jpg</v>
      </c>
      <c r="AW27" s="93" t="s">
        <v>18280</v>
      </c>
      <c r="AX27" s="93" t="s">
        <v>18280</v>
      </c>
      <c r="AY27" s="87"/>
      <c r="AZ27" s="93" t="s">
        <v>22668</v>
      </c>
      <c r="BA27" s="93" t="s">
        <v>22668</v>
      </c>
      <c r="BB27" s="93" t="s">
        <v>22668</v>
      </c>
      <c r="BC27" s="93" t="s">
        <v>18280</v>
      </c>
      <c r="BD27" s="87">
        <v>38946242</v>
      </c>
      <c r="BE27" s="87"/>
      <c r="BF27" s="87"/>
      <c r="BG27" s="87"/>
      <c r="BH27" s="87"/>
      <c r="BI27" s="87"/>
    </row>
    <row r="28" spans="1:61" x14ac:dyDescent="0.25">
      <c r="A28" s="63" t="s">
        <v>238</v>
      </c>
      <c r="B28" s="63" t="s">
        <v>238</v>
      </c>
      <c r="C28" s="64"/>
      <c r="D28" s="65"/>
      <c r="E28" s="66"/>
      <c r="F28" s="67"/>
      <c r="G28" s="64"/>
      <c r="H28" s="68"/>
      <c r="I28" s="69"/>
      <c r="J28" s="69"/>
      <c r="K28" s="32"/>
      <c r="L28" s="76">
        <v>28</v>
      </c>
      <c r="M28" s="76"/>
      <c r="N28" s="71"/>
      <c r="O28" s="87" t="s">
        <v>179</v>
      </c>
      <c r="P28" s="90">
        <v>45119.420567129629</v>
      </c>
      <c r="Q28" s="87" t="s">
        <v>1866</v>
      </c>
      <c r="R28" s="87">
        <v>0</v>
      </c>
      <c r="S28" s="87">
        <v>0</v>
      </c>
      <c r="T28" s="87">
        <v>1</v>
      </c>
      <c r="U28" s="87">
        <v>0</v>
      </c>
      <c r="V28" s="87">
        <v>33</v>
      </c>
      <c r="W28" s="93" t="s">
        <v>5847</v>
      </c>
      <c r="X28" s="87"/>
      <c r="Y28" s="87"/>
      <c r="Z28" s="87"/>
      <c r="AA28" s="87" t="s">
        <v>8643</v>
      </c>
      <c r="AB28" s="87" t="s">
        <v>11447</v>
      </c>
      <c r="AC28" s="93" t="s">
        <v>11460</v>
      </c>
      <c r="AD28" s="87" t="s">
        <v>11519</v>
      </c>
      <c r="AE28" s="92" t="str">
        <f>HYPERLINK("https://twitter.com/gfpandolfo/status/1679069494168236032")</f>
        <v>https://twitter.com/gfpandolfo/status/1679069494168236032</v>
      </c>
      <c r="AF28" s="90">
        <v>45119.420567129629</v>
      </c>
      <c r="AG28" s="99">
        <v>45119</v>
      </c>
      <c r="AH28" s="93" t="s">
        <v>11553</v>
      </c>
      <c r="AI28" s="87" t="b">
        <v>0</v>
      </c>
      <c r="AJ28" s="87"/>
      <c r="AK28" s="87"/>
      <c r="AL28" s="87"/>
      <c r="AM28" s="87"/>
      <c r="AN28" s="87"/>
      <c r="AO28" s="87"/>
      <c r="AP28" s="87"/>
      <c r="AQ28" s="87" t="s">
        <v>15456</v>
      </c>
      <c r="AR28" s="87">
        <v>19597</v>
      </c>
      <c r="AS28" s="87"/>
      <c r="AT28" s="87"/>
      <c r="AU28" s="87"/>
      <c r="AV28" s="92" t="str">
        <f>HYPERLINK("https://pbs.twimg.com/ext_tw_video_thumb/1679069443526127616/pu/img/Qm2tlOn7WXhv2cfN.jpg")</f>
        <v>https://pbs.twimg.com/ext_tw_video_thumb/1679069443526127616/pu/img/Qm2tlOn7WXhv2cfN.jpg</v>
      </c>
      <c r="AW28" s="93" t="s">
        <v>18281</v>
      </c>
      <c r="AX28" s="93" t="s">
        <v>18281</v>
      </c>
      <c r="AY28" s="87"/>
      <c r="AZ28" s="93" t="s">
        <v>22668</v>
      </c>
      <c r="BA28" s="93" t="s">
        <v>22668</v>
      </c>
      <c r="BB28" s="93" t="s">
        <v>22668</v>
      </c>
      <c r="BC28" s="93" t="s">
        <v>18281</v>
      </c>
      <c r="BD28" s="87">
        <v>38946242</v>
      </c>
      <c r="BE28" s="87"/>
      <c r="BF28" s="87"/>
      <c r="BG28" s="87"/>
      <c r="BH28" s="87"/>
      <c r="BI28" s="87"/>
    </row>
    <row r="29" spans="1:61" x14ac:dyDescent="0.25">
      <c r="A29" s="63" t="s">
        <v>238</v>
      </c>
      <c r="B29" s="63" t="s">
        <v>238</v>
      </c>
      <c r="C29" s="64"/>
      <c r="D29" s="65"/>
      <c r="E29" s="66"/>
      <c r="F29" s="67"/>
      <c r="G29" s="64"/>
      <c r="H29" s="68"/>
      <c r="I29" s="69"/>
      <c r="J29" s="69"/>
      <c r="K29" s="32"/>
      <c r="L29" s="76">
        <v>29</v>
      </c>
      <c r="M29" s="76"/>
      <c r="N29" s="71"/>
      <c r="O29" s="87" t="s">
        <v>179</v>
      </c>
      <c r="P29" s="90">
        <v>45113.434166666666</v>
      </c>
      <c r="Q29" s="87" t="s">
        <v>1867</v>
      </c>
      <c r="R29" s="87">
        <v>0</v>
      </c>
      <c r="S29" s="87">
        <v>1</v>
      </c>
      <c r="T29" s="87">
        <v>0</v>
      </c>
      <c r="U29" s="87">
        <v>0</v>
      </c>
      <c r="V29" s="87">
        <v>43</v>
      </c>
      <c r="W29" s="93" t="s">
        <v>5847</v>
      </c>
      <c r="X29" s="87"/>
      <c r="Y29" s="87"/>
      <c r="Z29" s="87"/>
      <c r="AA29" s="87" t="s">
        <v>8644</v>
      </c>
      <c r="AB29" s="87" t="s">
        <v>11447</v>
      </c>
      <c r="AC29" s="93" t="s">
        <v>11460</v>
      </c>
      <c r="AD29" s="87" t="s">
        <v>11519</v>
      </c>
      <c r="AE29" s="92" t="str">
        <f>HYPERLINK("https://twitter.com/gfpandolfo/status/1676900093725663235")</f>
        <v>https://twitter.com/gfpandolfo/status/1676900093725663235</v>
      </c>
      <c r="AF29" s="90">
        <v>45113.434166666666</v>
      </c>
      <c r="AG29" s="99">
        <v>45113</v>
      </c>
      <c r="AH29" s="93" t="s">
        <v>11554</v>
      </c>
      <c r="AI29" s="87" t="b">
        <v>0</v>
      </c>
      <c r="AJ29" s="87"/>
      <c r="AK29" s="87"/>
      <c r="AL29" s="87"/>
      <c r="AM29" s="87"/>
      <c r="AN29" s="87"/>
      <c r="AO29" s="87"/>
      <c r="AP29" s="87"/>
      <c r="AQ29" s="87" t="s">
        <v>15457</v>
      </c>
      <c r="AR29" s="87">
        <v>9822</v>
      </c>
      <c r="AS29" s="87"/>
      <c r="AT29" s="87"/>
      <c r="AU29" s="87"/>
      <c r="AV29" s="92" t="str">
        <f>HYPERLINK("https://pbs.twimg.com/ext_tw_video_thumb/1676900067523936257/pu/img/UDJ62fWEBnPmPR1-.jpg")</f>
        <v>https://pbs.twimg.com/ext_tw_video_thumb/1676900067523936257/pu/img/UDJ62fWEBnPmPR1-.jpg</v>
      </c>
      <c r="AW29" s="93" t="s">
        <v>18282</v>
      </c>
      <c r="AX29" s="93" t="s">
        <v>18282</v>
      </c>
      <c r="AY29" s="87"/>
      <c r="AZ29" s="93" t="s">
        <v>22668</v>
      </c>
      <c r="BA29" s="93" t="s">
        <v>22668</v>
      </c>
      <c r="BB29" s="93" t="s">
        <v>22668</v>
      </c>
      <c r="BC29" s="93" t="s">
        <v>18282</v>
      </c>
      <c r="BD29" s="87">
        <v>38946242</v>
      </c>
      <c r="BE29" s="87"/>
      <c r="BF29" s="87"/>
      <c r="BG29" s="87"/>
      <c r="BH29" s="87"/>
      <c r="BI29" s="87"/>
    </row>
    <row r="30" spans="1:61" x14ac:dyDescent="0.25">
      <c r="A30" s="63" t="s">
        <v>238</v>
      </c>
      <c r="B30" s="63" t="s">
        <v>238</v>
      </c>
      <c r="C30" s="64"/>
      <c r="D30" s="65"/>
      <c r="E30" s="66"/>
      <c r="F30" s="67"/>
      <c r="G30" s="64"/>
      <c r="H30" s="68"/>
      <c r="I30" s="69"/>
      <c r="J30" s="69"/>
      <c r="K30" s="32"/>
      <c r="L30" s="76">
        <v>30</v>
      </c>
      <c r="M30" s="76"/>
      <c r="N30" s="71"/>
      <c r="O30" s="87" t="s">
        <v>179</v>
      </c>
      <c r="P30" s="90">
        <v>45123.52449074074</v>
      </c>
      <c r="Q30" s="87" t="s">
        <v>1868</v>
      </c>
      <c r="R30" s="87">
        <v>0</v>
      </c>
      <c r="S30" s="87">
        <v>0</v>
      </c>
      <c r="T30" s="87">
        <v>0</v>
      </c>
      <c r="U30" s="87">
        <v>0</v>
      </c>
      <c r="V30" s="87">
        <v>18</v>
      </c>
      <c r="W30" s="93" t="s">
        <v>5847</v>
      </c>
      <c r="X30" s="87"/>
      <c r="Y30" s="87"/>
      <c r="Z30" s="87"/>
      <c r="AA30" s="87" t="s">
        <v>8645</v>
      </c>
      <c r="AB30" s="87" t="s">
        <v>11447</v>
      </c>
      <c r="AC30" s="93" t="s">
        <v>11460</v>
      </c>
      <c r="AD30" s="87" t="s">
        <v>11519</v>
      </c>
      <c r="AE30" s="92" t="str">
        <f>HYPERLINK("https://twitter.com/gfpandolfo/status/1680556705380220929")</f>
        <v>https://twitter.com/gfpandolfo/status/1680556705380220929</v>
      </c>
      <c r="AF30" s="90">
        <v>45123.52449074074</v>
      </c>
      <c r="AG30" s="99">
        <v>45123</v>
      </c>
      <c r="AH30" s="93" t="s">
        <v>11555</v>
      </c>
      <c r="AI30" s="87" t="b">
        <v>0</v>
      </c>
      <c r="AJ30" s="87"/>
      <c r="AK30" s="87"/>
      <c r="AL30" s="87"/>
      <c r="AM30" s="87"/>
      <c r="AN30" s="87"/>
      <c r="AO30" s="87"/>
      <c r="AP30" s="87"/>
      <c r="AQ30" s="87" t="s">
        <v>15458</v>
      </c>
      <c r="AR30" s="87">
        <v>35668</v>
      </c>
      <c r="AS30" s="87"/>
      <c r="AT30" s="87"/>
      <c r="AU30" s="87"/>
      <c r="AV30" s="92" t="str">
        <f>HYPERLINK("https://pbs.twimg.com/ext_tw_video_thumb/1680556646387314692/pu/img/JV0UnmbQpbFQ5UDu.jpg")</f>
        <v>https://pbs.twimg.com/ext_tw_video_thumb/1680556646387314692/pu/img/JV0UnmbQpbFQ5UDu.jpg</v>
      </c>
      <c r="AW30" s="93" t="s">
        <v>18283</v>
      </c>
      <c r="AX30" s="93" t="s">
        <v>18283</v>
      </c>
      <c r="AY30" s="87"/>
      <c r="AZ30" s="93" t="s">
        <v>22668</v>
      </c>
      <c r="BA30" s="93" t="s">
        <v>22668</v>
      </c>
      <c r="BB30" s="93" t="s">
        <v>22668</v>
      </c>
      <c r="BC30" s="93" t="s">
        <v>18283</v>
      </c>
      <c r="BD30" s="87">
        <v>38946242</v>
      </c>
      <c r="BE30" s="87"/>
      <c r="BF30" s="87"/>
      <c r="BG30" s="87"/>
      <c r="BH30" s="87"/>
      <c r="BI30" s="87"/>
    </row>
    <row r="31" spans="1:61" x14ac:dyDescent="0.25">
      <c r="A31" s="63" t="s">
        <v>239</v>
      </c>
      <c r="B31" s="63" t="s">
        <v>239</v>
      </c>
      <c r="C31" s="64"/>
      <c r="D31" s="65"/>
      <c r="E31" s="66"/>
      <c r="F31" s="67"/>
      <c r="G31" s="64"/>
      <c r="H31" s="68"/>
      <c r="I31" s="69"/>
      <c r="J31" s="69"/>
      <c r="K31" s="32"/>
      <c r="L31" s="76">
        <v>31</v>
      </c>
      <c r="M31" s="76"/>
      <c r="N31" s="71"/>
      <c r="O31" s="87" t="s">
        <v>179</v>
      </c>
      <c r="P31" s="90">
        <v>45147.688611111109</v>
      </c>
      <c r="Q31" s="87" t="s">
        <v>1869</v>
      </c>
      <c r="R31" s="87">
        <v>0</v>
      </c>
      <c r="S31" s="87">
        <v>0</v>
      </c>
      <c r="T31" s="87">
        <v>0</v>
      </c>
      <c r="U31" s="87">
        <v>0</v>
      </c>
      <c r="V31" s="87">
        <v>42</v>
      </c>
      <c r="W31" s="93" t="s">
        <v>5848</v>
      </c>
      <c r="X31" s="87"/>
      <c r="Y31" s="87"/>
      <c r="Z31" s="87"/>
      <c r="AA31" s="87" t="s">
        <v>8646</v>
      </c>
      <c r="AB31" s="87" t="s">
        <v>11447</v>
      </c>
      <c r="AC31" s="93" t="s">
        <v>11462</v>
      </c>
      <c r="AD31" s="87" t="s">
        <v>11519</v>
      </c>
      <c r="AE31" s="92" t="str">
        <f>HYPERLINK("https://twitter.com/falecomromulo/status/1689313490899480577")</f>
        <v>https://twitter.com/falecomromulo/status/1689313490899480577</v>
      </c>
      <c r="AF31" s="90">
        <v>45147.688611111109</v>
      </c>
      <c r="AG31" s="99">
        <v>45147</v>
      </c>
      <c r="AH31" s="93" t="s">
        <v>11556</v>
      </c>
      <c r="AI31" s="87" t="b">
        <v>0</v>
      </c>
      <c r="AJ31" s="87"/>
      <c r="AK31" s="87"/>
      <c r="AL31" s="87"/>
      <c r="AM31" s="87"/>
      <c r="AN31" s="87"/>
      <c r="AO31" s="87"/>
      <c r="AP31" s="87"/>
      <c r="AQ31" s="87" t="s">
        <v>15459</v>
      </c>
      <c r="AR31" s="87">
        <v>25966</v>
      </c>
      <c r="AS31" s="87"/>
      <c r="AT31" s="87"/>
      <c r="AU31" s="87"/>
      <c r="AV31" s="92" t="str">
        <f>HYPERLINK("https://pbs.twimg.com/ext_tw_video_thumb/1689313394627682309/pu/img/CfqZxjdzbnkdU9ez.jpg")</f>
        <v>https://pbs.twimg.com/ext_tw_video_thumb/1689313394627682309/pu/img/CfqZxjdzbnkdU9ez.jpg</v>
      </c>
      <c r="AW31" s="93" t="s">
        <v>18284</v>
      </c>
      <c r="AX31" s="93" t="s">
        <v>18284</v>
      </c>
      <c r="AY31" s="87"/>
      <c r="AZ31" s="93" t="s">
        <v>22668</v>
      </c>
      <c r="BA31" s="93" t="s">
        <v>22668</v>
      </c>
      <c r="BB31" s="93" t="s">
        <v>22668</v>
      </c>
      <c r="BC31" s="93" t="s">
        <v>18284</v>
      </c>
      <c r="BD31" s="87">
        <v>94391893</v>
      </c>
      <c r="BE31" s="87"/>
      <c r="BF31" s="87"/>
      <c r="BG31" s="87"/>
      <c r="BH31" s="87"/>
      <c r="BI31" s="87"/>
    </row>
    <row r="32" spans="1:61" x14ac:dyDescent="0.25">
      <c r="A32" s="63" t="s">
        <v>239</v>
      </c>
      <c r="B32" s="63" t="s">
        <v>239</v>
      </c>
      <c r="C32" s="64"/>
      <c r="D32" s="65"/>
      <c r="E32" s="66"/>
      <c r="F32" s="67"/>
      <c r="G32" s="64"/>
      <c r="H32" s="68"/>
      <c r="I32" s="69"/>
      <c r="J32" s="69"/>
      <c r="K32" s="32"/>
      <c r="L32" s="76">
        <v>32</v>
      </c>
      <c r="M32" s="76"/>
      <c r="N32" s="71"/>
      <c r="O32" s="87" t="s">
        <v>179</v>
      </c>
      <c r="P32" s="90">
        <v>45167.627488425926</v>
      </c>
      <c r="Q32" s="87" t="s">
        <v>1870</v>
      </c>
      <c r="R32" s="87">
        <v>0</v>
      </c>
      <c r="S32" s="87">
        <v>0</v>
      </c>
      <c r="T32" s="87">
        <v>0</v>
      </c>
      <c r="U32" s="87">
        <v>0</v>
      </c>
      <c r="V32" s="87">
        <v>30</v>
      </c>
      <c r="W32" s="93" t="s">
        <v>5849</v>
      </c>
      <c r="X32" s="87"/>
      <c r="Y32" s="87"/>
      <c r="Z32" s="87"/>
      <c r="AA32" s="87" t="s">
        <v>8647</v>
      </c>
      <c r="AB32" s="87" t="s">
        <v>11447</v>
      </c>
      <c r="AC32" s="93" t="s">
        <v>11462</v>
      </c>
      <c r="AD32" s="87" t="s">
        <v>11519</v>
      </c>
      <c r="AE32" s="92" t="str">
        <f>HYPERLINK("https://twitter.com/falecomromulo/status/1696539095970029886")</f>
        <v>https://twitter.com/falecomromulo/status/1696539095970029886</v>
      </c>
      <c r="AF32" s="90">
        <v>45167.627488425926</v>
      </c>
      <c r="AG32" s="99">
        <v>45167</v>
      </c>
      <c r="AH32" s="93" t="s">
        <v>11557</v>
      </c>
      <c r="AI32" s="87" t="b">
        <v>0</v>
      </c>
      <c r="AJ32" s="87"/>
      <c r="AK32" s="87"/>
      <c r="AL32" s="87"/>
      <c r="AM32" s="87"/>
      <c r="AN32" s="87"/>
      <c r="AO32" s="87"/>
      <c r="AP32" s="87"/>
      <c r="AQ32" s="87" t="s">
        <v>15460</v>
      </c>
      <c r="AR32" s="87">
        <v>45133</v>
      </c>
      <c r="AS32" s="87"/>
      <c r="AT32" s="87"/>
      <c r="AU32" s="87"/>
      <c r="AV32" s="92" t="str">
        <f>HYPERLINK("https://pbs.twimg.com/ext_tw_video_thumb/1696538971982209024/pu/img/1uaK01Tdbt0idmE1.jpg")</f>
        <v>https://pbs.twimg.com/ext_tw_video_thumb/1696538971982209024/pu/img/1uaK01Tdbt0idmE1.jpg</v>
      </c>
      <c r="AW32" s="93" t="s">
        <v>18285</v>
      </c>
      <c r="AX32" s="93" t="s">
        <v>18285</v>
      </c>
      <c r="AY32" s="87"/>
      <c r="AZ32" s="93" t="s">
        <v>22668</v>
      </c>
      <c r="BA32" s="93" t="s">
        <v>22668</v>
      </c>
      <c r="BB32" s="93" t="s">
        <v>22668</v>
      </c>
      <c r="BC32" s="93" t="s">
        <v>18285</v>
      </c>
      <c r="BD32" s="87">
        <v>94391893</v>
      </c>
      <c r="BE32" s="87"/>
      <c r="BF32" s="87"/>
      <c r="BG32" s="87"/>
      <c r="BH32" s="87"/>
      <c r="BI32" s="87"/>
    </row>
    <row r="33" spans="1:61" x14ac:dyDescent="0.25">
      <c r="A33" s="63" t="s">
        <v>239</v>
      </c>
      <c r="B33" s="63" t="s">
        <v>239</v>
      </c>
      <c r="C33" s="64"/>
      <c r="D33" s="65"/>
      <c r="E33" s="66"/>
      <c r="F33" s="67"/>
      <c r="G33" s="64"/>
      <c r="H33" s="68"/>
      <c r="I33" s="69"/>
      <c r="J33" s="69"/>
      <c r="K33" s="32"/>
      <c r="L33" s="76">
        <v>33</v>
      </c>
      <c r="M33" s="76"/>
      <c r="N33" s="71"/>
      <c r="O33" s="87" t="s">
        <v>179</v>
      </c>
      <c r="P33" s="90">
        <v>45169.627175925925</v>
      </c>
      <c r="Q33" s="87" t="s">
        <v>1871</v>
      </c>
      <c r="R33" s="87">
        <v>0</v>
      </c>
      <c r="S33" s="87">
        <v>0</v>
      </c>
      <c r="T33" s="87">
        <v>0</v>
      </c>
      <c r="U33" s="87">
        <v>0</v>
      </c>
      <c r="V33" s="87">
        <v>23</v>
      </c>
      <c r="W33" s="93" t="s">
        <v>5850</v>
      </c>
      <c r="X33" s="87"/>
      <c r="Y33" s="87"/>
      <c r="Z33" s="87"/>
      <c r="AA33" s="87" t="s">
        <v>8648</v>
      </c>
      <c r="AB33" s="87" t="s">
        <v>11447</v>
      </c>
      <c r="AC33" s="93" t="s">
        <v>11462</v>
      </c>
      <c r="AD33" s="87" t="s">
        <v>11519</v>
      </c>
      <c r="AE33" s="92" t="str">
        <f>HYPERLINK("https://twitter.com/falecomromulo/status/1697263758455062671")</f>
        <v>https://twitter.com/falecomromulo/status/1697263758455062671</v>
      </c>
      <c r="AF33" s="90">
        <v>45169.627175925925</v>
      </c>
      <c r="AG33" s="99">
        <v>45169</v>
      </c>
      <c r="AH33" s="93" t="s">
        <v>11558</v>
      </c>
      <c r="AI33" s="87" t="b">
        <v>0</v>
      </c>
      <c r="AJ33" s="87"/>
      <c r="AK33" s="87"/>
      <c r="AL33" s="87"/>
      <c r="AM33" s="87"/>
      <c r="AN33" s="87"/>
      <c r="AO33" s="87"/>
      <c r="AP33" s="87"/>
      <c r="AQ33" s="87" t="s">
        <v>15461</v>
      </c>
      <c r="AR33" s="87">
        <v>11466</v>
      </c>
      <c r="AS33" s="87"/>
      <c r="AT33" s="87"/>
      <c r="AU33" s="87"/>
      <c r="AV33" s="92" t="str">
        <f>HYPERLINK("https://pbs.twimg.com/ext_tw_video_thumb/1697263662027743232/pu/img/GNGDJLptQouRZuoo.jpg")</f>
        <v>https://pbs.twimg.com/ext_tw_video_thumb/1697263662027743232/pu/img/GNGDJLptQouRZuoo.jpg</v>
      </c>
      <c r="AW33" s="93" t="s">
        <v>18286</v>
      </c>
      <c r="AX33" s="93" t="s">
        <v>18286</v>
      </c>
      <c r="AY33" s="87"/>
      <c r="AZ33" s="93" t="s">
        <v>22668</v>
      </c>
      <c r="BA33" s="93" t="s">
        <v>22668</v>
      </c>
      <c r="BB33" s="93" t="s">
        <v>22668</v>
      </c>
      <c r="BC33" s="93" t="s">
        <v>18286</v>
      </c>
      <c r="BD33" s="87">
        <v>94391893</v>
      </c>
      <c r="BE33" s="87"/>
      <c r="BF33" s="87"/>
      <c r="BG33" s="87"/>
      <c r="BH33" s="87"/>
      <c r="BI33" s="87"/>
    </row>
    <row r="34" spans="1:61" x14ac:dyDescent="0.25">
      <c r="A34" s="63" t="s">
        <v>239</v>
      </c>
      <c r="B34" s="63" t="s">
        <v>239</v>
      </c>
      <c r="C34" s="64"/>
      <c r="D34" s="65"/>
      <c r="E34" s="66"/>
      <c r="F34" s="67"/>
      <c r="G34" s="64"/>
      <c r="H34" s="68"/>
      <c r="I34" s="69"/>
      <c r="J34" s="69"/>
      <c r="K34" s="32"/>
      <c r="L34" s="76">
        <v>34</v>
      </c>
      <c r="M34" s="76"/>
      <c r="N34" s="71"/>
      <c r="O34" s="87" t="s">
        <v>179</v>
      </c>
      <c r="P34" s="90">
        <v>45182.628564814811</v>
      </c>
      <c r="Q34" s="87" t="s">
        <v>1872</v>
      </c>
      <c r="R34" s="87">
        <v>0</v>
      </c>
      <c r="S34" s="87">
        <v>0</v>
      </c>
      <c r="T34" s="87">
        <v>0</v>
      </c>
      <c r="U34" s="87">
        <v>0</v>
      </c>
      <c r="V34" s="87">
        <v>32</v>
      </c>
      <c r="W34" s="93" t="s">
        <v>5851</v>
      </c>
      <c r="X34" s="87"/>
      <c r="Y34" s="87"/>
      <c r="Z34" s="87"/>
      <c r="AA34" s="87" t="s">
        <v>8649</v>
      </c>
      <c r="AB34" s="87" t="s">
        <v>11447</v>
      </c>
      <c r="AC34" s="93" t="s">
        <v>11462</v>
      </c>
      <c r="AD34" s="87" t="s">
        <v>11519</v>
      </c>
      <c r="AE34" s="92" t="str">
        <f>HYPERLINK("https://twitter.com/falecomromulo/status/1701975303742980528")</f>
        <v>https://twitter.com/falecomromulo/status/1701975303742980528</v>
      </c>
      <c r="AF34" s="90">
        <v>45182.628564814811</v>
      </c>
      <c r="AG34" s="99">
        <v>45182</v>
      </c>
      <c r="AH34" s="93" t="s">
        <v>11559</v>
      </c>
      <c r="AI34" s="87" t="b">
        <v>0</v>
      </c>
      <c r="AJ34" s="87"/>
      <c r="AK34" s="87"/>
      <c r="AL34" s="87"/>
      <c r="AM34" s="87"/>
      <c r="AN34" s="87"/>
      <c r="AO34" s="87"/>
      <c r="AP34" s="87"/>
      <c r="AQ34" s="87" t="s">
        <v>15462</v>
      </c>
      <c r="AR34" s="87">
        <v>65633</v>
      </c>
      <c r="AS34" s="87"/>
      <c r="AT34" s="87"/>
      <c r="AU34" s="87"/>
      <c r="AV34" s="92" t="str">
        <f>HYPERLINK("https://pbs.twimg.com/ext_tw_video_thumb/1701975247002423296/pu/img/N8CFwZQPXMOAAagH.jpg")</f>
        <v>https://pbs.twimg.com/ext_tw_video_thumb/1701975247002423296/pu/img/N8CFwZQPXMOAAagH.jpg</v>
      </c>
      <c r="AW34" s="93" t="s">
        <v>18287</v>
      </c>
      <c r="AX34" s="93" t="s">
        <v>18287</v>
      </c>
      <c r="AY34" s="87"/>
      <c r="AZ34" s="93" t="s">
        <v>22668</v>
      </c>
      <c r="BA34" s="93" t="s">
        <v>22668</v>
      </c>
      <c r="BB34" s="93" t="s">
        <v>22668</v>
      </c>
      <c r="BC34" s="93" t="s">
        <v>18287</v>
      </c>
      <c r="BD34" s="87">
        <v>94391893</v>
      </c>
      <c r="BE34" s="87"/>
      <c r="BF34" s="87"/>
      <c r="BG34" s="87"/>
      <c r="BH34" s="87"/>
      <c r="BI34" s="87"/>
    </row>
    <row r="35" spans="1:61" x14ac:dyDescent="0.25">
      <c r="A35" s="63" t="s">
        <v>239</v>
      </c>
      <c r="B35" s="63" t="s">
        <v>239</v>
      </c>
      <c r="C35" s="64"/>
      <c r="D35" s="65"/>
      <c r="E35" s="66"/>
      <c r="F35" s="67"/>
      <c r="G35" s="64"/>
      <c r="H35" s="68"/>
      <c r="I35" s="69"/>
      <c r="J35" s="69"/>
      <c r="K35" s="32"/>
      <c r="L35" s="76">
        <v>35</v>
      </c>
      <c r="M35" s="76"/>
      <c r="N35" s="71"/>
      <c r="O35" s="87" t="s">
        <v>179</v>
      </c>
      <c r="P35" s="90">
        <v>45175.628888888888</v>
      </c>
      <c r="Q35" s="87" t="s">
        <v>1873</v>
      </c>
      <c r="R35" s="87">
        <v>0</v>
      </c>
      <c r="S35" s="87">
        <v>0</v>
      </c>
      <c r="T35" s="87">
        <v>0</v>
      </c>
      <c r="U35" s="87">
        <v>0</v>
      </c>
      <c r="V35" s="87">
        <v>57</v>
      </c>
      <c r="W35" s="93" t="s">
        <v>5852</v>
      </c>
      <c r="X35" s="87"/>
      <c r="Y35" s="87"/>
      <c r="Z35" s="87"/>
      <c r="AA35" s="87" t="s">
        <v>8650</v>
      </c>
      <c r="AB35" s="87" t="s">
        <v>11447</v>
      </c>
      <c r="AC35" s="93" t="s">
        <v>11462</v>
      </c>
      <c r="AD35" s="87" t="s">
        <v>11519</v>
      </c>
      <c r="AE35" s="92" t="str">
        <f>HYPERLINK("https://twitter.com/falecomromulo/status/1699438705369370754")</f>
        <v>https://twitter.com/falecomromulo/status/1699438705369370754</v>
      </c>
      <c r="AF35" s="90">
        <v>45175.628888888888</v>
      </c>
      <c r="AG35" s="99">
        <v>45175</v>
      </c>
      <c r="AH35" s="93" t="s">
        <v>11560</v>
      </c>
      <c r="AI35" s="87" t="b">
        <v>0</v>
      </c>
      <c r="AJ35" s="87"/>
      <c r="AK35" s="87"/>
      <c r="AL35" s="87"/>
      <c r="AM35" s="87"/>
      <c r="AN35" s="87"/>
      <c r="AO35" s="87"/>
      <c r="AP35" s="87"/>
      <c r="AQ35" s="87" t="s">
        <v>15463</v>
      </c>
      <c r="AR35" s="87">
        <v>43166</v>
      </c>
      <c r="AS35" s="87"/>
      <c r="AT35" s="87"/>
      <c r="AU35" s="87"/>
      <c r="AV35" s="92" t="str">
        <f>HYPERLINK("https://pbs.twimg.com/ext_tw_video_thumb/1699438569826242560/pu/img/GuPei9Vjyhk_H1H3.jpg")</f>
        <v>https://pbs.twimg.com/ext_tw_video_thumb/1699438569826242560/pu/img/GuPei9Vjyhk_H1H3.jpg</v>
      </c>
      <c r="AW35" s="93" t="s">
        <v>18288</v>
      </c>
      <c r="AX35" s="93" t="s">
        <v>18288</v>
      </c>
      <c r="AY35" s="87"/>
      <c r="AZ35" s="93" t="s">
        <v>22668</v>
      </c>
      <c r="BA35" s="93" t="s">
        <v>22668</v>
      </c>
      <c r="BB35" s="93" t="s">
        <v>22668</v>
      </c>
      <c r="BC35" s="93" t="s">
        <v>18288</v>
      </c>
      <c r="BD35" s="87">
        <v>94391893</v>
      </c>
      <c r="BE35" s="87"/>
      <c r="BF35" s="87"/>
      <c r="BG35" s="87"/>
      <c r="BH35" s="87"/>
      <c r="BI35" s="87"/>
    </row>
    <row r="36" spans="1:61" x14ac:dyDescent="0.25">
      <c r="A36" s="63" t="s">
        <v>239</v>
      </c>
      <c r="B36" s="63" t="s">
        <v>239</v>
      </c>
      <c r="C36" s="64"/>
      <c r="D36" s="65"/>
      <c r="E36" s="66"/>
      <c r="F36" s="67"/>
      <c r="G36" s="64"/>
      <c r="H36" s="68"/>
      <c r="I36" s="69"/>
      <c r="J36" s="69"/>
      <c r="K36" s="32"/>
      <c r="L36" s="76">
        <v>36</v>
      </c>
      <c r="M36" s="76"/>
      <c r="N36" s="71"/>
      <c r="O36" s="87" t="s">
        <v>179</v>
      </c>
      <c r="P36" s="90">
        <v>45175.627870370372</v>
      </c>
      <c r="Q36" s="87" t="s">
        <v>1874</v>
      </c>
      <c r="R36" s="87">
        <v>0</v>
      </c>
      <c r="S36" s="87">
        <v>0</v>
      </c>
      <c r="T36" s="87">
        <v>0</v>
      </c>
      <c r="U36" s="87">
        <v>0</v>
      </c>
      <c r="V36" s="87">
        <v>42</v>
      </c>
      <c r="W36" s="93" t="s">
        <v>5852</v>
      </c>
      <c r="X36" s="87"/>
      <c r="Y36" s="87"/>
      <c r="Z36" s="87"/>
      <c r="AA36" s="87" t="s">
        <v>8651</v>
      </c>
      <c r="AB36" s="87" t="s">
        <v>11447</v>
      </c>
      <c r="AC36" s="93" t="s">
        <v>11462</v>
      </c>
      <c r="AD36" s="87" t="s">
        <v>11519</v>
      </c>
      <c r="AE36" s="92" t="str">
        <f>HYPERLINK("https://twitter.com/falecomromulo/status/1699438336417419695")</f>
        <v>https://twitter.com/falecomromulo/status/1699438336417419695</v>
      </c>
      <c r="AF36" s="90">
        <v>45175.627870370372</v>
      </c>
      <c r="AG36" s="99">
        <v>45175</v>
      </c>
      <c r="AH36" s="93" t="s">
        <v>11561</v>
      </c>
      <c r="AI36" s="87" t="b">
        <v>0</v>
      </c>
      <c r="AJ36" s="87"/>
      <c r="AK36" s="87"/>
      <c r="AL36" s="87"/>
      <c r="AM36" s="87"/>
      <c r="AN36" s="87"/>
      <c r="AO36" s="87"/>
      <c r="AP36" s="87"/>
      <c r="AQ36" s="87" t="s">
        <v>15464</v>
      </c>
      <c r="AR36" s="87">
        <v>43166</v>
      </c>
      <c r="AS36" s="87"/>
      <c r="AT36" s="87"/>
      <c r="AU36" s="87"/>
      <c r="AV36" s="92" t="str">
        <f>HYPERLINK("https://pbs.twimg.com/ext_tw_video_thumb/1699438200756838400/pu/img/TZHUCmTM0heBwtK1.jpg")</f>
        <v>https://pbs.twimg.com/ext_tw_video_thumb/1699438200756838400/pu/img/TZHUCmTM0heBwtK1.jpg</v>
      </c>
      <c r="AW36" s="93" t="s">
        <v>18289</v>
      </c>
      <c r="AX36" s="93" t="s">
        <v>18289</v>
      </c>
      <c r="AY36" s="87"/>
      <c r="AZ36" s="93" t="s">
        <v>22668</v>
      </c>
      <c r="BA36" s="93" t="s">
        <v>22668</v>
      </c>
      <c r="BB36" s="93" t="s">
        <v>22668</v>
      </c>
      <c r="BC36" s="93" t="s">
        <v>18289</v>
      </c>
      <c r="BD36" s="87">
        <v>94391893</v>
      </c>
      <c r="BE36" s="87"/>
      <c r="BF36" s="87"/>
      <c r="BG36" s="87"/>
      <c r="BH36" s="87"/>
      <c r="BI36" s="87"/>
    </row>
    <row r="37" spans="1:61" x14ac:dyDescent="0.25">
      <c r="A37" s="63" t="s">
        <v>239</v>
      </c>
      <c r="B37" s="63" t="s">
        <v>239</v>
      </c>
      <c r="C37" s="64"/>
      <c r="D37" s="65"/>
      <c r="E37" s="66"/>
      <c r="F37" s="67"/>
      <c r="G37" s="64"/>
      <c r="H37" s="68"/>
      <c r="I37" s="69"/>
      <c r="J37" s="69"/>
      <c r="K37" s="32"/>
      <c r="L37" s="76">
        <v>37</v>
      </c>
      <c r="M37" s="76"/>
      <c r="N37" s="71"/>
      <c r="O37" s="87" t="s">
        <v>179</v>
      </c>
      <c r="P37" s="90">
        <v>45128.627916666665</v>
      </c>
      <c r="Q37" s="87" t="s">
        <v>1875</v>
      </c>
      <c r="R37" s="87">
        <v>0</v>
      </c>
      <c r="S37" s="87">
        <v>0</v>
      </c>
      <c r="T37" s="87">
        <v>0</v>
      </c>
      <c r="U37" s="87">
        <v>0</v>
      </c>
      <c r="V37" s="87">
        <v>29</v>
      </c>
      <c r="W37" s="93" t="s">
        <v>5848</v>
      </c>
      <c r="X37" s="87"/>
      <c r="Y37" s="87"/>
      <c r="Z37" s="87"/>
      <c r="AA37" s="87" t="s">
        <v>8652</v>
      </c>
      <c r="AB37" s="87" t="s">
        <v>11447</v>
      </c>
      <c r="AC37" s="93" t="s">
        <v>11462</v>
      </c>
      <c r="AD37" s="87" t="s">
        <v>11519</v>
      </c>
      <c r="AE37" s="92" t="str">
        <f>HYPERLINK("https://twitter.com/falecomromulo/status/1682406123863789568")</f>
        <v>https://twitter.com/falecomromulo/status/1682406123863789568</v>
      </c>
      <c r="AF37" s="90">
        <v>45128.627916666665</v>
      </c>
      <c r="AG37" s="99">
        <v>45128</v>
      </c>
      <c r="AH37" s="93" t="s">
        <v>11562</v>
      </c>
      <c r="AI37" s="87" t="b">
        <v>0</v>
      </c>
      <c r="AJ37" s="87"/>
      <c r="AK37" s="87"/>
      <c r="AL37" s="87"/>
      <c r="AM37" s="87"/>
      <c r="AN37" s="87"/>
      <c r="AO37" s="87"/>
      <c r="AP37" s="87"/>
      <c r="AQ37" s="87" t="s">
        <v>15465</v>
      </c>
      <c r="AR37" s="87">
        <v>10000</v>
      </c>
      <c r="AS37" s="87"/>
      <c r="AT37" s="87"/>
      <c r="AU37" s="87"/>
      <c r="AV37" s="92" t="str">
        <f>HYPERLINK("https://pbs.twimg.com/ext_tw_video_thumb/1682406075457208322/pu/img/ufh6XDzopeyxg_bB.jpg")</f>
        <v>https://pbs.twimg.com/ext_tw_video_thumb/1682406075457208322/pu/img/ufh6XDzopeyxg_bB.jpg</v>
      </c>
      <c r="AW37" s="93" t="s">
        <v>18290</v>
      </c>
      <c r="AX37" s="93" t="s">
        <v>18290</v>
      </c>
      <c r="AY37" s="87"/>
      <c r="AZ37" s="93" t="s">
        <v>22668</v>
      </c>
      <c r="BA37" s="93" t="s">
        <v>22668</v>
      </c>
      <c r="BB37" s="93" t="s">
        <v>22668</v>
      </c>
      <c r="BC37" s="93" t="s">
        <v>18290</v>
      </c>
      <c r="BD37" s="87">
        <v>94391893</v>
      </c>
      <c r="BE37" s="87"/>
      <c r="BF37" s="87"/>
      <c r="BG37" s="87"/>
      <c r="BH37" s="87"/>
      <c r="BI37" s="87"/>
    </row>
    <row r="38" spans="1:61" x14ac:dyDescent="0.25">
      <c r="A38" s="63" t="s">
        <v>239</v>
      </c>
      <c r="B38" s="63" t="s">
        <v>239</v>
      </c>
      <c r="C38" s="64"/>
      <c r="D38" s="65"/>
      <c r="E38" s="66"/>
      <c r="F38" s="67"/>
      <c r="G38" s="64"/>
      <c r="H38" s="68"/>
      <c r="I38" s="69"/>
      <c r="J38" s="69"/>
      <c r="K38" s="32"/>
      <c r="L38" s="76">
        <v>38</v>
      </c>
      <c r="M38" s="76"/>
      <c r="N38" s="71"/>
      <c r="O38" s="87" t="s">
        <v>179</v>
      </c>
      <c r="P38" s="90">
        <v>45191.627916666665</v>
      </c>
      <c r="Q38" s="87" t="s">
        <v>1876</v>
      </c>
      <c r="R38" s="87">
        <v>0</v>
      </c>
      <c r="S38" s="87">
        <v>0</v>
      </c>
      <c r="T38" s="87">
        <v>0</v>
      </c>
      <c r="U38" s="87">
        <v>0</v>
      </c>
      <c r="V38" s="87">
        <v>44</v>
      </c>
      <c r="W38" s="93" t="s">
        <v>5853</v>
      </c>
      <c r="X38" s="87"/>
      <c r="Y38" s="87"/>
      <c r="Z38" s="87"/>
      <c r="AA38" s="87" t="s">
        <v>8653</v>
      </c>
      <c r="AB38" s="87" t="s">
        <v>11447</v>
      </c>
      <c r="AC38" s="93" t="s">
        <v>11462</v>
      </c>
      <c r="AD38" s="87" t="s">
        <v>11519</v>
      </c>
      <c r="AE38" s="92" t="str">
        <f>HYPERLINK("https://twitter.com/falecomromulo/status/1705236561397244080")</f>
        <v>https://twitter.com/falecomromulo/status/1705236561397244080</v>
      </c>
      <c r="AF38" s="90">
        <v>45191.627916666665</v>
      </c>
      <c r="AG38" s="99">
        <v>45191</v>
      </c>
      <c r="AH38" s="93" t="s">
        <v>11562</v>
      </c>
      <c r="AI38" s="87" t="b">
        <v>0</v>
      </c>
      <c r="AJ38" s="87"/>
      <c r="AK38" s="87"/>
      <c r="AL38" s="87"/>
      <c r="AM38" s="87"/>
      <c r="AN38" s="87"/>
      <c r="AO38" s="87"/>
      <c r="AP38" s="87"/>
      <c r="AQ38" s="87" t="s">
        <v>15466</v>
      </c>
      <c r="AR38" s="87">
        <v>18066</v>
      </c>
      <c r="AS38" s="87"/>
      <c r="AT38" s="87"/>
      <c r="AU38" s="87"/>
      <c r="AV38" s="92" t="str">
        <f>HYPERLINK("https://pbs.twimg.com/ext_tw_video_thumb/1705236510834921472/pu/img/hXjcVw7N3KNQn1IY.jpg")</f>
        <v>https://pbs.twimg.com/ext_tw_video_thumb/1705236510834921472/pu/img/hXjcVw7N3KNQn1IY.jpg</v>
      </c>
      <c r="AW38" s="93" t="s">
        <v>18291</v>
      </c>
      <c r="AX38" s="93" t="s">
        <v>18291</v>
      </c>
      <c r="AY38" s="87"/>
      <c r="AZ38" s="93" t="s">
        <v>22668</v>
      </c>
      <c r="BA38" s="93" t="s">
        <v>22668</v>
      </c>
      <c r="BB38" s="93" t="s">
        <v>22668</v>
      </c>
      <c r="BC38" s="93" t="s">
        <v>18291</v>
      </c>
      <c r="BD38" s="87">
        <v>94391893</v>
      </c>
      <c r="BE38" s="87"/>
      <c r="BF38" s="87"/>
      <c r="BG38" s="87"/>
      <c r="BH38" s="87"/>
      <c r="BI38" s="87"/>
    </row>
    <row r="39" spans="1:61" x14ac:dyDescent="0.25">
      <c r="A39" s="63" t="s">
        <v>239</v>
      </c>
      <c r="B39" s="63" t="s">
        <v>239</v>
      </c>
      <c r="C39" s="64"/>
      <c r="D39" s="65"/>
      <c r="E39" s="66"/>
      <c r="F39" s="67"/>
      <c r="G39" s="64"/>
      <c r="H39" s="68"/>
      <c r="I39" s="69"/>
      <c r="J39" s="69"/>
      <c r="K39" s="32"/>
      <c r="L39" s="76">
        <v>39</v>
      </c>
      <c r="M39" s="76"/>
      <c r="N39" s="71"/>
      <c r="O39" s="87" t="s">
        <v>179</v>
      </c>
      <c r="P39" s="90">
        <v>45196.646817129629</v>
      </c>
      <c r="Q39" s="87" t="s">
        <v>1877</v>
      </c>
      <c r="R39" s="87">
        <v>0</v>
      </c>
      <c r="S39" s="87">
        <v>0</v>
      </c>
      <c r="T39" s="87">
        <v>0</v>
      </c>
      <c r="U39" s="87">
        <v>0</v>
      </c>
      <c r="V39" s="87">
        <v>1</v>
      </c>
      <c r="W39" s="93" t="s">
        <v>5854</v>
      </c>
      <c r="X39" s="87"/>
      <c r="Y39" s="87"/>
      <c r="Z39" s="87"/>
      <c r="AA39" s="87" t="s">
        <v>8654</v>
      </c>
      <c r="AB39" s="87" t="s">
        <v>11447</v>
      </c>
      <c r="AC39" s="93" t="s">
        <v>11462</v>
      </c>
      <c r="AD39" s="87" t="s">
        <v>11520</v>
      </c>
      <c r="AE39" s="92" t="str">
        <f>HYPERLINK("https://twitter.com/falecomromulo/status/1707055347737702865")</f>
        <v>https://twitter.com/falecomromulo/status/1707055347737702865</v>
      </c>
      <c r="AF39" s="90">
        <v>45196.646817129629</v>
      </c>
      <c r="AG39" s="99">
        <v>45196</v>
      </c>
      <c r="AH39" s="93" t="s">
        <v>11563</v>
      </c>
      <c r="AI39" s="87" t="b">
        <v>0</v>
      </c>
      <c r="AJ39" s="87"/>
      <c r="AK39" s="87"/>
      <c r="AL39" s="87"/>
      <c r="AM39" s="87"/>
      <c r="AN39" s="87"/>
      <c r="AO39" s="87"/>
      <c r="AP39" s="87"/>
      <c r="AQ39" s="87" t="s">
        <v>15467</v>
      </c>
      <c r="AR39" s="87">
        <v>12866</v>
      </c>
      <c r="AS39" s="87"/>
      <c r="AT39" s="87"/>
      <c r="AU39" s="87"/>
      <c r="AV39" s="92" t="str">
        <f>HYPERLINK("https://pbs.twimg.com/ext_tw_video_thumb/1707055298328846336/pu/img/4jTMJ0XrH9jp8BDr.jpg")</f>
        <v>https://pbs.twimg.com/ext_tw_video_thumb/1707055298328846336/pu/img/4jTMJ0XrH9jp8BDr.jpg</v>
      </c>
      <c r="AW39" s="93" t="s">
        <v>18292</v>
      </c>
      <c r="AX39" s="93" t="s">
        <v>18292</v>
      </c>
      <c r="AY39" s="87"/>
      <c r="AZ39" s="93" t="s">
        <v>22668</v>
      </c>
      <c r="BA39" s="93" t="s">
        <v>22668</v>
      </c>
      <c r="BB39" s="93" t="s">
        <v>22668</v>
      </c>
      <c r="BC39" s="93" t="s">
        <v>18292</v>
      </c>
      <c r="BD39" s="87">
        <v>94391893</v>
      </c>
      <c r="BE39" s="87"/>
      <c r="BF39" s="87"/>
      <c r="BG39" s="87"/>
      <c r="BH39" s="87"/>
      <c r="BI39" s="87"/>
    </row>
    <row r="40" spans="1:61" x14ac:dyDescent="0.25">
      <c r="A40" s="63" t="s">
        <v>240</v>
      </c>
      <c r="B40" s="63" t="s">
        <v>240</v>
      </c>
      <c r="C40" s="64"/>
      <c r="D40" s="65"/>
      <c r="E40" s="66"/>
      <c r="F40" s="67"/>
      <c r="G40" s="64"/>
      <c r="H40" s="68"/>
      <c r="I40" s="69"/>
      <c r="J40" s="69"/>
      <c r="K40" s="32"/>
      <c r="L40" s="76">
        <v>40</v>
      </c>
      <c r="M40" s="76"/>
      <c r="N40" s="71"/>
      <c r="O40" s="87" t="s">
        <v>179</v>
      </c>
      <c r="P40" s="90">
        <v>45191.100937499999</v>
      </c>
      <c r="Q40" s="87" t="s">
        <v>1878</v>
      </c>
      <c r="R40" s="87">
        <v>0</v>
      </c>
      <c r="S40" s="87">
        <v>0</v>
      </c>
      <c r="T40" s="87">
        <v>0</v>
      </c>
      <c r="U40" s="87">
        <v>0</v>
      </c>
      <c r="V40" s="87">
        <v>52</v>
      </c>
      <c r="W40" s="93" t="s">
        <v>5855</v>
      </c>
      <c r="X40" s="87"/>
      <c r="Y40" s="87"/>
      <c r="Z40" s="87"/>
      <c r="AA40" s="87" t="s">
        <v>8655</v>
      </c>
      <c r="AB40" s="87" t="s">
        <v>11447</v>
      </c>
      <c r="AC40" s="93" t="s">
        <v>11459</v>
      </c>
      <c r="AD40" s="87" t="s">
        <v>11520</v>
      </c>
      <c r="AE40" s="92" t="str">
        <f>HYPERLINK("https://twitter.com/idealprojetos/status/1705045591149945034")</f>
        <v>https://twitter.com/idealprojetos/status/1705045591149945034</v>
      </c>
      <c r="AF40" s="90">
        <v>45191.100937499999</v>
      </c>
      <c r="AG40" s="99">
        <v>45191</v>
      </c>
      <c r="AH40" s="93" t="s">
        <v>11564</v>
      </c>
      <c r="AI40" s="87" t="b">
        <v>0</v>
      </c>
      <c r="AJ40" s="87"/>
      <c r="AK40" s="87"/>
      <c r="AL40" s="87"/>
      <c r="AM40" s="87"/>
      <c r="AN40" s="87"/>
      <c r="AO40" s="87"/>
      <c r="AP40" s="87"/>
      <c r="AQ40" s="87" t="s">
        <v>15468</v>
      </c>
      <c r="AR40" s="87">
        <v>5033</v>
      </c>
      <c r="AS40" s="87"/>
      <c r="AT40" s="87"/>
      <c r="AU40" s="87"/>
      <c r="AV40" s="92" t="str">
        <f>HYPERLINK("https://pbs.twimg.com/ext_tw_video_thumb/1705045568425177088/pu/img/PBH3237s2F7J3e5a.jpg")</f>
        <v>https://pbs.twimg.com/ext_tw_video_thumb/1705045568425177088/pu/img/PBH3237s2F7J3e5a.jpg</v>
      </c>
      <c r="AW40" s="93" t="s">
        <v>18293</v>
      </c>
      <c r="AX40" s="93" t="s">
        <v>18293</v>
      </c>
      <c r="AY40" s="87"/>
      <c r="AZ40" s="93" t="s">
        <v>22668</v>
      </c>
      <c r="BA40" s="93" t="s">
        <v>22668</v>
      </c>
      <c r="BB40" s="93" t="s">
        <v>22668</v>
      </c>
      <c r="BC40" s="93" t="s">
        <v>18293</v>
      </c>
      <c r="BD40" s="87">
        <v>90280668</v>
      </c>
      <c r="BE40" s="87"/>
      <c r="BF40" s="87"/>
      <c r="BG40" s="87"/>
      <c r="BH40" s="87"/>
      <c r="BI40" s="87"/>
    </row>
    <row r="41" spans="1:61" x14ac:dyDescent="0.25">
      <c r="A41" s="63" t="s">
        <v>241</v>
      </c>
      <c r="B41" s="63" t="s">
        <v>241</v>
      </c>
      <c r="C41" s="64"/>
      <c r="D41" s="65"/>
      <c r="E41" s="66"/>
      <c r="F41" s="67"/>
      <c r="G41" s="64"/>
      <c r="H41" s="68"/>
      <c r="I41" s="69"/>
      <c r="J41" s="69"/>
      <c r="K41" s="32"/>
      <c r="L41" s="76">
        <v>41</v>
      </c>
      <c r="M41" s="76"/>
      <c r="N41" s="71"/>
      <c r="O41" s="87" t="s">
        <v>179</v>
      </c>
      <c r="P41" s="90">
        <v>45167.424039351848</v>
      </c>
      <c r="Q41" s="87" t="s">
        <v>1879</v>
      </c>
      <c r="R41" s="87">
        <v>0</v>
      </c>
      <c r="S41" s="87">
        <v>0</v>
      </c>
      <c r="T41" s="87">
        <v>0</v>
      </c>
      <c r="U41" s="87">
        <v>0</v>
      </c>
      <c r="V41" s="87">
        <v>7</v>
      </c>
      <c r="W41" s="93" t="s">
        <v>5856</v>
      </c>
      <c r="X41" s="87"/>
      <c r="Y41" s="87"/>
      <c r="Z41" s="87"/>
      <c r="AA41" s="87" t="s">
        <v>8656</v>
      </c>
      <c r="AB41" s="87" t="s">
        <v>11448</v>
      </c>
      <c r="AC41" s="93" t="s">
        <v>11459</v>
      </c>
      <c r="AD41" s="87" t="s">
        <v>11519</v>
      </c>
      <c r="AE41" s="92" t="str">
        <f>HYPERLINK("https://twitter.com/linkarbio/status/1696465369634861138")</f>
        <v>https://twitter.com/linkarbio/status/1696465369634861138</v>
      </c>
      <c r="AF41" s="90">
        <v>45167.424039351848</v>
      </c>
      <c r="AG41" s="99">
        <v>45167</v>
      </c>
      <c r="AH41" s="93" t="s">
        <v>11565</v>
      </c>
      <c r="AI41" s="87" t="b">
        <v>0</v>
      </c>
      <c r="AJ41" s="87"/>
      <c r="AK41" s="87"/>
      <c r="AL41" s="87"/>
      <c r="AM41" s="87"/>
      <c r="AN41" s="87"/>
      <c r="AO41" s="87"/>
      <c r="AP41" s="87"/>
      <c r="AQ41" s="87" t="s">
        <v>15469</v>
      </c>
      <c r="AR41" s="87"/>
      <c r="AS41" s="87"/>
      <c r="AT41" s="87"/>
      <c r="AU41" s="87"/>
      <c r="AV41" s="92" t="str">
        <f>HYPERLINK("https://pbs.twimg.com/media/F4sOQhTWcAAcY6X.jpg")</f>
        <v>https://pbs.twimg.com/media/F4sOQhTWcAAcY6X.jpg</v>
      </c>
      <c r="AW41" s="93" t="s">
        <v>18294</v>
      </c>
      <c r="AX41" s="93" t="s">
        <v>18294</v>
      </c>
      <c r="AY41" s="87"/>
      <c r="AZ41" s="93" t="s">
        <v>22668</v>
      </c>
      <c r="BA41" s="93" t="s">
        <v>22668</v>
      </c>
      <c r="BB41" s="93" t="s">
        <v>22668</v>
      </c>
      <c r="BC41" s="93" t="s">
        <v>18294</v>
      </c>
      <c r="BD41" s="93" t="s">
        <v>22799</v>
      </c>
      <c r="BE41" s="87"/>
      <c r="BF41" s="87"/>
      <c r="BG41" s="87"/>
      <c r="BH41" s="87"/>
      <c r="BI41" s="87"/>
    </row>
    <row r="42" spans="1:61" x14ac:dyDescent="0.25">
      <c r="A42" s="63" t="s">
        <v>242</v>
      </c>
      <c r="B42" s="63" t="s">
        <v>242</v>
      </c>
      <c r="C42" s="64"/>
      <c r="D42" s="65"/>
      <c r="E42" s="66"/>
      <c r="F42" s="67"/>
      <c r="G42" s="64"/>
      <c r="H42" s="68"/>
      <c r="I42" s="69"/>
      <c r="J42" s="69"/>
      <c r="K42" s="32"/>
      <c r="L42" s="76">
        <v>42</v>
      </c>
      <c r="M42" s="76"/>
      <c r="N42" s="71"/>
      <c r="O42" s="87" t="s">
        <v>179</v>
      </c>
      <c r="P42" s="90">
        <v>45139.809189814812</v>
      </c>
      <c r="Q42" s="87" t="s">
        <v>1880</v>
      </c>
      <c r="R42" s="87">
        <v>0</v>
      </c>
      <c r="S42" s="87">
        <v>0</v>
      </c>
      <c r="T42" s="87">
        <v>0</v>
      </c>
      <c r="U42" s="87">
        <v>0</v>
      </c>
      <c r="V42" s="87">
        <v>7</v>
      </c>
      <c r="W42" s="93" t="s">
        <v>5857</v>
      </c>
      <c r="X42" s="92" t="str">
        <f>HYPERLINK("https://www.reddit.com/r/announcements2/comments/15fm3on/empreendedorismo_marketingdigital_vendas_funilfe/?utm_content=post&amp;utm_medium=twitter&amp;utm_source=share&amp;utm_name=submit&amp;utm_term=t3_15fm3on")</f>
        <v>https://www.reddit.com/r/announcements2/comments/15fm3on/empreendedorismo_marketingdigital_vendas_funilfe/?utm_content=post&amp;utm_medium=twitter&amp;utm_source=share&amp;utm_name=submit&amp;utm_term=t3_15fm3on</v>
      </c>
      <c r="Y42" s="87" t="s">
        <v>8375</v>
      </c>
      <c r="Z42" s="87"/>
      <c r="AA42" s="87"/>
      <c r="AB42" s="87"/>
      <c r="AC42" s="93" t="s">
        <v>11463</v>
      </c>
      <c r="AD42" s="87" t="s">
        <v>11518</v>
      </c>
      <c r="AE42" s="92" t="str">
        <f>HYPERLINK("https://twitter.com/wmjm1234/status/1686458082295975936")</f>
        <v>https://twitter.com/wmjm1234/status/1686458082295975936</v>
      </c>
      <c r="AF42" s="90">
        <v>45139.809189814812</v>
      </c>
      <c r="AG42" s="99">
        <v>45139</v>
      </c>
      <c r="AH42" s="93" t="s">
        <v>11566</v>
      </c>
      <c r="AI42" s="87" t="b">
        <v>0</v>
      </c>
      <c r="AJ42" s="87"/>
      <c r="AK42" s="87"/>
      <c r="AL42" s="87"/>
      <c r="AM42" s="87"/>
      <c r="AN42" s="87"/>
      <c r="AO42" s="87"/>
      <c r="AP42" s="87"/>
      <c r="AQ42" s="87"/>
      <c r="AR42" s="87"/>
      <c r="AS42" s="87"/>
      <c r="AT42" s="87"/>
      <c r="AU42" s="87"/>
      <c r="AV42" s="92" t="str">
        <f>HYPERLINK("https://pbs.twimg.com/profile_images/1565737778649784321/-NkVsP9q_normal.png")</f>
        <v>https://pbs.twimg.com/profile_images/1565737778649784321/-NkVsP9q_normal.png</v>
      </c>
      <c r="AW42" s="93" t="s">
        <v>18295</v>
      </c>
      <c r="AX42" s="93" t="s">
        <v>18295</v>
      </c>
      <c r="AY42" s="87"/>
      <c r="AZ42" s="93" t="s">
        <v>22668</v>
      </c>
      <c r="BA42" s="93" t="s">
        <v>22668</v>
      </c>
      <c r="BB42" s="93" t="s">
        <v>22668</v>
      </c>
      <c r="BC42" s="93" t="s">
        <v>18295</v>
      </c>
      <c r="BD42" s="87">
        <v>1337546527</v>
      </c>
      <c r="BE42" s="87"/>
      <c r="BF42" s="87"/>
      <c r="BG42" s="87"/>
      <c r="BH42" s="87"/>
      <c r="BI42" s="87"/>
    </row>
    <row r="43" spans="1:61" x14ac:dyDescent="0.25">
      <c r="A43" s="63" t="s">
        <v>243</v>
      </c>
      <c r="B43" s="63" t="s">
        <v>243</v>
      </c>
      <c r="C43" s="64"/>
      <c r="D43" s="65"/>
      <c r="E43" s="66"/>
      <c r="F43" s="67"/>
      <c r="G43" s="64"/>
      <c r="H43" s="68"/>
      <c r="I43" s="69"/>
      <c r="J43" s="69"/>
      <c r="K43" s="32"/>
      <c r="L43" s="76">
        <v>43</v>
      </c>
      <c r="M43" s="76"/>
      <c r="N43" s="71"/>
      <c r="O43" s="87" t="s">
        <v>179</v>
      </c>
      <c r="P43" s="90">
        <v>45119.819560185184</v>
      </c>
      <c r="Q43" s="87" t="s">
        <v>1881</v>
      </c>
      <c r="R43" s="87">
        <v>0</v>
      </c>
      <c r="S43" s="87">
        <v>0</v>
      </c>
      <c r="T43" s="87">
        <v>0</v>
      </c>
      <c r="U43" s="87">
        <v>0</v>
      </c>
      <c r="V43" s="87">
        <v>5</v>
      </c>
      <c r="W43" s="93" t="s">
        <v>5858</v>
      </c>
      <c r="X43" s="92" t="str">
        <f>HYPERLINK("https://bit.ly/OVerdadeiroMarketingDigital")</f>
        <v>https://bit.ly/OVerdadeiroMarketingDigital</v>
      </c>
      <c r="Y43" s="87" t="s">
        <v>8374</v>
      </c>
      <c r="Z43" s="87"/>
      <c r="AA43" s="87" t="s">
        <v>8657</v>
      </c>
      <c r="AB43" s="87" t="s">
        <v>11448</v>
      </c>
      <c r="AC43" s="93" t="s">
        <v>11459</v>
      </c>
      <c r="AD43" s="87" t="s">
        <v>11519</v>
      </c>
      <c r="AE43" s="92" t="str">
        <f>HYPERLINK("https://twitter.com/night7xr/status/1679214083109711885")</f>
        <v>https://twitter.com/night7xr/status/1679214083109711885</v>
      </c>
      <c r="AF43" s="90">
        <v>45119.819560185184</v>
      </c>
      <c r="AG43" s="99">
        <v>45119</v>
      </c>
      <c r="AH43" s="93" t="s">
        <v>11567</v>
      </c>
      <c r="AI43" s="87" t="b">
        <v>0</v>
      </c>
      <c r="AJ43" s="87"/>
      <c r="AK43" s="87"/>
      <c r="AL43" s="87"/>
      <c r="AM43" s="87"/>
      <c r="AN43" s="87"/>
      <c r="AO43" s="87"/>
      <c r="AP43" s="87"/>
      <c r="AQ43" s="87" t="s">
        <v>15470</v>
      </c>
      <c r="AR43" s="87"/>
      <c r="AS43" s="87"/>
      <c r="AT43" s="87"/>
      <c r="AU43" s="87"/>
      <c r="AV43" s="92" t="str">
        <f>HYPERLINK("https://pbs.twimg.com/media/F03ET2OWcAsDPjW.jpg")</f>
        <v>https://pbs.twimg.com/media/F03ET2OWcAsDPjW.jpg</v>
      </c>
      <c r="AW43" s="93" t="s">
        <v>18296</v>
      </c>
      <c r="AX43" s="93" t="s">
        <v>18296</v>
      </c>
      <c r="AY43" s="87"/>
      <c r="AZ43" s="93" t="s">
        <v>22668</v>
      </c>
      <c r="BA43" s="93" t="s">
        <v>22668</v>
      </c>
      <c r="BB43" s="93" t="s">
        <v>22668</v>
      </c>
      <c r="BC43" s="93" t="s">
        <v>18296</v>
      </c>
      <c r="BD43" s="93" t="s">
        <v>22800</v>
      </c>
      <c r="BE43" s="87"/>
      <c r="BF43" s="87"/>
      <c r="BG43" s="87"/>
      <c r="BH43" s="87"/>
      <c r="BI43" s="87"/>
    </row>
    <row r="44" spans="1:61" x14ac:dyDescent="0.25">
      <c r="A44" s="63" t="s">
        <v>244</v>
      </c>
      <c r="B44" s="63" t="s">
        <v>244</v>
      </c>
      <c r="C44" s="64"/>
      <c r="D44" s="65"/>
      <c r="E44" s="66"/>
      <c r="F44" s="67"/>
      <c r="G44" s="64"/>
      <c r="H44" s="68"/>
      <c r="I44" s="69"/>
      <c r="J44" s="69"/>
      <c r="K44" s="32"/>
      <c r="L44" s="76">
        <v>44</v>
      </c>
      <c r="M44" s="76"/>
      <c r="N44" s="71"/>
      <c r="O44" s="87" t="s">
        <v>179</v>
      </c>
      <c r="P44" s="90">
        <v>45187.701122685183</v>
      </c>
      <c r="Q44" s="87" t="s">
        <v>1882</v>
      </c>
      <c r="R44" s="87">
        <v>0</v>
      </c>
      <c r="S44" s="87">
        <v>1</v>
      </c>
      <c r="T44" s="87">
        <v>0</v>
      </c>
      <c r="U44" s="87">
        <v>0</v>
      </c>
      <c r="V44" s="87">
        <v>1394</v>
      </c>
      <c r="W44" s="93" t="s">
        <v>5859</v>
      </c>
      <c r="X44" s="87"/>
      <c r="Y44" s="87"/>
      <c r="Z44" s="87"/>
      <c r="AA44" s="87" t="s">
        <v>8658</v>
      </c>
      <c r="AB44" s="87" t="s">
        <v>11447</v>
      </c>
      <c r="AC44" s="93" t="s">
        <v>11458</v>
      </c>
      <c r="AD44" s="87" t="s">
        <v>11519</v>
      </c>
      <c r="AE44" s="92" t="str">
        <f>HYPERLINK("https://twitter.com/vtpodcast_/status/1703813538345611482")</f>
        <v>https://twitter.com/vtpodcast_/status/1703813538345611482</v>
      </c>
      <c r="AF44" s="90">
        <v>45187.701122685183</v>
      </c>
      <c r="AG44" s="99">
        <v>45187</v>
      </c>
      <c r="AH44" s="93" t="s">
        <v>11568</v>
      </c>
      <c r="AI44" s="87" t="b">
        <v>0</v>
      </c>
      <c r="AJ44" s="87"/>
      <c r="AK44" s="87"/>
      <c r="AL44" s="87"/>
      <c r="AM44" s="87"/>
      <c r="AN44" s="87"/>
      <c r="AO44" s="87"/>
      <c r="AP44" s="87"/>
      <c r="AQ44" s="87" t="s">
        <v>15471</v>
      </c>
      <c r="AR44" s="87">
        <v>69776</v>
      </c>
      <c r="AS44" s="87"/>
      <c r="AT44" s="87"/>
      <c r="AU44" s="87"/>
      <c r="AV44" s="92" t="str">
        <f>HYPERLINK("https://pbs.twimg.com/ext_tw_video_thumb/1703813406002683904/pu/img/nc1VbN9N2unwARKO.jpg")</f>
        <v>https://pbs.twimg.com/ext_tw_video_thumb/1703813406002683904/pu/img/nc1VbN9N2unwARKO.jpg</v>
      </c>
      <c r="AW44" s="93" t="s">
        <v>18297</v>
      </c>
      <c r="AX44" s="93" t="s">
        <v>18297</v>
      </c>
      <c r="AY44" s="87"/>
      <c r="AZ44" s="93" t="s">
        <v>22668</v>
      </c>
      <c r="BA44" s="93" t="s">
        <v>22668</v>
      </c>
      <c r="BB44" s="93" t="s">
        <v>22668</v>
      </c>
      <c r="BC44" s="93" t="s">
        <v>18297</v>
      </c>
      <c r="BD44" s="93" t="s">
        <v>22801</v>
      </c>
      <c r="BE44" s="87"/>
      <c r="BF44" s="87"/>
      <c r="BG44" s="87"/>
      <c r="BH44" s="87"/>
      <c r="BI44" s="87"/>
    </row>
    <row r="45" spans="1:61" x14ac:dyDescent="0.25">
      <c r="A45" s="63" t="s">
        <v>245</v>
      </c>
      <c r="B45" s="63" t="s">
        <v>245</v>
      </c>
      <c r="C45" s="64"/>
      <c r="D45" s="65"/>
      <c r="E45" s="66"/>
      <c r="F45" s="67"/>
      <c r="G45" s="64"/>
      <c r="H45" s="68"/>
      <c r="I45" s="69"/>
      <c r="J45" s="69"/>
      <c r="K45" s="32"/>
      <c r="L45" s="76">
        <v>45</v>
      </c>
      <c r="M45" s="76"/>
      <c r="N45" s="71"/>
      <c r="O45" s="87" t="s">
        <v>179</v>
      </c>
      <c r="P45" s="90">
        <v>45131.839513888888</v>
      </c>
      <c r="Q45" s="87" t="s">
        <v>1883</v>
      </c>
      <c r="R45" s="87">
        <v>0</v>
      </c>
      <c r="S45" s="87">
        <v>0</v>
      </c>
      <c r="T45" s="87">
        <v>0</v>
      </c>
      <c r="U45" s="87">
        <v>0</v>
      </c>
      <c r="V45" s="87">
        <v>18</v>
      </c>
      <c r="W45" s="93" t="s">
        <v>5860</v>
      </c>
      <c r="X45" s="87"/>
      <c r="Y45" s="87"/>
      <c r="Z45" s="87"/>
      <c r="AA45" s="87" t="s">
        <v>8659</v>
      </c>
      <c r="AB45" s="87" t="s">
        <v>11448</v>
      </c>
      <c r="AC45" s="93" t="s">
        <v>11457</v>
      </c>
      <c r="AD45" s="87" t="s">
        <v>11519</v>
      </c>
      <c r="AE45" s="92" t="str">
        <f>HYPERLINK("https://twitter.com/criadordeideias/status/1683569967814279170")</f>
        <v>https://twitter.com/criadordeideias/status/1683569967814279170</v>
      </c>
      <c r="AF45" s="90">
        <v>45131.839513888888</v>
      </c>
      <c r="AG45" s="99">
        <v>45131</v>
      </c>
      <c r="AH45" s="93" t="s">
        <v>11569</v>
      </c>
      <c r="AI45" s="87" t="b">
        <v>0</v>
      </c>
      <c r="AJ45" s="87"/>
      <c r="AK45" s="87"/>
      <c r="AL45" s="87"/>
      <c r="AM45" s="87"/>
      <c r="AN45" s="87"/>
      <c r="AO45" s="87"/>
      <c r="AP45" s="87"/>
      <c r="AQ45" s="87" t="s">
        <v>15472</v>
      </c>
      <c r="AR45" s="87"/>
      <c r="AS45" s="87"/>
      <c r="AT45" s="87"/>
      <c r="AU45" s="87"/>
      <c r="AV45" s="92" t="str">
        <f>HYPERLINK("https://pbs.twimg.com/media/F1098KJWIAE24s0.jpg")</f>
        <v>https://pbs.twimg.com/media/F1098KJWIAE24s0.jpg</v>
      </c>
      <c r="AW45" s="93" t="s">
        <v>18298</v>
      </c>
      <c r="AX45" s="93" t="s">
        <v>18298</v>
      </c>
      <c r="AY45" s="87"/>
      <c r="AZ45" s="93" t="s">
        <v>22668</v>
      </c>
      <c r="BA45" s="93" t="s">
        <v>22668</v>
      </c>
      <c r="BB45" s="93" t="s">
        <v>22668</v>
      </c>
      <c r="BC45" s="93" t="s">
        <v>18298</v>
      </c>
      <c r="BD45" s="87">
        <v>283197263</v>
      </c>
      <c r="BE45" s="87"/>
      <c r="BF45" s="87"/>
      <c r="BG45" s="87"/>
      <c r="BH45" s="87"/>
      <c r="BI45" s="87"/>
    </row>
    <row r="46" spans="1:61" x14ac:dyDescent="0.25">
      <c r="A46" s="63" t="s">
        <v>246</v>
      </c>
      <c r="B46" s="63" t="s">
        <v>246</v>
      </c>
      <c r="C46" s="64"/>
      <c r="D46" s="65"/>
      <c r="E46" s="66"/>
      <c r="F46" s="67"/>
      <c r="G46" s="64"/>
      <c r="H46" s="68"/>
      <c r="I46" s="69"/>
      <c r="J46" s="69"/>
      <c r="K46" s="32"/>
      <c r="L46" s="76">
        <v>46</v>
      </c>
      <c r="M46" s="76"/>
      <c r="N46" s="71"/>
      <c r="O46" s="87" t="s">
        <v>179</v>
      </c>
      <c r="P46" s="90">
        <v>45194.048611111109</v>
      </c>
      <c r="Q46" s="87" t="s">
        <v>1884</v>
      </c>
      <c r="R46" s="87">
        <v>0</v>
      </c>
      <c r="S46" s="87">
        <v>5</v>
      </c>
      <c r="T46" s="87">
        <v>0</v>
      </c>
      <c r="U46" s="87">
        <v>1</v>
      </c>
      <c r="V46" s="87">
        <v>118</v>
      </c>
      <c r="W46" s="93" t="s">
        <v>5861</v>
      </c>
      <c r="X46" s="87"/>
      <c r="Y46" s="87"/>
      <c r="Z46" s="87"/>
      <c r="AA46" s="87" t="s">
        <v>8660</v>
      </c>
      <c r="AB46" s="87" t="s">
        <v>11447</v>
      </c>
      <c r="AC46" s="93" t="s">
        <v>11458</v>
      </c>
      <c r="AD46" s="87" t="s">
        <v>11519</v>
      </c>
      <c r="AE46" s="92" t="str">
        <f>HYPERLINK("https://twitter.com/roberto_unger_/status/1706113791606288756")</f>
        <v>https://twitter.com/roberto_unger_/status/1706113791606288756</v>
      </c>
      <c r="AF46" s="90">
        <v>45194.048611111109</v>
      </c>
      <c r="AG46" s="99">
        <v>45194</v>
      </c>
      <c r="AH46" s="93" t="s">
        <v>11570</v>
      </c>
      <c r="AI46" s="87" t="b">
        <v>0</v>
      </c>
      <c r="AJ46" s="87"/>
      <c r="AK46" s="87"/>
      <c r="AL46" s="87"/>
      <c r="AM46" s="87"/>
      <c r="AN46" s="87"/>
      <c r="AO46" s="87"/>
      <c r="AP46" s="87"/>
      <c r="AQ46" s="87" t="s">
        <v>15473</v>
      </c>
      <c r="AR46" s="87">
        <v>84661</v>
      </c>
      <c r="AS46" s="87"/>
      <c r="AT46" s="87"/>
      <c r="AU46" s="87"/>
      <c r="AV46" s="92" t="str">
        <f>HYPERLINK("https://pbs.twimg.com/ext_tw_video_thumb/1706113589969313793/pu/img/ZoXQoods14pDq4BU.jpg")</f>
        <v>https://pbs.twimg.com/ext_tw_video_thumb/1706113589969313793/pu/img/ZoXQoods14pDq4BU.jpg</v>
      </c>
      <c r="AW46" s="93" t="s">
        <v>18299</v>
      </c>
      <c r="AX46" s="93" t="s">
        <v>18299</v>
      </c>
      <c r="AY46" s="87"/>
      <c r="AZ46" s="93" t="s">
        <v>22668</v>
      </c>
      <c r="BA46" s="93" t="s">
        <v>22668</v>
      </c>
      <c r="BB46" s="93" t="s">
        <v>22668</v>
      </c>
      <c r="BC46" s="93" t="s">
        <v>18299</v>
      </c>
      <c r="BD46" s="93" t="s">
        <v>22802</v>
      </c>
      <c r="BE46" s="87"/>
      <c r="BF46" s="87"/>
      <c r="BG46" s="87"/>
      <c r="BH46" s="87"/>
      <c r="BI46" s="87"/>
    </row>
    <row r="47" spans="1:61" x14ac:dyDescent="0.25">
      <c r="A47" s="63" t="s">
        <v>247</v>
      </c>
      <c r="B47" s="63" t="s">
        <v>247</v>
      </c>
      <c r="C47" s="64"/>
      <c r="D47" s="65"/>
      <c r="E47" s="66"/>
      <c r="F47" s="67"/>
      <c r="G47" s="64"/>
      <c r="H47" s="68"/>
      <c r="I47" s="69"/>
      <c r="J47" s="69"/>
      <c r="K47" s="32"/>
      <c r="L47" s="76">
        <v>47</v>
      </c>
      <c r="M47" s="76"/>
      <c r="N47" s="71"/>
      <c r="O47" s="87" t="s">
        <v>179</v>
      </c>
      <c r="P47" s="90">
        <v>45123.213020833333</v>
      </c>
      <c r="Q47" s="87" t="s">
        <v>1885</v>
      </c>
      <c r="R47" s="87">
        <v>0</v>
      </c>
      <c r="S47" s="87">
        <v>1</v>
      </c>
      <c r="T47" s="87">
        <v>0</v>
      </c>
      <c r="U47" s="87">
        <v>0</v>
      </c>
      <c r="V47" s="87">
        <v>30</v>
      </c>
      <c r="W47" s="93" t="s">
        <v>5862</v>
      </c>
      <c r="X47" s="87"/>
      <c r="Y47" s="87"/>
      <c r="Z47" s="87"/>
      <c r="AA47" s="87"/>
      <c r="AB47" s="87"/>
      <c r="AC47" s="93" t="s">
        <v>11459</v>
      </c>
      <c r="AD47" s="87" t="s">
        <v>11519</v>
      </c>
      <c r="AE47" s="92" t="str">
        <f>HYPERLINK("https://twitter.com/wagner3m/status/1680443830770843649")</f>
        <v>https://twitter.com/wagner3m/status/1680443830770843649</v>
      </c>
      <c r="AF47" s="90">
        <v>45123.213020833333</v>
      </c>
      <c r="AG47" s="99">
        <v>45123</v>
      </c>
      <c r="AH47" s="93" t="s">
        <v>11571</v>
      </c>
      <c r="AI47" s="87"/>
      <c r="AJ47" s="87"/>
      <c r="AK47" s="87"/>
      <c r="AL47" s="87"/>
      <c r="AM47" s="87"/>
      <c r="AN47" s="87"/>
      <c r="AO47" s="87"/>
      <c r="AP47" s="87"/>
      <c r="AQ47" s="87"/>
      <c r="AR47" s="87"/>
      <c r="AS47" s="87"/>
      <c r="AT47" s="87"/>
      <c r="AU47" s="87"/>
      <c r="AV47" s="92" t="str">
        <f>HYPERLINK("https://pbs.twimg.com/profile_images/1080667174027579393/dtbEyeJd_normal.jpg")</f>
        <v>https://pbs.twimg.com/profile_images/1080667174027579393/dtbEyeJd_normal.jpg</v>
      </c>
      <c r="AW47" s="93" t="s">
        <v>18300</v>
      </c>
      <c r="AX47" s="93" t="s">
        <v>18300</v>
      </c>
      <c r="AY47" s="87"/>
      <c r="AZ47" s="93" t="s">
        <v>22668</v>
      </c>
      <c r="BA47" s="93" t="s">
        <v>22668</v>
      </c>
      <c r="BB47" s="93" t="s">
        <v>22668</v>
      </c>
      <c r="BC47" s="93" t="s">
        <v>18300</v>
      </c>
      <c r="BD47" s="87">
        <v>17410939</v>
      </c>
      <c r="BE47" s="87"/>
      <c r="BF47" s="87"/>
      <c r="BG47" s="87"/>
      <c r="BH47" s="87"/>
      <c r="BI47" s="87"/>
    </row>
    <row r="48" spans="1:61" x14ac:dyDescent="0.25">
      <c r="A48" s="63" t="s">
        <v>247</v>
      </c>
      <c r="B48" s="63" t="s">
        <v>247</v>
      </c>
      <c r="C48" s="64"/>
      <c r="D48" s="65"/>
      <c r="E48" s="66"/>
      <c r="F48" s="67"/>
      <c r="G48" s="64"/>
      <c r="H48" s="68"/>
      <c r="I48" s="69"/>
      <c r="J48" s="69"/>
      <c r="K48" s="32"/>
      <c r="L48" s="76">
        <v>48</v>
      </c>
      <c r="M48" s="76"/>
      <c r="N48" s="71"/>
      <c r="O48" s="87" t="s">
        <v>179</v>
      </c>
      <c r="P48" s="90">
        <v>45154.054583333331</v>
      </c>
      <c r="Q48" s="87" t="s">
        <v>1886</v>
      </c>
      <c r="R48" s="87">
        <v>0</v>
      </c>
      <c r="S48" s="87">
        <v>1</v>
      </c>
      <c r="T48" s="87">
        <v>0</v>
      </c>
      <c r="U48" s="87">
        <v>0</v>
      </c>
      <c r="V48" s="87">
        <v>22</v>
      </c>
      <c r="W48" s="93" t="s">
        <v>5863</v>
      </c>
      <c r="X48" s="87"/>
      <c r="Y48" s="87"/>
      <c r="Z48" s="87"/>
      <c r="AA48" s="87"/>
      <c r="AB48" s="87"/>
      <c r="AC48" s="93" t="s">
        <v>11459</v>
      </c>
      <c r="AD48" s="87" t="s">
        <v>11519</v>
      </c>
      <c r="AE48" s="92" t="str">
        <f>HYPERLINK("https://twitter.com/wagner3m/status/1691620440878531056")</f>
        <v>https://twitter.com/wagner3m/status/1691620440878531056</v>
      </c>
      <c r="AF48" s="90">
        <v>45154.054583333331</v>
      </c>
      <c r="AG48" s="99">
        <v>45154</v>
      </c>
      <c r="AH48" s="93" t="s">
        <v>11572</v>
      </c>
      <c r="AI48" s="87"/>
      <c r="AJ48" s="87"/>
      <c r="AK48" s="87"/>
      <c r="AL48" s="87"/>
      <c r="AM48" s="87"/>
      <c r="AN48" s="87"/>
      <c r="AO48" s="87"/>
      <c r="AP48" s="87"/>
      <c r="AQ48" s="87"/>
      <c r="AR48" s="87"/>
      <c r="AS48" s="87"/>
      <c r="AT48" s="87"/>
      <c r="AU48" s="87"/>
      <c r="AV48" s="92" t="str">
        <f>HYPERLINK("https://pbs.twimg.com/profile_images/1080667174027579393/dtbEyeJd_normal.jpg")</f>
        <v>https://pbs.twimg.com/profile_images/1080667174027579393/dtbEyeJd_normal.jpg</v>
      </c>
      <c r="AW48" s="93" t="s">
        <v>18301</v>
      </c>
      <c r="AX48" s="93" t="s">
        <v>18301</v>
      </c>
      <c r="AY48" s="87"/>
      <c r="AZ48" s="93" t="s">
        <v>22668</v>
      </c>
      <c r="BA48" s="93" t="s">
        <v>22668</v>
      </c>
      <c r="BB48" s="93" t="s">
        <v>22668</v>
      </c>
      <c r="BC48" s="93" t="s">
        <v>18301</v>
      </c>
      <c r="BD48" s="87">
        <v>17410939</v>
      </c>
      <c r="BE48" s="87"/>
      <c r="BF48" s="87"/>
      <c r="BG48" s="87"/>
      <c r="BH48" s="87"/>
      <c r="BI48" s="87"/>
    </row>
    <row r="49" spans="1:61" x14ac:dyDescent="0.25">
      <c r="A49" s="63" t="s">
        <v>248</v>
      </c>
      <c r="B49" s="63" t="s">
        <v>1622</v>
      </c>
      <c r="C49" s="64"/>
      <c r="D49" s="65"/>
      <c r="E49" s="66"/>
      <c r="F49" s="67"/>
      <c r="G49" s="64"/>
      <c r="H49" s="68"/>
      <c r="I49" s="69"/>
      <c r="J49" s="69"/>
      <c r="K49" s="32"/>
      <c r="L49" s="76">
        <v>49</v>
      </c>
      <c r="M49" s="76"/>
      <c r="N49" s="71"/>
      <c r="O49" s="87" t="s">
        <v>1839</v>
      </c>
      <c r="P49" s="90">
        <v>45121.639641203707</v>
      </c>
      <c r="Q49" s="87" t="s">
        <v>1887</v>
      </c>
      <c r="R49" s="87">
        <v>2</v>
      </c>
      <c r="S49" s="87">
        <v>2</v>
      </c>
      <c r="T49" s="87">
        <v>0</v>
      </c>
      <c r="U49" s="87">
        <v>0</v>
      </c>
      <c r="V49" s="87">
        <v>61</v>
      </c>
      <c r="W49" s="93" t="s">
        <v>5864</v>
      </c>
      <c r="X49" s="92" t="str">
        <f>HYPERLINK("https://cutt.ly/PostulacionesIU35LATAM2023")</f>
        <v>https://cutt.ly/PostulacionesIU35LATAM2023</v>
      </c>
      <c r="Y49" s="87" t="s">
        <v>8376</v>
      </c>
      <c r="Z49" s="87" t="s">
        <v>1622</v>
      </c>
      <c r="AA49" s="87" t="s">
        <v>8661</v>
      </c>
      <c r="AB49" s="87" t="s">
        <v>11448</v>
      </c>
      <c r="AC49" s="93" t="s">
        <v>11457</v>
      </c>
      <c r="AD49" s="87" t="s">
        <v>11519</v>
      </c>
      <c r="AE49" s="92" t="str">
        <f>HYPERLINK("https://twitter.com/innovadores35/status/1679873659555442689")</f>
        <v>https://twitter.com/innovadores35/status/1679873659555442689</v>
      </c>
      <c r="AF49" s="90">
        <v>45121.639641203707</v>
      </c>
      <c r="AG49" s="99">
        <v>45121</v>
      </c>
      <c r="AH49" s="93" t="s">
        <v>11573</v>
      </c>
      <c r="AI49" s="87" t="b">
        <v>0</v>
      </c>
      <c r="AJ49" s="87"/>
      <c r="AK49" s="87"/>
      <c r="AL49" s="87"/>
      <c r="AM49" s="87"/>
      <c r="AN49" s="87"/>
      <c r="AO49" s="87"/>
      <c r="AP49" s="87"/>
      <c r="AQ49" s="87" t="s">
        <v>15474</v>
      </c>
      <c r="AR49" s="87"/>
      <c r="AS49" s="87"/>
      <c r="AT49" s="87"/>
      <c r="AU49" s="87"/>
      <c r="AV49" s="92" t="str">
        <f>HYPERLINK("https://pbs.twimg.com/media/F1AZIZzXgAAJv0d.png")</f>
        <v>https://pbs.twimg.com/media/F1AZIZzXgAAJv0d.png</v>
      </c>
      <c r="AW49" s="93" t="s">
        <v>18302</v>
      </c>
      <c r="AX49" s="93" t="s">
        <v>18302</v>
      </c>
      <c r="AY49" s="87"/>
      <c r="AZ49" s="93" t="s">
        <v>22668</v>
      </c>
      <c r="BA49" s="93" t="s">
        <v>22668</v>
      </c>
      <c r="BB49" s="93" t="s">
        <v>22668</v>
      </c>
      <c r="BC49" s="93" t="s">
        <v>18302</v>
      </c>
      <c r="BD49" s="87">
        <v>425695928</v>
      </c>
      <c r="BE49" s="87"/>
      <c r="BF49" s="87"/>
      <c r="BG49" s="87"/>
      <c r="BH49" s="87"/>
      <c r="BI49" s="87"/>
    </row>
    <row r="50" spans="1:61" x14ac:dyDescent="0.25">
      <c r="A50" s="63" t="s">
        <v>249</v>
      </c>
      <c r="B50" s="63" t="s">
        <v>249</v>
      </c>
      <c r="C50" s="64"/>
      <c r="D50" s="65"/>
      <c r="E50" s="66"/>
      <c r="F50" s="67"/>
      <c r="G50" s="64"/>
      <c r="H50" s="68"/>
      <c r="I50" s="69"/>
      <c r="J50" s="69"/>
      <c r="K50" s="32"/>
      <c r="L50" s="76">
        <v>50</v>
      </c>
      <c r="M50" s="76"/>
      <c r="N50" s="71"/>
      <c r="O50" s="87" t="s">
        <v>179</v>
      </c>
      <c r="P50" s="90">
        <v>45195.955138888887</v>
      </c>
      <c r="Q50" s="87" t="s">
        <v>1888</v>
      </c>
      <c r="R50" s="87">
        <v>0</v>
      </c>
      <c r="S50" s="87">
        <v>1</v>
      </c>
      <c r="T50" s="87">
        <v>0</v>
      </c>
      <c r="U50" s="87">
        <v>0</v>
      </c>
      <c r="V50" s="87">
        <v>115</v>
      </c>
      <c r="W50" s="93" t="s">
        <v>5865</v>
      </c>
      <c r="X50" s="87"/>
      <c r="Y50" s="87"/>
      <c r="Z50" s="87"/>
      <c r="AA50" s="87" t="s">
        <v>8662</v>
      </c>
      <c r="AB50" s="87" t="s">
        <v>11447</v>
      </c>
      <c r="AC50" s="93" t="s">
        <v>11457</v>
      </c>
      <c r="AD50" s="87" t="s">
        <v>11519</v>
      </c>
      <c r="AE50" s="92" t="str">
        <f>HYPERLINK("https://twitter.com/gemeosinvestem/status/1706804691756003547")</f>
        <v>https://twitter.com/gemeosinvestem/status/1706804691756003547</v>
      </c>
      <c r="AF50" s="90">
        <v>45195.955138888887</v>
      </c>
      <c r="AG50" s="99">
        <v>45195</v>
      </c>
      <c r="AH50" s="93" t="s">
        <v>11574</v>
      </c>
      <c r="AI50" s="87" t="b">
        <v>0</v>
      </c>
      <c r="AJ50" s="87"/>
      <c r="AK50" s="87"/>
      <c r="AL50" s="87"/>
      <c r="AM50" s="87"/>
      <c r="AN50" s="87"/>
      <c r="AO50" s="87"/>
      <c r="AP50" s="87"/>
      <c r="AQ50" s="87" t="s">
        <v>15475</v>
      </c>
      <c r="AR50" s="87">
        <v>71816</v>
      </c>
      <c r="AS50" s="87"/>
      <c r="AT50" s="87"/>
      <c r="AU50" s="87"/>
      <c r="AV50" s="92" t="str">
        <f>HYPERLINK("https://pbs.twimg.com/ext_tw_video_thumb/1706804253392519168/pu/img/sN79XlGLWljUuU41.jpg")</f>
        <v>https://pbs.twimg.com/ext_tw_video_thumb/1706804253392519168/pu/img/sN79XlGLWljUuU41.jpg</v>
      </c>
      <c r="AW50" s="93" t="s">
        <v>18303</v>
      </c>
      <c r="AX50" s="93" t="s">
        <v>18303</v>
      </c>
      <c r="AY50" s="87"/>
      <c r="AZ50" s="93" t="s">
        <v>22668</v>
      </c>
      <c r="BA50" s="93" t="s">
        <v>22668</v>
      </c>
      <c r="BB50" s="93" t="s">
        <v>22668</v>
      </c>
      <c r="BC50" s="93" t="s">
        <v>18303</v>
      </c>
      <c r="BD50" s="93" t="s">
        <v>22803</v>
      </c>
      <c r="BE50" s="87"/>
      <c r="BF50" s="87"/>
      <c r="BG50" s="87"/>
      <c r="BH50" s="87"/>
      <c r="BI50" s="87"/>
    </row>
    <row r="51" spans="1:61" x14ac:dyDescent="0.25">
      <c r="A51" s="63" t="s">
        <v>250</v>
      </c>
      <c r="B51" s="63" t="s">
        <v>250</v>
      </c>
      <c r="C51" s="64"/>
      <c r="D51" s="65"/>
      <c r="E51" s="66"/>
      <c r="F51" s="67"/>
      <c r="G51" s="64"/>
      <c r="H51" s="68"/>
      <c r="I51" s="69"/>
      <c r="J51" s="69"/>
      <c r="K51" s="32"/>
      <c r="L51" s="76">
        <v>51</v>
      </c>
      <c r="M51" s="76"/>
      <c r="N51" s="71"/>
      <c r="O51" s="87" t="s">
        <v>179</v>
      </c>
      <c r="P51" s="90">
        <v>45128.703414351854</v>
      </c>
      <c r="Q51" s="87" t="s">
        <v>1889</v>
      </c>
      <c r="R51" s="87">
        <v>0</v>
      </c>
      <c r="S51" s="87">
        <v>0</v>
      </c>
      <c r="T51" s="87">
        <v>0</v>
      </c>
      <c r="U51" s="87">
        <v>0</v>
      </c>
      <c r="V51" s="87">
        <v>241</v>
      </c>
      <c r="W51" s="93" t="s">
        <v>5866</v>
      </c>
      <c r="X51" s="87"/>
      <c r="Y51" s="87"/>
      <c r="Z51" s="87"/>
      <c r="AA51" s="87" t="s">
        <v>8663</v>
      </c>
      <c r="AB51" s="87" t="s">
        <v>11447</v>
      </c>
      <c r="AC51" s="93" t="s">
        <v>11457</v>
      </c>
      <c r="AD51" s="87" t="s">
        <v>11519</v>
      </c>
      <c r="AE51" s="92" t="str">
        <f>HYPERLINK("https://twitter.com/blumenauagora/status/1682433483522580501")</f>
        <v>https://twitter.com/blumenauagora/status/1682433483522580501</v>
      </c>
      <c r="AF51" s="90">
        <v>45128.703414351854</v>
      </c>
      <c r="AG51" s="99">
        <v>45128</v>
      </c>
      <c r="AH51" s="93" t="s">
        <v>11575</v>
      </c>
      <c r="AI51" s="87" t="b">
        <v>0</v>
      </c>
      <c r="AJ51" s="87"/>
      <c r="AK51" s="87"/>
      <c r="AL51" s="87"/>
      <c r="AM51" s="87"/>
      <c r="AN51" s="87"/>
      <c r="AO51" s="87"/>
      <c r="AP51" s="87"/>
      <c r="AQ51" s="87" t="s">
        <v>15476</v>
      </c>
      <c r="AR51" s="87">
        <v>28499</v>
      </c>
      <c r="AS51" s="87"/>
      <c r="AT51" s="87"/>
      <c r="AU51" s="87"/>
      <c r="AV51" s="92" t="str">
        <f>HYPERLINK("https://pbs.twimg.com/ext_tw_video_thumb/1682433400810905627/pu/img/igzEbdXYmvz4m5uv.jpg")</f>
        <v>https://pbs.twimg.com/ext_tw_video_thumb/1682433400810905627/pu/img/igzEbdXYmvz4m5uv.jpg</v>
      </c>
      <c r="AW51" s="93" t="s">
        <v>18304</v>
      </c>
      <c r="AX51" s="93" t="s">
        <v>18304</v>
      </c>
      <c r="AY51" s="87"/>
      <c r="AZ51" s="93" t="s">
        <v>22668</v>
      </c>
      <c r="BA51" s="93" t="s">
        <v>22668</v>
      </c>
      <c r="BB51" s="93" t="s">
        <v>22668</v>
      </c>
      <c r="BC51" s="93" t="s">
        <v>18304</v>
      </c>
      <c r="BD51" s="87">
        <v>116233438</v>
      </c>
      <c r="BE51" s="87"/>
      <c r="BF51" s="87"/>
      <c r="BG51" s="87"/>
      <c r="BH51" s="87"/>
      <c r="BI51" s="87"/>
    </row>
    <row r="52" spans="1:61" x14ac:dyDescent="0.25">
      <c r="A52" s="63" t="s">
        <v>250</v>
      </c>
      <c r="B52" s="63" t="s">
        <v>250</v>
      </c>
      <c r="C52" s="64"/>
      <c r="D52" s="65"/>
      <c r="E52" s="66"/>
      <c r="F52" s="67"/>
      <c r="G52" s="64"/>
      <c r="H52" s="68"/>
      <c r="I52" s="69"/>
      <c r="J52" s="69"/>
      <c r="K52" s="32"/>
      <c r="L52" s="76">
        <v>52</v>
      </c>
      <c r="M52" s="76"/>
      <c r="N52" s="71"/>
      <c r="O52" s="87" t="s">
        <v>179</v>
      </c>
      <c r="P52" s="90">
        <v>45128.483703703707</v>
      </c>
      <c r="Q52" s="87" t="s">
        <v>1890</v>
      </c>
      <c r="R52" s="87">
        <v>0</v>
      </c>
      <c r="S52" s="87">
        <v>0</v>
      </c>
      <c r="T52" s="87">
        <v>0</v>
      </c>
      <c r="U52" s="87">
        <v>0</v>
      </c>
      <c r="V52" s="87">
        <v>72</v>
      </c>
      <c r="W52" s="93" t="s">
        <v>5867</v>
      </c>
      <c r="X52" s="87"/>
      <c r="Y52" s="87"/>
      <c r="Z52" s="87"/>
      <c r="AA52" s="87" t="s">
        <v>8664</v>
      </c>
      <c r="AB52" s="87" t="s">
        <v>11447</v>
      </c>
      <c r="AC52" s="93" t="s">
        <v>11457</v>
      </c>
      <c r="AD52" s="87" t="s">
        <v>11519</v>
      </c>
      <c r="AE52" s="92" t="str">
        <f>HYPERLINK("https://twitter.com/blumenauagora/status/1682353864551301121")</f>
        <v>https://twitter.com/blumenauagora/status/1682353864551301121</v>
      </c>
      <c r="AF52" s="90">
        <v>45128.483703703707</v>
      </c>
      <c r="AG52" s="99">
        <v>45128</v>
      </c>
      <c r="AH52" s="93" t="s">
        <v>11576</v>
      </c>
      <c r="AI52" s="87" t="b">
        <v>0</v>
      </c>
      <c r="AJ52" s="87"/>
      <c r="AK52" s="87"/>
      <c r="AL52" s="87"/>
      <c r="AM52" s="87"/>
      <c r="AN52" s="87"/>
      <c r="AO52" s="87"/>
      <c r="AP52" s="87"/>
      <c r="AQ52" s="87" t="s">
        <v>15477</v>
      </c>
      <c r="AR52" s="87">
        <v>33566</v>
      </c>
      <c r="AS52" s="87"/>
      <c r="AT52" s="87"/>
      <c r="AU52" s="87"/>
      <c r="AV52" s="92" t="str">
        <f>HYPERLINK("https://pbs.twimg.com/ext_tw_video_thumb/1682353748322942977/pu/img/ZUw2OCzBTuLyk-qh.jpg")</f>
        <v>https://pbs.twimg.com/ext_tw_video_thumb/1682353748322942977/pu/img/ZUw2OCzBTuLyk-qh.jpg</v>
      </c>
      <c r="AW52" s="93" t="s">
        <v>18305</v>
      </c>
      <c r="AX52" s="93" t="s">
        <v>18305</v>
      </c>
      <c r="AY52" s="87"/>
      <c r="AZ52" s="93" t="s">
        <v>22668</v>
      </c>
      <c r="BA52" s="93" t="s">
        <v>22668</v>
      </c>
      <c r="BB52" s="93" t="s">
        <v>22668</v>
      </c>
      <c r="BC52" s="93" t="s">
        <v>18305</v>
      </c>
      <c r="BD52" s="87">
        <v>116233438</v>
      </c>
      <c r="BE52" s="87"/>
      <c r="BF52" s="87"/>
      <c r="BG52" s="87"/>
      <c r="BH52" s="87"/>
      <c r="BI52" s="87"/>
    </row>
    <row r="53" spans="1:61" x14ac:dyDescent="0.25">
      <c r="A53" s="63" t="s">
        <v>250</v>
      </c>
      <c r="B53" s="63" t="s">
        <v>250</v>
      </c>
      <c r="C53" s="64"/>
      <c r="D53" s="65"/>
      <c r="E53" s="66"/>
      <c r="F53" s="67"/>
      <c r="G53" s="64"/>
      <c r="H53" s="68"/>
      <c r="I53" s="69"/>
      <c r="J53" s="69"/>
      <c r="K53" s="32"/>
      <c r="L53" s="76">
        <v>53</v>
      </c>
      <c r="M53" s="76"/>
      <c r="N53" s="71"/>
      <c r="O53" s="87" t="s">
        <v>179</v>
      </c>
      <c r="P53" s="90">
        <v>45131.084907407407</v>
      </c>
      <c r="Q53" s="87" t="s">
        <v>1891</v>
      </c>
      <c r="R53" s="87">
        <v>0</v>
      </c>
      <c r="S53" s="87">
        <v>1</v>
      </c>
      <c r="T53" s="87">
        <v>0</v>
      </c>
      <c r="U53" s="87">
        <v>0</v>
      </c>
      <c r="V53" s="87">
        <v>284</v>
      </c>
      <c r="W53" s="93" t="s">
        <v>5868</v>
      </c>
      <c r="X53" s="87"/>
      <c r="Y53" s="87"/>
      <c r="Z53" s="87"/>
      <c r="AA53" s="87" t="s">
        <v>8665</v>
      </c>
      <c r="AB53" s="87" t="s">
        <v>11447</v>
      </c>
      <c r="AC53" s="93" t="s">
        <v>11457</v>
      </c>
      <c r="AD53" s="87" t="s">
        <v>11519</v>
      </c>
      <c r="AE53" s="92" t="str">
        <f>HYPERLINK("https://twitter.com/blumenauagora/status/1683296510337773569")</f>
        <v>https://twitter.com/blumenauagora/status/1683296510337773569</v>
      </c>
      <c r="AF53" s="90">
        <v>45131.084907407407</v>
      </c>
      <c r="AG53" s="99">
        <v>45131</v>
      </c>
      <c r="AH53" s="93" t="s">
        <v>11577</v>
      </c>
      <c r="AI53" s="87" t="b">
        <v>0</v>
      </c>
      <c r="AJ53" s="87"/>
      <c r="AK53" s="87"/>
      <c r="AL53" s="87"/>
      <c r="AM53" s="87"/>
      <c r="AN53" s="87"/>
      <c r="AO53" s="87"/>
      <c r="AP53" s="87"/>
      <c r="AQ53" s="87" t="s">
        <v>15478</v>
      </c>
      <c r="AR53" s="87">
        <v>19299</v>
      </c>
      <c r="AS53" s="87"/>
      <c r="AT53" s="87"/>
      <c r="AU53" s="87"/>
      <c r="AV53" s="92" t="str">
        <f>HYPERLINK("https://pbs.twimg.com/ext_tw_video_thumb/1683296445674160129/pu/img/fcmrkqbl7wm2k5o1.jpg")</f>
        <v>https://pbs.twimg.com/ext_tw_video_thumb/1683296445674160129/pu/img/fcmrkqbl7wm2k5o1.jpg</v>
      </c>
      <c r="AW53" s="93" t="s">
        <v>18306</v>
      </c>
      <c r="AX53" s="93" t="s">
        <v>18306</v>
      </c>
      <c r="AY53" s="87"/>
      <c r="AZ53" s="93" t="s">
        <v>22668</v>
      </c>
      <c r="BA53" s="93" t="s">
        <v>22668</v>
      </c>
      <c r="BB53" s="93" t="s">
        <v>22668</v>
      </c>
      <c r="BC53" s="93" t="s">
        <v>18306</v>
      </c>
      <c r="BD53" s="87">
        <v>116233438</v>
      </c>
      <c r="BE53" s="87"/>
      <c r="BF53" s="87"/>
      <c r="BG53" s="87"/>
      <c r="BH53" s="87"/>
      <c r="BI53" s="87"/>
    </row>
    <row r="54" spans="1:61" x14ac:dyDescent="0.25">
      <c r="A54" s="63" t="s">
        <v>250</v>
      </c>
      <c r="B54" s="63" t="s">
        <v>250</v>
      </c>
      <c r="C54" s="64"/>
      <c r="D54" s="65"/>
      <c r="E54" s="66"/>
      <c r="F54" s="67"/>
      <c r="G54" s="64"/>
      <c r="H54" s="68"/>
      <c r="I54" s="69"/>
      <c r="J54" s="69"/>
      <c r="K54" s="32"/>
      <c r="L54" s="76">
        <v>54</v>
      </c>
      <c r="M54" s="76"/>
      <c r="N54" s="71"/>
      <c r="O54" s="87" t="s">
        <v>179</v>
      </c>
      <c r="P54" s="90">
        <v>45140.461747685185</v>
      </c>
      <c r="Q54" s="87" t="s">
        <v>1892</v>
      </c>
      <c r="R54" s="87">
        <v>0</v>
      </c>
      <c r="S54" s="87">
        <v>1</v>
      </c>
      <c r="T54" s="87">
        <v>0</v>
      </c>
      <c r="U54" s="87">
        <v>0</v>
      </c>
      <c r="V54" s="87">
        <v>68</v>
      </c>
      <c r="W54" s="93" t="s">
        <v>5869</v>
      </c>
      <c r="X54" s="87"/>
      <c r="Y54" s="87"/>
      <c r="Z54" s="87"/>
      <c r="AA54" s="87" t="s">
        <v>8666</v>
      </c>
      <c r="AB54" s="87" t="s">
        <v>11447</v>
      </c>
      <c r="AC54" s="93" t="s">
        <v>11457</v>
      </c>
      <c r="AD54" s="87" t="s">
        <v>11519</v>
      </c>
      <c r="AE54" s="92" t="str">
        <f>HYPERLINK("https://twitter.com/blumenauagora/status/1686694562725494784")</f>
        <v>https://twitter.com/blumenauagora/status/1686694562725494784</v>
      </c>
      <c r="AF54" s="90">
        <v>45140.461747685185</v>
      </c>
      <c r="AG54" s="99">
        <v>45140</v>
      </c>
      <c r="AH54" s="93" t="s">
        <v>11578</v>
      </c>
      <c r="AI54" s="87" t="b">
        <v>0</v>
      </c>
      <c r="AJ54" s="87"/>
      <c r="AK54" s="87"/>
      <c r="AL54" s="87"/>
      <c r="AM54" s="87"/>
      <c r="AN54" s="87"/>
      <c r="AO54" s="87"/>
      <c r="AP54" s="87"/>
      <c r="AQ54" s="87" t="s">
        <v>15479</v>
      </c>
      <c r="AR54" s="87">
        <v>50232</v>
      </c>
      <c r="AS54" s="87"/>
      <c r="AT54" s="87"/>
      <c r="AU54" s="87"/>
      <c r="AV54" s="92" t="str">
        <f>HYPERLINK("https://pbs.twimg.com/ext_tw_video_thumb/1686694442684633088/pu/img/KVcsH6go-e2U-vXk.jpg")</f>
        <v>https://pbs.twimg.com/ext_tw_video_thumb/1686694442684633088/pu/img/KVcsH6go-e2U-vXk.jpg</v>
      </c>
      <c r="AW54" s="93" t="s">
        <v>18307</v>
      </c>
      <c r="AX54" s="93" t="s">
        <v>18307</v>
      </c>
      <c r="AY54" s="87"/>
      <c r="AZ54" s="93" t="s">
        <v>22668</v>
      </c>
      <c r="BA54" s="93" t="s">
        <v>22668</v>
      </c>
      <c r="BB54" s="93" t="s">
        <v>22668</v>
      </c>
      <c r="BC54" s="93" t="s">
        <v>18307</v>
      </c>
      <c r="BD54" s="87">
        <v>116233438</v>
      </c>
      <c r="BE54" s="87"/>
      <c r="BF54" s="87"/>
      <c r="BG54" s="87"/>
      <c r="BH54" s="87"/>
      <c r="BI54" s="87"/>
    </row>
    <row r="55" spans="1:61" x14ac:dyDescent="0.25">
      <c r="A55" s="63" t="s">
        <v>250</v>
      </c>
      <c r="B55" s="63" t="s">
        <v>250</v>
      </c>
      <c r="C55" s="64"/>
      <c r="D55" s="65"/>
      <c r="E55" s="66"/>
      <c r="F55" s="67"/>
      <c r="G55" s="64"/>
      <c r="H55" s="68"/>
      <c r="I55" s="69"/>
      <c r="J55" s="69"/>
      <c r="K55" s="32"/>
      <c r="L55" s="76">
        <v>55</v>
      </c>
      <c r="M55" s="76"/>
      <c r="N55" s="71"/>
      <c r="O55" s="87" t="s">
        <v>179</v>
      </c>
      <c r="P55" s="90">
        <v>45140.062210648146</v>
      </c>
      <c r="Q55" s="87" t="s">
        <v>1893</v>
      </c>
      <c r="R55" s="87">
        <v>0</v>
      </c>
      <c r="S55" s="87">
        <v>1</v>
      </c>
      <c r="T55" s="87">
        <v>0</v>
      </c>
      <c r="U55" s="87">
        <v>0</v>
      </c>
      <c r="V55" s="87">
        <v>102</v>
      </c>
      <c r="W55" s="93" t="s">
        <v>5870</v>
      </c>
      <c r="X55" s="87"/>
      <c r="Y55" s="87"/>
      <c r="Z55" s="87"/>
      <c r="AA55" s="87" t="s">
        <v>8667</v>
      </c>
      <c r="AB55" s="87" t="s">
        <v>11447</v>
      </c>
      <c r="AC55" s="93" t="s">
        <v>11457</v>
      </c>
      <c r="AD55" s="87" t="s">
        <v>11519</v>
      </c>
      <c r="AE55" s="92" t="str">
        <f>HYPERLINK("https://twitter.com/blumenauagora/status/1686549774483255296")</f>
        <v>https://twitter.com/blumenauagora/status/1686549774483255296</v>
      </c>
      <c r="AF55" s="90">
        <v>45140.062210648146</v>
      </c>
      <c r="AG55" s="99">
        <v>45140</v>
      </c>
      <c r="AH55" s="93" t="s">
        <v>11579</v>
      </c>
      <c r="AI55" s="87" t="b">
        <v>0</v>
      </c>
      <c r="AJ55" s="87"/>
      <c r="AK55" s="87"/>
      <c r="AL55" s="87"/>
      <c r="AM55" s="87"/>
      <c r="AN55" s="87"/>
      <c r="AO55" s="87"/>
      <c r="AP55" s="87"/>
      <c r="AQ55" s="87" t="s">
        <v>15480</v>
      </c>
      <c r="AR55" s="87">
        <v>26833</v>
      </c>
      <c r="AS55" s="87"/>
      <c r="AT55" s="87"/>
      <c r="AU55" s="87"/>
      <c r="AV55" s="92" t="str">
        <f>HYPERLINK("https://pbs.twimg.com/ext_tw_video_thumb/1686549673555693569/pu/img/pl3WnocESBw1JfZQ.jpg")</f>
        <v>https://pbs.twimg.com/ext_tw_video_thumb/1686549673555693569/pu/img/pl3WnocESBw1JfZQ.jpg</v>
      </c>
      <c r="AW55" s="93" t="s">
        <v>18308</v>
      </c>
      <c r="AX55" s="93" t="s">
        <v>18308</v>
      </c>
      <c r="AY55" s="87"/>
      <c r="AZ55" s="93" t="s">
        <v>22668</v>
      </c>
      <c r="BA55" s="93" t="s">
        <v>22668</v>
      </c>
      <c r="BB55" s="93" t="s">
        <v>22668</v>
      </c>
      <c r="BC55" s="93" t="s">
        <v>18308</v>
      </c>
      <c r="BD55" s="87">
        <v>116233438</v>
      </c>
      <c r="BE55" s="87"/>
      <c r="BF55" s="87"/>
      <c r="BG55" s="87"/>
      <c r="BH55" s="87"/>
      <c r="BI55" s="87"/>
    </row>
    <row r="56" spans="1:61" x14ac:dyDescent="0.25">
      <c r="A56" s="63" t="s">
        <v>250</v>
      </c>
      <c r="B56" s="63" t="s">
        <v>250</v>
      </c>
      <c r="C56" s="64"/>
      <c r="D56" s="65"/>
      <c r="E56" s="66"/>
      <c r="F56" s="67"/>
      <c r="G56" s="64"/>
      <c r="H56" s="68"/>
      <c r="I56" s="69"/>
      <c r="J56" s="69"/>
      <c r="K56" s="32"/>
      <c r="L56" s="76">
        <v>56</v>
      </c>
      <c r="M56" s="76"/>
      <c r="N56" s="71"/>
      <c r="O56" s="87" t="s">
        <v>179</v>
      </c>
      <c r="P56" s="90">
        <v>45158.834548611114</v>
      </c>
      <c r="Q56" s="87" t="s">
        <v>1894</v>
      </c>
      <c r="R56" s="87">
        <v>0</v>
      </c>
      <c r="S56" s="87">
        <v>0</v>
      </c>
      <c r="T56" s="87">
        <v>0</v>
      </c>
      <c r="U56" s="87">
        <v>0</v>
      </c>
      <c r="V56" s="87">
        <v>86</v>
      </c>
      <c r="W56" s="93" t="s">
        <v>5871</v>
      </c>
      <c r="X56" s="87"/>
      <c r="Y56" s="87"/>
      <c r="Z56" s="87"/>
      <c r="AA56" s="87" t="s">
        <v>8668</v>
      </c>
      <c r="AB56" s="87" t="s">
        <v>11447</v>
      </c>
      <c r="AC56" s="93" t="s">
        <v>11457</v>
      </c>
      <c r="AD56" s="87" t="s">
        <v>11521</v>
      </c>
      <c r="AE56" s="92" t="str">
        <f>HYPERLINK("https://twitter.com/blumenauagora/status/1693352641818976584")</f>
        <v>https://twitter.com/blumenauagora/status/1693352641818976584</v>
      </c>
      <c r="AF56" s="90">
        <v>45158.834548611114</v>
      </c>
      <c r="AG56" s="99">
        <v>45158</v>
      </c>
      <c r="AH56" s="93" t="s">
        <v>11580</v>
      </c>
      <c r="AI56" s="87" t="b">
        <v>0</v>
      </c>
      <c r="AJ56" s="87"/>
      <c r="AK56" s="87"/>
      <c r="AL56" s="87"/>
      <c r="AM56" s="87"/>
      <c r="AN56" s="87"/>
      <c r="AO56" s="87"/>
      <c r="AP56" s="87"/>
      <c r="AQ56" s="87" t="s">
        <v>15481</v>
      </c>
      <c r="AR56" s="87">
        <v>39432</v>
      </c>
      <c r="AS56" s="87"/>
      <c r="AT56" s="87"/>
      <c r="AU56" s="87"/>
      <c r="AV56" s="92" t="str">
        <f>HYPERLINK("https://pbs.twimg.com/ext_tw_video_thumb/1693352586936565760/pu/img/5HAaZ9VXfEGvLNdI.jpg")</f>
        <v>https://pbs.twimg.com/ext_tw_video_thumb/1693352586936565760/pu/img/5HAaZ9VXfEGvLNdI.jpg</v>
      </c>
      <c r="AW56" s="93" t="s">
        <v>18309</v>
      </c>
      <c r="AX56" s="93" t="s">
        <v>18309</v>
      </c>
      <c r="AY56" s="87"/>
      <c r="AZ56" s="93" t="s">
        <v>22668</v>
      </c>
      <c r="BA56" s="93" t="s">
        <v>22668</v>
      </c>
      <c r="BB56" s="93" t="s">
        <v>22668</v>
      </c>
      <c r="BC56" s="93" t="s">
        <v>18309</v>
      </c>
      <c r="BD56" s="87">
        <v>116233438</v>
      </c>
      <c r="BE56" s="87"/>
      <c r="BF56" s="87"/>
      <c r="BG56" s="87"/>
      <c r="BH56" s="87"/>
      <c r="BI56" s="87"/>
    </row>
    <row r="57" spans="1:61" x14ac:dyDescent="0.25">
      <c r="A57" s="63" t="s">
        <v>250</v>
      </c>
      <c r="B57" s="63" t="s">
        <v>250</v>
      </c>
      <c r="C57" s="64"/>
      <c r="D57" s="65"/>
      <c r="E57" s="66"/>
      <c r="F57" s="67"/>
      <c r="G57" s="64"/>
      <c r="H57" s="68"/>
      <c r="I57" s="69"/>
      <c r="J57" s="69"/>
      <c r="K57" s="32"/>
      <c r="L57" s="76">
        <v>57</v>
      </c>
      <c r="M57" s="76"/>
      <c r="N57" s="71"/>
      <c r="O57" s="87" t="s">
        <v>179</v>
      </c>
      <c r="P57" s="90">
        <v>45164.970937500002</v>
      </c>
      <c r="Q57" s="87" t="s">
        <v>1895</v>
      </c>
      <c r="R57" s="87">
        <v>0</v>
      </c>
      <c r="S57" s="87">
        <v>0</v>
      </c>
      <c r="T57" s="87">
        <v>0</v>
      </c>
      <c r="U57" s="87">
        <v>0</v>
      </c>
      <c r="V57" s="87">
        <v>141</v>
      </c>
      <c r="W57" s="93" t="s">
        <v>5872</v>
      </c>
      <c r="X57" s="87"/>
      <c r="Y57" s="87"/>
      <c r="Z57" s="87"/>
      <c r="AA57" s="87" t="s">
        <v>8669</v>
      </c>
      <c r="AB57" s="87" t="s">
        <v>11447</v>
      </c>
      <c r="AC57" s="93" t="s">
        <v>11457</v>
      </c>
      <c r="AD57" s="87" t="s">
        <v>11519</v>
      </c>
      <c r="AE57" s="92" t="str">
        <f>HYPERLINK("https://twitter.com/blumenauagora/status/1695576394602779048")</f>
        <v>https://twitter.com/blumenauagora/status/1695576394602779048</v>
      </c>
      <c r="AF57" s="90">
        <v>45164.970937500002</v>
      </c>
      <c r="AG57" s="99">
        <v>45164</v>
      </c>
      <c r="AH57" s="93" t="s">
        <v>11581</v>
      </c>
      <c r="AI57" s="87" t="b">
        <v>0</v>
      </c>
      <c r="AJ57" s="87"/>
      <c r="AK57" s="87"/>
      <c r="AL57" s="87"/>
      <c r="AM57" s="87"/>
      <c r="AN57" s="87"/>
      <c r="AO57" s="87"/>
      <c r="AP57" s="87"/>
      <c r="AQ57" s="87" t="s">
        <v>15482</v>
      </c>
      <c r="AR57" s="87">
        <v>57799</v>
      </c>
      <c r="AS57" s="87"/>
      <c r="AT57" s="87"/>
      <c r="AU57" s="87"/>
      <c r="AV57" s="92" t="str">
        <f>HYPERLINK("https://pbs.twimg.com/ext_tw_video_thumb/1695576319696740352/pu/img/DGQgiE1KM9ARqFZV.jpg")</f>
        <v>https://pbs.twimg.com/ext_tw_video_thumb/1695576319696740352/pu/img/DGQgiE1KM9ARqFZV.jpg</v>
      </c>
      <c r="AW57" s="93" t="s">
        <v>18310</v>
      </c>
      <c r="AX57" s="93" t="s">
        <v>18310</v>
      </c>
      <c r="AY57" s="87"/>
      <c r="AZ57" s="93" t="s">
        <v>22668</v>
      </c>
      <c r="BA57" s="93" t="s">
        <v>22668</v>
      </c>
      <c r="BB57" s="93" t="s">
        <v>22668</v>
      </c>
      <c r="BC57" s="93" t="s">
        <v>18310</v>
      </c>
      <c r="BD57" s="87">
        <v>116233438</v>
      </c>
      <c r="BE57" s="87"/>
      <c r="BF57" s="87"/>
      <c r="BG57" s="87"/>
      <c r="BH57" s="87"/>
      <c r="BI57" s="87"/>
    </row>
    <row r="58" spans="1:61" x14ac:dyDescent="0.25">
      <c r="A58" s="63" t="s">
        <v>250</v>
      </c>
      <c r="B58" s="63" t="s">
        <v>250</v>
      </c>
      <c r="C58" s="64"/>
      <c r="D58" s="65"/>
      <c r="E58" s="66"/>
      <c r="F58" s="67"/>
      <c r="G58" s="64"/>
      <c r="H58" s="68"/>
      <c r="I58" s="69"/>
      <c r="J58" s="69"/>
      <c r="K58" s="32"/>
      <c r="L58" s="76">
        <v>58</v>
      </c>
      <c r="M58" s="76"/>
      <c r="N58" s="71"/>
      <c r="O58" s="87" t="s">
        <v>179</v>
      </c>
      <c r="P58" s="90">
        <v>45164.140347222223</v>
      </c>
      <c r="Q58" s="87" t="s">
        <v>1896</v>
      </c>
      <c r="R58" s="87">
        <v>0</v>
      </c>
      <c r="S58" s="87">
        <v>0</v>
      </c>
      <c r="T58" s="87">
        <v>0</v>
      </c>
      <c r="U58" s="87">
        <v>0</v>
      </c>
      <c r="V58" s="87">
        <v>105</v>
      </c>
      <c r="W58" s="93" t="s">
        <v>5872</v>
      </c>
      <c r="X58" s="87"/>
      <c r="Y58" s="87"/>
      <c r="Z58" s="87"/>
      <c r="AA58" s="87" t="s">
        <v>8670</v>
      </c>
      <c r="AB58" s="87" t="s">
        <v>11447</v>
      </c>
      <c r="AC58" s="93" t="s">
        <v>11457</v>
      </c>
      <c r="AD58" s="87" t="s">
        <v>11519</v>
      </c>
      <c r="AE58" s="92" t="str">
        <f>HYPERLINK("https://twitter.com/blumenauagora/status/1695275398383227266")</f>
        <v>https://twitter.com/blumenauagora/status/1695275398383227266</v>
      </c>
      <c r="AF58" s="90">
        <v>45164.140347222223</v>
      </c>
      <c r="AG58" s="99">
        <v>45164</v>
      </c>
      <c r="AH58" s="93" t="s">
        <v>11582</v>
      </c>
      <c r="AI58" s="87" t="b">
        <v>0</v>
      </c>
      <c r="AJ58" s="87"/>
      <c r="AK58" s="87"/>
      <c r="AL58" s="87"/>
      <c r="AM58" s="87"/>
      <c r="AN58" s="87"/>
      <c r="AO58" s="87"/>
      <c r="AP58" s="87"/>
      <c r="AQ58" s="87" t="s">
        <v>15483</v>
      </c>
      <c r="AR58" s="87">
        <v>52032</v>
      </c>
      <c r="AS58" s="87"/>
      <c r="AT58" s="87"/>
      <c r="AU58" s="87"/>
      <c r="AV58" s="92" t="str">
        <f>HYPERLINK("https://pbs.twimg.com/ext_tw_video_thumb/1695275309723996161/pu/img/LhRbkjVh3c4kRRRr.jpg")</f>
        <v>https://pbs.twimg.com/ext_tw_video_thumb/1695275309723996161/pu/img/LhRbkjVh3c4kRRRr.jpg</v>
      </c>
      <c r="AW58" s="93" t="s">
        <v>18311</v>
      </c>
      <c r="AX58" s="93" t="s">
        <v>18311</v>
      </c>
      <c r="AY58" s="87"/>
      <c r="AZ58" s="93" t="s">
        <v>22668</v>
      </c>
      <c r="BA58" s="93" t="s">
        <v>22668</v>
      </c>
      <c r="BB58" s="93" t="s">
        <v>22668</v>
      </c>
      <c r="BC58" s="93" t="s">
        <v>18311</v>
      </c>
      <c r="BD58" s="87">
        <v>116233438</v>
      </c>
      <c r="BE58" s="87"/>
      <c r="BF58" s="87"/>
      <c r="BG58" s="87"/>
      <c r="BH58" s="87"/>
      <c r="BI58" s="87"/>
    </row>
    <row r="59" spans="1:61" x14ac:dyDescent="0.25">
      <c r="A59" s="63" t="s">
        <v>250</v>
      </c>
      <c r="B59" s="63" t="s">
        <v>250</v>
      </c>
      <c r="C59" s="64"/>
      <c r="D59" s="65"/>
      <c r="E59" s="66"/>
      <c r="F59" s="67"/>
      <c r="G59" s="64"/>
      <c r="H59" s="68"/>
      <c r="I59" s="69"/>
      <c r="J59" s="69"/>
      <c r="K59" s="32"/>
      <c r="L59" s="76">
        <v>59</v>
      </c>
      <c r="M59" s="76"/>
      <c r="N59" s="71"/>
      <c r="O59" s="87" t="s">
        <v>179</v>
      </c>
      <c r="P59" s="90">
        <v>45163.630162037036</v>
      </c>
      <c r="Q59" s="87" t="s">
        <v>1897</v>
      </c>
      <c r="R59" s="87">
        <v>0</v>
      </c>
      <c r="S59" s="87">
        <v>0</v>
      </c>
      <c r="T59" s="87">
        <v>0</v>
      </c>
      <c r="U59" s="87">
        <v>0</v>
      </c>
      <c r="V59" s="87">
        <v>94</v>
      </c>
      <c r="W59" s="93" t="s">
        <v>5872</v>
      </c>
      <c r="X59" s="87"/>
      <c r="Y59" s="87"/>
      <c r="Z59" s="87"/>
      <c r="AA59" s="87" t="s">
        <v>8671</v>
      </c>
      <c r="AB59" s="87" t="s">
        <v>11447</v>
      </c>
      <c r="AC59" s="93" t="s">
        <v>11457</v>
      </c>
      <c r="AD59" s="87" t="s">
        <v>11519</v>
      </c>
      <c r="AE59" s="92" t="str">
        <f>HYPERLINK("https://twitter.com/blumenauagora/status/1695090512305291432")</f>
        <v>https://twitter.com/blumenauagora/status/1695090512305291432</v>
      </c>
      <c r="AF59" s="90">
        <v>45163.630162037036</v>
      </c>
      <c r="AG59" s="99">
        <v>45163</v>
      </c>
      <c r="AH59" s="93" t="s">
        <v>11583</v>
      </c>
      <c r="AI59" s="87" t="b">
        <v>0</v>
      </c>
      <c r="AJ59" s="87"/>
      <c r="AK59" s="87"/>
      <c r="AL59" s="87"/>
      <c r="AM59" s="87"/>
      <c r="AN59" s="87"/>
      <c r="AO59" s="87"/>
      <c r="AP59" s="87"/>
      <c r="AQ59" s="87" t="s">
        <v>15484</v>
      </c>
      <c r="AR59" s="87">
        <v>46899</v>
      </c>
      <c r="AS59" s="87"/>
      <c r="AT59" s="87"/>
      <c r="AU59" s="87"/>
      <c r="AV59" s="92" t="str">
        <f>HYPERLINK("https://pbs.twimg.com/ext_tw_video_thumb/1695090437638287361/pu/img/1rdOWkzuRfYG1fzE.jpg")</f>
        <v>https://pbs.twimg.com/ext_tw_video_thumb/1695090437638287361/pu/img/1rdOWkzuRfYG1fzE.jpg</v>
      </c>
      <c r="AW59" s="93" t="s">
        <v>18312</v>
      </c>
      <c r="AX59" s="93" t="s">
        <v>18312</v>
      </c>
      <c r="AY59" s="87"/>
      <c r="AZ59" s="93" t="s">
        <v>22668</v>
      </c>
      <c r="BA59" s="93" t="s">
        <v>22668</v>
      </c>
      <c r="BB59" s="93" t="s">
        <v>22668</v>
      </c>
      <c r="BC59" s="93" t="s">
        <v>18312</v>
      </c>
      <c r="BD59" s="87">
        <v>116233438</v>
      </c>
      <c r="BE59" s="87"/>
      <c r="BF59" s="87"/>
      <c r="BG59" s="87"/>
      <c r="BH59" s="87"/>
      <c r="BI59" s="87"/>
    </row>
    <row r="60" spans="1:61" x14ac:dyDescent="0.25">
      <c r="A60" s="63" t="s">
        <v>250</v>
      </c>
      <c r="B60" s="63" t="s">
        <v>250</v>
      </c>
      <c r="C60" s="64"/>
      <c r="D60" s="65"/>
      <c r="E60" s="66"/>
      <c r="F60" s="67"/>
      <c r="G60" s="64"/>
      <c r="H60" s="68"/>
      <c r="I60" s="69"/>
      <c r="J60" s="69"/>
      <c r="K60" s="32"/>
      <c r="L60" s="76">
        <v>60</v>
      </c>
      <c r="M60" s="76"/>
      <c r="N60" s="71"/>
      <c r="O60" s="87" t="s">
        <v>179</v>
      </c>
      <c r="P60" s="90">
        <v>45149.698981481481</v>
      </c>
      <c r="Q60" s="87" t="s">
        <v>1898</v>
      </c>
      <c r="R60" s="87">
        <v>0</v>
      </c>
      <c r="S60" s="87">
        <v>0</v>
      </c>
      <c r="T60" s="87">
        <v>0</v>
      </c>
      <c r="U60" s="87">
        <v>0</v>
      </c>
      <c r="V60" s="87">
        <v>67</v>
      </c>
      <c r="W60" s="93" t="s">
        <v>5872</v>
      </c>
      <c r="X60" s="87"/>
      <c r="Y60" s="87"/>
      <c r="Z60" s="87"/>
      <c r="AA60" s="87" t="s">
        <v>8672</v>
      </c>
      <c r="AB60" s="87" t="s">
        <v>11447</v>
      </c>
      <c r="AC60" s="93" t="s">
        <v>11457</v>
      </c>
      <c r="AD60" s="87" t="s">
        <v>11519</v>
      </c>
      <c r="AE60" s="92" t="str">
        <f>HYPERLINK("https://twitter.com/blumenauagora/status/1690042025331109889")</f>
        <v>https://twitter.com/blumenauagora/status/1690042025331109889</v>
      </c>
      <c r="AF60" s="90">
        <v>45149.698981481481</v>
      </c>
      <c r="AG60" s="99">
        <v>45149</v>
      </c>
      <c r="AH60" s="93" t="s">
        <v>11584</v>
      </c>
      <c r="AI60" s="87" t="b">
        <v>0</v>
      </c>
      <c r="AJ60" s="87"/>
      <c r="AK60" s="87"/>
      <c r="AL60" s="87"/>
      <c r="AM60" s="87"/>
      <c r="AN60" s="87"/>
      <c r="AO60" s="87"/>
      <c r="AP60" s="87"/>
      <c r="AQ60" s="87" t="s">
        <v>15485</v>
      </c>
      <c r="AR60" s="87">
        <v>44899</v>
      </c>
      <c r="AS60" s="87"/>
      <c r="AT60" s="87"/>
      <c r="AU60" s="87"/>
      <c r="AV60" s="92" t="str">
        <f>HYPERLINK("https://pbs.twimg.com/ext_tw_video_thumb/1690041949795889171/pu/img/jxbNA1ew2kANbGnZ.jpg")</f>
        <v>https://pbs.twimg.com/ext_tw_video_thumb/1690041949795889171/pu/img/jxbNA1ew2kANbGnZ.jpg</v>
      </c>
      <c r="AW60" s="93" t="s">
        <v>18313</v>
      </c>
      <c r="AX60" s="93" t="s">
        <v>18313</v>
      </c>
      <c r="AY60" s="87"/>
      <c r="AZ60" s="93" t="s">
        <v>22668</v>
      </c>
      <c r="BA60" s="93" t="s">
        <v>22668</v>
      </c>
      <c r="BB60" s="93" t="s">
        <v>22668</v>
      </c>
      <c r="BC60" s="93" t="s">
        <v>18313</v>
      </c>
      <c r="BD60" s="87">
        <v>116233438</v>
      </c>
      <c r="BE60" s="87"/>
      <c r="BF60" s="87"/>
      <c r="BG60" s="87"/>
      <c r="BH60" s="87"/>
      <c r="BI60" s="87"/>
    </row>
    <row r="61" spans="1:61" x14ac:dyDescent="0.25">
      <c r="A61" s="63" t="s">
        <v>250</v>
      </c>
      <c r="B61" s="63" t="s">
        <v>250</v>
      </c>
      <c r="C61" s="64"/>
      <c r="D61" s="65"/>
      <c r="E61" s="66"/>
      <c r="F61" s="67"/>
      <c r="G61" s="64"/>
      <c r="H61" s="68"/>
      <c r="I61" s="69"/>
      <c r="J61" s="69"/>
      <c r="K61" s="32"/>
      <c r="L61" s="76">
        <v>61</v>
      </c>
      <c r="M61" s="76"/>
      <c r="N61" s="71"/>
      <c r="O61" s="87" t="s">
        <v>179</v>
      </c>
      <c r="P61" s="90">
        <v>45149.461817129632</v>
      </c>
      <c r="Q61" s="87" t="s">
        <v>1899</v>
      </c>
      <c r="R61" s="87">
        <v>0</v>
      </c>
      <c r="S61" s="87">
        <v>0</v>
      </c>
      <c r="T61" s="87">
        <v>0</v>
      </c>
      <c r="U61" s="87">
        <v>0</v>
      </c>
      <c r="V61" s="87">
        <v>73</v>
      </c>
      <c r="W61" s="93" t="s">
        <v>5872</v>
      </c>
      <c r="X61" s="87"/>
      <c r="Y61" s="87"/>
      <c r="Z61" s="87"/>
      <c r="AA61" s="87" t="s">
        <v>8673</v>
      </c>
      <c r="AB61" s="87" t="s">
        <v>11447</v>
      </c>
      <c r="AC61" s="93" t="s">
        <v>11457</v>
      </c>
      <c r="AD61" s="87" t="s">
        <v>11519</v>
      </c>
      <c r="AE61" s="92" t="str">
        <f>HYPERLINK("https://twitter.com/blumenauagora/status/1689956078920839168")</f>
        <v>https://twitter.com/blumenauagora/status/1689956078920839168</v>
      </c>
      <c r="AF61" s="90">
        <v>45149.461817129632</v>
      </c>
      <c r="AG61" s="99">
        <v>45149</v>
      </c>
      <c r="AH61" s="93" t="s">
        <v>11585</v>
      </c>
      <c r="AI61" s="87" t="b">
        <v>0</v>
      </c>
      <c r="AJ61" s="87"/>
      <c r="AK61" s="87"/>
      <c r="AL61" s="87"/>
      <c r="AM61" s="87"/>
      <c r="AN61" s="87"/>
      <c r="AO61" s="87"/>
      <c r="AP61" s="87"/>
      <c r="AQ61" s="87" t="s">
        <v>15486</v>
      </c>
      <c r="AR61" s="87">
        <v>52999</v>
      </c>
      <c r="AS61" s="87"/>
      <c r="AT61" s="87"/>
      <c r="AU61" s="87"/>
      <c r="AV61" s="92" t="str">
        <f>HYPERLINK("https://pbs.twimg.com/ext_tw_video_thumb/1689955991415054336/pu/img/0kAqm5lRrSAyvuQt.jpg")</f>
        <v>https://pbs.twimg.com/ext_tw_video_thumb/1689955991415054336/pu/img/0kAqm5lRrSAyvuQt.jpg</v>
      </c>
      <c r="AW61" s="93" t="s">
        <v>18314</v>
      </c>
      <c r="AX61" s="93" t="s">
        <v>18314</v>
      </c>
      <c r="AY61" s="87"/>
      <c r="AZ61" s="93" t="s">
        <v>22668</v>
      </c>
      <c r="BA61" s="93" t="s">
        <v>22668</v>
      </c>
      <c r="BB61" s="93" t="s">
        <v>22668</v>
      </c>
      <c r="BC61" s="93" t="s">
        <v>18314</v>
      </c>
      <c r="BD61" s="87">
        <v>116233438</v>
      </c>
      <c r="BE61" s="87"/>
      <c r="BF61" s="87"/>
      <c r="BG61" s="87"/>
      <c r="BH61" s="87"/>
      <c r="BI61" s="87"/>
    </row>
    <row r="62" spans="1:61" x14ac:dyDescent="0.25">
      <c r="A62" s="63" t="s">
        <v>250</v>
      </c>
      <c r="B62" s="63" t="s">
        <v>250</v>
      </c>
      <c r="C62" s="64"/>
      <c r="D62" s="65"/>
      <c r="E62" s="66"/>
      <c r="F62" s="67"/>
      <c r="G62" s="64"/>
      <c r="H62" s="68"/>
      <c r="I62" s="69"/>
      <c r="J62" s="69"/>
      <c r="K62" s="32"/>
      <c r="L62" s="76">
        <v>62</v>
      </c>
      <c r="M62" s="76"/>
      <c r="N62" s="71"/>
      <c r="O62" s="87" t="s">
        <v>179</v>
      </c>
      <c r="P62" s="90">
        <v>45149.088252314818</v>
      </c>
      <c r="Q62" s="87" t="s">
        <v>1900</v>
      </c>
      <c r="R62" s="87">
        <v>0</v>
      </c>
      <c r="S62" s="87">
        <v>0</v>
      </c>
      <c r="T62" s="87">
        <v>0</v>
      </c>
      <c r="U62" s="87">
        <v>0</v>
      </c>
      <c r="V62" s="87">
        <v>91</v>
      </c>
      <c r="W62" s="93" t="s">
        <v>5872</v>
      </c>
      <c r="X62" s="87"/>
      <c r="Y62" s="87"/>
      <c r="Z62" s="87"/>
      <c r="AA62" s="87" t="s">
        <v>8674</v>
      </c>
      <c r="AB62" s="87" t="s">
        <v>11447</v>
      </c>
      <c r="AC62" s="93" t="s">
        <v>11457</v>
      </c>
      <c r="AD62" s="87" t="s">
        <v>11519</v>
      </c>
      <c r="AE62" s="92" t="str">
        <f>HYPERLINK("https://twitter.com/blumenauagora/status/1689820703535558656")</f>
        <v>https://twitter.com/blumenauagora/status/1689820703535558656</v>
      </c>
      <c r="AF62" s="90">
        <v>45149.088252314818</v>
      </c>
      <c r="AG62" s="99">
        <v>45149</v>
      </c>
      <c r="AH62" s="93" t="s">
        <v>11586</v>
      </c>
      <c r="AI62" s="87" t="b">
        <v>0</v>
      </c>
      <c r="AJ62" s="87"/>
      <c r="AK62" s="87"/>
      <c r="AL62" s="87"/>
      <c r="AM62" s="87"/>
      <c r="AN62" s="87"/>
      <c r="AO62" s="87"/>
      <c r="AP62" s="87"/>
      <c r="AQ62" s="87" t="s">
        <v>15487</v>
      </c>
      <c r="AR62" s="87">
        <v>51299</v>
      </c>
      <c r="AS62" s="87"/>
      <c r="AT62" s="87"/>
      <c r="AU62" s="87"/>
      <c r="AV62" s="92" t="str">
        <f>HYPERLINK("https://pbs.twimg.com/ext_tw_video_thumb/1689820527957843968/pu/img/CDa_Fd4OjlY2lr3u.jpg")</f>
        <v>https://pbs.twimg.com/ext_tw_video_thumb/1689820527957843968/pu/img/CDa_Fd4OjlY2lr3u.jpg</v>
      </c>
      <c r="AW62" s="93" t="s">
        <v>18315</v>
      </c>
      <c r="AX62" s="93" t="s">
        <v>18315</v>
      </c>
      <c r="AY62" s="87"/>
      <c r="AZ62" s="93" t="s">
        <v>22668</v>
      </c>
      <c r="BA62" s="93" t="s">
        <v>22668</v>
      </c>
      <c r="BB62" s="93" t="s">
        <v>22668</v>
      </c>
      <c r="BC62" s="93" t="s">
        <v>18315</v>
      </c>
      <c r="BD62" s="87">
        <v>116233438</v>
      </c>
      <c r="BE62" s="87"/>
      <c r="BF62" s="87"/>
      <c r="BG62" s="87"/>
      <c r="BH62" s="87"/>
      <c r="BI62" s="87"/>
    </row>
    <row r="63" spans="1:61" x14ac:dyDescent="0.25">
      <c r="A63" s="63" t="s">
        <v>251</v>
      </c>
      <c r="B63" s="63" t="s">
        <v>251</v>
      </c>
      <c r="C63" s="64"/>
      <c r="D63" s="65"/>
      <c r="E63" s="66"/>
      <c r="F63" s="67"/>
      <c r="G63" s="64"/>
      <c r="H63" s="68"/>
      <c r="I63" s="69"/>
      <c r="J63" s="69"/>
      <c r="K63" s="32"/>
      <c r="L63" s="76">
        <v>63</v>
      </c>
      <c r="M63" s="76"/>
      <c r="N63" s="71"/>
      <c r="O63" s="87" t="s">
        <v>1840</v>
      </c>
      <c r="P63" s="90">
        <v>45134.770092592589</v>
      </c>
      <c r="Q63" s="87" t="s">
        <v>1901</v>
      </c>
      <c r="R63" s="87">
        <v>0</v>
      </c>
      <c r="S63" s="87">
        <v>0</v>
      </c>
      <c r="T63" s="87">
        <v>0</v>
      </c>
      <c r="U63" s="87">
        <v>0</v>
      </c>
      <c r="V63" s="87">
        <v>10</v>
      </c>
      <c r="W63" s="93" t="s">
        <v>5873</v>
      </c>
      <c r="X63" s="87"/>
      <c r="Y63" s="87"/>
      <c r="Z63" s="87"/>
      <c r="AA63" s="87"/>
      <c r="AB63" s="87"/>
      <c r="AC63" s="93" t="s">
        <v>11457</v>
      </c>
      <c r="AD63" s="87" t="s">
        <v>11519</v>
      </c>
      <c r="AE63" s="92" t="str">
        <f>HYPERLINK("https://twitter.com/taniazambon_itz/status/1684631975909318656")</f>
        <v>https://twitter.com/taniazambon_itz/status/1684631975909318656</v>
      </c>
      <c r="AF63" s="90">
        <v>45134.770092592589</v>
      </c>
      <c r="AG63" s="99">
        <v>45134</v>
      </c>
      <c r="AH63" s="93" t="s">
        <v>11587</v>
      </c>
      <c r="AI63" s="87"/>
      <c r="AJ63" s="87"/>
      <c r="AK63" s="87"/>
      <c r="AL63" s="87"/>
      <c r="AM63" s="87"/>
      <c r="AN63" s="87"/>
      <c r="AO63" s="87"/>
      <c r="AP63" s="87"/>
      <c r="AQ63" s="87"/>
      <c r="AR63" s="87"/>
      <c r="AS63" s="87"/>
      <c r="AT63" s="87"/>
      <c r="AU63" s="87"/>
      <c r="AV63" s="92" t="str">
        <f>HYPERLINK("https://pbs.twimg.com/profile_images/1668695481570959366/2SoEMXBR_normal.jpg")</f>
        <v>https://pbs.twimg.com/profile_images/1668695481570959366/2SoEMXBR_normal.jpg</v>
      </c>
      <c r="AW63" s="93" t="s">
        <v>18316</v>
      </c>
      <c r="AX63" s="93" t="s">
        <v>22289</v>
      </c>
      <c r="AY63" s="93" t="s">
        <v>22519</v>
      </c>
      <c r="AZ63" s="93" t="s">
        <v>22289</v>
      </c>
      <c r="BA63" s="93" t="s">
        <v>22668</v>
      </c>
      <c r="BB63" s="93" t="s">
        <v>22668</v>
      </c>
      <c r="BC63" s="93" t="s">
        <v>22289</v>
      </c>
      <c r="BD63" s="93" t="s">
        <v>22519</v>
      </c>
      <c r="BE63" s="87"/>
      <c r="BF63" s="87"/>
      <c r="BG63" s="87"/>
      <c r="BH63" s="87"/>
      <c r="BI63" s="87"/>
    </row>
    <row r="64" spans="1:61" x14ac:dyDescent="0.25">
      <c r="A64" s="63" t="s">
        <v>251</v>
      </c>
      <c r="B64" s="63" t="s">
        <v>251</v>
      </c>
      <c r="C64" s="64"/>
      <c r="D64" s="65"/>
      <c r="E64" s="66"/>
      <c r="F64" s="67"/>
      <c r="G64" s="64"/>
      <c r="H64" s="68"/>
      <c r="I64" s="69"/>
      <c r="J64" s="69"/>
      <c r="K64" s="32"/>
      <c r="L64" s="76">
        <v>64</v>
      </c>
      <c r="M64" s="76"/>
      <c r="N64" s="71"/>
      <c r="O64" s="87" t="s">
        <v>1840</v>
      </c>
      <c r="P64" s="90">
        <v>45134.571319444447</v>
      </c>
      <c r="Q64" s="87" t="s">
        <v>1902</v>
      </c>
      <c r="R64" s="87">
        <v>0</v>
      </c>
      <c r="S64" s="87">
        <v>0</v>
      </c>
      <c r="T64" s="87">
        <v>0</v>
      </c>
      <c r="U64" s="87">
        <v>0</v>
      </c>
      <c r="V64" s="87">
        <v>6</v>
      </c>
      <c r="W64" s="93" t="s">
        <v>5874</v>
      </c>
      <c r="X64" s="87"/>
      <c r="Y64" s="87"/>
      <c r="Z64" s="87"/>
      <c r="AA64" s="87"/>
      <c r="AB64" s="87"/>
      <c r="AC64" s="93" t="s">
        <v>11457</v>
      </c>
      <c r="AD64" s="87" t="s">
        <v>11519</v>
      </c>
      <c r="AE64" s="92" t="str">
        <f>HYPERLINK("https://twitter.com/taniazambon_itz/status/1684559943725387776")</f>
        <v>https://twitter.com/taniazambon_itz/status/1684559943725387776</v>
      </c>
      <c r="AF64" s="90">
        <v>45134.571319444447</v>
      </c>
      <c r="AG64" s="99">
        <v>45134</v>
      </c>
      <c r="AH64" s="93" t="s">
        <v>11588</v>
      </c>
      <c r="AI64" s="87"/>
      <c r="AJ64" s="87"/>
      <c r="AK64" s="87"/>
      <c r="AL64" s="87"/>
      <c r="AM64" s="87"/>
      <c r="AN64" s="87"/>
      <c r="AO64" s="87"/>
      <c r="AP64" s="87"/>
      <c r="AQ64" s="87"/>
      <c r="AR64" s="87"/>
      <c r="AS64" s="87"/>
      <c r="AT64" s="87"/>
      <c r="AU64" s="87"/>
      <c r="AV64" s="92" t="str">
        <f>HYPERLINK("https://pbs.twimg.com/profile_images/1668695481570959366/2SoEMXBR_normal.jpg")</f>
        <v>https://pbs.twimg.com/profile_images/1668695481570959366/2SoEMXBR_normal.jpg</v>
      </c>
      <c r="AW64" s="93" t="s">
        <v>18317</v>
      </c>
      <c r="AX64" s="93" t="s">
        <v>22290</v>
      </c>
      <c r="AY64" s="93" t="s">
        <v>22519</v>
      </c>
      <c r="AZ64" s="93" t="s">
        <v>22290</v>
      </c>
      <c r="BA64" s="93" t="s">
        <v>22668</v>
      </c>
      <c r="BB64" s="93" t="s">
        <v>22668</v>
      </c>
      <c r="BC64" s="93" t="s">
        <v>22290</v>
      </c>
      <c r="BD64" s="93" t="s">
        <v>22519</v>
      </c>
      <c r="BE64" s="87"/>
      <c r="BF64" s="87"/>
      <c r="BG64" s="87"/>
      <c r="BH64" s="87"/>
      <c r="BI64" s="87"/>
    </row>
    <row r="65" spans="1:61" x14ac:dyDescent="0.25">
      <c r="A65" s="63" t="s">
        <v>251</v>
      </c>
      <c r="B65" s="63" t="s">
        <v>251</v>
      </c>
      <c r="C65" s="64"/>
      <c r="D65" s="65"/>
      <c r="E65" s="66"/>
      <c r="F65" s="67"/>
      <c r="G65" s="64"/>
      <c r="H65" s="68"/>
      <c r="I65" s="69"/>
      <c r="J65" s="69"/>
      <c r="K65" s="32"/>
      <c r="L65" s="76">
        <v>65</v>
      </c>
      <c r="M65" s="76"/>
      <c r="N65" s="71"/>
      <c r="O65" s="87" t="s">
        <v>1840</v>
      </c>
      <c r="P65" s="90">
        <v>45110.650023148148</v>
      </c>
      <c r="Q65" s="87" t="s">
        <v>1903</v>
      </c>
      <c r="R65" s="87">
        <v>0</v>
      </c>
      <c r="S65" s="87">
        <v>0</v>
      </c>
      <c r="T65" s="87">
        <v>0</v>
      </c>
      <c r="U65" s="87">
        <v>0</v>
      </c>
      <c r="V65" s="87">
        <v>2</v>
      </c>
      <c r="W65" s="93" t="s">
        <v>5875</v>
      </c>
      <c r="X65" s="87"/>
      <c r="Y65" s="87"/>
      <c r="Z65" s="87"/>
      <c r="AA65" s="87"/>
      <c r="AB65" s="87"/>
      <c r="AC65" s="93" t="s">
        <v>11457</v>
      </c>
      <c r="AD65" s="87" t="s">
        <v>11519</v>
      </c>
      <c r="AE65" s="92" t="str">
        <f>HYPERLINK("https://twitter.com/taniazambon_itz/status/1675891153919528960")</f>
        <v>https://twitter.com/taniazambon_itz/status/1675891153919528960</v>
      </c>
      <c r="AF65" s="90">
        <v>45110.650023148148</v>
      </c>
      <c r="AG65" s="99">
        <v>45110</v>
      </c>
      <c r="AH65" s="93" t="s">
        <v>11589</v>
      </c>
      <c r="AI65" s="87"/>
      <c r="AJ65" s="87"/>
      <c r="AK65" s="87"/>
      <c r="AL65" s="87"/>
      <c r="AM65" s="87"/>
      <c r="AN65" s="87"/>
      <c r="AO65" s="87"/>
      <c r="AP65" s="87"/>
      <c r="AQ65" s="87"/>
      <c r="AR65" s="87"/>
      <c r="AS65" s="87"/>
      <c r="AT65" s="87"/>
      <c r="AU65" s="87"/>
      <c r="AV65" s="92" t="str">
        <f>HYPERLINK("https://pbs.twimg.com/profile_images/1668695481570959366/2SoEMXBR_normal.jpg")</f>
        <v>https://pbs.twimg.com/profile_images/1668695481570959366/2SoEMXBR_normal.jpg</v>
      </c>
      <c r="AW65" s="93" t="s">
        <v>18318</v>
      </c>
      <c r="AX65" s="93" t="s">
        <v>22291</v>
      </c>
      <c r="AY65" s="93" t="s">
        <v>22519</v>
      </c>
      <c r="AZ65" s="93" t="s">
        <v>22669</v>
      </c>
      <c r="BA65" s="93" t="s">
        <v>22668</v>
      </c>
      <c r="BB65" s="93" t="s">
        <v>22668</v>
      </c>
      <c r="BC65" s="93" t="s">
        <v>22669</v>
      </c>
      <c r="BD65" s="93" t="s">
        <v>22519</v>
      </c>
      <c r="BE65" s="87"/>
      <c r="BF65" s="87"/>
      <c r="BG65" s="87"/>
      <c r="BH65" s="87"/>
      <c r="BI65" s="87"/>
    </row>
    <row r="66" spans="1:61" x14ac:dyDescent="0.25">
      <c r="A66" s="63" t="s">
        <v>251</v>
      </c>
      <c r="B66" s="63" t="s">
        <v>251</v>
      </c>
      <c r="C66" s="64"/>
      <c r="D66" s="65"/>
      <c r="E66" s="66"/>
      <c r="F66" s="67"/>
      <c r="G66" s="64"/>
      <c r="H66" s="68"/>
      <c r="I66" s="69"/>
      <c r="J66" s="69"/>
      <c r="K66" s="32"/>
      <c r="L66" s="76">
        <v>66</v>
      </c>
      <c r="M66" s="76"/>
      <c r="N66" s="71"/>
      <c r="O66" s="87" t="s">
        <v>179</v>
      </c>
      <c r="P66" s="90">
        <v>45139.92428240741</v>
      </c>
      <c r="Q66" s="87" t="s">
        <v>1904</v>
      </c>
      <c r="R66" s="87">
        <v>0</v>
      </c>
      <c r="S66" s="87">
        <v>1</v>
      </c>
      <c r="T66" s="87">
        <v>0</v>
      </c>
      <c r="U66" s="87">
        <v>0</v>
      </c>
      <c r="V66" s="87">
        <v>8</v>
      </c>
      <c r="W66" s="93" t="s">
        <v>5876</v>
      </c>
      <c r="X66" s="87"/>
      <c r="Y66" s="87"/>
      <c r="Z66" s="87"/>
      <c r="AA66" s="87" t="s">
        <v>8675</v>
      </c>
      <c r="AB66" s="87" t="s">
        <v>11449</v>
      </c>
      <c r="AC66" s="93" t="s">
        <v>11457</v>
      </c>
      <c r="AD66" s="87" t="s">
        <v>11519</v>
      </c>
      <c r="AE66" s="92" t="str">
        <f>HYPERLINK("https://twitter.com/taniazambon_itz/status/1686499791780352002")</f>
        <v>https://twitter.com/taniazambon_itz/status/1686499791780352002</v>
      </c>
      <c r="AF66" s="90">
        <v>45139.92428240741</v>
      </c>
      <c r="AG66" s="99">
        <v>45139</v>
      </c>
      <c r="AH66" s="93" t="s">
        <v>11590</v>
      </c>
      <c r="AI66" s="87" t="b">
        <v>0</v>
      </c>
      <c r="AJ66" s="87"/>
      <c r="AK66" s="87"/>
      <c r="AL66" s="87"/>
      <c r="AM66" s="87"/>
      <c r="AN66" s="87"/>
      <c r="AO66" s="87"/>
      <c r="AP66" s="87"/>
      <c r="AQ66" s="87" t="s">
        <v>15488</v>
      </c>
      <c r="AR66" s="87"/>
      <c r="AS66" s="87"/>
      <c r="AT66" s="87"/>
      <c r="AU66" s="87"/>
      <c r="AV66" s="92" t="str">
        <f>HYPERLINK("https://pbs.twimg.com/media/F2emepLbsAAvO-y.jpg")</f>
        <v>https://pbs.twimg.com/media/F2emepLbsAAvO-y.jpg</v>
      </c>
      <c r="AW66" s="93" t="s">
        <v>18319</v>
      </c>
      <c r="AX66" s="93" t="s">
        <v>18319</v>
      </c>
      <c r="AY66" s="87"/>
      <c r="AZ66" s="93" t="s">
        <v>22668</v>
      </c>
      <c r="BA66" s="93" t="s">
        <v>22668</v>
      </c>
      <c r="BB66" s="93" t="s">
        <v>22668</v>
      </c>
      <c r="BC66" s="93" t="s">
        <v>18319</v>
      </c>
      <c r="BD66" s="93" t="s">
        <v>22519</v>
      </c>
      <c r="BE66" s="87"/>
      <c r="BF66" s="87"/>
      <c r="BG66" s="87"/>
      <c r="BH66" s="87"/>
      <c r="BI66" s="87"/>
    </row>
    <row r="67" spans="1:61" x14ac:dyDescent="0.25">
      <c r="A67" s="63" t="s">
        <v>251</v>
      </c>
      <c r="B67" s="63" t="s">
        <v>251</v>
      </c>
      <c r="C67" s="64"/>
      <c r="D67" s="65"/>
      <c r="E67" s="66"/>
      <c r="F67" s="67"/>
      <c r="G67" s="64"/>
      <c r="H67" s="68"/>
      <c r="I67" s="69"/>
      <c r="J67" s="69"/>
      <c r="K67" s="32"/>
      <c r="L67" s="76">
        <v>67</v>
      </c>
      <c r="M67" s="76"/>
      <c r="N67" s="71"/>
      <c r="O67" s="87" t="s">
        <v>1840</v>
      </c>
      <c r="P67" s="90">
        <v>45126.893090277779</v>
      </c>
      <c r="Q67" s="87" t="s">
        <v>1905</v>
      </c>
      <c r="R67" s="87">
        <v>0</v>
      </c>
      <c r="S67" s="87">
        <v>0</v>
      </c>
      <c r="T67" s="87">
        <v>0</v>
      </c>
      <c r="U67" s="87">
        <v>0</v>
      </c>
      <c r="V67" s="87">
        <v>5</v>
      </c>
      <c r="W67" s="93" t="s">
        <v>5877</v>
      </c>
      <c r="X67" s="87"/>
      <c r="Y67" s="87"/>
      <c r="Z67" s="87"/>
      <c r="AA67" s="87"/>
      <c r="AB67" s="87"/>
      <c r="AC67" s="93" t="s">
        <v>11457</v>
      </c>
      <c r="AD67" s="87" t="s">
        <v>11519</v>
      </c>
      <c r="AE67" s="92" t="str">
        <f>HYPERLINK("https://twitter.com/taniazambon_itz/status/1681777443160350721")</f>
        <v>https://twitter.com/taniazambon_itz/status/1681777443160350721</v>
      </c>
      <c r="AF67" s="90">
        <v>45126.893090277779</v>
      </c>
      <c r="AG67" s="99">
        <v>45126</v>
      </c>
      <c r="AH67" s="93" t="s">
        <v>11591</v>
      </c>
      <c r="AI67" s="87"/>
      <c r="AJ67" s="87"/>
      <c r="AK67" s="87"/>
      <c r="AL67" s="87"/>
      <c r="AM67" s="87"/>
      <c r="AN67" s="87"/>
      <c r="AO67" s="87"/>
      <c r="AP67" s="87"/>
      <c r="AQ67" s="87"/>
      <c r="AR67" s="87"/>
      <c r="AS67" s="87"/>
      <c r="AT67" s="87"/>
      <c r="AU67" s="87"/>
      <c r="AV67" s="92" t="str">
        <f>HYPERLINK("https://pbs.twimg.com/profile_images/1668695481570959366/2SoEMXBR_normal.jpg")</f>
        <v>https://pbs.twimg.com/profile_images/1668695481570959366/2SoEMXBR_normal.jpg</v>
      </c>
      <c r="AW67" s="93" t="s">
        <v>18320</v>
      </c>
      <c r="AX67" s="93" t="s">
        <v>22292</v>
      </c>
      <c r="AY67" s="93" t="s">
        <v>22519</v>
      </c>
      <c r="AZ67" s="93" t="s">
        <v>22670</v>
      </c>
      <c r="BA67" s="93" t="s">
        <v>22668</v>
      </c>
      <c r="BB67" s="93" t="s">
        <v>22668</v>
      </c>
      <c r="BC67" s="93" t="s">
        <v>22670</v>
      </c>
      <c r="BD67" s="93" t="s">
        <v>22519</v>
      </c>
      <c r="BE67" s="87"/>
      <c r="BF67" s="87"/>
      <c r="BG67" s="87"/>
      <c r="BH67" s="87"/>
      <c r="BI67" s="87"/>
    </row>
    <row r="68" spans="1:61" x14ac:dyDescent="0.25">
      <c r="A68" s="63" t="s">
        <v>251</v>
      </c>
      <c r="B68" s="63" t="s">
        <v>251</v>
      </c>
      <c r="C68" s="64"/>
      <c r="D68" s="65"/>
      <c r="E68" s="66"/>
      <c r="F68" s="67"/>
      <c r="G68" s="64"/>
      <c r="H68" s="68"/>
      <c r="I68" s="69"/>
      <c r="J68" s="69"/>
      <c r="K68" s="32"/>
      <c r="L68" s="76">
        <v>68</v>
      </c>
      <c r="M68" s="76"/>
      <c r="N68" s="71"/>
      <c r="O68" s="87" t="s">
        <v>1840</v>
      </c>
      <c r="P68" s="90">
        <v>45125.728854166664</v>
      </c>
      <c r="Q68" s="87" t="s">
        <v>1906</v>
      </c>
      <c r="R68" s="87">
        <v>0</v>
      </c>
      <c r="S68" s="87">
        <v>0</v>
      </c>
      <c r="T68" s="87">
        <v>0</v>
      </c>
      <c r="U68" s="87">
        <v>0</v>
      </c>
      <c r="V68" s="87">
        <v>5</v>
      </c>
      <c r="W68" s="93" t="s">
        <v>5878</v>
      </c>
      <c r="X68" s="87"/>
      <c r="Y68" s="87"/>
      <c r="Z68" s="87"/>
      <c r="AA68" s="87"/>
      <c r="AB68" s="87"/>
      <c r="AC68" s="93" t="s">
        <v>11457</v>
      </c>
      <c r="AD68" s="87" t="s">
        <v>11519</v>
      </c>
      <c r="AE68" s="92" t="str">
        <f>HYPERLINK("https://twitter.com/taniazambon_itz/status/1681355540784463906")</f>
        <v>https://twitter.com/taniazambon_itz/status/1681355540784463906</v>
      </c>
      <c r="AF68" s="90">
        <v>45125.728854166664</v>
      </c>
      <c r="AG68" s="99">
        <v>45125</v>
      </c>
      <c r="AH68" s="93" t="s">
        <v>11592</v>
      </c>
      <c r="AI68" s="87"/>
      <c r="AJ68" s="87"/>
      <c r="AK68" s="87"/>
      <c r="AL68" s="87"/>
      <c r="AM68" s="87"/>
      <c r="AN68" s="87"/>
      <c r="AO68" s="87"/>
      <c r="AP68" s="87"/>
      <c r="AQ68" s="87"/>
      <c r="AR68" s="87"/>
      <c r="AS68" s="87"/>
      <c r="AT68" s="87"/>
      <c r="AU68" s="87"/>
      <c r="AV68" s="92" t="str">
        <f>HYPERLINK("https://pbs.twimg.com/profile_images/1668695481570959366/2SoEMXBR_normal.jpg")</f>
        <v>https://pbs.twimg.com/profile_images/1668695481570959366/2SoEMXBR_normal.jpg</v>
      </c>
      <c r="AW68" s="93" t="s">
        <v>18321</v>
      </c>
      <c r="AX68" s="93" t="s">
        <v>22293</v>
      </c>
      <c r="AY68" s="93" t="s">
        <v>22519</v>
      </c>
      <c r="AZ68" s="93" t="s">
        <v>22671</v>
      </c>
      <c r="BA68" s="93" t="s">
        <v>22668</v>
      </c>
      <c r="BB68" s="93" t="s">
        <v>22668</v>
      </c>
      <c r="BC68" s="93" t="s">
        <v>22671</v>
      </c>
      <c r="BD68" s="93" t="s">
        <v>22519</v>
      </c>
      <c r="BE68" s="87"/>
      <c r="BF68" s="87"/>
      <c r="BG68" s="87"/>
      <c r="BH68" s="87"/>
      <c r="BI68" s="87"/>
    </row>
    <row r="69" spans="1:61" x14ac:dyDescent="0.25">
      <c r="A69" s="63" t="s">
        <v>251</v>
      </c>
      <c r="B69" s="63" t="s">
        <v>251</v>
      </c>
      <c r="C69" s="64"/>
      <c r="D69" s="65"/>
      <c r="E69" s="66"/>
      <c r="F69" s="67"/>
      <c r="G69" s="64"/>
      <c r="H69" s="68"/>
      <c r="I69" s="69"/>
      <c r="J69" s="69"/>
      <c r="K69" s="32"/>
      <c r="L69" s="76">
        <v>69</v>
      </c>
      <c r="M69" s="76"/>
      <c r="N69" s="71"/>
      <c r="O69" s="87" t="s">
        <v>1840</v>
      </c>
      <c r="P69" s="90">
        <v>45145.60292824074</v>
      </c>
      <c r="Q69" s="87" t="s">
        <v>1907</v>
      </c>
      <c r="R69" s="87">
        <v>0</v>
      </c>
      <c r="S69" s="87">
        <v>0</v>
      </c>
      <c r="T69" s="87">
        <v>0</v>
      </c>
      <c r="U69" s="87">
        <v>0</v>
      </c>
      <c r="V69" s="87">
        <v>2</v>
      </c>
      <c r="W69" s="93" t="s">
        <v>5879</v>
      </c>
      <c r="X69" s="87"/>
      <c r="Y69" s="87"/>
      <c r="Z69" s="87"/>
      <c r="AA69" s="87"/>
      <c r="AB69" s="87"/>
      <c r="AC69" s="93" t="s">
        <v>11457</v>
      </c>
      <c r="AD69" s="87" t="s">
        <v>11519</v>
      </c>
      <c r="AE69" s="92" t="str">
        <f>HYPERLINK("https://twitter.com/taniazambon_itz/status/1688557664647692288")</f>
        <v>https://twitter.com/taniazambon_itz/status/1688557664647692288</v>
      </c>
      <c r="AF69" s="90">
        <v>45145.60292824074</v>
      </c>
      <c r="AG69" s="99">
        <v>45145</v>
      </c>
      <c r="AH69" s="93" t="s">
        <v>11593</v>
      </c>
      <c r="AI69" s="87"/>
      <c r="AJ69" s="87"/>
      <c r="AK69" s="87"/>
      <c r="AL69" s="87"/>
      <c r="AM69" s="87"/>
      <c r="AN69" s="87"/>
      <c r="AO69" s="87"/>
      <c r="AP69" s="87"/>
      <c r="AQ69" s="87"/>
      <c r="AR69" s="87"/>
      <c r="AS69" s="87"/>
      <c r="AT69" s="87"/>
      <c r="AU69" s="87"/>
      <c r="AV69" s="92" t="str">
        <f>HYPERLINK("https://pbs.twimg.com/profile_images/1668695481570959366/2SoEMXBR_normal.jpg")</f>
        <v>https://pbs.twimg.com/profile_images/1668695481570959366/2SoEMXBR_normal.jpg</v>
      </c>
      <c r="AW69" s="93" t="s">
        <v>18322</v>
      </c>
      <c r="AX69" s="93" t="s">
        <v>22294</v>
      </c>
      <c r="AY69" s="93" t="s">
        <v>22519</v>
      </c>
      <c r="AZ69" s="93" t="s">
        <v>22672</v>
      </c>
      <c r="BA69" s="93" t="s">
        <v>22668</v>
      </c>
      <c r="BB69" s="93" t="s">
        <v>22668</v>
      </c>
      <c r="BC69" s="93" t="s">
        <v>22672</v>
      </c>
      <c r="BD69" s="93" t="s">
        <v>22519</v>
      </c>
      <c r="BE69" s="87"/>
      <c r="BF69" s="87"/>
      <c r="BG69" s="87"/>
      <c r="BH69" s="87"/>
      <c r="BI69" s="87"/>
    </row>
    <row r="70" spans="1:61" x14ac:dyDescent="0.25">
      <c r="A70" s="63" t="s">
        <v>251</v>
      </c>
      <c r="B70" s="63" t="s">
        <v>251</v>
      </c>
      <c r="C70" s="64"/>
      <c r="D70" s="65"/>
      <c r="E70" s="66"/>
      <c r="F70" s="67"/>
      <c r="G70" s="64"/>
      <c r="H70" s="68"/>
      <c r="I70" s="69"/>
      <c r="J70" s="69"/>
      <c r="K70" s="32"/>
      <c r="L70" s="76">
        <v>70</v>
      </c>
      <c r="M70" s="76"/>
      <c r="N70" s="71"/>
      <c r="O70" s="87" t="s">
        <v>1840</v>
      </c>
      <c r="P70" s="90">
        <v>45134.046122685184</v>
      </c>
      <c r="Q70" s="87" t="s">
        <v>1908</v>
      </c>
      <c r="R70" s="87">
        <v>0</v>
      </c>
      <c r="S70" s="87">
        <v>0</v>
      </c>
      <c r="T70" s="87">
        <v>0</v>
      </c>
      <c r="U70" s="87">
        <v>0</v>
      </c>
      <c r="V70" s="87">
        <v>4</v>
      </c>
      <c r="W70" s="93" t="s">
        <v>5880</v>
      </c>
      <c r="X70" s="87"/>
      <c r="Y70" s="87"/>
      <c r="Z70" s="87"/>
      <c r="AA70" s="87"/>
      <c r="AB70" s="87"/>
      <c r="AC70" s="93" t="s">
        <v>11457</v>
      </c>
      <c r="AD70" s="87" t="s">
        <v>11519</v>
      </c>
      <c r="AE70" s="92" t="str">
        <f>HYPERLINK("https://twitter.com/taniazambon_itz/status/1684369618066980865")</f>
        <v>https://twitter.com/taniazambon_itz/status/1684369618066980865</v>
      </c>
      <c r="AF70" s="90">
        <v>45134.046122685184</v>
      </c>
      <c r="AG70" s="99">
        <v>45134</v>
      </c>
      <c r="AH70" s="93" t="s">
        <v>11594</v>
      </c>
      <c r="AI70" s="87"/>
      <c r="AJ70" s="87"/>
      <c r="AK70" s="87"/>
      <c r="AL70" s="87"/>
      <c r="AM70" s="87"/>
      <c r="AN70" s="87"/>
      <c r="AO70" s="87"/>
      <c r="AP70" s="87"/>
      <c r="AQ70" s="87"/>
      <c r="AR70" s="87"/>
      <c r="AS70" s="87"/>
      <c r="AT70" s="87"/>
      <c r="AU70" s="87"/>
      <c r="AV70" s="92" t="str">
        <f>HYPERLINK("https://pbs.twimg.com/profile_images/1668695481570959366/2SoEMXBR_normal.jpg")</f>
        <v>https://pbs.twimg.com/profile_images/1668695481570959366/2SoEMXBR_normal.jpg</v>
      </c>
      <c r="AW70" s="93" t="s">
        <v>18323</v>
      </c>
      <c r="AX70" s="93" t="s">
        <v>22295</v>
      </c>
      <c r="AY70" s="93" t="s">
        <v>22519</v>
      </c>
      <c r="AZ70" s="93" t="s">
        <v>22295</v>
      </c>
      <c r="BA70" s="93" t="s">
        <v>22668</v>
      </c>
      <c r="BB70" s="93" t="s">
        <v>22668</v>
      </c>
      <c r="BC70" s="93" t="s">
        <v>22295</v>
      </c>
      <c r="BD70" s="93" t="s">
        <v>22519</v>
      </c>
      <c r="BE70" s="87"/>
      <c r="BF70" s="87"/>
      <c r="BG70" s="87"/>
      <c r="BH70" s="87"/>
      <c r="BI70" s="87"/>
    </row>
    <row r="71" spans="1:61" x14ac:dyDescent="0.25">
      <c r="A71" s="63" t="s">
        <v>251</v>
      </c>
      <c r="B71" s="63" t="s">
        <v>251</v>
      </c>
      <c r="C71" s="64"/>
      <c r="D71" s="65"/>
      <c r="E71" s="66"/>
      <c r="F71" s="67"/>
      <c r="G71" s="64"/>
      <c r="H71" s="68"/>
      <c r="I71" s="69"/>
      <c r="J71" s="69"/>
      <c r="K71" s="32"/>
      <c r="L71" s="76">
        <v>71</v>
      </c>
      <c r="M71" s="76"/>
      <c r="N71" s="71"/>
      <c r="O71" s="87" t="s">
        <v>1840</v>
      </c>
      <c r="P71" s="90">
        <v>45154.907280092593</v>
      </c>
      <c r="Q71" s="87" t="s">
        <v>1909</v>
      </c>
      <c r="R71" s="87">
        <v>0</v>
      </c>
      <c r="S71" s="87">
        <v>0</v>
      </c>
      <c r="T71" s="87">
        <v>0</v>
      </c>
      <c r="U71" s="87">
        <v>0</v>
      </c>
      <c r="V71" s="87">
        <v>6</v>
      </c>
      <c r="W71" s="93" t="s">
        <v>5881</v>
      </c>
      <c r="X71" s="87"/>
      <c r="Y71" s="87"/>
      <c r="Z71" s="87"/>
      <c r="AA71" s="87" t="s">
        <v>8676</v>
      </c>
      <c r="AB71" s="87" t="s">
        <v>11449</v>
      </c>
      <c r="AC71" s="93" t="s">
        <v>11457</v>
      </c>
      <c r="AD71" s="87" t="s">
        <v>11519</v>
      </c>
      <c r="AE71" s="92" t="str">
        <f>HYPERLINK("https://twitter.com/taniazambon_itz/status/1691929445647483137")</f>
        <v>https://twitter.com/taniazambon_itz/status/1691929445647483137</v>
      </c>
      <c r="AF71" s="90">
        <v>45154.907280092593</v>
      </c>
      <c r="AG71" s="99">
        <v>45154</v>
      </c>
      <c r="AH71" s="93" t="s">
        <v>11595</v>
      </c>
      <c r="AI71" s="87" t="b">
        <v>0</v>
      </c>
      <c r="AJ71" s="87"/>
      <c r="AK71" s="87"/>
      <c r="AL71" s="87"/>
      <c r="AM71" s="87"/>
      <c r="AN71" s="87"/>
      <c r="AO71" s="87"/>
      <c r="AP71" s="87"/>
      <c r="AQ71" s="87" t="s">
        <v>15489</v>
      </c>
      <c r="AR71" s="87"/>
      <c r="AS71" s="87"/>
      <c r="AT71" s="87"/>
      <c r="AU71" s="87"/>
      <c r="AV71" s="92" t="str">
        <f>HYPERLINK("https://pbs.twimg.com/media/F3rw0kYWcAAtC9P.jpg")</f>
        <v>https://pbs.twimg.com/media/F3rw0kYWcAAtC9P.jpg</v>
      </c>
      <c r="AW71" s="93" t="s">
        <v>18324</v>
      </c>
      <c r="AX71" s="93" t="s">
        <v>22296</v>
      </c>
      <c r="AY71" s="93" t="s">
        <v>22519</v>
      </c>
      <c r="AZ71" s="93" t="s">
        <v>22296</v>
      </c>
      <c r="BA71" s="93" t="s">
        <v>22668</v>
      </c>
      <c r="BB71" s="93" t="s">
        <v>22668</v>
      </c>
      <c r="BC71" s="93" t="s">
        <v>22296</v>
      </c>
      <c r="BD71" s="93" t="s">
        <v>22519</v>
      </c>
      <c r="BE71" s="87"/>
      <c r="BF71" s="87"/>
      <c r="BG71" s="87"/>
      <c r="BH71" s="87"/>
      <c r="BI71" s="87"/>
    </row>
    <row r="72" spans="1:61" x14ac:dyDescent="0.25">
      <c r="A72" s="63" t="s">
        <v>251</v>
      </c>
      <c r="B72" s="63" t="s">
        <v>251</v>
      </c>
      <c r="C72" s="64"/>
      <c r="D72" s="65"/>
      <c r="E72" s="66"/>
      <c r="F72" s="67"/>
      <c r="G72" s="64"/>
      <c r="H72" s="68"/>
      <c r="I72" s="69"/>
      <c r="J72" s="69"/>
      <c r="K72" s="32"/>
      <c r="L72" s="76">
        <v>72</v>
      </c>
      <c r="M72" s="76"/>
      <c r="N72" s="71"/>
      <c r="O72" s="87" t="s">
        <v>1840</v>
      </c>
      <c r="P72" s="90">
        <v>45130.987974537034</v>
      </c>
      <c r="Q72" s="87" t="s">
        <v>1910</v>
      </c>
      <c r="R72" s="87">
        <v>0</v>
      </c>
      <c r="S72" s="87">
        <v>0</v>
      </c>
      <c r="T72" s="87">
        <v>0</v>
      </c>
      <c r="U72" s="87">
        <v>0</v>
      </c>
      <c r="V72" s="87">
        <v>4</v>
      </c>
      <c r="W72" s="93" t="s">
        <v>5882</v>
      </c>
      <c r="X72" s="87"/>
      <c r="Y72" s="87"/>
      <c r="Z72" s="87"/>
      <c r="AA72" s="87"/>
      <c r="AB72" s="87"/>
      <c r="AC72" s="93" t="s">
        <v>11457</v>
      </c>
      <c r="AD72" s="87" t="s">
        <v>11519</v>
      </c>
      <c r="AE72" s="92" t="str">
        <f>HYPERLINK("https://twitter.com/taniazambon_itz/status/1683261382861500416")</f>
        <v>https://twitter.com/taniazambon_itz/status/1683261382861500416</v>
      </c>
      <c r="AF72" s="90">
        <v>45130.987974537034</v>
      </c>
      <c r="AG72" s="99">
        <v>45130</v>
      </c>
      <c r="AH72" s="93" t="s">
        <v>11596</v>
      </c>
      <c r="AI72" s="87"/>
      <c r="AJ72" s="87"/>
      <c r="AK72" s="87"/>
      <c r="AL72" s="87"/>
      <c r="AM72" s="87"/>
      <c r="AN72" s="87"/>
      <c r="AO72" s="87"/>
      <c r="AP72" s="87"/>
      <c r="AQ72" s="87"/>
      <c r="AR72" s="87"/>
      <c r="AS72" s="87"/>
      <c r="AT72" s="87"/>
      <c r="AU72" s="87"/>
      <c r="AV72" s="92" t="str">
        <f>HYPERLINK("https://pbs.twimg.com/profile_images/1668695481570959366/2SoEMXBR_normal.jpg")</f>
        <v>https://pbs.twimg.com/profile_images/1668695481570959366/2SoEMXBR_normal.jpg</v>
      </c>
      <c r="AW72" s="93" t="s">
        <v>18325</v>
      </c>
      <c r="AX72" s="93" t="s">
        <v>22297</v>
      </c>
      <c r="AY72" s="93" t="s">
        <v>22519</v>
      </c>
      <c r="AZ72" s="93" t="s">
        <v>22673</v>
      </c>
      <c r="BA72" s="93" t="s">
        <v>22668</v>
      </c>
      <c r="BB72" s="93" t="s">
        <v>22668</v>
      </c>
      <c r="BC72" s="93" t="s">
        <v>22673</v>
      </c>
      <c r="BD72" s="93" t="s">
        <v>22519</v>
      </c>
      <c r="BE72" s="87"/>
      <c r="BF72" s="87"/>
      <c r="BG72" s="87"/>
      <c r="BH72" s="87"/>
      <c r="BI72" s="87"/>
    </row>
    <row r="73" spans="1:61" x14ac:dyDescent="0.25">
      <c r="A73" s="63" t="s">
        <v>251</v>
      </c>
      <c r="B73" s="63" t="s">
        <v>251</v>
      </c>
      <c r="C73" s="64"/>
      <c r="D73" s="65"/>
      <c r="E73" s="66"/>
      <c r="F73" s="67"/>
      <c r="G73" s="64"/>
      <c r="H73" s="68"/>
      <c r="I73" s="69"/>
      <c r="J73" s="69"/>
      <c r="K73" s="32"/>
      <c r="L73" s="76">
        <v>73</v>
      </c>
      <c r="M73" s="76"/>
      <c r="N73" s="71"/>
      <c r="O73" s="87" t="s">
        <v>1840</v>
      </c>
      <c r="P73" s="90">
        <v>45130.69295138889</v>
      </c>
      <c r="Q73" s="87" t="s">
        <v>1911</v>
      </c>
      <c r="R73" s="87">
        <v>0</v>
      </c>
      <c r="S73" s="87">
        <v>0</v>
      </c>
      <c r="T73" s="87">
        <v>0</v>
      </c>
      <c r="U73" s="87">
        <v>0</v>
      </c>
      <c r="V73" s="87">
        <v>3</v>
      </c>
      <c r="W73" s="93" t="s">
        <v>5883</v>
      </c>
      <c r="X73" s="87"/>
      <c r="Y73" s="87"/>
      <c r="Z73" s="87"/>
      <c r="AA73" s="87"/>
      <c r="AB73" s="87"/>
      <c r="AC73" s="93" t="s">
        <v>11457</v>
      </c>
      <c r="AD73" s="87" t="s">
        <v>11519</v>
      </c>
      <c r="AE73" s="92" t="str">
        <f>HYPERLINK("https://twitter.com/taniazambon_itz/status/1683154467007389696")</f>
        <v>https://twitter.com/taniazambon_itz/status/1683154467007389696</v>
      </c>
      <c r="AF73" s="90">
        <v>45130.69295138889</v>
      </c>
      <c r="AG73" s="99">
        <v>45130</v>
      </c>
      <c r="AH73" s="93" t="s">
        <v>11597</v>
      </c>
      <c r="AI73" s="87"/>
      <c r="AJ73" s="87"/>
      <c r="AK73" s="87"/>
      <c r="AL73" s="87"/>
      <c r="AM73" s="87"/>
      <c r="AN73" s="87"/>
      <c r="AO73" s="87"/>
      <c r="AP73" s="87"/>
      <c r="AQ73" s="87"/>
      <c r="AR73" s="87"/>
      <c r="AS73" s="87"/>
      <c r="AT73" s="87"/>
      <c r="AU73" s="87"/>
      <c r="AV73" s="92" t="str">
        <f>HYPERLINK("https://pbs.twimg.com/profile_images/1668695481570959366/2SoEMXBR_normal.jpg")</f>
        <v>https://pbs.twimg.com/profile_images/1668695481570959366/2SoEMXBR_normal.jpg</v>
      </c>
      <c r="AW73" s="93" t="s">
        <v>18326</v>
      </c>
      <c r="AX73" s="93" t="s">
        <v>22298</v>
      </c>
      <c r="AY73" s="93" t="s">
        <v>22519</v>
      </c>
      <c r="AZ73" s="93" t="s">
        <v>22298</v>
      </c>
      <c r="BA73" s="93" t="s">
        <v>22668</v>
      </c>
      <c r="BB73" s="93" t="s">
        <v>22668</v>
      </c>
      <c r="BC73" s="93" t="s">
        <v>22298</v>
      </c>
      <c r="BD73" s="93" t="s">
        <v>22519</v>
      </c>
      <c r="BE73" s="87"/>
      <c r="BF73" s="87"/>
      <c r="BG73" s="87"/>
      <c r="BH73" s="87"/>
      <c r="BI73" s="87"/>
    </row>
    <row r="74" spans="1:61" x14ac:dyDescent="0.25">
      <c r="A74" s="63" t="s">
        <v>251</v>
      </c>
      <c r="B74" s="63" t="s">
        <v>251</v>
      </c>
      <c r="C74" s="64"/>
      <c r="D74" s="65"/>
      <c r="E74" s="66"/>
      <c r="F74" s="67"/>
      <c r="G74" s="64"/>
      <c r="H74" s="68"/>
      <c r="I74" s="69"/>
      <c r="J74" s="69"/>
      <c r="K74" s="32"/>
      <c r="L74" s="76">
        <v>74</v>
      </c>
      <c r="M74" s="76"/>
      <c r="N74" s="71"/>
      <c r="O74" s="87" t="s">
        <v>1840</v>
      </c>
      <c r="P74" s="90">
        <v>45154.625543981485</v>
      </c>
      <c r="Q74" s="87" t="s">
        <v>1912</v>
      </c>
      <c r="R74" s="87">
        <v>0</v>
      </c>
      <c r="S74" s="87">
        <v>0</v>
      </c>
      <c r="T74" s="87">
        <v>0</v>
      </c>
      <c r="U74" s="87">
        <v>0</v>
      </c>
      <c r="V74" s="87">
        <v>6</v>
      </c>
      <c r="W74" s="93" t="s">
        <v>5884</v>
      </c>
      <c r="X74" s="87"/>
      <c r="Y74" s="87"/>
      <c r="Z74" s="87"/>
      <c r="AA74" s="87" t="s">
        <v>8677</v>
      </c>
      <c r="AB74" s="87" t="s">
        <v>11450</v>
      </c>
      <c r="AC74" s="93" t="s">
        <v>11457</v>
      </c>
      <c r="AD74" s="87" t="s">
        <v>11519</v>
      </c>
      <c r="AE74" s="92" t="str">
        <f>HYPERLINK("https://twitter.com/taniazambon_itz/status/1691827349853966821")</f>
        <v>https://twitter.com/taniazambon_itz/status/1691827349853966821</v>
      </c>
      <c r="AF74" s="90">
        <v>45154.625543981485</v>
      </c>
      <c r="AG74" s="99">
        <v>45154</v>
      </c>
      <c r="AH74" s="93" t="s">
        <v>11598</v>
      </c>
      <c r="AI74" s="87" t="b">
        <v>0</v>
      </c>
      <c r="AJ74" s="87"/>
      <c r="AK74" s="87"/>
      <c r="AL74" s="87"/>
      <c r="AM74" s="87"/>
      <c r="AN74" s="87"/>
      <c r="AO74" s="87"/>
      <c r="AP74" s="87"/>
      <c r="AQ74" s="87" t="s">
        <v>15490</v>
      </c>
      <c r="AR74" s="87"/>
      <c r="AS74" s="87"/>
      <c r="AT74" s="87"/>
      <c r="AU74" s="87"/>
      <c r="AV74" s="92" t="str">
        <f>HYPERLINK("https://pbs.twimg.com/media/F3qT-5vXoAA2MlL.jpg")</f>
        <v>https://pbs.twimg.com/media/F3qT-5vXoAA2MlL.jpg</v>
      </c>
      <c r="AW74" s="93" t="s">
        <v>18327</v>
      </c>
      <c r="AX74" s="93" t="s">
        <v>22299</v>
      </c>
      <c r="AY74" s="93" t="s">
        <v>22519</v>
      </c>
      <c r="AZ74" s="93" t="s">
        <v>22299</v>
      </c>
      <c r="BA74" s="93" t="s">
        <v>22668</v>
      </c>
      <c r="BB74" s="93" t="s">
        <v>22668</v>
      </c>
      <c r="BC74" s="93" t="s">
        <v>22299</v>
      </c>
      <c r="BD74" s="93" t="s">
        <v>22519</v>
      </c>
      <c r="BE74" s="87"/>
      <c r="BF74" s="87"/>
      <c r="BG74" s="87"/>
      <c r="BH74" s="87"/>
      <c r="BI74" s="87"/>
    </row>
    <row r="75" spans="1:61" x14ac:dyDescent="0.25">
      <c r="A75" s="63" t="s">
        <v>251</v>
      </c>
      <c r="B75" s="63" t="s">
        <v>251</v>
      </c>
      <c r="C75" s="64"/>
      <c r="D75" s="65"/>
      <c r="E75" s="66"/>
      <c r="F75" s="67"/>
      <c r="G75" s="64"/>
      <c r="H75" s="68"/>
      <c r="I75" s="69"/>
      <c r="J75" s="69"/>
      <c r="K75" s="32"/>
      <c r="L75" s="76">
        <v>75</v>
      </c>
      <c r="M75" s="76"/>
      <c r="N75" s="71"/>
      <c r="O75" s="87" t="s">
        <v>179</v>
      </c>
      <c r="P75" s="90">
        <v>45140.746990740743</v>
      </c>
      <c r="Q75" s="87" t="s">
        <v>1913</v>
      </c>
      <c r="R75" s="87">
        <v>0</v>
      </c>
      <c r="S75" s="87">
        <v>1</v>
      </c>
      <c r="T75" s="87">
        <v>0</v>
      </c>
      <c r="U75" s="87">
        <v>0</v>
      </c>
      <c r="V75" s="87">
        <v>7</v>
      </c>
      <c r="W75" s="93" t="s">
        <v>5885</v>
      </c>
      <c r="X75" s="87"/>
      <c r="Y75" s="87"/>
      <c r="Z75" s="87"/>
      <c r="AA75" s="87" t="s">
        <v>8678</v>
      </c>
      <c r="AB75" s="87" t="s">
        <v>11448</v>
      </c>
      <c r="AC75" s="93" t="s">
        <v>11457</v>
      </c>
      <c r="AD75" s="87" t="s">
        <v>11519</v>
      </c>
      <c r="AE75" s="92" t="str">
        <f>HYPERLINK("https://twitter.com/taniazambon_itz/status/1686797930764660750")</f>
        <v>https://twitter.com/taniazambon_itz/status/1686797930764660750</v>
      </c>
      <c r="AF75" s="90">
        <v>45140.746990740743</v>
      </c>
      <c r="AG75" s="99">
        <v>45140</v>
      </c>
      <c r="AH75" s="93" t="s">
        <v>11599</v>
      </c>
      <c r="AI75" s="87" t="b">
        <v>0</v>
      </c>
      <c r="AJ75" s="87"/>
      <c r="AK75" s="87"/>
      <c r="AL75" s="87"/>
      <c r="AM75" s="87"/>
      <c r="AN75" s="87"/>
      <c r="AO75" s="87"/>
      <c r="AP75" s="87"/>
      <c r="AQ75" s="87" t="s">
        <v>15491</v>
      </c>
      <c r="AR75" s="87"/>
      <c r="AS75" s="87"/>
      <c r="AT75" s="87"/>
      <c r="AU75" s="87"/>
      <c r="AV75" s="92" t="str">
        <f>HYPERLINK("https://pbs.twimg.com/media/F2i1qxpXcAM1kWG.jpg")</f>
        <v>https://pbs.twimg.com/media/F2i1qxpXcAM1kWG.jpg</v>
      </c>
      <c r="AW75" s="93" t="s">
        <v>18328</v>
      </c>
      <c r="AX75" s="93" t="s">
        <v>18328</v>
      </c>
      <c r="AY75" s="87"/>
      <c r="AZ75" s="93" t="s">
        <v>22668</v>
      </c>
      <c r="BA75" s="93" t="s">
        <v>22668</v>
      </c>
      <c r="BB75" s="93" t="s">
        <v>22668</v>
      </c>
      <c r="BC75" s="93" t="s">
        <v>18328</v>
      </c>
      <c r="BD75" s="93" t="s">
        <v>22519</v>
      </c>
      <c r="BE75" s="87"/>
      <c r="BF75" s="87"/>
      <c r="BG75" s="87"/>
      <c r="BH75" s="87"/>
      <c r="BI75" s="87"/>
    </row>
    <row r="76" spans="1:61" x14ac:dyDescent="0.25">
      <c r="A76" s="63" t="s">
        <v>251</v>
      </c>
      <c r="B76" s="63" t="s">
        <v>251</v>
      </c>
      <c r="C76" s="64"/>
      <c r="D76" s="65"/>
      <c r="E76" s="66"/>
      <c r="F76" s="67"/>
      <c r="G76" s="64"/>
      <c r="H76" s="68"/>
      <c r="I76" s="69"/>
      <c r="J76" s="69"/>
      <c r="K76" s="32"/>
      <c r="L76" s="76">
        <v>76</v>
      </c>
      <c r="M76" s="76"/>
      <c r="N76" s="71"/>
      <c r="O76" s="87" t="s">
        <v>1840</v>
      </c>
      <c r="P76" s="90">
        <v>45127.881018518521</v>
      </c>
      <c r="Q76" s="87" t="s">
        <v>1914</v>
      </c>
      <c r="R76" s="87">
        <v>0</v>
      </c>
      <c r="S76" s="87">
        <v>0</v>
      </c>
      <c r="T76" s="87">
        <v>0</v>
      </c>
      <c r="U76" s="87">
        <v>0</v>
      </c>
      <c r="V76" s="87">
        <v>3</v>
      </c>
      <c r="W76" s="93" t="s">
        <v>5886</v>
      </c>
      <c r="X76" s="87"/>
      <c r="Y76" s="87"/>
      <c r="Z76" s="87"/>
      <c r="AA76" s="87"/>
      <c r="AB76" s="87"/>
      <c r="AC76" s="93" t="s">
        <v>11457</v>
      </c>
      <c r="AD76" s="87" t="s">
        <v>11519</v>
      </c>
      <c r="AE76" s="92" t="str">
        <f>HYPERLINK("https://twitter.com/taniazambon_itz/status/1682135459256754177")</f>
        <v>https://twitter.com/taniazambon_itz/status/1682135459256754177</v>
      </c>
      <c r="AF76" s="90">
        <v>45127.881018518521</v>
      </c>
      <c r="AG76" s="99">
        <v>45127</v>
      </c>
      <c r="AH76" s="93" t="s">
        <v>11600</v>
      </c>
      <c r="AI76" s="87"/>
      <c r="AJ76" s="87"/>
      <c r="AK76" s="87"/>
      <c r="AL76" s="87"/>
      <c r="AM76" s="87"/>
      <c r="AN76" s="87"/>
      <c r="AO76" s="87"/>
      <c r="AP76" s="87"/>
      <c r="AQ76" s="87"/>
      <c r="AR76" s="87"/>
      <c r="AS76" s="87"/>
      <c r="AT76" s="87"/>
      <c r="AU76" s="87"/>
      <c r="AV76" s="92" t="str">
        <f>HYPERLINK("https://pbs.twimg.com/profile_images/1668695481570959366/2SoEMXBR_normal.jpg")</f>
        <v>https://pbs.twimg.com/profile_images/1668695481570959366/2SoEMXBR_normal.jpg</v>
      </c>
      <c r="AW76" s="93" t="s">
        <v>18329</v>
      </c>
      <c r="AX76" s="93" t="s">
        <v>22300</v>
      </c>
      <c r="AY76" s="93" t="s">
        <v>22519</v>
      </c>
      <c r="AZ76" s="93" t="s">
        <v>22674</v>
      </c>
      <c r="BA76" s="93" t="s">
        <v>22668</v>
      </c>
      <c r="BB76" s="93" t="s">
        <v>22668</v>
      </c>
      <c r="BC76" s="93" t="s">
        <v>22674</v>
      </c>
      <c r="BD76" s="93" t="s">
        <v>22519</v>
      </c>
      <c r="BE76" s="87"/>
      <c r="BF76" s="87"/>
      <c r="BG76" s="87"/>
      <c r="BH76" s="87"/>
      <c r="BI76" s="87"/>
    </row>
    <row r="77" spans="1:61" x14ac:dyDescent="0.25">
      <c r="A77" s="63" t="s">
        <v>251</v>
      </c>
      <c r="B77" s="63" t="s">
        <v>251</v>
      </c>
      <c r="C77" s="64"/>
      <c r="D77" s="65"/>
      <c r="E77" s="66"/>
      <c r="F77" s="67"/>
      <c r="G77" s="64"/>
      <c r="H77" s="68"/>
      <c r="I77" s="69"/>
      <c r="J77" s="69"/>
      <c r="K77" s="32"/>
      <c r="L77" s="76">
        <v>77</v>
      </c>
      <c r="M77" s="76"/>
      <c r="N77" s="71"/>
      <c r="O77" s="87" t="s">
        <v>1840</v>
      </c>
      <c r="P77" s="90">
        <v>45127.799479166664</v>
      </c>
      <c r="Q77" s="87" t="s">
        <v>1915</v>
      </c>
      <c r="R77" s="87">
        <v>0</v>
      </c>
      <c r="S77" s="87">
        <v>0</v>
      </c>
      <c r="T77" s="87">
        <v>0</v>
      </c>
      <c r="U77" s="87">
        <v>0</v>
      </c>
      <c r="V77" s="87">
        <v>30</v>
      </c>
      <c r="W77" s="93" t="s">
        <v>5887</v>
      </c>
      <c r="X77" s="87"/>
      <c r="Y77" s="87"/>
      <c r="Z77" s="87"/>
      <c r="AA77" s="87"/>
      <c r="AB77" s="87"/>
      <c r="AC77" s="93" t="s">
        <v>11457</v>
      </c>
      <c r="AD77" s="87" t="s">
        <v>11519</v>
      </c>
      <c r="AE77" s="92" t="str">
        <f>HYPERLINK("https://twitter.com/taniazambon_itz/status/1682105911291047936")</f>
        <v>https://twitter.com/taniazambon_itz/status/1682105911291047936</v>
      </c>
      <c r="AF77" s="90">
        <v>45127.799479166664</v>
      </c>
      <c r="AG77" s="99">
        <v>45127</v>
      </c>
      <c r="AH77" s="93" t="s">
        <v>11601</v>
      </c>
      <c r="AI77" s="87"/>
      <c r="AJ77" s="87"/>
      <c r="AK77" s="87"/>
      <c r="AL77" s="87"/>
      <c r="AM77" s="87"/>
      <c r="AN77" s="87"/>
      <c r="AO77" s="87"/>
      <c r="AP77" s="87"/>
      <c r="AQ77" s="87"/>
      <c r="AR77" s="87"/>
      <c r="AS77" s="87"/>
      <c r="AT77" s="87"/>
      <c r="AU77" s="87"/>
      <c r="AV77" s="92" t="str">
        <f>HYPERLINK("https://pbs.twimg.com/profile_images/1668695481570959366/2SoEMXBR_normal.jpg")</f>
        <v>https://pbs.twimg.com/profile_images/1668695481570959366/2SoEMXBR_normal.jpg</v>
      </c>
      <c r="AW77" s="93" t="s">
        <v>18330</v>
      </c>
      <c r="AX77" s="93" t="s">
        <v>22301</v>
      </c>
      <c r="AY77" s="93" t="s">
        <v>22519</v>
      </c>
      <c r="AZ77" s="93" t="s">
        <v>22675</v>
      </c>
      <c r="BA77" s="93" t="s">
        <v>22668</v>
      </c>
      <c r="BB77" s="93" t="s">
        <v>22668</v>
      </c>
      <c r="BC77" s="93" t="s">
        <v>22675</v>
      </c>
      <c r="BD77" s="93" t="s">
        <v>22519</v>
      </c>
      <c r="BE77" s="87"/>
      <c r="BF77" s="87"/>
      <c r="BG77" s="87"/>
      <c r="BH77" s="87"/>
      <c r="BI77" s="87"/>
    </row>
    <row r="78" spans="1:61" x14ac:dyDescent="0.25">
      <c r="A78" s="63" t="s">
        <v>251</v>
      </c>
      <c r="B78" s="63" t="s">
        <v>251</v>
      </c>
      <c r="C78" s="64"/>
      <c r="D78" s="65"/>
      <c r="E78" s="66"/>
      <c r="F78" s="67"/>
      <c r="G78" s="64"/>
      <c r="H78" s="68"/>
      <c r="I78" s="69"/>
      <c r="J78" s="69"/>
      <c r="K78" s="32"/>
      <c r="L78" s="76">
        <v>78</v>
      </c>
      <c r="M78" s="76"/>
      <c r="N78" s="71"/>
      <c r="O78" s="87" t="s">
        <v>1840</v>
      </c>
      <c r="P78" s="90">
        <v>45127.651412037034</v>
      </c>
      <c r="Q78" s="87" t="s">
        <v>1916</v>
      </c>
      <c r="R78" s="87">
        <v>0</v>
      </c>
      <c r="S78" s="87">
        <v>0</v>
      </c>
      <c r="T78" s="87">
        <v>0</v>
      </c>
      <c r="U78" s="87">
        <v>0</v>
      </c>
      <c r="V78" s="87">
        <v>20</v>
      </c>
      <c r="W78" s="93" t="s">
        <v>5888</v>
      </c>
      <c r="X78" s="87"/>
      <c r="Y78" s="87"/>
      <c r="Z78" s="87"/>
      <c r="AA78" s="87"/>
      <c r="AB78" s="87"/>
      <c r="AC78" s="93" t="s">
        <v>11457</v>
      </c>
      <c r="AD78" s="87" t="s">
        <v>11519</v>
      </c>
      <c r="AE78" s="92" t="str">
        <f>HYPERLINK("https://twitter.com/taniazambon_itz/status/1682052250603069440")</f>
        <v>https://twitter.com/taniazambon_itz/status/1682052250603069440</v>
      </c>
      <c r="AF78" s="90">
        <v>45127.651412037034</v>
      </c>
      <c r="AG78" s="99">
        <v>45127</v>
      </c>
      <c r="AH78" s="93" t="s">
        <v>11602</v>
      </c>
      <c r="AI78" s="87"/>
      <c r="AJ78" s="87"/>
      <c r="AK78" s="87"/>
      <c r="AL78" s="87"/>
      <c r="AM78" s="87"/>
      <c r="AN78" s="87"/>
      <c r="AO78" s="87"/>
      <c r="AP78" s="87"/>
      <c r="AQ78" s="87"/>
      <c r="AR78" s="87"/>
      <c r="AS78" s="87"/>
      <c r="AT78" s="87"/>
      <c r="AU78" s="87"/>
      <c r="AV78" s="92" t="str">
        <f>HYPERLINK("https://pbs.twimg.com/profile_images/1668695481570959366/2SoEMXBR_normal.jpg")</f>
        <v>https://pbs.twimg.com/profile_images/1668695481570959366/2SoEMXBR_normal.jpg</v>
      </c>
      <c r="AW78" s="93" t="s">
        <v>18331</v>
      </c>
      <c r="AX78" s="93" t="s">
        <v>22302</v>
      </c>
      <c r="AY78" s="93" t="s">
        <v>22519</v>
      </c>
      <c r="AZ78" s="93" t="s">
        <v>22676</v>
      </c>
      <c r="BA78" s="93" t="s">
        <v>22668</v>
      </c>
      <c r="BB78" s="93" t="s">
        <v>22668</v>
      </c>
      <c r="BC78" s="93" t="s">
        <v>22676</v>
      </c>
      <c r="BD78" s="93" t="s">
        <v>22519</v>
      </c>
      <c r="BE78" s="87"/>
      <c r="BF78" s="87"/>
      <c r="BG78" s="87"/>
      <c r="BH78" s="87"/>
      <c r="BI78" s="87"/>
    </row>
    <row r="79" spans="1:61" x14ac:dyDescent="0.25">
      <c r="A79" s="63" t="s">
        <v>251</v>
      </c>
      <c r="B79" s="63" t="s">
        <v>251</v>
      </c>
      <c r="C79" s="64"/>
      <c r="D79" s="65"/>
      <c r="E79" s="66"/>
      <c r="F79" s="67"/>
      <c r="G79" s="64"/>
      <c r="H79" s="68"/>
      <c r="I79" s="69"/>
      <c r="J79" s="69"/>
      <c r="K79" s="32"/>
      <c r="L79" s="76">
        <v>79</v>
      </c>
      <c r="M79" s="76"/>
      <c r="N79" s="71"/>
      <c r="O79" s="87" t="s">
        <v>1840</v>
      </c>
      <c r="P79" s="90">
        <v>45158.037175925929</v>
      </c>
      <c r="Q79" s="87" t="s">
        <v>1917</v>
      </c>
      <c r="R79" s="87">
        <v>0</v>
      </c>
      <c r="S79" s="87">
        <v>0</v>
      </c>
      <c r="T79" s="87">
        <v>0</v>
      </c>
      <c r="U79" s="87">
        <v>0</v>
      </c>
      <c r="V79" s="87">
        <v>5</v>
      </c>
      <c r="W79" s="93" t="s">
        <v>5889</v>
      </c>
      <c r="X79" s="87"/>
      <c r="Y79" s="87"/>
      <c r="Z79" s="87"/>
      <c r="AA79" s="87"/>
      <c r="AB79" s="87"/>
      <c r="AC79" s="93" t="s">
        <v>11457</v>
      </c>
      <c r="AD79" s="87" t="s">
        <v>11519</v>
      </c>
      <c r="AE79" s="92" t="str">
        <f>HYPERLINK("https://twitter.com/taniazambon_itz/status/1693063684359098435")</f>
        <v>https://twitter.com/taniazambon_itz/status/1693063684359098435</v>
      </c>
      <c r="AF79" s="90">
        <v>45158.037175925929</v>
      </c>
      <c r="AG79" s="99">
        <v>45158</v>
      </c>
      <c r="AH79" s="93" t="s">
        <v>11603</v>
      </c>
      <c r="AI79" s="87"/>
      <c r="AJ79" s="87"/>
      <c r="AK79" s="87"/>
      <c r="AL79" s="87"/>
      <c r="AM79" s="87"/>
      <c r="AN79" s="87"/>
      <c r="AO79" s="87"/>
      <c r="AP79" s="87"/>
      <c r="AQ79" s="87"/>
      <c r="AR79" s="87"/>
      <c r="AS79" s="87"/>
      <c r="AT79" s="87"/>
      <c r="AU79" s="87"/>
      <c r="AV79" s="92" t="str">
        <f>HYPERLINK("https://pbs.twimg.com/profile_images/1668695481570959366/2SoEMXBR_normal.jpg")</f>
        <v>https://pbs.twimg.com/profile_images/1668695481570959366/2SoEMXBR_normal.jpg</v>
      </c>
      <c r="AW79" s="93" t="s">
        <v>18332</v>
      </c>
      <c r="AX79" s="93" t="s">
        <v>22303</v>
      </c>
      <c r="AY79" s="93" t="s">
        <v>22519</v>
      </c>
      <c r="AZ79" s="93" t="s">
        <v>22677</v>
      </c>
      <c r="BA79" s="93" t="s">
        <v>22668</v>
      </c>
      <c r="BB79" s="93" t="s">
        <v>22668</v>
      </c>
      <c r="BC79" s="93" t="s">
        <v>22677</v>
      </c>
      <c r="BD79" s="93" t="s">
        <v>22519</v>
      </c>
      <c r="BE79" s="87"/>
      <c r="BF79" s="87"/>
      <c r="BG79" s="87"/>
      <c r="BH79" s="87"/>
      <c r="BI79" s="87"/>
    </row>
    <row r="80" spans="1:61" x14ac:dyDescent="0.25">
      <c r="A80" s="63" t="s">
        <v>251</v>
      </c>
      <c r="B80" s="63" t="s">
        <v>251</v>
      </c>
      <c r="C80" s="64"/>
      <c r="D80" s="65"/>
      <c r="E80" s="66"/>
      <c r="F80" s="67"/>
      <c r="G80" s="64"/>
      <c r="H80" s="68"/>
      <c r="I80" s="69"/>
      <c r="J80" s="69"/>
      <c r="K80" s="32"/>
      <c r="L80" s="76">
        <v>80</v>
      </c>
      <c r="M80" s="76"/>
      <c r="N80" s="71"/>
      <c r="O80" s="87" t="s">
        <v>1840</v>
      </c>
      <c r="P80" s="90">
        <v>45132.585833333331</v>
      </c>
      <c r="Q80" s="87" t="s">
        <v>1918</v>
      </c>
      <c r="R80" s="87">
        <v>0</v>
      </c>
      <c r="S80" s="87">
        <v>0</v>
      </c>
      <c r="T80" s="87">
        <v>0</v>
      </c>
      <c r="U80" s="87">
        <v>0</v>
      </c>
      <c r="V80" s="87">
        <v>9</v>
      </c>
      <c r="W80" s="93" t="s">
        <v>5890</v>
      </c>
      <c r="X80" s="87"/>
      <c r="Y80" s="87"/>
      <c r="Z80" s="87"/>
      <c r="AA80" s="87"/>
      <c r="AB80" s="87"/>
      <c r="AC80" s="93" t="s">
        <v>11457</v>
      </c>
      <c r="AD80" s="87" t="s">
        <v>11519</v>
      </c>
      <c r="AE80" s="92" t="str">
        <f>HYPERLINK("https://twitter.com/taniazambon_itz/status/1683840427357786114")</f>
        <v>https://twitter.com/taniazambon_itz/status/1683840427357786114</v>
      </c>
      <c r="AF80" s="90">
        <v>45132.585833333331</v>
      </c>
      <c r="AG80" s="99">
        <v>45132</v>
      </c>
      <c r="AH80" s="93" t="s">
        <v>11604</v>
      </c>
      <c r="AI80" s="87"/>
      <c r="AJ80" s="87"/>
      <c r="AK80" s="87"/>
      <c r="AL80" s="87"/>
      <c r="AM80" s="87"/>
      <c r="AN80" s="87"/>
      <c r="AO80" s="87"/>
      <c r="AP80" s="87"/>
      <c r="AQ80" s="87"/>
      <c r="AR80" s="87"/>
      <c r="AS80" s="87"/>
      <c r="AT80" s="87"/>
      <c r="AU80" s="87"/>
      <c r="AV80" s="92" t="str">
        <f>HYPERLINK("https://pbs.twimg.com/profile_images/1668695481570959366/2SoEMXBR_normal.jpg")</f>
        <v>https://pbs.twimg.com/profile_images/1668695481570959366/2SoEMXBR_normal.jpg</v>
      </c>
      <c r="AW80" s="93" t="s">
        <v>18333</v>
      </c>
      <c r="AX80" s="93" t="s">
        <v>22304</v>
      </c>
      <c r="AY80" s="93" t="s">
        <v>22519</v>
      </c>
      <c r="AZ80" s="93" t="s">
        <v>22678</v>
      </c>
      <c r="BA80" s="93" t="s">
        <v>22668</v>
      </c>
      <c r="BB80" s="93" t="s">
        <v>22668</v>
      </c>
      <c r="BC80" s="93" t="s">
        <v>22678</v>
      </c>
      <c r="BD80" s="93" t="s">
        <v>22519</v>
      </c>
      <c r="BE80" s="87"/>
      <c r="BF80" s="87"/>
      <c r="BG80" s="87"/>
      <c r="BH80" s="87"/>
      <c r="BI80" s="87"/>
    </row>
    <row r="81" spans="1:61" x14ac:dyDescent="0.25">
      <c r="A81" s="63" t="s">
        <v>251</v>
      </c>
      <c r="B81" s="63" t="s">
        <v>251</v>
      </c>
      <c r="C81" s="64"/>
      <c r="D81" s="65"/>
      <c r="E81" s="66"/>
      <c r="F81" s="67"/>
      <c r="G81" s="64"/>
      <c r="H81" s="68"/>
      <c r="I81" s="69"/>
      <c r="J81" s="69"/>
      <c r="K81" s="32"/>
      <c r="L81" s="76">
        <v>81</v>
      </c>
      <c r="M81" s="76"/>
      <c r="N81" s="71"/>
      <c r="O81" s="87" t="s">
        <v>1840</v>
      </c>
      <c r="P81" s="90">
        <v>45131.833958333336</v>
      </c>
      <c r="Q81" s="87" t="s">
        <v>1919</v>
      </c>
      <c r="R81" s="87">
        <v>0</v>
      </c>
      <c r="S81" s="87">
        <v>0</v>
      </c>
      <c r="T81" s="87">
        <v>0</v>
      </c>
      <c r="U81" s="87">
        <v>0</v>
      </c>
      <c r="V81" s="87">
        <v>3</v>
      </c>
      <c r="W81" s="93" t="s">
        <v>5882</v>
      </c>
      <c r="X81" s="87"/>
      <c r="Y81" s="87"/>
      <c r="Z81" s="87"/>
      <c r="AA81" s="87"/>
      <c r="AB81" s="87"/>
      <c r="AC81" s="93" t="s">
        <v>11457</v>
      </c>
      <c r="AD81" s="87" t="s">
        <v>11519</v>
      </c>
      <c r="AE81" s="92" t="str">
        <f>HYPERLINK("https://twitter.com/taniazambon_itz/status/1683567955580207106")</f>
        <v>https://twitter.com/taniazambon_itz/status/1683567955580207106</v>
      </c>
      <c r="AF81" s="90">
        <v>45131.833958333336</v>
      </c>
      <c r="AG81" s="99">
        <v>45131</v>
      </c>
      <c r="AH81" s="93" t="s">
        <v>11605</v>
      </c>
      <c r="AI81" s="87"/>
      <c r="AJ81" s="87"/>
      <c r="AK81" s="87"/>
      <c r="AL81" s="87"/>
      <c r="AM81" s="87"/>
      <c r="AN81" s="87"/>
      <c r="AO81" s="87"/>
      <c r="AP81" s="87"/>
      <c r="AQ81" s="87"/>
      <c r="AR81" s="87"/>
      <c r="AS81" s="87"/>
      <c r="AT81" s="87"/>
      <c r="AU81" s="87"/>
      <c r="AV81" s="92" t="str">
        <f>HYPERLINK("https://pbs.twimg.com/profile_images/1668695481570959366/2SoEMXBR_normal.jpg")</f>
        <v>https://pbs.twimg.com/profile_images/1668695481570959366/2SoEMXBR_normal.jpg</v>
      </c>
      <c r="AW81" s="93" t="s">
        <v>18334</v>
      </c>
      <c r="AX81" s="93" t="s">
        <v>22305</v>
      </c>
      <c r="AY81" s="93" t="s">
        <v>22519</v>
      </c>
      <c r="AZ81" s="93" t="s">
        <v>22679</v>
      </c>
      <c r="BA81" s="93" t="s">
        <v>22668</v>
      </c>
      <c r="BB81" s="93" t="s">
        <v>22668</v>
      </c>
      <c r="BC81" s="93" t="s">
        <v>22679</v>
      </c>
      <c r="BD81" s="93" t="s">
        <v>22519</v>
      </c>
      <c r="BE81" s="87"/>
      <c r="BF81" s="87"/>
      <c r="BG81" s="87"/>
      <c r="BH81" s="87"/>
      <c r="BI81" s="87"/>
    </row>
    <row r="82" spans="1:61" x14ac:dyDescent="0.25">
      <c r="A82" s="63" t="s">
        <v>251</v>
      </c>
      <c r="B82" s="63" t="s">
        <v>251</v>
      </c>
      <c r="C82" s="64"/>
      <c r="D82" s="65"/>
      <c r="E82" s="66"/>
      <c r="F82" s="67"/>
      <c r="G82" s="64"/>
      <c r="H82" s="68"/>
      <c r="I82" s="69"/>
      <c r="J82" s="69"/>
      <c r="K82" s="32"/>
      <c r="L82" s="76">
        <v>82</v>
      </c>
      <c r="M82" s="76"/>
      <c r="N82" s="71"/>
      <c r="O82" s="87" t="s">
        <v>1840</v>
      </c>
      <c r="P82" s="90">
        <v>45116.720555555556</v>
      </c>
      <c r="Q82" s="87" t="s">
        <v>1920</v>
      </c>
      <c r="R82" s="87">
        <v>0</v>
      </c>
      <c r="S82" s="87">
        <v>0</v>
      </c>
      <c r="T82" s="87">
        <v>0</v>
      </c>
      <c r="U82" s="87">
        <v>0</v>
      </c>
      <c r="V82" s="87">
        <v>3</v>
      </c>
      <c r="W82" s="93" t="s">
        <v>5891</v>
      </c>
      <c r="X82" s="87"/>
      <c r="Y82" s="87"/>
      <c r="Z82" s="87"/>
      <c r="AA82" s="87"/>
      <c r="AB82" s="87"/>
      <c r="AC82" s="93" t="s">
        <v>11457</v>
      </c>
      <c r="AD82" s="87" t="s">
        <v>11519</v>
      </c>
      <c r="AE82" s="92" t="str">
        <f>HYPERLINK("https://twitter.com/taniazambon_itz/status/1678091044011888648")</f>
        <v>https://twitter.com/taniazambon_itz/status/1678091044011888648</v>
      </c>
      <c r="AF82" s="90">
        <v>45116.720555555556</v>
      </c>
      <c r="AG82" s="99">
        <v>45116</v>
      </c>
      <c r="AH82" s="93" t="s">
        <v>11606</v>
      </c>
      <c r="AI82" s="87"/>
      <c r="AJ82" s="87"/>
      <c r="AK82" s="87"/>
      <c r="AL82" s="87"/>
      <c r="AM82" s="87"/>
      <c r="AN82" s="87"/>
      <c r="AO82" s="87"/>
      <c r="AP82" s="87"/>
      <c r="AQ82" s="87"/>
      <c r="AR82" s="87"/>
      <c r="AS82" s="87"/>
      <c r="AT82" s="87"/>
      <c r="AU82" s="87"/>
      <c r="AV82" s="92" t="str">
        <f>HYPERLINK("https://pbs.twimg.com/profile_images/1668695481570959366/2SoEMXBR_normal.jpg")</f>
        <v>https://pbs.twimg.com/profile_images/1668695481570959366/2SoEMXBR_normal.jpg</v>
      </c>
      <c r="AW82" s="93" t="s">
        <v>18335</v>
      </c>
      <c r="AX82" s="93" t="s">
        <v>22306</v>
      </c>
      <c r="AY82" s="93" t="s">
        <v>22519</v>
      </c>
      <c r="AZ82" s="93" t="s">
        <v>22680</v>
      </c>
      <c r="BA82" s="93" t="s">
        <v>22668</v>
      </c>
      <c r="BB82" s="93" t="s">
        <v>22668</v>
      </c>
      <c r="BC82" s="93" t="s">
        <v>22680</v>
      </c>
      <c r="BD82" s="93" t="s">
        <v>22519</v>
      </c>
      <c r="BE82" s="87"/>
      <c r="BF82" s="87"/>
      <c r="BG82" s="87"/>
      <c r="BH82" s="87"/>
      <c r="BI82" s="87"/>
    </row>
    <row r="83" spans="1:61" x14ac:dyDescent="0.25">
      <c r="A83" s="63" t="s">
        <v>251</v>
      </c>
      <c r="B83" s="63" t="s">
        <v>251</v>
      </c>
      <c r="C83" s="64"/>
      <c r="D83" s="65"/>
      <c r="E83" s="66"/>
      <c r="F83" s="67"/>
      <c r="G83" s="64"/>
      <c r="H83" s="68"/>
      <c r="I83" s="69"/>
      <c r="J83" s="69"/>
      <c r="K83" s="32"/>
      <c r="L83" s="76">
        <v>83</v>
      </c>
      <c r="M83" s="76"/>
      <c r="N83" s="71"/>
      <c r="O83" s="87" t="s">
        <v>1840</v>
      </c>
      <c r="P83" s="90">
        <v>45115.711909722224</v>
      </c>
      <c r="Q83" s="87" t="s">
        <v>1921</v>
      </c>
      <c r="R83" s="87">
        <v>0</v>
      </c>
      <c r="S83" s="87">
        <v>0</v>
      </c>
      <c r="T83" s="87">
        <v>0</v>
      </c>
      <c r="U83" s="87">
        <v>0</v>
      </c>
      <c r="V83" s="87">
        <v>2</v>
      </c>
      <c r="W83" s="93" t="s">
        <v>5892</v>
      </c>
      <c r="X83" s="87"/>
      <c r="Y83" s="87"/>
      <c r="Z83" s="87"/>
      <c r="AA83" s="87"/>
      <c r="AB83" s="87"/>
      <c r="AC83" s="93" t="s">
        <v>11457</v>
      </c>
      <c r="AD83" s="87" t="s">
        <v>11519</v>
      </c>
      <c r="AE83" s="92" t="str">
        <f>HYPERLINK("https://twitter.com/taniazambon_itz/status/1677725521344331777")</f>
        <v>https://twitter.com/taniazambon_itz/status/1677725521344331777</v>
      </c>
      <c r="AF83" s="90">
        <v>45115.711909722224</v>
      </c>
      <c r="AG83" s="99">
        <v>45115</v>
      </c>
      <c r="AH83" s="93" t="s">
        <v>11607</v>
      </c>
      <c r="AI83" s="87"/>
      <c r="AJ83" s="87"/>
      <c r="AK83" s="87"/>
      <c r="AL83" s="87"/>
      <c r="AM83" s="87"/>
      <c r="AN83" s="87"/>
      <c r="AO83" s="87"/>
      <c r="AP83" s="87"/>
      <c r="AQ83" s="87"/>
      <c r="AR83" s="87"/>
      <c r="AS83" s="87"/>
      <c r="AT83" s="87"/>
      <c r="AU83" s="87"/>
      <c r="AV83" s="92" t="str">
        <f>HYPERLINK("https://pbs.twimg.com/profile_images/1668695481570959366/2SoEMXBR_normal.jpg")</f>
        <v>https://pbs.twimg.com/profile_images/1668695481570959366/2SoEMXBR_normal.jpg</v>
      </c>
      <c r="AW83" s="93" t="s">
        <v>18336</v>
      </c>
      <c r="AX83" s="93" t="s">
        <v>22307</v>
      </c>
      <c r="AY83" s="93" t="s">
        <v>22519</v>
      </c>
      <c r="AZ83" s="93" t="s">
        <v>22307</v>
      </c>
      <c r="BA83" s="93" t="s">
        <v>22668</v>
      </c>
      <c r="BB83" s="93" t="s">
        <v>22668</v>
      </c>
      <c r="BC83" s="93" t="s">
        <v>22307</v>
      </c>
      <c r="BD83" s="93" t="s">
        <v>22519</v>
      </c>
      <c r="BE83" s="87"/>
      <c r="BF83" s="87"/>
      <c r="BG83" s="87"/>
      <c r="BH83" s="87"/>
      <c r="BI83" s="87"/>
    </row>
    <row r="84" spans="1:61" x14ac:dyDescent="0.25">
      <c r="A84" s="63" t="s">
        <v>252</v>
      </c>
      <c r="B84" s="63" t="s">
        <v>252</v>
      </c>
      <c r="C84" s="64"/>
      <c r="D84" s="65"/>
      <c r="E84" s="66"/>
      <c r="F84" s="67"/>
      <c r="G84" s="64"/>
      <c r="H84" s="68"/>
      <c r="I84" s="69"/>
      <c r="J84" s="69"/>
      <c r="K84" s="32"/>
      <c r="L84" s="76">
        <v>84</v>
      </c>
      <c r="M84" s="76"/>
      <c r="N84" s="71"/>
      <c r="O84" s="87" t="s">
        <v>179</v>
      </c>
      <c r="P84" s="90">
        <v>45165.598090277781</v>
      </c>
      <c r="Q84" s="87" t="s">
        <v>1922</v>
      </c>
      <c r="R84" s="87">
        <v>0</v>
      </c>
      <c r="S84" s="87">
        <v>5</v>
      </c>
      <c r="T84" s="87">
        <v>3</v>
      </c>
      <c r="U84" s="87">
        <v>0</v>
      </c>
      <c r="V84" s="87">
        <v>89</v>
      </c>
      <c r="W84" s="93" t="s">
        <v>5893</v>
      </c>
      <c r="X84" s="87"/>
      <c r="Y84" s="87"/>
      <c r="Z84" s="87"/>
      <c r="AA84" s="87"/>
      <c r="AB84" s="87"/>
      <c r="AC84" s="93" t="s">
        <v>11459</v>
      </c>
      <c r="AD84" s="87" t="s">
        <v>11519</v>
      </c>
      <c r="AE84" s="92" t="str">
        <f>HYPERLINK("https://twitter.com/joaozinhodobeck/status/1695803668564475925")</f>
        <v>https://twitter.com/joaozinhodobeck/status/1695803668564475925</v>
      </c>
      <c r="AF84" s="90">
        <v>45165.598090277781</v>
      </c>
      <c r="AG84" s="99">
        <v>45165</v>
      </c>
      <c r="AH84" s="93" t="s">
        <v>11608</v>
      </c>
      <c r="AI84" s="87"/>
      <c r="AJ84" s="87"/>
      <c r="AK84" s="87"/>
      <c r="AL84" s="87"/>
      <c r="AM84" s="87"/>
      <c r="AN84" s="87"/>
      <c r="AO84" s="87"/>
      <c r="AP84" s="87"/>
      <c r="AQ84" s="87"/>
      <c r="AR84" s="87"/>
      <c r="AS84" s="87"/>
      <c r="AT84" s="87"/>
      <c r="AU84" s="87"/>
      <c r="AV84" s="92" t="str">
        <f>HYPERLINK("https://pbs.twimg.com/profile_images/1698469176434737152/sNabsA4g_normal.jpg")</f>
        <v>https://pbs.twimg.com/profile_images/1698469176434737152/sNabsA4g_normal.jpg</v>
      </c>
      <c r="AW84" s="93" t="s">
        <v>18337</v>
      </c>
      <c r="AX84" s="93" t="s">
        <v>18337</v>
      </c>
      <c r="AY84" s="87"/>
      <c r="AZ84" s="93" t="s">
        <v>22668</v>
      </c>
      <c r="BA84" s="93" t="s">
        <v>22668</v>
      </c>
      <c r="BB84" s="93" t="s">
        <v>22668</v>
      </c>
      <c r="BC84" s="93" t="s">
        <v>18337</v>
      </c>
      <c r="BD84" s="93" t="s">
        <v>22804</v>
      </c>
      <c r="BE84" s="87"/>
      <c r="BF84" s="87"/>
      <c r="BG84" s="87"/>
      <c r="BH84" s="87"/>
      <c r="BI84" s="87"/>
    </row>
    <row r="85" spans="1:61" x14ac:dyDescent="0.25">
      <c r="A85" s="63" t="s">
        <v>253</v>
      </c>
      <c r="B85" s="63" t="s">
        <v>253</v>
      </c>
      <c r="C85" s="64"/>
      <c r="D85" s="65"/>
      <c r="E85" s="66"/>
      <c r="F85" s="67"/>
      <c r="G85" s="64"/>
      <c r="H85" s="68"/>
      <c r="I85" s="69"/>
      <c r="J85" s="69"/>
      <c r="K85" s="32"/>
      <c r="L85" s="76">
        <v>85</v>
      </c>
      <c r="M85" s="76"/>
      <c r="N85" s="71"/>
      <c r="O85" s="87" t="s">
        <v>179</v>
      </c>
      <c r="P85" s="90">
        <v>45124.431296296294</v>
      </c>
      <c r="Q85" s="87" t="s">
        <v>1923</v>
      </c>
      <c r="R85" s="87">
        <v>0</v>
      </c>
      <c r="S85" s="87">
        <v>0</v>
      </c>
      <c r="T85" s="87">
        <v>0</v>
      </c>
      <c r="U85" s="87">
        <v>0</v>
      </c>
      <c r="V85" s="87">
        <v>57</v>
      </c>
      <c r="W85" s="93" t="s">
        <v>5894</v>
      </c>
      <c r="X85" s="87"/>
      <c r="Y85" s="87"/>
      <c r="Z85" s="87"/>
      <c r="AA85" s="87" t="s">
        <v>8679</v>
      </c>
      <c r="AB85" s="87" t="s">
        <v>11447</v>
      </c>
      <c r="AC85" s="93" t="s">
        <v>11459</v>
      </c>
      <c r="AD85" s="87" t="s">
        <v>11519</v>
      </c>
      <c r="AE85" s="92" t="str">
        <f>HYPERLINK("https://twitter.com/comatletas_l/status/1680885322945634305")</f>
        <v>https://twitter.com/comatletas_l/status/1680885322945634305</v>
      </c>
      <c r="AF85" s="90">
        <v>45124.431296296294</v>
      </c>
      <c r="AG85" s="99">
        <v>45124</v>
      </c>
      <c r="AH85" s="93" t="s">
        <v>11609</v>
      </c>
      <c r="AI85" s="87" t="b">
        <v>0</v>
      </c>
      <c r="AJ85" s="87"/>
      <c r="AK85" s="87"/>
      <c r="AL85" s="87"/>
      <c r="AM85" s="87"/>
      <c r="AN85" s="87"/>
      <c r="AO85" s="87"/>
      <c r="AP85" s="87"/>
      <c r="AQ85" s="87" t="s">
        <v>15492</v>
      </c>
      <c r="AR85" s="87">
        <v>28400</v>
      </c>
      <c r="AS85" s="87"/>
      <c r="AT85" s="87"/>
      <c r="AU85" s="87"/>
      <c r="AV85" s="92" t="str">
        <f>HYPERLINK("https://pbs.twimg.com/ext_tw_video_thumb/1680885255916355584/pu/img/nAO_xKd6w_jKssA7.jpg")</f>
        <v>https://pbs.twimg.com/ext_tw_video_thumb/1680885255916355584/pu/img/nAO_xKd6w_jKssA7.jpg</v>
      </c>
      <c r="AW85" s="93" t="s">
        <v>18338</v>
      </c>
      <c r="AX85" s="93" t="s">
        <v>18338</v>
      </c>
      <c r="AY85" s="87"/>
      <c r="AZ85" s="93" t="s">
        <v>22668</v>
      </c>
      <c r="BA85" s="93" t="s">
        <v>22668</v>
      </c>
      <c r="BB85" s="93" t="s">
        <v>22668</v>
      </c>
      <c r="BC85" s="93" t="s">
        <v>18338</v>
      </c>
      <c r="BD85" s="93" t="s">
        <v>22805</v>
      </c>
      <c r="BE85" s="87"/>
      <c r="BF85" s="87"/>
      <c r="BG85" s="87"/>
      <c r="BH85" s="87"/>
      <c r="BI85" s="87"/>
    </row>
    <row r="86" spans="1:61" x14ac:dyDescent="0.25">
      <c r="A86" s="63" t="s">
        <v>253</v>
      </c>
      <c r="B86" s="63" t="s">
        <v>253</v>
      </c>
      <c r="C86" s="64"/>
      <c r="D86" s="65"/>
      <c r="E86" s="66"/>
      <c r="F86" s="67"/>
      <c r="G86" s="64"/>
      <c r="H86" s="68"/>
      <c r="I86" s="69"/>
      <c r="J86" s="69"/>
      <c r="K86" s="32"/>
      <c r="L86" s="76">
        <v>86</v>
      </c>
      <c r="M86" s="76"/>
      <c r="N86" s="71"/>
      <c r="O86" s="87" t="s">
        <v>179</v>
      </c>
      <c r="P86" s="90">
        <v>45123.495185185187</v>
      </c>
      <c r="Q86" s="87" t="s">
        <v>1924</v>
      </c>
      <c r="R86" s="87">
        <v>0</v>
      </c>
      <c r="S86" s="87">
        <v>0</v>
      </c>
      <c r="T86" s="87">
        <v>0</v>
      </c>
      <c r="U86" s="87">
        <v>0</v>
      </c>
      <c r="V86" s="87">
        <v>67</v>
      </c>
      <c r="W86" s="93" t="s">
        <v>5894</v>
      </c>
      <c r="X86" s="87"/>
      <c r="Y86" s="87"/>
      <c r="Z86" s="87"/>
      <c r="AA86" s="87" t="s">
        <v>8680</v>
      </c>
      <c r="AB86" s="87" t="s">
        <v>11447</v>
      </c>
      <c r="AC86" s="93" t="s">
        <v>11459</v>
      </c>
      <c r="AD86" s="87" t="s">
        <v>11519</v>
      </c>
      <c r="AE86" s="92" t="str">
        <f>HYPERLINK("https://twitter.com/comatletas_l/status/1680546087264821249")</f>
        <v>https://twitter.com/comatletas_l/status/1680546087264821249</v>
      </c>
      <c r="AF86" s="90">
        <v>45123.495185185187</v>
      </c>
      <c r="AG86" s="99">
        <v>45123</v>
      </c>
      <c r="AH86" s="93" t="s">
        <v>11610</v>
      </c>
      <c r="AI86" s="87" t="b">
        <v>0</v>
      </c>
      <c r="AJ86" s="87"/>
      <c r="AK86" s="87"/>
      <c r="AL86" s="87"/>
      <c r="AM86" s="87"/>
      <c r="AN86" s="87"/>
      <c r="AO86" s="87"/>
      <c r="AP86" s="87"/>
      <c r="AQ86" s="87" t="s">
        <v>15493</v>
      </c>
      <c r="AR86" s="87">
        <v>56440</v>
      </c>
      <c r="AS86" s="87"/>
      <c r="AT86" s="87"/>
      <c r="AU86" s="87"/>
      <c r="AV86" s="92" t="str">
        <f>HYPERLINK("https://pbs.twimg.com/ext_tw_video_thumb/1680546030620688385/pu/img/qlpaVr06Xb7oC4_Y.jpg")</f>
        <v>https://pbs.twimg.com/ext_tw_video_thumb/1680546030620688385/pu/img/qlpaVr06Xb7oC4_Y.jpg</v>
      </c>
      <c r="AW86" s="93" t="s">
        <v>18339</v>
      </c>
      <c r="AX86" s="93" t="s">
        <v>18339</v>
      </c>
      <c r="AY86" s="87"/>
      <c r="AZ86" s="93" t="s">
        <v>22668</v>
      </c>
      <c r="BA86" s="93" t="s">
        <v>22668</v>
      </c>
      <c r="BB86" s="93" t="s">
        <v>22668</v>
      </c>
      <c r="BC86" s="93" t="s">
        <v>18339</v>
      </c>
      <c r="BD86" s="93" t="s">
        <v>22805</v>
      </c>
      <c r="BE86" s="87"/>
      <c r="BF86" s="87"/>
      <c r="BG86" s="87"/>
      <c r="BH86" s="87"/>
      <c r="BI86" s="87"/>
    </row>
    <row r="87" spans="1:61" x14ac:dyDescent="0.25">
      <c r="A87" s="63" t="s">
        <v>253</v>
      </c>
      <c r="B87" s="63" t="s">
        <v>253</v>
      </c>
      <c r="C87" s="64"/>
      <c r="D87" s="65"/>
      <c r="E87" s="66"/>
      <c r="F87" s="67"/>
      <c r="G87" s="64"/>
      <c r="H87" s="68"/>
      <c r="I87" s="69"/>
      <c r="J87" s="69"/>
      <c r="K87" s="32"/>
      <c r="L87" s="76">
        <v>87</v>
      </c>
      <c r="M87" s="76"/>
      <c r="N87" s="71"/>
      <c r="O87" s="87" t="s">
        <v>179</v>
      </c>
      <c r="P87" s="90">
        <v>45122.485902777778</v>
      </c>
      <c r="Q87" s="87" t="s">
        <v>1925</v>
      </c>
      <c r="R87" s="87">
        <v>0</v>
      </c>
      <c r="S87" s="87">
        <v>0</v>
      </c>
      <c r="T87" s="87">
        <v>0</v>
      </c>
      <c r="U87" s="87">
        <v>0</v>
      </c>
      <c r="V87" s="87">
        <v>66</v>
      </c>
      <c r="W87" s="93" t="s">
        <v>5894</v>
      </c>
      <c r="X87" s="87"/>
      <c r="Y87" s="87"/>
      <c r="Z87" s="87"/>
      <c r="AA87" s="87" t="s">
        <v>8681</v>
      </c>
      <c r="AB87" s="87" t="s">
        <v>11447</v>
      </c>
      <c r="AC87" s="93" t="s">
        <v>11459</v>
      </c>
      <c r="AD87" s="87" t="s">
        <v>11519</v>
      </c>
      <c r="AE87" s="92" t="str">
        <f>HYPERLINK("https://twitter.com/comatletas_l/status/1680180335005270016")</f>
        <v>https://twitter.com/comatletas_l/status/1680180335005270016</v>
      </c>
      <c r="AF87" s="90">
        <v>45122.485902777778</v>
      </c>
      <c r="AG87" s="99">
        <v>45122</v>
      </c>
      <c r="AH87" s="93" t="s">
        <v>11611</v>
      </c>
      <c r="AI87" s="87" t="b">
        <v>0</v>
      </c>
      <c r="AJ87" s="87"/>
      <c r="AK87" s="87"/>
      <c r="AL87" s="87"/>
      <c r="AM87" s="87"/>
      <c r="AN87" s="87"/>
      <c r="AO87" s="87"/>
      <c r="AP87" s="87"/>
      <c r="AQ87" s="87" t="s">
        <v>15494</v>
      </c>
      <c r="AR87" s="87">
        <v>95160</v>
      </c>
      <c r="AS87" s="87"/>
      <c r="AT87" s="87"/>
      <c r="AU87" s="87"/>
      <c r="AV87" s="92" t="str">
        <f>HYPERLINK("https://pbs.twimg.com/ext_tw_video_thumb/1680180240079810560/pu/img/L1kT_jHxdC7CmAbJ.jpg")</f>
        <v>https://pbs.twimg.com/ext_tw_video_thumb/1680180240079810560/pu/img/L1kT_jHxdC7CmAbJ.jpg</v>
      </c>
      <c r="AW87" s="93" t="s">
        <v>18340</v>
      </c>
      <c r="AX87" s="93" t="s">
        <v>18340</v>
      </c>
      <c r="AY87" s="87"/>
      <c r="AZ87" s="93" t="s">
        <v>22668</v>
      </c>
      <c r="BA87" s="93" t="s">
        <v>22668</v>
      </c>
      <c r="BB87" s="93" t="s">
        <v>22668</v>
      </c>
      <c r="BC87" s="93" t="s">
        <v>18340</v>
      </c>
      <c r="BD87" s="93" t="s">
        <v>22805</v>
      </c>
      <c r="BE87" s="87"/>
      <c r="BF87" s="87"/>
      <c r="BG87" s="87"/>
      <c r="BH87" s="87"/>
      <c r="BI87" s="87"/>
    </row>
    <row r="88" spans="1:61" x14ac:dyDescent="0.25">
      <c r="A88" s="63" t="s">
        <v>254</v>
      </c>
      <c r="B88" s="63" t="s">
        <v>1623</v>
      </c>
      <c r="C88" s="64"/>
      <c r="D88" s="65"/>
      <c r="E88" s="66"/>
      <c r="F88" s="67"/>
      <c r="G88" s="64"/>
      <c r="H88" s="68"/>
      <c r="I88" s="69"/>
      <c r="J88" s="69"/>
      <c r="K88" s="32"/>
      <c r="L88" s="76">
        <v>88</v>
      </c>
      <c r="M88" s="76"/>
      <c r="N88" s="71"/>
      <c r="O88" s="87" t="s">
        <v>1839</v>
      </c>
      <c r="P88" s="90">
        <v>45140.54314814815</v>
      </c>
      <c r="Q88" s="87" t="s">
        <v>1926</v>
      </c>
      <c r="R88" s="87">
        <v>0</v>
      </c>
      <c r="S88" s="87">
        <v>2</v>
      </c>
      <c r="T88" s="87">
        <v>0</v>
      </c>
      <c r="U88" s="87">
        <v>0</v>
      </c>
      <c r="V88" s="87">
        <v>748</v>
      </c>
      <c r="W88" s="93" t="s">
        <v>5895</v>
      </c>
      <c r="X88" s="87"/>
      <c r="Y88" s="87"/>
      <c r="Z88" s="87" t="s">
        <v>1623</v>
      </c>
      <c r="AA88" s="87" t="s">
        <v>8682</v>
      </c>
      <c r="AB88" s="87" t="s">
        <v>11447</v>
      </c>
      <c r="AC88" s="93" t="s">
        <v>11457</v>
      </c>
      <c r="AD88" s="87" t="s">
        <v>11519</v>
      </c>
      <c r="AE88" s="92" t="str">
        <f>HYPERLINK("https://twitter.com/sebrae/status/1686724061181730817")</f>
        <v>https://twitter.com/sebrae/status/1686724061181730817</v>
      </c>
      <c r="AF88" s="90">
        <v>45140.54314814815</v>
      </c>
      <c r="AG88" s="99">
        <v>45140</v>
      </c>
      <c r="AH88" s="93" t="s">
        <v>11612</v>
      </c>
      <c r="AI88" s="87" t="b">
        <v>0</v>
      </c>
      <c r="AJ88" s="87"/>
      <c r="AK88" s="87"/>
      <c r="AL88" s="87"/>
      <c r="AM88" s="87"/>
      <c r="AN88" s="87"/>
      <c r="AO88" s="87"/>
      <c r="AP88" s="87"/>
      <c r="AQ88" s="87" t="s">
        <v>15495</v>
      </c>
      <c r="AR88" s="87">
        <v>89672</v>
      </c>
      <c r="AS88" s="87"/>
      <c r="AT88" s="87"/>
      <c r="AU88" s="87"/>
      <c r="AV88" s="92" t="str">
        <f>HYPERLINK("https://pbs.twimg.com/ext_tw_video_thumb/1686722939645796352/pu/img/NaGM3HoQUKRs1Gk1.jpg")</f>
        <v>https://pbs.twimg.com/ext_tw_video_thumb/1686722939645796352/pu/img/NaGM3HoQUKRs1Gk1.jpg</v>
      </c>
      <c r="AW88" s="93" t="s">
        <v>18341</v>
      </c>
      <c r="AX88" s="93" t="s">
        <v>18341</v>
      </c>
      <c r="AY88" s="87"/>
      <c r="AZ88" s="93" t="s">
        <v>22668</v>
      </c>
      <c r="BA88" s="93" t="s">
        <v>22668</v>
      </c>
      <c r="BB88" s="93" t="s">
        <v>22668</v>
      </c>
      <c r="BC88" s="93" t="s">
        <v>18341</v>
      </c>
      <c r="BD88" s="87">
        <v>14584765</v>
      </c>
      <c r="BE88" s="87"/>
      <c r="BF88" s="87"/>
      <c r="BG88" s="87"/>
      <c r="BH88" s="87"/>
      <c r="BI88" s="87"/>
    </row>
    <row r="89" spans="1:61" x14ac:dyDescent="0.25">
      <c r="A89" s="63" t="s">
        <v>254</v>
      </c>
      <c r="B89" s="63" t="s">
        <v>1623</v>
      </c>
      <c r="C89" s="64"/>
      <c r="D89" s="65"/>
      <c r="E89" s="66"/>
      <c r="F89" s="67"/>
      <c r="G89" s="64"/>
      <c r="H89" s="68"/>
      <c r="I89" s="69"/>
      <c r="J89" s="69"/>
      <c r="K89" s="32"/>
      <c r="L89" s="76">
        <v>89</v>
      </c>
      <c r="M89" s="76"/>
      <c r="N89" s="71"/>
      <c r="O89" s="87" t="s">
        <v>1839</v>
      </c>
      <c r="P89" s="90">
        <v>45185.650995370372</v>
      </c>
      <c r="Q89" s="87" t="s">
        <v>1927</v>
      </c>
      <c r="R89" s="87">
        <v>5</v>
      </c>
      <c r="S89" s="87">
        <v>13</v>
      </c>
      <c r="T89" s="87">
        <v>0</v>
      </c>
      <c r="U89" s="87">
        <v>1</v>
      </c>
      <c r="V89" s="87">
        <v>1701</v>
      </c>
      <c r="W89" s="93" t="s">
        <v>5896</v>
      </c>
      <c r="X89" s="87"/>
      <c r="Y89" s="87"/>
      <c r="Z89" s="87" t="s">
        <v>1623</v>
      </c>
      <c r="AA89" s="87" t="s">
        <v>8683</v>
      </c>
      <c r="AB89" s="87" t="s">
        <v>11447</v>
      </c>
      <c r="AC89" s="93" t="s">
        <v>11457</v>
      </c>
      <c r="AD89" s="87" t="s">
        <v>11519</v>
      </c>
      <c r="AE89" s="92" t="str">
        <f>HYPERLINK("https://twitter.com/sebrae/status/1703070598178435581")</f>
        <v>https://twitter.com/sebrae/status/1703070598178435581</v>
      </c>
      <c r="AF89" s="90">
        <v>45185.650995370372</v>
      </c>
      <c r="AG89" s="99">
        <v>45185</v>
      </c>
      <c r="AH89" s="93" t="s">
        <v>11613</v>
      </c>
      <c r="AI89" s="87" t="b">
        <v>0</v>
      </c>
      <c r="AJ89" s="87"/>
      <c r="AK89" s="87"/>
      <c r="AL89" s="87"/>
      <c r="AM89" s="87"/>
      <c r="AN89" s="87"/>
      <c r="AO89" s="87"/>
      <c r="AP89" s="87"/>
      <c r="AQ89" s="87" t="s">
        <v>15496</v>
      </c>
      <c r="AR89" s="87">
        <v>67833</v>
      </c>
      <c r="AS89" s="87"/>
      <c r="AT89" s="87"/>
      <c r="AU89" s="87"/>
      <c r="AV89" s="92" t="str">
        <f>HYPERLINK("https://pbs.twimg.com/ext_tw_video_thumb/1703069746546012160/pu/img/jlPyaCzbUbMca5on.jpg")</f>
        <v>https://pbs.twimg.com/ext_tw_video_thumb/1703069746546012160/pu/img/jlPyaCzbUbMca5on.jpg</v>
      </c>
      <c r="AW89" s="93" t="s">
        <v>18342</v>
      </c>
      <c r="AX89" s="93" t="s">
        <v>18342</v>
      </c>
      <c r="AY89" s="87"/>
      <c r="AZ89" s="93" t="s">
        <v>22668</v>
      </c>
      <c r="BA89" s="93" t="s">
        <v>22668</v>
      </c>
      <c r="BB89" s="93" t="s">
        <v>22668</v>
      </c>
      <c r="BC89" s="93" t="s">
        <v>18342</v>
      </c>
      <c r="BD89" s="87">
        <v>14584765</v>
      </c>
      <c r="BE89" s="87"/>
      <c r="BF89" s="87"/>
      <c r="BG89" s="87"/>
      <c r="BH89" s="87"/>
      <c r="BI89" s="87"/>
    </row>
    <row r="90" spans="1:61" x14ac:dyDescent="0.25">
      <c r="A90" s="63" t="s">
        <v>255</v>
      </c>
      <c r="B90" s="63" t="s">
        <v>255</v>
      </c>
      <c r="C90" s="64"/>
      <c r="D90" s="65"/>
      <c r="E90" s="66"/>
      <c r="F90" s="67"/>
      <c r="G90" s="64"/>
      <c r="H90" s="68"/>
      <c r="I90" s="69"/>
      <c r="J90" s="69"/>
      <c r="K90" s="32"/>
      <c r="L90" s="76">
        <v>90</v>
      </c>
      <c r="M90" s="76"/>
      <c r="N90" s="71"/>
      <c r="O90" s="87" t="s">
        <v>179</v>
      </c>
      <c r="P90" s="90">
        <v>45120.664166666669</v>
      </c>
      <c r="Q90" s="87" t="s">
        <v>1928</v>
      </c>
      <c r="R90" s="87">
        <v>0</v>
      </c>
      <c r="S90" s="87">
        <v>0</v>
      </c>
      <c r="T90" s="87">
        <v>0</v>
      </c>
      <c r="U90" s="87">
        <v>0</v>
      </c>
      <c r="V90" s="87">
        <v>24</v>
      </c>
      <c r="W90" s="93" t="s">
        <v>5897</v>
      </c>
      <c r="X90" s="92" t="str">
        <f>HYPERLINK("https://www.linkedin.com/posts/lasam_empreendedorismo-empreender-mercadopet-activity-7085285586122551296-I_74?utm_source=share&amp;utm_medium=member_ios")</f>
        <v>https://www.linkedin.com/posts/lasam_empreendedorismo-empreender-mercadopet-activity-7085285586122551296-I_74?utm_source=share&amp;utm_medium=member_ios</v>
      </c>
      <c r="Y90" s="87" t="s">
        <v>8377</v>
      </c>
      <c r="Z90" s="87"/>
      <c r="AA90" s="87"/>
      <c r="AB90" s="87"/>
      <c r="AC90" s="93" t="s">
        <v>11458</v>
      </c>
      <c r="AD90" s="87" t="s">
        <v>11519</v>
      </c>
      <c r="AE90" s="92" t="str">
        <f>HYPERLINK("https://twitter.com/luizalvaro/status/1679520158652461057")</f>
        <v>https://twitter.com/luizalvaro/status/1679520158652461057</v>
      </c>
      <c r="AF90" s="90">
        <v>45120.664166666669</v>
      </c>
      <c r="AG90" s="99">
        <v>45120</v>
      </c>
      <c r="AH90" s="93" t="s">
        <v>11614</v>
      </c>
      <c r="AI90" s="87" t="b">
        <v>0</v>
      </c>
      <c r="AJ90" s="87"/>
      <c r="AK90" s="87"/>
      <c r="AL90" s="87"/>
      <c r="AM90" s="87"/>
      <c r="AN90" s="87"/>
      <c r="AO90" s="87"/>
      <c r="AP90" s="87"/>
      <c r="AQ90" s="87"/>
      <c r="AR90" s="87"/>
      <c r="AS90" s="87"/>
      <c r="AT90" s="87"/>
      <c r="AU90" s="87"/>
      <c r="AV90" s="92" t="str">
        <f>HYPERLINK("https://pbs.twimg.com/profile_images/1425290114482282496/hAKPulzd_normal.jpg")</f>
        <v>https://pbs.twimg.com/profile_images/1425290114482282496/hAKPulzd_normal.jpg</v>
      </c>
      <c r="AW90" s="93" t="s">
        <v>18343</v>
      </c>
      <c r="AX90" s="93" t="s">
        <v>18343</v>
      </c>
      <c r="AY90" s="87"/>
      <c r="AZ90" s="93" t="s">
        <v>22668</v>
      </c>
      <c r="BA90" s="93" t="s">
        <v>22668</v>
      </c>
      <c r="BB90" s="93" t="s">
        <v>22668</v>
      </c>
      <c r="BC90" s="93" t="s">
        <v>18343</v>
      </c>
      <c r="BD90" s="87">
        <v>38803932</v>
      </c>
      <c r="BE90" s="87"/>
      <c r="BF90" s="87"/>
      <c r="BG90" s="87"/>
      <c r="BH90" s="87"/>
      <c r="BI90" s="87"/>
    </row>
    <row r="91" spans="1:61" x14ac:dyDescent="0.25">
      <c r="A91" s="63" t="s">
        <v>256</v>
      </c>
      <c r="B91" s="63" t="s">
        <v>256</v>
      </c>
      <c r="C91" s="64"/>
      <c r="D91" s="65"/>
      <c r="E91" s="66"/>
      <c r="F91" s="67"/>
      <c r="G91" s="64"/>
      <c r="H91" s="68"/>
      <c r="I91" s="69"/>
      <c r="J91" s="69"/>
      <c r="K91" s="32"/>
      <c r="L91" s="76">
        <v>91</v>
      </c>
      <c r="M91" s="76"/>
      <c r="N91" s="71"/>
      <c r="O91" s="87" t="s">
        <v>179</v>
      </c>
      <c r="P91" s="90">
        <v>45187.829328703701</v>
      </c>
      <c r="Q91" s="87" t="s">
        <v>1929</v>
      </c>
      <c r="R91" s="87">
        <v>0</v>
      </c>
      <c r="S91" s="87">
        <v>0</v>
      </c>
      <c r="T91" s="87">
        <v>0</v>
      </c>
      <c r="U91" s="87">
        <v>0</v>
      </c>
      <c r="V91" s="87">
        <v>30</v>
      </c>
      <c r="W91" s="93" t="s">
        <v>5898</v>
      </c>
      <c r="X91" s="92" t="str">
        <f>HYPERLINK("https://agitomais.com.br/18/09/2023/geral/prefeitura-de-itabirito-promove-evento-de-apoio-a-comunidade-do-bairro-balneario-agua-limpa/")</f>
        <v>https://agitomais.com.br/18/09/2023/geral/prefeitura-de-itabirito-promove-evento-de-apoio-a-comunidade-do-bairro-balneario-agua-limpa/</v>
      </c>
      <c r="Y91" s="87" t="s">
        <v>8373</v>
      </c>
      <c r="Z91" s="87"/>
      <c r="AA91" s="87"/>
      <c r="AB91" s="87"/>
      <c r="AC91" s="93" t="s">
        <v>11457</v>
      </c>
      <c r="AD91" s="87" t="s">
        <v>11519</v>
      </c>
      <c r="AE91" s="92" t="str">
        <f>HYPERLINK("https://twitter.com/agitomais/status/1703859999976436002")</f>
        <v>https://twitter.com/agitomais/status/1703859999976436002</v>
      </c>
      <c r="AF91" s="90">
        <v>45187.829328703701</v>
      </c>
      <c r="AG91" s="99">
        <v>45187</v>
      </c>
      <c r="AH91" s="93" t="s">
        <v>11615</v>
      </c>
      <c r="AI91" s="87" t="b">
        <v>0</v>
      </c>
      <c r="AJ91" s="87"/>
      <c r="AK91" s="87"/>
      <c r="AL91" s="87"/>
      <c r="AM91" s="87"/>
      <c r="AN91" s="87"/>
      <c r="AO91" s="87"/>
      <c r="AP91" s="87"/>
      <c r="AQ91" s="87"/>
      <c r="AR91" s="87"/>
      <c r="AS91" s="87"/>
      <c r="AT91" s="87"/>
      <c r="AU91" s="87"/>
      <c r="AV91" s="92" t="str">
        <f>HYPERLINK("https://pbs.twimg.com/profile_images/1681674763922538503/1s7V5fFS_normal.jpg")</f>
        <v>https://pbs.twimg.com/profile_images/1681674763922538503/1s7V5fFS_normal.jpg</v>
      </c>
      <c r="AW91" s="93" t="s">
        <v>18344</v>
      </c>
      <c r="AX91" s="93" t="s">
        <v>18344</v>
      </c>
      <c r="AY91" s="87"/>
      <c r="AZ91" s="93" t="s">
        <v>22668</v>
      </c>
      <c r="BA91" s="93" t="s">
        <v>22668</v>
      </c>
      <c r="BB91" s="93" t="s">
        <v>22668</v>
      </c>
      <c r="BC91" s="93" t="s">
        <v>18344</v>
      </c>
      <c r="BD91" s="87">
        <v>27427265</v>
      </c>
      <c r="BE91" s="87"/>
      <c r="BF91" s="87"/>
      <c r="BG91" s="87"/>
      <c r="BH91" s="87"/>
      <c r="BI91" s="87"/>
    </row>
    <row r="92" spans="1:61" x14ac:dyDescent="0.25">
      <c r="A92" s="63" t="s">
        <v>257</v>
      </c>
      <c r="B92" s="63" t="s">
        <v>257</v>
      </c>
      <c r="C92" s="64"/>
      <c r="D92" s="65"/>
      <c r="E92" s="66"/>
      <c r="F92" s="67"/>
      <c r="G92" s="64"/>
      <c r="H92" s="68"/>
      <c r="I92" s="69"/>
      <c r="J92" s="69"/>
      <c r="K92" s="32"/>
      <c r="L92" s="76">
        <v>92</v>
      </c>
      <c r="M92" s="76"/>
      <c r="N92" s="71"/>
      <c r="O92" s="87" t="s">
        <v>179</v>
      </c>
      <c r="P92" s="90">
        <v>45125.815011574072</v>
      </c>
      <c r="Q92" s="87" t="s">
        <v>1930</v>
      </c>
      <c r="R92" s="87">
        <v>0</v>
      </c>
      <c r="S92" s="87">
        <v>0</v>
      </c>
      <c r="T92" s="87">
        <v>0</v>
      </c>
      <c r="U92" s="87">
        <v>0</v>
      </c>
      <c r="V92" s="87">
        <v>4</v>
      </c>
      <c r="W92" s="93" t="s">
        <v>5899</v>
      </c>
      <c r="X92" s="87"/>
      <c r="Y92" s="87"/>
      <c r="Z92" s="87"/>
      <c r="AA92" s="87" t="s">
        <v>8684</v>
      </c>
      <c r="AB92" s="87" t="s">
        <v>11449</v>
      </c>
      <c r="AC92" s="93" t="s">
        <v>11457</v>
      </c>
      <c r="AD92" s="87" t="s">
        <v>11519</v>
      </c>
      <c r="AE92" s="92" t="str">
        <f>HYPERLINK("https://twitter.com/aci_scs/status/1681386762172604416")</f>
        <v>https://twitter.com/aci_scs/status/1681386762172604416</v>
      </c>
      <c r="AF92" s="90">
        <v>45125.815011574072</v>
      </c>
      <c r="AG92" s="99">
        <v>45125</v>
      </c>
      <c r="AH92" s="93" t="s">
        <v>11616</v>
      </c>
      <c r="AI92" s="87" t="b">
        <v>0</v>
      </c>
      <c r="AJ92" s="87"/>
      <c r="AK92" s="87"/>
      <c r="AL92" s="87"/>
      <c r="AM92" s="87"/>
      <c r="AN92" s="87"/>
      <c r="AO92" s="87"/>
      <c r="AP92" s="87"/>
      <c r="AQ92" s="87" t="s">
        <v>15497</v>
      </c>
      <c r="AR92" s="87"/>
      <c r="AS92" s="87"/>
      <c r="AT92" s="87"/>
      <c r="AU92" s="87"/>
      <c r="AV92" s="92" t="str">
        <f>HYPERLINK("https://pbs.twimg.com/media/F1V8OS6WABESYXQ.jpg")</f>
        <v>https://pbs.twimg.com/media/F1V8OS6WABESYXQ.jpg</v>
      </c>
      <c r="AW92" s="93" t="s">
        <v>18345</v>
      </c>
      <c r="AX92" s="93" t="s">
        <v>18345</v>
      </c>
      <c r="AY92" s="87"/>
      <c r="AZ92" s="93" t="s">
        <v>22668</v>
      </c>
      <c r="BA92" s="93" t="s">
        <v>22668</v>
      </c>
      <c r="BB92" s="93" t="s">
        <v>22668</v>
      </c>
      <c r="BC92" s="93" t="s">
        <v>18345</v>
      </c>
      <c r="BD92" s="87">
        <v>85869416</v>
      </c>
      <c r="BE92" s="87"/>
      <c r="BF92" s="87"/>
      <c r="BG92" s="87"/>
      <c r="BH92" s="87"/>
      <c r="BI92" s="87"/>
    </row>
    <row r="93" spans="1:61" x14ac:dyDescent="0.25">
      <c r="A93" s="63" t="s">
        <v>258</v>
      </c>
      <c r="B93" s="63" t="s">
        <v>258</v>
      </c>
      <c r="C93" s="64"/>
      <c r="D93" s="65"/>
      <c r="E93" s="66"/>
      <c r="F93" s="67"/>
      <c r="G93" s="64"/>
      <c r="H93" s="68"/>
      <c r="I93" s="69"/>
      <c r="J93" s="69"/>
      <c r="K93" s="32"/>
      <c r="L93" s="76">
        <v>93</v>
      </c>
      <c r="M93" s="76"/>
      <c r="N93" s="71"/>
      <c r="O93" s="87" t="s">
        <v>179</v>
      </c>
      <c r="P93" s="90">
        <v>45117.890081018515</v>
      </c>
      <c r="Q93" s="87" t="s">
        <v>1931</v>
      </c>
      <c r="R93" s="87">
        <v>0</v>
      </c>
      <c r="S93" s="87">
        <v>1</v>
      </c>
      <c r="T93" s="87">
        <v>0</v>
      </c>
      <c r="U93" s="87">
        <v>0</v>
      </c>
      <c r="V93" s="87">
        <v>52</v>
      </c>
      <c r="W93" s="93" t="s">
        <v>5900</v>
      </c>
      <c r="X93" s="92" t="str">
        <f>HYPERLINK("https://wa.me/5521992664889")</f>
        <v>https://wa.me/5521992664889</v>
      </c>
      <c r="Y93" s="87" t="s">
        <v>8378</v>
      </c>
      <c r="Z93" s="87"/>
      <c r="AA93" s="87" t="s">
        <v>8685</v>
      </c>
      <c r="AB93" s="87" t="s">
        <v>11447</v>
      </c>
      <c r="AC93" s="93" t="s">
        <v>11459</v>
      </c>
      <c r="AD93" s="87" t="s">
        <v>11522</v>
      </c>
      <c r="AE93" s="92" t="str">
        <f>HYPERLINK("https://twitter.com/dqapevidracaria/status/1678514861804773376")</f>
        <v>https://twitter.com/dqapevidracaria/status/1678514861804773376</v>
      </c>
      <c r="AF93" s="90">
        <v>45117.890081018515</v>
      </c>
      <c r="AG93" s="99">
        <v>45117</v>
      </c>
      <c r="AH93" s="93" t="s">
        <v>11617</v>
      </c>
      <c r="AI93" s="87" t="b">
        <v>0</v>
      </c>
      <c r="AJ93" s="87"/>
      <c r="AK93" s="87"/>
      <c r="AL93" s="87"/>
      <c r="AM93" s="87"/>
      <c r="AN93" s="87"/>
      <c r="AO93" s="87"/>
      <c r="AP93" s="87"/>
      <c r="AQ93" s="87" t="s">
        <v>15498</v>
      </c>
      <c r="AR93" s="87">
        <v>23066</v>
      </c>
      <c r="AS93" s="87"/>
      <c r="AT93" s="87"/>
      <c r="AU93" s="87"/>
      <c r="AV93" s="92" t="str">
        <f>HYPERLINK("https://pbs.twimg.com/ext_tw_video_thumb/1678514804309254146/pu/img/gkaNRCMe50jL-nXA.jpg")</f>
        <v>https://pbs.twimg.com/ext_tw_video_thumb/1678514804309254146/pu/img/gkaNRCMe50jL-nXA.jpg</v>
      </c>
      <c r="AW93" s="93" t="s">
        <v>18346</v>
      </c>
      <c r="AX93" s="93" t="s">
        <v>18346</v>
      </c>
      <c r="AY93" s="87"/>
      <c r="AZ93" s="93" t="s">
        <v>22668</v>
      </c>
      <c r="BA93" s="93" t="s">
        <v>22668</v>
      </c>
      <c r="BB93" s="93" t="s">
        <v>22668</v>
      </c>
      <c r="BC93" s="93" t="s">
        <v>18346</v>
      </c>
      <c r="BD93" s="93" t="s">
        <v>22806</v>
      </c>
      <c r="BE93" s="87"/>
      <c r="BF93" s="87"/>
      <c r="BG93" s="87"/>
      <c r="BH93" s="87"/>
      <c r="BI93" s="87"/>
    </row>
    <row r="94" spans="1:61" x14ac:dyDescent="0.25">
      <c r="A94" s="63" t="s">
        <v>258</v>
      </c>
      <c r="B94" s="63" t="s">
        <v>258</v>
      </c>
      <c r="C94" s="64"/>
      <c r="D94" s="65"/>
      <c r="E94" s="66"/>
      <c r="F94" s="67"/>
      <c r="G94" s="64"/>
      <c r="H94" s="68"/>
      <c r="I94" s="69"/>
      <c r="J94" s="69"/>
      <c r="K94" s="32"/>
      <c r="L94" s="76">
        <v>94</v>
      </c>
      <c r="M94" s="76"/>
      <c r="N94" s="71"/>
      <c r="O94" s="87" t="s">
        <v>179</v>
      </c>
      <c r="P94" s="90">
        <v>45192.800543981481</v>
      </c>
      <c r="Q94" s="87" t="s">
        <v>1932</v>
      </c>
      <c r="R94" s="87">
        <v>0</v>
      </c>
      <c r="S94" s="87">
        <v>1</v>
      </c>
      <c r="T94" s="87">
        <v>0</v>
      </c>
      <c r="U94" s="87">
        <v>0</v>
      </c>
      <c r="V94" s="87">
        <v>26</v>
      </c>
      <c r="W94" s="93" t="s">
        <v>5901</v>
      </c>
      <c r="X94" s="92" t="str">
        <f>HYPERLINK("https://wa.me/5521992664889")</f>
        <v>https://wa.me/5521992664889</v>
      </c>
      <c r="Y94" s="87" t="s">
        <v>8378</v>
      </c>
      <c r="Z94" s="87"/>
      <c r="AA94" s="87" t="s">
        <v>8686</v>
      </c>
      <c r="AB94" s="87" t="s">
        <v>11447</v>
      </c>
      <c r="AC94" s="93" t="s">
        <v>11459</v>
      </c>
      <c r="AD94" s="87" t="s">
        <v>11519</v>
      </c>
      <c r="AE94" s="92" t="str">
        <f>HYPERLINK("https://twitter.com/dqapevidracaria/status/1705661504899498192")</f>
        <v>https://twitter.com/dqapevidracaria/status/1705661504899498192</v>
      </c>
      <c r="AF94" s="90">
        <v>45192.800543981481</v>
      </c>
      <c r="AG94" s="99">
        <v>45192</v>
      </c>
      <c r="AH94" s="93" t="s">
        <v>11618</v>
      </c>
      <c r="AI94" s="87" t="b">
        <v>0</v>
      </c>
      <c r="AJ94" s="87" t="s">
        <v>15168</v>
      </c>
      <c r="AK94" s="87" t="s">
        <v>15234</v>
      </c>
      <c r="AL94" s="87" t="s">
        <v>15237</v>
      </c>
      <c r="AM94" s="87" t="s">
        <v>15240</v>
      </c>
      <c r="AN94" s="87" t="s">
        <v>15305</v>
      </c>
      <c r="AO94" s="87" t="s">
        <v>15372</v>
      </c>
      <c r="AP94" s="87" t="s">
        <v>15437</v>
      </c>
      <c r="AQ94" s="87" t="s">
        <v>15499</v>
      </c>
      <c r="AR94" s="87">
        <v>8000</v>
      </c>
      <c r="AS94" s="87"/>
      <c r="AT94" s="87"/>
      <c r="AU94" s="87"/>
      <c r="AV94" s="92" t="str">
        <f>HYPERLINK("https://pbs.twimg.com/ext_tw_video_thumb/1705661467553402880/pu/img/4kjIgabAEzwmLgDB.jpg")</f>
        <v>https://pbs.twimg.com/ext_tw_video_thumb/1705661467553402880/pu/img/4kjIgabAEzwmLgDB.jpg</v>
      </c>
      <c r="AW94" s="93" t="s">
        <v>18347</v>
      </c>
      <c r="AX94" s="93" t="s">
        <v>18347</v>
      </c>
      <c r="AY94" s="87"/>
      <c r="AZ94" s="93" t="s">
        <v>22668</v>
      </c>
      <c r="BA94" s="93" t="s">
        <v>22668</v>
      </c>
      <c r="BB94" s="93" t="s">
        <v>22668</v>
      </c>
      <c r="BC94" s="93" t="s">
        <v>18347</v>
      </c>
      <c r="BD94" s="93" t="s">
        <v>22806</v>
      </c>
      <c r="BE94" s="87"/>
      <c r="BF94" s="87"/>
      <c r="BG94" s="87"/>
      <c r="BH94" s="87"/>
      <c r="BI94" s="87"/>
    </row>
    <row r="95" spans="1:61" x14ac:dyDescent="0.25">
      <c r="A95" s="63" t="s">
        <v>259</v>
      </c>
      <c r="B95" s="63" t="s">
        <v>259</v>
      </c>
      <c r="C95" s="64"/>
      <c r="D95" s="65"/>
      <c r="E95" s="66"/>
      <c r="F95" s="67"/>
      <c r="G95" s="64"/>
      <c r="H95" s="68"/>
      <c r="I95" s="69"/>
      <c r="J95" s="69"/>
      <c r="K95" s="32"/>
      <c r="L95" s="76">
        <v>95</v>
      </c>
      <c r="M95" s="76"/>
      <c r="N95" s="71"/>
      <c r="O95" s="87" t="s">
        <v>179</v>
      </c>
      <c r="P95" s="90">
        <v>45126.700613425928</v>
      </c>
      <c r="Q95" s="87" t="s">
        <v>1933</v>
      </c>
      <c r="R95" s="87">
        <v>0</v>
      </c>
      <c r="S95" s="87">
        <v>1</v>
      </c>
      <c r="T95" s="87">
        <v>0</v>
      </c>
      <c r="U95" s="87">
        <v>0</v>
      </c>
      <c r="V95" s="87">
        <v>250</v>
      </c>
      <c r="W95" s="93" t="s">
        <v>5902</v>
      </c>
      <c r="X95" s="92" t="str">
        <f>HYPERLINK("https://kiwify.app/nolXo3y?afid=Jo4JefHh")</f>
        <v>https://kiwify.app/nolXo3y?afid=Jo4JefHh</v>
      </c>
      <c r="Y95" s="87" t="s">
        <v>8379</v>
      </c>
      <c r="Z95" s="87"/>
      <c r="AA95" s="87" t="s">
        <v>8687</v>
      </c>
      <c r="AB95" s="87" t="s">
        <v>11447</v>
      </c>
      <c r="AC95" s="93" t="s">
        <v>11459</v>
      </c>
      <c r="AD95" s="87" t="s">
        <v>11519</v>
      </c>
      <c r="AE95" s="92" t="str">
        <f>HYPERLINK("https://twitter.com/_wsreis/status/1681707692304236557")</f>
        <v>https://twitter.com/_wsreis/status/1681707692304236557</v>
      </c>
      <c r="AF95" s="90">
        <v>45126.700613425928</v>
      </c>
      <c r="AG95" s="99">
        <v>45126</v>
      </c>
      <c r="AH95" s="93" t="s">
        <v>11619</v>
      </c>
      <c r="AI95" s="87" t="b">
        <v>0</v>
      </c>
      <c r="AJ95" s="87"/>
      <c r="AK95" s="87"/>
      <c r="AL95" s="87"/>
      <c r="AM95" s="87"/>
      <c r="AN95" s="87"/>
      <c r="AO95" s="87"/>
      <c r="AP95" s="87"/>
      <c r="AQ95" s="87" t="s">
        <v>15500</v>
      </c>
      <c r="AR95" s="87">
        <v>44966</v>
      </c>
      <c r="AS95" s="87"/>
      <c r="AT95" s="87"/>
      <c r="AU95" s="87"/>
      <c r="AV95" s="92" t="str">
        <f>HYPERLINK("https://pbs.twimg.com/ext_tw_video_thumb/1681707587815735306/pu/img/x4snORJOXtmaZdB3.jpg")</f>
        <v>https://pbs.twimg.com/ext_tw_video_thumb/1681707587815735306/pu/img/x4snORJOXtmaZdB3.jpg</v>
      </c>
      <c r="AW95" s="93" t="s">
        <v>18348</v>
      </c>
      <c r="AX95" s="93" t="s">
        <v>18348</v>
      </c>
      <c r="AY95" s="87"/>
      <c r="AZ95" s="93" t="s">
        <v>22668</v>
      </c>
      <c r="BA95" s="93" t="s">
        <v>22668</v>
      </c>
      <c r="BB95" s="93" t="s">
        <v>22668</v>
      </c>
      <c r="BC95" s="93" t="s">
        <v>18348</v>
      </c>
      <c r="BD95" s="93" t="s">
        <v>22807</v>
      </c>
      <c r="BE95" s="87"/>
      <c r="BF95" s="87"/>
      <c r="BG95" s="87"/>
      <c r="BH95" s="87"/>
      <c r="BI95" s="87"/>
    </row>
    <row r="96" spans="1:61" x14ac:dyDescent="0.25">
      <c r="A96" s="63" t="s">
        <v>260</v>
      </c>
      <c r="B96" s="63" t="s">
        <v>260</v>
      </c>
      <c r="C96" s="64"/>
      <c r="D96" s="65"/>
      <c r="E96" s="66"/>
      <c r="F96" s="67"/>
      <c r="G96" s="64"/>
      <c r="H96" s="68"/>
      <c r="I96" s="69"/>
      <c r="J96" s="69"/>
      <c r="K96" s="32"/>
      <c r="L96" s="76">
        <v>96</v>
      </c>
      <c r="M96" s="76"/>
      <c r="N96" s="71"/>
      <c r="O96" s="87" t="s">
        <v>179</v>
      </c>
      <c r="P96" s="90">
        <v>45131.660844907405</v>
      </c>
      <c r="Q96" s="87" t="s">
        <v>1934</v>
      </c>
      <c r="R96" s="87">
        <v>0</v>
      </c>
      <c r="S96" s="87">
        <v>2</v>
      </c>
      <c r="T96" s="87">
        <v>0</v>
      </c>
      <c r="U96" s="87">
        <v>0</v>
      </c>
      <c r="V96" s="87">
        <v>43</v>
      </c>
      <c r="W96" s="93" t="s">
        <v>5903</v>
      </c>
      <c r="X96" s="87"/>
      <c r="Y96" s="87"/>
      <c r="Z96" s="87"/>
      <c r="AA96" s="87" t="s">
        <v>8688</v>
      </c>
      <c r="AB96" s="87" t="s">
        <v>11448</v>
      </c>
      <c r="AC96" s="93" t="s">
        <v>11457</v>
      </c>
      <c r="AD96" s="87" t="s">
        <v>11519</v>
      </c>
      <c r="AE96" s="92" t="str">
        <f>HYPERLINK("https://twitter.com/alfagates/status/1683505223074033664")</f>
        <v>https://twitter.com/alfagates/status/1683505223074033664</v>
      </c>
      <c r="AF96" s="90">
        <v>45131.660844907405</v>
      </c>
      <c r="AG96" s="99">
        <v>45131</v>
      </c>
      <c r="AH96" s="93" t="s">
        <v>11620</v>
      </c>
      <c r="AI96" s="87" t="b">
        <v>0</v>
      </c>
      <c r="AJ96" s="87"/>
      <c r="AK96" s="87"/>
      <c r="AL96" s="87"/>
      <c r="AM96" s="87"/>
      <c r="AN96" s="87"/>
      <c r="AO96" s="87"/>
      <c r="AP96" s="87"/>
      <c r="AQ96" s="87" t="s">
        <v>15501</v>
      </c>
      <c r="AR96" s="87"/>
      <c r="AS96" s="87"/>
      <c r="AT96" s="87"/>
      <c r="AU96" s="87"/>
      <c r="AV96" s="92" t="str">
        <f>HYPERLINK("https://pbs.twimg.com/media/F10CgCkXsAElHzG.jpg")</f>
        <v>https://pbs.twimg.com/media/F10CgCkXsAElHzG.jpg</v>
      </c>
      <c r="AW96" s="93" t="s">
        <v>18349</v>
      </c>
      <c r="AX96" s="93" t="s">
        <v>18349</v>
      </c>
      <c r="AY96" s="87"/>
      <c r="AZ96" s="93" t="s">
        <v>22668</v>
      </c>
      <c r="BA96" s="93" t="s">
        <v>22668</v>
      </c>
      <c r="BB96" s="93" t="s">
        <v>22668</v>
      </c>
      <c r="BC96" s="93" t="s">
        <v>18349</v>
      </c>
      <c r="BD96" s="93" t="s">
        <v>22808</v>
      </c>
      <c r="BE96" s="87"/>
      <c r="BF96" s="87"/>
      <c r="BG96" s="87"/>
      <c r="BH96" s="87"/>
      <c r="BI96" s="87"/>
    </row>
    <row r="97" spans="1:61" x14ac:dyDescent="0.25">
      <c r="A97" s="63" t="s">
        <v>260</v>
      </c>
      <c r="B97" s="63" t="s">
        <v>260</v>
      </c>
      <c r="C97" s="64"/>
      <c r="D97" s="65"/>
      <c r="E97" s="66"/>
      <c r="F97" s="67"/>
      <c r="G97" s="64"/>
      <c r="H97" s="68"/>
      <c r="I97" s="69"/>
      <c r="J97" s="69"/>
      <c r="K97" s="32"/>
      <c r="L97" s="76">
        <v>97</v>
      </c>
      <c r="M97" s="76"/>
      <c r="N97" s="71"/>
      <c r="O97" s="87" t="s">
        <v>179</v>
      </c>
      <c r="P97" s="90">
        <v>45175.752662037034</v>
      </c>
      <c r="Q97" s="87" t="s">
        <v>1935</v>
      </c>
      <c r="R97" s="87">
        <v>0</v>
      </c>
      <c r="S97" s="87">
        <v>1</v>
      </c>
      <c r="T97" s="87">
        <v>0</v>
      </c>
      <c r="U97" s="87">
        <v>0</v>
      </c>
      <c r="V97" s="87">
        <v>15</v>
      </c>
      <c r="W97" s="93" t="s">
        <v>5903</v>
      </c>
      <c r="X97" s="87"/>
      <c r="Y97" s="87"/>
      <c r="Z97" s="87"/>
      <c r="AA97" s="87" t="s">
        <v>8689</v>
      </c>
      <c r="AB97" s="87" t="s">
        <v>11448</v>
      </c>
      <c r="AC97" s="93" t="s">
        <v>11457</v>
      </c>
      <c r="AD97" s="87" t="s">
        <v>11519</v>
      </c>
      <c r="AE97" s="92" t="str">
        <f>HYPERLINK("https://twitter.com/alfagates/status/1699483562699862116")</f>
        <v>https://twitter.com/alfagates/status/1699483562699862116</v>
      </c>
      <c r="AF97" s="90">
        <v>45175.752662037034</v>
      </c>
      <c r="AG97" s="99">
        <v>45175</v>
      </c>
      <c r="AH97" s="93" t="s">
        <v>11621</v>
      </c>
      <c r="AI97" s="87" t="b">
        <v>0</v>
      </c>
      <c r="AJ97" s="87"/>
      <c r="AK97" s="87"/>
      <c r="AL97" s="87"/>
      <c r="AM97" s="87"/>
      <c r="AN97" s="87"/>
      <c r="AO97" s="87"/>
      <c r="AP97" s="87"/>
      <c r="AQ97" s="87" t="s">
        <v>15502</v>
      </c>
      <c r="AR97" s="87"/>
      <c r="AS97" s="87"/>
      <c r="AT97" s="87"/>
      <c r="AU97" s="87"/>
      <c r="AV97" s="92" t="str">
        <f>HYPERLINK("https://pbs.twimg.com/media/F5XGaOVXgAAJVZ-.jpg")</f>
        <v>https://pbs.twimg.com/media/F5XGaOVXgAAJVZ-.jpg</v>
      </c>
      <c r="AW97" s="93" t="s">
        <v>18350</v>
      </c>
      <c r="AX97" s="93" t="s">
        <v>18350</v>
      </c>
      <c r="AY97" s="87"/>
      <c r="AZ97" s="93" t="s">
        <v>22668</v>
      </c>
      <c r="BA97" s="93" t="s">
        <v>22668</v>
      </c>
      <c r="BB97" s="93" t="s">
        <v>22668</v>
      </c>
      <c r="BC97" s="93" t="s">
        <v>18350</v>
      </c>
      <c r="BD97" s="93" t="s">
        <v>22808</v>
      </c>
      <c r="BE97" s="87"/>
      <c r="BF97" s="87"/>
      <c r="BG97" s="87"/>
      <c r="BH97" s="87"/>
      <c r="BI97" s="87"/>
    </row>
    <row r="98" spans="1:61" x14ac:dyDescent="0.25">
      <c r="A98" s="63" t="s">
        <v>261</v>
      </c>
      <c r="B98" s="63" t="s">
        <v>261</v>
      </c>
      <c r="C98" s="64"/>
      <c r="D98" s="65"/>
      <c r="E98" s="66"/>
      <c r="F98" s="67"/>
      <c r="G98" s="64"/>
      <c r="H98" s="68"/>
      <c r="I98" s="69"/>
      <c r="J98" s="69"/>
      <c r="K98" s="32"/>
      <c r="L98" s="76">
        <v>98</v>
      </c>
      <c r="M98" s="76"/>
      <c r="N98" s="71"/>
      <c r="O98" s="87" t="s">
        <v>179</v>
      </c>
      <c r="P98" s="90">
        <v>45182.93409722222</v>
      </c>
      <c r="Q98" s="87" t="s">
        <v>1936</v>
      </c>
      <c r="R98" s="87">
        <v>0</v>
      </c>
      <c r="S98" s="87">
        <v>0</v>
      </c>
      <c r="T98" s="87">
        <v>0</v>
      </c>
      <c r="U98" s="87">
        <v>0</v>
      </c>
      <c r="V98" s="87">
        <v>7</v>
      </c>
      <c r="W98" s="93" t="s">
        <v>5904</v>
      </c>
      <c r="X98" s="87"/>
      <c r="Y98" s="87"/>
      <c r="Z98" s="87"/>
      <c r="AA98" s="87" t="s">
        <v>8690</v>
      </c>
      <c r="AB98" s="87" t="s">
        <v>11447</v>
      </c>
      <c r="AC98" s="93" t="s">
        <v>11459</v>
      </c>
      <c r="AD98" s="87" t="s">
        <v>11519</v>
      </c>
      <c r="AE98" s="92" t="str">
        <f>HYPERLINK("https://twitter.com/gabriel97ap/status/1702086027081351541")</f>
        <v>https://twitter.com/gabriel97ap/status/1702086027081351541</v>
      </c>
      <c r="AF98" s="90">
        <v>45182.93409722222</v>
      </c>
      <c r="AG98" s="99">
        <v>45182</v>
      </c>
      <c r="AH98" s="93" t="s">
        <v>11622</v>
      </c>
      <c r="AI98" s="87" t="b">
        <v>0</v>
      </c>
      <c r="AJ98" s="87"/>
      <c r="AK98" s="87"/>
      <c r="AL98" s="87"/>
      <c r="AM98" s="87"/>
      <c r="AN98" s="87"/>
      <c r="AO98" s="87"/>
      <c r="AP98" s="87"/>
      <c r="AQ98" s="87" t="s">
        <v>15503</v>
      </c>
      <c r="AR98" s="87">
        <v>44979</v>
      </c>
      <c r="AS98" s="87"/>
      <c r="AT98" s="87"/>
      <c r="AU98" s="87"/>
      <c r="AV98" s="92" t="str">
        <f>HYPERLINK("https://pbs.twimg.com/ext_tw_video_thumb/1702085990473416704/pu/img/Jmi-aE70Mxer-vZ7.jpg")</f>
        <v>https://pbs.twimg.com/ext_tw_video_thumb/1702085990473416704/pu/img/Jmi-aE70Mxer-vZ7.jpg</v>
      </c>
      <c r="AW98" s="93" t="s">
        <v>18351</v>
      </c>
      <c r="AX98" s="93" t="s">
        <v>18351</v>
      </c>
      <c r="AY98" s="87"/>
      <c r="AZ98" s="93" t="s">
        <v>22668</v>
      </c>
      <c r="BA98" s="93" t="s">
        <v>22668</v>
      </c>
      <c r="BB98" s="93" t="s">
        <v>22668</v>
      </c>
      <c r="BC98" s="93" t="s">
        <v>18351</v>
      </c>
      <c r="BD98" s="93" t="s">
        <v>22809</v>
      </c>
      <c r="BE98" s="87"/>
      <c r="BF98" s="87"/>
      <c r="BG98" s="87"/>
      <c r="BH98" s="87"/>
      <c r="BI98" s="87"/>
    </row>
    <row r="99" spans="1:61" x14ac:dyDescent="0.25">
      <c r="A99" s="63" t="s">
        <v>261</v>
      </c>
      <c r="B99" s="63" t="s">
        <v>261</v>
      </c>
      <c r="C99" s="64"/>
      <c r="D99" s="65"/>
      <c r="E99" s="66"/>
      <c r="F99" s="67"/>
      <c r="G99" s="64"/>
      <c r="H99" s="68"/>
      <c r="I99" s="69"/>
      <c r="J99" s="69"/>
      <c r="K99" s="32"/>
      <c r="L99" s="76">
        <v>99</v>
      </c>
      <c r="M99" s="76"/>
      <c r="N99" s="71"/>
      <c r="O99" s="87" t="s">
        <v>179</v>
      </c>
      <c r="P99" s="90">
        <v>45157.117025462961</v>
      </c>
      <c r="Q99" s="87" t="s">
        <v>1937</v>
      </c>
      <c r="R99" s="87">
        <v>0</v>
      </c>
      <c r="S99" s="87">
        <v>0</v>
      </c>
      <c r="T99" s="87">
        <v>0</v>
      </c>
      <c r="U99" s="87">
        <v>0</v>
      </c>
      <c r="V99" s="87">
        <v>53</v>
      </c>
      <c r="W99" s="93" t="s">
        <v>5905</v>
      </c>
      <c r="X99" s="87"/>
      <c r="Y99" s="87"/>
      <c r="Z99" s="87"/>
      <c r="AA99" s="87" t="s">
        <v>8691</v>
      </c>
      <c r="AB99" s="87" t="s">
        <v>11447</v>
      </c>
      <c r="AC99" s="93" t="s">
        <v>11459</v>
      </c>
      <c r="AD99" s="87" t="s">
        <v>11519</v>
      </c>
      <c r="AE99" s="92" t="str">
        <f>HYPERLINK("https://twitter.com/gabriel97ap/status/1692730232111874496")</f>
        <v>https://twitter.com/gabriel97ap/status/1692730232111874496</v>
      </c>
      <c r="AF99" s="90">
        <v>45157.117025462961</v>
      </c>
      <c r="AG99" s="99">
        <v>45157</v>
      </c>
      <c r="AH99" s="93" t="s">
        <v>11623</v>
      </c>
      <c r="AI99" s="87" t="b">
        <v>0</v>
      </c>
      <c r="AJ99" s="87"/>
      <c r="AK99" s="87"/>
      <c r="AL99" s="87"/>
      <c r="AM99" s="87"/>
      <c r="AN99" s="87"/>
      <c r="AO99" s="87"/>
      <c r="AP99" s="87"/>
      <c r="AQ99" s="87" t="s">
        <v>15504</v>
      </c>
      <c r="AR99" s="87">
        <v>34202</v>
      </c>
      <c r="AS99" s="87"/>
      <c r="AT99" s="87"/>
      <c r="AU99" s="87"/>
      <c r="AV99" s="92" t="str">
        <f>HYPERLINK("https://pbs.twimg.com/ext_tw_video_thumb/1692730162075361280/pu/img/csGMCZ3SelUiaeC5.jpg")</f>
        <v>https://pbs.twimg.com/ext_tw_video_thumb/1692730162075361280/pu/img/csGMCZ3SelUiaeC5.jpg</v>
      </c>
      <c r="AW99" s="93" t="s">
        <v>18352</v>
      </c>
      <c r="AX99" s="93" t="s">
        <v>18352</v>
      </c>
      <c r="AY99" s="87"/>
      <c r="AZ99" s="93" t="s">
        <v>22668</v>
      </c>
      <c r="BA99" s="93" t="s">
        <v>22668</v>
      </c>
      <c r="BB99" s="93" t="s">
        <v>22668</v>
      </c>
      <c r="BC99" s="93" t="s">
        <v>18352</v>
      </c>
      <c r="BD99" s="93" t="s">
        <v>22809</v>
      </c>
      <c r="BE99" s="87"/>
      <c r="BF99" s="87"/>
      <c r="BG99" s="87"/>
      <c r="BH99" s="87"/>
      <c r="BI99" s="87"/>
    </row>
    <row r="100" spans="1:61" x14ac:dyDescent="0.25">
      <c r="A100" s="63" t="s">
        <v>262</v>
      </c>
      <c r="B100" s="63" t="s">
        <v>262</v>
      </c>
      <c r="C100" s="64"/>
      <c r="D100" s="65"/>
      <c r="E100" s="66"/>
      <c r="F100" s="67"/>
      <c r="G100" s="64"/>
      <c r="H100" s="68"/>
      <c r="I100" s="69"/>
      <c r="J100" s="69"/>
      <c r="K100" s="32"/>
      <c r="L100" s="76">
        <v>100</v>
      </c>
      <c r="M100" s="76"/>
      <c r="N100" s="71"/>
      <c r="O100" s="87" t="s">
        <v>179</v>
      </c>
      <c r="P100" s="90">
        <v>45115.053240740737</v>
      </c>
      <c r="Q100" s="87" t="s">
        <v>1938</v>
      </c>
      <c r="R100" s="87">
        <v>0</v>
      </c>
      <c r="S100" s="87">
        <v>1</v>
      </c>
      <c r="T100" s="87">
        <v>0</v>
      </c>
      <c r="U100" s="87">
        <v>0</v>
      </c>
      <c r="V100" s="87">
        <v>99</v>
      </c>
      <c r="W100" s="93" t="s">
        <v>5906</v>
      </c>
      <c r="X100" s="87"/>
      <c r="Y100" s="87"/>
      <c r="Z100" s="87"/>
      <c r="AA100" s="87" t="s">
        <v>8692</v>
      </c>
      <c r="AB100" s="87" t="s">
        <v>11447</v>
      </c>
      <c r="AC100" s="93" t="s">
        <v>11460</v>
      </c>
      <c r="AD100" s="87" t="s">
        <v>11520</v>
      </c>
      <c r="AE100" s="92" t="str">
        <f>HYPERLINK("https://twitter.com/dr_renatolisboa/status/1677486827354087427")</f>
        <v>https://twitter.com/dr_renatolisboa/status/1677486827354087427</v>
      </c>
      <c r="AF100" s="90">
        <v>45115.053240740737</v>
      </c>
      <c r="AG100" s="99">
        <v>45115</v>
      </c>
      <c r="AH100" s="93" t="s">
        <v>11624</v>
      </c>
      <c r="AI100" s="87" t="b">
        <v>0</v>
      </c>
      <c r="AJ100" s="87"/>
      <c r="AK100" s="87"/>
      <c r="AL100" s="87"/>
      <c r="AM100" s="87"/>
      <c r="AN100" s="87"/>
      <c r="AO100" s="87"/>
      <c r="AP100" s="87"/>
      <c r="AQ100" s="87" t="s">
        <v>15505</v>
      </c>
      <c r="AR100" s="87">
        <v>51153</v>
      </c>
      <c r="AS100" s="87"/>
      <c r="AT100" s="87"/>
      <c r="AU100" s="87"/>
      <c r="AV100" s="92" t="str">
        <f>HYPERLINK("https://pbs.twimg.com/ext_tw_video_thumb/1677486749683965952/pu/img/d92mG5Y_PgtvYYq2.jpg")</f>
        <v>https://pbs.twimg.com/ext_tw_video_thumb/1677486749683965952/pu/img/d92mG5Y_PgtvYYq2.jpg</v>
      </c>
      <c r="AW100" s="93" t="s">
        <v>18353</v>
      </c>
      <c r="AX100" s="93" t="s">
        <v>18353</v>
      </c>
      <c r="AY100" s="87"/>
      <c r="AZ100" s="93" t="s">
        <v>22668</v>
      </c>
      <c r="BA100" s="93" t="s">
        <v>22668</v>
      </c>
      <c r="BB100" s="93" t="s">
        <v>22668</v>
      </c>
      <c r="BC100" s="93" t="s">
        <v>18353</v>
      </c>
      <c r="BD100" s="93" t="s">
        <v>22810</v>
      </c>
      <c r="BE100" s="87"/>
      <c r="BF100" s="87"/>
      <c r="BG100" s="87"/>
      <c r="BH100" s="87"/>
      <c r="BI100" s="87"/>
    </row>
    <row r="101" spans="1:61" x14ac:dyDescent="0.25">
      <c r="A101" s="63" t="s">
        <v>263</v>
      </c>
      <c r="B101" s="63" t="s">
        <v>263</v>
      </c>
      <c r="C101" s="64"/>
      <c r="D101" s="65"/>
      <c r="E101" s="66"/>
      <c r="F101" s="67"/>
      <c r="G101" s="64"/>
      <c r="H101" s="68"/>
      <c r="I101" s="69"/>
      <c r="J101" s="69"/>
      <c r="K101" s="32"/>
      <c r="L101" s="76">
        <v>101</v>
      </c>
      <c r="M101" s="76"/>
      <c r="N101" s="71"/>
      <c r="O101" s="87" t="s">
        <v>179</v>
      </c>
      <c r="P101" s="90">
        <v>45120.803425925929</v>
      </c>
      <c r="Q101" s="87" t="s">
        <v>1939</v>
      </c>
      <c r="R101" s="87">
        <v>0</v>
      </c>
      <c r="S101" s="87">
        <v>0</v>
      </c>
      <c r="T101" s="87">
        <v>0</v>
      </c>
      <c r="U101" s="87">
        <v>0</v>
      </c>
      <c r="V101" s="87">
        <v>10</v>
      </c>
      <c r="W101" s="93" t="s">
        <v>5907</v>
      </c>
      <c r="X101" s="92" t="str">
        <f>HYPERLINK("https://youtu.be/rbUWk5EZvuI")</f>
        <v>https://youtu.be/rbUWk5EZvuI</v>
      </c>
      <c r="Y101" s="87" t="s">
        <v>8372</v>
      </c>
      <c r="Z101" s="87"/>
      <c r="AA101" s="87" t="s">
        <v>8693</v>
      </c>
      <c r="AB101" s="87" t="s">
        <v>11448</v>
      </c>
      <c r="AC101" s="93" t="s">
        <v>11457</v>
      </c>
      <c r="AD101" s="87" t="s">
        <v>11518</v>
      </c>
      <c r="AE101" s="92" t="str">
        <f>HYPERLINK("https://twitter.com/andrebianchim8/status/1679570626162446338")</f>
        <v>https://twitter.com/andrebianchim8/status/1679570626162446338</v>
      </c>
      <c r="AF101" s="90">
        <v>45120.803425925929</v>
      </c>
      <c r="AG101" s="99">
        <v>45120</v>
      </c>
      <c r="AH101" s="93" t="s">
        <v>11625</v>
      </c>
      <c r="AI101" s="87" t="b">
        <v>0</v>
      </c>
      <c r="AJ101" s="87"/>
      <c r="AK101" s="87"/>
      <c r="AL101" s="87"/>
      <c r="AM101" s="87"/>
      <c r="AN101" s="87"/>
      <c r="AO101" s="87"/>
      <c r="AP101" s="87"/>
      <c r="AQ101" s="87" t="s">
        <v>15506</v>
      </c>
      <c r="AR101" s="87"/>
      <c r="AS101" s="87"/>
      <c r="AT101" s="87"/>
      <c r="AU101" s="87"/>
      <c r="AV101" s="92" t="str">
        <f>HYPERLINK("https://pbs.twimg.com/media/F08IkxRXsAIOq1M.jpg")</f>
        <v>https://pbs.twimg.com/media/F08IkxRXsAIOq1M.jpg</v>
      </c>
      <c r="AW101" s="93" t="s">
        <v>18354</v>
      </c>
      <c r="AX101" s="93" t="s">
        <v>18354</v>
      </c>
      <c r="AY101" s="87"/>
      <c r="AZ101" s="93" t="s">
        <v>22668</v>
      </c>
      <c r="BA101" s="93" t="s">
        <v>22668</v>
      </c>
      <c r="BB101" s="93" t="s">
        <v>22668</v>
      </c>
      <c r="BC101" s="93" t="s">
        <v>18354</v>
      </c>
      <c r="BD101" s="93" t="s">
        <v>22811</v>
      </c>
      <c r="BE101" s="87"/>
      <c r="BF101" s="87"/>
      <c r="BG101" s="87"/>
      <c r="BH101" s="87"/>
      <c r="BI101" s="87"/>
    </row>
    <row r="102" spans="1:61" x14ac:dyDescent="0.25">
      <c r="A102" s="63" t="s">
        <v>263</v>
      </c>
      <c r="B102" s="63" t="s">
        <v>263</v>
      </c>
      <c r="C102" s="64"/>
      <c r="D102" s="65"/>
      <c r="E102" s="66"/>
      <c r="F102" s="67"/>
      <c r="G102" s="64"/>
      <c r="H102" s="68"/>
      <c r="I102" s="69"/>
      <c r="J102" s="69"/>
      <c r="K102" s="32"/>
      <c r="L102" s="76">
        <v>102</v>
      </c>
      <c r="M102" s="76"/>
      <c r="N102" s="71"/>
      <c r="O102" s="87" t="s">
        <v>179</v>
      </c>
      <c r="P102" s="90">
        <v>45117.767847222225</v>
      </c>
      <c r="Q102" s="87" t="s">
        <v>1940</v>
      </c>
      <c r="R102" s="87">
        <v>0</v>
      </c>
      <c r="S102" s="87">
        <v>0</v>
      </c>
      <c r="T102" s="87">
        <v>0</v>
      </c>
      <c r="U102" s="87">
        <v>0</v>
      </c>
      <c r="V102" s="87">
        <v>15</v>
      </c>
      <c r="W102" s="93" t="s">
        <v>5908</v>
      </c>
      <c r="X102" s="92" t="str">
        <f>HYPERLINK("https://youtu.be/iqk1vGYvqYI")</f>
        <v>https://youtu.be/iqk1vGYvqYI</v>
      </c>
      <c r="Y102" s="87" t="s">
        <v>8372</v>
      </c>
      <c r="Z102" s="87"/>
      <c r="AA102" s="87" t="s">
        <v>8694</v>
      </c>
      <c r="AB102" s="87" t="s">
        <v>11448</v>
      </c>
      <c r="AC102" s="93" t="s">
        <v>11457</v>
      </c>
      <c r="AD102" s="87" t="s">
        <v>11519</v>
      </c>
      <c r="AE102" s="92" t="str">
        <f>HYPERLINK("https://twitter.com/andrebianchim8/status/1678470567710564367")</f>
        <v>https://twitter.com/andrebianchim8/status/1678470567710564367</v>
      </c>
      <c r="AF102" s="90">
        <v>45117.767847222225</v>
      </c>
      <c r="AG102" s="99">
        <v>45117</v>
      </c>
      <c r="AH102" s="93" t="s">
        <v>11626</v>
      </c>
      <c r="AI102" s="87" t="b">
        <v>0</v>
      </c>
      <c r="AJ102" s="87"/>
      <c r="AK102" s="87"/>
      <c r="AL102" s="87"/>
      <c r="AM102" s="87"/>
      <c r="AN102" s="87"/>
      <c r="AO102" s="87"/>
      <c r="AP102" s="87"/>
      <c r="AQ102" s="87" t="s">
        <v>15507</v>
      </c>
      <c r="AR102" s="87"/>
      <c r="AS102" s="87"/>
      <c r="AT102" s="87"/>
      <c r="AU102" s="87"/>
      <c r="AV102" s="92" t="str">
        <f>HYPERLINK("https://pbs.twimg.com/media/F0sf-eKXoAAw4lf.jpg")</f>
        <v>https://pbs.twimg.com/media/F0sf-eKXoAAw4lf.jpg</v>
      </c>
      <c r="AW102" s="93" t="s">
        <v>18355</v>
      </c>
      <c r="AX102" s="93" t="s">
        <v>18355</v>
      </c>
      <c r="AY102" s="87"/>
      <c r="AZ102" s="93" t="s">
        <v>22668</v>
      </c>
      <c r="BA102" s="93" t="s">
        <v>22668</v>
      </c>
      <c r="BB102" s="93" t="s">
        <v>22668</v>
      </c>
      <c r="BC102" s="93" t="s">
        <v>18355</v>
      </c>
      <c r="BD102" s="93" t="s">
        <v>22811</v>
      </c>
      <c r="BE102" s="87"/>
      <c r="BF102" s="87"/>
      <c r="BG102" s="87"/>
      <c r="BH102" s="87"/>
      <c r="BI102" s="87"/>
    </row>
    <row r="103" spans="1:61" x14ac:dyDescent="0.25">
      <c r="A103" s="63" t="s">
        <v>264</v>
      </c>
      <c r="B103" s="63" t="s">
        <v>264</v>
      </c>
      <c r="C103" s="64"/>
      <c r="D103" s="65"/>
      <c r="E103" s="66"/>
      <c r="F103" s="67"/>
      <c r="G103" s="64"/>
      <c r="H103" s="68"/>
      <c r="I103" s="69"/>
      <c r="J103" s="69"/>
      <c r="K103" s="32"/>
      <c r="L103" s="76">
        <v>103</v>
      </c>
      <c r="M103" s="76"/>
      <c r="N103" s="71"/>
      <c r="O103" s="87" t="s">
        <v>179</v>
      </c>
      <c r="P103" s="90">
        <v>45148.878761574073</v>
      </c>
      <c r="Q103" s="87" t="s">
        <v>1941</v>
      </c>
      <c r="R103" s="87">
        <v>0</v>
      </c>
      <c r="S103" s="87">
        <v>0</v>
      </c>
      <c r="T103" s="87">
        <v>0</v>
      </c>
      <c r="U103" s="87">
        <v>0</v>
      </c>
      <c r="V103" s="87">
        <v>76</v>
      </c>
      <c r="W103" s="93" t="s">
        <v>5909</v>
      </c>
      <c r="X103" s="87"/>
      <c r="Y103" s="87"/>
      <c r="Z103" s="87"/>
      <c r="AA103" s="87" t="s">
        <v>8695</v>
      </c>
      <c r="AB103" s="87" t="s">
        <v>11447</v>
      </c>
      <c r="AC103" s="93" t="s">
        <v>11462</v>
      </c>
      <c r="AD103" s="87" t="s">
        <v>11519</v>
      </c>
      <c r="AE103" s="92" t="str">
        <f>HYPERLINK("https://twitter.com/jfugice/status/1689744787002347522")</f>
        <v>https://twitter.com/jfugice/status/1689744787002347522</v>
      </c>
      <c r="AF103" s="90">
        <v>45148.878761574073</v>
      </c>
      <c r="AG103" s="99">
        <v>45148</v>
      </c>
      <c r="AH103" s="93" t="s">
        <v>11627</v>
      </c>
      <c r="AI103" s="87" t="b">
        <v>0</v>
      </c>
      <c r="AJ103" s="87"/>
      <c r="AK103" s="87"/>
      <c r="AL103" s="87"/>
      <c r="AM103" s="87"/>
      <c r="AN103" s="87"/>
      <c r="AO103" s="87"/>
      <c r="AP103" s="87"/>
      <c r="AQ103" s="87" t="s">
        <v>15508</v>
      </c>
      <c r="AR103" s="87">
        <v>59666</v>
      </c>
      <c r="AS103" s="87"/>
      <c r="AT103" s="87"/>
      <c r="AU103" s="87"/>
      <c r="AV103" s="92" t="str">
        <f>HYPERLINK("https://pbs.twimg.com/ext_tw_video_thumb/1689744733348802560/pu/img/3_yf6ywyARR2Z3Hq.jpg")</f>
        <v>https://pbs.twimg.com/ext_tw_video_thumb/1689744733348802560/pu/img/3_yf6ywyARR2Z3Hq.jpg</v>
      </c>
      <c r="AW103" s="93" t="s">
        <v>18356</v>
      </c>
      <c r="AX103" s="93" t="s">
        <v>18356</v>
      </c>
      <c r="AY103" s="87"/>
      <c r="AZ103" s="93" t="s">
        <v>22668</v>
      </c>
      <c r="BA103" s="93" t="s">
        <v>22668</v>
      </c>
      <c r="BB103" s="93" t="s">
        <v>22668</v>
      </c>
      <c r="BC103" s="93" t="s">
        <v>18356</v>
      </c>
      <c r="BD103" s="93" t="s">
        <v>22812</v>
      </c>
      <c r="BE103" s="87"/>
      <c r="BF103" s="87"/>
      <c r="BG103" s="87"/>
      <c r="BH103" s="87"/>
      <c r="BI103" s="87"/>
    </row>
    <row r="104" spans="1:61" x14ac:dyDescent="0.25">
      <c r="A104" s="63" t="s">
        <v>264</v>
      </c>
      <c r="B104" s="63" t="s">
        <v>264</v>
      </c>
      <c r="C104" s="64"/>
      <c r="D104" s="65"/>
      <c r="E104" s="66"/>
      <c r="F104" s="67"/>
      <c r="G104" s="64"/>
      <c r="H104" s="68"/>
      <c r="I104" s="69"/>
      <c r="J104" s="69"/>
      <c r="K104" s="32"/>
      <c r="L104" s="76">
        <v>104</v>
      </c>
      <c r="M104" s="76"/>
      <c r="N104" s="71"/>
      <c r="O104" s="87" t="s">
        <v>179</v>
      </c>
      <c r="P104" s="90">
        <v>45118.877025462964</v>
      </c>
      <c r="Q104" s="87" t="s">
        <v>1942</v>
      </c>
      <c r="R104" s="87">
        <v>0</v>
      </c>
      <c r="S104" s="87">
        <v>0</v>
      </c>
      <c r="T104" s="87">
        <v>0</v>
      </c>
      <c r="U104" s="87">
        <v>0</v>
      </c>
      <c r="V104" s="87">
        <v>10</v>
      </c>
      <c r="W104" s="93" t="s">
        <v>5910</v>
      </c>
      <c r="X104" s="87"/>
      <c r="Y104" s="87"/>
      <c r="Z104" s="87"/>
      <c r="AA104" s="87" t="s">
        <v>8696</v>
      </c>
      <c r="AB104" s="87" t="s">
        <v>11448</v>
      </c>
      <c r="AC104" s="93" t="s">
        <v>11462</v>
      </c>
      <c r="AD104" s="87" t="s">
        <v>11519</v>
      </c>
      <c r="AE104" s="92" t="str">
        <f>HYPERLINK("https://twitter.com/jfugice/status/1678872519221149696")</f>
        <v>https://twitter.com/jfugice/status/1678872519221149696</v>
      </c>
      <c r="AF104" s="90">
        <v>45118.877025462964</v>
      </c>
      <c r="AG104" s="99">
        <v>45118</v>
      </c>
      <c r="AH104" s="93" t="s">
        <v>11628</v>
      </c>
      <c r="AI104" s="87" t="b">
        <v>0</v>
      </c>
      <c r="AJ104" s="87"/>
      <c r="AK104" s="87"/>
      <c r="AL104" s="87"/>
      <c r="AM104" s="87"/>
      <c r="AN104" s="87"/>
      <c r="AO104" s="87"/>
      <c r="AP104" s="87"/>
      <c r="AQ104" s="87" t="s">
        <v>15509</v>
      </c>
      <c r="AR104" s="87"/>
      <c r="AS104" s="87"/>
      <c r="AT104" s="87"/>
      <c r="AU104" s="87"/>
      <c r="AV104" s="92" t="str">
        <f>HYPERLINK("https://pbs.twimg.com/media/F0yNqM9XsAIAVjI.jpg")</f>
        <v>https://pbs.twimg.com/media/F0yNqM9XsAIAVjI.jpg</v>
      </c>
      <c r="AW104" s="93" t="s">
        <v>18357</v>
      </c>
      <c r="AX104" s="93" t="s">
        <v>18357</v>
      </c>
      <c r="AY104" s="87"/>
      <c r="AZ104" s="93" t="s">
        <v>22668</v>
      </c>
      <c r="BA104" s="93" t="s">
        <v>22668</v>
      </c>
      <c r="BB104" s="93" t="s">
        <v>22668</v>
      </c>
      <c r="BC104" s="93" t="s">
        <v>18357</v>
      </c>
      <c r="BD104" s="93" t="s">
        <v>22812</v>
      </c>
      <c r="BE104" s="87"/>
      <c r="BF104" s="87"/>
      <c r="BG104" s="87"/>
      <c r="BH104" s="87"/>
      <c r="BI104" s="87"/>
    </row>
    <row r="105" spans="1:61" x14ac:dyDescent="0.25">
      <c r="A105" s="63" t="s">
        <v>264</v>
      </c>
      <c r="B105" s="63" t="s">
        <v>264</v>
      </c>
      <c r="C105" s="64"/>
      <c r="D105" s="65"/>
      <c r="E105" s="66"/>
      <c r="F105" s="67"/>
      <c r="G105" s="64"/>
      <c r="H105" s="68"/>
      <c r="I105" s="69"/>
      <c r="J105" s="69"/>
      <c r="K105" s="32"/>
      <c r="L105" s="76">
        <v>105</v>
      </c>
      <c r="M105" s="76"/>
      <c r="N105" s="71"/>
      <c r="O105" s="87" t="s">
        <v>179</v>
      </c>
      <c r="P105" s="90">
        <v>45111.591435185182</v>
      </c>
      <c r="Q105" s="87" t="s">
        <v>1943</v>
      </c>
      <c r="R105" s="87">
        <v>0</v>
      </c>
      <c r="S105" s="87">
        <v>1</v>
      </c>
      <c r="T105" s="87">
        <v>0</v>
      </c>
      <c r="U105" s="87">
        <v>0</v>
      </c>
      <c r="V105" s="87">
        <v>42</v>
      </c>
      <c r="W105" s="93" t="s">
        <v>5911</v>
      </c>
      <c r="X105" s="87"/>
      <c r="Y105" s="87"/>
      <c r="Z105" s="87"/>
      <c r="AA105" s="87" t="s">
        <v>8697</v>
      </c>
      <c r="AB105" s="87" t="s">
        <v>11447</v>
      </c>
      <c r="AC105" s="93" t="s">
        <v>11462</v>
      </c>
      <c r="AD105" s="87" t="s">
        <v>11519</v>
      </c>
      <c r="AE105" s="92" t="str">
        <f>HYPERLINK("https://twitter.com/jfugice/status/1676232311845662720")</f>
        <v>https://twitter.com/jfugice/status/1676232311845662720</v>
      </c>
      <c r="AF105" s="90">
        <v>45111.591435185182</v>
      </c>
      <c r="AG105" s="99">
        <v>45111</v>
      </c>
      <c r="AH105" s="93" t="s">
        <v>11629</v>
      </c>
      <c r="AI105" s="87" t="b">
        <v>0</v>
      </c>
      <c r="AJ105" s="87"/>
      <c r="AK105" s="87"/>
      <c r="AL105" s="87"/>
      <c r="AM105" s="87"/>
      <c r="AN105" s="87"/>
      <c r="AO105" s="87"/>
      <c r="AP105" s="87"/>
      <c r="AQ105" s="87" t="s">
        <v>15510</v>
      </c>
      <c r="AR105" s="87">
        <v>46766</v>
      </c>
      <c r="AS105" s="87"/>
      <c r="AT105" s="87"/>
      <c r="AU105" s="87"/>
      <c r="AV105" s="92" t="str">
        <f>HYPERLINK("https://pbs.twimg.com/ext_tw_video_thumb/1676232259295141889/pu/img/6kYgFFnfm3xfsmzZ.jpg")</f>
        <v>https://pbs.twimg.com/ext_tw_video_thumb/1676232259295141889/pu/img/6kYgFFnfm3xfsmzZ.jpg</v>
      </c>
      <c r="AW105" s="93" t="s">
        <v>18358</v>
      </c>
      <c r="AX105" s="93" t="s">
        <v>18358</v>
      </c>
      <c r="AY105" s="87"/>
      <c r="AZ105" s="93" t="s">
        <v>22668</v>
      </c>
      <c r="BA105" s="93" t="s">
        <v>22668</v>
      </c>
      <c r="BB105" s="93" t="s">
        <v>22668</v>
      </c>
      <c r="BC105" s="93" t="s">
        <v>18358</v>
      </c>
      <c r="BD105" s="93" t="s">
        <v>22812</v>
      </c>
      <c r="BE105" s="87"/>
      <c r="BF105" s="87"/>
      <c r="BG105" s="87"/>
      <c r="BH105" s="87"/>
      <c r="BI105" s="87"/>
    </row>
    <row r="106" spans="1:61" x14ac:dyDescent="0.25">
      <c r="A106" s="63" t="s">
        <v>264</v>
      </c>
      <c r="B106" s="63" t="s">
        <v>264</v>
      </c>
      <c r="C106" s="64"/>
      <c r="D106" s="65"/>
      <c r="E106" s="66"/>
      <c r="F106" s="67"/>
      <c r="G106" s="64"/>
      <c r="H106" s="68"/>
      <c r="I106" s="69"/>
      <c r="J106" s="69"/>
      <c r="K106" s="32"/>
      <c r="L106" s="76">
        <v>106</v>
      </c>
      <c r="M106" s="76"/>
      <c r="N106" s="71"/>
      <c r="O106" s="87" t="s">
        <v>179</v>
      </c>
      <c r="P106" s="90">
        <v>45179.625868055555</v>
      </c>
      <c r="Q106" s="87" t="s">
        <v>1944</v>
      </c>
      <c r="R106" s="87">
        <v>0</v>
      </c>
      <c r="S106" s="87">
        <v>0</v>
      </c>
      <c r="T106" s="87">
        <v>0</v>
      </c>
      <c r="U106" s="87">
        <v>0</v>
      </c>
      <c r="V106" s="87">
        <v>9</v>
      </c>
      <c r="W106" s="93" t="s">
        <v>5912</v>
      </c>
      <c r="X106" s="87"/>
      <c r="Y106" s="87"/>
      <c r="Z106" s="87"/>
      <c r="AA106" s="87" t="s">
        <v>8698</v>
      </c>
      <c r="AB106" s="87" t="s">
        <v>11448</v>
      </c>
      <c r="AC106" s="93" t="s">
        <v>11462</v>
      </c>
      <c r="AD106" s="87" t="s">
        <v>11519</v>
      </c>
      <c r="AE106" s="92" t="str">
        <f>HYPERLINK("https://twitter.com/jfugice/status/1700887165427700053")</f>
        <v>https://twitter.com/jfugice/status/1700887165427700053</v>
      </c>
      <c r="AF106" s="90">
        <v>45179.625868055555</v>
      </c>
      <c r="AG106" s="99">
        <v>45179</v>
      </c>
      <c r="AH106" s="93" t="s">
        <v>11630</v>
      </c>
      <c r="AI106" s="87" t="b">
        <v>0</v>
      </c>
      <c r="AJ106" s="87"/>
      <c r="AK106" s="87"/>
      <c r="AL106" s="87"/>
      <c r="AM106" s="87"/>
      <c r="AN106" s="87"/>
      <c r="AO106" s="87"/>
      <c r="AP106" s="87"/>
      <c r="AQ106" s="87" t="s">
        <v>15511</v>
      </c>
      <c r="AR106" s="87"/>
      <c r="AS106" s="87"/>
      <c r="AT106" s="87"/>
      <c r="AU106" s="87"/>
      <c r="AV106" s="92" t="str">
        <f>HYPERLINK("https://pbs.twimg.com/media/F5rD3QlX0AAaCY2.jpg")</f>
        <v>https://pbs.twimg.com/media/F5rD3QlX0AAaCY2.jpg</v>
      </c>
      <c r="AW106" s="93" t="s">
        <v>18359</v>
      </c>
      <c r="AX106" s="93" t="s">
        <v>18359</v>
      </c>
      <c r="AY106" s="87"/>
      <c r="AZ106" s="93" t="s">
        <v>22668</v>
      </c>
      <c r="BA106" s="93" t="s">
        <v>22668</v>
      </c>
      <c r="BB106" s="93" t="s">
        <v>22668</v>
      </c>
      <c r="BC106" s="93" t="s">
        <v>18359</v>
      </c>
      <c r="BD106" s="93" t="s">
        <v>22812</v>
      </c>
      <c r="BE106" s="87"/>
      <c r="BF106" s="87"/>
      <c r="BG106" s="87"/>
      <c r="BH106" s="87"/>
      <c r="BI106" s="87"/>
    </row>
    <row r="107" spans="1:61" x14ac:dyDescent="0.25">
      <c r="A107" s="63" t="s">
        <v>264</v>
      </c>
      <c r="B107" s="63" t="s">
        <v>264</v>
      </c>
      <c r="C107" s="64"/>
      <c r="D107" s="65"/>
      <c r="E107" s="66"/>
      <c r="F107" s="67"/>
      <c r="G107" s="64"/>
      <c r="H107" s="68"/>
      <c r="I107" s="69"/>
      <c r="J107" s="69"/>
      <c r="K107" s="32"/>
      <c r="L107" s="76">
        <v>107</v>
      </c>
      <c r="M107" s="76"/>
      <c r="N107" s="71"/>
      <c r="O107" s="87" t="s">
        <v>179</v>
      </c>
      <c r="P107" s="90">
        <v>45147.877604166664</v>
      </c>
      <c r="Q107" s="87" t="s">
        <v>1945</v>
      </c>
      <c r="R107" s="87">
        <v>0</v>
      </c>
      <c r="S107" s="87">
        <v>0</v>
      </c>
      <c r="T107" s="87">
        <v>0</v>
      </c>
      <c r="U107" s="87">
        <v>0</v>
      </c>
      <c r="V107" s="87">
        <v>3</v>
      </c>
      <c r="W107" s="93" t="s">
        <v>5913</v>
      </c>
      <c r="X107" s="87"/>
      <c r="Y107" s="87"/>
      <c r="Z107" s="87"/>
      <c r="AA107" s="87" t="s">
        <v>8699</v>
      </c>
      <c r="AB107" s="87" t="s">
        <v>11448</v>
      </c>
      <c r="AC107" s="93" t="s">
        <v>11462</v>
      </c>
      <c r="AD107" s="87" t="s">
        <v>11519</v>
      </c>
      <c r="AE107" s="92" t="str">
        <f>HYPERLINK("https://twitter.com/jfugice/status/1689381978678734848")</f>
        <v>https://twitter.com/jfugice/status/1689381978678734848</v>
      </c>
      <c r="AF107" s="90">
        <v>45147.877604166664</v>
      </c>
      <c r="AG107" s="99">
        <v>45147</v>
      </c>
      <c r="AH107" s="93" t="s">
        <v>11631</v>
      </c>
      <c r="AI107" s="87" t="b">
        <v>0</v>
      </c>
      <c r="AJ107" s="87"/>
      <c r="AK107" s="87"/>
      <c r="AL107" s="87"/>
      <c r="AM107" s="87"/>
      <c r="AN107" s="87"/>
      <c r="AO107" s="87"/>
      <c r="AP107" s="87"/>
      <c r="AQ107" s="87" t="s">
        <v>15512</v>
      </c>
      <c r="AR107" s="87"/>
      <c r="AS107" s="87"/>
      <c r="AT107" s="87"/>
      <c r="AU107" s="87"/>
      <c r="AV107" s="92" t="str">
        <f>HYPERLINK("https://pbs.twimg.com/media/F3Hj9RdXQAENezN.jpg")</f>
        <v>https://pbs.twimg.com/media/F3Hj9RdXQAENezN.jpg</v>
      </c>
      <c r="AW107" s="93" t="s">
        <v>18360</v>
      </c>
      <c r="AX107" s="93" t="s">
        <v>18360</v>
      </c>
      <c r="AY107" s="87"/>
      <c r="AZ107" s="93" t="s">
        <v>22668</v>
      </c>
      <c r="BA107" s="93" t="s">
        <v>22668</v>
      </c>
      <c r="BB107" s="93" t="s">
        <v>22668</v>
      </c>
      <c r="BC107" s="93" t="s">
        <v>18360</v>
      </c>
      <c r="BD107" s="93" t="s">
        <v>22812</v>
      </c>
      <c r="BE107" s="87"/>
      <c r="BF107" s="87"/>
      <c r="BG107" s="87"/>
      <c r="BH107" s="87"/>
      <c r="BI107" s="87"/>
    </row>
    <row r="108" spans="1:61" x14ac:dyDescent="0.25">
      <c r="A108" s="63" t="s">
        <v>264</v>
      </c>
      <c r="B108" s="63" t="s">
        <v>264</v>
      </c>
      <c r="C108" s="64"/>
      <c r="D108" s="65"/>
      <c r="E108" s="66"/>
      <c r="F108" s="67"/>
      <c r="G108" s="64"/>
      <c r="H108" s="68"/>
      <c r="I108" s="69"/>
      <c r="J108" s="69"/>
      <c r="K108" s="32"/>
      <c r="L108" s="76">
        <v>108</v>
      </c>
      <c r="M108" s="76"/>
      <c r="N108" s="71"/>
      <c r="O108" s="87" t="s">
        <v>179</v>
      </c>
      <c r="P108" s="90">
        <v>45147.667164351849</v>
      </c>
      <c r="Q108" s="87" t="s">
        <v>1946</v>
      </c>
      <c r="R108" s="87">
        <v>0</v>
      </c>
      <c r="S108" s="87">
        <v>0</v>
      </c>
      <c r="T108" s="87">
        <v>0</v>
      </c>
      <c r="U108" s="87">
        <v>0</v>
      </c>
      <c r="V108" s="87">
        <v>20</v>
      </c>
      <c r="W108" s="93" t="s">
        <v>5914</v>
      </c>
      <c r="X108" s="92" t="str">
        <f>HYPERLINK("http://centraldovarejo.com.br")</f>
        <v>http://centraldovarejo.com.br</v>
      </c>
      <c r="Y108" s="87" t="s">
        <v>8373</v>
      </c>
      <c r="Z108" s="87"/>
      <c r="AA108" s="87" t="s">
        <v>8700</v>
      </c>
      <c r="AB108" s="87" t="s">
        <v>11447</v>
      </c>
      <c r="AC108" s="93" t="s">
        <v>11462</v>
      </c>
      <c r="AD108" s="87" t="s">
        <v>11519</v>
      </c>
      <c r="AE108" s="92" t="str">
        <f>HYPERLINK("https://twitter.com/jfugice/status/1689305719181316096")</f>
        <v>https://twitter.com/jfugice/status/1689305719181316096</v>
      </c>
      <c r="AF108" s="90">
        <v>45147.667164351849</v>
      </c>
      <c r="AG108" s="99">
        <v>45147</v>
      </c>
      <c r="AH108" s="93" t="s">
        <v>11632</v>
      </c>
      <c r="AI108" s="87" t="b">
        <v>0</v>
      </c>
      <c r="AJ108" s="87"/>
      <c r="AK108" s="87"/>
      <c r="AL108" s="87"/>
      <c r="AM108" s="87"/>
      <c r="AN108" s="87"/>
      <c r="AO108" s="87"/>
      <c r="AP108" s="87"/>
      <c r="AQ108" s="87" t="s">
        <v>15513</v>
      </c>
      <c r="AR108" s="87">
        <v>122866</v>
      </c>
      <c r="AS108" s="87"/>
      <c r="AT108" s="87"/>
      <c r="AU108" s="87"/>
      <c r="AV108" s="92" t="str">
        <f>HYPERLINK("https://pbs.twimg.com/ext_tw_video_thumb/1689305575341920256/pu/img/JIWdeSn3ZunHbii0.jpg")</f>
        <v>https://pbs.twimg.com/ext_tw_video_thumb/1689305575341920256/pu/img/JIWdeSn3ZunHbii0.jpg</v>
      </c>
      <c r="AW108" s="93" t="s">
        <v>18361</v>
      </c>
      <c r="AX108" s="93" t="s">
        <v>18361</v>
      </c>
      <c r="AY108" s="87"/>
      <c r="AZ108" s="93" t="s">
        <v>22668</v>
      </c>
      <c r="BA108" s="93" t="s">
        <v>22668</v>
      </c>
      <c r="BB108" s="93" t="s">
        <v>22668</v>
      </c>
      <c r="BC108" s="93" t="s">
        <v>18361</v>
      </c>
      <c r="BD108" s="93" t="s">
        <v>22812</v>
      </c>
      <c r="BE108" s="87"/>
      <c r="BF108" s="87"/>
      <c r="BG108" s="87"/>
      <c r="BH108" s="87"/>
      <c r="BI108" s="87"/>
    </row>
    <row r="109" spans="1:61" x14ac:dyDescent="0.25">
      <c r="A109" s="63" t="s">
        <v>264</v>
      </c>
      <c r="B109" s="63" t="s">
        <v>264</v>
      </c>
      <c r="C109" s="64"/>
      <c r="D109" s="65"/>
      <c r="E109" s="66"/>
      <c r="F109" s="67"/>
      <c r="G109" s="64"/>
      <c r="H109" s="68"/>
      <c r="I109" s="69"/>
      <c r="J109" s="69"/>
      <c r="K109" s="32"/>
      <c r="L109" s="76">
        <v>109</v>
      </c>
      <c r="M109" s="76"/>
      <c r="N109" s="71"/>
      <c r="O109" s="87" t="s">
        <v>179</v>
      </c>
      <c r="P109" s="90">
        <v>45145.627233796295</v>
      </c>
      <c r="Q109" s="87" t="s">
        <v>1947</v>
      </c>
      <c r="R109" s="87">
        <v>0</v>
      </c>
      <c r="S109" s="87">
        <v>0</v>
      </c>
      <c r="T109" s="87">
        <v>0</v>
      </c>
      <c r="U109" s="87">
        <v>0</v>
      </c>
      <c r="V109" s="87">
        <v>71</v>
      </c>
      <c r="W109" s="93" t="s">
        <v>5915</v>
      </c>
      <c r="X109" s="87"/>
      <c r="Y109" s="87"/>
      <c r="Z109" s="87"/>
      <c r="AA109" s="87" t="s">
        <v>8701</v>
      </c>
      <c r="AB109" s="87" t="s">
        <v>11448</v>
      </c>
      <c r="AC109" s="93" t="s">
        <v>11462</v>
      </c>
      <c r="AD109" s="87" t="s">
        <v>11519</v>
      </c>
      <c r="AE109" s="92" t="str">
        <f>HYPERLINK("https://twitter.com/jfugice/status/1688566469557186561")</f>
        <v>https://twitter.com/jfugice/status/1688566469557186561</v>
      </c>
      <c r="AF109" s="90">
        <v>45145.627233796295</v>
      </c>
      <c r="AG109" s="99">
        <v>45145</v>
      </c>
      <c r="AH109" s="93" t="s">
        <v>11633</v>
      </c>
      <c r="AI109" s="87" t="b">
        <v>0</v>
      </c>
      <c r="AJ109" s="87"/>
      <c r="AK109" s="87"/>
      <c r="AL109" s="87"/>
      <c r="AM109" s="87"/>
      <c r="AN109" s="87"/>
      <c r="AO109" s="87"/>
      <c r="AP109" s="87"/>
      <c r="AQ109" s="87" t="s">
        <v>15514</v>
      </c>
      <c r="AR109" s="87"/>
      <c r="AS109" s="87"/>
      <c r="AT109" s="87"/>
      <c r="AU109" s="87"/>
      <c r="AV109" s="92" t="str">
        <f>HYPERLINK("https://pbs.twimg.com/media/F27-QWPW4AAL6wP.jpg")</f>
        <v>https://pbs.twimg.com/media/F27-QWPW4AAL6wP.jpg</v>
      </c>
      <c r="AW109" s="93" t="s">
        <v>18362</v>
      </c>
      <c r="AX109" s="93" t="s">
        <v>18362</v>
      </c>
      <c r="AY109" s="87"/>
      <c r="AZ109" s="93" t="s">
        <v>22668</v>
      </c>
      <c r="BA109" s="93" t="s">
        <v>22668</v>
      </c>
      <c r="BB109" s="93" t="s">
        <v>22668</v>
      </c>
      <c r="BC109" s="93" t="s">
        <v>18362</v>
      </c>
      <c r="BD109" s="93" t="s">
        <v>22812</v>
      </c>
      <c r="BE109" s="87"/>
      <c r="BF109" s="87"/>
      <c r="BG109" s="87"/>
      <c r="BH109" s="87"/>
      <c r="BI109" s="87"/>
    </row>
    <row r="110" spans="1:61" x14ac:dyDescent="0.25">
      <c r="A110" s="63" t="s">
        <v>264</v>
      </c>
      <c r="B110" s="63" t="s">
        <v>264</v>
      </c>
      <c r="C110" s="64"/>
      <c r="D110" s="65"/>
      <c r="E110" s="66"/>
      <c r="F110" s="67"/>
      <c r="G110" s="64"/>
      <c r="H110" s="68"/>
      <c r="I110" s="69"/>
      <c r="J110" s="69"/>
      <c r="K110" s="32"/>
      <c r="L110" s="76">
        <v>110</v>
      </c>
      <c r="M110" s="76"/>
      <c r="N110" s="71"/>
      <c r="O110" s="87" t="s">
        <v>179</v>
      </c>
      <c r="P110" s="90">
        <v>45145.612060185187</v>
      </c>
      <c r="Q110" s="87" t="s">
        <v>1948</v>
      </c>
      <c r="R110" s="87">
        <v>0</v>
      </c>
      <c r="S110" s="87">
        <v>1</v>
      </c>
      <c r="T110" s="87">
        <v>0</v>
      </c>
      <c r="U110" s="87">
        <v>0</v>
      </c>
      <c r="V110" s="87">
        <v>108</v>
      </c>
      <c r="W110" s="93" t="s">
        <v>5916</v>
      </c>
      <c r="X110" s="87"/>
      <c r="Y110" s="87"/>
      <c r="Z110" s="87"/>
      <c r="AA110" s="87" t="s">
        <v>8702</v>
      </c>
      <c r="AB110" s="87" t="s">
        <v>11447</v>
      </c>
      <c r="AC110" s="93" t="s">
        <v>11462</v>
      </c>
      <c r="AD110" s="87" t="s">
        <v>11519</v>
      </c>
      <c r="AE110" s="92" t="str">
        <f>HYPERLINK("https://twitter.com/jfugice/status/1688560974536593408")</f>
        <v>https://twitter.com/jfugice/status/1688560974536593408</v>
      </c>
      <c r="AF110" s="90">
        <v>45145.612060185187</v>
      </c>
      <c r="AG110" s="99">
        <v>45145</v>
      </c>
      <c r="AH110" s="93" t="s">
        <v>11634</v>
      </c>
      <c r="AI110" s="87" t="b">
        <v>0</v>
      </c>
      <c r="AJ110" s="87"/>
      <c r="AK110" s="87"/>
      <c r="AL110" s="87"/>
      <c r="AM110" s="87"/>
      <c r="AN110" s="87"/>
      <c r="AO110" s="87"/>
      <c r="AP110" s="87"/>
      <c r="AQ110" s="87" t="s">
        <v>15515</v>
      </c>
      <c r="AR110" s="87">
        <v>44366</v>
      </c>
      <c r="AS110" s="87"/>
      <c r="AT110" s="87"/>
      <c r="AU110" s="87"/>
      <c r="AV110" s="92" t="str">
        <f>HYPERLINK("https://pbs.twimg.com/ext_tw_video_thumb/1688560921990340608/pu/img/wVqL3Y-zAM1MTPxO.jpg")</f>
        <v>https://pbs.twimg.com/ext_tw_video_thumb/1688560921990340608/pu/img/wVqL3Y-zAM1MTPxO.jpg</v>
      </c>
      <c r="AW110" s="93" t="s">
        <v>18363</v>
      </c>
      <c r="AX110" s="93" t="s">
        <v>18363</v>
      </c>
      <c r="AY110" s="87"/>
      <c r="AZ110" s="93" t="s">
        <v>22668</v>
      </c>
      <c r="BA110" s="93" t="s">
        <v>22668</v>
      </c>
      <c r="BB110" s="93" t="s">
        <v>22668</v>
      </c>
      <c r="BC110" s="93" t="s">
        <v>18363</v>
      </c>
      <c r="BD110" s="93" t="s">
        <v>22812</v>
      </c>
      <c r="BE110" s="87"/>
      <c r="BF110" s="87"/>
      <c r="BG110" s="87"/>
      <c r="BH110" s="87"/>
      <c r="BI110" s="87"/>
    </row>
    <row r="111" spans="1:61" x14ac:dyDescent="0.25">
      <c r="A111" s="63" t="s">
        <v>264</v>
      </c>
      <c r="B111" s="63" t="s">
        <v>264</v>
      </c>
      <c r="C111" s="64"/>
      <c r="D111" s="65"/>
      <c r="E111" s="66"/>
      <c r="F111" s="67"/>
      <c r="G111" s="64"/>
      <c r="H111" s="68"/>
      <c r="I111" s="69"/>
      <c r="J111" s="69"/>
      <c r="K111" s="32"/>
      <c r="L111" s="76">
        <v>111</v>
      </c>
      <c r="M111" s="76"/>
      <c r="N111" s="71"/>
      <c r="O111" s="87" t="s">
        <v>179</v>
      </c>
      <c r="P111" s="90">
        <v>45111.876932870371</v>
      </c>
      <c r="Q111" s="87" t="s">
        <v>1949</v>
      </c>
      <c r="R111" s="87">
        <v>0</v>
      </c>
      <c r="S111" s="87">
        <v>0</v>
      </c>
      <c r="T111" s="87">
        <v>0</v>
      </c>
      <c r="U111" s="87">
        <v>0</v>
      </c>
      <c r="V111" s="87">
        <v>7</v>
      </c>
      <c r="W111" s="93" t="s">
        <v>5910</v>
      </c>
      <c r="X111" s="87"/>
      <c r="Y111" s="87"/>
      <c r="Z111" s="87"/>
      <c r="AA111" s="87" t="s">
        <v>8703</v>
      </c>
      <c r="AB111" s="87" t="s">
        <v>11448</v>
      </c>
      <c r="AC111" s="93" t="s">
        <v>11462</v>
      </c>
      <c r="AD111" s="87" t="s">
        <v>11519</v>
      </c>
      <c r="AE111" s="92" t="str">
        <f>HYPERLINK("https://twitter.com/jfugice/status/1676335772373250049")</f>
        <v>https://twitter.com/jfugice/status/1676335772373250049</v>
      </c>
      <c r="AF111" s="90">
        <v>45111.876932870371</v>
      </c>
      <c r="AG111" s="99">
        <v>45111</v>
      </c>
      <c r="AH111" s="93" t="s">
        <v>11635</v>
      </c>
      <c r="AI111" s="87" t="b">
        <v>0</v>
      </c>
      <c r="AJ111" s="87"/>
      <c r="AK111" s="87"/>
      <c r="AL111" s="87"/>
      <c r="AM111" s="87"/>
      <c r="AN111" s="87"/>
      <c r="AO111" s="87"/>
      <c r="AP111" s="87"/>
      <c r="AQ111" s="87" t="s">
        <v>15516</v>
      </c>
      <c r="AR111" s="87"/>
      <c r="AS111" s="87"/>
      <c r="AT111" s="87"/>
      <c r="AU111" s="87"/>
      <c r="AV111" s="92" t="str">
        <f>HYPERLINK("https://pbs.twimg.com/media/F0OKgEYX0AETbHD.jpg")</f>
        <v>https://pbs.twimg.com/media/F0OKgEYX0AETbHD.jpg</v>
      </c>
      <c r="AW111" s="93" t="s">
        <v>18364</v>
      </c>
      <c r="AX111" s="93" t="s">
        <v>18364</v>
      </c>
      <c r="AY111" s="87"/>
      <c r="AZ111" s="93" t="s">
        <v>22668</v>
      </c>
      <c r="BA111" s="93" t="s">
        <v>22668</v>
      </c>
      <c r="BB111" s="93" t="s">
        <v>22668</v>
      </c>
      <c r="BC111" s="93" t="s">
        <v>18364</v>
      </c>
      <c r="BD111" s="93" t="s">
        <v>22812</v>
      </c>
      <c r="BE111" s="87"/>
      <c r="BF111" s="87"/>
      <c r="BG111" s="87"/>
      <c r="BH111" s="87"/>
      <c r="BI111" s="87"/>
    </row>
    <row r="112" spans="1:61" x14ac:dyDescent="0.25">
      <c r="A112" s="63" t="s">
        <v>264</v>
      </c>
      <c r="B112" s="63" t="s">
        <v>264</v>
      </c>
      <c r="C112" s="64"/>
      <c r="D112" s="65"/>
      <c r="E112" s="66"/>
      <c r="F112" s="67"/>
      <c r="G112" s="64"/>
      <c r="H112" s="68"/>
      <c r="I112" s="69"/>
      <c r="J112" s="69"/>
      <c r="K112" s="32"/>
      <c r="L112" s="76">
        <v>112</v>
      </c>
      <c r="M112" s="76"/>
      <c r="N112" s="71"/>
      <c r="O112" s="87" t="s">
        <v>179</v>
      </c>
      <c r="P112" s="90">
        <v>45183.875567129631</v>
      </c>
      <c r="Q112" s="87" t="s">
        <v>1950</v>
      </c>
      <c r="R112" s="87">
        <v>0</v>
      </c>
      <c r="S112" s="87">
        <v>0</v>
      </c>
      <c r="T112" s="87">
        <v>0</v>
      </c>
      <c r="U112" s="87">
        <v>0</v>
      </c>
      <c r="V112" s="87">
        <v>44</v>
      </c>
      <c r="W112" s="93" t="s">
        <v>5917</v>
      </c>
      <c r="X112" s="87"/>
      <c r="Y112" s="87"/>
      <c r="Z112" s="87"/>
      <c r="AA112" s="87" t="s">
        <v>8704</v>
      </c>
      <c r="AB112" s="87" t="s">
        <v>11448</v>
      </c>
      <c r="AC112" s="93" t="s">
        <v>11462</v>
      </c>
      <c r="AD112" s="87" t="s">
        <v>11519</v>
      </c>
      <c r="AE112" s="92" t="str">
        <f>HYPERLINK("https://twitter.com/jfugice/status/1702427205429547425")</f>
        <v>https://twitter.com/jfugice/status/1702427205429547425</v>
      </c>
      <c r="AF112" s="90">
        <v>45183.875567129631</v>
      </c>
      <c r="AG112" s="99">
        <v>45183</v>
      </c>
      <c r="AH112" s="93" t="s">
        <v>11636</v>
      </c>
      <c r="AI112" s="87" t="b">
        <v>0</v>
      </c>
      <c r="AJ112" s="87"/>
      <c r="AK112" s="87"/>
      <c r="AL112" s="87"/>
      <c r="AM112" s="87"/>
      <c r="AN112" s="87"/>
      <c r="AO112" s="87"/>
      <c r="AP112" s="87"/>
      <c r="AQ112" s="87" t="s">
        <v>15517</v>
      </c>
      <c r="AR112" s="87"/>
      <c r="AS112" s="87"/>
      <c r="AT112" s="87"/>
      <c r="AU112" s="87"/>
      <c r="AV112" s="92" t="str">
        <f>HYPERLINK("https://pbs.twimg.com/media/F6A8hYxXEAAZr8_.jpg")</f>
        <v>https://pbs.twimg.com/media/F6A8hYxXEAAZr8_.jpg</v>
      </c>
      <c r="AW112" s="93" t="s">
        <v>18365</v>
      </c>
      <c r="AX112" s="93" t="s">
        <v>18365</v>
      </c>
      <c r="AY112" s="87"/>
      <c r="AZ112" s="93" t="s">
        <v>22668</v>
      </c>
      <c r="BA112" s="93" t="s">
        <v>22668</v>
      </c>
      <c r="BB112" s="93" t="s">
        <v>22668</v>
      </c>
      <c r="BC112" s="93" t="s">
        <v>18365</v>
      </c>
      <c r="BD112" s="93" t="s">
        <v>22812</v>
      </c>
      <c r="BE112" s="87"/>
      <c r="BF112" s="87"/>
      <c r="BG112" s="87"/>
      <c r="BH112" s="87"/>
      <c r="BI112" s="87"/>
    </row>
    <row r="113" spans="1:61" x14ac:dyDescent="0.25">
      <c r="A113" s="63" t="s">
        <v>264</v>
      </c>
      <c r="B113" s="63" t="s">
        <v>264</v>
      </c>
      <c r="C113" s="64"/>
      <c r="D113" s="65"/>
      <c r="E113" s="66"/>
      <c r="F113" s="67"/>
      <c r="G113" s="64"/>
      <c r="H113" s="68"/>
      <c r="I113" s="69"/>
      <c r="J113" s="69"/>
      <c r="K113" s="32"/>
      <c r="L113" s="76">
        <v>113</v>
      </c>
      <c r="M113" s="76"/>
      <c r="N113" s="71"/>
      <c r="O113" s="87" t="s">
        <v>179</v>
      </c>
      <c r="P113" s="90">
        <v>45160.876851851855</v>
      </c>
      <c r="Q113" s="87" t="s">
        <v>1951</v>
      </c>
      <c r="R113" s="87">
        <v>0</v>
      </c>
      <c r="S113" s="87">
        <v>0</v>
      </c>
      <c r="T113" s="87">
        <v>0</v>
      </c>
      <c r="U113" s="87">
        <v>0</v>
      </c>
      <c r="V113" s="87">
        <v>2</v>
      </c>
      <c r="W113" s="93" t="s">
        <v>5918</v>
      </c>
      <c r="X113" s="87"/>
      <c r="Y113" s="87"/>
      <c r="Z113" s="87"/>
      <c r="AA113" s="87" t="s">
        <v>8705</v>
      </c>
      <c r="AB113" s="87" t="s">
        <v>11448</v>
      </c>
      <c r="AC113" s="93" t="s">
        <v>11462</v>
      </c>
      <c r="AD113" s="87" t="s">
        <v>11519</v>
      </c>
      <c r="AE113" s="92" t="str">
        <f>HYPERLINK("https://twitter.com/jfugice/status/1694092749220295049")</f>
        <v>https://twitter.com/jfugice/status/1694092749220295049</v>
      </c>
      <c r="AF113" s="90">
        <v>45160.876851851855</v>
      </c>
      <c r="AG113" s="99">
        <v>45160</v>
      </c>
      <c r="AH113" s="93" t="s">
        <v>11637</v>
      </c>
      <c r="AI113" s="87" t="b">
        <v>0</v>
      </c>
      <c r="AJ113" s="87"/>
      <c r="AK113" s="87"/>
      <c r="AL113" s="87"/>
      <c r="AM113" s="87"/>
      <c r="AN113" s="87"/>
      <c r="AO113" s="87"/>
      <c r="AP113" s="87"/>
      <c r="AQ113" s="87" t="s">
        <v>15518</v>
      </c>
      <c r="AR113" s="87"/>
      <c r="AS113" s="87"/>
      <c r="AT113" s="87"/>
      <c r="AU113" s="87"/>
      <c r="AV113" s="92" t="str">
        <f>HYPERLINK("https://pbs.twimg.com/media/F4KgYJxXYAA-QaT.jpg")</f>
        <v>https://pbs.twimg.com/media/F4KgYJxXYAA-QaT.jpg</v>
      </c>
      <c r="AW113" s="93" t="s">
        <v>18366</v>
      </c>
      <c r="AX113" s="93" t="s">
        <v>18366</v>
      </c>
      <c r="AY113" s="87"/>
      <c r="AZ113" s="93" t="s">
        <v>22668</v>
      </c>
      <c r="BA113" s="93" t="s">
        <v>22668</v>
      </c>
      <c r="BB113" s="93" t="s">
        <v>22668</v>
      </c>
      <c r="BC113" s="93" t="s">
        <v>18366</v>
      </c>
      <c r="BD113" s="93" t="s">
        <v>22812</v>
      </c>
      <c r="BE113" s="87"/>
      <c r="BF113" s="87"/>
      <c r="BG113" s="87"/>
      <c r="BH113" s="87"/>
      <c r="BI113" s="87"/>
    </row>
    <row r="114" spans="1:61" x14ac:dyDescent="0.25">
      <c r="A114" s="63" t="s">
        <v>264</v>
      </c>
      <c r="B114" s="63" t="s">
        <v>264</v>
      </c>
      <c r="C114" s="64"/>
      <c r="D114" s="65"/>
      <c r="E114" s="66"/>
      <c r="F114" s="67"/>
      <c r="G114" s="64"/>
      <c r="H114" s="68"/>
      <c r="I114" s="69"/>
      <c r="J114" s="69"/>
      <c r="K114" s="32"/>
      <c r="L114" s="76">
        <v>114</v>
      </c>
      <c r="M114" s="76"/>
      <c r="N114" s="71"/>
      <c r="O114" s="87" t="s">
        <v>179</v>
      </c>
      <c r="P114" s="90">
        <v>45132.585069444445</v>
      </c>
      <c r="Q114" s="87" t="s">
        <v>1952</v>
      </c>
      <c r="R114" s="87">
        <v>0</v>
      </c>
      <c r="S114" s="87">
        <v>1</v>
      </c>
      <c r="T114" s="87">
        <v>0</v>
      </c>
      <c r="U114" s="87">
        <v>0</v>
      </c>
      <c r="V114" s="87">
        <v>47</v>
      </c>
      <c r="W114" s="93" t="s">
        <v>5919</v>
      </c>
      <c r="X114" s="87"/>
      <c r="Y114" s="87"/>
      <c r="Z114" s="87"/>
      <c r="AA114" s="87" t="s">
        <v>8706</v>
      </c>
      <c r="AB114" s="87" t="s">
        <v>11447</v>
      </c>
      <c r="AC114" s="93" t="s">
        <v>11462</v>
      </c>
      <c r="AD114" s="87" t="s">
        <v>11519</v>
      </c>
      <c r="AE114" s="92" t="str">
        <f>HYPERLINK("https://twitter.com/jfugice/status/1683840147673223169")</f>
        <v>https://twitter.com/jfugice/status/1683840147673223169</v>
      </c>
      <c r="AF114" s="90">
        <v>45132.585069444445</v>
      </c>
      <c r="AG114" s="99">
        <v>45132</v>
      </c>
      <c r="AH114" s="93" t="s">
        <v>11638</v>
      </c>
      <c r="AI114" s="87" t="b">
        <v>0</v>
      </c>
      <c r="AJ114" s="87"/>
      <c r="AK114" s="87"/>
      <c r="AL114" s="87"/>
      <c r="AM114" s="87"/>
      <c r="AN114" s="87"/>
      <c r="AO114" s="87"/>
      <c r="AP114" s="87"/>
      <c r="AQ114" s="87" t="s">
        <v>15519</v>
      </c>
      <c r="AR114" s="87">
        <v>41333</v>
      </c>
      <c r="AS114" s="87"/>
      <c r="AT114" s="87"/>
      <c r="AU114" s="87"/>
      <c r="AV114" s="92" t="str">
        <f>HYPERLINK("https://pbs.twimg.com/ext_tw_video_thumb/1683840032552157186/pu/img/rX1G-sCk_qyMIGdy.jpg")</f>
        <v>https://pbs.twimg.com/ext_tw_video_thumb/1683840032552157186/pu/img/rX1G-sCk_qyMIGdy.jpg</v>
      </c>
      <c r="AW114" s="93" t="s">
        <v>18367</v>
      </c>
      <c r="AX114" s="93" t="s">
        <v>18367</v>
      </c>
      <c r="AY114" s="87"/>
      <c r="AZ114" s="93" t="s">
        <v>22668</v>
      </c>
      <c r="BA114" s="93" t="s">
        <v>22668</v>
      </c>
      <c r="BB114" s="93" t="s">
        <v>22668</v>
      </c>
      <c r="BC114" s="93" t="s">
        <v>18367</v>
      </c>
      <c r="BD114" s="93" t="s">
        <v>22812</v>
      </c>
      <c r="BE114" s="87"/>
      <c r="BF114" s="87"/>
      <c r="BG114" s="87"/>
      <c r="BH114" s="87"/>
      <c r="BI114" s="87"/>
    </row>
    <row r="115" spans="1:61" x14ac:dyDescent="0.25">
      <c r="A115" s="63" t="s">
        <v>264</v>
      </c>
      <c r="B115" s="63" t="s">
        <v>264</v>
      </c>
      <c r="C115" s="64"/>
      <c r="D115" s="65"/>
      <c r="E115" s="66"/>
      <c r="F115" s="67"/>
      <c r="G115" s="64"/>
      <c r="H115" s="68"/>
      <c r="I115" s="69"/>
      <c r="J115" s="69"/>
      <c r="K115" s="32"/>
      <c r="L115" s="76">
        <v>115</v>
      </c>
      <c r="M115" s="76"/>
      <c r="N115" s="71"/>
      <c r="O115" s="87" t="s">
        <v>179</v>
      </c>
      <c r="P115" s="90">
        <v>45117.877152777779</v>
      </c>
      <c r="Q115" s="87" t="s">
        <v>1953</v>
      </c>
      <c r="R115" s="87">
        <v>0</v>
      </c>
      <c r="S115" s="87">
        <v>0</v>
      </c>
      <c r="T115" s="87">
        <v>0</v>
      </c>
      <c r="U115" s="87">
        <v>0</v>
      </c>
      <c r="V115" s="87">
        <v>19</v>
      </c>
      <c r="W115" s="93" t="s">
        <v>5920</v>
      </c>
      <c r="X115" s="87"/>
      <c r="Y115" s="87"/>
      <c r="Z115" s="87"/>
      <c r="AA115" s="87" t="s">
        <v>8707</v>
      </c>
      <c r="AB115" s="87" t="s">
        <v>11448</v>
      </c>
      <c r="AC115" s="93" t="s">
        <v>11462</v>
      </c>
      <c r="AD115" s="87" t="s">
        <v>11519</v>
      </c>
      <c r="AE115" s="92" t="str">
        <f>HYPERLINK("https://twitter.com/jfugice/status/1678510179111821312")</f>
        <v>https://twitter.com/jfugice/status/1678510179111821312</v>
      </c>
      <c r="AF115" s="90">
        <v>45117.877152777779</v>
      </c>
      <c r="AG115" s="99">
        <v>45117</v>
      </c>
      <c r="AH115" s="93" t="s">
        <v>11639</v>
      </c>
      <c r="AI115" s="87" t="b">
        <v>0</v>
      </c>
      <c r="AJ115" s="87"/>
      <c r="AK115" s="87"/>
      <c r="AL115" s="87"/>
      <c r="AM115" s="87"/>
      <c r="AN115" s="87"/>
      <c r="AO115" s="87"/>
      <c r="AP115" s="87"/>
      <c r="AQ115" s="87" t="s">
        <v>15520</v>
      </c>
      <c r="AR115" s="87"/>
      <c r="AS115" s="87"/>
      <c r="AT115" s="87"/>
      <c r="AU115" s="87"/>
      <c r="AV115" s="92" t="str">
        <f>HYPERLINK("https://pbs.twimg.com/media/F0tEHJxWIAcqyHc.jpg")</f>
        <v>https://pbs.twimg.com/media/F0tEHJxWIAcqyHc.jpg</v>
      </c>
      <c r="AW115" s="93" t="s">
        <v>18368</v>
      </c>
      <c r="AX115" s="93" t="s">
        <v>18368</v>
      </c>
      <c r="AY115" s="87"/>
      <c r="AZ115" s="93" t="s">
        <v>22668</v>
      </c>
      <c r="BA115" s="93" t="s">
        <v>22668</v>
      </c>
      <c r="BB115" s="93" t="s">
        <v>22668</v>
      </c>
      <c r="BC115" s="93" t="s">
        <v>18368</v>
      </c>
      <c r="BD115" s="93" t="s">
        <v>22812</v>
      </c>
      <c r="BE115" s="87"/>
      <c r="BF115" s="87"/>
      <c r="BG115" s="87"/>
      <c r="BH115" s="87"/>
      <c r="BI115" s="87"/>
    </row>
    <row r="116" spans="1:61" x14ac:dyDescent="0.25">
      <c r="A116" s="63" t="s">
        <v>264</v>
      </c>
      <c r="B116" s="63" t="s">
        <v>264</v>
      </c>
      <c r="C116" s="64"/>
      <c r="D116" s="65"/>
      <c r="E116" s="66"/>
      <c r="F116" s="67"/>
      <c r="G116" s="64"/>
      <c r="H116" s="68"/>
      <c r="I116" s="69"/>
      <c r="J116" s="69"/>
      <c r="K116" s="32"/>
      <c r="L116" s="76">
        <v>116</v>
      </c>
      <c r="M116" s="76"/>
      <c r="N116" s="71"/>
      <c r="O116" s="87" t="s">
        <v>179</v>
      </c>
      <c r="P116" s="90">
        <v>45116.875335648147</v>
      </c>
      <c r="Q116" s="87" t="s">
        <v>1954</v>
      </c>
      <c r="R116" s="87">
        <v>0</v>
      </c>
      <c r="S116" s="87">
        <v>1</v>
      </c>
      <c r="T116" s="87">
        <v>1</v>
      </c>
      <c r="U116" s="87">
        <v>0</v>
      </c>
      <c r="V116" s="87">
        <v>31</v>
      </c>
      <c r="W116" s="93" t="s">
        <v>5921</v>
      </c>
      <c r="X116" s="87"/>
      <c r="Y116" s="87"/>
      <c r="Z116" s="87"/>
      <c r="AA116" s="87" t="s">
        <v>8708</v>
      </c>
      <c r="AB116" s="87" t="s">
        <v>11448</v>
      </c>
      <c r="AC116" s="93" t="s">
        <v>11462</v>
      </c>
      <c r="AD116" s="87" t="s">
        <v>11519</v>
      </c>
      <c r="AE116" s="92" t="str">
        <f>HYPERLINK("https://twitter.com/jfugice/status/1678147132203716609")</f>
        <v>https://twitter.com/jfugice/status/1678147132203716609</v>
      </c>
      <c r="AF116" s="90">
        <v>45116.875335648147</v>
      </c>
      <c r="AG116" s="99">
        <v>45116</v>
      </c>
      <c r="AH116" s="93" t="s">
        <v>11640</v>
      </c>
      <c r="AI116" s="87" t="b">
        <v>0</v>
      </c>
      <c r="AJ116" s="87"/>
      <c r="AK116" s="87"/>
      <c r="AL116" s="87"/>
      <c r="AM116" s="87"/>
      <c r="AN116" s="87"/>
      <c r="AO116" s="87"/>
      <c r="AP116" s="87"/>
      <c r="AQ116" s="87" t="s">
        <v>15521</v>
      </c>
      <c r="AR116" s="87"/>
      <c r="AS116" s="87"/>
      <c r="AT116" s="87"/>
      <c r="AU116" s="87"/>
      <c r="AV116" s="92" t="str">
        <f>HYPERLINK("https://pbs.twimg.com/media/F0n57G-XgAI8lfA.jpg")</f>
        <v>https://pbs.twimg.com/media/F0n57G-XgAI8lfA.jpg</v>
      </c>
      <c r="AW116" s="93" t="s">
        <v>18369</v>
      </c>
      <c r="AX116" s="93" t="s">
        <v>18369</v>
      </c>
      <c r="AY116" s="87"/>
      <c r="AZ116" s="93" t="s">
        <v>22668</v>
      </c>
      <c r="BA116" s="93" t="s">
        <v>22668</v>
      </c>
      <c r="BB116" s="93" t="s">
        <v>22668</v>
      </c>
      <c r="BC116" s="93" t="s">
        <v>18369</v>
      </c>
      <c r="BD116" s="93" t="s">
        <v>22812</v>
      </c>
      <c r="BE116" s="87"/>
      <c r="BF116" s="87"/>
      <c r="BG116" s="87"/>
      <c r="BH116" s="87"/>
      <c r="BI116" s="87"/>
    </row>
    <row r="117" spans="1:61" x14ac:dyDescent="0.25">
      <c r="A117" s="63" t="s">
        <v>264</v>
      </c>
      <c r="B117" s="63" t="s">
        <v>264</v>
      </c>
      <c r="C117" s="64"/>
      <c r="D117" s="65"/>
      <c r="E117" s="66"/>
      <c r="F117" s="67"/>
      <c r="G117" s="64"/>
      <c r="H117" s="68"/>
      <c r="I117" s="69"/>
      <c r="J117" s="69"/>
      <c r="K117" s="32"/>
      <c r="L117" s="76">
        <v>117</v>
      </c>
      <c r="M117" s="76"/>
      <c r="N117" s="71"/>
      <c r="O117" s="87" t="s">
        <v>179</v>
      </c>
      <c r="P117" s="90">
        <v>45115.666886574072</v>
      </c>
      <c r="Q117" s="87" t="s">
        <v>1955</v>
      </c>
      <c r="R117" s="87">
        <v>0</v>
      </c>
      <c r="S117" s="87">
        <v>1</v>
      </c>
      <c r="T117" s="87">
        <v>0</v>
      </c>
      <c r="U117" s="87">
        <v>0</v>
      </c>
      <c r="V117" s="87">
        <v>29</v>
      </c>
      <c r="W117" s="93" t="s">
        <v>5922</v>
      </c>
      <c r="X117" s="87"/>
      <c r="Y117" s="87"/>
      <c r="Z117" s="87"/>
      <c r="AA117" s="87" t="s">
        <v>8709</v>
      </c>
      <c r="AB117" s="87" t="s">
        <v>11448</v>
      </c>
      <c r="AC117" s="93" t="s">
        <v>11462</v>
      </c>
      <c r="AD117" s="87" t="s">
        <v>11519</v>
      </c>
      <c r="AE117" s="92" t="str">
        <f>HYPERLINK("https://twitter.com/jfugice/status/1677709205149478912")</f>
        <v>https://twitter.com/jfugice/status/1677709205149478912</v>
      </c>
      <c r="AF117" s="90">
        <v>45115.666886574072</v>
      </c>
      <c r="AG117" s="99">
        <v>45115</v>
      </c>
      <c r="AH117" s="93" t="s">
        <v>11641</v>
      </c>
      <c r="AI117" s="87" t="b">
        <v>0</v>
      </c>
      <c r="AJ117" s="87"/>
      <c r="AK117" s="87"/>
      <c r="AL117" s="87"/>
      <c r="AM117" s="87"/>
      <c r="AN117" s="87"/>
      <c r="AO117" s="87"/>
      <c r="AP117" s="87"/>
      <c r="AQ117" s="87" t="s">
        <v>15522</v>
      </c>
      <c r="AR117" s="87"/>
      <c r="AS117" s="87"/>
      <c r="AT117" s="87"/>
      <c r="AU117" s="87"/>
      <c r="AV117" s="92" t="str">
        <f>HYPERLINK("https://pbs.twimg.com/media/F0hroZiWcAI_Jh3.jpg")</f>
        <v>https://pbs.twimg.com/media/F0hroZiWcAI_Jh3.jpg</v>
      </c>
      <c r="AW117" s="93" t="s">
        <v>18370</v>
      </c>
      <c r="AX117" s="93" t="s">
        <v>18370</v>
      </c>
      <c r="AY117" s="87"/>
      <c r="AZ117" s="93" t="s">
        <v>22668</v>
      </c>
      <c r="BA117" s="93" t="s">
        <v>22668</v>
      </c>
      <c r="BB117" s="93" t="s">
        <v>22668</v>
      </c>
      <c r="BC117" s="93" t="s">
        <v>18370</v>
      </c>
      <c r="BD117" s="93" t="s">
        <v>22812</v>
      </c>
      <c r="BE117" s="87"/>
      <c r="BF117" s="87"/>
      <c r="BG117" s="87"/>
      <c r="BH117" s="87"/>
      <c r="BI117" s="87"/>
    </row>
    <row r="118" spans="1:61" x14ac:dyDescent="0.25">
      <c r="A118" s="63" t="s">
        <v>264</v>
      </c>
      <c r="B118" s="63" t="s">
        <v>264</v>
      </c>
      <c r="C118" s="64"/>
      <c r="D118" s="65"/>
      <c r="E118" s="66"/>
      <c r="F118" s="67"/>
      <c r="G118" s="64"/>
      <c r="H118" s="68"/>
      <c r="I118" s="69"/>
      <c r="J118" s="69"/>
      <c r="K118" s="32"/>
      <c r="L118" s="76">
        <v>118</v>
      </c>
      <c r="M118" s="76"/>
      <c r="N118" s="71"/>
      <c r="O118" s="87" t="s">
        <v>179</v>
      </c>
      <c r="P118" s="90">
        <v>45187.62672453704</v>
      </c>
      <c r="Q118" s="87" t="s">
        <v>1956</v>
      </c>
      <c r="R118" s="87">
        <v>0</v>
      </c>
      <c r="S118" s="87">
        <v>0</v>
      </c>
      <c r="T118" s="87">
        <v>0</v>
      </c>
      <c r="U118" s="87">
        <v>0</v>
      </c>
      <c r="V118" s="87">
        <v>4</v>
      </c>
      <c r="W118" s="93" t="s">
        <v>5923</v>
      </c>
      <c r="X118" s="87"/>
      <c r="Y118" s="87"/>
      <c r="Z118" s="87"/>
      <c r="AA118" s="87" t="s">
        <v>8710</v>
      </c>
      <c r="AB118" s="87" t="s">
        <v>11448</v>
      </c>
      <c r="AC118" s="93" t="s">
        <v>11462</v>
      </c>
      <c r="AD118" s="87" t="s">
        <v>11519</v>
      </c>
      <c r="AE118" s="92" t="str">
        <f>HYPERLINK("https://twitter.com/jfugice/status/1703786577321717989")</f>
        <v>https://twitter.com/jfugice/status/1703786577321717989</v>
      </c>
      <c r="AF118" s="90">
        <v>45187.62672453704</v>
      </c>
      <c r="AG118" s="99">
        <v>45187</v>
      </c>
      <c r="AH118" s="93" t="s">
        <v>11642</v>
      </c>
      <c r="AI118" s="87" t="b">
        <v>0</v>
      </c>
      <c r="AJ118" s="87"/>
      <c r="AK118" s="87"/>
      <c r="AL118" s="87"/>
      <c r="AM118" s="87"/>
      <c r="AN118" s="87"/>
      <c r="AO118" s="87"/>
      <c r="AP118" s="87"/>
      <c r="AQ118" s="87" t="s">
        <v>15523</v>
      </c>
      <c r="AR118" s="87"/>
      <c r="AS118" s="87"/>
      <c r="AT118" s="87"/>
      <c r="AU118" s="87"/>
      <c r="AV118" s="92" t="str">
        <f>HYPERLINK("https://pbs.twimg.com/media/F6UQ3QmXQAAyuSM.jpg")</f>
        <v>https://pbs.twimg.com/media/F6UQ3QmXQAAyuSM.jpg</v>
      </c>
      <c r="AW118" s="93" t="s">
        <v>18371</v>
      </c>
      <c r="AX118" s="93" t="s">
        <v>18371</v>
      </c>
      <c r="AY118" s="87"/>
      <c r="AZ118" s="93" t="s">
        <v>22668</v>
      </c>
      <c r="BA118" s="93" t="s">
        <v>22668</v>
      </c>
      <c r="BB118" s="93" t="s">
        <v>22668</v>
      </c>
      <c r="BC118" s="93" t="s">
        <v>18371</v>
      </c>
      <c r="BD118" s="93" t="s">
        <v>22812</v>
      </c>
      <c r="BE118" s="87"/>
      <c r="BF118" s="87"/>
      <c r="BG118" s="87"/>
      <c r="BH118" s="87"/>
      <c r="BI118" s="87"/>
    </row>
    <row r="119" spans="1:61" x14ac:dyDescent="0.25">
      <c r="A119" s="63" t="s">
        <v>264</v>
      </c>
      <c r="B119" s="63" t="s">
        <v>264</v>
      </c>
      <c r="C119" s="64"/>
      <c r="D119" s="65"/>
      <c r="E119" s="66"/>
      <c r="F119" s="67"/>
      <c r="G119" s="64"/>
      <c r="H119" s="68"/>
      <c r="I119" s="69"/>
      <c r="J119" s="69"/>
      <c r="K119" s="32"/>
      <c r="L119" s="76">
        <v>119</v>
      </c>
      <c r="M119" s="76"/>
      <c r="N119" s="71"/>
      <c r="O119" s="87" t="s">
        <v>179</v>
      </c>
      <c r="P119" s="90">
        <v>45174.626909722225</v>
      </c>
      <c r="Q119" s="87" t="s">
        <v>1957</v>
      </c>
      <c r="R119" s="87">
        <v>0</v>
      </c>
      <c r="S119" s="87">
        <v>0</v>
      </c>
      <c r="T119" s="87">
        <v>0</v>
      </c>
      <c r="U119" s="87">
        <v>0</v>
      </c>
      <c r="V119" s="87">
        <v>8</v>
      </c>
      <c r="W119" s="93" t="s">
        <v>5918</v>
      </c>
      <c r="X119" s="87"/>
      <c r="Y119" s="87"/>
      <c r="Z119" s="87"/>
      <c r="AA119" s="87" t="s">
        <v>8711</v>
      </c>
      <c r="AB119" s="87" t="s">
        <v>11448</v>
      </c>
      <c r="AC119" s="93" t="s">
        <v>11462</v>
      </c>
      <c r="AD119" s="87" t="s">
        <v>11519</v>
      </c>
      <c r="AE119" s="92" t="str">
        <f>HYPERLINK("https://twitter.com/jfugice/status/1699075600273588374")</f>
        <v>https://twitter.com/jfugice/status/1699075600273588374</v>
      </c>
      <c r="AF119" s="90">
        <v>45174.626909722225</v>
      </c>
      <c r="AG119" s="99">
        <v>45174</v>
      </c>
      <c r="AH119" s="93" t="s">
        <v>11643</v>
      </c>
      <c r="AI119" s="87" t="b">
        <v>0</v>
      </c>
      <c r="AJ119" s="87"/>
      <c r="AK119" s="87"/>
      <c r="AL119" s="87"/>
      <c r="AM119" s="87"/>
      <c r="AN119" s="87"/>
      <c r="AO119" s="87"/>
      <c r="AP119" s="87"/>
      <c r="AQ119" s="87" t="s">
        <v>15524</v>
      </c>
      <c r="AR119" s="87"/>
      <c r="AS119" s="87"/>
      <c r="AT119" s="87"/>
      <c r="AU119" s="87"/>
      <c r="AV119" s="92" t="str">
        <f>HYPERLINK("https://pbs.twimg.com/media/F5RUQTYWEAEDRFl.jpg")</f>
        <v>https://pbs.twimg.com/media/F5RUQTYWEAEDRFl.jpg</v>
      </c>
      <c r="AW119" s="93" t="s">
        <v>18372</v>
      </c>
      <c r="AX119" s="93" t="s">
        <v>18372</v>
      </c>
      <c r="AY119" s="87"/>
      <c r="AZ119" s="93" t="s">
        <v>22668</v>
      </c>
      <c r="BA119" s="93" t="s">
        <v>22668</v>
      </c>
      <c r="BB119" s="93" t="s">
        <v>22668</v>
      </c>
      <c r="BC119" s="93" t="s">
        <v>18372</v>
      </c>
      <c r="BD119" s="93" t="s">
        <v>22812</v>
      </c>
      <c r="BE119" s="87"/>
      <c r="BF119" s="87"/>
      <c r="BG119" s="87"/>
      <c r="BH119" s="87"/>
      <c r="BI119" s="87"/>
    </row>
    <row r="120" spans="1:61" x14ac:dyDescent="0.25">
      <c r="A120" s="63" t="s">
        <v>264</v>
      </c>
      <c r="B120" s="63" t="s">
        <v>264</v>
      </c>
      <c r="C120" s="64"/>
      <c r="D120" s="65"/>
      <c r="E120" s="66"/>
      <c r="F120" s="67"/>
      <c r="G120" s="64"/>
      <c r="H120" s="68"/>
      <c r="I120" s="69"/>
      <c r="J120" s="69"/>
      <c r="K120" s="32"/>
      <c r="L120" s="76">
        <v>120</v>
      </c>
      <c r="M120" s="76"/>
      <c r="N120" s="71"/>
      <c r="O120" s="87" t="s">
        <v>179</v>
      </c>
      <c r="P120" s="90">
        <v>45166.877430555556</v>
      </c>
      <c r="Q120" s="87" t="s">
        <v>1958</v>
      </c>
      <c r="R120" s="87">
        <v>0</v>
      </c>
      <c r="S120" s="87">
        <v>0</v>
      </c>
      <c r="T120" s="87">
        <v>0</v>
      </c>
      <c r="U120" s="87">
        <v>0</v>
      </c>
      <c r="V120" s="87">
        <v>10</v>
      </c>
      <c r="W120" s="93" t="s">
        <v>5924</v>
      </c>
      <c r="X120" s="87"/>
      <c r="Y120" s="87"/>
      <c r="Z120" s="87"/>
      <c r="AA120" s="87" t="s">
        <v>8712</v>
      </c>
      <c r="AB120" s="87" t="s">
        <v>11448</v>
      </c>
      <c r="AC120" s="93" t="s">
        <v>11462</v>
      </c>
      <c r="AD120" s="87" t="s">
        <v>11519</v>
      </c>
      <c r="AE120" s="92" t="str">
        <f>HYPERLINK("https://twitter.com/jfugice/status/1696267286703689895")</f>
        <v>https://twitter.com/jfugice/status/1696267286703689895</v>
      </c>
      <c r="AF120" s="90">
        <v>45166.877430555556</v>
      </c>
      <c r="AG120" s="99">
        <v>45166</v>
      </c>
      <c r="AH120" s="93" t="s">
        <v>11644</v>
      </c>
      <c r="AI120" s="87" t="b">
        <v>0</v>
      </c>
      <c r="AJ120" s="87"/>
      <c r="AK120" s="87"/>
      <c r="AL120" s="87"/>
      <c r="AM120" s="87"/>
      <c r="AN120" s="87"/>
      <c r="AO120" s="87"/>
      <c r="AP120" s="87"/>
      <c r="AQ120" s="87" t="s">
        <v>15525</v>
      </c>
      <c r="AR120" s="87"/>
      <c r="AS120" s="87"/>
      <c r="AT120" s="87"/>
      <c r="AU120" s="87"/>
      <c r="AV120" s="92" t="str">
        <f>HYPERLINK("https://pbs.twimg.com/media/F4paG6LXYAEiyZd.jpg")</f>
        <v>https://pbs.twimg.com/media/F4paG6LXYAEiyZd.jpg</v>
      </c>
      <c r="AW120" s="93" t="s">
        <v>18373</v>
      </c>
      <c r="AX120" s="93" t="s">
        <v>18373</v>
      </c>
      <c r="AY120" s="87"/>
      <c r="AZ120" s="93" t="s">
        <v>22668</v>
      </c>
      <c r="BA120" s="93" t="s">
        <v>22668</v>
      </c>
      <c r="BB120" s="93" t="s">
        <v>22668</v>
      </c>
      <c r="BC120" s="93" t="s">
        <v>18373</v>
      </c>
      <c r="BD120" s="93" t="s">
        <v>22812</v>
      </c>
      <c r="BE120" s="87"/>
      <c r="BF120" s="87"/>
      <c r="BG120" s="87"/>
      <c r="BH120" s="87"/>
      <c r="BI120" s="87"/>
    </row>
    <row r="121" spans="1:61" x14ac:dyDescent="0.25">
      <c r="A121" s="63" t="s">
        <v>264</v>
      </c>
      <c r="B121" s="63" t="s">
        <v>264</v>
      </c>
      <c r="C121" s="64"/>
      <c r="D121" s="65"/>
      <c r="E121" s="66"/>
      <c r="F121" s="67"/>
      <c r="G121" s="64"/>
      <c r="H121" s="68"/>
      <c r="I121" s="69"/>
      <c r="J121" s="69"/>
      <c r="K121" s="32"/>
      <c r="L121" s="76">
        <v>121</v>
      </c>
      <c r="M121" s="76"/>
      <c r="N121" s="71"/>
      <c r="O121" s="87" t="s">
        <v>179</v>
      </c>
      <c r="P121" s="90">
        <v>45153.584930555553</v>
      </c>
      <c r="Q121" s="87" t="s">
        <v>1959</v>
      </c>
      <c r="R121" s="87">
        <v>0</v>
      </c>
      <c r="S121" s="87">
        <v>0</v>
      </c>
      <c r="T121" s="87">
        <v>0</v>
      </c>
      <c r="U121" s="87">
        <v>0</v>
      </c>
      <c r="V121" s="87">
        <v>23</v>
      </c>
      <c r="W121" s="93" t="s">
        <v>5925</v>
      </c>
      <c r="X121" s="87"/>
      <c r="Y121" s="87"/>
      <c r="Z121" s="87"/>
      <c r="AA121" s="87" t="s">
        <v>8713</v>
      </c>
      <c r="AB121" s="87" t="s">
        <v>11447</v>
      </c>
      <c r="AC121" s="93" t="s">
        <v>11462</v>
      </c>
      <c r="AD121" s="87" t="s">
        <v>11519</v>
      </c>
      <c r="AE121" s="92" t="str">
        <f>HYPERLINK("https://twitter.com/jfugice/status/1691450245702729728")</f>
        <v>https://twitter.com/jfugice/status/1691450245702729728</v>
      </c>
      <c r="AF121" s="90">
        <v>45153.584930555553</v>
      </c>
      <c r="AG121" s="99">
        <v>45153</v>
      </c>
      <c r="AH121" s="93" t="s">
        <v>11645</v>
      </c>
      <c r="AI121" s="87" t="b">
        <v>0</v>
      </c>
      <c r="AJ121" s="87"/>
      <c r="AK121" s="87"/>
      <c r="AL121" s="87"/>
      <c r="AM121" s="87"/>
      <c r="AN121" s="87"/>
      <c r="AO121" s="87"/>
      <c r="AP121" s="87"/>
      <c r="AQ121" s="87" t="s">
        <v>15526</v>
      </c>
      <c r="AR121" s="87">
        <v>40066</v>
      </c>
      <c r="AS121" s="87"/>
      <c r="AT121" s="87"/>
      <c r="AU121" s="87"/>
      <c r="AV121" s="92" t="str">
        <f>HYPERLINK("https://pbs.twimg.com/ext_tw_video_thumb/1691450176995807232/pu/img/lf6rLAUOYLykGsA0.jpg")</f>
        <v>https://pbs.twimg.com/ext_tw_video_thumb/1691450176995807232/pu/img/lf6rLAUOYLykGsA0.jpg</v>
      </c>
      <c r="AW121" s="93" t="s">
        <v>18374</v>
      </c>
      <c r="AX121" s="93" t="s">
        <v>18374</v>
      </c>
      <c r="AY121" s="87"/>
      <c r="AZ121" s="93" t="s">
        <v>22668</v>
      </c>
      <c r="BA121" s="93" t="s">
        <v>22668</v>
      </c>
      <c r="BB121" s="93" t="s">
        <v>22668</v>
      </c>
      <c r="BC121" s="93" t="s">
        <v>18374</v>
      </c>
      <c r="BD121" s="93" t="s">
        <v>22812</v>
      </c>
      <c r="BE121" s="87"/>
      <c r="BF121" s="87"/>
      <c r="BG121" s="87"/>
      <c r="BH121" s="87"/>
      <c r="BI121" s="87"/>
    </row>
    <row r="122" spans="1:61" x14ac:dyDescent="0.25">
      <c r="A122" s="63" t="s">
        <v>264</v>
      </c>
      <c r="B122" s="63" t="s">
        <v>264</v>
      </c>
      <c r="C122" s="64"/>
      <c r="D122" s="65"/>
      <c r="E122" s="66"/>
      <c r="F122" s="67"/>
      <c r="G122" s="64"/>
      <c r="H122" s="68"/>
      <c r="I122" s="69"/>
      <c r="J122" s="69"/>
      <c r="K122" s="32"/>
      <c r="L122" s="76">
        <v>122</v>
      </c>
      <c r="M122" s="76"/>
      <c r="N122" s="71"/>
      <c r="O122" s="87" t="s">
        <v>179</v>
      </c>
      <c r="P122" s="90">
        <v>45126.627210648148</v>
      </c>
      <c r="Q122" s="87" t="s">
        <v>1960</v>
      </c>
      <c r="R122" s="87">
        <v>0</v>
      </c>
      <c r="S122" s="87">
        <v>0</v>
      </c>
      <c r="T122" s="87">
        <v>0</v>
      </c>
      <c r="U122" s="87">
        <v>0</v>
      </c>
      <c r="V122" s="87">
        <v>6</v>
      </c>
      <c r="W122" s="93" t="s">
        <v>5926</v>
      </c>
      <c r="X122" s="87"/>
      <c r="Y122" s="87"/>
      <c r="Z122" s="87"/>
      <c r="AA122" s="87" t="s">
        <v>8714</v>
      </c>
      <c r="AB122" s="87" t="s">
        <v>11448</v>
      </c>
      <c r="AC122" s="93" t="s">
        <v>11462</v>
      </c>
      <c r="AD122" s="87" t="s">
        <v>11519</v>
      </c>
      <c r="AE122" s="92" t="str">
        <f>HYPERLINK("https://twitter.com/jfugice/status/1681681091558535168")</f>
        <v>https://twitter.com/jfugice/status/1681681091558535168</v>
      </c>
      <c r="AF122" s="90">
        <v>45126.627210648148</v>
      </c>
      <c r="AG122" s="99">
        <v>45126</v>
      </c>
      <c r="AH122" s="93" t="s">
        <v>11646</v>
      </c>
      <c r="AI122" s="87" t="b">
        <v>0</v>
      </c>
      <c r="AJ122" s="87"/>
      <c r="AK122" s="87"/>
      <c r="AL122" s="87"/>
      <c r="AM122" s="87"/>
      <c r="AN122" s="87"/>
      <c r="AO122" s="87"/>
      <c r="AP122" s="87"/>
      <c r="AQ122" s="87" t="s">
        <v>15527</v>
      </c>
      <c r="AR122" s="87"/>
      <c r="AS122" s="87"/>
      <c r="AT122" s="87"/>
      <c r="AU122" s="87"/>
      <c r="AV122" s="92" t="str">
        <f>HYPERLINK("https://pbs.twimg.com/media/F1aICkbXsAA50bj.jpg")</f>
        <v>https://pbs.twimg.com/media/F1aICkbXsAA50bj.jpg</v>
      </c>
      <c r="AW122" s="93" t="s">
        <v>18375</v>
      </c>
      <c r="AX122" s="93" t="s">
        <v>18375</v>
      </c>
      <c r="AY122" s="87"/>
      <c r="AZ122" s="93" t="s">
        <v>22668</v>
      </c>
      <c r="BA122" s="93" t="s">
        <v>22668</v>
      </c>
      <c r="BB122" s="93" t="s">
        <v>22668</v>
      </c>
      <c r="BC122" s="93" t="s">
        <v>18375</v>
      </c>
      <c r="BD122" s="93" t="s">
        <v>22812</v>
      </c>
      <c r="BE122" s="87"/>
      <c r="BF122" s="87"/>
      <c r="BG122" s="87"/>
      <c r="BH122" s="87"/>
      <c r="BI122" s="87"/>
    </row>
    <row r="123" spans="1:61" x14ac:dyDescent="0.25">
      <c r="A123" s="63" t="s">
        <v>264</v>
      </c>
      <c r="B123" s="63" t="s">
        <v>264</v>
      </c>
      <c r="C123" s="64"/>
      <c r="D123" s="65"/>
      <c r="E123" s="66"/>
      <c r="F123" s="67"/>
      <c r="G123" s="64"/>
      <c r="H123" s="68"/>
      <c r="I123" s="69"/>
      <c r="J123" s="69"/>
      <c r="K123" s="32"/>
      <c r="L123" s="76">
        <v>123</v>
      </c>
      <c r="M123" s="76"/>
      <c r="N123" s="71"/>
      <c r="O123" s="87" t="s">
        <v>179</v>
      </c>
      <c r="P123" s="90">
        <v>45125.875925925924</v>
      </c>
      <c r="Q123" s="87" t="s">
        <v>1961</v>
      </c>
      <c r="R123" s="87">
        <v>0</v>
      </c>
      <c r="S123" s="87">
        <v>0</v>
      </c>
      <c r="T123" s="87">
        <v>0</v>
      </c>
      <c r="U123" s="87">
        <v>0</v>
      </c>
      <c r="V123" s="87">
        <v>66</v>
      </c>
      <c r="W123" s="93" t="s">
        <v>5927</v>
      </c>
      <c r="X123" s="87"/>
      <c r="Y123" s="87"/>
      <c r="Z123" s="87"/>
      <c r="AA123" s="87" t="s">
        <v>8715</v>
      </c>
      <c r="AB123" s="87" t="s">
        <v>11448</v>
      </c>
      <c r="AC123" s="93" t="s">
        <v>11462</v>
      </c>
      <c r="AD123" s="87" t="s">
        <v>11519</v>
      </c>
      <c r="AE123" s="92" t="str">
        <f>HYPERLINK("https://twitter.com/jfugice/status/1681408837872435229")</f>
        <v>https://twitter.com/jfugice/status/1681408837872435229</v>
      </c>
      <c r="AF123" s="90">
        <v>45125.875925925924</v>
      </c>
      <c r="AG123" s="99">
        <v>45125</v>
      </c>
      <c r="AH123" s="93" t="s">
        <v>11647</v>
      </c>
      <c r="AI123" s="87" t="b">
        <v>0</v>
      </c>
      <c r="AJ123" s="87"/>
      <c r="AK123" s="87"/>
      <c r="AL123" s="87"/>
      <c r="AM123" s="87"/>
      <c r="AN123" s="87"/>
      <c r="AO123" s="87"/>
      <c r="AP123" s="87"/>
      <c r="AQ123" s="87" t="s">
        <v>15528</v>
      </c>
      <c r="AR123" s="87"/>
      <c r="AS123" s="87"/>
      <c r="AT123" s="87"/>
      <c r="AU123" s="87"/>
      <c r="AV123" s="92" t="str">
        <f>HYPERLINK("https://pbs.twimg.com/media/F1WQbY4WwBAk-00.jpg")</f>
        <v>https://pbs.twimg.com/media/F1WQbY4WwBAk-00.jpg</v>
      </c>
      <c r="AW123" s="93" t="s">
        <v>18376</v>
      </c>
      <c r="AX123" s="93" t="s">
        <v>18376</v>
      </c>
      <c r="AY123" s="87"/>
      <c r="AZ123" s="93" t="s">
        <v>22668</v>
      </c>
      <c r="BA123" s="93" t="s">
        <v>22668</v>
      </c>
      <c r="BB123" s="93" t="s">
        <v>22668</v>
      </c>
      <c r="BC123" s="93" t="s">
        <v>18376</v>
      </c>
      <c r="BD123" s="93" t="s">
        <v>22812</v>
      </c>
      <c r="BE123" s="87"/>
      <c r="BF123" s="87"/>
      <c r="BG123" s="87"/>
      <c r="BH123" s="87"/>
      <c r="BI123" s="87"/>
    </row>
    <row r="124" spans="1:61" x14ac:dyDescent="0.25">
      <c r="A124" s="63" t="s">
        <v>264</v>
      </c>
      <c r="B124" s="63" t="s">
        <v>264</v>
      </c>
      <c r="C124" s="64"/>
      <c r="D124" s="65"/>
      <c r="E124" s="66"/>
      <c r="F124" s="67"/>
      <c r="G124" s="64"/>
      <c r="H124" s="68"/>
      <c r="I124" s="69"/>
      <c r="J124" s="69"/>
      <c r="K124" s="32"/>
      <c r="L124" s="76">
        <v>124</v>
      </c>
      <c r="M124" s="76"/>
      <c r="N124" s="71"/>
      <c r="O124" s="87" t="s">
        <v>179</v>
      </c>
      <c r="P124" s="90">
        <v>45125.633460648147</v>
      </c>
      <c r="Q124" s="87" t="s">
        <v>1962</v>
      </c>
      <c r="R124" s="87">
        <v>0</v>
      </c>
      <c r="S124" s="87">
        <v>0</v>
      </c>
      <c r="T124" s="87">
        <v>0</v>
      </c>
      <c r="U124" s="87">
        <v>0</v>
      </c>
      <c r="V124" s="87">
        <v>29</v>
      </c>
      <c r="W124" s="93" t="s">
        <v>5928</v>
      </c>
      <c r="X124" s="87"/>
      <c r="Y124" s="87"/>
      <c r="Z124" s="87"/>
      <c r="AA124" s="87" t="s">
        <v>8716</v>
      </c>
      <c r="AB124" s="87" t="s">
        <v>11447</v>
      </c>
      <c r="AC124" s="93" t="s">
        <v>11462</v>
      </c>
      <c r="AD124" s="87" t="s">
        <v>11519</v>
      </c>
      <c r="AE124" s="92" t="str">
        <f>HYPERLINK("https://twitter.com/jfugice/status/1681320970689318913")</f>
        <v>https://twitter.com/jfugice/status/1681320970689318913</v>
      </c>
      <c r="AF124" s="90">
        <v>45125.633460648147</v>
      </c>
      <c r="AG124" s="99">
        <v>45125</v>
      </c>
      <c r="AH124" s="93" t="s">
        <v>11648</v>
      </c>
      <c r="AI124" s="87" t="b">
        <v>0</v>
      </c>
      <c r="AJ124" s="87"/>
      <c r="AK124" s="87"/>
      <c r="AL124" s="87"/>
      <c r="AM124" s="87"/>
      <c r="AN124" s="87"/>
      <c r="AO124" s="87"/>
      <c r="AP124" s="87"/>
      <c r="AQ124" s="87" t="s">
        <v>15529</v>
      </c>
      <c r="AR124" s="87">
        <v>40500</v>
      </c>
      <c r="AS124" s="87"/>
      <c r="AT124" s="87"/>
      <c r="AU124" s="87"/>
      <c r="AV124" s="92" t="str">
        <f>HYPERLINK("https://pbs.twimg.com/ext_tw_video_thumb/1681320910651793409/pu/img/1lHcvkOlsCmCk0dE.jpg")</f>
        <v>https://pbs.twimg.com/ext_tw_video_thumb/1681320910651793409/pu/img/1lHcvkOlsCmCk0dE.jpg</v>
      </c>
      <c r="AW124" s="93" t="s">
        <v>18377</v>
      </c>
      <c r="AX124" s="93" t="s">
        <v>18377</v>
      </c>
      <c r="AY124" s="87"/>
      <c r="AZ124" s="93" t="s">
        <v>22668</v>
      </c>
      <c r="BA124" s="93" t="s">
        <v>22668</v>
      </c>
      <c r="BB124" s="93" t="s">
        <v>22668</v>
      </c>
      <c r="BC124" s="93" t="s">
        <v>18377</v>
      </c>
      <c r="BD124" s="93" t="s">
        <v>22812</v>
      </c>
      <c r="BE124" s="87"/>
      <c r="BF124" s="87"/>
      <c r="BG124" s="87"/>
      <c r="BH124" s="87"/>
      <c r="BI124" s="87"/>
    </row>
    <row r="125" spans="1:61" x14ac:dyDescent="0.25">
      <c r="A125" s="63" t="s">
        <v>264</v>
      </c>
      <c r="B125" s="63" t="s">
        <v>264</v>
      </c>
      <c r="C125" s="64"/>
      <c r="D125" s="65"/>
      <c r="E125" s="66"/>
      <c r="F125" s="67"/>
      <c r="G125" s="64"/>
      <c r="H125" s="68"/>
      <c r="I125" s="69"/>
      <c r="J125" s="69"/>
      <c r="K125" s="32"/>
      <c r="L125" s="76">
        <v>125</v>
      </c>
      <c r="M125" s="76"/>
      <c r="N125" s="71"/>
      <c r="O125" s="87" t="s">
        <v>179</v>
      </c>
      <c r="P125" s="90">
        <v>45188.625937500001</v>
      </c>
      <c r="Q125" s="87" t="s">
        <v>1963</v>
      </c>
      <c r="R125" s="87">
        <v>0</v>
      </c>
      <c r="S125" s="87">
        <v>0</v>
      </c>
      <c r="T125" s="87">
        <v>0</v>
      </c>
      <c r="U125" s="87">
        <v>0</v>
      </c>
      <c r="V125" s="87">
        <v>10</v>
      </c>
      <c r="W125" s="93" t="s">
        <v>5929</v>
      </c>
      <c r="X125" s="87"/>
      <c r="Y125" s="87"/>
      <c r="Z125" s="87"/>
      <c r="AA125" s="87" t="s">
        <v>8717</v>
      </c>
      <c r="AB125" s="87" t="s">
        <v>11448</v>
      </c>
      <c r="AC125" s="93" t="s">
        <v>11462</v>
      </c>
      <c r="AD125" s="87" t="s">
        <v>11519</v>
      </c>
      <c r="AE125" s="92" t="str">
        <f>HYPERLINK("https://twitter.com/jfugice/status/1704148679081304444")</f>
        <v>https://twitter.com/jfugice/status/1704148679081304444</v>
      </c>
      <c r="AF125" s="90">
        <v>45188.625937500001</v>
      </c>
      <c r="AG125" s="99">
        <v>45188</v>
      </c>
      <c r="AH125" s="93" t="s">
        <v>11649</v>
      </c>
      <c r="AI125" s="87" t="b">
        <v>0</v>
      </c>
      <c r="AJ125" s="87"/>
      <c r="AK125" s="87"/>
      <c r="AL125" s="87"/>
      <c r="AM125" s="87"/>
      <c r="AN125" s="87"/>
      <c r="AO125" s="87"/>
      <c r="AP125" s="87"/>
      <c r="AQ125" s="87" t="s">
        <v>15530</v>
      </c>
      <c r="AR125" s="87"/>
      <c r="AS125" s="87"/>
      <c r="AT125" s="87"/>
      <c r="AU125" s="87"/>
      <c r="AV125" s="92" t="str">
        <f>HYPERLINK("https://pbs.twimg.com/media/F6ZaMVIXIAAzGm5.jpg")</f>
        <v>https://pbs.twimg.com/media/F6ZaMVIXIAAzGm5.jpg</v>
      </c>
      <c r="AW125" s="93" t="s">
        <v>18378</v>
      </c>
      <c r="AX125" s="93" t="s">
        <v>18378</v>
      </c>
      <c r="AY125" s="87"/>
      <c r="AZ125" s="93" t="s">
        <v>22668</v>
      </c>
      <c r="BA125" s="93" t="s">
        <v>22668</v>
      </c>
      <c r="BB125" s="93" t="s">
        <v>22668</v>
      </c>
      <c r="BC125" s="93" t="s">
        <v>18378</v>
      </c>
      <c r="BD125" s="93" t="s">
        <v>22812</v>
      </c>
      <c r="BE125" s="87"/>
      <c r="BF125" s="87"/>
      <c r="BG125" s="87"/>
      <c r="BH125" s="87"/>
      <c r="BI125" s="87"/>
    </row>
    <row r="126" spans="1:61" x14ac:dyDescent="0.25">
      <c r="A126" s="63" t="s">
        <v>264</v>
      </c>
      <c r="B126" s="63" t="s">
        <v>264</v>
      </c>
      <c r="C126" s="64"/>
      <c r="D126" s="65"/>
      <c r="E126" s="66"/>
      <c r="F126" s="67"/>
      <c r="G126" s="64"/>
      <c r="H126" s="68"/>
      <c r="I126" s="69"/>
      <c r="J126" s="69"/>
      <c r="K126" s="32"/>
      <c r="L126" s="76">
        <v>126</v>
      </c>
      <c r="M126" s="76"/>
      <c r="N126" s="71"/>
      <c r="O126" s="87" t="s">
        <v>179</v>
      </c>
      <c r="P126" s="90">
        <v>45177.876574074071</v>
      </c>
      <c r="Q126" s="87" t="s">
        <v>1964</v>
      </c>
      <c r="R126" s="87">
        <v>0</v>
      </c>
      <c r="S126" s="87">
        <v>0</v>
      </c>
      <c r="T126" s="87">
        <v>0</v>
      </c>
      <c r="U126" s="87">
        <v>0</v>
      </c>
      <c r="V126" s="87">
        <v>11</v>
      </c>
      <c r="W126" s="93" t="s">
        <v>5930</v>
      </c>
      <c r="X126" s="87"/>
      <c r="Y126" s="87"/>
      <c r="Z126" s="87"/>
      <c r="AA126" s="87" t="s">
        <v>8718</v>
      </c>
      <c r="AB126" s="87" t="s">
        <v>11448</v>
      </c>
      <c r="AC126" s="93" t="s">
        <v>11462</v>
      </c>
      <c r="AD126" s="87" t="s">
        <v>11519</v>
      </c>
      <c r="AE126" s="92" t="str">
        <f>HYPERLINK("https://twitter.com/jfugice/status/1700253241605284226")</f>
        <v>https://twitter.com/jfugice/status/1700253241605284226</v>
      </c>
      <c r="AF126" s="90">
        <v>45177.876574074071</v>
      </c>
      <c r="AG126" s="99">
        <v>45177</v>
      </c>
      <c r="AH126" s="93" t="s">
        <v>11650</v>
      </c>
      <c r="AI126" s="87" t="b">
        <v>0</v>
      </c>
      <c r="AJ126" s="87"/>
      <c r="AK126" s="87"/>
      <c r="AL126" s="87"/>
      <c r="AM126" s="87"/>
      <c r="AN126" s="87"/>
      <c r="AO126" s="87"/>
      <c r="AP126" s="87"/>
      <c r="AQ126" s="87" t="s">
        <v>15531</v>
      </c>
      <c r="AR126" s="87"/>
      <c r="AS126" s="87"/>
      <c r="AT126" s="87"/>
      <c r="AU126" s="87"/>
      <c r="AV126" s="92" t="str">
        <f>HYPERLINK("https://pbs.twimg.com/media/F5iDUBhXIAAhWB8.jpg")</f>
        <v>https://pbs.twimg.com/media/F5iDUBhXIAAhWB8.jpg</v>
      </c>
      <c r="AW126" s="93" t="s">
        <v>18379</v>
      </c>
      <c r="AX126" s="93" t="s">
        <v>18379</v>
      </c>
      <c r="AY126" s="87"/>
      <c r="AZ126" s="93" t="s">
        <v>22668</v>
      </c>
      <c r="BA126" s="93" t="s">
        <v>22668</v>
      </c>
      <c r="BB126" s="93" t="s">
        <v>22668</v>
      </c>
      <c r="BC126" s="93" t="s">
        <v>18379</v>
      </c>
      <c r="BD126" s="93" t="s">
        <v>22812</v>
      </c>
      <c r="BE126" s="87"/>
      <c r="BF126" s="87"/>
      <c r="BG126" s="87"/>
      <c r="BH126" s="87"/>
      <c r="BI126" s="87"/>
    </row>
    <row r="127" spans="1:61" x14ac:dyDescent="0.25">
      <c r="A127" s="63" t="s">
        <v>264</v>
      </c>
      <c r="B127" s="63" t="s">
        <v>264</v>
      </c>
      <c r="C127" s="64"/>
      <c r="D127" s="65"/>
      <c r="E127" s="66"/>
      <c r="F127" s="67"/>
      <c r="G127" s="64"/>
      <c r="H127" s="68"/>
      <c r="I127" s="69"/>
      <c r="J127" s="69"/>
      <c r="K127" s="32"/>
      <c r="L127" s="76">
        <v>127</v>
      </c>
      <c r="M127" s="76"/>
      <c r="N127" s="71"/>
      <c r="O127" s="87" t="s">
        <v>179</v>
      </c>
      <c r="P127" s="90">
        <v>45162.875358796293</v>
      </c>
      <c r="Q127" s="87" t="s">
        <v>1965</v>
      </c>
      <c r="R127" s="87">
        <v>0</v>
      </c>
      <c r="S127" s="87">
        <v>0</v>
      </c>
      <c r="T127" s="87">
        <v>0</v>
      </c>
      <c r="U127" s="87">
        <v>0</v>
      </c>
      <c r="V127" s="87">
        <v>7</v>
      </c>
      <c r="W127" s="93" t="s">
        <v>5931</v>
      </c>
      <c r="X127" s="87"/>
      <c r="Y127" s="87"/>
      <c r="Z127" s="87"/>
      <c r="AA127" s="87" t="s">
        <v>8719</v>
      </c>
      <c r="AB127" s="87" t="s">
        <v>11448</v>
      </c>
      <c r="AC127" s="93" t="s">
        <v>11462</v>
      </c>
      <c r="AD127" s="87" t="s">
        <v>11519</v>
      </c>
      <c r="AE127" s="92" t="str">
        <f>HYPERLINK("https://twitter.com/jfugice/status/1694816984330887365")</f>
        <v>https://twitter.com/jfugice/status/1694816984330887365</v>
      </c>
      <c r="AF127" s="90">
        <v>45162.875358796293</v>
      </c>
      <c r="AG127" s="99">
        <v>45162</v>
      </c>
      <c r="AH127" s="93" t="s">
        <v>11651</v>
      </c>
      <c r="AI127" s="87" t="b">
        <v>0</v>
      </c>
      <c r="AJ127" s="87"/>
      <c r="AK127" s="87"/>
      <c r="AL127" s="87"/>
      <c r="AM127" s="87"/>
      <c r="AN127" s="87"/>
      <c r="AO127" s="87"/>
      <c r="AP127" s="87"/>
      <c r="AQ127" s="87" t="s">
        <v>15532</v>
      </c>
      <c r="AR127" s="87"/>
      <c r="AS127" s="87"/>
      <c r="AT127" s="87"/>
      <c r="AU127" s="87"/>
      <c r="AV127" s="92" t="str">
        <f>HYPERLINK("https://pbs.twimg.com/media/F4UzEORXYAE6z2u.jpg")</f>
        <v>https://pbs.twimg.com/media/F4UzEORXYAE6z2u.jpg</v>
      </c>
      <c r="AW127" s="93" t="s">
        <v>18380</v>
      </c>
      <c r="AX127" s="93" t="s">
        <v>18380</v>
      </c>
      <c r="AY127" s="87"/>
      <c r="AZ127" s="93" t="s">
        <v>22668</v>
      </c>
      <c r="BA127" s="93" t="s">
        <v>22668</v>
      </c>
      <c r="BB127" s="93" t="s">
        <v>22668</v>
      </c>
      <c r="BC127" s="93" t="s">
        <v>18380</v>
      </c>
      <c r="BD127" s="93" t="s">
        <v>22812</v>
      </c>
      <c r="BE127" s="87"/>
      <c r="BF127" s="87"/>
      <c r="BG127" s="87"/>
      <c r="BH127" s="87"/>
      <c r="BI127" s="87"/>
    </row>
    <row r="128" spans="1:61" x14ac:dyDescent="0.25">
      <c r="A128" s="63" t="s">
        <v>264</v>
      </c>
      <c r="B128" s="63" t="s">
        <v>264</v>
      </c>
      <c r="C128" s="64"/>
      <c r="D128" s="65"/>
      <c r="E128" s="66"/>
      <c r="F128" s="67"/>
      <c r="G128" s="64"/>
      <c r="H128" s="68"/>
      <c r="I128" s="69"/>
      <c r="J128" s="69"/>
      <c r="K128" s="32"/>
      <c r="L128" s="76">
        <v>128</v>
      </c>
      <c r="M128" s="76"/>
      <c r="N128" s="71"/>
      <c r="O128" s="87" t="s">
        <v>179</v>
      </c>
      <c r="P128" s="90">
        <v>45149.625949074078</v>
      </c>
      <c r="Q128" s="87" t="s">
        <v>1966</v>
      </c>
      <c r="R128" s="87">
        <v>0</v>
      </c>
      <c r="S128" s="87">
        <v>0</v>
      </c>
      <c r="T128" s="87">
        <v>0</v>
      </c>
      <c r="U128" s="87">
        <v>0</v>
      </c>
      <c r="V128" s="87">
        <v>7</v>
      </c>
      <c r="W128" s="93" t="s">
        <v>5932</v>
      </c>
      <c r="X128" s="87"/>
      <c r="Y128" s="87"/>
      <c r="Z128" s="87"/>
      <c r="AA128" s="87" t="s">
        <v>8720</v>
      </c>
      <c r="AB128" s="87" t="s">
        <v>11448</v>
      </c>
      <c r="AC128" s="93" t="s">
        <v>11462</v>
      </c>
      <c r="AD128" s="87" t="s">
        <v>11519</v>
      </c>
      <c r="AE128" s="92" t="str">
        <f>HYPERLINK("https://twitter.com/jfugice/status/1690015557855141888")</f>
        <v>https://twitter.com/jfugice/status/1690015557855141888</v>
      </c>
      <c r="AF128" s="90">
        <v>45149.625949074078</v>
      </c>
      <c r="AG128" s="99">
        <v>45149</v>
      </c>
      <c r="AH128" s="93" t="s">
        <v>11652</v>
      </c>
      <c r="AI128" s="87" t="b">
        <v>0</v>
      </c>
      <c r="AJ128" s="87"/>
      <c r="AK128" s="87"/>
      <c r="AL128" s="87"/>
      <c r="AM128" s="87"/>
      <c r="AN128" s="87"/>
      <c r="AO128" s="87"/>
      <c r="AP128" s="87"/>
      <c r="AQ128" s="87" t="s">
        <v>15533</v>
      </c>
      <c r="AR128" s="87"/>
      <c r="AS128" s="87"/>
      <c r="AT128" s="87"/>
      <c r="AU128" s="87"/>
      <c r="AV128" s="92" t="str">
        <f>HYPERLINK("https://pbs.twimg.com/media/F3QkMZsXwAACkoU.jpg")</f>
        <v>https://pbs.twimg.com/media/F3QkMZsXwAACkoU.jpg</v>
      </c>
      <c r="AW128" s="93" t="s">
        <v>18381</v>
      </c>
      <c r="AX128" s="93" t="s">
        <v>18381</v>
      </c>
      <c r="AY128" s="87"/>
      <c r="AZ128" s="93" t="s">
        <v>22668</v>
      </c>
      <c r="BA128" s="93" t="s">
        <v>22668</v>
      </c>
      <c r="BB128" s="93" t="s">
        <v>22668</v>
      </c>
      <c r="BC128" s="93" t="s">
        <v>18381</v>
      </c>
      <c r="BD128" s="93" t="s">
        <v>22812</v>
      </c>
      <c r="BE128" s="87"/>
      <c r="BF128" s="87"/>
      <c r="BG128" s="87"/>
      <c r="BH128" s="87"/>
      <c r="BI128" s="87"/>
    </row>
    <row r="129" spans="1:61" x14ac:dyDescent="0.25">
      <c r="A129" s="63" t="s">
        <v>264</v>
      </c>
      <c r="B129" s="63" t="s">
        <v>264</v>
      </c>
      <c r="C129" s="64"/>
      <c r="D129" s="65"/>
      <c r="E129" s="66"/>
      <c r="F129" s="67"/>
      <c r="G129" s="64"/>
      <c r="H129" s="68"/>
      <c r="I129" s="69"/>
      <c r="J129" s="69"/>
      <c r="K129" s="32"/>
      <c r="L129" s="76">
        <v>129</v>
      </c>
      <c r="M129" s="76"/>
      <c r="N129" s="71"/>
      <c r="O129" s="87" t="s">
        <v>179</v>
      </c>
      <c r="P129" s="90">
        <v>45189.873761574076</v>
      </c>
      <c r="Q129" s="87" t="s">
        <v>1967</v>
      </c>
      <c r="R129" s="87">
        <v>0</v>
      </c>
      <c r="S129" s="87">
        <v>0</v>
      </c>
      <c r="T129" s="87">
        <v>0</v>
      </c>
      <c r="U129" s="87">
        <v>0</v>
      </c>
      <c r="V129" s="87">
        <v>2</v>
      </c>
      <c r="W129" s="93" t="s">
        <v>5933</v>
      </c>
      <c r="X129" s="87"/>
      <c r="Y129" s="87"/>
      <c r="Z129" s="87"/>
      <c r="AA129" s="87" t="s">
        <v>8721</v>
      </c>
      <c r="AB129" s="87" t="s">
        <v>11448</v>
      </c>
      <c r="AC129" s="93" t="s">
        <v>11462</v>
      </c>
      <c r="AD129" s="87" t="s">
        <v>11519</v>
      </c>
      <c r="AE129" s="92" t="str">
        <f>HYPERLINK("https://twitter.com/jfugice/status/1704600875258507650")</f>
        <v>https://twitter.com/jfugice/status/1704600875258507650</v>
      </c>
      <c r="AF129" s="90">
        <v>45189.873761574076</v>
      </c>
      <c r="AG129" s="99">
        <v>45189</v>
      </c>
      <c r="AH129" s="93" t="s">
        <v>11653</v>
      </c>
      <c r="AI129" s="87" t="b">
        <v>0</v>
      </c>
      <c r="AJ129" s="87"/>
      <c r="AK129" s="87"/>
      <c r="AL129" s="87"/>
      <c r="AM129" s="87"/>
      <c r="AN129" s="87"/>
      <c r="AO129" s="87"/>
      <c r="AP129" s="87"/>
      <c r="AQ129" s="87" t="s">
        <v>15534</v>
      </c>
      <c r="AR129" s="87"/>
      <c r="AS129" s="87"/>
      <c r="AT129" s="87"/>
      <c r="AU129" s="87"/>
      <c r="AV129" s="92" t="str">
        <f>HYPERLINK("https://pbs.twimg.com/media/F6f1dozXwAEPMFC.jpg")</f>
        <v>https://pbs.twimg.com/media/F6f1dozXwAEPMFC.jpg</v>
      </c>
      <c r="AW129" s="93" t="s">
        <v>18382</v>
      </c>
      <c r="AX129" s="93" t="s">
        <v>18382</v>
      </c>
      <c r="AY129" s="87"/>
      <c r="AZ129" s="93" t="s">
        <v>22668</v>
      </c>
      <c r="BA129" s="93" t="s">
        <v>22668</v>
      </c>
      <c r="BB129" s="93" t="s">
        <v>22668</v>
      </c>
      <c r="BC129" s="93" t="s">
        <v>18382</v>
      </c>
      <c r="BD129" s="93" t="s">
        <v>22812</v>
      </c>
      <c r="BE129" s="87"/>
      <c r="BF129" s="87"/>
      <c r="BG129" s="87"/>
      <c r="BH129" s="87"/>
      <c r="BI129" s="87"/>
    </row>
    <row r="130" spans="1:61" x14ac:dyDescent="0.25">
      <c r="A130" s="63" t="s">
        <v>264</v>
      </c>
      <c r="B130" s="63" t="s">
        <v>264</v>
      </c>
      <c r="C130" s="64"/>
      <c r="D130" s="65"/>
      <c r="E130" s="66"/>
      <c r="F130" s="67"/>
      <c r="G130" s="64"/>
      <c r="H130" s="68"/>
      <c r="I130" s="69"/>
      <c r="J130" s="69"/>
      <c r="K130" s="32"/>
      <c r="L130" s="76">
        <v>130</v>
      </c>
      <c r="M130" s="76"/>
      <c r="N130" s="71"/>
      <c r="O130" s="87" t="s">
        <v>179</v>
      </c>
      <c r="P130" s="90">
        <v>45176.875231481485</v>
      </c>
      <c r="Q130" s="87" t="s">
        <v>1968</v>
      </c>
      <c r="R130" s="87">
        <v>0</v>
      </c>
      <c r="S130" s="87">
        <v>0</v>
      </c>
      <c r="T130" s="87">
        <v>0</v>
      </c>
      <c r="U130" s="87">
        <v>0</v>
      </c>
      <c r="V130" s="87">
        <v>18</v>
      </c>
      <c r="W130" s="93" t="s">
        <v>5930</v>
      </c>
      <c r="X130" s="87"/>
      <c r="Y130" s="87"/>
      <c r="Z130" s="87"/>
      <c r="AA130" s="87" t="s">
        <v>8722</v>
      </c>
      <c r="AB130" s="87" t="s">
        <v>11448</v>
      </c>
      <c r="AC130" s="93" t="s">
        <v>11462</v>
      </c>
      <c r="AD130" s="87" t="s">
        <v>11519</v>
      </c>
      <c r="AE130" s="92" t="str">
        <f>HYPERLINK("https://twitter.com/jfugice/status/1699890368676802784")</f>
        <v>https://twitter.com/jfugice/status/1699890368676802784</v>
      </c>
      <c r="AF130" s="90">
        <v>45176.875231481485</v>
      </c>
      <c r="AG130" s="99">
        <v>45176</v>
      </c>
      <c r="AH130" s="93" t="s">
        <v>11654</v>
      </c>
      <c r="AI130" s="87" t="b">
        <v>0</v>
      </c>
      <c r="AJ130" s="87"/>
      <c r="AK130" s="87"/>
      <c r="AL130" s="87"/>
      <c r="AM130" s="87"/>
      <c r="AN130" s="87"/>
      <c r="AO130" s="87"/>
      <c r="AP130" s="87"/>
      <c r="AQ130" s="87" t="s">
        <v>15535</v>
      </c>
      <c r="AR130" s="87"/>
      <c r="AS130" s="87"/>
      <c r="AT130" s="87"/>
      <c r="AU130" s="87"/>
      <c r="AV130" s="92" t="str">
        <f>HYPERLINK("https://pbs.twimg.com/media/F5c5SDCXUAA7jye.jpg")</f>
        <v>https://pbs.twimg.com/media/F5c5SDCXUAA7jye.jpg</v>
      </c>
      <c r="AW130" s="93" t="s">
        <v>18383</v>
      </c>
      <c r="AX130" s="93" t="s">
        <v>18383</v>
      </c>
      <c r="AY130" s="87"/>
      <c r="AZ130" s="93" t="s">
        <v>22668</v>
      </c>
      <c r="BA130" s="93" t="s">
        <v>22668</v>
      </c>
      <c r="BB130" s="93" t="s">
        <v>22668</v>
      </c>
      <c r="BC130" s="93" t="s">
        <v>18383</v>
      </c>
      <c r="BD130" s="93" t="s">
        <v>22812</v>
      </c>
      <c r="BE130" s="87"/>
      <c r="BF130" s="87"/>
      <c r="BG130" s="87"/>
      <c r="BH130" s="87"/>
      <c r="BI130" s="87"/>
    </row>
    <row r="131" spans="1:61" x14ac:dyDescent="0.25">
      <c r="A131" s="63" t="s">
        <v>264</v>
      </c>
      <c r="B131" s="63" t="s">
        <v>264</v>
      </c>
      <c r="C131" s="64"/>
      <c r="D131" s="65"/>
      <c r="E131" s="66"/>
      <c r="F131" s="67"/>
      <c r="G131" s="64"/>
      <c r="H131" s="68"/>
      <c r="I131" s="69"/>
      <c r="J131" s="69"/>
      <c r="K131" s="32"/>
      <c r="L131" s="76">
        <v>131</v>
      </c>
      <c r="M131" s="76"/>
      <c r="N131" s="71"/>
      <c r="O131" s="87" t="s">
        <v>179</v>
      </c>
      <c r="P131" s="90">
        <v>45142.634259259263</v>
      </c>
      <c r="Q131" s="87" t="s">
        <v>1969</v>
      </c>
      <c r="R131" s="87">
        <v>0</v>
      </c>
      <c r="S131" s="87">
        <v>1</v>
      </c>
      <c r="T131" s="87">
        <v>0</v>
      </c>
      <c r="U131" s="87">
        <v>0</v>
      </c>
      <c r="V131" s="87">
        <v>42</v>
      </c>
      <c r="W131" s="93" t="s">
        <v>5934</v>
      </c>
      <c r="X131" s="87"/>
      <c r="Y131" s="87"/>
      <c r="Z131" s="87"/>
      <c r="AA131" s="87" t="s">
        <v>8723</v>
      </c>
      <c r="AB131" s="87" t="s">
        <v>11447</v>
      </c>
      <c r="AC131" s="93" t="s">
        <v>11462</v>
      </c>
      <c r="AD131" s="87" t="s">
        <v>11519</v>
      </c>
      <c r="AE131" s="92" t="str">
        <f>HYPERLINK("https://twitter.com/jfugice/status/1687481852196528128")</f>
        <v>https://twitter.com/jfugice/status/1687481852196528128</v>
      </c>
      <c r="AF131" s="90">
        <v>45142.634259259263</v>
      </c>
      <c r="AG131" s="99">
        <v>45142</v>
      </c>
      <c r="AH131" s="93" t="s">
        <v>11655</v>
      </c>
      <c r="AI131" s="87" t="b">
        <v>0</v>
      </c>
      <c r="AJ131" s="87"/>
      <c r="AK131" s="87"/>
      <c r="AL131" s="87"/>
      <c r="AM131" s="87"/>
      <c r="AN131" s="87"/>
      <c r="AO131" s="87"/>
      <c r="AP131" s="87"/>
      <c r="AQ131" s="87" t="s">
        <v>15536</v>
      </c>
      <c r="AR131" s="87">
        <v>25566</v>
      </c>
      <c r="AS131" s="87"/>
      <c r="AT131" s="87"/>
      <c r="AU131" s="87"/>
      <c r="AV131" s="92" t="str">
        <f>HYPERLINK("https://pbs.twimg.com/ext_tw_video_thumb/1687481802607222786/pu/img/AFC79SIqzVb9h3l9.jpg")</f>
        <v>https://pbs.twimg.com/ext_tw_video_thumb/1687481802607222786/pu/img/AFC79SIqzVb9h3l9.jpg</v>
      </c>
      <c r="AW131" s="93" t="s">
        <v>18384</v>
      </c>
      <c r="AX131" s="93" t="s">
        <v>18384</v>
      </c>
      <c r="AY131" s="87"/>
      <c r="AZ131" s="93" t="s">
        <v>22668</v>
      </c>
      <c r="BA131" s="93" t="s">
        <v>22668</v>
      </c>
      <c r="BB131" s="93" t="s">
        <v>22668</v>
      </c>
      <c r="BC131" s="93" t="s">
        <v>18384</v>
      </c>
      <c r="BD131" s="93" t="s">
        <v>22812</v>
      </c>
      <c r="BE131" s="87"/>
      <c r="BF131" s="87"/>
      <c r="BG131" s="87"/>
      <c r="BH131" s="87"/>
      <c r="BI131" s="87"/>
    </row>
    <row r="132" spans="1:61" x14ac:dyDescent="0.25">
      <c r="A132" s="63" t="s">
        <v>264</v>
      </c>
      <c r="B132" s="63" t="s">
        <v>264</v>
      </c>
      <c r="C132" s="64"/>
      <c r="D132" s="65"/>
      <c r="E132" s="66"/>
      <c r="F132" s="67"/>
      <c r="G132" s="64"/>
      <c r="H132" s="68"/>
      <c r="I132" s="69"/>
      <c r="J132" s="69"/>
      <c r="K132" s="32"/>
      <c r="L132" s="76">
        <v>132</v>
      </c>
      <c r="M132" s="76"/>
      <c r="N132" s="71"/>
      <c r="O132" s="87" t="s">
        <v>179</v>
      </c>
      <c r="P132" s="90">
        <v>45141.645150462966</v>
      </c>
      <c r="Q132" s="87" t="s">
        <v>1970</v>
      </c>
      <c r="R132" s="87">
        <v>0</v>
      </c>
      <c r="S132" s="87">
        <v>1</v>
      </c>
      <c r="T132" s="87">
        <v>0</v>
      </c>
      <c r="U132" s="87">
        <v>0</v>
      </c>
      <c r="V132" s="87">
        <v>62</v>
      </c>
      <c r="W132" s="93" t="s">
        <v>5935</v>
      </c>
      <c r="X132" s="87"/>
      <c r="Y132" s="87"/>
      <c r="Z132" s="87"/>
      <c r="AA132" s="87" t="s">
        <v>8724</v>
      </c>
      <c r="AB132" s="87" t="s">
        <v>11447</v>
      </c>
      <c r="AC132" s="93" t="s">
        <v>11462</v>
      </c>
      <c r="AD132" s="87" t="s">
        <v>11519</v>
      </c>
      <c r="AE132" s="92" t="str">
        <f>HYPERLINK("https://twitter.com/jfugice/status/1687123411317698561")</f>
        <v>https://twitter.com/jfugice/status/1687123411317698561</v>
      </c>
      <c r="AF132" s="90">
        <v>45141.645150462966</v>
      </c>
      <c r="AG132" s="99">
        <v>45141</v>
      </c>
      <c r="AH132" s="93" t="s">
        <v>11656</v>
      </c>
      <c r="AI132" s="87" t="b">
        <v>0</v>
      </c>
      <c r="AJ132" s="87"/>
      <c r="AK132" s="87"/>
      <c r="AL132" s="87"/>
      <c r="AM132" s="87"/>
      <c r="AN132" s="87"/>
      <c r="AO132" s="87"/>
      <c r="AP132" s="87"/>
      <c r="AQ132" s="87" t="s">
        <v>15537</v>
      </c>
      <c r="AR132" s="87">
        <v>3866</v>
      </c>
      <c r="AS132" s="87"/>
      <c r="AT132" s="87"/>
      <c r="AU132" s="87"/>
      <c r="AV132" s="92" t="str">
        <f>HYPERLINK("https://pbs.twimg.com/ext_tw_video_thumb/1687123367675961344/pu/img/pz0KDM6qj5WL3ZcX.jpg")</f>
        <v>https://pbs.twimg.com/ext_tw_video_thumb/1687123367675961344/pu/img/pz0KDM6qj5WL3ZcX.jpg</v>
      </c>
      <c r="AW132" s="93" t="s">
        <v>18385</v>
      </c>
      <c r="AX132" s="93" t="s">
        <v>18385</v>
      </c>
      <c r="AY132" s="87"/>
      <c r="AZ132" s="93" t="s">
        <v>22668</v>
      </c>
      <c r="BA132" s="93" t="s">
        <v>22668</v>
      </c>
      <c r="BB132" s="93" t="s">
        <v>22668</v>
      </c>
      <c r="BC132" s="93" t="s">
        <v>18385</v>
      </c>
      <c r="BD132" s="93" t="s">
        <v>22812</v>
      </c>
      <c r="BE132" s="87"/>
      <c r="BF132" s="87"/>
      <c r="BG132" s="87"/>
      <c r="BH132" s="87"/>
      <c r="BI132" s="87"/>
    </row>
    <row r="133" spans="1:61" x14ac:dyDescent="0.25">
      <c r="A133" s="63" t="s">
        <v>264</v>
      </c>
      <c r="B133" s="63" t="s">
        <v>264</v>
      </c>
      <c r="C133" s="64"/>
      <c r="D133" s="65"/>
      <c r="E133" s="66"/>
      <c r="F133" s="67"/>
      <c r="G133" s="64"/>
      <c r="H133" s="68"/>
      <c r="I133" s="69"/>
      <c r="J133" s="69"/>
      <c r="K133" s="32"/>
      <c r="L133" s="76">
        <v>133</v>
      </c>
      <c r="M133" s="76"/>
      <c r="N133" s="71"/>
      <c r="O133" s="87" t="s">
        <v>179</v>
      </c>
      <c r="P133" s="90">
        <v>45114.875335648147</v>
      </c>
      <c r="Q133" s="87" t="s">
        <v>1971</v>
      </c>
      <c r="R133" s="87">
        <v>0</v>
      </c>
      <c r="S133" s="87">
        <v>0</v>
      </c>
      <c r="T133" s="87">
        <v>0</v>
      </c>
      <c r="U133" s="87">
        <v>0</v>
      </c>
      <c r="V133" s="87">
        <v>5</v>
      </c>
      <c r="W133" s="93" t="s">
        <v>5936</v>
      </c>
      <c r="X133" s="87"/>
      <c r="Y133" s="87"/>
      <c r="Z133" s="87"/>
      <c r="AA133" s="87" t="s">
        <v>8725</v>
      </c>
      <c r="AB133" s="87" t="s">
        <v>11448</v>
      </c>
      <c r="AC133" s="93" t="s">
        <v>11462</v>
      </c>
      <c r="AD133" s="87" t="s">
        <v>11519</v>
      </c>
      <c r="AE133" s="92" t="str">
        <f>HYPERLINK("https://twitter.com/jfugice/status/1677422355214114828")</f>
        <v>https://twitter.com/jfugice/status/1677422355214114828</v>
      </c>
      <c r="AF133" s="90">
        <v>45114.875335648147</v>
      </c>
      <c r="AG133" s="99">
        <v>45114</v>
      </c>
      <c r="AH133" s="93" t="s">
        <v>11640</v>
      </c>
      <c r="AI133" s="87" t="b">
        <v>0</v>
      </c>
      <c r="AJ133" s="87"/>
      <c r="AK133" s="87"/>
      <c r="AL133" s="87"/>
      <c r="AM133" s="87"/>
      <c r="AN133" s="87"/>
      <c r="AO133" s="87"/>
      <c r="AP133" s="87"/>
      <c r="AQ133" s="87" t="s">
        <v>15538</v>
      </c>
      <c r="AR133" s="87"/>
      <c r="AS133" s="87"/>
      <c r="AT133" s="87"/>
      <c r="AU133" s="87"/>
      <c r="AV133" s="92" t="str">
        <f>HYPERLINK("https://pbs.twimg.com/media/F0dmvhvX0AAytvt.jpg")</f>
        <v>https://pbs.twimg.com/media/F0dmvhvX0AAytvt.jpg</v>
      </c>
      <c r="AW133" s="93" t="s">
        <v>18386</v>
      </c>
      <c r="AX133" s="93" t="s">
        <v>18386</v>
      </c>
      <c r="AY133" s="87"/>
      <c r="AZ133" s="93" t="s">
        <v>22668</v>
      </c>
      <c r="BA133" s="93" t="s">
        <v>22668</v>
      </c>
      <c r="BB133" s="93" t="s">
        <v>22668</v>
      </c>
      <c r="BC133" s="93" t="s">
        <v>18386</v>
      </c>
      <c r="BD133" s="93" t="s">
        <v>22812</v>
      </c>
      <c r="BE133" s="87"/>
      <c r="BF133" s="87"/>
      <c r="BG133" s="87"/>
      <c r="BH133" s="87"/>
      <c r="BI133" s="87"/>
    </row>
    <row r="134" spans="1:61" x14ac:dyDescent="0.25">
      <c r="A134" s="63" t="s">
        <v>264</v>
      </c>
      <c r="B134" s="63" t="s">
        <v>264</v>
      </c>
      <c r="C134" s="64"/>
      <c r="D134" s="65"/>
      <c r="E134" s="66"/>
      <c r="F134" s="67"/>
      <c r="G134" s="64"/>
      <c r="H134" s="68"/>
      <c r="I134" s="69"/>
      <c r="J134" s="69"/>
      <c r="K134" s="32"/>
      <c r="L134" s="76">
        <v>134</v>
      </c>
      <c r="M134" s="76"/>
      <c r="N134" s="71"/>
      <c r="O134" s="87" t="s">
        <v>179</v>
      </c>
      <c r="P134" s="90">
        <v>45113.876817129632</v>
      </c>
      <c r="Q134" s="87" t="s">
        <v>1972</v>
      </c>
      <c r="R134" s="87">
        <v>0</v>
      </c>
      <c r="S134" s="87">
        <v>0</v>
      </c>
      <c r="T134" s="87">
        <v>0</v>
      </c>
      <c r="U134" s="87">
        <v>0</v>
      </c>
      <c r="V134" s="87">
        <v>22</v>
      </c>
      <c r="W134" s="93" t="s">
        <v>5937</v>
      </c>
      <c r="X134" s="87"/>
      <c r="Y134" s="87"/>
      <c r="Z134" s="87"/>
      <c r="AA134" s="87" t="s">
        <v>8726</v>
      </c>
      <c r="AB134" s="87" t="s">
        <v>11448</v>
      </c>
      <c r="AC134" s="93" t="s">
        <v>11462</v>
      </c>
      <c r="AD134" s="87" t="s">
        <v>11519</v>
      </c>
      <c r="AE134" s="92" t="str">
        <f>HYPERLINK("https://twitter.com/jfugice/status/1677060507499372547")</f>
        <v>https://twitter.com/jfugice/status/1677060507499372547</v>
      </c>
      <c r="AF134" s="90">
        <v>45113.876817129632</v>
      </c>
      <c r="AG134" s="99">
        <v>45113</v>
      </c>
      <c r="AH134" s="93" t="s">
        <v>11657</v>
      </c>
      <c r="AI134" s="87" t="b">
        <v>0</v>
      </c>
      <c r="AJ134" s="87"/>
      <c r="AK134" s="87"/>
      <c r="AL134" s="87"/>
      <c r="AM134" s="87"/>
      <c r="AN134" s="87"/>
      <c r="AO134" s="87"/>
      <c r="AP134" s="87"/>
      <c r="AQ134" s="87" t="s">
        <v>15539</v>
      </c>
      <c r="AR134" s="87"/>
      <c r="AS134" s="87"/>
      <c r="AT134" s="87"/>
      <c r="AU134" s="87"/>
      <c r="AV134" s="92" t="str">
        <f>HYPERLINK("https://pbs.twimg.com/media/F0YdpO3X0AE1CpD.jpg")</f>
        <v>https://pbs.twimg.com/media/F0YdpO3X0AE1CpD.jpg</v>
      </c>
      <c r="AW134" s="93" t="s">
        <v>18387</v>
      </c>
      <c r="AX134" s="93" t="s">
        <v>18387</v>
      </c>
      <c r="AY134" s="87"/>
      <c r="AZ134" s="93" t="s">
        <v>22668</v>
      </c>
      <c r="BA134" s="93" t="s">
        <v>22668</v>
      </c>
      <c r="BB134" s="93" t="s">
        <v>22668</v>
      </c>
      <c r="BC134" s="93" t="s">
        <v>18387</v>
      </c>
      <c r="BD134" s="93" t="s">
        <v>22812</v>
      </c>
      <c r="BE134" s="87"/>
      <c r="BF134" s="87"/>
      <c r="BG134" s="87"/>
      <c r="BH134" s="87"/>
      <c r="BI134" s="87"/>
    </row>
    <row r="135" spans="1:61" x14ac:dyDescent="0.25">
      <c r="A135" s="63" t="s">
        <v>264</v>
      </c>
      <c r="B135" s="63" t="s">
        <v>264</v>
      </c>
      <c r="C135" s="64"/>
      <c r="D135" s="65"/>
      <c r="E135" s="66"/>
      <c r="F135" s="67"/>
      <c r="G135" s="64"/>
      <c r="H135" s="68"/>
      <c r="I135" s="69"/>
      <c r="J135" s="69"/>
      <c r="K135" s="32"/>
      <c r="L135" s="76">
        <v>135</v>
      </c>
      <c r="M135" s="76"/>
      <c r="N135" s="71"/>
      <c r="O135" s="87" t="s">
        <v>179</v>
      </c>
      <c r="P135" s="90">
        <v>45194.504305555558</v>
      </c>
      <c r="Q135" s="87" t="s">
        <v>1973</v>
      </c>
      <c r="R135" s="87">
        <v>0</v>
      </c>
      <c r="S135" s="87">
        <v>0</v>
      </c>
      <c r="T135" s="87">
        <v>0</v>
      </c>
      <c r="U135" s="87">
        <v>0</v>
      </c>
      <c r="V135" s="87"/>
      <c r="W135" s="93" t="s">
        <v>5938</v>
      </c>
      <c r="X135" s="87"/>
      <c r="Y135" s="87"/>
      <c r="Z135" s="87"/>
      <c r="AA135" s="87" t="s">
        <v>8727</v>
      </c>
      <c r="AB135" s="87" t="s">
        <v>11448</v>
      </c>
      <c r="AC135" s="93" t="s">
        <v>11462</v>
      </c>
      <c r="AD135" s="87" t="s">
        <v>11519</v>
      </c>
      <c r="AE135" s="92" t="str">
        <f>HYPERLINK("https://twitter.com/jfugice/status/1706278930880065933")</f>
        <v>https://twitter.com/jfugice/status/1706278930880065933</v>
      </c>
      <c r="AF135" s="90">
        <v>45194.504305555558</v>
      </c>
      <c r="AG135" s="99">
        <v>45194</v>
      </c>
      <c r="AH135" s="93" t="s">
        <v>11658</v>
      </c>
      <c r="AI135" s="87" t="b">
        <v>0</v>
      </c>
      <c r="AJ135" s="87"/>
      <c r="AK135" s="87"/>
      <c r="AL135" s="87"/>
      <c r="AM135" s="87"/>
      <c r="AN135" s="87"/>
      <c r="AO135" s="87"/>
      <c r="AP135" s="87"/>
      <c r="AQ135" s="87" t="s">
        <v>15540</v>
      </c>
      <c r="AR135" s="87"/>
      <c r="AS135" s="87"/>
      <c r="AT135" s="87"/>
      <c r="AU135" s="87"/>
      <c r="AV135" s="92" t="str">
        <f>HYPERLINK("https://pbs.twimg.com/media/F63rpWXWcAACeVE.jpg")</f>
        <v>https://pbs.twimg.com/media/F63rpWXWcAACeVE.jpg</v>
      </c>
      <c r="AW135" s="93" t="s">
        <v>18388</v>
      </c>
      <c r="AX135" s="93" t="s">
        <v>18388</v>
      </c>
      <c r="AY135" s="87"/>
      <c r="AZ135" s="93" t="s">
        <v>22668</v>
      </c>
      <c r="BA135" s="93" t="s">
        <v>22668</v>
      </c>
      <c r="BB135" s="93" t="s">
        <v>22668</v>
      </c>
      <c r="BC135" s="93" t="s">
        <v>18388</v>
      </c>
      <c r="BD135" s="93" t="s">
        <v>22812</v>
      </c>
      <c r="BE135" s="87"/>
      <c r="BF135" s="87"/>
      <c r="BG135" s="87"/>
      <c r="BH135" s="87"/>
      <c r="BI135" s="87"/>
    </row>
    <row r="136" spans="1:61" x14ac:dyDescent="0.25">
      <c r="A136" s="63" t="s">
        <v>264</v>
      </c>
      <c r="B136" s="63" t="s">
        <v>264</v>
      </c>
      <c r="C136" s="64"/>
      <c r="D136" s="65"/>
      <c r="E136" s="66"/>
      <c r="F136" s="67"/>
      <c r="G136" s="64"/>
      <c r="H136" s="68"/>
      <c r="I136" s="69"/>
      <c r="J136" s="69"/>
      <c r="K136" s="32"/>
      <c r="L136" s="76">
        <v>136</v>
      </c>
      <c r="M136" s="76"/>
      <c r="N136" s="71"/>
      <c r="O136" s="87" t="s">
        <v>179</v>
      </c>
      <c r="P136" s="90">
        <v>45185.625925925924</v>
      </c>
      <c r="Q136" s="87" t="s">
        <v>1974</v>
      </c>
      <c r="R136" s="87">
        <v>0</v>
      </c>
      <c r="S136" s="87">
        <v>0</v>
      </c>
      <c r="T136" s="87">
        <v>0</v>
      </c>
      <c r="U136" s="87">
        <v>0</v>
      </c>
      <c r="V136" s="87">
        <v>3</v>
      </c>
      <c r="W136" s="93" t="s">
        <v>5939</v>
      </c>
      <c r="X136" s="87"/>
      <c r="Y136" s="87"/>
      <c r="Z136" s="87"/>
      <c r="AA136" s="87" t="s">
        <v>8728</v>
      </c>
      <c r="AB136" s="87" t="s">
        <v>11448</v>
      </c>
      <c r="AC136" s="93" t="s">
        <v>11462</v>
      </c>
      <c r="AD136" s="87" t="s">
        <v>11519</v>
      </c>
      <c r="AE136" s="92" t="str">
        <f>HYPERLINK("https://twitter.com/jfugice/status/1703061512212898229")</f>
        <v>https://twitter.com/jfugice/status/1703061512212898229</v>
      </c>
      <c r="AF136" s="90">
        <v>45185.625925925924</v>
      </c>
      <c r="AG136" s="99">
        <v>45185</v>
      </c>
      <c r="AH136" s="93" t="s">
        <v>11659</v>
      </c>
      <c r="AI136" s="87" t="b">
        <v>0</v>
      </c>
      <c r="AJ136" s="87"/>
      <c r="AK136" s="87"/>
      <c r="AL136" s="87"/>
      <c r="AM136" s="87"/>
      <c r="AN136" s="87"/>
      <c r="AO136" s="87"/>
      <c r="AP136" s="87"/>
      <c r="AQ136" s="87" t="s">
        <v>15541</v>
      </c>
      <c r="AR136" s="87"/>
      <c r="AS136" s="87"/>
      <c r="AT136" s="87"/>
      <c r="AU136" s="87"/>
      <c r="AV136" s="92" t="str">
        <f>HYPERLINK("https://pbs.twimg.com/media/F6J9a67WsAEy47F.jpg")</f>
        <v>https://pbs.twimg.com/media/F6J9a67WsAEy47F.jpg</v>
      </c>
      <c r="AW136" s="93" t="s">
        <v>18389</v>
      </c>
      <c r="AX136" s="93" t="s">
        <v>18389</v>
      </c>
      <c r="AY136" s="87"/>
      <c r="AZ136" s="93" t="s">
        <v>22668</v>
      </c>
      <c r="BA136" s="93" t="s">
        <v>22668</v>
      </c>
      <c r="BB136" s="93" t="s">
        <v>22668</v>
      </c>
      <c r="BC136" s="93" t="s">
        <v>18389</v>
      </c>
      <c r="BD136" s="93" t="s">
        <v>22812</v>
      </c>
      <c r="BE136" s="87"/>
      <c r="BF136" s="87"/>
      <c r="BG136" s="87"/>
      <c r="BH136" s="87"/>
      <c r="BI136" s="87"/>
    </row>
    <row r="137" spans="1:61" x14ac:dyDescent="0.25">
      <c r="A137" s="63" t="s">
        <v>264</v>
      </c>
      <c r="B137" s="63" t="s">
        <v>264</v>
      </c>
      <c r="C137" s="64"/>
      <c r="D137" s="65"/>
      <c r="E137" s="66"/>
      <c r="F137" s="67"/>
      <c r="G137" s="64"/>
      <c r="H137" s="68"/>
      <c r="I137" s="69"/>
      <c r="J137" s="69"/>
      <c r="K137" s="32"/>
      <c r="L137" s="76">
        <v>137</v>
      </c>
      <c r="M137" s="76"/>
      <c r="N137" s="71"/>
      <c r="O137" s="87" t="s">
        <v>179</v>
      </c>
      <c r="P137" s="90">
        <v>45180.699166666665</v>
      </c>
      <c r="Q137" s="87" t="s">
        <v>1975</v>
      </c>
      <c r="R137" s="87">
        <v>0</v>
      </c>
      <c r="S137" s="87">
        <v>0</v>
      </c>
      <c r="T137" s="87">
        <v>0</v>
      </c>
      <c r="U137" s="87">
        <v>0</v>
      </c>
      <c r="V137" s="87">
        <v>6</v>
      </c>
      <c r="W137" s="93" t="s">
        <v>5930</v>
      </c>
      <c r="X137" s="87"/>
      <c r="Y137" s="87"/>
      <c r="Z137" s="87"/>
      <c r="AA137" s="87" t="s">
        <v>8729</v>
      </c>
      <c r="AB137" s="87" t="s">
        <v>11448</v>
      </c>
      <c r="AC137" s="93" t="s">
        <v>11462</v>
      </c>
      <c r="AD137" s="87" t="s">
        <v>11519</v>
      </c>
      <c r="AE137" s="92" t="str">
        <f>HYPERLINK("https://twitter.com/jfugice/status/1701276114054767034")</f>
        <v>https://twitter.com/jfugice/status/1701276114054767034</v>
      </c>
      <c r="AF137" s="90">
        <v>45180.699166666665</v>
      </c>
      <c r="AG137" s="99">
        <v>45180</v>
      </c>
      <c r="AH137" s="93" t="s">
        <v>11660</v>
      </c>
      <c r="AI137" s="87" t="b">
        <v>0</v>
      </c>
      <c r="AJ137" s="87"/>
      <c r="AK137" s="87"/>
      <c r="AL137" s="87"/>
      <c r="AM137" s="87"/>
      <c r="AN137" s="87"/>
      <c r="AO137" s="87"/>
      <c r="AP137" s="87"/>
      <c r="AQ137" s="87" t="s">
        <v>15542</v>
      </c>
      <c r="AR137" s="87"/>
      <c r="AS137" s="87"/>
      <c r="AT137" s="87"/>
      <c r="AU137" s="87"/>
      <c r="AV137" s="92" t="str">
        <f>HYPERLINK("https://pbs.twimg.com/media/F5wlnCqWMAAchrM.jpg")</f>
        <v>https://pbs.twimg.com/media/F5wlnCqWMAAchrM.jpg</v>
      </c>
      <c r="AW137" s="93" t="s">
        <v>18390</v>
      </c>
      <c r="AX137" s="93" t="s">
        <v>18390</v>
      </c>
      <c r="AY137" s="87"/>
      <c r="AZ137" s="93" t="s">
        <v>22668</v>
      </c>
      <c r="BA137" s="93" t="s">
        <v>22668</v>
      </c>
      <c r="BB137" s="93" t="s">
        <v>22668</v>
      </c>
      <c r="BC137" s="93" t="s">
        <v>18390</v>
      </c>
      <c r="BD137" s="93" t="s">
        <v>22812</v>
      </c>
      <c r="BE137" s="87"/>
      <c r="BF137" s="87"/>
      <c r="BG137" s="87"/>
      <c r="BH137" s="87"/>
      <c r="BI137" s="87"/>
    </row>
    <row r="138" spans="1:61" x14ac:dyDescent="0.25">
      <c r="A138" s="63" t="s">
        <v>264</v>
      </c>
      <c r="B138" s="63" t="s">
        <v>264</v>
      </c>
      <c r="C138" s="64"/>
      <c r="D138" s="65"/>
      <c r="E138" s="66"/>
      <c r="F138" s="67"/>
      <c r="G138" s="64"/>
      <c r="H138" s="68"/>
      <c r="I138" s="69"/>
      <c r="J138" s="69"/>
      <c r="K138" s="32"/>
      <c r="L138" s="76">
        <v>138</v>
      </c>
      <c r="M138" s="76"/>
      <c r="N138" s="71"/>
      <c r="O138" s="87" t="s">
        <v>179</v>
      </c>
      <c r="P138" s="90">
        <v>45138.878622685188</v>
      </c>
      <c r="Q138" s="87" t="s">
        <v>1976</v>
      </c>
      <c r="R138" s="87">
        <v>0</v>
      </c>
      <c r="S138" s="87">
        <v>0</v>
      </c>
      <c r="T138" s="87">
        <v>0</v>
      </c>
      <c r="U138" s="87">
        <v>0</v>
      </c>
      <c r="V138" s="87">
        <v>9</v>
      </c>
      <c r="W138" s="93" t="s">
        <v>5940</v>
      </c>
      <c r="X138" s="87"/>
      <c r="Y138" s="87"/>
      <c r="Z138" s="87"/>
      <c r="AA138" s="87" t="s">
        <v>8730</v>
      </c>
      <c r="AB138" s="87" t="s">
        <v>11448</v>
      </c>
      <c r="AC138" s="93" t="s">
        <v>11462</v>
      </c>
      <c r="AD138" s="87" t="s">
        <v>11519</v>
      </c>
      <c r="AE138" s="92" t="str">
        <f>HYPERLINK("https://twitter.com/jfugice/status/1686120855821025280")</f>
        <v>https://twitter.com/jfugice/status/1686120855821025280</v>
      </c>
      <c r="AF138" s="90">
        <v>45138.878622685188</v>
      </c>
      <c r="AG138" s="99">
        <v>45138</v>
      </c>
      <c r="AH138" s="93" t="s">
        <v>11661</v>
      </c>
      <c r="AI138" s="87" t="b">
        <v>0</v>
      </c>
      <c r="AJ138" s="87"/>
      <c r="AK138" s="87"/>
      <c r="AL138" s="87"/>
      <c r="AM138" s="87"/>
      <c r="AN138" s="87"/>
      <c r="AO138" s="87"/>
      <c r="AP138" s="87"/>
      <c r="AQ138" s="87" t="s">
        <v>15543</v>
      </c>
      <c r="AR138" s="87"/>
      <c r="AS138" s="87"/>
      <c r="AT138" s="87"/>
      <c r="AU138" s="87"/>
      <c r="AV138" s="92" t="str">
        <f>HYPERLINK("https://pbs.twimg.com/media/F2ZN-6EXAAMXwbY.jpg")</f>
        <v>https://pbs.twimg.com/media/F2ZN-6EXAAMXwbY.jpg</v>
      </c>
      <c r="AW138" s="93" t="s">
        <v>18391</v>
      </c>
      <c r="AX138" s="93" t="s">
        <v>18391</v>
      </c>
      <c r="AY138" s="87"/>
      <c r="AZ138" s="93" t="s">
        <v>22668</v>
      </c>
      <c r="BA138" s="93" t="s">
        <v>22668</v>
      </c>
      <c r="BB138" s="93" t="s">
        <v>22668</v>
      </c>
      <c r="BC138" s="93" t="s">
        <v>18391</v>
      </c>
      <c r="BD138" s="93" t="s">
        <v>22812</v>
      </c>
      <c r="BE138" s="87"/>
      <c r="BF138" s="87"/>
      <c r="BG138" s="87"/>
      <c r="BH138" s="87"/>
      <c r="BI138" s="87"/>
    </row>
    <row r="139" spans="1:61" x14ac:dyDescent="0.25">
      <c r="A139" s="63" t="s">
        <v>264</v>
      </c>
      <c r="B139" s="63" t="s">
        <v>264</v>
      </c>
      <c r="C139" s="64"/>
      <c r="D139" s="65"/>
      <c r="E139" s="66"/>
      <c r="F139" s="67"/>
      <c r="G139" s="64"/>
      <c r="H139" s="68"/>
      <c r="I139" s="69"/>
      <c r="J139" s="69"/>
      <c r="K139" s="32"/>
      <c r="L139" s="76">
        <v>139</v>
      </c>
      <c r="M139" s="76"/>
      <c r="N139" s="71"/>
      <c r="O139" s="87" t="s">
        <v>179</v>
      </c>
      <c r="P139" s="90">
        <v>45195.634814814817</v>
      </c>
      <c r="Q139" s="87" t="s">
        <v>1977</v>
      </c>
      <c r="R139" s="87">
        <v>0</v>
      </c>
      <c r="S139" s="87">
        <v>0</v>
      </c>
      <c r="T139" s="87">
        <v>0</v>
      </c>
      <c r="U139" s="87">
        <v>0</v>
      </c>
      <c r="V139" s="87">
        <v>6</v>
      </c>
      <c r="W139" s="93" t="s">
        <v>5941</v>
      </c>
      <c r="X139" s="87"/>
      <c r="Y139" s="87"/>
      <c r="Z139" s="87"/>
      <c r="AA139" s="87" t="s">
        <v>8731</v>
      </c>
      <c r="AB139" s="87" t="s">
        <v>11447</v>
      </c>
      <c r="AC139" s="93" t="s">
        <v>11462</v>
      </c>
      <c r="AD139" s="87" t="s">
        <v>11519</v>
      </c>
      <c r="AE139" s="92" t="str">
        <f>HYPERLINK("https://twitter.com/jfugice/status/1706688610173358553")</f>
        <v>https://twitter.com/jfugice/status/1706688610173358553</v>
      </c>
      <c r="AF139" s="90">
        <v>45195.634814814817</v>
      </c>
      <c r="AG139" s="99">
        <v>45195</v>
      </c>
      <c r="AH139" s="93" t="s">
        <v>11662</v>
      </c>
      <c r="AI139" s="87" t="b">
        <v>0</v>
      </c>
      <c r="AJ139" s="87"/>
      <c r="AK139" s="87"/>
      <c r="AL139" s="87"/>
      <c r="AM139" s="87"/>
      <c r="AN139" s="87"/>
      <c r="AO139" s="87"/>
      <c r="AP139" s="87"/>
      <c r="AQ139" s="87" t="s">
        <v>15544</v>
      </c>
      <c r="AR139" s="87">
        <v>31633</v>
      </c>
      <c r="AS139" s="87"/>
      <c r="AT139" s="87"/>
      <c r="AU139" s="87"/>
      <c r="AV139" s="92" t="str">
        <f>HYPERLINK("https://pbs.twimg.com/ext_tw_video_thumb/1706688562324766720/pu/img/PcIpz21U7gZkEcG-.jpg")</f>
        <v>https://pbs.twimg.com/ext_tw_video_thumb/1706688562324766720/pu/img/PcIpz21U7gZkEcG-.jpg</v>
      </c>
      <c r="AW139" s="93" t="s">
        <v>18392</v>
      </c>
      <c r="AX139" s="93" t="s">
        <v>18392</v>
      </c>
      <c r="AY139" s="87"/>
      <c r="AZ139" s="93" t="s">
        <v>22668</v>
      </c>
      <c r="BA139" s="93" t="s">
        <v>22668</v>
      </c>
      <c r="BB139" s="93" t="s">
        <v>22668</v>
      </c>
      <c r="BC139" s="93" t="s">
        <v>18392</v>
      </c>
      <c r="BD139" s="93" t="s">
        <v>22812</v>
      </c>
      <c r="BE139" s="87"/>
      <c r="BF139" s="87"/>
      <c r="BG139" s="87"/>
      <c r="BH139" s="87"/>
      <c r="BI139" s="87"/>
    </row>
    <row r="140" spans="1:61" x14ac:dyDescent="0.25">
      <c r="A140" s="63" t="s">
        <v>264</v>
      </c>
      <c r="B140" s="63" t="s">
        <v>264</v>
      </c>
      <c r="C140" s="64"/>
      <c r="D140" s="65"/>
      <c r="E140" s="66"/>
      <c r="F140" s="67"/>
      <c r="G140" s="64"/>
      <c r="H140" s="68"/>
      <c r="I140" s="69"/>
      <c r="J140" s="69"/>
      <c r="K140" s="32"/>
      <c r="L140" s="76">
        <v>140</v>
      </c>
      <c r="M140" s="76"/>
      <c r="N140" s="71"/>
      <c r="O140" s="87" t="s">
        <v>179</v>
      </c>
      <c r="P140" s="90">
        <v>45167.876493055555</v>
      </c>
      <c r="Q140" s="87" t="s">
        <v>1978</v>
      </c>
      <c r="R140" s="87">
        <v>0</v>
      </c>
      <c r="S140" s="87">
        <v>0</v>
      </c>
      <c r="T140" s="87">
        <v>0</v>
      </c>
      <c r="U140" s="87">
        <v>0</v>
      </c>
      <c r="V140" s="87">
        <v>5</v>
      </c>
      <c r="W140" s="93" t="s">
        <v>5930</v>
      </c>
      <c r="X140" s="87"/>
      <c r="Y140" s="87"/>
      <c r="Z140" s="87"/>
      <c r="AA140" s="87" t="s">
        <v>8732</v>
      </c>
      <c r="AB140" s="87" t="s">
        <v>11448</v>
      </c>
      <c r="AC140" s="93" t="s">
        <v>11462</v>
      </c>
      <c r="AD140" s="87" t="s">
        <v>11519</v>
      </c>
      <c r="AE140" s="92" t="str">
        <f>HYPERLINK("https://twitter.com/jfugice/status/1696629331802423532")</f>
        <v>https://twitter.com/jfugice/status/1696629331802423532</v>
      </c>
      <c r="AF140" s="90">
        <v>45167.876493055555</v>
      </c>
      <c r="AG140" s="99">
        <v>45167</v>
      </c>
      <c r="AH140" s="93" t="s">
        <v>11663</v>
      </c>
      <c r="AI140" s="87" t="b">
        <v>0</v>
      </c>
      <c r="AJ140" s="87"/>
      <c r="AK140" s="87"/>
      <c r="AL140" s="87"/>
      <c r="AM140" s="87"/>
      <c r="AN140" s="87"/>
      <c r="AO140" s="87"/>
      <c r="AP140" s="87"/>
      <c r="AQ140" s="87" t="s">
        <v>15545</v>
      </c>
      <c r="AR140" s="87"/>
      <c r="AS140" s="87"/>
      <c r="AT140" s="87"/>
      <c r="AU140" s="87"/>
      <c r="AV140" s="92" t="str">
        <f>HYPERLINK("https://pbs.twimg.com/media/F4ujYuYWYAENDw0.jpg")</f>
        <v>https://pbs.twimg.com/media/F4ujYuYWYAENDw0.jpg</v>
      </c>
      <c r="AW140" s="93" t="s">
        <v>18393</v>
      </c>
      <c r="AX140" s="93" t="s">
        <v>18393</v>
      </c>
      <c r="AY140" s="87"/>
      <c r="AZ140" s="93" t="s">
        <v>22668</v>
      </c>
      <c r="BA140" s="93" t="s">
        <v>22668</v>
      </c>
      <c r="BB140" s="93" t="s">
        <v>22668</v>
      </c>
      <c r="BC140" s="93" t="s">
        <v>18393</v>
      </c>
      <c r="BD140" s="93" t="s">
        <v>22812</v>
      </c>
      <c r="BE140" s="87"/>
      <c r="BF140" s="87"/>
      <c r="BG140" s="87"/>
      <c r="BH140" s="87"/>
      <c r="BI140" s="87"/>
    </row>
    <row r="141" spans="1:61" x14ac:dyDescent="0.25">
      <c r="A141" s="63" t="s">
        <v>264</v>
      </c>
      <c r="B141" s="63" t="s">
        <v>264</v>
      </c>
      <c r="C141" s="64"/>
      <c r="D141" s="65"/>
      <c r="E141" s="66"/>
      <c r="F141" s="67"/>
      <c r="G141" s="64"/>
      <c r="H141" s="68"/>
      <c r="I141" s="69"/>
      <c r="J141" s="69"/>
      <c r="K141" s="32"/>
      <c r="L141" s="76">
        <v>141</v>
      </c>
      <c r="M141" s="76"/>
      <c r="N141" s="71"/>
      <c r="O141" s="87" t="s">
        <v>179</v>
      </c>
      <c r="P141" s="90">
        <v>45129.61482638889</v>
      </c>
      <c r="Q141" s="87" t="s">
        <v>1979</v>
      </c>
      <c r="R141" s="87">
        <v>0</v>
      </c>
      <c r="S141" s="87">
        <v>0</v>
      </c>
      <c r="T141" s="87">
        <v>0</v>
      </c>
      <c r="U141" s="87">
        <v>0</v>
      </c>
      <c r="V141" s="87">
        <v>17</v>
      </c>
      <c r="W141" s="93" t="s">
        <v>5942</v>
      </c>
      <c r="X141" s="87"/>
      <c r="Y141" s="87"/>
      <c r="Z141" s="87"/>
      <c r="AA141" s="87" t="s">
        <v>8733</v>
      </c>
      <c r="AB141" s="87" t="s">
        <v>11448</v>
      </c>
      <c r="AC141" s="93" t="s">
        <v>11462</v>
      </c>
      <c r="AD141" s="87" t="s">
        <v>11519</v>
      </c>
      <c r="AE141" s="92" t="str">
        <f>HYPERLINK("https://twitter.com/jfugice/status/1682763770580418561")</f>
        <v>https://twitter.com/jfugice/status/1682763770580418561</v>
      </c>
      <c r="AF141" s="90">
        <v>45129.61482638889</v>
      </c>
      <c r="AG141" s="99">
        <v>45129</v>
      </c>
      <c r="AH141" s="93" t="s">
        <v>11664</v>
      </c>
      <c r="AI141" s="87" t="b">
        <v>0</v>
      </c>
      <c r="AJ141" s="87"/>
      <c r="AK141" s="87"/>
      <c r="AL141" s="87"/>
      <c r="AM141" s="87"/>
      <c r="AN141" s="87"/>
      <c r="AO141" s="87"/>
      <c r="AP141" s="87"/>
      <c r="AQ141" s="87" t="s">
        <v>15546</v>
      </c>
      <c r="AR141" s="87"/>
      <c r="AS141" s="87"/>
      <c r="AT141" s="87"/>
      <c r="AU141" s="87"/>
      <c r="AV141" s="92" t="str">
        <f>HYPERLINK("https://pbs.twimg.com/media/F1pgu1hXwAAJgtc.jpg")</f>
        <v>https://pbs.twimg.com/media/F1pgu1hXwAAJgtc.jpg</v>
      </c>
      <c r="AW141" s="93" t="s">
        <v>18394</v>
      </c>
      <c r="AX141" s="93" t="s">
        <v>18394</v>
      </c>
      <c r="AY141" s="87"/>
      <c r="AZ141" s="93" t="s">
        <v>22668</v>
      </c>
      <c r="BA141" s="93" t="s">
        <v>22668</v>
      </c>
      <c r="BB141" s="93" t="s">
        <v>22668</v>
      </c>
      <c r="BC141" s="93" t="s">
        <v>18394</v>
      </c>
      <c r="BD141" s="93" t="s">
        <v>22812</v>
      </c>
      <c r="BE141" s="87"/>
      <c r="BF141" s="87"/>
      <c r="BG141" s="87"/>
      <c r="BH141" s="87"/>
      <c r="BI141" s="87"/>
    </row>
    <row r="142" spans="1:61" x14ac:dyDescent="0.25">
      <c r="A142" s="63" t="s">
        <v>265</v>
      </c>
      <c r="B142" s="63" t="s">
        <v>265</v>
      </c>
      <c r="C142" s="64"/>
      <c r="D142" s="65"/>
      <c r="E142" s="66"/>
      <c r="F142" s="67"/>
      <c r="G142" s="64"/>
      <c r="H142" s="68"/>
      <c r="I142" s="69"/>
      <c r="J142" s="69"/>
      <c r="K142" s="32"/>
      <c r="L142" s="76">
        <v>142</v>
      </c>
      <c r="M142" s="76"/>
      <c r="N142" s="71"/>
      <c r="O142" s="87" t="s">
        <v>179</v>
      </c>
      <c r="P142" s="90">
        <v>45128.124178240738</v>
      </c>
      <c r="Q142" s="87" t="s">
        <v>1980</v>
      </c>
      <c r="R142" s="87">
        <v>0</v>
      </c>
      <c r="S142" s="87">
        <v>0</v>
      </c>
      <c r="T142" s="87">
        <v>0</v>
      </c>
      <c r="U142" s="87">
        <v>0</v>
      </c>
      <c r="V142" s="87">
        <v>13</v>
      </c>
      <c r="W142" s="93" t="s">
        <v>5943</v>
      </c>
      <c r="X142" s="87"/>
      <c r="Y142" s="87"/>
      <c r="Z142" s="87"/>
      <c r="AA142" s="87" t="s">
        <v>8734</v>
      </c>
      <c r="AB142" s="87" t="s">
        <v>11448</v>
      </c>
      <c r="AC142" s="93" t="s">
        <v>11459</v>
      </c>
      <c r="AD142" s="87" t="s">
        <v>11523</v>
      </c>
      <c r="AE142" s="92" t="str">
        <f>HYPERLINK("https://twitter.com/alexbucefalo90/status/1682223576295043074")</f>
        <v>https://twitter.com/alexbucefalo90/status/1682223576295043074</v>
      </c>
      <c r="AF142" s="90">
        <v>45128.124178240738</v>
      </c>
      <c r="AG142" s="99">
        <v>45128</v>
      </c>
      <c r="AH142" s="93" t="s">
        <v>11665</v>
      </c>
      <c r="AI142" s="87" t="b">
        <v>0</v>
      </c>
      <c r="AJ142" s="87"/>
      <c r="AK142" s="87"/>
      <c r="AL142" s="87"/>
      <c r="AM142" s="87"/>
      <c r="AN142" s="87"/>
      <c r="AO142" s="87"/>
      <c r="AP142" s="87"/>
      <c r="AQ142" s="87" t="s">
        <v>15547</v>
      </c>
      <c r="AR142" s="87"/>
      <c r="AS142" s="87"/>
      <c r="AT142" s="87"/>
      <c r="AU142" s="87"/>
      <c r="AV142" s="92" t="str">
        <f>HYPERLINK("https://pbs.twimg.com/media/F1h1baNakAEpsxr.jpg")</f>
        <v>https://pbs.twimg.com/media/F1h1baNakAEpsxr.jpg</v>
      </c>
      <c r="AW142" s="93" t="s">
        <v>18395</v>
      </c>
      <c r="AX142" s="93" t="s">
        <v>18395</v>
      </c>
      <c r="AY142" s="87"/>
      <c r="AZ142" s="93" t="s">
        <v>22668</v>
      </c>
      <c r="BA142" s="93" t="s">
        <v>22668</v>
      </c>
      <c r="BB142" s="93" t="s">
        <v>22668</v>
      </c>
      <c r="BC142" s="93" t="s">
        <v>18395</v>
      </c>
      <c r="BD142" s="87">
        <v>1000215114</v>
      </c>
      <c r="BE142" s="87"/>
      <c r="BF142" s="87"/>
      <c r="BG142" s="87"/>
      <c r="BH142" s="87"/>
      <c r="BI142" s="87"/>
    </row>
    <row r="143" spans="1:61" x14ac:dyDescent="0.25">
      <c r="A143" s="63" t="s">
        <v>266</v>
      </c>
      <c r="B143" s="63" t="s">
        <v>266</v>
      </c>
      <c r="C143" s="64"/>
      <c r="D143" s="65"/>
      <c r="E143" s="66"/>
      <c r="F143" s="67"/>
      <c r="G143" s="64"/>
      <c r="H143" s="68"/>
      <c r="I143" s="69"/>
      <c r="J143" s="69"/>
      <c r="K143" s="32"/>
      <c r="L143" s="76">
        <v>143</v>
      </c>
      <c r="M143" s="76"/>
      <c r="N143" s="71"/>
      <c r="O143" s="87" t="s">
        <v>179</v>
      </c>
      <c r="P143" s="90">
        <v>45111.000011574077</v>
      </c>
      <c r="Q143" s="87" t="s">
        <v>1981</v>
      </c>
      <c r="R143" s="87">
        <v>0</v>
      </c>
      <c r="S143" s="87">
        <v>0</v>
      </c>
      <c r="T143" s="87">
        <v>0</v>
      </c>
      <c r="U143" s="87">
        <v>0</v>
      </c>
      <c r="V143" s="87">
        <v>8</v>
      </c>
      <c r="W143" s="93" t="s">
        <v>5944</v>
      </c>
      <c r="X143" s="87"/>
      <c r="Y143" s="87"/>
      <c r="Z143" s="87"/>
      <c r="AA143" s="87" t="s">
        <v>8735</v>
      </c>
      <c r="AB143" s="87" t="s">
        <v>11448</v>
      </c>
      <c r="AC143" s="93" t="s">
        <v>11457</v>
      </c>
      <c r="AD143" s="87" t="s">
        <v>11519</v>
      </c>
      <c r="AE143" s="92" t="str">
        <f>HYPERLINK("https://twitter.com/motivandoleoes/status/1676017985746526208")</f>
        <v>https://twitter.com/motivandoleoes/status/1676017985746526208</v>
      </c>
      <c r="AF143" s="90">
        <v>45111.000011574077</v>
      </c>
      <c r="AG143" s="99">
        <v>45111</v>
      </c>
      <c r="AH143" s="93" t="s">
        <v>11666</v>
      </c>
      <c r="AI143" s="87" t="b">
        <v>0</v>
      </c>
      <c r="AJ143" s="87"/>
      <c r="AK143" s="87"/>
      <c r="AL143" s="87"/>
      <c r="AM143" s="87"/>
      <c r="AN143" s="87"/>
      <c r="AO143" s="87"/>
      <c r="AP143" s="87"/>
      <c r="AQ143" s="87" t="s">
        <v>15548</v>
      </c>
      <c r="AR143" s="87"/>
      <c r="AS143" s="87"/>
      <c r="AT143" s="87"/>
      <c r="AU143" s="87"/>
      <c r="AV143" s="92" t="str">
        <f>HYPERLINK("https://pbs.twimg.com/media/Fz0pEZ6XgAEHejt.jpg")</f>
        <v>https://pbs.twimg.com/media/Fz0pEZ6XgAEHejt.jpg</v>
      </c>
      <c r="AW143" s="93" t="s">
        <v>18396</v>
      </c>
      <c r="AX143" s="93" t="s">
        <v>18396</v>
      </c>
      <c r="AY143" s="87"/>
      <c r="AZ143" s="93" t="s">
        <v>22668</v>
      </c>
      <c r="BA143" s="93" t="s">
        <v>22668</v>
      </c>
      <c r="BB143" s="93" t="s">
        <v>22668</v>
      </c>
      <c r="BC143" s="93" t="s">
        <v>18396</v>
      </c>
      <c r="BD143" s="93" t="s">
        <v>22813</v>
      </c>
      <c r="BE143" s="87"/>
      <c r="BF143" s="87"/>
      <c r="BG143" s="87"/>
      <c r="BH143" s="87"/>
      <c r="BI143" s="87"/>
    </row>
    <row r="144" spans="1:61" x14ac:dyDescent="0.25">
      <c r="A144" s="63" t="s">
        <v>266</v>
      </c>
      <c r="B144" s="63" t="s">
        <v>266</v>
      </c>
      <c r="C144" s="64"/>
      <c r="D144" s="65"/>
      <c r="E144" s="66"/>
      <c r="F144" s="67"/>
      <c r="G144" s="64"/>
      <c r="H144" s="68"/>
      <c r="I144" s="69"/>
      <c r="J144" s="69"/>
      <c r="K144" s="32"/>
      <c r="L144" s="76">
        <v>144</v>
      </c>
      <c r="M144" s="76"/>
      <c r="N144" s="71"/>
      <c r="O144" s="87" t="s">
        <v>179</v>
      </c>
      <c r="P144" s="90">
        <v>45110.875011574077</v>
      </c>
      <c r="Q144" s="87" t="s">
        <v>1982</v>
      </c>
      <c r="R144" s="87">
        <v>0</v>
      </c>
      <c r="S144" s="87">
        <v>0</v>
      </c>
      <c r="T144" s="87">
        <v>0</v>
      </c>
      <c r="U144" s="87">
        <v>0</v>
      </c>
      <c r="V144" s="87">
        <v>6</v>
      </c>
      <c r="W144" s="93" t="s">
        <v>5945</v>
      </c>
      <c r="X144" s="87"/>
      <c r="Y144" s="87"/>
      <c r="Z144" s="87"/>
      <c r="AA144" s="87" t="s">
        <v>8736</v>
      </c>
      <c r="AB144" s="87" t="s">
        <v>11448</v>
      </c>
      <c r="AC144" s="93" t="s">
        <v>11457</v>
      </c>
      <c r="AD144" s="87" t="s">
        <v>11519</v>
      </c>
      <c r="AE144" s="92" t="str">
        <f>HYPERLINK("https://twitter.com/motivandoleoes/status/1675972687427166209")</f>
        <v>https://twitter.com/motivandoleoes/status/1675972687427166209</v>
      </c>
      <c r="AF144" s="90">
        <v>45110.875011574077</v>
      </c>
      <c r="AG144" s="99">
        <v>45110</v>
      </c>
      <c r="AH144" s="93" t="s">
        <v>11667</v>
      </c>
      <c r="AI144" s="87" t="b">
        <v>0</v>
      </c>
      <c r="AJ144" s="87"/>
      <c r="AK144" s="87"/>
      <c r="AL144" s="87"/>
      <c r="AM144" s="87"/>
      <c r="AN144" s="87"/>
      <c r="AO144" s="87"/>
      <c r="AP144" s="87"/>
      <c r="AQ144" s="87" t="s">
        <v>15549</v>
      </c>
      <c r="AR144" s="87"/>
      <c r="AS144" s="87"/>
      <c r="AT144" s="87"/>
      <c r="AU144" s="87"/>
      <c r="AV144" s="92" t="str">
        <f>HYPERLINK("https://pbs.twimg.com/media/Fz0o0cjWAAIv8xl.jpg")</f>
        <v>https://pbs.twimg.com/media/Fz0o0cjWAAIv8xl.jpg</v>
      </c>
      <c r="AW144" s="93" t="s">
        <v>18397</v>
      </c>
      <c r="AX144" s="93" t="s">
        <v>18397</v>
      </c>
      <c r="AY144" s="87"/>
      <c r="AZ144" s="93" t="s">
        <v>22668</v>
      </c>
      <c r="BA144" s="93" t="s">
        <v>22668</v>
      </c>
      <c r="BB144" s="93" t="s">
        <v>22668</v>
      </c>
      <c r="BC144" s="93" t="s">
        <v>18397</v>
      </c>
      <c r="BD144" s="93" t="s">
        <v>22813</v>
      </c>
      <c r="BE144" s="87"/>
      <c r="BF144" s="87"/>
      <c r="BG144" s="87"/>
      <c r="BH144" s="87"/>
      <c r="BI144" s="87"/>
    </row>
    <row r="145" spans="1:61" x14ac:dyDescent="0.25">
      <c r="A145" s="63" t="s">
        <v>266</v>
      </c>
      <c r="B145" s="63" t="s">
        <v>266</v>
      </c>
      <c r="C145" s="64"/>
      <c r="D145" s="65"/>
      <c r="E145" s="66"/>
      <c r="F145" s="67"/>
      <c r="G145" s="64"/>
      <c r="H145" s="68"/>
      <c r="I145" s="69"/>
      <c r="J145" s="69"/>
      <c r="K145" s="32"/>
      <c r="L145" s="76">
        <v>145</v>
      </c>
      <c r="M145" s="76"/>
      <c r="N145" s="71"/>
      <c r="O145" s="87" t="s">
        <v>179</v>
      </c>
      <c r="P145" s="90">
        <v>45110.625011574077</v>
      </c>
      <c r="Q145" s="87" t="s">
        <v>1983</v>
      </c>
      <c r="R145" s="87">
        <v>0</v>
      </c>
      <c r="S145" s="87">
        <v>0</v>
      </c>
      <c r="T145" s="87">
        <v>0</v>
      </c>
      <c r="U145" s="87">
        <v>0</v>
      </c>
      <c r="V145" s="87">
        <v>2</v>
      </c>
      <c r="W145" s="93" t="s">
        <v>5945</v>
      </c>
      <c r="X145" s="87"/>
      <c r="Y145" s="87"/>
      <c r="Z145" s="87"/>
      <c r="AA145" s="87" t="s">
        <v>8737</v>
      </c>
      <c r="AB145" s="87" t="s">
        <v>11448</v>
      </c>
      <c r="AC145" s="93" t="s">
        <v>11457</v>
      </c>
      <c r="AD145" s="87" t="s">
        <v>11519</v>
      </c>
      <c r="AE145" s="92" t="str">
        <f>HYPERLINK("https://twitter.com/motivandoleoes/status/1675882089332510720")</f>
        <v>https://twitter.com/motivandoleoes/status/1675882089332510720</v>
      </c>
      <c r="AF145" s="90">
        <v>45110.625011574077</v>
      </c>
      <c r="AG145" s="99">
        <v>45110</v>
      </c>
      <c r="AH145" s="93" t="s">
        <v>11668</v>
      </c>
      <c r="AI145" s="87" t="b">
        <v>0</v>
      </c>
      <c r="AJ145" s="87"/>
      <c r="AK145" s="87"/>
      <c r="AL145" s="87"/>
      <c r="AM145" s="87"/>
      <c r="AN145" s="87"/>
      <c r="AO145" s="87"/>
      <c r="AP145" s="87"/>
      <c r="AQ145" s="87" t="s">
        <v>15550</v>
      </c>
      <c r="AR145" s="87"/>
      <c r="AS145" s="87"/>
      <c r="AT145" s="87"/>
      <c r="AU145" s="87"/>
      <c r="AV145" s="92" t="str">
        <f>HYPERLINK("https://pbs.twimg.com/media/Fz0oUwLXoAIrv4s.jpg")</f>
        <v>https://pbs.twimg.com/media/Fz0oUwLXoAIrv4s.jpg</v>
      </c>
      <c r="AW145" s="93" t="s">
        <v>18398</v>
      </c>
      <c r="AX145" s="93" t="s">
        <v>18398</v>
      </c>
      <c r="AY145" s="87"/>
      <c r="AZ145" s="93" t="s">
        <v>22668</v>
      </c>
      <c r="BA145" s="93" t="s">
        <v>22668</v>
      </c>
      <c r="BB145" s="93" t="s">
        <v>22668</v>
      </c>
      <c r="BC145" s="93" t="s">
        <v>18398</v>
      </c>
      <c r="BD145" s="93" t="s">
        <v>22813</v>
      </c>
      <c r="BE145" s="87"/>
      <c r="BF145" s="87"/>
      <c r="BG145" s="87"/>
      <c r="BH145" s="87"/>
      <c r="BI145" s="87"/>
    </row>
    <row r="146" spans="1:61" x14ac:dyDescent="0.25">
      <c r="A146" s="63" t="s">
        <v>267</v>
      </c>
      <c r="B146" s="63" t="s">
        <v>267</v>
      </c>
      <c r="C146" s="64"/>
      <c r="D146" s="65"/>
      <c r="E146" s="66"/>
      <c r="F146" s="67"/>
      <c r="G146" s="64"/>
      <c r="H146" s="68"/>
      <c r="I146" s="69"/>
      <c r="J146" s="69"/>
      <c r="K146" s="32"/>
      <c r="L146" s="76">
        <v>146</v>
      </c>
      <c r="M146" s="76"/>
      <c r="N146" s="71"/>
      <c r="O146" s="87" t="s">
        <v>179</v>
      </c>
      <c r="P146" s="90">
        <v>45132.626620370371</v>
      </c>
      <c r="Q146" s="87" t="s">
        <v>1984</v>
      </c>
      <c r="R146" s="87">
        <v>0</v>
      </c>
      <c r="S146" s="87">
        <v>0</v>
      </c>
      <c r="T146" s="87">
        <v>0</v>
      </c>
      <c r="U146" s="87">
        <v>0</v>
      </c>
      <c r="V146" s="87">
        <v>18</v>
      </c>
      <c r="W146" s="93" t="s">
        <v>5946</v>
      </c>
      <c r="X146" s="87"/>
      <c r="Y146" s="87"/>
      <c r="Z146" s="87"/>
      <c r="AA146" s="87" t="s">
        <v>8738</v>
      </c>
      <c r="AB146" s="87" t="s">
        <v>11447</v>
      </c>
      <c r="AC146" s="93" t="s">
        <v>11457</v>
      </c>
      <c r="AD146" s="87" t="s">
        <v>11519</v>
      </c>
      <c r="AE146" s="92" t="str">
        <f>HYPERLINK("https://twitter.com/williansantos__/status/1683855206168027142")</f>
        <v>https://twitter.com/williansantos__/status/1683855206168027142</v>
      </c>
      <c r="AF146" s="90">
        <v>45132.626620370371</v>
      </c>
      <c r="AG146" s="99">
        <v>45132</v>
      </c>
      <c r="AH146" s="93" t="s">
        <v>11669</v>
      </c>
      <c r="AI146" s="87" t="b">
        <v>0</v>
      </c>
      <c r="AJ146" s="87"/>
      <c r="AK146" s="87"/>
      <c r="AL146" s="87"/>
      <c r="AM146" s="87"/>
      <c r="AN146" s="87"/>
      <c r="AO146" s="87"/>
      <c r="AP146" s="87"/>
      <c r="AQ146" s="87" t="s">
        <v>15551</v>
      </c>
      <c r="AR146" s="87">
        <v>8939</v>
      </c>
      <c r="AS146" s="87"/>
      <c r="AT146" s="87"/>
      <c r="AU146" s="87"/>
      <c r="AV146" s="92" t="str">
        <f>HYPERLINK("https://pbs.twimg.com/ext_tw_video_thumb/1683855028728070145/pu/img/F7XsNaDCsYp7aiwv.jpg")</f>
        <v>https://pbs.twimg.com/ext_tw_video_thumb/1683855028728070145/pu/img/F7XsNaDCsYp7aiwv.jpg</v>
      </c>
      <c r="AW146" s="93" t="s">
        <v>18399</v>
      </c>
      <c r="AX146" s="93" t="s">
        <v>18399</v>
      </c>
      <c r="AY146" s="87"/>
      <c r="AZ146" s="93" t="s">
        <v>22668</v>
      </c>
      <c r="BA146" s="93" t="s">
        <v>22668</v>
      </c>
      <c r="BB146" s="93" t="s">
        <v>22668</v>
      </c>
      <c r="BC146" s="93" t="s">
        <v>18399</v>
      </c>
      <c r="BD146" s="93" t="s">
        <v>22814</v>
      </c>
      <c r="BE146" s="87"/>
      <c r="BF146" s="87"/>
      <c r="BG146" s="87"/>
      <c r="BH146" s="87"/>
      <c r="BI146" s="87"/>
    </row>
    <row r="147" spans="1:61" x14ac:dyDescent="0.25">
      <c r="A147" s="63" t="s">
        <v>268</v>
      </c>
      <c r="B147" s="63" t="s">
        <v>268</v>
      </c>
      <c r="C147" s="64"/>
      <c r="D147" s="65"/>
      <c r="E147" s="66"/>
      <c r="F147" s="67"/>
      <c r="G147" s="64"/>
      <c r="H147" s="68"/>
      <c r="I147" s="69"/>
      <c r="J147" s="69"/>
      <c r="K147" s="32"/>
      <c r="L147" s="76">
        <v>147</v>
      </c>
      <c r="M147" s="76"/>
      <c r="N147" s="71"/>
      <c r="O147" s="87" t="s">
        <v>179</v>
      </c>
      <c r="P147" s="90">
        <v>45139.00675925926</v>
      </c>
      <c r="Q147" s="87" t="s">
        <v>1985</v>
      </c>
      <c r="R147" s="87">
        <v>0</v>
      </c>
      <c r="S147" s="87">
        <v>1</v>
      </c>
      <c r="T147" s="87">
        <v>3</v>
      </c>
      <c r="U147" s="87">
        <v>0</v>
      </c>
      <c r="V147" s="87">
        <v>345</v>
      </c>
      <c r="W147" s="93" t="s">
        <v>5897</v>
      </c>
      <c r="X147" s="87"/>
      <c r="Y147" s="87"/>
      <c r="Z147" s="87"/>
      <c r="AA147" s="87"/>
      <c r="AB147" s="87"/>
      <c r="AC147" s="93" t="s">
        <v>11458</v>
      </c>
      <c r="AD147" s="87" t="s">
        <v>11519</v>
      </c>
      <c r="AE147" s="92" t="str">
        <f>HYPERLINK("https://twitter.com/maaria__fer/status/1686167292797743104")</f>
        <v>https://twitter.com/maaria__fer/status/1686167292797743104</v>
      </c>
      <c r="AF147" s="90">
        <v>45139.00675925926</v>
      </c>
      <c r="AG147" s="99">
        <v>45139</v>
      </c>
      <c r="AH147" s="93" t="s">
        <v>11670</v>
      </c>
      <c r="AI147" s="87"/>
      <c r="AJ147" s="87"/>
      <c r="AK147" s="87"/>
      <c r="AL147" s="87"/>
      <c r="AM147" s="87"/>
      <c r="AN147" s="87"/>
      <c r="AO147" s="87"/>
      <c r="AP147" s="87"/>
      <c r="AQ147" s="87"/>
      <c r="AR147" s="87"/>
      <c r="AS147" s="87"/>
      <c r="AT147" s="87"/>
      <c r="AU147" s="87"/>
      <c r="AV147" s="92" t="str">
        <f>HYPERLINK("https://pbs.twimg.com/profile_images/1699991969240334336/6zuW0ACW_normal.jpg")</f>
        <v>https://pbs.twimg.com/profile_images/1699991969240334336/6zuW0ACW_normal.jpg</v>
      </c>
      <c r="AW147" s="93" t="s">
        <v>18400</v>
      </c>
      <c r="AX147" s="93" t="s">
        <v>18400</v>
      </c>
      <c r="AY147" s="87"/>
      <c r="AZ147" s="93" t="s">
        <v>22668</v>
      </c>
      <c r="BA147" s="93" t="s">
        <v>22668</v>
      </c>
      <c r="BB147" s="93" t="s">
        <v>22668</v>
      </c>
      <c r="BC147" s="93" t="s">
        <v>18400</v>
      </c>
      <c r="BD147" s="93" t="s">
        <v>22815</v>
      </c>
      <c r="BE147" s="87"/>
      <c r="BF147" s="87"/>
      <c r="BG147" s="87"/>
      <c r="BH147" s="87"/>
      <c r="BI147" s="87"/>
    </row>
    <row r="148" spans="1:61" x14ac:dyDescent="0.25">
      <c r="A148" s="63" t="s">
        <v>269</v>
      </c>
      <c r="B148" s="63" t="s">
        <v>269</v>
      </c>
      <c r="C148" s="64"/>
      <c r="D148" s="65"/>
      <c r="E148" s="66"/>
      <c r="F148" s="67"/>
      <c r="G148" s="64"/>
      <c r="H148" s="68"/>
      <c r="I148" s="69"/>
      <c r="J148" s="69"/>
      <c r="K148" s="32"/>
      <c r="L148" s="76">
        <v>148</v>
      </c>
      <c r="M148" s="76"/>
      <c r="N148" s="71"/>
      <c r="O148" s="87" t="s">
        <v>179</v>
      </c>
      <c r="P148" s="90">
        <v>45163.697384259256</v>
      </c>
      <c r="Q148" s="87" t="s">
        <v>1986</v>
      </c>
      <c r="R148" s="87">
        <v>0</v>
      </c>
      <c r="S148" s="87">
        <v>1</v>
      </c>
      <c r="T148" s="87">
        <v>0</v>
      </c>
      <c r="U148" s="87">
        <v>0</v>
      </c>
      <c r="V148" s="87">
        <v>18</v>
      </c>
      <c r="W148" s="93" t="s">
        <v>5947</v>
      </c>
      <c r="X148" s="87"/>
      <c r="Y148" s="87"/>
      <c r="Z148" s="87"/>
      <c r="AA148" s="87"/>
      <c r="AB148" s="87"/>
      <c r="AC148" s="93" t="s">
        <v>11457</v>
      </c>
      <c r="AD148" s="87" t="s">
        <v>11519</v>
      </c>
      <c r="AE148" s="92" t="str">
        <f>HYPERLINK("https://twitter.com/ocapitaldigital/status/1695114875658281378")</f>
        <v>https://twitter.com/ocapitaldigital/status/1695114875658281378</v>
      </c>
      <c r="AF148" s="90">
        <v>45163.697384259256</v>
      </c>
      <c r="AG148" s="99">
        <v>45163</v>
      </c>
      <c r="AH148" s="93" t="s">
        <v>11671</v>
      </c>
      <c r="AI148" s="87"/>
      <c r="AJ148" s="87"/>
      <c r="AK148" s="87"/>
      <c r="AL148" s="87"/>
      <c r="AM148" s="87"/>
      <c r="AN148" s="87"/>
      <c r="AO148" s="87"/>
      <c r="AP148" s="87"/>
      <c r="AQ148" s="87"/>
      <c r="AR148" s="87"/>
      <c r="AS148" s="87"/>
      <c r="AT148" s="87"/>
      <c r="AU148" s="87"/>
      <c r="AV148" s="92" t="str">
        <f>HYPERLINK("https://pbs.twimg.com/profile_images/1686163878537752576/OVdOC0bK_normal.jpg")</f>
        <v>https://pbs.twimg.com/profile_images/1686163878537752576/OVdOC0bK_normal.jpg</v>
      </c>
      <c r="AW148" s="93" t="s">
        <v>18401</v>
      </c>
      <c r="AX148" s="93" t="s">
        <v>18401</v>
      </c>
      <c r="AY148" s="87"/>
      <c r="AZ148" s="93" t="s">
        <v>22668</v>
      </c>
      <c r="BA148" s="93" t="s">
        <v>22668</v>
      </c>
      <c r="BB148" s="93" t="s">
        <v>22668</v>
      </c>
      <c r="BC148" s="93" t="s">
        <v>18401</v>
      </c>
      <c r="BD148" s="93" t="s">
        <v>22816</v>
      </c>
      <c r="BE148" s="87"/>
      <c r="BF148" s="87"/>
      <c r="BG148" s="87"/>
      <c r="BH148" s="87"/>
      <c r="BI148" s="87"/>
    </row>
    <row r="149" spans="1:61" x14ac:dyDescent="0.25">
      <c r="A149" s="63" t="s">
        <v>270</v>
      </c>
      <c r="B149" s="63" t="s">
        <v>270</v>
      </c>
      <c r="C149" s="64"/>
      <c r="D149" s="65"/>
      <c r="E149" s="66"/>
      <c r="F149" s="67"/>
      <c r="G149" s="64"/>
      <c r="H149" s="68"/>
      <c r="I149" s="69"/>
      <c r="J149" s="69"/>
      <c r="K149" s="32"/>
      <c r="L149" s="76">
        <v>149</v>
      </c>
      <c r="M149" s="76"/>
      <c r="N149" s="71"/>
      <c r="O149" s="87" t="s">
        <v>179</v>
      </c>
      <c r="P149" s="90">
        <v>45161.813993055555</v>
      </c>
      <c r="Q149" s="87" t="s">
        <v>1987</v>
      </c>
      <c r="R149" s="87">
        <v>1</v>
      </c>
      <c r="S149" s="87">
        <v>11</v>
      </c>
      <c r="T149" s="87">
        <v>0</v>
      </c>
      <c r="U149" s="87">
        <v>1</v>
      </c>
      <c r="V149" s="87">
        <v>1866</v>
      </c>
      <c r="W149" s="93" t="s">
        <v>5948</v>
      </c>
      <c r="X149" s="87"/>
      <c r="Y149" s="87"/>
      <c r="Z149" s="87"/>
      <c r="AA149" s="87" t="s">
        <v>8739</v>
      </c>
      <c r="AB149" s="87" t="s">
        <v>11448</v>
      </c>
      <c r="AC149" s="93" t="s">
        <v>11457</v>
      </c>
      <c r="AD149" s="87" t="s">
        <v>11519</v>
      </c>
      <c r="AE149" s="92" t="str">
        <f>HYPERLINK("https://twitter.com/pciconcursos/status/1694432355123892227")</f>
        <v>https://twitter.com/pciconcursos/status/1694432355123892227</v>
      </c>
      <c r="AF149" s="90">
        <v>45161.813993055555</v>
      </c>
      <c r="AG149" s="99">
        <v>45161</v>
      </c>
      <c r="AH149" s="93" t="s">
        <v>11672</v>
      </c>
      <c r="AI149" s="87" t="b">
        <v>0</v>
      </c>
      <c r="AJ149" s="87"/>
      <c r="AK149" s="87"/>
      <c r="AL149" s="87"/>
      <c r="AM149" s="87"/>
      <c r="AN149" s="87"/>
      <c r="AO149" s="87"/>
      <c r="AP149" s="87"/>
      <c r="AQ149" s="87" t="s">
        <v>15552</v>
      </c>
      <c r="AR149" s="87"/>
      <c r="AS149" s="87"/>
      <c r="AT149" s="87"/>
      <c r="AU149" s="87"/>
      <c r="AV149" s="92" t="str">
        <f>HYPERLINK("https://pbs.twimg.com/media/F4PTS0oXMAA87xw.jpg")</f>
        <v>https://pbs.twimg.com/media/F4PTS0oXMAA87xw.jpg</v>
      </c>
      <c r="AW149" s="93" t="s">
        <v>18402</v>
      </c>
      <c r="AX149" s="93" t="s">
        <v>18402</v>
      </c>
      <c r="AY149" s="87"/>
      <c r="AZ149" s="93" t="s">
        <v>22668</v>
      </c>
      <c r="BA149" s="93" t="s">
        <v>22668</v>
      </c>
      <c r="BB149" s="93" t="s">
        <v>22668</v>
      </c>
      <c r="BC149" s="93" t="s">
        <v>18402</v>
      </c>
      <c r="BD149" s="87">
        <v>20222718</v>
      </c>
      <c r="BE149" s="87"/>
      <c r="BF149" s="87"/>
      <c r="BG149" s="87"/>
      <c r="BH149" s="87"/>
      <c r="BI149" s="87"/>
    </row>
    <row r="150" spans="1:61" x14ac:dyDescent="0.25">
      <c r="A150" s="63" t="s">
        <v>270</v>
      </c>
      <c r="B150" s="63" t="s">
        <v>270</v>
      </c>
      <c r="C150" s="64"/>
      <c r="D150" s="65"/>
      <c r="E150" s="66"/>
      <c r="F150" s="67"/>
      <c r="G150" s="64"/>
      <c r="H150" s="68"/>
      <c r="I150" s="69"/>
      <c r="J150" s="69"/>
      <c r="K150" s="32"/>
      <c r="L150" s="76">
        <v>150</v>
      </c>
      <c r="M150" s="76"/>
      <c r="N150" s="71"/>
      <c r="O150" s="87" t="s">
        <v>179</v>
      </c>
      <c r="P150" s="90">
        <v>45166.861817129633</v>
      </c>
      <c r="Q150" s="87" t="s">
        <v>1988</v>
      </c>
      <c r="R150" s="87">
        <v>2</v>
      </c>
      <c r="S150" s="87">
        <v>22</v>
      </c>
      <c r="T150" s="87">
        <v>0</v>
      </c>
      <c r="U150" s="87">
        <v>1</v>
      </c>
      <c r="V150" s="87">
        <v>2295</v>
      </c>
      <c r="W150" s="93" t="s">
        <v>5949</v>
      </c>
      <c r="X150" s="87"/>
      <c r="Y150" s="87"/>
      <c r="Z150" s="87"/>
      <c r="AA150" s="87" t="s">
        <v>8740</v>
      </c>
      <c r="AB150" s="87" t="s">
        <v>11448</v>
      </c>
      <c r="AC150" s="93" t="s">
        <v>11457</v>
      </c>
      <c r="AD150" s="87" t="s">
        <v>11519</v>
      </c>
      <c r="AE150" s="92" t="str">
        <f>HYPERLINK("https://twitter.com/pciconcursos/status/1696261626196894006")</f>
        <v>https://twitter.com/pciconcursos/status/1696261626196894006</v>
      </c>
      <c r="AF150" s="90">
        <v>45166.861817129633</v>
      </c>
      <c r="AG150" s="99">
        <v>45166</v>
      </c>
      <c r="AH150" s="93" t="s">
        <v>11673</v>
      </c>
      <c r="AI150" s="87" t="b">
        <v>0</v>
      </c>
      <c r="AJ150" s="87"/>
      <c r="AK150" s="87"/>
      <c r="AL150" s="87"/>
      <c r="AM150" s="87"/>
      <c r="AN150" s="87"/>
      <c r="AO150" s="87"/>
      <c r="AP150" s="87"/>
      <c r="AQ150" s="87" t="s">
        <v>15553</v>
      </c>
      <c r="AR150" s="87"/>
      <c r="AS150" s="87"/>
      <c r="AT150" s="87"/>
      <c r="AU150" s="87"/>
      <c r="AV150" s="92" t="str">
        <f>HYPERLINK("https://pbs.twimg.com/media/F4pUwXYWwAISVMX.jpg")</f>
        <v>https://pbs.twimg.com/media/F4pUwXYWwAISVMX.jpg</v>
      </c>
      <c r="AW150" s="93" t="s">
        <v>18403</v>
      </c>
      <c r="AX150" s="93" t="s">
        <v>18403</v>
      </c>
      <c r="AY150" s="87"/>
      <c r="AZ150" s="93" t="s">
        <v>22668</v>
      </c>
      <c r="BA150" s="93" t="s">
        <v>22668</v>
      </c>
      <c r="BB150" s="93" t="s">
        <v>22668</v>
      </c>
      <c r="BC150" s="93" t="s">
        <v>18403</v>
      </c>
      <c r="BD150" s="87">
        <v>20222718</v>
      </c>
      <c r="BE150" s="87"/>
      <c r="BF150" s="87"/>
      <c r="BG150" s="87"/>
      <c r="BH150" s="87"/>
      <c r="BI150" s="87"/>
    </row>
    <row r="151" spans="1:61" x14ac:dyDescent="0.25">
      <c r="A151" s="63" t="s">
        <v>270</v>
      </c>
      <c r="B151" s="63" t="s">
        <v>270</v>
      </c>
      <c r="C151" s="64"/>
      <c r="D151" s="65"/>
      <c r="E151" s="66"/>
      <c r="F151" s="67"/>
      <c r="G151" s="64"/>
      <c r="H151" s="68"/>
      <c r="I151" s="69"/>
      <c r="J151" s="69"/>
      <c r="K151" s="32"/>
      <c r="L151" s="76">
        <v>151</v>
      </c>
      <c r="M151" s="76"/>
      <c r="N151" s="71"/>
      <c r="O151" s="87" t="s">
        <v>179</v>
      </c>
      <c r="P151" s="90">
        <v>45126.677164351851</v>
      </c>
      <c r="Q151" s="87" t="s">
        <v>1989</v>
      </c>
      <c r="R151" s="87">
        <v>2</v>
      </c>
      <c r="S151" s="87">
        <v>29</v>
      </c>
      <c r="T151" s="87">
        <v>0</v>
      </c>
      <c r="U151" s="87">
        <v>1</v>
      </c>
      <c r="V151" s="87">
        <v>3088</v>
      </c>
      <c r="W151" s="93" t="s">
        <v>5950</v>
      </c>
      <c r="X151" s="87"/>
      <c r="Y151" s="87"/>
      <c r="Z151" s="87"/>
      <c r="AA151" s="87" t="s">
        <v>8741</v>
      </c>
      <c r="AB151" s="87" t="s">
        <v>11448</v>
      </c>
      <c r="AC151" s="93" t="s">
        <v>11464</v>
      </c>
      <c r="AD151" s="87" t="s">
        <v>11519</v>
      </c>
      <c r="AE151" s="92" t="str">
        <f>HYPERLINK("https://twitter.com/pciconcursos/status/1681699194413744129")</f>
        <v>https://twitter.com/pciconcursos/status/1681699194413744129</v>
      </c>
      <c r="AF151" s="90">
        <v>45126.677164351851</v>
      </c>
      <c r="AG151" s="99">
        <v>45126</v>
      </c>
      <c r="AH151" s="93" t="s">
        <v>11674</v>
      </c>
      <c r="AI151" s="87" t="b">
        <v>0</v>
      </c>
      <c r="AJ151" s="87"/>
      <c r="AK151" s="87"/>
      <c r="AL151" s="87"/>
      <c r="AM151" s="87"/>
      <c r="AN151" s="87"/>
      <c r="AO151" s="87"/>
      <c r="AP151" s="87"/>
      <c r="AQ151" s="87" t="s">
        <v>15554</v>
      </c>
      <c r="AR151" s="87"/>
      <c r="AS151" s="87"/>
      <c r="AT151" s="87"/>
      <c r="AU151" s="87"/>
      <c r="AV151" s="92" t="str">
        <f>HYPERLINK("https://pbs.twimg.com/media/F1aYJULWAAYTB35.png")</f>
        <v>https://pbs.twimg.com/media/F1aYJULWAAYTB35.png</v>
      </c>
      <c r="AW151" s="93" t="s">
        <v>18404</v>
      </c>
      <c r="AX151" s="93" t="s">
        <v>18404</v>
      </c>
      <c r="AY151" s="87"/>
      <c r="AZ151" s="93" t="s">
        <v>22668</v>
      </c>
      <c r="BA151" s="93" t="s">
        <v>22668</v>
      </c>
      <c r="BB151" s="93" t="s">
        <v>22668</v>
      </c>
      <c r="BC151" s="93" t="s">
        <v>18404</v>
      </c>
      <c r="BD151" s="87">
        <v>20222718</v>
      </c>
      <c r="BE151" s="87"/>
      <c r="BF151" s="87"/>
      <c r="BG151" s="87"/>
      <c r="BH151" s="87"/>
      <c r="BI151" s="87"/>
    </row>
    <row r="152" spans="1:61" x14ac:dyDescent="0.25">
      <c r="A152" s="63" t="s">
        <v>270</v>
      </c>
      <c r="B152" s="63" t="s">
        <v>270</v>
      </c>
      <c r="C152" s="64"/>
      <c r="D152" s="65"/>
      <c r="E152" s="66"/>
      <c r="F152" s="67"/>
      <c r="G152" s="64"/>
      <c r="H152" s="68"/>
      <c r="I152" s="69"/>
      <c r="J152" s="69"/>
      <c r="K152" s="32"/>
      <c r="L152" s="76">
        <v>152</v>
      </c>
      <c r="M152" s="76"/>
      <c r="N152" s="71"/>
      <c r="O152" s="87" t="s">
        <v>179</v>
      </c>
      <c r="P152" s="90">
        <v>45170.708333333336</v>
      </c>
      <c r="Q152" s="87" t="s">
        <v>1990</v>
      </c>
      <c r="R152" s="87">
        <v>0</v>
      </c>
      <c r="S152" s="87">
        <v>17</v>
      </c>
      <c r="T152" s="87">
        <v>0</v>
      </c>
      <c r="U152" s="87">
        <v>0</v>
      </c>
      <c r="V152" s="87">
        <v>1663</v>
      </c>
      <c r="W152" s="93" t="s">
        <v>5951</v>
      </c>
      <c r="X152" s="87"/>
      <c r="Y152" s="87"/>
      <c r="Z152" s="87"/>
      <c r="AA152" s="87" t="s">
        <v>8742</v>
      </c>
      <c r="AB152" s="87" t="s">
        <v>11448</v>
      </c>
      <c r="AC152" s="93" t="s">
        <v>11457</v>
      </c>
      <c r="AD152" s="87" t="s">
        <v>11519</v>
      </c>
      <c r="AE152" s="92" t="str">
        <f>HYPERLINK("https://twitter.com/pciconcursos/status/1697655557115744560")</f>
        <v>https://twitter.com/pciconcursos/status/1697655557115744560</v>
      </c>
      <c r="AF152" s="90">
        <v>45170.708333333336</v>
      </c>
      <c r="AG152" s="99">
        <v>45170</v>
      </c>
      <c r="AH152" s="93" t="s">
        <v>11675</v>
      </c>
      <c r="AI152" s="87" t="b">
        <v>0</v>
      </c>
      <c r="AJ152" s="87"/>
      <c r="AK152" s="87"/>
      <c r="AL152" s="87"/>
      <c r="AM152" s="87"/>
      <c r="AN152" s="87"/>
      <c r="AO152" s="87"/>
      <c r="AP152" s="87"/>
      <c r="AQ152" s="87" t="s">
        <v>15555</v>
      </c>
      <c r="AR152" s="87"/>
      <c r="AS152" s="87"/>
      <c r="AT152" s="87"/>
      <c r="AU152" s="87"/>
      <c r="AV152" s="92" t="str">
        <f>HYPERLINK("https://pbs.twimg.com/media/F48xgaJXUAAVIEK.jpg")</f>
        <v>https://pbs.twimg.com/media/F48xgaJXUAAVIEK.jpg</v>
      </c>
      <c r="AW152" s="93" t="s">
        <v>18405</v>
      </c>
      <c r="AX152" s="93" t="s">
        <v>18405</v>
      </c>
      <c r="AY152" s="87"/>
      <c r="AZ152" s="93" t="s">
        <v>22668</v>
      </c>
      <c r="BA152" s="93" t="s">
        <v>22668</v>
      </c>
      <c r="BB152" s="93" t="s">
        <v>22668</v>
      </c>
      <c r="BC152" s="93" t="s">
        <v>18405</v>
      </c>
      <c r="BD152" s="87">
        <v>20222718</v>
      </c>
      <c r="BE152" s="87"/>
      <c r="BF152" s="87"/>
      <c r="BG152" s="87"/>
      <c r="BH152" s="87"/>
      <c r="BI152" s="87"/>
    </row>
    <row r="153" spans="1:61" x14ac:dyDescent="0.25">
      <c r="A153" s="63" t="s">
        <v>270</v>
      </c>
      <c r="B153" s="63" t="s">
        <v>270</v>
      </c>
      <c r="C153" s="64"/>
      <c r="D153" s="65"/>
      <c r="E153" s="66"/>
      <c r="F153" s="67"/>
      <c r="G153" s="64"/>
      <c r="H153" s="68"/>
      <c r="I153" s="69"/>
      <c r="J153" s="69"/>
      <c r="K153" s="32"/>
      <c r="L153" s="76">
        <v>153</v>
      </c>
      <c r="M153" s="76"/>
      <c r="N153" s="71"/>
      <c r="O153" s="87" t="s">
        <v>179</v>
      </c>
      <c r="P153" s="90">
        <v>45178.666666666664</v>
      </c>
      <c r="Q153" s="87" t="s">
        <v>1991</v>
      </c>
      <c r="R153" s="87">
        <v>4</v>
      </c>
      <c r="S153" s="87">
        <v>23</v>
      </c>
      <c r="T153" s="87">
        <v>0</v>
      </c>
      <c r="U153" s="87">
        <v>0</v>
      </c>
      <c r="V153" s="87">
        <v>2379</v>
      </c>
      <c r="W153" s="93" t="s">
        <v>5952</v>
      </c>
      <c r="X153" s="87"/>
      <c r="Y153" s="87"/>
      <c r="Z153" s="87"/>
      <c r="AA153" s="87" t="s">
        <v>8743</v>
      </c>
      <c r="AB153" s="87" t="s">
        <v>11448</v>
      </c>
      <c r="AC153" s="93" t="s">
        <v>11457</v>
      </c>
      <c r="AD153" s="87" t="s">
        <v>11519</v>
      </c>
      <c r="AE153" s="92" t="str">
        <f>HYPERLINK("https://twitter.com/pciconcursos/status/1700539560835617073")</f>
        <v>https://twitter.com/pciconcursos/status/1700539560835617073</v>
      </c>
      <c r="AF153" s="90">
        <v>45178.666666666664</v>
      </c>
      <c r="AG153" s="99">
        <v>45178</v>
      </c>
      <c r="AH153" s="93" t="s">
        <v>11676</v>
      </c>
      <c r="AI153" s="87" t="b">
        <v>0</v>
      </c>
      <c r="AJ153" s="87"/>
      <c r="AK153" s="87"/>
      <c r="AL153" s="87"/>
      <c r="AM153" s="87"/>
      <c r="AN153" s="87"/>
      <c r="AO153" s="87"/>
      <c r="AP153" s="87"/>
      <c r="AQ153" s="87" t="s">
        <v>15556</v>
      </c>
      <c r="AR153" s="87"/>
      <c r="AS153" s="87"/>
      <c r="AT153" s="87"/>
      <c r="AU153" s="87"/>
      <c r="AV153" s="92" t="str">
        <f>HYPERLINK("https://pbs.twimg.com/media/F5hRjWbXUAAdHeQ.jpg")</f>
        <v>https://pbs.twimg.com/media/F5hRjWbXUAAdHeQ.jpg</v>
      </c>
      <c r="AW153" s="93" t="s">
        <v>18406</v>
      </c>
      <c r="AX153" s="93" t="s">
        <v>18406</v>
      </c>
      <c r="AY153" s="87"/>
      <c r="AZ153" s="93" t="s">
        <v>22668</v>
      </c>
      <c r="BA153" s="93" t="s">
        <v>22668</v>
      </c>
      <c r="BB153" s="93" t="s">
        <v>22668</v>
      </c>
      <c r="BC153" s="93" t="s">
        <v>18406</v>
      </c>
      <c r="BD153" s="87">
        <v>20222718</v>
      </c>
      <c r="BE153" s="87"/>
      <c r="BF153" s="87"/>
      <c r="BG153" s="87"/>
      <c r="BH153" s="87"/>
      <c r="BI153" s="87"/>
    </row>
    <row r="154" spans="1:61" x14ac:dyDescent="0.25">
      <c r="A154" s="63" t="s">
        <v>270</v>
      </c>
      <c r="B154" s="63" t="s">
        <v>270</v>
      </c>
      <c r="C154" s="64"/>
      <c r="D154" s="65"/>
      <c r="E154" s="66"/>
      <c r="F154" s="67"/>
      <c r="G154" s="64"/>
      <c r="H154" s="68"/>
      <c r="I154" s="69"/>
      <c r="J154" s="69"/>
      <c r="K154" s="32"/>
      <c r="L154" s="76">
        <v>154</v>
      </c>
      <c r="M154" s="76"/>
      <c r="N154" s="71"/>
      <c r="O154" s="87" t="s">
        <v>179</v>
      </c>
      <c r="P154" s="90">
        <v>45171.666666666664</v>
      </c>
      <c r="Q154" s="87" t="s">
        <v>1992</v>
      </c>
      <c r="R154" s="87">
        <v>2</v>
      </c>
      <c r="S154" s="87">
        <v>38</v>
      </c>
      <c r="T154" s="87">
        <v>0</v>
      </c>
      <c r="U154" s="87">
        <v>0</v>
      </c>
      <c r="V154" s="87">
        <v>3063</v>
      </c>
      <c r="W154" s="93" t="s">
        <v>5949</v>
      </c>
      <c r="X154" s="87"/>
      <c r="Y154" s="87"/>
      <c r="Z154" s="87"/>
      <c r="AA154" s="87" t="s">
        <v>8744</v>
      </c>
      <c r="AB154" s="87" t="s">
        <v>11448</v>
      </c>
      <c r="AC154" s="93" t="s">
        <v>11457</v>
      </c>
      <c r="AD154" s="87" t="s">
        <v>11519</v>
      </c>
      <c r="AE154" s="92" t="str">
        <f>HYPERLINK("https://twitter.com/pciconcursos/status/1698002845751017489")</f>
        <v>https://twitter.com/pciconcursos/status/1698002845751017489</v>
      </c>
      <c r="AF154" s="90">
        <v>45171.666666666664</v>
      </c>
      <c r="AG154" s="99">
        <v>45171</v>
      </c>
      <c r="AH154" s="93" t="s">
        <v>11676</v>
      </c>
      <c r="AI154" s="87" t="b">
        <v>0</v>
      </c>
      <c r="AJ154" s="87"/>
      <c r="AK154" s="87"/>
      <c r="AL154" s="87"/>
      <c r="AM154" s="87"/>
      <c r="AN154" s="87"/>
      <c r="AO154" s="87"/>
      <c r="AP154" s="87"/>
      <c r="AQ154" s="87" t="s">
        <v>15557</v>
      </c>
      <c r="AR154" s="87"/>
      <c r="AS154" s="87"/>
      <c r="AT154" s="87"/>
      <c r="AU154" s="87"/>
      <c r="AV154" s="92" t="str">
        <f>HYPERLINK("https://pbs.twimg.com/media/F49nXSRWkAA4NIi.jpg")</f>
        <v>https://pbs.twimg.com/media/F49nXSRWkAA4NIi.jpg</v>
      </c>
      <c r="AW154" s="93" t="s">
        <v>18407</v>
      </c>
      <c r="AX154" s="93" t="s">
        <v>18407</v>
      </c>
      <c r="AY154" s="87"/>
      <c r="AZ154" s="93" t="s">
        <v>22668</v>
      </c>
      <c r="BA154" s="93" t="s">
        <v>22668</v>
      </c>
      <c r="BB154" s="93" t="s">
        <v>22668</v>
      </c>
      <c r="BC154" s="93" t="s">
        <v>18407</v>
      </c>
      <c r="BD154" s="87">
        <v>20222718</v>
      </c>
      <c r="BE154" s="87"/>
      <c r="BF154" s="87"/>
      <c r="BG154" s="87"/>
      <c r="BH154" s="87"/>
      <c r="BI154" s="87"/>
    </row>
    <row r="155" spans="1:61" x14ac:dyDescent="0.25">
      <c r="A155" s="63" t="s">
        <v>270</v>
      </c>
      <c r="B155" s="63" t="s">
        <v>270</v>
      </c>
      <c r="C155" s="64"/>
      <c r="D155" s="65"/>
      <c r="E155" s="66"/>
      <c r="F155" s="67"/>
      <c r="G155" s="64"/>
      <c r="H155" s="68"/>
      <c r="I155" s="69"/>
      <c r="J155" s="69"/>
      <c r="K155" s="32"/>
      <c r="L155" s="76">
        <v>155</v>
      </c>
      <c r="M155" s="76"/>
      <c r="N155" s="71"/>
      <c r="O155" s="87" t="s">
        <v>179</v>
      </c>
      <c r="P155" s="90">
        <v>45149.813935185186</v>
      </c>
      <c r="Q155" s="87" t="s">
        <v>1993</v>
      </c>
      <c r="R155" s="87">
        <v>0</v>
      </c>
      <c r="S155" s="87">
        <v>6</v>
      </c>
      <c r="T155" s="87">
        <v>0</v>
      </c>
      <c r="U155" s="87">
        <v>0</v>
      </c>
      <c r="V155" s="87">
        <v>1859</v>
      </c>
      <c r="W155" s="93" t="s">
        <v>5949</v>
      </c>
      <c r="X155" s="87"/>
      <c r="Y155" s="87"/>
      <c r="Z155" s="87"/>
      <c r="AA155" s="87" t="s">
        <v>8745</v>
      </c>
      <c r="AB155" s="87" t="s">
        <v>11448</v>
      </c>
      <c r="AC155" s="93" t="s">
        <v>11464</v>
      </c>
      <c r="AD155" s="87" t="s">
        <v>11519</v>
      </c>
      <c r="AE155" s="92" t="str">
        <f>HYPERLINK("https://twitter.com/pciconcursos/status/1690083679521902593")</f>
        <v>https://twitter.com/pciconcursos/status/1690083679521902593</v>
      </c>
      <c r="AF155" s="90">
        <v>45149.813935185186</v>
      </c>
      <c r="AG155" s="99">
        <v>45149</v>
      </c>
      <c r="AH155" s="93" t="s">
        <v>11677</v>
      </c>
      <c r="AI155" s="87" t="b">
        <v>0</v>
      </c>
      <c r="AJ155" s="87"/>
      <c r="AK155" s="87"/>
      <c r="AL155" s="87"/>
      <c r="AM155" s="87"/>
      <c r="AN155" s="87"/>
      <c r="AO155" s="87"/>
      <c r="AP155" s="87"/>
      <c r="AQ155" s="87" t="s">
        <v>15558</v>
      </c>
      <c r="AR155" s="87"/>
      <c r="AS155" s="87"/>
      <c r="AT155" s="87"/>
      <c r="AU155" s="87"/>
      <c r="AV155" s="92" t="str">
        <f>HYPERLINK("https://pbs.twimg.com/media/F3Rh9qLWsAAZL0c.png")</f>
        <v>https://pbs.twimg.com/media/F3Rh9qLWsAAZL0c.png</v>
      </c>
      <c r="AW155" s="93" t="s">
        <v>18408</v>
      </c>
      <c r="AX155" s="93" t="s">
        <v>18408</v>
      </c>
      <c r="AY155" s="87"/>
      <c r="AZ155" s="93" t="s">
        <v>22668</v>
      </c>
      <c r="BA155" s="93" t="s">
        <v>22668</v>
      </c>
      <c r="BB155" s="93" t="s">
        <v>22668</v>
      </c>
      <c r="BC155" s="93" t="s">
        <v>18408</v>
      </c>
      <c r="BD155" s="87">
        <v>20222718</v>
      </c>
      <c r="BE155" s="87"/>
      <c r="BF155" s="87"/>
      <c r="BG155" s="87"/>
      <c r="BH155" s="87"/>
      <c r="BI155" s="87"/>
    </row>
    <row r="156" spans="1:61" x14ac:dyDescent="0.25">
      <c r="A156" s="63" t="s">
        <v>270</v>
      </c>
      <c r="B156" s="63" t="s">
        <v>270</v>
      </c>
      <c r="C156" s="64"/>
      <c r="D156" s="65"/>
      <c r="E156" s="66"/>
      <c r="F156" s="67"/>
      <c r="G156" s="64"/>
      <c r="H156" s="68"/>
      <c r="I156" s="69"/>
      <c r="J156" s="69"/>
      <c r="K156" s="32"/>
      <c r="L156" s="76">
        <v>156</v>
      </c>
      <c r="M156" s="76"/>
      <c r="N156" s="71"/>
      <c r="O156" s="87" t="s">
        <v>179</v>
      </c>
      <c r="P156" s="90">
        <v>45185.666689814818</v>
      </c>
      <c r="Q156" s="87" t="s">
        <v>1994</v>
      </c>
      <c r="R156" s="87">
        <v>0</v>
      </c>
      <c r="S156" s="87">
        <v>14</v>
      </c>
      <c r="T156" s="87">
        <v>0</v>
      </c>
      <c r="U156" s="87">
        <v>0</v>
      </c>
      <c r="V156" s="87">
        <v>1871</v>
      </c>
      <c r="W156" s="93" t="s">
        <v>5953</v>
      </c>
      <c r="X156" s="87"/>
      <c r="Y156" s="87"/>
      <c r="Z156" s="87"/>
      <c r="AA156" s="87" t="s">
        <v>8746</v>
      </c>
      <c r="AB156" s="87" t="s">
        <v>11448</v>
      </c>
      <c r="AC156" s="93" t="s">
        <v>11457</v>
      </c>
      <c r="AD156" s="87" t="s">
        <v>11519</v>
      </c>
      <c r="AE156" s="92" t="str">
        <f>HYPERLINK("https://twitter.com/pciconcursos/status/1703076284224700535")</f>
        <v>https://twitter.com/pciconcursos/status/1703076284224700535</v>
      </c>
      <c r="AF156" s="90">
        <v>45185.666689814818</v>
      </c>
      <c r="AG156" s="99">
        <v>45185</v>
      </c>
      <c r="AH156" s="93" t="s">
        <v>11678</v>
      </c>
      <c r="AI156" s="87" t="b">
        <v>0</v>
      </c>
      <c r="AJ156" s="87"/>
      <c r="AK156" s="87"/>
      <c r="AL156" s="87"/>
      <c r="AM156" s="87"/>
      <c r="AN156" s="87"/>
      <c r="AO156" s="87"/>
      <c r="AP156" s="87"/>
      <c r="AQ156" s="87" t="s">
        <v>15559</v>
      </c>
      <c r="AR156" s="87"/>
      <c r="AS156" s="87"/>
      <c r="AT156" s="87"/>
      <c r="AU156" s="87"/>
      <c r="AV156" s="92" t="str">
        <f>HYPERLINK("https://pbs.twimg.com/media/F6F1qiAXYAAeHVJ.jpg")</f>
        <v>https://pbs.twimg.com/media/F6F1qiAXYAAeHVJ.jpg</v>
      </c>
      <c r="AW156" s="93" t="s">
        <v>18409</v>
      </c>
      <c r="AX156" s="93" t="s">
        <v>18409</v>
      </c>
      <c r="AY156" s="87"/>
      <c r="AZ156" s="93" t="s">
        <v>22668</v>
      </c>
      <c r="BA156" s="93" t="s">
        <v>22668</v>
      </c>
      <c r="BB156" s="93" t="s">
        <v>22668</v>
      </c>
      <c r="BC156" s="93" t="s">
        <v>18409</v>
      </c>
      <c r="BD156" s="87">
        <v>20222718</v>
      </c>
      <c r="BE156" s="87"/>
      <c r="BF156" s="87"/>
      <c r="BG156" s="87"/>
      <c r="BH156" s="87"/>
      <c r="BI156" s="87"/>
    </row>
    <row r="157" spans="1:61" x14ac:dyDescent="0.25">
      <c r="A157" s="63" t="s">
        <v>270</v>
      </c>
      <c r="B157" s="63" t="s">
        <v>270</v>
      </c>
      <c r="C157" s="64"/>
      <c r="D157" s="65"/>
      <c r="E157" s="66"/>
      <c r="F157" s="67"/>
      <c r="G157" s="64"/>
      <c r="H157" s="68"/>
      <c r="I157" s="69"/>
      <c r="J157" s="69"/>
      <c r="K157" s="32"/>
      <c r="L157" s="76">
        <v>157</v>
      </c>
      <c r="M157" s="76"/>
      <c r="N157" s="71"/>
      <c r="O157" s="87" t="s">
        <v>179</v>
      </c>
      <c r="P157" s="90">
        <v>45173.769861111112</v>
      </c>
      <c r="Q157" s="87" t="s">
        <v>1995</v>
      </c>
      <c r="R157" s="87">
        <v>2</v>
      </c>
      <c r="S157" s="87">
        <v>20</v>
      </c>
      <c r="T157" s="87">
        <v>0</v>
      </c>
      <c r="U157" s="87">
        <v>0</v>
      </c>
      <c r="V157" s="87">
        <v>1445</v>
      </c>
      <c r="W157" s="93" t="s">
        <v>5949</v>
      </c>
      <c r="X157" s="87"/>
      <c r="Y157" s="87"/>
      <c r="Z157" s="87"/>
      <c r="AA157" s="87" t="s">
        <v>8747</v>
      </c>
      <c r="AB157" s="87" t="s">
        <v>11449</v>
      </c>
      <c r="AC157" s="93" t="s">
        <v>11457</v>
      </c>
      <c r="AD157" s="87" t="s">
        <v>11519</v>
      </c>
      <c r="AE157" s="92" t="str">
        <f>HYPERLINK("https://twitter.com/pciconcursos/status/1698765018769015130")</f>
        <v>https://twitter.com/pciconcursos/status/1698765018769015130</v>
      </c>
      <c r="AF157" s="90">
        <v>45173.769861111112</v>
      </c>
      <c r="AG157" s="99">
        <v>45173</v>
      </c>
      <c r="AH157" s="93" t="s">
        <v>11679</v>
      </c>
      <c r="AI157" s="87" t="b">
        <v>0</v>
      </c>
      <c r="AJ157" s="87"/>
      <c r="AK157" s="87"/>
      <c r="AL157" s="87"/>
      <c r="AM157" s="87"/>
      <c r="AN157" s="87"/>
      <c r="AO157" s="87"/>
      <c r="AP157" s="87"/>
      <c r="AQ157" s="87" t="s">
        <v>15560</v>
      </c>
      <c r="AR157" s="87"/>
      <c r="AS157" s="87"/>
      <c r="AT157" s="87"/>
      <c r="AU157" s="87"/>
      <c r="AV157" s="92" t="str">
        <f>HYPERLINK("https://pbs.twimg.com/media/F5M5vIGWsAAJqyc.jpg")</f>
        <v>https://pbs.twimg.com/media/F5M5vIGWsAAJqyc.jpg</v>
      </c>
      <c r="AW157" s="93" t="s">
        <v>18410</v>
      </c>
      <c r="AX157" s="93" t="s">
        <v>18410</v>
      </c>
      <c r="AY157" s="87"/>
      <c r="AZ157" s="93" t="s">
        <v>22668</v>
      </c>
      <c r="BA157" s="93" t="s">
        <v>22668</v>
      </c>
      <c r="BB157" s="93" t="s">
        <v>22668</v>
      </c>
      <c r="BC157" s="93" t="s">
        <v>18410</v>
      </c>
      <c r="BD157" s="87">
        <v>20222718</v>
      </c>
      <c r="BE157" s="87"/>
      <c r="BF157" s="87"/>
      <c r="BG157" s="87"/>
      <c r="BH157" s="87"/>
      <c r="BI157" s="87"/>
    </row>
    <row r="158" spans="1:61" x14ac:dyDescent="0.25">
      <c r="A158" s="63" t="s">
        <v>270</v>
      </c>
      <c r="B158" s="63" t="s">
        <v>270</v>
      </c>
      <c r="C158" s="64"/>
      <c r="D158" s="65"/>
      <c r="E158" s="66"/>
      <c r="F158" s="67"/>
      <c r="G158" s="64"/>
      <c r="H158" s="68"/>
      <c r="I158" s="69"/>
      <c r="J158" s="69"/>
      <c r="K158" s="32"/>
      <c r="L158" s="76">
        <v>158</v>
      </c>
      <c r="M158" s="76"/>
      <c r="N158" s="71"/>
      <c r="O158" s="87" t="s">
        <v>179</v>
      </c>
      <c r="P158" s="90">
        <v>45173.769571759258</v>
      </c>
      <c r="Q158" s="87" t="s">
        <v>1996</v>
      </c>
      <c r="R158" s="87">
        <v>0</v>
      </c>
      <c r="S158" s="87">
        <v>18</v>
      </c>
      <c r="T158" s="87">
        <v>0</v>
      </c>
      <c r="U158" s="87">
        <v>0</v>
      </c>
      <c r="V158" s="87">
        <v>1518</v>
      </c>
      <c r="W158" s="93" t="s">
        <v>5949</v>
      </c>
      <c r="X158" s="87"/>
      <c r="Y158" s="87"/>
      <c r="Z158" s="87"/>
      <c r="AA158" s="87" t="s">
        <v>8748</v>
      </c>
      <c r="AB158" s="87" t="s">
        <v>11449</v>
      </c>
      <c r="AC158" s="93" t="s">
        <v>11457</v>
      </c>
      <c r="AD158" s="87" t="s">
        <v>11519</v>
      </c>
      <c r="AE158" s="92" t="str">
        <f>HYPERLINK("https://twitter.com/pciconcursos/status/1698764914368610578")</f>
        <v>https://twitter.com/pciconcursos/status/1698764914368610578</v>
      </c>
      <c r="AF158" s="90">
        <v>45173.769571759258</v>
      </c>
      <c r="AG158" s="99">
        <v>45173</v>
      </c>
      <c r="AH158" s="93" t="s">
        <v>11680</v>
      </c>
      <c r="AI158" s="87" t="b">
        <v>0</v>
      </c>
      <c r="AJ158" s="87"/>
      <c r="AK158" s="87"/>
      <c r="AL158" s="87"/>
      <c r="AM158" s="87"/>
      <c r="AN158" s="87"/>
      <c r="AO158" s="87"/>
      <c r="AP158" s="87"/>
      <c r="AQ158" s="87" t="s">
        <v>15561</v>
      </c>
      <c r="AR158" s="87"/>
      <c r="AS158" s="87"/>
      <c r="AT158" s="87"/>
      <c r="AU158" s="87"/>
      <c r="AV158" s="92" t="str">
        <f>HYPERLINK("https://pbs.twimg.com/media/F5M5hyiWEAANa7x.jpg")</f>
        <v>https://pbs.twimg.com/media/F5M5hyiWEAANa7x.jpg</v>
      </c>
      <c r="AW158" s="93" t="s">
        <v>18411</v>
      </c>
      <c r="AX158" s="93" t="s">
        <v>18411</v>
      </c>
      <c r="AY158" s="87"/>
      <c r="AZ158" s="93" t="s">
        <v>22668</v>
      </c>
      <c r="BA158" s="93" t="s">
        <v>22668</v>
      </c>
      <c r="BB158" s="93" t="s">
        <v>22668</v>
      </c>
      <c r="BC158" s="93" t="s">
        <v>18411</v>
      </c>
      <c r="BD158" s="87">
        <v>20222718</v>
      </c>
      <c r="BE158" s="87"/>
      <c r="BF158" s="87"/>
      <c r="BG158" s="87"/>
      <c r="BH158" s="87"/>
      <c r="BI158" s="87"/>
    </row>
    <row r="159" spans="1:61" x14ac:dyDescent="0.25">
      <c r="A159" s="63" t="s">
        <v>270</v>
      </c>
      <c r="B159" s="63" t="s">
        <v>270</v>
      </c>
      <c r="C159" s="64"/>
      <c r="D159" s="65"/>
      <c r="E159" s="66"/>
      <c r="F159" s="67"/>
      <c r="G159" s="64"/>
      <c r="H159" s="68"/>
      <c r="I159" s="69"/>
      <c r="J159" s="69"/>
      <c r="K159" s="32"/>
      <c r="L159" s="76">
        <v>159</v>
      </c>
      <c r="M159" s="76"/>
      <c r="N159" s="71"/>
      <c r="O159" s="87" t="s">
        <v>179</v>
      </c>
      <c r="P159" s="90">
        <v>45163.866782407407</v>
      </c>
      <c r="Q159" s="87" t="s">
        <v>1997</v>
      </c>
      <c r="R159" s="87">
        <v>2</v>
      </c>
      <c r="S159" s="87">
        <v>13</v>
      </c>
      <c r="T159" s="87">
        <v>0</v>
      </c>
      <c r="U159" s="87">
        <v>0</v>
      </c>
      <c r="V159" s="87">
        <v>1442</v>
      </c>
      <c r="W159" s="93" t="s">
        <v>5949</v>
      </c>
      <c r="X159" s="87"/>
      <c r="Y159" s="87"/>
      <c r="Z159" s="87"/>
      <c r="AA159" s="87" t="s">
        <v>8749</v>
      </c>
      <c r="AB159" s="87" t="s">
        <v>11449</v>
      </c>
      <c r="AC159" s="93" t="s">
        <v>11457</v>
      </c>
      <c r="AD159" s="87" t="s">
        <v>11519</v>
      </c>
      <c r="AE159" s="92" t="str">
        <f>HYPERLINK("https://twitter.com/pciconcursos/status/1695176263638393253")</f>
        <v>https://twitter.com/pciconcursos/status/1695176263638393253</v>
      </c>
      <c r="AF159" s="90">
        <v>45163.866782407407</v>
      </c>
      <c r="AG159" s="99">
        <v>45163</v>
      </c>
      <c r="AH159" s="93" t="s">
        <v>11681</v>
      </c>
      <c r="AI159" s="87" t="b">
        <v>0</v>
      </c>
      <c r="AJ159" s="87"/>
      <c r="AK159" s="87"/>
      <c r="AL159" s="87"/>
      <c r="AM159" s="87"/>
      <c r="AN159" s="87"/>
      <c r="AO159" s="87"/>
      <c r="AP159" s="87"/>
      <c r="AQ159" s="87" t="s">
        <v>15562</v>
      </c>
      <c r="AR159" s="87"/>
      <c r="AS159" s="87"/>
      <c r="AT159" s="87"/>
      <c r="AU159" s="87"/>
      <c r="AV159" s="92" t="str">
        <f>HYPERLINK("https://pbs.twimg.com/media/F4Z5zBRX0AAMI0q.jpg")</f>
        <v>https://pbs.twimg.com/media/F4Z5zBRX0AAMI0q.jpg</v>
      </c>
      <c r="AW159" s="93" t="s">
        <v>18412</v>
      </c>
      <c r="AX159" s="93" t="s">
        <v>18412</v>
      </c>
      <c r="AY159" s="87"/>
      <c r="AZ159" s="93" t="s">
        <v>22668</v>
      </c>
      <c r="BA159" s="93" t="s">
        <v>22668</v>
      </c>
      <c r="BB159" s="93" t="s">
        <v>22668</v>
      </c>
      <c r="BC159" s="93" t="s">
        <v>18412</v>
      </c>
      <c r="BD159" s="87">
        <v>20222718</v>
      </c>
      <c r="BE159" s="87"/>
      <c r="BF159" s="87"/>
      <c r="BG159" s="87"/>
      <c r="BH159" s="87"/>
      <c r="BI159" s="87"/>
    </row>
    <row r="160" spans="1:61" x14ac:dyDescent="0.25">
      <c r="A160" s="63" t="s">
        <v>270</v>
      </c>
      <c r="B160" s="63" t="s">
        <v>270</v>
      </c>
      <c r="C160" s="64"/>
      <c r="D160" s="65"/>
      <c r="E160" s="66"/>
      <c r="F160" s="67"/>
      <c r="G160" s="64"/>
      <c r="H160" s="68"/>
      <c r="I160" s="69"/>
      <c r="J160" s="69"/>
      <c r="K160" s="32"/>
      <c r="L160" s="76">
        <v>160</v>
      </c>
      <c r="M160" s="76"/>
      <c r="N160" s="71"/>
      <c r="O160" s="87" t="s">
        <v>179</v>
      </c>
      <c r="P160" s="90">
        <v>45163.866562499999</v>
      </c>
      <c r="Q160" s="87" t="s">
        <v>1998</v>
      </c>
      <c r="R160" s="87">
        <v>0</v>
      </c>
      <c r="S160" s="87">
        <v>11</v>
      </c>
      <c r="T160" s="87">
        <v>0</v>
      </c>
      <c r="U160" s="87">
        <v>0</v>
      </c>
      <c r="V160" s="87">
        <v>1291</v>
      </c>
      <c r="W160" s="93" t="s">
        <v>5949</v>
      </c>
      <c r="X160" s="87"/>
      <c r="Y160" s="87"/>
      <c r="Z160" s="87"/>
      <c r="AA160" s="87" t="s">
        <v>8750</v>
      </c>
      <c r="AB160" s="87" t="s">
        <v>11449</v>
      </c>
      <c r="AC160" s="93" t="s">
        <v>11457</v>
      </c>
      <c r="AD160" s="87" t="s">
        <v>11519</v>
      </c>
      <c r="AE160" s="92" t="str">
        <f>HYPERLINK("https://twitter.com/pciconcursos/status/1695176184747733213")</f>
        <v>https://twitter.com/pciconcursos/status/1695176184747733213</v>
      </c>
      <c r="AF160" s="90">
        <v>45163.866562499999</v>
      </c>
      <c r="AG160" s="99">
        <v>45163</v>
      </c>
      <c r="AH160" s="93" t="s">
        <v>11682</v>
      </c>
      <c r="AI160" s="87" t="b">
        <v>0</v>
      </c>
      <c r="AJ160" s="87"/>
      <c r="AK160" s="87"/>
      <c r="AL160" s="87"/>
      <c r="AM160" s="87"/>
      <c r="AN160" s="87"/>
      <c r="AO160" s="87"/>
      <c r="AP160" s="87"/>
      <c r="AQ160" s="87" t="s">
        <v>15563</v>
      </c>
      <c r="AR160" s="87"/>
      <c r="AS160" s="87"/>
      <c r="AT160" s="87"/>
      <c r="AU160" s="87"/>
      <c r="AV160" s="92" t="str">
        <f>HYPERLINK("https://pbs.twimg.com/media/F4Z5hmRWYAATW6Z.jpg")</f>
        <v>https://pbs.twimg.com/media/F4Z5hmRWYAATW6Z.jpg</v>
      </c>
      <c r="AW160" s="93" t="s">
        <v>18413</v>
      </c>
      <c r="AX160" s="93" t="s">
        <v>18413</v>
      </c>
      <c r="AY160" s="87"/>
      <c r="AZ160" s="93" t="s">
        <v>22668</v>
      </c>
      <c r="BA160" s="93" t="s">
        <v>22668</v>
      </c>
      <c r="BB160" s="93" t="s">
        <v>22668</v>
      </c>
      <c r="BC160" s="93" t="s">
        <v>18413</v>
      </c>
      <c r="BD160" s="87">
        <v>20222718</v>
      </c>
      <c r="BE160" s="87"/>
      <c r="BF160" s="87"/>
      <c r="BG160" s="87"/>
      <c r="BH160" s="87"/>
      <c r="BI160" s="87"/>
    </row>
    <row r="161" spans="1:61" x14ac:dyDescent="0.25">
      <c r="A161" s="63" t="s">
        <v>270</v>
      </c>
      <c r="B161" s="63" t="s">
        <v>270</v>
      </c>
      <c r="C161" s="64"/>
      <c r="D161" s="65"/>
      <c r="E161" s="66"/>
      <c r="F161" s="67"/>
      <c r="G161" s="64"/>
      <c r="H161" s="68"/>
      <c r="I161" s="69"/>
      <c r="J161" s="69"/>
      <c r="K161" s="32"/>
      <c r="L161" s="76">
        <v>161</v>
      </c>
      <c r="M161" s="76"/>
      <c r="N161" s="71"/>
      <c r="O161" s="87" t="s">
        <v>179</v>
      </c>
      <c r="P161" s="90">
        <v>45192.666666666664</v>
      </c>
      <c r="Q161" s="87" t="s">
        <v>1999</v>
      </c>
      <c r="R161" s="87">
        <v>0</v>
      </c>
      <c r="S161" s="87">
        <v>24</v>
      </c>
      <c r="T161" s="87">
        <v>0</v>
      </c>
      <c r="U161" s="87">
        <v>0</v>
      </c>
      <c r="V161" s="87">
        <v>2089</v>
      </c>
      <c r="W161" s="93" t="s">
        <v>5949</v>
      </c>
      <c r="X161" s="87"/>
      <c r="Y161" s="87"/>
      <c r="Z161" s="87"/>
      <c r="AA161" s="87" t="s">
        <v>8751</v>
      </c>
      <c r="AB161" s="87" t="s">
        <v>11448</v>
      </c>
      <c r="AC161" s="93" t="s">
        <v>11457</v>
      </c>
      <c r="AD161" s="87" t="s">
        <v>11519</v>
      </c>
      <c r="AE161" s="92" t="str">
        <f>HYPERLINK("https://twitter.com/pciconcursos/status/1705612991134384230")</f>
        <v>https://twitter.com/pciconcursos/status/1705612991134384230</v>
      </c>
      <c r="AF161" s="90">
        <v>45192.666666666664</v>
      </c>
      <c r="AG161" s="99">
        <v>45192</v>
      </c>
      <c r="AH161" s="93" t="s">
        <v>11676</v>
      </c>
      <c r="AI161" s="87" t="b">
        <v>0</v>
      </c>
      <c r="AJ161" s="87"/>
      <c r="AK161" s="87"/>
      <c r="AL161" s="87"/>
      <c r="AM161" s="87"/>
      <c r="AN161" s="87"/>
      <c r="AO161" s="87"/>
      <c r="AP161" s="87"/>
      <c r="AQ161" s="87" t="s">
        <v>15564</v>
      </c>
      <c r="AR161" s="87"/>
      <c r="AS161" s="87"/>
      <c r="AT161" s="87"/>
      <c r="AU161" s="87"/>
      <c r="AV161" s="92" t="str">
        <f>HYPERLINK("https://pbs.twimg.com/media/F6pkLJUXYAAD5my.png")</f>
        <v>https://pbs.twimg.com/media/F6pkLJUXYAAD5my.png</v>
      </c>
      <c r="AW161" s="93" t="s">
        <v>18414</v>
      </c>
      <c r="AX161" s="93" t="s">
        <v>18414</v>
      </c>
      <c r="AY161" s="87"/>
      <c r="AZ161" s="93" t="s">
        <v>22668</v>
      </c>
      <c r="BA161" s="93" t="s">
        <v>22668</v>
      </c>
      <c r="BB161" s="93" t="s">
        <v>22668</v>
      </c>
      <c r="BC161" s="93" t="s">
        <v>18414</v>
      </c>
      <c r="BD161" s="87">
        <v>20222718</v>
      </c>
      <c r="BE161" s="87"/>
      <c r="BF161" s="87"/>
      <c r="BG161" s="87"/>
      <c r="BH161" s="87"/>
      <c r="BI161" s="87"/>
    </row>
    <row r="162" spans="1:61" x14ac:dyDescent="0.25">
      <c r="A162" s="63" t="s">
        <v>270</v>
      </c>
      <c r="B162" s="63" t="s">
        <v>270</v>
      </c>
      <c r="C162" s="64"/>
      <c r="D162" s="65"/>
      <c r="E162" s="66"/>
      <c r="F162" s="67"/>
      <c r="G162" s="64"/>
      <c r="H162" s="68"/>
      <c r="I162" s="69"/>
      <c r="J162" s="69"/>
      <c r="K162" s="32"/>
      <c r="L162" s="76">
        <v>162</v>
      </c>
      <c r="M162" s="76"/>
      <c r="N162" s="71"/>
      <c r="O162" s="87" t="s">
        <v>179</v>
      </c>
      <c r="P162" s="90">
        <v>45187.730798611112</v>
      </c>
      <c r="Q162" s="87" t="s">
        <v>2000</v>
      </c>
      <c r="R162" s="87">
        <v>1</v>
      </c>
      <c r="S162" s="87">
        <v>16</v>
      </c>
      <c r="T162" s="87">
        <v>0</v>
      </c>
      <c r="U162" s="87">
        <v>0</v>
      </c>
      <c r="V162" s="87">
        <v>2252</v>
      </c>
      <c r="W162" s="93" t="s">
        <v>5949</v>
      </c>
      <c r="X162" s="87"/>
      <c r="Y162" s="87"/>
      <c r="Z162" s="87"/>
      <c r="AA162" s="87" t="s">
        <v>8752</v>
      </c>
      <c r="AB162" s="87" t="s">
        <v>11448</v>
      </c>
      <c r="AC162" s="93" t="s">
        <v>11457</v>
      </c>
      <c r="AD162" s="87" t="s">
        <v>11519</v>
      </c>
      <c r="AE162" s="92" t="str">
        <f>HYPERLINK("https://twitter.com/pciconcursos/status/1703824292209701092")</f>
        <v>https://twitter.com/pciconcursos/status/1703824292209701092</v>
      </c>
      <c r="AF162" s="90">
        <v>45187.730798611112</v>
      </c>
      <c r="AG162" s="99">
        <v>45187</v>
      </c>
      <c r="AH162" s="93" t="s">
        <v>11683</v>
      </c>
      <c r="AI162" s="87" t="b">
        <v>0</v>
      </c>
      <c r="AJ162" s="87"/>
      <c r="AK162" s="87"/>
      <c r="AL162" s="87"/>
      <c r="AM162" s="87"/>
      <c r="AN162" s="87"/>
      <c r="AO162" s="87"/>
      <c r="AP162" s="87"/>
      <c r="AQ162" s="87" t="s">
        <v>15565</v>
      </c>
      <c r="AR162" s="87"/>
      <c r="AS162" s="87"/>
      <c r="AT162" s="87"/>
      <c r="AU162" s="87"/>
      <c r="AV162" s="92" t="str">
        <f>HYPERLINK("https://pbs.twimg.com/media/F6UzAh0XUAA6-A8.jpg")</f>
        <v>https://pbs.twimg.com/media/F6UzAh0XUAA6-A8.jpg</v>
      </c>
      <c r="AW162" s="93" t="s">
        <v>18415</v>
      </c>
      <c r="AX162" s="93" t="s">
        <v>18415</v>
      </c>
      <c r="AY162" s="87"/>
      <c r="AZ162" s="93" t="s">
        <v>22668</v>
      </c>
      <c r="BA162" s="93" t="s">
        <v>22668</v>
      </c>
      <c r="BB162" s="93" t="s">
        <v>22668</v>
      </c>
      <c r="BC162" s="93" t="s">
        <v>18415</v>
      </c>
      <c r="BD162" s="87">
        <v>20222718</v>
      </c>
      <c r="BE162" s="87"/>
      <c r="BF162" s="87"/>
      <c r="BG162" s="87"/>
      <c r="BH162" s="87"/>
      <c r="BI162" s="87"/>
    </row>
    <row r="163" spans="1:61" x14ac:dyDescent="0.25">
      <c r="A163" s="63" t="s">
        <v>271</v>
      </c>
      <c r="B163" s="63" t="s">
        <v>271</v>
      </c>
      <c r="C163" s="64"/>
      <c r="D163" s="65"/>
      <c r="E163" s="66"/>
      <c r="F163" s="67"/>
      <c r="G163" s="64"/>
      <c r="H163" s="68"/>
      <c r="I163" s="69"/>
      <c r="J163" s="69"/>
      <c r="K163" s="32"/>
      <c r="L163" s="76">
        <v>163</v>
      </c>
      <c r="M163" s="76"/>
      <c r="N163" s="71"/>
      <c r="O163" s="87" t="s">
        <v>179</v>
      </c>
      <c r="P163" s="90">
        <v>45157.000636574077</v>
      </c>
      <c r="Q163" s="87" t="s">
        <v>2001</v>
      </c>
      <c r="R163" s="87">
        <v>0</v>
      </c>
      <c r="S163" s="87">
        <v>0</v>
      </c>
      <c r="T163" s="87">
        <v>0</v>
      </c>
      <c r="U163" s="87">
        <v>0</v>
      </c>
      <c r="V163" s="87">
        <v>11</v>
      </c>
      <c r="W163" s="93" t="s">
        <v>5954</v>
      </c>
      <c r="X163" s="92" t="str">
        <f>HYPERLINK("https://www.sympla.com.br/evento/maturifest-2023/2039470")</f>
        <v>https://www.sympla.com.br/evento/maturifest-2023/2039470</v>
      </c>
      <c r="Y163" s="87" t="s">
        <v>8373</v>
      </c>
      <c r="Z163" s="87"/>
      <c r="AA163" s="87"/>
      <c r="AB163" s="87"/>
      <c r="AC163" s="93" t="s">
        <v>11457</v>
      </c>
      <c r="AD163" s="87" t="s">
        <v>11520</v>
      </c>
      <c r="AE163" s="92" t="str">
        <f>HYPERLINK("https://twitter.com/agencia_noimd/status/1692688053414805736")</f>
        <v>https://twitter.com/agencia_noimd/status/1692688053414805736</v>
      </c>
      <c r="AF163" s="90">
        <v>45157.000636574077</v>
      </c>
      <c r="AG163" s="99">
        <v>45157</v>
      </c>
      <c r="AH163" s="93" t="s">
        <v>11684</v>
      </c>
      <c r="AI163" s="87" t="b">
        <v>0</v>
      </c>
      <c r="AJ163" s="87"/>
      <c r="AK163" s="87"/>
      <c r="AL163" s="87"/>
      <c r="AM163" s="87"/>
      <c r="AN163" s="87"/>
      <c r="AO163" s="87"/>
      <c r="AP163" s="87"/>
      <c r="AQ163" s="87"/>
      <c r="AR163" s="87"/>
      <c r="AS163" s="87"/>
      <c r="AT163" s="87"/>
      <c r="AU163" s="87"/>
      <c r="AV163" s="92" t="str">
        <f>HYPERLINK("https://pbs.twimg.com/profile_images/1686537090723389440/ofzxA1XS_normal.jpg")</f>
        <v>https://pbs.twimg.com/profile_images/1686537090723389440/ofzxA1XS_normal.jpg</v>
      </c>
      <c r="AW163" s="93" t="s">
        <v>18416</v>
      </c>
      <c r="AX163" s="93" t="s">
        <v>18416</v>
      </c>
      <c r="AY163" s="87"/>
      <c r="AZ163" s="93" t="s">
        <v>22668</v>
      </c>
      <c r="BA163" s="93" t="s">
        <v>22668</v>
      </c>
      <c r="BB163" s="93" t="s">
        <v>22668</v>
      </c>
      <c r="BC163" s="93" t="s">
        <v>18416</v>
      </c>
      <c r="BD163" s="93" t="s">
        <v>22817</v>
      </c>
      <c r="BE163" s="87"/>
      <c r="BF163" s="87"/>
      <c r="BG163" s="87"/>
      <c r="BH163" s="87"/>
      <c r="BI163" s="87"/>
    </row>
    <row r="164" spans="1:61" x14ac:dyDescent="0.25">
      <c r="A164" s="63" t="s">
        <v>272</v>
      </c>
      <c r="B164" s="63" t="s">
        <v>1624</v>
      </c>
      <c r="C164" s="64"/>
      <c r="D164" s="65"/>
      <c r="E164" s="66"/>
      <c r="F164" s="67"/>
      <c r="G164" s="64"/>
      <c r="H164" s="68"/>
      <c r="I164" s="69"/>
      <c r="J164" s="69"/>
      <c r="K164" s="32"/>
      <c r="L164" s="76">
        <v>164</v>
      </c>
      <c r="M164" s="76"/>
      <c r="N164" s="71"/>
      <c r="O164" s="87" t="s">
        <v>1839</v>
      </c>
      <c r="P164" s="90">
        <v>45114.814699074072</v>
      </c>
      <c r="Q164" s="87" t="s">
        <v>2002</v>
      </c>
      <c r="R164" s="87">
        <v>0</v>
      </c>
      <c r="S164" s="87">
        <v>0</v>
      </c>
      <c r="T164" s="87">
        <v>0</v>
      </c>
      <c r="U164" s="87">
        <v>0</v>
      </c>
      <c r="V164" s="87">
        <v>5</v>
      </c>
      <c r="W164" s="93" t="s">
        <v>5955</v>
      </c>
      <c r="X164" s="92" t="str">
        <f>HYPERLINK("https://youtube.com/shorts/Sc2b_IHk68E?feature=share")</f>
        <v>https://youtube.com/shorts/Sc2b_IHk68E?feature=share</v>
      </c>
      <c r="Y164" s="87" t="s">
        <v>8380</v>
      </c>
      <c r="Z164" s="87" t="s">
        <v>1624</v>
      </c>
      <c r="AA164" s="87"/>
      <c r="AB164" s="87"/>
      <c r="AC164" s="93" t="s">
        <v>11457</v>
      </c>
      <c r="AD164" s="87" t="s">
        <v>11519</v>
      </c>
      <c r="AE164" s="92" t="str">
        <f>HYPERLINK("https://twitter.com/drwrocha/status/1677400384170500108")</f>
        <v>https://twitter.com/drwrocha/status/1677400384170500108</v>
      </c>
      <c r="AF164" s="90">
        <v>45114.814699074072</v>
      </c>
      <c r="AG164" s="99">
        <v>45114</v>
      </c>
      <c r="AH164" s="93" t="s">
        <v>11685</v>
      </c>
      <c r="AI164" s="87" t="b">
        <v>0</v>
      </c>
      <c r="AJ164" s="87"/>
      <c r="AK164" s="87"/>
      <c r="AL164" s="87"/>
      <c r="AM164" s="87"/>
      <c r="AN164" s="87"/>
      <c r="AO164" s="87"/>
      <c r="AP164" s="87"/>
      <c r="AQ164" s="87"/>
      <c r="AR164" s="87"/>
      <c r="AS164" s="87"/>
      <c r="AT164" s="87"/>
      <c r="AU164" s="87"/>
      <c r="AV164" s="92" t="str">
        <f>HYPERLINK("https://pbs.twimg.com/profile_images/1616414285231529986/lFp3M6x1_normal.jpg")</f>
        <v>https://pbs.twimg.com/profile_images/1616414285231529986/lFp3M6x1_normal.jpg</v>
      </c>
      <c r="AW164" s="93" t="s">
        <v>18417</v>
      </c>
      <c r="AX164" s="93" t="s">
        <v>18417</v>
      </c>
      <c r="AY164" s="87"/>
      <c r="AZ164" s="93" t="s">
        <v>22668</v>
      </c>
      <c r="BA164" s="93" t="s">
        <v>22668</v>
      </c>
      <c r="BB164" s="93" t="s">
        <v>22668</v>
      </c>
      <c r="BC164" s="93" t="s">
        <v>18417</v>
      </c>
      <c r="BD164" s="93" t="s">
        <v>22818</v>
      </c>
      <c r="BE164" s="87"/>
      <c r="BF164" s="87"/>
      <c r="BG164" s="87"/>
      <c r="BH164" s="87"/>
      <c r="BI164" s="87"/>
    </row>
    <row r="165" spans="1:61" x14ac:dyDescent="0.25">
      <c r="A165" s="63" t="s">
        <v>272</v>
      </c>
      <c r="B165" s="63" t="s">
        <v>1624</v>
      </c>
      <c r="C165" s="64"/>
      <c r="D165" s="65"/>
      <c r="E165" s="66"/>
      <c r="F165" s="67"/>
      <c r="G165" s="64"/>
      <c r="H165" s="68"/>
      <c r="I165" s="69"/>
      <c r="J165" s="69"/>
      <c r="K165" s="32"/>
      <c r="L165" s="76">
        <v>165</v>
      </c>
      <c r="M165" s="76"/>
      <c r="N165" s="71"/>
      <c r="O165" s="87" t="s">
        <v>1839</v>
      </c>
      <c r="P165" s="90">
        <v>45139.80364583333</v>
      </c>
      <c r="Q165" s="87" t="s">
        <v>2003</v>
      </c>
      <c r="R165" s="87">
        <v>0</v>
      </c>
      <c r="S165" s="87">
        <v>0</v>
      </c>
      <c r="T165" s="87">
        <v>0</v>
      </c>
      <c r="U165" s="87">
        <v>0</v>
      </c>
      <c r="V165" s="87">
        <v>3</v>
      </c>
      <c r="W165" s="93" t="s">
        <v>5857</v>
      </c>
      <c r="X165" s="92" t="str">
        <f>HYPERLINK("https://youtube.com/shorts/Zgwm9_2Ituc?feature=share")</f>
        <v>https://youtube.com/shorts/Zgwm9_2Ituc?feature=share</v>
      </c>
      <c r="Y165" s="87" t="s">
        <v>8380</v>
      </c>
      <c r="Z165" s="87" t="s">
        <v>1624</v>
      </c>
      <c r="AA165" s="87"/>
      <c r="AB165" s="87"/>
      <c r="AC165" s="93" t="s">
        <v>11457</v>
      </c>
      <c r="AD165" s="87" t="s">
        <v>11521</v>
      </c>
      <c r="AE165" s="92" t="str">
        <f>HYPERLINK("https://twitter.com/drwrocha/status/1686456073819930639")</f>
        <v>https://twitter.com/drwrocha/status/1686456073819930639</v>
      </c>
      <c r="AF165" s="90">
        <v>45139.80364583333</v>
      </c>
      <c r="AG165" s="99">
        <v>45139</v>
      </c>
      <c r="AH165" s="93" t="s">
        <v>11686</v>
      </c>
      <c r="AI165" s="87" t="b">
        <v>0</v>
      </c>
      <c r="AJ165" s="87"/>
      <c r="AK165" s="87"/>
      <c r="AL165" s="87"/>
      <c r="AM165" s="87"/>
      <c r="AN165" s="87"/>
      <c r="AO165" s="87"/>
      <c r="AP165" s="87"/>
      <c r="AQ165" s="87"/>
      <c r="AR165" s="87"/>
      <c r="AS165" s="87"/>
      <c r="AT165" s="87"/>
      <c r="AU165" s="87"/>
      <c r="AV165" s="92" t="str">
        <f>HYPERLINK("https://pbs.twimg.com/profile_images/1616414285231529986/lFp3M6x1_normal.jpg")</f>
        <v>https://pbs.twimg.com/profile_images/1616414285231529986/lFp3M6x1_normal.jpg</v>
      </c>
      <c r="AW165" s="93" t="s">
        <v>18418</v>
      </c>
      <c r="AX165" s="93" t="s">
        <v>18418</v>
      </c>
      <c r="AY165" s="87"/>
      <c r="AZ165" s="93" t="s">
        <v>22668</v>
      </c>
      <c r="BA165" s="93" t="s">
        <v>22668</v>
      </c>
      <c r="BB165" s="93" t="s">
        <v>22668</v>
      </c>
      <c r="BC165" s="93" t="s">
        <v>18418</v>
      </c>
      <c r="BD165" s="93" t="s">
        <v>22818</v>
      </c>
      <c r="BE165" s="87"/>
      <c r="BF165" s="87"/>
      <c r="BG165" s="87"/>
      <c r="BH165" s="87"/>
      <c r="BI165" s="87"/>
    </row>
    <row r="166" spans="1:61" x14ac:dyDescent="0.25">
      <c r="A166" s="63" t="s">
        <v>273</v>
      </c>
      <c r="B166" s="63" t="s">
        <v>273</v>
      </c>
      <c r="C166" s="64"/>
      <c r="D166" s="65"/>
      <c r="E166" s="66"/>
      <c r="F166" s="67"/>
      <c r="G166" s="64"/>
      <c r="H166" s="68"/>
      <c r="I166" s="69"/>
      <c r="J166" s="69"/>
      <c r="K166" s="32"/>
      <c r="L166" s="76">
        <v>166</v>
      </c>
      <c r="M166" s="76"/>
      <c r="N166" s="71"/>
      <c r="O166" s="87" t="s">
        <v>1840</v>
      </c>
      <c r="P166" s="90">
        <v>45112.019594907404</v>
      </c>
      <c r="Q166" s="87" t="s">
        <v>2004</v>
      </c>
      <c r="R166" s="87">
        <v>1</v>
      </c>
      <c r="S166" s="87">
        <v>1</v>
      </c>
      <c r="T166" s="87">
        <v>1</v>
      </c>
      <c r="U166" s="87">
        <v>0</v>
      </c>
      <c r="V166" s="87">
        <v>59</v>
      </c>
      <c r="W166" s="93" t="s">
        <v>5956</v>
      </c>
      <c r="X166" s="92" t="str">
        <f>HYPERLINK("https://gruposeres.abler.com.br/vagas/648623-professor-assistente-empreendedorismo-603772")</f>
        <v>https://gruposeres.abler.com.br/vagas/648623-professor-assistente-empreendedorismo-603772</v>
      </c>
      <c r="Y166" s="87" t="s">
        <v>8373</v>
      </c>
      <c r="Z166" s="87"/>
      <c r="AA166" s="87"/>
      <c r="AB166" s="87"/>
      <c r="AC166" s="93" t="s">
        <v>11459</v>
      </c>
      <c r="AD166" s="87" t="s">
        <v>11519</v>
      </c>
      <c r="AE166" s="92" t="str">
        <f>HYPERLINK("https://twitter.com/vagasdesalvador/status/1676387472043802624")</f>
        <v>https://twitter.com/vagasdesalvador/status/1676387472043802624</v>
      </c>
      <c r="AF166" s="90">
        <v>45112.019594907404</v>
      </c>
      <c r="AG166" s="99">
        <v>45112</v>
      </c>
      <c r="AH166" s="93" t="s">
        <v>11687</v>
      </c>
      <c r="AI166" s="87" t="b">
        <v>0</v>
      </c>
      <c r="AJ166" s="87"/>
      <c r="AK166" s="87"/>
      <c r="AL166" s="87"/>
      <c r="AM166" s="87"/>
      <c r="AN166" s="87"/>
      <c r="AO166" s="87"/>
      <c r="AP166" s="87"/>
      <c r="AQ166" s="87"/>
      <c r="AR166" s="87"/>
      <c r="AS166" s="87"/>
      <c r="AT166" s="87"/>
      <c r="AU166" s="87"/>
      <c r="AV166" s="92" t="str">
        <f>HYPERLINK("https://pbs.twimg.com/profile_images/1570481566039539715/leEExsEx_normal.jpg")</f>
        <v>https://pbs.twimg.com/profile_images/1570481566039539715/leEExsEx_normal.jpg</v>
      </c>
      <c r="AW166" s="93" t="s">
        <v>18419</v>
      </c>
      <c r="AX166" s="93" t="s">
        <v>22308</v>
      </c>
      <c r="AY166" s="93" t="s">
        <v>22520</v>
      </c>
      <c r="AZ166" s="93" t="s">
        <v>22681</v>
      </c>
      <c r="BA166" s="93" t="s">
        <v>22668</v>
      </c>
      <c r="BB166" s="93" t="s">
        <v>22668</v>
      </c>
      <c r="BC166" s="93" t="s">
        <v>22681</v>
      </c>
      <c r="BD166" s="93" t="s">
        <v>22520</v>
      </c>
      <c r="BE166" s="87"/>
      <c r="BF166" s="87"/>
      <c r="BG166" s="87"/>
      <c r="BH166" s="87"/>
      <c r="BI166" s="87"/>
    </row>
    <row r="167" spans="1:61" x14ac:dyDescent="0.25">
      <c r="A167" s="63" t="s">
        <v>274</v>
      </c>
      <c r="B167" s="63" t="s">
        <v>274</v>
      </c>
      <c r="C167" s="64"/>
      <c r="D167" s="65"/>
      <c r="E167" s="66"/>
      <c r="F167" s="67"/>
      <c r="G167" s="64"/>
      <c r="H167" s="68"/>
      <c r="I167" s="69"/>
      <c r="J167" s="69"/>
      <c r="K167" s="32"/>
      <c r="L167" s="76">
        <v>167</v>
      </c>
      <c r="M167" s="76"/>
      <c r="N167" s="71"/>
      <c r="O167" s="87" t="s">
        <v>179</v>
      </c>
      <c r="P167" s="90">
        <v>45170.626388888886</v>
      </c>
      <c r="Q167" s="87" t="s">
        <v>2005</v>
      </c>
      <c r="R167" s="87">
        <v>0</v>
      </c>
      <c r="S167" s="87">
        <v>0</v>
      </c>
      <c r="T167" s="87">
        <v>0</v>
      </c>
      <c r="U167" s="87">
        <v>0</v>
      </c>
      <c r="V167" s="87">
        <v>18</v>
      </c>
      <c r="W167" s="93" t="s">
        <v>5957</v>
      </c>
      <c r="X167" s="87"/>
      <c r="Y167" s="87"/>
      <c r="Z167" s="87"/>
      <c r="AA167" s="87"/>
      <c r="AB167" s="87"/>
      <c r="AC167" s="93" t="s">
        <v>11457</v>
      </c>
      <c r="AD167" s="87" t="s">
        <v>11518</v>
      </c>
      <c r="AE167" s="92" t="str">
        <f>HYPERLINK("https://twitter.com/digital4grow/status/1697625861258940915")</f>
        <v>https://twitter.com/digital4grow/status/1697625861258940915</v>
      </c>
      <c r="AF167" s="90">
        <v>45170.626388888886</v>
      </c>
      <c r="AG167" s="99">
        <v>45170</v>
      </c>
      <c r="AH167" s="93" t="s">
        <v>11688</v>
      </c>
      <c r="AI167" s="87"/>
      <c r="AJ167" s="87"/>
      <c r="AK167" s="87"/>
      <c r="AL167" s="87"/>
      <c r="AM167" s="87"/>
      <c r="AN167" s="87"/>
      <c r="AO167" s="87"/>
      <c r="AP167" s="87"/>
      <c r="AQ167" s="87"/>
      <c r="AR167" s="87"/>
      <c r="AS167" s="87"/>
      <c r="AT167" s="87"/>
      <c r="AU167" s="87"/>
      <c r="AV167" s="92" t="str">
        <f>HYPERLINK("https://pbs.twimg.com/profile_images/1697588735494533120/Jm6n6EPa_normal.jpg")</f>
        <v>https://pbs.twimg.com/profile_images/1697588735494533120/Jm6n6EPa_normal.jpg</v>
      </c>
      <c r="AW167" s="93" t="s">
        <v>18420</v>
      </c>
      <c r="AX167" s="93" t="s">
        <v>18420</v>
      </c>
      <c r="AY167" s="87"/>
      <c r="AZ167" s="93" t="s">
        <v>22668</v>
      </c>
      <c r="BA167" s="93" t="s">
        <v>22668</v>
      </c>
      <c r="BB167" s="93" t="s">
        <v>22668</v>
      </c>
      <c r="BC167" s="93" t="s">
        <v>18420</v>
      </c>
      <c r="BD167" s="93" t="s">
        <v>22819</v>
      </c>
      <c r="BE167" s="87"/>
      <c r="BF167" s="87"/>
      <c r="BG167" s="87"/>
      <c r="BH167" s="87"/>
      <c r="BI167" s="87"/>
    </row>
    <row r="168" spans="1:61" x14ac:dyDescent="0.25">
      <c r="A168" s="63" t="s">
        <v>275</v>
      </c>
      <c r="B168" s="63" t="s">
        <v>275</v>
      </c>
      <c r="C168" s="64"/>
      <c r="D168" s="65"/>
      <c r="E168" s="66"/>
      <c r="F168" s="67"/>
      <c r="G168" s="64"/>
      <c r="H168" s="68"/>
      <c r="I168" s="69"/>
      <c r="J168" s="69"/>
      <c r="K168" s="32"/>
      <c r="L168" s="76">
        <v>168</v>
      </c>
      <c r="M168" s="76"/>
      <c r="N168" s="71"/>
      <c r="O168" s="87" t="s">
        <v>179</v>
      </c>
      <c r="P168" s="90">
        <v>45175.927418981482</v>
      </c>
      <c r="Q168" s="87" t="s">
        <v>2006</v>
      </c>
      <c r="R168" s="87">
        <v>0</v>
      </c>
      <c r="S168" s="87">
        <v>0</v>
      </c>
      <c r="T168" s="87">
        <v>0</v>
      </c>
      <c r="U168" s="87">
        <v>0</v>
      </c>
      <c r="V168" s="87">
        <v>32</v>
      </c>
      <c r="W168" s="93" t="s">
        <v>5958</v>
      </c>
      <c r="X168" s="87"/>
      <c r="Y168" s="87"/>
      <c r="Z168" s="87"/>
      <c r="AA168" s="87" t="s">
        <v>8753</v>
      </c>
      <c r="AB168" s="87" t="s">
        <v>11447</v>
      </c>
      <c r="AC168" s="93" t="s">
        <v>11459</v>
      </c>
      <c r="AD168" s="87" t="s">
        <v>11519</v>
      </c>
      <c r="AE168" s="92" t="str">
        <f>HYPERLINK("https://twitter.com/linsdoceara/status/1699546889077587977")</f>
        <v>https://twitter.com/linsdoceara/status/1699546889077587977</v>
      </c>
      <c r="AF168" s="90">
        <v>45175.927418981482</v>
      </c>
      <c r="AG168" s="99">
        <v>45175</v>
      </c>
      <c r="AH168" s="93" t="s">
        <v>11689</v>
      </c>
      <c r="AI168" s="87" t="b">
        <v>0</v>
      </c>
      <c r="AJ168" s="87" t="s">
        <v>15169</v>
      </c>
      <c r="AK168" s="87" t="s">
        <v>15234</v>
      </c>
      <c r="AL168" s="87" t="s">
        <v>15237</v>
      </c>
      <c r="AM168" s="87" t="s">
        <v>15241</v>
      </c>
      <c r="AN168" s="87" t="s">
        <v>15306</v>
      </c>
      <c r="AO168" s="87" t="s">
        <v>15373</v>
      </c>
      <c r="AP168" s="87" t="s">
        <v>15438</v>
      </c>
      <c r="AQ168" s="87" t="s">
        <v>15566</v>
      </c>
      <c r="AR168" s="87">
        <v>80066</v>
      </c>
      <c r="AS168" s="87"/>
      <c r="AT168" s="87"/>
      <c r="AU168" s="87"/>
      <c r="AV168" s="92" t="str">
        <f>HYPERLINK("https://pbs.twimg.com/ext_tw_video_thumb/1699546844739563523/pu/img/6uchBhOfXJE06fOA.jpg")</f>
        <v>https://pbs.twimg.com/ext_tw_video_thumb/1699546844739563523/pu/img/6uchBhOfXJE06fOA.jpg</v>
      </c>
      <c r="AW168" s="93" t="s">
        <v>18421</v>
      </c>
      <c r="AX168" s="93" t="s">
        <v>18421</v>
      </c>
      <c r="AY168" s="87"/>
      <c r="AZ168" s="93" t="s">
        <v>22668</v>
      </c>
      <c r="BA168" s="93" t="s">
        <v>22668</v>
      </c>
      <c r="BB168" s="93" t="s">
        <v>22668</v>
      </c>
      <c r="BC168" s="93" t="s">
        <v>18421</v>
      </c>
      <c r="BD168" s="87">
        <v>861499507</v>
      </c>
      <c r="BE168" s="87"/>
      <c r="BF168" s="87"/>
      <c r="BG168" s="87"/>
      <c r="BH168" s="87"/>
      <c r="BI168" s="87"/>
    </row>
    <row r="169" spans="1:61" x14ac:dyDescent="0.25">
      <c r="A169" s="63" t="s">
        <v>276</v>
      </c>
      <c r="B169" s="63" t="s">
        <v>276</v>
      </c>
      <c r="C169" s="64"/>
      <c r="D169" s="65"/>
      <c r="E169" s="66"/>
      <c r="F169" s="67"/>
      <c r="G169" s="64"/>
      <c r="H169" s="68"/>
      <c r="I169" s="69"/>
      <c r="J169" s="69"/>
      <c r="K169" s="32"/>
      <c r="L169" s="76">
        <v>169</v>
      </c>
      <c r="M169" s="76"/>
      <c r="N169" s="71"/>
      <c r="O169" s="87" t="s">
        <v>179</v>
      </c>
      <c r="P169" s="90">
        <v>45163.604166666664</v>
      </c>
      <c r="Q169" s="87" t="s">
        <v>2007</v>
      </c>
      <c r="R169" s="87">
        <v>0</v>
      </c>
      <c r="S169" s="87">
        <v>0</v>
      </c>
      <c r="T169" s="87">
        <v>0</v>
      </c>
      <c r="U169" s="87">
        <v>0</v>
      </c>
      <c r="V169" s="87">
        <v>3</v>
      </c>
      <c r="W169" s="93" t="s">
        <v>5959</v>
      </c>
      <c r="X169" s="92" t="str">
        <f>HYPERLINK("https://blog.aflawgovernancatributaria.com/2023/05/precificacao-de-um-produto-por-que-e.html")</f>
        <v>https://blog.aflawgovernancatributaria.com/2023/05/precificacao-de-um-produto-por-que-e.html</v>
      </c>
      <c r="Y169" s="87" t="s">
        <v>8381</v>
      </c>
      <c r="Z169" s="87"/>
      <c r="AA169" s="87"/>
      <c r="AB169" s="87"/>
      <c r="AC169" s="93" t="s">
        <v>11457</v>
      </c>
      <c r="AD169" s="87" t="s">
        <v>11519</v>
      </c>
      <c r="AE169" s="92" t="str">
        <f>HYPERLINK("https://twitter.com/focanoimposto/status/1695081092586303922")</f>
        <v>https://twitter.com/focanoimposto/status/1695081092586303922</v>
      </c>
      <c r="AF169" s="90">
        <v>45163.604166666664</v>
      </c>
      <c r="AG169" s="99">
        <v>45163</v>
      </c>
      <c r="AH169" s="93" t="s">
        <v>11690</v>
      </c>
      <c r="AI169" s="87" t="b">
        <v>0</v>
      </c>
      <c r="AJ169" s="87"/>
      <c r="AK169" s="87"/>
      <c r="AL169" s="87"/>
      <c r="AM169" s="87"/>
      <c r="AN169" s="87"/>
      <c r="AO169" s="87"/>
      <c r="AP169" s="87"/>
      <c r="AQ169" s="87"/>
      <c r="AR169" s="87"/>
      <c r="AS169" s="87"/>
      <c r="AT169" s="87"/>
      <c r="AU169" s="87"/>
      <c r="AV169" s="92" t="str">
        <f>HYPERLINK("https://pbs.twimg.com/profile_images/1656004536211841032/HRnhFWb4_normal.jpg")</f>
        <v>https://pbs.twimg.com/profile_images/1656004536211841032/HRnhFWb4_normal.jpg</v>
      </c>
      <c r="AW169" s="93" t="s">
        <v>18422</v>
      </c>
      <c r="AX169" s="93" t="s">
        <v>18422</v>
      </c>
      <c r="AY169" s="87"/>
      <c r="AZ169" s="93" t="s">
        <v>22668</v>
      </c>
      <c r="BA169" s="93" t="s">
        <v>22668</v>
      </c>
      <c r="BB169" s="93" t="s">
        <v>22668</v>
      </c>
      <c r="BC169" s="93" t="s">
        <v>18422</v>
      </c>
      <c r="BD169" s="93" t="s">
        <v>22820</v>
      </c>
      <c r="BE169" s="87"/>
      <c r="BF169" s="87"/>
      <c r="BG169" s="87"/>
      <c r="BH169" s="87"/>
      <c r="BI169" s="87"/>
    </row>
    <row r="170" spans="1:61" x14ac:dyDescent="0.25">
      <c r="A170" s="63" t="s">
        <v>277</v>
      </c>
      <c r="B170" s="63" t="s">
        <v>277</v>
      </c>
      <c r="C170" s="64"/>
      <c r="D170" s="65"/>
      <c r="E170" s="66"/>
      <c r="F170" s="67"/>
      <c r="G170" s="64"/>
      <c r="H170" s="68"/>
      <c r="I170" s="69"/>
      <c r="J170" s="69"/>
      <c r="K170" s="32"/>
      <c r="L170" s="76">
        <v>170</v>
      </c>
      <c r="M170" s="76"/>
      <c r="N170" s="71"/>
      <c r="O170" s="87" t="s">
        <v>1840</v>
      </c>
      <c r="P170" s="90">
        <v>45153.672453703701</v>
      </c>
      <c r="Q170" s="87" t="s">
        <v>2008</v>
      </c>
      <c r="R170" s="87">
        <v>0</v>
      </c>
      <c r="S170" s="87">
        <v>0</v>
      </c>
      <c r="T170" s="87">
        <v>0</v>
      </c>
      <c r="U170" s="87">
        <v>0</v>
      </c>
      <c r="V170" s="87">
        <v>1</v>
      </c>
      <c r="W170" s="93" t="s">
        <v>5960</v>
      </c>
      <c r="X170" s="87"/>
      <c r="Y170" s="87"/>
      <c r="Z170" s="87"/>
      <c r="AA170" s="87"/>
      <c r="AB170" s="87"/>
      <c r="AC170" s="93" t="s">
        <v>11459</v>
      </c>
      <c r="AD170" s="87" t="s">
        <v>11523</v>
      </c>
      <c r="AE170" s="92" t="str">
        <f>HYPERLINK("https://twitter.com/ciem_sde/status/1691481962135900162")</f>
        <v>https://twitter.com/ciem_sde/status/1691481962135900162</v>
      </c>
      <c r="AF170" s="90">
        <v>45153.672453703701</v>
      </c>
      <c r="AG170" s="99">
        <v>45153</v>
      </c>
      <c r="AH170" s="93" t="s">
        <v>11691</v>
      </c>
      <c r="AI170" s="87"/>
      <c r="AJ170" s="87"/>
      <c r="AK170" s="87"/>
      <c r="AL170" s="87"/>
      <c r="AM170" s="87"/>
      <c r="AN170" s="87"/>
      <c r="AO170" s="87"/>
      <c r="AP170" s="87"/>
      <c r="AQ170" s="87"/>
      <c r="AR170" s="87"/>
      <c r="AS170" s="87"/>
      <c r="AT170" s="87"/>
      <c r="AU170" s="87"/>
      <c r="AV170" s="92" t="str">
        <f>HYPERLINK("https://pbs.twimg.com/profile_images/1632729492807450631/DfWwVY_N_normal.jpg")</f>
        <v>https://pbs.twimg.com/profile_images/1632729492807450631/DfWwVY_N_normal.jpg</v>
      </c>
      <c r="AW170" s="93" t="s">
        <v>18423</v>
      </c>
      <c r="AX170" s="93" t="s">
        <v>22309</v>
      </c>
      <c r="AY170" s="93" t="s">
        <v>22521</v>
      </c>
      <c r="AZ170" s="93" t="s">
        <v>22309</v>
      </c>
      <c r="BA170" s="93" t="s">
        <v>22668</v>
      </c>
      <c r="BB170" s="93" t="s">
        <v>22668</v>
      </c>
      <c r="BC170" s="93" t="s">
        <v>22309</v>
      </c>
      <c r="BD170" s="93" t="s">
        <v>22521</v>
      </c>
      <c r="BE170" s="87"/>
      <c r="BF170" s="87"/>
      <c r="BG170" s="87"/>
      <c r="BH170" s="87"/>
      <c r="BI170" s="87"/>
    </row>
    <row r="171" spans="1:61" x14ac:dyDescent="0.25">
      <c r="A171" s="63" t="s">
        <v>277</v>
      </c>
      <c r="B171" s="63" t="s">
        <v>277</v>
      </c>
      <c r="C171" s="64"/>
      <c r="D171" s="65"/>
      <c r="E171" s="66"/>
      <c r="F171" s="67"/>
      <c r="G171" s="64"/>
      <c r="H171" s="68"/>
      <c r="I171" s="69"/>
      <c r="J171" s="69"/>
      <c r="K171" s="32"/>
      <c r="L171" s="76">
        <v>171</v>
      </c>
      <c r="M171" s="76"/>
      <c r="N171" s="71"/>
      <c r="O171" s="87" t="s">
        <v>1840</v>
      </c>
      <c r="P171" s="90">
        <v>45148.733726851853</v>
      </c>
      <c r="Q171" s="87" t="s">
        <v>2009</v>
      </c>
      <c r="R171" s="87">
        <v>0</v>
      </c>
      <c r="S171" s="87">
        <v>0</v>
      </c>
      <c r="T171" s="87">
        <v>0</v>
      </c>
      <c r="U171" s="87">
        <v>0</v>
      </c>
      <c r="V171" s="87">
        <v>2</v>
      </c>
      <c r="W171" s="93" t="s">
        <v>5961</v>
      </c>
      <c r="X171" s="87"/>
      <c r="Y171" s="87"/>
      <c r="Z171" s="87"/>
      <c r="AA171" s="87"/>
      <c r="AB171" s="87"/>
      <c r="AC171" s="93" t="s">
        <v>11459</v>
      </c>
      <c r="AD171" s="87" t="s">
        <v>11523</v>
      </c>
      <c r="AE171" s="92" t="str">
        <f>HYPERLINK("https://twitter.com/ciem_sde/status/1689692226375311360")</f>
        <v>https://twitter.com/ciem_sde/status/1689692226375311360</v>
      </c>
      <c r="AF171" s="90">
        <v>45148.733726851853</v>
      </c>
      <c r="AG171" s="99">
        <v>45148</v>
      </c>
      <c r="AH171" s="93" t="s">
        <v>11692</v>
      </c>
      <c r="AI171" s="87"/>
      <c r="AJ171" s="87"/>
      <c r="AK171" s="87"/>
      <c r="AL171" s="87"/>
      <c r="AM171" s="87"/>
      <c r="AN171" s="87"/>
      <c r="AO171" s="87"/>
      <c r="AP171" s="87"/>
      <c r="AQ171" s="87"/>
      <c r="AR171" s="87"/>
      <c r="AS171" s="87"/>
      <c r="AT171" s="87"/>
      <c r="AU171" s="87"/>
      <c r="AV171" s="92" t="str">
        <f>HYPERLINK("https://pbs.twimg.com/profile_images/1632729492807450631/DfWwVY_N_normal.jpg")</f>
        <v>https://pbs.twimg.com/profile_images/1632729492807450631/DfWwVY_N_normal.jpg</v>
      </c>
      <c r="AW171" s="93" t="s">
        <v>18424</v>
      </c>
      <c r="AX171" s="93" t="s">
        <v>22310</v>
      </c>
      <c r="AY171" s="93" t="s">
        <v>22521</v>
      </c>
      <c r="AZ171" s="93" t="s">
        <v>22310</v>
      </c>
      <c r="BA171" s="93" t="s">
        <v>22668</v>
      </c>
      <c r="BB171" s="93" t="s">
        <v>22668</v>
      </c>
      <c r="BC171" s="93" t="s">
        <v>22310</v>
      </c>
      <c r="BD171" s="93" t="s">
        <v>22521</v>
      </c>
      <c r="BE171" s="87"/>
      <c r="BF171" s="87"/>
      <c r="BG171" s="87"/>
      <c r="BH171" s="87"/>
      <c r="BI171" s="87"/>
    </row>
    <row r="172" spans="1:61" x14ac:dyDescent="0.25">
      <c r="A172" s="63" t="s">
        <v>277</v>
      </c>
      <c r="B172" s="63" t="s">
        <v>277</v>
      </c>
      <c r="C172" s="64"/>
      <c r="D172" s="65"/>
      <c r="E172" s="66"/>
      <c r="F172" s="67"/>
      <c r="G172" s="64"/>
      <c r="H172" s="68"/>
      <c r="I172" s="69"/>
      <c r="J172" s="69"/>
      <c r="K172" s="32"/>
      <c r="L172" s="76">
        <v>172</v>
      </c>
      <c r="M172" s="76"/>
      <c r="N172" s="71"/>
      <c r="O172" s="87" t="s">
        <v>1840</v>
      </c>
      <c r="P172" s="90">
        <v>45149.800787037035</v>
      </c>
      <c r="Q172" s="87" t="s">
        <v>2010</v>
      </c>
      <c r="R172" s="87">
        <v>1</v>
      </c>
      <c r="S172" s="87">
        <v>0</v>
      </c>
      <c r="T172" s="87">
        <v>0</v>
      </c>
      <c r="U172" s="87">
        <v>0</v>
      </c>
      <c r="V172" s="87">
        <v>5</v>
      </c>
      <c r="W172" s="93" t="s">
        <v>5962</v>
      </c>
      <c r="X172" s="87"/>
      <c r="Y172" s="87"/>
      <c r="Z172" s="87"/>
      <c r="AA172" s="87"/>
      <c r="AB172" s="87"/>
      <c r="AC172" s="93" t="s">
        <v>11459</v>
      </c>
      <c r="AD172" s="87" t="s">
        <v>11524</v>
      </c>
      <c r="AE172" s="92" t="str">
        <f>HYPERLINK("https://twitter.com/ciem_sde/status/1690078917556666371")</f>
        <v>https://twitter.com/ciem_sde/status/1690078917556666371</v>
      </c>
      <c r="AF172" s="90">
        <v>45149.800787037035</v>
      </c>
      <c r="AG172" s="99">
        <v>45149</v>
      </c>
      <c r="AH172" s="93" t="s">
        <v>11693</v>
      </c>
      <c r="AI172" s="87"/>
      <c r="AJ172" s="87"/>
      <c r="AK172" s="87"/>
      <c r="AL172" s="87"/>
      <c r="AM172" s="87"/>
      <c r="AN172" s="87"/>
      <c r="AO172" s="87"/>
      <c r="AP172" s="87"/>
      <c r="AQ172" s="87"/>
      <c r="AR172" s="87"/>
      <c r="AS172" s="87"/>
      <c r="AT172" s="87"/>
      <c r="AU172" s="87"/>
      <c r="AV172" s="92" t="str">
        <f>HYPERLINK("https://pbs.twimg.com/profile_images/1632729492807450631/DfWwVY_N_normal.jpg")</f>
        <v>https://pbs.twimg.com/profile_images/1632729492807450631/DfWwVY_N_normal.jpg</v>
      </c>
      <c r="AW172" s="93" t="s">
        <v>18425</v>
      </c>
      <c r="AX172" s="93" t="s">
        <v>22311</v>
      </c>
      <c r="AY172" s="93" t="s">
        <v>22521</v>
      </c>
      <c r="AZ172" s="93" t="s">
        <v>22311</v>
      </c>
      <c r="BA172" s="93" t="s">
        <v>22668</v>
      </c>
      <c r="BB172" s="93" t="s">
        <v>22668</v>
      </c>
      <c r="BC172" s="93" t="s">
        <v>22311</v>
      </c>
      <c r="BD172" s="93" t="s">
        <v>22521</v>
      </c>
      <c r="BE172" s="87"/>
      <c r="BF172" s="87"/>
      <c r="BG172" s="87"/>
      <c r="BH172" s="87"/>
      <c r="BI172" s="87"/>
    </row>
    <row r="173" spans="1:61" x14ac:dyDescent="0.25">
      <c r="A173" s="63" t="s">
        <v>277</v>
      </c>
      <c r="B173" s="63" t="s">
        <v>277</v>
      </c>
      <c r="C173" s="64"/>
      <c r="D173" s="65"/>
      <c r="E173" s="66"/>
      <c r="F173" s="67"/>
      <c r="G173" s="64"/>
      <c r="H173" s="68"/>
      <c r="I173" s="69"/>
      <c r="J173" s="69"/>
      <c r="K173" s="32"/>
      <c r="L173" s="76">
        <v>173</v>
      </c>
      <c r="M173" s="76"/>
      <c r="N173" s="71"/>
      <c r="O173" s="87" t="s">
        <v>179</v>
      </c>
      <c r="P173" s="90">
        <v>45180.66678240741</v>
      </c>
      <c r="Q173" s="87" t="s">
        <v>2011</v>
      </c>
      <c r="R173" s="87">
        <v>1</v>
      </c>
      <c r="S173" s="87">
        <v>0</v>
      </c>
      <c r="T173" s="87">
        <v>1</v>
      </c>
      <c r="U173" s="87">
        <v>0</v>
      </c>
      <c r="V173" s="87">
        <v>9</v>
      </c>
      <c r="W173" s="93" t="s">
        <v>5963</v>
      </c>
      <c r="X173" s="87"/>
      <c r="Y173" s="87"/>
      <c r="Z173" s="87"/>
      <c r="AA173" s="87" t="s">
        <v>8754</v>
      </c>
      <c r="AB173" s="87" t="s">
        <v>11451</v>
      </c>
      <c r="AC173" s="93" t="s">
        <v>11457</v>
      </c>
      <c r="AD173" s="87" t="s">
        <v>11523</v>
      </c>
      <c r="AE173" s="92" t="str">
        <f>HYPERLINK("https://twitter.com/ciem_sde/status/1701264378379534573")</f>
        <v>https://twitter.com/ciem_sde/status/1701264378379534573</v>
      </c>
      <c r="AF173" s="90">
        <v>45180.66678240741</v>
      </c>
      <c r="AG173" s="99">
        <v>45180</v>
      </c>
      <c r="AH173" s="93" t="s">
        <v>11694</v>
      </c>
      <c r="AI173" s="87" t="b">
        <v>0</v>
      </c>
      <c r="AJ173" s="87"/>
      <c r="AK173" s="87"/>
      <c r="AL173" s="87"/>
      <c r="AM173" s="87"/>
      <c r="AN173" s="87"/>
      <c r="AO173" s="87"/>
      <c r="AP173" s="87"/>
      <c r="AQ173" s="87" t="s">
        <v>15567</v>
      </c>
      <c r="AR173" s="87"/>
      <c r="AS173" s="87"/>
      <c r="AT173" s="87"/>
      <c r="AU173" s="87"/>
      <c r="AV173" s="92" t="str">
        <f>HYPERLINK("https://pbs.twimg.com/media/F5waopNXEAInWN_.jpg")</f>
        <v>https://pbs.twimg.com/media/F5waopNXEAInWN_.jpg</v>
      </c>
      <c r="AW173" s="93" t="s">
        <v>18426</v>
      </c>
      <c r="AX173" s="93" t="s">
        <v>18426</v>
      </c>
      <c r="AY173" s="87"/>
      <c r="AZ173" s="93" t="s">
        <v>22668</v>
      </c>
      <c r="BA173" s="93" t="s">
        <v>22668</v>
      </c>
      <c r="BB173" s="93" t="s">
        <v>22668</v>
      </c>
      <c r="BC173" s="93" t="s">
        <v>18426</v>
      </c>
      <c r="BD173" s="93" t="s">
        <v>22521</v>
      </c>
      <c r="BE173" s="87"/>
      <c r="BF173" s="87"/>
      <c r="BG173" s="87"/>
      <c r="BH173" s="87"/>
      <c r="BI173" s="87"/>
    </row>
    <row r="174" spans="1:61" x14ac:dyDescent="0.25">
      <c r="A174" s="63" t="s">
        <v>277</v>
      </c>
      <c r="B174" s="63" t="s">
        <v>277</v>
      </c>
      <c r="C174" s="64"/>
      <c r="D174" s="65"/>
      <c r="E174" s="66"/>
      <c r="F174" s="67"/>
      <c r="G174" s="64"/>
      <c r="H174" s="68"/>
      <c r="I174" s="69"/>
      <c r="J174" s="69"/>
      <c r="K174" s="32"/>
      <c r="L174" s="76">
        <v>174</v>
      </c>
      <c r="M174" s="76"/>
      <c r="N174" s="71"/>
      <c r="O174" s="87" t="s">
        <v>179</v>
      </c>
      <c r="P174" s="90">
        <v>45175.66951388889</v>
      </c>
      <c r="Q174" s="87" t="s">
        <v>2012</v>
      </c>
      <c r="R174" s="87">
        <v>0</v>
      </c>
      <c r="S174" s="87">
        <v>0</v>
      </c>
      <c r="T174" s="87">
        <v>1</v>
      </c>
      <c r="U174" s="87">
        <v>0</v>
      </c>
      <c r="V174" s="87">
        <v>12</v>
      </c>
      <c r="W174" s="93" t="s">
        <v>5964</v>
      </c>
      <c r="X174" s="87"/>
      <c r="Y174" s="87"/>
      <c r="Z174" s="87"/>
      <c r="AA174" s="87" t="s">
        <v>8755</v>
      </c>
      <c r="AB174" s="87" t="s">
        <v>11449</v>
      </c>
      <c r="AC174" s="93" t="s">
        <v>11457</v>
      </c>
      <c r="AD174" s="87" t="s">
        <v>11523</v>
      </c>
      <c r="AE174" s="92" t="str">
        <f>HYPERLINK("https://twitter.com/ciem_sde/status/1699453428856946786")</f>
        <v>https://twitter.com/ciem_sde/status/1699453428856946786</v>
      </c>
      <c r="AF174" s="90">
        <v>45175.66951388889</v>
      </c>
      <c r="AG174" s="99">
        <v>45175</v>
      </c>
      <c r="AH174" s="93" t="s">
        <v>11695</v>
      </c>
      <c r="AI174" s="87" t="b">
        <v>0</v>
      </c>
      <c r="AJ174" s="87"/>
      <c r="AK174" s="87"/>
      <c r="AL174" s="87"/>
      <c r="AM174" s="87"/>
      <c r="AN174" s="87"/>
      <c r="AO174" s="87"/>
      <c r="AP174" s="87"/>
      <c r="AQ174" s="87" t="s">
        <v>15568</v>
      </c>
      <c r="AR174" s="87"/>
      <c r="AS174" s="87"/>
      <c r="AT174" s="87"/>
      <c r="AU174" s="87"/>
      <c r="AV174" s="92" t="str">
        <f>HYPERLINK("https://pbs.twimg.com/media/F5WrtDgWAAAKqaU.jpg")</f>
        <v>https://pbs.twimg.com/media/F5WrtDgWAAAKqaU.jpg</v>
      </c>
      <c r="AW174" s="93" t="s">
        <v>18427</v>
      </c>
      <c r="AX174" s="93" t="s">
        <v>18427</v>
      </c>
      <c r="AY174" s="87"/>
      <c r="AZ174" s="93" t="s">
        <v>22668</v>
      </c>
      <c r="BA174" s="93" t="s">
        <v>22668</v>
      </c>
      <c r="BB174" s="93" t="s">
        <v>22668</v>
      </c>
      <c r="BC174" s="93" t="s">
        <v>18427</v>
      </c>
      <c r="BD174" s="93" t="s">
        <v>22521</v>
      </c>
      <c r="BE174" s="87"/>
      <c r="BF174" s="87"/>
      <c r="BG174" s="87"/>
      <c r="BH174" s="87"/>
      <c r="BI174" s="87"/>
    </row>
    <row r="175" spans="1:61" x14ac:dyDescent="0.25">
      <c r="A175" s="63" t="s">
        <v>278</v>
      </c>
      <c r="B175" s="63" t="s">
        <v>278</v>
      </c>
      <c r="C175" s="64"/>
      <c r="D175" s="65"/>
      <c r="E175" s="66"/>
      <c r="F175" s="67"/>
      <c r="G175" s="64"/>
      <c r="H175" s="68"/>
      <c r="I175" s="69"/>
      <c r="J175" s="69"/>
      <c r="K175" s="32"/>
      <c r="L175" s="76">
        <v>175</v>
      </c>
      <c r="M175" s="76"/>
      <c r="N175" s="71"/>
      <c r="O175" s="87" t="s">
        <v>179</v>
      </c>
      <c r="P175" s="90">
        <v>45115.125069444446</v>
      </c>
      <c r="Q175" s="87" t="s">
        <v>2013</v>
      </c>
      <c r="R175" s="87">
        <v>0</v>
      </c>
      <c r="S175" s="87">
        <v>0</v>
      </c>
      <c r="T175" s="87">
        <v>0</v>
      </c>
      <c r="U175" s="87">
        <v>0</v>
      </c>
      <c r="V175" s="87">
        <v>6</v>
      </c>
      <c r="W175" s="93" t="s">
        <v>5965</v>
      </c>
      <c r="X175" s="87"/>
      <c r="Y175" s="87"/>
      <c r="Z175" s="87"/>
      <c r="AA175" s="87"/>
      <c r="AB175" s="87"/>
      <c r="AC175" s="93" t="s">
        <v>11465</v>
      </c>
      <c r="AD175" s="87" t="s">
        <v>11519</v>
      </c>
      <c r="AE175" s="92" t="str">
        <f>HYPERLINK("https://twitter.com/flaviopavanelli/status/1677512855476633601")</f>
        <v>https://twitter.com/flaviopavanelli/status/1677512855476633601</v>
      </c>
      <c r="AF175" s="90">
        <v>45115.125069444446</v>
      </c>
      <c r="AG175" s="99">
        <v>45115</v>
      </c>
      <c r="AH175" s="93" t="s">
        <v>11696</v>
      </c>
      <c r="AI175" s="87"/>
      <c r="AJ175" s="87"/>
      <c r="AK175" s="87"/>
      <c r="AL175" s="87"/>
      <c r="AM175" s="87"/>
      <c r="AN175" s="87"/>
      <c r="AO175" s="87"/>
      <c r="AP175" s="87"/>
      <c r="AQ175" s="87"/>
      <c r="AR175" s="87"/>
      <c r="AS175" s="87"/>
      <c r="AT175" s="87"/>
      <c r="AU175" s="87"/>
      <c r="AV175" s="92" t="str">
        <f>HYPERLINK("https://pbs.twimg.com/profile_images/1669099171729530880/e4CkwKON_normal.jpg")</f>
        <v>https://pbs.twimg.com/profile_images/1669099171729530880/e4CkwKON_normal.jpg</v>
      </c>
      <c r="AW175" s="93" t="s">
        <v>18428</v>
      </c>
      <c r="AX175" s="93" t="s">
        <v>18428</v>
      </c>
      <c r="AY175" s="87"/>
      <c r="AZ175" s="93" t="s">
        <v>22668</v>
      </c>
      <c r="BA175" s="93" t="s">
        <v>22668</v>
      </c>
      <c r="BB175" s="93" t="s">
        <v>22668</v>
      </c>
      <c r="BC175" s="93" t="s">
        <v>18428</v>
      </c>
      <c r="BD175" s="87">
        <v>83014310</v>
      </c>
      <c r="BE175" s="87"/>
      <c r="BF175" s="87"/>
      <c r="BG175" s="87"/>
      <c r="BH175" s="87"/>
      <c r="BI175" s="87"/>
    </row>
    <row r="176" spans="1:61" x14ac:dyDescent="0.25">
      <c r="A176" s="63" t="s">
        <v>278</v>
      </c>
      <c r="B176" s="63" t="s">
        <v>278</v>
      </c>
      <c r="C176" s="64"/>
      <c r="D176" s="65"/>
      <c r="E176" s="66"/>
      <c r="F176" s="67"/>
      <c r="G176" s="64"/>
      <c r="H176" s="68"/>
      <c r="I176" s="69"/>
      <c r="J176" s="69"/>
      <c r="K176" s="32"/>
      <c r="L176" s="76">
        <v>176</v>
      </c>
      <c r="M176" s="76"/>
      <c r="N176" s="71"/>
      <c r="O176" s="87" t="s">
        <v>179</v>
      </c>
      <c r="P176" s="90">
        <v>45114.125069444446</v>
      </c>
      <c r="Q176" s="87" t="s">
        <v>2014</v>
      </c>
      <c r="R176" s="87">
        <v>0</v>
      </c>
      <c r="S176" s="87">
        <v>1</v>
      </c>
      <c r="T176" s="87">
        <v>0</v>
      </c>
      <c r="U176" s="87">
        <v>0</v>
      </c>
      <c r="V176" s="87">
        <v>4</v>
      </c>
      <c r="W176" s="93" t="s">
        <v>5966</v>
      </c>
      <c r="X176" s="87"/>
      <c r="Y176" s="87"/>
      <c r="Z176" s="87"/>
      <c r="AA176" s="87"/>
      <c r="AB176" s="87"/>
      <c r="AC176" s="93" t="s">
        <v>11465</v>
      </c>
      <c r="AD176" s="87" t="s">
        <v>11519</v>
      </c>
      <c r="AE176" s="92" t="str">
        <f>HYPERLINK("https://twitter.com/flaviopavanelli/status/1677150468055629825")</f>
        <v>https://twitter.com/flaviopavanelli/status/1677150468055629825</v>
      </c>
      <c r="AF176" s="90">
        <v>45114.125069444446</v>
      </c>
      <c r="AG176" s="99">
        <v>45114</v>
      </c>
      <c r="AH176" s="93" t="s">
        <v>11696</v>
      </c>
      <c r="AI176" s="87"/>
      <c r="AJ176" s="87"/>
      <c r="AK176" s="87"/>
      <c r="AL176" s="87"/>
      <c r="AM176" s="87"/>
      <c r="AN176" s="87"/>
      <c r="AO176" s="87"/>
      <c r="AP176" s="87"/>
      <c r="AQ176" s="87"/>
      <c r="AR176" s="87"/>
      <c r="AS176" s="87"/>
      <c r="AT176" s="87"/>
      <c r="AU176" s="87"/>
      <c r="AV176" s="92" t="str">
        <f>HYPERLINK("https://pbs.twimg.com/profile_images/1669099171729530880/e4CkwKON_normal.jpg")</f>
        <v>https://pbs.twimg.com/profile_images/1669099171729530880/e4CkwKON_normal.jpg</v>
      </c>
      <c r="AW176" s="93" t="s">
        <v>18429</v>
      </c>
      <c r="AX176" s="93" t="s">
        <v>18429</v>
      </c>
      <c r="AY176" s="87"/>
      <c r="AZ176" s="93" t="s">
        <v>22668</v>
      </c>
      <c r="BA176" s="93" t="s">
        <v>22668</v>
      </c>
      <c r="BB176" s="93" t="s">
        <v>22668</v>
      </c>
      <c r="BC176" s="93" t="s">
        <v>18429</v>
      </c>
      <c r="BD176" s="87">
        <v>83014310</v>
      </c>
      <c r="BE176" s="87"/>
      <c r="BF176" s="87"/>
      <c r="BG176" s="87"/>
      <c r="BH176" s="87"/>
      <c r="BI176" s="87"/>
    </row>
    <row r="177" spans="1:61" x14ac:dyDescent="0.25">
      <c r="A177" s="63" t="s">
        <v>279</v>
      </c>
      <c r="B177" s="63" t="s">
        <v>617</v>
      </c>
      <c r="C177" s="64"/>
      <c r="D177" s="65"/>
      <c r="E177" s="66"/>
      <c r="F177" s="67"/>
      <c r="G177" s="64"/>
      <c r="H177" s="68"/>
      <c r="I177" s="69"/>
      <c r="J177" s="69"/>
      <c r="K177" s="32"/>
      <c r="L177" s="76">
        <v>177</v>
      </c>
      <c r="M177" s="76"/>
      <c r="N177" s="71"/>
      <c r="O177" s="87" t="s">
        <v>1841</v>
      </c>
      <c r="P177" s="90">
        <v>45191.043703703705</v>
      </c>
      <c r="Q177" s="87" t="s">
        <v>2015</v>
      </c>
      <c r="R177" s="87">
        <v>4</v>
      </c>
      <c r="S177" s="87">
        <v>0</v>
      </c>
      <c r="T177" s="87">
        <v>0</v>
      </c>
      <c r="U177" s="87">
        <v>0</v>
      </c>
      <c r="V177" s="87"/>
      <c r="W177" s="93" t="s">
        <v>5967</v>
      </c>
      <c r="X177" s="87"/>
      <c r="Y177" s="87"/>
      <c r="Z177" s="87" t="s">
        <v>617</v>
      </c>
      <c r="AA177" s="87"/>
      <c r="AB177" s="87"/>
      <c r="AC177" s="93" t="s">
        <v>11458</v>
      </c>
      <c r="AD177" s="87" t="s">
        <v>11519</v>
      </c>
      <c r="AE177" s="92" t="str">
        <f>HYPERLINK("https://twitter.com/ysllaoliveira/status/1705024848492146882")</f>
        <v>https://twitter.com/ysllaoliveira/status/1705024848492146882</v>
      </c>
      <c r="AF177" s="90">
        <v>45191.043703703705</v>
      </c>
      <c r="AG177" s="99">
        <v>45191</v>
      </c>
      <c r="AH177" s="93" t="s">
        <v>11697</v>
      </c>
      <c r="AI177" s="87"/>
      <c r="AJ177" s="87"/>
      <c r="AK177" s="87"/>
      <c r="AL177" s="87"/>
      <c r="AM177" s="87"/>
      <c r="AN177" s="87"/>
      <c r="AO177" s="87"/>
      <c r="AP177" s="87"/>
      <c r="AQ177" s="87"/>
      <c r="AR177" s="87"/>
      <c r="AS177" s="87"/>
      <c r="AT177" s="87"/>
      <c r="AU177" s="87"/>
      <c r="AV177" s="92" t="str">
        <f>HYPERLINK("https://pbs.twimg.com/profile_images/1573711793372930050/lhbEmeJi_normal.jpg")</f>
        <v>https://pbs.twimg.com/profile_images/1573711793372930050/lhbEmeJi_normal.jpg</v>
      </c>
      <c r="AW177" s="93" t="s">
        <v>18430</v>
      </c>
      <c r="AX177" s="93" t="s">
        <v>18430</v>
      </c>
      <c r="AY177" s="87"/>
      <c r="AZ177" s="93" t="s">
        <v>22668</v>
      </c>
      <c r="BA177" s="93" t="s">
        <v>22668</v>
      </c>
      <c r="BB177" s="93" t="s">
        <v>19388</v>
      </c>
      <c r="BC177" s="93" t="s">
        <v>19388</v>
      </c>
      <c r="BD177" s="87">
        <v>180862179</v>
      </c>
      <c r="BE177" s="87"/>
      <c r="BF177" s="87"/>
      <c r="BG177" s="87"/>
      <c r="BH177" s="87"/>
      <c r="BI177" s="87"/>
    </row>
    <row r="178" spans="1:61" x14ac:dyDescent="0.25">
      <c r="A178" s="63" t="s">
        <v>280</v>
      </c>
      <c r="B178" s="63" t="s">
        <v>280</v>
      </c>
      <c r="C178" s="64"/>
      <c r="D178" s="65"/>
      <c r="E178" s="66"/>
      <c r="F178" s="67"/>
      <c r="G178" s="64"/>
      <c r="H178" s="68"/>
      <c r="I178" s="69"/>
      <c r="J178" s="69"/>
      <c r="K178" s="32"/>
      <c r="L178" s="76">
        <v>178</v>
      </c>
      <c r="M178" s="76"/>
      <c r="N178" s="71"/>
      <c r="O178" s="87" t="s">
        <v>179</v>
      </c>
      <c r="P178" s="90">
        <v>45117.553483796299</v>
      </c>
      <c r="Q178" s="87" t="s">
        <v>2016</v>
      </c>
      <c r="R178" s="87">
        <v>0</v>
      </c>
      <c r="S178" s="87">
        <v>1</v>
      </c>
      <c r="T178" s="87">
        <v>0</v>
      </c>
      <c r="U178" s="87">
        <v>0</v>
      </c>
      <c r="V178" s="87">
        <v>48</v>
      </c>
      <c r="W178" s="93" t="s">
        <v>5968</v>
      </c>
      <c r="X178" s="87"/>
      <c r="Y178" s="87"/>
      <c r="Z178" s="87"/>
      <c r="AA178" s="87" t="s">
        <v>8756</v>
      </c>
      <c r="AB178" s="87" t="s">
        <v>11447</v>
      </c>
      <c r="AC178" s="93" t="s">
        <v>11457</v>
      </c>
      <c r="AD178" s="87" t="s">
        <v>11519</v>
      </c>
      <c r="AE178" s="92" t="str">
        <f>HYPERLINK("https://twitter.com/sejatuavontade/status/1678392886390390785")</f>
        <v>https://twitter.com/sejatuavontade/status/1678392886390390785</v>
      </c>
      <c r="AF178" s="90">
        <v>45117.553483796299</v>
      </c>
      <c r="AG178" s="99">
        <v>45117</v>
      </c>
      <c r="AH178" s="93" t="s">
        <v>11698</v>
      </c>
      <c r="AI178" s="87" t="b">
        <v>0</v>
      </c>
      <c r="AJ178" s="87"/>
      <c r="AK178" s="87"/>
      <c r="AL178" s="87"/>
      <c r="AM178" s="87"/>
      <c r="AN178" s="87"/>
      <c r="AO178" s="87"/>
      <c r="AP178" s="87"/>
      <c r="AQ178" s="87" t="s">
        <v>15569</v>
      </c>
      <c r="AR178" s="87">
        <v>12766</v>
      </c>
      <c r="AS178" s="87"/>
      <c r="AT178" s="87"/>
      <c r="AU178" s="87"/>
      <c r="AV178" s="92" t="str">
        <f>HYPERLINK("https://pbs.twimg.com/ext_tw_video_thumb/1678392814445514754/pu/img/-qZB34EzTPIE_omU.jpg")</f>
        <v>https://pbs.twimg.com/ext_tw_video_thumb/1678392814445514754/pu/img/-qZB34EzTPIE_omU.jpg</v>
      </c>
      <c r="AW178" s="93" t="s">
        <v>18431</v>
      </c>
      <c r="AX178" s="93" t="s">
        <v>18431</v>
      </c>
      <c r="AY178" s="87"/>
      <c r="AZ178" s="93" t="s">
        <v>22668</v>
      </c>
      <c r="BA178" s="93" t="s">
        <v>22668</v>
      </c>
      <c r="BB178" s="93" t="s">
        <v>22668</v>
      </c>
      <c r="BC178" s="93" t="s">
        <v>18431</v>
      </c>
      <c r="BD178" s="93" t="s">
        <v>22821</v>
      </c>
      <c r="BE178" s="87"/>
      <c r="BF178" s="87"/>
      <c r="BG178" s="87"/>
      <c r="BH178" s="87"/>
      <c r="BI178" s="87"/>
    </row>
    <row r="179" spans="1:61" x14ac:dyDescent="0.25">
      <c r="A179" s="63" t="s">
        <v>281</v>
      </c>
      <c r="B179" s="63" t="s">
        <v>1624</v>
      </c>
      <c r="C179" s="64"/>
      <c r="D179" s="65"/>
      <c r="E179" s="66"/>
      <c r="F179" s="67"/>
      <c r="G179" s="64"/>
      <c r="H179" s="68"/>
      <c r="I179" s="69"/>
      <c r="J179" s="69"/>
      <c r="K179" s="32"/>
      <c r="L179" s="76">
        <v>179</v>
      </c>
      <c r="M179" s="76"/>
      <c r="N179" s="71"/>
      <c r="O179" s="87" t="s">
        <v>1839</v>
      </c>
      <c r="P179" s="90">
        <v>45121.600474537037</v>
      </c>
      <c r="Q179" s="87" t="s">
        <v>2017</v>
      </c>
      <c r="R179" s="87">
        <v>0</v>
      </c>
      <c r="S179" s="87">
        <v>0</v>
      </c>
      <c r="T179" s="87">
        <v>0</v>
      </c>
      <c r="U179" s="87">
        <v>0</v>
      </c>
      <c r="V179" s="87">
        <v>7</v>
      </c>
      <c r="W179" s="93" t="s">
        <v>5969</v>
      </c>
      <c r="X179" s="92" t="str">
        <f>HYPERLINK("https://youtube.com/clip/UgkxhHeya81ctBNumOP0LKxtJBvkWfTvsHEm")</f>
        <v>https://youtube.com/clip/UgkxhHeya81ctBNumOP0LKxtJBvkWfTvsHEm</v>
      </c>
      <c r="Y179" s="87" t="s">
        <v>8380</v>
      </c>
      <c r="Z179" s="87" t="s">
        <v>1624</v>
      </c>
      <c r="AA179" s="87"/>
      <c r="AB179" s="87"/>
      <c r="AC179" s="93" t="s">
        <v>11457</v>
      </c>
      <c r="AD179" s="87" t="s">
        <v>11519</v>
      </c>
      <c r="AE179" s="92" t="str">
        <f>HYPERLINK("https://twitter.com/ppspencersoares/status/1679859466978689024")</f>
        <v>https://twitter.com/ppspencersoares/status/1679859466978689024</v>
      </c>
      <c r="AF179" s="90">
        <v>45121.600474537037</v>
      </c>
      <c r="AG179" s="99">
        <v>45121</v>
      </c>
      <c r="AH179" s="93" t="s">
        <v>11699</v>
      </c>
      <c r="AI179" s="87" t="b">
        <v>0</v>
      </c>
      <c r="AJ179" s="87"/>
      <c r="AK179" s="87"/>
      <c r="AL179" s="87"/>
      <c r="AM179" s="87"/>
      <c r="AN179" s="87"/>
      <c r="AO179" s="87"/>
      <c r="AP179" s="87"/>
      <c r="AQ179" s="87"/>
      <c r="AR179" s="87"/>
      <c r="AS179" s="87"/>
      <c r="AT179" s="87"/>
      <c r="AU179" s="87"/>
      <c r="AV179" s="92" t="str">
        <f>HYPERLINK("https://pbs.twimg.com/profile_images/1285309208351715338/fsDJCU3y_normal.jpg")</f>
        <v>https://pbs.twimg.com/profile_images/1285309208351715338/fsDJCU3y_normal.jpg</v>
      </c>
      <c r="AW179" s="93" t="s">
        <v>18432</v>
      </c>
      <c r="AX179" s="93" t="s">
        <v>18432</v>
      </c>
      <c r="AY179" s="87"/>
      <c r="AZ179" s="93" t="s">
        <v>22668</v>
      </c>
      <c r="BA179" s="93" t="s">
        <v>22668</v>
      </c>
      <c r="BB179" s="93" t="s">
        <v>22668</v>
      </c>
      <c r="BC179" s="93" t="s">
        <v>18432</v>
      </c>
      <c r="BD179" s="87">
        <v>67048206</v>
      </c>
      <c r="BE179" s="87"/>
      <c r="BF179" s="87"/>
      <c r="BG179" s="87"/>
      <c r="BH179" s="87"/>
      <c r="BI179" s="87"/>
    </row>
    <row r="180" spans="1:61" x14ac:dyDescent="0.25">
      <c r="A180" s="63" t="s">
        <v>281</v>
      </c>
      <c r="B180" s="63" t="s">
        <v>1624</v>
      </c>
      <c r="C180" s="64"/>
      <c r="D180" s="65"/>
      <c r="E180" s="66"/>
      <c r="F180" s="67"/>
      <c r="G180" s="64"/>
      <c r="H180" s="68"/>
      <c r="I180" s="69"/>
      <c r="J180" s="69"/>
      <c r="K180" s="32"/>
      <c r="L180" s="76">
        <v>180</v>
      </c>
      <c r="M180" s="76"/>
      <c r="N180" s="71"/>
      <c r="O180" s="87" t="s">
        <v>1839</v>
      </c>
      <c r="P180" s="90">
        <v>45121.596331018518</v>
      </c>
      <c r="Q180" s="87" t="s">
        <v>2018</v>
      </c>
      <c r="R180" s="87">
        <v>0</v>
      </c>
      <c r="S180" s="87">
        <v>0</v>
      </c>
      <c r="T180" s="87">
        <v>0</v>
      </c>
      <c r="U180" s="87">
        <v>0</v>
      </c>
      <c r="V180" s="87">
        <v>6</v>
      </c>
      <c r="W180" s="93" t="s">
        <v>5969</v>
      </c>
      <c r="X180" s="92" t="str">
        <f>HYPERLINK("https://youtube.com/clip/UgkxrypRD2KkMIZ4XobZDBsp3cLiR8kHnqvm")</f>
        <v>https://youtube.com/clip/UgkxrypRD2KkMIZ4XobZDBsp3cLiR8kHnqvm</v>
      </c>
      <c r="Y180" s="87" t="s">
        <v>8380</v>
      </c>
      <c r="Z180" s="87" t="s">
        <v>1624</v>
      </c>
      <c r="AA180" s="87"/>
      <c r="AB180" s="87"/>
      <c r="AC180" s="93" t="s">
        <v>11457</v>
      </c>
      <c r="AD180" s="87" t="s">
        <v>11519</v>
      </c>
      <c r="AE180" s="92" t="str">
        <f>HYPERLINK("https://twitter.com/ppspencersoares/status/1679857963169718278")</f>
        <v>https://twitter.com/ppspencersoares/status/1679857963169718278</v>
      </c>
      <c r="AF180" s="90">
        <v>45121.596331018518</v>
      </c>
      <c r="AG180" s="99">
        <v>45121</v>
      </c>
      <c r="AH180" s="93" t="s">
        <v>11700</v>
      </c>
      <c r="AI180" s="87" t="b">
        <v>0</v>
      </c>
      <c r="AJ180" s="87"/>
      <c r="AK180" s="87"/>
      <c r="AL180" s="87"/>
      <c r="AM180" s="87"/>
      <c r="AN180" s="87"/>
      <c r="AO180" s="87"/>
      <c r="AP180" s="87"/>
      <c r="AQ180" s="87"/>
      <c r="AR180" s="87"/>
      <c r="AS180" s="87"/>
      <c r="AT180" s="87"/>
      <c r="AU180" s="87"/>
      <c r="AV180" s="92" t="str">
        <f>HYPERLINK("https://pbs.twimg.com/profile_images/1285309208351715338/fsDJCU3y_normal.jpg")</f>
        <v>https://pbs.twimg.com/profile_images/1285309208351715338/fsDJCU3y_normal.jpg</v>
      </c>
      <c r="AW180" s="93" t="s">
        <v>18433</v>
      </c>
      <c r="AX180" s="93" t="s">
        <v>18433</v>
      </c>
      <c r="AY180" s="87"/>
      <c r="AZ180" s="93" t="s">
        <v>22668</v>
      </c>
      <c r="BA180" s="93" t="s">
        <v>22668</v>
      </c>
      <c r="BB180" s="93" t="s">
        <v>22668</v>
      </c>
      <c r="BC180" s="93" t="s">
        <v>18433</v>
      </c>
      <c r="BD180" s="87">
        <v>67048206</v>
      </c>
      <c r="BE180" s="87"/>
      <c r="BF180" s="87"/>
      <c r="BG180" s="87"/>
      <c r="BH180" s="87"/>
      <c r="BI180" s="87"/>
    </row>
    <row r="181" spans="1:61" x14ac:dyDescent="0.25">
      <c r="A181" s="63" t="s">
        <v>281</v>
      </c>
      <c r="B181" s="63" t="s">
        <v>1624</v>
      </c>
      <c r="C181" s="64"/>
      <c r="D181" s="65"/>
      <c r="E181" s="66"/>
      <c r="F181" s="67"/>
      <c r="G181" s="64"/>
      <c r="H181" s="68"/>
      <c r="I181" s="69"/>
      <c r="J181" s="69"/>
      <c r="K181" s="32"/>
      <c r="L181" s="76">
        <v>181</v>
      </c>
      <c r="M181" s="76"/>
      <c r="N181" s="71"/>
      <c r="O181" s="87" t="s">
        <v>1839</v>
      </c>
      <c r="P181" s="90">
        <v>45147.120821759258</v>
      </c>
      <c r="Q181" s="87" t="s">
        <v>2019</v>
      </c>
      <c r="R181" s="87">
        <v>0</v>
      </c>
      <c r="S181" s="87">
        <v>0</v>
      </c>
      <c r="T181" s="87">
        <v>0</v>
      </c>
      <c r="U181" s="87">
        <v>0</v>
      </c>
      <c r="V181" s="87">
        <v>13</v>
      </c>
      <c r="W181" s="93" t="s">
        <v>5970</v>
      </c>
      <c r="X181" s="92" t="str">
        <f>HYPERLINK("https://youtu.be/VQu6kxuh6-s")</f>
        <v>https://youtu.be/VQu6kxuh6-s</v>
      </c>
      <c r="Y181" s="87" t="s">
        <v>8372</v>
      </c>
      <c r="Z181" s="87" t="s">
        <v>1624</v>
      </c>
      <c r="AA181" s="87"/>
      <c r="AB181" s="87"/>
      <c r="AC181" s="93" t="s">
        <v>11457</v>
      </c>
      <c r="AD181" s="87" t="s">
        <v>11519</v>
      </c>
      <c r="AE181" s="92" t="str">
        <f>HYPERLINK("https://twitter.com/ppspencersoares/status/1689107729720258561")</f>
        <v>https://twitter.com/ppspencersoares/status/1689107729720258561</v>
      </c>
      <c r="AF181" s="90">
        <v>45147.120821759258</v>
      </c>
      <c r="AG181" s="99">
        <v>45147</v>
      </c>
      <c r="AH181" s="93" t="s">
        <v>11701</v>
      </c>
      <c r="AI181" s="87" t="b">
        <v>0</v>
      </c>
      <c r="AJ181" s="87"/>
      <c r="AK181" s="87"/>
      <c r="AL181" s="87"/>
      <c r="AM181" s="87"/>
      <c r="AN181" s="87"/>
      <c r="AO181" s="87"/>
      <c r="AP181" s="87"/>
      <c r="AQ181" s="87"/>
      <c r="AR181" s="87"/>
      <c r="AS181" s="87"/>
      <c r="AT181" s="87"/>
      <c r="AU181" s="87"/>
      <c r="AV181" s="92" t="str">
        <f>HYPERLINK("https://pbs.twimg.com/profile_images/1285309208351715338/fsDJCU3y_normal.jpg")</f>
        <v>https://pbs.twimg.com/profile_images/1285309208351715338/fsDJCU3y_normal.jpg</v>
      </c>
      <c r="AW181" s="93" t="s">
        <v>18434</v>
      </c>
      <c r="AX181" s="93" t="s">
        <v>18434</v>
      </c>
      <c r="AY181" s="87"/>
      <c r="AZ181" s="93" t="s">
        <v>22668</v>
      </c>
      <c r="BA181" s="93" t="s">
        <v>22668</v>
      </c>
      <c r="BB181" s="93" t="s">
        <v>22668</v>
      </c>
      <c r="BC181" s="93" t="s">
        <v>18434</v>
      </c>
      <c r="BD181" s="87">
        <v>67048206</v>
      </c>
      <c r="BE181" s="87"/>
      <c r="BF181" s="87"/>
      <c r="BG181" s="87"/>
      <c r="BH181" s="87"/>
      <c r="BI181" s="87"/>
    </row>
    <row r="182" spans="1:61" x14ac:dyDescent="0.25">
      <c r="A182" s="63" t="s">
        <v>282</v>
      </c>
      <c r="B182" s="63" t="s">
        <v>282</v>
      </c>
      <c r="C182" s="64"/>
      <c r="D182" s="65"/>
      <c r="E182" s="66"/>
      <c r="F182" s="67"/>
      <c r="G182" s="64"/>
      <c r="H182" s="68"/>
      <c r="I182" s="69"/>
      <c r="J182" s="69"/>
      <c r="K182" s="32"/>
      <c r="L182" s="76">
        <v>182</v>
      </c>
      <c r="M182" s="76"/>
      <c r="N182" s="71"/>
      <c r="O182" s="87" t="s">
        <v>179</v>
      </c>
      <c r="P182" s="90">
        <v>45131.523009259261</v>
      </c>
      <c r="Q182" s="87" t="s">
        <v>2020</v>
      </c>
      <c r="R182" s="87">
        <v>0</v>
      </c>
      <c r="S182" s="87">
        <v>0</v>
      </c>
      <c r="T182" s="87">
        <v>0</v>
      </c>
      <c r="U182" s="87">
        <v>0</v>
      </c>
      <c r="V182" s="87">
        <v>4</v>
      </c>
      <c r="W182" s="93" t="s">
        <v>5971</v>
      </c>
      <c r="X182" s="92" t="str">
        <f>HYPERLINK("http://wix.to/iiKx3u1")</f>
        <v>http://wix.to/iiKx3u1</v>
      </c>
      <c r="Y182" s="87" t="s">
        <v>8382</v>
      </c>
      <c r="Z182" s="87"/>
      <c r="AA182" s="87"/>
      <c r="AB182" s="87"/>
      <c r="AC182" s="93" t="s">
        <v>11466</v>
      </c>
      <c r="AD182" s="87" t="s">
        <v>11519</v>
      </c>
      <c r="AE182" s="92" t="str">
        <f>HYPERLINK("https://twitter.com/grasimancini/status/1683455272591949826")</f>
        <v>https://twitter.com/grasimancini/status/1683455272591949826</v>
      </c>
      <c r="AF182" s="90">
        <v>45131.523009259261</v>
      </c>
      <c r="AG182" s="99">
        <v>45131</v>
      </c>
      <c r="AH182" s="93" t="s">
        <v>11702</v>
      </c>
      <c r="AI182" s="87" t="b">
        <v>0</v>
      </c>
      <c r="AJ182" s="87"/>
      <c r="AK182" s="87"/>
      <c r="AL182" s="87"/>
      <c r="AM182" s="87"/>
      <c r="AN182" s="87"/>
      <c r="AO182" s="87"/>
      <c r="AP182" s="87"/>
      <c r="AQ182" s="87"/>
      <c r="AR182" s="87"/>
      <c r="AS182" s="87"/>
      <c r="AT182" s="87"/>
      <c r="AU182" s="87"/>
      <c r="AV182" s="92" t="str">
        <f>HYPERLINK("https://pbs.twimg.com/profile_images/1620306899370401792/9sD-M9fb_normal.jpg")</f>
        <v>https://pbs.twimg.com/profile_images/1620306899370401792/9sD-M9fb_normal.jpg</v>
      </c>
      <c r="AW182" s="93" t="s">
        <v>18435</v>
      </c>
      <c r="AX182" s="93" t="s">
        <v>18435</v>
      </c>
      <c r="AY182" s="87"/>
      <c r="AZ182" s="93" t="s">
        <v>22668</v>
      </c>
      <c r="BA182" s="93" t="s">
        <v>22668</v>
      </c>
      <c r="BB182" s="93" t="s">
        <v>22668</v>
      </c>
      <c r="BC182" s="93" t="s">
        <v>18435</v>
      </c>
      <c r="BD182" s="93" t="s">
        <v>22822</v>
      </c>
      <c r="BE182" s="87"/>
      <c r="BF182" s="87"/>
      <c r="BG182" s="87"/>
      <c r="BH182" s="87"/>
      <c r="BI182" s="87"/>
    </row>
    <row r="183" spans="1:61" x14ac:dyDescent="0.25">
      <c r="A183" s="63" t="s">
        <v>282</v>
      </c>
      <c r="B183" s="63" t="s">
        <v>282</v>
      </c>
      <c r="C183" s="64"/>
      <c r="D183" s="65"/>
      <c r="E183" s="66"/>
      <c r="F183" s="67"/>
      <c r="G183" s="64"/>
      <c r="H183" s="68"/>
      <c r="I183" s="69"/>
      <c r="J183" s="69"/>
      <c r="K183" s="32"/>
      <c r="L183" s="76">
        <v>183</v>
      </c>
      <c r="M183" s="76"/>
      <c r="N183" s="71"/>
      <c r="O183" s="87" t="s">
        <v>179</v>
      </c>
      <c r="P183" s="90">
        <v>45129.946805555555</v>
      </c>
      <c r="Q183" s="87" t="s">
        <v>2021</v>
      </c>
      <c r="R183" s="87">
        <v>0</v>
      </c>
      <c r="S183" s="87">
        <v>0</v>
      </c>
      <c r="T183" s="87">
        <v>0</v>
      </c>
      <c r="U183" s="87">
        <v>0</v>
      </c>
      <c r="V183" s="87">
        <v>21</v>
      </c>
      <c r="W183" s="93" t="s">
        <v>5972</v>
      </c>
      <c r="X183" s="92" t="str">
        <f>HYPERLINK("http://wix.to/c1jSOkJ")</f>
        <v>http://wix.to/c1jSOkJ</v>
      </c>
      <c r="Y183" s="87" t="s">
        <v>8382</v>
      </c>
      <c r="Z183" s="87"/>
      <c r="AA183" s="87"/>
      <c r="AB183" s="87"/>
      <c r="AC183" s="93" t="s">
        <v>11466</v>
      </c>
      <c r="AD183" s="87" t="s">
        <v>11519</v>
      </c>
      <c r="AE183" s="92" t="str">
        <f>HYPERLINK("https://twitter.com/grasimancini/status/1682884076045479936")</f>
        <v>https://twitter.com/grasimancini/status/1682884076045479936</v>
      </c>
      <c r="AF183" s="90">
        <v>45129.946805555555</v>
      </c>
      <c r="AG183" s="99">
        <v>45129</v>
      </c>
      <c r="AH183" s="93" t="s">
        <v>11703</v>
      </c>
      <c r="AI183" s="87" t="b">
        <v>0</v>
      </c>
      <c r="AJ183" s="87"/>
      <c r="AK183" s="87"/>
      <c r="AL183" s="87"/>
      <c r="AM183" s="87"/>
      <c r="AN183" s="87"/>
      <c r="AO183" s="87"/>
      <c r="AP183" s="87"/>
      <c r="AQ183" s="87"/>
      <c r="AR183" s="87"/>
      <c r="AS183" s="87"/>
      <c r="AT183" s="87"/>
      <c r="AU183" s="87"/>
      <c r="AV183" s="92" t="str">
        <f>HYPERLINK("https://pbs.twimg.com/profile_images/1620306899370401792/9sD-M9fb_normal.jpg")</f>
        <v>https://pbs.twimg.com/profile_images/1620306899370401792/9sD-M9fb_normal.jpg</v>
      </c>
      <c r="AW183" s="93" t="s">
        <v>18436</v>
      </c>
      <c r="AX183" s="93" t="s">
        <v>18436</v>
      </c>
      <c r="AY183" s="87"/>
      <c r="AZ183" s="93" t="s">
        <v>22668</v>
      </c>
      <c r="BA183" s="93" t="s">
        <v>22668</v>
      </c>
      <c r="BB183" s="93" t="s">
        <v>22668</v>
      </c>
      <c r="BC183" s="93" t="s">
        <v>18436</v>
      </c>
      <c r="BD183" s="93" t="s">
        <v>22822</v>
      </c>
      <c r="BE183" s="87"/>
      <c r="BF183" s="87"/>
      <c r="BG183" s="87"/>
      <c r="BH183" s="87"/>
      <c r="BI183" s="87"/>
    </row>
    <row r="184" spans="1:61" x14ac:dyDescent="0.25">
      <c r="A184" s="63" t="s">
        <v>283</v>
      </c>
      <c r="B184" s="63" t="s">
        <v>283</v>
      </c>
      <c r="C184" s="64"/>
      <c r="D184" s="65"/>
      <c r="E184" s="66"/>
      <c r="F184" s="67"/>
      <c r="G184" s="64"/>
      <c r="H184" s="68"/>
      <c r="I184" s="69"/>
      <c r="J184" s="69"/>
      <c r="K184" s="32"/>
      <c r="L184" s="76">
        <v>184</v>
      </c>
      <c r="M184" s="76"/>
      <c r="N184" s="71"/>
      <c r="O184" s="87" t="s">
        <v>179</v>
      </c>
      <c r="P184" s="90">
        <v>45187.80195601852</v>
      </c>
      <c r="Q184" s="87" t="s">
        <v>2022</v>
      </c>
      <c r="R184" s="87">
        <v>0</v>
      </c>
      <c r="S184" s="87">
        <v>1</v>
      </c>
      <c r="T184" s="87">
        <v>0</v>
      </c>
      <c r="U184" s="87">
        <v>0</v>
      </c>
      <c r="V184" s="87">
        <v>14</v>
      </c>
      <c r="W184" s="93" t="s">
        <v>5973</v>
      </c>
      <c r="X184" s="92" t="str">
        <f>HYPERLINK("https://www.instagram.com/reel/CxWCVlXxaWr/?igshid=YTUzYTFiZDMwYg==")</f>
        <v>https://www.instagram.com/reel/CxWCVlXxaWr/?igshid=YTUzYTFiZDMwYg==</v>
      </c>
      <c r="Y184" s="87" t="s">
        <v>8383</v>
      </c>
      <c r="Z184" s="87"/>
      <c r="AA184" s="87"/>
      <c r="AB184" s="87"/>
      <c r="AC184" s="93" t="s">
        <v>11459</v>
      </c>
      <c r="AD184" s="87" t="s">
        <v>11519</v>
      </c>
      <c r="AE184" s="92" t="str">
        <f>HYPERLINK("https://twitter.com/thiag0_sillva/status/1703850077612048736")</f>
        <v>https://twitter.com/thiag0_sillva/status/1703850077612048736</v>
      </c>
      <c r="AF184" s="90">
        <v>45187.80195601852</v>
      </c>
      <c r="AG184" s="99">
        <v>45187</v>
      </c>
      <c r="AH184" s="93" t="s">
        <v>11704</v>
      </c>
      <c r="AI184" s="87" t="b">
        <v>0</v>
      </c>
      <c r="AJ184" s="87"/>
      <c r="AK184" s="87"/>
      <c r="AL184" s="87"/>
      <c r="AM184" s="87"/>
      <c r="AN184" s="87"/>
      <c r="AO184" s="87"/>
      <c r="AP184" s="87"/>
      <c r="AQ184" s="87"/>
      <c r="AR184" s="87"/>
      <c r="AS184" s="87"/>
      <c r="AT184" s="87"/>
      <c r="AU184" s="87"/>
      <c r="AV184" s="92" t="str">
        <f>HYPERLINK("https://pbs.twimg.com/profile_images/1662598753335885825/eAy_iM7r_normal.jpg")</f>
        <v>https://pbs.twimg.com/profile_images/1662598753335885825/eAy_iM7r_normal.jpg</v>
      </c>
      <c r="AW184" s="93" t="s">
        <v>18437</v>
      </c>
      <c r="AX184" s="93" t="s">
        <v>18437</v>
      </c>
      <c r="AY184" s="87"/>
      <c r="AZ184" s="93" t="s">
        <v>22668</v>
      </c>
      <c r="BA184" s="93" t="s">
        <v>22668</v>
      </c>
      <c r="BB184" s="93" t="s">
        <v>22668</v>
      </c>
      <c r="BC184" s="93" t="s">
        <v>18437</v>
      </c>
      <c r="BD184" s="93" t="s">
        <v>22823</v>
      </c>
      <c r="BE184" s="87"/>
      <c r="BF184" s="87"/>
      <c r="BG184" s="87"/>
      <c r="BH184" s="87"/>
      <c r="BI184" s="87"/>
    </row>
    <row r="185" spans="1:61" x14ac:dyDescent="0.25">
      <c r="A185" s="63" t="s">
        <v>284</v>
      </c>
      <c r="B185" s="63" t="s">
        <v>284</v>
      </c>
      <c r="C185" s="64"/>
      <c r="D185" s="65"/>
      <c r="E185" s="66"/>
      <c r="F185" s="67"/>
      <c r="G185" s="64"/>
      <c r="H185" s="68"/>
      <c r="I185" s="69"/>
      <c r="J185" s="69"/>
      <c r="K185" s="32"/>
      <c r="L185" s="76">
        <v>185</v>
      </c>
      <c r="M185" s="76"/>
      <c r="N185" s="71"/>
      <c r="O185" s="87" t="s">
        <v>179</v>
      </c>
      <c r="P185" s="90">
        <v>45169.673611111109</v>
      </c>
      <c r="Q185" s="87" t="s">
        <v>2023</v>
      </c>
      <c r="R185" s="87">
        <v>0</v>
      </c>
      <c r="S185" s="87">
        <v>1</v>
      </c>
      <c r="T185" s="87">
        <v>0</v>
      </c>
      <c r="U185" s="87">
        <v>0</v>
      </c>
      <c r="V185" s="87">
        <v>11</v>
      </c>
      <c r="W185" s="93" t="s">
        <v>5974</v>
      </c>
      <c r="X185" s="92" t="str">
        <f>HYPERLINK("https://bit.ly/45tI868")</f>
        <v>https://bit.ly/45tI868</v>
      </c>
      <c r="Y185" s="87" t="s">
        <v>8374</v>
      </c>
      <c r="Z185" s="87"/>
      <c r="AA185" s="87"/>
      <c r="AB185" s="87"/>
      <c r="AC185" s="93" t="s">
        <v>11458</v>
      </c>
      <c r="AD185" s="87" t="s">
        <v>11519</v>
      </c>
      <c r="AE185" s="92" t="str">
        <f>HYPERLINK("https://twitter.com/portalconvenios/status/1697280585767456937")</f>
        <v>https://twitter.com/portalconvenios/status/1697280585767456937</v>
      </c>
      <c r="AF185" s="90">
        <v>45169.673611111109</v>
      </c>
      <c r="AG185" s="99">
        <v>45169</v>
      </c>
      <c r="AH185" s="93" t="s">
        <v>11705</v>
      </c>
      <c r="AI185" s="87" t="b">
        <v>0</v>
      </c>
      <c r="AJ185" s="87"/>
      <c r="AK185" s="87"/>
      <c r="AL185" s="87"/>
      <c r="AM185" s="87"/>
      <c r="AN185" s="87"/>
      <c r="AO185" s="87"/>
      <c r="AP185" s="87"/>
      <c r="AQ185" s="87"/>
      <c r="AR185" s="87"/>
      <c r="AS185" s="87"/>
      <c r="AT185" s="87"/>
      <c r="AU185" s="87"/>
      <c r="AV185" s="92" t="str">
        <f>HYPERLINK("https://pbs.twimg.com/profile_images/1629615809248075777/vsgkv-Tr_normal.jpg")</f>
        <v>https://pbs.twimg.com/profile_images/1629615809248075777/vsgkv-Tr_normal.jpg</v>
      </c>
      <c r="AW185" s="93" t="s">
        <v>18438</v>
      </c>
      <c r="AX185" s="93" t="s">
        <v>18438</v>
      </c>
      <c r="AY185" s="87"/>
      <c r="AZ185" s="93" t="s">
        <v>22668</v>
      </c>
      <c r="BA185" s="93" t="s">
        <v>22668</v>
      </c>
      <c r="BB185" s="93" t="s">
        <v>22668</v>
      </c>
      <c r="BC185" s="93" t="s">
        <v>18438</v>
      </c>
      <c r="BD185" s="93" t="s">
        <v>22824</v>
      </c>
      <c r="BE185" s="87"/>
      <c r="BF185" s="87"/>
      <c r="BG185" s="87"/>
      <c r="BH185" s="87"/>
      <c r="BI185" s="87"/>
    </row>
    <row r="186" spans="1:61" x14ac:dyDescent="0.25">
      <c r="A186" s="63" t="s">
        <v>284</v>
      </c>
      <c r="B186" s="63" t="s">
        <v>284</v>
      </c>
      <c r="C186" s="64"/>
      <c r="D186" s="65"/>
      <c r="E186" s="66"/>
      <c r="F186" s="67"/>
      <c r="G186" s="64"/>
      <c r="H186" s="68"/>
      <c r="I186" s="69"/>
      <c r="J186" s="69"/>
      <c r="K186" s="32"/>
      <c r="L186" s="76">
        <v>186</v>
      </c>
      <c r="M186" s="76"/>
      <c r="N186" s="71"/>
      <c r="O186" s="87" t="s">
        <v>179</v>
      </c>
      <c r="P186" s="90">
        <v>45183.529513888891</v>
      </c>
      <c r="Q186" s="87" t="s">
        <v>2024</v>
      </c>
      <c r="R186" s="87">
        <v>0</v>
      </c>
      <c r="S186" s="87">
        <v>0</v>
      </c>
      <c r="T186" s="87">
        <v>0</v>
      </c>
      <c r="U186" s="87">
        <v>0</v>
      </c>
      <c r="V186" s="87">
        <v>25</v>
      </c>
      <c r="W186" s="93" t="s">
        <v>5975</v>
      </c>
      <c r="X186" s="92" t="str">
        <f>HYPERLINK("https://bit.ly/3EDhSdP")</f>
        <v>https://bit.ly/3EDhSdP</v>
      </c>
      <c r="Y186" s="87" t="s">
        <v>8374</v>
      </c>
      <c r="Z186" s="87"/>
      <c r="AA186" s="87"/>
      <c r="AB186" s="87"/>
      <c r="AC186" s="93" t="s">
        <v>11458</v>
      </c>
      <c r="AD186" s="87" t="s">
        <v>11519</v>
      </c>
      <c r="AE186" s="92" t="str">
        <f>HYPERLINK("https://twitter.com/portalconvenios/status/1702301797644165534")</f>
        <v>https://twitter.com/portalconvenios/status/1702301797644165534</v>
      </c>
      <c r="AF186" s="90">
        <v>45183.529513888891</v>
      </c>
      <c r="AG186" s="99">
        <v>45183</v>
      </c>
      <c r="AH186" s="93" t="s">
        <v>11706</v>
      </c>
      <c r="AI186" s="87" t="b">
        <v>0</v>
      </c>
      <c r="AJ186" s="87"/>
      <c r="AK186" s="87"/>
      <c r="AL186" s="87"/>
      <c r="AM186" s="87"/>
      <c r="AN186" s="87"/>
      <c r="AO186" s="87"/>
      <c r="AP186" s="87"/>
      <c r="AQ186" s="87"/>
      <c r="AR186" s="87"/>
      <c r="AS186" s="87"/>
      <c r="AT186" s="87"/>
      <c r="AU186" s="87"/>
      <c r="AV186" s="92" t="str">
        <f>HYPERLINK("https://pbs.twimg.com/profile_images/1629615809248075777/vsgkv-Tr_normal.jpg")</f>
        <v>https://pbs.twimg.com/profile_images/1629615809248075777/vsgkv-Tr_normal.jpg</v>
      </c>
      <c r="AW186" s="93" t="s">
        <v>18439</v>
      </c>
      <c r="AX186" s="93" t="s">
        <v>18439</v>
      </c>
      <c r="AY186" s="87"/>
      <c r="AZ186" s="93" t="s">
        <v>22668</v>
      </c>
      <c r="BA186" s="93" t="s">
        <v>22668</v>
      </c>
      <c r="BB186" s="93" t="s">
        <v>22668</v>
      </c>
      <c r="BC186" s="93" t="s">
        <v>18439</v>
      </c>
      <c r="BD186" s="93" t="s">
        <v>22824</v>
      </c>
      <c r="BE186" s="87"/>
      <c r="BF186" s="87"/>
      <c r="BG186" s="87"/>
      <c r="BH186" s="87"/>
      <c r="BI186" s="87"/>
    </row>
    <row r="187" spans="1:61" x14ac:dyDescent="0.25">
      <c r="A187" s="63" t="s">
        <v>285</v>
      </c>
      <c r="B187" s="63" t="s">
        <v>617</v>
      </c>
      <c r="C187" s="64"/>
      <c r="D187" s="65"/>
      <c r="E187" s="66"/>
      <c r="F187" s="67"/>
      <c r="G187" s="64"/>
      <c r="H187" s="68"/>
      <c r="I187" s="69"/>
      <c r="J187" s="69"/>
      <c r="K187" s="32"/>
      <c r="L187" s="76">
        <v>187</v>
      </c>
      <c r="M187" s="76"/>
      <c r="N187" s="71"/>
      <c r="O187" s="87" t="s">
        <v>1841</v>
      </c>
      <c r="P187" s="90">
        <v>45189.82775462963</v>
      </c>
      <c r="Q187" s="87" t="s">
        <v>2025</v>
      </c>
      <c r="R187" s="87">
        <v>3</v>
      </c>
      <c r="S187" s="87">
        <v>0</v>
      </c>
      <c r="T187" s="87">
        <v>0</v>
      </c>
      <c r="U187" s="87">
        <v>0</v>
      </c>
      <c r="V187" s="87"/>
      <c r="W187" s="93" t="s">
        <v>5967</v>
      </c>
      <c r="X187" s="87"/>
      <c r="Y187" s="87"/>
      <c r="Z187" s="87" t="s">
        <v>617</v>
      </c>
      <c r="AA187" s="87"/>
      <c r="AB187" s="87"/>
      <c r="AC187" s="93" t="s">
        <v>11459</v>
      </c>
      <c r="AD187" s="87" t="s">
        <v>11519</v>
      </c>
      <c r="AE187" s="92" t="str">
        <f>HYPERLINK("https://twitter.com/lu_ravi2/status/1704584204552470593")</f>
        <v>https://twitter.com/lu_ravi2/status/1704584204552470593</v>
      </c>
      <c r="AF187" s="90">
        <v>45189.82775462963</v>
      </c>
      <c r="AG187" s="99">
        <v>45189</v>
      </c>
      <c r="AH187" s="93" t="s">
        <v>11707</v>
      </c>
      <c r="AI187" s="87"/>
      <c r="AJ187" s="87"/>
      <c r="AK187" s="87"/>
      <c r="AL187" s="87"/>
      <c r="AM187" s="87"/>
      <c r="AN187" s="87"/>
      <c r="AO187" s="87"/>
      <c r="AP187" s="87"/>
      <c r="AQ187" s="87"/>
      <c r="AR187" s="87"/>
      <c r="AS187" s="87"/>
      <c r="AT187" s="87"/>
      <c r="AU187" s="87"/>
      <c r="AV187" s="92" t="str">
        <f>HYPERLINK("https://pbs.twimg.com/profile_images/1705647955418484736/5hL6DhZf_normal.jpg")</f>
        <v>https://pbs.twimg.com/profile_images/1705647955418484736/5hL6DhZf_normal.jpg</v>
      </c>
      <c r="AW187" s="93" t="s">
        <v>18440</v>
      </c>
      <c r="AX187" s="93" t="s">
        <v>18440</v>
      </c>
      <c r="AY187" s="87"/>
      <c r="AZ187" s="93" t="s">
        <v>22668</v>
      </c>
      <c r="BA187" s="93" t="s">
        <v>22668</v>
      </c>
      <c r="BB187" s="93" t="s">
        <v>19382</v>
      </c>
      <c r="BC187" s="93" t="s">
        <v>19382</v>
      </c>
      <c r="BD187" s="93" t="s">
        <v>22825</v>
      </c>
      <c r="BE187" s="87"/>
      <c r="BF187" s="87"/>
      <c r="BG187" s="87"/>
      <c r="BH187" s="87"/>
      <c r="BI187" s="87"/>
    </row>
    <row r="188" spans="1:61" x14ac:dyDescent="0.25">
      <c r="A188" s="63" t="s">
        <v>285</v>
      </c>
      <c r="B188" s="63" t="s">
        <v>617</v>
      </c>
      <c r="C188" s="64"/>
      <c r="D188" s="65"/>
      <c r="E188" s="66"/>
      <c r="F188" s="67"/>
      <c r="G188" s="64"/>
      <c r="H188" s="68"/>
      <c r="I188" s="69"/>
      <c r="J188" s="69"/>
      <c r="K188" s="32"/>
      <c r="L188" s="76">
        <v>188</v>
      </c>
      <c r="M188" s="76"/>
      <c r="N188" s="71"/>
      <c r="O188" s="87" t="s">
        <v>1841</v>
      </c>
      <c r="P188" s="90">
        <v>45190.019699074073</v>
      </c>
      <c r="Q188" s="87" t="s">
        <v>2026</v>
      </c>
      <c r="R188" s="87">
        <v>1</v>
      </c>
      <c r="S188" s="87">
        <v>0</v>
      </c>
      <c r="T188" s="87">
        <v>0</v>
      </c>
      <c r="U188" s="87">
        <v>0</v>
      </c>
      <c r="V188" s="87"/>
      <c r="W188" s="93" t="s">
        <v>5976</v>
      </c>
      <c r="X188" s="87"/>
      <c r="Y188" s="87"/>
      <c r="Z188" s="87" t="s">
        <v>617</v>
      </c>
      <c r="AA188" s="87"/>
      <c r="AB188" s="87"/>
      <c r="AC188" s="93" t="s">
        <v>11459</v>
      </c>
      <c r="AD188" s="87" t="s">
        <v>11525</v>
      </c>
      <c r="AE188" s="92" t="str">
        <f>HYPERLINK("https://twitter.com/lu_ravi2/status/1704653763812712599")</f>
        <v>https://twitter.com/lu_ravi2/status/1704653763812712599</v>
      </c>
      <c r="AF188" s="90">
        <v>45190.019699074073</v>
      </c>
      <c r="AG188" s="99">
        <v>45190</v>
      </c>
      <c r="AH188" s="93" t="s">
        <v>11708</v>
      </c>
      <c r="AI188" s="87"/>
      <c r="AJ188" s="87"/>
      <c r="AK188" s="87"/>
      <c r="AL188" s="87"/>
      <c r="AM188" s="87"/>
      <c r="AN188" s="87"/>
      <c r="AO188" s="87"/>
      <c r="AP188" s="87"/>
      <c r="AQ188" s="87"/>
      <c r="AR188" s="87"/>
      <c r="AS188" s="87"/>
      <c r="AT188" s="87"/>
      <c r="AU188" s="87"/>
      <c r="AV188" s="92" t="str">
        <f>HYPERLINK("https://pbs.twimg.com/profile_images/1705647955418484736/5hL6DhZf_normal.jpg")</f>
        <v>https://pbs.twimg.com/profile_images/1705647955418484736/5hL6DhZf_normal.jpg</v>
      </c>
      <c r="AW188" s="93" t="s">
        <v>18441</v>
      </c>
      <c r="AX188" s="93" t="s">
        <v>18441</v>
      </c>
      <c r="AY188" s="87"/>
      <c r="AZ188" s="93" t="s">
        <v>22668</v>
      </c>
      <c r="BA188" s="93" t="s">
        <v>22668</v>
      </c>
      <c r="BB188" s="93" t="s">
        <v>19387</v>
      </c>
      <c r="BC188" s="93" t="s">
        <v>19387</v>
      </c>
      <c r="BD188" s="93" t="s">
        <v>22825</v>
      </c>
      <c r="BE188" s="87"/>
      <c r="BF188" s="87"/>
      <c r="BG188" s="87"/>
      <c r="BH188" s="87"/>
      <c r="BI188" s="87"/>
    </row>
    <row r="189" spans="1:61" x14ac:dyDescent="0.25">
      <c r="A189" s="63" t="s">
        <v>285</v>
      </c>
      <c r="B189" s="63" t="s">
        <v>617</v>
      </c>
      <c r="C189" s="64"/>
      <c r="D189" s="65"/>
      <c r="E189" s="66"/>
      <c r="F189" s="67"/>
      <c r="G189" s="64"/>
      <c r="H189" s="68"/>
      <c r="I189" s="69"/>
      <c r="J189" s="69"/>
      <c r="K189" s="32"/>
      <c r="L189" s="76">
        <v>189</v>
      </c>
      <c r="M189" s="76"/>
      <c r="N189" s="71"/>
      <c r="O189" s="87" t="s">
        <v>1841</v>
      </c>
      <c r="P189" s="90">
        <v>45189.892604166664</v>
      </c>
      <c r="Q189" s="87" t="s">
        <v>2015</v>
      </c>
      <c r="R189" s="87">
        <v>4</v>
      </c>
      <c r="S189" s="87">
        <v>0</v>
      </c>
      <c r="T189" s="87">
        <v>0</v>
      </c>
      <c r="U189" s="87">
        <v>0</v>
      </c>
      <c r="V189" s="87"/>
      <c r="W189" s="93" t="s">
        <v>5967</v>
      </c>
      <c r="X189" s="87"/>
      <c r="Y189" s="87"/>
      <c r="Z189" s="87" t="s">
        <v>617</v>
      </c>
      <c r="AA189" s="87"/>
      <c r="AB189" s="87"/>
      <c r="AC189" s="93" t="s">
        <v>11459</v>
      </c>
      <c r="AD189" s="87" t="s">
        <v>11519</v>
      </c>
      <c r="AE189" s="92" t="str">
        <f>HYPERLINK("https://twitter.com/lu_ravi2/status/1704607703954252240")</f>
        <v>https://twitter.com/lu_ravi2/status/1704607703954252240</v>
      </c>
      <c r="AF189" s="90">
        <v>45189.892604166664</v>
      </c>
      <c r="AG189" s="99">
        <v>45189</v>
      </c>
      <c r="AH189" s="93" t="s">
        <v>11709</v>
      </c>
      <c r="AI189" s="87"/>
      <c r="AJ189" s="87"/>
      <c r="AK189" s="87"/>
      <c r="AL189" s="87"/>
      <c r="AM189" s="87"/>
      <c r="AN189" s="87"/>
      <c r="AO189" s="87"/>
      <c r="AP189" s="87"/>
      <c r="AQ189" s="87"/>
      <c r="AR189" s="87"/>
      <c r="AS189" s="87"/>
      <c r="AT189" s="87"/>
      <c r="AU189" s="87"/>
      <c r="AV189" s="92" t="str">
        <f>HYPERLINK("https://pbs.twimg.com/profile_images/1705647955418484736/5hL6DhZf_normal.jpg")</f>
        <v>https://pbs.twimg.com/profile_images/1705647955418484736/5hL6DhZf_normal.jpg</v>
      </c>
      <c r="AW189" s="93" t="s">
        <v>18442</v>
      </c>
      <c r="AX189" s="93" t="s">
        <v>18442</v>
      </c>
      <c r="AY189" s="87"/>
      <c r="AZ189" s="93" t="s">
        <v>22668</v>
      </c>
      <c r="BA189" s="93" t="s">
        <v>22668</v>
      </c>
      <c r="BB189" s="93" t="s">
        <v>19388</v>
      </c>
      <c r="BC189" s="93" t="s">
        <v>19388</v>
      </c>
      <c r="BD189" s="93" t="s">
        <v>22825</v>
      </c>
      <c r="BE189" s="87"/>
      <c r="BF189" s="87"/>
      <c r="BG189" s="87"/>
      <c r="BH189" s="87"/>
      <c r="BI189" s="87"/>
    </row>
    <row r="190" spans="1:61" x14ac:dyDescent="0.25">
      <c r="A190" s="63" t="s">
        <v>285</v>
      </c>
      <c r="B190" s="63" t="s">
        <v>617</v>
      </c>
      <c r="C190" s="64"/>
      <c r="D190" s="65"/>
      <c r="E190" s="66"/>
      <c r="F190" s="67"/>
      <c r="G190" s="64"/>
      <c r="H190" s="68"/>
      <c r="I190" s="69"/>
      <c r="J190" s="69"/>
      <c r="K190" s="32"/>
      <c r="L190" s="76">
        <v>190</v>
      </c>
      <c r="M190" s="76"/>
      <c r="N190" s="71"/>
      <c r="O190" s="87" t="s">
        <v>1841</v>
      </c>
      <c r="P190" s="90">
        <v>45189.892442129632</v>
      </c>
      <c r="Q190" s="87" t="s">
        <v>2027</v>
      </c>
      <c r="R190" s="87">
        <v>3</v>
      </c>
      <c r="S190" s="87">
        <v>0</v>
      </c>
      <c r="T190" s="87">
        <v>0</v>
      </c>
      <c r="U190" s="87">
        <v>0</v>
      </c>
      <c r="V190" s="87"/>
      <c r="W190" s="93" t="s">
        <v>5967</v>
      </c>
      <c r="X190" s="87"/>
      <c r="Y190" s="87"/>
      <c r="Z190" s="87" t="s">
        <v>617</v>
      </c>
      <c r="AA190" s="87"/>
      <c r="AB190" s="87"/>
      <c r="AC190" s="93" t="s">
        <v>11459</v>
      </c>
      <c r="AD190" s="87" t="s">
        <v>11526</v>
      </c>
      <c r="AE190" s="92" t="str">
        <f>HYPERLINK("https://twitter.com/lu_ravi2/status/1704607647217967392")</f>
        <v>https://twitter.com/lu_ravi2/status/1704607647217967392</v>
      </c>
      <c r="AF190" s="90">
        <v>45189.892442129632</v>
      </c>
      <c r="AG190" s="99">
        <v>45189</v>
      </c>
      <c r="AH190" s="93" t="s">
        <v>11710</v>
      </c>
      <c r="AI190" s="87"/>
      <c r="AJ190" s="87"/>
      <c r="AK190" s="87"/>
      <c r="AL190" s="87"/>
      <c r="AM190" s="87"/>
      <c r="AN190" s="87"/>
      <c r="AO190" s="87"/>
      <c r="AP190" s="87"/>
      <c r="AQ190" s="87"/>
      <c r="AR190" s="87"/>
      <c r="AS190" s="87"/>
      <c r="AT190" s="87"/>
      <c r="AU190" s="87"/>
      <c r="AV190" s="92" t="str">
        <f>HYPERLINK("https://pbs.twimg.com/profile_images/1705647955418484736/5hL6DhZf_normal.jpg")</f>
        <v>https://pbs.twimg.com/profile_images/1705647955418484736/5hL6DhZf_normal.jpg</v>
      </c>
      <c r="AW190" s="93" t="s">
        <v>18443</v>
      </c>
      <c r="AX190" s="93" t="s">
        <v>18443</v>
      </c>
      <c r="AY190" s="87"/>
      <c r="AZ190" s="93" t="s">
        <v>22668</v>
      </c>
      <c r="BA190" s="93" t="s">
        <v>22668</v>
      </c>
      <c r="BB190" s="93" t="s">
        <v>19383</v>
      </c>
      <c r="BC190" s="93" t="s">
        <v>19383</v>
      </c>
      <c r="BD190" s="93" t="s">
        <v>22825</v>
      </c>
      <c r="BE190" s="87"/>
      <c r="BF190" s="87"/>
      <c r="BG190" s="87"/>
      <c r="BH190" s="87"/>
      <c r="BI190" s="87"/>
    </row>
    <row r="191" spans="1:61" x14ac:dyDescent="0.25">
      <c r="A191" s="63" t="s">
        <v>286</v>
      </c>
      <c r="B191" s="63" t="s">
        <v>286</v>
      </c>
      <c r="C191" s="64"/>
      <c r="D191" s="65"/>
      <c r="E191" s="66"/>
      <c r="F191" s="67"/>
      <c r="G191" s="64"/>
      <c r="H191" s="68"/>
      <c r="I191" s="69"/>
      <c r="J191" s="69"/>
      <c r="K191" s="32"/>
      <c r="L191" s="76">
        <v>191</v>
      </c>
      <c r="M191" s="76"/>
      <c r="N191" s="71"/>
      <c r="O191" s="87" t="s">
        <v>1839</v>
      </c>
      <c r="P191" s="90">
        <v>45140.600717592592</v>
      </c>
      <c r="Q191" s="87" t="s">
        <v>2028</v>
      </c>
      <c r="R191" s="87">
        <v>0</v>
      </c>
      <c r="S191" s="87">
        <v>0</v>
      </c>
      <c r="T191" s="87">
        <v>0</v>
      </c>
      <c r="U191" s="87">
        <v>0</v>
      </c>
      <c r="V191" s="87">
        <v>27</v>
      </c>
      <c r="W191" s="93" t="s">
        <v>5977</v>
      </c>
      <c r="X191" s="87"/>
      <c r="Y191" s="87"/>
      <c r="Z191" s="87" t="s">
        <v>286</v>
      </c>
      <c r="AA191" s="87" t="s">
        <v>8757</v>
      </c>
      <c r="AB191" s="87" t="s">
        <v>11447</v>
      </c>
      <c r="AC191" s="93" t="s">
        <v>11459</v>
      </c>
      <c r="AD191" s="87" t="s">
        <v>11519</v>
      </c>
      <c r="AE191" s="92" t="str">
        <f>HYPERLINK("https://twitter.com/agoratalks/status/1686744921162514432")</f>
        <v>https://twitter.com/agoratalks/status/1686744921162514432</v>
      </c>
      <c r="AF191" s="90">
        <v>45140.600717592592</v>
      </c>
      <c r="AG191" s="99">
        <v>45140</v>
      </c>
      <c r="AH191" s="93" t="s">
        <v>11711</v>
      </c>
      <c r="AI191" s="87" t="b">
        <v>0</v>
      </c>
      <c r="AJ191" s="87"/>
      <c r="AK191" s="87"/>
      <c r="AL191" s="87"/>
      <c r="AM191" s="87"/>
      <c r="AN191" s="87"/>
      <c r="AO191" s="87"/>
      <c r="AP191" s="87"/>
      <c r="AQ191" s="87" t="s">
        <v>15570</v>
      </c>
      <c r="AR191" s="87">
        <v>45000</v>
      </c>
      <c r="AS191" s="87"/>
      <c r="AT191" s="87"/>
      <c r="AU191" s="87"/>
      <c r="AV191" s="92" t="str">
        <f>HYPERLINK("https://pbs.twimg.com/ext_tw_video_thumb/1686744825414963200/pu/img/qxDHB-0AD_P8L5X4.jpg")</f>
        <v>https://pbs.twimg.com/ext_tw_video_thumb/1686744825414963200/pu/img/qxDHB-0AD_P8L5X4.jpg</v>
      </c>
      <c r="AW191" s="93" t="s">
        <v>18444</v>
      </c>
      <c r="AX191" s="93" t="s">
        <v>18444</v>
      </c>
      <c r="AY191" s="87"/>
      <c r="AZ191" s="93" t="s">
        <v>22668</v>
      </c>
      <c r="BA191" s="93" t="s">
        <v>22668</v>
      </c>
      <c r="BB191" s="93" t="s">
        <v>22668</v>
      </c>
      <c r="BC191" s="93" t="s">
        <v>18444</v>
      </c>
      <c r="BD191" s="93" t="s">
        <v>22826</v>
      </c>
      <c r="BE191" s="87"/>
      <c r="BF191" s="87"/>
      <c r="BG191" s="87"/>
      <c r="BH191" s="87"/>
      <c r="BI191" s="87"/>
    </row>
    <row r="192" spans="1:61" x14ac:dyDescent="0.25">
      <c r="A192" s="63" t="s">
        <v>286</v>
      </c>
      <c r="B192" s="63" t="s">
        <v>286</v>
      </c>
      <c r="C192" s="64"/>
      <c r="D192" s="65"/>
      <c r="E192" s="66"/>
      <c r="F192" s="67"/>
      <c r="G192" s="64"/>
      <c r="H192" s="68"/>
      <c r="I192" s="69"/>
      <c r="J192" s="69"/>
      <c r="K192" s="32"/>
      <c r="L192" s="76">
        <v>192</v>
      </c>
      <c r="M192" s="76"/>
      <c r="N192" s="71"/>
      <c r="O192" s="87" t="s">
        <v>179</v>
      </c>
      <c r="P192" s="90">
        <v>45139.651041666664</v>
      </c>
      <c r="Q192" s="87" t="s">
        <v>2029</v>
      </c>
      <c r="R192" s="87">
        <v>0</v>
      </c>
      <c r="S192" s="87">
        <v>0</v>
      </c>
      <c r="T192" s="87">
        <v>0</v>
      </c>
      <c r="U192" s="87">
        <v>0</v>
      </c>
      <c r="V192" s="87">
        <v>40</v>
      </c>
      <c r="W192" s="93" t="s">
        <v>5978</v>
      </c>
      <c r="X192" s="87"/>
      <c r="Y192" s="87"/>
      <c r="Z192" s="87"/>
      <c r="AA192" s="87" t="s">
        <v>8758</v>
      </c>
      <c r="AB192" s="87" t="s">
        <v>11447</v>
      </c>
      <c r="AC192" s="93" t="s">
        <v>11459</v>
      </c>
      <c r="AD192" s="87" t="s">
        <v>11519</v>
      </c>
      <c r="AE192" s="92" t="str">
        <f>HYPERLINK("https://twitter.com/agoratalks/status/1686400773062524929")</f>
        <v>https://twitter.com/agoratalks/status/1686400773062524929</v>
      </c>
      <c r="AF192" s="90">
        <v>45139.651041666664</v>
      </c>
      <c r="AG192" s="99">
        <v>45139</v>
      </c>
      <c r="AH192" s="93" t="s">
        <v>11712</v>
      </c>
      <c r="AI192" s="87" t="b">
        <v>0</v>
      </c>
      <c r="AJ192" s="87"/>
      <c r="AK192" s="87"/>
      <c r="AL192" s="87"/>
      <c r="AM192" s="87"/>
      <c r="AN192" s="87"/>
      <c r="AO192" s="87"/>
      <c r="AP192" s="87"/>
      <c r="AQ192" s="87" t="s">
        <v>15571</v>
      </c>
      <c r="AR192" s="87">
        <v>44908</v>
      </c>
      <c r="AS192" s="87"/>
      <c r="AT192" s="87"/>
      <c r="AU192" s="87"/>
      <c r="AV192" s="92" t="str">
        <f>HYPERLINK("https://pbs.twimg.com/ext_tw_video_thumb/1686400694016688128/pu/img/g4DOFp3Zj0tbo4Df.jpg")</f>
        <v>https://pbs.twimg.com/ext_tw_video_thumb/1686400694016688128/pu/img/g4DOFp3Zj0tbo4Df.jpg</v>
      </c>
      <c r="AW192" s="93" t="s">
        <v>18445</v>
      </c>
      <c r="AX192" s="93" t="s">
        <v>18445</v>
      </c>
      <c r="AY192" s="87"/>
      <c r="AZ192" s="93" t="s">
        <v>22668</v>
      </c>
      <c r="BA192" s="93" t="s">
        <v>22668</v>
      </c>
      <c r="BB192" s="93" t="s">
        <v>22668</v>
      </c>
      <c r="BC192" s="93" t="s">
        <v>18445</v>
      </c>
      <c r="BD192" s="93" t="s">
        <v>22826</v>
      </c>
      <c r="BE192" s="87"/>
      <c r="BF192" s="87"/>
      <c r="BG192" s="87"/>
      <c r="BH192" s="87"/>
      <c r="BI192" s="87"/>
    </row>
    <row r="193" spans="1:61" x14ac:dyDescent="0.25">
      <c r="A193" s="63" t="s">
        <v>286</v>
      </c>
      <c r="B193" s="63" t="s">
        <v>286</v>
      </c>
      <c r="C193" s="64"/>
      <c r="D193" s="65"/>
      <c r="E193" s="66"/>
      <c r="F193" s="67"/>
      <c r="G193" s="64"/>
      <c r="H193" s="68"/>
      <c r="I193" s="69"/>
      <c r="J193" s="69"/>
      <c r="K193" s="32"/>
      <c r="L193" s="76">
        <v>193</v>
      </c>
      <c r="M193" s="76"/>
      <c r="N193" s="71"/>
      <c r="O193" s="87" t="s">
        <v>179</v>
      </c>
      <c r="P193" s="90">
        <v>45139.10392361111</v>
      </c>
      <c r="Q193" s="87" t="s">
        <v>2030</v>
      </c>
      <c r="R193" s="87">
        <v>0</v>
      </c>
      <c r="S193" s="87">
        <v>1</v>
      </c>
      <c r="T193" s="87">
        <v>0</v>
      </c>
      <c r="U193" s="87">
        <v>0</v>
      </c>
      <c r="V193" s="87">
        <v>43</v>
      </c>
      <c r="W193" s="93" t="s">
        <v>5979</v>
      </c>
      <c r="X193" s="87"/>
      <c r="Y193" s="87"/>
      <c r="Z193" s="87"/>
      <c r="AA193" s="87" t="s">
        <v>8759</v>
      </c>
      <c r="AB193" s="87" t="s">
        <v>11447</v>
      </c>
      <c r="AC193" s="93" t="s">
        <v>11459</v>
      </c>
      <c r="AD193" s="87" t="s">
        <v>11519</v>
      </c>
      <c r="AE193" s="92" t="str">
        <f>HYPERLINK("https://twitter.com/agoratalks/status/1686202504260780032")</f>
        <v>https://twitter.com/agoratalks/status/1686202504260780032</v>
      </c>
      <c r="AF193" s="90">
        <v>45139.10392361111</v>
      </c>
      <c r="AG193" s="99">
        <v>45139</v>
      </c>
      <c r="AH193" s="93" t="s">
        <v>11713</v>
      </c>
      <c r="AI193" s="87" t="b">
        <v>0</v>
      </c>
      <c r="AJ193" s="87"/>
      <c r="AK193" s="87"/>
      <c r="AL193" s="87"/>
      <c r="AM193" s="87"/>
      <c r="AN193" s="87"/>
      <c r="AO193" s="87"/>
      <c r="AP193" s="87"/>
      <c r="AQ193" s="87" t="s">
        <v>15572</v>
      </c>
      <c r="AR193" s="87">
        <v>44871</v>
      </c>
      <c r="AS193" s="87"/>
      <c r="AT193" s="87"/>
      <c r="AU193" s="87"/>
      <c r="AV193" s="92" t="str">
        <f>HYPERLINK("https://pbs.twimg.com/ext_tw_video_thumb/1686202446933049344/pu/img/w3bYC488-CRKFJO8.jpg")</f>
        <v>https://pbs.twimg.com/ext_tw_video_thumb/1686202446933049344/pu/img/w3bYC488-CRKFJO8.jpg</v>
      </c>
      <c r="AW193" s="93" t="s">
        <v>18446</v>
      </c>
      <c r="AX193" s="93" t="s">
        <v>18446</v>
      </c>
      <c r="AY193" s="87"/>
      <c r="AZ193" s="93" t="s">
        <v>22668</v>
      </c>
      <c r="BA193" s="93" t="s">
        <v>22668</v>
      </c>
      <c r="BB193" s="93" t="s">
        <v>22668</v>
      </c>
      <c r="BC193" s="93" t="s">
        <v>18446</v>
      </c>
      <c r="BD193" s="93" t="s">
        <v>22826</v>
      </c>
      <c r="BE193" s="87"/>
      <c r="BF193" s="87"/>
      <c r="BG193" s="87"/>
      <c r="BH193" s="87"/>
      <c r="BI193" s="87"/>
    </row>
    <row r="194" spans="1:61" x14ac:dyDescent="0.25">
      <c r="A194" s="63" t="s">
        <v>286</v>
      </c>
      <c r="B194" s="63" t="s">
        <v>286</v>
      </c>
      <c r="C194" s="64"/>
      <c r="D194" s="65"/>
      <c r="E194" s="66"/>
      <c r="F194" s="67"/>
      <c r="G194" s="64"/>
      <c r="H194" s="68"/>
      <c r="I194" s="69"/>
      <c r="J194" s="69"/>
      <c r="K194" s="32"/>
      <c r="L194" s="76">
        <v>194</v>
      </c>
      <c r="M194" s="76"/>
      <c r="N194" s="71"/>
      <c r="O194" s="87" t="s">
        <v>179</v>
      </c>
      <c r="P194" s="90">
        <v>45155.116261574076</v>
      </c>
      <c r="Q194" s="87" t="s">
        <v>2031</v>
      </c>
      <c r="R194" s="87">
        <v>0</v>
      </c>
      <c r="S194" s="87">
        <v>2</v>
      </c>
      <c r="T194" s="87">
        <v>0</v>
      </c>
      <c r="U194" s="87">
        <v>0</v>
      </c>
      <c r="V194" s="87">
        <v>282</v>
      </c>
      <c r="W194" s="93" t="s">
        <v>5980</v>
      </c>
      <c r="X194" s="87"/>
      <c r="Y194" s="87"/>
      <c r="Z194" s="87"/>
      <c r="AA194" s="87" t="s">
        <v>8760</v>
      </c>
      <c r="AB194" s="87" t="s">
        <v>11447</v>
      </c>
      <c r="AC194" s="93" t="s">
        <v>11459</v>
      </c>
      <c r="AD194" s="87" t="s">
        <v>11519</v>
      </c>
      <c r="AE194" s="92" t="str">
        <f>HYPERLINK("https://twitter.com/agoratalks/status/1692005178600280234")</f>
        <v>https://twitter.com/agoratalks/status/1692005178600280234</v>
      </c>
      <c r="AF194" s="90">
        <v>45155.116261574076</v>
      </c>
      <c r="AG194" s="99">
        <v>45155</v>
      </c>
      <c r="AH194" s="93" t="s">
        <v>11714</v>
      </c>
      <c r="AI194" s="87" t="b">
        <v>0</v>
      </c>
      <c r="AJ194" s="87" t="s">
        <v>15170</v>
      </c>
      <c r="AK194" s="87" t="s">
        <v>15234</v>
      </c>
      <c r="AL194" s="87" t="s">
        <v>15237</v>
      </c>
      <c r="AM194" s="87" t="s">
        <v>15242</v>
      </c>
      <c r="AN194" s="87" t="s">
        <v>15307</v>
      </c>
      <c r="AO194" s="87" t="s">
        <v>15374</v>
      </c>
      <c r="AP194" s="87" t="s">
        <v>15438</v>
      </c>
      <c r="AQ194" s="87" t="s">
        <v>15573</v>
      </c>
      <c r="AR194" s="87">
        <v>44877</v>
      </c>
      <c r="AS194" s="87"/>
      <c r="AT194" s="87"/>
      <c r="AU194" s="87"/>
      <c r="AV194" s="92" t="str">
        <f>HYPERLINK("https://pbs.twimg.com/ext_tw_video_thumb/1692005122975440897/pu/img/OXRFPjmBBw9cypSC.jpg")</f>
        <v>https://pbs.twimg.com/ext_tw_video_thumb/1692005122975440897/pu/img/OXRFPjmBBw9cypSC.jpg</v>
      </c>
      <c r="AW194" s="93" t="s">
        <v>18447</v>
      </c>
      <c r="AX194" s="93" t="s">
        <v>18447</v>
      </c>
      <c r="AY194" s="87"/>
      <c r="AZ194" s="93" t="s">
        <v>22668</v>
      </c>
      <c r="BA194" s="93" t="s">
        <v>22668</v>
      </c>
      <c r="BB194" s="93" t="s">
        <v>22668</v>
      </c>
      <c r="BC194" s="93" t="s">
        <v>18447</v>
      </c>
      <c r="BD194" s="93" t="s">
        <v>22826</v>
      </c>
      <c r="BE194" s="87"/>
      <c r="BF194" s="87"/>
      <c r="BG194" s="87"/>
      <c r="BH194" s="87"/>
      <c r="BI194" s="87"/>
    </row>
    <row r="195" spans="1:61" x14ac:dyDescent="0.25">
      <c r="A195" s="63" t="s">
        <v>287</v>
      </c>
      <c r="B195" s="63" t="s">
        <v>287</v>
      </c>
      <c r="C195" s="64"/>
      <c r="D195" s="65"/>
      <c r="E195" s="66"/>
      <c r="F195" s="67"/>
      <c r="G195" s="64"/>
      <c r="H195" s="68"/>
      <c r="I195" s="69"/>
      <c r="J195" s="69"/>
      <c r="K195" s="32"/>
      <c r="L195" s="76">
        <v>195</v>
      </c>
      <c r="M195" s="76"/>
      <c r="N195" s="71"/>
      <c r="O195" s="87" t="s">
        <v>179</v>
      </c>
      <c r="P195" s="90">
        <v>45149.08184027778</v>
      </c>
      <c r="Q195" s="87" t="s">
        <v>2032</v>
      </c>
      <c r="R195" s="87">
        <v>0</v>
      </c>
      <c r="S195" s="87">
        <v>0</v>
      </c>
      <c r="T195" s="87">
        <v>0</v>
      </c>
      <c r="U195" s="87">
        <v>0</v>
      </c>
      <c r="V195" s="87">
        <v>21</v>
      </c>
      <c r="W195" s="93" t="s">
        <v>5981</v>
      </c>
      <c r="X195" s="92" t="str">
        <f>HYPERLINK("https://kiwify.app/uZ5Hixh?afid=VIzLyfMb")</f>
        <v>https://kiwify.app/uZ5Hixh?afid=VIzLyfMb</v>
      </c>
      <c r="Y195" s="87" t="s">
        <v>8379</v>
      </c>
      <c r="Z195" s="87"/>
      <c r="AA195" s="87" t="s">
        <v>8761</v>
      </c>
      <c r="AB195" s="87" t="s">
        <v>11448</v>
      </c>
      <c r="AC195" s="93" t="s">
        <v>11459</v>
      </c>
      <c r="AD195" s="87" t="s">
        <v>11519</v>
      </c>
      <c r="AE195" s="92" t="str">
        <f>HYPERLINK("https://twitter.com/antonellampaiva/status/1689818380969132032")</f>
        <v>https://twitter.com/antonellampaiva/status/1689818380969132032</v>
      </c>
      <c r="AF195" s="90">
        <v>45149.08184027778</v>
      </c>
      <c r="AG195" s="99">
        <v>45149</v>
      </c>
      <c r="AH195" s="93" t="s">
        <v>11715</v>
      </c>
      <c r="AI195" s="87" t="b">
        <v>0</v>
      </c>
      <c r="AJ195" s="87"/>
      <c r="AK195" s="87"/>
      <c r="AL195" s="87"/>
      <c r="AM195" s="87"/>
      <c r="AN195" s="87"/>
      <c r="AO195" s="87"/>
      <c r="AP195" s="87"/>
      <c r="AQ195" s="87" t="s">
        <v>15574</v>
      </c>
      <c r="AR195" s="87"/>
      <c r="AS195" s="87"/>
      <c r="AT195" s="87"/>
      <c r="AU195" s="87"/>
      <c r="AV195" s="92" t="str">
        <f>HYPERLINK("https://pbs.twimg.com/media/F3Nw3H-XQAAW2jf.jpg")</f>
        <v>https://pbs.twimg.com/media/F3Nw3H-XQAAW2jf.jpg</v>
      </c>
      <c r="AW195" s="93" t="s">
        <v>18448</v>
      </c>
      <c r="AX195" s="93" t="s">
        <v>18448</v>
      </c>
      <c r="AY195" s="87"/>
      <c r="AZ195" s="93" t="s">
        <v>22668</v>
      </c>
      <c r="BA195" s="93" t="s">
        <v>22668</v>
      </c>
      <c r="BB195" s="93" t="s">
        <v>22668</v>
      </c>
      <c r="BC195" s="93" t="s">
        <v>18448</v>
      </c>
      <c r="BD195" s="93" t="s">
        <v>22827</v>
      </c>
      <c r="BE195" s="87"/>
      <c r="BF195" s="87"/>
      <c r="BG195" s="87"/>
      <c r="BH195" s="87"/>
      <c r="BI195" s="87"/>
    </row>
    <row r="196" spans="1:61" x14ac:dyDescent="0.25">
      <c r="A196" s="63" t="s">
        <v>288</v>
      </c>
      <c r="B196" s="63" t="s">
        <v>288</v>
      </c>
      <c r="C196" s="64"/>
      <c r="D196" s="65"/>
      <c r="E196" s="66"/>
      <c r="F196" s="67"/>
      <c r="G196" s="64"/>
      <c r="H196" s="68"/>
      <c r="I196" s="69"/>
      <c r="J196" s="69"/>
      <c r="K196" s="32"/>
      <c r="L196" s="76">
        <v>196</v>
      </c>
      <c r="M196" s="76"/>
      <c r="N196" s="71"/>
      <c r="O196" s="87" t="s">
        <v>179</v>
      </c>
      <c r="P196" s="90">
        <v>45138.60460648148</v>
      </c>
      <c r="Q196" s="87" t="s">
        <v>2033</v>
      </c>
      <c r="R196" s="87">
        <v>0</v>
      </c>
      <c r="S196" s="87">
        <v>1</v>
      </c>
      <c r="T196" s="87">
        <v>0</v>
      </c>
      <c r="U196" s="87">
        <v>0</v>
      </c>
      <c r="V196" s="87">
        <v>52</v>
      </c>
      <c r="W196" s="93" t="s">
        <v>5982</v>
      </c>
      <c r="X196" s="92" t="str">
        <f>HYPERLINK("https://cbn.globoradio.globo.com/media/audio/415090/uso-de-celulares-tem-corrompido-infancia-da-geraca.htm")</f>
        <v>https://cbn.globoradio.globo.com/media/audio/415090/uso-de-celulares-tem-corrompido-infancia-da-geraca.htm</v>
      </c>
      <c r="Y196" s="87" t="s">
        <v>8384</v>
      </c>
      <c r="Z196" s="87"/>
      <c r="AA196" s="87"/>
      <c r="AB196" s="87"/>
      <c r="AC196" s="93" t="s">
        <v>11457</v>
      </c>
      <c r="AD196" s="87" t="s">
        <v>11519</v>
      </c>
      <c r="AE196" s="92" t="str">
        <f>HYPERLINK("https://twitter.com/isabellampassos/status/1686021557028569089")</f>
        <v>https://twitter.com/isabellampassos/status/1686021557028569089</v>
      </c>
      <c r="AF196" s="90">
        <v>45138.60460648148</v>
      </c>
      <c r="AG196" s="99">
        <v>45138</v>
      </c>
      <c r="AH196" s="93" t="s">
        <v>11716</v>
      </c>
      <c r="AI196" s="87" t="b">
        <v>0</v>
      </c>
      <c r="AJ196" s="87"/>
      <c r="AK196" s="87"/>
      <c r="AL196" s="87"/>
      <c r="AM196" s="87"/>
      <c r="AN196" s="87"/>
      <c r="AO196" s="87"/>
      <c r="AP196" s="87"/>
      <c r="AQ196" s="87"/>
      <c r="AR196" s="87"/>
      <c r="AS196" s="87"/>
      <c r="AT196" s="87"/>
      <c r="AU196" s="87"/>
      <c r="AV196" s="92" t="str">
        <f>HYPERLINK("https://pbs.twimg.com/profile_images/1698470227904716800/MVWqCGvp_normal.jpg")</f>
        <v>https://pbs.twimg.com/profile_images/1698470227904716800/MVWqCGvp_normal.jpg</v>
      </c>
      <c r="AW196" s="93" t="s">
        <v>18449</v>
      </c>
      <c r="AX196" s="93" t="s">
        <v>18449</v>
      </c>
      <c r="AY196" s="87"/>
      <c r="AZ196" s="93" t="s">
        <v>22668</v>
      </c>
      <c r="BA196" s="93" t="s">
        <v>22668</v>
      </c>
      <c r="BB196" s="93" t="s">
        <v>22668</v>
      </c>
      <c r="BC196" s="93" t="s">
        <v>18449</v>
      </c>
      <c r="BD196" s="87">
        <v>66166769</v>
      </c>
      <c r="BE196" s="87"/>
      <c r="BF196" s="87"/>
      <c r="BG196" s="87"/>
      <c r="BH196" s="87"/>
      <c r="BI196" s="87"/>
    </row>
    <row r="197" spans="1:61" x14ac:dyDescent="0.25">
      <c r="A197" s="63" t="s">
        <v>289</v>
      </c>
      <c r="B197" s="63" t="s">
        <v>289</v>
      </c>
      <c r="C197" s="64"/>
      <c r="D197" s="65"/>
      <c r="E197" s="66"/>
      <c r="F197" s="67"/>
      <c r="G197" s="64"/>
      <c r="H197" s="68"/>
      <c r="I197" s="69"/>
      <c r="J197" s="69"/>
      <c r="K197" s="32"/>
      <c r="L197" s="76">
        <v>197</v>
      </c>
      <c r="M197" s="76"/>
      <c r="N197" s="71"/>
      <c r="O197" s="87" t="s">
        <v>179</v>
      </c>
      <c r="P197" s="90">
        <v>45142.060312499998</v>
      </c>
      <c r="Q197" s="87" t="s">
        <v>2034</v>
      </c>
      <c r="R197" s="87">
        <v>0</v>
      </c>
      <c r="S197" s="87">
        <v>1</v>
      </c>
      <c r="T197" s="87">
        <v>0</v>
      </c>
      <c r="U197" s="87">
        <v>0</v>
      </c>
      <c r="V197" s="87">
        <v>35</v>
      </c>
      <c r="W197" s="93" t="s">
        <v>5983</v>
      </c>
      <c r="X197" s="87"/>
      <c r="Y197" s="87"/>
      <c r="Z197" s="87"/>
      <c r="AA197" s="87" t="s">
        <v>8762</v>
      </c>
      <c r="AB197" s="87" t="s">
        <v>11447</v>
      </c>
      <c r="AC197" s="93" t="s">
        <v>11457</v>
      </c>
      <c r="AD197" s="87" t="s">
        <v>11519</v>
      </c>
      <c r="AE197" s="92" t="str">
        <f>HYPERLINK("https://twitter.com/cnpjlucrativo/status/1687273864458317824")</f>
        <v>https://twitter.com/cnpjlucrativo/status/1687273864458317824</v>
      </c>
      <c r="AF197" s="90">
        <v>45142.060312499998</v>
      </c>
      <c r="AG197" s="99">
        <v>45142</v>
      </c>
      <c r="AH197" s="93" t="s">
        <v>11717</v>
      </c>
      <c r="AI197" s="87" t="b">
        <v>0</v>
      </c>
      <c r="AJ197" s="87"/>
      <c r="AK197" s="87"/>
      <c r="AL197" s="87"/>
      <c r="AM197" s="87"/>
      <c r="AN197" s="87"/>
      <c r="AO197" s="87"/>
      <c r="AP197" s="87"/>
      <c r="AQ197" s="87" t="s">
        <v>15575</v>
      </c>
      <c r="AR197" s="87">
        <v>113034</v>
      </c>
      <c r="AS197" s="87"/>
      <c r="AT197" s="87"/>
      <c r="AU197" s="87"/>
      <c r="AV197" s="92" t="str">
        <f>HYPERLINK("https://pbs.twimg.com/ext_tw_video_thumb/1687270955154870272/pu/img/FRnpW74SfCe5EKkw.jpg")</f>
        <v>https://pbs.twimg.com/ext_tw_video_thumb/1687270955154870272/pu/img/FRnpW74SfCe5EKkw.jpg</v>
      </c>
      <c r="AW197" s="93" t="s">
        <v>18450</v>
      </c>
      <c r="AX197" s="93" t="s">
        <v>18450</v>
      </c>
      <c r="AY197" s="87"/>
      <c r="AZ197" s="93" t="s">
        <v>22668</v>
      </c>
      <c r="BA197" s="93" t="s">
        <v>22668</v>
      </c>
      <c r="BB197" s="93" t="s">
        <v>22668</v>
      </c>
      <c r="BC197" s="93" t="s">
        <v>18450</v>
      </c>
      <c r="BD197" s="93" t="s">
        <v>22828</v>
      </c>
      <c r="BE197" s="87"/>
      <c r="BF197" s="87"/>
      <c r="BG197" s="87"/>
      <c r="BH197" s="87"/>
      <c r="BI197" s="87"/>
    </row>
    <row r="198" spans="1:61" x14ac:dyDescent="0.25">
      <c r="A198" s="63" t="s">
        <v>289</v>
      </c>
      <c r="B198" s="63" t="s">
        <v>289</v>
      </c>
      <c r="C198" s="64"/>
      <c r="D198" s="65"/>
      <c r="E198" s="66"/>
      <c r="F198" s="67"/>
      <c r="G198" s="64"/>
      <c r="H198" s="68"/>
      <c r="I198" s="69"/>
      <c r="J198" s="69"/>
      <c r="K198" s="32"/>
      <c r="L198" s="76">
        <v>198</v>
      </c>
      <c r="M198" s="76"/>
      <c r="N198" s="71"/>
      <c r="O198" s="87" t="s">
        <v>179</v>
      </c>
      <c r="P198" s="90">
        <v>45143.638888888891</v>
      </c>
      <c r="Q198" s="87" t="s">
        <v>2035</v>
      </c>
      <c r="R198" s="87">
        <v>0</v>
      </c>
      <c r="S198" s="87">
        <v>1</v>
      </c>
      <c r="T198" s="87">
        <v>0</v>
      </c>
      <c r="U198" s="87">
        <v>0</v>
      </c>
      <c r="V198" s="87">
        <v>59</v>
      </c>
      <c r="W198" s="93" t="s">
        <v>5984</v>
      </c>
      <c r="X198" s="87"/>
      <c r="Y198" s="87"/>
      <c r="Z198" s="87"/>
      <c r="AA198" s="87" t="s">
        <v>8763</v>
      </c>
      <c r="AB198" s="87" t="s">
        <v>11447</v>
      </c>
      <c r="AC198" s="93" t="s">
        <v>11457</v>
      </c>
      <c r="AD198" s="87" t="s">
        <v>11519</v>
      </c>
      <c r="AE198" s="92" t="str">
        <f>HYPERLINK("https://twitter.com/cnpjlucrativo/status/1687845918400196608")</f>
        <v>https://twitter.com/cnpjlucrativo/status/1687845918400196608</v>
      </c>
      <c r="AF198" s="90">
        <v>45143.638888888891</v>
      </c>
      <c r="AG198" s="99">
        <v>45143</v>
      </c>
      <c r="AH198" s="93" t="s">
        <v>11718</v>
      </c>
      <c r="AI198" s="87" t="b">
        <v>0</v>
      </c>
      <c r="AJ198" s="87"/>
      <c r="AK198" s="87"/>
      <c r="AL198" s="87"/>
      <c r="AM198" s="87"/>
      <c r="AN198" s="87"/>
      <c r="AO198" s="87"/>
      <c r="AP198" s="87"/>
      <c r="AQ198" s="87" t="s">
        <v>15576</v>
      </c>
      <c r="AR198" s="87">
        <v>75914</v>
      </c>
      <c r="AS198" s="87"/>
      <c r="AT198" s="87"/>
      <c r="AU198" s="87"/>
      <c r="AV198" s="92" t="str">
        <f>HYPERLINK("https://pbs.twimg.com/ext_tw_video_thumb/1687522141174976521/pu/img/yqf94sCwzgUXk39y.jpg")</f>
        <v>https://pbs.twimg.com/ext_tw_video_thumb/1687522141174976521/pu/img/yqf94sCwzgUXk39y.jpg</v>
      </c>
      <c r="AW198" s="93" t="s">
        <v>18451</v>
      </c>
      <c r="AX198" s="93" t="s">
        <v>18451</v>
      </c>
      <c r="AY198" s="87"/>
      <c r="AZ198" s="93" t="s">
        <v>22668</v>
      </c>
      <c r="BA198" s="93" t="s">
        <v>22668</v>
      </c>
      <c r="BB198" s="93" t="s">
        <v>22668</v>
      </c>
      <c r="BC198" s="93" t="s">
        <v>18451</v>
      </c>
      <c r="BD198" s="93" t="s">
        <v>22828</v>
      </c>
      <c r="BE198" s="87"/>
      <c r="BF198" s="87"/>
      <c r="BG198" s="87"/>
      <c r="BH198" s="87"/>
      <c r="BI198" s="87"/>
    </row>
    <row r="199" spans="1:61" x14ac:dyDescent="0.25">
      <c r="A199" s="63" t="s">
        <v>290</v>
      </c>
      <c r="B199" s="63" t="s">
        <v>290</v>
      </c>
      <c r="C199" s="64"/>
      <c r="D199" s="65"/>
      <c r="E199" s="66"/>
      <c r="F199" s="67"/>
      <c r="G199" s="64"/>
      <c r="H199" s="68"/>
      <c r="I199" s="69"/>
      <c r="J199" s="69"/>
      <c r="K199" s="32"/>
      <c r="L199" s="76">
        <v>199</v>
      </c>
      <c r="M199" s="76"/>
      <c r="N199" s="71"/>
      <c r="O199" s="87" t="s">
        <v>179</v>
      </c>
      <c r="P199" s="90">
        <v>45124.558541666665</v>
      </c>
      <c r="Q199" s="87" t="s">
        <v>2036</v>
      </c>
      <c r="R199" s="87">
        <v>0</v>
      </c>
      <c r="S199" s="87">
        <v>0</v>
      </c>
      <c r="T199" s="87">
        <v>0</v>
      </c>
      <c r="U199" s="87">
        <v>0</v>
      </c>
      <c r="V199" s="87">
        <v>30</v>
      </c>
      <c r="W199" s="93" t="s">
        <v>5985</v>
      </c>
      <c r="X199" s="87"/>
      <c r="Y199" s="87"/>
      <c r="Z199" s="87"/>
      <c r="AA199" s="87" t="s">
        <v>8764</v>
      </c>
      <c r="AB199" s="87" t="s">
        <v>11447</v>
      </c>
      <c r="AC199" s="93" t="s">
        <v>11459</v>
      </c>
      <c r="AD199" s="87" t="s">
        <v>11523</v>
      </c>
      <c r="AE199" s="92" t="str">
        <f>HYPERLINK("https://twitter.com/markusvital11/status/1680931434796666884")</f>
        <v>https://twitter.com/markusvital11/status/1680931434796666884</v>
      </c>
      <c r="AF199" s="90">
        <v>45124.558541666665</v>
      </c>
      <c r="AG199" s="99">
        <v>45124</v>
      </c>
      <c r="AH199" s="93" t="s">
        <v>11719</v>
      </c>
      <c r="AI199" s="87" t="b">
        <v>0</v>
      </c>
      <c r="AJ199" s="87"/>
      <c r="AK199" s="87"/>
      <c r="AL199" s="87"/>
      <c r="AM199" s="87"/>
      <c r="AN199" s="87"/>
      <c r="AO199" s="87"/>
      <c r="AP199" s="87"/>
      <c r="AQ199" s="87" t="s">
        <v>15577</v>
      </c>
      <c r="AR199" s="87">
        <v>44160</v>
      </c>
      <c r="AS199" s="87"/>
      <c r="AT199" s="87"/>
      <c r="AU199" s="87"/>
      <c r="AV199" s="92" t="str">
        <f>HYPERLINK("https://pbs.twimg.com/ext_tw_video_thumb/1680931380090249221/pu/img/dZOSrq3wyodnPE51.jpg")</f>
        <v>https://pbs.twimg.com/ext_tw_video_thumb/1680931380090249221/pu/img/dZOSrq3wyodnPE51.jpg</v>
      </c>
      <c r="AW199" s="93" t="s">
        <v>18452</v>
      </c>
      <c r="AX199" s="93" t="s">
        <v>18452</v>
      </c>
      <c r="AY199" s="87"/>
      <c r="AZ199" s="93" t="s">
        <v>22668</v>
      </c>
      <c r="BA199" s="93" t="s">
        <v>22668</v>
      </c>
      <c r="BB199" s="93" t="s">
        <v>22668</v>
      </c>
      <c r="BC199" s="93" t="s">
        <v>18452</v>
      </c>
      <c r="BD199" s="93" t="s">
        <v>22829</v>
      </c>
      <c r="BE199" s="87"/>
      <c r="BF199" s="87"/>
      <c r="BG199" s="87"/>
      <c r="BH199" s="87"/>
      <c r="BI199" s="87"/>
    </row>
    <row r="200" spans="1:61" x14ac:dyDescent="0.25">
      <c r="A200" s="63" t="s">
        <v>291</v>
      </c>
      <c r="B200" s="63" t="s">
        <v>291</v>
      </c>
      <c r="C200" s="64"/>
      <c r="D200" s="65"/>
      <c r="E200" s="66"/>
      <c r="F200" s="67"/>
      <c r="G200" s="64"/>
      <c r="H200" s="68"/>
      <c r="I200" s="69"/>
      <c r="J200" s="69"/>
      <c r="K200" s="32"/>
      <c r="L200" s="76">
        <v>200</v>
      </c>
      <c r="M200" s="76"/>
      <c r="N200" s="71"/>
      <c r="O200" s="87" t="s">
        <v>179</v>
      </c>
      <c r="P200" s="90">
        <v>45187.539143518516</v>
      </c>
      <c r="Q200" s="87" t="s">
        <v>2037</v>
      </c>
      <c r="R200" s="87">
        <v>0</v>
      </c>
      <c r="S200" s="87">
        <v>0</v>
      </c>
      <c r="T200" s="87">
        <v>0</v>
      </c>
      <c r="U200" s="87">
        <v>0</v>
      </c>
      <c r="V200" s="87">
        <v>10</v>
      </c>
      <c r="W200" s="93" t="s">
        <v>5986</v>
      </c>
      <c r="X200" s="87"/>
      <c r="Y200" s="87"/>
      <c r="Z200" s="87"/>
      <c r="AA200" s="87" t="s">
        <v>8765</v>
      </c>
      <c r="AB200" s="87" t="s">
        <v>11448</v>
      </c>
      <c r="AC200" s="93" t="s">
        <v>11459</v>
      </c>
      <c r="AD200" s="87" t="s">
        <v>11520</v>
      </c>
      <c r="AE200" s="92" t="str">
        <f>HYPERLINK("https://twitter.com/gilsonc59351308/status/1703754839723762172")</f>
        <v>https://twitter.com/gilsonc59351308/status/1703754839723762172</v>
      </c>
      <c r="AF200" s="90">
        <v>45187.539143518516</v>
      </c>
      <c r="AG200" s="99">
        <v>45187</v>
      </c>
      <c r="AH200" s="93" t="s">
        <v>11720</v>
      </c>
      <c r="AI200" s="87" t="b">
        <v>0</v>
      </c>
      <c r="AJ200" s="87"/>
      <c r="AK200" s="87"/>
      <c r="AL200" s="87"/>
      <c r="AM200" s="87"/>
      <c r="AN200" s="87"/>
      <c r="AO200" s="87"/>
      <c r="AP200" s="87"/>
      <c r="AQ200" s="87" t="s">
        <v>15578</v>
      </c>
      <c r="AR200" s="87"/>
      <c r="AS200" s="87"/>
      <c r="AT200" s="87"/>
      <c r="AU200" s="87"/>
      <c r="AV200" s="92" t="str">
        <f>HYPERLINK("https://pbs.twimg.com/media/F6Tz_1TXMAAwpkD.jpg")</f>
        <v>https://pbs.twimg.com/media/F6Tz_1TXMAAwpkD.jpg</v>
      </c>
      <c r="AW200" s="93" t="s">
        <v>18453</v>
      </c>
      <c r="AX200" s="93" t="s">
        <v>18453</v>
      </c>
      <c r="AY200" s="87"/>
      <c r="AZ200" s="93" t="s">
        <v>22668</v>
      </c>
      <c r="BA200" s="93" t="s">
        <v>22668</v>
      </c>
      <c r="BB200" s="93" t="s">
        <v>22668</v>
      </c>
      <c r="BC200" s="93" t="s">
        <v>18453</v>
      </c>
      <c r="BD200" s="93" t="s">
        <v>22830</v>
      </c>
      <c r="BE200" s="87"/>
      <c r="BF200" s="87"/>
      <c r="BG200" s="87"/>
      <c r="BH200" s="87"/>
      <c r="BI200" s="87"/>
    </row>
    <row r="201" spans="1:61" x14ac:dyDescent="0.25">
      <c r="A201" s="63" t="s">
        <v>292</v>
      </c>
      <c r="B201" s="63" t="s">
        <v>292</v>
      </c>
      <c r="C201" s="64"/>
      <c r="D201" s="65"/>
      <c r="E201" s="66"/>
      <c r="F201" s="67"/>
      <c r="G201" s="64"/>
      <c r="H201" s="68"/>
      <c r="I201" s="69"/>
      <c r="J201" s="69"/>
      <c r="K201" s="32"/>
      <c r="L201" s="76">
        <v>201</v>
      </c>
      <c r="M201" s="76"/>
      <c r="N201" s="71"/>
      <c r="O201" s="87" t="s">
        <v>179</v>
      </c>
      <c r="P201" s="90">
        <v>45125.642974537041</v>
      </c>
      <c r="Q201" s="87" t="s">
        <v>2038</v>
      </c>
      <c r="R201" s="87">
        <v>0</v>
      </c>
      <c r="S201" s="87">
        <v>0</v>
      </c>
      <c r="T201" s="87">
        <v>0</v>
      </c>
      <c r="U201" s="87">
        <v>0</v>
      </c>
      <c r="V201" s="87">
        <v>7</v>
      </c>
      <c r="W201" s="93" t="s">
        <v>5987</v>
      </c>
      <c r="X201" s="87"/>
      <c r="Y201" s="87"/>
      <c r="Z201" s="87"/>
      <c r="AA201" s="87"/>
      <c r="AB201" s="87"/>
      <c r="AC201" s="93" t="s">
        <v>11457</v>
      </c>
      <c r="AD201" s="87" t="s">
        <v>11519</v>
      </c>
      <c r="AE201" s="92" t="str">
        <f>HYPERLINK("https://twitter.com/manframing/status/1681324419094831105")</f>
        <v>https://twitter.com/manframing/status/1681324419094831105</v>
      </c>
      <c r="AF201" s="90">
        <v>45125.642974537041</v>
      </c>
      <c r="AG201" s="99">
        <v>45125</v>
      </c>
      <c r="AH201" s="93" t="s">
        <v>11721</v>
      </c>
      <c r="AI201" s="87"/>
      <c r="AJ201" s="87"/>
      <c r="AK201" s="87"/>
      <c r="AL201" s="87"/>
      <c r="AM201" s="87"/>
      <c r="AN201" s="87"/>
      <c r="AO201" s="87"/>
      <c r="AP201" s="87"/>
      <c r="AQ201" s="87"/>
      <c r="AR201" s="87"/>
      <c r="AS201" s="87"/>
      <c r="AT201" s="87"/>
      <c r="AU201" s="87"/>
      <c r="AV201" s="92" t="str">
        <f>HYPERLINK("https://pbs.twimg.com/profile_images/1681320842687332352/5SWEz6Q4_normal.jpg")</f>
        <v>https://pbs.twimg.com/profile_images/1681320842687332352/5SWEz6Q4_normal.jpg</v>
      </c>
      <c r="AW201" s="93" t="s">
        <v>18454</v>
      </c>
      <c r="AX201" s="93" t="s">
        <v>18454</v>
      </c>
      <c r="AY201" s="87"/>
      <c r="AZ201" s="93" t="s">
        <v>22668</v>
      </c>
      <c r="BA201" s="93" t="s">
        <v>22668</v>
      </c>
      <c r="BB201" s="93" t="s">
        <v>22668</v>
      </c>
      <c r="BC201" s="93" t="s">
        <v>18454</v>
      </c>
      <c r="BD201" s="93" t="s">
        <v>22831</v>
      </c>
      <c r="BE201" s="87"/>
      <c r="BF201" s="87"/>
      <c r="BG201" s="87"/>
      <c r="BH201" s="87"/>
      <c r="BI201" s="87"/>
    </row>
    <row r="202" spans="1:61" x14ac:dyDescent="0.25">
      <c r="A202" s="63" t="s">
        <v>293</v>
      </c>
      <c r="B202" s="63" t="s">
        <v>293</v>
      </c>
      <c r="C202" s="64"/>
      <c r="D202" s="65"/>
      <c r="E202" s="66"/>
      <c r="F202" s="67"/>
      <c r="G202" s="64"/>
      <c r="H202" s="68"/>
      <c r="I202" s="69"/>
      <c r="J202" s="69"/>
      <c r="K202" s="32"/>
      <c r="L202" s="76">
        <v>202</v>
      </c>
      <c r="M202" s="76"/>
      <c r="N202" s="71"/>
      <c r="O202" s="87" t="s">
        <v>179</v>
      </c>
      <c r="P202" s="90">
        <v>45163.735949074071</v>
      </c>
      <c r="Q202" s="87" t="s">
        <v>2039</v>
      </c>
      <c r="R202" s="87">
        <v>0</v>
      </c>
      <c r="S202" s="87">
        <v>0</v>
      </c>
      <c r="T202" s="87">
        <v>0</v>
      </c>
      <c r="U202" s="87">
        <v>0</v>
      </c>
      <c r="V202" s="87">
        <v>19</v>
      </c>
      <c r="W202" s="93" t="s">
        <v>5988</v>
      </c>
      <c r="X202" s="87"/>
      <c r="Y202" s="87"/>
      <c r="Z202" s="87"/>
      <c r="AA202" s="87"/>
      <c r="AB202" s="87"/>
      <c r="AC202" s="93" t="s">
        <v>11458</v>
      </c>
      <c r="AD202" s="87" t="s">
        <v>11519</v>
      </c>
      <c r="AE202" s="92" t="str">
        <f>HYPERLINK("https://twitter.com/roddrigomoraes1/status/1695128850626117680")</f>
        <v>https://twitter.com/roddrigomoraes1/status/1695128850626117680</v>
      </c>
      <c r="AF202" s="90">
        <v>45163.735949074071</v>
      </c>
      <c r="AG202" s="99">
        <v>45163</v>
      </c>
      <c r="AH202" s="93" t="s">
        <v>11722</v>
      </c>
      <c r="AI202" s="87"/>
      <c r="AJ202" s="87"/>
      <c r="AK202" s="87"/>
      <c r="AL202" s="87"/>
      <c r="AM202" s="87"/>
      <c r="AN202" s="87"/>
      <c r="AO202" s="87"/>
      <c r="AP202" s="87"/>
      <c r="AQ202" s="87"/>
      <c r="AR202" s="87"/>
      <c r="AS202" s="87"/>
      <c r="AT202" s="87"/>
      <c r="AU202" s="87"/>
      <c r="AV202" s="92" t="str">
        <f>HYPERLINK("https://pbs.twimg.com/profile_images/1526019969133293568/hCebhfh6_normal.jpg")</f>
        <v>https://pbs.twimg.com/profile_images/1526019969133293568/hCebhfh6_normal.jpg</v>
      </c>
      <c r="AW202" s="93" t="s">
        <v>18455</v>
      </c>
      <c r="AX202" s="93" t="s">
        <v>18455</v>
      </c>
      <c r="AY202" s="87"/>
      <c r="AZ202" s="93" t="s">
        <v>22668</v>
      </c>
      <c r="BA202" s="93" t="s">
        <v>22668</v>
      </c>
      <c r="BB202" s="93" t="s">
        <v>22668</v>
      </c>
      <c r="BC202" s="93" t="s">
        <v>18455</v>
      </c>
      <c r="BD202" s="93" t="s">
        <v>22832</v>
      </c>
      <c r="BE202" s="87"/>
      <c r="BF202" s="87"/>
      <c r="BG202" s="87"/>
      <c r="BH202" s="87"/>
      <c r="BI202" s="87"/>
    </row>
    <row r="203" spans="1:61" x14ac:dyDescent="0.25">
      <c r="A203" s="63" t="s">
        <v>294</v>
      </c>
      <c r="B203" s="63" t="s">
        <v>294</v>
      </c>
      <c r="C203" s="64"/>
      <c r="D203" s="65"/>
      <c r="E203" s="66"/>
      <c r="F203" s="67"/>
      <c r="G203" s="64"/>
      <c r="H203" s="68"/>
      <c r="I203" s="69"/>
      <c r="J203" s="69"/>
      <c r="K203" s="32"/>
      <c r="L203" s="76">
        <v>203</v>
      </c>
      <c r="M203" s="76"/>
      <c r="N203" s="71"/>
      <c r="O203" s="87" t="s">
        <v>179</v>
      </c>
      <c r="P203" s="90">
        <v>45183.438796296294</v>
      </c>
      <c r="Q203" s="87" t="s">
        <v>2040</v>
      </c>
      <c r="R203" s="87">
        <v>0</v>
      </c>
      <c r="S203" s="87">
        <v>0</v>
      </c>
      <c r="T203" s="87">
        <v>0</v>
      </c>
      <c r="U203" s="87">
        <v>0</v>
      </c>
      <c r="V203" s="87">
        <v>6</v>
      </c>
      <c r="W203" s="93" t="s">
        <v>5989</v>
      </c>
      <c r="X203" s="87"/>
      <c r="Y203" s="87"/>
      <c r="Z203" s="87"/>
      <c r="AA203" s="87"/>
      <c r="AB203" s="87"/>
      <c r="AC203" s="93" t="s">
        <v>11458</v>
      </c>
      <c r="AD203" s="87" t="s">
        <v>11519</v>
      </c>
      <c r="AE203" s="92" t="str">
        <f>HYPERLINK("https://twitter.com/victorb_l/status/1702268922857169339")</f>
        <v>https://twitter.com/victorb_l/status/1702268922857169339</v>
      </c>
      <c r="AF203" s="90">
        <v>45183.438796296294</v>
      </c>
      <c r="AG203" s="99">
        <v>45183</v>
      </c>
      <c r="AH203" s="93" t="s">
        <v>11723</v>
      </c>
      <c r="AI203" s="87"/>
      <c r="AJ203" s="87"/>
      <c r="AK203" s="87"/>
      <c r="AL203" s="87"/>
      <c r="AM203" s="87"/>
      <c r="AN203" s="87"/>
      <c r="AO203" s="87"/>
      <c r="AP203" s="87"/>
      <c r="AQ203" s="87"/>
      <c r="AR203" s="87"/>
      <c r="AS203" s="87"/>
      <c r="AT203" s="87"/>
      <c r="AU203" s="87"/>
      <c r="AV203" s="92" t="str">
        <f>HYPERLINK("https://pbs.twimg.com/profile_images/1643015123278217219/sCeUhfU7_normal.jpg")</f>
        <v>https://pbs.twimg.com/profile_images/1643015123278217219/sCeUhfU7_normal.jpg</v>
      </c>
      <c r="AW203" s="93" t="s">
        <v>18456</v>
      </c>
      <c r="AX203" s="93" t="s">
        <v>18456</v>
      </c>
      <c r="AY203" s="87"/>
      <c r="AZ203" s="93" t="s">
        <v>22668</v>
      </c>
      <c r="BA203" s="93" t="s">
        <v>22668</v>
      </c>
      <c r="BB203" s="93" t="s">
        <v>22668</v>
      </c>
      <c r="BC203" s="93" t="s">
        <v>18456</v>
      </c>
      <c r="BD203" s="93" t="s">
        <v>22833</v>
      </c>
      <c r="BE203" s="87"/>
      <c r="BF203" s="87"/>
      <c r="BG203" s="87"/>
      <c r="BH203" s="87"/>
      <c r="BI203" s="87"/>
    </row>
    <row r="204" spans="1:61" x14ac:dyDescent="0.25">
      <c r="A204" s="63" t="s">
        <v>295</v>
      </c>
      <c r="B204" s="63" t="s">
        <v>295</v>
      </c>
      <c r="C204" s="64"/>
      <c r="D204" s="65"/>
      <c r="E204" s="66"/>
      <c r="F204" s="67"/>
      <c r="G204" s="64"/>
      <c r="H204" s="68"/>
      <c r="I204" s="69"/>
      <c r="J204" s="69"/>
      <c r="K204" s="32"/>
      <c r="L204" s="76">
        <v>204</v>
      </c>
      <c r="M204" s="76"/>
      <c r="N204" s="71"/>
      <c r="O204" s="87" t="s">
        <v>179</v>
      </c>
      <c r="P204" s="90">
        <v>45116.375254629631</v>
      </c>
      <c r="Q204" s="87" t="s">
        <v>2041</v>
      </c>
      <c r="R204" s="87">
        <v>0</v>
      </c>
      <c r="S204" s="87">
        <v>0</v>
      </c>
      <c r="T204" s="87">
        <v>0</v>
      </c>
      <c r="U204" s="87">
        <v>0</v>
      </c>
      <c r="V204" s="87">
        <v>9</v>
      </c>
      <c r="W204" s="93" t="s">
        <v>5990</v>
      </c>
      <c r="X204" s="87"/>
      <c r="Y204" s="87"/>
      <c r="Z204" s="87"/>
      <c r="AA204" s="87" t="s">
        <v>8766</v>
      </c>
      <c r="AB204" s="87" t="s">
        <v>11448</v>
      </c>
      <c r="AC204" s="93" t="s">
        <v>11460</v>
      </c>
      <c r="AD204" s="87" t="s">
        <v>11519</v>
      </c>
      <c r="AE204" s="92" t="str">
        <f>HYPERLINK("https://twitter.com/qualificae/status/1677965908709453824")</f>
        <v>https://twitter.com/qualificae/status/1677965908709453824</v>
      </c>
      <c r="AF204" s="90">
        <v>45116.375254629631</v>
      </c>
      <c r="AG204" s="99">
        <v>45116</v>
      </c>
      <c r="AH204" s="93" t="s">
        <v>11724</v>
      </c>
      <c r="AI204" s="87" t="b">
        <v>0</v>
      </c>
      <c r="AJ204" s="87"/>
      <c r="AK204" s="87"/>
      <c r="AL204" s="87"/>
      <c r="AM204" s="87"/>
      <c r="AN204" s="87"/>
      <c r="AO204" s="87"/>
      <c r="AP204" s="87"/>
      <c r="AQ204" s="87" t="s">
        <v>15579</v>
      </c>
      <c r="AR204" s="87"/>
      <c r="AS204" s="87"/>
      <c r="AT204" s="87"/>
      <c r="AU204" s="87"/>
      <c r="AV204" s="92" t="str">
        <f>HYPERLINK("https://pbs.twimg.com/media/F0lVGjiWwAIXWQc.jpg")</f>
        <v>https://pbs.twimg.com/media/F0lVGjiWwAIXWQc.jpg</v>
      </c>
      <c r="AW204" s="93" t="s">
        <v>18457</v>
      </c>
      <c r="AX204" s="93" t="s">
        <v>18457</v>
      </c>
      <c r="AY204" s="87"/>
      <c r="AZ204" s="93" t="s">
        <v>22668</v>
      </c>
      <c r="BA204" s="93" t="s">
        <v>22668</v>
      </c>
      <c r="BB204" s="93" t="s">
        <v>22668</v>
      </c>
      <c r="BC204" s="93" t="s">
        <v>18457</v>
      </c>
      <c r="BD204" s="93" t="s">
        <v>22834</v>
      </c>
      <c r="BE204" s="87"/>
      <c r="BF204" s="87"/>
      <c r="BG204" s="87"/>
      <c r="BH204" s="87"/>
      <c r="BI204" s="87"/>
    </row>
    <row r="205" spans="1:61" x14ac:dyDescent="0.25">
      <c r="A205" s="63" t="s">
        <v>295</v>
      </c>
      <c r="B205" s="63" t="s">
        <v>295</v>
      </c>
      <c r="C205" s="64"/>
      <c r="D205" s="65"/>
      <c r="E205" s="66"/>
      <c r="F205" s="67"/>
      <c r="G205" s="64"/>
      <c r="H205" s="68"/>
      <c r="I205" s="69"/>
      <c r="J205" s="69"/>
      <c r="K205" s="32"/>
      <c r="L205" s="76">
        <v>205</v>
      </c>
      <c r="M205" s="76"/>
      <c r="N205" s="71"/>
      <c r="O205" s="87" t="s">
        <v>179</v>
      </c>
      <c r="P205" s="90">
        <v>45123.392372685186</v>
      </c>
      <c r="Q205" s="87" t="s">
        <v>2042</v>
      </c>
      <c r="R205" s="87">
        <v>0</v>
      </c>
      <c r="S205" s="87">
        <v>0</v>
      </c>
      <c r="T205" s="87">
        <v>0</v>
      </c>
      <c r="U205" s="87">
        <v>0</v>
      </c>
      <c r="V205" s="87">
        <v>2</v>
      </c>
      <c r="W205" s="93" t="s">
        <v>5990</v>
      </c>
      <c r="X205" s="87"/>
      <c r="Y205" s="87"/>
      <c r="Z205" s="87"/>
      <c r="AA205" s="87" t="s">
        <v>8767</v>
      </c>
      <c r="AB205" s="87" t="s">
        <v>11448</v>
      </c>
      <c r="AC205" s="93" t="s">
        <v>11460</v>
      </c>
      <c r="AD205" s="87" t="s">
        <v>11519</v>
      </c>
      <c r="AE205" s="92" t="str">
        <f>HYPERLINK("https://twitter.com/qualificae/status/1680508827894939648")</f>
        <v>https://twitter.com/qualificae/status/1680508827894939648</v>
      </c>
      <c r="AF205" s="90">
        <v>45123.392372685186</v>
      </c>
      <c r="AG205" s="99">
        <v>45123</v>
      </c>
      <c r="AH205" s="93" t="s">
        <v>11725</v>
      </c>
      <c r="AI205" s="87" t="b">
        <v>0</v>
      </c>
      <c r="AJ205" s="87"/>
      <c r="AK205" s="87"/>
      <c r="AL205" s="87"/>
      <c r="AM205" s="87"/>
      <c r="AN205" s="87"/>
      <c r="AO205" s="87"/>
      <c r="AP205" s="87"/>
      <c r="AQ205" s="87" t="s">
        <v>15580</v>
      </c>
      <c r="AR205" s="87"/>
      <c r="AS205" s="87"/>
      <c r="AT205" s="87"/>
      <c r="AU205" s="87"/>
      <c r="AV205" s="92" t="str">
        <f>HYPERLINK("https://pbs.twimg.com/media/F1Jd33EX0AAtLqN.jpg")</f>
        <v>https://pbs.twimg.com/media/F1Jd33EX0AAtLqN.jpg</v>
      </c>
      <c r="AW205" s="93" t="s">
        <v>18458</v>
      </c>
      <c r="AX205" s="93" t="s">
        <v>18458</v>
      </c>
      <c r="AY205" s="87"/>
      <c r="AZ205" s="93" t="s">
        <v>22668</v>
      </c>
      <c r="BA205" s="93" t="s">
        <v>22668</v>
      </c>
      <c r="BB205" s="93" t="s">
        <v>22668</v>
      </c>
      <c r="BC205" s="93" t="s">
        <v>18458</v>
      </c>
      <c r="BD205" s="93" t="s">
        <v>22834</v>
      </c>
      <c r="BE205" s="87"/>
      <c r="BF205" s="87"/>
      <c r="BG205" s="87"/>
      <c r="BH205" s="87"/>
      <c r="BI205" s="87"/>
    </row>
    <row r="206" spans="1:61" x14ac:dyDescent="0.25">
      <c r="A206" s="63" t="s">
        <v>296</v>
      </c>
      <c r="B206" s="63" t="s">
        <v>296</v>
      </c>
      <c r="C206" s="64"/>
      <c r="D206" s="65"/>
      <c r="E206" s="66"/>
      <c r="F206" s="67"/>
      <c r="G206" s="64"/>
      <c r="H206" s="68"/>
      <c r="I206" s="69"/>
      <c r="J206" s="69"/>
      <c r="K206" s="32"/>
      <c r="L206" s="76">
        <v>206</v>
      </c>
      <c r="M206" s="76"/>
      <c r="N206" s="71"/>
      <c r="O206" s="87" t="s">
        <v>179</v>
      </c>
      <c r="P206" s="90">
        <v>45111.900231481479</v>
      </c>
      <c r="Q206" s="87" t="s">
        <v>2043</v>
      </c>
      <c r="R206" s="87">
        <v>0</v>
      </c>
      <c r="S206" s="87">
        <v>1</v>
      </c>
      <c r="T206" s="87">
        <v>2</v>
      </c>
      <c r="U206" s="87">
        <v>0</v>
      </c>
      <c r="V206" s="87">
        <v>295</v>
      </c>
      <c r="W206" s="93" t="s">
        <v>5991</v>
      </c>
      <c r="X206" s="87"/>
      <c r="Y206" s="87"/>
      <c r="Z206" s="87"/>
      <c r="AA206" s="87" t="s">
        <v>8768</v>
      </c>
      <c r="AB206" s="87" t="s">
        <v>11447</v>
      </c>
      <c r="AC206" s="93" t="s">
        <v>11458</v>
      </c>
      <c r="AD206" s="87" t="s">
        <v>11520</v>
      </c>
      <c r="AE206" s="92" t="str">
        <f>HYPERLINK("https://twitter.com/maradib10/status/1676344216744603649")</f>
        <v>https://twitter.com/maradib10/status/1676344216744603649</v>
      </c>
      <c r="AF206" s="90">
        <v>45111.900231481479</v>
      </c>
      <c r="AG206" s="99">
        <v>45111</v>
      </c>
      <c r="AH206" s="93" t="s">
        <v>11726</v>
      </c>
      <c r="AI206" s="87" t="b">
        <v>0</v>
      </c>
      <c r="AJ206" s="87" t="s">
        <v>15171</v>
      </c>
      <c r="AK206" s="87" t="s">
        <v>15234</v>
      </c>
      <c r="AL206" s="87" t="s">
        <v>15237</v>
      </c>
      <c r="AM206" s="87" t="s">
        <v>15243</v>
      </c>
      <c r="AN206" s="87" t="s">
        <v>15308</v>
      </c>
      <c r="AO206" s="87" t="s">
        <v>15375</v>
      </c>
      <c r="AP206" s="87" t="s">
        <v>15438</v>
      </c>
      <c r="AQ206" s="87" t="s">
        <v>15581</v>
      </c>
      <c r="AR206" s="87">
        <v>9100</v>
      </c>
      <c r="AS206" s="87"/>
      <c r="AT206" s="87"/>
      <c r="AU206" s="87"/>
      <c r="AV206" s="92" t="str">
        <f>HYPERLINK("https://pbs.twimg.com/ext_tw_video_thumb/1676344172847013888/pu/img/V2E7oaPK1Z6CVuxR.jpg")</f>
        <v>https://pbs.twimg.com/ext_tw_video_thumb/1676344172847013888/pu/img/V2E7oaPK1Z6CVuxR.jpg</v>
      </c>
      <c r="AW206" s="93" t="s">
        <v>18459</v>
      </c>
      <c r="AX206" s="93" t="s">
        <v>18459</v>
      </c>
      <c r="AY206" s="87"/>
      <c r="AZ206" s="93" t="s">
        <v>22668</v>
      </c>
      <c r="BA206" s="93" t="s">
        <v>22668</v>
      </c>
      <c r="BB206" s="93" t="s">
        <v>22668</v>
      </c>
      <c r="BC206" s="93" t="s">
        <v>18459</v>
      </c>
      <c r="BD206" s="93" t="s">
        <v>22835</v>
      </c>
      <c r="BE206" s="87"/>
      <c r="BF206" s="87"/>
      <c r="BG206" s="87"/>
      <c r="BH206" s="87"/>
      <c r="BI206" s="87"/>
    </row>
    <row r="207" spans="1:61" x14ac:dyDescent="0.25">
      <c r="A207" s="63" t="s">
        <v>297</v>
      </c>
      <c r="B207" s="63" t="s">
        <v>297</v>
      </c>
      <c r="C207" s="64"/>
      <c r="D207" s="65"/>
      <c r="E207" s="66"/>
      <c r="F207" s="67"/>
      <c r="G207" s="64"/>
      <c r="H207" s="68"/>
      <c r="I207" s="69"/>
      <c r="J207" s="69"/>
      <c r="K207" s="32"/>
      <c r="L207" s="76">
        <v>207</v>
      </c>
      <c r="M207" s="76"/>
      <c r="N207" s="71"/>
      <c r="O207" s="87" t="s">
        <v>179</v>
      </c>
      <c r="P207" s="90">
        <v>45133.629479166666</v>
      </c>
      <c r="Q207" s="87" t="s">
        <v>2044</v>
      </c>
      <c r="R207" s="87">
        <v>0</v>
      </c>
      <c r="S207" s="87">
        <v>0</v>
      </c>
      <c r="T207" s="87">
        <v>0</v>
      </c>
      <c r="U207" s="87">
        <v>0</v>
      </c>
      <c r="V207" s="87">
        <v>72</v>
      </c>
      <c r="W207" s="93" t="s">
        <v>5992</v>
      </c>
      <c r="X207" s="87"/>
      <c r="Y207" s="87"/>
      <c r="Z207" s="87"/>
      <c r="AA207" s="87" t="s">
        <v>8769</v>
      </c>
      <c r="AB207" s="87" t="s">
        <v>11448</v>
      </c>
      <c r="AC207" s="93" t="s">
        <v>11459</v>
      </c>
      <c r="AD207" s="87" t="s">
        <v>11519</v>
      </c>
      <c r="AE207" s="92" t="str">
        <f>HYPERLINK("https://twitter.com/sonogama/status/1684218632321081344")</f>
        <v>https://twitter.com/sonogama/status/1684218632321081344</v>
      </c>
      <c r="AF207" s="90">
        <v>45133.629479166666</v>
      </c>
      <c r="AG207" s="99">
        <v>45133</v>
      </c>
      <c r="AH207" s="93" t="s">
        <v>11727</v>
      </c>
      <c r="AI207" s="87" t="b">
        <v>0</v>
      </c>
      <c r="AJ207" s="87"/>
      <c r="AK207" s="87"/>
      <c r="AL207" s="87"/>
      <c r="AM207" s="87"/>
      <c r="AN207" s="87"/>
      <c r="AO207" s="87"/>
      <c r="AP207" s="87"/>
      <c r="AQ207" s="87" t="s">
        <v>15582</v>
      </c>
      <c r="AR207" s="87"/>
      <c r="AS207" s="87"/>
      <c r="AT207" s="87"/>
      <c r="AU207" s="87"/>
      <c r="AV207" s="92" t="str">
        <f>HYPERLINK("https://pbs.twimg.com/media/F1-L6ySXgAEEdp9.jpg")</f>
        <v>https://pbs.twimg.com/media/F1-L6ySXgAEEdp9.jpg</v>
      </c>
      <c r="AW207" s="93" t="s">
        <v>18460</v>
      </c>
      <c r="AX207" s="93" t="s">
        <v>18460</v>
      </c>
      <c r="AY207" s="87"/>
      <c r="AZ207" s="93" t="s">
        <v>22668</v>
      </c>
      <c r="BA207" s="93" t="s">
        <v>22668</v>
      </c>
      <c r="BB207" s="93" t="s">
        <v>22668</v>
      </c>
      <c r="BC207" s="93" t="s">
        <v>18460</v>
      </c>
      <c r="BD207" s="93" t="s">
        <v>22836</v>
      </c>
      <c r="BE207" s="87"/>
      <c r="BF207" s="87"/>
      <c r="BG207" s="87"/>
      <c r="BH207" s="87"/>
      <c r="BI207" s="87"/>
    </row>
    <row r="208" spans="1:61" x14ac:dyDescent="0.25">
      <c r="A208" s="63" t="s">
        <v>298</v>
      </c>
      <c r="B208" s="63" t="s">
        <v>298</v>
      </c>
      <c r="C208" s="64"/>
      <c r="D208" s="65"/>
      <c r="E208" s="66"/>
      <c r="F208" s="67"/>
      <c r="G208" s="64"/>
      <c r="H208" s="68"/>
      <c r="I208" s="69"/>
      <c r="J208" s="69"/>
      <c r="K208" s="32"/>
      <c r="L208" s="76">
        <v>208</v>
      </c>
      <c r="M208" s="76"/>
      <c r="N208" s="71"/>
      <c r="O208" s="87" t="s">
        <v>179</v>
      </c>
      <c r="P208" s="90">
        <v>45134.8124537037</v>
      </c>
      <c r="Q208" s="87" t="s">
        <v>2045</v>
      </c>
      <c r="R208" s="87">
        <v>0</v>
      </c>
      <c r="S208" s="87">
        <v>1</v>
      </c>
      <c r="T208" s="87">
        <v>0</v>
      </c>
      <c r="U208" s="87">
        <v>0</v>
      </c>
      <c r="V208" s="87">
        <v>27</v>
      </c>
      <c r="W208" s="93" t="s">
        <v>5897</v>
      </c>
      <c r="X208" s="87"/>
      <c r="Y208" s="87"/>
      <c r="Z208" s="87"/>
      <c r="AA208" s="87"/>
      <c r="AB208" s="87"/>
      <c r="AC208" s="93" t="s">
        <v>11457</v>
      </c>
      <c r="AD208" s="87" t="s">
        <v>11519</v>
      </c>
      <c r="AE208" s="92" t="str">
        <f>HYPERLINK("https://twitter.com/jqlntls/status/1684647328001425408")</f>
        <v>https://twitter.com/jqlntls/status/1684647328001425408</v>
      </c>
      <c r="AF208" s="90">
        <v>45134.8124537037</v>
      </c>
      <c r="AG208" s="99">
        <v>45134</v>
      </c>
      <c r="AH208" s="93" t="s">
        <v>11728</v>
      </c>
      <c r="AI208" s="87"/>
      <c r="AJ208" s="87"/>
      <c r="AK208" s="87"/>
      <c r="AL208" s="87"/>
      <c r="AM208" s="87"/>
      <c r="AN208" s="87"/>
      <c r="AO208" s="87"/>
      <c r="AP208" s="87"/>
      <c r="AQ208" s="87"/>
      <c r="AR208" s="87"/>
      <c r="AS208" s="87"/>
      <c r="AT208" s="87"/>
      <c r="AU208" s="87"/>
      <c r="AV208" s="92" t="str">
        <f>HYPERLINK("https://pbs.twimg.com/profile_images/1665445576748552193/ICeb71cu_normal.jpg")</f>
        <v>https://pbs.twimg.com/profile_images/1665445576748552193/ICeb71cu_normal.jpg</v>
      </c>
      <c r="AW208" s="93" t="s">
        <v>18461</v>
      </c>
      <c r="AX208" s="93" t="s">
        <v>18461</v>
      </c>
      <c r="AY208" s="87"/>
      <c r="AZ208" s="93" t="s">
        <v>22668</v>
      </c>
      <c r="BA208" s="93" t="s">
        <v>22668</v>
      </c>
      <c r="BB208" s="93" t="s">
        <v>22668</v>
      </c>
      <c r="BC208" s="93" t="s">
        <v>18461</v>
      </c>
      <c r="BD208" s="87">
        <v>97727197</v>
      </c>
      <c r="BE208" s="87"/>
      <c r="BF208" s="87"/>
      <c r="BG208" s="87"/>
      <c r="BH208" s="87"/>
      <c r="BI208" s="87"/>
    </row>
    <row r="209" spans="1:61" x14ac:dyDescent="0.25">
      <c r="A209" s="63" t="s">
        <v>299</v>
      </c>
      <c r="B209" s="63" t="s">
        <v>299</v>
      </c>
      <c r="C209" s="64"/>
      <c r="D209" s="65"/>
      <c r="E209" s="66"/>
      <c r="F209" s="67"/>
      <c r="G209" s="64"/>
      <c r="H209" s="68"/>
      <c r="I209" s="69"/>
      <c r="J209" s="69"/>
      <c r="K209" s="32"/>
      <c r="L209" s="76">
        <v>209</v>
      </c>
      <c r="M209" s="76"/>
      <c r="N209" s="71"/>
      <c r="O209" s="87" t="s">
        <v>179</v>
      </c>
      <c r="P209" s="90">
        <v>45110.924814814818</v>
      </c>
      <c r="Q209" s="87" t="s">
        <v>2046</v>
      </c>
      <c r="R209" s="87">
        <v>0</v>
      </c>
      <c r="S209" s="87">
        <v>1</v>
      </c>
      <c r="T209" s="87">
        <v>0</v>
      </c>
      <c r="U209" s="87">
        <v>0</v>
      </c>
      <c r="V209" s="87">
        <v>20</v>
      </c>
      <c r="W209" s="93" t="s">
        <v>5993</v>
      </c>
      <c r="X209" s="87"/>
      <c r="Y209" s="87"/>
      <c r="Z209" s="87"/>
      <c r="AA209" s="87" t="s">
        <v>8770</v>
      </c>
      <c r="AB209" s="87" t="s">
        <v>11447</v>
      </c>
      <c r="AC209" s="93" t="s">
        <v>11458</v>
      </c>
      <c r="AD209" s="87" t="s">
        <v>11519</v>
      </c>
      <c r="AE209" s="92" t="str">
        <f>HYPERLINK("https://twitter.com/nalydja_gomes/status/1675990734548131842")</f>
        <v>https://twitter.com/nalydja_gomes/status/1675990734548131842</v>
      </c>
      <c r="AF209" s="90">
        <v>45110.924814814818</v>
      </c>
      <c r="AG209" s="99">
        <v>45110</v>
      </c>
      <c r="AH209" s="93" t="s">
        <v>11729</v>
      </c>
      <c r="AI209" s="87" t="b">
        <v>0</v>
      </c>
      <c r="AJ209" s="87"/>
      <c r="AK209" s="87"/>
      <c r="AL209" s="87"/>
      <c r="AM209" s="87"/>
      <c r="AN209" s="87"/>
      <c r="AO209" s="87"/>
      <c r="AP209" s="87"/>
      <c r="AQ209" s="87" t="s">
        <v>15583</v>
      </c>
      <c r="AR209" s="87">
        <v>27166</v>
      </c>
      <c r="AS209" s="87"/>
      <c r="AT209" s="87"/>
      <c r="AU209" s="87"/>
      <c r="AV209" s="92" t="str">
        <f>HYPERLINK("https://pbs.twimg.com/ext_tw_video_thumb/1675990624795869187/pu/img/_Wqcfw55ZrjXFLqi.jpg")</f>
        <v>https://pbs.twimg.com/ext_tw_video_thumb/1675990624795869187/pu/img/_Wqcfw55ZrjXFLqi.jpg</v>
      </c>
      <c r="AW209" s="93" t="s">
        <v>18462</v>
      </c>
      <c r="AX209" s="93" t="s">
        <v>18462</v>
      </c>
      <c r="AY209" s="87"/>
      <c r="AZ209" s="93" t="s">
        <v>22668</v>
      </c>
      <c r="BA209" s="93" t="s">
        <v>22668</v>
      </c>
      <c r="BB209" s="93" t="s">
        <v>22668</v>
      </c>
      <c r="BC209" s="93" t="s">
        <v>18462</v>
      </c>
      <c r="BD209" s="93" t="s">
        <v>22837</v>
      </c>
      <c r="BE209" s="87"/>
      <c r="BF209" s="87"/>
      <c r="BG209" s="87"/>
      <c r="BH209" s="87"/>
      <c r="BI209" s="87"/>
    </row>
    <row r="210" spans="1:61" x14ac:dyDescent="0.25">
      <c r="A210" s="63" t="s">
        <v>300</v>
      </c>
      <c r="B210" s="63" t="s">
        <v>300</v>
      </c>
      <c r="C210" s="64"/>
      <c r="D210" s="65"/>
      <c r="E210" s="66"/>
      <c r="F210" s="67"/>
      <c r="G210" s="64"/>
      <c r="H210" s="68"/>
      <c r="I210" s="69"/>
      <c r="J210" s="69"/>
      <c r="K210" s="32"/>
      <c r="L210" s="76">
        <v>210</v>
      </c>
      <c r="M210" s="76"/>
      <c r="N210" s="71"/>
      <c r="O210" s="87" t="s">
        <v>179</v>
      </c>
      <c r="P210" s="90">
        <v>45148.743738425925</v>
      </c>
      <c r="Q210" s="87" t="s">
        <v>2047</v>
      </c>
      <c r="R210" s="87">
        <v>0</v>
      </c>
      <c r="S210" s="87">
        <v>0</v>
      </c>
      <c r="T210" s="87">
        <v>0</v>
      </c>
      <c r="U210" s="87">
        <v>0</v>
      </c>
      <c r="V210" s="87">
        <v>38</v>
      </c>
      <c r="W210" s="93" t="s">
        <v>5994</v>
      </c>
      <c r="X210" s="87"/>
      <c r="Y210" s="87"/>
      <c r="Z210" s="87"/>
      <c r="AA210" s="87" t="s">
        <v>8771</v>
      </c>
      <c r="AB210" s="87" t="s">
        <v>11447</v>
      </c>
      <c r="AC210" s="93" t="s">
        <v>11458</v>
      </c>
      <c r="AD210" s="87" t="s">
        <v>11519</v>
      </c>
      <c r="AE210" s="92" t="str">
        <f>HYPERLINK("https://twitter.com/beckamaced0/status/1689695853282230272")</f>
        <v>https://twitter.com/beckamaced0/status/1689695853282230272</v>
      </c>
      <c r="AF210" s="90">
        <v>45148.743738425925</v>
      </c>
      <c r="AG210" s="99">
        <v>45148</v>
      </c>
      <c r="AH210" s="93" t="s">
        <v>11730</v>
      </c>
      <c r="AI210" s="87" t="b">
        <v>0</v>
      </c>
      <c r="AJ210" s="87"/>
      <c r="AK210" s="87"/>
      <c r="AL210" s="87"/>
      <c r="AM210" s="87"/>
      <c r="AN210" s="87"/>
      <c r="AO210" s="87"/>
      <c r="AP210" s="87"/>
      <c r="AQ210" s="87" t="s">
        <v>15584</v>
      </c>
      <c r="AR210" s="87">
        <v>45008</v>
      </c>
      <c r="AS210" s="87"/>
      <c r="AT210" s="87"/>
      <c r="AU210" s="87"/>
      <c r="AV210" s="92" t="str">
        <f>HYPERLINK("https://pbs.twimg.com/ext_tw_video_thumb/1689695616023027712/pu/img/BARe-KmWJqbgvNaQ.jpg")</f>
        <v>https://pbs.twimg.com/ext_tw_video_thumb/1689695616023027712/pu/img/BARe-KmWJqbgvNaQ.jpg</v>
      </c>
      <c r="AW210" s="93" t="s">
        <v>18463</v>
      </c>
      <c r="AX210" s="93" t="s">
        <v>18463</v>
      </c>
      <c r="AY210" s="87"/>
      <c r="AZ210" s="93" t="s">
        <v>22668</v>
      </c>
      <c r="BA210" s="93" t="s">
        <v>22668</v>
      </c>
      <c r="BB210" s="93" t="s">
        <v>22668</v>
      </c>
      <c r="BC210" s="93" t="s">
        <v>18463</v>
      </c>
      <c r="BD210" s="93" t="s">
        <v>22838</v>
      </c>
      <c r="BE210" s="87"/>
      <c r="BF210" s="87"/>
      <c r="BG210" s="87"/>
      <c r="BH210" s="87"/>
      <c r="BI210" s="87"/>
    </row>
    <row r="211" spans="1:61" x14ac:dyDescent="0.25">
      <c r="A211" s="63" t="s">
        <v>301</v>
      </c>
      <c r="B211" s="63" t="s">
        <v>1624</v>
      </c>
      <c r="C211" s="64"/>
      <c r="D211" s="65"/>
      <c r="E211" s="66"/>
      <c r="F211" s="67"/>
      <c r="G211" s="64"/>
      <c r="H211" s="68"/>
      <c r="I211" s="69"/>
      <c r="J211" s="69"/>
      <c r="K211" s="32"/>
      <c r="L211" s="76">
        <v>211</v>
      </c>
      <c r="M211" s="76"/>
      <c r="N211" s="71"/>
      <c r="O211" s="87" t="s">
        <v>1839</v>
      </c>
      <c r="P211" s="90">
        <v>45162.825497685182</v>
      </c>
      <c r="Q211" s="87" t="s">
        <v>2048</v>
      </c>
      <c r="R211" s="87">
        <v>0</v>
      </c>
      <c r="S211" s="87">
        <v>0</v>
      </c>
      <c r="T211" s="87">
        <v>0</v>
      </c>
      <c r="U211" s="87">
        <v>0</v>
      </c>
      <c r="V211" s="87">
        <v>3</v>
      </c>
      <c r="W211" s="93" t="s">
        <v>5995</v>
      </c>
      <c r="X211" s="92" t="str">
        <f>HYPERLINK("https://youtu.be/u7IXpzpUiKc?si=hCZXjYKyxgZ1abZV")</f>
        <v>https://youtu.be/u7IXpzpUiKc?si=hCZXjYKyxgZ1abZV</v>
      </c>
      <c r="Y211" s="87" t="s">
        <v>8372</v>
      </c>
      <c r="Z211" s="87" t="s">
        <v>1624</v>
      </c>
      <c r="AA211" s="87"/>
      <c r="AB211" s="87"/>
      <c r="AC211" s="93" t="s">
        <v>11457</v>
      </c>
      <c r="AD211" s="87" t="s">
        <v>11520</v>
      </c>
      <c r="AE211" s="92" t="str">
        <f>HYPERLINK("https://twitter.com/sucessoativado/status/1694798915055312903")</f>
        <v>https://twitter.com/sucessoativado/status/1694798915055312903</v>
      </c>
      <c r="AF211" s="90">
        <v>45162.825497685182</v>
      </c>
      <c r="AG211" s="99">
        <v>45162</v>
      </c>
      <c r="AH211" s="93" t="s">
        <v>11731</v>
      </c>
      <c r="AI211" s="87" t="b">
        <v>0</v>
      </c>
      <c r="AJ211" s="87"/>
      <c r="AK211" s="87"/>
      <c r="AL211" s="87"/>
      <c r="AM211" s="87"/>
      <c r="AN211" s="87"/>
      <c r="AO211" s="87"/>
      <c r="AP211" s="87"/>
      <c r="AQ211" s="87"/>
      <c r="AR211" s="87"/>
      <c r="AS211" s="87"/>
      <c r="AT211" s="87"/>
      <c r="AU211" s="87"/>
      <c r="AV211" s="92" t="str">
        <f>HYPERLINK("https://pbs.twimg.com/profile_images/1689019235555504128/9dvlO7GU_normal.png")</f>
        <v>https://pbs.twimg.com/profile_images/1689019235555504128/9dvlO7GU_normal.png</v>
      </c>
      <c r="AW211" s="93" t="s">
        <v>18464</v>
      </c>
      <c r="AX211" s="93" t="s">
        <v>18464</v>
      </c>
      <c r="AY211" s="87"/>
      <c r="AZ211" s="93" t="s">
        <v>22668</v>
      </c>
      <c r="BA211" s="93" t="s">
        <v>22668</v>
      </c>
      <c r="BB211" s="93" t="s">
        <v>22668</v>
      </c>
      <c r="BC211" s="93" t="s">
        <v>18464</v>
      </c>
      <c r="BD211" s="93" t="s">
        <v>22839</v>
      </c>
      <c r="BE211" s="87"/>
      <c r="BF211" s="87"/>
      <c r="BG211" s="87"/>
      <c r="BH211" s="87"/>
      <c r="BI211" s="87"/>
    </row>
    <row r="212" spans="1:61" x14ac:dyDescent="0.25">
      <c r="A212" s="63" t="s">
        <v>301</v>
      </c>
      <c r="B212" s="63" t="s">
        <v>1624</v>
      </c>
      <c r="C212" s="64"/>
      <c r="D212" s="65"/>
      <c r="E212" s="66"/>
      <c r="F212" s="67"/>
      <c r="G212" s="64"/>
      <c r="H212" s="68"/>
      <c r="I212" s="69"/>
      <c r="J212" s="69"/>
      <c r="K212" s="32"/>
      <c r="L212" s="76">
        <v>212</v>
      </c>
      <c r="M212" s="76"/>
      <c r="N212" s="71"/>
      <c r="O212" s="87" t="s">
        <v>1839</v>
      </c>
      <c r="P212" s="90">
        <v>45170.751018518517</v>
      </c>
      <c r="Q212" s="87" t="s">
        <v>2049</v>
      </c>
      <c r="R212" s="87">
        <v>0</v>
      </c>
      <c r="S212" s="87">
        <v>0</v>
      </c>
      <c r="T212" s="87">
        <v>0</v>
      </c>
      <c r="U212" s="87">
        <v>0</v>
      </c>
      <c r="V212" s="87">
        <v>3</v>
      </c>
      <c r="W212" s="93" t="s">
        <v>5996</v>
      </c>
      <c r="X212" s="92" t="str">
        <f>HYPERLINK("https://youtube.com/shorts/uXstpYmZZ0c?si=dLDHxNprNAhZlEI6")</f>
        <v>https://youtube.com/shorts/uXstpYmZZ0c?si=dLDHxNprNAhZlEI6</v>
      </c>
      <c r="Y212" s="87" t="s">
        <v>8380</v>
      </c>
      <c r="Z212" s="87" t="s">
        <v>1624</v>
      </c>
      <c r="AA212" s="87"/>
      <c r="AB212" s="87"/>
      <c r="AC212" s="93" t="s">
        <v>11457</v>
      </c>
      <c r="AD212" s="87" t="s">
        <v>11520</v>
      </c>
      <c r="AE212" s="92" t="str">
        <f>HYPERLINK("https://twitter.com/sucessoativado/status/1697671026623013315")</f>
        <v>https://twitter.com/sucessoativado/status/1697671026623013315</v>
      </c>
      <c r="AF212" s="90">
        <v>45170.751018518517</v>
      </c>
      <c r="AG212" s="99">
        <v>45170</v>
      </c>
      <c r="AH212" s="93" t="s">
        <v>11732</v>
      </c>
      <c r="AI212" s="87" t="b">
        <v>0</v>
      </c>
      <c r="AJ212" s="87"/>
      <c r="AK212" s="87"/>
      <c r="AL212" s="87"/>
      <c r="AM212" s="87"/>
      <c r="AN212" s="87"/>
      <c r="AO212" s="87"/>
      <c r="AP212" s="87"/>
      <c r="AQ212" s="87"/>
      <c r="AR212" s="87"/>
      <c r="AS212" s="87"/>
      <c r="AT212" s="87"/>
      <c r="AU212" s="87"/>
      <c r="AV212" s="92" t="str">
        <f>HYPERLINK("https://pbs.twimg.com/profile_images/1689019235555504128/9dvlO7GU_normal.png")</f>
        <v>https://pbs.twimg.com/profile_images/1689019235555504128/9dvlO7GU_normal.png</v>
      </c>
      <c r="AW212" s="93" t="s">
        <v>18465</v>
      </c>
      <c r="AX212" s="93" t="s">
        <v>18465</v>
      </c>
      <c r="AY212" s="87"/>
      <c r="AZ212" s="93" t="s">
        <v>22668</v>
      </c>
      <c r="BA212" s="93" t="s">
        <v>22668</v>
      </c>
      <c r="BB212" s="93" t="s">
        <v>22668</v>
      </c>
      <c r="BC212" s="93" t="s">
        <v>18465</v>
      </c>
      <c r="BD212" s="93" t="s">
        <v>22839</v>
      </c>
      <c r="BE212" s="87"/>
      <c r="BF212" s="87"/>
      <c r="BG212" s="87"/>
      <c r="BH212" s="87"/>
      <c r="BI212" s="87"/>
    </row>
    <row r="213" spans="1:61" x14ac:dyDescent="0.25">
      <c r="A213" s="63" t="s">
        <v>301</v>
      </c>
      <c r="B213" s="63" t="s">
        <v>1624</v>
      </c>
      <c r="C213" s="64"/>
      <c r="D213" s="65"/>
      <c r="E213" s="66"/>
      <c r="F213" s="67"/>
      <c r="G213" s="64"/>
      <c r="H213" s="68"/>
      <c r="I213" s="69"/>
      <c r="J213" s="69"/>
      <c r="K213" s="32"/>
      <c r="L213" s="76">
        <v>213</v>
      </c>
      <c r="M213" s="76"/>
      <c r="N213" s="71"/>
      <c r="O213" s="87" t="s">
        <v>1839</v>
      </c>
      <c r="P213" s="90">
        <v>45173.732812499999</v>
      </c>
      <c r="Q213" s="87" t="s">
        <v>2050</v>
      </c>
      <c r="R213" s="87">
        <v>0</v>
      </c>
      <c r="S213" s="87">
        <v>0</v>
      </c>
      <c r="T213" s="87">
        <v>0</v>
      </c>
      <c r="U213" s="87">
        <v>0</v>
      </c>
      <c r="V213" s="87"/>
      <c r="W213" s="93" t="s">
        <v>5997</v>
      </c>
      <c r="X213" s="92" t="str">
        <f>HYPERLINK("https://youtube.com/shorts/qe2VFUAOQJA?si=_GjyLyJKwzu2YBu1")</f>
        <v>https://youtube.com/shorts/qe2VFUAOQJA?si=_GjyLyJKwzu2YBu1</v>
      </c>
      <c r="Y213" s="87" t="s">
        <v>8380</v>
      </c>
      <c r="Z213" s="87" t="s">
        <v>1624</v>
      </c>
      <c r="AA213" s="87"/>
      <c r="AB213" s="87"/>
      <c r="AC213" s="93" t="s">
        <v>11457</v>
      </c>
      <c r="AD213" s="87" t="s">
        <v>11521</v>
      </c>
      <c r="AE213" s="92" t="str">
        <f>HYPERLINK("https://twitter.com/sucessoativado/status/1698751592801964161")</f>
        <v>https://twitter.com/sucessoativado/status/1698751592801964161</v>
      </c>
      <c r="AF213" s="90">
        <v>45173.732812499999</v>
      </c>
      <c r="AG213" s="99">
        <v>45173</v>
      </c>
      <c r="AH213" s="93" t="s">
        <v>11733</v>
      </c>
      <c r="AI213" s="87" t="b">
        <v>0</v>
      </c>
      <c r="AJ213" s="87"/>
      <c r="AK213" s="87"/>
      <c r="AL213" s="87"/>
      <c r="AM213" s="87"/>
      <c r="AN213" s="87"/>
      <c r="AO213" s="87"/>
      <c r="AP213" s="87"/>
      <c r="AQ213" s="87"/>
      <c r="AR213" s="87"/>
      <c r="AS213" s="87"/>
      <c r="AT213" s="87"/>
      <c r="AU213" s="87"/>
      <c r="AV213" s="92" t="str">
        <f>HYPERLINK("https://pbs.twimg.com/profile_images/1689019235555504128/9dvlO7GU_normal.png")</f>
        <v>https://pbs.twimg.com/profile_images/1689019235555504128/9dvlO7GU_normal.png</v>
      </c>
      <c r="AW213" s="93" t="s">
        <v>18466</v>
      </c>
      <c r="AX213" s="93" t="s">
        <v>18466</v>
      </c>
      <c r="AY213" s="87"/>
      <c r="AZ213" s="93" t="s">
        <v>22668</v>
      </c>
      <c r="BA213" s="93" t="s">
        <v>22668</v>
      </c>
      <c r="BB213" s="93" t="s">
        <v>22668</v>
      </c>
      <c r="BC213" s="93" t="s">
        <v>18466</v>
      </c>
      <c r="BD213" s="93" t="s">
        <v>22839</v>
      </c>
      <c r="BE213" s="87"/>
      <c r="BF213" s="87"/>
      <c r="BG213" s="87"/>
      <c r="BH213" s="87"/>
      <c r="BI213" s="87"/>
    </row>
    <row r="214" spans="1:61" x14ac:dyDescent="0.25">
      <c r="A214" s="63" t="s">
        <v>302</v>
      </c>
      <c r="B214" s="63" t="s">
        <v>1086</v>
      </c>
      <c r="C214" s="64"/>
      <c r="D214" s="65"/>
      <c r="E214" s="66"/>
      <c r="F214" s="67"/>
      <c r="G214" s="64"/>
      <c r="H214" s="68"/>
      <c r="I214" s="69"/>
      <c r="J214" s="69"/>
      <c r="K214" s="32"/>
      <c r="L214" s="76">
        <v>214</v>
      </c>
      <c r="M214" s="76"/>
      <c r="N214" s="71"/>
      <c r="O214" s="87" t="s">
        <v>1842</v>
      </c>
      <c r="P214" s="90">
        <v>45149.595520833333</v>
      </c>
      <c r="Q214" s="87" t="s">
        <v>2051</v>
      </c>
      <c r="R214" s="87">
        <v>0</v>
      </c>
      <c r="S214" s="87">
        <v>0</v>
      </c>
      <c r="T214" s="87">
        <v>0</v>
      </c>
      <c r="U214" s="87">
        <v>0</v>
      </c>
      <c r="V214" s="87">
        <v>34</v>
      </c>
      <c r="W214" s="93" t="s">
        <v>5897</v>
      </c>
      <c r="X214" s="87"/>
      <c r="Y214" s="87"/>
      <c r="Z214" s="87"/>
      <c r="AA214" s="87"/>
      <c r="AB214" s="87"/>
      <c r="AC214" s="93" t="s">
        <v>11457</v>
      </c>
      <c r="AD214" s="87" t="s">
        <v>11519</v>
      </c>
      <c r="AE214" s="92" t="str">
        <f>HYPERLINK("https://twitter.com/megeam/status/1690004529238982656")</f>
        <v>https://twitter.com/megeam/status/1690004529238982656</v>
      </c>
      <c r="AF214" s="90">
        <v>45149.595520833333</v>
      </c>
      <c r="AG214" s="99">
        <v>45149</v>
      </c>
      <c r="AH214" s="93" t="s">
        <v>11734</v>
      </c>
      <c r="AI214" s="87"/>
      <c r="AJ214" s="87"/>
      <c r="AK214" s="87"/>
      <c r="AL214" s="87"/>
      <c r="AM214" s="87"/>
      <c r="AN214" s="87"/>
      <c r="AO214" s="87"/>
      <c r="AP214" s="87"/>
      <c r="AQ214" s="87"/>
      <c r="AR214" s="87"/>
      <c r="AS214" s="87"/>
      <c r="AT214" s="87"/>
      <c r="AU214" s="87"/>
      <c r="AV214" s="92" t="str">
        <f>HYPERLINK("https://pbs.twimg.com/profile_images/1587780582670585857/6Ji54Fj6_normal.jpg")</f>
        <v>https://pbs.twimg.com/profile_images/1587780582670585857/6Ji54Fj6_normal.jpg</v>
      </c>
      <c r="AW214" s="93" t="s">
        <v>18467</v>
      </c>
      <c r="AX214" s="93" t="s">
        <v>18467</v>
      </c>
      <c r="AY214" s="87"/>
      <c r="AZ214" s="93" t="s">
        <v>22668</v>
      </c>
      <c r="BA214" s="93" t="s">
        <v>21055</v>
      </c>
      <c r="BB214" s="93" t="s">
        <v>22668</v>
      </c>
      <c r="BC214" s="93" t="s">
        <v>21055</v>
      </c>
      <c r="BD214" s="87">
        <v>24990422</v>
      </c>
      <c r="BE214" s="87"/>
      <c r="BF214" s="87"/>
      <c r="BG214" s="87"/>
      <c r="BH214" s="87"/>
      <c r="BI214" s="87"/>
    </row>
    <row r="215" spans="1:61" x14ac:dyDescent="0.25">
      <c r="A215" s="63" t="s">
        <v>303</v>
      </c>
      <c r="B215" s="63" t="s">
        <v>303</v>
      </c>
      <c r="C215" s="64"/>
      <c r="D215" s="65"/>
      <c r="E215" s="66"/>
      <c r="F215" s="67"/>
      <c r="G215" s="64"/>
      <c r="H215" s="68"/>
      <c r="I215" s="69"/>
      <c r="J215" s="69"/>
      <c r="K215" s="32"/>
      <c r="L215" s="76">
        <v>215</v>
      </c>
      <c r="M215" s="76"/>
      <c r="N215" s="71"/>
      <c r="O215" s="87" t="s">
        <v>179</v>
      </c>
      <c r="P215" s="90">
        <v>45152.896111111113</v>
      </c>
      <c r="Q215" s="87" t="s">
        <v>2052</v>
      </c>
      <c r="R215" s="87">
        <v>0</v>
      </c>
      <c r="S215" s="87">
        <v>0</v>
      </c>
      <c r="T215" s="87">
        <v>0</v>
      </c>
      <c r="U215" s="87">
        <v>0</v>
      </c>
      <c r="V215" s="87">
        <v>12</v>
      </c>
      <c r="W215" s="93" t="s">
        <v>5998</v>
      </c>
      <c r="X215" s="87"/>
      <c r="Y215" s="87"/>
      <c r="Z215" s="87"/>
      <c r="AA215" s="87" t="s">
        <v>8772</v>
      </c>
      <c r="AB215" s="87" t="s">
        <v>11448</v>
      </c>
      <c r="AC215" s="93" t="s">
        <v>11459</v>
      </c>
      <c r="AD215" s="87" t="s">
        <v>11519</v>
      </c>
      <c r="AE215" s="92" t="str">
        <f>HYPERLINK("https://twitter.com/panthermkt/status/1691200625587974144")</f>
        <v>https://twitter.com/panthermkt/status/1691200625587974144</v>
      </c>
      <c r="AF215" s="90">
        <v>45152.896111111113</v>
      </c>
      <c r="AG215" s="99">
        <v>45152</v>
      </c>
      <c r="AH215" s="93" t="s">
        <v>11735</v>
      </c>
      <c r="AI215" s="87" t="b">
        <v>0</v>
      </c>
      <c r="AJ215" s="87" t="s">
        <v>15172</v>
      </c>
      <c r="AK215" s="87" t="s">
        <v>15234</v>
      </c>
      <c r="AL215" s="87" t="s">
        <v>15237</v>
      </c>
      <c r="AM215" s="87" t="s">
        <v>15244</v>
      </c>
      <c r="AN215" s="87" t="s">
        <v>15309</v>
      </c>
      <c r="AO215" s="87" t="s">
        <v>15376</v>
      </c>
      <c r="AP215" s="87" t="s">
        <v>15438</v>
      </c>
      <c r="AQ215" s="87" t="s">
        <v>15585</v>
      </c>
      <c r="AR215" s="87"/>
      <c r="AS215" s="87"/>
      <c r="AT215" s="87"/>
      <c r="AU215" s="87"/>
      <c r="AV215" s="92" t="str">
        <f>HYPERLINK("https://pbs.twimg.com/media/F3haAYDWsAA7lo1.jpg")</f>
        <v>https://pbs.twimg.com/media/F3haAYDWsAA7lo1.jpg</v>
      </c>
      <c r="AW215" s="93" t="s">
        <v>18468</v>
      </c>
      <c r="AX215" s="93" t="s">
        <v>18468</v>
      </c>
      <c r="AY215" s="87"/>
      <c r="AZ215" s="93" t="s">
        <v>22668</v>
      </c>
      <c r="BA215" s="93" t="s">
        <v>22668</v>
      </c>
      <c r="BB215" s="93" t="s">
        <v>22668</v>
      </c>
      <c r="BC215" s="93" t="s">
        <v>18468</v>
      </c>
      <c r="BD215" s="93" t="s">
        <v>22840</v>
      </c>
      <c r="BE215" s="87"/>
      <c r="BF215" s="87"/>
      <c r="BG215" s="87"/>
      <c r="BH215" s="87"/>
      <c r="BI215" s="87"/>
    </row>
    <row r="216" spans="1:61" x14ac:dyDescent="0.25">
      <c r="A216" s="63" t="s">
        <v>303</v>
      </c>
      <c r="B216" s="63" t="s">
        <v>303</v>
      </c>
      <c r="C216" s="64"/>
      <c r="D216" s="65"/>
      <c r="E216" s="66"/>
      <c r="F216" s="67"/>
      <c r="G216" s="64"/>
      <c r="H216" s="68"/>
      <c r="I216" s="69"/>
      <c r="J216" s="69"/>
      <c r="K216" s="32"/>
      <c r="L216" s="76">
        <v>216</v>
      </c>
      <c r="M216" s="76"/>
      <c r="N216" s="71"/>
      <c r="O216" s="87" t="s">
        <v>179</v>
      </c>
      <c r="P216" s="90">
        <v>45160.685567129629</v>
      </c>
      <c r="Q216" s="87" t="s">
        <v>2053</v>
      </c>
      <c r="R216" s="87">
        <v>0</v>
      </c>
      <c r="S216" s="87">
        <v>0</v>
      </c>
      <c r="T216" s="87">
        <v>0</v>
      </c>
      <c r="U216" s="87">
        <v>0</v>
      </c>
      <c r="V216" s="87">
        <v>12</v>
      </c>
      <c r="W216" s="93" t="s">
        <v>5999</v>
      </c>
      <c r="X216" s="87"/>
      <c r="Y216" s="87"/>
      <c r="Z216" s="87"/>
      <c r="AA216" s="87" t="s">
        <v>8773</v>
      </c>
      <c r="AB216" s="87" t="s">
        <v>11448</v>
      </c>
      <c r="AC216" s="93" t="s">
        <v>11459</v>
      </c>
      <c r="AD216" s="87" t="s">
        <v>11519</v>
      </c>
      <c r="AE216" s="92" t="str">
        <f>HYPERLINK("https://twitter.com/panthermkt/status/1694023426862723565")</f>
        <v>https://twitter.com/panthermkt/status/1694023426862723565</v>
      </c>
      <c r="AF216" s="90">
        <v>45160.685567129629</v>
      </c>
      <c r="AG216" s="99">
        <v>45160</v>
      </c>
      <c r="AH216" s="93" t="s">
        <v>11736</v>
      </c>
      <c r="AI216" s="87" t="b">
        <v>0</v>
      </c>
      <c r="AJ216" s="87" t="s">
        <v>15172</v>
      </c>
      <c r="AK216" s="87" t="s">
        <v>15234</v>
      </c>
      <c r="AL216" s="87" t="s">
        <v>15237</v>
      </c>
      <c r="AM216" s="87" t="s">
        <v>15244</v>
      </c>
      <c r="AN216" s="87" t="s">
        <v>15309</v>
      </c>
      <c r="AO216" s="87" t="s">
        <v>15376</v>
      </c>
      <c r="AP216" s="87" t="s">
        <v>15438</v>
      </c>
      <c r="AQ216" s="87" t="s">
        <v>15586</v>
      </c>
      <c r="AR216" s="87"/>
      <c r="AS216" s="87"/>
      <c r="AT216" s="87"/>
      <c r="AU216" s="87"/>
      <c r="AV216" s="92" t="str">
        <f>HYPERLINK("https://pbs.twimg.com/media/F4JhVDWW4AAqOLk.jpg")</f>
        <v>https://pbs.twimg.com/media/F4JhVDWW4AAqOLk.jpg</v>
      </c>
      <c r="AW216" s="93" t="s">
        <v>18469</v>
      </c>
      <c r="AX216" s="93" t="s">
        <v>18469</v>
      </c>
      <c r="AY216" s="87"/>
      <c r="AZ216" s="93" t="s">
        <v>22668</v>
      </c>
      <c r="BA216" s="93" t="s">
        <v>22668</v>
      </c>
      <c r="BB216" s="93" t="s">
        <v>22668</v>
      </c>
      <c r="BC216" s="93" t="s">
        <v>18469</v>
      </c>
      <c r="BD216" s="93" t="s">
        <v>22840</v>
      </c>
      <c r="BE216" s="87"/>
      <c r="BF216" s="87"/>
      <c r="BG216" s="87"/>
      <c r="BH216" s="87"/>
      <c r="BI216" s="87"/>
    </row>
    <row r="217" spans="1:61" x14ac:dyDescent="0.25">
      <c r="A217" s="63" t="s">
        <v>303</v>
      </c>
      <c r="B217" s="63" t="s">
        <v>303</v>
      </c>
      <c r="C217" s="64"/>
      <c r="D217" s="65"/>
      <c r="E217" s="66"/>
      <c r="F217" s="67"/>
      <c r="G217" s="64"/>
      <c r="H217" s="68"/>
      <c r="I217" s="69"/>
      <c r="J217" s="69"/>
      <c r="K217" s="32"/>
      <c r="L217" s="76">
        <v>217</v>
      </c>
      <c r="M217" s="76"/>
      <c r="N217" s="71"/>
      <c r="O217" s="87" t="s">
        <v>179</v>
      </c>
      <c r="P217" s="90">
        <v>45157.68644675926</v>
      </c>
      <c r="Q217" s="87" t="s">
        <v>2054</v>
      </c>
      <c r="R217" s="87">
        <v>0</v>
      </c>
      <c r="S217" s="87">
        <v>0</v>
      </c>
      <c r="T217" s="87">
        <v>0</v>
      </c>
      <c r="U217" s="87">
        <v>0</v>
      </c>
      <c r="V217" s="87">
        <v>18</v>
      </c>
      <c r="W217" s="93" t="s">
        <v>6000</v>
      </c>
      <c r="X217" s="87"/>
      <c r="Y217" s="87"/>
      <c r="Z217" s="87"/>
      <c r="AA217" s="87" t="s">
        <v>8774</v>
      </c>
      <c r="AB217" s="87" t="s">
        <v>11447</v>
      </c>
      <c r="AC217" s="93" t="s">
        <v>11459</v>
      </c>
      <c r="AD217" s="87" t="s">
        <v>11519</v>
      </c>
      <c r="AE217" s="92" t="str">
        <f>HYPERLINK("https://twitter.com/panthermkt/status/1692936583937224944")</f>
        <v>https://twitter.com/panthermkt/status/1692936583937224944</v>
      </c>
      <c r="AF217" s="90">
        <v>45157.68644675926</v>
      </c>
      <c r="AG217" s="99">
        <v>45157</v>
      </c>
      <c r="AH217" s="93" t="s">
        <v>11737</v>
      </c>
      <c r="AI217" s="87" t="b">
        <v>0</v>
      </c>
      <c r="AJ217" s="87"/>
      <c r="AK217" s="87"/>
      <c r="AL217" s="87"/>
      <c r="AM217" s="87"/>
      <c r="AN217" s="87"/>
      <c r="AO217" s="87"/>
      <c r="AP217" s="87"/>
      <c r="AQ217" s="87" t="s">
        <v>15587</v>
      </c>
      <c r="AR217" s="87">
        <v>63233</v>
      </c>
      <c r="AS217" s="87"/>
      <c r="AT217" s="87"/>
      <c r="AU217" s="87"/>
      <c r="AV217" s="92" t="str">
        <f>HYPERLINK("https://pbs.twimg.com/ext_tw_video_thumb/1692936542975561728/pu/img/UVsrYyGPhQE4_lOQ.jpg")</f>
        <v>https://pbs.twimg.com/ext_tw_video_thumb/1692936542975561728/pu/img/UVsrYyGPhQE4_lOQ.jpg</v>
      </c>
      <c r="AW217" s="93" t="s">
        <v>18470</v>
      </c>
      <c r="AX217" s="93" t="s">
        <v>18470</v>
      </c>
      <c r="AY217" s="87"/>
      <c r="AZ217" s="93" t="s">
        <v>22668</v>
      </c>
      <c r="BA217" s="93" t="s">
        <v>22668</v>
      </c>
      <c r="BB217" s="93" t="s">
        <v>22668</v>
      </c>
      <c r="BC217" s="93" t="s">
        <v>18470</v>
      </c>
      <c r="BD217" s="93" t="s">
        <v>22840</v>
      </c>
      <c r="BE217" s="87"/>
      <c r="BF217" s="87"/>
      <c r="BG217" s="87"/>
      <c r="BH217" s="87"/>
      <c r="BI217" s="87"/>
    </row>
    <row r="218" spans="1:61" x14ac:dyDescent="0.25">
      <c r="A218" s="63" t="s">
        <v>303</v>
      </c>
      <c r="B218" s="63" t="s">
        <v>303</v>
      </c>
      <c r="C218" s="64"/>
      <c r="D218" s="65"/>
      <c r="E218" s="66"/>
      <c r="F218" s="67"/>
      <c r="G218" s="64"/>
      <c r="H218" s="68"/>
      <c r="I218" s="69"/>
      <c r="J218" s="69"/>
      <c r="K218" s="32"/>
      <c r="L218" s="76">
        <v>218</v>
      </c>
      <c r="M218" s="76"/>
      <c r="N218" s="71"/>
      <c r="O218" s="87" t="s">
        <v>179</v>
      </c>
      <c r="P218" s="90">
        <v>45173.815300925926</v>
      </c>
      <c r="Q218" s="87" t="s">
        <v>2055</v>
      </c>
      <c r="R218" s="87">
        <v>0</v>
      </c>
      <c r="S218" s="87">
        <v>0</v>
      </c>
      <c r="T218" s="87">
        <v>0</v>
      </c>
      <c r="U218" s="87">
        <v>0</v>
      </c>
      <c r="V218" s="87">
        <v>9</v>
      </c>
      <c r="W218" s="93" t="s">
        <v>6001</v>
      </c>
      <c r="X218" s="87"/>
      <c r="Y218" s="87"/>
      <c r="Z218" s="87"/>
      <c r="AA218" s="87" t="s">
        <v>8775</v>
      </c>
      <c r="AB218" s="87" t="s">
        <v>11448</v>
      </c>
      <c r="AC218" s="93" t="s">
        <v>11459</v>
      </c>
      <c r="AD218" s="87" t="s">
        <v>11519</v>
      </c>
      <c r="AE218" s="92" t="str">
        <f>HYPERLINK("https://twitter.com/panthermkt/status/1698781485560398076")</f>
        <v>https://twitter.com/panthermkt/status/1698781485560398076</v>
      </c>
      <c r="AF218" s="90">
        <v>45173.815300925926</v>
      </c>
      <c r="AG218" s="99">
        <v>45173</v>
      </c>
      <c r="AH218" s="93" t="s">
        <v>11738</v>
      </c>
      <c r="AI218" s="87" t="b">
        <v>0</v>
      </c>
      <c r="AJ218" s="87" t="s">
        <v>15172</v>
      </c>
      <c r="AK218" s="87" t="s">
        <v>15234</v>
      </c>
      <c r="AL218" s="87" t="s">
        <v>15237</v>
      </c>
      <c r="AM218" s="87" t="s">
        <v>15244</v>
      </c>
      <c r="AN218" s="87" t="s">
        <v>15309</v>
      </c>
      <c r="AO218" s="87" t="s">
        <v>15376</v>
      </c>
      <c r="AP218" s="87" t="s">
        <v>15438</v>
      </c>
      <c r="AQ218" s="87" t="s">
        <v>15588</v>
      </c>
      <c r="AR218" s="87"/>
      <c r="AS218" s="87"/>
      <c r="AT218" s="87"/>
      <c r="AU218" s="87"/>
      <c r="AV218" s="92" t="str">
        <f>HYPERLINK("https://pbs.twimg.com/media/F5NIwgcWwAEI9uE.jpg")</f>
        <v>https://pbs.twimg.com/media/F5NIwgcWwAEI9uE.jpg</v>
      </c>
      <c r="AW218" s="93" t="s">
        <v>18471</v>
      </c>
      <c r="AX218" s="93" t="s">
        <v>18471</v>
      </c>
      <c r="AY218" s="87"/>
      <c r="AZ218" s="93" t="s">
        <v>22668</v>
      </c>
      <c r="BA218" s="93" t="s">
        <v>22668</v>
      </c>
      <c r="BB218" s="93" t="s">
        <v>22668</v>
      </c>
      <c r="BC218" s="93" t="s">
        <v>18471</v>
      </c>
      <c r="BD218" s="93" t="s">
        <v>22840</v>
      </c>
      <c r="BE218" s="87"/>
      <c r="BF218" s="87"/>
      <c r="BG218" s="87"/>
      <c r="BH218" s="87"/>
      <c r="BI218" s="87"/>
    </row>
    <row r="219" spans="1:61" x14ac:dyDescent="0.25">
      <c r="A219" s="63" t="s">
        <v>304</v>
      </c>
      <c r="B219" s="63" t="s">
        <v>304</v>
      </c>
      <c r="C219" s="64"/>
      <c r="D219" s="65"/>
      <c r="E219" s="66"/>
      <c r="F219" s="67"/>
      <c r="G219" s="64"/>
      <c r="H219" s="68"/>
      <c r="I219" s="69"/>
      <c r="J219" s="69"/>
      <c r="K219" s="32"/>
      <c r="L219" s="76">
        <v>219</v>
      </c>
      <c r="M219" s="76"/>
      <c r="N219" s="71"/>
      <c r="O219" s="87" t="s">
        <v>179</v>
      </c>
      <c r="P219" s="90">
        <v>45181.764918981484</v>
      </c>
      <c r="Q219" s="87" t="s">
        <v>2056</v>
      </c>
      <c r="R219" s="87">
        <v>0</v>
      </c>
      <c r="S219" s="87">
        <v>2</v>
      </c>
      <c r="T219" s="87">
        <v>0</v>
      </c>
      <c r="U219" s="87">
        <v>0</v>
      </c>
      <c r="V219" s="87">
        <v>6</v>
      </c>
      <c r="W219" s="93" t="s">
        <v>6002</v>
      </c>
      <c r="X219" s="92" t="str">
        <f>HYPERLINK("https://www.basicosstore.com.br/2023/08/e-book-jardinagem-como-um-negocio.html")</f>
        <v>https://www.basicosstore.com.br/2023/08/e-book-jardinagem-como-um-negocio.html</v>
      </c>
      <c r="Y219" s="87" t="s">
        <v>8373</v>
      </c>
      <c r="Z219" s="87"/>
      <c r="AA219" s="87"/>
      <c r="AB219" s="87"/>
      <c r="AC219" s="93" t="s">
        <v>11457</v>
      </c>
      <c r="AD219" s="87" t="s">
        <v>11520</v>
      </c>
      <c r="AE219" s="92" t="str">
        <f>HYPERLINK("https://twitter.com/divulgabasicos/status/1701662328674980286")</f>
        <v>https://twitter.com/divulgabasicos/status/1701662328674980286</v>
      </c>
      <c r="AF219" s="90">
        <v>45181.764918981484</v>
      </c>
      <c r="AG219" s="99">
        <v>45181</v>
      </c>
      <c r="AH219" s="93" t="s">
        <v>11739</v>
      </c>
      <c r="AI219" s="87" t="b">
        <v>0</v>
      </c>
      <c r="AJ219" s="87"/>
      <c r="AK219" s="87"/>
      <c r="AL219" s="87"/>
      <c r="AM219" s="87"/>
      <c r="AN219" s="87"/>
      <c r="AO219" s="87"/>
      <c r="AP219" s="87"/>
      <c r="AQ219" s="87"/>
      <c r="AR219" s="87"/>
      <c r="AS219" s="87"/>
      <c r="AT219" s="87"/>
      <c r="AU219" s="87"/>
      <c r="AV219" s="92" t="str">
        <f>HYPERLINK("https://pbs.twimg.com/profile_images/1697200606312607744/JFIYrC5Z_normal.jpg")</f>
        <v>https://pbs.twimg.com/profile_images/1697200606312607744/JFIYrC5Z_normal.jpg</v>
      </c>
      <c r="AW219" s="93" t="s">
        <v>18472</v>
      </c>
      <c r="AX219" s="93" t="s">
        <v>18472</v>
      </c>
      <c r="AY219" s="87"/>
      <c r="AZ219" s="93" t="s">
        <v>22668</v>
      </c>
      <c r="BA219" s="93" t="s">
        <v>22668</v>
      </c>
      <c r="BB219" s="93" t="s">
        <v>22668</v>
      </c>
      <c r="BC219" s="93" t="s">
        <v>18472</v>
      </c>
      <c r="BD219" s="93" t="s">
        <v>22841</v>
      </c>
      <c r="BE219" s="87"/>
      <c r="BF219" s="87"/>
      <c r="BG219" s="87"/>
      <c r="BH219" s="87"/>
      <c r="BI219" s="87"/>
    </row>
    <row r="220" spans="1:61" x14ac:dyDescent="0.25">
      <c r="A220" s="63" t="s">
        <v>305</v>
      </c>
      <c r="B220" s="63" t="s">
        <v>1625</v>
      </c>
      <c r="C220" s="64"/>
      <c r="D220" s="65"/>
      <c r="E220" s="66"/>
      <c r="F220" s="67"/>
      <c r="G220" s="64"/>
      <c r="H220" s="68"/>
      <c r="I220" s="69"/>
      <c r="J220" s="69"/>
      <c r="K220" s="32"/>
      <c r="L220" s="76">
        <v>220</v>
      </c>
      <c r="M220" s="76"/>
      <c r="N220" s="71"/>
      <c r="O220" s="87" t="s">
        <v>1839</v>
      </c>
      <c r="P220" s="90">
        <v>45128.459675925929</v>
      </c>
      <c r="Q220" s="87" t="s">
        <v>2057</v>
      </c>
      <c r="R220" s="87">
        <v>0</v>
      </c>
      <c r="S220" s="87">
        <v>1</v>
      </c>
      <c r="T220" s="87">
        <v>0</v>
      </c>
      <c r="U220" s="87">
        <v>0</v>
      </c>
      <c r="V220" s="87">
        <v>75</v>
      </c>
      <c r="W220" s="93" t="s">
        <v>6003</v>
      </c>
      <c r="X220" s="87"/>
      <c r="Y220" s="87"/>
      <c r="Z220" s="87" t="s">
        <v>1625</v>
      </c>
      <c r="AA220" s="87" t="s">
        <v>8776</v>
      </c>
      <c r="AB220" s="87" t="s">
        <v>11447</v>
      </c>
      <c r="AC220" s="93" t="s">
        <v>11467</v>
      </c>
      <c r="AD220" s="87" t="s">
        <v>11519</v>
      </c>
      <c r="AE220" s="92" t="str">
        <f>HYPERLINK("https://twitter.com/bitalk_podcast/status/1682345156328972294")</f>
        <v>https://twitter.com/bitalk_podcast/status/1682345156328972294</v>
      </c>
      <c r="AF220" s="90">
        <v>45128.459675925929</v>
      </c>
      <c r="AG220" s="99">
        <v>45128</v>
      </c>
      <c r="AH220" s="93" t="s">
        <v>11740</v>
      </c>
      <c r="AI220" s="87" t="b">
        <v>0</v>
      </c>
      <c r="AJ220" s="87"/>
      <c r="AK220" s="87"/>
      <c r="AL220" s="87"/>
      <c r="AM220" s="87"/>
      <c r="AN220" s="87"/>
      <c r="AO220" s="87"/>
      <c r="AP220" s="87"/>
      <c r="AQ220" s="87" t="s">
        <v>15589</v>
      </c>
      <c r="AR220" s="87">
        <v>59646</v>
      </c>
      <c r="AS220" s="87"/>
      <c r="AT220" s="87"/>
      <c r="AU220" s="87"/>
      <c r="AV220" s="92" t="str">
        <f>HYPERLINK("https://pbs.twimg.com/ext_tw_video_thumb/1682345098007269378/pu/img/N64FCp2s7SLn1wA7.jpg")</f>
        <v>https://pbs.twimg.com/ext_tw_video_thumb/1682345098007269378/pu/img/N64FCp2s7SLn1wA7.jpg</v>
      </c>
      <c r="AW220" s="93" t="s">
        <v>18473</v>
      </c>
      <c r="AX220" s="93" t="s">
        <v>18473</v>
      </c>
      <c r="AY220" s="87"/>
      <c r="AZ220" s="93" t="s">
        <v>22668</v>
      </c>
      <c r="BA220" s="93" t="s">
        <v>22668</v>
      </c>
      <c r="BB220" s="93" t="s">
        <v>22668</v>
      </c>
      <c r="BC220" s="93" t="s">
        <v>18473</v>
      </c>
      <c r="BD220" s="93" t="s">
        <v>22842</v>
      </c>
      <c r="BE220" s="87"/>
      <c r="BF220" s="87"/>
      <c r="BG220" s="87"/>
      <c r="BH220" s="87"/>
      <c r="BI220" s="87"/>
    </row>
    <row r="221" spans="1:61" x14ac:dyDescent="0.25">
      <c r="A221" s="63" t="s">
        <v>305</v>
      </c>
      <c r="B221" s="63" t="s">
        <v>1625</v>
      </c>
      <c r="C221" s="64"/>
      <c r="D221" s="65"/>
      <c r="E221" s="66"/>
      <c r="F221" s="67"/>
      <c r="G221" s="64"/>
      <c r="H221" s="68"/>
      <c r="I221" s="69"/>
      <c r="J221" s="69"/>
      <c r="K221" s="32"/>
      <c r="L221" s="76">
        <v>221</v>
      </c>
      <c r="M221" s="76"/>
      <c r="N221" s="71"/>
      <c r="O221" s="87" t="s">
        <v>1839</v>
      </c>
      <c r="P221" s="90">
        <v>45127.699479166666</v>
      </c>
      <c r="Q221" s="87" t="s">
        <v>2058</v>
      </c>
      <c r="R221" s="87">
        <v>0</v>
      </c>
      <c r="S221" s="87">
        <v>0</v>
      </c>
      <c r="T221" s="87">
        <v>0</v>
      </c>
      <c r="U221" s="87">
        <v>0</v>
      </c>
      <c r="V221" s="87">
        <v>55</v>
      </c>
      <c r="W221" s="93" t="s">
        <v>6004</v>
      </c>
      <c r="X221" s="87"/>
      <c r="Y221" s="87"/>
      <c r="Z221" s="87" t="s">
        <v>1625</v>
      </c>
      <c r="AA221" s="87" t="s">
        <v>8777</v>
      </c>
      <c r="AB221" s="87" t="s">
        <v>11447</v>
      </c>
      <c r="AC221" s="93" t="s">
        <v>11467</v>
      </c>
      <c r="AD221" s="87" t="s">
        <v>11519</v>
      </c>
      <c r="AE221" s="92" t="str">
        <f>HYPERLINK("https://twitter.com/bitalk_podcast/status/1682069671732822017")</f>
        <v>https://twitter.com/bitalk_podcast/status/1682069671732822017</v>
      </c>
      <c r="AF221" s="90">
        <v>45127.699479166666</v>
      </c>
      <c r="AG221" s="99">
        <v>45127</v>
      </c>
      <c r="AH221" s="93" t="s">
        <v>11741</v>
      </c>
      <c r="AI221" s="87" t="b">
        <v>0</v>
      </c>
      <c r="AJ221" s="87"/>
      <c r="AK221" s="87"/>
      <c r="AL221" s="87"/>
      <c r="AM221" s="87"/>
      <c r="AN221" s="87"/>
      <c r="AO221" s="87"/>
      <c r="AP221" s="87"/>
      <c r="AQ221" s="87" t="s">
        <v>15590</v>
      </c>
      <c r="AR221" s="87">
        <v>60180</v>
      </c>
      <c r="AS221" s="87"/>
      <c r="AT221" s="87"/>
      <c r="AU221" s="87"/>
      <c r="AV221" s="92" t="str">
        <f>HYPERLINK("https://pbs.twimg.com/ext_tw_video_thumb/1682069612840599558/pu/img/Dabo_kHsjMNaq4VF.jpg")</f>
        <v>https://pbs.twimg.com/ext_tw_video_thumb/1682069612840599558/pu/img/Dabo_kHsjMNaq4VF.jpg</v>
      </c>
      <c r="AW221" s="93" t="s">
        <v>18474</v>
      </c>
      <c r="AX221" s="93" t="s">
        <v>18474</v>
      </c>
      <c r="AY221" s="87"/>
      <c r="AZ221" s="93" t="s">
        <v>22668</v>
      </c>
      <c r="BA221" s="93" t="s">
        <v>22668</v>
      </c>
      <c r="BB221" s="93" t="s">
        <v>22668</v>
      </c>
      <c r="BC221" s="93" t="s">
        <v>18474</v>
      </c>
      <c r="BD221" s="93" t="s">
        <v>22842</v>
      </c>
      <c r="BE221" s="87"/>
      <c r="BF221" s="87"/>
      <c r="BG221" s="87"/>
      <c r="BH221" s="87"/>
      <c r="BI221" s="87"/>
    </row>
    <row r="222" spans="1:61" x14ac:dyDescent="0.25">
      <c r="A222" s="63" t="s">
        <v>305</v>
      </c>
      <c r="B222" s="63" t="s">
        <v>1625</v>
      </c>
      <c r="C222" s="64"/>
      <c r="D222" s="65"/>
      <c r="E222" s="66"/>
      <c r="F222" s="67"/>
      <c r="G222" s="64"/>
      <c r="H222" s="68"/>
      <c r="I222" s="69"/>
      <c r="J222" s="69"/>
      <c r="K222" s="32"/>
      <c r="L222" s="76">
        <v>222</v>
      </c>
      <c r="M222" s="76"/>
      <c r="N222" s="71"/>
      <c r="O222" s="87" t="s">
        <v>1839</v>
      </c>
      <c r="P222" s="90">
        <v>45127.459988425922</v>
      </c>
      <c r="Q222" s="87" t="s">
        <v>2059</v>
      </c>
      <c r="R222" s="87">
        <v>0</v>
      </c>
      <c r="S222" s="87">
        <v>0</v>
      </c>
      <c r="T222" s="87">
        <v>1</v>
      </c>
      <c r="U222" s="87">
        <v>0</v>
      </c>
      <c r="V222" s="87">
        <v>44</v>
      </c>
      <c r="W222" s="93" t="s">
        <v>6005</v>
      </c>
      <c r="X222" s="87"/>
      <c r="Y222" s="87"/>
      <c r="Z222" s="87" t="s">
        <v>1625</v>
      </c>
      <c r="AA222" s="87" t="s">
        <v>8778</v>
      </c>
      <c r="AB222" s="87" t="s">
        <v>11447</v>
      </c>
      <c r="AC222" s="93" t="s">
        <v>11467</v>
      </c>
      <c r="AD222" s="87" t="s">
        <v>11519</v>
      </c>
      <c r="AE222" s="92" t="str">
        <f>HYPERLINK("https://twitter.com/bitalk_podcast/status/1681982881831190528")</f>
        <v>https://twitter.com/bitalk_podcast/status/1681982881831190528</v>
      </c>
      <c r="AF222" s="90">
        <v>45127.459988425922</v>
      </c>
      <c r="AG222" s="99">
        <v>45127</v>
      </c>
      <c r="AH222" s="93" t="s">
        <v>11742</v>
      </c>
      <c r="AI222" s="87" t="b">
        <v>0</v>
      </c>
      <c r="AJ222" s="87"/>
      <c r="AK222" s="87"/>
      <c r="AL222" s="87"/>
      <c r="AM222" s="87"/>
      <c r="AN222" s="87"/>
      <c r="AO222" s="87"/>
      <c r="AP222" s="87"/>
      <c r="AQ222" s="87" t="s">
        <v>15591</v>
      </c>
      <c r="AR222" s="87">
        <v>66986</v>
      </c>
      <c r="AS222" s="87"/>
      <c r="AT222" s="87"/>
      <c r="AU222" s="87"/>
      <c r="AV222" s="92" t="str">
        <f>HYPERLINK("https://pbs.twimg.com/ext_tw_video_thumb/1681982822431555586/pu/img/hwxhD_Srou_D7lxl.jpg")</f>
        <v>https://pbs.twimg.com/ext_tw_video_thumb/1681982822431555586/pu/img/hwxhD_Srou_D7lxl.jpg</v>
      </c>
      <c r="AW222" s="93" t="s">
        <v>18475</v>
      </c>
      <c r="AX222" s="93" t="s">
        <v>18475</v>
      </c>
      <c r="AY222" s="87"/>
      <c r="AZ222" s="93" t="s">
        <v>22668</v>
      </c>
      <c r="BA222" s="93" t="s">
        <v>22668</v>
      </c>
      <c r="BB222" s="93" t="s">
        <v>22668</v>
      </c>
      <c r="BC222" s="93" t="s">
        <v>18475</v>
      </c>
      <c r="BD222" s="93" t="s">
        <v>22842</v>
      </c>
      <c r="BE222" s="87"/>
      <c r="BF222" s="87"/>
      <c r="BG222" s="87"/>
      <c r="BH222" s="87"/>
      <c r="BI222" s="87"/>
    </row>
    <row r="223" spans="1:61" x14ac:dyDescent="0.25">
      <c r="A223" s="63" t="s">
        <v>305</v>
      </c>
      <c r="B223" s="63" t="s">
        <v>1625</v>
      </c>
      <c r="C223" s="64"/>
      <c r="D223" s="65"/>
      <c r="E223" s="66"/>
      <c r="F223" s="67"/>
      <c r="G223" s="64"/>
      <c r="H223" s="68"/>
      <c r="I223" s="69"/>
      <c r="J223" s="69"/>
      <c r="K223" s="32"/>
      <c r="L223" s="76">
        <v>223</v>
      </c>
      <c r="M223" s="76"/>
      <c r="N223" s="71"/>
      <c r="O223" s="87" t="s">
        <v>1839</v>
      </c>
      <c r="P223" s="90">
        <v>45121.459618055553</v>
      </c>
      <c r="Q223" s="87" t="s">
        <v>2060</v>
      </c>
      <c r="R223" s="87">
        <v>0</v>
      </c>
      <c r="S223" s="87">
        <v>1</v>
      </c>
      <c r="T223" s="87">
        <v>0</v>
      </c>
      <c r="U223" s="87">
        <v>0</v>
      </c>
      <c r="V223" s="87">
        <v>59</v>
      </c>
      <c r="W223" s="93" t="s">
        <v>6006</v>
      </c>
      <c r="X223" s="87"/>
      <c r="Y223" s="87"/>
      <c r="Z223" s="87" t="s">
        <v>1625</v>
      </c>
      <c r="AA223" s="87" t="s">
        <v>8779</v>
      </c>
      <c r="AB223" s="87" t="s">
        <v>11447</v>
      </c>
      <c r="AC223" s="93" t="s">
        <v>11467</v>
      </c>
      <c r="AD223" s="87" t="s">
        <v>11519</v>
      </c>
      <c r="AE223" s="92" t="str">
        <f>HYPERLINK("https://twitter.com/bitalk_podcast/status/1679808420931678208")</f>
        <v>https://twitter.com/bitalk_podcast/status/1679808420931678208</v>
      </c>
      <c r="AF223" s="90">
        <v>45121.459618055553</v>
      </c>
      <c r="AG223" s="99">
        <v>45121</v>
      </c>
      <c r="AH223" s="93" t="s">
        <v>11743</v>
      </c>
      <c r="AI223" s="87" t="b">
        <v>0</v>
      </c>
      <c r="AJ223" s="87"/>
      <c r="AK223" s="87"/>
      <c r="AL223" s="87"/>
      <c r="AM223" s="87"/>
      <c r="AN223" s="87"/>
      <c r="AO223" s="87"/>
      <c r="AP223" s="87"/>
      <c r="AQ223" s="87" t="s">
        <v>15592</v>
      </c>
      <c r="AR223" s="87">
        <v>72916</v>
      </c>
      <c r="AS223" s="87"/>
      <c r="AT223" s="87"/>
      <c r="AU223" s="87"/>
      <c r="AV223" s="92" t="str">
        <f>HYPERLINK("https://pbs.twimg.com/ext_tw_video_thumb/1679808361083072521/pu/img/kgRV2rQYGvSaY_JG.jpg")</f>
        <v>https://pbs.twimg.com/ext_tw_video_thumb/1679808361083072521/pu/img/kgRV2rQYGvSaY_JG.jpg</v>
      </c>
      <c r="AW223" s="93" t="s">
        <v>18476</v>
      </c>
      <c r="AX223" s="93" t="s">
        <v>18476</v>
      </c>
      <c r="AY223" s="87"/>
      <c r="AZ223" s="93" t="s">
        <v>22668</v>
      </c>
      <c r="BA223" s="93" t="s">
        <v>22668</v>
      </c>
      <c r="BB223" s="93" t="s">
        <v>22668</v>
      </c>
      <c r="BC223" s="93" t="s">
        <v>18476</v>
      </c>
      <c r="BD223" s="93" t="s">
        <v>22842</v>
      </c>
      <c r="BE223" s="87"/>
      <c r="BF223" s="87"/>
      <c r="BG223" s="87"/>
      <c r="BH223" s="87"/>
      <c r="BI223" s="87"/>
    </row>
    <row r="224" spans="1:61" x14ac:dyDescent="0.25">
      <c r="A224" s="63" t="s">
        <v>305</v>
      </c>
      <c r="B224" s="63" t="s">
        <v>1625</v>
      </c>
      <c r="C224" s="64"/>
      <c r="D224" s="65"/>
      <c r="E224" s="66"/>
      <c r="F224" s="67"/>
      <c r="G224" s="64"/>
      <c r="H224" s="68"/>
      <c r="I224" s="69"/>
      <c r="J224" s="69"/>
      <c r="K224" s="32"/>
      <c r="L224" s="76">
        <v>224</v>
      </c>
      <c r="M224" s="76"/>
      <c r="N224" s="71"/>
      <c r="O224" s="87" t="s">
        <v>1839</v>
      </c>
      <c r="P224" s="90">
        <v>45120.459189814814</v>
      </c>
      <c r="Q224" s="87" t="s">
        <v>2061</v>
      </c>
      <c r="R224" s="87">
        <v>0</v>
      </c>
      <c r="S224" s="87">
        <v>0</v>
      </c>
      <c r="T224" s="87">
        <v>0</v>
      </c>
      <c r="U224" s="87">
        <v>0</v>
      </c>
      <c r="V224" s="87">
        <v>48</v>
      </c>
      <c r="W224" s="93" t="s">
        <v>6007</v>
      </c>
      <c r="X224" s="87"/>
      <c r="Y224" s="87"/>
      <c r="Z224" s="87" t="s">
        <v>1625</v>
      </c>
      <c r="AA224" s="87" t="s">
        <v>8780</v>
      </c>
      <c r="AB224" s="87" t="s">
        <v>11447</v>
      </c>
      <c r="AC224" s="93" t="s">
        <v>11467</v>
      </c>
      <c r="AD224" s="87" t="s">
        <v>11519</v>
      </c>
      <c r="AE224" s="92" t="str">
        <f>HYPERLINK("https://twitter.com/bitalk_podcast/status/1679445876509495298")</f>
        <v>https://twitter.com/bitalk_podcast/status/1679445876509495298</v>
      </c>
      <c r="AF224" s="90">
        <v>45120.459189814814</v>
      </c>
      <c r="AG224" s="99">
        <v>45120</v>
      </c>
      <c r="AH224" s="93" t="s">
        <v>11744</v>
      </c>
      <c r="AI224" s="87" t="b">
        <v>0</v>
      </c>
      <c r="AJ224" s="87"/>
      <c r="AK224" s="87"/>
      <c r="AL224" s="87"/>
      <c r="AM224" s="87"/>
      <c r="AN224" s="87"/>
      <c r="AO224" s="87"/>
      <c r="AP224" s="87"/>
      <c r="AQ224" s="87" t="s">
        <v>15593</v>
      </c>
      <c r="AR224" s="87">
        <v>19753</v>
      </c>
      <c r="AS224" s="87"/>
      <c r="AT224" s="87"/>
      <c r="AU224" s="87"/>
      <c r="AV224" s="92" t="str">
        <f>HYPERLINK("https://pbs.twimg.com/ext_tw_video_thumb/1679445839381516288/pu/img/pbRZduJFq2nNay-c.jpg")</f>
        <v>https://pbs.twimg.com/ext_tw_video_thumb/1679445839381516288/pu/img/pbRZduJFq2nNay-c.jpg</v>
      </c>
      <c r="AW224" s="93" t="s">
        <v>18477</v>
      </c>
      <c r="AX224" s="93" t="s">
        <v>18477</v>
      </c>
      <c r="AY224" s="87"/>
      <c r="AZ224" s="93" t="s">
        <v>22668</v>
      </c>
      <c r="BA224" s="93" t="s">
        <v>22668</v>
      </c>
      <c r="BB224" s="93" t="s">
        <v>22668</v>
      </c>
      <c r="BC224" s="93" t="s">
        <v>18477</v>
      </c>
      <c r="BD224" s="93" t="s">
        <v>22842</v>
      </c>
      <c r="BE224" s="87"/>
      <c r="BF224" s="87"/>
      <c r="BG224" s="87"/>
      <c r="BH224" s="87"/>
      <c r="BI224" s="87"/>
    </row>
    <row r="225" spans="1:61" x14ac:dyDescent="0.25">
      <c r="A225" s="63" t="s">
        <v>305</v>
      </c>
      <c r="B225" s="63" t="s">
        <v>1625</v>
      </c>
      <c r="C225" s="64"/>
      <c r="D225" s="65"/>
      <c r="E225" s="66"/>
      <c r="F225" s="67"/>
      <c r="G225" s="64"/>
      <c r="H225" s="68"/>
      <c r="I225" s="69"/>
      <c r="J225" s="69"/>
      <c r="K225" s="32"/>
      <c r="L225" s="76">
        <v>225</v>
      </c>
      <c r="M225" s="76"/>
      <c r="N225" s="71"/>
      <c r="O225" s="87" t="s">
        <v>1839</v>
      </c>
      <c r="P225" s="90">
        <v>45118.860520833332</v>
      </c>
      <c r="Q225" s="87" t="s">
        <v>2062</v>
      </c>
      <c r="R225" s="87">
        <v>0</v>
      </c>
      <c r="S225" s="87">
        <v>0</v>
      </c>
      <c r="T225" s="87">
        <v>0</v>
      </c>
      <c r="U225" s="87">
        <v>0</v>
      </c>
      <c r="V225" s="87">
        <v>47</v>
      </c>
      <c r="W225" s="93" t="s">
        <v>6008</v>
      </c>
      <c r="X225" s="87"/>
      <c r="Y225" s="87"/>
      <c r="Z225" s="87" t="s">
        <v>1625</v>
      </c>
      <c r="AA225" s="87" t="s">
        <v>8781</v>
      </c>
      <c r="AB225" s="87" t="s">
        <v>11447</v>
      </c>
      <c r="AC225" s="93" t="s">
        <v>11467</v>
      </c>
      <c r="AD225" s="87" t="s">
        <v>11519</v>
      </c>
      <c r="AE225" s="92" t="str">
        <f>HYPERLINK("https://twitter.com/bitalk_podcast/status/1678866538718277635")</f>
        <v>https://twitter.com/bitalk_podcast/status/1678866538718277635</v>
      </c>
      <c r="AF225" s="90">
        <v>45118.860520833332</v>
      </c>
      <c r="AG225" s="99">
        <v>45118</v>
      </c>
      <c r="AH225" s="93" t="s">
        <v>11745</v>
      </c>
      <c r="AI225" s="87" t="b">
        <v>0</v>
      </c>
      <c r="AJ225" s="87"/>
      <c r="AK225" s="87"/>
      <c r="AL225" s="87"/>
      <c r="AM225" s="87"/>
      <c r="AN225" s="87"/>
      <c r="AO225" s="87"/>
      <c r="AP225" s="87"/>
      <c r="AQ225" s="87" t="s">
        <v>15594</v>
      </c>
      <c r="AR225" s="87">
        <v>51626</v>
      </c>
      <c r="AS225" s="87"/>
      <c r="AT225" s="87"/>
      <c r="AU225" s="87"/>
      <c r="AV225" s="92" t="str">
        <f>HYPERLINK("https://pbs.twimg.com/ext_tw_video_thumb/1678866503024640001/pu/img/JgJuX2v94NaKIBHV.jpg")</f>
        <v>https://pbs.twimg.com/ext_tw_video_thumb/1678866503024640001/pu/img/JgJuX2v94NaKIBHV.jpg</v>
      </c>
      <c r="AW225" s="93" t="s">
        <v>18478</v>
      </c>
      <c r="AX225" s="93" t="s">
        <v>18478</v>
      </c>
      <c r="AY225" s="87"/>
      <c r="AZ225" s="93" t="s">
        <v>22668</v>
      </c>
      <c r="BA225" s="93" t="s">
        <v>22668</v>
      </c>
      <c r="BB225" s="93" t="s">
        <v>22668</v>
      </c>
      <c r="BC225" s="93" t="s">
        <v>18478</v>
      </c>
      <c r="BD225" s="93" t="s">
        <v>22842</v>
      </c>
      <c r="BE225" s="87"/>
      <c r="BF225" s="87"/>
      <c r="BG225" s="87"/>
      <c r="BH225" s="87"/>
      <c r="BI225" s="87"/>
    </row>
    <row r="226" spans="1:61" x14ac:dyDescent="0.25">
      <c r="A226" s="63" t="s">
        <v>305</v>
      </c>
      <c r="B226" s="63" t="s">
        <v>1625</v>
      </c>
      <c r="C226" s="64"/>
      <c r="D226" s="65"/>
      <c r="E226" s="66"/>
      <c r="F226" s="67"/>
      <c r="G226" s="64"/>
      <c r="H226" s="68"/>
      <c r="I226" s="69"/>
      <c r="J226" s="69"/>
      <c r="K226" s="32"/>
      <c r="L226" s="76">
        <v>226</v>
      </c>
      <c r="M226" s="76"/>
      <c r="N226" s="71"/>
      <c r="O226" s="87" t="s">
        <v>1839</v>
      </c>
      <c r="P226" s="90">
        <v>45118.699340277781</v>
      </c>
      <c r="Q226" s="87" t="s">
        <v>2063</v>
      </c>
      <c r="R226" s="87">
        <v>0</v>
      </c>
      <c r="S226" s="87">
        <v>2</v>
      </c>
      <c r="T226" s="87">
        <v>0</v>
      </c>
      <c r="U226" s="87">
        <v>0</v>
      </c>
      <c r="V226" s="87">
        <v>82</v>
      </c>
      <c r="W226" s="93" t="s">
        <v>6009</v>
      </c>
      <c r="X226" s="87"/>
      <c r="Y226" s="87"/>
      <c r="Z226" s="87" t="s">
        <v>1625</v>
      </c>
      <c r="AA226" s="87" t="s">
        <v>8782</v>
      </c>
      <c r="AB226" s="87" t="s">
        <v>11450</v>
      </c>
      <c r="AC226" s="93" t="s">
        <v>11467</v>
      </c>
      <c r="AD226" s="87" t="s">
        <v>11519</v>
      </c>
      <c r="AE226" s="92" t="str">
        <f>HYPERLINK("https://twitter.com/bitalk_podcast/status/1678808128215830529")</f>
        <v>https://twitter.com/bitalk_podcast/status/1678808128215830529</v>
      </c>
      <c r="AF226" s="90">
        <v>45118.699340277781</v>
      </c>
      <c r="AG226" s="99">
        <v>45118</v>
      </c>
      <c r="AH226" s="93" t="s">
        <v>11746</v>
      </c>
      <c r="AI226" s="87" t="b">
        <v>0</v>
      </c>
      <c r="AJ226" s="87"/>
      <c r="AK226" s="87"/>
      <c r="AL226" s="87"/>
      <c r="AM226" s="87"/>
      <c r="AN226" s="87"/>
      <c r="AO226" s="87"/>
      <c r="AP226" s="87"/>
      <c r="AQ226" s="87" t="s">
        <v>15595</v>
      </c>
      <c r="AR226" s="87"/>
      <c r="AS226" s="87"/>
      <c r="AT226" s="87"/>
      <c r="AU226" s="87"/>
      <c r="AV226" s="92" t="str">
        <f>HYPERLINK("https://pbs.twimg.com/media/F0xTFrnWAAEW-3n.jpg")</f>
        <v>https://pbs.twimg.com/media/F0xTFrnWAAEW-3n.jpg</v>
      </c>
      <c r="AW226" s="93" t="s">
        <v>18479</v>
      </c>
      <c r="AX226" s="93" t="s">
        <v>18479</v>
      </c>
      <c r="AY226" s="87"/>
      <c r="AZ226" s="93" t="s">
        <v>22668</v>
      </c>
      <c r="BA226" s="93" t="s">
        <v>22668</v>
      </c>
      <c r="BB226" s="93" t="s">
        <v>22668</v>
      </c>
      <c r="BC226" s="93" t="s">
        <v>18479</v>
      </c>
      <c r="BD226" s="93" t="s">
        <v>22842</v>
      </c>
      <c r="BE226" s="87"/>
      <c r="BF226" s="87"/>
      <c r="BG226" s="87"/>
      <c r="BH226" s="87"/>
      <c r="BI226" s="87"/>
    </row>
    <row r="227" spans="1:61" x14ac:dyDescent="0.25">
      <c r="A227" s="63" t="s">
        <v>305</v>
      </c>
      <c r="B227" s="63" t="s">
        <v>1625</v>
      </c>
      <c r="C227" s="64"/>
      <c r="D227" s="65"/>
      <c r="E227" s="66"/>
      <c r="F227" s="67"/>
      <c r="G227" s="64"/>
      <c r="H227" s="68"/>
      <c r="I227" s="69"/>
      <c r="J227" s="69"/>
      <c r="K227" s="32"/>
      <c r="L227" s="76">
        <v>227</v>
      </c>
      <c r="M227" s="76"/>
      <c r="N227" s="71"/>
      <c r="O227" s="87" t="s">
        <v>1839</v>
      </c>
      <c r="P227" s="90">
        <v>45111.699456018519</v>
      </c>
      <c r="Q227" s="87" t="s">
        <v>2064</v>
      </c>
      <c r="R227" s="87">
        <v>0</v>
      </c>
      <c r="S227" s="87">
        <v>0</v>
      </c>
      <c r="T227" s="87">
        <v>0</v>
      </c>
      <c r="U227" s="87">
        <v>0</v>
      </c>
      <c r="V227" s="87">
        <v>54</v>
      </c>
      <c r="W227" s="93" t="s">
        <v>6010</v>
      </c>
      <c r="X227" s="87"/>
      <c r="Y227" s="87"/>
      <c r="Z227" s="87" t="s">
        <v>1625</v>
      </c>
      <c r="AA227" s="87" t="s">
        <v>8783</v>
      </c>
      <c r="AB227" s="87" t="s">
        <v>11447</v>
      </c>
      <c r="AC227" s="93" t="s">
        <v>11467</v>
      </c>
      <c r="AD227" s="87" t="s">
        <v>11519</v>
      </c>
      <c r="AE227" s="92" t="str">
        <f>HYPERLINK("https://twitter.com/bitalk_podcast/status/1676271458371215362")</f>
        <v>https://twitter.com/bitalk_podcast/status/1676271458371215362</v>
      </c>
      <c r="AF227" s="90">
        <v>45111.699456018519</v>
      </c>
      <c r="AG227" s="99">
        <v>45111</v>
      </c>
      <c r="AH227" s="93" t="s">
        <v>11747</v>
      </c>
      <c r="AI227" s="87" t="b">
        <v>0</v>
      </c>
      <c r="AJ227" s="87"/>
      <c r="AK227" s="87"/>
      <c r="AL227" s="87"/>
      <c r="AM227" s="87"/>
      <c r="AN227" s="87"/>
      <c r="AO227" s="87"/>
      <c r="AP227" s="87"/>
      <c r="AQ227" s="87" t="s">
        <v>15596</v>
      </c>
      <c r="AR227" s="87">
        <v>45290</v>
      </c>
      <c r="AS227" s="87"/>
      <c r="AT227" s="87"/>
      <c r="AU227" s="87"/>
      <c r="AV227" s="92" t="str">
        <f>HYPERLINK("https://pbs.twimg.com/ext_tw_video_thumb/1676271404877053952/pu/img/gz7HskrkFIF7_sMV.jpg")</f>
        <v>https://pbs.twimg.com/ext_tw_video_thumb/1676271404877053952/pu/img/gz7HskrkFIF7_sMV.jpg</v>
      </c>
      <c r="AW227" s="93" t="s">
        <v>18480</v>
      </c>
      <c r="AX227" s="93" t="s">
        <v>18480</v>
      </c>
      <c r="AY227" s="87"/>
      <c r="AZ227" s="93" t="s">
        <v>22668</v>
      </c>
      <c r="BA227" s="93" t="s">
        <v>22668</v>
      </c>
      <c r="BB227" s="93" t="s">
        <v>22668</v>
      </c>
      <c r="BC227" s="93" t="s">
        <v>18480</v>
      </c>
      <c r="BD227" s="93" t="s">
        <v>22842</v>
      </c>
      <c r="BE227" s="87"/>
      <c r="BF227" s="87"/>
      <c r="BG227" s="87"/>
      <c r="BH227" s="87"/>
      <c r="BI227" s="87"/>
    </row>
    <row r="228" spans="1:61" x14ac:dyDescent="0.25">
      <c r="A228" s="63" t="s">
        <v>305</v>
      </c>
      <c r="B228" s="63" t="s">
        <v>1625</v>
      </c>
      <c r="C228" s="64"/>
      <c r="D228" s="65"/>
      <c r="E228" s="66"/>
      <c r="F228" s="67"/>
      <c r="G228" s="64"/>
      <c r="H228" s="68"/>
      <c r="I228" s="69"/>
      <c r="J228" s="69"/>
      <c r="K228" s="32"/>
      <c r="L228" s="76">
        <v>228</v>
      </c>
      <c r="M228" s="76"/>
      <c r="N228" s="71"/>
      <c r="O228" s="87" t="s">
        <v>1839</v>
      </c>
      <c r="P228" s="90">
        <v>45111.460393518515</v>
      </c>
      <c r="Q228" s="87" t="s">
        <v>2065</v>
      </c>
      <c r="R228" s="87">
        <v>0</v>
      </c>
      <c r="S228" s="87">
        <v>2</v>
      </c>
      <c r="T228" s="87">
        <v>0</v>
      </c>
      <c r="U228" s="87">
        <v>0</v>
      </c>
      <c r="V228" s="87">
        <v>70</v>
      </c>
      <c r="W228" s="93" t="s">
        <v>6011</v>
      </c>
      <c r="X228" s="87"/>
      <c r="Y228" s="87"/>
      <c r="Z228" s="87" t="s">
        <v>1625</v>
      </c>
      <c r="AA228" s="87" t="s">
        <v>8784</v>
      </c>
      <c r="AB228" s="87" t="s">
        <v>11450</v>
      </c>
      <c r="AC228" s="93" t="s">
        <v>11467</v>
      </c>
      <c r="AD228" s="87" t="s">
        <v>11519</v>
      </c>
      <c r="AE228" s="92" t="str">
        <f>HYPERLINK("https://twitter.com/bitalk_podcast/status/1676184825214976003")</f>
        <v>https://twitter.com/bitalk_podcast/status/1676184825214976003</v>
      </c>
      <c r="AF228" s="90">
        <v>45111.460393518515</v>
      </c>
      <c r="AG228" s="99">
        <v>45111</v>
      </c>
      <c r="AH228" s="93" t="s">
        <v>11748</v>
      </c>
      <c r="AI228" s="87" t="b">
        <v>0</v>
      </c>
      <c r="AJ228" s="87"/>
      <c r="AK228" s="87"/>
      <c r="AL228" s="87"/>
      <c r="AM228" s="87"/>
      <c r="AN228" s="87"/>
      <c r="AO228" s="87"/>
      <c r="AP228" s="87"/>
      <c r="AQ228" s="87" t="s">
        <v>15597</v>
      </c>
      <c r="AR228" s="87"/>
      <c r="AS228" s="87"/>
      <c r="AT228" s="87"/>
      <c r="AU228" s="87"/>
      <c r="AV228" s="92" t="str">
        <f>HYPERLINK("https://pbs.twimg.com/media/F0MBNQIXwAIfZ6u.jpg")</f>
        <v>https://pbs.twimg.com/media/F0MBNQIXwAIfZ6u.jpg</v>
      </c>
      <c r="AW228" s="93" t="s">
        <v>18481</v>
      </c>
      <c r="AX228" s="93" t="s">
        <v>18481</v>
      </c>
      <c r="AY228" s="87"/>
      <c r="AZ228" s="93" t="s">
        <v>22668</v>
      </c>
      <c r="BA228" s="93" t="s">
        <v>22668</v>
      </c>
      <c r="BB228" s="93" t="s">
        <v>22668</v>
      </c>
      <c r="BC228" s="93" t="s">
        <v>18481</v>
      </c>
      <c r="BD228" s="93" t="s">
        <v>22842</v>
      </c>
      <c r="BE228" s="87"/>
      <c r="BF228" s="87"/>
      <c r="BG228" s="87"/>
      <c r="BH228" s="87"/>
      <c r="BI228" s="87"/>
    </row>
    <row r="229" spans="1:61" x14ac:dyDescent="0.25">
      <c r="A229" s="63" t="s">
        <v>305</v>
      </c>
      <c r="B229" s="63" t="s">
        <v>1625</v>
      </c>
      <c r="C229" s="64"/>
      <c r="D229" s="65"/>
      <c r="E229" s="66"/>
      <c r="F229" s="67"/>
      <c r="G229" s="64"/>
      <c r="H229" s="68"/>
      <c r="I229" s="69"/>
      <c r="J229" s="69"/>
      <c r="K229" s="32"/>
      <c r="L229" s="76">
        <v>229</v>
      </c>
      <c r="M229" s="76"/>
      <c r="N229" s="71"/>
      <c r="O229" s="87" t="s">
        <v>1839</v>
      </c>
      <c r="P229" s="90">
        <v>45133.460312499999</v>
      </c>
      <c r="Q229" s="87" t="s">
        <v>2066</v>
      </c>
      <c r="R229" s="87">
        <v>0</v>
      </c>
      <c r="S229" s="87">
        <v>2</v>
      </c>
      <c r="T229" s="87">
        <v>0</v>
      </c>
      <c r="U229" s="87">
        <v>1</v>
      </c>
      <c r="V229" s="87">
        <v>166</v>
      </c>
      <c r="W229" s="93" t="s">
        <v>6012</v>
      </c>
      <c r="X229" s="87"/>
      <c r="Y229" s="87"/>
      <c r="Z229" s="87" t="s">
        <v>1625</v>
      </c>
      <c r="AA229" s="87" t="s">
        <v>8785</v>
      </c>
      <c r="AB229" s="87" t="s">
        <v>11447</v>
      </c>
      <c r="AC229" s="93" t="s">
        <v>11467</v>
      </c>
      <c r="AD229" s="87" t="s">
        <v>11519</v>
      </c>
      <c r="AE229" s="92" t="str">
        <f>HYPERLINK("https://twitter.com/bitalk_podcast/status/1684157328289828864")</f>
        <v>https://twitter.com/bitalk_podcast/status/1684157328289828864</v>
      </c>
      <c r="AF229" s="90">
        <v>45133.460312499999</v>
      </c>
      <c r="AG229" s="99">
        <v>45133</v>
      </c>
      <c r="AH229" s="93" t="s">
        <v>11749</v>
      </c>
      <c r="AI229" s="87" t="b">
        <v>0</v>
      </c>
      <c r="AJ229" s="87"/>
      <c r="AK229" s="87"/>
      <c r="AL229" s="87"/>
      <c r="AM229" s="87"/>
      <c r="AN229" s="87"/>
      <c r="AO229" s="87"/>
      <c r="AP229" s="87"/>
      <c r="AQ229" s="87" t="s">
        <v>15598</v>
      </c>
      <c r="AR229" s="87">
        <v>81045</v>
      </c>
      <c r="AS229" s="87"/>
      <c r="AT229" s="87"/>
      <c r="AU229" s="87"/>
      <c r="AV229" s="92" t="str">
        <f>HYPERLINK("https://pbs.twimg.com/ext_tw_video_thumb/1684157284652404737/pu/img/WRzRryXt-vYMBUt0.jpg")</f>
        <v>https://pbs.twimg.com/ext_tw_video_thumb/1684157284652404737/pu/img/WRzRryXt-vYMBUt0.jpg</v>
      </c>
      <c r="AW229" s="93" t="s">
        <v>18482</v>
      </c>
      <c r="AX229" s="93" t="s">
        <v>18482</v>
      </c>
      <c r="AY229" s="87"/>
      <c r="AZ229" s="93" t="s">
        <v>22668</v>
      </c>
      <c r="BA229" s="93" t="s">
        <v>22668</v>
      </c>
      <c r="BB229" s="93" t="s">
        <v>22668</v>
      </c>
      <c r="BC229" s="93" t="s">
        <v>18482</v>
      </c>
      <c r="BD229" s="93" t="s">
        <v>22842</v>
      </c>
      <c r="BE229" s="87"/>
      <c r="BF229" s="87"/>
      <c r="BG229" s="87"/>
      <c r="BH229" s="87"/>
      <c r="BI229" s="87"/>
    </row>
    <row r="230" spans="1:61" x14ac:dyDescent="0.25">
      <c r="A230" s="63" t="s">
        <v>305</v>
      </c>
      <c r="B230" s="63" t="s">
        <v>1625</v>
      </c>
      <c r="C230" s="64"/>
      <c r="D230" s="65"/>
      <c r="E230" s="66"/>
      <c r="F230" s="67"/>
      <c r="G230" s="64"/>
      <c r="H230" s="68"/>
      <c r="I230" s="69"/>
      <c r="J230" s="69"/>
      <c r="K230" s="32"/>
      <c r="L230" s="76">
        <v>230</v>
      </c>
      <c r="M230" s="76"/>
      <c r="N230" s="71"/>
      <c r="O230" s="87" t="s">
        <v>1839</v>
      </c>
      <c r="P230" s="90">
        <v>45131.699502314812</v>
      </c>
      <c r="Q230" s="87" t="s">
        <v>2067</v>
      </c>
      <c r="R230" s="87">
        <v>0</v>
      </c>
      <c r="S230" s="87">
        <v>2</v>
      </c>
      <c r="T230" s="87">
        <v>0</v>
      </c>
      <c r="U230" s="87">
        <v>0</v>
      </c>
      <c r="V230" s="87">
        <v>78</v>
      </c>
      <c r="W230" s="93" t="s">
        <v>6013</v>
      </c>
      <c r="X230" s="87"/>
      <c r="Y230" s="87"/>
      <c r="Z230" s="87" t="s">
        <v>1625</v>
      </c>
      <c r="AA230" s="87" t="s">
        <v>8786</v>
      </c>
      <c r="AB230" s="87" t="s">
        <v>11447</v>
      </c>
      <c r="AC230" s="93" t="s">
        <v>11467</v>
      </c>
      <c r="AD230" s="87" t="s">
        <v>11519</v>
      </c>
      <c r="AE230" s="92" t="str">
        <f>HYPERLINK("https://twitter.com/bitalk_podcast/status/1683519231847985153")</f>
        <v>https://twitter.com/bitalk_podcast/status/1683519231847985153</v>
      </c>
      <c r="AF230" s="90">
        <v>45131.699502314812</v>
      </c>
      <c r="AG230" s="99">
        <v>45131</v>
      </c>
      <c r="AH230" s="93" t="s">
        <v>11750</v>
      </c>
      <c r="AI230" s="87" t="b">
        <v>0</v>
      </c>
      <c r="AJ230" s="87"/>
      <c r="AK230" s="87"/>
      <c r="AL230" s="87"/>
      <c r="AM230" s="87"/>
      <c r="AN230" s="87"/>
      <c r="AO230" s="87"/>
      <c r="AP230" s="87"/>
      <c r="AQ230" s="87" t="s">
        <v>15599</v>
      </c>
      <c r="AR230" s="87">
        <v>70293</v>
      </c>
      <c r="AS230" s="87"/>
      <c r="AT230" s="87"/>
      <c r="AU230" s="87"/>
      <c r="AV230" s="92" t="str">
        <f>HYPERLINK("https://pbs.twimg.com/ext_tw_video_thumb/1683519161517973504/pu/img/tauCNH9bVHs21Qm-.jpg")</f>
        <v>https://pbs.twimg.com/ext_tw_video_thumb/1683519161517973504/pu/img/tauCNH9bVHs21Qm-.jpg</v>
      </c>
      <c r="AW230" s="93" t="s">
        <v>18483</v>
      </c>
      <c r="AX230" s="93" t="s">
        <v>18483</v>
      </c>
      <c r="AY230" s="87"/>
      <c r="AZ230" s="93" t="s">
        <v>22668</v>
      </c>
      <c r="BA230" s="93" t="s">
        <v>22668</v>
      </c>
      <c r="BB230" s="93" t="s">
        <v>22668</v>
      </c>
      <c r="BC230" s="93" t="s">
        <v>18483</v>
      </c>
      <c r="BD230" s="93" t="s">
        <v>22842</v>
      </c>
      <c r="BE230" s="87"/>
      <c r="BF230" s="87"/>
      <c r="BG230" s="87"/>
      <c r="BH230" s="87"/>
      <c r="BI230" s="87"/>
    </row>
    <row r="231" spans="1:61" x14ac:dyDescent="0.25">
      <c r="A231" s="63" t="s">
        <v>305</v>
      </c>
      <c r="B231" s="63" t="s">
        <v>1625</v>
      </c>
      <c r="C231" s="64"/>
      <c r="D231" s="65"/>
      <c r="E231" s="66"/>
      <c r="F231" s="67"/>
      <c r="G231" s="64"/>
      <c r="H231" s="68"/>
      <c r="I231" s="69"/>
      <c r="J231" s="69"/>
      <c r="K231" s="32"/>
      <c r="L231" s="76">
        <v>231</v>
      </c>
      <c r="M231" s="76"/>
      <c r="N231" s="71"/>
      <c r="O231" s="87" t="s">
        <v>1839</v>
      </c>
      <c r="P231" s="90">
        <v>45131.458807870367</v>
      </c>
      <c r="Q231" s="87" t="s">
        <v>2068</v>
      </c>
      <c r="R231" s="87">
        <v>0</v>
      </c>
      <c r="S231" s="87">
        <v>2</v>
      </c>
      <c r="T231" s="87">
        <v>0</v>
      </c>
      <c r="U231" s="87">
        <v>0</v>
      </c>
      <c r="V231" s="87">
        <v>80</v>
      </c>
      <c r="W231" s="93" t="s">
        <v>6014</v>
      </c>
      <c r="X231" s="87"/>
      <c r="Y231" s="87"/>
      <c r="Z231" s="87" t="s">
        <v>1625</v>
      </c>
      <c r="AA231" s="87" t="s">
        <v>8787</v>
      </c>
      <c r="AB231" s="87" t="s">
        <v>11447</v>
      </c>
      <c r="AC231" s="93" t="s">
        <v>11467</v>
      </c>
      <c r="AD231" s="87" t="s">
        <v>11519</v>
      </c>
      <c r="AE231" s="92" t="str">
        <f>HYPERLINK("https://twitter.com/bitalk_podcast/status/1683432007869628421")</f>
        <v>https://twitter.com/bitalk_podcast/status/1683432007869628421</v>
      </c>
      <c r="AF231" s="90">
        <v>45131.458807870367</v>
      </c>
      <c r="AG231" s="99">
        <v>45131</v>
      </c>
      <c r="AH231" s="93" t="s">
        <v>11751</v>
      </c>
      <c r="AI231" s="87" t="b">
        <v>0</v>
      </c>
      <c r="AJ231" s="87"/>
      <c r="AK231" s="87"/>
      <c r="AL231" s="87"/>
      <c r="AM231" s="87"/>
      <c r="AN231" s="87"/>
      <c r="AO231" s="87"/>
      <c r="AP231" s="87"/>
      <c r="AQ231" s="87" t="s">
        <v>15600</v>
      </c>
      <c r="AR231" s="87">
        <v>24320</v>
      </c>
      <c r="AS231" s="87"/>
      <c r="AT231" s="87"/>
      <c r="AU231" s="87"/>
      <c r="AV231" s="92" t="str">
        <f>HYPERLINK("https://pbs.twimg.com/ext_tw_video_thumb/1683431963825262593/pu/img/uS2na7TV5lepMQmO.jpg")</f>
        <v>https://pbs.twimg.com/ext_tw_video_thumb/1683431963825262593/pu/img/uS2na7TV5lepMQmO.jpg</v>
      </c>
      <c r="AW231" s="93" t="s">
        <v>18484</v>
      </c>
      <c r="AX231" s="93" t="s">
        <v>18484</v>
      </c>
      <c r="AY231" s="87"/>
      <c r="AZ231" s="93" t="s">
        <v>22668</v>
      </c>
      <c r="BA231" s="93" t="s">
        <v>22668</v>
      </c>
      <c r="BB231" s="93" t="s">
        <v>22668</v>
      </c>
      <c r="BC231" s="93" t="s">
        <v>18484</v>
      </c>
      <c r="BD231" s="93" t="s">
        <v>22842</v>
      </c>
      <c r="BE231" s="87"/>
      <c r="BF231" s="87"/>
      <c r="BG231" s="87"/>
      <c r="BH231" s="87"/>
      <c r="BI231" s="87"/>
    </row>
    <row r="232" spans="1:61" x14ac:dyDescent="0.25">
      <c r="A232" s="63" t="s">
        <v>305</v>
      </c>
      <c r="B232" s="63" t="s">
        <v>1625</v>
      </c>
      <c r="C232" s="64"/>
      <c r="D232" s="65"/>
      <c r="E232" s="66"/>
      <c r="F232" s="67"/>
      <c r="G232" s="64"/>
      <c r="H232" s="68"/>
      <c r="I232" s="69"/>
      <c r="J232" s="69"/>
      <c r="K232" s="32"/>
      <c r="L232" s="76">
        <v>232</v>
      </c>
      <c r="M232" s="76"/>
      <c r="N232" s="71"/>
      <c r="O232" s="87" t="s">
        <v>1839</v>
      </c>
      <c r="P232" s="90">
        <v>45113.69940972222</v>
      </c>
      <c r="Q232" s="87" t="s">
        <v>2069</v>
      </c>
      <c r="R232" s="87">
        <v>0</v>
      </c>
      <c r="S232" s="87">
        <v>1</v>
      </c>
      <c r="T232" s="87">
        <v>0</v>
      </c>
      <c r="U232" s="87">
        <v>0</v>
      </c>
      <c r="V232" s="87">
        <v>80</v>
      </c>
      <c r="W232" s="93" t="s">
        <v>6015</v>
      </c>
      <c r="X232" s="87"/>
      <c r="Y232" s="87"/>
      <c r="Z232" s="87" t="s">
        <v>1625</v>
      </c>
      <c r="AA232" s="87" t="s">
        <v>8788</v>
      </c>
      <c r="AB232" s="87" t="s">
        <v>11447</v>
      </c>
      <c r="AC232" s="93" t="s">
        <v>11467</v>
      </c>
      <c r="AD232" s="87" t="s">
        <v>11519</v>
      </c>
      <c r="AE232" s="92" t="str">
        <f>HYPERLINK("https://twitter.com/bitalk_podcast/status/1676996216733806593")</f>
        <v>https://twitter.com/bitalk_podcast/status/1676996216733806593</v>
      </c>
      <c r="AF232" s="90">
        <v>45113.69940972222</v>
      </c>
      <c r="AG232" s="99">
        <v>45113</v>
      </c>
      <c r="AH232" s="93" t="s">
        <v>11752</v>
      </c>
      <c r="AI232" s="87" t="b">
        <v>0</v>
      </c>
      <c r="AJ232" s="87"/>
      <c r="AK232" s="87"/>
      <c r="AL232" s="87"/>
      <c r="AM232" s="87"/>
      <c r="AN232" s="87"/>
      <c r="AO232" s="87"/>
      <c r="AP232" s="87"/>
      <c r="AQ232" s="87" t="s">
        <v>15601</v>
      </c>
      <c r="AR232" s="87">
        <v>43156</v>
      </c>
      <c r="AS232" s="87"/>
      <c r="AT232" s="87"/>
      <c r="AU232" s="87"/>
      <c r="AV232" s="92" t="str">
        <f>HYPERLINK("https://pbs.twimg.com/ext_tw_video_thumb/1676996180201308175/pu/img/1hP-RZSJAtOOUgrU.jpg")</f>
        <v>https://pbs.twimg.com/ext_tw_video_thumb/1676996180201308175/pu/img/1hP-RZSJAtOOUgrU.jpg</v>
      </c>
      <c r="AW232" s="93" t="s">
        <v>18485</v>
      </c>
      <c r="AX232" s="93" t="s">
        <v>18485</v>
      </c>
      <c r="AY232" s="87"/>
      <c r="AZ232" s="93" t="s">
        <v>22668</v>
      </c>
      <c r="BA232" s="93" t="s">
        <v>22668</v>
      </c>
      <c r="BB232" s="93" t="s">
        <v>22668</v>
      </c>
      <c r="BC232" s="93" t="s">
        <v>18485</v>
      </c>
      <c r="BD232" s="93" t="s">
        <v>22842</v>
      </c>
      <c r="BE232" s="87"/>
      <c r="BF232" s="87"/>
      <c r="BG232" s="87"/>
      <c r="BH232" s="87"/>
      <c r="BI232" s="87"/>
    </row>
    <row r="233" spans="1:61" x14ac:dyDescent="0.25">
      <c r="A233" s="63" t="s">
        <v>305</v>
      </c>
      <c r="B233" s="63" t="s">
        <v>1625</v>
      </c>
      <c r="C233" s="64"/>
      <c r="D233" s="65"/>
      <c r="E233" s="66"/>
      <c r="F233" s="67"/>
      <c r="G233" s="64"/>
      <c r="H233" s="68"/>
      <c r="I233" s="69"/>
      <c r="J233" s="69"/>
      <c r="K233" s="32"/>
      <c r="L233" s="76">
        <v>233</v>
      </c>
      <c r="M233" s="76"/>
      <c r="N233" s="71"/>
      <c r="O233" s="87" t="s">
        <v>1839</v>
      </c>
      <c r="P233" s="90">
        <v>45139.46</v>
      </c>
      <c r="Q233" s="87" t="s">
        <v>2070</v>
      </c>
      <c r="R233" s="87">
        <v>0</v>
      </c>
      <c r="S233" s="87">
        <v>1</v>
      </c>
      <c r="T233" s="87">
        <v>0</v>
      </c>
      <c r="U233" s="87">
        <v>0</v>
      </c>
      <c r="V233" s="87">
        <v>143</v>
      </c>
      <c r="W233" s="93" t="s">
        <v>6016</v>
      </c>
      <c r="X233" s="87"/>
      <c r="Y233" s="87"/>
      <c r="Z233" s="87" t="s">
        <v>1625</v>
      </c>
      <c r="AA233" s="87" t="s">
        <v>8789</v>
      </c>
      <c r="AB233" s="87" t="s">
        <v>11447</v>
      </c>
      <c r="AC233" s="93" t="s">
        <v>11467</v>
      </c>
      <c r="AD233" s="87" t="s">
        <v>11519</v>
      </c>
      <c r="AE233" s="92" t="str">
        <f>HYPERLINK("https://twitter.com/bitalk_podcast/status/1686331539624169472")</f>
        <v>https://twitter.com/bitalk_podcast/status/1686331539624169472</v>
      </c>
      <c r="AF233" s="90">
        <v>45139.46</v>
      </c>
      <c r="AG233" s="99">
        <v>45139</v>
      </c>
      <c r="AH233" s="93" t="s">
        <v>11753</v>
      </c>
      <c r="AI233" s="87" t="b">
        <v>0</v>
      </c>
      <c r="AJ233" s="87"/>
      <c r="AK233" s="87"/>
      <c r="AL233" s="87"/>
      <c r="AM233" s="87"/>
      <c r="AN233" s="87"/>
      <c r="AO233" s="87"/>
      <c r="AP233" s="87"/>
      <c r="AQ233" s="87" t="s">
        <v>15602</v>
      </c>
      <c r="AR233" s="87">
        <v>45993</v>
      </c>
      <c r="AS233" s="87"/>
      <c r="AT233" s="87"/>
      <c r="AU233" s="87"/>
      <c r="AV233" s="92" t="str">
        <f>HYPERLINK("https://pbs.twimg.com/ext_tw_video_thumb/1686331165068660736/pu/img/MtdTOoZjYqczV6V8.jpg")</f>
        <v>https://pbs.twimg.com/ext_tw_video_thumb/1686331165068660736/pu/img/MtdTOoZjYqczV6V8.jpg</v>
      </c>
      <c r="AW233" s="93" t="s">
        <v>18486</v>
      </c>
      <c r="AX233" s="93" t="s">
        <v>18486</v>
      </c>
      <c r="AY233" s="87"/>
      <c r="AZ233" s="93" t="s">
        <v>22668</v>
      </c>
      <c r="BA233" s="93" t="s">
        <v>22668</v>
      </c>
      <c r="BB233" s="93" t="s">
        <v>22668</v>
      </c>
      <c r="BC233" s="93" t="s">
        <v>18486</v>
      </c>
      <c r="BD233" s="93" t="s">
        <v>22842</v>
      </c>
      <c r="BE233" s="87"/>
      <c r="BF233" s="87"/>
      <c r="BG233" s="87"/>
      <c r="BH233" s="87"/>
      <c r="BI233" s="87"/>
    </row>
    <row r="234" spans="1:61" x14ac:dyDescent="0.25">
      <c r="A234" s="63" t="s">
        <v>305</v>
      </c>
      <c r="B234" s="63" t="s">
        <v>1625</v>
      </c>
      <c r="C234" s="64"/>
      <c r="D234" s="65"/>
      <c r="E234" s="66"/>
      <c r="F234" s="67"/>
      <c r="G234" s="64"/>
      <c r="H234" s="68"/>
      <c r="I234" s="69"/>
      <c r="J234" s="69"/>
      <c r="K234" s="32"/>
      <c r="L234" s="76">
        <v>234</v>
      </c>
      <c r="M234" s="76"/>
      <c r="N234" s="71"/>
      <c r="O234" s="87" t="s">
        <v>1839</v>
      </c>
      <c r="P234" s="90">
        <v>45126.699479166666</v>
      </c>
      <c r="Q234" s="87" t="s">
        <v>2071</v>
      </c>
      <c r="R234" s="87">
        <v>0</v>
      </c>
      <c r="S234" s="87">
        <v>0</v>
      </c>
      <c r="T234" s="87">
        <v>0</v>
      </c>
      <c r="U234" s="87">
        <v>0</v>
      </c>
      <c r="V234" s="87">
        <v>43</v>
      </c>
      <c r="W234" s="93" t="s">
        <v>6017</v>
      </c>
      <c r="X234" s="87"/>
      <c r="Y234" s="87"/>
      <c r="Z234" s="87" t="s">
        <v>1625</v>
      </c>
      <c r="AA234" s="87" t="s">
        <v>8790</v>
      </c>
      <c r="AB234" s="87" t="s">
        <v>11447</v>
      </c>
      <c r="AC234" s="93" t="s">
        <v>11467</v>
      </c>
      <c r="AD234" s="87" t="s">
        <v>11519</v>
      </c>
      <c r="AE234" s="92" t="str">
        <f>HYPERLINK("https://twitter.com/bitalk_podcast/status/1681707283124715529")</f>
        <v>https://twitter.com/bitalk_podcast/status/1681707283124715529</v>
      </c>
      <c r="AF234" s="90">
        <v>45126.699479166666</v>
      </c>
      <c r="AG234" s="99">
        <v>45126</v>
      </c>
      <c r="AH234" s="93" t="s">
        <v>11741</v>
      </c>
      <c r="AI234" s="87" t="b">
        <v>0</v>
      </c>
      <c r="AJ234" s="87"/>
      <c r="AK234" s="87"/>
      <c r="AL234" s="87"/>
      <c r="AM234" s="87"/>
      <c r="AN234" s="87"/>
      <c r="AO234" s="87"/>
      <c r="AP234" s="87"/>
      <c r="AQ234" s="87" t="s">
        <v>15603</v>
      </c>
      <c r="AR234" s="87">
        <v>60180</v>
      </c>
      <c r="AS234" s="87"/>
      <c r="AT234" s="87"/>
      <c r="AU234" s="87"/>
      <c r="AV234" s="92" t="str">
        <f>HYPERLINK("https://pbs.twimg.com/ext_tw_video_thumb/1681707224127635457/pu/img/ZDcYsvf9dxImRLRM.jpg")</f>
        <v>https://pbs.twimg.com/ext_tw_video_thumb/1681707224127635457/pu/img/ZDcYsvf9dxImRLRM.jpg</v>
      </c>
      <c r="AW234" s="93" t="s">
        <v>18487</v>
      </c>
      <c r="AX234" s="93" t="s">
        <v>18487</v>
      </c>
      <c r="AY234" s="87"/>
      <c r="AZ234" s="93" t="s">
        <v>22668</v>
      </c>
      <c r="BA234" s="93" t="s">
        <v>22668</v>
      </c>
      <c r="BB234" s="93" t="s">
        <v>22668</v>
      </c>
      <c r="BC234" s="93" t="s">
        <v>18487</v>
      </c>
      <c r="BD234" s="93" t="s">
        <v>22842</v>
      </c>
      <c r="BE234" s="87"/>
      <c r="BF234" s="87"/>
      <c r="BG234" s="87"/>
      <c r="BH234" s="87"/>
      <c r="BI234" s="87"/>
    </row>
    <row r="235" spans="1:61" x14ac:dyDescent="0.25">
      <c r="A235" s="63" t="s">
        <v>305</v>
      </c>
      <c r="B235" s="63" t="s">
        <v>1625</v>
      </c>
      <c r="C235" s="64"/>
      <c r="D235" s="65"/>
      <c r="E235" s="66"/>
      <c r="F235" s="67"/>
      <c r="G235" s="64"/>
      <c r="H235" s="68"/>
      <c r="I235" s="69"/>
      <c r="J235" s="69"/>
      <c r="K235" s="32"/>
      <c r="L235" s="76">
        <v>235</v>
      </c>
      <c r="M235" s="76"/>
      <c r="N235" s="71"/>
      <c r="O235" s="87" t="s">
        <v>1839</v>
      </c>
      <c r="P235" s="90">
        <v>45126.459953703707</v>
      </c>
      <c r="Q235" s="87" t="s">
        <v>2072</v>
      </c>
      <c r="R235" s="87">
        <v>0</v>
      </c>
      <c r="S235" s="87">
        <v>0</v>
      </c>
      <c r="T235" s="87">
        <v>0</v>
      </c>
      <c r="U235" s="87">
        <v>0</v>
      </c>
      <c r="V235" s="87">
        <v>29</v>
      </c>
      <c r="W235" s="93" t="s">
        <v>6018</v>
      </c>
      <c r="X235" s="87"/>
      <c r="Y235" s="87"/>
      <c r="Z235" s="87" t="s">
        <v>1625</v>
      </c>
      <c r="AA235" s="87" t="s">
        <v>8791</v>
      </c>
      <c r="AB235" s="87" t="s">
        <v>11447</v>
      </c>
      <c r="AC235" s="93" t="s">
        <v>11467</v>
      </c>
      <c r="AD235" s="87" t="s">
        <v>11519</v>
      </c>
      <c r="AE235" s="92" t="str">
        <f>HYPERLINK("https://twitter.com/bitalk_podcast/status/1681620483647709184")</f>
        <v>https://twitter.com/bitalk_podcast/status/1681620483647709184</v>
      </c>
      <c r="AF235" s="90">
        <v>45126.459953703707</v>
      </c>
      <c r="AG235" s="99">
        <v>45126</v>
      </c>
      <c r="AH235" s="93" t="s">
        <v>11754</v>
      </c>
      <c r="AI235" s="87" t="b">
        <v>0</v>
      </c>
      <c r="AJ235" s="87"/>
      <c r="AK235" s="87"/>
      <c r="AL235" s="87"/>
      <c r="AM235" s="87"/>
      <c r="AN235" s="87"/>
      <c r="AO235" s="87"/>
      <c r="AP235" s="87"/>
      <c r="AQ235" s="87" t="s">
        <v>15604</v>
      </c>
      <c r="AR235" s="87">
        <v>137855</v>
      </c>
      <c r="AS235" s="87"/>
      <c r="AT235" s="87"/>
      <c r="AU235" s="87"/>
      <c r="AV235" s="92" t="str">
        <f>HYPERLINK("https://pbs.twimg.com/ext_tw_video_thumb/1681620415288946690/pu/img/Jq8GzDMoRIm9tEQr.jpg")</f>
        <v>https://pbs.twimg.com/ext_tw_video_thumb/1681620415288946690/pu/img/Jq8GzDMoRIm9tEQr.jpg</v>
      </c>
      <c r="AW235" s="93" t="s">
        <v>18488</v>
      </c>
      <c r="AX235" s="93" t="s">
        <v>18488</v>
      </c>
      <c r="AY235" s="87"/>
      <c r="AZ235" s="93" t="s">
        <v>22668</v>
      </c>
      <c r="BA235" s="93" t="s">
        <v>22668</v>
      </c>
      <c r="BB235" s="93" t="s">
        <v>22668</v>
      </c>
      <c r="BC235" s="93" t="s">
        <v>18488</v>
      </c>
      <c r="BD235" s="93" t="s">
        <v>22842</v>
      </c>
      <c r="BE235" s="87"/>
      <c r="BF235" s="87"/>
      <c r="BG235" s="87"/>
      <c r="BH235" s="87"/>
      <c r="BI235" s="87"/>
    </row>
    <row r="236" spans="1:61" x14ac:dyDescent="0.25">
      <c r="A236" s="63" t="s">
        <v>305</v>
      </c>
      <c r="B236" s="63" t="s">
        <v>1625</v>
      </c>
      <c r="C236" s="64"/>
      <c r="D236" s="65"/>
      <c r="E236" s="66"/>
      <c r="F236" s="67"/>
      <c r="G236" s="64"/>
      <c r="H236" s="68"/>
      <c r="I236" s="69"/>
      <c r="J236" s="69"/>
      <c r="K236" s="32"/>
      <c r="L236" s="76">
        <v>236</v>
      </c>
      <c r="M236" s="76"/>
      <c r="N236" s="71"/>
      <c r="O236" s="87" t="s">
        <v>1839</v>
      </c>
      <c r="P236" s="90">
        <v>45125.699444444443</v>
      </c>
      <c r="Q236" s="87" t="s">
        <v>2073</v>
      </c>
      <c r="R236" s="87">
        <v>0</v>
      </c>
      <c r="S236" s="87">
        <v>0</v>
      </c>
      <c r="T236" s="87">
        <v>0</v>
      </c>
      <c r="U236" s="87">
        <v>0</v>
      </c>
      <c r="V236" s="87">
        <v>46</v>
      </c>
      <c r="W236" s="93" t="s">
        <v>6019</v>
      </c>
      <c r="X236" s="87"/>
      <c r="Y236" s="87"/>
      <c r="Z236" s="87" t="s">
        <v>1625</v>
      </c>
      <c r="AA236" s="87" t="s">
        <v>8792</v>
      </c>
      <c r="AB236" s="87" t="s">
        <v>11447</v>
      </c>
      <c r="AC236" s="93" t="s">
        <v>11467</v>
      </c>
      <c r="AD236" s="87" t="s">
        <v>11519</v>
      </c>
      <c r="AE236" s="92" t="str">
        <f>HYPERLINK("https://twitter.com/bitalk_podcast/status/1681344883599048705")</f>
        <v>https://twitter.com/bitalk_podcast/status/1681344883599048705</v>
      </c>
      <c r="AF236" s="90">
        <v>45125.699444444443</v>
      </c>
      <c r="AG236" s="99">
        <v>45125</v>
      </c>
      <c r="AH236" s="93" t="s">
        <v>11755</v>
      </c>
      <c r="AI236" s="87" t="b">
        <v>0</v>
      </c>
      <c r="AJ236" s="87"/>
      <c r="AK236" s="87"/>
      <c r="AL236" s="87"/>
      <c r="AM236" s="87"/>
      <c r="AN236" s="87"/>
      <c r="AO236" s="87"/>
      <c r="AP236" s="87"/>
      <c r="AQ236" s="87" t="s">
        <v>15605</v>
      </c>
      <c r="AR236" s="87">
        <v>42686</v>
      </c>
      <c r="AS236" s="87"/>
      <c r="AT236" s="87"/>
      <c r="AU236" s="87"/>
      <c r="AV236" s="92" t="str">
        <f>HYPERLINK("https://pbs.twimg.com/ext_tw_video_thumb/1681344833825193984/pu/img/QpwbbWIg2o6Z0hkv.jpg")</f>
        <v>https://pbs.twimg.com/ext_tw_video_thumb/1681344833825193984/pu/img/QpwbbWIg2o6Z0hkv.jpg</v>
      </c>
      <c r="AW236" s="93" t="s">
        <v>18489</v>
      </c>
      <c r="AX236" s="93" t="s">
        <v>18489</v>
      </c>
      <c r="AY236" s="87"/>
      <c r="AZ236" s="93" t="s">
        <v>22668</v>
      </c>
      <c r="BA236" s="93" t="s">
        <v>22668</v>
      </c>
      <c r="BB236" s="93" t="s">
        <v>22668</v>
      </c>
      <c r="BC236" s="93" t="s">
        <v>18489</v>
      </c>
      <c r="BD236" s="93" t="s">
        <v>22842</v>
      </c>
      <c r="BE236" s="87"/>
      <c r="BF236" s="87"/>
      <c r="BG236" s="87"/>
      <c r="BH236" s="87"/>
      <c r="BI236" s="87"/>
    </row>
    <row r="237" spans="1:61" x14ac:dyDescent="0.25">
      <c r="A237" s="63" t="s">
        <v>305</v>
      </c>
      <c r="B237" s="63" t="s">
        <v>1625</v>
      </c>
      <c r="C237" s="64"/>
      <c r="D237" s="65"/>
      <c r="E237" s="66"/>
      <c r="F237" s="67"/>
      <c r="G237" s="64"/>
      <c r="H237" s="68"/>
      <c r="I237" s="69"/>
      <c r="J237" s="69"/>
      <c r="K237" s="32"/>
      <c r="L237" s="76">
        <v>237</v>
      </c>
      <c r="M237" s="76"/>
      <c r="N237" s="71"/>
      <c r="O237" s="87" t="s">
        <v>1839</v>
      </c>
      <c r="P237" s="90">
        <v>45125.458692129629</v>
      </c>
      <c r="Q237" s="87" t="s">
        <v>2074</v>
      </c>
      <c r="R237" s="87">
        <v>0</v>
      </c>
      <c r="S237" s="87">
        <v>3</v>
      </c>
      <c r="T237" s="87">
        <v>0</v>
      </c>
      <c r="U237" s="87">
        <v>0</v>
      </c>
      <c r="V237" s="87">
        <v>113</v>
      </c>
      <c r="W237" s="93" t="s">
        <v>6019</v>
      </c>
      <c r="X237" s="87"/>
      <c r="Y237" s="87"/>
      <c r="Z237" s="87" t="s">
        <v>1625</v>
      </c>
      <c r="AA237" s="87" t="s">
        <v>8793</v>
      </c>
      <c r="AB237" s="87" t="s">
        <v>11450</v>
      </c>
      <c r="AC237" s="93" t="s">
        <v>11467</v>
      </c>
      <c r="AD237" s="87" t="s">
        <v>11519</v>
      </c>
      <c r="AE237" s="92" t="str">
        <f>HYPERLINK("https://twitter.com/bitalk_podcast/status/1681257635918610435")</f>
        <v>https://twitter.com/bitalk_podcast/status/1681257635918610435</v>
      </c>
      <c r="AF237" s="90">
        <v>45125.458692129629</v>
      </c>
      <c r="AG237" s="99">
        <v>45125</v>
      </c>
      <c r="AH237" s="93" t="s">
        <v>11756</v>
      </c>
      <c r="AI237" s="87" t="b">
        <v>0</v>
      </c>
      <c r="AJ237" s="87"/>
      <c r="AK237" s="87"/>
      <c r="AL237" s="87"/>
      <c r="AM237" s="87"/>
      <c r="AN237" s="87"/>
      <c r="AO237" s="87"/>
      <c r="AP237" s="87"/>
      <c r="AQ237" s="87" t="s">
        <v>15606</v>
      </c>
      <c r="AR237" s="87"/>
      <c r="AS237" s="87"/>
      <c r="AT237" s="87"/>
      <c r="AU237" s="87"/>
      <c r="AV237" s="92" t="str">
        <f>HYPERLINK("https://pbs.twimg.com/media/F1UG5y6X0AI8B9S.jpg")</f>
        <v>https://pbs.twimg.com/media/F1UG5y6X0AI8B9S.jpg</v>
      </c>
      <c r="AW237" s="93" t="s">
        <v>18490</v>
      </c>
      <c r="AX237" s="93" t="s">
        <v>18490</v>
      </c>
      <c r="AY237" s="87"/>
      <c r="AZ237" s="93" t="s">
        <v>22668</v>
      </c>
      <c r="BA237" s="93" t="s">
        <v>22668</v>
      </c>
      <c r="BB237" s="93" t="s">
        <v>22668</v>
      </c>
      <c r="BC237" s="93" t="s">
        <v>18490</v>
      </c>
      <c r="BD237" s="93" t="s">
        <v>22842</v>
      </c>
      <c r="BE237" s="87"/>
      <c r="BF237" s="87"/>
      <c r="BG237" s="87"/>
      <c r="BH237" s="87"/>
      <c r="BI237" s="87"/>
    </row>
    <row r="238" spans="1:61" x14ac:dyDescent="0.25">
      <c r="A238" s="63" t="s">
        <v>305</v>
      </c>
      <c r="B238" s="63" t="s">
        <v>1625</v>
      </c>
      <c r="C238" s="64"/>
      <c r="D238" s="65"/>
      <c r="E238" s="66"/>
      <c r="F238" s="67"/>
      <c r="G238" s="64"/>
      <c r="H238" s="68"/>
      <c r="I238" s="69"/>
      <c r="J238" s="69"/>
      <c r="K238" s="32"/>
      <c r="L238" s="76">
        <v>238</v>
      </c>
      <c r="M238" s="76"/>
      <c r="N238" s="71"/>
      <c r="O238" s="87" t="s">
        <v>1839</v>
      </c>
      <c r="P238" s="90">
        <v>45132.860590277778</v>
      </c>
      <c r="Q238" s="87" t="s">
        <v>2075</v>
      </c>
      <c r="R238" s="87">
        <v>0</v>
      </c>
      <c r="S238" s="87">
        <v>0</v>
      </c>
      <c r="T238" s="87">
        <v>0</v>
      </c>
      <c r="U238" s="87">
        <v>0</v>
      </c>
      <c r="V238" s="87">
        <v>88</v>
      </c>
      <c r="W238" s="93" t="s">
        <v>6020</v>
      </c>
      <c r="X238" s="87"/>
      <c r="Y238" s="87"/>
      <c r="Z238" s="87" t="s">
        <v>1625</v>
      </c>
      <c r="AA238" s="87" t="s">
        <v>8794</v>
      </c>
      <c r="AB238" s="87" t="s">
        <v>11447</v>
      </c>
      <c r="AC238" s="93" t="s">
        <v>11467</v>
      </c>
      <c r="AD238" s="87" t="s">
        <v>11519</v>
      </c>
      <c r="AE238" s="92" t="str">
        <f>HYPERLINK("https://twitter.com/bitalk_podcast/status/1683939996493926401")</f>
        <v>https://twitter.com/bitalk_podcast/status/1683939996493926401</v>
      </c>
      <c r="AF238" s="90">
        <v>45132.860590277778</v>
      </c>
      <c r="AG238" s="99">
        <v>45132</v>
      </c>
      <c r="AH238" s="93" t="s">
        <v>11757</v>
      </c>
      <c r="AI238" s="87" t="b">
        <v>0</v>
      </c>
      <c r="AJ238" s="87"/>
      <c r="AK238" s="87"/>
      <c r="AL238" s="87"/>
      <c r="AM238" s="87"/>
      <c r="AN238" s="87"/>
      <c r="AO238" s="87"/>
      <c r="AP238" s="87"/>
      <c r="AQ238" s="87" t="s">
        <v>15607</v>
      </c>
      <c r="AR238" s="87">
        <v>57876</v>
      </c>
      <c r="AS238" s="87"/>
      <c r="AT238" s="87"/>
      <c r="AU238" s="87"/>
      <c r="AV238" s="92" t="str">
        <f>HYPERLINK("https://pbs.twimg.com/ext_tw_video_thumb/1683939936725082113/pu/img/OiWgxc8O-Tza_8K3.jpg")</f>
        <v>https://pbs.twimg.com/ext_tw_video_thumb/1683939936725082113/pu/img/OiWgxc8O-Tza_8K3.jpg</v>
      </c>
      <c r="AW238" s="93" t="s">
        <v>18491</v>
      </c>
      <c r="AX238" s="93" t="s">
        <v>18491</v>
      </c>
      <c r="AY238" s="87"/>
      <c r="AZ238" s="93" t="s">
        <v>22668</v>
      </c>
      <c r="BA238" s="93" t="s">
        <v>22668</v>
      </c>
      <c r="BB238" s="93" t="s">
        <v>22668</v>
      </c>
      <c r="BC238" s="93" t="s">
        <v>18491</v>
      </c>
      <c r="BD238" s="93" t="s">
        <v>22842</v>
      </c>
      <c r="BE238" s="87"/>
      <c r="BF238" s="87"/>
      <c r="BG238" s="87"/>
      <c r="BH238" s="87"/>
      <c r="BI238" s="87"/>
    </row>
    <row r="239" spans="1:61" x14ac:dyDescent="0.25">
      <c r="A239" s="63" t="s">
        <v>305</v>
      </c>
      <c r="B239" s="63" t="s">
        <v>1625</v>
      </c>
      <c r="C239" s="64"/>
      <c r="D239" s="65"/>
      <c r="E239" s="66"/>
      <c r="F239" s="67"/>
      <c r="G239" s="64"/>
      <c r="H239" s="68"/>
      <c r="I239" s="69"/>
      <c r="J239" s="69"/>
      <c r="K239" s="32"/>
      <c r="L239" s="76">
        <v>239</v>
      </c>
      <c r="M239" s="76"/>
      <c r="N239" s="71"/>
      <c r="O239" s="87" t="s">
        <v>1839</v>
      </c>
      <c r="P239" s="90">
        <v>45132.699340277781</v>
      </c>
      <c r="Q239" s="87" t="s">
        <v>2076</v>
      </c>
      <c r="R239" s="87">
        <v>0</v>
      </c>
      <c r="S239" s="87">
        <v>2</v>
      </c>
      <c r="T239" s="87">
        <v>0</v>
      </c>
      <c r="U239" s="87">
        <v>0</v>
      </c>
      <c r="V239" s="87">
        <v>106</v>
      </c>
      <c r="W239" s="93" t="s">
        <v>6021</v>
      </c>
      <c r="X239" s="87"/>
      <c r="Y239" s="87"/>
      <c r="Z239" s="87" t="s">
        <v>1625</v>
      </c>
      <c r="AA239" s="87" t="s">
        <v>8795</v>
      </c>
      <c r="AB239" s="87" t="s">
        <v>11450</v>
      </c>
      <c r="AC239" s="93" t="s">
        <v>11467</v>
      </c>
      <c r="AD239" s="87" t="s">
        <v>11519</v>
      </c>
      <c r="AE239" s="92" t="str">
        <f>HYPERLINK("https://twitter.com/bitalk_podcast/status/1683881561786134530")</f>
        <v>https://twitter.com/bitalk_podcast/status/1683881561786134530</v>
      </c>
      <c r="AF239" s="90">
        <v>45132.699340277781</v>
      </c>
      <c r="AG239" s="99">
        <v>45132</v>
      </c>
      <c r="AH239" s="93" t="s">
        <v>11746</v>
      </c>
      <c r="AI239" s="87" t="b">
        <v>0</v>
      </c>
      <c r="AJ239" s="87"/>
      <c r="AK239" s="87"/>
      <c r="AL239" s="87"/>
      <c r="AM239" s="87"/>
      <c r="AN239" s="87"/>
      <c r="AO239" s="87"/>
      <c r="AP239" s="87"/>
      <c r="AQ239" s="87" t="s">
        <v>15608</v>
      </c>
      <c r="AR239" s="87"/>
      <c r="AS239" s="87"/>
      <c r="AT239" s="87"/>
      <c r="AU239" s="87"/>
      <c r="AV239" s="92" t="str">
        <f>HYPERLINK("https://pbs.twimg.com/media/F15ZWIAXsAo7xUr.jpg")</f>
        <v>https://pbs.twimg.com/media/F15ZWIAXsAo7xUr.jpg</v>
      </c>
      <c r="AW239" s="93" t="s">
        <v>18492</v>
      </c>
      <c r="AX239" s="93" t="s">
        <v>18492</v>
      </c>
      <c r="AY239" s="87"/>
      <c r="AZ239" s="93" t="s">
        <v>22668</v>
      </c>
      <c r="BA239" s="93" t="s">
        <v>22668</v>
      </c>
      <c r="BB239" s="93" t="s">
        <v>22668</v>
      </c>
      <c r="BC239" s="93" t="s">
        <v>18492</v>
      </c>
      <c r="BD239" s="93" t="s">
        <v>22842</v>
      </c>
      <c r="BE239" s="87"/>
      <c r="BF239" s="87"/>
      <c r="BG239" s="87"/>
      <c r="BH239" s="87"/>
      <c r="BI239" s="87"/>
    </row>
    <row r="240" spans="1:61" x14ac:dyDescent="0.25">
      <c r="A240" s="63" t="s">
        <v>305</v>
      </c>
      <c r="B240" s="63" t="s">
        <v>1625</v>
      </c>
      <c r="C240" s="64"/>
      <c r="D240" s="65"/>
      <c r="E240" s="66"/>
      <c r="F240" s="67"/>
      <c r="G240" s="64"/>
      <c r="H240" s="68"/>
      <c r="I240" s="69"/>
      <c r="J240" s="69"/>
      <c r="K240" s="32"/>
      <c r="L240" s="76">
        <v>240</v>
      </c>
      <c r="M240" s="76"/>
      <c r="N240" s="71"/>
      <c r="O240" s="87" t="s">
        <v>1839</v>
      </c>
      <c r="P240" s="90">
        <v>45132.459722222222</v>
      </c>
      <c r="Q240" s="87" t="s">
        <v>2077</v>
      </c>
      <c r="R240" s="87">
        <v>0</v>
      </c>
      <c r="S240" s="87">
        <v>1</v>
      </c>
      <c r="T240" s="87">
        <v>0</v>
      </c>
      <c r="U240" s="87">
        <v>0</v>
      </c>
      <c r="V240" s="87">
        <v>67</v>
      </c>
      <c r="W240" s="93" t="s">
        <v>6022</v>
      </c>
      <c r="X240" s="87"/>
      <c r="Y240" s="87"/>
      <c r="Z240" s="87" t="s">
        <v>1625</v>
      </c>
      <c r="AA240" s="87" t="s">
        <v>8796</v>
      </c>
      <c r="AB240" s="87" t="s">
        <v>11447</v>
      </c>
      <c r="AC240" s="93" t="s">
        <v>11467</v>
      </c>
      <c r="AD240" s="87" t="s">
        <v>11519</v>
      </c>
      <c r="AE240" s="92" t="str">
        <f>HYPERLINK("https://twitter.com/bitalk_podcast/status/1683794725810085888")</f>
        <v>https://twitter.com/bitalk_podcast/status/1683794725810085888</v>
      </c>
      <c r="AF240" s="90">
        <v>45132.459722222222</v>
      </c>
      <c r="AG240" s="99">
        <v>45132</v>
      </c>
      <c r="AH240" s="93" t="s">
        <v>11758</v>
      </c>
      <c r="AI240" s="87" t="b">
        <v>0</v>
      </c>
      <c r="AJ240" s="87"/>
      <c r="AK240" s="87"/>
      <c r="AL240" s="87"/>
      <c r="AM240" s="87"/>
      <c r="AN240" s="87"/>
      <c r="AO240" s="87"/>
      <c r="AP240" s="87"/>
      <c r="AQ240" s="87" t="s">
        <v>15609</v>
      </c>
      <c r="AR240" s="87">
        <v>62548</v>
      </c>
      <c r="AS240" s="87"/>
      <c r="AT240" s="87"/>
      <c r="AU240" s="87"/>
      <c r="AV240" s="92" t="str">
        <f>HYPERLINK("https://pbs.twimg.com/ext_tw_video_thumb/1683794683858747392/pu/img/-VQwiJsNYNtGjvrY.jpg")</f>
        <v>https://pbs.twimg.com/ext_tw_video_thumb/1683794683858747392/pu/img/-VQwiJsNYNtGjvrY.jpg</v>
      </c>
      <c r="AW240" s="93" t="s">
        <v>18493</v>
      </c>
      <c r="AX240" s="93" t="s">
        <v>18493</v>
      </c>
      <c r="AY240" s="87"/>
      <c r="AZ240" s="93" t="s">
        <v>22668</v>
      </c>
      <c r="BA240" s="93" t="s">
        <v>22668</v>
      </c>
      <c r="BB240" s="93" t="s">
        <v>22668</v>
      </c>
      <c r="BC240" s="93" t="s">
        <v>18493</v>
      </c>
      <c r="BD240" s="93" t="s">
        <v>22842</v>
      </c>
      <c r="BE240" s="87"/>
      <c r="BF240" s="87"/>
      <c r="BG240" s="87"/>
      <c r="BH240" s="87"/>
      <c r="BI240" s="87"/>
    </row>
    <row r="241" spans="1:61" x14ac:dyDescent="0.25">
      <c r="A241" s="63" t="s">
        <v>305</v>
      </c>
      <c r="B241" s="63" t="s">
        <v>1625</v>
      </c>
      <c r="C241" s="64"/>
      <c r="D241" s="65"/>
      <c r="E241" s="66"/>
      <c r="F241" s="67"/>
      <c r="G241" s="64"/>
      <c r="H241" s="68"/>
      <c r="I241" s="69"/>
      <c r="J241" s="69"/>
      <c r="K241" s="32"/>
      <c r="L241" s="76">
        <v>241</v>
      </c>
      <c r="M241" s="76"/>
      <c r="N241" s="71"/>
      <c r="O241" s="87" t="s">
        <v>1839</v>
      </c>
      <c r="P241" s="90">
        <v>45117.69940972222</v>
      </c>
      <c r="Q241" s="87" t="s">
        <v>2078</v>
      </c>
      <c r="R241" s="87">
        <v>0</v>
      </c>
      <c r="S241" s="87">
        <v>0</v>
      </c>
      <c r="T241" s="87">
        <v>0</v>
      </c>
      <c r="U241" s="87">
        <v>0</v>
      </c>
      <c r="V241" s="87">
        <v>39</v>
      </c>
      <c r="W241" s="93" t="s">
        <v>6023</v>
      </c>
      <c r="X241" s="87"/>
      <c r="Y241" s="87"/>
      <c r="Z241" s="87" t="s">
        <v>1625</v>
      </c>
      <c r="AA241" s="87" t="s">
        <v>8797</v>
      </c>
      <c r="AB241" s="87" t="s">
        <v>11447</v>
      </c>
      <c r="AC241" s="93" t="s">
        <v>11467</v>
      </c>
      <c r="AD241" s="87" t="s">
        <v>11519</v>
      </c>
      <c r="AE241" s="92" t="str">
        <f>HYPERLINK("https://twitter.com/bitalk_podcast/status/1678445768275894287")</f>
        <v>https://twitter.com/bitalk_podcast/status/1678445768275894287</v>
      </c>
      <c r="AF241" s="90">
        <v>45117.69940972222</v>
      </c>
      <c r="AG241" s="99">
        <v>45117</v>
      </c>
      <c r="AH241" s="93" t="s">
        <v>11752</v>
      </c>
      <c r="AI241" s="87" t="b">
        <v>0</v>
      </c>
      <c r="AJ241" s="87"/>
      <c r="AK241" s="87"/>
      <c r="AL241" s="87"/>
      <c r="AM241" s="87"/>
      <c r="AN241" s="87"/>
      <c r="AO241" s="87"/>
      <c r="AP241" s="87"/>
      <c r="AQ241" s="87" t="s">
        <v>15610</v>
      </c>
      <c r="AR241" s="87">
        <v>16895</v>
      </c>
      <c r="AS241" s="87"/>
      <c r="AT241" s="87"/>
      <c r="AU241" s="87"/>
      <c r="AV241" s="92" t="str">
        <f>HYPERLINK("https://pbs.twimg.com/ext_tw_video_thumb/1678445733400256514/pu/img/GnR_bEmqT8_wC8wI.jpg")</f>
        <v>https://pbs.twimg.com/ext_tw_video_thumb/1678445733400256514/pu/img/GnR_bEmqT8_wC8wI.jpg</v>
      </c>
      <c r="AW241" s="93" t="s">
        <v>18494</v>
      </c>
      <c r="AX241" s="93" t="s">
        <v>18494</v>
      </c>
      <c r="AY241" s="87"/>
      <c r="AZ241" s="93" t="s">
        <v>22668</v>
      </c>
      <c r="BA241" s="93" t="s">
        <v>22668</v>
      </c>
      <c r="BB241" s="93" t="s">
        <v>22668</v>
      </c>
      <c r="BC241" s="93" t="s">
        <v>18494</v>
      </c>
      <c r="BD241" s="93" t="s">
        <v>22842</v>
      </c>
      <c r="BE241" s="87"/>
      <c r="BF241" s="87"/>
      <c r="BG241" s="87"/>
      <c r="BH241" s="87"/>
      <c r="BI241" s="87"/>
    </row>
    <row r="242" spans="1:61" x14ac:dyDescent="0.25">
      <c r="A242" s="63" t="s">
        <v>305</v>
      </c>
      <c r="B242" s="63" t="s">
        <v>1625</v>
      </c>
      <c r="C242" s="64"/>
      <c r="D242" s="65"/>
      <c r="E242" s="66"/>
      <c r="F242" s="67"/>
      <c r="G242" s="64"/>
      <c r="H242" s="68"/>
      <c r="I242" s="69"/>
      <c r="J242" s="69"/>
      <c r="K242" s="32"/>
      <c r="L242" s="76">
        <v>242</v>
      </c>
      <c r="M242" s="76"/>
      <c r="N242" s="71"/>
      <c r="O242" s="87" t="s">
        <v>1839</v>
      </c>
      <c r="P242" s="90">
        <v>45117.458553240744</v>
      </c>
      <c r="Q242" s="87" t="s">
        <v>2079</v>
      </c>
      <c r="R242" s="87">
        <v>0</v>
      </c>
      <c r="S242" s="87">
        <v>1</v>
      </c>
      <c r="T242" s="87">
        <v>0</v>
      </c>
      <c r="U242" s="87">
        <v>0</v>
      </c>
      <c r="V242" s="87">
        <v>55</v>
      </c>
      <c r="W242" s="93" t="s">
        <v>6024</v>
      </c>
      <c r="X242" s="87"/>
      <c r="Y242" s="87"/>
      <c r="Z242" s="87" t="s">
        <v>1625</v>
      </c>
      <c r="AA242" s="87" t="s">
        <v>8798</v>
      </c>
      <c r="AB242" s="87" t="s">
        <v>11447</v>
      </c>
      <c r="AC242" s="93" t="s">
        <v>11467</v>
      </c>
      <c r="AD242" s="87" t="s">
        <v>11519</v>
      </c>
      <c r="AE242" s="92" t="str">
        <f>HYPERLINK("https://twitter.com/bitalk_podcast/status/1678358482733391872")</f>
        <v>https://twitter.com/bitalk_podcast/status/1678358482733391872</v>
      </c>
      <c r="AF242" s="90">
        <v>45117.458553240744</v>
      </c>
      <c r="AG242" s="99">
        <v>45117</v>
      </c>
      <c r="AH242" s="93" t="s">
        <v>11759</v>
      </c>
      <c r="AI242" s="87" t="b">
        <v>0</v>
      </c>
      <c r="AJ242" s="87"/>
      <c r="AK242" s="87"/>
      <c r="AL242" s="87"/>
      <c r="AM242" s="87"/>
      <c r="AN242" s="87"/>
      <c r="AO242" s="87"/>
      <c r="AP242" s="87"/>
      <c r="AQ242" s="87" t="s">
        <v>15611</v>
      </c>
      <c r="AR242" s="87">
        <v>36543</v>
      </c>
      <c r="AS242" s="87"/>
      <c r="AT242" s="87"/>
      <c r="AU242" s="87"/>
      <c r="AV242" s="92" t="str">
        <f>HYPERLINK("https://pbs.twimg.com/ext_tw_video_thumb/1678358447165677569/pu/img/niBp9g99zgWJpvHK.jpg")</f>
        <v>https://pbs.twimg.com/ext_tw_video_thumb/1678358447165677569/pu/img/niBp9g99zgWJpvHK.jpg</v>
      </c>
      <c r="AW242" s="93" t="s">
        <v>18495</v>
      </c>
      <c r="AX242" s="93" t="s">
        <v>18495</v>
      </c>
      <c r="AY242" s="87"/>
      <c r="AZ242" s="93" t="s">
        <v>22668</v>
      </c>
      <c r="BA242" s="93" t="s">
        <v>22668</v>
      </c>
      <c r="BB242" s="93" t="s">
        <v>22668</v>
      </c>
      <c r="BC242" s="93" t="s">
        <v>18495</v>
      </c>
      <c r="BD242" s="93" t="s">
        <v>22842</v>
      </c>
      <c r="BE242" s="87"/>
      <c r="BF242" s="87"/>
      <c r="BG242" s="87"/>
      <c r="BH242" s="87"/>
      <c r="BI242" s="87"/>
    </row>
    <row r="243" spans="1:61" x14ac:dyDescent="0.25">
      <c r="A243" s="63" t="s">
        <v>305</v>
      </c>
      <c r="B243" s="63" t="s">
        <v>1625</v>
      </c>
      <c r="C243" s="64"/>
      <c r="D243" s="65"/>
      <c r="E243" s="66"/>
      <c r="F243" s="67"/>
      <c r="G243" s="64"/>
      <c r="H243" s="68"/>
      <c r="I243" s="69"/>
      <c r="J243" s="69"/>
      <c r="K243" s="32"/>
      <c r="L243" s="76">
        <v>243</v>
      </c>
      <c r="M243" s="76"/>
      <c r="N243" s="71"/>
      <c r="O243" s="87" t="s">
        <v>1839</v>
      </c>
      <c r="P243" s="90">
        <v>45138.748287037037</v>
      </c>
      <c r="Q243" s="87" t="s">
        <v>2080</v>
      </c>
      <c r="R243" s="87">
        <v>0</v>
      </c>
      <c r="S243" s="87">
        <v>3</v>
      </c>
      <c r="T243" s="87">
        <v>0</v>
      </c>
      <c r="U243" s="87">
        <v>0</v>
      </c>
      <c r="V243" s="87">
        <v>152</v>
      </c>
      <c r="W243" s="93" t="s">
        <v>6025</v>
      </c>
      <c r="X243" s="87"/>
      <c r="Y243" s="87"/>
      <c r="Z243" s="87" t="s">
        <v>1625</v>
      </c>
      <c r="AA243" s="87" t="s">
        <v>8799</v>
      </c>
      <c r="AB243" s="87" t="s">
        <v>11447</v>
      </c>
      <c r="AC243" s="93" t="s">
        <v>11467</v>
      </c>
      <c r="AD243" s="87" t="s">
        <v>11519</v>
      </c>
      <c r="AE243" s="92" t="str">
        <f>HYPERLINK("https://twitter.com/bitalk_podcast/status/1686073623537238016")</f>
        <v>https://twitter.com/bitalk_podcast/status/1686073623537238016</v>
      </c>
      <c r="AF243" s="90">
        <v>45138.748287037037</v>
      </c>
      <c r="AG243" s="99">
        <v>45138</v>
      </c>
      <c r="AH243" s="93" t="s">
        <v>11760</v>
      </c>
      <c r="AI243" s="87" t="b">
        <v>0</v>
      </c>
      <c r="AJ243" s="87"/>
      <c r="AK243" s="87"/>
      <c r="AL243" s="87"/>
      <c r="AM243" s="87"/>
      <c r="AN243" s="87"/>
      <c r="AO243" s="87"/>
      <c r="AP243" s="87"/>
      <c r="AQ243" s="87" t="s">
        <v>15612</v>
      </c>
      <c r="AR243" s="87">
        <v>64959</v>
      </c>
      <c r="AS243" s="87"/>
      <c r="AT243" s="87"/>
      <c r="AU243" s="87"/>
      <c r="AV243" s="92" t="str">
        <f>HYPERLINK("https://pbs.twimg.com/ext_tw_video_thumb/1686073591077486608/pu/img/Gniv6ZResKtrsOWO.jpg")</f>
        <v>https://pbs.twimg.com/ext_tw_video_thumb/1686073591077486608/pu/img/Gniv6ZResKtrsOWO.jpg</v>
      </c>
      <c r="AW243" s="93" t="s">
        <v>18496</v>
      </c>
      <c r="AX243" s="93" t="s">
        <v>18496</v>
      </c>
      <c r="AY243" s="87"/>
      <c r="AZ243" s="93" t="s">
        <v>22668</v>
      </c>
      <c r="BA243" s="93" t="s">
        <v>22668</v>
      </c>
      <c r="BB243" s="93" t="s">
        <v>22668</v>
      </c>
      <c r="BC243" s="93" t="s">
        <v>18496</v>
      </c>
      <c r="BD243" s="93" t="s">
        <v>22842</v>
      </c>
      <c r="BE243" s="87"/>
      <c r="BF243" s="87"/>
      <c r="BG243" s="87"/>
      <c r="BH243" s="87"/>
      <c r="BI243" s="87"/>
    </row>
    <row r="244" spans="1:61" x14ac:dyDescent="0.25">
      <c r="A244" s="63" t="s">
        <v>305</v>
      </c>
      <c r="B244" s="63" t="s">
        <v>1625</v>
      </c>
      <c r="C244" s="64"/>
      <c r="D244" s="65"/>
      <c r="E244" s="66"/>
      <c r="F244" s="67"/>
      <c r="G244" s="64"/>
      <c r="H244" s="68"/>
      <c r="I244" s="69"/>
      <c r="J244" s="69"/>
      <c r="K244" s="32"/>
      <c r="L244" s="76">
        <v>244</v>
      </c>
      <c r="M244" s="76"/>
      <c r="N244" s="71"/>
      <c r="O244" s="87" t="s">
        <v>1839</v>
      </c>
      <c r="P244" s="90">
        <v>45138.69940972222</v>
      </c>
      <c r="Q244" s="87" t="s">
        <v>2081</v>
      </c>
      <c r="R244" s="87">
        <v>0</v>
      </c>
      <c r="S244" s="87">
        <v>0</v>
      </c>
      <c r="T244" s="87">
        <v>0</v>
      </c>
      <c r="U244" s="87">
        <v>0</v>
      </c>
      <c r="V244" s="87">
        <v>88</v>
      </c>
      <c r="W244" s="93" t="s">
        <v>6026</v>
      </c>
      <c r="X244" s="87"/>
      <c r="Y244" s="87"/>
      <c r="Z244" s="87" t="s">
        <v>1625</v>
      </c>
      <c r="AA244" s="87" t="s">
        <v>8800</v>
      </c>
      <c r="AB244" s="87" t="s">
        <v>11447</v>
      </c>
      <c r="AC244" s="93" t="s">
        <v>11467</v>
      </c>
      <c r="AD244" s="87" t="s">
        <v>11519</v>
      </c>
      <c r="AE244" s="92" t="str">
        <f>HYPERLINK("https://twitter.com/bitalk_podcast/status/1686055911029080064")</f>
        <v>https://twitter.com/bitalk_podcast/status/1686055911029080064</v>
      </c>
      <c r="AF244" s="90">
        <v>45138.69940972222</v>
      </c>
      <c r="AG244" s="99">
        <v>45138</v>
      </c>
      <c r="AH244" s="93" t="s">
        <v>11752</v>
      </c>
      <c r="AI244" s="87" t="b">
        <v>0</v>
      </c>
      <c r="AJ244" s="87"/>
      <c r="AK244" s="87"/>
      <c r="AL244" s="87"/>
      <c r="AM244" s="87"/>
      <c r="AN244" s="87"/>
      <c r="AO244" s="87"/>
      <c r="AP244" s="87"/>
      <c r="AQ244" s="87" t="s">
        <v>15613</v>
      </c>
      <c r="AR244" s="87">
        <v>53951</v>
      </c>
      <c r="AS244" s="87"/>
      <c r="AT244" s="87"/>
      <c r="AU244" s="87"/>
      <c r="AV244" s="92" t="str">
        <f>HYPERLINK("https://pbs.twimg.com/ext_tw_video_thumb/1686055874853322766/pu/img/GfUdjnDHgicQu2ld.jpg")</f>
        <v>https://pbs.twimg.com/ext_tw_video_thumb/1686055874853322766/pu/img/GfUdjnDHgicQu2ld.jpg</v>
      </c>
      <c r="AW244" s="93" t="s">
        <v>18497</v>
      </c>
      <c r="AX244" s="93" t="s">
        <v>18497</v>
      </c>
      <c r="AY244" s="87"/>
      <c r="AZ244" s="93" t="s">
        <v>22668</v>
      </c>
      <c r="BA244" s="93" t="s">
        <v>22668</v>
      </c>
      <c r="BB244" s="93" t="s">
        <v>22668</v>
      </c>
      <c r="BC244" s="93" t="s">
        <v>18497</v>
      </c>
      <c r="BD244" s="93" t="s">
        <v>22842</v>
      </c>
      <c r="BE244" s="87"/>
      <c r="BF244" s="87"/>
      <c r="BG244" s="87"/>
      <c r="BH244" s="87"/>
      <c r="BI244" s="87"/>
    </row>
    <row r="245" spans="1:61" x14ac:dyDescent="0.25">
      <c r="A245" s="63" t="s">
        <v>305</v>
      </c>
      <c r="B245" s="63" t="s">
        <v>1625</v>
      </c>
      <c r="C245" s="64"/>
      <c r="D245" s="65"/>
      <c r="E245" s="66"/>
      <c r="F245" s="67"/>
      <c r="G245" s="64"/>
      <c r="H245" s="68"/>
      <c r="I245" s="69"/>
      <c r="J245" s="69"/>
      <c r="K245" s="32"/>
      <c r="L245" s="76">
        <v>245</v>
      </c>
      <c r="M245" s="76"/>
      <c r="N245" s="71"/>
      <c r="O245" s="87" t="s">
        <v>1839</v>
      </c>
      <c r="P245" s="90">
        <v>45124.699490740742</v>
      </c>
      <c r="Q245" s="87" t="s">
        <v>2082</v>
      </c>
      <c r="R245" s="87">
        <v>0</v>
      </c>
      <c r="S245" s="87">
        <v>0</v>
      </c>
      <c r="T245" s="87">
        <v>0</v>
      </c>
      <c r="U245" s="87">
        <v>0</v>
      </c>
      <c r="V245" s="87">
        <v>51</v>
      </c>
      <c r="W245" s="93" t="s">
        <v>6009</v>
      </c>
      <c r="X245" s="87"/>
      <c r="Y245" s="87"/>
      <c r="Z245" s="87" t="s">
        <v>1625</v>
      </c>
      <c r="AA245" s="87" t="s">
        <v>8801</v>
      </c>
      <c r="AB245" s="87" t="s">
        <v>11447</v>
      </c>
      <c r="AC245" s="93" t="s">
        <v>11467</v>
      </c>
      <c r="AD245" s="87" t="s">
        <v>11519</v>
      </c>
      <c r="AE245" s="92" t="str">
        <f>HYPERLINK("https://twitter.com/bitalk_podcast/status/1680982512984571904")</f>
        <v>https://twitter.com/bitalk_podcast/status/1680982512984571904</v>
      </c>
      <c r="AF245" s="90">
        <v>45124.699490740742</v>
      </c>
      <c r="AG245" s="99">
        <v>45124</v>
      </c>
      <c r="AH245" s="93" t="s">
        <v>11761</v>
      </c>
      <c r="AI245" s="87" t="b">
        <v>0</v>
      </c>
      <c r="AJ245" s="87"/>
      <c r="AK245" s="87"/>
      <c r="AL245" s="87"/>
      <c r="AM245" s="87"/>
      <c r="AN245" s="87"/>
      <c r="AO245" s="87"/>
      <c r="AP245" s="87"/>
      <c r="AQ245" s="87" t="s">
        <v>15614</v>
      </c>
      <c r="AR245" s="87">
        <v>136980</v>
      </c>
      <c r="AS245" s="87"/>
      <c r="AT245" s="87"/>
      <c r="AU245" s="87"/>
      <c r="AV245" s="92" t="str">
        <f>HYPERLINK("https://pbs.twimg.com/ext_tw_video_thumb/1680982448413237253/pu/img/Gd0AGGH93G7UEWmm.jpg")</f>
        <v>https://pbs.twimg.com/ext_tw_video_thumb/1680982448413237253/pu/img/Gd0AGGH93G7UEWmm.jpg</v>
      </c>
      <c r="AW245" s="93" t="s">
        <v>18498</v>
      </c>
      <c r="AX245" s="93" t="s">
        <v>18498</v>
      </c>
      <c r="AY245" s="87"/>
      <c r="AZ245" s="93" t="s">
        <v>22668</v>
      </c>
      <c r="BA245" s="93" t="s">
        <v>22668</v>
      </c>
      <c r="BB245" s="93" t="s">
        <v>22668</v>
      </c>
      <c r="BC245" s="93" t="s">
        <v>18498</v>
      </c>
      <c r="BD245" s="93" t="s">
        <v>22842</v>
      </c>
      <c r="BE245" s="87"/>
      <c r="BF245" s="87"/>
      <c r="BG245" s="87"/>
      <c r="BH245" s="87"/>
      <c r="BI245" s="87"/>
    </row>
    <row r="246" spans="1:61" x14ac:dyDescent="0.25">
      <c r="A246" s="63" t="s">
        <v>305</v>
      </c>
      <c r="B246" s="63" t="s">
        <v>1625</v>
      </c>
      <c r="C246" s="64"/>
      <c r="D246" s="65"/>
      <c r="E246" s="66"/>
      <c r="F246" s="67"/>
      <c r="G246" s="64"/>
      <c r="H246" s="68"/>
      <c r="I246" s="69"/>
      <c r="J246" s="69"/>
      <c r="K246" s="32"/>
      <c r="L246" s="76">
        <v>246</v>
      </c>
      <c r="M246" s="76"/>
      <c r="N246" s="71"/>
      <c r="O246" s="87" t="s">
        <v>1839</v>
      </c>
      <c r="P246" s="90">
        <v>45124.458819444444</v>
      </c>
      <c r="Q246" s="87" t="s">
        <v>2083</v>
      </c>
      <c r="R246" s="87">
        <v>0</v>
      </c>
      <c r="S246" s="87">
        <v>0</v>
      </c>
      <c r="T246" s="87">
        <v>0</v>
      </c>
      <c r="U246" s="87">
        <v>0</v>
      </c>
      <c r="V246" s="87">
        <v>53</v>
      </c>
      <c r="W246" s="93" t="s">
        <v>6027</v>
      </c>
      <c r="X246" s="87"/>
      <c r="Y246" s="87"/>
      <c r="Z246" s="87" t="s">
        <v>1625</v>
      </c>
      <c r="AA246" s="87" t="s">
        <v>8802</v>
      </c>
      <c r="AB246" s="87" t="s">
        <v>11447</v>
      </c>
      <c r="AC246" s="93" t="s">
        <v>11467</v>
      </c>
      <c r="AD246" s="87" t="s">
        <v>11519</v>
      </c>
      <c r="AE246" s="92" t="str">
        <f>HYPERLINK("https://twitter.com/bitalk_podcast/status/1680895296547565570")</f>
        <v>https://twitter.com/bitalk_podcast/status/1680895296547565570</v>
      </c>
      <c r="AF246" s="90">
        <v>45124.458819444444</v>
      </c>
      <c r="AG246" s="99">
        <v>45124</v>
      </c>
      <c r="AH246" s="93" t="s">
        <v>11762</v>
      </c>
      <c r="AI246" s="87" t="b">
        <v>0</v>
      </c>
      <c r="AJ246" s="87"/>
      <c r="AK246" s="87"/>
      <c r="AL246" s="87"/>
      <c r="AM246" s="87"/>
      <c r="AN246" s="87"/>
      <c r="AO246" s="87"/>
      <c r="AP246" s="87"/>
      <c r="AQ246" s="87" t="s">
        <v>15615</v>
      </c>
      <c r="AR246" s="87">
        <v>66986</v>
      </c>
      <c r="AS246" s="87"/>
      <c r="AT246" s="87"/>
      <c r="AU246" s="87"/>
      <c r="AV246" s="92" t="str">
        <f>HYPERLINK("https://pbs.twimg.com/ext_tw_video_thumb/1680895175705468929/pu/img/ID5iFDp-mRjb5hfa.jpg")</f>
        <v>https://pbs.twimg.com/ext_tw_video_thumb/1680895175705468929/pu/img/ID5iFDp-mRjb5hfa.jpg</v>
      </c>
      <c r="AW246" s="93" t="s">
        <v>18499</v>
      </c>
      <c r="AX246" s="93" t="s">
        <v>18499</v>
      </c>
      <c r="AY246" s="87"/>
      <c r="AZ246" s="93" t="s">
        <v>22668</v>
      </c>
      <c r="BA246" s="93" t="s">
        <v>22668</v>
      </c>
      <c r="BB246" s="93" t="s">
        <v>22668</v>
      </c>
      <c r="BC246" s="93" t="s">
        <v>18499</v>
      </c>
      <c r="BD246" s="93" t="s">
        <v>22842</v>
      </c>
      <c r="BE246" s="87"/>
      <c r="BF246" s="87"/>
      <c r="BG246" s="87"/>
      <c r="BH246" s="87"/>
      <c r="BI246" s="87"/>
    </row>
    <row r="247" spans="1:61" x14ac:dyDescent="0.25">
      <c r="A247" s="63" t="s">
        <v>305</v>
      </c>
      <c r="B247" s="63" t="s">
        <v>305</v>
      </c>
      <c r="C247" s="64"/>
      <c r="D247" s="65"/>
      <c r="E247" s="66"/>
      <c r="F247" s="67"/>
      <c r="G247" s="64"/>
      <c r="H247" s="68"/>
      <c r="I247" s="69"/>
      <c r="J247" s="69"/>
      <c r="K247" s="32"/>
      <c r="L247" s="76">
        <v>247</v>
      </c>
      <c r="M247" s="76"/>
      <c r="N247" s="71"/>
      <c r="O247" s="87" t="s">
        <v>179</v>
      </c>
      <c r="P247" s="90">
        <v>45118.458715277775</v>
      </c>
      <c r="Q247" s="87" t="s">
        <v>2084</v>
      </c>
      <c r="R247" s="87">
        <v>0</v>
      </c>
      <c r="S247" s="87">
        <v>1</v>
      </c>
      <c r="T247" s="87">
        <v>0</v>
      </c>
      <c r="U247" s="87">
        <v>0</v>
      </c>
      <c r="V247" s="87">
        <v>147</v>
      </c>
      <c r="W247" s="93" t="s">
        <v>6028</v>
      </c>
      <c r="X247" s="87"/>
      <c r="Y247" s="87"/>
      <c r="Z247" s="87"/>
      <c r="AA247" s="87" t="s">
        <v>8803</v>
      </c>
      <c r="AB247" s="87" t="s">
        <v>11447</v>
      </c>
      <c r="AC247" s="93" t="s">
        <v>11467</v>
      </c>
      <c r="AD247" s="87" t="s">
        <v>11519</v>
      </c>
      <c r="AE247" s="92" t="str">
        <f>HYPERLINK("https://twitter.com/bitalk_podcast/status/1678720931026333696")</f>
        <v>https://twitter.com/bitalk_podcast/status/1678720931026333696</v>
      </c>
      <c r="AF247" s="90">
        <v>45118.458715277775</v>
      </c>
      <c r="AG247" s="99">
        <v>45118</v>
      </c>
      <c r="AH247" s="93" t="s">
        <v>11763</v>
      </c>
      <c r="AI247" s="87" t="b">
        <v>0</v>
      </c>
      <c r="AJ247" s="87"/>
      <c r="AK247" s="87"/>
      <c r="AL247" s="87"/>
      <c r="AM247" s="87"/>
      <c r="AN247" s="87"/>
      <c r="AO247" s="87"/>
      <c r="AP247" s="87"/>
      <c r="AQ247" s="87" t="s">
        <v>15616</v>
      </c>
      <c r="AR247" s="87">
        <v>65876</v>
      </c>
      <c r="AS247" s="87"/>
      <c r="AT247" s="87"/>
      <c r="AU247" s="87"/>
      <c r="AV247" s="92" t="str">
        <f>HYPERLINK("https://pbs.twimg.com/ext_tw_video_thumb/1678720889838350337/pu/img/rispWiiAB9tVznDG.jpg")</f>
        <v>https://pbs.twimg.com/ext_tw_video_thumb/1678720889838350337/pu/img/rispWiiAB9tVznDG.jpg</v>
      </c>
      <c r="AW247" s="93" t="s">
        <v>18500</v>
      </c>
      <c r="AX247" s="93" t="s">
        <v>18500</v>
      </c>
      <c r="AY247" s="87"/>
      <c r="AZ247" s="93" t="s">
        <v>22668</v>
      </c>
      <c r="BA247" s="93" t="s">
        <v>22668</v>
      </c>
      <c r="BB247" s="93" t="s">
        <v>22668</v>
      </c>
      <c r="BC247" s="93" t="s">
        <v>18500</v>
      </c>
      <c r="BD247" s="93" t="s">
        <v>22842</v>
      </c>
      <c r="BE247" s="87"/>
      <c r="BF247" s="87"/>
      <c r="BG247" s="87"/>
      <c r="BH247" s="87"/>
      <c r="BI247" s="87"/>
    </row>
    <row r="248" spans="1:61" x14ac:dyDescent="0.25">
      <c r="A248" s="63" t="s">
        <v>305</v>
      </c>
      <c r="B248" s="63" t="s">
        <v>305</v>
      </c>
      <c r="C248" s="64"/>
      <c r="D248" s="65"/>
      <c r="E248" s="66"/>
      <c r="F248" s="67"/>
      <c r="G248" s="64"/>
      <c r="H248" s="68"/>
      <c r="I248" s="69"/>
      <c r="J248" s="69"/>
      <c r="K248" s="32"/>
      <c r="L248" s="76">
        <v>248</v>
      </c>
      <c r="M248" s="76"/>
      <c r="N248" s="71"/>
      <c r="O248" s="87" t="s">
        <v>179</v>
      </c>
      <c r="P248" s="90">
        <v>45119.459837962961</v>
      </c>
      <c r="Q248" s="87" t="s">
        <v>2085</v>
      </c>
      <c r="R248" s="87">
        <v>0</v>
      </c>
      <c r="S248" s="87">
        <v>2</v>
      </c>
      <c r="T248" s="87">
        <v>2</v>
      </c>
      <c r="U248" s="87">
        <v>0</v>
      </c>
      <c r="V248" s="87">
        <v>153</v>
      </c>
      <c r="W248" s="93" t="s">
        <v>6029</v>
      </c>
      <c r="X248" s="87"/>
      <c r="Y248" s="87"/>
      <c r="Z248" s="87"/>
      <c r="AA248" s="87" t="s">
        <v>8804</v>
      </c>
      <c r="AB248" s="87" t="s">
        <v>11447</v>
      </c>
      <c r="AC248" s="93" t="s">
        <v>11467</v>
      </c>
      <c r="AD248" s="87" t="s">
        <v>11519</v>
      </c>
      <c r="AE248" s="92" t="str">
        <f>HYPERLINK("https://twitter.com/bitalk_podcast/status/1679083725773053952")</f>
        <v>https://twitter.com/bitalk_podcast/status/1679083725773053952</v>
      </c>
      <c r="AF248" s="90">
        <v>45119.459837962961</v>
      </c>
      <c r="AG248" s="99">
        <v>45119</v>
      </c>
      <c r="AH248" s="93" t="s">
        <v>11764</v>
      </c>
      <c r="AI248" s="87" t="b">
        <v>0</v>
      </c>
      <c r="AJ248" s="87"/>
      <c r="AK248" s="87"/>
      <c r="AL248" s="87"/>
      <c r="AM248" s="87"/>
      <c r="AN248" s="87"/>
      <c r="AO248" s="87"/>
      <c r="AP248" s="87"/>
      <c r="AQ248" s="87" t="s">
        <v>15617</v>
      </c>
      <c r="AR248" s="87">
        <v>6911</v>
      </c>
      <c r="AS248" s="87"/>
      <c r="AT248" s="87"/>
      <c r="AU248" s="87"/>
      <c r="AV248" s="92" t="str">
        <f>HYPERLINK("https://pbs.twimg.com/ext_tw_video_thumb/1679083695150452736/pu/img/5WR8XZxisW5XbRea.jpg")</f>
        <v>https://pbs.twimg.com/ext_tw_video_thumb/1679083695150452736/pu/img/5WR8XZxisW5XbRea.jpg</v>
      </c>
      <c r="AW248" s="93" t="s">
        <v>18501</v>
      </c>
      <c r="AX248" s="93" t="s">
        <v>18501</v>
      </c>
      <c r="AY248" s="87"/>
      <c r="AZ248" s="93" t="s">
        <v>22668</v>
      </c>
      <c r="BA248" s="93" t="s">
        <v>22668</v>
      </c>
      <c r="BB248" s="93" t="s">
        <v>22668</v>
      </c>
      <c r="BC248" s="93" t="s">
        <v>18501</v>
      </c>
      <c r="BD248" s="93" t="s">
        <v>22842</v>
      </c>
      <c r="BE248" s="87"/>
      <c r="BF248" s="87"/>
      <c r="BG248" s="87"/>
      <c r="BH248" s="87"/>
      <c r="BI248" s="87"/>
    </row>
    <row r="249" spans="1:61" x14ac:dyDescent="0.25">
      <c r="A249" s="63" t="s">
        <v>305</v>
      </c>
      <c r="B249" s="63" t="s">
        <v>305</v>
      </c>
      <c r="C249" s="64"/>
      <c r="D249" s="65"/>
      <c r="E249" s="66"/>
      <c r="F249" s="67"/>
      <c r="G249" s="64"/>
      <c r="H249" s="68"/>
      <c r="I249" s="69"/>
      <c r="J249" s="69"/>
      <c r="K249" s="32"/>
      <c r="L249" s="76">
        <v>249</v>
      </c>
      <c r="M249" s="76"/>
      <c r="N249" s="71"/>
      <c r="O249" s="87" t="s">
        <v>179</v>
      </c>
      <c r="P249" s="90">
        <v>45112.699444444443</v>
      </c>
      <c r="Q249" s="87" t="s">
        <v>2086</v>
      </c>
      <c r="R249" s="87">
        <v>0</v>
      </c>
      <c r="S249" s="87">
        <v>2</v>
      </c>
      <c r="T249" s="87">
        <v>0</v>
      </c>
      <c r="U249" s="87">
        <v>0</v>
      </c>
      <c r="V249" s="87">
        <v>82</v>
      </c>
      <c r="W249" s="93" t="s">
        <v>6030</v>
      </c>
      <c r="X249" s="87"/>
      <c r="Y249" s="87"/>
      <c r="Z249" s="87"/>
      <c r="AA249" s="87" t="s">
        <v>8805</v>
      </c>
      <c r="AB249" s="87" t="s">
        <v>11447</v>
      </c>
      <c r="AC249" s="93" t="s">
        <v>11467</v>
      </c>
      <c r="AD249" s="87" t="s">
        <v>11519</v>
      </c>
      <c r="AE249" s="92" t="str">
        <f>HYPERLINK("https://twitter.com/bitalk_podcast/status/1676633840859709445")</f>
        <v>https://twitter.com/bitalk_podcast/status/1676633840859709445</v>
      </c>
      <c r="AF249" s="90">
        <v>45112.699444444443</v>
      </c>
      <c r="AG249" s="99">
        <v>45112</v>
      </c>
      <c r="AH249" s="93" t="s">
        <v>11755</v>
      </c>
      <c r="AI249" s="87" t="b">
        <v>0</v>
      </c>
      <c r="AJ249" s="87"/>
      <c r="AK249" s="87"/>
      <c r="AL249" s="87"/>
      <c r="AM249" s="87"/>
      <c r="AN249" s="87"/>
      <c r="AO249" s="87"/>
      <c r="AP249" s="87"/>
      <c r="AQ249" s="87" t="s">
        <v>15618</v>
      </c>
      <c r="AR249" s="87">
        <v>41428</v>
      </c>
      <c r="AS249" s="87"/>
      <c r="AT249" s="87"/>
      <c r="AU249" s="87"/>
      <c r="AV249" s="92" t="str">
        <f>HYPERLINK("https://pbs.twimg.com/ext_tw_video_thumb/1676633791371116546/pu/img/D7P1Y_RoyvAblovP.jpg")</f>
        <v>https://pbs.twimg.com/ext_tw_video_thumb/1676633791371116546/pu/img/D7P1Y_RoyvAblovP.jpg</v>
      </c>
      <c r="AW249" s="93" t="s">
        <v>18502</v>
      </c>
      <c r="AX249" s="93" t="s">
        <v>18502</v>
      </c>
      <c r="AY249" s="87"/>
      <c r="AZ249" s="93" t="s">
        <v>22668</v>
      </c>
      <c r="BA249" s="93" t="s">
        <v>22668</v>
      </c>
      <c r="BB249" s="93" t="s">
        <v>22668</v>
      </c>
      <c r="BC249" s="93" t="s">
        <v>18502</v>
      </c>
      <c r="BD249" s="93" t="s">
        <v>22842</v>
      </c>
      <c r="BE249" s="87"/>
      <c r="BF249" s="87"/>
      <c r="BG249" s="87"/>
      <c r="BH249" s="87"/>
      <c r="BI249" s="87"/>
    </row>
    <row r="250" spans="1:61" x14ac:dyDescent="0.25">
      <c r="A250" s="63" t="s">
        <v>305</v>
      </c>
      <c r="B250" s="63" t="s">
        <v>305</v>
      </c>
      <c r="C250" s="64"/>
      <c r="D250" s="65"/>
      <c r="E250" s="66"/>
      <c r="F250" s="67"/>
      <c r="G250" s="64"/>
      <c r="H250" s="68"/>
      <c r="I250" s="69"/>
      <c r="J250" s="69"/>
      <c r="K250" s="32"/>
      <c r="L250" s="76">
        <v>250</v>
      </c>
      <c r="M250" s="76"/>
      <c r="N250" s="71"/>
      <c r="O250" s="87" t="s">
        <v>179</v>
      </c>
      <c r="P250" s="90">
        <v>45112.459027777775</v>
      </c>
      <c r="Q250" s="87" t="s">
        <v>2087</v>
      </c>
      <c r="R250" s="87">
        <v>0</v>
      </c>
      <c r="S250" s="87">
        <v>0</v>
      </c>
      <c r="T250" s="87">
        <v>0</v>
      </c>
      <c r="U250" s="87">
        <v>0</v>
      </c>
      <c r="V250" s="87">
        <v>74</v>
      </c>
      <c r="W250" s="93" t="s">
        <v>6031</v>
      </c>
      <c r="X250" s="87"/>
      <c r="Y250" s="87"/>
      <c r="Z250" s="87"/>
      <c r="AA250" s="87" t="s">
        <v>8806</v>
      </c>
      <c r="AB250" s="87" t="s">
        <v>11447</v>
      </c>
      <c r="AC250" s="93" t="s">
        <v>11467</v>
      </c>
      <c r="AD250" s="87" t="s">
        <v>11519</v>
      </c>
      <c r="AE250" s="92" t="str">
        <f>HYPERLINK("https://twitter.com/bitalk_podcast/status/1676546717334794242")</f>
        <v>https://twitter.com/bitalk_podcast/status/1676546717334794242</v>
      </c>
      <c r="AF250" s="90">
        <v>45112.459027777775</v>
      </c>
      <c r="AG250" s="99">
        <v>45112</v>
      </c>
      <c r="AH250" s="93" t="s">
        <v>11765</v>
      </c>
      <c r="AI250" s="87" t="b">
        <v>0</v>
      </c>
      <c r="AJ250" s="87"/>
      <c r="AK250" s="87"/>
      <c r="AL250" s="87"/>
      <c r="AM250" s="87"/>
      <c r="AN250" s="87"/>
      <c r="AO250" s="87"/>
      <c r="AP250" s="87"/>
      <c r="AQ250" s="87" t="s">
        <v>15619</v>
      </c>
      <c r="AR250" s="87">
        <v>37610</v>
      </c>
      <c r="AS250" s="87"/>
      <c r="AT250" s="87"/>
      <c r="AU250" s="87"/>
      <c r="AV250" s="92" t="str">
        <f>HYPERLINK("https://pbs.twimg.com/ext_tw_video_thumb/1676546687186219010/pu/img/y0jutyu1XzAUpFhO.jpg")</f>
        <v>https://pbs.twimg.com/ext_tw_video_thumb/1676546687186219010/pu/img/y0jutyu1XzAUpFhO.jpg</v>
      </c>
      <c r="AW250" s="93" t="s">
        <v>18503</v>
      </c>
      <c r="AX250" s="93" t="s">
        <v>18503</v>
      </c>
      <c r="AY250" s="87"/>
      <c r="AZ250" s="93" t="s">
        <v>22668</v>
      </c>
      <c r="BA250" s="93" t="s">
        <v>22668</v>
      </c>
      <c r="BB250" s="93" t="s">
        <v>22668</v>
      </c>
      <c r="BC250" s="93" t="s">
        <v>18503</v>
      </c>
      <c r="BD250" s="93" t="s">
        <v>22842</v>
      </c>
      <c r="BE250" s="87"/>
      <c r="BF250" s="87"/>
      <c r="BG250" s="87"/>
      <c r="BH250" s="87"/>
      <c r="BI250" s="87"/>
    </row>
    <row r="251" spans="1:61" x14ac:dyDescent="0.25">
      <c r="A251" s="63" t="s">
        <v>305</v>
      </c>
      <c r="B251" s="63" t="s">
        <v>305</v>
      </c>
      <c r="C251" s="64"/>
      <c r="D251" s="65"/>
      <c r="E251" s="66"/>
      <c r="F251" s="67"/>
      <c r="G251" s="64"/>
      <c r="H251" s="68"/>
      <c r="I251" s="69"/>
      <c r="J251" s="69"/>
      <c r="K251" s="32"/>
      <c r="L251" s="76">
        <v>251</v>
      </c>
      <c r="M251" s="76"/>
      <c r="N251" s="71"/>
      <c r="O251" s="87" t="s">
        <v>179</v>
      </c>
      <c r="P251" s="90">
        <v>45114.459953703707</v>
      </c>
      <c r="Q251" s="87" t="s">
        <v>2088</v>
      </c>
      <c r="R251" s="87">
        <v>0</v>
      </c>
      <c r="S251" s="87">
        <v>1</v>
      </c>
      <c r="T251" s="87">
        <v>0</v>
      </c>
      <c r="U251" s="87">
        <v>0</v>
      </c>
      <c r="V251" s="87">
        <v>81</v>
      </c>
      <c r="W251" s="93" t="s">
        <v>6032</v>
      </c>
      <c r="X251" s="87"/>
      <c r="Y251" s="87"/>
      <c r="Z251" s="87"/>
      <c r="AA251" s="87" t="s">
        <v>8807</v>
      </c>
      <c r="AB251" s="87" t="s">
        <v>11447</v>
      </c>
      <c r="AC251" s="93" t="s">
        <v>11467</v>
      </c>
      <c r="AD251" s="87" t="s">
        <v>11519</v>
      </c>
      <c r="AE251" s="92" t="str">
        <f>HYPERLINK("https://twitter.com/bitalk_podcast/status/1677271826190221312")</f>
        <v>https://twitter.com/bitalk_podcast/status/1677271826190221312</v>
      </c>
      <c r="AF251" s="90">
        <v>45114.459953703707</v>
      </c>
      <c r="AG251" s="99">
        <v>45114</v>
      </c>
      <c r="AH251" s="93" t="s">
        <v>11754</v>
      </c>
      <c r="AI251" s="87" t="b">
        <v>0</v>
      </c>
      <c r="AJ251" s="87"/>
      <c r="AK251" s="87"/>
      <c r="AL251" s="87"/>
      <c r="AM251" s="87"/>
      <c r="AN251" s="87"/>
      <c r="AO251" s="87"/>
      <c r="AP251" s="87"/>
      <c r="AQ251" s="87" t="s">
        <v>15620</v>
      </c>
      <c r="AR251" s="87">
        <v>56895</v>
      </c>
      <c r="AS251" s="87"/>
      <c r="AT251" s="87"/>
      <c r="AU251" s="87"/>
      <c r="AV251" s="92" t="str">
        <f>HYPERLINK("https://pbs.twimg.com/ext_tw_video_thumb/1677271772440195072/pu/img/pTcpfmPbcFEb6l05.jpg")</f>
        <v>https://pbs.twimg.com/ext_tw_video_thumb/1677271772440195072/pu/img/pTcpfmPbcFEb6l05.jpg</v>
      </c>
      <c r="AW251" s="93" t="s">
        <v>18504</v>
      </c>
      <c r="AX251" s="93" t="s">
        <v>18504</v>
      </c>
      <c r="AY251" s="87"/>
      <c r="AZ251" s="93" t="s">
        <v>22668</v>
      </c>
      <c r="BA251" s="93" t="s">
        <v>22668</v>
      </c>
      <c r="BB251" s="93" t="s">
        <v>22668</v>
      </c>
      <c r="BC251" s="93" t="s">
        <v>18504</v>
      </c>
      <c r="BD251" s="93" t="s">
        <v>22842</v>
      </c>
      <c r="BE251" s="87"/>
      <c r="BF251" s="87"/>
      <c r="BG251" s="87"/>
      <c r="BH251" s="87"/>
      <c r="BI251" s="87"/>
    </row>
    <row r="252" spans="1:61" x14ac:dyDescent="0.25">
      <c r="A252" s="63" t="s">
        <v>305</v>
      </c>
      <c r="B252" s="63" t="s">
        <v>305</v>
      </c>
      <c r="C252" s="64"/>
      <c r="D252" s="65"/>
      <c r="E252" s="66"/>
      <c r="F252" s="67"/>
      <c r="G252" s="64"/>
      <c r="H252" s="68"/>
      <c r="I252" s="69"/>
      <c r="J252" s="69"/>
      <c r="K252" s="32"/>
      <c r="L252" s="76">
        <v>252</v>
      </c>
      <c r="M252" s="76"/>
      <c r="N252" s="71"/>
      <c r="O252" s="87" t="s">
        <v>179</v>
      </c>
      <c r="P252" s="90">
        <v>45117.534421296295</v>
      </c>
      <c r="Q252" s="87" t="s">
        <v>2089</v>
      </c>
      <c r="R252" s="87">
        <v>0</v>
      </c>
      <c r="S252" s="87">
        <v>0</v>
      </c>
      <c r="T252" s="87">
        <v>0</v>
      </c>
      <c r="U252" s="87">
        <v>0</v>
      </c>
      <c r="V252" s="87">
        <v>48</v>
      </c>
      <c r="W252" s="93" t="s">
        <v>6033</v>
      </c>
      <c r="X252" s="87"/>
      <c r="Y252" s="87"/>
      <c r="Z252" s="87"/>
      <c r="AA252" s="87" t="s">
        <v>8808</v>
      </c>
      <c r="AB252" s="87" t="s">
        <v>11447</v>
      </c>
      <c r="AC252" s="93" t="s">
        <v>11467</v>
      </c>
      <c r="AD252" s="87" t="s">
        <v>11519</v>
      </c>
      <c r="AE252" s="92" t="str">
        <f>HYPERLINK("https://twitter.com/bitalk_podcast/status/1678385978149412864")</f>
        <v>https://twitter.com/bitalk_podcast/status/1678385978149412864</v>
      </c>
      <c r="AF252" s="90">
        <v>45117.534421296295</v>
      </c>
      <c r="AG252" s="99">
        <v>45117</v>
      </c>
      <c r="AH252" s="93" t="s">
        <v>11766</v>
      </c>
      <c r="AI252" s="87" t="b">
        <v>0</v>
      </c>
      <c r="AJ252" s="87"/>
      <c r="AK252" s="87"/>
      <c r="AL252" s="87"/>
      <c r="AM252" s="87"/>
      <c r="AN252" s="87"/>
      <c r="AO252" s="87"/>
      <c r="AP252" s="87"/>
      <c r="AQ252" s="87" t="s">
        <v>15621</v>
      </c>
      <c r="AR252" s="87">
        <v>50815</v>
      </c>
      <c r="AS252" s="87"/>
      <c r="AT252" s="87"/>
      <c r="AU252" s="87"/>
      <c r="AV252" s="92" t="str">
        <f>HYPERLINK("https://pbs.twimg.com/ext_tw_video_thumb/1678385920217628672/pu/img/Iti79vVmrvwrB7cZ.jpg")</f>
        <v>https://pbs.twimg.com/ext_tw_video_thumb/1678385920217628672/pu/img/Iti79vVmrvwrB7cZ.jpg</v>
      </c>
      <c r="AW252" s="93" t="s">
        <v>18505</v>
      </c>
      <c r="AX252" s="93" t="s">
        <v>18505</v>
      </c>
      <c r="AY252" s="87"/>
      <c r="AZ252" s="93" t="s">
        <v>22668</v>
      </c>
      <c r="BA252" s="93" t="s">
        <v>22668</v>
      </c>
      <c r="BB252" s="93" t="s">
        <v>22668</v>
      </c>
      <c r="BC252" s="93" t="s">
        <v>18505</v>
      </c>
      <c r="BD252" s="93" t="s">
        <v>22842</v>
      </c>
      <c r="BE252" s="87"/>
      <c r="BF252" s="87"/>
      <c r="BG252" s="87"/>
      <c r="BH252" s="87"/>
      <c r="BI252" s="87"/>
    </row>
    <row r="253" spans="1:61" x14ac:dyDescent="0.25">
      <c r="A253" s="63" t="s">
        <v>306</v>
      </c>
      <c r="B253" s="63" t="s">
        <v>1367</v>
      </c>
      <c r="C253" s="64"/>
      <c r="D253" s="65"/>
      <c r="E253" s="66"/>
      <c r="F253" s="67"/>
      <c r="G253" s="64"/>
      <c r="H253" s="68"/>
      <c r="I253" s="69"/>
      <c r="J253" s="69"/>
      <c r="K253" s="32"/>
      <c r="L253" s="76">
        <v>253</v>
      </c>
      <c r="M253" s="76"/>
      <c r="N253" s="71"/>
      <c r="O253" s="87" t="s">
        <v>1841</v>
      </c>
      <c r="P253" s="90">
        <v>45191.128055555557</v>
      </c>
      <c r="Q253" s="87" t="s">
        <v>2090</v>
      </c>
      <c r="R253" s="87">
        <v>14</v>
      </c>
      <c r="S253" s="87">
        <v>0</v>
      </c>
      <c r="T253" s="87">
        <v>0</v>
      </c>
      <c r="U253" s="87">
        <v>0</v>
      </c>
      <c r="V253" s="87"/>
      <c r="W253" s="93" t="s">
        <v>6034</v>
      </c>
      <c r="X253" s="87"/>
      <c r="Y253" s="87"/>
      <c r="Z253" s="87" t="s">
        <v>1367</v>
      </c>
      <c r="AA253" s="87"/>
      <c r="AB253" s="87"/>
      <c r="AC253" s="93" t="s">
        <v>11458</v>
      </c>
      <c r="AD253" s="87" t="s">
        <v>11519</v>
      </c>
      <c r="AE253" s="92" t="str">
        <f>HYPERLINK("https://twitter.com/drleandroq/status/1705055416328081626")</f>
        <v>https://twitter.com/drleandroq/status/1705055416328081626</v>
      </c>
      <c r="AF253" s="90">
        <v>45191.128055555557</v>
      </c>
      <c r="AG253" s="99">
        <v>45191</v>
      </c>
      <c r="AH253" s="93" t="s">
        <v>11767</v>
      </c>
      <c r="AI253" s="87"/>
      <c r="AJ253" s="87"/>
      <c r="AK253" s="87"/>
      <c r="AL253" s="87"/>
      <c r="AM253" s="87"/>
      <c r="AN253" s="87"/>
      <c r="AO253" s="87"/>
      <c r="AP253" s="87"/>
      <c r="AQ253" s="87"/>
      <c r="AR253" s="87"/>
      <c r="AS253" s="87"/>
      <c r="AT253" s="87"/>
      <c r="AU253" s="87"/>
      <c r="AV253" s="92" t="str">
        <f>HYPERLINK("https://pbs.twimg.com/profile_images/1147925101687508997/rKN80d2X_normal.jpg")</f>
        <v>https://pbs.twimg.com/profile_images/1147925101687508997/rKN80d2X_normal.jpg</v>
      </c>
      <c r="AW253" s="93" t="s">
        <v>18506</v>
      </c>
      <c r="AX253" s="93" t="s">
        <v>18506</v>
      </c>
      <c r="AY253" s="87"/>
      <c r="AZ253" s="93" t="s">
        <v>22668</v>
      </c>
      <c r="BA253" s="93" t="s">
        <v>22668</v>
      </c>
      <c r="BB253" s="93" t="s">
        <v>21717</v>
      </c>
      <c r="BC253" s="93" t="s">
        <v>21717</v>
      </c>
      <c r="BD253" s="87">
        <v>4431246988</v>
      </c>
      <c r="BE253" s="87"/>
      <c r="BF253" s="87"/>
      <c r="BG253" s="87"/>
      <c r="BH253" s="87"/>
      <c r="BI253" s="87"/>
    </row>
    <row r="254" spans="1:61" x14ac:dyDescent="0.25">
      <c r="A254" s="63" t="s">
        <v>307</v>
      </c>
      <c r="B254" s="63" t="s">
        <v>307</v>
      </c>
      <c r="C254" s="64"/>
      <c r="D254" s="65"/>
      <c r="E254" s="66"/>
      <c r="F254" s="67"/>
      <c r="G254" s="64"/>
      <c r="H254" s="68"/>
      <c r="I254" s="69"/>
      <c r="J254" s="69"/>
      <c r="K254" s="32"/>
      <c r="L254" s="76">
        <v>254</v>
      </c>
      <c r="M254" s="76"/>
      <c r="N254" s="71"/>
      <c r="O254" s="87" t="s">
        <v>179</v>
      </c>
      <c r="P254" s="90">
        <v>45144.519918981481</v>
      </c>
      <c r="Q254" s="87" t="s">
        <v>2091</v>
      </c>
      <c r="R254" s="87">
        <v>0</v>
      </c>
      <c r="S254" s="87">
        <v>0</v>
      </c>
      <c r="T254" s="87">
        <v>0</v>
      </c>
      <c r="U254" s="87">
        <v>0</v>
      </c>
      <c r="V254" s="87">
        <v>5</v>
      </c>
      <c r="W254" s="93" t="s">
        <v>6035</v>
      </c>
      <c r="X254" s="87"/>
      <c r="Y254" s="87"/>
      <c r="Z254" s="87"/>
      <c r="AA254" s="87"/>
      <c r="AB254" s="87"/>
      <c r="AC254" s="93" t="s">
        <v>11457</v>
      </c>
      <c r="AD254" s="87" t="s">
        <v>11519</v>
      </c>
      <c r="AE254" s="92" t="str">
        <f>HYPERLINK("https://twitter.com/odileygoncalves/status/1688165195326107648")</f>
        <v>https://twitter.com/odileygoncalves/status/1688165195326107648</v>
      </c>
      <c r="AF254" s="90">
        <v>45144.519918981481</v>
      </c>
      <c r="AG254" s="99">
        <v>45144</v>
      </c>
      <c r="AH254" s="93" t="s">
        <v>11768</v>
      </c>
      <c r="AI254" s="87"/>
      <c r="AJ254" s="87"/>
      <c r="AK254" s="87"/>
      <c r="AL254" s="87"/>
      <c r="AM254" s="87"/>
      <c r="AN254" s="87"/>
      <c r="AO254" s="87"/>
      <c r="AP254" s="87"/>
      <c r="AQ254" s="87"/>
      <c r="AR254" s="87"/>
      <c r="AS254" s="87"/>
      <c r="AT254" s="87"/>
      <c r="AU254" s="87"/>
      <c r="AV254" s="92" t="str">
        <f>HYPERLINK("https://pbs.twimg.com/profile_images/1688163821578297344/bKPgqWJF_normal.jpg")</f>
        <v>https://pbs.twimg.com/profile_images/1688163821578297344/bKPgqWJF_normal.jpg</v>
      </c>
      <c r="AW254" s="93" t="s">
        <v>18507</v>
      </c>
      <c r="AX254" s="93" t="s">
        <v>18507</v>
      </c>
      <c r="AY254" s="87"/>
      <c r="AZ254" s="93" t="s">
        <v>22668</v>
      </c>
      <c r="BA254" s="93" t="s">
        <v>22668</v>
      </c>
      <c r="BB254" s="93" t="s">
        <v>22668</v>
      </c>
      <c r="BC254" s="93" t="s">
        <v>18507</v>
      </c>
      <c r="BD254" s="93" t="s">
        <v>22843</v>
      </c>
      <c r="BE254" s="87"/>
      <c r="BF254" s="87"/>
      <c r="BG254" s="87"/>
      <c r="BH254" s="87"/>
      <c r="BI254" s="87"/>
    </row>
    <row r="255" spans="1:61" x14ac:dyDescent="0.25">
      <c r="A255" s="63" t="s">
        <v>308</v>
      </c>
      <c r="B255" s="63" t="s">
        <v>308</v>
      </c>
      <c r="C255" s="64"/>
      <c r="D255" s="65"/>
      <c r="E255" s="66"/>
      <c r="F255" s="67"/>
      <c r="G255" s="64"/>
      <c r="H255" s="68"/>
      <c r="I255" s="69"/>
      <c r="J255" s="69"/>
      <c r="K255" s="32"/>
      <c r="L255" s="76">
        <v>255</v>
      </c>
      <c r="M255" s="76"/>
      <c r="N255" s="71"/>
      <c r="O255" s="87" t="s">
        <v>179</v>
      </c>
      <c r="P255" s="90">
        <v>45166.66673611111</v>
      </c>
      <c r="Q255" s="87" t="s">
        <v>2092</v>
      </c>
      <c r="R255" s="87">
        <v>0</v>
      </c>
      <c r="S255" s="87">
        <v>0</v>
      </c>
      <c r="T255" s="87">
        <v>0</v>
      </c>
      <c r="U255" s="87">
        <v>0</v>
      </c>
      <c r="V255" s="87">
        <v>15</v>
      </c>
      <c r="W255" s="93" t="s">
        <v>6036</v>
      </c>
      <c r="X255" s="92" t="str">
        <f>HYPERLINK("https://4et.us/s02kq3")</f>
        <v>https://4et.us/s02kq3</v>
      </c>
      <c r="Y255" s="87" t="s">
        <v>8385</v>
      </c>
      <c r="Z255" s="87"/>
      <c r="AA255" s="87"/>
      <c r="AB255" s="87"/>
      <c r="AC255" s="93" t="s">
        <v>11462</v>
      </c>
      <c r="AD255" s="87" t="s">
        <v>11519</v>
      </c>
      <c r="AE255" s="92" t="str">
        <f>HYPERLINK("https://twitter.com/pdofranchising/status/1696190929760059873")</f>
        <v>https://twitter.com/pdofranchising/status/1696190929760059873</v>
      </c>
      <c r="AF255" s="90">
        <v>45166.66673611111</v>
      </c>
      <c r="AG255" s="99">
        <v>45166</v>
      </c>
      <c r="AH255" s="93" t="s">
        <v>11769</v>
      </c>
      <c r="AI255" s="87" t="b">
        <v>0</v>
      </c>
      <c r="AJ255" s="87"/>
      <c r="AK255" s="87"/>
      <c r="AL255" s="87"/>
      <c r="AM255" s="87"/>
      <c r="AN255" s="87"/>
      <c r="AO255" s="87"/>
      <c r="AP255" s="87"/>
      <c r="AQ255" s="87"/>
      <c r="AR255" s="87"/>
      <c r="AS255" s="87"/>
      <c r="AT255" s="87"/>
      <c r="AU255" s="87"/>
      <c r="AV255" s="92" t="str">
        <f>HYPERLINK("https://pbs.twimg.com/profile_images/1694734723740770304/jAdQ9Udu_normal.jpg")</f>
        <v>https://pbs.twimg.com/profile_images/1694734723740770304/jAdQ9Udu_normal.jpg</v>
      </c>
      <c r="AW255" s="93" t="s">
        <v>18508</v>
      </c>
      <c r="AX255" s="93" t="s">
        <v>18508</v>
      </c>
      <c r="AY255" s="87"/>
      <c r="AZ255" s="93" t="s">
        <v>22668</v>
      </c>
      <c r="BA255" s="93" t="s">
        <v>22668</v>
      </c>
      <c r="BB255" s="93" t="s">
        <v>22668</v>
      </c>
      <c r="BC255" s="93" t="s">
        <v>18508</v>
      </c>
      <c r="BD255" s="87">
        <v>531619346</v>
      </c>
      <c r="BE255" s="87"/>
      <c r="BF255" s="87"/>
      <c r="BG255" s="87"/>
      <c r="BH255" s="87"/>
      <c r="BI255" s="87"/>
    </row>
    <row r="256" spans="1:61" x14ac:dyDescent="0.25">
      <c r="A256" s="63" t="s">
        <v>308</v>
      </c>
      <c r="B256" s="63" t="s">
        <v>308</v>
      </c>
      <c r="C256" s="64"/>
      <c r="D256" s="65"/>
      <c r="E256" s="66"/>
      <c r="F256" s="67"/>
      <c r="G256" s="64"/>
      <c r="H256" s="68"/>
      <c r="I256" s="69"/>
      <c r="J256" s="69"/>
      <c r="K256" s="32"/>
      <c r="L256" s="76">
        <v>256</v>
      </c>
      <c r="M256" s="76"/>
      <c r="N256" s="71"/>
      <c r="O256" s="87" t="s">
        <v>179</v>
      </c>
      <c r="P256" s="90">
        <v>45166.543796296297</v>
      </c>
      <c r="Q256" s="87" t="s">
        <v>2093</v>
      </c>
      <c r="R256" s="87">
        <v>0</v>
      </c>
      <c r="S256" s="87">
        <v>0</v>
      </c>
      <c r="T256" s="87">
        <v>0</v>
      </c>
      <c r="U256" s="87">
        <v>0</v>
      </c>
      <c r="V256" s="87">
        <v>21</v>
      </c>
      <c r="W256" s="93" t="s">
        <v>6037</v>
      </c>
      <c r="X256" s="92" t="str">
        <f>HYPERLINK("https://4et.us/s02knx")</f>
        <v>https://4et.us/s02knx</v>
      </c>
      <c r="Y256" s="87" t="s">
        <v>8385</v>
      </c>
      <c r="Z256" s="87"/>
      <c r="AA256" s="87"/>
      <c r="AB256" s="87"/>
      <c r="AC256" s="93" t="s">
        <v>11462</v>
      </c>
      <c r="AD256" s="87" t="s">
        <v>11519</v>
      </c>
      <c r="AE256" s="92" t="str">
        <f>HYPERLINK("https://twitter.com/pdofranchising/status/1696146378626343158")</f>
        <v>https://twitter.com/pdofranchising/status/1696146378626343158</v>
      </c>
      <c r="AF256" s="90">
        <v>45166.543796296297</v>
      </c>
      <c r="AG256" s="99">
        <v>45166</v>
      </c>
      <c r="AH256" s="93" t="s">
        <v>11770</v>
      </c>
      <c r="AI256" s="87" t="b">
        <v>0</v>
      </c>
      <c r="AJ256" s="87"/>
      <c r="AK256" s="87"/>
      <c r="AL256" s="87"/>
      <c r="AM256" s="87"/>
      <c r="AN256" s="87"/>
      <c r="AO256" s="87"/>
      <c r="AP256" s="87"/>
      <c r="AQ256" s="87"/>
      <c r="AR256" s="87"/>
      <c r="AS256" s="87"/>
      <c r="AT256" s="87"/>
      <c r="AU256" s="87"/>
      <c r="AV256" s="92" t="str">
        <f>HYPERLINK("https://pbs.twimg.com/profile_images/1694734723740770304/jAdQ9Udu_normal.jpg")</f>
        <v>https://pbs.twimg.com/profile_images/1694734723740770304/jAdQ9Udu_normal.jpg</v>
      </c>
      <c r="AW256" s="93" t="s">
        <v>18509</v>
      </c>
      <c r="AX256" s="93" t="s">
        <v>18509</v>
      </c>
      <c r="AY256" s="87"/>
      <c r="AZ256" s="93" t="s">
        <v>22668</v>
      </c>
      <c r="BA256" s="93" t="s">
        <v>22668</v>
      </c>
      <c r="BB256" s="93" t="s">
        <v>22668</v>
      </c>
      <c r="BC256" s="93" t="s">
        <v>18509</v>
      </c>
      <c r="BD256" s="87">
        <v>531619346</v>
      </c>
      <c r="BE256" s="87"/>
      <c r="BF256" s="87"/>
      <c r="BG256" s="87"/>
      <c r="BH256" s="87"/>
      <c r="BI256" s="87"/>
    </row>
    <row r="257" spans="1:61" x14ac:dyDescent="0.25">
      <c r="A257" s="63" t="s">
        <v>308</v>
      </c>
      <c r="B257" s="63" t="s">
        <v>308</v>
      </c>
      <c r="C257" s="64"/>
      <c r="D257" s="65"/>
      <c r="E257" s="66"/>
      <c r="F257" s="67"/>
      <c r="G257" s="64"/>
      <c r="H257" s="68"/>
      <c r="I257" s="69"/>
      <c r="J257" s="69"/>
      <c r="K257" s="32"/>
      <c r="L257" s="76">
        <v>257</v>
      </c>
      <c r="M257" s="76"/>
      <c r="N257" s="71"/>
      <c r="O257" s="87" t="s">
        <v>179</v>
      </c>
      <c r="P257" s="90">
        <v>45195.909745370373</v>
      </c>
      <c r="Q257" s="87" t="s">
        <v>2094</v>
      </c>
      <c r="R257" s="87">
        <v>0</v>
      </c>
      <c r="S257" s="87">
        <v>0</v>
      </c>
      <c r="T257" s="87">
        <v>0</v>
      </c>
      <c r="U257" s="87">
        <v>0</v>
      </c>
      <c r="V257" s="87">
        <v>2</v>
      </c>
      <c r="W257" s="93" t="s">
        <v>6038</v>
      </c>
      <c r="X257" s="92" t="str">
        <f>HYPERLINK("https://4et.us/s1m4ls")</f>
        <v>https://4et.us/s1m4ls</v>
      </c>
      <c r="Y257" s="87" t="s">
        <v>8385</v>
      </c>
      <c r="Z257" s="87"/>
      <c r="AA257" s="87"/>
      <c r="AB257" s="87"/>
      <c r="AC257" s="93" t="s">
        <v>11462</v>
      </c>
      <c r="AD257" s="87" t="s">
        <v>11519</v>
      </c>
      <c r="AE257" s="92" t="str">
        <f>HYPERLINK("https://twitter.com/pdofranchising/status/1706788244476629299")</f>
        <v>https://twitter.com/pdofranchising/status/1706788244476629299</v>
      </c>
      <c r="AF257" s="90">
        <v>45195.909745370373</v>
      </c>
      <c r="AG257" s="99">
        <v>45195</v>
      </c>
      <c r="AH257" s="93" t="s">
        <v>11771</v>
      </c>
      <c r="AI257" s="87" t="b">
        <v>0</v>
      </c>
      <c r="AJ257" s="87"/>
      <c r="AK257" s="87"/>
      <c r="AL257" s="87"/>
      <c r="AM257" s="87"/>
      <c r="AN257" s="87"/>
      <c r="AO257" s="87"/>
      <c r="AP257" s="87"/>
      <c r="AQ257" s="87"/>
      <c r="AR257" s="87"/>
      <c r="AS257" s="87"/>
      <c r="AT257" s="87"/>
      <c r="AU257" s="87"/>
      <c r="AV257" s="92" t="str">
        <f>HYPERLINK("https://pbs.twimg.com/profile_images/1694734723740770304/jAdQ9Udu_normal.jpg")</f>
        <v>https://pbs.twimg.com/profile_images/1694734723740770304/jAdQ9Udu_normal.jpg</v>
      </c>
      <c r="AW257" s="93" t="s">
        <v>18510</v>
      </c>
      <c r="AX257" s="93" t="s">
        <v>18510</v>
      </c>
      <c r="AY257" s="87"/>
      <c r="AZ257" s="93" t="s">
        <v>22668</v>
      </c>
      <c r="BA257" s="93" t="s">
        <v>22668</v>
      </c>
      <c r="BB257" s="93" t="s">
        <v>22668</v>
      </c>
      <c r="BC257" s="93" t="s">
        <v>18510</v>
      </c>
      <c r="BD257" s="87">
        <v>531619346</v>
      </c>
      <c r="BE257" s="87"/>
      <c r="BF257" s="87"/>
      <c r="BG257" s="87"/>
      <c r="BH257" s="87"/>
      <c r="BI257" s="87"/>
    </row>
    <row r="258" spans="1:61" x14ac:dyDescent="0.25">
      <c r="A258" s="63" t="s">
        <v>309</v>
      </c>
      <c r="B258" s="63" t="s">
        <v>309</v>
      </c>
      <c r="C258" s="64"/>
      <c r="D258" s="65"/>
      <c r="E258" s="66"/>
      <c r="F258" s="67"/>
      <c r="G258" s="64"/>
      <c r="H258" s="68"/>
      <c r="I258" s="69"/>
      <c r="J258" s="69"/>
      <c r="K258" s="32"/>
      <c r="L258" s="76">
        <v>258</v>
      </c>
      <c r="M258" s="76"/>
      <c r="N258" s="71"/>
      <c r="O258" s="87" t="s">
        <v>179</v>
      </c>
      <c r="P258" s="90">
        <v>45143.791666666664</v>
      </c>
      <c r="Q258" s="87" t="s">
        <v>2095</v>
      </c>
      <c r="R258" s="87">
        <v>0</v>
      </c>
      <c r="S258" s="87">
        <v>0</v>
      </c>
      <c r="T258" s="87">
        <v>0</v>
      </c>
      <c r="U258" s="87">
        <v>0</v>
      </c>
      <c r="V258" s="87">
        <v>68</v>
      </c>
      <c r="W258" s="93" t="s">
        <v>6039</v>
      </c>
      <c r="X258" s="87"/>
      <c r="Y258" s="87"/>
      <c r="Z258" s="87"/>
      <c r="AA258" s="87" t="s">
        <v>8809</v>
      </c>
      <c r="AB258" s="87" t="s">
        <v>11447</v>
      </c>
      <c r="AC258" s="93" t="s">
        <v>11468</v>
      </c>
      <c r="AD258" s="87" t="s">
        <v>11519</v>
      </c>
      <c r="AE258" s="92" t="str">
        <f>HYPERLINK("https://twitter.com/panflixoficial/status/1687901282814795778")</f>
        <v>https://twitter.com/panflixoficial/status/1687901282814795778</v>
      </c>
      <c r="AF258" s="90">
        <v>45143.791666666664</v>
      </c>
      <c r="AG258" s="99">
        <v>45143</v>
      </c>
      <c r="AH258" s="93" t="s">
        <v>11772</v>
      </c>
      <c r="AI258" s="87" t="b">
        <v>0</v>
      </c>
      <c r="AJ258" s="87"/>
      <c r="AK258" s="87"/>
      <c r="AL258" s="87"/>
      <c r="AM258" s="87"/>
      <c r="AN258" s="87"/>
      <c r="AO258" s="87"/>
      <c r="AP258" s="87"/>
      <c r="AQ258" s="87" t="s">
        <v>15622</v>
      </c>
      <c r="AR258" s="87">
        <v>469903</v>
      </c>
      <c r="AS258" s="87"/>
      <c r="AT258" s="87"/>
      <c r="AU258" s="87"/>
      <c r="AV258" s="92" t="str">
        <f>HYPERLINK("https://pbs.twimg.com/media/F2uS8pDWoAAl6LE.jpg")</f>
        <v>https://pbs.twimg.com/media/F2uS8pDWoAAl6LE.jpg</v>
      </c>
      <c r="AW258" s="93" t="s">
        <v>18511</v>
      </c>
      <c r="AX258" s="93" t="s">
        <v>18511</v>
      </c>
      <c r="AY258" s="87"/>
      <c r="AZ258" s="93" t="s">
        <v>22668</v>
      </c>
      <c r="BA258" s="93" t="s">
        <v>22668</v>
      </c>
      <c r="BB258" s="93" t="s">
        <v>22668</v>
      </c>
      <c r="BC258" s="93" t="s">
        <v>18511</v>
      </c>
      <c r="BD258" s="93" t="s">
        <v>22844</v>
      </c>
      <c r="BE258" s="87"/>
      <c r="BF258" s="87"/>
      <c r="BG258" s="87"/>
      <c r="BH258" s="87"/>
      <c r="BI258" s="87"/>
    </row>
    <row r="259" spans="1:61" x14ac:dyDescent="0.25">
      <c r="A259" s="63" t="s">
        <v>309</v>
      </c>
      <c r="B259" s="63" t="s">
        <v>309</v>
      </c>
      <c r="C259" s="64"/>
      <c r="D259" s="65"/>
      <c r="E259" s="66"/>
      <c r="F259" s="67"/>
      <c r="G259" s="64"/>
      <c r="H259" s="68"/>
      <c r="I259" s="69"/>
      <c r="J259" s="69"/>
      <c r="K259" s="32"/>
      <c r="L259" s="76">
        <v>259</v>
      </c>
      <c r="M259" s="76"/>
      <c r="N259" s="71"/>
      <c r="O259" s="87" t="s">
        <v>179</v>
      </c>
      <c r="P259" s="90">
        <v>45142.833333333336</v>
      </c>
      <c r="Q259" s="87" t="s">
        <v>2096</v>
      </c>
      <c r="R259" s="87">
        <v>1</v>
      </c>
      <c r="S259" s="87">
        <v>0</v>
      </c>
      <c r="T259" s="87">
        <v>0</v>
      </c>
      <c r="U259" s="87">
        <v>0</v>
      </c>
      <c r="V259" s="87">
        <v>73</v>
      </c>
      <c r="W259" s="93" t="s">
        <v>6040</v>
      </c>
      <c r="X259" s="87"/>
      <c r="Y259" s="87"/>
      <c r="Z259" s="87"/>
      <c r="AA259" s="87" t="s">
        <v>8810</v>
      </c>
      <c r="AB259" s="87" t="s">
        <v>11447</v>
      </c>
      <c r="AC259" s="93" t="s">
        <v>11468</v>
      </c>
      <c r="AD259" s="87" t="s">
        <v>11519</v>
      </c>
      <c r="AE259" s="92" t="str">
        <f>HYPERLINK("https://twitter.com/panflixoficial/status/1687553997861961728")</f>
        <v>https://twitter.com/panflixoficial/status/1687553997861961728</v>
      </c>
      <c r="AF259" s="90">
        <v>45142.833333333336</v>
      </c>
      <c r="AG259" s="99">
        <v>45142</v>
      </c>
      <c r="AH259" s="93" t="s">
        <v>11773</v>
      </c>
      <c r="AI259" s="87" t="b">
        <v>0</v>
      </c>
      <c r="AJ259" s="87"/>
      <c r="AK259" s="87"/>
      <c r="AL259" s="87"/>
      <c r="AM259" s="87"/>
      <c r="AN259" s="87"/>
      <c r="AO259" s="87"/>
      <c r="AP259" s="87"/>
      <c r="AQ259" s="87" t="s">
        <v>15623</v>
      </c>
      <c r="AR259" s="87">
        <v>445800</v>
      </c>
      <c r="AS259" s="87"/>
      <c r="AT259" s="87"/>
      <c r="AU259" s="87"/>
      <c r="AV259" s="92" t="str">
        <f>HYPERLINK("https://pbs.twimg.com/media/F2tXhDUXAAkkLa1.jpg")</f>
        <v>https://pbs.twimg.com/media/F2tXhDUXAAkkLa1.jpg</v>
      </c>
      <c r="AW259" s="93" t="s">
        <v>18512</v>
      </c>
      <c r="AX259" s="93" t="s">
        <v>18512</v>
      </c>
      <c r="AY259" s="87"/>
      <c r="AZ259" s="93" t="s">
        <v>22668</v>
      </c>
      <c r="BA259" s="93" t="s">
        <v>22668</v>
      </c>
      <c r="BB259" s="93" t="s">
        <v>22668</v>
      </c>
      <c r="BC259" s="93" t="s">
        <v>18512</v>
      </c>
      <c r="BD259" s="93" t="s">
        <v>22844</v>
      </c>
      <c r="BE259" s="87"/>
      <c r="BF259" s="87"/>
      <c r="BG259" s="87"/>
      <c r="BH259" s="87"/>
      <c r="BI259" s="87"/>
    </row>
    <row r="260" spans="1:61" x14ac:dyDescent="0.25">
      <c r="A260" s="63" t="s">
        <v>309</v>
      </c>
      <c r="B260" s="63" t="s">
        <v>309</v>
      </c>
      <c r="C260" s="64"/>
      <c r="D260" s="65"/>
      <c r="E260" s="66"/>
      <c r="F260" s="67"/>
      <c r="G260" s="64"/>
      <c r="H260" s="68"/>
      <c r="I260" s="69"/>
      <c r="J260" s="69"/>
      <c r="K260" s="32"/>
      <c r="L260" s="76">
        <v>260</v>
      </c>
      <c r="M260" s="76"/>
      <c r="N260" s="71"/>
      <c r="O260" s="87" t="s">
        <v>179</v>
      </c>
      <c r="P260" s="90">
        <v>45166.250011574077</v>
      </c>
      <c r="Q260" s="87" t="s">
        <v>2097</v>
      </c>
      <c r="R260" s="87">
        <v>2</v>
      </c>
      <c r="S260" s="87">
        <v>2</v>
      </c>
      <c r="T260" s="87">
        <v>0</v>
      </c>
      <c r="U260" s="87">
        <v>0</v>
      </c>
      <c r="V260" s="87">
        <v>230</v>
      </c>
      <c r="W260" s="93" t="s">
        <v>6041</v>
      </c>
      <c r="X260" s="87"/>
      <c r="Y260" s="87"/>
      <c r="Z260" s="87"/>
      <c r="AA260" s="87" t="s">
        <v>8811</v>
      </c>
      <c r="AB260" s="87" t="s">
        <v>11447</v>
      </c>
      <c r="AC260" s="93" t="s">
        <v>11468</v>
      </c>
      <c r="AD260" s="87" t="s">
        <v>11519</v>
      </c>
      <c r="AE260" s="92" t="str">
        <f>HYPERLINK("https://twitter.com/panflixoficial/status/1696039915669078339")</f>
        <v>https://twitter.com/panflixoficial/status/1696039915669078339</v>
      </c>
      <c r="AF260" s="90">
        <v>45166.250011574077</v>
      </c>
      <c r="AG260" s="99">
        <v>45166</v>
      </c>
      <c r="AH260" s="93" t="s">
        <v>11774</v>
      </c>
      <c r="AI260" s="87" t="b">
        <v>0</v>
      </c>
      <c r="AJ260" s="87"/>
      <c r="AK260" s="87"/>
      <c r="AL260" s="87"/>
      <c r="AM260" s="87"/>
      <c r="AN260" s="87"/>
      <c r="AO260" s="87"/>
      <c r="AP260" s="87"/>
      <c r="AQ260" s="87" t="s">
        <v>15624</v>
      </c>
      <c r="AR260" s="87">
        <v>144043</v>
      </c>
      <c r="AS260" s="87"/>
      <c r="AT260" s="87"/>
      <c r="AU260" s="87"/>
      <c r="AV260" s="92" t="str">
        <f>HYPERLINK("https://pbs.twimg.com/amplify_video_thumb/1695806559639797761/img/P-oJ4lZQvzW4HuJz.jpg")</f>
        <v>https://pbs.twimg.com/amplify_video_thumb/1695806559639797761/img/P-oJ4lZQvzW4HuJz.jpg</v>
      </c>
      <c r="AW260" s="93" t="s">
        <v>18513</v>
      </c>
      <c r="AX260" s="93" t="s">
        <v>18513</v>
      </c>
      <c r="AY260" s="87"/>
      <c r="AZ260" s="93" t="s">
        <v>22668</v>
      </c>
      <c r="BA260" s="93" t="s">
        <v>22668</v>
      </c>
      <c r="BB260" s="93" t="s">
        <v>22668</v>
      </c>
      <c r="BC260" s="93" t="s">
        <v>18513</v>
      </c>
      <c r="BD260" s="93" t="s">
        <v>22844</v>
      </c>
      <c r="BE260" s="87"/>
      <c r="BF260" s="87"/>
      <c r="BG260" s="87"/>
      <c r="BH260" s="87"/>
      <c r="BI260" s="87"/>
    </row>
    <row r="261" spans="1:61" x14ac:dyDescent="0.25">
      <c r="A261" s="63" t="s">
        <v>309</v>
      </c>
      <c r="B261" s="63" t="s">
        <v>309</v>
      </c>
      <c r="C261" s="64"/>
      <c r="D261" s="65"/>
      <c r="E261" s="66"/>
      <c r="F261" s="67"/>
      <c r="G261" s="64"/>
      <c r="H261" s="68"/>
      <c r="I261" s="69"/>
      <c r="J261" s="69"/>
      <c r="K261" s="32"/>
      <c r="L261" s="76">
        <v>261</v>
      </c>
      <c r="M261" s="76"/>
      <c r="N261" s="71"/>
      <c r="O261" s="87" t="s">
        <v>179</v>
      </c>
      <c r="P261" s="90">
        <v>45181.583356481482</v>
      </c>
      <c r="Q261" s="87" t="s">
        <v>2098</v>
      </c>
      <c r="R261" s="87">
        <v>1</v>
      </c>
      <c r="S261" s="87">
        <v>1</v>
      </c>
      <c r="T261" s="87">
        <v>0</v>
      </c>
      <c r="U261" s="87">
        <v>0</v>
      </c>
      <c r="V261" s="87">
        <v>68</v>
      </c>
      <c r="W261" s="93" t="s">
        <v>6042</v>
      </c>
      <c r="X261" s="87"/>
      <c r="Y261" s="87"/>
      <c r="Z261" s="87"/>
      <c r="AA261" s="87" t="s">
        <v>8812</v>
      </c>
      <c r="AB261" s="87" t="s">
        <v>11447</v>
      </c>
      <c r="AC261" s="93" t="s">
        <v>11468</v>
      </c>
      <c r="AD261" s="87" t="s">
        <v>11519</v>
      </c>
      <c r="AE261" s="92" t="str">
        <f>HYPERLINK("https://twitter.com/panflixoficial/status/1701596534130032686")</f>
        <v>https://twitter.com/panflixoficial/status/1701596534130032686</v>
      </c>
      <c r="AF261" s="90">
        <v>45181.583356481482</v>
      </c>
      <c r="AG261" s="99">
        <v>45181</v>
      </c>
      <c r="AH261" s="93" t="s">
        <v>11775</v>
      </c>
      <c r="AI261" s="87" t="b">
        <v>0</v>
      </c>
      <c r="AJ261" s="87"/>
      <c r="AK261" s="87"/>
      <c r="AL261" s="87"/>
      <c r="AM261" s="87"/>
      <c r="AN261" s="87"/>
      <c r="AO261" s="87"/>
      <c r="AP261" s="87"/>
      <c r="AQ261" s="87" t="s">
        <v>15625</v>
      </c>
      <c r="AR261" s="87">
        <v>511094</v>
      </c>
      <c r="AS261" s="87"/>
      <c r="AT261" s="87"/>
      <c r="AU261" s="87"/>
      <c r="AV261" s="92" t="str">
        <f>HYPERLINK("https://pbs.twimg.com/amplify_video_thumb/1701238972830416896/img/vKrF6S9tO6-WrxPv.jpg")</f>
        <v>https://pbs.twimg.com/amplify_video_thumb/1701238972830416896/img/vKrF6S9tO6-WrxPv.jpg</v>
      </c>
      <c r="AW261" s="93" t="s">
        <v>18514</v>
      </c>
      <c r="AX261" s="93" t="s">
        <v>18514</v>
      </c>
      <c r="AY261" s="87"/>
      <c r="AZ261" s="93" t="s">
        <v>22668</v>
      </c>
      <c r="BA261" s="93" t="s">
        <v>22668</v>
      </c>
      <c r="BB261" s="93" t="s">
        <v>22668</v>
      </c>
      <c r="BC261" s="93" t="s">
        <v>18514</v>
      </c>
      <c r="BD261" s="93" t="s">
        <v>22844</v>
      </c>
      <c r="BE261" s="87"/>
      <c r="BF261" s="87"/>
      <c r="BG261" s="87"/>
      <c r="BH261" s="87"/>
      <c r="BI261" s="87"/>
    </row>
    <row r="262" spans="1:61" x14ac:dyDescent="0.25">
      <c r="A262" s="63" t="s">
        <v>310</v>
      </c>
      <c r="B262" s="63" t="s">
        <v>310</v>
      </c>
      <c r="C262" s="64"/>
      <c r="D262" s="65"/>
      <c r="E262" s="66"/>
      <c r="F262" s="67"/>
      <c r="G262" s="64"/>
      <c r="H262" s="68"/>
      <c r="I262" s="69"/>
      <c r="J262" s="69"/>
      <c r="K262" s="32"/>
      <c r="L262" s="76">
        <v>262</v>
      </c>
      <c r="M262" s="76"/>
      <c r="N262" s="71"/>
      <c r="O262" s="87" t="s">
        <v>179</v>
      </c>
      <c r="P262" s="90">
        <v>45135.990949074076</v>
      </c>
      <c r="Q262" s="87" t="s">
        <v>2099</v>
      </c>
      <c r="R262" s="87">
        <v>0</v>
      </c>
      <c r="S262" s="87">
        <v>0</v>
      </c>
      <c r="T262" s="87">
        <v>0</v>
      </c>
      <c r="U262" s="87">
        <v>0</v>
      </c>
      <c r="V262" s="87">
        <v>11</v>
      </c>
      <c r="W262" s="93" t="s">
        <v>6043</v>
      </c>
      <c r="X262" s="87"/>
      <c r="Y262" s="87"/>
      <c r="Z262" s="87"/>
      <c r="AA262" s="87" t="s">
        <v>8813</v>
      </c>
      <c r="AB262" s="87" t="s">
        <v>11447</v>
      </c>
      <c r="AC262" s="93" t="s">
        <v>11458</v>
      </c>
      <c r="AD262" s="87" t="s">
        <v>11519</v>
      </c>
      <c r="AE262" s="92" t="str">
        <f>HYPERLINK("https://twitter.com/vrmarson/status/1685074399223824385")</f>
        <v>https://twitter.com/vrmarson/status/1685074399223824385</v>
      </c>
      <c r="AF262" s="90">
        <v>45135.990949074076</v>
      </c>
      <c r="AG262" s="99">
        <v>45135</v>
      </c>
      <c r="AH262" s="93" t="s">
        <v>11776</v>
      </c>
      <c r="AI262" s="87" t="b">
        <v>0</v>
      </c>
      <c r="AJ262" s="87"/>
      <c r="AK262" s="87"/>
      <c r="AL262" s="87"/>
      <c r="AM262" s="87"/>
      <c r="AN262" s="87"/>
      <c r="AO262" s="87"/>
      <c r="AP262" s="87"/>
      <c r="AQ262" s="87" t="s">
        <v>15626</v>
      </c>
      <c r="AR262" s="87">
        <v>52538</v>
      </c>
      <c r="AS262" s="87"/>
      <c r="AT262" s="87"/>
      <c r="AU262" s="87"/>
      <c r="AV262" s="92" t="str">
        <f>HYPERLINK("https://pbs.twimg.com/ext_tw_video_thumb/1685074305099440129/pu/img/3HuVLWQcTrhTm81B.jpg")</f>
        <v>https://pbs.twimg.com/ext_tw_video_thumb/1685074305099440129/pu/img/3HuVLWQcTrhTm81B.jpg</v>
      </c>
      <c r="AW262" s="93" t="s">
        <v>18515</v>
      </c>
      <c r="AX262" s="93" t="s">
        <v>18515</v>
      </c>
      <c r="AY262" s="87"/>
      <c r="AZ262" s="93" t="s">
        <v>22668</v>
      </c>
      <c r="BA262" s="93" t="s">
        <v>22668</v>
      </c>
      <c r="BB262" s="93" t="s">
        <v>22668</v>
      </c>
      <c r="BC262" s="93" t="s">
        <v>18515</v>
      </c>
      <c r="BD262" s="93" t="s">
        <v>22845</v>
      </c>
      <c r="BE262" s="87"/>
      <c r="BF262" s="87"/>
      <c r="BG262" s="87"/>
      <c r="BH262" s="87"/>
      <c r="BI262" s="87"/>
    </row>
    <row r="263" spans="1:61" x14ac:dyDescent="0.25">
      <c r="A263" s="63" t="s">
        <v>311</v>
      </c>
      <c r="B263" s="63" t="s">
        <v>311</v>
      </c>
      <c r="C263" s="64"/>
      <c r="D263" s="65"/>
      <c r="E263" s="66"/>
      <c r="F263" s="67"/>
      <c r="G263" s="64"/>
      <c r="H263" s="68"/>
      <c r="I263" s="69"/>
      <c r="J263" s="69"/>
      <c r="K263" s="32"/>
      <c r="L263" s="76">
        <v>263</v>
      </c>
      <c r="M263" s="76"/>
      <c r="N263" s="71"/>
      <c r="O263" s="87" t="s">
        <v>179</v>
      </c>
      <c r="P263" s="90">
        <v>45160.699861111112</v>
      </c>
      <c r="Q263" s="87" t="s">
        <v>2100</v>
      </c>
      <c r="R263" s="87">
        <v>0</v>
      </c>
      <c r="S263" s="87">
        <v>0</v>
      </c>
      <c r="T263" s="87">
        <v>0</v>
      </c>
      <c r="U263" s="87">
        <v>0</v>
      </c>
      <c r="V263" s="87">
        <v>32</v>
      </c>
      <c r="W263" s="93" t="s">
        <v>6044</v>
      </c>
      <c r="X263" s="92" t="str">
        <f>HYPERLINK("https://rcnonline.com.br/rcn_impressa/reconhecimento_ao_empreendedorismo_feminino.538375")</f>
        <v>https://rcnonline.com.br/rcn_impressa/reconhecimento_ao_empreendedorismo_feminino.538375</v>
      </c>
      <c r="Y263" s="87" t="s">
        <v>8373</v>
      </c>
      <c r="Z263" s="87"/>
      <c r="AA263" s="87" t="s">
        <v>8814</v>
      </c>
      <c r="AB263" s="87" t="s">
        <v>11448</v>
      </c>
      <c r="AC263" s="93" t="s">
        <v>11457</v>
      </c>
      <c r="AD263" s="87" t="s">
        <v>11519</v>
      </c>
      <c r="AE263" s="92" t="str">
        <f>HYPERLINK("https://twitter.com/rcnonline_sc/status/1694028609055293764")</f>
        <v>https://twitter.com/rcnonline_sc/status/1694028609055293764</v>
      </c>
      <c r="AF263" s="90">
        <v>45160.699861111112</v>
      </c>
      <c r="AG263" s="99">
        <v>45160</v>
      </c>
      <c r="AH263" s="93" t="s">
        <v>11777</v>
      </c>
      <c r="AI263" s="87" t="b">
        <v>0</v>
      </c>
      <c r="AJ263" s="87"/>
      <c r="AK263" s="87"/>
      <c r="AL263" s="87"/>
      <c r="AM263" s="87"/>
      <c r="AN263" s="87"/>
      <c r="AO263" s="87"/>
      <c r="AP263" s="87"/>
      <c r="AQ263" s="87" t="s">
        <v>15627</v>
      </c>
      <c r="AR263" s="87"/>
      <c r="AS263" s="87"/>
      <c r="AT263" s="87"/>
      <c r="AU263" s="87"/>
      <c r="AV263" s="92" t="str">
        <f>HYPERLINK("https://pbs.twimg.com/media/F4Jl1rvWsAgzaHc.jpg")</f>
        <v>https://pbs.twimg.com/media/F4Jl1rvWsAgzaHc.jpg</v>
      </c>
      <c r="AW263" s="93" t="s">
        <v>18516</v>
      </c>
      <c r="AX263" s="93" t="s">
        <v>18516</v>
      </c>
      <c r="AY263" s="87"/>
      <c r="AZ263" s="93" t="s">
        <v>22668</v>
      </c>
      <c r="BA263" s="93" t="s">
        <v>22668</v>
      </c>
      <c r="BB263" s="93" t="s">
        <v>22668</v>
      </c>
      <c r="BC263" s="93" t="s">
        <v>18516</v>
      </c>
      <c r="BD263" s="87">
        <v>45715530</v>
      </c>
      <c r="BE263" s="87"/>
      <c r="BF263" s="87"/>
      <c r="BG263" s="87"/>
      <c r="BH263" s="87"/>
      <c r="BI263" s="87"/>
    </row>
    <row r="264" spans="1:61" x14ac:dyDescent="0.25">
      <c r="A264" s="63" t="s">
        <v>311</v>
      </c>
      <c r="B264" s="63" t="s">
        <v>311</v>
      </c>
      <c r="C264" s="64"/>
      <c r="D264" s="65"/>
      <c r="E264" s="66"/>
      <c r="F264" s="67"/>
      <c r="G264" s="64"/>
      <c r="H264" s="68"/>
      <c r="I264" s="69"/>
      <c r="J264" s="69"/>
      <c r="K264" s="32"/>
      <c r="L264" s="76">
        <v>264</v>
      </c>
      <c r="M264" s="76"/>
      <c r="N264" s="71"/>
      <c r="O264" s="87" t="s">
        <v>179</v>
      </c>
      <c r="P264" s="90">
        <v>45196.624155092592</v>
      </c>
      <c r="Q264" s="87" t="s">
        <v>2101</v>
      </c>
      <c r="R264" s="87">
        <v>0</v>
      </c>
      <c r="S264" s="87">
        <v>0</v>
      </c>
      <c r="T264" s="87">
        <v>0</v>
      </c>
      <c r="U264" s="87">
        <v>0</v>
      </c>
      <c r="V264" s="87">
        <v>9</v>
      </c>
      <c r="W264" s="93" t="s">
        <v>6045</v>
      </c>
      <c r="X264" s="92" t="str">
        <f>HYPERLINK("https://rcnonline.com.br/eventos/sebrae_sc_esta_com_inscricoes_para_o_premio_sebrae_prefeitura_empreendedora.546269")</f>
        <v>https://rcnonline.com.br/eventos/sebrae_sc_esta_com_inscricoes_para_o_premio_sebrae_prefeitura_empreendedora.546269</v>
      </c>
      <c r="Y264" s="87" t="s">
        <v>8373</v>
      </c>
      <c r="Z264" s="87"/>
      <c r="AA264" s="87"/>
      <c r="AB264" s="87"/>
      <c r="AC264" s="93" t="s">
        <v>11457</v>
      </c>
      <c r="AD264" s="87" t="s">
        <v>11519</v>
      </c>
      <c r="AE264" s="92" t="str">
        <f>HYPERLINK("https://twitter.com/rcnonline_sc/status/1707047137609978229")</f>
        <v>https://twitter.com/rcnonline_sc/status/1707047137609978229</v>
      </c>
      <c r="AF264" s="90">
        <v>45196.624155092592</v>
      </c>
      <c r="AG264" s="99">
        <v>45196</v>
      </c>
      <c r="AH264" s="93" t="s">
        <v>11778</v>
      </c>
      <c r="AI264" s="87" t="b">
        <v>0</v>
      </c>
      <c r="AJ264" s="87"/>
      <c r="AK264" s="87"/>
      <c r="AL264" s="87"/>
      <c r="AM264" s="87"/>
      <c r="AN264" s="87"/>
      <c r="AO264" s="87"/>
      <c r="AP264" s="87"/>
      <c r="AQ264" s="87"/>
      <c r="AR264" s="87"/>
      <c r="AS264" s="87"/>
      <c r="AT264" s="87"/>
      <c r="AU264" s="87"/>
      <c r="AV264" s="92" t="str">
        <f>HYPERLINK("https://pbs.twimg.com/profile_images/1617945691770261520/NYUjO_bX_normal.jpg")</f>
        <v>https://pbs.twimg.com/profile_images/1617945691770261520/NYUjO_bX_normal.jpg</v>
      </c>
      <c r="AW264" s="93" t="s">
        <v>18517</v>
      </c>
      <c r="AX264" s="93" t="s">
        <v>18517</v>
      </c>
      <c r="AY264" s="87"/>
      <c r="AZ264" s="93" t="s">
        <v>22668</v>
      </c>
      <c r="BA264" s="93" t="s">
        <v>22668</v>
      </c>
      <c r="BB264" s="93" t="s">
        <v>22668</v>
      </c>
      <c r="BC264" s="93" t="s">
        <v>18517</v>
      </c>
      <c r="BD264" s="87">
        <v>45715530</v>
      </c>
      <c r="BE264" s="87"/>
      <c r="BF264" s="87"/>
      <c r="BG264" s="87"/>
      <c r="BH264" s="87"/>
      <c r="BI264" s="87"/>
    </row>
    <row r="265" spans="1:61" x14ac:dyDescent="0.25">
      <c r="A265" s="63" t="s">
        <v>312</v>
      </c>
      <c r="B265" s="63" t="s">
        <v>312</v>
      </c>
      <c r="C265" s="64"/>
      <c r="D265" s="65"/>
      <c r="E265" s="66"/>
      <c r="F265" s="67"/>
      <c r="G265" s="64"/>
      <c r="H265" s="68"/>
      <c r="I265" s="69"/>
      <c r="J265" s="69"/>
      <c r="K265" s="32"/>
      <c r="L265" s="76">
        <v>265</v>
      </c>
      <c r="M265" s="76"/>
      <c r="N265" s="71"/>
      <c r="O265" s="87" t="s">
        <v>179</v>
      </c>
      <c r="P265" s="90">
        <v>45165.608888888892</v>
      </c>
      <c r="Q265" s="87" t="s">
        <v>2102</v>
      </c>
      <c r="R265" s="87">
        <v>0</v>
      </c>
      <c r="S265" s="87">
        <v>1</v>
      </c>
      <c r="T265" s="87">
        <v>0</v>
      </c>
      <c r="U265" s="87">
        <v>0</v>
      </c>
      <c r="V265" s="87">
        <v>10</v>
      </c>
      <c r="W265" s="93" t="s">
        <v>6046</v>
      </c>
      <c r="X265" s="87"/>
      <c r="Y265" s="87"/>
      <c r="Z265" s="87"/>
      <c r="AA265" s="87" t="s">
        <v>8815</v>
      </c>
      <c r="AB265" s="87" t="s">
        <v>11448</v>
      </c>
      <c r="AC265" s="93" t="s">
        <v>11469</v>
      </c>
      <c r="AD265" s="87" t="s">
        <v>11519</v>
      </c>
      <c r="AE265" s="92" t="str">
        <f>HYPERLINK("https://twitter.com/fabiosrme/status/1695807580033974297")</f>
        <v>https://twitter.com/fabiosrme/status/1695807580033974297</v>
      </c>
      <c r="AF265" s="90">
        <v>45165.608888888892</v>
      </c>
      <c r="AG265" s="99">
        <v>45165</v>
      </c>
      <c r="AH265" s="93" t="s">
        <v>11779</v>
      </c>
      <c r="AI265" s="87" t="b">
        <v>0</v>
      </c>
      <c r="AJ265" s="87"/>
      <c r="AK265" s="87"/>
      <c r="AL265" s="87"/>
      <c r="AM265" s="87"/>
      <c r="AN265" s="87"/>
      <c r="AO265" s="87"/>
      <c r="AP265" s="87"/>
      <c r="AQ265" s="87" t="s">
        <v>15628</v>
      </c>
      <c r="AR265" s="87"/>
      <c r="AS265" s="87"/>
      <c r="AT265" s="87"/>
      <c r="AU265" s="87"/>
      <c r="AV265" s="92" t="str">
        <f>HYPERLINK("https://pbs.twimg.com/media/F4i4AYsWYAEcI73.jpg")</f>
        <v>https://pbs.twimg.com/media/F4i4AYsWYAEcI73.jpg</v>
      </c>
      <c r="AW265" s="93" t="s">
        <v>18518</v>
      </c>
      <c r="AX265" s="93" t="s">
        <v>18518</v>
      </c>
      <c r="AY265" s="87"/>
      <c r="AZ265" s="93" t="s">
        <v>22668</v>
      </c>
      <c r="BA265" s="93" t="s">
        <v>22668</v>
      </c>
      <c r="BB265" s="93" t="s">
        <v>22668</v>
      </c>
      <c r="BC265" s="93" t="s">
        <v>18518</v>
      </c>
      <c r="BD265" s="93" t="s">
        <v>22846</v>
      </c>
      <c r="BE265" s="87"/>
      <c r="BF265" s="87"/>
      <c r="BG265" s="87"/>
      <c r="BH265" s="87"/>
      <c r="BI265" s="87"/>
    </row>
    <row r="266" spans="1:61" x14ac:dyDescent="0.25">
      <c r="A266" s="63" t="s">
        <v>312</v>
      </c>
      <c r="B266" s="63" t="s">
        <v>312</v>
      </c>
      <c r="C266" s="64"/>
      <c r="D266" s="65"/>
      <c r="E266" s="66"/>
      <c r="F266" s="67"/>
      <c r="G266" s="64"/>
      <c r="H266" s="68"/>
      <c r="I266" s="69"/>
      <c r="J266" s="69"/>
      <c r="K266" s="32"/>
      <c r="L266" s="76">
        <v>266</v>
      </c>
      <c r="M266" s="76"/>
      <c r="N266" s="71"/>
      <c r="O266" s="87" t="s">
        <v>179</v>
      </c>
      <c r="P266" s="90">
        <v>45164.608877314815</v>
      </c>
      <c r="Q266" s="87" t="s">
        <v>2103</v>
      </c>
      <c r="R266" s="87">
        <v>0</v>
      </c>
      <c r="S266" s="87">
        <v>1</v>
      </c>
      <c r="T266" s="87">
        <v>0</v>
      </c>
      <c r="U266" s="87">
        <v>0</v>
      </c>
      <c r="V266" s="87">
        <v>8</v>
      </c>
      <c r="W266" s="93" t="s">
        <v>6047</v>
      </c>
      <c r="X266" s="87"/>
      <c r="Y266" s="87"/>
      <c r="Z266" s="87"/>
      <c r="AA266" s="87" t="s">
        <v>8816</v>
      </c>
      <c r="AB266" s="87" t="s">
        <v>11448</v>
      </c>
      <c r="AC266" s="93" t="s">
        <v>11469</v>
      </c>
      <c r="AD266" s="87" t="s">
        <v>11519</v>
      </c>
      <c r="AE266" s="92" t="str">
        <f>HYPERLINK("https://twitter.com/fabiosrme/status/1695445188544471088")</f>
        <v>https://twitter.com/fabiosrme/status/1695445188544471088</v>
      </c>
      <c r="AF266" s="90">
        <v>45164.608877314815</v>
      </c>
      <c r="AG266" s="99">
        <v>45164</v>
      </c>
      <c r="AH266" s="93" t="s">
        <v>11780</v>
      </c>
      <c r="AI266" s="87" t="b">
        <v>0</v>
      </c>
      <c r="AJ266" s="87"/>
      <c r="AK266" s="87"/>
      <c r="AL266" s="87"/>
      <c r="AM266" s="87"/>
      <c r="AN266" s="87"/>
      <c r="AO266" s="87"/>
      <c r="AP266" s="87"/>
      <c r="AQ266" s="87" t="s">
        <v>15629</v>
      </c>
      <c r="AR266" s="87"/>
      <c r="AS266" s="87"/>
      <c r="AT266" s="87"/>
      <c r="AU266" s="87"/>
      <c r="AV266" s="92" t="str">
        <f>HYPERLINK("https://pbs.twimg.com/media/F4duaa6WUAA5Jla.jpg")</f>
        <v>https://pbs.twimg.com/media/F4duaa6WUAA5Jla.jpg</v>
      </c>
      <c r="AW266" s="93" t="s">
        <v>18519</v>
      </c>
      <c r="AX266" s="93" t="s">
        <v>18519</v>
      </c>
      <c r="AY266" s="87"/>
      <c r="AZ266" s="93" t="s">
        <v>22668</v>
      </c>
      <c r="BA266" s="93" t="s">
        <v>22668</v>
      </c>
      <c r="BB266" s="93" t="s">
        <v>22668</v>
      </c>
      <c r="BC266" s="93" t="s">
        <v>18519</v>
      </c>
      <c r="BD266" s="93" t="s">
        <v>22846</v>
      </c>
      <c r="BE266" s="87"/>
      <c r="BF266" s="87"/>
      <c r="BG266" s="87"/>
      <c r="BH266" s="87"/>
      <c r="BI266" s="87"/>
    </row>
    <row r="267" spans="1:61" x14ac:dyDescent="0.25">
      <c r="A267" s="63" t="s">
        <v>312</v>
      </c>
      <c r="B267" s="63" t="s">
        <v>312</v>
      </c>
      <c r="C267" s="64"/>
      <c r="D267" s="65"/>
      <c r="E267" s="66"/>
      <c r="F267" s="67"/>
      <c r="G267" s="64"/>
      <c r="H267" s="68"/>
      <c r="I267" s="69"/>
      <c r="J267" s="69"/>
      <c r="K267" s="32"/>
      <c r="L267" s="76">
        <v>267</v>
      </c>
      <c r="M267" s="76"/>
      <c r="N267" s="71"/>
      <c r="O267" s="87" t="s">
        <v>179</v>
      </c>
      <c r="P267" s="90">
        <v>45181.653032407405</v>
      </c>
      <c r="Q267" s="87" t="s">
        <v>2104</v>
      </c>
      <c r="R267" s="87">
        <v>0</v>
      </c>
      <c r="S267" s="87">
        <v>1</v>
      </c>
      <c r="T267" s="87">
        <v>0</v>
      </c>
      <c r="U267" s="87">
        <v>0</v>
      </c>
      <c r="V267" s="87">
        <v>4</v>
      </c>
      <c r="W267" s="93" t="s">
        <v>6048</v>
      </c>
      <c r="X267" s="87"/>
      <c r="Y267" s="87"/>
      <c r="Z267" s="87"/>
      <c r="AA267" s="87" t="s">
        <v>8817</v>
      </c>
      <c r="AB267" s="87" t="s">
        <v>11447</v>
      </c>
      <c r="AC267" s="93" t="s">
        <v>11469</v>
      </c>
      <c r="AD267" s="87" t="s">
        <v>11519</v>
      </c>
      <c r="AE267" s="92" t="str">
        <f>HYPERLINK("https://twitter.com/fabiosrme/status/1701621785479758284")</f>
        <v>https://twitter.com/fabiosrme/status/1701621785479758284</v>
      </c>
      <c r="AF267" s="90">
        <v>45181.653032407405</v>
      </c>
      <c r="AG267" s="99">
        <v>45181</v>
      </c>
      <c r="AH267" s="93" t="s">
        <v>11781</v>
      </c>
      <c r="AI267" s="87" t="b">
        <v>0</v>
      </c>
      <c r="AJ267" s="87"/>
      <c r="AK267" s="87"/>
      <c r="AL267" s="87"/>
      <c r="AM267" s="87"/>
      <c r="AN267" s="87"/>
      <c r="AO267" s="87"/>
      <c r="AP267" s="87"/>
      <c r="AQ267" s="87" t="s">
        <v>15630</v>
      </c>
      <c r="AR267" s="87">
        <v>37466</v>
      </c>
      <c r="AS267" s="87"/>
      <c r="AT267" s="87"/>
      <c r="AU267" s="87"/>
      <c r="AV267" s="92" t="str">
        <f>HYPERLINK("https://pbs.twimg.com/amplify_video_thumb/1701621703971905537/img/GSDT3qnBbGI5Rugo.jpg")</f>
        <v>https://pbs.twimg.com/amplify_video_thumb/1701621703971905537/img/GSDT3qnBbGI5Rugo.jpg</v>
      </c>
      <c r="AW267" s="93" t="s">
        <v>18520</v>
      </c>
      <c r="AX267" s="93" t="s">
        <v>18520</v>
      </c>
      <c r="AY267" s="87"/>
      <c r="AZ267" s="93" t="s">
        <v>22668</v>
      </c>
      <c r="BA267" s="93" t="s">
        <v>22668</v>
      </c>
      <c r="BB267" s="93" t="s">
        <v>22668</v>
      </c>
      <c r="BC267" s="93" t="s">
        <v>18520</v>
      </c>
      <c r="BD267" s="93" t="s">
        <v>22846</v>
      </c>
      <c r="BE267" s="87"/>
      <c r="BF267" s="87"/>
      <c r="BG267" s="87"/>
      <c r="BH267" s="87"/>
      <c r="BI267" s="87"/>
    </row>
    <row r="268" spans="1:61" x14ac:dyDescent="0.25">
      <c r="A268" s="63" t="s">
        <v>312</v>
      </c>
      <c r="B268" s="63" t="s">
        <v>312</v>
      </c>
      <c r="C268" s="64"/>
      <c r="D268" s="65"/>
      <c r="E268" s="66"/>
      <c r="F268" s="67"/>
      <c r="G268" s="64"/>
      <c r="H268" s="68"/>
      <c r="I268" s="69"/>
      <c r="J268" s="69"/>
      <c r="K268" s="32"/>
      <c r="L268" s="76">
        <v>268</v>
      </c>
      <c r="M268" s="76"/>
      <c r="N268" s="71"/>
      <c r="O268" s="87" t="s">
        <v>179</v>
      </c>
      <c r="P268" s="90">
        <v>45181.609409722223</v>
      </c>
      <c r="Q268" s="87" t="s">
        <v>2105</v>
      </c>
      <c r="R268" s="87">
        <v>0</v>
      </c>
      <c r="S268" s="87">
        <v>0</v>
      </c>
      <c r="T268" s="87">
        <v>0</v>
      </c>
      <c r="U268" s="87">
        <v>0</v>
      </c>
      <c r="V268" s="87">
        <v>5</v>
      </c>
      <c r="W268" s="93" t="s">
        <v>6048</v>
      </c>
      <c r="X268" s="87"/>
      <c r="Y268" s="87"/>
      <c r="Z268" s="87"/>
      <c r="AA268" s="87" t="s">
        <v>8818</v>
      </c>
      <c r="AB268" s="87" t="s">
        <v>11447</v>
      </c>
      <c r="AC268" s="93" t="s">
        <v>11469</v>
      </c>
      <c r="AD268" s="87" t="s">
        <v>11519</v>
      </c>
      <c r="AE268" s="92" t="str">
        <f>HYPERLINK("https://twitter.com/fabiosrme/status/1701605974396846265")</f>
        <v>https://twitter.com/fabiosrme/status/1701605974396846265</v>
      </c>
      <c r="AF268" s="90">
        <v>45181.609409722223</v>
      </c>
      <c r="AG268" s="99">
        <v>45181</v>
      </c>
      <c r="AH268" s="93" t="s">
        <v>11782</v>
      </c>
      <c r="AI268" s="87" t="b">
        <v>0</v>
      </c>
      <c r="AJ268" s="87"/>
      <c r="AK268" s="87"/>
      <c r="AL268" s="87"/>
      <c r="AM268" s="87"/>
      <c r="AN268" s="87"/>
      <c r="AO268" s="87"/>
      <c r="AP268" s="87"/>
      <c r="AQ268" s="87" t="s">
        <v>15631</v>
      </c>
      <c r="AR268" s="87">
        <v>37466</v>
      </c>
      <c r="AS268" s="87"/>
      <c r="AT268" s="87"/>
      <c r="AU268" s="87"/>
      <c r="AV268" s="92" t="str">
        <f>HYPERLINK("https://pbs.twimg.com/amplify_video_thumb/1701605794272456704/img/0iF3NzOyH3NRr9CB.jpg")</f>
        <v>https://pbs.twimg.com/amplify_video_thumb/1701605794272456704/img/0iF3NzOyH3NRr9CB.jpg</v>
      </c>
      <c r="AW268" s="93" t="s">
        <v>18521</v>
      </c>
      <c r="AX268" s="93" t="s">
        <v>18521</v>
      </c>
      <c r="AY268" s="87"/>
      <c r="AZ268" s="93" t="s">
        <v>22668</v>
      </c>
      <c r="BA268" s="93" t="s">
        <v>22668</v>
      </c>
      <c r="BB268" s="93" t="s">
        <v>22668</v>
      </c>
      <c r="BC268" s="93" t="s">
        <v>18521</v>
      </c>
      <c r="BD268" s="93" t="s">
        <v>22846</v>
      </c>
      <c r="BE268" s="87"/>
      <c r="BF268" s="87"/>
      <c r="BG268" s="87"/>
      <c r="BH268" s="87"/>
      <c r="BI268" s="87"/>
    </row>
    <row r="269" spans="1:61" x14ac:dyDescent="0.25">
      <c r="A269" s="63" t="s">
        <v>313</v>
      </c>
      <c r="B269" s="63" t="s">
        <v>313</v>
      </c>
      <c r="C269" s="64"/>
      <c r="D269" s="65"/>
      <c r="E269" s="66"/>
      <c r="F269" s="67"/>
      <c r="G269" s="64"/>
      <c r="H269" s="68"/>
      <c r="I269" s="69"/>
      <c r="J269" s="69"/>
      <c r="K269" s="32"/>
      <c r="L269" s="76">
        <v>269</v>
      </c>
      <c r="M269" s="76"/>
      <c r="N269" s="71"/>
      <c r="O269" s="87" t="s">
        <v>179</v>
      </c>
      <c r="P269" s="90">
        <v>45161.900578703702</v>
      </c>
      <c r="Q269" s="87" t="s">
        <v>2106</v>
      </c>
      <c r="R269" s="87">
        <v>0</v>
      </c>
      <c r="S269" s="87">
        <v>0</v>
      </c>
      <c r="T269" s="87">
        <v>0</v>
      </c>
      <c r="U269" s="87">
        <v>0</v>
      </c>
      <c r="V269" s="87">
        <v>8</v>
      </c>
      <c r="W269" s="93" t="s">
        <v>6049</v>
      </c>
      <c r="X269" s="87"/>
      <c r="Y269" s="87"/>
      <c r="Z269" s="87"/>
      <c r="AA269" s="87" t="s">
        <v>8819</v>
      </c>
      <c r="AB269" s="87" t="s">
        <v>11447</v>
      </c>
      <c r="AC269" s="93" t="s">
        <v>11459</v>
      </c>
      <c r="AD269" s="87" t="s">
        <v>11523</v>
      </c>
      <c r="AE269" s="92" t="str">
        <f>HYPERLINK("https://twitter.com/lucianogaliotto/status/1694463732636639588")</f>
        <v>https://twitter.com/lucianogaliotto/status/1694463732636639588</v>
      </c>
      <c r="AF269" s="90">
        <v>45161.900578703702</v>
      </c>
      <c r="AG269" s="99">
        <v>45161</v>
      </c>
      <c r="AH269" s="93" t="s">
        <v>11783</v>
      </c>
      <c r="AI269" s="87" t="b">
        <v>0</v>
      </c>
      <c r="AJ269" s="87"/>
      <c r="AK269" s="87"/>
      <c r="AL269" s="87"/>
      <c r="AM269" s="87"/>
      <c r="AN269" s="87"/>
      <c r="AO269" s="87"/>
      <c r="AP269" s="87"/>
      <c r="AQ269" s="87" t="s">
        <v>15632</v>
      </c>
      <c r="AR269" s="87">
        <v>41585</v>
      </c>
      <c r="AS269" s="87"/>
      <c r="AT269" s="87"/>
      <c r="AU269" s="87"/>
      <c r="AV269" s="92" t="str">
        <f>HYPERLINK("https://pbs.twimg.com/ext_tw_video_thumb/1694463665603219456/pu/img/Uy3qbRoxcIiV7Ajv.jpg")</f>
        <v>https://pbs.twimg.com/ext_tw_video_thumb/1694463665603219456/pu/img/Uy3qbRoxcIiV7Ajv.jpg</v>
      </c>
      <c r="AW269" s="93" t="s">
        <v>18522</v>
      </c>
      <c r="AX269" s="93" t="s">
        <v>18522</v>
      </c>
      <c r="AY269" s="87"/>
      <c r="AZ269" s="93" t="s">
        <v>22668</v>
      </c>
      <c r="BA269" s="93" t="s">
        <v>22668</v>
      </c>
      <c r="BB269" s="93" t="s">
        <v>22668</v>
      </c>
      <c r="BC269" s="93" t="s">
        <v>18522</v>
      </c>
      <c r="BD269" s="93" t="s">
        <v>22847</v>
      </c>
      <c r="BE269" s="87"/>
      <c r="BF269" s="87"/>
      <c r="BG269" s="87"/>
      <c r="BH269" s="87"/>
      <c r="BI269" s="87"/>
    </row>
    <row r="270" spans="1:61" x14ac:dyDescent="0.25">
      <c r="A270" s="63" t="s">
        <v>313</v>
      </c>
      <c r="B270" s="63" t="s">
        <v>313</v>
      </c>
      <c r="C270" s="64"/>
      <c r="D270" s="65"/>
      <c r="E270" s="66"/>
      <c r="F270" s="67"/>
      <c r="G270" s="64"/>
      <c r="H270" s="68"/>
      <c r="I270" s="69"/>
      <c r="J270" s="69"/>
      <c r="K270" s="32"/>
      <c r="L270" s="76">
        <v>270</v>
      </c>
      <c r="M270" s="76"/>
      <c r="N270" s="71"/>
      <c r="O270" s="87" t="s">
        <v>179</v>
      </c>
      <c r="P270" s="90">
        <v>45161.510405092595</v>
      </c>
      <c r="Q270" s="87" t="s">
        <v>2107</v>
      </c>
      <c r="R270" s="87">
        <v>0</v>
      </c>
      <c r="S270" s="87">
        <v>1</v>
      </c>
      <c r="T270" s="87">
        <v>0</v>
      </c>
      <c r="U270" s="87">
        <v>0</v>
      </c>
      <c r="V270" s="87">
        <v>358</v>
      </c>
      <c r="W270" s="93" t="s">
        <v>6050</v>
      </c>
      <c r="X270" s="87"/>
      <c r="Y270" s="87"/>
      <c r="Z270" s="87"/>
      <c r="AA270" s="87" t="s">
        <v>8820</v>
      </c>
      <c r="AB270" s="87" t="s">
        <v>11447</v>
      </c>
      <c r="AC270" s="93" t="s">
        <v>11459</v>
      </c>
      <c r="AD270" s="87" t="s">
        <v>11519</v>
      </c>
      <c r="AE270" s="92" t="str">
        <f>HYPERLINK("https://twitter.com/lucianogaliotto/status/1694322339154919867")</f>
        <v>https://twitter.com/lucianogaliotto/status/1694322339154919867</v>
      </c>
      <c r="AF270" s="90">
        <v>45161.510405092595</v>
      </c>
      <c r="AG270" s="99">
        <v>45161</v>
      </c>
      <c r="AH270" s="93" t="s">
        <v>11784</v>
      </c>
      <c r="AI270" s="87" t="b">
        <v>0</v>
      </c>
      <c r="AJ270" s="87"/>
      <c r="AK270" s="87"/>
      <c r="AL270" s="87"/>
      <c r="AM270" s="87"/>
      <c r="AN270" s="87"/>
      <c r="AO270" s="87"/>
      <c r="AP270" s="87"/>
      <c r="AQ270" s="87" t="s">
        <v>15633</v>
      </c>
      <c r="AR270" s="87">
        <v>47134</v>
      </c>
      <c r="AS270" s="87"/>
      <c r="AT270" s="87"/>
      <c r="AU270" s="87"/>
      <c r="AV270" s="92" t="str">
        <f>HYPERLINK("https://pbs.twimg.com/ext_tw_video_thumb/1694322261287706625/pu/img/ak4O28Xkhkm-_3Qi.jpg")</f>
        <v>https://pbs.twimg.com/ext_tw_video_thumb/1694322261287706625/pu/img/ak4O28Xkhkm-_3Qi.jpg</v>
      </c>
      <c r="AW270" s="93" t="s">
        <v>18523</v>
      </c>
      <c r="AX270" s="93" t="s">
        <v>18523</v>
      </c>
      <c r="AY270" s="87"/>
      <c r="AZ270" s="93" t="s">
        <v>22668</v>
      </c>
      <c r="BA270" s="93" t="s">
        <v>22668</v>
      </c>
      <c r="BB270" s="93" t="s">
        <v>22668</v>
      </c>
      <c r="BC270" s="93" t="s">
        <v>18523</v>
      </c>
      <c r="BD270" s="93" t="s">
        <v>22847</v>
      </c>
      <c r="BE270" s="87"/>
      <c r="BF270" s="87"/>
      <c r="BG270" s="87"/>
      <c r="BH270" s="87"/>
      <c r="BI270" s="87"/>
    </row>
    <row r="271" spans="1:61" x14ac:dyDescent="0.25">
      <c r="A271" s="63" t="s">
        <v>313</v>
      </c>
      <c r="B271" s="63" t="s">
        <v>313</v>
      </c>
      <c r="C271" s="64"/>
      <c r="D271" s="65"/>
      <c r="E271" s="66"/>
      <c r="F271" s="67"/>
      <c r="G271" s="64"/>
      <c r="H271" s="68"/>
      <c r="I271" s="69"/>
      <c r="J271" s="69"/>
      <c r="K271" s="32"/>
      <c r="L271" s="76">
        <v>271</v>
      </c>
      <c r="M271" s="76"/>
      <c r="N271" s="71"/>
      <c r="O271" s="87" t="s">
        <v>179</v>
      </c>
      <c r="P271" s="90">
        <v>45118.960775462961</v>
      </c>
      <c r="Q271" s="87" t="s">
        <v>2108</v>
      </c>
      <c r="R271" s="87">
        <v>0</v>
      </c>
      <c r="S271" s="87">
        <v>1</v>
      </c>
      <c r="T271" s="87">
        <v>0</v>
      </c>
      <c r="U271" s="87">
        <v>0</v>
      </c>
      <c r="V271" s="87">
        <v>40</v>
      </c>
      <c r="W271" s="93" t="s">
        <v>6051</v>
      </c>
      <c r="X271" s="87"/>
      <c r="Y271" s="87"/>
      <c r="Z271" s="87"/>
      <c r="AA271" s="87" t="s">
        <v>8821</v>
      </c>
      <c r="AB271" s="87" t="s">
        <v>11447</v>
      </c>
      <c r="AC271" s="93" t="s">
        <v>11459</v>
      </c>
      <c r="AD271" s="87" t="s">
        <v>11519</v>
      </c>
      <c r="AE271" s="92" t="str">
        <f>HYPERLINK("https://twitter.com/lucianogaliotto/status/1678902869171359746")</f>
        <v>https://twitter.com/lucianogaliotto/status/1678902869171359746</v>
      </c>
      <c r="AF271" s="90">
        <v>45118.960775462961</v>
      </c>
      <c r="AG271" s="99">
        <v>45118</v>
      </c>
      <c r="AH271" s="93" t="s">
        <v>11785</v>
      </c>
      <c r="AI271" s="87" t="b">
        <v>0</v>
      </c>
      <c r="AJ271" s="87"/>
      <c r="AK271" s="87"/>
      <c r="AL271" s="87"/>
      <c r="AM271" s="87"/>
      <c r="AN271" s="87"/>
      <c r="AO271" s="87"/>
      <c r="AP271" s="87"/>
      <c r="AQ271" s="87" t="s">
        <v>15634</v>
      </c>
      <c r="AR271" s="87">
        <v>23474</v>
      </c>
      <c r="AS271" s="87"/>
      <c r="AT271" s="87"/>
      <c r="AU271" s="87"/>
      <c r="AV271" s="92" t="str">
        <f>HYPERLINK("https://pbs.twimg.com/ext_tw_video_thumb/1678902829459689473/pu/img/qLZvZLb6-k6aAKvl.jpg")</f>
        <v>https://pbs.twimg.com/ext_tw_video_thumb/1678902829459689473/pu/img/qLZvZLb6-k6aAKvl.jpg</v>
      </c>
      <c r="AW271" s="93" t="s">
        <v>18524</v>
      </c>
      <c r="AX271" s="93" t="s">
        <v>18524</v>
      </c>
      <c r="AY271" s="87"/>
      <c r="AZ271" s="93" t="s">
        <v>22668</v>
      </c>
      <c r="BA271" s="93" t="s">
        <v>22668</v>
      </c>
      <c r="BB271" s="93" t="s">
        <v>22668</v>
      </c>
      <c r="BC271" s="93" t="s">
        <v>18524</v>
      </c>
      <c r="BD271" s="93" t="s">
        <v>22847</v>
      </c>
      <c r="BE271" s="87"/>
      <c r="BF271" s="87"/>
      <c r="BG271" s="87"/>
      <c r="BH271" s="87"/>
      <c r="BI271" s="87"/>
    </row>
    <row r="272" spans="1:61" x14ac:dyDescent="0.25">
      <c r="A272" s="63" t="s">
        <v>313</v>
      </c>
      <c r="B272" s="63" t="s">
        <v>313</v>
      </c>
      <c r="C272" s="64"/>
      <c r="D272" s="65"/>
      <c r="E272" s="66"/>
      <c r="F272" s="67"/>
      <c r="G272" s="64"/>
      <c r="H272" s="68"/>
      <c r="I272" s="69"/>
      <c r="J272" s="69"/>
      <c r="K272" s="32"/>
      <c r="L272" s="76">
        <v>272</v>
      </c>
      <c r="M272" s="76"/>
      <c r="N272" s="71"/>
      <c r="O272" s="87" t="s">
        <v>179</v>
      </c>
      <c r="P272" s="90">
        <v>45183.900960648149</v>
      </c>
      <c r="Q272" s="87" t="s">
        <v>2109</v>
      </c>
      <c r="R272" s="87">
        <v>0</v>
      </c>
      <c r="S272" s="87">
        <v>0</v>
      </c>
      <c r="T272" s="87">
        <v>0</v>
      </c>
      <c r="U272" s="87">
        <v>0</v>
      </c>
      <c r="V272" s="87">
        <v>20</v>
      </c>
      <c r="W272" s="93" t="s">
        <v>6052</v>
      </c>
      <c r="X272" s="87"/>
      <c r="Y272" s="87"/>
      <c r="Z272" s="87"/>
      <c r="AA272" s="87" t="s">
        <v>8822</v>
      </c>
      <c r="AB272" s="87" t="s">
        <v>11447</v>
      </c>
      <c r="AC272" s="93" t="s">
        <v>11459</v>
      </c>
      <c r="AD272" s="87" t="s">
        <v>11519</v>
      </c>
      <c r="AE272" s="92" t="str">
        <f>HYPERLINK("https://twitter.com/lucianogaliotto/status/1702436406059024671")</f>
        <v>https://twitter.com/lucianogaliotto/status/1702436406059024671</v>
      </c>
      <c r="AF272" s="90">
        <v>45183.900960648149</v>
      </c>
      <c r="AG272" s="99">
        <v>45183</v>
      </c>
      <c r="AH272" s="93" t="s">
        <v>11786</v>
      </c>
      <c r="AI272" s="87" t="b">
        <v>0</v>
      </c>
      <c r="AJ272" s="87"/>
      <c r="AK272" s="87"/>
      <c r="AL272" s="87"/>
      <c r="AM272" s="87"/>
      <c r="AN272" s="87"/>
      <c r="AO272" s="87"/>
      <c r="AP272" s="87"/>
      <c r="AQ272" s="87" t="s">
        <v>15635</v>
      </c>
      <c r="AR272" s="87">
        <v>35269</v>
      </c>
      <c r="AS272" s="87"/>
      <c r="AT272" s="87"/>
      <c r="AU272" s="87"/>
      <c r="AV272" s="92" t="str">
        <f>HYPERLINK("https://pbs.twimg.com/ext_tw_video_thumb/1702436315625615360/pu/img/2tpIpucEoeJeKujJ.jpg")</f>
        <v>https://pbs.twimg.com/ext_tw_video_thumb/1702436315625615360/pu/img/2tpIpucEoeJeKujJ.jpg</v>
      </c>
      <c r="AW272" s="93" t="s">
        <v>18525</v>
      </c>
      <c r="AX272" s="93" t="s">
        <v>18525</v>
      </c>
      <c r="AY272" s="87"/>
      <c r="AZ272" s="93" t="s">
        <v>22668</v>
      </c>
      <c r="BA272" s="93" t="s">
        <v>22668</v>
      </c>
      <c r="BB272" s="93" t="s">
        <v>22668</v>
      </c>
      <c r="BC272" s="93" t="s">
        <v>18525</v>
      </c>
      <c r="BD272" s="93" t="s">
        <v>22847</v>
      </c>
      <c r="BE272" s="87"/>
      <c r="BF272" s="87"/>
      <c r="BG272" s="87"/>
      <c r="BH272" s="87"/>
      <c r="BI272" s="87"/>
    </row>
    <row r="273" spans="1:61" x14ac:dyDescent="0.25">
      <c r="A273" s="63" t="s">
        <v>313</v>
      </c>
      <c r="B273" s="63" t="s">
        <v>313</v>
      </c>
      <c r="C273" s="64"/>
      <c r="D273" s="65"/>
      <c r="E273" s="66"/>
      <c r="F273" s="67"/>
      <c r="G273" s="64"/>
      <c r="H273" s="68"/>
      <c r="I273" s="69"/>
      <c r="J273" s="69"/>
      <c r="K273" s="32"/>
      <c r="L273" s="76">
        <v>273</v>
      </c>
      <c r="M273" s="76"/>
      <c r="N273" s="71"/>
      <c r="O273" s="87" t="s">
        <v>179</v>
      </c>
      <c r="P273" s="90">
        <v>45183.090057870373</v>
      </c>
      <c r="Q273" s="87" t="s">
        <v>2110</v>
      </c>
      <c r="R273" s="87">
        <v>0</v>
      </c>
      <c r="S273" s="87">
        <v>0</v>
      </c>
      <c r="T273" s="87">
        <v>0</v>
      </c>
      <c r="U273" s="87">
        <v>0</v>
      </c>
      <c r="V273" s="87">
        <v>10</v>
      </c>
      <c r="W273" s="93" t="s">
        <v>6053</v>
      </c>
      <c r="X273" s="87"/>
      <c r="Y273" s="87"/>
      <c r="Z273" s="87"/>
      <c r="AA273" s="87" t="s">
        <v>8823</v>
      </c>
      <c r="AB273" s="87" t="s">
        <v>11447</v>
      </c>
      <c r="AC273" s="93" t="s">
        <v>11459</v>
      </c>
      <c r="AD273" s="87" t="s">
        <v>11523</v>
      </c>
      <c r="AE273" s="92" t="str">
        <f>HYPERLINK("https://twitter.com/lucianogaliotto/status/1702142544006525002")</f>
        <v>https://twitter.com/lucianogaliotto/status/1702142544006525002</v>
      </c>
      <c r="AF273" s="90">
        <v>45183.090057870373</v>
      </c>
      <c r="AG273" s="99">
        <v>45183</v>
      </c>
      <c r="AH273" s="93" t="s">
        <v>11787</v>
      </c>
      <c r="AI273" s="87" t="b">
        <v>0</v>
      </c>
      <c r="AJ273" s="87"/>
      <c r="AK273" s="87"/>
      <c r="AL273" s="87"/>
      <c r="AM273" s="87"/>
      <c r="AN273" s="87"/>
      <c r="AO273" s="87"/>
      <c r="AP273" s="87"/>
      <c r="AQ273" s="87" t="s">
        <v>15636</v>
      </c>
      <c r="AR273" s="87">
        <v>41701</v>
      </c>
      <c r="AS273" s="87"/>
      <c r="AT273" s="87"/>
      <c r="AU273" s="87"/>
      <c r="AV273" s="92" t="str">
        <f>HYPERLINK("https://pbs.twimg.com/ext_tw_video_thumb/1702142474146254848/pu/img/frybHqhNXbeaDmAH.jpg")</f>
        <v>https://pbs.twimg.com/ext_tw_video_thumb/1702142474146254848/pu/img/frybHqhNXbeaDmAH.jpg</v>
      </c>
      <c r="AW273" s="93" t="s">
        <v>18526</v>
      </c>
      <c r="AX273" s="93" t="s">
        <v>18526</v>
      </c>
      <c r="AY273" s="87"/>
      <c r="AZ273" s="93" t="s">
        <v>22668</v>
      </c>
      <c r="BA273" s="93" t="s">
        <v>22668</v>
      </c>
      <c r="BB273" s="93" t="s">
        <v>22668</v>
      </c>
      <c r="BC273" s="93" t="s">
        <v>18526</v>
      </c>
      <c r="BD273" s="93" t="s">
        <v>22847</v>
      </c>
      <c r="BE273" s="87"/>
      <c r="BF273" s="87"/>
      <c r="BG273" s="87"/>
      <c r="BH273" s="87"/>
      <c r="BI273" s="87"/>
    </row>
    <row r="274" spans="1:61" x14ac:dyDescent="0.25">
      <c r="A274" s="63" t="s">
        <v>313</v>
      </c>
      <c r="B274" s="63" t="s">
        <v>313</v>
      </c>
      <c r="C274" s="64"/>
      <c r="D274" s="65"/>
      <c r="E274" s="66"/>
      <c r="F274" s="67"/>
      <c r="G274" s="64"/>
      <c r="H274" s="68"/>
      <c r="I274" s="69"/>
      <c r="J274" s="69"/>
      <c r="K274" s="32"/>
      <c r="L274" s="76">
        <v>274</v>
      </c>
      <c r="M274" s="76"/>
      <c r="N274" s="71"/>
      <c r="O274" s="87" t="s">
        <v>179</v>
      </c>
      <c r="P274" s="90">
        <v>45190.952268518522</v>
      </c>
      <c r="Q274" s="87" t="s">
        <v>2111</v>
      </c>
      <c r="R274" s="87">
        <v>0</v>
      </c>
      <c r="S274" s="87">
        <v>1</v>
      </c>
      <c r="T274" s="87">
        <v>0</v>
      </c>
      <c r="U274" s="87">
        <v>0</v>
      </c>
      <c r="V274" s="87">
        <v>14</v>
      </c>
      <c r="W274" s="93" t="s">
        <v>6049</v>
      </c>
      <c r="X274" s="87"/>
      <c r="Y274" s="87"/>
      <c r="Z274" s="87"/>
      <c r="AA274" s="87" t="s">
        <v>8824</v>
      </c>
      <c r="AB274" s="87" t="s">
        <v>11447</v>
      </c>
      <c r="AC274" s="93" t="s">
        <v>11459</v>
      </c>
      <c r="AD274" s="87" t="s">
        <v>11523</v>
      </c>
      <c r="AE274" s="92" t="str">
        <f>HYPERLINK("https://twitter.com/lucianogaliotto/status/1704991714211991631")</f>
        <v>https://twitter.com/lucianogaliotto/status/1704991714211991631</v>
      </c>
      <c r="AF274" s="90">
        <v>45190.952268518522</v>
      </c>
      <c r="AG274" s="99">
        <v>45190</v>
      </c>
      <c r="AH274" s="93" t="s">
        <v>11788</v>
      </c>
      <c r="AI274" s="87" t="b">
        <v>0</v>
      </c>
      <c r="AJ274" s="87"/>
      <c r="AK274" s="87"/>
      <c r="AL274" s="87"/>
      <c r="AM274" s="87"/>
      <c r="AN274" s="87"/>
      <c r="AO274" s="87"/>
      <c r="AP274" s="87"/>
      <c r="AQ274" s="87" t="s">
        <v>15637</v>
      </c>
      <c r="AR274" s="87">
        <v>42815</v>
      </c>
      <c r="AS274" s="87"/>
      <c r="AT274" s="87"/>
      <c r="AU274" s="87"/>
      <c r="AV274" s="92" t="str">
        <f>HYPERLINK("https://pbs.twimg.com/ext_tw_video_thumb/1704991625024344064/pu/img/P61Oqof7DuSj3ekN.jpg")</f>
        <v>https://pbs.twimg.com/ext_tw_video_thumb/1704991625024344064/pu/img/P61Oqof7DuSj3ekN.jpg</v>
      </c>
      <c r="AW274" s="93" t="s">
        <v>18527</v>
      </c>
      <c r="AX274" s="93" t="s">
        <v>18527</v>
      </c>
      <c r="AY274" s="87"/>
      <c r="AZ274" s="93" t="s">
        <v>22668</v>
      </c>
      <c r="BA274" s="93" t="s">
        <v>22668</v>
      </c>
      <c r="BB274" s="93" t="s">
        <v>22668</v>
      </c>
      <c r="BC274" s="93" t="s">
        <v>18527</v>
      </c>
      <c r="BD274" s="93" t="s">
        <v>22847</v>
      </c>
      <c r="BE274" s="87"/>
      <c r="BF274" s="87"/>
      <c r="BG274" s="87"/>
      <c r="BH274" s="87"/>
      <c r="BI274" s="87"/>
    </row>
    <row r="275" spans="1:61" x14ac:dyDescent="0.25">
      <c r="A275" s="63" t="s">
        <v>313</v>
      </c>
      <c r="B275" s="63" t="s">
        <v>313</v>
      </c>
      <c r="C275" s="64"/>
      <c r="D275" s="65"/>
      <c r="E275" s="66"/>
      <c r="F275" s="67"/>
      <c r="G275" s="64"/>
      <c r="H275" s="68"/>
      <c r="I275" s="69"/>
      <c r="J275" s="69"/>
      <c r="K275" s="32"/>
      <c r="L275" s="76">
        <v>275</v>
      </c>
      <c r="M275" s="76"/>
      <c r="N275" s="71"/>
      <c r="O275" s="87" t="s">
        <v>179</v>
      </c>
      <c r="P275" s="90">
        <v>45189.797662037039</v>
      </c>
      <c r="Q275" s="87" t="s">
        <v>2112</v>
      </c>
      <c r="R275" s="87">
        <v>0</v>
      </c>
      <c r="S275" s="87">
        <v>0</v>
      </c>
      <c r="T275" s="87">
        <v>0</v>
      </c>
      <c r="U275" s="87">
        <v>0</v>
      </c>
      <c r="V275" s="87">
        <v>20</v>
      </c>
      <c r="W275" s="93" t="s">
        <v>6054</v>
      </c>
      <c r="X275" s="87"/>
      <c r="Y275" s="87"/>
      <c r="Z275" s="87"/>
      <c r="AA275" s="87" t="s">
        <v>8825</v>
      </c>
      <c r="AB275" s="87" t="s">
        <v>11447</v>
      </c>
      <c r="AC275" s="93" t="s">
        <v>11459</v>
      </c>
      <c r="AD275" s="87" t="s">
        <v>11519</v>
      </c>
      <c r="AE275" s="92" t="str">
        <f>HYPERLINK("https://twitter.com/lucianogaliotto/status/1704573297730445750")</f>
        <v>https://twitter.com/lucianogaliotto/status/1704573297730445750</v>
      </c>
      <c r="AF275" s="90">
        <v>45189.797662037039</v>
      </c>
      <c r="AG275" s="99">
        <v>45189</v>
      </c>
      <c r="AH275" s="93" t="s">
        <v>11789</v>
      </c>
      <c r="AI275" s="87" t="b">
        <v>0</v>
      </c>
      <c r="AJ275" s="87"/>
      <c r="AK275" s="87"/>
      <c r="AL275" s="87"/>
      <c r="AM275" s="87"/>
      <c r="AN275" s="87"/>
      <c r="AO275" s="87"/>
      <c r="AP275" s="87"/>
      <c r="AQ275" s="87" t="s">
        <v>15638</v>
      </c>
      <c r="AR275" s="87">
        <v>47600</v>
      </c>
      <c r="AS275" s="87"/>
      <c r="AT275" s="87"/>
      <c r="AU275" s="87"/>
      <c r="AV275" s="92" t="str">
        <f>HYPERLINK("https://pbs.twimg.com/ext_tw_video_thumb/1704573216369369175/pu/img/2Zal0amut8andH91.jpg")</f>
        <v>https://pbs.twimg.com/ext_tw_video_thumb/1704573216369369175/pu/img/2Zal0amut8andH91.jpg</v>
      </c>
      <c r="AW275" s="93" t="s">
        <v>18528</v>
      </c>
      <c r="AX275" s="93" t="s">
        <v>18528</v>
      </c>
      <c r="AY275" s="87"/>
      <c r="AZ275" s="93" t="s">
        <v>22668</v>
      </c>
      <c r="BA275" s="93" t="s">
        <v>22668</v>
      </c>
      <c r="BB275" s="93" t="s">
        <v>22668</v>
      </c>
      <c r="BC275" s="93" t="s">
        <v>18528</v>
      </c>
      <c r="BD275" s="93" t="s">
        <v>22847</v>
      </c>
      <c r="BE275" s="87"/>
      <c r="BF275" s="87"/>
      <c r="BG275" s="87"/>
      <c r="BH275" s="87"/>
      <c r="BI275" s="87"/>
    </row>
    <row r="276" spans="1:61" x14ac:dyDescent="0.25">
      <c r="A276" s="63" t="s">
        <v>313</v>
      </c>
      <c r="B276" s="63" t="s">
        <v>313</v>
      </c>
      <c r="C276" s="64"/>
      <c r="D276" s="65"/>
      <c r="E276" s="66"/>
      <c r="F276" s="67"/>
      <c r="G276" s="64"/>
      <c r="H276" s="68"/>
      <c r="I276" s="69"/>
      <c r="J276" s="69"/>
      <c r="K276" s="32"/>
      <c r="L276" s="76">
        <v>276</v>
      </c>
      <c r="M276" s="76"/>
      <c r="N276" s="71"/>
      <c r="O276" s="87" t="s">
        <v>179</v>
      </c>
      <c r="P276" s="90">
        <v>45191.926053240742</v>
      </c>
      <c r="Q276" s="87" t="s">
        <v>2113</v>
      </c>
      <c r="R276" s="87">
        <v>0</v>
      </c>
      <c r="S276" s="87">
        <v>0</v>
      </c>
      <c r="T276" s="87">
        <v>0</v>
      </c>
      <c r="U276" s="87">
        <v>0</v>
      </c>
      <c r="V276" s="87">
        <v>16</v>
      </c>
      <c r="W276" s="93" t="s">
        <v>6055</v>
      </c>
      <c r="X276" s="87"/>
      <c r="Y276" s="87"/>
      <c r="Z276" s="87"/>
      <c r="AA276" s="87" t="s">
        <v>8826</v>
      </c>
      <c r="AB276" s="87" t="s">
        <v>11447</v>
      </c>
      <c r="AC276" s="93" t="s">
        <v>11459</v>
      </c>
      <c r="AD276" s="87" t="s">
        <v>11519</v>
      </c>
      <c r="AE276" s="92" t="str">
        <f>HYPERLINK("https://twitter.com/lucianogaliotto/status/1705344603212116285")</f>
        <v>https://twitter.com/lucianogaliotto/status/1705344603212116285</v>
      </c>
      <c r="AF276" s="90">
        <v>45191.926053240742</v>
      </c>
      <c r="AG276" s="99">
        <v>45191</v>
      </c>
      <c r="AH276" s="93" t="s">
        <v>11790</v>
      </c>
      <c r="AI276" s="87" t="b">
        <v>0</v>
      </c>
      <c r="AJ276" s="87"/>
      <c r="AK276" s="87"/>
      <c r="AL276" s="87"/>
      <c r="AM276" s="87"/>
      <c r="AN276" s="87"/>
      <c r="AO276" s="87"/>
      <c r="AP276" s="87"/>
      <c r="AQ276" s="87" t="s">
        <v>15639</v>
      </c>
      <c r="AR276" s="87">
        <v>46972</v>
      </c>
      <c r="AS276" s="87"/>
      <c r="AT276" s="87"/>
      <c r="AU276" s="87"/>
      <c r="AV276" s="92" t="str">
        <f>HYPERLINK("https://pbs.twimg.com/ext_tw_video_thumb/1705344544970088448/pu/img/PyKZ9fX3WYlEZjEU.jpg")</f>
        <v>https://pbs.twimg.com/ext_tw_video_thumb/1705344544970088448/pu/img/PyKZ9fX3WYlEZjEU.jpg</v>
      </c>
      <c r="AW276" s="93" t="s">
        <v>18529</v>
      </c>
      <c r="AX276" s="93" t="s">
        <v>18529</v>
      </c>
      <c r="AY276" s="87"/>
      <c r="AZ276" s="93" t="s">
        <v>22668</v>
      </c>
      <c r="BA276" s="93" t="s">
        <v>22668</v>
      </c>
      <c r="BB276" s="93" t="s">
        <v>22668</v>
      </c>
      <c r="BC276" s="93" t="s">
        <v>18529</v>
      </c>
      <c r="BD276" s="93" t="s">
        <v>22847</v>
      </c>
      <c r="BE276" s="87"/>
      <c r="BF276" s="87"/>
      <c r="BG276" s="87"/>
      <c r="BH276" s="87"/>
      <c r="BI276" s="87"/>
    </row>
    <row r="277" spans="1:61" x14ac:dyDescent="0.25">
      <c r="A277" s="63" t="s">
        <v>313</v>
      </c>
      <c r="B277" s="63" t="s">
        <v>313</v>
      </c>
      <c r="C277" s="64"/>
      <c r="D277" s="65"/>
      <c r="E277" s="66"/>
      <c r="F277" s="67"/>
      <c r="G277" s="64"/>
      <c r="H277" s="68"/>
      <c r="I277" s="69"/>
      <c r="J277" s="69"/>
      <c r="K277" s="32"/>
      <c r="L277" s="76">
        <v>277</v>
      </c>
      <c r="M277" s="76"/>
      <c r="N277" s="71"/>
      <c r="O277" s="87" t="s">
        <v>179</v>
      </c>
      <c r="P277" s="90">
        <v>45122.916412037041</v>
      </c>
      <c r="Q277" s="87" t="s">
        <v>2114</v>
      </c>
      <c r="R277" s="87">
        <v>1</v>
      </c>
      <c r="S277" s="87">
        <v>0</v>
      </c>
      <c r="T277" s="87">
        <v>0</v>
      </c>
      <c r="U277" s="87">
        <v>0</v>
      </c>
      <c r="V277" s="87">
        <v>28</v>
      </c>
      <c r="W277" s="93" t="s">
        <v>6052</v>
      </c>
      <c r="X277" s="87"/>
      <c r="Y277" s="87"/>
      <c r="Z277" s="87"/>
      <c r="AA277" s="87" t="s">
        <v>8827</v>
      </c>
      <c r="AB277" s="87" t="s">
        <v>11447</v>
      </c>
      <c r="AC277" s="93" t="s">
        <v>11459</v>
      </c>
      <c r="AD277" s="87" t="s">
        <v>11523</v>
      </c>
      <c r="AE277" s="92" t="str">
        <f>HYPERLINK("https://twitter.com/lucianogaliotto/status/1680336343832879106")</f>
        <v>https://twitter.com/lucianogaliotto/status/1680336343832879106</v>
      </c>
      <c r="AF277" s="90">
        <v>45122.916412037041</v>
      </c>
      <c r="AG277" s="99">
        <v>45122</v>
      </c>
      <c r="AH277" s="93" t="s">
        <v>11791</v>
      </c>
      <c r="AI277" s="87" t="b">
        <v>0</v>
      </c>
      <c r="AJ277" s="87"/>
      <c r="AK277" s="87"/>
      <c r="AL277" s="87"/>
      <c r="AM277" s="87"/>
      <c r="AN277" s="87"/>
      <c r="AO277" s="87"/>
      <c r="AP277" s="87"/>
      <c r="AQ277" s="87" t="s">
        <v>15640</v>
      </c>
      <c r="AR277" s="87">
        <v>55075</v>
      </c>
      <c r="AS277" s="87"/>
      <c r="AT277" s="87"/>
      <c r="AU277" s="87"/>
      <c r="AV277" s="92" t="str">
        <f>HYPERLINK("https://pbs.twimg.com/ext_tw_video_thumb/1680336249163247619/pu/img/bgsbkQMcYzc9GFE5.jpg")</f>
        <v>https://pbs.twimg.com/ext_tw_video_thumb/1680336249163247619/pu/img/bgsbkQMcYzc9GFE5.jpg</v>
      </c>
      <c r="AW277" s="93" t="s">
        <v>18530</v>
      </c>
      <c r="AX277" s="93" t="s">
        <v>18530</v>
      </c>
      <c r="AY277" s="87"/>
      <c r="AZ277" s="93" t="s">
        <v>22668</v>
      </c>
      <c r="BA277" s="93" t="s">
        <v>22668</v>
      </c>
      <c r="BB277" s="93" t="s">
        <v>22668</v>
      </c>
      <c r="BC277" s="93" t="s">
        <v>18530</v>
      </c>
      <c r="BD277" s="93" t="s">
        <v>22847</v>
      </c>
      <c r="BE277" s="87"/>
      <c r="BF277" s="87"/>
      <c r="BG277" s="87"/>
      <c r="BH277" s="87"/>
      <c r="BI277" s="87"/>
    </row>
    <row r="278" spans="1:61" x14ac:dyDescent="0.25">
      <c r="A278" s="63" t="s">
        <v>313</v>
      </c>
      <c r="B278" s="63" t="s">
        <v>313</v>
      </c>
      <c r="C278" s="64"/>
      <c r="D278" s="65"/>
      <c r="E278" s="66"/>
      <c r="F278" s="67"/>
      <c r="G278" s="64"/>
      <c r="H278" s="68"/>
      <c r="I278" s="69"/>
      <c r="J278" s="69"/>
      <c r="K278" s="32"/>
      <c r="L278" s="76">
        <v>278</v>
      </c>
      <c r="M278" s="76"/>
      <c r="N278" s="71"/>
      <c r="O278" s="87" t="s">
        <v>179</v>
      </c>
      <c r="P278" s="90">
        <v>45194.694293981483</v>
      </c>
      <c r="Q278" s="87" t="s">
        <v>2115</v>
      </c>
      <c r="R278" s="87">
        <v>0</v>
      </c>
      <c r="S278" s="87">
        <v>0</v>
      </c>
      <c r="T278" s="87">
        <v>0</v>
      </c>
      <c r="U278" s="87">
        <v>0</v>
      </c>
      <c r="V278" s="87">
        <v>12</v>
      </c>
      <c r="W278" s="93" t="s">
        <v>6054</v>
      </c>
      <c r="X278" s="87"/>
      <c r="Y278" s="87"/>
      <c r="Z278" s="87"/>
      <c r="AA278" s="87" t="s">
        <v>8828</v>
      </c>
      <c r="AB278" s="87" t="s">
        <v>11447</v>
      </c>
      <c r="AC278" s="93" t="s">
        <v>11459</v>
      </c>
      <c r="AD278" s="87" t="s">
        <v>11519</v>
      </c>
      <c r="AE278" s="92" t="str">
        <f>HYPERLINK("https://twitter.com/lucianogaliotto/status/1706347780434694214")</f>
        <v>https://twitter.com/lucianogaliotto/status/1706347780434694214</v>
      </c>
      <c r="AF278" s="90">
        <v>45194.694293981483</v>
      </c>
      <c r="AG278" s="99">
        <v>45194</v>
      </c>
      <c r="AH278" s="93" t="s">
        <v>11792</v>
      </c>
      <c r="AI278" s="87" t="b">
        <v>0</v>
      </c>
      <c r="AJ278" s="87"/>
      <c r="AK278" s="87"/>
      <c r="AL278" s="87"/>
      <c r="AM278" s="87"/>
      <c r="AN278" s="87"/>
      <c r="AO278" s="87"/>
      <c r="AP278" s="87"/>
      <c r="AQ278" s="87" t="s">
        <v>15641</v>
      </c>
      <c r="AR278" s="87">
        <v>45671</v>
      </c>
      <c r="AS278" s="87"/>
      <c r="AT278" s="87"/>
      <c r="AU278" s="87"/>
      <c r="AV278" s="92" t="str">
        <f>HYPERLINK("https://pbs.twimg.com/ext_tw_video_thumb/1706347711790788608/pu/img/bTgtZg65dBjAa_Pd.jpg")</f>
        <v>https://pbs.twimg.com/ext_tw_video_thumb/1706347711790788608/pu/img/bTgtZg65dBjAa_Pd.jpg</v>
      </c>
      <c r="AW278" s="93" t="s">
        <v>18531</v>
      </c>
      <c r="AX278" s="93" t="s">
        <v>18531</v>
      </c>
      <c r="AY278" s="87"/>
      <c r="AZ278" s="93" t="s">
        <v>22668</v>
      </c>
      <c r="BA278" s="93" t="s">
        <v>22668</v>
      </c>
      <c r="BB278" s="93" t="s">
        <v>22668</v>
      </c>
      <c r="BC278" s="93" t="s">
        <v>18531</v>
      </c>
      <c r="BD278" s="93" t="s">
        <v>22847</v>
      </c>
      <c r="BE278" s="87"/>
      <c r="BF278" s="87"/>
      <c r="BG278" s="87"/>
      <c r="BH278" s="87"/>
      <c r="BI278" s="87"/>
    </row>
    <row r="279" spans="1:61" x14ac:dyDescent="0.25">
      <c r="A279" s="63" t="s">
        <v>313</v>
      </c>
      <c r="B279" s="63" t="s">
        <v>313</v>
      </c>
      <c r="C279" s="64"/>
      <c r="D279" s="65"/>
      <c r="E279" s="66"/>
      <c r="F279" s="67"/>
      <c r="G279" s="64"/>
      <c r="H279" s="68"/>
      <c r="I279" s="69"/>
      <c r="J279" s="69"/>
      <c r="K279" s="32"/>
      <c r="L279" s="76">
        <v>279</v>
      </c>
      <c r="M279" s="76"/>
      <c r="N279" s="71"/>
      <c r="O279" s="87" t="s">
        <v>179</v>
      </c>
      <c r="P279" s="90">
        <v>45184.846516203703</v>
      </c>
      <c r="Q279" s="87" t="s">
        <v>2116</v>
      </c>
      <c r="R279" s="87">
        <v>0</v>
      </c>
      <c r="S279" s="87">
        <v>0</v>
      </c>
      <c r="T279" s="87">
        <v>0</v>
      </c>
      <c r="U279" s="87">
        <v>0</v>
      </c>
      <c r="V279" s="87">
        <v>12</v>
      </c>
      <c r="W279" s="93" t="s">
        <v>6053</v>
      </c>
      <c r="X279" s="87"/>
      <c r="Y279" s="87"/>
      <c r="Z279" s="87"/>
      <c r="AA279" s="87" t="s">
        <v>8829</v>
      </c>
      <c r="AB279" s="87" t="s">
        <v>11447</v>
      </c>
      <c r="AC279" s="93" t="s">
        <v>11459</v>
      </c>
      <c r="AD279" s="87" t="s">
        <v>11519</v>
      </c>
      <c r="AE279" s="92" t="str">
        <f>HYPERLINK("https://twitter.com/lucianogaliotto/status/1702779061800448156")</f>
        <v>https://twitter.com/lucianogaliotto/status/1702779061800448156</v>
      </c>
      <c r="AF279" s="90">
        <v>45184.846516203703</v>
      </c>
      <c r="AG279" s="99">
        <v>45184</v>
      </c>
      <c r="AH279" s="93" t="s">
        <v>11793</v>
      </c>
      <c r="AI279" s="87" t="b">
        <v>0</v>
      </c>
      <c r="AJ279" s="87"/>
      <c r="AK279" s="87"/>
      <c r="AL279" s="87"/>
      <c r="AM279" s="87"/>
      <c r="AN279" s="87"/>
      <c r="AO279" s="87"/>
      <c r="AP279" s="87"/>
      <c r="AQ279" s="87" t="s">
        <v>15642</v>
      </c>
      <c r="AR279" s="87">
        <v>55470</v>
      </c>
      <c r="AS279" s="87"/>
      <c r="AT279" s="87"/>
      <c r="AU279" s="87"/>
      <c r="AV279" s="92" t="str">
        <f>HYPERLINK("https://pbs.twimg.com/ext_tw_video_thumb/1702778977402617856/pu/img/9fORk63rGRjO8Ydz.jpg")</f>
        <v>https://pbs.twimg.com/ext_tw_video_thumb/1702778977402617856/pu/img/9fORk63rGRjO8Ydz.jpg</v>
      </c>
      <c r="AW279" s="93" t="s">
        <v>18532</v>
      </c>
      <c r="AX279" s="93" t="s">
        <v>18532</v>
      </c>
      <c r="AY279" s="87"/>
      <c r="AZ279" s="93" t="s">
        <v>22668</v>
      </c>
      <c r="BA279" s="93" t="s">
        <v>22668</v>
      </c>
      <c r="BB279" s="93" t="s">
        <v>22668</v>
      </c>
      <c r="BC279" s="93" t="s">
        <v>18532</v>
      </c>
      <c r="BD279" s="93" t="s">
        <v>22847</v>
      </c>
      <c r="BE279" s="87"/>
      <c r="BF279" s="87"/>
      <c r="BG279" s="87"/>
      <c r="BH279" s="87"/>
      <c r="BI279" s="87"/>
    </row>
    <row r="280" spans="1:61" x14ac:dyDescent="0.25">
      <c r="A280" s="63" t="s">
        <v>313</v>
      </c>
      <c r="B280" s="63" t="s">
        <v>313</v>
      </c>
      <c r="C280" s="64"/>
      <c r="D280" s="65"/>
      <c r="E280" s="66"/>
      <c r="F280" s="67"/>
      <c r="G280" s="64"/>
      <c r="H280" s="68"/>
      <c r="I280" s="69"/>
      <c r="J280" s="69"/>
      <c r="K280" s="32"/>
      <c r="L280" s="76">
        <v>280</v>
      </c>
      <c r="M280" s="76"/>
      <c r="N280" s="71"/>
      <c r="O280" s="87" t="s">
        <v>179</v>
      </c>
      <c r="P280" s="90">
        <v>45150.070277777777</v>
      </c>
      <c r="Q280" s="87" t="s">
        <v>2117</v>
      </c>
      <c r="R280" s="87">
        <v>0</v>
      </c>
      <c r="S280" s="87">
        <v>0</v>
      </c>
      <c r="T280" s="87">
        <v>0</v>
      </c>
      <c r="U280" s="87">
        <v>0</v>
      </c>
      <c r="V280" s="87">
        <v>34</v>
      </c>
      <c r="W280" s="93" t="s">
        <v>6056</v>
      </c>
      <c r="X280" s="87"/>
      <c r="Y280" s="87"/>
      <c r="Z280" s="87"/>
      <c r="AA280" s="87" t="s">
        <v>8830</v>
      </c>
      <c r="AB280" s="87" t="s">
        <v>11447</v>
      </c>
      <c r="AC280" s="93" t="s">
        <v>11459</v>
      </c>
      <c r="AD280" s="87" t="s">
        <v>11519</v>
      </c>
      <c r="AE280" s="92" t="str">
        <f>HYPERLINK("https://twitter.com/lucianogaliotto/status/1690176578561490944")</f>
        <v>https://twitter.com/lucianogaliotto/status/1690176578561490944</v>
      </c>
      <c r="AF280" s="90">
        <v>45150.070277777777</v>
      </c>
      <c r="AG280" s="99">
        <v>45150</v>
      </c>
      <c r="AH280" s="93" t="s">
        <v>11794</v>
      </c>
      <c r="AI280" s="87" t="b">
        <v>0</v>
      </c>
      <c r="AJ280" s="87"/>
      <c r="AK280" s="87"/>
      <c r="AL280" s="87"/>
      <c r="AM280" s="87"/>
      <c r="AN280" s="87"/>
      <c r="AO280" s="87"/>
      <c r="AP280" s="87"/>
      <c r="AQ280" s="87" t="s">
        <v>15643</v>
      </c>
      <c r="AR280" s="87">
        <v>44766</v>
      </c>
      <c r="AS280" s="87"/>
      <c r="AT280" s="87"/>
      <c r="AU280" s="87"/>
      <c r="AV280" s="92" t="str">
        <f>HYPERLINK("https://pbs.twimg.com/ext_tw_video_thumb/1690176470029647872/pu/img/IHgMAtUxT7git3kM.jpg")</f>
        <v>https://pbs.twimg.com/ext_tw_video_thumb/1690176470029647872/pu/img/IHgMAtUxT7git3kM.jpg</v>
      </c>
      <c r="AW280" s="93" t="s">
        <v>18533</v>
      </c>
      <c r="AX280" s="93" t="s">
        <v>18533</v>
      </c>
      <c r="AY280" s="87"/>
      <c r="AZ280" s="93" t="s">
        <v>22668</v>
      </c>
      <c r="BA280" s="93" t="s">
        <v>22668</v>
      </c>
      <c r="BB280" s="93" t="s">
        <v>22668</v>
      </c>
      <c r="BC280" s="93" t="s">
        <v>18533</v>
      </c>
      <c r="BD280" s="93" t="s">
        <v>22847</v>
      </c>
      <c r="BE280" s="87"/>
      <c r="BF280" s="87"/>
      <c r="BG280" s="87"/>
      <c r="BH280" s="87"/>
      <c r="BI280" s="87"/>
    </row>
    <row r="281" spans="1:61" x14ac:dyDescent="0.25">
      <c r="A281" s="63" t="s">
        <v>314</v>
      </c>
      <c r="B281" s="63" t="s">
        <v>314</v>
      </c>
      <c r="C281" s="64"/>
      <c r="D281" s="65"/>
      <c r="E281" s="66"/>
      <c r="F281" s="67"/>
      <c r="G281" s="64"/>
      <c r="H281" s="68"/>
      <c r="I281" s="69"/>
      <c r="J281" s="69"/>
      <c r="K281" s="32"/>
      <c r="L281" s="76">
        <v>281</v>
      </c>
      <c r="M281" s="76"/>
      <c r="N281" s="71"/>
      <c r="O281" s="87" t="s">
        <v>179</v>
      </c>
      <c r="P281" s="90">
        <v>45117.979884259257</v>
      </c>
      <c r="Q281" s="87" t="s">
        <v>2118</v>
      </c>
      <c r="R281" s="87">
        <v>0</v>
      </c>
      <c r="S281" s="87">
        <v>0</v>
      </c>
      <c r="T281" s="87">
        <v>0</v>
      </c>
      <c r="U281" s="87">
        <v>0</v>
      </c>
      <c r="V281" s="87">
        <v>110</v>
      </c>
      <c r="W281" s="93" t="s">
        <v>6057</v>
      </c>
      <c r="X281" s="92" t="str">
        <f>HYPERLINK("http://bit.ly/3qU4TRb")</f>
        <v>http://bit.ly/3qU4TRb</v>
      </c>
      <c r="Y281" s="87" t="s">
        <v>8374</v>
      </c>
      <c r="Z281" s="87"/>
      <c r="AA281" s="87" t="s">
        <v>8831</v>
      </c>
      <c r="AB281" s="87" t="s">
        <v>11447</v>
      </c>
      <c r="AC281" s="93" t="s">
        <v>11458</v>
      </c>
      <c r="AD281" s="87" t="s">
        <v>11518</v>
      </c>
      <c r="AE281" s="92" t="str">
        <f>HYPERLINK("https://twitter.com/itaboraisantos/status/1678547409490571265")</f>
        <v>https://twitter.com/itaboraisantos/status/1678547409490571265</v>
      </c>
      <c r="AF281" s="90">
        <v>45117.979884259257</v>
      </c>
      <c r="AG281" s="99">
        <v>45117</v>
      </c>
      <c r="AH281" s="93" t="s">
        <v>11795</v>
      </c>
      <c r="AI281" s="87" t="b">
        <v>0</v>
      </c>
      <c r="AJ281" s="87"/>
      <c r="AK281" s="87"/>
      <c r="AL281" s="87"/>
      <c r="AM281" s="87"/>
      <c r="AN281" s="87"/>
      <c r="AO281" s="87"/>
      <c r="AP281" s="87"/>
      <c r="AQ281" s="87" t="s">
        <v>15644</v>
      </c>
      <c r="AR281" s="87">
        <v>31433</v>
      </c>
      <c r="AS281" s="87"/>
      <c r="AT281" s="87"/>
      <c r="AU281" s="87"/>
      <c r="AV281" s="92" t="str">
        <f>HYPERLINK("https://pbs.twimg.com/ext_tw_video_thumb/1678547284785602563/pu/img/bD1tfJidCNdtZBjb.jpg")</f>
        <v>https://pbs.twimg.com/ext_tw_video_thumb/1678547284785602563/pu/img/bD1tfJidCNdtZBjb.jpg</v>
      </c>
      <c r="AW281" s="93" t="s">
        <v>18534</v>
      </c>
      <c r="AX281" s="93" t="s">
        <v>18534</v>
      </c>
      <c r="AY281" s="87"/>
      <c r="AZ281" s="93" t="s">
        <v>22668</v>
      </c>
      <c r="BA281" s="93" t="s">
        <v>22668</v>
      </c>
      <c r="BB281" s="93" t="s">
        <v>22668</v>
      </c>
      <c r="BC281" s="93" t="s">
        <v>18534</v>
      </c>
      <c r="BD281" s="87">
        <v>583023355</v>
      </c>
      <c r="BE281" s="87"/>
      <c r="BF281" s="87"/>
      <c r="BG281" s="87"/>
      <c r="BH281" s="87"/>
      <c r="BI281" s="87"/>
    </row>
    <row r="282" spans="1:61" x14ac:dyDescent="0.25">
      <c r="A282" s="63" t="s">
        <v>315</v>
      </c>
      <c r="B282" s="63" t="s">
        <v>315</v>
      </c>
      <c r="C282" s="64"/>
      <c r="D282" s="65"/>
      <c r="E282" s="66"/>
      <c r="F282" s="67"/>
      <c r="G282" s="64"/>
      <c r="H282" s="68"/>
      <c r="I282" s="69"/>
      <c r="J282" s="69"/>
      <c r="K282" s="32"/>
      <c r="L282" s="76">
        <v>282</v>
      </c>
      <c r="M282" s="76"/>
      <c r="N282" s="71"/>
      <c r="O282" s="87" t="s">
        <v>179</v>
      </c>
      <c r="P282" s="90">
        <v>45184.877430555556</v>
      </c>
      <c r="Q282" s="87" t="s">
        <v>2119</v>
      </c>
      <c r="R282" s="87">
        <v>0</v>
      </c>
      <c r="S282" s="87">
        <v>0</v>
      </c>
      <c r="T282" s="87">
        <v>0</v>
      </c>
      <c r="U282" s="87">
        <v>0</v>
      </c>
      <c r="V282" s="87">
        <v>5</v>
      </c>
      <c r="W282" s="93" t="s">
        <v>6058</v>
      </c>
      <c r="X282" s="92" t="str">
        <f>HYPERLINK("http://www.jinggaweb.com.br")</f>
        <v>http://www.jinggaweb.com.br</v>
      </c>
      <c r="Y282" s="87" t="s">
        <v>8373</v>
      </c>
      <c r="Z282" s="87"/>
      <c r="AA282" s="87" t="s">
        <v>8832</v>
      </c>
      <c r="AB282" s="87" t="s">
        <v>11447</v>
      </c>
      <c r="AC282" s="93" t="s">
        <v>11459</v>
      </c>
      <c r="AD282" s="87" t="s">
        <v>11519</v>
      </c>
      <c r="AE282" s="92" t="str">
        <f>HYPERLINK("https://twitter.com/jinggaweb_br/status/1702790265352646749")</f>
        <v>https://twitter.com/jinggaweb_br/status/1702790265352646749</v>
      </c>
      <c r="AF282" s="90">
        <v>45184.877430555556</v>
      </c>
      <c r="AG282" s="99">
        <v>45184</v>
      </c>
      <c r="AH282" s="93" t="s">
        <v>11644</v>
      </c>
      <c r="AI282" s="87" t="b">
        <v>0</v>
      </c>
      <c r="AJ282" s="87"/>
      <c r="AK282" s="87"/>
      <c r="AL282" s="87"/>
      <c r="AM282" s="87"/>
      <c r="AN282" s="87"/>
      <c r="AO282" s="87"/>
      <c r="AP282" s="87"/>
      <c r="AQ282" s="87" t="s">
        <v>15645</v>
      </c>
      <c r="AR282" s="87">
        <v>45000</v>
      </c>
      <c r="AS282" s="87"/>
      <c r="AT282" s="87"/>
      <c r="AU282" s="87"/>
      <c r="AV282" s="92" t="str">
        <f>HYPERLINK("https://pbs.twimg.com/ext_tw_video_thumb/1702790218212855808/pu/img/kfJaobvnEKOFQKmm.jpg")</f>
        <v>https://pbs.twimg.com/ext_tw_video_thumb/1702790218212855808/pu/img/kfJaobvnEKOFQKmm.jpg</v>
      </c>
      <c r="AW282" s="93" t="s">
        <v>18535</v>
      </c>
      <c r="AX282" s="93" t="s">
        <v>18535</v>
      </c>
      <c r="AY282" s="87"/>
      <c r="AZ282" s="93" t="s">
        <v>22668</v>
      </c>
      <c r="BA282" s="93" t="s">
        <v>22668</v>
      </c>
      <c r="BB282" s="93" t="s">
        <v>22668</v>
      </c>
      <c r="BC282" s="93" t="s">
        <v>18535</v>
      </c>
      <c r="BD282" s="93" t="s">
        <v>22848</v>
      </c>
      <c r="BE282" s="87"/>
      <c r="BF282" s="87"/>
      <c r="BG282" s="87"/>
      <c r="BH282" s="87"/>
      <c r="BI282" s="87"/>
    </row>
    <row r="283" spans="1:61" x14ac:dyDescent="0.25">
      <c r="A283" s="63" t="s">
        <v>315</v>
      </c>
      <c r="B283" s="63" t="s">
        <v>315</v>
      </c>
      <c r="C283" s="64"/>
      <c r="D283" s="65"/>
      <c r="E283" s="66"/>
      <c r="F283" s="67"/>
      <c r="G283" s="64"/>
      <c r="H283" s="68"/>
      <c r="I283" s="69"/>
      <c r="J283" s="69"/>
      <c r="K283" s="32"/>
      <c r="L283" s="76">
        <v>283</v>
      </c>
      <c r="M283" s="76"/>
      <c r="N283" s="71"/>
      <c r="O283" s="87" t="s">
        <v>179</v>
      </c>
      <c r="P283" s="90">
        <v>45188.856435185182</v>
      </c>
      <c r="Q283" s="87" t="s">
        <v>2120</v>
      </c>
      <c r="R283" s="87">
        <v>0</v>
      </c>
      <c r="S283" s="87">
        <v>0</v>
      </c>
      <c r="T283" s="87">
        <v>0</v>
      </c>
      <c r="U283" s="87">
        <v>0</v>
      </c>
      <c r="V283" s="87">
        <v>9</v>
      </c>
      <c r="W283" s="93" t="s">
        <v>6059</v>
      </c>
      <c r="X283" s="92" t="str">
        <f>HYPERLINK("http://www.jinggaweb.com.br")</f>
        <v>http://www.jinggaweb.com.br</v>
      </c>
      <c r="Y283" s="87" t="s">
        <v>8373</v>
      </c>
      <c r="Z283" s="87"/>
      <c r="AA283" s="87" t="s">
        <v>8833</v>
      </c>
      <c r="AB283" s="87" t="s">
        <v>11447</v>
      </c>
      <c r="AC283" s="93" t="s">
        <v>11459</v>
      </c>
      <c r="AD283" s="87" t="s">
        <v>11519</v>
      </c>
      <c r="AE283" s="92" t="str">
        <f>HYPERLINK("https://twitter.com/jinggaweb_br/status/1704232210067325083")</f>
        <v>https://twitter.com/jinggaweb_br/status/1704232210067325083</v>
      </c>
      <c r="AF283" s="90">
        <v>45188.856435185182</v>
      </c>
      <c r="AG283" s="99">
        <v>45188</v>
      </c>
      <c r="AH283" s="93" t="s">
        <v>11796</v>
      </c>
      <c r="AI283" s="87" t="b">
        <v>0</v>
      </c>
      <c r="AJ283" s="87"/>
      <c r="AK283" s="87"/>
      <c r="AL283" s="87"/>
      <c r="AM283" s="87"/>
      <c r="AN283" s="87"/>
      <c r="AO283" s="87"/>
      <c r="AP283" s="87"/>
      <c r="AQ283" s="87" t="s">
        <v>15646</v>
      </c>
      <c r="AR283" s="87">
        <v>5015</v>
      </c>
      <c r="AS283" s="87"/>
      <c r="AT283" s="87"/>
      <c r="AU283" s="87"/>
      <c r="AV283" s="92" t="str">
        <f>HYPERLINK("https://pbs.twimg.com/ext_tw_video_thumb/1704232177414643712/pu/img/-ctl-vuRcGjY9aPX.jpg")</f>
        <v>https://pbs.twimg.com/ext_tw_video_thumb/1704232177414643712/pu/img/-ctl-vuRcGjY9aPX.jpg</v>
      </c>
      <c r="AW283" s="93" t="s">
        <v>18536</v>
      </c>
      <c r="AX283" s="93" t="s">
        <v>18536</v>
      </c>
      <c r="AY283" s="87"/>
      <c r="AZ283" s="93" t="s">
        <v>22668</v>
      </c>
      <c r="BA283" s="93" t="s">
        <v>22668</v>
      </c>
      <c r="BB283" s="93" t="s">
        <v>22668</v>
      </c>
      <c r="BC283" s="93" t="s">
        <v>18536</v>
      </c>
      <c r="BD283" s="93" t="s">
        <v>22848</v>
      </c>
      <c r="BE283" s="87"/>
      <c r="BF283" s="87"/>
      <c r="BG283" s="87"/>
      <c r="BH283" s="87"/>
      <c r="BI283" s="87"/>
    </row>
    <row r="284" spans="1:61" x14ac:dyDescent="0.25">
      <c r="A284" s="63" t="s">
        <v>315</v>
      </c>
      <c r="B284" s="63" t="s">
        <v>315</v>
      </c>
      <c r="C284" s="64"/>
      <c r="D284" s="65"/>
      <c r="E284" s="66"/>
      <c r="F284" s="67"/>
      <c r="G284" s="64"/>
      <c r="H284" s="68"/>
      <c r="I284" s="69"/>
      <c r="J284" s="69"/>
      <c r="K284" s="32"/>
      <c r="L284" s="76">
        <v>284</v>
      </c>
      <c r="M284" s="76"/>
      <c r="N284" s="71"/>
      <c r="O284" s="87" t="s">
        <v>179</v>
      </c>
      <c r="P284" s="90">
        <v>45196.897488425922</v>
      </c>
      <c r="Q284" s="87" t="s">
        <v>2121</v>
      </c>
      <c r="R284" s="87">
        <v>0</v>
      </c>
      <c r="S284" s="87">
        <v>0</v>
      </c>
      <c r="T284" s="87">
        <v>0</v>
      </c>
      <c r="U284" s="87">
        <v>0</v>
      </c>
      <c r="V284" s="87">
        <v>1</v>
      </c>
      <c r="W284" s="93" t="s">
        <v>6060</v>
      </c>
      <c r="X284" s="92" t="str">
        <f>HYPERLINK("http://www.jinggaweb.com.br")</f>
        <v>http://www.jinggaweb.com.br</v>
      </c>
      <c r="Y284" s="87" t="s">
        <v>8373</v>
      </c>
      <c r="Z284" s="87"/>
      <c r="AA284" s="87" t="s">
        <v>8834</v>
      </c>
      <c r="AB284" s="87" t="s">
        <v>11448</v>
      </c>
      <c r="AC284" s="93" t="s">
        <v>11459</v>
      </c>
      <c r="AD284" s="87" t="s">
        <v>11519</v>
      </c>
      <c r="AE284" s="92" t="str">
        <f>HYPERLINK("https://twitter.com/jinggaweb_br/status/1707146189752119483")</f>
        <v>https://twitter.com/jinggaweb_br/status/1707146189752119483</v>
      </c>
      <c r="AF284" s="90">
        <v>45196.897488425922</v>
      </c>
      <c r="AG284" s="99">
        <v>45196</v>
      </c>
      <c r="AH284" s="93" t="s">
        <v>11797</v>
      </c>
      <c r="AI284" s="87" t="b">
        <v>0</v>
      </c>
      <c r="AJ284" s="87"/>
      <c r="AK284" s="87"/>
      <c r="AL284" s="87"/>
      <c r="AM284" s="87"/>
      <c r="AN284" s="87"/>
      <c r="AO284" s="87"/>
      <c r="AP284" s="87"/>
      <c r="AQ284" s="87" t="s">
        <v>15647</v>
      </c>
      <c r="AR284" s="87"/>
      <c r="AS284" s="87"/>
      <c r="AT284" s="87"/>
      <c r="AU284" s="87"/>
      <c r="AV284" s="92" t="str">
        <f>HYPERLINK("https://pbs.twimg.com/media/F7EAaYjWkAEsG3G.jpg")</f>
        <v>https://pbs.twimg.com/media/F7EAaYjWkAEsG3G.jpg</v>
      </c>
      <c r="AW284" s="93" t="s">
        <v>18537</v>
      </c>
      <c r="AX284" s="93" t="s">
        <v>18537</v>
      </c>
      <c r="AY284" s="87"/>
      <c r="AZ284" s="93" t="s">
        <v>22668</v>
      </c>
      <c r="BA284" s="93" t="s">
        <v>22668</v>
      </c>
      <c r="BB284" s="93" t="s">
        <v>22668</v>
      </c>
      <c r="BC284" s="93" t="s">
        <v>18537</v>
      </c>
      <c r="BD284" s="93" t="s">
        <v>22848</v>
      </c>
      <c r="BE284" s="87"/>
      <c r="BF284" s="87"/>
      <c r="BG284" s="87"/>
      <c r="BH284" s="87"/>
      <c r="BI284" s="87"/>
    </row>
    <row r="285" spans="1:61" x14ac:dyDescent="0.25">
      <c r="A285" s="63" t="s">
        <v>316</v>
      </c>
      <c r="B285" s="63" t="s">
        <v>316</v>
      </c>
      <c r="C285" s="64"/>
      <c r="D285" s="65"/>
      <c r="E285" s="66"/>
      <c r="F285" s="67"/>
      <c r="G285" s="64"/>
      <c r="H285" s="68"/>
      <c r="I285" s="69"/>
      <c r="J285" s="69"/>
      <c r="K285" s="32"/>
      <c r="L285" s="76">
        <v>285</v>
      </c>
      <c r="M285" s="76"/>
      <c r="N285" s="71"/>
      <c r="O285" s="87" t="s">
        <v>179</v>
      </c>
      <c r="P285" s="90">
        <v>45181.594456018516</v>
      </c>
      <c r="Q285" s="87" t="s">
        <v>2122</v>
      </c>
      <c r="R285" s="87">
        <v>0</v>
      </c>
      <c r="S285" s="87">
        <v>0</v>
      </c>
      <c r="T285" s="87">
        <v>0</v>
      </c>
      <c r="U285" s="87">
        <v>0</v>
      </c>
      <c r="V285" s="87">
        <v>16</v>
      </c>
      <c r="W285" s="93" t="s">
        <v>6061</v>
      </c>
      <c r="X285" s="92" t="str">
        <f>HYPERLINK("https://empreenderemgoias.com.br/2023/09/11/credito-social-quase-90-viram-empreendedores/")</f>
        <v>https://empreenderemgoias.com.br/2023/09/11/credito-social-quase-90-viram-empreendedores/</v>
      </c>
      <c r="Y285" s="87" t="s">
        <v>8373</v>
      </c>
      <c r="Z285" s="87"/>
      <c r="AA285" s="87"/>
      <c r="AB285" s="87"/>
      <c r="AC285" s="93" t="s">
        <v>11457</v>
      </c>
      <c r="AD285" s="87" t="s">
        <v>11519</v>
      </c>
      <c r="AE285" s="92" t="str">
        <f>HYPERLINK("https://twitter.com/empreendegoias/status/1701600556073255303")</f>
        <v>https://twitter.com/empreendegoias/status/1701600556073255303</v>
      </c>
      <c r="AF285" s="90">
        <v>45181.594456018516</v>
      </c>
      <c r="AG285" s="99">
        <v>45181</v>
      </c>
      <c r="AH285" s="93" t="s">
        <v>11798</v>
      </c>
      <c r="AI285" s="87" t="b">
        <v>0</v>
      </c>
      <c r="AJ285" s="87"/>
      <c r="AK285" s="87"/>
      <c r="AL285" s="87"/>
      <c r="AM285" s="87"/>
      <c r="AN285" s="87"/>
      <c r="AO285" s="87"/>
      <c r="AP285" s="87"/>
      <c r="AQ285" s="87"/>
      <c r="AR285" s="87"/>
      <c r="AS285" s="87"/>
      <c r="AT285" s="87"/>
      <c r="AU285" s="87"/>
      <c r="AV285" s="92" t="str">
        <f>HYPERLINK("https://pbs.twimg.com/profile_images/824599140302811136/SZ6VQJwb_normal.jpg")</f>
        <v>https://pbs.twimg.com/profile_images/824599140302811136/SZ6VQJwb_normal.jpg</v>
      </c>
      <c r="AW285" s="93" t="s">
        <v>18538</v>
      </c>
      <c r="AX285" s="93" t="s">
        <v>18538</v>
      </c>
      <c r="AY285" s="87"/>
      <c r="AZ285" s="93" t="s">
        <v>22668</v>
      </c>
      <c r="BA285" s="93" t="s">
        <v>22668</v>
      </c>
      <c r="BB285" s="93" t="s">
        <v>22668</v>
      </c>
      <c r="BC285" s="93" t="s">
        <v>18538</v>
      </c>
      <c r="BD285" s="93" t="s">
        <v>22849</v>
      </c>
      <c r="BE285" s="87"/>
      <c r="BF285" s="87"/>
      <c r="BG285" s="87"/>
      <c r="BH285" s="87"/>
      <c r="BI285" s="87"/>
    </row>
    <row r="286" spans="1:61" x14ac:dyDescent="0.25">
      <c r="A286" s="63" t="s">
        <v>316</v>
      </c>
      <c r="B286" s="63" t="s">
        <v>316</v>
      </c>
      <c r="C286" s="64"/>
      <c r="D286" s="65"/>
      <c r="E286" s="66"/>
      <c r="F286" s="67"/>
      <c r="G286" s="64"/>
      <c r="H286" s="68"/>
      <c r="I286" s="69"/>
      <c r="J286" s="69"/>
      <c r="K286" s="32"/>
      <c r="L286" s="76">
        <v>286</v>
      </c>
      <c r="M286" s="76"/>
      <c r="N286" s="71"/>
      <c r="O286" s="87" t="s">
        <v>179</v>
      </c>
      <c r="P286" s="90">
        <v>45187.454837962963</v>
      </c>
      <c r="Q286" s="87" t="s">
        <v>2123</v>
      </c>
      <c r="R286" s="87">
        <v>0</v>
      </c>
      <c r="S286" s="87">
        <v>0</v>
      </c>
      <c r="T286" s="87">
        <v>0</v>
      </c>
      <c r="U286" s="87">
        <v>0</v>
      </c>
      <c r="V286" s="87">
        <v>7</v>
      </c>
      <c r="W286" s="93" t="s">
        <v>6062</v>
      </c>
      <c r="X286" s="92" t="str">
        <f>HYPERLINK("https://empreenderemgoias.com.br/2023/09/17/doce-negocio-independencia-para-a-familia/")</f>
        <v>https://empreenderemgoias.com.br/2023/09/17/doce-negocio-independencia-para-a-familia/</v>
      </c>
      <c r="Y286" s="87" t="s">
        <v>8373</v>
      </c>
      <c r="Z286" s="87"/>
      <c r="AA286" s="87"/>
      <c r="AB286" s="87"/>
      <c r="AC286" s="93" t="s">
        <v>11457</v>
      </c>
      <c r="AD286" s="87" t="s">
        <v>11519</v>
      </c>
      <c r="AE286" s="92" t="str">
        <f>HYPERLINK("https://twitter.com/empreendegoias/status/1703724286773457128")</f>
        <v>https://twitter.com/empreendegoias/status/1703724286773457128</v>
      </c>
      <c r="AF286" s="90">
        <v>45187.454837962963</v>
      </c>
      <c r="AG286" s="99">
        <v>45187</v>
      </c>
      <c r="AH286" s="93" t="s">
        <v>11799</v>
      </c>
      <c r="AI286" s="87" t="b">
        <v>0</v>
      </c>
      <c r="AJ286" s="87"/>
      <c r="AK286" s="87"/>
      <c r="AL286" s="87"/>
      <c r="AM286" s="87"/>
      <c r="AN286" s="87"/>
      <c r="AO286" s="87"/>
      <c r="AP286" s="87"/>
      <c r="AQ286" s="87"/>
      <c r="AR286" s="87"/>
      <c r="AS286" s="87"/>
      <c r="AT286" s="87"/>
      <c r="AU286" s="87"/>
      <c r="AV286" s="92" t="str">
        <f>HYPERLINK("https://pbs.twimg.com/profile_images/824599140302811136/SZ6VQJwb_normal.jpg")</f>
        <v>https://pbs.twimg.com/profile_images/824599140302811136/SZ6VQJwb_normal.jpg</v>
      </c>
      <c r="AW286" s="93" t="s">
        <v>18539</v>
      </c>
      <c r="AX286" s="93" t="s">
        <v>18539</v>
      </c>
      <c r="AY286" s="87"/>
      <c r="AZ286" s="93" t="s">
        <v>22668</v>
      </c>
      <c r="BA286" s="93" t="s">
        <v>22668</v>
      </c>
      <c r="BB286" s="93" t="s">
        <v>22668</v>
      </c>
      <c r="BC286" s="93" t="s">
        <v>18539</v>
      </c>
      <c r="BD286" s="93" t="s">
        <v>22849</v>
      </c>
      <c r="BE286" s="87"/>
      <c r="BF286" s="87"/>
      <c r="BG286" s="87"/>
      <c r="BH286" s="87"/>
      <c r="BI286" s="87"/>
    </row>
    <row r="287" spans="1:61" x14ac:dyDescent="0.25">
      <c r="A287" s="63" t="s">
        <v>317</v>
      </c>
      <c r="B287" s="63" t="s">
        <v>317</v>
      </c>
      <c r="C287" s="64"/>
      <c r="D287" s="65"/>
      <c r="E287" s="66"/>
      <c r="F287" s="67"/>
      <c r="G287" s="64"/>
      <c r="H287" s="68"/>
      <c r="I287" s="69"/>
      <c r="J287" s="69"/>
      <c r="K287" s="32"/>
      <c r="L287" s="76">
        <v>287</v>
      </c>
      <c r="M287" s="76"/>
      <c r="N287" s="71"/>
      <c r="O287" s="87" t="s">
        <v>179</v>
      </c>
      <c r="P287" s="90">
        <v>45129.641423611109</v>
      </c>
      <c r="Q287" s="87" t="s">
        <v>2124</v>
      </c>
      <c r="R287" s="87">
        <v>0</v>
      </c>
      <c r="S287" s="87">
        <v>1</v>
      </c>
      <c r="T287" s="87">
        <v>0</v>
      </c>
      <c r="U287" s="87">
        <v>0</v>
      </c>
      <c r="V287" s="87">
        <v>63</v>
      </c>
      <c r="W287" s="93" t="s">
        <v>6063</v>
      </c>
      <c r="X287" s="87"/>
      <c r="Y287" s="87"/>
      <c r="Z287" s="87"/>
      <c r="AA287" s="87" t="s">
        <v>8835</v>
      </c>
      <c r="AB287" s="87" t="s">
        <v>11447</v>
      </c>
      <c r="AC287" s="93" t="s">
        <v>11459</v>
      </c>
      <c r="AD287" s="87" t="s">
        <v>11520</v>
      </c>
      <c r="AE287" s="92" t="str">
        <f>HYPERLINK("https://twitter.com/sandroveiga_/status/1682773407287369736")</f>
        <v>https://twitter.com/sandroveiga_/status/1682773407287369736</v>
      </c>
      <c r="AF287" s="90">
        <v>45129.641423611109</v>
      </c>
      <c r="AG287" s="99">
        <v>45129</v>
      </c>
      <c r="AH287" s="93" t="s">
        <v>11800</v>
      </c>
      <c r="AI287" s="87" t="b">
        <v>0</v>
      </c>
      <c r="AJ287" s="87"/>
      <c r="AK287" s="87"/>
      <c r="AL287" s="87"/>
      <c r="AM287" s="87"/>
      <c r="AN287" s="87"/>
      <c r="AO287" s="87"/>
      <c r="AP287" s="87"/>
      <c r="AQ287" s="87" t="s">
        <v>15648</v>
      </c>
      <c r="AR287" s="87">
        <v>68822</v>
      </c>
      <c r="AS287" s="87"/>
      <c r="AT287" s="87"/>
      <c r="AU287" s="87"/>
      <c r="AV287" s="92" t="str">
        <f>HYPERLINK("https://pbs.twimg.com/ext_tw_video_thumb/1682773371174436864/pu/img/b7C6U_d-P02M93Um.jpg")</f>
        <v>https://pbs.twimg.com/ext_tw_video_thumb/1682773371174436864/pu/img/b7C6U_d-P02M93Um.jpg</v>
      </c>
      <c r="AW287" s="93" t="s">
        <v>18540</v>
      </c>
      <c r="AX287" s="93" t="s">
        <v>18540</v>
      </c>
      <c r="AY287" s="87"/>
      <c r="AZ287" s="93" t="s">
        <v>22668</v>
      </c>
      <c r="BA287" s="93" t="s">
        <v>22668</v>
      </c>
      <c r="BB287" s="93" t="s">
        <v>22668</v>
      </c>
      <c r="BC287" s="93" t="s">
        <v>18540</v>
      </c>
      <c r="BD287" s="87">
        <v>2868134025</v>
      </c>
      <c r="BE287" s="87"/>
      <c r="BF287" s="87"/>
      <c r="BG287" s="87"/>
      <c r="BH287" s="87"/>
      <c r="BI287" s="87"/>
    </row>
    <row r="288" spans="1:61" x14ac:dyDescent="0.25">
      <c r="A288" s="63" t="s">
        <v>318</v>
      </c>
      <c r="B288" s="63" t="s">
        <v>318</v>
      </c>
      <c r="C288" s="64"/>
      <c r="D288" s="65"/>
      <c r="E288" s="66"/>
      <c r="F288" s="67"/>
      <c r="G288" s="64"/>
      <c r="H288" s="68"/>
      <c r="I288" s="69"/>
      <c r="J288" s="69"/>
      <c r="K288" s="32"/>
      <c r="L288" s="76">
        <v>288</v>
      </c>
      <c r="M288" s="76"/>
      <c r="N288" s="71"/>
      <c r="O288" s="87" t="s">
        <v>179</v>
      </c>
      <c r="P288" s="90">
        <v>45127.312800925924</v>
      </c>
      <c r="Q288" s="87" t="s">
        <v>2125</v>
      </c>
      <c r="R288" s="87">
        <v>0</v>
      </c>
      <c r="S288" s="87">
        <v>0</v>
      </c>
      <c r="T288" s="87">
        <v>0</v>
      </c>
      <c r="U288" s="87">
        <v>0</v>
      </c>
      <c r="V288" s="87">
        <v>6</v>
      </c>
      <c r="W288" s="93" t="s">
        <v>6064</v>
      </c>
      <c r="X288" s="87"/>
      <c r="Y288" s="87"/>
      <c r="Z288" s="87"/>
      <c r="AA288" s="87"/>
      <c r="AB288" s="87"/>
      <c r="AC288" s="93" t="s">
        <v>11458</v>
      </c>
      <c r="AD288" s="87" t="s">
        <v>11519</v>
      </c>
      <c r="AE288" s="92" t="str">
        <f>HYPERLINK("https://twitter.com/raphacoe/status/1681929544091983875")</f>
        <v>https://twitter.com/raphacoe/status/1681929544091983875</v>
      </c>
      <c r="AF288" s="90">
        <v>45127.312800925924</v>
      </c>
      <c r="AG288" s="99">
        <v>45127</v>
      </c>
      <c r="AH288" s="93" t="s">
        <v>11801</v>
      </c>
      <c r="AI288" s="87"/>
      <c r="AJ288" s="87"/>
      <c r="AK288" s="87"/>
      <c r="AL288" s="87"/>
      <c r="AM288" s="87"/>
      <c r="AN288" s="87"/>
      <c r="AO288" s="87"/>
      <c r="AP288" s="87"/>
      <c r="AQ288" s="87"/>
      <c r="AR288" s="87"/>
      <c r="AS288" s="87"/>
      <c r="AT288" s="87"/>
      <c r="AU288" s="87"/>
      <c r="AV288" s="92" t="str">
        <f>HYPERLINK("https://pbs.twimg.com/profile_images/1610760133201563666/td2jelEG_normal.jpg")</f>
        <v>https://pbs.twimg.com/profile_images/1610760133201563666/td2jelEG_normal.jpg</v>
      </c>
      <c r="AW288" s="93" t="s">
        <v>18541</v>
      </c>
      <c r="AX288" s="93" t="s">
        <v>18541</v>
      </c>
      <c r="AY288" s="87"/>
      <c r="AZ288" s="93" t="s">
        <v>22668</v>
      </c>
      <c r="BA288" s="93" t="s">
        <v>22668</v>
      </c>
      <c r="BB288" s="93" t="s">
        <v>22668</v>
      </c>
      <c r="BC288" s="93" t="s">
        <v>18541</v>
      </c>
      <c r="BD288" s="87">
        <v>126434153</v>
      </c>
      <c r="BE288" s="87"/>
      <c r="BF288" s="87"/>
      <c r="BG288" s="87"/>
      <c r="BH288" s="87"/>
      <c r="BI288" s="87"/>
    </row>
    <row r="289" spans="1:61" x14ac:dyDescent="0.25">
      <c r="A289" s="63" t="s">
        <v>318</v>
      </c>
      <c r="B289" s="63" t="s">
        <v>318</v>
      </c>
      <c r="C289" s="64"/>
      <c r="D289" s="65"/>
      <c r="E289" s="66"/>
      <c r="F289" s="67"/>
      <c r="G289" s="64"/>
      <c r="H289" s="68"/>
      <c r="I289" s="69"/>
      <c r="J289" s="69"/>
      <c r="K289" s="32"/>
      <c r="L289" s="76">
        <v>289</v>
      </c>
      <c r="M289" s="76"/>
      <c r="N289" s="71"/>
      <c r="O289" s="87" t="s">
        <v>179</v>
      </c>
      <c r="P289" s="90">
        <v>45122.351087962961</v>
      </c>
      <c r="Q289" s="87" t="s">
        <v>2126</v>
      </c>
      <c r="R289" s="87">
        <v>0</v>
      </c>
      <c r="S289" s="87">
        <v>1</v>
      </c>
      <c r="T289" s="87">
        <v>0</v>
      </c>
      <c r="U289" s="87">
        <v>0</v>
      </c>
      <c r="V289" s="87">
        <v>13</v>
      </c>
      <c r="W289" s="93" t="s">
        <v>6065</v>
      </c>
      <c r="X289" s="87"/>
      <c r="Y289" s="87"/>
      <c r="Z289" s="87"/>
      <c r="AA289" s="87"/>
      <c r="AB289" s="87"/>
      <c r="AC289" s="93" t="s">
        <v>11458</v>
      </c>
      <c r="AD289" s="87" t="s">
        <v>11519</v>
      </c>
      <c r="AE289" s="92" t="str">
        <f>HYPERLINK("https://twitter.com/raphacoe/status/1680131477583937536")</f>
        <v>https://twitter.com/raphacoe/status/1680131477583937536</v>
      </c>
      <c r="AF289" s="90">
        <v>45122.351087962961</v>
      </c>
      <c r="AG289" s="99">
        <v>45122</v>
      </c>
      <c r="AH289" s="93" t="s">
        <v>11802</v>
      </c>
      <c r="AI289" s="87"/>
      <c r="AJ289" s="87"/>
      <c r="AK289" s="87"/>
      <c r="AL289" s="87"/>
      <c r="AM289" s="87"/>
      <c r="AN289" s="87"/>
      <c r="AO289" s="87"/>
      <c r="AP289" s="87"/>
      <c r="AQ289" s="87"/>
      <c r="AR289" s="87"/>
      <c r="AS289" s="87"/>
      <c r="AT289" s="87"/>
      <c r="AU289" s="87"/>
      <c r="AV289" s="92" t="str">
        <f>HYPERLINK("https://pbs.twimg.com/profile_images/1610760133201563666/td2jelEG_normal.jpg")</f>
        <v>https://pbs.twimg.com/profile_images/1610760133201563666/td2jelEG_normal.jpg</v>
      </c>
      <c r="AW289" s="93" t="s">
        <v>18542</v>
      </c>
      <c r="AX289" s="93" t="s">
        <v>18542</v>
      </c>
      <c r="AY289" s="87"/>
      <c r="AZ289" s="93" t="s">
        <v>22668</v>
      </c>
      <c r="BA289" s="93" t="s">
        <v>22668</v>
      </c>
      <c r="BB289" s="93" t="s">
        <v>22668</v>
      </c>
      <c r="BC289" s="93" t="s">
        <v>18542</v>
      </c>
      <c r="BD289" s="87">
        <v>126434153</v>
      </c>
      <c r="BE289" s="87"/>
      <c r="BF289" s="87"/>
      <c r="BG289" s="87"/>
      <c r="BH289" s="87"/>
      <c r="BI289" s="87"/>
    </row>
    <row r="290" spans="1:61" x14ac:dyDescent="0.25">
      <c r="A290" s="63" t="s">
        <v>319</v>
      </c>
      <c r="B290" s="63" t="s">
        <v>319</v>
      </c>
      <c r="C290" s="64"/>
      <c r="D290" s="65"/>
      <c r="E290" s="66"/>
      <c r="F290" s="67"/>
      <c r="G290" s="64"/>
      <c r="H290" s="68"/>
      <c r="I290" s="69"/>
      <c r="J290" s="69"/>
      <c r="K290" s="32"/>
      <c r="L290" s="76">
        <v>290</v>
      </c>
      <c r="M290" s="76"/>
      <c r="N290" s="71"/>
      <c r="O290" s="87" t="s">
        <v>179</v>
      </c>
      <c r="P290" s="90">
        <v>45113.667743055557</v>
      </c>
      <c r="Q290" s="87" t="s">
        <v>2127</v>
      </c>
      <c r="R290" s="87">
        <v>0</v>
      </c>
      <c r="S290" s="87">
        <v>3</v>
      </c>
      <c r="T290" s="87">
        <v>0</v>
      </c>
      <c r="U290" s="87">
        <v>0</v>
      </c>
      <c r="V290" s="87">
        <v>36</v>
      </c>
      <c r="W290" s="93" t="s">
        <v>6066</v>
      </c>
      <c r="X290" s="92" t="str">
        <f>HYPERLINK("https://www.facebook.com/Bazardot1/")</f>
        <v>https://www.facebook.com/Bazardot1/</v>
      </c>
      <c r="Y290" s="87" t="s">
        <v>8386</v>
      </c>
      <c r="Z290" s="87"/>
      <c r="AA290" s="87" t="s">
        <v>8836</v>
      </c>
      <c r="AB290" s="87" t="s">
        <v>11450</v>
      </c>
      <c r="AC290" s="93" t="s">
        <v>11457</v>
      </c>
      <c r="AD290" s="87" t="s">
        <v>11518</v>
      </c>
      <c r="AE290" s="92" t="str">
        <f>HYPERLINK("https://twitter.com/bazardot/status/1676984741483122693")</f>
        <v>https://twitter.com/bazardot/status/1676984741483122693</v>
      </c>
      <c r="AF290" s="90">
        <v>45113.667743055557</v>
      </c>
      <c r="AG290" s="99">
        <v>45113</v>
      </c>
      <c r="AH290" s="93" t="s">
        <v>11803</v>
      </c>
      <c r="AI290" s="87" t="b">
        <v>0</v>
      </c>
      <c r="AJ290" s="87"/>
      <c r="AK290" s="87"/>
      <c r="AL290" s="87"/>
      <c r="AM290" s="87"/>
      <c r="AN290" s="87"/>
      <c r="AO290" s="87"/>
      <c r="AP290" s="87"/>
      <c r="AQ290" s="87" t="s">
        <v>15649</v>
      </c>
      <c r="AR290" s="87"/>
      <c r="AS290" s="87"/>
      <c r="AT290" s="87"/>
      <c r="AU290" s="87"/>
      <c r="AV290" s="92" t="str">
        <f>HYPERLINK("https://pbs.twimg.com/media/F0XYg1CaIAIu_1a.jpg")</f>
        <v>https://pbs.twimg.com/media/F0XYg1CaIAIu_1a.jpg</v>
      </c>
      <c r="AW290" s="93" t="s">
        <v>18543</v>
      </c>
      <c r="AX290" s="93" t="s">
        <v>18543</v>
      </c>
      <c r="AY290" s="87"/>
      <c r="AZ290" s="93" t="s">
        <v>22668</v>
      </c>
      <c r="BA290" s="93" t="s">
        <v>22668</v>
      </c>
      <c r="BB290" s="93" t="s">
        <v>22668</v>
      </c>
      <c r="BC290" s="93" t="s">
        <v>18543</v>
      </c>
      <c r="BD290" s="93" t="s">
        <v>22850</v>
      </c>
      <c r="BE290" s="87"/>
      <c r="BF290" s="87"/>
      <c r="BG290" s="87"/>
      <c r="BH290" s="87"/>
      <c r="BI290" s="87"/>
    </row>
    <row r="291" spans="1:61" x14ac:dyDescent="0.25">
      <c r="A291" s="63" t="s">
        <v>320</v>
      </c>
      <c r="B291" s="63" t="s">
        <v>1626</v>
      </c>
      <c r="C291" s="64"/>
      <c r="D291" s="65"/>
      <c r="E291" s="66"/>
      <c r="F291" s="67"/>
      <c r="G291" s="64"/>
      <c r="H291" s="68"/>
      <c r="I291" s="69"/>
      <c r="J291" s="69"/>
      <c r="K291" s="32"/>
      <c r="L291" s="76">
        <v>291</v>
      </c>
      <c r="M291" s="76"/>
      <c r="N291" s="71"/>
      <c r="O291" s="87" t="s">
        <v>1840</v>
      </c>
      <c r="P291" s="90">
        <v>45134.645844907405</v>
      </c>
      <c r="Q291" s="87" t="s">
        <v>2128</v>
      </c>
      <c r="R291" s="87">
        <v>0</v>
      </c>
      <c r="S291" s="87">
        <v>4</v>
      </c>
      <c r="T291" s="87">
        <v>1</v>
      </c>
      <c r="U291" s="87">
        <v>0</v>
      </c>
      <c r="V291" s="87">
        <v>115</v>
      </c>
      <c r="W291" s="93" t="s">
        <v>5897</v>
      </c>
      <c r="X291" s="87"/>
      <c r="Y291" s="87"/>
      <c r="Z291" s="87" t="s">
        <v>1626</v>
      </c>
      <c r="AA291" s="87"/>
      <c r="AB291" s="87"/>
      <c r="AC291" s="93" t="s">
        <v>11459</v>
      </c>
      <c r="AD291" s="87" t="s">
        <v>11519</v>
      </c>
      <c r="AE291" s="92" t="str">
        <f>HYPERLINK("https://twitter.com/igornorado/status/1684586949686841345")</f>
        <v>https://twitter.com/igornorado/status/1684586949686841345</v>
      </c>
      <c r="AF291" s="90">
        <v>45134.645844907405</v>
      </c>
      <c r="AG291" s="99">
        <v>45134</v>
      </c>
      <c r="AH291" s="93" t="s">
        <v>11804</v>
      </c>
      <c r="AI291" s="87"/>
      <c r="AJ291" s="87"/>
      <c r="AK291" s="87"/>
      <c r="AL291" s="87"/>
      <c r="AM291" s="87"/>
      <c r="AN291" s="87"/>
      <c r="AO291" s="87"/>
      <c r="AP291" s="87"/>
      <c r="AQ291" s="87"/>
      <c r="AR291" s="87"/>
      <c r="AS291" s="87"/>
      <c r="AT291" s="87"/>
      <c r="AU291" s="87"/>
      <c r="AV291" s="92" t="str">
        <f>HYPERLINK("https://pbs.twimg.com/profile_images/1677291741915881472/80YAd9CJ_normal.jpg")</f>
        <v>https://pbs.twimg.com/profile_images/1677291741915881472/80YAd9CJ_normal.jpg</v>
      </c>
      <c r="AW291" s="93" t="s">
        <v>18544</v>
      </c>
      <c r="AX291" s="93" t="s">
        <v>22312</v>
      </c>
      <c r="AY291" s="93" t="s">
        <v>22522</v>
      </c>
      <c r="AZ291" s="93" t="s">
        <v>22312</v>
      </c>
      <c r="BA291" s="93" t="s">
        <v>22668</v>
      </c>
      <c r="BB291" s="93" t="s">
        <v>22668</v>
      </c>
      <c r="BC291" s="93" t="s">
        <v>22312</v>
      </c>
      <c r="BD291" s="87">
        <v>208741721</v>
      </c>
      <c r="BE291" s="87"/>
      <c r="BF291" s="87"/>
      <c r="BG291" s="87"/>
      <c r="BH291" s="87"/>
      <c r="BI291" s="87"/>
    </row>
    <row r="292" spans="1:61" x14ac:dyDescent="0.25">
      <c r="A292" s="63" t="s">
        <v>321</v>
      </c>
      <c r="B292" s="63" t="s">
        <v>321</v>
      </c>
      <c r="C292" s="64"/>
      <c r="D292" s="65"/>
      <c r="E292" s="66"/>
      <c r="F292" s="67"/>
      <c r="G292" s="64"/>
      <c r="H292" s="68"/>
      <c r="I292" s="69"/>
      <c r="J292" s="69"/>
      <c r="K292" s="32"/>
      <c r="L292" s="76">
        <v>292</v>
      </c>
      <c r="M292" s="76"/>
      <c r="N292" s="71"/>
      <c r="O292" s="87" t="s">
        <v>179</v>
      </c>
      <c r="P292" s="90">
        <v>45145.610671296294</v>
      </c>
      <c r="Q292" s="87" t="s">
        <v>2129</v>
      </c>
      <c r="R292" s="87">
        <v>0</v>
      </c>
      <c r="S292" s="87">
        <v>1</v>
      </c>
      <c r="T292" s="87">
        <v>0</v>
      </c>
      <c r="U292" s="87">
        <v>0</v>
      </c>
      <c r="V292" s="87">
        <v>83</v>
      </c>
      <c r="W292" s="93" t="s">
        <v>5916</v>
      </c>
      <c r="X292" s="87"/>
      <c r="Y292" s="87"/>
      <c r="Z292" s="87"/>
      <c r="AA292" s="87" t="s">
        <v>8837</v>
      </c>
      <c r="AB292" s="87" t="s">
        <v>11447</v>
      </c>
      <c r="AC292" s="93" t="s">
        <v>11462</v>
      </c>
      <c r="AD292" s="87" t="s">
        <v>11519</v>
      </c>
      <c r="AE292" s="92" t="str">
        <f>HYPERLINK("https://twitter.com/goakira_/status/1688560469617831941")</f>
        <v>https://twitter.com/goakira_/status/1688560469617831941</v>
      </c>
      <c r="AF292" s="90">
        <v>45145.610671296294</v>
      </c>
      <c r="AG292" s="99">
        <v>45145</v>
      </c>
      <c r="AH292" s="93" t="s">
        <v>11805</v>
      </c>
      <c r="AI292" s="87" t="b">
        <v>0</v>
      </c>
      <c r="AJ292" s="87"/>
      <c r="AK292" s="87"/>
      <c r="AL292" s="87"/>
      <c r="AM292" s="87"/>
      <c r="AN292" s="87"/>
      <c r="AO292" s="87"/>
      <c r="AP292" s="87"/>
      <c r="AQ292" s="87" t="s">
        <v>15650</v>
      </c>
      <c r="AR292" s="87">
        <v>44366</v>
      </c>
      <c r="AS292" s="87"/>
      <c r="AT292" s="87"/>
      <c r="AU292" s="87"/>
      <c r="AV292" s="92" t="str">
        <f>HYPERLINK("https://pbs.twimg.com/ext_tw_video_thumb/1688560417436508160/pu/img/dHbjcDbWhOGC_k5t.jpg")</f>
        <v>https://pbs.twimg.com/ext_tw_video_thumb/1688560417436508160/pu/img/dHbjcDbWhOGC_k5t.jpg</v>
      </c>
      <c r="AW292" s="93" t="s">
        <v>18545</v>
      </c>
      <c r="AX292" s="93" t="s">
        <v>18545</v>
      </c>
      <c r="AY292" s="87"/>
      <c r="AZ292" s="93" t="s">
        <v>22668</v>
      </c>
      <c r="BA292" s="93" t="s">
        <v>22668</v>
      </c>
      <c r="BB292" s="93" t="s">
        <v>22668</v>
      </c>
      <c r="BC292" s="93" t="s">
        <v>18545</v>
      </c>
      <c r="BD292" s="87">
        <v>904929306</v>
      </c>
      <c r="BE292" s="87"/>
      <c r="BF292" s="87"/>
      <c r="BG292" s="87"/>
      <c r="BH292" s="87"/>
      <c r="BI292" s="87"/>
    </row>
    <row r="293" spans="1:61" x14ac:dyDescent="0.25">
      <c r="A293" s="63" t="s">
        <v>321</v>
      </c>
      <c r="B293" s="63" t="s">
        <v>321</v>
      </c>
      <c r="C293" s="64"/>
      <c r="D293" s="65"/>
      <c r="E293" s="66"/>
      <c r="F293" s="67"/>
      <c r="G293" s="64"/>
      <c r="H293" s="68"/>
      <c r="I293" s="69"/>
      <c r="J293" s="69"/>
      <c r="K293" s="32"/>
      <c r="L293" s="76">
        <v>293</v>
      </c>
      <c r="M293" s="76"/>
      <c r="N293" s="71"/>
      <c r="O293" s="87" t="s">
        <v>179</v>
      </c>
      <c r="P293" s="90">
        <v>45142.632905092592</v>
      </c>
      <c r="Q293" s="87" t="s">
        <v>2130</v>
      </c>
      <c r="R293" s="87">
        <v>0</v>
      </c>
      <c r="S293" s="87">
        <v>1</v>
      </c>
      <c r="T293" s="87">
        <v>0</v>
      </c>
      <c r="U293" s="87">
        <v>0</v>
      </c>
      <c r="V293" s="87">
        <v>35</v>
      </c>
      <c r="W293" s="93" t="s">
        <v>5934</v>
      </c>
      <c r="X293" s="87"/>
      <c r="Y293" s="87"/>
      <c r="Z293" s="87"/>
      <c r="AA293" s="87" t="s">
        <v>8838</v>
      </c>
      <c r="AB293" s="87" t="s">
        <v>11447</v>
      </c>
      <c r="AC293" s="93" t="s">
        <v>11462</v>
      </c>
      <c r="AD293" s="87" t="s">
        <v>11519</v>
      </c>
      <c r="AE293" s="92" t="str">
        <f>HYPERLINK("https://twitter.com/goakira_/status/1687481363660746752")</f>
        <v>https://twitter.com/goakira_/status/1687481363660746752</v>
      </c>
      <c r="AF293" s="90">
        <v>45142.632905092592</v>
      </c>
      <c r="AG293" s="99">
        <v>45142</v>
      </c>
      <c r="AH293" s="93" t="s">
        <v>11806</v>
      </c>
      <c r="AI293" s="87" t="b">
        <v>0</v>
      </c>
      <c r="AJ293" s="87"/>
      <c r="AK293" s="87"/>
      <c r="AL293" s="87"/>
      <c r="AM293" s="87"/>
      <c r="AN293" s="87"/>
      <c r="AO293" s="87"/>
      <c r="AP293" s="87"/>
      <c r="AQ293" s="87" t="s">
        <v>15651</v>
      </c>
      <c r="AR293" s="87">
        <v>25566</v>
      </c>
      <c r="AS293" s="87"/>
      <c r="AT293" s="87"/>
      <c r="AU293" s="87"/>
      <c r="AV293" s="92" t="str">
        <f>HYPERLINK("https://pbs.twimg.com/ext_tw_video_thumb/1687481314000195584/pu/img/WvSL3MN2BzudWYO6.jpg")</f>
        <v>https://pbs.twimg.com/ext_tw_video_thumb/1687481314000195584/pu/img/WvSL3MN2BzudWYO6.jpg</v>
      </c>
      <c r="AW293" s="93" t="s">
        <v>18546</v>
      </c>
      <c r="AX293" s="93" t="s">
        <v>18546</v>
      </c>
      <c r="AY293" s="87"/>
      <c r="AZ293" s="93" t="s">
        <v>22668</v>
      </c>
      <c r="BA293" s="93" t="s">
        <v>22668</v>
      </c>
      <c r="BB293" s="93" t="s">
        <v>22668</v>
      </c>
      <c r="BC293" s="93" t="s">
        <v>18546</v>
      </c>
      <c r="BD293" s="87">
        <v>904929306</v>
      </c>
      <c r="BE293" s="87"/>
      <c r="BF293" s="87"/>
      <c r="BG293" s="87"/>
      <c r="BH293" s="87"/>
      <c r="BI293" s="87"/>
    </row>
    <row r="294" spans="1:61" x14ac:dyDescent="0.25">
      <c r="A294" s="63" t="s">
        <v>322</v>
      </c>
      <c r="B294" s="63" t="s">
        <v>322</v>
      </c>
      <c r="C294" s="64"/>
      <c r="D294" s="65"/>
      <c r="E294" s="66"/>
      <c r="F294" s="67"/>
      <c r="G294" s="64"/>
      <c r="H294" s="68"/>
      <c r="I294" s="69"/>
      <c r="J294" s="69"/>
      <c r="K294" s="32"/>
      <c r="L294" s="76">
        <v>294</v>
      </c>
      <c r="M294" s="76"/>
      <c r="N294" s="71"/>
      <c r="O294" s="87" t="s">
        <v>1840</v>
      </c>
      <c r="P294" s="90">
        <v>45121.047476851854</v>
      </c>
      <c r="Q294" s="87" t="s">
        <v>2131</v>
      </c>
      <c r="R294" s="87">
        <v>0</v>
      </c>
      <c r="S294" s="87">
        <v>2</v>
      </c>
      <c r="T294" s="87">
        <v>1</v>
      </c>
      <c r="U294" s="87">
        <v>0</v>
      </c>
      <c r="V294" s="87">
        <v>91</v>
      </c>
      <c r="W294" s="93" t="s">
        <v>6067</v>
      </c>
      <c r="X294" s="87"/>
      <c r="Y294" s="87"/>
      <c r="Z294" s="87"/>
      <c r="AA294" s="87" t="s">
        <v>8839</v>
      </c>
      <c r="AB294" s="87" t="s">
        <v>11448</v>
      </c>
      <c r="AC294" s="93" t="s">
        <v>11459</v>
      </c>
      <c r="AD294" s="87" t="s">
        <v>11519</v>
      </c>
      <c r="AE294" s="92" t="str">
        <f>HYPERLINK("https://twitter.com/expoedite/status/1679659066388250626")</f>
        <v>https://twitter.com/expoedite/status/1679659066388250626</v>
      </c>
      <c r="AF294" s="90">
        <v>45121.047476851854</v>
      </c>
      <c r="AG294" s="99">
        <v>45121</v>
      </c>
      <c r="AH294" s="93" t="s">
        <v>11807</v>
      </c>
      <c r="AI294" s="87" t="b">
        <v>0</v>
      </c>
      <c r="AJ294" s="87"/>
      <c r="AK294" s="87"/>
      <c r="AL294" s="87"/>
      <c r="AM294" s="87"/>
      <c r="AN294" s="87"/>
      <c r="AO294" s="87"/>
      <c r="AP294" s="87"/>
      <c r="AQ294" s="87" t="s">
        <v>15652</v>
      </c>
      <c r="AR294" s="87"/>
      <c r="AS294" s="87"/>
      <c r="AT294" s="87"/>
      <c r="AU294" s="87"/>
      <c r="AV294" s="92" t="str">
        <f>HYPERLINK("https://pbs.twimg.com/media/F09ZBP-X0AAlXBE.jpg")</f>
        <v>https://pbs.twimg.com/media/F09ZBP-X0AAlXBE.jpg</v>
      </c>
      <c r="AW294" s="93" t="s">
        <v>18547</v>
      </c>
      <c r="AX294" s="93" t="s">
        <v>22313</v>
      </c>
      <c r="AY294" s="93" t="s">
        <v>22523</v>
      </c>
      <c r="AZ294" s="93" t="s">
        <v>22682</v>
      </c>
      <c r="BA294" s="93" t="s">
        <v>22668</v>
      </c>
      <c r="BB294" s="93" t="s">
        <v>22668</v>
      </c>
      <c r="BC294" s="93" t="s">
        <v>22682</v>
      </c>
      <c r="BD294" s="93" t="s">
        <v>22523</v>
      </c>
      <c r="BE294" s="87"/>
      <c r="BF294" s="87"/>
      <c r="BG294" s="87"/>
      <c r="BH294" s="87"/>
      <c r="BI294" s="87"/>
    </row>
    <row r="295" spans="1:61" x14ac:dyDescent="0.25">
      <c r="A295" s="63" t="s">
        <v>323</v>
      </c>
      <c r="B295" s="63" t="s">
        <v>1627</v>
      </c>
      <c r="C295" s="64"/>
      <c r="D295" s="65"/>
      <c r="E295" s="66"/>
      <c r="F295" s="67"/>
      <c r="G295" s="64"/>
      <c r="H295" s="68"/>
      <c r="I295" s="69"/>
      <c r="J295" s="69"/>
      <c r="K295" s="32"/>
      <c r="L295" s="76">
        <v>295</v>
      </c>
      <c r="M295" s="76"/>
      <c r="N295" s="71"/>
      <c r="O295" s="87" t="s">
        <v>1839</v>
      </c>
      <c r="P295" s="90">
        <v>45115.497650462959</v>
      </c>
      <c r="Q295" s="87" t="s">
        <v>2132</v>
      </c>
      <c r="R295" s="87">
        <v>0</v>
      </c>
      <c r="S295" s="87">
        <v>1</v>
      </c>
      <c r="T295" s="87">
        <v>0</v>
      </c>
      <c r="U295" s="87">
        <v>0</v>
      </c>
      <c r="V295" s="87">
        <v>11</v>
      </c>
      <c r="W295" s="93" t="s">
        <v>6068</v>
      </c>
      <c r="X295" s="87"/>
      <c r="Y295" s="87"/>
      <c r="Z295" s="87" t="s">
        <v>1627</v>
      </c>
      <c r="AA295" s="87" t="s">
        <v>8840</v>
      </c>
      <c r="AB295" s="87" t="s">
        <v>11448</v>
      </c>
      <c r="AC295" s="93" t="s">
        <v>11459</v>
      </c>
      <c r="AD295" s="87" t="s">
        <v>11519</v>
      </c>
      <c r="AE295" s="92" t="str">
        <f>HYPERLINK("https://twitter.com/maismillionario/status/1677647877655470081")</f>
        <v>https://twitter.com/maismillionario/status/1677647877655470081</v>
      </c>
      <c r="AF295" s="90">
        <v>45115.497650462959</v>
      </c>
      <c r="AG295" s="99">
        <v>45115</v>
      </c>
      <c r="AH295" s="93" t="s">
        <v>11808</v>
      </c>
      <c r="AI295" s="87" t="b">
        <v>0</v>
      </c>
      <c r="AJ295" s="87" t="s">
        <v>15173</v>
      </c>
      <c r="AK295" s="87" t="s">
        <v>15234</v>
      </c>
      <c r="AL295" s="87" t="s">
        <v>15237</v>
      </c>
      <c r="AM295" s="87" t="s">
        <v>15245</v>
      </c>
      <c r="AN295" s="87" t="s">
        <v>15310</v>
      </c>
      <c r="AO295" s="87" t="s">
        <v>15377</v>
      </c>
      <c r="AP295" s="87" t="s">
        <v>15438</v>
      </c>
      <c r="AQ295" s="87" t="s">
        <v>15653</v>
      </c>
      <c r="AR295" s="87"/>
      <c r="AS295" s="87"/>
      <c r="AT295" s="87"/>
      <c r="AU295" s="87"/>
      <c r="AV295" s="92" t="str">
        <f>HYPERLINK("https://pbs.twimg.com/media/F0gz2qqWYAEXhpI.jpg")</f>
        <v>https://pbs.twimg.com/media/F0gz2qqWYAEXhpI.jpg</v>
      </c>
      <c r="AW295" s="93" t="s">
        <v>18548</v>
      </c>
      <c r="AX295" s="93" t="s">
        <v>18548</v>
      </c>
      <c r="AY295" s="87"/>
      <c r="AZ295" s="93" t="s">
        <v>22668</v>
      </c>
      <c r="BA295" s="93" t="s">
        <v>22668</v>
      </c>
      <c r="BB295" s="93" t="s">
        <v>22668</v>
      </c>
      <c r="BC295" s="93" t="s">
        <v>18548</v>
      </c>
      <c r="BD295" s="93" t="s">
        <v>22851</v>
      </c>
      <c r="BE295" s="87"/>
      <c r="BF295" s="87"/>
      <c r="BG295" s="87"/>
      <c r="BH295" s="87"/>
      <c r="BI295" s="87"/>
    </row>
    <row r="296" spans="1:61" x14ac:dyDescent="0.25">
      <c r="A296" s="63" t="s">
        <v>323</v>
      </c>
      <c r="B296" s="63" t="s">
        <v>323</v>
      </c>
      <c r="C296" s="64"/>
      <c r="D296" s="65"/>
      <c r="E296" s="66"/>
      <c r="F296" s="67"/>
      <c r="G296" s="64"/>
      <c r="H296" s="68"/>
      <c r="I296" s="69"/>
      <c r="J296" s="69"/>
      <c r="K296" s="32"/>
      <c r="L296" s="76">
        <v>296</v>
      </c>
      <c r="M296" s="76"/>
      <c r="N296" s="71"/>
      <c r="O296" s="87" t="s">
        <v>179</v>
      </c>
      <c r="P296" s="90">
        <v>45117.524594907409</v>
      </c>
      <c r="Q296" s="87" t="s">
        <v>2133</v>
      </c>
      <c r="R296" s="87">
        <v>0</v>
      </c>
      <c r="S296" s="87">
        <v>1</v>
      </c>
      <c r="T296" s="87">
        <v>0</v>
      </c>
      <c r="U296" s="87">
        <v>0</v>
      </c>
      <c r="V296" s="87">
        <v>4</v>
      </c>
      <c r="W296" s="93" t="s">
        <v>6069</v>
      </c>
      <c r="X296" s="87"/>
      <c r="Y296" s="87"/>
      <c r="Z296" s="87"/>
      <c r="AA296" s="87"/>
      <c r="AB296" s="87"/>
      <c r="AC296" s="93" t="s">
        <v>11459</v>
      </c>
      <c r="AD296" s="87" t="s">
        <v>11519</v>
      </c>
      <c r="AE296" s="92" t="str">
        <f>HYPERLINK("https://twitter.com/maismillionario/status/1678382417910939649")</f>
        <v>https://twitter.com/maismillionario/status/1678382417910939649</v>
      </c>
      <c r="AF296" s="90">
        <v>45117.524594907409</v>
      </c>
      <c r="AG296" s="99">
        <v>45117</v>
      </c>
      <c r="AH296" s="93" t="s">
        <v>11809</v>
      </c>
      <c r="AI296" s="87"/>
      <c r="AJ296" s="87" t="s">
        <v>15174</v>
      </c>
      <c r="AK296" s="87" t="s">
        <v>15234</v>
      </c>
      <c r="AL296" s="87" t="s">
        <v>15237</v>
      </c>
      <c r="AM296" s="87" t="s">
        <v>15246</v>
      </c>
      <c r="AN296" s="87" t="s">
        <v>15311</v>
      </c>
      <c r="AO296" s="87" t="s">
        <v>15378</v>
      </c>
      <c r="AP296" s="87" t="s">
        <v>15438</v>
      </c>
      <c r="AQ296" s="87"/>
      <c r="AR296" s="87"/>
      <c r="AS296" s="87"/>
      <c r="AT296" s="87"/>
      <c r="AU296" s="87"/>
      <c r="AV296" s="92" t="str">
        <f>HYPERLINK("https://pbs.twimg.com/profile_images/1680193293739597826/CssDDNfK_normal.jpg")</f>
        <v>https://pbs.twimg.com/profile_images/1680193293739597826/CssDDNfK_normal.jpg</v>
      </c>
      <c r="AW296" s="93" t="s">
        <v>18549</v>
      </c>
      <c r="AX296" s="93" t="s">
        <v>18549</v>
      </c>
      <c r="AY296" s="87"/>
      <c r="AZ296" s="93" t="s">
        <v>22668</v>
      </c>
      <c r="BA296" s="93" t="s">
        <v>22668</v>
      </c>
      <c r="BB296" s="93" t="s">
        <v>22668</v>
      </c>
      <c r="BC296" s="93" t="s">
        <v>18549</v>
      </c>
      <c r="BD296" s="93" t="s">
        <v>22851</v>
      </c>
      <c r="BE296" s="87"/>
      <c r="BF296" s="87"/>
      <c r="BG296" s="87"/>
      <c r="BH296" s="87"/>
      <c r="BI296" s="87"/>
    </row>
    <row r="297" spans="1:61" x14ac:dyDescent="0.25">
      <c r="A297" s="63" t="s">
        <v>323</v>
      </c>
      <c r="B297" s="63" t="s">
        <v>323</v>
      </c>
      <c r="C297" s="64"/>
      <c r="D297" s="65"/>
      <c r="E297" s="66"/>
      <c r="F297" s="67"/>
      <c r="G297" s="64"/>
      <c r="H297" s="68"/>
      <c r="I297" s="69"/>
      <c r="J297" s="69"/>
      <c r="K297" s="32"/>
      <c r="L297" s="76">
        <v>297</v>
      </c>
      <c r="M297" s="76"/>
      <c r="N297" s="71"/>
      <c r="O297" s="87" t="s">
        <v>179</v>
      </c>
      <c r="P297" s="90">
        <v>45119.506539351853</v>
      </c>
      <c r="Q297" s="87" t="s">
        <v>2134</v>
      </c>
      <c r="R297" s="87">
        <v>0</v>
      </c>
      <c r="S297" s="87">
        <v>1</v>
      </c>
      <c r="T297" s="87">
        <v>0</v>
      </c>
      <c r="U297" s="87">
        <v>0</v>
      </c>
      <c r="V297" s="87">
        <v>15</v>
      </c>
      <c r="W297" s="93" t="s">
        <v>5897</v>
      </c>
      <c r="X297" s="87"/>
      <c r="Y297" s="87"/>
      <c r="Z297" s="87"/>
      <c r="AA297" s="87"/>
      <c r="AB297" s="87"/>
      <c r="AC297" s="93" t="s">
        <v>11459</v>
      </c>
      <c r="AD297" s="87" t="s">
        <v>11519</v>
      </c>
      <c r="AE297" s="92" t="str">
        <f>HYPERLINK("https://twitter.com/maismillionario/status/1679100647365308417")</f>
        <v>https://twitter.com/maismillionario/status/1679100647365308417</v>
      </c>
      <c r="AF297" s="90">
        <v>45119.506539351853</v>
      </c>
      <c r="AG297" s="99">
        <v>45119</v>
      </c>
      <c r="AH297" s="93" t="s">
        <v>11810</v>
      </c>
      <c r="AI297" s="87"/>
      <c r="AJ297" s="87" t="s">
        <v>15174</v>
      </c>
      <c r="AK297" s="87" t="s">
        <v>15234</v>
      </c>
      <c r="AL297" s="87" t="s">
        <v>15237</v>
      </c>
      <c r="AM297" s="87" t="s">
        <v>15246</v>
      </c>
      <c r="AN297" s="87" t="s">
        <v>15311</v>
      </c>
      <c r="AO297" s="87" t="s">
        <v>15378</v>
      </c>
      <c r="AP297" s="87" t="s">
        <v>15438</v>
      </c>
      <c r="AQ297" s="87"/>
      <c r="AR297" s="87"/>
      <c r="AS297" s="87"/>
      <c r="AT297" s="87"/>
      <c r="AU297" s="87"/>
      <c r="AV297" s="92" t="str">
        <f>HYPERLINK("https://pbs.twimg.com/profile_images/1680193293739597826/CssDDNfK_normal.jpg")</f>
        <v>https://pbs.twimg.com/profile_images/1680193293739597826/CssDDNfK_normal.jpg</v>
      </c>
      <c r="AW297" s="93" t="s">
        <v>18550</v>
      </c>
      <c r="AX297" s="93" t="s">
        <v>18550</v>
      </c>
      <c r="AY297" s="87"/>
      <c r="AZ297" s="93" t="s">
        <v>22668</v>
      </c>
      <c r="BA297" s="93" t="s">
        <v>22668</v>
      </c>
      <c r="BB297" s="93" t="s">
        <v>22668</v>
      </c>
      <c r="BC297" s="93" t="s">
        <v>18550</v>
      </c>
      <c r="BD297" s="93" t="s">
        <v>22851</v>
      </c>
      <c r="BE297" s="87"/>
      <c r="BF297" s="87"/>
      <c r="BG297" s="87"/>
      <c r="BH297" s="87"/>
      <c r="BI297" s="87"/>
    </row>
    <row r="298" spans="1:61" x14ac:dyDescent="0.25">
      <c r="A298" s="63" t="s">
        <v>323</v>
      </c>
      <c r="B298" s="63" t="s">
        <v>323</v>
      </c>
      <c r="C298" s="64"/>
      <c r="D298" s="65"/>
      <c r="E298" s="66"/>
      <c r="F298" s="67"/>
      <c r="G298" s="64"/>
      <c r="H298" s="68"/>
      <c r="I298" s="69"/>
      <c r="J298" s="69"/>
      <c r="K298" s="32"/>
      <c r="L298" s="76">
        <v>298</v>
      </c>
      <c r="M298" s="76"/>
      <c r="N298" s="71"/>
      <c r="O298" s="87" t="s">
        <v>179</v>
      </c>
      <c r="P298" s="90">
        <v>45121.807199074072</v>
      </c>
      <c r="Q298" s="87" t="s">
        <v>2135</v>
      </c>
      <c r="R298" s="87">
        <v>0</v>
      </c>
      <c r="S298" s="87">
        <v>1</v>
      </c>
      <c r="T298" s="87">
        <v>0</v>
      </c>
      <c r="U298" s="87">
        <v>0</v>
      </c>
      <c r="V298" s="87">
        <v>27</v>
      </c>
      <c r="W298" s="93" t="s">
        <v>6070</v>
      </c>
      <c r="X298" s="92" t="str">
        <f>HYPERLINK("https://app.skeelo.com/detalhes/319423")</f>
        <v>https://app.skeelo.com/detalhes/319423</v>
      </c>
      <c r="Y298" s="87" t="s">
        <v>8387</v>
      </c>
      <c r="Z298" s="87"/>
      <c r="AA298" s="87"/>
      <c r="AB298" s="87"/>
      <c r="AC298" s="93" t="s">
        <v>11459</v>
      </c>
      <c r="AD298" s="87" t="s">
        <v>11519</v>
      </c>
      <c r="AE298" s="92" t="str">
        <f>HYPERLINK("https://twitter.com/maismillionario/status/1679934380368642051")</f>
        <v>https://twitter.com/maismillionario/status/1679934380368642051</v>
      </c>
      <c r="AF298" s="90">
        <v>45121.807199074072</v>
      </c>
      <c r="AG298" s="99">
        <v>45121</v>
      </c>
      <c r="AH298" s="93" t="s">
        <v>11811</v>
      </c>
      <c r="AI298" s="87" t="b">
        <v>0</v>
      </c>
      <c r="AJ298" s="87" t="s">
        <v>15174</v>
      </c>
      <c r="AK298" s="87" t="s">
        <v>15234</v>
      </c>
      <c r="AL298" s="87" t="s">
        <v>15237</v>
      </c>
      <c r="AM298" s="87" t="s">
        <v>15246</v>
      </c>
      <c r="AN298" s="87" t="s">
        <v>15311</v>
      </c>
      <c r="AO298" s="87" t="s">
        <v>15378</v>
      </c>
      <c r="AP298" s="87" t="s">
        <v>15438</v>
      </c>
      <c r="AQ298" s="87"/>
      <c r="AR298" s="87"/>
      <c r="AS298" s="87"/>
      <c r="AT298" s="87"/>
      <c r="AU298" s="87"/>
      <c r="AV298" s="92" t="str">
        <f>HYPERLINK("https://pbs.twimg.com/profile_images/1680193293739597826/CssDDNfK_normal.jpg")</f>
        <v>https://pbs.twimg.com/profile_images/1680193293739597826/CssDDNfK_normal.jpg</v>
      </c>
      <c r="AW298" s="93" t="s">
        <v>18551</v>
      </c>
      <c r="AX298" s="93" t="s">
        <v>18551</v>
      </c>
      <c r="AY298" s="87"/>
      <c r="AZ298" s="93" t="s">
        <v>22668</v>
      </c>
      <c r="BA298" s="93" t="s">
        <v>22668</v>
      </c>
      <c r="BB298" s="93" t="s">
        <v>22668</v>
      </c>
      <c r="BC298" s="93" t="s">
        <v>18551</v>
      </c>
      <c r="BD298" s="93" t="s">
        <v>22851</v>
      </c>
      <c r="BE298" s="87"/>
      <c r="BF298" s="87"/>
      <c r="BG298" s="87"/>
      <c r="BH298" s="87"/>
      <c r="BI298" s="87"/>
    </row>
    <row r="299" spans="1:61" x14ac:dyDescent="0.25">
      <c r="A299" s="63" t="s">
        <v>323</v>
      </c>
      <c r="B299" s="63" t="s">
        <v>323</v>
      </c>
      <c r="C299" s="64"/>
      <c r="D299" s="65"/>
      <c r="E299" s="66"/>
      <c r="F299" s="67"/>
      <c r="G299" s="64"/>
      <c r="H299" s="68"/>
      <c r="I299" s="69"/>
      <c r="J299" s="69"/>
      <c r="K299" s="32"/>
      <c r="L299" s="76">
        <v>299</v>
      </c>
      <c r="M299" s="76"/>
      <c r="N299" s="71"/>
      <c r="O299" s="87" t="s">
        <v>179</v>
      </c>
      <c r="P299" s="90">
        <v>45120.075671296298</v>
      </c>
      <c r="Q299" s="87" t="s">
        <v>2136</v>
      </c>
      <c r="R299" s="87">
        <v>0</v>
      </c>
      <c r="S299" s="87">
        <v>1</v>
      </c>
      <c r="T299" s="87">
        <v>0</v>
      </c>
      <c r="U299" s="87">
        <v>0</v>
      </c>
      <c r="V299" s="87">
        <v>17</v>
      </c>
      <c r="W299" s="93" t="s">
        <v>6071</v>
      </c>
      <c r="X299" s="87"/>
      <c r="Y299" s="87"/>
      <c r="Z299" s="87"/>
      <c r="AA299" s="87"/>
      <c r="AB299" s="87"/>
      <c r="AC299" s="93" t="s">
        <v>11459</v>
      </c>
      <c r="AD299" s="87" t="s">
        <v>11519</v>
      </c>
      <c r="AE299" s="92" t="str">
        <f>HYPERLINK("https://twitter.com/maismillionario/status/1679306895679541250")</f>
        <v>https://twitter.com/maismillionario/status/1679306895679541250</v>
      </c>
      <c r="AF299" s="90">
        <v>45120.075671296298</v>
      </c>
      <c r="AG299" s="99">
        <v>45120</v>
      </c>
      <c r="AH299" s="93" t="s">
        <v>11812</v>
      </c>
      <c r="AI299" s="87"/>
      <c r="AJ299" s="87" t="s">
        <v>15173</v>
      </c>
      <c r="AK299" s="87" t="s">
        <v>15234</v>
      </c>
      <c r="AL299" s="87" t="s">
        <v>15237</v>
      </c>
      <c r="AM299" s="87" t="s">
        <v>15245</v>
      </c>
      <c r="AN299" s="87" t="s">
        <v>15310</v>
      </c>
      <c r="AO299" s="87" t="s">
        <v>15377</v>
      </c>
      <c r="AP299" s="87" t="s">
        <v>15438</v>
      </c>
      <c r="AQ299" s="87"/>
      <c r="AR299" s="87"/>
      <c r="AS299" s="87"/>
      <c r="AT299" s="87"/>
      <c r="AU299" s="87"/>
      <c r="AV299" s="92" t="str">
        <f>HYPERLINK("https://pbs.twimg.com/profile_images/1680193293739597826/CssDDNfK_normal.jpg")</f>
        <v>https://pbs.twimg.com/profile_images/1680193293739597826/CssDDNfK_normal.jpg</v>
      </c>
      <c r="AW299" s="93" t="s">
        <v>18552</v>
      </c>
      <c r="AX299" s="93" t="s">
        <v>18552</v>
      </c>
      <c r="AY299" s="87"/>
      <c r="AZ299" s="93" t="s">
        <v>22668</v>
      </c>
      <c r="BA299" s="93" t="s">
        <v>22668</v>
      </c>
      <c r="BB299" s="93" t="s">
        <v>22668</v>
      </c>
      <c r="BC299" s="93" t="s">
        <v>18552</v>
      </c>
      <c r="BD299" s="93" t="s">
        <v>22851</v>
      </c>
      <c r="BE299" s="87"/>
      <c r="BF299" s="87"/>
      <c r="BG299" s="87"/>
      <c r="BH299" s="87"/>
      <c r="BI299" s="87"/>
    </row>
    <row r="300" spans="1:61" x14ac:dyDescent="0.25">
      <c r="A300" s="63" t="s">
        <v>323</v>
      </c>
      <c r="B300" s="63" t="s">
        <v>323</v>
      </c>
      <c r="C300" s="64"/>
      <c r="D300" s="65"/>
      <c r="E300" s="66"/>
      <c r="F300" s="67"/>
      <c r="G300" s="64"/>
      <c r="H300" s="68"/>
      <c r="I300" s="69"/>
      <c r="J300" s="69"/>
      <c r="K300" s="32"/>
      <c r="L300" s="76">
        <v>300</v>
      </c>
      <c r="M300" s="76"/>
      <c r="N300" s="71"/>
      <c r="O300" s="87" t="s">
        <v>179</v>
      </c>
      <c r="P300" s="90">
        <v>45142.44358796296</v>
      </c>
      <c r="Q300" s="87" t="s">
        <v>2137</v>
      </c>
      <c r="R300" s="87">
        <v>0</v>
      </c>
      <c r="S300" s="87">
        <v>1</v>
      </c>
      <c r="T300" s="87">
        <v>0</v>
      </c>
      <c r="U300" s="87">
        <v>0</v>
      </c>
      <c r="V300" s="87">
        <v>15</v>
      </c>
      <c r="W300" s="93" t="s">
        <v>6072</v>
      </c>
      <c r="X300" s="87"/>
      <c r="Y300" s="87"/>
      <c r="Z300" s="87"/>
      <c r="AA300" s="87"/>
      <c r="AB300" s="87"/>
      <c r="AC300" s="93" t="s">
        <v>11459</v>
      </c>
      <c r="AD300" s="87" t="s">
        <v>11519</v>
      </c>
      <c r="AE300" s="92" t="str">
        <f>HYPERLINK("https://twitter.com/maismillionario/status/1687412756222287873")</f>
        <v>https://twitter.com/maismillionario/status/1687412756222287873</v>
      </c>
      <c r="AF300" s="90">
        <v>45142.44358796296</v>
      </c>
      <c r="AG300" s="99">
        <v>45142</v>
      </c>
      <c r="AH300" s="93" t="s">
        <v>11813</v>
      </c>
      <c r="AI300" s="87"/>
      <c r="AJ300" s="87" t="s">
        <v>15175</v>
      </c>
      <c r="AK300" s="87" t="s">
        <v>15234</v>
      </c>
      <c r="AL300" s="87" t="s">
        <v>15237</v>
      </c>
      <c r="AM300" s="87" t="s">
        <v>15247</v>
      </c>
      <c r="AN300" s="87" t="s">
        <v>15312</v>
      </c>
      <c r="AO300" s="87" t="s">
        <v>15379</v>
      </c>
      <c r="AP300" s="87" t="s">
        <v>15438</v>
      </c>
      <c r="AQ300" s="87"/>
      <c r="AR300" s="87"/>
      <c r="AS300" s="87"/>
      <c r="AT300" s="87"/>
      <c r="AU300" s="87"/>
      <c r="AV300" s="92" t="str">
        <f>HYPERLINK("https://pbs.twimg.com/profile_images/1680193293739597826/CssDDNfK_normal.jpg")</f>
        <v>https://pbs.twimg.com/profile_images/1680193293739597826/CssDDNfK_normal.jpg</v>
      </c>
      <c r="AW300" s="93" t="s">
        <v>18553</v>
      </c>
      <c r="AX300" s="93" t="s">
        <v>18553</v>
      </c>
      <c r="AY300" s="87"/>
      <c r="AZ300" s="93" t="s">
        <v>22668</v>
      </c>
      <c r="BA300" s="93" t="s">
        <v>22668</v>
      </c>
      <c r="BB300" s="93" t="s">
        <v>22668</v>
      </c>
      <c r="BC300" s="93" t="s">
        <v>18553</v>
      </c>
      <c r="BD300" s="93" t="s">
        <v>22851</v>
      </c>
      <c r="BE300" s="87"/>
      <c r="BF300" s="87"/>
      <c r="BG300" s="87"/>
      <c r="BH300" s="87"/>
      <c r="BI300" s="87"/>
    </row>
    <row r="301" spans="1:61" x14ac:dyDescent="0.25">
      <c r="A301" s="63" t="s">
        <v>323</v>
      </c>
      <c r="B301" s="63" t="s">
        <v>323</v>
      </c>
      <c r="C301" s="64"/>
      <c r="D301" s="65"/>
      <c r="E301" s="66"/>
      <c r="F301" s="67"/>
      <c r="G301" s="64"/>
      <c r="H301" s="68"/>
      <c r="I301" s="69"/>
      <c r="J301" s="69"/>
      <c r="K301" s="32"/>
      <c r="L301" s="76">
        <v>301</v>
      </c>
      <c r="M301" s="76"/>
      <c r="N301" s="71"/>
      <c r="O301" s="87" t="s">
        <v>179</v>
      </c>
      <c r="P301" s="90">
        <v>45114.573321759257</v>
      </c>
      <c r="Q301" s="87" t="s">
        <v>2138</v>
      </c>
      <c r="R301" s="87">
        <v>0</v>
      </c>
      <c r="S301" s="87">
        <v>1</v>
      </c>
      <c r="T301" s="87">
        <v>0</v>
      </c>
      <c r="U301" s="87">
        <v>0</v>
      </c>
      <c r="V301" s="87">
        <v>8</v>
      </c>
      <c r="W301" s="93" t="s">
        <v>6073</v>
      </c>
      <c r="X301" s="87"/>
      <c r="Y301" s="87"/>
      <c r="Z301" s="87"/>
      <c r="AA301" s="87"/>
      <c r="AB301" s="87"/>
      <c r="AC301" s="93" t="s">
        <v>11459</v>
      </c>
      <c r="AD301" s="87" t="s">
        <v>11519</v>
      </c>
      <c r="AE301" s="92" t="str">
        <f>HYPERLINK("https://twitter.com/maismillionario/status/1677312908785508362")</f>
        <v>https://twitter.com/maismillionario/status/1677312908785508362</v>
      </c>
      <c r="AF301" s="90">
        <v>45114.573321759257</v>
      </c>
      <c r="AG301" s="99">
        <v>45114</v>
      </c>
      <c r="AH301" s="93" t="s">
        <v>11814</v>
      </c>
      <c r="AI301" s="87"/>
      <c r="AJ301" s="87" t="s">
        <v>15174</v>
      </c>
      <c r="AK301" s="87" t="s">
        <v>15234</v>
      </c>
      <c r="AL301" s="87" t="s">
        <v>15237</v>
      </c>
      <c r="AM301" s="87" t="s">
        <v>15246</v>
      </c>
      <c r="AN301" s="87" t="s">
        <v>15311</v>
      </c>
      <c r="AO301" s="87" t="s">
        <v>15378</v>
      </c>
      <c r="AP301" s="87" t="s">
        <v>15438</v>
      </c>
      <c r="AQ301" s="87"/>
      <c r="AR301" s="87"/>
      <c r="AS301" s="87"/>
      <c r="AT301" s="87"/>
      <c r="AU301" s="87"/>
      <c r="AV301" s="92" t="str">
        <f>HYPERLINK("https://pbs.twimg.com/profile_images/1680193293739597826/CssDDNfK_normal.jpg")</f>
        <v>https://pbs.twimg.com/profile_images/1680193293739597826/CssDDNfK_normal.jpg</v>
      </c>
      <c r="AW301" s="93" t="s">
        <v>18554</v>
      </c>
      <c r="AX301" s="93" t="s">
        <v>18554</v>
      </c>
      <c r="AY301" s="87"/>
      <c r="AZ301" s="93" t="s">
        <v>22668</v>
      </c>
      <c r="BA301" s="93" t="s">
        <v>22668</v>
      </c>
      <c r="BB301" s="93" t="s">
        <v>22668</v>
      </c>
      <c r="BC301" s="93" t="s">
        <v>18554</v>
      </c>
      <c r="BD301" s="93" t="s">
        <v>22851</v>
      </c>
      <c r="BE301" s="87"/>
      <c r="BF301" s="87"/>
      <c r="BG301" s="87"/>
      <c r="BH301" s="87"/>
      <c r="BI301" s="87"/>
    </row>
    <row r="302" spans="1:61" x14ac:dyDescent="0.25">
      <c r="A302" s="63" t="s">
        <v>324</v>
      </c>
      <c r="B302" s="63" t="s">
        <v>324</v>
      </c>
      <c r="C302" s="64"/>
      <c r="D302" s="65"/>
      <c r="E302" s="66"/>
      <c r="F302" s="67"/>
      <c r="G302" s="64"/>
      <c r="H302" s="68"/>
      <c r="I302" s="69"/>
      <c r="J302" s="69"/>
      <c r="K302" s="32"/>
      <c r="L302" s="76">
        <v>302</v>
      </c>
      <c r="M302" s="76"/>
      <c r="N302" s="71"/>
      <c r="O302" s="87" t="s">
        <v>1840</v>
      </c>
      <c r="P302" s="90">
        <v>45185.942291666666</v>
      </c>
      <c r="Q302" s="87" t="s">
        <v>2139</v>
      </c>
      <c r="R302" s="87">
        <v>0</v>
      </c>
      <c r="S302" s="87">
        <v>1</v>
      </c>
      <c r="T302" s="87">
        <v>0</v>
      </c>
      <c r="U302" s="87">
        <v>0</v>
      </c>
      <c r="V302" s="87">
        <v>43</v>
      </c>
      <c r="W302" s="93" t="s">
        <v>6074</v>
      </c>
      <c r="X302" s="87"/>
      <c r="Y302" s="87"/>
      <c r="Z302" s="87"/>
      <c r="AA302" s="87"/>
      <c r="AB302" s="87"/>
      <c r="AC302" s="93" t="s">
        <v>11459</v>
      </c>
      <c r="AD302" s="87" t="s">
        <v>11519</v>
      </c>
      <c r="AE302" s="92" t="str">
        <f>HYPERLINK("https://twitter.com/economia_cafe/status/1703176157225435268")</f>
        <v>https://twitter.com/economia_cafe/status/1703176157225435268</v>
      </c>
      <c r="AF302" s="90">
        <v>45185.942291666666</v>
      </c>
      <c r="AG302" s="99">
        <v>45185</v>
      </c>
      <c r="AH302" s="93" t="s">
        <v>11815</v>
      </c>
      <c r="AI302" s="87"/>
      <c r="AJ302" s="87"/>
      <c r="AK302" s="87"/>
      <c r="AL302" s="87"/>
      <c r="AM302" s="87"/>
      <c r="AN302" s="87"/>
      <c r="AO302" s="87"/>
      <c r="AP302" s="87"/>
      <c r="AQ302" s="87"/>
      <c r="AR302" s="87"/>
      <c r="AS302" s="87"/>
      <c r="AT302" s="87"/>
      <c r="AU302" s="87"/>
      <c r="AV302" s="92" t="str">
        <f>HYPERLINK("https://pbs.twimg.com/profile_images/1451336986506244102/bbO8dxzF_normal.jpg")</f>
        <v>https://pbs.twimg.com/profile_images/1451336986506244102/bbO8dxzF_normal.jpg</v>
      </c>
      <c r="AW302" s="93" t="s">
        <v>18555</v>
      </c>
      <c r="AX302" s="93" t="s">
        <v>22314</v>
      </c>
      <c r="AY302" s="93" t="s">
        <v>22524</v>
      </c>
      <c r="AZ302" s="93" t="s">
        <v>22683</v>
      </c>
      <c r="BA302" s="93" t="s">
        <v>22668</v>
      </c>
      <c r="BB302" s="93" t="s">
        <v>22668</v>
      </c>
      <c r="BC302" s="93" t="s">
        <v>22683</v>
      </c>
      <c r="BD302" s="93" t="s">
        <v>22524</v>
      </c>
      <c r="BE302" s="87"/>
      <c r="BF302" s="87"/>
      <c r="BG302" s="87"/>
      <c r="BH302" s="87"/>
      <c r="BI302" s="87"/>
    </row>
    <row r="303" spans="1:61" x14ac:dyDescent="0.25">
      <c r="A303" s="63" t="s">
        <v>325</v>
      </c>
      <c r="B303" s="63" t="s">
        <v>325</v>
      </c>
      <c r="C303" s="64"/>
      <c r="D303" s="65"/>
      <c r="E303" s="66"/>
      <c r="F303" s="67"/>
      <c r="G303" s="64"/>
      <c r="H303" s="68"/>
      <c r="I303" s="69"/>
      <c r="J303" s="69"/>
      <c r="K303" s="32"/>
      <c r="L303" s="76">
        <v>303</v>
      </c>
      <c r="M303" s="76"/>
      <c r="N303" s="71"/>
      <c r="O303" s="87" t="s">
        <v>179</v>
      </c>
      <c r="P303" s="90">
        <v>45153.532013888886</v>
      </c>
      <c r="Q303" s="87" t="s">
        <v>2140</v>
      </c>
      <c r="R303" s="87">
        <v>0</v>
      </c>
      <c r="S303" s="87">
        <v>0</v>
      </c>
      <c r="T303" s="87">
        <v>0</v>
      </c>
      <c r="U303" s="87">
        <v>0</v>
      </c>
      <c r="V303" s="87">
        <v>1</v>
      </c>
      <c r="W303" s="93" t="s">
        <v>6075</v>
      </c>
      <c r="X303" s="87"/>
      <c r="Y303" s="87"/>
      <c r="Z303" s="87"/>
      <c r="AA303" s="87" t="s">
        <v>8841</v>
      </c>
      <c r="AB303" s="87" t="s">
        <v>11448</v>
      </c>
      <c r="AC303" s="93" t="s">
        <v>11457</v>
      </c>
      <c r="AD303" s="87" t="s">
        <v>11519</v>
      </c>
      <c r="AE303" s="92" t="str">
        <f>HYPERLINK("https://twitter.com/isoservice/status/1691431067557744640")</f>
        <v>https://twitter.com/isoservice/status/1691431067557744640</v>
      </c>
      <c r="AF303" s="90">
        <v>45153.532013888886</v>
      </c>
      <c r="AG303" s="99">
        <v>45153</v>
      </c>
      <c r="AH303" s="93" t="s">
        <v>11816</v>
      </c>
      <c r="AI303" s="87" t="b">
        <v>0</v>
      </c>
      <c r="AJ303" s="87"/>
      <c r="AK303" s="87"/>
      <c r="AL303" s="87"/>
      <c r="AM303" s="87"/>
      <c r="AN303" s="87"/>
      <c r="AO303" s="87"/>
      <c r="AP303" s="87"/>
      <c r="AQ303" s="87" t="s">
        <v>15654</v>
      </c>
      <c r="AR303" s="87"/>
      <c r="AS303" s="87"/>
      <c r="AT303" s="87"/>
      <c r="AU303" s="87"/>
      <c r="AV303" s="92" t="str">
        <f>HYPERLINK("https://pbs.twimg.com/media/F3krlSQWgAA_b6r.jpg")</f>
        <v>https://pbs.twimg.com/media/F3krlSQWgAA_b6r.jpg</v>
      </c>
      <c r="AW303" s="93" t="s">
        <v>18556</v>
      </c>
      <c r="AX303" s="93" t="s">
        <v>18556</v>
      </c>
      <c r="AY303" s="87"/>
      <c r="AZ303" s="93" t="s">
        <v>22668</v>
      </c>
      <c r="BA303" s="93" t="s">
        <v>22668</v>
      </c>
      <c r="BB303" s="93" t="s">
        <v>22668</v>
      </c>
      <c r="BC303" s="93" t="s">
        <v>18556</v>
      </c>
      <c r="BD303" s="87">
        <v>169618498</v>
      </c>
      <c r="BE303" s="87"/>
      <c r="BF303" s="87"/>
      <c r="BG303" s="87"/>
      <c r="BH303" s="87"/>
      <c r="BI303" s="87"/>
    </row>
    <row r="304" spans="1:61" x14ac:dyDescent="0.25">
      <c r="A304" s="63" t="s">
        <v>326</v>
      </c>
      <c r="B304" s="63" t="s">
        <v>1628</v>
      </c>
      <c r="C304" s="64"/>
      <c r="D304" s="65"/>
      <c r="E304" s="66"/>
      <c r="F304" s="67"/>
      <c r="G304" s="64"/>
      <c r="H304" s="68"/>
      <c r="I304" s="69"/>
      <c r="J304" s="69"/>
      <c r="K304" s="32"/>
      <c r="L304" s="76">
        <v>304</v>
      </c>
      <c r="M304" s="76"/>
      <c r="N304" s="71"/>
      <c r="O304" s="87" t="s">
        <v>1839</v>
      </c>
      <c r="P304" s="90">
        <v>45181.521331018521</v>
      </c>
      <c r="Q304" s="87" t="s">
        <v>2141</v>
      </c>
      <c r="R304" s="87">
        <v>0</v>
      </c>
      <c r="S304" s="87">
        <v>0</v>
      </c>
      <c r="T304" s="87">
        <v>0</v>
      </c>
      <c r="U304" s="87">
        <v>0</v>
      </c>
      <c r="V304" s="87">
        <v>716</v>
      </c>
      <c r="W304" s="93" t="s">
        <v>6076</v>
      </c>
      <c r="X304" s="92" t="str">
        <f>HYPERLINK("https://tinyurl.com/yh8j7unr")</f>
        <v>https://tinyurl.com/yh8j7unr</v>
      </c>
      <c r="Y304" s="87" t="s">
        <v>8388</v>
      </c>
      <c r="Z304" s="87" t="s">
        <v>1628</v>
      </c>
      <c r="AA304" s="87"/>
      <c r="AB304" s="87"/>
      <c r="AC304" s="93" t="s">
        <v>11457</v>
      </c>
      <c r="AD304" s="87" t="s">
        <v>11519</v>
      </c>
      <c r="AE304" s="92" t="str">
        <f>HYPERLINK("https://twitter.com/peqempresas/status/1701574055101448650")</f>
        <v>https://twitter.com/peqempresas/status/1701574055101448650</v>
      </c>
      <c r="AF304" s="90">
        <v>45181.521331018521</v>
      </c>
      <c r="AG304" s="99">
        <v>45181</v>
      </c>
      <c r="AH304" s="93" t="s">
        <v>11817</v>
      </c>
      <c r="AI304" s="87" t="b">
        <v>0</v>
      </c>
      <c r="AJ304" s="87"/>
      <c r="AK304" s="87"/>
      <c r="AL304" s="87"/>
      <c r="AM304" s="87"/>
      <c r="AN304" s="87"/>
      <c r="AO304" s="87"/>
      <c r="AP304" s="87"/>
      <c r="AQ304" s="87"/>
      <c r="AR304" s="87"/>
      <c r="AS304" s="87"/>
      <c r="AT304" s="87"/>
      <c r="AU304" s="87"/>
      <c r="AV304" s="92" t="str">
        <f>HYPERLINK("https://pbs.twimg.com/profile_images/902568202911178755/dUD9Vuas_normal.jpg")</f>
        <v>https://pbs.twimg.com/profile_images/902568202911178755/dUD9Vuas_normal.jpg</v>
      </c>
      <c r="AW304" s="93" t="s">
        <v>18557</v>
      </c>
      <c r="AX304" s="93" t="s">
        <v>18557</v>
      </c>
      <c r="AY304" s="87"/>
      <c r="AZ304" s="93" t="s">
        <v>22668</v>
      </c>
      <c r="BA304" s="93" t="s">
        <v>22668</v>
      </c>
      <c r="BB304" s="93" t="s">
        <v>22668</v>
      </c>
      <c r="BC304" s="93" t="s">
        <v>18557</v>
      </c>
      <c r="BD304" s="87">
        <v>23654729</v>
      </c>
      <c r="BE304" s="87"/>
      <c r="BF304" s="87"/>
      <c r="BG304" s="87"/>
      <c r="BH304" s="87"/>
      <c r="BI304" s="87"/>
    </row>
    <row r="305" spans="1:61" x14ac:dyDescent="0.25">
      <c r="A305" s="63" t="s">
        <v>326</v>
      </c>
      <c r="B305" s="63" t="s">
        <v>1629</v>
      </c>
      <c r="C305" s="64"/>
      <c r="D305" s="65"/>
      <c r="E305" s="66"/>
      <c r="F305" s="67"/>
      <c r="G305" s="64"/>
      <c r="H305" s="68"/>
      <c r="I305" s="69"/>
      <c r="J305" s="69"/>
      <c r="K305" s="32"/>
      <c r="L305" s="76">
        <v>305</v>
      </c>
      <c r="M305" s="76"/>
      <c r="N305" s="71"/>
      <c r="O305" s="87" t="s">
        <v>1839</v>
      </c>
      <c r="P305" s="90">
        <v>45139.502303240741</v>
      </c>
      <c r="Q305" s="87" t="s">
        <v>2142</v>
      </c>
      <c r="R305" s="87">
        <v>0</v>
      </c>
      <c r="S305" s="87">
        <v>2</v>
      </c>
      <c r="T305" s="87">
        <v>0</v>
      </c>
      <c r="U305" s="87">
        <v>0</v>
      </c>
      <c r="V305" s="87">
        <v>1095</v>
      </c>
      <c r="W305" s="93" t="s">
        <v>6077</v>
      </c>
      <c r="X305" s="92" t="str">
        <f>HYPERLINK("https://bit.ly/45b5vkC")</f>
        <v>https://bit.ly/45b5vkC</v>
      </c>
      <c r="Y305" s="87" t="s">
        <v>8374</v>
      </c>
      <c r="Z305" s="87" t="s">
        <v>1629</v>
      </c>
      <c r="AA305" s="87"/>
      <c r="AB305" s="87"/>
      <c r="AC305" s="93" t="s">
        <v>11457</v>
      </c>
      <c r="AD305" s="87" t="s">
        <v>11519</v>
      </c>
      <c r="AE305" s="92" t="str">
        <f>HYPERLINK("https://twitter.com/peqempresas/status/1686346872514813952")</f>
        <v>https://twitter.com/peqempresas/status/1686346872514813952</v>
      </c>
      <c r="AF305" s="90">
        <v>45139.502303240741</v>
      </c>
      <c r="AG305" s="99">
        <v>45139</v>
      </c>
      <c r="AH305" s="93" t="s">
        <v>11818</v>
      </c>
      <c r="AI305" s="87" t="b">
        <v>0</v>
      </c>
      <c r="AJ305" s="87"/>
      <c r="AK305" s="87"/>
      <c r="AL305" s="87"/>
      <c r="AM305" s="87"/>
      <c r="AN305" s="87"/>
      <c r="AO305" s="87"/>
      <c r="AP305" s="87"/>
      <c r="AQ305" s="87"/>
      <c r="AR305" s="87"/>
      <c r="AS305" s="87"/>
      <c r="AT305" s="87"/>
      <c r="AU305" s="87"/>
      <c r="AV305" s="92" t="str">
        <f>HYPERLINK("https://pbs.twimg.com/profile_images/902568202911178755/dUD9Vuas_normal.jpg")</f>
        <v>https://pbs.twimg.com/profile_images/902568202911178755/dUD9Vuas_normal.jpg</v>
      </c>
      <c r="AW305" s="93" t="s">
        <v>18558</v>
      </c>
      <c r="AX305" s="93" t="s">
        <v>18558</v>
      </c>
      <c r="AY305" s="87"/>
      <c r="AZ305" s="93" t="s">
        <v>22668</v>
      </c>
      <c r="BA305" s="93" t="s">
        <v>22668</v>
      </c>
      <c r="BB305" s="93" t="s">
        <v>22668</v>
      </c>
      <c r="BC305" s="93" t="s">
        <v>18558</v>
      </c>
      <c r="BD305" s="87">
        <v>23654729</v>
      </c>
      <c r="BE305" s="87"/>
      <c r="BF305" s="87"/>
      <c r="BG305" s="87"/>
      <c r="BH305" s="87"/>
      <c r="BI305" s="87"/>
    </row>
    <row r="306" spans="1:61" x14ac:dyDescent="0.25">
      <c r="A306" s="63" t="s">
        <v>326</v>
      </c>
      <c r="B306" s="63" t="s">
        <v>1629</v>
      </c>
      <c r="C306" s="64"/>
      <c r="D306" s="65"/>
      <c r="E306" s="66"/>
      <c r="F306" s="67"/>
      <c r="G306" s="64"/>
      <c r="H306" s="68"/>
      <c r="I306" s="69"/>
      <c r="J306" s="69"/>
      <c r="K306" s="32"/>
      <c r="L306" s="76">
        <v>306</v>
      </c>
      <c r="M306" s="76"/>
      <c r="N306" s="71"/>
      <c r="O306" s="87" t="s">
        <v>1839</v>
      </c>
      <c r="P306" s="90">
        <v>45146.735000000001</v>
      </c>
      <c r="Q306" s="87" t="s">
        <v>2143</v>
      </c>
      <c r="R306" s="87">
        <v>0</v>
      </c>
      <c r="S306" s="87">
        <v>1</v>
      </c>
      <c r="T306" s="87">
        <v>0</v>
      </c>
      <c r="U306" s="87">
        <v>0</v>
      </c>
      <c r="V306" s="87">
        <v>918</v>
      </c>
      <c r="W306" s="93" t="s">
        <v>6078</v>
      </c>
      <c r="X306" s="92" t="str">
        <f>HYPERLINK("http://glo.bo/45kvxSs")</f>
        <v>http://glo.bo/45kvxSs</v>
      </c>
      <c r="Y306" s="87" t="s">
        <v>8389</v>
      </c>
      <c r="Z306" s="87" t="s">
        <v>1629</v>
      </c>
      <c r="AA306" s="87"/>
      <c r="AB306" s="87"/>
      <c r="AC306" s="93" t="s">
        <v>11457</v>
      </c>
      <c r="AD306" s="87" t="s">
        <v>11519</v>
      </c>
      <c r="AE306" s="92" t="str">
        <f>HYPERLINK("https://twitter.com/peqempresas/status/1688967911845629952")</f>
        <v>https://twitter.com/peqempresas/status/1688967911845629952</v>
      </c>
      <c r="AF306" s="90">
        <v>45146.735000000001</v>
      </c>
      <c r="AG306" s="99">
        <v>45146</v>
      </c>
      <c r="AH306" s="93" t="s">
        <v>11819</v>
      </c>
      <c r="AI306" s="87" t="b">
        <v>0</v>
      </c>
      <c r="AJ306" s="87"/>
      <c r="AK306" s="87"/>
      <c r="AL306" s="87"/>
      <c r="AM306" s="87"/>
      <c r="AN306" s="87"/>
      <c r="AO306" s="87"/>
      <c r="AP306" s="87"/>
      <c r="AQ306" s="87"/>
      <c r="AR306" s="87"/>
      <c r="AS306" s="87"/>
      <c r="AT306" s="87"/>
      <c r="AU306" s="87"/>
      <c r="AV306" s="92" t="str">
        <f>HYPERLINK("https://pbs.twimg.com/profile_images/902568202911178755/dUD9Vuas_normal.jpg")</f>
        <v>https://pbs.twimg.com/profile_images/902568202911178755/dUD9Vuas_normal.jpg</v>
      </c>
      <c r="AW306" s="93" t="s">
        <v>18559</v>
      </c>
      <c r="AX306" s="93" t="s">
        <v>18559</v>
      </c>
      <c r="AY306" s="87"/>
      <c r="AZ306" s="93" t="s">
        <v>22668</v>
      </c>
      <c r="BA306" s="93" t="s">
        <v>22668</v>
      </c>
      <c r="BB306" s="93" t="s">
        <v>22668</v>
      </c>
      <c r="BC306" s="93" t="s">
        <v>18559</v>
      </c>
      <c r="BD306" s="87">
        <v>23654729</v>
      </c>
      <c r="BE306" s="87"/>
      <c r="BF306" s="87"/>
      <c r="BG306" s="87"/>
      <c r="BH306" s="87"/>
      <c r="BI306" s="87"/>
    </row>
    <row r="307" spans="1:61" x14ac:dyDescent="0.25">
      <c r="A307" s="63" t="s">
        <v>326</v>
      </c>
      <c r="B307" s="63" t="s">
        <v>1629</v>
      </c>
      <c r="C307" s="64"/>
      <c r="D307" s="65"/>
      <c r="E307" s="66"/>
      <c r="F307" s="67"/>
      <c r="G307" s="64"/>
      <c r="H307" s="68"/>
      <c r="I307" s="69"/>
      <c r="J307" s="69"/>
      <c r="K307" s="32"/>
      <c r="L307" s="76">
        <v>307</v>
      </c>
      <c r="M307" s="76"/>
      <c r="N307" s="71"/>
      <c r="O307" s="87" t="s">
        <v>1839</v>
      </c>
      <c r="P307" s="90">
        <v>45152.49659722222</v>
      </c>
      <c r="Q307" s="87" t="s">
        <v>2144</v>
      </c>
      <c r="R307" s="87">
        <v>0</v>
      </c>
      <c r="S307" s="87">
        <v>2</v>
      </c>
      <c r="T307" s="87">
        <v>0</v>
      </c>
      <c r="U307" s="87">
        <v>0</v>
      </c>
      <c r="V307" s="87">
        <v>1231</v>
      </c>
      <c r="W307" s="93" t="s">
        <v>6079</v>
      </c>
      <c r="X307" s="92" t="str">
        <f>HYPERLINK("https://bit.ly/3ql22kI")</f>
        <v>https://bit.ly/3ql22kI</v>
      </c>
      <c r="Y307" s="87" t="s">
        <v>8374</v>
      </c>
      <c r="Z307" s="87" t="s">
        <v>1629</v>
      </c>
      <c r="AA307" s="87"/>
      <c r="AB307" s="87"/>
      <c r="AC307" s="93" t="s">
        <v>11457</v>
      </c>
      <c r="AD307" s="87" t="s">
        <v>11519</v>
      </c>
      <c r="AE307" s="92" t="str">
        <f>HYPERLINK("https://twitter.com/peqempresas/status/1691055846988398592")</f>
        <v>https://twitter.com/peqempresas/status/1691055846988398592</v>
      </c>
      <c r="AF307" s="90">
        <v>45152.49659722222</v>
      </c>
      <c r="AG307" s="99">
        <v>45152</v>
      </c>
      <c r="AH307" s="93" t="s">
        <v>11820</v>
      </c>
      <c r="AI307" s="87" t="b">
        <v>0</v>
      </c>
      <c r="AJ307" s="87"/>
      <c r="AK307" s="87"/>
      <c r="AL307" s="87"/>
      <c r="AM307" s="87"/>
      <c r="AN307" s="87"/>
      <c r="AO307" s="87"/>
      <c r="AP307" s="87"/>
      <c r="AQ307" s="87"/>
      <c r="AR307" s="87"/>
      <c r="AS307" s="87"/>
      <c r="AT307" s="87"/>
      <c r="AU307" s="87"/>
      <c r="AV307" s="92" t="str">
        <f>HYPERLINK("https://pbs.twimg.com/profile_images/902568202911178755/dUD9Vuas_normal.jpg")</f>
        <v>https://pbs.twimg.com/profile_images/902568202911178755/dUD9Vuas_normal.jpg</v>
      </c>
      <c r="AW307" s="93" t="s">
        <v>18560</v>
      </c>
      <c r="AX307" s="93" t="s">
        <v>18560</v>
      </c>
      <c r="AY307" s="87"/>
      <c r="AZ307" s="93" t="s">
        <v>22668</v>
      </c>
      <c r="BA307" s="93" t="s">
        <v>22668</v>
      </c>
      <c r="BB307" s="93" t="s">
        <v>22668</v>
      </c>
      <c r="BC307" s="93" t="s">
        <v>18560</v>
      </c>
      <c r="BD307" s="87">
        <v>23654729</v>
      </c>
      <c r="BE307" s="87"/>
      <c r="BF307" s="87"/>
      <c r="BG307" s="87"/>
      <c r="BH307" s="87"/>
      <c r="BI307" s="87"/>
    </row>
    <row r="308" spans="1:61" x14ac:dyDescent="0.25">
      <c r="A308" s="63" t="s">
        <v>326</v>
      </c>
      <c r="B308" s="63" t="s">
        <v>1629</v>
      </c>
      <c r="C308" s="64"/>
      <c r="D308" s="65"/>
      <c r="E308" s="66"/>
      <c r="F308" s="67"/>
      <c r="G308" s="64"/>
      <c r="H308" s="68"/>
      <c r="I308" s="69"/>
      <c r="J308" s="69"/>
      <c r="K308" s="32"/>
      <c r="L308" s="76">
        <v>308</v>
      </c>
      <c r="M308" s="76"/>
      <c r="N308" s="71"/>
      <c r="O308" s="87" t="s">
        <v>1839</v>
      </c>
      <c r="P308" s="90">
        <v>45124.746770833335</v>
      </c>
      <c r="Q308" s="87" t="s">
        <v>2145</v>
      </c>
      <c r="R308" s="87">
        <v>0</v>
      </c>
      <c r="S308" s="87">
        <v>1</v>
      </c>
      <c r="T308" s="87">
        <v>0</v>
      </c>
      <c r="U308" s="87">
        <v>0</v>
      </c>
      <c r="V308" s="87">
        <v>1043</v>
      </c>
      <c r="W308" s="93" t="s">
        <v>6080</v>
      </c>
      <c r="X308" s="92" t="str">
        <f>HYPERLINK("https://revistapegn.globo.com/conteudo-de-marca/seu-negocio-itau-empresas/noticia/2023/07/marketing-em-foco-como-engajar-clientes-em-eventos-corporativos.ghtml")</f>
        <v>https://revistapegn.globo.com/conteudo-de-marca/seu-negocio-itau-empresas/noticia/2023/07/marketing-em-foco-como-engajar-clientes-em-eventos-corporativos.ghtml</v>
      </c>
      <c r="Y308" s="87" t="s">
        <v>8384</v>
      </c>
      <c r="Z308" s="87" t="s">
        <v>1629</v>
      </c>
      <c r="AA308" s="87" t="s">
        <v>8842</v>
      </c>
      <c r="AB308" s="87" t="s">
        <v>11448</v>
      </c>
      <c r="AC308" s="93" t="s">
        <v>11457</v>
      </c>
      <c r="AD308" s="87" t="s">
        <v>11519</v>
      </c>
      <c r="AE308" s="92" t="str">
        <f>HYPERLINK("https://twitter.com/peqempresas/status/1680999643826593792")</f>
        <v>https://twitter.com/peqempresas/status/1680999643826593792</v>
      </c>
      <c r="AF308" s="90">
        <v>45124.746770833335</v>
      </c>
      <c r="AG308" s="99">
        <v>45124</v>
      </c>
      <c r="AH308" s="93" t="s">
        <v>11821</v>
      </c>
      <c r="AI308" s="87" t="b">
        <v>0</v>
      </c>
      <c r="AJ308" s="87"/>
      <c r="AK308" s="87"/>
      <c r="AL308" s="87"/>
      <c r="AM308" s="87"/>
      <c r="AN308" s="87"/>
      <c r="AO308" s="87"/>
      <c r="AP308" s="87"/>
      <c r="AQ308" s="87" t="s">
        <v>15655</v>
      </c>
      <c r="AR308" s="87"/>
      <c r="AS308" s="87"/>
      <c r="AT308" s="87"/>
      <c r="AU308" s="87"/>
      <c r="AV308" s="92" t="str">
        <f>HYPERLINK("https://pbs.twimg.com/media/F1QcIn3XgAc77YQ.jpg")</f>
        <v>https://pbs.twimg.com/media/F1QcIn3XgAc77YQ.jpg</v>
      </c>
      <c r="AW308" s="93" t="s">
        <v>18561</v>
      </c>
      <c r="AX308" s="93" t="s">
        <v>18561</v>
      </c>
      <c r="AY308" s="87"/>
      <c r="AZ308" s="93" t="s">
        <v>22668</v>
      </c>
      <c r="BA308" s="93" t="s">
        <v>22668</v>
      </c>
      <c r="BB308" s="93" t="s">
        <v>22668</v>
      </c>
      <c r="BC308" s="93" t="s">
        <v>18561</v>
      </c>
      <c r="BD308" s="87">
        <v>23654729</v>
      </c>
      <c r="BE308" s="87"/>
      <c r="BF308" s="87"/>
      <c r="BG308" s="87"/>
      <c r="BH308" s="87"/>
      <c r="BI308" s="87"/>
    </row>
    <row r="309" spans="1:61" x14ac:dyDescent="0.25">
      <c r="A309" s="63" t="s">
        <v>326</v>
      </c>
      <c r="B309" s="63" t="s">
        <v>1629</v>
      </c>
      <c r="C309" s="64"/>
      <c r="D309" s="65"/>
      <c r="E309" s="66"/>
      <c r="F309" s="67"/>
      <c r="G309" s="64"/>
      <c r="H309" s="68"/>
      <c r="I309" s="69"/>
      <c r="J309" s="69"/>
      <c r="K309" s="32"/>
      <c r="L309" s="76">
        <v>309</v>
      </c>
      <c r="M309" s="76"/>
      <c r="N309" s="71"/>
      <c r="O309" s="87" t="s">
        <v>1839</v>
      </c>
      <c r="P309" s="90">
        <v>45160.546990740739</v>
      </c>
      <c r="Q309" s="87" t="s">
        <v>2146</v>
      </c>
      <c r="R309" s="87">
        <v>0</v>
      </c>
      <c r="S309" s="87">
        <v>0</v>
      </c>
      <c r="T309" s="87">
        <v>0</v>
      </c>
      <c r="U309" s="87">
        <v>0</v>
      </c>
      <c r="V309" s="87">
        <v>1005</v>
      </c>
      <c r="W309" s="93" t="s">
        <v>6081</v>
      </c>
      <c r="X309" s="92" t="str">
        <f>HYPERLINK("https://bit.ly/3qzCGQb")</f>
        <v>https://bit.ly/3qzCGQb</v>
      </c>
      <c r="Y309" s="87" t="s">
        <v>8374</v>
      </c>
      <c r="Z309" s="87" t="s">
        <v>1629</v>
      </c>
      <c r="AA309" s="87"/>
      <c r="AB309" s="87"/>
      <c r="AC309" s="93" t="s">
        <v>11457</v>
      </c>
      <c r="AD309" s="87" t="s">
        <v>11519</v>
      </c>
      <c r="AE309" s="92" t="str">
        <f>HYPERLINK("https://twitter.com/peqempresas/status/1693973209974989290")</f>
        <v>https://twitter.com/peqempresas/status/1693973209974989290</v>
      </c>
      <c r="AF309" s="90">
        <v>45160.546990740739</v>
      </c>
      <c r="AG309" s="99">
        <v>45160</v>
      </c>
      <c r="AH309" s="93" t="s">
        <v>11822</v>
      </c>
      <c r="AI309" s="87" t="b">
        <v>0</v>
      </c>
      <c r="AJ309" s="87"/>
      <c r="AK309" s="87"/>
      <c r="AL309" s="87"/>
      <c r="AM309" s="87"/>
      <c r="AN309" s="87"/>
      <c r="AO309" s="87"/>
      <c r="AP309" s="87"/>
      <c r="AQ309" s="87"/>
      <c r="AR309" s="87"/>
      <c r="AS309" s="87"/>
      <c r="AT309" s="87"/>
      <c r="AU309" s="87"/>
      <c r="AV309" s="92" t="str">
        <f>HYPERLINK("https://pbs.twimg.com/profile_images/902568202911178755/dUD9Vuas_normal.jpg")</f>
        <v>https://pbs.twimg.com/profile_images/902568202911178755/dUD9Vuas_normal.jpg</v>
      </c>
      <c r="AW309" s="93" t="s">
        <v>18562</v>
      </c>
      <c r="AX309" s="93" t="s">
        <v>18562</v>
      </c>
      <c r="AY309" s="87"/>
      <c r="AZ309" s="93" t="s">
        <v>22668</v>
      </c>
      <c r="BA309" s="93" t="s">
        <v>22668</v>
      </c>
      <c r="BB309" s="93" t="s">
        <v>22668</v>
      </c>
      <c r="BC309" s="93" t="s">
        <v>18562</v>
      </c>
      <c r="BD309" s="87">
        <v>23654729</v>
      </c>
      <c r="BE309" s="87"/>
      <c r="BF309" s="87"/>
      <c r="BG309" s="87"/>
      <c r="BH309" s="87"/>
      <c r="BI309" s="87"/>
    </row>
    <row r="310" spans="1:61" x14ac:dyDescent="0.25">
      <c r="A310" s="63" t="s">
        <v>326</v>
      </c>
      <c r="B310" s="63" t="s">
        <v>1629</v>
      </c>
      <c r="C310" s="64"/>
      <c r="D310" s="65"/>
      <c r="E310" s="66"/>
      <c r="F310" s="67"/>
      <c r="G310" s="64"/>
      <c r="H310" s="68"/>
      <c r="I310" s="69"/>
      <c r="J310" s="69"/>
      <c r="K310" s="32"/>
      <c r="L310" s="76">
        <v>310</v>
      </c>
      <c r="M310" s="76"/>
      <c r="N310" s="71"/>
      <c r="O310" s="87" t="s">
        <v>1839</v>
      </c>
      <c r="P310" s="90">
        <v>45131.492349537039</v>
      </c>
      <c r="Q310" s="87" t="s">
        <v>2147</v>
      </c>
      <c r="R310" s="87">
        <v>1</v>
      </c>
      <c r="S310" s="87">
        <v>0</v>
      </c>
      <c r="T310" s="87">
        <v>0</v>
      </c>
      <c r="U310" s="87">
        <v>0</v>
      </c>
      <c r="V310" s="87">
        <v>1201</v>
      </c>
      <c r="W310" s="93" t="s">
        <v>6082</v>
      </c>
      <c r="X310" s="92" t="str">
        <f>HYPERLINK("https://bit.ly/3Y7bVi0")</f>
        <v>https://bit.ly/3Y7bVi0</v>
      </c>
      <c r="Y310" s="87" t="s">
        <v>8374</v>
      </c>
      <c r="Z310" s="87" t="s">
        <v>1629</v>
      </c>
      <c r="AA310" s="87"/>
      <c r="AB310" s="87"/>
      <c r="AC310" s="93" t="s">
        <v>11457</v>
      </c>
      <c r="AD310" s="87" t="s">
        <v>11519</v>
      </c>
      <c r="AE310" s="92" t="str">
        <f>HYPERLINK("https://twitter.com/peqempresas/status/1683444160412393472")</f>
        <v>https://twitter.com/peqempresas/status/1683444160412393472</v>
      </c>
      <c r="AF310" s="90">
        <v>45131.492349537039</v>
      </c>
      <c r="AG310" s="99">
        <v>45131</v>
      </c>
      <c r="AH310" s="93" t="s">
        <v>11823</v>
      </c>
      <c r="AI310" s="87" t="b">
        <v>0</v>
      </c>
      <c r="AJ310" s="87"/>
      <c r="AK310" s="87"/>
      <c r="AL310" s="87"/>
      <c r="AM310" s="87"/>
      <c r="AN310" s="87"/>
      <c r="AO310" s="87"/>
      <c r="AP310" s="87"/>
      <c r="AQ310" s="87"/>
      <c r="AR310" s="87"/>
      <c r="AS310" s="87"/>
      <c r="AT310" s="87"/>
      <c r="AU310" s="87"/>
      <c r="AV310" s="92" t="str">
        <f>HYPERLINK("https://pbs.twimg.com/profile_images/902568202911178755/dUD9Vuas_normal.jpg")</f>
        <v>https://pbs.twimg.com/profile_images/902568202911178755/dUD9Vuas_normal.jpg</v>
      </c>
      <c r="AW310" s="93" t="s">
        <v>18563</v>
      </c>
      <c r="AX310" s="93" t="s">
        <v>18563</v>
      </c>
      <c r="AY310" s="87"/>
      <c r="AZ310" s="93" t="s">
        <v>22668</v>
      </c>
      <c r="BA310" s="93" t="s">
        <v>22668</v>
      </c>
      <c r="BB310" s="93" t="s">
        <v>22668</v>
      </c>
      <c r="BC310" s="93" t="s">
        <v>18563</v>
      </c>
      <c r="BD310" s="87">
        <v>23654729</v>
      </c>
      <c r="BE310" s="87"/>
      <c r="BF310" s="87"/>
      <c r="BG310" s="87"/>
      <c r="BH310" s="87"/>
      <c r="BI310" s="87"/>
    </row>
    <row r="311" spans="1:61" x14ac:dyDescent="0.25">
      <c r="A311" s="63" t="s">
        <v>326</v>
      </c>
      <c r="B311" s="63" t="s">
        <v>1629</v>
      </c>
      <c r="C311" s="64"/>
      <c r="D311" s="65"/>
      <c r="E311" s="66"/>
      <c r="F311" s="67"/>
      <c r="G311" s="64"/>
      <c r="H311" s="68"/>
      <c r="I311" s="69"/>
      <c r="J311" s="69"/>
      <c r="K311" s="32"/>
      <c r="L311" s="76">
        <v>311</v>
      </c>
      <c r="M311" s="76"/>
      <c r="N311" s="71"/>
      <c r="O311" s="87" t="s">
        <v>1839</v>
      </c>
      <c r="P311" s="90">
        <v>45111.752222222225</v>
      </c>
      <c r="Q311" s="87" t="s">
        <v>2148</v>
      </c>
      <c r="R311" s="87">
        <v>0</v>
      </c>
      <c r="S311" s="87">
        <v>2</v>
      </c>
      <c r="T311" s="87">
        <v>0</v>
      </c>
      <c r="U311" s="87">
        <v>0</v>
      </c>
      <c r="V311" s="87">
        <v>1086</v>
      </c>
      <c r="W311" s="93" t="s">
        <v>6083</v>
      </c>
      <c r="X311" s="92" t="str">
        <f>HYPERLINK("https://revistapegn.globo.com/conteudo-de-marca/seu-negocio-itau-empresas/noticia/2023/07/9-indicadores-para-medir-a-satisfacao-do-seu-cliente.ghtml")</f>
        <v>https://revistapegn.globo.com/conteudo-de-marca/seu-negocio-itau-empresas/noticia/2023/07/9-indicadores-para-medir-a-satisfacao-do-seu-cliente.ghtml</v>
      </c>
      <c r="Y311" s="87" t="s">
        <v>8384</v>
      </c>
      <c r="Z311" s="87" t="s">
        <v>1629</v>
      </c>
      <c r="AA311" s="87"/>
      <c r="AB311" s="87"/>
      <c r="AC311" s="93" t="s">
        <v>11457</v>
      </c>
      <c r="AD311" s="87" t="s">
        <v>11519</v>
      </c>
      <c r="AE311" s="92" t="str">
        <f>HYPERLINK("https://twitter.com/peqempresas/status/1676290578516942861")</f>
        <v>https://twitter.com/peqempresas/status/1676290578516942861</v>
      </c>
      <c r="AF311" s="90">
        <v>45111.752222222225</v>
      </c>
      <c r="AG311" s="99">
        <v>45111</v>
      </c>
      <c r="AH311" s="93" t="s">
        <v>11824</v>
      </c>
      <c r="AI311" s="87" t="b">
        <v>0</v>
      </c>
      <c r="AJ311" s="87"/>
      <c r="AK311" s="87"/>
      <c r="AL311" s="87"/>
      <c r="AM311" s="87"/>
      <c r="AN311" s="87"/>
      <c r="AO311" s="87"/>
      <c r="AP311" s="87"/>
      <c r="AQ311" s="87"/>
      <c r="AR311" s="87"/>
      <c r="AS311" s="87"/>
      <c r="AT311" s="87"/>
      <c r="AU311" s="87"/>
      <c r="AV311" s="92" t="str">
        <f>HYPERLINK("https://pbs.twimg.com/profile_images/902568202911178755/dUD9Vuas_normal.jpg")</f>
        <v>https://pbs.twimg.com/profile_images/902568202911178755/dUD9Vuas_normal.jpg</v>
      </c>
      <c r="AW311" s="93" t="s">
        <v>18564</v>
      </c>
      <c r="AX311" s="93" t="s">
        <v>18564</v>
      </c>
      <c r="AY311" s="87"/>
      <c r="AZ311" s="93" t="s">
        <v>22668</v>
      </c>
      <c r="BA311" s="93" t="s">
        <v>22668</v>
      </c>
      <c r="BB311" s="93" t="s">
        <v>22668</v>
      </c>
      <c r="BC311" s="93" t="s">
        <v>18564</v>
      </c>
      <c r="BD311" s="87">
        <v>23654729</v>
      </c>
      <c r="BE311" s="87"/>
      <c r="BF311" s="87"/>
      <c r="BG311" s="87"/>
      <c r="BH311" s="87"/>
      <c r="BI311" s="87"/>
    </row>
    <row r="312" spans="1:61" x14ac:dyDescent="0.25">
      <c r="A312" s="63" t="s">
        <v>327</v>
      </c>
      <c r="B312" s="63" t="s">
        <v>327</v>
      </c>
      <c r="C312" s="64"/>
      <c r="D312" s="65"/>
      <c r="E312" s="66"/>
      <c r="F312" s="67"/>
      <c r="G312" s="64"/>
      <c r="H312" s="68"/>
      <c r="I312" s="69"/>
      <c r="J312" s="69"/>
      <c r="K312" s="32"/>
      <c r="L312" s="76">
        <v>312</v>
      </c>
      <c r="M312" s="76"/>
      <c r="N312" s="71"/>
      <c r="O312" s="87" t="s">
        <v>179</v>
      </c>
      <c r="P312" s="90">
        <v>45148.229930555557</v>
      </c>
      <c r="Q312" s="87" t="s">
        <v>2149</v>
      </c>
      <c r="R312" s="87">
        <v>0</v>
      </c>
      <c r="S312" s="87">
        <v>1</v>
      </c>
      <c r="T312" s="87">
        <v>0</v>
      </c>
      <c r="U312" s="87">
        <v>1</v>
      </c>
      <c r="V312" s="87">
        <v>491</v>
      </c>
      <c r="W312" s="87"/>
      <c r="X312" s="87"/>
      <c r="Y312" s="87"/>
      <c r="Z312" s="87"/>
      <c r="AA312" s="87" t="s">
        <v>8843</v>
      </c>
      <c r="AB312" s="87" t="s">
        <v>11450</v>
      </c>
      <c r="AC312" s="93" t="s">
        <v>11457</v>
      </c>
      <c r="AD312" s="87" t="s">
        <v>11519</v>
      </c>
      <c r="AE312" s="92" t="str">
        <f>HYPERLINK("https://twitter.com/kyah_borges/status/1689509656626937856")</f>
        <v>https://twitter.com/kyah_borges/status/1689509656626937856</v>
      </c>
      <c r="AF312" s="90">
        <v>45148.229930555557</v>
      </c>
      <c r="AG312" s="99">
        <v>45148</v>
      </c>
      <c r="AH312" s="93" t="s">
        <v>11825</v>
      </c>
      <c r="AI312" s="87" t="b">
        <v>0</v>
      </c>
      <c r="AJ312" s="87" t="s">
        <v>15174</v>
      </c>
      <c r="AK312" s="87" t="s">
        <v>15234</v>
      </c>
      <c r="AL312" s="87" t="s">
        <v>15237</v>
      </c>
      <c r="AM312" s="87" t="s">
        <v>15246</v>
      </c>
      <c r="AN312" s="87" t="s">
        <v>15311</v>
      </c>
      <c r="AO312" s="87" t="s">
        <v>15378</v>
      </c>
      <c r="AP312" s="87" t="s">
        <v>15438</v>
      </c>
      <c r="AQ312" s="87" t="s">
        <v>15656</v>
      </c>
      <c r="AR312" s="87"/>
      <c r="AS312" s="87"/>
      <c r="AT312" s="87"/>
      <c r="AU312" s="87"/>
      <c r="AV312" s="92" t="str">
        <f>HYPERLINK("https://pbs.twimg.com/media/F3JXzGrWQAAZQLE.jpg")</f>
        <v>https://pbs.twimg.com/media/F3JXzGrWQAAZQLE.jpg</v>
      </c>
      <c r="AW312" s="93" t="s">
        <v>18565</v>
      </c>
      <c r="AX312" s="93" t="s">
        <v>18565</v>
      </c>
      <c r="AY312" s="87"/>
      <c r="AZ312" s="93" t="s">
        <v>22668</v>
      </c>
      <c r="BA312" s="93" t="s">
        <v>22668</v>
      </c>
      <c r="BB312" s="93" t="s">
        <v>22668</v>
      </c>
      <c r="BC312" s="93" t="s">
        <v>18565</v>
      </c>
      <c r="BD312" s="93" t="s">
        <v>22852</v>
      </c>
      <c r="BE312" s="87"/>
      <c r="BF312" s="87"/>
      <c r="BG312" s="87"/>
      <c r="BH312" s="87"/>
      <c r="BI312" s="87"/>
    </row>
    <row r="313" spans="1:61" x14ac:dyDescent="0.25">
      <c r="A313" s="63" t="s">
        <v>327</v>
      </c>
      <c r="B313" s="63" t="s">
        <v>327</v>
      </c>
      <c r="C313" s="64"/>
      <c r="D313" s="65"/>
      <c r="E313" s="66"/>
      <c r="F313" s="67"/>
      <c r="G313" s="64"/>
      <c r="H313" s="68"/>
      <c r="I313" s="69"/>
      <c r="J313" s="69"/>
      <c r="K313" s="32"/>
      <c r="L313" s="76">
        <v>313</v>
      </c>
      <c r="M313" s="76"/>
      <c r="N313" s="71"/>
      <c r="O313" s="87" t="s">
        <v>1842</v>
      </c>
      <c r="P313" s="90">
        <v>45161.971458333333</v>
      </c>
      <c r="Q313" s="87" t="s">
        <v>2150</v>
      </c>
      <c r="R313" s="87">
        <v>0</v>
      </c>
      <c r="S313" s="87">
        <v>1</v>
      </c>
      <c r="T313" s="87">
        <v>0</v>
      </c>
      <c r="U313" s="87">
        <v>0</v>
      </c>
      <c r="V313" s="87">
        <v>246</v>
      </c>
      <c r="W313" s="93" t="s">
        <v>6084</v>
      </c>
      <c r="X313" s="92" t="str">
        <f>HYPERLINK("https://go.hotmart.com/I85591472T")</f>
        <v>https://go.hotmart.com/I85591472T</v>
      </c>
      <c r="Y313" s="87" t="s">
        <v>8390</v>
      </c>
      <c r="Z313" s="87"/>
      <c r="AA313" s="87"/>
      <c r="AB313" s="87"/>
      <c r="AC313" s="93" t="s">
        <v>11457</v>
      </c>
      <c r="AD313" s="87" t="s">
        <v>11519</v>
      </c>
      <c r="AE313" s="92" t="str">
        <f>HYPERLINK("https://twitter.com/kyah_borges/status/1694489419179233779")</f>
        <v>https://twitter.com/kyah_borges/status/1694489419179233779</v>
      </c>
      <c r="AF313" s="90">
        <v>45161.971458333333</v>
      </c>
      <c r="AG313" s="99">
        <v>45161</v>
      </c>
      <c r="AH313" s="93" t="s">
        <v>11826</v>
      </c>
      <c r="AI313" s="87" t="b">
        <v>0</v>
      </c>
      <c r="AJ313" s="87" t="s">
        <v>15174</v>
      </c>
      <c r="AK313" s="87" t="s">
        <v>15234</v>
      </c>
      <c r="AL313" s="87" t="s">
        <v>15237</v>
      </c>
      <c r="AM313" s="87" t="s">
        <v>15246</v>
      </c>
      <c r="AN313" s="87" t="s">
        <v>15311</v>
      </c>
      <c r="AO313" s="87" t="s">
        <v>15378</v>
      </c>
      <c r="AP313" s="87" t="s">
        <v>15438</v>
      </c>
      <c r="AQ313" s="87"/>
      <c r="AR313" s="87"/>
      <c r="AS313" s="87"/>
      <c r="AT313" s="87"/>
      <c r="AU313" s="87"/>
      <c r="AV313" s="92" t="str">
        <f>HYPERLINK("https://pbs.twimg.com/profile_images/1674888328628391936/eLn6ucma_normal.jpg")</f>
        <v>https://pbs.twimg.com/profile_images/1674888328628391936/eLn6ucma_normal.jpg</v>
      </c>
      <c r="AW313" s="93" t="s">
        <v>18566</v>
      </c>
      <c r="AX313" s="93" t="s">
        <v>18566</v>
      </c>
      <c r="AY313" s="87"/>
      <c r="AZ313" s="93" t="s">
        <v>22668</v>
      </c>
      <c r="BA313" s="93" t="s">
        <v>18565</v>
      </c>
      <c r="BB313" s="93" t="s">
        <v>22668</v>
      </c>
      <c r="BC313" s="93" t="s">
        <v>18565</v>
      </c>
      <c r="BD313" s="93" t="s">
        <v>22852</v>
      </c>
      <c r="BE313" s="87"/>
      <c r="BF313" s="87"/>
      <c r="BG313" s="87"/>
      <c r="BH313" s="87"/>
      <c r="BI313" s="87"/>
    </row>
    <row r="314" spans="1:61" x14ac:dyDescent="0.25">
      <c r="A314" s="63" t="s">
        <v>328</v>
      </c>
      <c r="B314" s="63" t="s">
        <v>328</v>
      </c>
      <c r="C314" s="64"/>
      <c r="D314" s="65"/>
      <c r="E314" s="66"/>
      <c r="F314" s="67"/>
      <c r="G314" s="64"/>
      <c r="H314" s="68"/>
      <c r="I314" s="69"/>
      <c r="J314" s="69"/>
      <c r="K314" s="32"/>
      <c r="L314" s="76">
        <v>314</v>
      </c>
      <c r="M314" s="76"/>
      <c r="N314" s="71"/>
      <c r="O314" s="87" t="s">
        <v>179</v>
      </c>
      <c r="P314" s="90">
        <v>45170.538090277776</v>
      </c>
      <c r="Q314" s="87" t="s">
        <v>2151</v>
      </c>
      <c r="R314" s="87">
        <v>0</v>
      </c>
      <c r="S314" s="87">
        <v>0</v>
      </c>
      <c r="T314" s="87">
        <v>0</v>
      </c>
      <c r="U314" s="87">
        <v>0</v>
      </c>
      <c r="V314" s="87">
        <v>16</v>
      </c>
      <c r="W314" s="93" t="s">
        <v>6085</v>
      </c>
      <c r="X314" s="92" t="str">
        <f>HYPERLINK("https://voxcog.com/tendencias-e-inovacoes-em-business-intelligence/")</f>
        <v>https://voxcog.com/tendencias-e-inovacoes-em-business-intelligence/</v>
      </c>
      <c r="Y314" s="87" t="s">
        <v>8391</v>
      </c>
      <c r="Z314" s="87"/>
      <c r="AA314" s="87"/>
      <c r="AB314" s="87"/>
      <c r="AC314" s="93" t="s">
        <v>11459</v>
      </c>
      <c r="AD314" s="87" t="s">
        <v>11519</v>
      </c>
      <c r="AE314" s="92" t="str">
        <f>HYPERLINK("https://twitter.com/voxcognitiva/status/1697593862309458340")</f>
        <v>https://twitter.com/voxcognitiva/status/1697593862309458340</v>
      </c>
      <c r="AF314" s="90">
        <v>45170.538090277776</v>
      </c>
      <c r="AG314" s="99">
        <v>45170</v>
      </c>
      <c r="AH314" s="93" t="s">
        <v>11827</v>
      </c>
      <c r="AI314" s="87" t="b">
        <v>0</v>
      </c>
      <c r="AJ314" s="87"/>
      <c r="AK314" s="87"/>
      <c r="AL314" s="87"/>
      <c r="AM314" s="87"/>
      <c r="AN314" s="87"/>
      <c r="AO314" s="87"/>
      <c r="AP314" s="87"/>
      <c r="AQ314" s="87"/>
      <c r="AR314" s="87"/>
      <c r="AS314" s="87"/>
      <c r="AT314" s="87"/>
      <c r="AU314" s="87"/>
      <c r="AV314" s="92" t="str">
        <f>HYPERLINK("https://pbs.twimg.com/profile_images/1249719351491641344/45rcxpB-_normal.jpg")</f>
        <v>https://pbs.twimg.com/profile_images/1249719351491641344/45rcxpB-_normal.jpg</v>
      </c>
      <c r="AW314" s="93" t="s">
        <v>18567</v>
      </c>
      <c r="AX314" s="93" t="s">
        <v>18567</v>
      </c>
      <c r="AY314" s="87"/>
      <c r="AZ314" s="93" t="s">
        <v>22668</v>
      </c>
      <c r="BA314" s="93" t="s">
        <v>22668</v>
      </c>
      <c r="BB314" s="93" t="s">
        <v>22668</v>
      </c>
      <c r="BC314" s="93" t="s">
        <v>18567</v>
      </c>
      <c r="BD314" s="93" t="s">
        <v>22853</v>
      </c>
      <c r="BE314" s="87"/>
      <c r="BF314" s="87"/>
      <c r="BG314" s="87"/>
      <c r="BH314" s="87"/>
      <c r="BI314" s="87"/>
    </row>
    <row r="315" spans="1:61" x14ac:dyDescent="0.25">
      <c r="A315" s="63" t="s">
        <v>329</v>
      </c>
      <c r="B315" s="63" t="s">
        <v>1630</v>
      </c>
      <c r="C315" s="64"/>
      <c r="D315" s="65"/>
      <c r="E315" s="66"/>
      <c r="F315" s="67"/>
      <c r="G315" s="64"/>
      <c r="H315" s="68"/>
      <c r="I315" s="69"/>
      <c r="J315" s="69"/>
      <c r="K315" s="32"/>
      <c r="L315" s="76">
        <v>315</v>
      </c>
      <c r="M315" s="76"/>
      <c r="N315" s="71"/>
      <c r="O315" s="87" t="s">
        <v>1839</v>
      </c>
      <c r="P315" s="90">
        <v>45191.830312500002</v>
      </c>
      <c r="Q315" s="87" t="s">
        <v>2152</v>
      </c>
      <c r="R315" s="87">
        <v>0</v>
      </c>
      <c r="S315" s="87">
        <v>0</v>
      </c>
      <c r="T315" s="87">
        <v>0</v>
      </c>
      <c r="U315" s="87">
        <v>0</v>
      </c>
      <c r="V315" s="87">
        <v>12</v>
      </c>
      <c r="W315" s="93" t="s">
        <v>6086</v>
      </c>
      <c r="X315" s="92" t="str">
        <f>HYPERLINK("https://www.gov.br/sudeco/pt-br/cuiaba-mt-recebe-caravana-da-sudeco-nesta-sexta")</f>
        <v>https://www.gov.br/sudeco/pt-br/cuiaba-mt-recebe-caravana-da-sudeco-nesta-sexta</v>
      </c>
      <c r="Y315" s="87" t="s">
        <v>8392</v>
      </c>
      <c r="Z315" s="87" t="s">
        <v>8565</v>
      </c>
      <c r="AA315" s="87"/>
      <c r="AB315" s="87"/>
      <c r="AC315" s="93" t="s">
        <v>11457</v>
      </c>
      <c r="AD315" s="87" t="s">
        <v>11519</v>
      </c>
      <c r="AE315" s="92" t="str">
        <f>HYPERLINK("https://twitter.com/sudecobr/status/1705309907149283646")</f>
        <v>https://twitter.com/sudecobr/status/1705309907149283646</v>
      </c>
      <c r="AF315" s="90">
        <v>45191.830312500002</v>
      </c>
      <c r="AG315" s="99">
        <v>45191</v>
      </c>
      <c r="AH315" s="93" t="s">
        <v>11828</v>
      </c>
      <c r="AI315" s="87" t="b">
        <v>0</v>
      </c>
      <c r="AJ315" s="87"/>
      <c r="AK315" s="87"/>
      <c r="AL315" s="87"/>
      <c r="AM315" s="87"/>
      <c r="AN315" s="87"/>
      <c r="AO315" s="87"/>
      <c r="AP315" s="87"/>
      <c r="AQ315" s="87"/>
      <c r="AR315" s="87"/>
      <c r="AS315" s="87"/>
      <c r="AT315" s="87"/>
      <c r="AU315" s="87"/>
      <c r="AV315" s="92" t="str">
        <f>HYPERLINK("https://pbs.twimg.com/profile_images/1660673433485574144/KbzTHF3h_normal.jpg")</f>
        <v>https://pbs.twimg.com/profile_images/1660673433485574144/KbzTHF3h_normal.jpg</v>
      </c>
      <c r="AW315" s="93" t="s">
        <v>18568</v>
      </c>
      <c r="AX315" s="93" t="s">
        <v>18568</v>
      </c>
      <c r="AY315" s="87"/>
      <c r="AZ315" s="93" t="s">
        <v>22668</v>
      </c>
      <c r="BA315" s="93" t="s">
        <v>22668</v>
      </c>
      <c r="BB315" s="93" t="s">
        <v>22668</v>
      </c>
      <c r="BC315" s="93" t="s">
        <v>18568</v>
      </c>
      <c r="BD315" s="93" t="s">
        <v>22854</v>
      </c>
      <c r="BE315" s="87"/>
      <c r="BF315" s="87"/>
      <c r="BG315" s="87"/>
      <c r="BH315" s="87"/>
      <c r="BI315" s="87"/>
    </row>
    <row r="316" spans="1:61" x14ac:dyDescent="0.25">
      <c r="A316" s="63" t="s">
        <v>329</v>
      </c>
      <c r="B316" s="63" t="s">
        <v>1630</v>
      </c>
      <c r="C316" s="64"/>
      <c r="D316" s="65"/>
      <c r="E316" s="66"/>
      <c r="F316" s="67"/>
      <c r="G316" s="64"/>
      <c r="H316" s="68"/>
      <c r="I316" s="69"/>
      <c r="J316" s="69"/>
      <c r="K316" s="32"/>
      <c r="L316" s="76">
        <v>316</v>
      </c>
      <c r="M316" s="76"/>
      <c r="N316" s="71"/>
      <c r="O316" s="87" t="s">
        <v>1839</v>
      </c>
      <c r="P316" s="90">
        <v>45191.829560185186</v>
      </c>
      <c r="Q316" s="87" t="s">
        <v>2153</v>
      </c>
      <c r="R316" s="87">
        <v>0</v>
      </c>
      <c r="S316" s="87">
        <v>0</v>
      </c>
      <c r="T316" s="87">
        <v>0</v>
      </c>
      <c r="U316" s="87">
        <v>0</v>
      </c>
      <c r="V316" s="87">
        <v>26</v>
      </c>
      <c r="W316" s="93" t="s">
        <v>6086</v>
      </c>
      <c r="X316" s="92" t="str">
        <f>HYPERLINK("https://www.gov.br/sudeco/pt-br/cuiaba-mt-recebe-caravana-da-sudeco-nesta-sexta")</f>
        <v>https://www.gov.br/sudeco/pt-br/cuiaba-mt-recebe-caravana-da-sudeco-nesta-sexta</v>
      </c>
      <c r="Y316" s="87" t="s">
        <v>8392</v>
      </c>
      <c r="Z316" s="87" t="s">
        <v>8565</v>
      </c>
      <c r="AA316" s="87" t="s">
        <v>8844</v>
      </c>
      <c r="AB316" s="87" t="s">
        <v>11449</v>
      </c>
      <c r="AC316" s="93" t="s">
        <v>11457</v>
      </c>
      <c r="AD316" s="87" t="s">
        <v>11519</v>
      </c>
      <c r="AE316" s="92" t="str">
        <f>HYPERLINK("https://twitter.com/sudecobr/status/1705309634037227885")</f>
        <v>https://twitter.com/sudecobr/status/1705309634037227885</v>
      </c>
      <c r="AF316" s="90">
        <v>45191.829560185186</v>
      </c>
      <c r="AG316" s="99">
        <v>45191</v>
      </c>
      <c r="AH316" s="93" t="s">
        <v>11829</v>
      </c>
      <c r="AI316" s="87" t="b">
        <v>0</v>
      </c>
      <c r="AJ316" s="87"/>
      <c r="AK316" s="87"/>
      <c r="AL316" s="87"/>
      <c r="AM316" s="87"/>
      <c r="AN316" s="87"/>
      <c r="AO316" s="87"/>
      <c r="AP316" s="87"/>
      <c r="AQ316" s="87" t="s">
        <v>15657</v>
      </c>
      <c r="AR316" s="87"/>
      <c r="AS316" s="87"/>
      <c r="AT316" s="87"/>
      <c r="AU316" s="87"/>
      <c r="AV316" s="92" t="str">
        <f>HYPERLINK("https://pbs.twimg.com/media/F6p52QxXkAANj4N.jpg")</f>
        <v>https://pbs.twimg.com/media/F6p52QxXkAANj4N.jpg</v>
      </c>
      <c r="AW316" s="93" t="s">
        <v>18569</v>
      </c>
      <c r="AX316" s="93" t="s">
        <v>18569</v>
      </c>
      <c r="AY316" s="87"/>
      <c r="AZ316" s="93" t="s">
        <v>22668</v>
      </c>
      <c r="BA316" s="93" t="s">
        <v>22668</v>
      </c>
      <c r="BB316" s="93" t="s">
        <v>22668</v>
      </c>
      <c r="BC316" s="93" t="s">
        <v>18569</v>
      </c>
      <c r="BD316" s="93" t="s">
        <v>22854</v>
      </c>
      <c r="BE316" s="87"/>
      <c r="BF316" s="87"/>
      <c r="BG316" s="87"/>
      <c r="BH316" s="87"/>
      <c r="BI316" s="87"/>
    </row>
    <row r="317" spans="1:61" x14ac:dyDescent="0.25">
      <c r="A317" s="63" t="s">
        <v>330</v>
      </c>
      <c r="B317" s="63" t="s">
        <v>330</v>
      </c>
      <c r="C317" s="64"/>
      <c r="D317" s="65"/>
      <c r="E317" s="66"/>
      <c r="F317" s="67"/>
      <c r="G317" s="64"/>
      <c r="H317" s="68"/>
      <c r="I317" s="69"/>
      <c r="J317" s="69"/>
      <c r="K317" s="32"/>
      <c r="L317" s="76">
        <v>317</v>
      </c>
      <c r="M317" s="76"/>
      <c r="N317" s="71"/>
      <c r="O317" s="87" t="s">
        <v>179</v>
      </c>
      <c r="P317" s="90">
        <v>45111.781354166669</v>
      </c>
      <c r="Q317" s="87" t="s">
        <v>2154</v>
      </c>
      <c r="R317" s="87">
        <v>0</v>
      </c>
      <c r="S317" s="87">
        <v>2</v>
      </c>
      <c r="T317" s="87">
        <v>0</v>
      </c>
      <c r="U317" s="87">
        <v>0</v>
      </c>
      <c r="V317" s="87">
        <v>55</v>
      </c>
      <c r="W317" s="93" t="s">
        <v>6087</v>
      </c>
      <c r="X317" s="87"/>
      <c r="Y317" s="87"/>
      <c r="Z317" s="87"/>
      <c r="AA317" s="87" t="s">
        <v>8845</v>
      </c>
      <c r="AB317" s="87" t="s">
        <v>11448</v>
      </c>
      <c r="AC317" s="93" t="s">
        <v>11460</v>
      </c>
      <c r="AD317" s="87" t="s">
        <v>11519</v>
      </c>
      <c r="AE317" s="92" t="str">
        <f>HYPERLINK("https://twitter.com/thanerm/status/1676301135500529665")</f>
        <v>https://twitter.com/thanerm/status/1676301135500529665</v>
      </c>
      <c r="AF317" s="90">
        <v>45111.781354166669</v>
      </c>
      <c r="AG317" s="99">
        <v>45111</v>
      </c>
      <c r="AH317" s="93" t="s">
        <v>11830</v>
      </c>
      <c r="AI317" s="87" t="b">
        <v>0</v>
      </c>
      <c r="AJ317" s="87"/>
      <c r="AK317" s="87"/>
      <c r="AL317" s="87"/>
      <c r="AM317" s="87"/>
      <c r="AN317" s="87"/>
      <c r="AO317" s="87"/>
      <c r="AP317" s="87"/>
      <c r="AQ317" s="87" t="s">
        <v>15658</v>
      </c>
      <c r="AR317" s="87"/>
      <c r="AS317" s="87"/>
      <c r="AT317" s="87"/>
      <c r="AU317" s="87"/>
      <c r="AV317" s="92" t="str">
        <f>HYPERLINK("https://pbs.twimg.com/media/F0Nq_-XWcBsPF-S.jpg")</f>
        <v>https://pbs.twimg.com/media/F0Nq_-XWcBsPF-S.jpg</v>
      </c>
      <c r="AW317" s="93" t="s">
        <v>18570</v>
      </c>
      <c r="AX317" s="93" t="s">
        <v>18570</v>
      </c>
      <c r="AY317" s="87"/>
      <c r="AZ317" s="93" t="s">
        <v>22668</v>
      </c>
      <c r="BA317" s="93" t="s">
        <v>22668</v>
      </c>
      <c r="BB317" s="93" t="s">
        <v>22668</v>
      </c>
      <c r="BC317" s="93" t="s">
        <v>18570</v>
      </c>
      <c r="BD317" s="93" t="s">
        <v>22855</v>
      </c>
      <c r="BE317" s="87"/>
      <c r="BF317" s="87"/>
      <c r="BG317" s="87"/>
      <c r="BH317" s="87"/>
      <c r="BI317" s="87"/>
    </row>
    <row r="318" spans="1:61" x14ac:dyDescent="0.25">
      <c r="A318" s="63" t="s">
        <v>330</v>
      </c>
      <c r="B318" s="63" t="s">
        <v>330</v>
      </c>
      <c r="C318" s="64"/>
      <c r="D318" s="65"/>
      <c r="E318" s="66"/>
      <c r="F318" s="67"/>
      <c r="G318" s="64"/>
      <c r="H318" s="68"/>
      <c r="I318" s="69"/>
      <c r="J318" s="69"/>
      <c r="K318" s="32"/>
      <c r="L318" s="76">
        <v>318</v>
      </c>
      <c r="M318" s="76"/>
      <c r="N318" s="71"/>
      <c r="O318" s="87" t="s">
        <v>179</v>
      </c>
      <c r="P318" s="90">
        <v>45114.625555555554</v>
      </c>
      <c r="Q318" s="87" t="s">
        <v>2155</v>
      </c>
      <c r="R318" s="87">
        <v>0</v>
      </c>
      <c r="S318" s="87">
        <v>0</v>
      </c>
      <c r="T318" s="87">
        <v>0</v>
      </c>
      <c r="U318" s="87">
        <v>0</v>
      </c>
      <c r="V318" s="87">
        <v>4</v>
      </c>
      <c r="W318" s="93" t="s">
        <v>6088</v>
      </c>
      <c r="X318" s="87"/>
      <c r="Y318" s="87"/>
      <c r="Z318" s="87"/>
      <c r="AA318" s="87" t="s">
        <v>8846</v>
      </c>
      <c r="AB318" s="87" t="s">
        <v>11448</v>
      </c>
      <c r="AC318" s="93" t="s">
        <v>11460</v>
      </c>
      <c r="AD318" s="87" t="s">
        <v>11519</v>
      </c>
      <c r="AE318" s="92" t="str">
        <f>HYPERLINK("https://twitter.com/thanerm/status/1677331841064288259")</f>
        <v>https://twitter.com/thanerm/status/1677331841064288259</v>
      </c>
      <c r="AF318" s="90">
        <v>45114.625555555554</v>
      </c>
      <c r="AG318" s="99">
        <v>45114</v>
      </c>
      <c r="AH318" s="93" t="s">
        <v>11831</v>
      </c>
      <c r="AI318" s="87" t="b">
        <v>0</v>
      </c>
      <c r="AJ318" s="87"/>
      <c r="AK318" s="87"/>
      <c r="AL318" s="87"/>
      <c r="AM318" s="87"/>
      <c r="AN318" s="87"/>
      <c r="AO318" s="87"/>
      <c r="AP318" s="87"/>
      <c r="AQ318" s="87" t="s">
        <v>15659</v>
      </c>
      <c r="AR318" s="87"/>
      <c r="AS318" s="87"/>
      <c r="AT318" s="87"/>
      <c r="AU318" s="87"/>
      <c r="AV318" s="92" t="str">
        <f>HYPERLINK("https://pbs.twimg.com/media/F0cUa5JWAAIq9kl.jpg")</f>
        <v>https://pbs.twimg.com/media/F0cUa5JWAAIq9kl.jpg</v>
      </c>
      <c r="AW318" s="93" t="s">
        <v>18571</v>
      </c>
      <c r="AX318" s="93" t="s">
        <v>18571</v>
      </c>
      <c r="AY318" s="87"/>
      <c r="AZ318" s="93" t="s">
        <v>22668</v>
      </c>
      <c r="BA318" s="93" t="s">
        <v>22668</v>
      </c>
      <c r="BB318" s="93" t="s">
        <v>22668</v>
      </c>
      <c r="BC318" s="93" t="s">
        <v>18571</v>
      </c>
      <c r="BD318" s="93" t="s">
        <v>22855</v>
      </c>
      <c r="BE318" s="87"/>
      <c r="BF318" s="87"/>
      <c r="BG318" s="87"/>
      <c r="BH318" s="87"/>
      <c r="BI318" s="87"/>
    </row>
    <row r="319" spans="1:61" x14ac:dyDescent="0.25">
      <c r="A319" s="63" t="s">
        <v>330</v>
      </c>
      <c r="B319" s="63" t="s">
        <v>330</v>
      </c>
      <c r="C319" s="64"/>
      <c r="D319" s="65"/>
      <c r="E319" s="66"/>
      <c r="F319" s="67"/>
      <c r="G319" s="64"/>
      <c r="H319" s="68"/>
      <c r="I319" s="69"/>
      <c r="J319" s="69"/>
      <c r="K319" s="32"/>
      <c r="L319" s="76">
        <v>319</v>
      </c>
      <c r="M319" s="76"/>
      <c r="N319" s="71"/>
      <c r="O319" s="87" t="s">
        <v>179</v>
      </c>
      <c r="P319" s="90">
        <v>45118.781423611108</v>
      </c>
      <c r="Q319" s="87" t="s">
        <v>2156</v>
      </c>
      <c r="R319" s="87">
        <v>0</v>
      </c>
      <c r="S319" s="87">
        <v>0</v>
      </c>
      <c r="T319" s="87">
        <v>0</v>
      </c>
      <c r="U319" s="87">
        <v>0</v>
      </c>
      <c r="V319" s="87">
        <v>14</v>
      </c>
      <c r="W319" s="93" t="s">
        <v>6087</v>
      </c>
      <c r="X319" s="87"/>
      <c r="Y319" s="87"/>
      <c r="Z319" s="87"/>
      <c r="AA319" s="87" t="s">
        <v>8847</v>
      </c>
      <c r="AB319" s="87" t="s">
        <v>11448</v>
      </c>
      <c r="AC319" s="93" t="s">
        <v>11460</v>
      </c>
      <c r="AD319" s="87" t="s">
        <v>11519</v>
      </c>
      <c r="AE319" s="92" t="str">
        <f>HYPERLINK("https://twitter.com/thanerm/status/1678837875008217088")</f>
        <v>https://twitter.com/thanerm/status/1678837875008217088</v>
      </c>
      <c r="AF319" s="90">
        <v>45118.781423611108</v>
      </c>
      <c r="AG319" s="99">
        <v>45118</v>
      </c>
      <c r="AH319" s="93" t="s">
        <v>11832</v>
      </c>
      <c r="AI319" s="87" t="b">
        <v>0</v>
      </c>
      <c r="AJ319" s="87"/>
      <c r="AK319" s="87"/>
      <c r="AL319" s="87"/>
      <c r="AM319" s="87"/>
      <c r="AN319" s="87"/>
      <c r="AO319" s="87"/>
      <c r="AP319" s="87"/>
      <c r="AQ319" s="87" t="s">
        <v>15660</v>
      </c>
      <c r="AR319" s="87"/>
      <c r="AS319" s="87"/>
      <c r="AT319" s="87"/>
      <c r="AU319" s="87"/>
      <c r="AV319" s="92" t="str">
        <f>HYPERLINK("https://pbs.twimg.com/media/F0xuJotXwAENkSF.jpg")</f>
        <v>https://pbs.twimg.com/media/F0xuJotXwAENkSF.jpg</v>
      </c>
      <c r="AW319" s="93" t="s">
        <v>18572</v>
      </c>
      <c r="AX319" s="93" t="s">
        <v>18572</v>
      </c>
      <c r="AY319" s="87"/>
      <c r="AZ319" s="93" t="s">
        <v>22668</v>
      </c>
      <c r="BA319" s="93" t="s">
        <v>22668</v>
      </c>
      <c r="BB319" s="93" t="s">
        <v>22668</v>
      </c>
      <c r="BC319" s="93" t="s">
        <v>18572</v>
      </c>
      <c r="BD319" s="93" t="s">
        <v>22855</v>
      </c>
      <c r="BE319" s="87"/>
      <c r="BF319" s="87"/>
      <c r="BG319" s="87"/>
      <c r="BH319" s="87"/>
      <c r="BI319" s="87"/>
    </row>
    <row r="320" spans="1:61" x14ac:dyDescent="0.25">
      <c r="A320" s="63" t="s">
        <v>330</v>
      </c>
      <c r="B320" s="63" t="s">
        <v>330</v>
      </c>
      <c r="C320" s="64"/>
      <c r="D320" s="65"/>
      <c r="E320" s="66"/>
      <c r="F320" s="67"/>
      <c r="G320" s="64"/>
      <c r="H320" s="68"/>
      <c r="I320" s="69"/>
      <c r="J320" s="69"/>
      <c r="K320" s="32"/>
      <c r="L320" s="76">
        <v>320</v>
      </c>
      <c r="M320" s="76"/>
      <c r="N320" s="71"/>
      <c r="O320" s="87" t="s">
        <v>179</v>
      </c>
      <c r="P320" s="90">
        <v>45118.771180555559</v>
      </c>
      <c r="Q320" s="87" t="s">
        <v>2157</v>
      </c>
      <c r="R320" s="87">
        <v>0</v>
      </c>
      <c r="S320" s="87">
        <v>0</v>
      </c>
      <c r="T320" s="87">
        <v>0</v>
      </c>
      <c r="U320" s="87">
        <v>0</v>
      </c>
      <c r="V320" s="87">
        <v>6</v>
      </c>
      <c r="W320" s="93" t="s">
        <v>6088</v>
      </c>
      <c r="X320" s="87"/>
      <c r="Y320" s="87"/>
      <c r="Z320" s="87"/>
      <c r="AA320" s="87" t="s">
        <v>8848</v>
      </c>
      <c r="AB320" s="87" t="s">
        <v>11448</v>
      </c>
      <c r="AC320" s="93" t="s">
        <v>11460</v>
      </c>
      <c r="AD320" s="87" t="s">
        <v>11519</v>
      </c>
      <c r="AE320" s="92" t="str">
        <f>HYPERLINK("https://twitter.com/thanerm/status/1678834162654933025")</f>
        <v>https://twitter.com/thanerm/status/1678834162654933025</v>
      </c>
      <c r="AF320" s="90">
        <v>45118.771180555559</v>
      </c>
      <c r="AG320" s="99">
        <v>45118</v>
      </c>
      <c r="AH320" s="93" t="s">
        <v>11833</v>
      </c>
      <c r="AI320" s="87" t="b">
        <v>0</v>
      </c>
      <c r="AJ320" s="87"/>
      <c r="AK320" s="87"/>
      <c r="AL320" s="87"/>
      <c r="AM320" s="87"/>
      <c r="AN320" s="87"/>
      <c r="AO320" s="87"/>
      <c r="AP320" s="87"/>
      <c r="AQ320" s="87" t="s">
        <v>15661</v>
      </c>
      <c r="AR320" s="87"/>
      <c r="AS320" s="87"/>
      <c r="AT320" s="87"/>
      <c r="AU320" s="87"/>
      <c r="AV320" s="92" t="str">
        <f>HYPERLINK("https://pbs.twimg.com/media/F0xqxg5WcAE8MUC.jpg")</f>
        <v>https://pbs.twimg.com/media/F0xqxg5WcAE8MUC.jpg</v>
      </c>
      <c r="AW320" s="93" t="s">
        <v>18573</v>
      </c>
      <c r="AX320" s="93" t="s">
        <v>18573</v>
      </c>
      <c r="AY320" s="87"/>
      <c r="AZ320" s="93" t="s">
        <v>22668</v>
      </c>
      <c r="BA320" s="93" t="s">
        <v>22668</v>
      </c>
      <c r="BB320" s="93" t="s">
        <v>22668</v>
      </c>
      <c r="BC320" s="93" t="s">
        <v>18573</v>
      </c>
      <c r="BD320" s="93" t="s">
        <v>22855</v>
      </c>
      <c r="BE320" s="87"/>
      <c r="BF320" s="87"/>
      <c r="BG320" s="87"/>
      <c r="BH320" s="87"/>
      <c r="BI320" s="87"/>
    </row>
    <row r="321" spans="1:61" x14ac:dyDescent="0.25">
      <c r="A321" s="63" t="s">
        <v>330</v>
      </c>
      <c r="B321" s="63" t="s">
        <v>330</v>
      </c>
      <c r="C321" s="64"/>
      <c r="D321" s="65"/>
      <c r="E321" s="66"/>
      <c r="F321" s="67"/>
      <c r="G321" s="64"/>
      <c r="H321" s="68"/>
      <c r="I321" s="69"/>
      <c r="J321" s="69"/>
      <c r="K321" s="32"/>
      <c r="L321" s="76">
        <v>321</v>
      </c>
      <c r="M321" s="76"/>
      <c r="N321" s="71"/>
      <c r="O321" s="87" t="s">
        <v>179</v>
      </c>
      <c r="P321" s="90">
        <v>45118.771157407406</v>
      </c>
      <c r="Q321" s="87" t="s">
        <v>2158</v>
      </c>
      <c r="R321" s="87">
        <v>0</v>
      </c>
      <c r="S321" s="87">
        <v>0</v>
      </c>
      <c r="T321" s="87">
        <v>0</v>
      </c>
      <c r="U321" s="87">
        <v>0</v>
      </c>
      <c r="V321" s="87">
        <v>5</v>
      </c>
      <c r="W321" s="93" t="s">
        <v>6088</v>
      </c>
      <c r="X321" s="87"/>
      <c r="Y321" s="87"/>
      <c r="Z321" s="87"/>
      <c r="AA321" s="87" t="s">
        <v>8849</v>
      </c>
      <c r="AB321" s="87" t="s">
        <v>11448</v>
      </c>
      <c r="AC321" s="93" t="s">
        <v>11460</v>
      </c>
      <c r="AD321" s="87" t="s">
        <v>11519</v>
      </c>
      <c r="AE321" s="92" t="str">
        <f>HYPERLINK("https://twitter.com/thanerm/status/1678834156854210577")</f>
        <v>https://twitter.com/thanerm/status/1678834156854210577</v>
      </c>
      <c r="AF321" s="90">
        <v>45118.771157407406</v>
      </c>
      <c r="AG321" s="99">
        <v>45118</v>
      </c>
      <c r="AH321" s="93" t="s">
        <v>11834</v>
      </c>
      <c r="AI321" s="87" t="b">
        <v>0</v>
      </c>
      <c r="AJ321" s="87"/>
      <c r="AK321" s="87"/>
      <c r="AL321" s="87"/>
      <c r="AM321" s="87"/>
      <c r="AN321" s="87"/>
      <c r="AO321" s="87"/>
      <c r="AP321" s="87"/>
      <c r="AQ321" s="87" t="s">
        <v>15662</v>
      </c>
      <c r="AR321" s="87"/>
      <c r="AS321" s="87"/>
      <c r="AT321" s="87"/>
      <c r="AU321" s="87"/>
      <c r="AV321" s="92" t="str">
        <f>HYPERLINK("https://pbs.twimg.com/media/F0xqxMzWcBcizGW.jpg")</f>
        <v>https://pbs.twimg.com/media/F0xqxMzWcBcizGW.jpg</v>
      </c>
      <c r="AW321" s="93" t="s">
        <v>18574</v>
      </c>
      <c r="AX321" s="93" t="s">
        <v>18574</v>
      </c>
      <c r="AY321" s="87"/>
      <c r="AZ321" s="93" t="s">
        <v>22668</v>
      </c>
      <c r="BA321" s="93" t="s">
        <v>22668</v>
      </c>
      <c r="BB321" s="93" t="s">
        <v>22668</v>
      </c>
      <c r="BC321" s="93" t="s">
        <v>18574</v>
      </c>
      <c r="BD321" s="93" t="s">
        <v>22855</v>
      </c>
      <c r="BE321" s="87"/>
      <c r="BF321" s="87"/>
      <c r="BG321" s="87"/>
      <c r="BH321" s="87"/>
      <c r="BI321" s="87"/>
    </row>
    <row r="322" spans="1:61" x14ac:dyDescent="0.25">
      <c r="A322" s="63" t="s">
        <v>330</v>
      </c>
      <c r="B322" s="63" t="s">
        <v>330</v>
      </c>
      <c r="C322" s="64"/>
      <c r="D322" s="65"/>
      <c r="E322" s="66"/>
      <c r="F322" s="67"/>
      <c r="G322" s="64"/>
      <c r="H322" s="68"/>
      <c r="I322" s="69"/>
      <c r="J322" s="69"/>
      <c r="K322" s="32"/>
      <c r="L322" s="76">
        <v>322</v>
      </c>
      <c r="M322" s="76"/>
      <c r="N322" s="71"/>
      <c r="O322" s="87" t="s">
        <v>179</v>
      </c>
      <c r="P322" s="90">
        <v>45118.204930555556</v>
      </c>
      <c r="Q322" s="87" t="s">
        <v>2159</v>
      </c>
      <c r="R322" s="87">
        <v>0</v>
      </c>
      <c r="S322" s="87">
        <v>0</v>
      </c>
      <c r="T322" s="87">
        <v>0</v>
      </c>
      <c r="U322" s="87">
        <v>0</v>
      </c>
      <c r="V322" s="87">
        <v>74</v>
      </c>
      <c r="W322" s="93" t="s">
        <v>6089</v>
      </c>
      <c r="X322" s="87"/>
      <c r="Y322" s="87"/>
      <c r="Z322" s="87"/>
      <c r="AA322" s="87" t="s">
        <v>8850</v>
      </c>
      <c r="AB322" s="87" t="s">
        <v>11447</v>
      </c>
      <c r="AC322" s="93" t="s">
        <v>11460</v>
      </c>
      <c r="AD322" s="87" t="s">
        <v>11519</v>
      </c>
      <c r="AE322" s="92" t="str">
        <f>HYPERLINK("https://twitter.com/thanerm/status/1678628960702169088")</f>
        <v>https://twitter.com/thanerm/status/1678628960702169088</v>
      </c>
      <c r="AF322" s="90">
        <v>45118.204930555556</v>
      </c>
      <c r="AG322" s="99">
        <v>45118</v>
      </c>
      <c r="AH322" s="93" t="s">
        <v>11835</v>
      </c>
      <c r="AI322" s="87" t="b">
        <v>0</v>
      </c>
      <c r="AJ322" s="87"/>
      <c r="AK322" s="87"/>
      <c r="AL322" s="87"/>
      <c r="AM322" s="87"/>
      <c r="AN322" s="87"/>
      <c r="AO322" s="87"/>
      <c r="AP322" s="87"/>
      <c r="AQ322" s="87" t="s">
        <v>15663</v>
      </c>
      <c r="AR322" s="87">
        <v>10633</v>
      </c>
      <c r="AS322" s="87"/>
      <c r="AT322" s="87"/>
      <c r="AU322" s="87"/>
      <c r="AV322" s="92" t="str">
        <f>HYPERLINK("https://pbs.twimg.com/ext_tw_video_thumb/1678628937390235650/pu/img/VFK-mlqf4gyjH9ti.jpg")</f>
        <v>https://pbs.twimg.com/ext_tw_video_thumb/1678628937390235650/pu/img/VFK-mlqf4gyjH9ti.jpg</v>
      </c>
      <c r="AW322" s="93" t="s">
        <v>18575</v>
      </c>
      <c r="AX322" s="93" t="s">
        <v>18575</v>
      </c>
      <c r="AY322" s="87"/>
      <c r="AZ322" s="93" t="s">
        <v>22668</v>
      </c>
      <c r="BA322" s="93" t="s">
        <v>22668</v>
      </c>
      <c r="BB322" s="93" t="s">
        <v>22668</v>
      </c>
      <c r="BC322" s="93" t="s">
        <v>18575</v>
      </c>
      <c r="BD322" s="93" t="s">
        <v>22855</v>
      </c>
      <c r="BE322" s="87"/>
      <c r="BF322" s="87"/>
      <c r="BG322" s="87"/>
      <c r="BH322" s="87"/>
      <c r="BI322" s="87"/>
    </row>
    <row r="323" spans="1:61" x14ac:dyDescent="0.25">
      <c r="A323" s="63" t="s">
        <v>330</v>
      </c>
      <c r="B323" s="63" t="s">
        <v>330</v>
      </c>
      <c r="C323" s="64"/>
      <c r="D323" s="65"/>
      <c r="E323" s="66"/>
      <c r="F323" s="67"/>
      <c r="G323" s="64"/>
      <c r="H323" s="68"/>
      <c r="I323" s="69"/>
      <c r="J323" s="69"/>
      <c r="K323" s="32"/>
      <c r="L323" s="76">
        <v>323</v>
      </c>
      <c r="M323" s="76"/>
      <c r="N323" s="71"/>
      <c r="O323" s="87" t="s">
        <v>179</v>
      </c>
      <c r="P323" s="90">
        <v>45111.204930555556</v>
      </c>
      <c r="Q323" s="87" t="s">
        <v>2160</v>
      </c>
      <c r="R323" s="87">
        <v>0</v>
      </c>
      <c r="S323" s="87">
        <v>1</v>
      </c>
      <c r="T323" s="87">
        <v>0</v>
      </c>
      <c r="U323" s="87">
        <v>0</v>
      </c>
      <c r="V323" s="87">
        <v>76</v>
      </c>
      <c r="W323" s="93" t="s">
        <v>6089</v>
      </c>
      <c r="X323" s="87"/>
      <c r="Y323" s="87"/>
      <c r="Z323" s="87"/>
      <c r="AA323" s="87" t="s">
        <v>8851</v>
      </c>
      <c r="AB323" s="87" t="s">
        <v>11447</v>
      </c>
      <c r="AC323" s="93" t="s">
        <v>11460</v>
      </c>
      <c r="AD323" s="87" t="s">
        <v>11519</v>
      </c>
      <c r="AE323" s="92" t="str">
        <f>HYPERLINK("https://twitter.com/thanerm/status/1676092245005549568")</f>
        <v>https://twitter.com/thanerm/status/1676092245005549568</v>
      </c>
      <c r="AF323" s="90">
        <v>45111.204930555556</v>
      </c>
      <c r="AG323" s="99">
        <v>45111</v>
      </c>
      <c r="AH323" s="93" t="s">
        <v>11835</v>
      </c>
      <c r="AI323" s="87" t="b">
        <v>0</v>
      </c>
      <c r="AJ323" s="87"/>
      <c r="AK323" s="87"/>
      <c r="AL323" s="87"/>
      <c r="AM323" s="87"/>
      <c r="AN323" s="87"/>
      <c r="AO323" s="87"/>
      <c r="AP323" s="87"/>
      <c r="AQ323" s="87" t="s">
        <v>15664</v>
      </c>
      <c r="AR323" s="87">
        <v>10633</v>
      </c>
      <c r="AS323" s="87"/>
      <c r="AT323" s="87"/>
      <c r="AU323" s="87"/>
      <c r="AV323" s="92" t="str">
        <f>HYPERLINK("https://pbs.twimg.com/ext_tw_video_thumb/1676092221865488385/pu/img/n-yvXCa5A5aQtSPb.jpg")</f>
        <v>https://pbs.twimg.com/ext_tw_video_thumb/1676092221865488385/pu/img/n-yvXCa5A5aQtSPb.jpg</v>
      </c>
      <c r="AW323" s="93" t="s">
        <v>18576</v>
      </c>
      <c r="AX323" s="93" t="s">
        <v>18576</v>
      </c>
      <c r="AY323" s="87"/>
      <c r="AZ323" s="93" t="s">
        <v>22668</v>
      </c>
      <c r="BA323" s="93" t="s">
        <v>22668</v>
      </c>
      <c r="BB323" s="93" t="s">
        <v>22668</v>
      </c>
      <c r="BC323" s="93" t="s">
        <v>18576</v>
      </c>
      <c r="BD323" s="93" t="s">
        <v>22855</v>
      </c>
      <c r="BE323" s="87"/>
      <c r="BF323" s="87"/>
      <c r="BG323" s="87"/>
      <c r="BH323" s="87"/>
      <c r="BI323" s="87"/>
    </row>
    <row r="324" spans="1:61" x14ac:dyDescent="0.25">
      <c r="A324" s="63" t="s">
        <v>330</v>
      </c>
      <c r="B324" s="63" t="s">
        <v>330</v>
      </c>
      <c r="C324" s="64"/>
      <c r="D324" s="65"/>
      <c r="E324" s="66"/>
      <c r="F324" s="67"/>
      <c r="G324" s="64"/>
      <c r="H324" s="68"/>
      <c r="I324" s="69"/>
      <c r="J324" s="69"/>
      <c r="K324" s="32"/>
      <c r="L324" s="76">
        <v>324</v>
      </c>
      <c r="M324" s="76"/>
      <c r="N324" s="71"/>
      <c r="O324" s="87" t="s">
        <v>179</v>
      </c>
      <c r="P324" s="90">
        <v>45136.694513888891</v>
      </c>
      <c r="Q324" s="87" t="s">
        <v>2161</v>
      </c>
      <c r="R324" s="87">
        <v>0</v>
      </c>
      <c r="S324" s="87">
        <v>0</v>
      </c>
      <c r="T324" s="87">
        <v>0</v>
      </c>
      <c r="U324" s="87">
        <v>0</v>
      </c>
      <c r="V324" s="87">
        <v>7</v>
      </c>
      <c r="W324" s="93" t="s">
        <v>6088</v>
      </c>
      <c r="X324" s="87"/>
      <c r="Y324" s="87"/>
      <c r="Z324" s="87"/>
      <c r="AA324" s="87" t="s">
        <v>8852</v>
      </c>
      <c r="AB324" s="87" t="s">
        <v>11448</v>
      </c>
      <c r="AC324" s="93" t="s">
        <v>11460</v>
      </c>
      <c r="AD324" s="87" t="s">
        <v>11519</v>
      </c>
      <c r="AE324" s="92" t="str">
        <f>HYPERLINK("https://twitter.com/thanerm/status/1685329364194377728")</f>
        <v>https://twitter.com/thanerm/status/1685329364194377728</v>
      </c>
      <c r="AF324" s="90">
        <v>45136.694513888891</v>
      </c>
      <c r="AG324" s="99">
        <v>45136</v>
      </c>
      <c r="AH324" s="93" t="s">
        <v>11836</v>
      </c>
      <c r="AI324" s="87" t="b">
        <v>0</v>
      </c>
      <c r="AJ324" s="87"/>
      <c r="AK324" s="87"/>
      <c r="AL324" s="87"/>
      <c r="AM324" s="87"/>
      <c r="AN324" s="87"/>
      <c r="AO324" s="87"/>
      <c r="AP324" s="87"/>
      <c r="AQ324" s="87" t="s">
        <v>15665</v>
      </c>
      <c r="AR324" s="87"/>
      <c r="AS324" s="87"/>
      <c r="AT324" s="87"/>
      <c r="AU324" s="87"/>
      <c r="AV324" s="92" t="str">
        <f>HYPERLINK("https://pbs.twimg.com/media/F2N-IB0XsAAJjLa.jpg")</f>
        <v>https://pbs.twimg.com/media/F2N-IB0XsAAJjLa.jpg</v>
      </c>
      <c r="AW324" s="93" t="s">
        <v>18577</v>
      </c>
      <c r="AX324" s="93" t="s">
        <v>18577</v>
      </c>
      <c r="AY324" s="87"/>
      <c r="AZ324" s="93" t="s">
        <v>22668</v>
      </c>
      <c r="BA324" s="93" t="s">
        <v>22668</v>
      </c>
      <c r="BB324" s="93" t="s">
        <v>22668</v>
      </c>
      <c r="BC324" s="93" t="s">
        <v>18577</v>
      </c>
      <c r="BD324" s="93" t="s">
        <v>22855</v>
      </c>
      <c r="BE324" s="87"/>
      <c r="BF324" s="87"/>
      <c r="BG324" s="87"/>
      <c r="BH324" s="87"/>
      <c r="BI324" s="87"/>
    </row>
    <row r="325" spans="1:61" x14ac:dyDescent="0.25">
      <c r="A325" s="63" t="s">
        <v>331</v>
      </c>
      <c r="B325" s="63" t="s">
        <v>331</v>
      </c>
      <c r="C325" s="64"/>
      <c r="D325" s="65"/>
      <c r="E325" s="66"/>
      <c r="F325" s="67"/>
      <c r="G325" s="64"/>
      <c r="H325" s="68"/>
      <c r="I325" s="69"/>
      <c r="J325" s="69"/>
      <c r="K325" s="32"/>
      <c r="L325" s="76">
        <v>325</v>
      </c>
      <c r="M325" s="76"/>
      <c r="N325" s="71"/>
      <c r="O325" s="87" t="s">
        <v>179</v>
      </c>
      <c r="P325" s="90">
        <v>45163.572696759256</v>
      </c>
      <c r="Q325" s="87" t="s">
        <v>2162</v>
      </c>
      <c r="R325" s="87">
        <v>0</v>
      </c>
      <c r="S325" s="87">
        <v>3</v>
      </c>
      <c r="T325" s="87">
        <v>0</v>
      </c>
      <c r="U325" s="87">
        <v>0</v>
      </c>
      <c r="V325" s="87">
        <v>103</v>
      </c>
      <c r="W325" s="93" t="s">
        <v>6090</v>
      </c>
      <c r="X325" s="87"/>
      <c r="Y325" s="87"/>
      <c r="Z325" s="87"/>
      <c r="AA325" s="87" t="s">
        <v>8853</v>
      </c>
      <c r="AB325" s="87" t="s">
        <v>11448</v>
      </c>
      <c r="AC325" s="93" t="s">
        <v>11457</v>
      </c>
      <c r="AD325" s="87" t="s">
        <v>11519</v>
      </c>
      <c r="AE325" s="92" t="str">
        <f>HYPERLINK("https://twitter.com/infobr_sistemas/status/1695069691331396003")</f>
        <v>https://twitter.com/infobr_sistemas/status/1695069691331396003</v>
      </c>
      <c r="AF325" s="90">
        <v>45163.572696759256</v>
      </c>
      <c r="AG325" s="99">
        <v>45163</v>
      </c>
      <c r="AH325" s="93" t="s">
        <v>11837</v>
      </c>
      <c r="AI325" s="87" t="b">
        <v>0</v>
      </c>
      <c r="AJ325" s="87"/>
      <c r="AK325" s="87"/>
      <c r="AL325" s="87"/>
      <c r="AM325" s="87"/>
      <c r="AN325" s="87"/>
      <c r="AO325" s="87"/>
      <c r="AP325" s="87"/>
      <c r="AQ325" s="87" t="s">
        <v>15666</v>
      </c>
      <c r="AR325" s="87"/>
      <c r="AS325" s="87"/>
      <c r="AT325" s="87"/>
      <c r="AU325" s="87"/>
      <c r="AV325" s="92" t="str">
        <f>HYPERLINK("https://pbs.twimg.com/media/F4YYHt1WkAEXo5t.jpg")</f>
        <v>https://pbs.twimg.com/media/F4YYHt1WkAEXo5t.jpg</v>
      </c>
      <c r="AW325" s="93" t="s">
        <v>18578</v>
      </c>
      <c r="AX325" s="93" t="s">
        <v>18578</v>
      </c>
      <c r="AY325" s="87"/>
      <c r="AZ325" s="93" t="s">
        <v>22668</v>
      </c>
      <c r="BA325" s="93" t="s">
        <v>22668</v>
      </c>
      <c r="BB325" s="93" t="s">
        <v>22668</v>
      </c>
      <c r="BC325" s="93" t="s">
        <v>18578</v>
      </c>
      <c r="BD325" s="93" t="s">
        <v>22856</v>
      </c>
      <c r="BE325" s="87"/>
      <c r="BF325" s="87"/>
      <c r="BG325" s="87"/>
      <c r="BH325" s="87"/>
      <c r="BI325" s="87"/>
    </row>
    <row r="326" spans="1:61" x14ac:dyDescent="0.25">
      <c r="A326" s="63" t="s">
        <v>332</v>
      </c>
      <c r="B326" s="63" t="s">
        <v>332</v>
      </c>
      <c r="C326" s="64"/>
      <c r="D326" s="65"/>
      <c r="E326" s="66"/>
      <c r="F326" s="67"/>
      <c r="G326" s="64"/>
      <c r="H326" s="68"/>
      <c r="I326" s="69"/>
      <c r="J326" s="69"/>
      <c r="K326" s="32"/>
      <c r="L326" s="76">
        <v>326</v>
      </c>
      <c r="M326" s="76"/>
      <c r="N326" s="71"/>
      <c r="O326" s="87" t="s">
        <v>179</v>
      </c>
      <c r="P326" s="90">
        <v>45196.542592592596</v>
      </c>
      <c r="Q326" s="87" t="s">
        <v>2163</v>
      </c>
      <c r="R326" s="87">
        <v>0</v>
      </c>
      <c r="S326" s="87">
        <v>0</v>
      </c>
      <c r="T326" s="87">
        <v>0</v>
      </c>
      <c r="U326" s="87">
        <v>0</v>
      </c>
      <c r="V326" s="87">
        <v>3</v>
      </c>
      <c r="W326" s="93" t="s">
        <v>6091</v>
      </c>
      <c r="X326" s="92" t="str">
        <f>HYPERLINK("http://www.correiopopular.news/vernot.php?id=55506")</f>
        <v>http://www.correiopopular.news/vernot.php?id=55506</v>
      </c>
      <c r="Y326" s="87" t="s">
        <v>8393</v>
      </c>
      <c r="Z326" s="87"/>
      <c r="AA326" s="87" t="s">
        <v>8854</v>
      </c>
      <c r="AB326" s="87" t="s">
        <v>11448</v>
      </c>
      <c r="AC326" s="93" t="s">
        <v>11457</v>
      </c>
      <c r="AD326" s="87" t="s">
        <v>11519</v>
      </c>
      <c r="AE326" s="92" t="str">
        <f>HYPERLINK("https://twitter.com/correiopopular_/status/1707017578919419930")</f>
        <v>https://twitter.com/correiopopular_/status/1707017578919419930</v>
      </c>
      <c r="AF326" s="90">
        <v>45196.542592592596</v>
      </c>
      <c r="AG326" s="99">
        <v>45196</v>
      </c>
      <c r="AH326" s="93" t="s">
        <v>11838</v>
      </c>
      <c r="AI326" s="87" t="b">
        <v>0</v>
      </c>
      <c r="AJ326" s="87"/>
      <c r="AK326" s="87"/>
      <c r="AL326" s="87"/>
      <c r="AM326" s="87"/>
      <c r="AN326" s="87"/>
      <c r="AO326" s="87"/>
      <c r="AP326" s="87"/>
      <c r="AQ326" s="87" t="s">
        <v>15667</v>
      </c>
      <c r="AR326" s="87"/>
      <c r="AS326" s="87"/>
      <c r="AT326" s="87"/>
      <c r="AU326" s="87"/>
      <c r="AV326" s="92" t="str">
        <f>HYPERLINK("https://pbs.twimg.com/media/F7CLbGzWIAAHqbK.jpg")</f>
        <v>https://pbs.twimg.com/media/F7CLbGzWIAAHqbK.jpg</v>
      </c>
      <c r="AW326" s="93" t="s">
        <v>18579</v>
      </c>
      <c r="AX326" s="93" t="s">
        <v>18579</v>
      </c>
      <c r="AY326" s="87"/>
      <c r="AZ326" s="93" t="s">
        <v>22668</v>
      </c>
      <c r="BA326" s="93" t="s">
        <v>22668</v>
      </c>
      <c r="BB326" s="93" t="s">
        <v>22668</v>
      </c>
      <c r="BC326" s="93" t="s">
        <v>18579</v>
      </c>
      <c r="BD326" s="87">
        <v>236985635</v>
      </c>
      <c r="BE326" s="87"/>
      <c r="BF326" s="87"/>
      <c r="BG326" s="87"/>
      <c r="BH326" s="87"/>
      <c r="BI326" s="87"/>
    </row>
    <row r="327" spans="1:61" x14ac:dyDescent="0.25">
      <c r="A327" s="63" t="s">
        <v>333</v>
      </c>
      <c r="B327" s="63" t="s">
        <v>333</v>
      </c>
      <c r="C327" s="64"/>
      <c r="D327" s="65"/>
      <c r="E327" s="66"/>
      <c r="F327" s="67"/>
      <c r="G327" s="64"/>
      <c r="H327" s="68"/>
      <c r="I327" s="69"/>
      <c r="J327" s="69"/>
      <c r="K327" s="32"/>
      <c r="L327" s="76">
        <v>327</v>
      </c>
      <c r="M327" s="76"/>
      <c r="N327" s="71"/>
      <c r="O327" s="87" t="s">
        <v>179</v>
      </c>
      <c r="P327" s="90">
        <v>45156.518958333334</v>
      </c>
      <c r="Q327" s="87" t="s">
        <v>2164</v>
      </c>
      <c r="R327" s="87">
        <v>0</v>
      </c>
      <c r="S327" s="87">
        <v>0</v>
      </c>
      <c r="T327" s="87">
        <v>0</v>
      </c>
      <c r="U327" s="87">
        <v>0</v>
      </c>
      <c r="V327" s="87">
        <v>32</v>
      </c>
      <c r="W327" s="93" t="s">
        <v>6092</v>
      </c>
      <c r="X327" s="87"/>
      <c r="Y327" s="87"/>
      <c r="Z327" s="87"/>
      <c r="AA327" s="87" t="s">
        <v>8855</v>
      </c>
      <c r="AB327" s="87" t="s">
        <v>11448</v>
      </c>
      <c r="AC327" s="93" t="s">
        <v>11459</v>
      </c>
      <c r="AD327" s="87" t="s">
        <v>11519</v>
      </c>
      <c r="AE327" s="92" t="str">
        <f>HYPERLINK("https://twitter.com/diegohnrq447/status/1692513500562645319")</f>
        <v>https://twitter.com/diegohnrq447/status/1692513500562645319</v>
      </c>
      <c r="AF327" s="90">
        <v>45156.518958333334</v>
      </c>
      <c r="AG327" s="99">
        <v>45156</v>
      </c>
      <c r="AH327" s="93" t="s">
        <v>11839</v>
      </c>
      <c r="AI327" s="87" t="b">
        <v>0</v>
      </c>
      <c r="AJ327" s="87" t="s">
        <v>15176</v>
      </c>
      <c r="AK327" s="87" t="s">
        <v>15234</v>
      </c>
      <c r="AL327" s="87" t="s">
        <v>15237</v>
      </c>
      <c r="AM327" s="87" t="s">
        <v>15248</v>
      </c>
      <c r="AN327" s="87" t="s">
        <v>15313</v>
      </c>
      <c r="AO327" s="87" t="s">
        <v>15380</v>
      </c>
      <c r="AP327" s="87" t="s">
        <v>15438</v>
      </c>
      <c r="AQ327" s="87" t="s">
        <v>15668</v>
      </c>
      <c r="AR327" s="87"/>
      <c r="AS327" s="87"/>
      <c r="AT327" s="87"/>
      <c r="AU327" s="87"/>
      <c r="AV327" s="92" t="str">
        <f>HYPERLINK("https://pbs.twimg.com/media/F30EDxqWEAA0oeP.jpg")</f>
        <v>https://pbs.twimg.com/media/F30EDxqWEAA0oeP.jpg</v>
      </c>
      <c r="AW327" s="93" t="s">
        <v>18580</v>
      </c>
      <c r="AX327" s="93" t="s">
        <v>18580</v>
      </c>
      <c r="AY327" s="87"/>
      <c r="AZ327" s="93" t="s">
        <v>22668</v>
      </c>
      <c r="BA327" s="93" t="s">
        <v>22668</v>
      </c>
      <c r="BB327" s="93" t="s">
        <v>22668</v>
      </c>
      <c r="BC327" s="93" t="s">
        <v>18580</v>
      </c>
      <c r="BD327" s="93" t="s">
        <v>22857</v>
      </c>
      <c r="BE327" s="87"/>
      <c r="BF327" s="87"/>
      <c r="BG327" s="87"/>
      <c r="BH327" s="87"/>
      <c r="BI327" s="87"/>
    </row>
    <row r="328" spans="1:61" x14ac:dyDescent="0.25">
      <c r="A328" s="63" t="s">
        <v>334</v>
      </c>
      <c r="B328" s="63" t="s">
        <v>334</v>
      </c>
      <c r="C328" s="64"/>
      <c r="D328" s="65"/>
      <c r="E328" s="66"/>
      <c r="F328" s="67"/>
      <c r="G328" s="64"/>
      <c r="H328" s="68"/>
      <c r="I328" s="69"/>
      <c r="J328" s="69"/>
      <c r="K328" s="32"/>
      <c r="L328" s="76">
        <v>328</v>
      </c>
      <c r="M328" s="76"/>
      <c r="N328" s="71"/>
      <c r="O328" s="87" t="s">
        <v>1840</v>
      </c>
      <c r="P328" s="90">
        <v>45169.693518518521</v>
      </c>
      <c r="Q328" s="87" t="s">
        <v>2165</v>
      </c>
      <c r="R328" s="87">
        <v>0</v>
      </c>
      <c r="S328" s="87">
        <v>1</v>
      </c>
      <c r="T328" s="87">
        <v>0</v>
      </c>
      <c r="U328" s="87">
        <v>0</v>
      </c>
      <c r="V328" s="87">
        <v>7</v>
      </c>
      <c r="W328" s="93" t="s">
        <v>6093</v>
      </c>
      <c r="X328" s="87"/>
      <c r="Y328" s="87"/>
      <c r="Z328" s="87"/>
      <c r="AA328" s="87"/>
      <c r="AB328" s="87"/>
      <c r="AC328" s="93" t="s">
        <v>11457</v>
      </c>
      <c r="AD328" s="87" t="s">
        <v>11519</v>
      </c>
      <c r="AE328" s="92" t="str">
        <f>HYPERLINK("https://twitter.com/coolifebrasil/status/1697287802893819993")</f>
        <v>https://twitter.com/coolifebrasil/status/1697287802893819993</v>
      </c>
      <c r="AF328" s="90">
        <v>45169.693518518521</v>
      </c>
      <c r="AG328" s="99">
        <v>45169</v>
      </c>
      <c r="AH328" s="93" t="s">
        <v>11840</v>
      </c>
      <c r="AI328" s="87"/>
      <c r="AJ328" s="87"/>
      <c r="AK328" s="87"/>
      <c r="AL328" s="87"/>
      <c r="AM328" s="87"/>
      <c r="AN328" s="87"/>
      <c r="AO328" s="87"/>
      <c r="AP328" s="87"/>
      <c r="AQ328" s="87"/>
      <c r="AR328" s="87"/>
      <c r="AS328" s="87"/>
      <c r="AT328" s="87"/>
      <c r="AU328" s="87"/>
      <c r="AV328" s="92" t="str">
        <f>HYPERLINK("https://pbs.twimg.com/profile_images/1697279123121491968/pBuQfA9i_normal.jpg")</f>
        <v>https://pbs.twimg.com/profile_images/1697279123121491968/pBuQfA9i_normal.jpg</v>
      </c>
      <c r="AW328" s="93" t="s">
        <v>18581</v>
      </c>
      <c r="AX328" s="93" t="s">
        <v>22315</v>
      </c>
      <c r="AY328" s="93" t="s">
        <v>22525</v>
      </c>
      <c r="AZ328" s="93" t="s">
        <v>22684</v>
      </c>
      <c r="BA328" s="93" t="s">
        <v>22668</v>
      </c>
      <c r="BB328" s="93" t="s">
        <v>22668</v>
      </c>
      <c r="BC328" s="93" t="s">
        <v>22684</v>
      </c>
      <c r="BD328" s="93" t="s">
        <v>22525</v>
      </c>
      <c r="BE328" s="87"/>
      <c r="BF328" s="87"/>
      <c r="BG328" s="87"/>
      <c r="BH328" s="87"/>
      <c r="BI328" s="87"/>
    </row>
    <row r="329" spans="1:61" x14ac:dyDescent="0.25">
      <c r="A329" s="63" t="s">
        <v>335</v>
      </c>
      <c r="B329" s="63" t="s">
        <v>335</v>
      </c>
      <c r="C329" s="64"/>
      <c r="D329" s="65"/>
      <c r="E329" s="66"/>
      <c r="F329" s="67"/>
      <c r="G329" s="64"/>
      <c r="H329" s="68"/>
      <c r="I329" s="69"/>
      <c r="J329" s="69"/>
      <c r="K329" s="32"/>
      <c r="L329" s="76">
        <v>329</v>
      </c>
      <c r="M329" s="76"/>
      <c r="N329" s="71"/>
      <c r="O329" s="87" t="s">
        <v>179</v>
      </c>
      <c r="P329" s="90">
        <v>45113.06527777778</v>
      </c>
      <c r="Q329" s="87" t="s">
        <v>2166</v>
      </c>
      <c r="R329" s="87">
        <v>2</v>
      </c>
      <c r="S329" s="87">
        <v>6</v>
      </c>
      <c r="T329" s="87">
        <v>0</v>
      </c>
      <c r="U329" s="87">
        <v>0</v>
      </c>
      <c r="V329" s="87">
        <v>2237</v>
      </c>
      <c r="W329" s="93" t="s">
        <v>6094</v>
      </c>
      <c r="X329" s="87"/>
      <c r="Y329" s="87"/>
      <c r="Z329" s="87"/>
      <c r="AA329" s="87" t="s">
        <v>8856</v>
      </c>
      <c r="AB329" s="87" t="s">
        <v>11447</v>
      </c>
      <c r="AC329" s="93" t="s">
        <v>11458</v>
      </c>
      <c r="AD329" s="87" t="s">
        <v>11519</v>
      </c>
      <c r="AE329" s="92" t="str">
        <f>HYPERLINK("https://twitter.com/raullsantiago/status/1676766411958501378")</f>
        <v>https://twitter.com/raullsantiago/status/1676766411958501378</v>
      </c>
      <c r="AF329" s="90">
        <v>45113.06527777778</v>
      </c>
      <c r="AG329" s="99">
        <v>45113</v>
      </c>
      <c r="AH329" s="93" t="s">
        <v>11841</v>
      </c>
      <c r="AI329" s="87" t="b">
        <v>0</v>
      </c>
      <c r="AJ329" s="87"/>
      <c r="AK329" s="87"/>
      <c r="AL329" s="87"/>
      <c r="AM329" s="87"/>
      <c r="AN329" s="87"/>
      <c r="AO329" s="87"/>
      <c r="AP329" s="87"/>
      <c r="AQ329" s="87" t="s">
        <v>15669</v>
      </c>
      <c r="AR329" s="87">
        <v>58856</v>
      </c>
      <c r="AS329" s="87"/>
      <c r="AT329" s="87"/>
      <c r="AU329" s="87"/>
      <c r="AV329" s="92" t="str">
        <f>HYPERLINK("https://pbs.twimg.com/ext_tw_video_thumb/1676766271709360128/pu/img/940WhvuwpBWRwlP3.jpg")</f>
        <v>https://pbs.twimg.com/ext_tw_video_thumb/1676766271709360128/pu/img/940WhvuwpBWRwlP3.jpg</v>
      </c>
      <c r="AW329" s="93" t="s">
        <v>18582</v>
      </c>
      <c r="AX329" s="93" t="s">
        <v>18582</v>
      </c>
      <c r="AY329" s="87"/>
      <c r="AZ329" s="93" t="s">
        <v>22668</v>
      </c>
      <c r="BA329" s="93" t="s">
        <v>22668</v>
      </c>
      <c r="BB329" s="93" t="s">
        <v>22668</v>
      </c>
      <c r="BC329" s="93" t="s">
        <v>18582</v>
      </c>
      <c r="BD329" s="87">
        <v>81436762</v>
      </c>
      <c r="BE329" s="87"/>
      <c r="BF329" s="87"/>
      <c r="BG329" s="87"/>
      <c r="BH329" s="87"/>
      <c r="BI329" s="87"/>
    </row>
    <row r="330" spans="1:61" x14ac:dyDescent="0.25">
      <c r="A330" s="63" t="s">
        <v>336</v>
      </c>
      <c r="B330" s="63" t="s">
        <v>336</v>
      </c>
      <c r="C330" s="64"/>
      <c r="D330" s="65"/>
      <c r="E330" s="66"/>
      <c r="F330" s="67"/>
      <c r="G330" s="64"/>
      <c r="H330" s="68"/>
      <c r="I330" s="69"/>
      <c r="J330" s="69"/>
      <c r="K330" s="32"/>
      <c r="L330" s="76">
        <v>330</v>
      </c>
      <c r="M330" s="76"/>
      <c r="N330" s="71"/>
      <c r="O330" s="87" t="s">
        <v>179</v>
      </c>
      <c r="P330" s="90">
        <v>45120.584305555552</v>
      </c>
      <c r="Q330" s="87" t="s">
        <v>2167</v>
      </c>
      <c r="R330" s="87">
        <v>1</v>
      </c>
      <c r="S330" s="87">
        <v>1</v>
      </c>
      <c r="T330" s="87">
        <v>0</v>
      </c>
      <c r="U330" s="87">
        <v>0</v>
      </c>
      <c r="V330" s="87">
        <v>377</v>
      </c>
      <c r="W330" s="93" t="s">
        <v>6095</v>
      </c>
      <c r="X330" s="87"/>
      <c r="Y330" s="87"/>
      <c r="Z330" s="87"/>
      <c r="AA330" s="87" t="s">
        <v>8857</v>
      </c>
      <c r="AB330" s="87" t="s">
        <v>11448</v>
      </c>
      <c r="AC330" s="93" t="s">
        <v>11457</v>
      </c>
      <c r="AD330" s="87" t="s">
        <v>11519</v>
      </c>
      <c r="AE330" s="92" t="str">
        <f>HYPERLINK("https://twitter.com/damahcast/status/1679491219863523331")</f>
        <v>https://twitter.com/damahcast/status/1679491219863523331</v>
      </c>
      <c r="AF330" s="90">
        <v>45120.584305555552</v>
      </c>
      <c r="AG330" s="99">
        <v>45120</v>
      </c>
      <c r="AH330" s="93" t="s">
        <v>11842</v>
      </c>
      <c r="AI330" s="87" t="b">
        <v>0</v>
      </c>
      <c r="AJ330" s="87"/>
      <c r="AK330" s="87"/>
      <c r="AL330" s="87"/>
      <c r="AM330" s="87"/>
      <c r="AN330" s="87"/>
      <c r="AO330" s="87"/>
      <c r="AP330" s="87"/>
      <c r="AQ330" s="87" t="s">
        <v>15670</v>
      </c>
      <c r="AR330" s="87"/>
      <c r="AS330" s="87"/>
      <c r="AT330" s="87"/>
      <c r="AU330" s="87"/>
      <c r="AV330" s="92" t="str">
        <f>HYPERLINK("https://pbs.twimg.com/media/F06_tP8aUAMsIzJ.jpg")</f>
        <v>https://pbs.twimg.com/media/F06_tP8aUAMsIzJ.jpg</v>
      </c>
      <c r="AW330" s="93" t="s">
        <v>18583</v>
      </c>
      <c r="AX330" s="93" t="s">
        <v>18583</v>
      </c>
      <c r="AY330" s="87"/>
      <c r="AZ330" s="93" t="s">
        <v>22668</v>
      </c>
      <c r="BA330" s="93" t="s">
        <v>22668</v>
      </c>
      <c r="BB330" s="93" t="s">
        <v>22668</v>
      </c>
      <c r="BC330" s="93" t="s">
        <v>18583</v>
      </c>
      <c r="BD330" s="93" t="s">
        <v>22858</v>
      </c>
      <c r="BE330" s="87"/>
      <c r="BF330" s="87"/>
      <c r="BG330" s="87"/>
      <c r="BH330" s="87"/>
      <c r="BI330" s="87"/>
    </row>
    <row r="331" spans="1:61" x14ac:dyDescent="0.25">
      <c r="A331" s="63" t="s">
        <v>337</v>
      </c>
      <c r="B331" s="63" t="s">
        <v>337</v>
      </c>
      <c r="C331" s="64"/>
      <c r="D331" s="65"/>
      <c r="E331" s="66"/>
      <c r="F331" s="67"/>
      <c r="G331" s="64"/>
      <c r="H331" s="68"/>
      <c r="I331" s="69"/>
      <c r="J331" s="69"/>
      <c r="K331" s="32"/>
      <c r="L331" s="76">
        <v>331</v>
      </c>
      <c r="M331" s="76"/>
      <c r="N331" s="71"/>
      <c r="O331" s="87" t="s">
        <v>179</v>
      </c>
      <c r="P331" s="90">
        <v>45117.469837962963</v>
      </c>
      <c r="Q331" s="87" t="s">
        <v>2168</v>
      </c>
      <c r="R331" s="87">
        <v>0</v>
      </c>
      <c r="S331" s="87">
        <v>0</v>
      </c>
      <c r="T331" s="87">
        <v>0</v>
      </c>
      <c r="U331" s="87">
        <v>0</v>
      </c>
      <c r="V331" s="87">
        <v>17</v>
      </c>
      <c r="W331" s="93" t="s">
        <v>6096</v>
      </c>
      <c r="X331" s="87"/>
      <c r="Y331" s="87"/>
      <c r="Z331" s="87"/>
      <c r="AA331" s="87" t="s">
        <v>8858</v>
      </c>
      <c r="AB331" s="87" t="s">
        <v>11448</v>
      </c>
      <c r="AC331" s="93" t="s">
        <v>11457</v>
      </c>
      <c r="AD331" s="87" t="s">
        <v>11519</v>
      </c>
      <c r="AE331" s="92" t="str">
        <f>HYPERLINK("https://twitter.com/oseiasgomesof/status/1678362574478274560")</f>
        <v>https://twitter.com/oseiasgomesof/status/1678362574478274560</v>
      </c>
      <c r="AF331" s="90">
        <v>45117.469837962963</v>
      </c>
      <c r="AG331" s="99">
        <v>45117</v>
      </c>
      <c r="AH331" s="93" t="s">
        <v>11843</v>
      </c>
      <c r="AI331" s="87" t="b">
        <v>0</v>
      </c>
      <c r="AJ331" s="87"/>
      <c r="AK331" s="87"/>
      <c r="AL331" s="87"/>
      <c r="AM331" s="87"/>
      <c r="AN331" s="87"/>
      <c r="AO331" s="87"/>
      <c r="AP331" s="87"/>
      <c r="AQ331" s="87" t="s">
        <v>15671</v>
      </c>
      <c r="AR331" s="87"/>
      <c r="AS331" s="87"/>
      <c r="AT331" s="87"/>
      <c r="AU331" s="87"/>
      <c r="AV331" s="92" t="str">
        <f>HYPERLINK("https://pbs.twimg.com/media/F0q9owqWAAAzn98.jpg")</f>
        <v>https://pbs.twimg.com/media/F0q9owqWAAAzn98.jpg</v>
      </c>
      <c r="AW331" s="93" t="s">
        <v>18584</v>
      </c>
      <c r="AX331" s="93" t="s">
        <v>18584</v>
      </c>
      <c r="AY331" s="87"/>
      <c r="AZ331" s="93" t="s">
        <v>22668</v>
      </c>
      <c r="BA331" s="93" t="s">
        <v>22668</v>
      </c>
      <c r="BB331" s="93" t="s">
        <v>22668</v>
      </c>
      <c r="BC331" s="93" t="s">
        <v>18584</v>
      </c>
      <c r="BD331" s="87">
        <v>344665447</v>
      </c>
      <c r="BE331" s="87"/>
      <c r="BF331" s="87"/>
      <c r="BG331" s="87"/>
      <c r="BH331" s="87"/>
      <c r="BI331" s="87"/>
    </row>
    <row r="332" spans="1:61" x14ac:dyDescent="0.25">
      <c r="A332" s="63" t="s">
        <v>337</v>
      </c>
      <c r="B332" s="63" t="s">
        <v>337</v>
      </c>
      <c r="C332" s="64"/>
      <c r="D332" s="65"/>
      <c r="E332" s="66"/>
      <c r="F332" s="67"/>
      <c r="G332" s="64"/>
      <c r="H332" s="68"/>
      <c r="I332" s="69"/>
      <c r="J332" s="69"/>
      <c r="K332" s="32"/>
      <c r="L332" s="76">
        <v>332</v>
      </c>
      <c r="M332" s="76"/>
      <c r="N332" s="71"/>
      <c r="O332" s="87" t="s">
        <v>179</v>
      </c>
      <c r="P332" s="90">
        <v>45138.729259259257</v>
      </c>
      <c r="Q332" s="87" t="s">
        <v>2169</v>
      </c>
      <c r="R332" s="87">
        <v>0</v>
      </c>
      <c r="S332" s="87">
        <v>0</v>
      </c>
      <c r="T332" s="87">
        <v>0</v>
      </c>
      <c r="U332" s="87">
        <v>0</v>
      </c>
      <c r="V332" s="87">
        <v>22</v>
      </c>
      <c r="W332" s="93" t="s">
        <v>6097</v>
      </c>
      <c r="X332" s="87"/>
      <c r="Y332" s="87"/>
      <c r="Z332" s="87"/>
      <c r="AA332" s="87" t="s">
        <v>8859</v>
      </c>
      <c r="AB332" s="87" t="s">
        <v>11447</v>
      </c>
      <c r="AC332" s="93" t="s">
        <v>11457</v>
      </c>
      <c r="AD332" s="87" t="s">
        <v>11519</v>
      </c>
      <c r="AE332" s="92" t="str">
        <f>HYPERLINK("https://twitter.com/oseiasgomesof/status/1686066730152443913")</f>
        <v>https://twitter.com/oseiasgomesof/status/1686066730152443913</v>
      </c>
      <c r="AF332" s="90">
        <v>45138.729259259257</v>
      </c>
      <c r="AG332" s="99">
        <v>45138</v>
      </c>
      <c r="AH332" s="93" t="s">
        <v>11844</v>
      </c>
      <c r="AI332" s="87" t="b">
        <v>0</v>
      </c>
      <c r="AJ332" s="87"/>
      <c r="AK332" s="87"/>
      <c r="AL332" s="87"/>
      <c r="AM332" s="87"/>
      <c r="AN332" s="87"/>
      <c r="AO332" s="87"/>
      <c r="AP332" s="87"/>
      <c r="AQ332" s="87" t="s">
        <v>15672</v>
      </c>
      <c r="AR332" s="87">
        <v>52733</v>
      </c>
      <c r="AS332" s="87"/>
      <c r="AT332" s="87"/>
      <c r="AU332" s="87"/>
      <c r="AV332" s="92" t="str">
        <f>HYPERLINK("https://pbs.twimg.com/ext_tw_video_thumb/1686065680045473792/pu/img/E0AvGqdpLhxvFg7j.jpg")</f>
        <v>https://pbs.twimg.com/ext_tw_video_thumb/1686065680045473792/pu/img/E0AvGqdpLhxvFg7j.jpg</v>
      </c>
      <c r="AW332" s="93" t="s">
        <v>18585</v>
      </c>
      <c r="AX332" s="93" t="s">
        <v>18585</v>
      </c>
      <c r="AY332" s="87"/>
      <c r="AZ332" s="93" t="s">
        <v>22668</v>
      </c>
      <c r="BA332" s="93" t="s">
        <v>22668</v>
      </c>
      <c r="BB332" s="93" t="s">
        <v>22668</v>
      </c>
      <c r="BC332" s="93" t="s">
        <v>18585</v>
      </c>
      <c r="BD332" s="87">
        <v>344665447</v>
      </c>
      <c r="BE332" s="87"/>
      <c r="BF332" s="87"/>
      <c r="BG332" s="87"/>
      <c r="BH332" s="87"/>
      <c r="BI332" s="87"/>
    </row>
    <row r="333" spans="1:61" x14ac:dyDescent="0.25">
      <c r="A333" s="63" t="s">
        <v>337</v>
      </c>
      <c r="B333" s="63" t="s">
        <v>337</v>
      </c>
      <c r="C333" s="64"/>
      <c r="D333" s="65"/>
      <c r="E333" s="66"/>
      <c r="F333" s="67"/>
      <c r="G333" s="64"/>
      <c r="H333" s="68"/>
      <c r="I333" s="69"/>
      <c r="J333" s="69"/>
      <c r="K333" s="32"/>
      <c r="L333" s="76">
        <v>333</v>
      </c>
      <c r="M333" s="76"/>
      <c r="N333" s="71"/>
      <c r="O333" s="87" t="s">
        <v>179</v>
      </c>
      <c r="P333" s="90">
        <v>45138.456863425927</v>
      </c>
      <c r="Q333" s="87" t="s">
        <v>2170</v>
      </c>
      <c r="R333" s="87">
        <v>0</v>
      </c>
      <c r="S333" s="87">
        <v>0</v>
      </c>
      <c r="T333" s="87">
        <v>0</v>
      </c>
      <c r="U333" s="87">
        <v>0</v>
      </c>
      <c r="V333" s="87">
        <v>22</v>
      </c>
      <c r="W333" s="93" t="s">
        <v>6098</v>
      </c>
      <c r="X333" s="87"/>
      <c r="Y333" s="87"/>
      <c r="Z333" s="87"/>
      <c r="AA333" s="87" t="s">
        <v>8860</v>
      </c>
      <c r="AB333" s="87" t="s">
        <v>11448</v>
      </c>
      <c r="AC333" s="93" t="s">
        <v>11459</v>
      </c>
      <c r="AD333" s="87" t="s">
        <v>11519</v>
      </c>
      <c r="AE333" s="92" t="str">
        <f>HYPERLINK("https://twitter.com/oseiasgomesof/status/1685968015207149569")</f>
        <v>https://twitter.com/oseiasgomesof/status/1685968015207149569</v>
      </c>
      <c r="AF333" s="90">
        <v>45138.456863425927</v>
      </c>
      <c r="AG333" s="99">
        <v>45138</v>
      </c>
      <c r="AH333" s="93" t="s">
        <v>11845</v>
      </c>
      <c r="AI333" s="87" t="b">
        <v>0</v>
      </c>
      <c r="AJ333" s="87"/>
      <c r="AK333" s="87"/>
      <c r="AL333" s="87"/>
      <c r="AM333" s="87"/>
      <c r="AN333" s="87"/>
      <c r="AO333" s="87"/>
      <c r="AP333" s="87"/>
      <c r="AQ333" s="87" t="s">
        <v>15673</v>
      </c>
      <c r="AR333" s="87"/>
      <c r="AS333" s="87"/>
      <c r="AT333" s="87"/>
      <c r="AU333" s="87"/>
      <c r="AV333" s="92" t="str">
        <f>HYPERLINK("https://pbs.twimg.com/media/F2XC-CjXMAAU_fv.jpg")</f>
        <v>https://pbs.twimg.com/media/F2XC-CjXMAAU_fv.jpg</v>
      </c>
      <c r="AW333" s="93" t="s">
        <v>18586</v>
      </c>
      <c r="AX333" s="93" t="s">
        <v>18586</v>
      </c>
      <c r="AY333" s="87"/>
      <c r="AZ333" s="93" t="s">
        <v>22668</v>
      </c>
      <c r="BA333" s="93" t="s">
        <v>22668</v>
      </c>
      <c r="BB333" s="93" t="s">
        <v>22668</v>
      </c>
      <c r="BC333" s="93" t="s">
        <v>18586</v>
      </c>
      <c r="BD333" s="87">
        <v>344665447</v>
      </c>
      <c r="BE333" s="87"/>
      <c r="BF333" s="87"/>
      <c r="BG333" s="87"/>
      <c r="BH333" s="87"/>
      <c r="BI333" s="87"/>
    </row>
    <row r="334" spans="1:61" x14ac:dyDescent="0.25">
      <c r="A334" s="63" t="s">
        <v>337</v>
      </c>
      <c r="B334" s="63" t="s">
        <v>337</v>
      </c>
      <c r="C334" s="64"/>
      <c r="D334" s="65"/>
      <c r="E334" s="66"/>
      <c r="F334" s="67"/>
      <c r="G334" s="64"/>
      <c r="H334" s="68"/>
      <c r="I334" s="69"/>
      <c r="J334" s="69"/>
      <c r="K334" s="32"/>
      <c r="L334" s="76">
        <v>334</v>
      </c>
      <c r="M334" s="76"/>
      <c r="N334" s="71"/>
      <c r="O334" s="87" t="s">
        <v>179</v>
      </c>
      <c r="P334" s="90">
        <v>45166.781481481485</v>
      </c>
      <c r="Q334" s="87" t="s">
        <v>2171</v>
      </c>
      <c r="R334" s="87">
        <v>0</v>
      </c>
      <c r="S334" s="87">
        <v>1</v>
      </c>
      <c r="T334" s="87">
        <v>0</v>
      </c>
      <c r="U334" s="87">
        <v>0</v>
      </c>
      <c r="V334" s="87">
        <v>7</v>
      </c>
      <c r="W334" s="93" t="s">
        <v>6099</v>
      </c>
      <c r="X334" s="87"/>
      <c r="Y334" s="87"/>
      <c r="Z334" s="87"/>
      <c r="AA334" s="87" t="s">
        <v>8861</v>
      </c>
      <c r="AB334" s="87" t="s">
        <v>11448</v>
      </c>
      <c r="AC334" s="93" t="s">
        <v>11459</v>
      </c>
      <c r="AD334" s="87" t="s">
        <v>11519</v>
      </c>
      <c r="AE334" s="92" t="str">
        <f>HYPERLINK("https://twitter.com/oseiasgomesof/status/1696232514338107594")</f>
        <v>https://twitter.com/oseiasgomesof/status/1696232514338107594</v>
      </c>
      <c r="AF334" s="90">
        <v>45166.781481481485</v>
      </c>
      <c r="AG334" s="99">
        <v>45166</v>
      </c>
      <c r="AH334" s="93" t="s">
        <v>11846</v>
      </c>
      <c r="AI334" s="87" t="b">
        <v>0</v>
      </c>
      <c r="AJ334" s="87"/>
      <c r="AK334" s="87"/>
      <c r="AL334" s="87"/>
      <c r="AM334" s="87"/>
      <c r="AN334" s="87"/>
      <c r="AO334" s="87"/>
      <c r="AP334" s="87"/>
      <c r="AQ334" s="87" t="s">
        <v>15674</v>
      </c>
      <c r="AR334" s="87"/>
      <c r="AS334" s="87"/>
      <c r="AT334" s="87"/>
      <c r="AU334" s="87"/>
      <c r="AV334" s="92" t="str">
        <f>HYPERLINK("https://pbs.twimg.com/media/F4o6e61XYAIxojD.jpg")</f>
        <v>https://pbs.twimg.com/media/F4o6e61XYAIxojD.jpg</v>
      </c>
      <c r="AW334" s="93" t="s">
        <v>18587</v>
      </c>
      <c r="AX334" s="93" t="s">
        <v>18587</v>
      </c>
      <c r="AY334" s="87"/>
      <c r="AZ334" s="93" t="s">
        <v>22668</v>
      </c>
      <c r="BA334" s="93" t="s">
        <v>22668</v>
      </c>
      <c r="BB334" s="93" t="s">
        <v>22668</v>
      </c>
      <c r="BC334" s="93" t="s">
        <v>18587</v>
      </c>
      <c r="BD334" s="87">
        <v>344665447</v>
      </c>
      <c r="BE334" s="87"/>
      <c r="BF334" s="87"/>
      <c r="BG334" s="87"/>
      <c r="BH334" s="87"/>
      <c r="BI334" s="87"/>
    </row>
    <row r="335" spans="1:61" x14ac:dyDescent="0.25">
      <c r="A335" s="63" t="s">
        <v>337</v>
      </c>
      <c r="B335" s="63" t="s">
        <v>337</v>
      </c>
      <c r="C335" s="64"/>
      <c r="D335" s="65"/>
      <c r="E335" s="66"/>
      <c r="F335" s="67"/>
      <c r="G335" s="64"/>
      <c r="H335" s="68"/>
      <c r="I335" s="69"/>
      <c r="J335" s="69"/>
      <c r="K335" s="32"/>
      <c r="L335" s="76">
        <v>335</v>
      </c>
      <c r="M335" s="76"/>
      <c r="N335" s="71"/>
      <c r="O335" s="87" t="s">
        <v>179</v>
      </c>
      <c r="P335" s="90">
        <v>45166.774594907409</v>
      </c>
      <c r="Q335" s="87" t="s">
        <v>2172</v>
      </c>
      <c r="R335" s="87">
        <v>0</v>
      </c>
      <c r="S335" s="87">
        <v>1</v>
      </c>
      <c r="T335" s="87">
        <v>0</v>
      </c>
      <c r="U335" s="87">
        <v>0</v>
      </c>
      <c r="V335" s="87">
        <v>8</v>
      </c>
      <c r="W335" s="93" t="s">
        <v>6100</v>
      </c>
      <c r="X335" s="87"/>
      <c r="Y335" s="87"/>
      <c r="Z335" s="87"/>
      <c r="AA335" s="87" t="s">
        <v>8862</v>
      </c>
      <c r="AB335" s="87" t="s">
        <v>11447</v>
      </c>
      <c r="AC335" s="93" t="s">
        <v>11459</v>
      </c>
      <c r="AD335" s="87" t="s">
        <v>11519</v>
      </c>
      <c r="AE335" s="92" t="str">
        <f>HYPERLINK("https://twitter.com/oseiasgomesof/status/1696230016936259864")</f>
        <v>https://twitter.com/oseiasgomesof/status/1696230016936259864</v>
      </c>
      <c r="AF335" s="90">
        <v>45166.774594907409</v>
      </c>
      <c r="AG335" s="99">
        <v>45166</v>
      </c>
      <c r="AH335" s="93" t="s">
        <v>11847</v>
      </c>
      <c r="AI335" s="87" t="b">
        <v>0</v>
      </c>
      <c r="AJ335" s="87"/>
      <c r="AK335" s="87"/>
      <c r="AL335" s="87"/>
      <c r="AM335" s="87"/>
      <c r="AN335" s="87"/>
      <c r="AO335" s="87"/>
      <c r="AP335" s="87"/>
      <c r="AQ335" s="87" t="s">
        <v>15675</v>
      </c>
      <c r="AR335" s="87">
        <v>57793</v>
      </c>
      <c r="AS335" s="87"/>
      <c r="AT335" s="87"/>
      <c r="AU335" s="87"/>
      <c r="AV335" s="92" t="str">
        <f>HYPERLINK("https://pbs.twimg.com/ext_tw_video_thumb/1696229935164108800/pu/img/JlvXP_BLbAwSIO6e.jpg")</f>
        <v>https://pbs.twimg.com/ext_tw_video_thumb/1696229935164108800/pu/img/JlvXP_BLbAwSIO6e.jpg</v>
      </c>
      <c r="AW335" s="93" t="s">
        <v>18588</v>
      </c>
      <c r="AX335" s="93" t="s">
        <v>18588</v>
      </c>
      <c r="AY335" s="87"/>
      <c r="AZ335" s="93" t="s">
        <v>22668</v>
      </c>
      <c r="BA335" s="93" t="s">
        <v>22668</v>
      </c>
      <c r="BB335" s="93" t="s">
        <v>22668</v>
      </c>
      <c r="BC335" s="93" t="s">
        <v>18588</v>
      </c>
      <c r="BD335" s="87">
        <v>344665447</v>
      </c>
      <c r="BE335" s="87"/>
      <c r="BF335" s="87"/>
      <c r="BG335" s="87"/>
      <c r="BH335" s="87"/>
      <c r="BI335" s="87"/>
    </row>
    <row r="336" spans="1:61" x14ac:dyDescent="0.25">
      <c r="A336" s="63" t="s">
        <v>337</v>
      </c>
      <c r="B336" s="63" t="s">
        <v>337</v>
      </c>
      <c r="C336" s="64"/>
      <c r="D336" s="65"/>
      <c r="E336" s="66"/>
      <c r="F336" s="67"/>
      <c r="G336" s="64"/>
      <c r="H336" s="68"/>
      <c r="I336" s="69"/>
      <c r="J336" s="69"/>
      <c r="K336" s="32"/>
      <c r="L336" s="76">
        <v>336</v>
      </c>
      <c r="M336" s="76"/>
      <c r="N336" s="71"/>
      <c r="O336" s="87" t="s">
        <v>179</v>
      </c>
      <c r="P336" s="90">
        <v>45166.774571759262</v>
      </c>
      <c r="Q336" s="87" t="s">
        <v>2173</v>
      </c>
      <c r="R336" s="87">
        <v>0</v>
      </c>
      <c r="S336" s="87">
        <v>1</v>
      </c>
      <c r="T336" s="87">
        <v>0</v>
      </c>
      <c r="U336" s="87">
        <v>0</v>
      </c>
      <c r="V336" s="87">
        <v>7</v>
      </c>
      <c r="W336" s="93" t="s">
        <v>6101</v>
      </c>
      <c r="X336" s="87"/>
      <c r="Y336" s="87"/>
      <c r="Z336" s="87"/>
      <c r="AA336" s="87" t="s">
        <v>8863</v>
      </c>
      <c r="AB336" s="87" t="s">
        <v>11448</v>
      </c>
      <c r="AC336" s="93" t="s">
        <v>11459</v>
      </c>
      <c r="AD336" s="87" t="s">
        <v>11519</v>
      </c>
      <c r="AE336" s="92" t="str">
        <f>HYPERLINK("https://twitter.com/oseiasgomesof/status/1696230011533926586")</f>
        <v>https://twitter.com/oseiasgomesof/status/1696230011533926586</v>
      </c>
      <c r="AF336" s="90">
        <v>45166.774571759262</v>
      </c>
      <c r="AG336" s="99">
        <v>45166</v>
      </c>
      <c r="AH336" s="93" t="s">
        <v>11848</v>
      </c>
      <c r="AI336" s="87" t="b">
        <v>0</v>
      </c>
      <c r="AJ336" s="87"/>
      <c r="AK336" s="87"/>
      <c r="AL336" s="87"/>
      <c r="AM336" s="87"/>
      <c r="AN336" s="87"/>
      <c r="AO336" s="87"/>
      <c r="AP336" s="87"/>
      <c r="AQ336" s="87" t="s">
        <v>15676</v>
      </c>
      <c r="AR336" s="87"/>
      <c r="AS336" s="87"/>
      <c r="AT336" s="87"/>
      <c r="AU336" s="87"/>
      <c r="AV336" s="92" t="str">
        <f>HYPERLINK("https://pbs.twimg.com/media/F4o4NK-WAAAmS02.jpg")</f>
        <v>https://pbs.twimg.com/media/F4o4NK-WAAAmS02.jpg</v>
      </c>
      <c r="AW336" s="93" t="s">
        <v>18589</v>
      </c>
      <c r="AX336" s="93" t="s">
        <v>18589</v>
      </c>
      <c r="AY336" s="87"/>
      <c r="AZ336" s="93" t="s">
        <v>22668</v>
      </c>
      <c r="BA336" s="93" t="s">
        <v>22668</v>
      </c>
      <c r="BB336" s="93" t="s">
        <v>22668</v>
      </c>
      <c r="BC336" s="93" t="s">
        <v>18589</v>
      </c>
      <c r="BD336" s="87">
        <v>344665447</v>
      </c>
      <c r="BE336" s="87"/>
      <c r="BF336" s="87"/>
      <c r="BG336" s="87"/>
      <c r="BH336" s="87"/>
      <c r="BI336" s="87"/>
    </row>
    <row r="337" spans="1:61" x14ac:dyDescent="0.25">
      <c r="A337" s="63" t="s">
        <v>337</v>
      </c>
      <c r="B337" s="63" t="s">
        <v>337</v>
      </c>
      <c r="C337" s="64"/>
      <c r="D337" s="65"/>
      <c r="E337" s="66"/>
      <c r="F337" s="67"/>
      <c r="G337" s="64"/>
      <c r="H337" s="68"/>
      <c r="I337" s="69"/>
      <c r="J337" s="69"/>
      <c r="K337" s="32"/>
      <c r="L337" s="76">
        <v>337</v>
      </c>
      <c r="M337" s="76"/>
      <c r="N337" s="71"/>
      <c r="O337" s="87" t="s">
        <v>179</v>
      </c>
      <c r="P337" s="90">
        <v>45139.579872685186</v>
      </c>
      <c r="Q337" s="87" t="s">
        <v>2174</v>
      </c>
      <c r="R337" s="87">
        <v>0</v>
      </c>
      <c r="S337" s="87">
        <v>2</v>
      </c>
      <c r="T337" s="87">
        <v>0</v>
      </c>
      <c r="U337" s="87">
        <v>0</v>
      </c>
      <c r="V337" s="87">
        <v>32</v>
      </c>
      <c r="W337" s="93" t="s">
        <v>6102</v>
      </c>
      <c r="X337" s="87"/>
      <c r="Y337" s="87"/>
      <c r="Z337" s="87"/>
      <c r="AA337" s="87" t="s">
        <v>8864</v>
      </c>
      <c r="AB337" s="87" t="s">
        <v>11447</v>
      </c>
      <c r="AC337" s="93" t="s">
        <v>11457</v>
      </c>
      <c r="AD337" s="87" t="s">
        <v>11519</v>
      </c>
      <c r="AE337" s="92" t="str">
        <f>HYPERLINK("https://twitter.com/oseiasgomesof/status/1686374981473812481")</f>
        <v>https://twitter.com/oseiasgomesof/status/1686374981473812481</v>
      </c>
      <c r="AF337" s="90">
        <v>45139.579872685186</v>
      </c>
      <c r="AG337" s="99">
        <v>45139</v>
      </c>
      <c r="AH337" s="93" t="s">
        <v>11849</v>
      </c>
      <c r="AI337" s="87" t="b">
        <v>0</v>
      </c>
      <c r="AJ337" s="87"/>
      <c r="AK337" s="87"/>
      <c r="AL337" s="87"/>
      <c r="AM337" s="87"/>
      <c r="AN337" s="87"/>
      <c r="AO337" s="87"/>
      <c r="AP337" s="87"/>
      <c r="AQ337" s="87" t="s">
        <v>15677</v>
      </c>
      <c r="AR337" s="87">
        <v>60117</v>
      </c>
      <c r="AS337" s="87"/>
      <c r="AT337" s="87"/>
      <c r="AU337" s="87"/>
      <c r="AV337" s="92" t="str">
        <f>HYPERLINK("https://pbs.twimg.com/ext_tw_video_thumb/1686374318966710274/pu/img/E9ORDFkKXc1SbXfY.jpg")</f>
        <v>https://pbs.twimg.com/ext_tw_video_thumb/1686374318966710274/pu/img/E9ORDFkKXc1SbXfY.jpg</v>
      </c>
      <c r="AW337" s="93" t="s">
        <v>18590</v>
      </c>
      <c r="AX337" s="93" t="s">
        <v>18590</v>
      </c>
      <c r="AY337" s="87"/>
      <c r="AZ337" s="93" t="s">
        <v>22668</v>
      </c>
      <c r="BA337" s="93" t="s">
        <v>22668</v>
      </c>
      <c r="BB337" s="93" t="s">
        <v>22668</v>
      </c>
      <c r="BC337" s="93" t="s">
        <v>18590</v>
      </c>
      <c r="BD337" s="87">
        <v>344665447</v>
      </c>
      <c r="BE337" s="87"/>
      <c r="BF337" s="87"/>
      <c r="BG337" s="87"/>
      <c r="BH337" s="87"/>
      <c r="BI337" s="87"/>
    </row>
    <row r="338" spans="1:61" x14ac:dyDescent="0.25">
      <c r="A338" s="63" t="s">
        <v>337</v>
      </c>
      <c r="B338" s="63" t="s">
        <v>337</v>
      </c>
      <c r="C338" s="64"/>
      <c r="D338" s="65"/>
      <c r="E338" s="66"/>
      <c r="F338" s="67"/>
      <c r="G338" s="64"/>
      <c r="H338" s="68"/>
      <c r="I338" s="69"/>
      <c r="J338" s="69"/>
      <c r="K338" s="32"/>
      <c r="L338" s="76">
        <v>338</v>
      </c>
      <c r="M338" s="76"/>
      <c r="N338" s="71"/>
      <c r="O338" s="87" t="s">
        <v>179</v>
      </c>
      <c r="P338" s="90">
        <v>45183.685787037037</v>
      </c>
      <c r="Q338" s="87" t="s">
        <v>2175</v>
      </c>
      <c r="R338" s="87">
        <v>0</v>
      </c>
      <c r="S338" s="87">
        <v>0</v>
      </c>
      <c r="T338" s="87">
        <v>0</v>
      </c>
      <c r="U338" s="87">
        <v>0</v>
      </c>
      <c r="V338" s="87">
        <v>9</v>
      </c>
      <c r="W338" s="93" t="s">
        <v>6103</v>
      </c>
      <c r="X338" s="87"/>
      <c r="Y338" s="87"/>
      <c r="Z338" s="87"/>
      <c r="AA338" s="87" t="s">
        <v>8865</v>
      </c>
      <c r="AB338" s="87" t="s">
        <v>11448</v>
      </c>
      <c r="AC338" s="93" t="s">
        <v>11459</v>
      </c>
      <c r="AD338" s="87" t="s">
        <v>11519</v>
      </c>
      <c r="AE338" s="92" t="str">
        <f>HYPERLINK("https://twitter.com/oseiasgomesof/status/1702358430466347476")</f>
        <v>https://twitter.com/oseiasgomesof/status/1702358430466347476</v>
      </c>
      <c r="AF338" s="90">
        <v>45183.685787037037</v>
      </c>
      <c r="AG338" s="99">
        <v>45183</v>
      </c>
      <c r="AH338" s="93" t="s">
        <v>11850</v>
      </c>
      <c r="AI338" s="87" t="b">
        <v>0</v>
      </c>
      <c r="AJ338" s="87"/>
      <c r="AK338" s="87"/>
      <c r="AL338" s="87"/>
      <c r="AM338" s="87"/>
      <c r="AN338" s="87"/>
      <c r="AO338" s="87"/>
      <c r="AP338" s="87"/>
      <c r="AQ338" s="87" t="s">
        <v>15678</v>
      </c>
      <c r="AR338" s="87"/>
      <c r="AS338" s="87"/>
      <c r="AT338" s="87"/>
      <c r="AU338" s="87"/>
      <c r="AV338" s="92" t="str">
        <f>HYPERLINK("https://pbs.twimg.com/media/F5_9-IfWkAQSKuL.jpg")</f>
        <v>https://pbs.twimg.com/media/F5_9-IfWkAQSKuL.jpg</v>
      </c>
      <c r="AW338" s="93" t="s">
        <v>18591</v>
      </c>
      <c r="AX338" s="93" t="s">
        <v>18591</v>
      </c>
      <c r="AY338" s="87"/>
      <c r="AZ338" s="93" t="s">
        <v>22668</v>
      </c>
      <c r="BA338" s="93" t="s">
        <v>22668</v>
      </c>
      <c r="BB338" s="93" t="s">
        <v>22668</v>
      </c>
      <c r="BC338" s="93" t="s">
        <v>18591</v>
      </c>
      <c r="BD338" s="87">
        <v>344665447</v>
      </c>
      <c r="BE338" s="87"/>
      <c r="BF338" s="87"/>
      <c r="BG338" s="87"/>
      <c r="BH338" s="87"/>
      <c r="BI338" s="87"/>
    </row>
    <row r="339" spans="1:61" x14ac:dyDescent="0.25">
      <c r="A339" s="63" t="s">
        <v>337</v>
      </c>
      <c r="B339" s="63" t="s">
        <v>337</v>
      </c>
      <c r="C339" s="64"/>
      <c r="D339" s="65"/>
      <c r="E339" s="66"/>
      <c r="F339" s="67"/>
      <c r="G339" s="64"/>
      <c r="H339" s="68"/>
      <c r="I339" s="69"/>
      <c r="J339" s="69"/>
      <c r="K339" s="32"/>
      <c r="L339" s="76">
        <v>339</v>
      </c>
      <c r="M339" s="76"/>
      <c r="N339" s="71"/>
      <c r="O339" s="87" t="s">
        <v>179</v>
      </c>
      <c r="P339" s="90">
        <v>45183.68509259259</v>
      </c>
      <c r="Q339" s="87" t="s">
        <v>2176</v>
      </c>
      <c r="R339" s="87">
        <v>0</v>
      </c>
      <c r="S339" s="87">
        <v>0</v>
      </c>
      <c r="T339" s="87">
        <v>0</v>
      </c>
      <c r="U339" s="87">
        <v>0</v>
      </c>
      <c r="V339" s="87">
        <v>7</v>
      </c>
      <c r="W339" s="93" t="s">
        <v>6104</v>
      </c>
      <c r="X339" s="87"/>
      <c r="Y339" s="87"/>
      <c r="Z339" s="87"/>
      <c r="AA339" s="87" t="s">
        <v>8866</v>
      </c>
      <c r="AB339" s="87" t="s">
        <v>11447</v>
      </c>
      <c r="AC339" s="93" t="s">
        <v>11459</v>
      </c>
      <c r="AD339" s="87" t="s">
        <v>11519</v>
      </c>
      <c r="AE339" s="92" t="str">
        <f>HYPERLINK("https://twitter.com/oseiasgomesof/status/1702358178686472344")</f>
        <v>https://twitter.com/oseiasgomesof/status/1702358178686472344</v>
      </c>
      <c r="AF339" s="90">
        <v>45183.68509259259</v>
      </c>
      <c r="AG339" s="99">
        <v>45183</v>
      </c>
      <c r="AH339" s="93" t="s">
        <v>11851</v>
      </c>
      <c r="AI339" s="87" t="b">
        <v>0</v>
      </c>
      <c r="AJ339" s="87"/>
      <c r="AK339" s="87"/>
      <c r="AL339" s="87"/>
      <c r="AM339" s="87"/>
      <c r="AN339" s="87"/>
      <c r="AO339" s="87"/>
      <c r="AP339" s="87"/>
      <c r="AQ339" s="87" t="s">
        <v>15679</v>
      </c>
      <c r="AR339" s="87">
        <v>15700</v>
      </c>
      <c r="AS339" s="87"/>
      <c r="AT339" s="87"/>
      <c r="AU339" s="87"/>
      <c r="AV339" s="92" t="str">
        <f>HYPERLINK("https://pbs.twimg.com/ext_tw_video_thumb/1702358129378234369/pu/img/XUCGFoj_SM_dC1L-.jpg")</f>
        <v>https://pbs.twimg.com/ext_tw_video_thumb/1702358129378234369/pu/img/XUCGFoj_SM_dC1L-.jpg</v>
      </c>
      <c r="AW339" s="93" t="s">
        <v>18592</v>
      </c>
      <c r="AX339" s="93" t="s">
        <v>18592</v>
      </c>
      <c r="AY339" s="87"/>
      <c r="AZ339" s="93" t="s">
        <v>22668</v>
      </c>
      <c r="BA339" s="93" t="s">
        <v>22668</v>
      </c>
      <c r="BB339" s="93" t="s">
        <v>22668</v>
      </c>
      <c r="BC339" s="93" t="s">
        <v>18592</v>
      </c>
      <c r="BD339" s="87">
        <v>344665447</v>
      </c>
      <c r="BE339" s="87"/>
      <c r="BF339" s="87"/>
      <c r="BG339" s="87"/>
      <c r="BH339" s="87"/>
      <c r="BI339" s="87"/>
    </row>
    <row r="340" spans="1:61" x14ac:dyDescent="0.25">
      <c r="A340" s="63" t="s">
        <v>337</v>
      </c>
      <c r="B340" s="63" t="s">
        <v>337</v>
      </c>
      <c r="C340" s="64"/>
      <c r="D340" s="65"/>
      <c r="E340" s="66"/>
      <c r="F340" s="67"/>
      <c r="G340" s="64"/>
      <c r="H340" s="68"/>
      <c r="I340" s="69"/>
      <c r="J340" s="69"/>
      <c r="K340" s="32"/>
      <c r="L340" s="76">
        <v>340</v>
      </c>
      <c r="M340" s="76"/>
      <c r="N340" s="71"/>
      <c r="O340" s="87" t="s">
        <v>179</v>
      </c>
      <c r="P340" s="90">
        <v>45177.542673611111</v>
      </c>
      <c r="Q340" s="87" t="s">
        <v>2177</v>
      </c>
      <c r="R340" s="87">
        <v>1</v>
      </c>
      <c r="S340" s="87">
        <v>1</v>
      </c>
      <c r="T340" s="87">
        <v>0</v>
      </c>
      <c r="U340" s="87">
        <v>0</v>
      </c>
      <c r="V340" s="87">
        <v>14</v>
      </c>
      <c r="W340" s="93" t="s">
        <v>6105</v>
      </c>
      <c r="X340" s="87"/>
      <c r="Y340" s="87"/>
      <c r="Z340" s="87"/>
      <c r="AA340" s="87" t="s">
        <v>8867</v>
      </c>
      <c r="AB340" s="87" t="s">
        <v>11448</v>
      </c>
      <c r="AC340" s="93" t="s">
        <v>11459</v>
      </c>
      <c r="AD340" s="87" t="s">
        <v>11519</v>
      </c>
      <c r="AE340" s="92" t="str">
        <f>HYPERLINK("https://twitter.com/oseiasgomesof/status/1700132240116584718")</f>
        <v>https://twitter.com/oseiasgomesof/status/1700132240116584718</v>
      </c>
      <c r="AF340" s="90">
        <v>45177.542673611111</v>
      </c>
      <c r="AG340" s="99">
        <v>45177</v>
      </c>
      <c r="AH340" s="93" t="s">
        <v>11852</v>
      </c>
      <c r="AI340" s="87" t="b">
        <v>0</v>
      </c>
      <c r="AJ340" s="87"/>
      <c r="AK340" s="87"/>
      <c r="AL340" s="87"/>
      <c r="AM340" s="87"/>
      <c r="AN340" s="87"/>
      <c r="AO340" s="87"/>
      <c r="AP340" s="87"/>
      <c r="AQ340" s="87" t="s">
        <v>15680</v>
      </c>
      <c r="AR340" s="87"/>
      <c r="AS340" s="87"/>
      <c r="AT340" s="87"/>
      <c r="AU340" s="87"/>
      <c r="AV340" s="92" t="str">
        <f>HYPERLINK("https://pbs.twimg.com/media/F5gVQGrWUAAHumN.jpg")</f>
        <v>https://pbs.twimg.com/media/F5gVQGrWUAAHumN.jpg</v>
      </c>
      <c r="AW340" s="93" t="s">
        <v>18593</v>
      </c>
      <c r="AX340" s="93" t="s">
        <v>18593</v>
      </c>
      <c r="AY340" s="87"/>
      <c r="AZ340" s="93" t="s">
        <v>22668</v>
      </c>
      <c r="BA340" s="93" t="s">
        <v>22668</v>
      </c>
      <c r="BB340" s="93" t="s">
        <v>22668</v>
      </c>
      <c r="BC340" s="93" t="s">
        <v>18593</v>
      </c>
      <c r="BD340" s="87">
        <v>344665447</v>
      </c>
      <c r="BE340" s="87"/>
      <c r="BF340" s="87"/>
      <c r="BG340" s="87"/>
      <c r="BH340" s="87"/>
      <c r="BI340" s="87"/>
    </row>
    <row r="341" spans="1:61" x14ac:dyDescent="0.25">
      <c r="A341" s="63" t="s">
        <v>337</v>
      </c>
      <c r="B341" s="63" t="s">
        <v>337</v>
      </c>
      <c r="C341" s="64"/>
      <c r="D341" s="65"/>
      <c r="E341" s="66"/>
      <c r="F341" s="67"/>
      <c r="G341" s="64"/>
      <c r="H341" s="68"/>
      <c r="I341" s="69"/>
      <c r="J341" s="69"/>
      <c r="K341" s="32"/>
      <c r="L341" s="76">
        <v>341</v>
      </c>
      <c r="M341" s="76"/>
      <c r="N341" s="71"/>
      <c r="O341" s="87" t="s">
        <v>179</v>
      </c>
      <c r="P341" s="90">
        <v>45154.809988425928</v>
      </c>
      <c r="Q341" s="87" t="s">
        <v>2178</v>
      </c>
      <c r="R341" s="87">
        <v>1</v>
      </c>
      <c r="S341" s="87">
        <v>1</v>
      </c>
      <c r="T341" s="87">
        <v>0</v>
      </c>
      <c r="U341" s="87">
        <v>0</v>
      </c>
      <c r="V341" s="87">
        <v>61</v>
      </c>
      <c r="W341" s="93" t="s">
        <v>6106</v>
      </c>
      <c r="X341" s="87"/>
      <c r="Y341" s="87"/>
      <c r="Z341" s="87"/>
      <c r="AA341" s="87" t="s">
        <v>8868</v>
      </c>
      <c r="AB341" s="87" t="s">
        <v>11447</v>
      </c>
      <c r="AC341" s="93" t="s">
        <v>11457</v>
      </c>
      <c r="AD341" s="87" t="s">
        <v>11519</v>
      </c>
      <c r="AE341" s="92" t="str">
        <f>HYPERLINK("https://twitter.com/oseiasgomesof/status/1691894191763197984")</f>
        <v>https://twitter.com/oseiasgomesof/status/1691894191763197984</v>
      </c>
      <c r="AF341" s="90">
        <v>45154.809988425928</v>
      </c>
      <c r="AG341" s="99">
        <v>45154</v>
      </c>
      <c r="AH341" s="93" t="s">
        <v>11853</v>
      </c>
      <c r="AI341" s="87" t="b">
        <v>0</v>
      </c>
      <c r="AJ341" s="87"/>
      <c r="AK341" s="87"/>
      <c r="AL341" s="87"/>
      <c r="AM341" s="87"/>
      <c r="AN341" s="87"/>
      <c r="AO341" s="87"/>
      <c r="AP341" s="87"/>
      <c r="AQ341" s="87" t="s">
        <v>15681</v>
      </c>
      <c r="AR341" s="87">
        <v>74112</v>
      </c>
      <c r="AS341" s="87"/>
      <c r="AT341" s="87"/>
      <c r="AU341" s="87"/>
      <c r="AV341" s="92" t="str">
        <f>HYPERLINK("https://pbs.twimg.com/ext_tw_video_thumb/1691893660831358976/pu/img/KJTAOdEBb_Ok5a2D.jpg")</f>
        <v>https://pbs.twimg.com/ext_tw_video_thumb/1691893660831358976/pu/img/KJTAOdEBb_Ok5a2D.jpg</v>
      </c>
      <c r="AW341" s="93" t="s">
        <v>18594</v>
      </c>
      <c r="AX341" s="93" t="s">
        <v>18594</v>
      </c>
      <c r="AY341" s="87"/>
      <c r="AZ341" s="93" t="s">
        <v>22668</v>
      </c>
      <c r="BA341" s="93" t="s">
        <v>22668</v>
      </c>
      <c r="BB341" s="93" t="s">
        <v>22668</v>
      </c>
      <c r="BC341" s="93" t="s">
        <v>18594</v>
      </c>
      <c r="BD341" s="87">
        <v>344665447</v>
      </c>
      <c r="BE341" s="87"/>
      <c r="BF341" s="87"/>
      <c r="BG341" s="87"/>
      <c r="BH341" s="87"/>
      <c r="BI341" s="87"/>
    </row>
    <row r="342" spans="1:61" x14ac:dyDescent="0.25">
      <c r="A342" s="63" t="s">
        <v>337</v>
      </c>
      <c r="B342" s="63" t="s">
        <v>337</v>
      </c>
      <c r="C342" s="64"/>
      <c r="D342" s="65"/>
      <c r="E342" s="66"/>
      <c r="F342" s="67"/>
      <c r="G342" s="64"/>
      <c r="H342" s="68"/>
      <c r="I342" s="69"/>
      <c r="J342" s="69"/>
      <c r="K342" s="32"/>
      <c r="L342" s="76">
        <v>342</v>
      </c>
      <c r="M342" s="76"/>
      <c r="N342" s="71"/>
      <c r="O342" s="87" t="s">
        <v>179</v>
      </c>
      <c r="P342" s="90">
        <v>45183.687951388885</v>
      </c>
      <c r="Q342" s="87" t="s">
        <v>2179</v>
      </c>
      <c r="R342" s="87">
        <v>0</v>
      </c>
      <c r="S342" s="87">
        <v>0</v>
      </c>
      <c r="T342" s="87">
        <v>0</v>
      </c>
      <c r="U342" s="87">
        <v>0</v>
      </c>
      <c r="V342" s="87">
        <v>10</v>
      </c>
      <c r="W342" s="93" t="s">
        <v>6104</v>
      </c>
      <c r="X342" s="87"/>
      <c r="Y342" s="87"/>
      <c r="Z342" s="87"/>
      <c r="AA342" s="87" t="s">
        <v>8869</v>
      </c>
      <c r="AB342" s="87" t="s">
        <v>11447</v>
      </c>
      <c r="AC342" s="93" t="s">
        <v>11459</v>
      </c>
      <c r="AD342" s="87" t="s">
        <v>11519</v>
      </c>
      <c r="AE342" s="92" t="str">
        <f>HYPERLINK("https://twitter.com/oseiasgomesof/status/1702359214004310308")</f>
        <v>https://twitter.com/oseiasgomesof/status/1702359214004310308</v>
      </c>
      <c r="AF342" s="90">
        <v>45183.687951388885</v>
      </c>
      <c r="AG342" s="99">
        <v>45183</v>
      </c>
      <c r="AH342" s="93" t="s">
        <v>11854</v>
      </c>
      <c r="AI342" s="87" t="b">
        <v>0</v>
      </c>
      <c r="AJ342" s="87"/>
      <c r="AK342" s="87"/>
      <c r="AL342" s="87"/>
      <c r="AM342" s="87"/>
      <c r="AN342" s="87"/>
      <c r="AO342" s="87"/>
      <c r="AP342" s="87"/>
      <c r="AQ342" s="87" t="s">
        <v>15682</v>
      </c>
      <c r="AR342" s="87">
        <v>50316</v>
      </c>
      <c r="AS342" s="87"/>
      <c r="AT342" s="87"/>
      <c r="AU342" s="87"/>
      <c r="AV342" s="92" t="str">
        <f>HYPERLINK("https://pbs.twimg.com/ext_tw_video_thumb/1702359136711675904/pu/img/wkC9rU-5wLYl57uj.jpg")</f>
        <v>https://pbs.twimg.com/ext_tw_video_thumb/1702359136711675904/pu/img/wkC9rU-5wLYl57uj.jpg</v>
      </c>
      <c r="AW342" s="93" t="s">
        <v>18595</v>
      </c>
      <c r="AX342" s="93" t="s">
        <v>18595</v>
      </c>
      <c r="AY342" s="87"/>
      <c r="AZ342" s="93" t="s">
        <v>22668</v>
      </c>
      <c r="BA342" s="93" t="s">
        <v>22668</v>
      </c>
      <c r="BB342" s="93" t="s">
        <v>22668</v>
      </c>
      <c r="BC342" s="93" t="s">
        <v>18595</v>
      </c>
      <c r="BD342" s="87">
        <v>344665447</v>
      </c>
      <c r="BE342" s="87"/>
      <c r="BF342" s="87"/>
      <c r="BG342" s="87"/>
      <c r="BH342" s="87"/>
      <c r="BI342" s="87"/>
    </row>
    <row r="343" spans="1:61" x14ac:dyDescent="0.25">
      <c r="A343" s="63" t="s">
        <v>337</v>
      </c>
      <c r="B343" s="63" t="s">
        <v>337</v>
      </c>
      <c r="C343" s="64"/>
      <c r="D343" s="65"/>
      <c r="E343" s="66"/>
      <c r="F343" s="67"/>
      <c r="G343" s="64"/>
      <c r="H343" s="68"/>
      <c r="I343" s="69"/>
      <c r="J343" s="69"/>
      <c r="K343" s="32"/>
      <c r="L343" s="76">
        <v>343</v>
      </c>
      <c r="M343" s="76"/>
      <c r="N343" s="71"/>
      <c r="O343" s="87" t="s">
        <v>179</v>
      </c>
      <c r="P343" s="90">
        <v>45183.687939814816</v>
      </c>
      <c r="Q343" s="87" t="s">
        <v>2180</v>
      </c>
      <c r="R343" s="87">
        <v>0</v>
      </c>
      <c r="S343" s="87">
        <v>0</v>
      </c>
      <c r="T343" s="87">
        <v>0</v>
      </c>
      <c r="U343" s="87">
        <v>0</v>
      </c>
      <c r="V343" s="87">
        <v>9</v>
      </c>
      <c r="W343" s="93" t="s">
        <v>6104</v>
      </c>
      <c r="X343" s="87"/>
      <c r="Y343" s="87"/>
      <c r="Z343" s="87"/>
      <c r="AA343" s="87" t="s">
        <v>8870</v>
      </c>
      <c r="AB343" s="87" t="s">
        <v>11447</v>
      </c>
      <c r="AC343" s="93" t="s">
        <v>11459</v>
      </c>
      <c r="AD343" s="87" t="s">
        <v>11519</v>
      </c>
      <c r="AE343" s="92" t="str">
        <f>HYPERLINK("https://twitter.com/oseiasgomesof/status/1702359210720215079")</f>
        <v>https://twitter.com/oseiasgomesof/status/1702359210720215079</v>
      </c>
      <c r="AF343" s="90">
        <v>45183.687939814816</v>
      </c>
      <c r="AG343" s="99">
        <v>45183</v>
      </c>
      <c r="AH343" s="93" t="s">
        <v>11855</v>
      </c>
      <c r="AI343" s="87" t="b">
        <v>0</v>
      </c>
      <c r="AJ343" s="87"/>
      <c r="AK343" s="87"/>
      <c r="AL343" s="87"/>
      <c r="AM343" s="87"/>
      <c r="AN343" s="87"/>
      <c r="AO343" s="87"/>
      <c r="AP343" s="87"/>
      <c r="AQ343" s="87" t="s">
        <v>15683</v>
      </c>
      <c r="AR343" s="87">
        <v>50316</v>
      </c>
      <c r="AS343" s="87"/>
      <c r="AT343" s="87"/>
      <c r="AU343" s="87"/>
      <c r="AV343" s="92" t="str">
        <f>HYPERLINK("https://pbs.twimg.com/ext_tw_video_thumb/1702359136720101376/pu/img/vOsb4ElsEbuRwQ2q.jpg")</f>
        <v>https://pbs.twimg.com/ext_tw_video_thumb/1702359136720101376/pu/img/vOsb4ElsEbuRwQ2q.jpg</v>
      </c>
      <c r="AW343" s="93" t="s">
        <v>18596</v>
      </c>
      <c r="AX343" s="93" t="s">
        <v>18596</v>
      </c>
      <c r="AY343" s="87"/>
      <c r="AZ343" s="93" t="s">
        <v>22668</v>
      </c>
      <c r="BA343" s="93" t="s">
        <v>22668</v>
      </c>
      <c r="BB343" s="93" t="s">
        <v>22668</v>
      </c>
      <c r="BC343" s="93" t="s">
        <v>18596</v>
      </c>
      <c r="BD343" s="87">
        <v>344665447</v>
      </c>
      <c r="BE343" s="87"/>
      <c r="BF343" s="87"/>
      <c r="BG343" s="87"/>
      <c r="BH343" s="87"/>
      <c r="BI343" s="87"/>
    </row>
    <row r="344" spans="1:61" x14ac:dyDescent="0.25">
      <c r="A344" s="63" t="s">
        <v>337</v>
      </c>
      <c r="B344" s="63" t="s">
        <v>337</v>
      </c>
      <c r="C344" s="64"/>
      <c r="D344" s="65"/>
      <c r="E344" s="66"/>
      <c r="F344" s="67"/>
      <c r="G344" s="64"/>
      <c r="H344" s="68"/>
      <c r="I344" s="69"/>
      <c r="J344" s="69"/>
      <c r="K344" s="32"/>
      <c r="L344" s="76">
        <v>344</v>
      </c>
      <c r="M344" s="76"/>
      <c r="N344" s="71"/>
      <c r="O344" s="87" t="s">
        <v>179</v>
      </c>
      <c r="P344" s="90">
        <v>45183.687256944446</v>
      </c>
      <c r="Q344" s="87" t="s">
        <v>2181</v>
      </c>
      <c r="R344" s="87">
        <v>0</v>
      </c>
      <c r="S344" s="87">
        <v>0</v>
      </c>
      <c r="T344" s="87">
        <v>0</v>
      </c>
      <c r="U344" s="87">
        <v>0</v>
      </c>
      <c r="V344" s="87">
        <v>10</v>
      </c>
      <c r="W344" s="93" t="s">
        <v>6104</v>
      </c>
      <c r="X344" s="87"/>
      <c r="Y344" s="87"/>
      <c r="Z344" s="87"/>
      <c r="AA344" s="87" t="s">
        <v>8871</v>
      </c>
      <c r="AB344" s="87" t="s">
        <v>11448</v>
      </c>
      <c r="AC344" s="93" t="s">
        <v>11459</v>
      </c>
      <c r="AD344" s="87" t="s">
        <v>11519</v>
      </c>
      <c r="AE344" s="92" t="str">
        <f>HYPERLINK("https://twitter.com/oseiasgomesof/status/1702358960026550590")</f>
        <v>https://twitter.com/oseiasgomesof/status/1702358960026550590</v>
      </c>
      <c r="AF344" s="90">
        <v>45183.687256944446</v>
      </c>
      <c r="AG344" s="99">
        <v>45183</v>
      </c>
      <c r="AH344" s="93" t="s">
        <v>11856</v>
      </c>
      <c r="AI344" s="87" t="b">
        <v>0</v>
      </c>
      <c r="AJ344" s="87"/>
      <c r="AK344" s="87"/>
      <c r="AL344" s="87"/>
      <c r="AM344" s="87"/>
      <c r="AN344" s="87"/>
      <c r="AO344" s="87"/>
      <c r="AP344" s="87"/>
      <c r="AQ344" s="87" t="s">
        <v>15684</v>
      </c>
      <c r="AR344" s="87"/>
      <c r="AS344" s="87"/>
      <c r="AT344" s="87"/>
      <c r="AU344" s="87"/>
      <c r="AV344" s="92" t="str">
        <f>HYPERLINK("https://pbs.twimg.com/media/F5_-c-kXQAACqFW.jpg")</f>
        <v>https://pbs.twimg.com/media/F5_-c-kXQAACqFW.jpg</v>
      </c>
      <c r="AW344" s="93" t="s">
        <v>18597</v>
      </c>
      <c r="AX344" s="93" t="s">
        <v>18597</v>
      </c>
      <c r="AY344" s="87"/>
      <c r="AZ344" s="93" t="s">
        <v>22668</v>
      </c>
      <c r="BA344" s="93" t="s">
        <v>22668</v>
      </c>
      <c r="BB344" s="93" t="s">
        <v>22668</v>
      </c>
      <c r="BC344" s="93" t="s">
        <v>18597</v>
      </c>
      <c r="BD344" s="87">
        <v>344665447</v>
      </c>
      <c r="BE344" s="87"/>
      <c r="BF344" s="87"/>
      <c r="BG344" s="87"/>
      <c r="BH344" s="87"/>
      <c r="BI344" s="87"/>
    </row>
    <row r="345" spans="1:61" x14ac:dyDescent="0.25">
      <c r="A345" s="63" t="s">
        <v>337</v>
      </c>
      <c r="B345" s="63" t="s">
        <v>337</v>
      </c>
      <c r="C345" s="64"/>
      <c r="D345" s="65"/>
      <c r="E345" s="66"/>
      <c r="F345" s="67"/>
      <c r="G345" s="64"/>
      <c r="H345" s="68"/>
      <c r="I345" s="69"/>
      <c r="J345" s="69"/>
      <c r="K345" s="32"/>
      <c r="L345" s="76">
        <v>345</v>
      </c>
      <c r="M345" s="76"/>
      <c r="N345" s="71"/>
      <c r="O345" s="87" t="s">
        <v>179</v>
      </c>
      <c r="P345" s="90">
        <v>45194.718101851853</v>
      </c>
      <c r="Q345" s="87" t="s">
        <v>2182</v>
      </c>
      <c r="R345" s="87">
        <v>0</v>
      </c>
      <c r="S345" s="87">
        <v>0</v>
      </c>
      <c r="T345" s="87">
        <v>0</v>
      </c>
      <c r="U345" s="87">
        <v>0</v>
      </c>
      <c r="V345" s="87">
        <v>12</v>
      </c>
      <c r="W345" s="93" t="s">
        <v>6104</v>
      </c>
      <c r="X345" s="87"/>
      <c r="Y345" s="87"/>
      <c r="Z345" s="87"/>
      <c r="AA345" s="87" t="s">
        <v>8872</v>
      </c>
      <c r="AB345" s="87" t="s">
        <v>11447</v>
      </c>
      <c r="AC345" s="93" t="s">
        <v>11459</v>
      </c>
      <c r="AD345" s="87" t="s">
        <v>11519</v>
      </c>
      <c r="AE345" s="92" t="str">
        <f>HYPERLINK("https://twitter.com/oseiasgomesof/status/1706356404724895850")</f>
        <v>https://twitter.com/oseiasgomesof/status/1706356404724895850</v>
      </c>
      <c r="AF345" s="90">
        <v>45194.718101851853</v>
      </c>
      <c r="AG345" s="99">
        <v>45194</v>
      </c>
      <c r="AH345" s="93" t="s">
        <v>11857</v>
      </c>
      <c r="AI345" s="87" t="b">
        <v>0</v>
      </c>
      <c r="AJ345" s="87"/>
      <c r="AK345" s="87"/>
      <c r="AL345" s="87"/>
      <c r="AM345" s="87"/>
      <c r="AN345" s="87"/>
      <c r="AO345" s="87"/>
      <c r="AP345" s="87"/>
      <c r="AQ345" s="87" t="s">
        <v>15685</v>
      </c>
      <c r="AR345" s="87">
        <v>107199</v>
      </c>
      <c r="AS345" s="87"/>
      <c r="AT345" s="87"/>
      <c r="AU345" s="87"/>
      <c r="AV345" s="92" t="str">
        <f>HYPERLINK("https://pbs.twimg.com/ext_tw_video_thumb/1706356108783190016/pu/img/dlnIw1p6D_n7jfG8.jpg")</f>
        <v>https://pbs.twimg.com/ext_tw_video_thumb/1706356108783190016/pu/img/dlnIw1p6D_n7jfG8.jpg</v>
      </c>
      <c r="AW345" s="93" t="s">
        <v>18598</v>
      </c>
      <c r="AX345" s="93" t="s">
        <v>18598</v>
      </c>
      <c r="AY345" s="87"/>
      <c r="AZ345" s="93" t="s">
        <v>22668</v>
      </c>
      <c r="BA345" s="93" t="s">
        <v>22668</v>
      </c>
      <c r="BB345" s="93" t="s">
        <v>22668</v>
      </c>
      <c r="BC345" s="93" t="s">
        <v>18598</v>
      </c>
      <c r="BD345" s="87">
        <v>344665447</v>
      </c>
      <c r="BE345" s="87"/>
      <c r="BF345" s="87"/>
      <c r="BG345" s="87"/>
      <c r="BH345" s="87"/>
      <c r="BI345" s="87"/>
    </row>
    <row r="346" spans="1:61" x14ac:dyDescent="0.25">
      <c r="A346" s="63" t="s">
        <v>337</v>
      </c>
      <c r="B346" s="63" t="s">
        <v>337</v>
      </c>
      <c r="C346" s="64"/>
      <c r="D346" s="65"/>
      <c r="E346" s="66"/>
      <c r="F346" s="67"/>
      <c r="G346" s="64"/>
      <c r="H346" s="68"/>
      <c r="I346" s="69"/>
      <c r="J346" s="69"/>
      <c r="K346" s="32"/>
      <c r="L346" s="76">
        <v>346</v>
      </c>
      <c r="M346" s="76"/>
      <c r="N346" s="71"/>
      <c r="O346" s="87" t="s">
        <v>179</v>
      </c>
      <c r="P346" s="90">
        <v>45191.686273148145</v>
      </c>
      <c r="Q346" s="87" t="s">
        <v>2183</v>
      </c>
      <c r="R346" s="87">
        <v>0</v>
      </c>
      <c r="S346" s="87">
        <v>0</v>
      </c>
      <c r="T346" s="87">
        <v>0</v>
      </c>
      <c r="U346" s="87">
        <v>0</v>
      </c>
      <c r="V346" s="87">
        <v>8</v>
      </c>
      <c r="W346" s="93" t="s">
        <v>6107</v>
      </c>
      <c r="X346" s="87"/>
      <c r="Y346" s="87"/>
      <c r="Z346" s="87"/>
      <c r="AA346" s="87" t="s">
        <v>8873</v>
      </c>
      <c r="AB346" s="87" t="s">
        <v>11447</v>
      </c>
      <c r="AC346" s="93" t="s">
        <v>11459</v>
      </c>
      <c r="AD346" s="87" t="s">
        <v>11519</v>
      </c>
      <c r="AE346" s="92" t="str">
        <f>HYPERLINK("https://twitter.com/oseiasgomesof/status/1705257709744857468")</f>
        <v>https://twitter.com/oseiasgomesof/status/1705257709744857468</v>
      </c>
      <c r="AF346" s="90">
        <v>45191.686273148145</v>
      </c>
      <c r="AG346" s="99">
        <v>45191</v>
      </c>
      <c r="AH346" s="93" t="s">
        <v>11858</v>
      </c>
      <c r="AI346" s="87" t="b">
        <v>0</v>
      </c>
      <c r="AJ346" s="87"/>
      <c r="AK346" s="87"/>
      <c r="AL346" s="87"/>
      <c r="AM346" s="87"/>
      <c r="AN346" s="87"/>
      <c r="AO346" s="87"/>
      <c r="AP346" s="87"/>
      <c r="AQ346" s="87" t="s">
        <v>15686</v>
      </c>
      <c r="AR346" s="87">
        <v>90750</v>
      </c>
      <c r="AS346" s="87"/>
      <c r="AT346" s="87"/>
      <c r="AU346" s="87"/>
      <c r="AV346" s="92" t="str">
        <f>HYPERLINK("https://pbs.twimg.com/ext_tw_video_thumb/1705257544267059204/pu/img/egEA1I8zo2UUmKm3.jpg")</f>
        <v>https://pbs.twimg.com/ext_tw_video_thumb/1705257544267059204/pu/img/egEA1I8zo2UUmKm3.jpg</v>
      </c>
      <c r="AW346" s="93" t="s">
        <v>18599</v>
      </c>
      <c r="AX346" s="93" t="s">
        <v>18599</v>
      </c>
      <c r="AY346" s="87"/>
      <c r="AZ346" s="93" t="s">
        <v>22668</v>
      </c>
      <c r="BA346" s="93" t="s">
        <v>22668</v>
      </c>
      <c r="BB346" s="93" t="s">
        <v>22668</v>
      </c>
      <c r="BC346" s="93" t="s">
        <v>18599</v>
      </c>
      <c r="BD346" s="87">
        <v>344665447</v>
      </c>
      <c r="BE346" s="87"/>
      <c r="BF346" s="87"/>
      <c r="BG346" s="87"/>
      <c r="BH346" s="87"/>
      <c r="BI346" s="87"/>
    </row>
    <row r="347" spans="1:61" x14ac:dyDescent="0.25">
      <c r="A347" s="63" t="s">
        <v>337</v>
      </c>
      <c r="B347" s="63" t="s">
        <v>337</v>
      </c>
      <c r="C347" s="64"/>
      <c r="D347" s="65"/>
      <c r="E347" s="66"/>
      <c r="F347" s="67"/>
      <c r="G347" s="64"/>
      <c r="H347" s="68"/>
      <c r="I347" s="69"/>
      <c r="J347" s="69"/>
      <c r="K347" s="32"/>
      <c r="L347" s="76">
        <v>347</v>
      </c>
      <c r="M347" s="76"/>
      <c r="N347" s="71"/>
      <c r="O347" s="87" t="s">
        <v>179</v>
      </c>
      <c r="P347" s="90">
        <v>45190.472928240742</v>
      </c>
      <c r="Q347" s="87" t="s">
        <v>2184</v>
      </c>
      <c r="R347" s="87">
        <v>0</v>
      </c>
      <c r="S347" s="87">
        <v>0</v>
      </c>
      <c r="T347" s="87">
        <v>0</v>
      </c>
      <c r="U347" s="87">
        <v>0</v>
      </c>
      <c r="V347" s="87">
        <v>16</v>
      </c>
      <c r="W347" s="93" t="s">
        <v>6108</v>
      </c>
      <c r="X347" s="87"/>
      <c r="Y347" s="87"/>
      <c r="Z347" s="87"/>
      <c r="AA347" s="87" t="s">
        <v>8874</v>
      </c>
      <c r="AB347" s="87" t="s">
        <v>11447</v>
      </c>
      <c r="AC347" s="93" t="s">
        <v>11459</v>
      </c>
      <c r="AD347" s="87" t="s">
        <v>11519</v>
      </c>
      <c r="AE347" s="92" t="str">
        <f>HYPERLINK("https://twitter.com/oseiasgomesof/status/1704818006616932503")</f>
        <v>https://twitter.com/oseiasgomesof/status/1704818006616932503</v>
      </c>
      <c r="AF347" s="90">
        <v>45190.472928240742</v>
      </c>
      <c r="AG347" s="99">
        <v>45190</v>
      </c>
      <c r="AH347" s="93" t="s">
        <v>11859</v>
      </c>
      <c r="AI347" s="87" t="b">
        <v>0</v>
      </c>
      <c r="AJ347" s="87"/>
      <c r="AK347" s="87"/>
      <c r="AL347" s="87"/>
      <c r="AM347" s="87"/>
      <c r="AN347" s="87"/>
      <c r="AO347" s="87"/>
      <c r="AP347" s="87"/>
      <c r="AQ347" s="87" t="s">
        <v>15687</v>
      </c>
      <c r="AR347" s="87">
        <v>83966</v>
      </c>
      <c r="AS347" s="87"/>
      <c r="AT347" s="87"/>
      <c r="AU347" s="87"/>
      <c r="AV347" s="92" t="str">
        <f>HYPERLINK("https://pbs.twimg.com/ext_tw_video_thumb/1704817825045508096/pu/img/pSa03sKFlIGFByM2.jpg")</f>
        <v>https://pbs.twimg.com/ext_tw_video_thumb/1704817825045508096/pu/img/pSa03sKFlIGFByM2.jpg</v>
      </c>
      <c r="AW347" s="93" t="s">
        <v>18600</v>
      </c>
      <c r="AX347" s="93" t="s">
        <v>18600</v>
      </c>
      <c r="AY347" s="87"/>
      <c r="AZ347" s="93" t="s">
        <v>22668</v>
      </c>
      <c r="BA347" s="93" t="s">
        <v>22668</v>
      </c>
      <c r="BB347" s="93" t="s">
        <v>22668</v>
      </c>
      <c r="BC347" s="93" t="s">
        <v>18600</v>
      </c>
      <c r="BD347" s="87">
        <v>344665447</v>
      </c>
      <c r="BE347" s="87"/>
      <c r="BF347" s="87"/>
      <c r="BG347" s="87"/>
      <c r="BH347" s="87"/>
      <c r="BI347" s="87"/>
    </row>
    <row r="348" spans="1:61" x14ac:dyDescent="0.25">
      <c r="A348" s="63" t="s">
        <v>337</v>
      </c>
      <c r="B348" s="63" t="s">
        <v>337</v>
      </c>
      <c r="C348" s="64"/>
      <c r="D348" s="65"/>
      <c r="E348" s="66"/>
      <c r="F348" s="67"/>
      <c r="G348" s="64"/>
      <c r="H348" s="68"/>
      <c r="I348" s="69"/>
      <c r="J348" s="69"/>
      <c r="K348" s="32"/>
      <c r="L348" s="76">
        <v>348</v>
      </c>
      <c r="M348" s="76"/>
      <c r="N348" s="71"/>
      <c r="O348" s="87" t="s">
        <v>179</v>
      </c>
      <c r="P348" s="90">
        <v>45188.575497685182</v>
      </c>
      <c r="Q348" s="87" t="s">
        <v>2185</v>
      </c>
      <c r="R348" s="87">
        <v>0</v>
      </c>
      <c r="S348" s="87">
        <v>0</v>
      </c>
      <c r="T348" s="87">
        <v>0</v>
      </c>
      <c r="U348" s="87">
        <v>0</v>
      </c>
      <c r="V348" s="87">
        <v>17</v>
      </c>
      <c r="W348" s="93" t="s">
        <v>6108</v>
      </c>
      <c r="X348" s="87"/>
      <c r="Y348" s="87"/>
      <c r="Z348" s="87"/>
      <c r="AA348" s="87" t="s">
        <v>8875</v>
      </c>
      <c r="AB348" s="87" t="s">
        <v>11447</v>
      </c>
      <c r="AC348" s="93" t="s">
        <v>11459</v>
      </c>
      <c r="AD348" s="87" t="s">
        <v>11519</v>
      </c>
      <c r="AE348" s="92" t="str">
        <f>HYPERLINK("https://twitter.com/oseiasgomesof/status/1704130402091454707")</f>
        <v>https://twitter.com/oseiasgomesof/status/1704130402091454707</v>
      </c>
      <c r="AF348" s="90">
        <v>45188.575497685182</v>
      </c>
      <c r="AG348" s="99">
        <v>45188</v>
      </c>
      <c r="AH348" s="93" t="s">
        <v>11860</v>
      </c>
      <c r="AI348" s="87" t="b">
        <v>0</v>
      </c>
      <c r="AJ348" s="87"/>
      <c r="AK348" s="87"/>
      <c r="AL348" s="87"/>
      <c r="AM348" s="87"/>
      <c r="AN348" s="87"/>
      <c r="AO348" s="87"/>
      <c r="AP348" s="87"/>
      <c r="AQ348" s="87" t="s">
        <v>15688</v>
      </c>
      <c r="AR348" s="87">
        <v>101822</v>
      </c>
      <c r="AS348" s="87"/>
      <c r="AT348" s="87"/>
      <c r="AU348" s="87"/>
      <c r="AV348" s="92" t="str">
        <f>HYPERLINK("https://pbs.twimg.com/ext_tw_video_thumb/1704130030589337600/pu/img/LMBLDAFP-ddlg5cD.jpg")</f>
        <v>https://pbs.twimg.com/ext_tw_video_thumb/1704130030589337600/pu/img/LMBLDAFP-ddlg5cD.jpg</v>
      </c>
      <c r="AW348" s="93" t="s">
        <v>18601</v>
      </c>
      <c r="AX348" s="93" t="s">
        <v>18601</v>
      </c>
      <c r="AY348" s="87"/>
      <c r="AZ348" s="93" t="s">
        <v>22668</v>
      </c>
      <c r="BA348" s="93" t="s">
        <v>22668</v>
      </c>
      <c r="BB348" s="93" t="s">
        <v>22668</v>
      </c>
      <c r="BC348" s="93" t="s">
        <v>18601</v>
      </c>
      <c r="BD348" s="87">
        <v>344665447</v>
      </c>
      <c r="BE348" s="87"/>
      <c r="BF348" s="87"/>
      <c r="BG348" s="87"/>
      <c r="BH348" s="87"/>
      <c r="BI348" s="87"/>
    </row>
    <row r="349" spans="1:61" x14ac:dyDescent="0.25">
      <c r="A349" s="63" t="s">
        <v>338</v>
      </c>
      <c r="B349" s="63" t="s">
        <v>338</v>
      </c>
      <c r="C349" s="64"/>
      <c r="D349" s="65"/>
      <c r="E349" s="66"/>
      <c r="F349" s="67"/>
      <c r="G349" s="64"/>
      <c r="H349" s="68"/>
      <c r="I349" s="69"/>
      <c r="J349" s="69"/>
      <c r="K349" s="32"/>
      <c r="L349" s="76">
        <v>349</v>
      </c>
      <c r="M349" s="76"/>
      <c r="N349" s="71"/>
      <c r="O349" s="87" t="s">
        <v>179</v>
      </c>
      <c r="P349" s="90">
        <v>45111.96597222222</v>
      </c>
      <c r="Q349" s="87" t="s">
        <v>2186</v>
      </c>
      <c r="R349" s="87">
        <v>0</v>
      </c>
      <c r="S349" s="87">
        <v>0</v>
      </c>
      <c r="T349" s="87">
        <v>0</v>
      </c>
      <c r="U349" s="87">
        <v>0</v>
      </c>
      <c r="V349" s="87">
        <v>3</v>
      </c>
      <c r="W349" s="93" t="s">
        <v>6109</v>
      </c>
      <c r="X349" s="92" t="str">
        <f>HYPERLINK("https://energiaempreendedora.blogspot.com/2019/10/etica-no-empreendedorismo.html")</f>
        <v>https://energiaempreendedora.blogspot.com/2019/10/etica-no-empreendedorismo.html</v>
      </c>
      <c r="Y349" s="87" t="s">
        <v>8394</v>
      </c>
      <c r="Z349" s="87"/>
      <c r="AA349" s="87"/>
      <c r="AB349" s="87"/>
      <c r="AC349" s="93" t="s">
        <v>11457</v>
      </c>
      <c r="AD349" s="87" t="s">
        <v>11519</v>
      </c>
      <c r="AE349" s="92" t="str">
        <f>HYPERLINK("https://twitter.com/luizaandreiaaa/status/1676368037514203137")</f>
        <v>https://twitter.com/luizaandreiaaa/status/1676368037514203137</v>
      </c>
      <c r="AF349" s="90">
        <v>45111.96597222222</v>
      </c>
      <c r="AG349" s="99">
        <v>45111</v>
      </c>
      <c r="AH349" s="93" t="s">
        <v>11861</v>
      </c>
      <c r="AI349" s="87" t="b">
        <v>0</v>
      </c>
      <c r="AJ349" s="87"/>
      <c r="AK349" s="87"/>
      <c r="AL349" s="87"/>
      <c r="AM349" s="87"/>
      <c r="AN349" s="87"/>
      <c r="AO349" s="87"/>
      <c r="AP349" s="87"/>
      <c r="AQ349" s="87"/>
      <c r="AR349" s="87"/>
      <c r="AS349" s="87"/>
      <c r="AT349" s="87"/>
      <c r="AU349" s="87"/>
      <c r="AV349" s="92" t="str">
        <f>HYPERLINK("https://pbs.twimg.com/profile_images/1690827427415543808/DOeEZ8nx_normal.jpg")</f>
        <v>https://pbs.twimg.com/profile_images/1690827427415543808/DOeEZ8nx_normal.jpg</v>
      </c>
      <c r="AW349" s="93" t="s">
        <v>18602</v>
      </c>
      <c r="AX349" s="93" t="s">
        <v>18602</v>
      </c>
      <c r="AY349" s="87"/>
      <c r="AZ349" s="93" t="s">
        <v>22668</v>
      </c>
      <c r="BA349" s="93" t="s">
        <v>22668</v>
      </c>
      <c r="BB349" s="93" t="s">
        <v>22668</v>
      </c>
      <c r="BC349" s="93" t="s">
        <v>18602</v>
      </c>
      <c r="BD349" s="93" t="s">
        <v>22859</v>
      </c>
      <c r="BE349" s="87"/>
      <c r="BF349" s="87"/>
      <c r="BG349" s="87"/>
      <c r="BH349" s="87"/>
      <c r="BI349" s="87"/>
    </row>
    <row r="350" spans="1:61" x14ac:dyDescent="0.25">
      <c r="A350" s="63" t="s">
        <v>338</v>
      </c>
      <c r="B350" s="63" t="s">
        <v>338</v>
      </c>
      <c r="C350" s="64"/>
      <c r="D350" s="65"/>
      <c r="E350" s="66"/>
      <c r="F350" s="67"/>
      <c r="G350" s="64"/>
      <c r="H350" s="68"/>
      <c r="I350" s="69"/>
      <c r="J350" s="69"/>
      <c r="K350" s="32"/>
      <c r="L350" s="76">
        <v>350</v>
      </c>
      <c r="M350" s="76"/>
      <c r="N350" s="71"/>
      <c r="O350" s="87" t="s">
        <v>179</v>
      </c>
      <c r="P350" s="90">
        <v>45134.986805555556</v>
      </c>
      <c r="Q350" s="87" t="s">
        <v>2187</v>
      </c>
      <c r="R350" s="87">
        <v>0</v>
      </c>
      <c r="S350" s="87">
        <v>0</v>
      </c>
      <c r="T350" s="87">
        <v>0</v>
      </c>
      <c r="U350" s="87">
        <v>0</v>
      </c>
      <c r="V350" s="87">
        <v>2</v>
      </c>
      <c r="W350" s="93" t="s">
        <v>5897</v>
      </c>
      <c r="X350" s="92" t="str">
        <f>HYPERLINK("https://energiaempreendedora.blogspot.com/2019/10/persistencia-empreendedor.html")</f>
        <v>https://energiaempreendedora.blogspot.com/2019/10/persistencia-empreendedor.html</v>
      </c>
      <c r="Y350" s="87" t="s">
        <v>8394</v>
      </c>
      <c r="Z350" s="87"/>
      <c r="AA350" s="87"/>
      <c r="AB350" s="87"/>
      <c r="AC350" s="93" t="s">
        <v>11457</v>
      </c>
      <c r="AD350" s="87" t="s">
        <v>11519</v>
      </c>
      <c r="AE350" s="92" t="str">
        <f>HYPERLINK("https://twitter.com/luizaandreiaaa/status/1684710508107296768")</f>
        <v>https://twitter.com/luizaandreiaaa/status/1684710508107296768</v>
      </c>
      <c r="AF350" s="90">
        <v>45134.986805555556</v>
      </c>
      <c r="AG350" s="99">
        <v>45134</v>
      </c>
      <c r="AH350" s="93" t="s">
        <v>11862</v>
      </c>
      <c r="AI350" s="87" t="b">
        <v>0</v>
      </c>
      <c r="AJ350" s="87"/>
      <c r="AK350" s="87"/>
      <c r="AL350" s="87"/>
      <c r="AM350" s="87"/>
      <c r="AN350" s="87"/>
      <c r="AO350" s="87"/>
      <c r="AP350" s="87"/>
      <c r="AQ350" s="87"/>
      <c r="AR350" s="87"/>
      <c r="AS350" s="87"/>
      <c r="AT350" s="87"/>
      <c r="AU350" s="87"/>
      <c r="AV350" s="92" t="str">
        <f>HYPERLINK("https://pbs.twimg.com/profile_images/1690827427415543808/DOeEZ8nx_normal.jpg")</f>
        <v>https://pbs.twimg.com/profile_images/1690827427415543808/DOeEZ8nx_normal.jpg</v>
      </c>
      <c r="AW350" s="93" t="s">
        <v>18603</v>
      </c>
      <c r="AX350" s="93" t="s">
        <v>18603</v>
      </c>
      <c r="AY350" s="87"/>
      <c r="AZ350" s="93" t="s">
        <v>22668</v>
      </c>
      <c r="BA350" s="93" t="s">
        <v>22668</v>
      </c>
      <c r="BB350" s="93" t="s">
        <v>22668</v>
      </c>
      <c r="BC350" s="93" t="s">
        <v>18603</v>
      </c>
      <c r="BD350" s="93" t="s">
        <v>22859</v>
      </c>
      <c r="BE350" s="87"/>
      <c r="BF350" s="87"/>
      <c r="BG350" s="87"/>
      <c r="BH350" s="87"/>
      <c r="BI350" s="87"/>
    </row>
    <row r="351" spans="1:61" x14ac:dyDescent="0.25">
      <c r="A351" s="63" t="s">
        <v>339</v>
      </c>
      <c r="B351" s="63" t="s">
        <v>339</v>
      </c>
      <c r="C351" s="64"/>
      <c r="D351" s="65"/>
      <c r="E351" s="66"/>
      <c r="F351" s="67"/>
      <c r="G351" s="64"/>
      <c r="H351" s="68"/>
      <c r="I351" s="69"/>
      <c r="J351" s="69"/>
      <c r="K351" s="32"/>
      <c r="L351" s="76">
        <v>351</v>
      </c>
      <c r="M351" s="76"/>
      <c r="N351" s="71"/>
      <c r="O351" s="87" t="s">
        <v>1840</v>
      </c>
      <c r="P351" s="90">
        <v>45164.914375</v>
      </c>
      <c r="Q351" s="87" t="s">
        <v>2188</v>
      </c>
      <c r="R351" s="87">
        <v>0</v>
      </c>
      <c r="S351" s="87">
        <v>0</v>
      </c>
      <c r="T351" s="87">
        <v>0</v>
      </c>
      <c r="U351" s="87">
        <v>0</v>
      </c>
      <c r="V351" s="87">
        <v>59</v>
      </c>
      <c r="W351" s="93" t="s">
        <v>6110</v>
      </c>
      <c r="X351" s="92" t="str">
        <f>HYPERLINK("https://forms.gle/KfshNbre8cn5JYPM6")</f>
        <v>https://forms.gle/KfshNbre8cn5JYPM6</v>
      </c>
      <c r="Y351" s="87" t="s">
        <v>8395</v>
      </c>
      <c r="Z351" s="87"/>
      <c r="AA351" s="87" t="s">
        <v>8876</v>
      </c>
      <c r="AB351" s="87" t="s">
        <v>11450</v>
      </c>
      <c r="AC351" s="93" t="s">
        <v>11459</v>
      </c>
      <c r="AD351" s="87" t="s">
        <v>11519</v>
      </c>
      <c r="AE351" s="92" t="str">
        <f>HYPERLINK("https://twitter.com/oabpara/status/1695555896170979707")</f>
        <v>https://twitter.com/oabpara/status/1695555896170979707</v>
      </c>
      <c r="AF351" s="90">
        <v>45164.914375</v>
      </c>
      <c r="AG351" s="99">
        <v>45164</v>
      </c>
      <c r="AH351" s="93" t="s">
        <v>11863</v>
      </c>
      <c r="AI351" s="87" t="b">
        <v>0</v>
      </c>
      <c r="AJ351" s="87"/>
      <c r="AK351" s="87"/>
      <c r="AL351" s="87"/>
      <c r="AM351" s="87"/>
      <c r="AN351" s="87"/>
      <c r="AO351" s="87"/>
      <c r="AP351" s="87"/>
      <c r="AQ351" s="87" t="s">
        <v>15689</v>
      </c>
      <c r="AR351" s="87"/>
      <c r="AS351" s="87"/>
      <c r="AT351" s="87"/>
      <c r="AU351" s="87"/>
      <c r="AV351" s="92" t="str">
        <f>HYPERLINK("https://pbs.twimg.com/media/F4fTFJUW4AAdnsx.jpg")</f>
        <v>https://pbs.twimg.com/media/F4fTFJUW4AAdnsx.jpg</v>
      </c>
      <c r="AW351" s="93" t="s">
        <v>18604</v>
      </c>
      <c r="AX351" s="93" t="s">
        <v>22316</v>
      </c>
      <c r="AY351" s="93" t="s">
        <v>22526</v>
      </c>
      <c r="AZ351" s="93" t="s">
        <v>22316</v>
      </c>
      <c r="BA351" s="93" t="s">
        <v>22668</v>
      </c>
      <c r="BB351" s="93" t="s">
        <v>22668</v>
      </c>
      <c r="BC351" s="93" t="s">
        <v>22316</v>
      </c>
      <c r="BD351" s="87">
        <v>145409224</v>
      </c>
      <c r="BE351" s="87"/>
      <c r="BF351" s="87"/>
      <c r="BG351" s="87"/>
      <c r="BH351" s="87"/>
      <c r="BI351" s="87"/>
    </row>
    <row r="352" spans="1:61" x14ac:dyDescent="0.25">
      <c r="A352" s="63" t="s">
        <v>340</v>
      </c>
      <c r="B352" s="63" t="s">
        <v>340</v>
      </c>
      <c r="C352" s="64"/>
      <c r="D352" s="65"/>
      <c r="E352" s="66"/>
      <c r="F352" s="67"/>
      <c r="G352" s="64"/>
      <c r="H352" s="68"/>
      <c r="I352" s="69"/>
      <c r="J352" s="69"/>
      <c r="K352" s="32"/>
      <c r="L352" s="76">
        <v>352</v>
      </c>
      <c r="M352" s="76"/>
      <c r="N352" s="71"/>
      <c r="O352" s="87" t="s">
        <v>179</v>
      </c>
      <c r="P352" s="90">
        <v>45135.725752314815</v>
      </c>
      <c r="Q352" s="87" t="s">
        <v>2189</v>
      </c>
      <c r="R352" s="87">
        <v>0</v>
      </c>
      <c r="S352" s="87">
        <v>0</v>
      </c>
      <c r="T352" s="87">
        <v>0</v>
      </c>
      <c r="U352" s="87">
        <v>0</v>
      </c>
      <c r="V352" s="87">
        <v>49</v>
      </c>
      <c r="W352" s="93" t="s">
        <v>6111</v>
      </c>
      <c r="X352" s="87"/>
      <c r="Y352" s="87"/>
      <c r="Z352" s="87"/>
      <c r="AA352" s="87" t="s">
        <v>8877</v>
      </c>
      <c r="AB352" s="87" t="s">
        <v>11447</v>
      </c>
      <c r="AC352" s="93" t="s">
        <v>11459</v>
      </c>
      <c r="AD352" s="87" t="s">
        <v>11519</v>
      </c>
      <c r="AE352" s="92" t="str">
        <f>HYPERLINK("https://twitter.com/andre_lug/status/1684978296097009664")</f>
        <v>https://twitter.com/andre_lug/status/1684978296097009664</v>
      </c>
      <c r="AF352" s="90">
        <v>45135.725752314815</v>
      </c>
      <c r="AG352" s="99">
        <v>45135</v>
      </c>
      <c r="AH352" s="93" t="s">
        <v>11864</v>
      </c>
      <c r="AI352" s="87" t="b">
        <v>0</v>
      </c>
      <c r="AJ352" s="87"/>
      <c r="AK352" s="87"/>
      <c r="AL352" s="87"/>
      <c r="AM352" s="87"/>
      <c r="AN352" s="87"/>
      <c r="AO352" s="87"/>
      <c r="AP352" s="87"/>
      <c r="AQ352" s="87" t="s">
        <v>15690</v>
      </c>
      <c r="AR352" s="87">
        <v>140000</v>
      </c>
      <c r="AS352" s="87"/>
      <c r="AT352" s="87"/>
      <c r="AU352" s="87"/>
      <c r="AV352" s="92" t="str">
        <f>HYPERLINK("https://pbs.twimg.com/ext_tw_video_thumb/1684978115188289536/pu/img/Ya53hcSj4YMKLzAO.jpg")</f>
        <v>https://pbs.twimg.com/ext_tw_video_thumb/1684978115188289536/pu/img/Ya53hcSj4YMKLzAO.jpg</v>
      </c>
      <c r="AW352" s="93" t="s">
        <v>18605</v>
      </c>
      <c r="AX352" s="93" t="s">
        <v>18605</v>
      </c>
      <c r="AY352" s="87"/>
      <c r="AZ352" s="93" t="s">
        <v>22668</v>
      </c>
      <c r="BA352" s="93" t="s">
        <v>22668</v>
      </c>
      <c r="BB352" s="93" t="s">
        <v>22668</v>
      </c>
      <c r="BC352" s="93" t="s">
        <v>18605</v>
      </c>
      <c r="BD352" s="87">
        <v>1440210440</v>
      </c>
      <c r="BE352" s="87"/>
      <c r="BF352" s="87"/>
      <c r="BG352" s="87"/>
      <c r="BH352" s="87"/>
      <c r="BI352" s="87"/>
    </row>
    <row r="353" spans="1:61" x14ac:dyDescent="0.25">
      <c r="A353" s="63" t="s">
        <v>341</v>
      </c>
      <c r="B353" s="63" t="s">
        <v>341</v>
      </c>
      <c r="C353" s="64"/>
      <c r="D353" s="65"/>
      <c r="E353" s="66"/>
      <c r="F353" s="67"/>
      <c r="G353" s="64"/>
      <c r="H353" s="68"/>
      <c r="I353" s="69"/>
      <c r="J353" s="69"/>
      <c r="K353" s="32"/>
      <c r="L353" s="76">
        <v>353</v>
      </c>
      <c r="M353" s="76"/>
      <c r="N353" s="71"/>
      <c r="O353" s="87" t="s">
        <v>179</v>
      </c>
      <c r="P353" s="90">
        <v>45166.550856481481</v>
      </c>
      <c r="Q353" s="87" t="s">
        <v>2190</v>
      </c>
      <c r="R353" s="87">
        <v>0</v>
      </c>
      <c r="S353" s="87">
        <v>0</v>
      </c>
      <c r="T353" s="87">
        <v>0</v>
      </c>
      <c r="U353" s="87">
        <v>0</v>
      </c>
      <c r="V353" s="87">
        <v>4</v>
      </c>
      <c r="W353" s="93" t="s">
        <v>6112</v>
      </c>
      <c r="X353" s="87"/>
      <c r="Y353" s="87"/>
      <c r="Z353" s="87"/>
      <c r="AA353" s="87"/>
      <c r="AB353" s="87"/>
      <c r="AC353" s="93" t="s">
        <v>11459</v>
      </c>
      <c r="AD353" s="87" t="s">
        <v>11519</v>
      </c>
      <c r="AE353" s="92" t="str">
        <f>HYPERLINK("https://twitter.com/paulove52445139/status/1696148939358048492")</f>
        <v>https://twitter.com/paulove52445139/status/1696148939358048492</v>
      </c>
      <c r="AF353" s="90">
        <v>45166.550856481481</v>
      </c>
      <c r="AG353" s="99">
        <v>45166</v>
      </c>
      <c r="AH353" s="93" t="s">
        <v>11865</v>
      </c>
      <c r="AI353" s="87"/>
      <c r="AJ353" s="87"/>
      <c r="AK353" s="87"/>
      <c r="AL353" s="87"/>
      <c r="AM353" s="87"/>
      <c r="AN353" s="87"/>
      <c r="AO353" s="87"/>
      <c r="AP353" s="87"/>
      <c r="AQ353" s="87"/>
      <c r="AR353" s="87"/>
      <c r="AS353" s="87"/>
      <c r="AT353" s="87"/>
      <c r="AU353" s="87"/>
      <c r="AV353" s="92" t="str">
        <f>HYPERLINK("https://pbs.twimg.com/profile_images/1261418505464881152/lyTZriON_normal.jpg")</f>
        <v>https://pbs.twimg.com/profile_images/1261418505464881152/lyTZriON_normal.jpg</v>
      </c>
      <c r="AW353" s="93" t="s">
        <v>18606</v>
      </c>
      <c r="AX353" s="93" t="s">
        <v>18606</v>
      </c>
      <c r="AY353" s="87"/>
      <c r="AZ353" s="93" t="s">
        <v>22668</v>
      </c>
      <c r="BA353" s="93" t="s">
        <v>22668</v>
      </c>
      <c r="BB353" s="93" t="s">
        <v>22668</v>
      </c>
      <c r="BC353" s="93" t="s">
        <v>18606</v>
      </c>
      <c r="BD353" s="93" t="s">
        <v>22860</v>
      </c>
      <c r="BE353" s="87"/>
      <c r="BF353" s="87"/>
      <c r="BG353" s="87"/>
      <c r="BH353" s="87"/>
      <c r="BI353" s="87"/>
    </row>
    <row r="354" spans="1:61" x14ac:dyDescent="0.25">
      <c r="A354" s="63" t="s">
        <v>342</v>
      </c>
      <c r="B354" s="63" t="s">
        <v>342</v>
      </c>
      <c r="C354" s="64"/>
      <c r="D354" s="65"/>
      <c r="E354" s="66"/>
      <c r="F354" s="67"/>
      <c r="G354" s="64"/>
      <c r="H354" s="68"/>
      <c r="I354" s="69"/>
      <c r="J354" s="69"/>
      <c r="K354" s="32"/>
      <c r="L354" s="76">
        <v>354</v>
      </c>
      <c r="M354" s="76"/>
      <c r="N354" s="71"/>
      <c r="O354" s="87" t="s">
        <v>179</v>
      </c>
      <c r="P354" s="90">
        <v>45175.522361111114</v>
      </c>
      <c r="Q354" s="87" t="s">
        <v>2191</v>
      </c>
      <c r="R354" s="87">
        <v>0</v>
      </c>
      <c r="S354" s="87">
        <v>1</v>
      </c>
      <c r="T354" s="87">
        <v>0</v>
      </c>
      <c r="U354" s="87">
        <v>0</v>
      </c>
      <c r="V354" s="87">
        <v>31</v>
      </c>
      <c r="W354" s="93" t="s">
        <v>6113</v>
      </c>
      <c r="X354" s="87"/>
      <c r="Y354" s="87"/>
      <c r="Z354" s="87"/>
      <c r="AA354" s="87" t="s">
        <v>8878</v>
      </c>
      <c r="AB354" s="87" t="s">
        <v>11448</v>
      </c>
      <c r="AC354" s="93" t="s">
        <v>11457</v>
      </c>
      <c r="AD354" s="87" t="s">
        <v>11519</v>
      </c>
      <c r="AE354" s="92" t="str">
        <f>HYPERLINK("https://twitter.com/jorgeaguiarmm/status/1699400100747911347")</f>
        <v>https://twitter.com/jorgeaguiarmm/status/1699400100747911347</v>
      </c>
      <c r="AF354" s="90">
        <v>45175.522361111114</v>
      </c>
      <c r="AG354" s="99">
        <v>45175</v>
      </c>
      <c r="AH354" s="93" t="s">
        <v>11866</v>
      </c>
      <c r="AI354" s="87" t="b">
        <v>0</v>
      </c>
      <c r="AJ354" s="87"/>
      <c r="AK354" s="87"/>
      <c r="AL354" s="87"/>
      <c r="AM354" s="87"/>
      <c r="AN354" s="87"/>
      <c r="AO354" s="87"/>
      <c r="AP354" s="87"/>
      <c r="AQ354" s="87" t="s">
        <v>15691</v>
      </c>
      <c r="AR354" s="87"/>
      <c r="AS354" s="87"/>
      <c r="AT354" s="87"/>
      <c r="AU354" s="87"/>
      <c r="AV354" s="92" t="str">
        <f>HYPERLINK("https://pbs.twimg.com/media/F5V7YRcWMAAIXj0.jpg")</f>
        <v>https://pbs.twimg.com/media/F5V7YRcWMAAIXj0.jpg</v>
      </c>
      <c r="AW354" s="93" t="s">
        <v>18607</v>
      </c>
      <c r="AX354" s="93" t="s">
        <v>18607</v>
      </c>
      <c r="AY354" s="87"/>
      <c r="AZ354" s="93" t="s">
        <v>22668</v>
      </c>
      <c r="BA354" s="93" t="s">
        <v>22668</v>
      </c>
      <c r="BB354" s="93" t="s">
        <v>22668</v>
      </c>
      <c r="BC354" s="93" t="s">
        <v>18607</v>
      </c>
      <c r="BD354" s="87">
        <v>2250294076</v>
      </c>
      <c r="BE354" s="87"/>
      <c r="BF354" s="87"/>
      <c r="BG354" s="87"/>
      <c r="BH354" s="87"/>
      <c r="BI354" s="87"/>
    </row>
    <row r="355" spans="1:61" x14ac:dyDescent="0.25">
      <c r="A355" s="63" t="s">
        <v>342</v>
      </c>
      <c r="B355" s="63" t="s">
        <v>342</v>
      </c>
      <c r="C355" s="64"/>
      <c r="D355" s="65"/>
      <c r="E355" s="66"/>
      <c r="F355" s="67"/>
      <c r="G355" s="64"/>
      <c r="H355" s="68"/>
      <c r="I355" s="69"/>
      <c r="J355" s="69"/>
      <c r="K355" s="32"/>
      <c r="L355" s="76">
        <v>355</v>
      </c>
      <c r="M355" s="76"/>
      <c r="N355" s="71"/>
      <c r="O355" s="87" t="s">
        <v>179</v>
      </c>
      <c r="P355" s="90">
        <v>45196.818182870367</v>
      </c>
      <c r="Q355" s="87" t="s">
        <v>2192</v>
      </c>
      <c r="R355" s="87">
        <v>0</v>
      </c>
      <c r="S355" s="87">
        <v>0</v>
      </c>
      <c r="T355" s="87">
        <v>0</v>
      </c>
      <c r="U355" s="87">
        <v>0</v>
      </c>
      <c r="V355" s="87">
        <v>1</v>
      </c>
      <c r="W355" s="93" t="s">
        <v>6114</v>
      </c>
      <c r="X355" s="87"/>
      <c r="Y355" s="87"/>
      <c r="Z355" s="87"/>
      <c r="AA355" s="87" t="s">
        <v>8879</v>
      </c>
      <c r="AB355" s="87" t="s">
        <v>11447</v>
      </c>
      <c r="AC355" s="93" t="s">
        <v>11459</v>
      </c>
      <c r="AD355" s="87" t="s">
        <v>11519</v>
      </c>
      <c r="AE355" s="92" t="str">
        <f>HYPERLINK("https://twitter.com/jorgeaguiarmm/status/1707117450041434460")</f>
        <v>https://twitter.com/jorgeaguiarmm/status/1707117450041434460</v>
      </c>
      <c r="AF355" s="90">
        <v>45196.818182870367</v>
      </c>
      <c r="AG355" s="99">
        <v>45196</v>
      </c>
      <c r="AH355" s="93" t="s">
        <v>11867</v>
      </c>
      <c r="AI355" s="87" t="b">
        <v>0</v>
      </c>
      <c r="AJ355" s="87"/>
      <c r="AK355" s="87"/>
      <c r="AL355" s="87"/>
      <c r="AM355" s="87"/>
      <c r="AN355" s="87"/>
      <c r="AO355" s="87"/>
      <c r="AP355" s="87"/>
      <c r="AQ355" s="87" t="s">
        <v>15692</v>
      </c>
      <c r="AR355" s="87">
        <v>10233</v>
      </c>
      <c r="AS355" s="87"/>
      <c r="AT355" s="87"/>
      <c r="AU355" s="87"/>
      <c r="AV355" s="92" t="str">
        <f>HYPERLINK("https://pbs.twimg.com/ext_tw_video_thumb/1707117417745317888/pu/img/di0MlNx1qXJhNbmY.jpg")</f>
        <v>https://pbs.twimg.com/ext_tw_video_thumb/1707117417745317888/pu/img/di0MlNx1qXJhNbmY.jpg</v>
      </c>
      <c r="AW355" s="93" t="s">
        <v>18608</v>
      </c>
      <c r="AX355" s="93" t="s">
        <v>18608</v>
      </c>
      <c r="AY355" s="87"/>
      <c r="AZ355" s="93" t="s">
        <v>22668</v>
      </c>
      <c r="BA355" s="93" t="s">
        <v>22668</v>
      </c>
      <c r="BB355" s="93" t="s">
        <v>22668</v>
      </c>
      <c r="BC355" s="93" t="s">
        <v>18608</v>
      </c>
      <c r="BD355" s="87">
        <v>2250294076</v>
      </c>
      <c r="BE355" s="87"/>
      <c r="BF355" s="87"/>
      <c r="BG355" s="87"/>
      <c r="BH355" s="87"/>
      <c r="BI355" s="87"/>
    </row>
    <row r="356" spans="1:61" x14ac:dyDescent="0.25">
      <c r="A356" s="63" t="s">
        <v>343</v>
      </c>
      <c r="B356" s="63" t="s">
        <v>343</v>
      </c>
      <c r="C356" s="64"/>
      <c r="D356" s="65"/>
      <c r="E356" s="66"/>
      <c r="F356" s="67"/>
      <c r="G356" s="64"/>
      <c r="H356" s="68"/>
      <c r="I356" s="69"/>
      <c r="J356" s="69"/>
      <c r="K356" s="32"/>
      <c r="L356" s="76">
        <v>356</v>
      </c>
      <c r="M356" s="76"/>
      <c r="N356" s="71"/>
      <c r="O356" s="87" t="s">
        <v>179</v>
      </c>
      <c r="P356" s="90">
        <v>45159.852708333332</v>
      </c>
      <c r="Q356" s="87" t="s">
        <v>2193</v>
      </c>
      <c r="R356" s="87">
        <v>0</v>
      </c>
      <c r="S356" s="87">
        <v>0</v>
      </c>
      <c r="T356" s="87">
        <v>0</v>
      </c>
      <c r="U356" s="87">
        <v>0</v>
      </c>
      <c r="V356" s="87"/>
      <c r="W356" s="93" t="s">
        <v>6115</v>
      </c>
      <c r="X356" s="87"/>
      <c r="Y356" s="87"/>
      <c r="Z356" s="87"/>
      <c r="AA356" s="87" t="s">
        <v>8880</v>
      </c>
      <c r="AB356" s="87" t="s">
        <v>11448</v>
      </c>
      <c r="AC356" s="93" t="s">
        <v>11460</v>
      </c>
      <c r="AD356" s="87" t="s">
        <v>11519</v>
      </c>
      <c r="AE356" s="92" t="str">
        <f>HYPERLINK("https://twitter.com/bacelarcontabil/status/1693721608915943686")</f>
        <v>https://twitter.com/bacelarcontabil/status/1693721608915943686</v>
      </c>
      <c r="AF356" s="90">
        <v>45159.852708333332</v>
      </c>
      <c r="AG356" s="99">
        <v>45159</v>
      </c>
      <c r="AH356" s="93" t="s">
        <v>11868</v>
      </c>
      <c r="AI356" s="87" t="b">
        <v>0</v>
      </c>
      <c r="AJ356" s="87"/>
      <c r="AK356" s="87"/>
      <c r="AL356" s="87"/>
      <c r="AM356" s="87"/>
      <c r="AN356" s="87"/>
      <c r="AO356" s="87"/>
      <c r="AP356" s="87"/>
      <c r="AQ356" s="87" t="s">
        <v>15693</v>
      </c>
      <c r="AR356" s="87"/>
      <c r="AS356" s="87"/>
      <c r="AT356" s="87"/>
      <c r="AU356" s="87"/>
      <c r="AV356" s="92" t="str">
        <f>HYPERLINK("https://pbs.twimg.com/media/F4FO0_3WEAEYFBG.png")</f>
        <v>https://pbs.twimg.com/media/F4FO0_3WEAEYFBG.png</v>
      </c>
      <c r="AW356" s="93" t="s">
        <v>18609</v>
      </c>
      <c r="AX356" s="93" t="s">
        <v>18609</v>
      </c>
      <c r="AY356" s="87"/>
      <c r="AZ356" s="93" t="s">
        <v>22668</v>
      </c>
      <c r="BA356" s="93" t="s">
        <v>22668</v>
      </c>
      <c r="BB356" s="93" t="s">
        <v>22668</v>
      </c>
      <c r="BC356" s="93" t="s">
        <v>18609</v>
      </c>
      <c r="BD356" s="87">
        <v>724284986</v>
      </c>
      <c r="BE356" s="87"/>
      <c r="BF356" s="87"/>
      <c r="BG356" s="87"/>
      <c r="BH356" s="87"/>
      <c r="BI356" s="87"/>
    </row>
    <row r="357" spans="1:61" x14ac:dyDescent="0.25">
      <c r="A357" s="63" t="s">
        <v>343</v>
      </c>
      <c r="B357" s="63" t="s">
        <v>343</v>
      </c>
      <c r="C357" s="64"/>
      <c r="D357" s="65"/>
      <c r="E357" s="66"/>
      <c r="F357" s="67"/>
      <c r="G357" s="64"/>
      <c r="H357" s="68"/>
      <c r="I357" s="69"/>
      <c r="J357" s="69"/>
      <c r="K357" s="32"/>
      <c r="L357" s="76">
        <v>357</v>
      </c>
      <c r="M357" s="76"/>
      <c r="N357" s="71"/>
      <c r="O357" s="87" t="s">
        <v>179</v>
      </c>
      <c r="P357" s="90">
        <v>45195.632210648146</v>
      </c>
      <c r="Q357" s="87" t="s">
        <v>2194</v>
      </c>
      <c r="R357" s="87">
        <v>0</v>
      </c>
      <c r="S357" s="87">
        <v>0</v>
      </c>
      <c r="T357" s="87">
        <v>0</v>
      </c>
      <c r="U357" s="87">
        <v>0</v>
      </c>
      <c r="V357" s="87">
        <v>64</v>
      </c>
      <c r="W357" s="93" t="s">
        <v>6116</v>
      </c>
      <c r="X357" s="87"/>
      <c r="Y357" s="87"/>
      <c r="Z357" s="87"/>
      <c r="AA357" s="87" t="s">
        <v>8881</v>
      </c>
      <c r="AB357" s="87" t="s">
        <v>11448</v>
      </c>
      <c r="AC357" s="93" t="s">
        <v>11460</v>
      </c>
      <c r="AD357" s="87" t="s">
        <v>11519</v>
      </c>
      <c r="AE357" s="92" t="str">
        <f>HYPERLINK("https://twitter.com/bacelarcontabil/status/1706687667830702306")</f>
        <v>https://twitter.com/bacelarcontabil/status/1706687667830702306</v>
      </c>
      <c r="AF357" s="90">
        <v>45195.632210648146</v>
      </c>
      <c r="AG357" s="99">
        <v>45195</v>
      </c>
      <c r="AH357" s="93" t="s">
        <v>11869</v>
      </c>
      <c r="AI357" s="87" t="b">
        <v>0</v>
      </c>
      <c r="AJ357" s="87"/>
      <c r="AK357" s="87"/>
      <c r="AL357" s="87"/>
      <c r="AM357" s="87"/>
      <c r="AN357" s="87"/>
      <c r="AO357" s="87"/>
      <c r="AP357" s="87"/>
      <c r="AQ357" s="87" t="s">
        <v>15694</v>
      </c>
      <c r="AR357" s="87"/>
      <c r="AS357" s="87"/>
      <c r="AT357" s="87"/>
      <c r="AU357" s="87"/>
      <c r="AV357" s="92" t="str">
        <f>HYPERLINK("https://pbs.twimg.com/media/F69fY49WUAAImgL.jpg")</f>
        <v>https://pbs.twimg.com/media/F69fY49WUAAImgL.jpg</v>
      </c>
      <c r="AW357" s="93" t="s">
        <v>18610</v>
      </c>
      <c r="AX357" s="93" t="s">
        <v>18610</v>
      </c>
      <c r="AY357" s="87"/>
      <c r="AZ357" s="93" t="s">
        <v>22668</v>
      </c>
      <c r="BA357" s="93" t="s">
        <v>22668</v>
      </c>
      <c r="BB357" s="93" t="s">
        <v>22668</v>
      </c>
      <c r="BC357" s="93" t="s">
        <v>18610</v>
      </c>
      <c r="BD357" s="87">
        <v>724284986</v>
      </c>
      <c r="BE357" s="87"/>
      <c r="BF357" s="87"/>
      <c r="BG357" s="87"/>
      <c r="BH357" s="87"/>
      <c r="BI357" s="87"/>
    </row>
    <row r="358" spans="1:61" x14ac:dyDescent="0.25">
      <c r="A358" s="63" t="s">
        <v>344</v>
      </c>
      <c r="B358" s="63" t="s">
        <v>344</v>
      </c>
      <c r="C358" s="64"/>
      <c r="D358" s="65"/>
      <c r="E358" s="66"/>
      <c r="F358" s="67"/>
      <c r="G358" s="64"/>
      <c r="H358" s="68"/>
      <c r="I358" s="69"/>
      <c r="J358" s="69"/>
      <c r="K358" s="32"/>
      <c r="L358" s="76">
        <v>358</v>
      </c>
      <c r="M358" s="76"/>
      <c r="N358" s="71"/>
      <c r="O358" s="87" t="s">
        <v>179</v>
      </c>
      <c r="P358" s="90">
        <v>45112.678437499999</v>
      </c>
      <c r="Q358" s="87" t="s">
        <v>2195</v>
      </c>
      <c r="R358" s="87">
        <v>0</v>
      </c>
      <c r="S358" s="87">
        <v>0</v>
      </c>
      <c r="T358" s="87">
        <v>0</v>
      </c>
      <c r="U358" s="87">
        <v>0</v>
      </c>
      <c r="V358" s="87">
        <v>3</v>
      </c>
      <c r="W358" s="93" t="s">
        <v>5897</v>
      </c>
      <c r="X358" s="92" t="str">
        <f>HYPERLINK("https://entornohoje.com.br/programa-de-empreendedorismo-rural-para-jovens-e-chancelado-e-segue-para-sancao-do-executivo/")</f>
        <v>https://entornohoje.com.br/programa-de-empreendedorismo-rural-para-jovens-e-chancelado-e-segue-para-sancao-do-executivo/</v>
      </c>
      <c r="Y358" s="87" t="s">
        <v>8373</v>
      </c>
      <c r="Z358" s="87"/>
      <c r="AA358" s="87"/>
      <c r="AB358" s="87"/>
      <c r="AC358" s="93" t="s">
        <v>11457</v>
      </c>
      <c r="AD358" s="87" t="s">
        <v>11519</v>
      </c>
      <c r="AE358" s="92" t="str">
        <f>HYPERLINK("https://twitter.com/entornohoje/status/1676626226520236032")</f>
        <v>https://twitter.com/entornohoje/status/1676626226520236032</v>
      </c>
      <c r="AF358" s="90">
        <v>45112.678437499999</v>
      </c>
      <c r="AG358" s="99">
        <v>45112</v>
      </c>
      <c r="AH358" s="93" t="s">
        <v>11870</v>
      </c>
      <c r="AI358" s="87" t="b">
        <v>0</v>
      </c>
      <c r="AJ358" s="87"/>
      <c r="AK358" s="87"/>
      <c r="AL358" s="87"/>
      <c r="AM358" s="87"/>
      <c r="AN358" s="87"/>
      <c r="AO358" s="87"/>
      <c r="AP358" s="87"/>
      <c r="AQ358" s="87"/>
      <c r="AR358" s="87"/>
      <c r="AS358" s="87"/>
      <c r="AT358" s="87"/>
      <c r="AU358" s="87"/>
      <c r="AV358" s="92" t="str">
        <f>HYPERLINK("https://pbs.twimg.com/profile_images/1630970274949615616/nZRgeJxN_normal.jpg")</f>
        <v>https://pbs.twimg.com/profile_images/1630970274949615616/nZRgeJxN_normal.jpg</v>
      </c>
      <c r="AW358" s="93" t="s">
        <v>18611</v>
      </c>
      <c r="AX358" s="93" t="s">
        <v>18611</v>
      </c>
      <c r="AY358" s="87"/>
      <c r="AZ358" s="93" t="s">
        <v>22668</v>
      </c>
      <c r="BA358" s="93" t="s">
        <v>22668</v>
      </c>
      <c r="BB358" s="93" t="s">
        <v>22668</v>
      </c>
      <c r="BC358" s="93" t="s">
        <v>18611</v>
      </c>
      <c r="BD358" s="93" t="s">
        <v>22861</v>
      </c>
      <c r="BE358" s="87"/>
      <c r="BF358" s="87"/>
      <c r="BG358" s="87"/>
      <c r="BH358" s="87"/>
      <c r="BI358" s="87"/>
    </row>
    <row r="359" spans="1:61" x14ac:dyDescent="0.25">
      <c r="A359" s="63" t="s">
        <v>345</v>
      </c>
      <c r="B359" s="63" t="s">
        <v>345</v>
      </c>
      <c r="C359" s="64"/>
      <c r="D359" s="65"/>
      <c r="E359" s="66"/>
      <c r="F359" s="67"/>
      <c r="G359" s="64"/>
      <c r="H359" s="68"/>
      <c r="I359" s="69"/>
      <c r="J359" s="69"/>
      <c r="K359" s="32"/>
      <c r="L359" s="76">
        <v>359</v>
      </c>
      <c r="M359" s="76"/>
      <c r="N359" s="71"/>
      <c r="O359" s="87" t="s">
        <v>179</v>
      </c>
      <c r="P359" s="90">
        <v>45123.625555555554</v>
      </c>
      <c r="Q359" s="87" t="s">
        <v>2196</v>
      </c>
      <c r="R359" s="87">
        <v>0</v>
      </c>
      <c r="S359" s="87">
        <v>1</v>
      </c>
      <c r="T359" s="87">
        <v>0</v>
      </c>
      <c r="U359" s="87">
        <v>0</v>
      </c>
      <c r="V359" s="87">
        <v>146</v>
      </c>
      <c r="W359" s="93" t="s">
        <v>6117</v>
      </c>
      <c r="X359" s="87"/>
      <c r="Y359" s="87"/>
      <c r="Z359" s="87"/>
      <c r="AA359" s="87" t="s">
        <v>8882</v>
      </c>
      <c r="AB359" s="87" t="s">
        <v>11448</v>
      </c>
      <c r="AC359" s="93" t="s">
        <v>11460</v>
      </c>
      <c r="AD359" s="87" t="s">
        <v>11519</v>
      </c>
      <c r="AE359" s="92" t="str">
        <f>HYPERLINK("https://twitter.com/editoragente/status/1680593329405194241")</f>
        <v>https://twitter.com/editoragente/status/1680593329405194241</v>
      </c>
      <c r="AF359" s="90">
        <v>45123.625555555554</v>
      </c>
      <c r="AG359" s="99">
        <v>45123</v>
      </c>
      <c r="AH359" s="93" t="s">
        <v>11831</v>
      </c>
      <c r="AI359" s="87" t="b">
        <v>0</v>
      </c>
      <c r="AJ359" s="87"/>
      <c r="AK359" s="87"/>
      <c r="AL359" s="87"/>
      <c r="AM359" s="87"/>
      <c r="AN359" s="87"/>
      <c r="AO359" s="87"/>
      <c r="AP359" s="87"/>
      <c r="AQ359" s="87" t="s">
        <v>15695</v>
      </c>
      <c r="AR359" s="87"/>
      <c r="AS359" s="87"/>
      <c r="AT359" s="87"/>
      <c r="AU359" s="87"/>
      <c r="AV359" s="92" t="str">
        <f>HYPERLINK("https://pbs.twimg.com/media/F1KquipWAAAawRX.jpg")</f>
        <v>https://pbs.twimg.com/media/F1KquipWAAAawRX.jpg</v>
      </c>
      <c r="AW359" s="93" t="s">
        <v>18612</v>
      </c>
      <c r="AX359" s="93" t="s">
        <v>18612</v>
      </c>
      <c r="AY359" s="87"/>
      <c r="AZ359" s="93" t="s">
        <v>22668</v>
      </c>
      <c r="BA359" s="93" t="s">
        <v>22668</v>
      </c>
      <c r="BB359" s="93" t="s">
        <v>22668</v>
      </c>
      <c r="BC359" s="93" t="s">
        <v>18612</v>
      </c>
      <c r="BD359" s="87">
        <v>27649665</v>
      </c>
      <c r="BE359" s="87"/>
      <c r="BF359" s="87"/>
      <c r="BG359" s="87"/>
      <c r="BH359" s="87"/>
      <c r="BI359" s="87"/>
    </row>
    <row r="360" spans="1:61" x14ac:dyDescent="0.25">
      <c r="A360" s="63" t="s">
        <v>346</v>
      </c>
      <c r="B360" s="63" t="s">
        <v>346</v>
      </c>
      <c r="C360" s="64"/>
      <c r="D360" s="65"/>
      <c r="E360" s="66"/>
      <c r="F360" s="67"/>
      <c r="G360" s="64"/>
      <c r="H360" s="68"/>
      <c r="I360" s="69"/>
      <c r="J360" s="69"/>
      <c r="K360" s="32"/>
      <c r="L360" s="76">
        <v>360</v>
      </c>
      <c r="M360" s="76"/>
      <c r="N360" s="71"/>
      <c r="O360" s="87" t="s">
        <v>179</v>
      </c>
      <c r="P360" s="90">
        <v>45183.990995370368</v>
      </c>
      <c r="Q360" s="87" t="s">
        <v>2197</v>
      </c>
      <c r="R360" s="87">
        <v>0</v>
      </c>
      <c r="S360" s="87">
        <v>0</v>
      </c>
      <c r="T360" s="87">
        <v>0</v>
      </c>
      <c r="U360" s="87">
        <v>0</v>
      </c>
      <c r="V360" s="87">
        <v>10</v>
      </c>
      <c r="W360" s="93" t="s">
        <v>6118</v>
      </c>
      <c r="X360" s="87"/>
      <c r="Y360" s="87"/>
      <c r="Z360" s="87"/>
      <c r="AA360" s="87" t="s">
        <v>8883</v>
      </c>
      <c r="AB360" s="87" t="s">
        <v>11447</v>
      </c>
      <c r="AC360" s="93" t="s">
        <v>11459</v>
      </c>
      <c r="AD360" s="87" t="s">
        <v>11519</v>
      </c>
      <c r="AE360" s="92" t="str">
        <f>HYPERLINK("https://twitter.com/bancadahiphop/status/1702469033478553692")</f>
        <v>https://twitter.com/bancadahiphop/status/1702469033478553692</v>
      </c>
      <c r="AF360" s="90">
        <v>45183.990995370368</v>
      </c>
      <c r="AG360" s="99">
        <v>45183</v>
      </c>
      <c r="AH360" s="93" t="s">
        <v>11871</v>
      </c>
      <c r="AI360" s="87" t="b">
        <v>0</v>
      </c>
      <c r="AJ360" s="87"/>
      <c r="AK360" s="87"/>
      <c r="AL360" s="87"/>
      <c r="AM360" s="87"/>
      <c r="AN360" s="87"/>
      <c r="AO360" s="87"/>
      <c r="AP360" s="87"/>
      <c r="AQ360" s="87" t="s">
        <v>15696</v>
      </c>
      <c r="AR360" s="87">
        <v>139987</v>
      </c>
      <c r="AS360" s="87"/>
      <c r="AT360" s="87"/>
      <c r="AU360" s="87"/>
      <c r="AV360" s="92" t="str">
        <f>HYPERLINK("https://pbs.twimg.com/ext_tw_video_thumb/1702468883658002432/pu/img/1hd5xCdaf3lgt_M5.jpg")</f>
        <v>https://pbs.twimg.com/ext_tw_video_thumb/1702468883658002432/pu/img/1hd5xCdaf3lgt_M5.jpg</v>
      </c>
      <c r="AW360" s="93" t="s">
        <v>18613</v>
      </c>
      <c r="AX360" s="93" t="s">
        <v>18613</v>
      </c>
      <c r="AY360" s="87"/>
      <c r="AZ360" s="93" t="s">
        <v>22668</v>
      </c>
      <c r="BA360" s="93" t="s">
        <v>22668</v>
      </c>
      <c r="BB360" s="93" t="s">
        <v>22668</v>
      </c>
      <c r="BC360" s="93" t="s">
        <v>18613</v>
      </c>
      <c r="BD360" s="93" t="s">
        <v>22862</v>
      </c>
      <c r="BE360" s="87"/>
      <c r="BF360" s="87"/>
      <c r="BG360" s="87"/>
      <c r="BH360" s="87"/>
      <c r="BI360" s="87"/>
    </row>
    <row r="361" spans="1:61" x14ac:dyDescent="0.25">
      <c r="A361" s="63" t="s">
        <v>347</v>
      </c>
      <c r="B361" s="63" t="s">
        <v>347</v>
      </c>
      <c r="C361" s="64"/>
      <c r="D361" s="65"/>
      <c r="E361" s="66"/>
      <c r="F361" s="67"/>
      <c r="G361" s="64"/>
      <c r="H361" s="68"/>
      <c r="I361" s="69"/>
      <c r="J361" s="69"/>
      <c r="K361" s="32"/>
      <c r="L361" s="76">
        <v>361</v>
      </c>
      <c r="M361" s="76"/>
      <c r="N361" s="71"/>
      <c r="O361" s="87" t="s">
        <v>179</v>
      </c>
      <c r="P361" s="90">
        <v>45114.095231481479</v>
      </c>
      <c r="Q361" s="87" t="s">
        <v>2198</v>
      </c>
      <c r="R361" s="87">
        <v>0</v>
      </c>
      <c r="S361" s="87">
        <v>0</v>
      </c>
      <c r="T361" s="87">
        <v>0</v>
      </c>
      <c r="U361" s="87">
        <v>0</v>
      </c>
      <c r="V361" s="87">
        <v>14</v>
      </c>
      <c r="W361" s="93" t="s">
        <v>6119</v>
      </c>
      <c r="X361" s="87"/>
      <c r="Y361" s="87"/>
      <c r="Z361" s="87"/>
      <c r="AA361" s="87"/>
      <c r="AB361" s="87"/>
      <c r="AC361" s="93" t="s">
        <v>11458</v>
      </c>
      <c r="AD361" s="87" t="s">
        <v>11519</v>
      </c>
      <c r="AE361" s="92" t="str">
        <f>HYPERLINK("https://twitter.com/pablocmara41553/status/1677139657945931776")</f>
        <v>https://twitter.com/pablocmara41553/status/1677139657945931776</v>
      </c>
      <c r="AF361" s="90">
        <v>45114.095231481479</v>
      </c>
      <c r="AG361" s="99">
        <v>45114</v>
      </c>
      <c r="AH361" s="93" t="s">
        <v>11872</v>
      </c>
      <c r="AI361" s="87"/>
      <c r="AJ361" s="87"/>
      <c r="AK361" s="87"/>
      <c r="AL361" s="87"/>
      <c r="AM361" s="87"/>
      <c r="AN361" s="87"/>
      <c r="AO361" s="87"/>
      <c r="AP361" s="87"/>
      <c r="AQ361" s="87"/>
      <c r="AR361" s="87"/>
      <c r="AS361" s="87"/>
      <c r="AT361" s="87"/>
      <c r="AU361" s="87"/>
      <c r="AV361" s="92" t="str">
        <f>HYPERLINK("https://pbs.twimg.com/profile_images/1649761005851820032/yVDQJ-Ux_normal.png")</f>
        <v>https://pbs.twimg.com/profile_images/1649761005851820032/yVDQJ-Ux_normal.png</v>
      </c>
      <c r="AW361" s="93" t="s">
        <v>18614</v>
      </c>
      <c r="AX361" s="93" t="s">
        <v>18614</v>
      </c>
      <c r="AY361" s="87"/>
      <c r="AZ361" s="93" t="s">
        <v>22668</v>
      </c>
      <c r="BA361" s="93" t="s">
        <v>22668</v>
      </c>
      <c r="BB361" s="93" t="s">
        <v>22668</v>
      </c>
      <c r="BC361" s="93" t="s">
        <v>18614</v>
      </c>
      <c r="BD361" s="93" t="s">
        <v>22863</v>
      </c>
      <c r="BE361" s="87"/>
      <c r="BF361" s="87"/>
      <c r="BG361" s="87"/>
      <c r="BH361" s="87"/>
      <c r="BI361" s="87"/>
    </row>
    <row r="362" spans="1:61" x14ac:dyDescent="0.25">
      <c r="A362" s="63" t="s">
        <v>348</v>
      </c>
      <c r="B362" s="63" t="s">
        <v>348</v>
      </c>
      <c r="C362" s="64"/>
      <c r="D362" s="65"/>
      <c r="E362" s="66"/>
      <c r="F362" s="67"/>
      <c r="G362" s="64"/>
      <c r="H362" s="68"/>
      <c r="I362" s="69"/>
      <c r="J362" s="69"/>
      <c r="K362" s="32"/>
      <c r="L362" s="76">
        <v>362</v>
      </c>
      <c r="M362" s="76"/>
      <c r="N362" s="71"/>
      <c r="O362" s="87" t="s">
        <v>179</v>
      </c>
      <c r="P362" s="90">
        <v>45125.094039351854</v>
      </c>
      <c r="Q362" s="87" t="s">
        <v>2199</v>
      </c>
      <c r="R362" s="87">
        <v>0</v>
      </c>
      <c r="S362" s="87">
        <v>0</v>
      </c>
      <c r="T362" s="87">
        <v>0</v>
      </c>
      <c r="U362" s="87">
        <v>0</v>
      </c>
      <c r="V362" s="87">
        <v>45</v>
      </c>
      <c r="W362" s="93" t="s">
        <v>6120</v>
      </c>
      <c r="X362" s="87"/>
      <c r="Y362" s="87"/>
      <c r="Z362" s="87"/>
      <c r="AA362" s="87"/>
      <c r="AB362" s="87"/>
      <c r="AC362" s="93" t="s">
        <v>11459</v>
      </c>
      <c r="AD362" s="87" t="s">
        <v>11519</v>
      </c>
      <c r="AE362" s="92" t="str">
        <f>HYPERLINK("https://twitter.com/sammuelfogaca/status/1681125490826813442")</f>
        <v>https://twitter.com/sammuelfogaca/status/1681125490826813442</v>
      </c>
      <c r="AF362" s="90">
        <v>45125.094039351854</v>
      </c>
      <c r="AG362" s="99">
        <v>45125</v>
      </c>
      <c r="AH362" s="93" t="s">
        <v>11873</v>
      </c>
      <c r="AI362" s="87"/>
      <c r="AJ362" s="87"/>
      <c r="AK362" s="87"/>
      <c r="AL362" s="87"/>
      <c r="AM362" s="87"/>
      <c r="AN362" s="87"/>
      <c r="AO362" s="87"/>
      <c r="AP362" s="87"/>
      <c r="AQ362" s="87"/>
      <c r="AR362" s="87"/>
      <c r="AS362" s="87"/>
      <c r="AT362" s="87"/>
      <c r="AU362" s="87"/>
      <c r="AV362" s="92" t="str">
        <f>HYPERLINK("https://pbs.twimg.com/profile_images/1681124614037032960/XPllAfBu_normal.png")</f>
        <v>https://pbs.twimg.com/profile_images/1681124614037032960/XPllAfBu_normal.png</v>
      </c>
      <c r="AW362" s="93" t="s">
        <v>18615</v>
      </c>
      <c r="AX362" s="93" t="s">
        <v>18615</v>
      </c>
      <c r="AY362" s="87"/>
      <c r="AZ362" s="93" t="s">
        <v>22668</v>
      </c>
      <c r="BA362" s="93" t="s">
        <v>22668</v>
      </c>
      <c r="BB362" s="93" t="s">
        <v>22668</v>
      </c>
      <c r="BC362" s="93" t="s">
        <v>18615</v>
      </c>
      <c r="BD362" s="93" t="s">
        <v>22864</v>
      </c>
      <c r="BE362" s="87"/>
      <c r="BF362" s="87"/>
      <c r="BG362" s="87"/>
      <c r="BH362" s="87"/>
      <c r="BI362" s="87"/>
    </row>
    <row r="363" spans="1:61" x14ac:dyDescent="0.25">
      <c r="A363" s="63" t="s">
        <v>348</v>
      </c>
      <c r="B363" s="63" t="s">
        <v>348</v>
      </c>
      <c r="C363" s="64"/>
      <c r="D363" s="65"/>
      <c r="E363" s="66"/>
      <c r="F363" s="67"/>
      <c r="G363" s="64"/>
      <c r="H363" s="68"/>
      <c r="I363" s="69"/>
      <c r="J363" s="69"/>
      <c r="K363" s="32"/>
      <c r="L363" s="76">
        <v>363</v>
      </c>
      <c r="M363" s="76"/>
      <c r="N363" s="71"/>
      <c r="O363" s="87" t="s">
        <v>179</v>
      </c>
      <c r="P363" s="90">
        <v>45162.103194444448</v>
      </c>
      <c r="Q363" s="87" t="s">
        <v>2200</v>
      </c>
      <c r="R363" s="87">
        <v>0</v>
      </c>
      <c r="S363" s="87">
        <v>1</v>
      </c>
      <c r="T363" s="87">
        <v>0</v>
      </c>
      <c r="U363" s="87">
        <v>0</v>
      </c>
      <c r="V363" s="87">
        <v>12</v>
      </c>
      <c r="W363" s="93" t="s">
        <v>6121</v>
      </c>
      <c r="X363" s="87"/>
      <c r="Y363" s="87"/>
      <c r="Z363" s="87"/>
      <c r="AA363" s="87"/>
      <c r="AB363" s="87"/>
      <c r="AC363" s="93" t="s">
        <v>11459</v>
      </c>
      <c r="AD363" s="87" t="s">
        <v>11519</v>
      </c>
      <c r="AE363" s="92" t="str">
        <f>HYPERLINK("https://twitter.com/sammuelfogaca/status/1694537161058513145")</f>
        <v>https://twitter.com/sammuelfogaca/status/1694537161058513145</v>
      </c>
      <c r="AF363" s="90">
        <v>45162.103194444448</v>
      </c>
      <c r="AG363" s="99">
        <v>45162</v>
      </c>
      <c r="AH363" s="93" t="s">
        <v>11874</v>
      </c>
      <c r="AI363" s="87"/>
      <c r="AJ363" s="87"/>
      <c r="AK363" s="87"/>
      <c r="AL363" s="87"/>
      <c r="AM363" s="87"/>
      <c r="AN363" s="87"/>
      <c r="AO363" s="87"/>
      <c r="AP363" s="87"/>
      <c r="AQ363" s="87"/>
      <c r="AR363" s="87"/>
      <c r="AS363" s="87"/>
      <c r="AT363" s="87"/>
      <c r="AU363" s="87"/>
      <c r="AV363" s="92" t="str">
        <f>HYPERLINK("https://pbs.twimg.com/profile_images/1681124614037032960/XPllAfBu_normal.png")</f>
        <v>https://pbs.twimg.com/profile_images/1681124614037032960/XPllAfBu_normal.png</v>
      </c>
      <c r="AW363" s="93" t="s">
        <v>18616</v>
      </c>
      <c r="AX363" s="93" t="s">
        <v>18616</v>
      </c>
      <c r="AY363" s="87"/>
      <c r="AZ363" s="93" t="s">
        <v>22668</v>
      </c>
      <c r="BA363" s="93" t="s">
        <v>22668</v>
      </c>
      <c r="BB363" s="93" t="s">
        <v>22668</v>
      </c>
      <c r="BC363" s="93" t="s">
        <v>18616</v>
      </c>
      <c r="BD363" s="93" t="s">
        <v>22864</v>
      </c>
      <c r="BE363" s="87"/>
      <c r="BF363" s="87"/>
      <c r="BG363" s="87"/>
      <c r="BH363" s="87"/>
      <c r="BI363" s="87"/>
    </row>
    <row r="364" spans="1:61" x14ac:dyDescent="0.25">
      <c r="A364" s="63" t="s">
        <v>349</v>
      </c>
      <c r="B364" s="63" t="s">
        <v>349</v>
      </c>
      <c r="C364" s="64"/>
      <c r="D364" s="65"/>
      <c r="E364" s="66"/>
      <c r="F364" s="67"/>
      <c r="G364" s="64"/>
      <c r="H364" s="68"/>
      <c r="I364" s="69"/>
      <c r="J364" s="69"/>
      <c r="K364" s="32"/>
      <c r="L364" s="76">
        <v>364</v>
      </c>
      <c r="M364" s="76"/>
      <c r="N364" s="71"/>
      <c r="O364" s="87" t="s">
        <v>179</v>
      </c>
      <c r="P364" s="90">
        <v>45124.657789351855</v>
      </c>
      <c r="Q364" s="87" t="s">
        <v>2201</v>
      </c>
      <c r="R364" s="87">
        <v>0</v>
      </c>
      <c r="S364" s="87">
        <v>0</v>
      </c>
      <c r="T364" s="87">
        <v>0</v>
      </c>
      <c r="U364" s="87">
        <v>0</v>
      </c>
      <c r="V364" s="87">
        <v>14</v>
      </c>
      <c r="W364" s="93" t="s">
        <v>6122</v>
      </c>
      <c r="X364" s="87"/>
      <c r="Y364" s="87"/>
      <c r="Z364" s="87"/>
      <c r="AA364" s="87" t="s">
        <v>8884</v>
      </c>
      <c r="AB364" s="87" t="s">
        <v>11447</v>
      </c>
      <c r="AC364" s="93" t="s">
        <v>11458</v>
      </c>
      <c r="AD364" s="87" t="s">
        <v>11519</v>
      </c>
      <c r="AE364" s="92" t="str">
        <f>HYPERLINK("https://twitter.com/oericaugusto/status/1680967401049935872")</f>
        <v>https://twitter.com/oericaugusto/status/1680967401049935872</v>
      </c>
      <c r="AF364" s="90">
        <v>45124.657789351855</v>
      </c>
      <c r="AG364" s="99">
        <v>45124</v>
      </c>
      <c r="AH364" s="93" t="s">
        <v>11875</v>
      </c>
      <c r="AI364" s="87" t="b">
        <v>0</v>
      </c>
      <c r="AJ364" s="87"/>
      <c r="AK364" s="87"/>
      <c r="AL364" s="87"/>
      <c r="AM364" s="87"/>
      <c r="AN364" s="87"/>
      <c r="AO364" s="87"/>
      <c r="AP364" s="87"/>
      <c r="AQ364" s="87" t="s">
        <v>15697</v>
      </c>
      <c r="AR364" s="87">
        <v>15616</v>
      </c>
      <c r="AS364" s="87"/>
      <c r="AT364" s="87"/>
      <c r="AU364" s="87"/>
      <c r="AV364" s="92" t="str">
        <f>HYPERLINK("https://pbs.twimg.com/ext_tw_video_thumb/1680967332112236546/pu/img/xUj4bB71uWxfPpov.jpg")</f>
        <v>https://pbs.twimg.com/ext_tw_video_thumb/1680967332112236546/pu/img/xUj4bB71uWxfPpov.jpg</v>
      </c>
      <c r="AW364" s="93" t="s">
        <v>18617</v>
      </c>
      <c r="AX364" s="93" t="s">
        <v>18617</v>
      </c>
      <c r="AY364" s="87"/>
      <c r="AZ364" s="93" t="s">
        <v>22668</v>
      </c>
      <c r="BA364" s="93" t="s">
        <v>22668</v>
      </c>
      <c r="BB364" s="93" t="s">
        <v>22668</v>
      </c>
      <c r="BC364" s="93" t="s">
        <v>18617</v>
      </c>
      <c r="BD364" s="93" t="s">
        <v>22865</v>
      </c>
      <c r="BE364" s="87"/>
      <c r="BF364" s="87"/>
      <c r="BG364" s="87"/>
      <c r="BH364" s="87"/>
      <c r="BI364" s="87"/>
    </row>
    <row r="365" spans="1:61" x14ac:dyDescent="0.25">
      <c r="A365" s="63" t="s">
        <v>349</v>
      </c>
      <c r="B365" s="63" t="s">
        <v>349</v>
      </c>
      <c r="C365" s="64"/>
      <c r="D365" s="65"/>
      <c r="E365" s="66"/>
      <c r="F365" s="67"/>
      <c r="G365" s="64"/>
      <c r="H365" s="68"/>
      <c r="I365" s="69"/>
      <c r="J365" s="69"/>
      <c r="K365" s="32"/>
      <c r="L365" s="76">
        <v>365</v>
      </c>
      <c r="M365" s="76"/>
      <c r="N365" s="71"/>
      <c r="O365" s="87" t="s">
        <v>1839</v>
      </c>
      <c r="P365" s="90">
        <v>45121.984976851854</v>
      </c>
      <c r="Q365" s="87" t="s">
        <v>2202</v>
      </c>
      <c r="R365" s="87">
        <v>0</v>
      </c>
      <c r="S365" s="87">
        <v>0</v>
      </c>
      <c r="T365" s="87">
        <v>0</v>
      </c>
      <c r="U365" s="87">
        <v>0</v>
      </c>
      <c r="V365" s="87">
        <v>7</v>
      </c>
      <c r="W365" s="93" t="s">
        <v>6123</v>
      </c>
      <c r="X365" s="92" t="str">
        <f>HYPERLINK("http://youtube.com/@Salud_bienestar_y_bellezas")</f>
        <v>http://youtube.com/@Salud_bienestar_y_bellezas</v>
      </c>
      <c r="Y365" s="87" t="s">
        <v>8380</v>
      </c>
      <c r="Z365" s="87" t="s">
        <v>349</v>
      </c>
      <c r="AA365" s="87" t="s">
        <v>8885</v>
      </c>
      <c r="AB365" s="87" t="s">
        <v>11447</v>
      </c>
      <c r="AC365" s="93" t="s">
        <v>11458</v>
      </c>
      <c r="AD365" s="87" t="s">
        <v>11519</v>
      </c>
      <c r="AE365" s="92" t="str">
        <f>HYPERLINK("https://twitter.com/oericaugusto/status/1679998805767344129")</f>
        <v>https://twitter.com/oericaugusto/status/1679998805767344129</v>
      </c>
      <c r="AF365" s="90">
        <v>45121.984976851854</v>
      </c>
      <c r="AG365" s="99">
        <v>45121</v>
      </c>
      <c r="AH365" s="93" t="s">
        <v>11876</v>
      </c>
      <c r="AI365" s="87" t="b">
        <v>0</v>
      </c>
      <c r="AJ365" s="87"/>
      <c r="AK365" s="87"/>
      <c r="AL365" s="87"/>
      <c r="AM365" s="87"/>
      <c r="AN365" s="87"/>
      <c r="AO365" s="87"/>
      <c r="AP365" s="87"/>
      <c r="AQ365" s="87" t="s">
        <v>15698</v>
      </c>
      <c r="AR365" s="87">
        <v>59866</v>
      </c>
      <c r="AS365" s="87"/>
      <c r="AT365" s="87"/>
      <c r="AU365" s="87"/>
      <c r="AV365" s="92" t="str">
        <f>HYPERLINK("https://pbs.twimg.com/ext_tw_video_thumb/1679998666776494080/pu/img/zJ4MSm5NRqeBfSQj.jpg")</f>
        <v>https://pbs.twimg.com/ext_tw_video_thumb/1679998666776494080/pu/img/zJ4MSm5NRqeBfSQj.jpg</v>
      </c>
      <c r="AW365" s="93" t="s">
        <v>18618</v>
      </c>
      <c r="AX365" s="93" t="s">
        <v>18618</v>
      </c>
      <c r="AY365" s="87"/>
      <c r="AZ365" s="93" t="s">
        <v>22668</v>
      </c>
      <c r="BA365" s="93" t="s">
        <v>22668</v>
      </c>
      <c r="BB365" s="93" t="s">
        <v>22668</v>
      </c>
      <c r="BC365" s="93" t="s">
        <v>18618</v>
      </c>
      <c r="BD365" s="93" t="s">
        <v>22865</v>
      </c>
      <c r="BE365" s="87"/>
      <c r="BF365" s="87"/>
      <c r="BG365" s="87"/>
      <c r="BH365" s="87"/>
      <c r="BI365" s="87"/>
    </row>
    <row r="366" spans="1:61" x14ac:dyDescent="0.25">
      <c r="A366" s="63" t="s">
        <v>350</v>
      </c>
      <c r="B366" s="63" t="s">
        <v>350</v>
      </c>
      <c r="C366" s="64"/>
      <c r="D366" s="65"/>
      <c r="E366" s="66"/>
      <c r="F366" s="67"/>
      <c r="G366" s="64"/>
      <c r="H366" s="68"/>
      <c r="I366" s="69"/>
      <c r="J366" s="69"/>
      <c r="K366" s="32"/>
      <c r="L366" s="76">
        <v>366</v>
      </c>
      <c r="M366" s="76"/>
      <c r="N366" s="71"/>
      <c r="O366" s="87" t="s">
        <v>179</v>
      </c>
      <c r="P366" s="90">
        <v>45120.935023148151</v>
      </c>
      <c r="Q366" s="87" t="s">
        <v>2203</v>
      </c>
      <c r="R366" s="87">
        <v>0</v>
      </c>
      <c r="S366" s="87">
        <v>0</v>
      </c>
      <c r="T366" s="87">
        <v>0</v>
      </c>
      <c r="U366" s="87">
        <v>0</v>
      </c>
      <c r="V366" s="87">
        <v>25</v>
      </c>
      <c r="W366" s="93" t="s">
        <v>6124</v>
      </c>
      <c r="X366" s="87"/>
      <c r="Y366" s="87"/>
      <c r="Z366" s="87"/>
      <c r="AA366" s="87"/>
      <c r="AB366" s="87"/>
      <c r="AC366" s="93" t="s">
        <v>11457</v>
      </c>
      <c r="AD366" s="87" t="s">
        <v>11519</v>
      </c>
      <c r="AE366" s="92" t="str">
        <f>HYPERLINK("https://twitter.com/luizansouto/status/1679618312454504451")</f>
        <v>https://twitter.com/luizansouto/status/1679618312454504451</v>
      </c>
      <c r="AF366" s="90">
        <v>45120.935023148151</v>
      </c>
      <c r="AG366" s="99">
        <v>45120</v>
      </c>
      <c r="AH366" s="93" t="s">
        <v>11877</v>
      </c>
      <c r="AI366" s="87"/>
      <c r="AJ366" s="87"/>
      <c r="AK366" s="87"/>
      <c r="AL366" s="87"/>
      <c r="AM366" s="87"/>
      <c r="AN366" s="87"/>
      <c r="AO366" s="87"/>
      <c r="AP366" s="87"/>
      <c r="AQ366" s="87"/>
      <c r="AR366" s="87"/>
      <c r="AS366" s="87"/>
      <c r="AT366" s="87"/>
      <c r="AU366" s="87"/>
      <c r="AV366" s="92" t="str">
        <f>HYPERLINK("https://pbs.twimg.com/profile_images/1140932274638217216/5CkcALzu_normal.jpg")</f>
        <v>https://pbs.twimg.com/profile_images/1140932274638217216/5CkcALzu_normal.jpg</v>
      </c>
      <c r="AW366" s="93" t="s">
        <v>18619</v>
      </c>
      <c r="AX366" s="93" t="s">
        <v>18619</v>
      </c>
      <c r="AY366" s="87"/>
      <c r="AZ366" s="93" t="s">
        <v>22668</v>
      </c>
      <c r="BA366" s="93" t="s">
        <v>22668</v>
      </c>
      <c r="BB366" s="93" t="s">
        <v>22668</v>
      </c>
      <c r="BC366" s="93" t="s">
        <v>18619</v>
      </c>
      <c r="BD366" s="87">
        <v>29881959</v>
      </c>
      <c r="BE366" s="87"/>
      <c r="BF366" s="87"/>
      <c r="BG366" s="87"/>
      <c r="BH366" s="87"/>
      <c r="BI366" s="87"/>
    </row>
    <row r="367" spans="1:61" x14ac:dyDescent="0.25">
      <c r="A367" s="63" t="s">
        <v>351</v>
      </c>
      <c r="B367" s="63" t="s">
        <v>1624</v>
      </c>
      <c r="C367" s="64"/>
      <c r="D367" s="65"/>
      <c r="E367" s="66"/>
      <c r="F367" s="67"/>
      <c r="G367" s="64"/>
      <c r="H367" s="68"/>
      <c r="I367" s="69"/>
      <c r="J367" s="69"/>
      <c r="K367" s="32"/>
      <c r="L367" s="76">
        <v>367</v>
      </c>
      <c r="M367" s="76"/>
      <c r="N367" s="71"/>
      <c r="O367" s="87" t="s">
        <v>1839</v>
      </c>
      <c r="P367" s="90">
        <v>45113.776331018518</v>
      </c>
      <c r="Q367" s="87" t="s">
        <v>2204</v>
      </c>
      <c r="R367" s="87">
        <v>1</v>
      </c>
      <c r="S367" s="87">
        <v>0</v>
      </c>
      <c r="T367" s="87">
        <v>0</v>
      </c>
      <c r="U367" s="87">
        <v>0</v>
      </c>
      <c r="V367" s="87">
        <v>42</v>
      </c>
      <c r="W367" s="93" t="s">
        <v>6125</v>
      </c>
      <c r="X367" s="92" t="str">
        <f>HYPERLINK("https://youtu.be/m9mVyL_RUuo")</f>
        <v>https://youtu.be/m9mVyL_RUuo</v>
      </c>
      <c r="Y367" s="87" t="s">
        <v>8372</v>
      </c>
      <c r="Z367" s="87" t="s">
        <v>1624</v>
      </c>
      <c r="AA367" s="87"/>
      <c r="AB367" s="87"/>
      <c r="AC367" s="93" t="s">
        <v>11457</v>
      </c>
      <c r="AD367" s="87" t="s">
        <v>11519</v>
      </c>
      <c r="AE367" s="92" t="str">
        <f>HYPERLINK("https://twitter.com/rebeliaocryptos/status/1677024090274553856")</f>
        <v>https://twitter.com/rebeliaocryptos/status/1677024090274553856</v>
      </c>
      <c r="AF367" s="90">
        <v>45113.776331018518</v>
      </c>
      <c r="AG367" s="99">
        <v>45113</v>
      </c>
      <c r="AH367" s="93" t="s">
        <v>11878</v>
      </c>
      <c r="AI367" s="87" t="b">
        <v>0</v>
      </c>
      <c r="AJ367" s="87"/>
      <c r="AK367" s="87"/>
      <c r="AL367" s="87"/>
      <c r="AM367" s="87"/>
      <c r="AN367" s="87"/>
      <c r="AO367" s="87"/>
      <c r="AP367" s="87"/>
      <c r="AQ367" s="87"/>
      <c r="AR367" s="87"/>
      <c r="AS367" s="87"/>
      <c r="AT367" s="87"/>
      <c r="AU367" s="87"/>
      <c r="AV367" s="92" t="str">
        <f>HYPERLINK("https://pbs.twimg.com/profile_images/1597661867991760898/0zu-YDon_normal.jpg")</f>
        <v>https://pbs.twimg.com/profile_images/1597661867991760898/0zu-YDon_normal.jpg</v>
      </c>
      <c r="AW367" s="93" t="s">
        <v>18620</v>
      </c>
      <c r="AX367" s="93" t="s">
        <v>18620</v>
      </c>
      <c r="AY367" s="87"/>
      <c r="AZ367" s="93" t="s">
        <v>22668</v>
      </c>
      <c r="BA367" s="93" t="s">
        <v>22668</v>
      </c>
      <c r="BB367" s="93" t="s">
        <v>22668</v>
      </c>
      <c r="BC367" s="93" t="s">
        <v>18620</v>
      </c>
      <c r="BD367" s="93" t="s">
        <v>22866</v>
      </c>
      <c r="BE367" s="87"/>
      <c r="BF367" s="87"/>
      <c r="BG367" s="87"/>
      <c r="BH367" s="87"/>
      <c r="BI367" s="87"/>
    </row>
    <row r="368" spans="1:61" x14ac:dyDescent="0.25">
      <c r="A368" s="63" t="s">
        <v>352</v>
      </c>
      <c r="B368" s="63" t="s">
        <v>352</v>
      </c>
      <c r="C368" s="64"/>
      <c r="D368" s="65"/>
      <c r="E368" s="66"/>
      <c r="F368" s="67"/>
      <c r="G368" s="64"/>
      <c r="H368" s="68"/>
      <c r="I368" s="69"/>
      <c r="J368" s="69"/>
      <c r="K368" s="32"/>
      <c r="L368" s="76">
        <v>368</v>
      </c>
      <c r="M368" s="76"/>
      <c r="N368" s="71"/>
      <c r="O368" s="87" t="s">
        <v>179</v>
      </c>
      <c r="P368" s="90">
        <v>45148.876747685186</v>
      </c>
      <c r="Q368" s="87" t="s">
        <v>2205</v>
      </c>
      <c r="R368" s="87">
        <v>0</v>
      </c>
      <c r="S368" s="87">
        <v>0</v>
      </c>
      <c r="T368" s="87">
        <v>0</v>
      </c>
      <c r="U368" s="87">
        <v>0</v>
      </c>
      <c r="V368" s="87">
        <v>47</v>
      </c>
      <c r="W368" s="93" t="s">
        <v>6126</v>
      </c>
      <c r="X368" s="87"/>
      <c r="Y368" s="87"/>
      <c r="Z368" s="87"/>
      <c r="AA368" s="87" t="s">
        <v>8886</v>
      </c>
      <c r="AB368" s="87" t="s">
        <v>11447</v>
      </c>
      <c r="AC368" s="93" t="s">
        <v>11457</v>
      </c>
      <c r="AD368" s="87" t="s">
        <v>11519</v>
      </c>
      <c r="AE368" s="92" t="str">
        <f>HYPERLINK("https://twitter.com/sicoob_amazonia/status/1689744056811700225")</f>
        <v>https://twitter.com/sicoob_amazonia/status/1689744056811700225</v>
      </c>
      <c r="AF368" s="90">
        <v>45148.876747685186</v>
      </c>
      <c r="AG368" s="99">
        <v>45148</v>
      </c>
      <c r="AH368" s="93" t="s">
        <v>11879</v>
      </c>
      <c r="AI368" s="87" t="b">
        <v>0</v>
      </c>
      <c r="AJ368" s="87"/>
      <c r="AK368" s="87"/>
      <c r="AL368" s="87"/>
      <c r="AM368" s="87"/>
      <c r="AN368" s="87"/>
      <c r="AO368" s="87"/>
      <c r="AP368" s="87"/>
      <c r="AQ368" s="87" t="s">
        <v>15699</v>
      </c>
      <c r="AR368" s="87">
        <v>115915</v>
      </c>
      <c r="AS368" s="87"/>
      <c r="AT368" s="87"/>
      <c r="AU368" s="87"/>
      <c r="AV368" s="92" t="str">
        <f>HYPERLINK("https://pbs.twimg.com/ext_tw_video_thumb/1689743192382410752/pu/img/gsHI_ViqjUXJFxfv.jpg")</f>
        <v>https://pbs.twimg.com/ext_tw_video_thumb/1689743192382410752/pu/img/gsHI_ViqjUXJFxfv.jpg</v>
      </c>
      <c r="AW368" s="93" t="s">
        <v>18621</v>
      </c>
      <c r="AX368" s="93" t="s">
        <v>18621</v>
      </c>
      <c r="AY368" s="87"/>
      <c r="AZ368" s="93" t="s">
        <v>22668</v>
      </c>
      <c r="BA368" s="93" t="s">
        <v>22668</v>
      </c>
      <c r="BB368" s="93" t="s">
        <v>22668</v>
      </c>
      <c r="BC368" s="93" t="s">
        <v>18621</v>
      </c>
      <c r="BD368" s="93" t="s">
        <v>22867</v>
      </c>
      <c r="BE368" s="87"/>
      <c r="BF368" s="87"/>
      <c r="BG368" s="87"/>
      <c r="BH368" s="87"/>
      <c r="BI368" s="87"/>
    </row>
    <row r="369" spans="1:61" x14ac:dyDescent="0.25">
      <c r="A369" s="63" t="s">
        <v>353</v>
      </c>
      <c r="B369" s="63" t="s">
        <v>353</v>
      </c>
      <c r="C369" s="64"/>
      <c r="D369" s="65"/>
      <c r="E369" s="66"/>
      <c r="F369" s="67"/>
      <c r="G369" s="64"/>
      <c r="H369" s="68"/>
      <c r="I369" s="69"/>
      <c r="J369" s="69"/>
      <c r="K369" s="32"/>
      <c r="L369" s="76">
        <v>369</v>
      </c>
      <c r="M369" s="76"/>
      <c r="N369" s="71"/>
      <c r="O369" s="87" t="s">
        <v>179</v>
      </c>
      <c r="P369" s="90">
        <v>45112.671307870369</v>
      </c>
      <c r="Q369" s="87" t="s">
        <v>2206</v>
      </c>
      <c r="R369" s="87">
        <v>0</v>
      </c>
      <c r="S369" s="87">
        <v>0</v>
      </c>
      <c r="T369" s="87">
        <v>0</v>
      </c>
      <c r="U369" s="87">
        <v>0</v>
      </c>
      <c r="V369" s="87">
        <v>6</v>
      </c>
      <c r="W369" s="93" t="s">
        <v>6127</v>
      </c>
      <c r="X369" s="92" t="str">
        <f>HYPERLINK("https://www.instagram.com/p/CuShGQSMzSW/?utm_source=ig_web_copy_link&amp;igshid=MzRlODBiNWFlZA==")</f>
        <v>https://www.instagram.com/p/CuShGQSMzSW/?utm_source=ig_web_copy_link&amp;igshid=MzRlODBiNWFlZA==</v>
      </c>
      <c r="Y369" s="87" t="s">
        <v>8383</v>
      </c>
      <c r="Z369" s="87"/>
      <c r="AA369" s="87" t="s">
        <v>8887</v>
      </c>
      <c r="AB369" s="87" t="s">
        <v>11449</v>
      </c>
      <c r="AC369" s="93" t="s">
        <v>11457</v>
      </c>
      <c r="AD369" s="87" t="s">
        <v>11519</v>
      </c>
      <c r="AE369" s="92" t="str">
        <f>HYPERLINK("https://twitter.com/falavinhanext/status/1676623645374836742")</f>
        <v>https://twitter.com/falavinhanext/status/1676623645374836742</v>
      </c>
      <c r="AF369" s="90">
        <v>45112.671307870369</v>
      </c>
      <c r="AG369" s="99">
        <v>45112</v>
      </c>
      <c r="AH369" s="93" t="s">
        <v>11880</v>
      </c>
      <c r="AI369" s="87" t="b">
        <v>0</v>
      </c>
      <c r="AJ369" s="87"/>
      <c r="AK369" s="87"/>
      <c r="AL369" s="87"/>
      <c r="AM369" s="87"/>
      <c r="AN369" s="87"/>
      <c r="AO369" s="87"/>
      <c r="AP369" s="87"/>
      <c r="AQ369" s="87" t="s">
        <v>15700</v>
      </c>
      <c r="AR369" s="87"/>
      <c r="AS369" s="87"/>
      <c r="AT369" s="87"/>
      <c r="AU369" s="87"/>
      <c r="AV369" s="92" t="str">
        <f>HYPERLINK("https://pbs.twimg.com/media/F0SQJCuXsAE4v7H.jpg")</f>
        <v>https://pbs.twimg.com/media/F0SQJCuXsAE4v7H.jpg</v>
      </c>
      <c r="AW369" s="93" t="s">
        <v>18622</v>
      </c>
      <c r="AX369" s="93" t="s">
        <v>18622</v>
      </c>
      <c r="AY369" s="87"/>
      <c r="AZ369" s="93" t="s">
        <v>22668</v>
      </c>
      <c r="BA369" s="93" t="s">
        <v>22668</v>
      </c>
      <c r="BB369" s="93" t="s">
        <v>22668</v>
      </c>
      <c r="BC369" s="93" t="s">
        <v>18622</v>
      </c>
      <c r="BD369" s="93" t="s">
        <v>22868</v>
      </c>
      <c r="BE369" s="87"/>
      <c r="BF369" s="87"/>
      <c r="BG369" s="87"/>
      <c r="BH369" s="87"/>
      <c r="BI369" s="87"/>
    </row>
    <row r="370" spans="1:61" x14ac:dyDescent="0.25">
      <c r="A370" s="63" t="s">
        <v>353</v>
      </c>
      <c r="B370" s="63" t="s">
        <v>353</v>
      </c>
      <c r="C370" s="64"/>
      <c r="D370" s="65"/>
      <c r="E370" s="66"/>
      <c r="F370" s="67"/>
      <c r="G370" s="64"/>
      <c r="H370" s="68"/>
      <c r="I370" s="69"/>
      <c r="J370" s="69"/>
      <c r="K370" s="32"/>
      <c r="L370" s="76">
        <v>370</v>
      </c>
      <c r="M370" s="76"/>
      <c r="N370" s="71"/>
      <c r="O370" s="87" t="s">
        <v>179</v>
      </c>
      <c r="P370" s="90">
        <v>45114.673391203702</v>
      </c>
      <c r="Q370" s="87" t="s">
        <v>2207</v>
      </c>
      <c r="R370" s="87">
        <v>0</v>
      </c>
      <c r="S370" s="87">
        <v>0</v>
      </c>
      <c r="T370" s="87">
        <v>0</v>
      </c>
      <c r="U370" s="87">
        <v>0</v>
      </c>
      <c r="V370" s="87">
        <v>4</v>
      </c>
      <c r="W370" s="93" t="s">
        <v>6128</v>
      </c>
      <c r="X370" s="92" t="str">
        <f>HYPERLINK("https://www.instagram.com/p/CuVF5ilIisW/?utm_source=ig_web_copy_link&amp;igshid=MzRlODBiNWFlZA==")</f>
        <v>https://www.instagram.com/p/CuVF5ilIisW/?utm_source=ig_web_copy_link&amp;igshid=MzRlODBiNWFlZA==</v>
      </c>
      <c r="Y370" s="87" t="s">
        <v>8383</v>
      </c>
      <c r="Z370" s="87"/>
      <c r="AA370" s="87" t="s">
        <v>8888</v>
      </c>
      <c r="AB370" s="87" t="s">
        <v>11451</v>
      </c>
      <c r="AC370" s="93" t="s">
        <v>11457</v>
      </c>
      <c r="AD370" s="87" t="s">
        <v>11519</v>
      </c>
      <c r="AE370" s="92" t="str">
        <f>HYPERLINK("https://twitter.com/falavinhanext/status/1677349174340206593")</f>
        <v>https://twitter.com/falavinhanext/status/1677349174340206593</v>
      </c>
      <c r="AF370" s="90">
        <v>45114.673391203702</v>
      </c>
      <c r="AG370" s="99">
        <v>45114</v>
      </c>
      <c r="AH370" s="93" t="s">
        <v>11881</v>
      </c>
      <c r="AI370" s="87" t="b">
        <v>0</v>
      </c>
      <c r="AJ370" s="87"/>
      <c r="AK370" s="87"/>
      <c r="AL370" s="87"/>
      <c r="AM370" s="87"/>
      <c r="AN370" s="87"/>
      <c r="AO370" s="87"/>
      <c r="AP370" s="87"/>
      <c r="AQ370" s="87" t="s">
        <v>15701</v>
      </c>
      <c r="AR370" s="87"/>
      <c r="AS370" s="87"/>
      <c r="AT370" s="87"/>
      <c r="AU370" s="87"/>
      <c r="AV370" s="92" t="str">
        <f>HYPERLINK("https://pbs.twimg.com/media/F0ckBwVWAAALpej.jpg")</f>
        <v>https://pbs.twimg.com/media/F0ckBwVWAAALpej.jpg</v>
      </c>
      <c r="AW370" s="93" t="s">
        <v>18623</v>
      </c>
      <c r="AX370" s="93" t="s">
        <v>18623</v>
      </c>
      <c r="AY370" s="87"/>
      <c r="AZ370" s="93" t="s">
        <v>22668</v>
      </c>
      <c r="BA370" s="93" t="s">
        <v>22668</v>
      </c>
      <c r="BB370" s="93" t="s">
        <v>22668</v>
      </c>
      <c r="BC370" s="93" t="s">
        <v>18623</v>
      </c>
      <c r="BD370" s="93" t="s">
        <v>22868</v>
      </c>
      <c r="BE370" s="87"/>
      <c r="BF370" s="87"/>
      <c r="BG370" s="87"/>
      <c r="BH370" s="87"/>
      <c r="BI370" s="87"/>
    </row>
    <row r="371" spans="1:61" x14ac:dyDescent="0.25">
      <c r="A371" s="63" t="s">
        <v>353</v>
      </c>
      <c r="B371" s="63" t="s">
        <v>353</v>
      </c>
      <c r="C371" s="64"/>
      <c r="D371" s="65"/>
      <c r="E371" s="66"/>
      <c r="F371" s="67"/>
      <c r="G371" s="64"/>
      <c r="H371" s="68"/>
      <c r="I371" s="69"/>
      <c r="J371" s="69"/>
      <c r="K371" s="32"/>
      <c r="L371" s="76">
        <v>371</v>
      </c>
      <c r="M371" s="76"/>
      <c r="N371" s="71"/>
      <c r="O371" s="87" t="s">
        <v>179</v>
      </c>
      <c r="P371" s="90">
        <v>45132.670937499999</v>
      </c>
      <c r="Q371" s="87" t="s">
        <v>2208</v>
      </c>
      <c r="R371" s="87">
        <v>0</v>
      </c>
      <c r="S371" s="87">
        <v>0</v>
      </c>
      <c r="T371" s="87">
        <v>0</v>
      </c>
      <c r="U371" s="87">
        <v>0</v>
      </c>
      <c r="V371" s="87">
        <v>2</v>
      </c>
      <c r="W371" s="93" t="s">
        <v>6129</v>
      </c>
      <c r="X371" s="92" t="str">
        <f>HYPERLINK("https://falavinhanext.com.br/pis-cofins-justica-permite-incluir-icms-em-calculo-de-credito/")</f>
        <v>https://falavinhanext.com.br/pis-cofins-justica-permite-incluir-icms-em-calculo-de-credito/</v>
      </c>
      <c r="Y371" s="87" t="s">
        <v>8373</v>
      </c>
      <c r="Z371" s="87"/>
      <c r="AA371" s="87" t="s">
        <v>8889</v>
      </c>
      <c r="AB371" s="87" t="s">
        <v>11448</v>
      </c>
      <c r="AC371" s="93" t="s">
        <v>11457</v>
      </c>
      <c r="AD371" s="87" t="s">
        <v>11519</v>
      </c>
      <c r="AE371" s="92" t="str">
        <f>HYPERLINK("https://twitter.com/falavinhanext/status/1683871266908803072")</f>
        <v>https://twitter.com/falavinhanext/status/1683871266908803072</v>
      </c>
      <c r="AF371" s="90">
        <v>45132.670937499999</v>
      </c>
      <c r="AG371" s="99">
        <v>45132</v>
      </c>
      <c r="AH371" s="93" t="s">
        <v>11882</v>
      </c>
      <c r="AI371" s="87" t="b">
        <v>0</v>
      </c>
      <c r="AJ371" s="87"/>
      <c r="AK371" s="87"/>
      <c r="AL371" s="87"/>
      <c r="AM371" s="87"/>
      <c r="AN371" s="87"/>
      <c r="AO371" s="87"/>
      <c r="AP371" s="87"/>
      <c r="AQ371" s="87" t="s">
        <v>15702</v>
      </c>
      <c r="AR371" s="87"/>
      <c r="AS371" s="87"/>
      <c r="AT371" s="87"/>
      <c r="AU371" s="87"/>
      <c r="AV371" s="92" t="str">
        <f>HYPERLINK("https://pbs.twimg.com/media/F15PonzWAAA-_Q2.jpg")</f>
        <v>https://pbs.twimg.com/media/F15PonzWAAA-_Q2.jpg</v>
      </c>
      <c r="AW371" s="93" t="s">
        <v>18624</v>
      </c>
      <c r="AX371" s="93" t="s">
        <v>18624</v>
      </c>
      <c r="AY371" s="87"/>
      <c r="AZ371" s="93" t="s">
        <v>22668</v>
      </c>
      <c r="BA371" s="93" t="s">
        <v>22668</v>
      </c>
      <c r="BB371" s="93" t="s">
        <v>22668</v>
      </c>
      <c r="BC371" s="93" t="s">
        <v>18624</v>
      </c>
      <c r="BD371" s="93" t="s">
        <v>22868</v>
      </c>
      <c r="BE371" s="87"/>
      <c r="BF371" s="87"/>
      <c r="BG371" s="87"/>
      <c r="BH371" s="87"/>
      <c r="BI371" s="87"/>
    </row>
    <row r="372" spans="1:61" x14ac:dyDescent="0.25">
      <c r="A372" s="63" t="s">
        <v>353</v>
      </c>
      <c r="B372" s="63" t="s">
        <v>353</v>
      </c>
      <c r="C372" s="64"/>
      <c r="D372" s="65"/>
      <c r="E372" s="66"/>
      <c r="F372" s="67"/>
      <c r="G372" s="64"/>
      <c r="H372" s="68"/>
      <c r="I372" s="69"/>
      <c r="J372" s="69"/>
      <c r="K372" s="32"/>
      <c r="L372" s="76">
        <v>372</v>
      </c>
      <c r="M372" s="76"/>
      <c r="N372" s="71"/>
      <c r="O372" s="87" t="s">
        <v>179</v>
      </c>
      <c r="P372" s="90">
        <v>45117.67224537037</v>
      </c>
      <c r="Q372" s="87" t="s">
        <v>2209</v>
      </c>
      <c r="R372" s="87">
        <v>0</v>
      </c>
      <c r="S372" s="87">
        <v>0</v>
      </c>
      <c r="T372" s="87">
        <v>0</v>
      </c>
      <c r="U372" s="87">
        <v>0</v>
      </c>
      <c r="V372" s="87">
        <v>4</v>
      </c>
      <c r="W372" s="93" t="s">
        <v>6130</v>
      </c>
      <c r="X372" s="92" t="str">
        <f>HYPERLINK("https://www.instagram.com/p/CuhWYxTrJI8/?utm_source=ig_web_copy_link&amp;igshid=MzRlODBiNWFlZA==")</f>
        <v>https://www.instagram.com/p/CuhWYxTrJI8/?utm_source=ig_web_copy_link&amp;igshid=MzRlODBiNWFlZA==</v>
      </c>
      <c r="Y372" s="87" t="s">
        <v>8383</v>
      </c>
      <c r="Z372" s="87"/>
      <c r="AA372" s="87" t="s">
        <v>8890</v>
      </c>
      <c r="AB372" s="87" t="s">
        <v>11449</v>
      </c>
      <c r="AC372" s="93" t="s">
        <v>11457</v>
      </c>
      <c r="AD372" s="87" t="s">
        <v>11519</v>
      </c>
      <c r="AE372" s="92" t="str">
        <f>HYPERLINK("https://twitter.com/falavinhanext/status/1678435924500271104")</f>
        <v>https://twitter.com/falavinhanext/status/1678435924500271104</v>
      </c>
      <c r="AF372" s="90">
        <v>45117.67224537037</v>
      </c>
      <c r="AG372" s="99">
        <v>45117</v>
      </c>
      <c r="AH372" s="93" t="s">
        <v>11883</v>
      </c>
      <c r="AI372" s="87" t="b">
        <v>0</v>
      </c>
      <c r="AJ372" s="87"/>
      <c r="AK372" s="87"/>
      <c r="AL372" s="87"/>
      <c r="AM372" s="87"/>
      <c r="AN372" s="87"/>
      <c r="AO372" s="87"/>
      <c r="AP372" s="87"/>
      <c r="AQ372" s="87" t="s">
        <v>15703</v>
      </c>
      <c r="AR372" s="87"/>
      <c r="AS372" s="87"/>
      <c r="AT372" s="87"/>
      <c r="AU372" s="87"/>
      <c r="AV372" s="92" t="str">
        <f>HYPERLINK("https://pbs.twimg.com/media/F0sAbqUWAAEjCA3.jpg")</f>
        <v>https://pbs.twimg.com/media/F0sAbqUWAAEjCA3.jpg</v>
      </c>
      <c r="AW372" s="93" t="s">
        <v>18625</v>
      </c>
      <c r="AX372" s="93" t="s">
        <v>18625</v>
      </c>
      <c r="AY372" s="87"/>
      <c r="AZ372" s="93" t="s">
        <v>22668</v>
      </c>
      <c r="BA372" s="93" t="s">
        <v>22668</v>
      </c>
      <c r="BB372" s="93" t="s">
        <v>22668</v>
      </c>
      <c r="BC372" s="93" t="s">
        <v>18625</v>
      </c>
      <c r="BD372" s="93" t="s">
        <v>22868</v>
      </c>
      <c r="BE372" s="87"/>
      <c r="BF372" s="87"/>
      <c r="BG372" s="87"/>
      <c r="BH372" s="87"/>
      <c r="BI372" s="87"/>
    </row>
    <row r="373" spans="1:61" x14ac:dyDescent="0.25">
      <c r="A373" s="63" t="s">
        <v>353</v>
      </c>
      <c r="B373" s="63" t="s">
        <v>353</v>
      </c>
      <c r="C373" s="64"/>
      <c r="D373" s="65"/>
      <c r="E373" s="66"/>
      <c r="F373" s="67"/>
      <c r="G373" s="64"/>
      <c r="H373" s="68"/>
      <c r="I373" s="69"/>
      <c r="J373" s="69"/>
      <c r="K373" s="32"/>
      <c r="L373" s="76">
        <v>373</v>
      </c>
      <c r="M373" s="76"/>
      <c r="N373" s="71"/>
      <c r="O373" s="87" t="s">
        <v>179</v>
      </c>
      <c r="P373" s="90">
        <v>45149.691574074073</v>
      </c>
      <c r="Q373" s="87" t="s">
        <v>2210</v>
      </c>
      <c r="R373" s="87">
        <v>0</v>
      </c>
      <c r="S373" s="87">
        <v>0</v>
      </c>
      <c r="T373" s="87">
        <v>0</v>
      </c>
      <c r="U373" s="87">
        <v>0</v>
      </c>
      <c r="V373" s="87">
        <v>13</v>
      </c>
      <c r="W373" s="93" t="s">
        <v>6131</v>
      </c>
      <c r="X373" s="92" t="str">
        <f>HYPERLINK("https://www.instagram.com/p/Cvxygz4tWiZ/?utm_source=ig_web_copy_link&amp;igshid=MzRlODBiNWFlZA==")</f>
        <v>https://www.instagram.com/p/Cvxygz4tWiZ/?utm_source=ig_web_copy_link&amp;igshid=MzRlODBiNWFlZA==</v>
      </c>
      <c r="Y373" s="87" t="s">
        <v>8383</v>
      </c>
      <c r="Z373" s="87"/>
      <c r="AA373" s="87" t="s">
        <v>8891</v>
      </c>
      <c r="AB373" s="87" t="s">
        <v>11451</v>
      </c>
      <c r="AC373" s="93" t="s">
        <v>11457</v>
      </c>
      <c r="AD373" s="87" t="s">
        <v>11519</v>
      </c>
      <c r="AE373" s="92" t="str">
        <f>HYPERLINK("https://twitter.com/falavinhanext/status/1690039337684021255")</f>
        <v>https://twitter.com/falavinhanext/status/1690039337684021255</v>
      </c>
      <c r="AF373" s="90">
        <v>45149.691574074073</v>
      </c>
      <c r="AG373" s="99">
        <v>45149</v>
      </c>
      <c r="AH373" s="93" t="s">
        <v>11884</v>
      </c>
      <c r="AI373" s="87" t="b">
        <v>0</v>
      </c>
      <c r="AJ373" s="87"/>
      <c r="AK373" s="87"/>
      <c r="AL373" s="87"/>
      <c r="AM373" s="87"/>
      <c r="AN373" s="87"/>
      <c r="AO373" s="87"/>
      <c r="AP373" s="87"/>
      <c r="AQ373" s="87" t="s">
        <v>15704</v>
      </c>
      <c r="AR373" s="87"/>
      <c r="AS373" s="87"/>
      <c r="AT373" s="87"/>
      <c r="AU373" s="87"/>
      <c r="AV373" s="92" t="str">
        <f>HYPERLINK("https://pbs.twimg.com/media/F3Q5qccXsAQARdD.jpg")</f>
        <v>https://pbs.twimg.com/media/F3Q5qccXsAQARdD.jpg</v>
      </c>
      <c r="AW373" s="93" t="s">
        <v>18626</v>
      </c>
      <c r="AX373" s="93" t="s">
        <v>18626</v>
      </c>
      <c r="AY373" s="87"/>
      <c r="AZ373" s="93" t="s">
        <v>22668</v>
      </c>
      <c r="BA373" s="93" t="s">
        <v>22668</v>
      </c>
      <c r="BB373" s="93" t="s">
        <v>22668</v>
      </c>
      <c r="BC373" s="93" t="s">
        <v>18626</v>
      </c>
      <c r="BD373" s="93" t="s">
        <v>22868</v>
      </c>
      <c r="BE373" s="87"/>
      <c r="BF373" s="87"/>
      <c r="BG373" s="87"/>
      <c r="BH373" s="87"/>
      <c r="BI373" s="87"/>
    </row>
    <row r="374" spans="1:61" x14ac:dyDescent="0.25">
      <c r="A374" s="63" t="s">
        <v>353</v>
      </c>
      <c r="B374" s="63" t="s">
        <v>353</v>
      </c>
      <c r="C374" s="64"/>
      <c r="D374" s="65"/>
      <c r="E374" s="66"/>
      <c r="F374" s="67"/>
      <c r="G374" s="64"/>
      <c r="H374" s="68"/>
      <c r="I374" s="69"/>
      <c r="J374" s="69"/>
      <c r="K374" s="32"/>
      <c r="L374" s="76">
        <v>374</v>
      </c>
      <c r="M374" s="76"/>
      <c r="N374" s="71"/>
      <c r="O374" s="87" t="s">
        <v>179</v>
      </c>
      <c r="P374" s="90">
        <v>45148.769212962965</v>
      </c>
      <c r="Q374" s="87" t="s">
        <v>2211</v>
      </c>
      <c r="R374" s="87">
        <v>0</v>
      </c>
      <c r="S374" s="87">
        <v>0</v>
      </c>
      <c r="T374" s="87">
        <v>0</v>
      </c>
      <c r="U374" s="87">
        <v>0</v>
      </c>
      <c r="V374" s="87">
        <v>4</v>
      </c>
      <c r="W374" s="93" t="s">
        <v>6132</v>
      </c>
      <c r="X374" s="92" t="str">
        <f>HYPERLINK("https://www.instagram.com/p/CvvNuJZOkRr/?utm_source=ig_web_copy_link&amp;igshid=MzRlODBiNWFlZA==")</f>
        <v>https://www.instagram.com/p/CvvNuJZOkRr/?utm_source=ig_web_copy_link&amp;igshid=MzRlODBiNWFlZA==</v>
      </c>
      <c r="Y374" s="87" t="s">
        <v>8383</v>
      </c>
      <c r="Z374" s="87"/>
      <c r="AA374" s="87" t="s">
        <v>8892</v>
      </c>
      <c r="AB374" s="87" t="s">
        <v>11449</v>
      </c>
      <c r="AC374" s="93" t="s">
        <v>11457</v>
      </c>
      <c r="AD374" s="87" t="s">
        <v>11519</v>
      </c>
      <c r="AE374" s="92" t="str">
        <f>HYPERLINK("https://twitter.com/falavinhanext/status/1689705088338534401")</f>
        <v>https://twitter.com/falavinhanext/status/1689705088338534401</v>
      </c>
      <c r="AF374" s="90">
        <v>45148.769212962965</v>
      </c>
      <c r="AG374" s="99">
        <v>45148</v>
      </c>
      <c r="AH374" s="93" t="s">
        <v>11885</v>
      </c>
      <c r="AI374" s="87" t="b">
        <v>0</v>
      </c>
      <c r="AJ374" s="87"/>
      <c r="AK374" s="87"/>
      <c r="AL374" s="87"/>
      <c r="AM374" s="87"/>
      <c r="AN374" s="87"/>
      <c r="AO374" s="87"/>
      <c r="AP374" s="87"/>
      <c r="AQ374" s="87" t="s">
        <v>15705</v>
      </c>
      <c r="AR374" s="87"/>
      <c r="AS374" s="87"/>
      <c r="AT374" s="87"/>
      <c r="AU374" s="87"/>
      <c r="AV374" s="92" t="str">
        <f>HYPERLINK("https://pbs.twimg.com/media/F3MJwPFW4AAguje.jpg")</f>
        <v>https://pbs.twimg.com/media/F3MJwPFW4AAguje.jpg</v>
      </c>
      <c r="AW374" s="93" t="s">
        <v>18627</v>
      </c>
      <c r="AX374" s="93" t="s">
        <v>18627</v>
      </c>
      <c r="AY374" s="87"/>
      <c r="AZ374" s="93" t="s">
        <v>22668</v>
      </c>
      <c r="BA374" s="93" t="s">
        <v>22668</v>
      </c>
      <c r="BB374" s="93" t="s">
        <v>22668</v>
      </c>
      <c r="BC374" s="93" t="s">
        <v>18627</v>
      </c>
      <c r="BD374" s="93" t="s">
        <v>22868</v>
      </c>
      <c r="BE374" s="87"/>
      <c r="BF374" s="87"/>
      <c r="BG374" s="87"/>
      <c r="BH374" s="87"/>
      <c r="BI374" s="87"/>
    </row>
    <row r="375" spans="1:61" x14ac:dyDescent="0.25">
      <c r="A375" s="63" t="s">
        <v>353</v>
      </c>
      <c r="B375" s="63" t="s">
        <v>353</v>
      </c>
      <c r="C375" s="64"/>
      <c r="D375" s="65"/>
      <c r="E375" s="66"/>
      <c r="F375" s="67"/>
      <c r="G375" s="64"/>
      <c r="H375" s="68"/>
      <c r="I375" s="69"/>
      <c r="J375" s="69"/>
      <c r="K375" s="32"/>
      <c r="L375" s="76">
        <v>375</v>
      </c>
      <c r="M375" s="76"/>
      <c r="N375" s="71"/>
      <c r="O375" s="87" t="s">
        <v>179</v>
      </c>
      <c r="P375" s="90">
        <v>45118.66951388889</v>
      </c>
      <c r="Q375" s="87" t="s">
        <v>2212</v>
      </c>
      <c r="R375" s="87">
        <v>0</v>
      </c>
      <c r="S375" s="87">
        <v>0</v>
      </c>
      <c r="T375" s="87">
        <v>0</v>
      </c>
      <c r="U375" s="87">
        <v>0</v>
      </c>
      <c r="V375" s="87">
        <v>31</v>
      </c>
      <c r="W375" s="93" t="s">
        <v>6133</v>
      </c>
      <c r="X375" s="87"/>
      <c r="Y375" s="87"/>
      <c r="Z375" s="87"/>
      <c r="AA375" s="87" t="s">
        <v>8893</v>
      </c>
      <c r="AB375" s="87" t="s">
        <v>11449</v>
      </c>
      <c r="AC375" s="93" t="s">
        <v>11457</v>
      </c>
      <c r="AD375" s="87" t="s">
        <v>11519</v>
      </c>
      <c r="AE375" s="92" t="str">
        <f>HYPERLINK("https://twitter.com/falavinhanext/status/1678797322275237888")</f>
        <v>https://twitter.com/falavinhanext/status/1678797322275237888</v>
      </c>
      <c r="AF375" s="90">
        <v>45118.66951388889</v>
      </c>
      <c r="AG375" s="99">
        <v>45118</v>
      </c>
      <c r="AH375" s="93" t="s">
        <v>11695</v>
      </c>
      <c r="AI375" s="87" t="b">
        <v>0</v>
      </c>
      <c r="AJ375" s="87"/>
      <c r="AK375" s="87"/>
      <c r="AL375" s="87"/>
      <c r="AM375" s="87"/>
      <c r="AN375" s="87"/>
      <c r="AO375" s="87"/>
      <c r="AP375" s="87"/>
      <c r="AQ375" s="87" t="s">
        <v>15706</v>
      </c>
      <c r="AR375" s="87"/>
      <c r="AS375" s="87"/>
      <c r="AT375" s="87"/>
      <c r="AU375" s="87"/>
      <c r="AV375" s="92" t="str">
        <f>HYPERLINK("https://pbs.twimg.com/media/F0xJNP8WIAE1vfN.jpg")</f>
        <v>https://pbs.twimg.com/media/F0xJNP8WIAE1vfN.jpg</v>
      </c>
      <c r="AW375" s="93" t="s">
        <v>18628</v>
      </c>
      <c r="AX375" s="93" t="s">
        <v>18628</v>
      </c>
      <c r="AY375" s="87"/>
      <c r="AZ375" s="93" t="s">
        <v>22668</v>
      </c>
      <c r="BA375" s="93" t="s">
        <v>22668</v>
      </c>
      <c r="BB375" s="93" t="s">
        <v>22668</v>
      </c>
      <c r="BC375" s="93" t="s">
        <v>18628</v>
      </c>
      <c r="BD375" s="93" t="s">
        <v>22868</v>
      </c>
      <c r="BE375" s="87"/>
      <c r="BF375" s="87"/>
      <c r="BG375" s="87"/>
      <c r="BH375" s="87"/>
      <c r="BI375" s="87"/>
    </row>
    <row r="376" spans="1:61" x14ac:dyDescent="0.25">
      <c r="A376" s="63" t="s">
        <v>353</v>
      </c>
      <c r="B376" s="63" t="s">
        <v>353</v>
      </c>
      <c r="C376" s="64"/>
      <c r="D376" s="65"/>
      <c r="E376" s="66"/>
      <c r="F376" s="67"/>
      <c r="G376" s="64"/>
      <c r="H376" s="68"/>
      <c r="I376" s="69"/>
      <c r="J376" s="69"/>
      <c r="K376" s="32"/>
      <c r="L376" s="76">
        <v>376</v>
      </c>
      <c r="M376" s="76"/>
      <c r="N376" s="71"/>
      <c r="O376" s="87" t="s">
        <v>179</v>
      </c>
      <c r="P376" s="90">
        <v>45154.655659722222</v>
      </c>
      <c r="Q376" s="87" t="s">
        <v>2213</v>
      </c>
      <c r="R376" s="87">
        <v>0</v>
      </c>
      <c r="S376" s="87">
        <v>0</v>
      </c>
      <c r="T376" s="87">
        <v>0</v>
      </c>
      <c r="U376" s="87">
        <v>0</v>
      </c>
      <c r="V376" s="87">
        <v>94</v>
      </c>
      <c r="W376" s="93" t="s">
        <v>6134</v>
      </c>
      <c r="X376" s="92" t="str">
        <f>HYPERLINK("https://www.instagram.com/p/Cv-qe84thkO/?utm_source=ig_web_copy_link&amp;igshid=MzRlODBiNWFlZA==")</f>
        <v>https://www.instagram.com/p/Cv-qe84thkO/?utm_source=ig_web_copy_link&amp;igshid=MzRlODBiNWFlZA==</v>
      </c>
      <c r="Y376" s="87" t="s">
        <v>8383</v>
      </c>
      <c r="Z376" s="87"/>
      <c r="AA376" s="87" t="s">
        <v>8894</v>
      </c>
      <c r="AB376" s="87" t="s">
        <v>11451</v>
      </c>
      <c r="AC376" s="93" t="s">
        <v>11457</v>
      </c>
      <c r="AD376" s="87" t="s">
        <v>11519</v>
      </c>
      <c r="AE376" s="92" t="str">
        <f>HYPERLINK("https://twitter.com/falavinhanext/status/1691838262241853463")</f>
        <v>https://twitter.com/falavinhanext/status/1691838262241853463</v>
      </c>
      <c r="AF376" s="90">
        <v>45154.655659722222</v>
      </c>
      <c r="AG376" s="99">
        <v>45154</v>
      </c>
      <c r="AH376" s="93" t="s">
        <v>11886</v>
      </c>
      <c r="AI376" s="87" t="b">
        <v>0</v>
      </c>
      <c r="AJ376" s="87"/>
      <c r="AK376" s="87"/>
      <c r="AL376" s="87"/>
      <c r="AM376" s="87"/>
      <c r="AN376" s="87"/>
      <c r="AO376" s="87"/>
      <c r="AP376" s="87"/>
      <c r="AQ376" s="87" t="s">
        <v>15707</v>
      </c>
      <c r="AR376" s="87"/>
      <c r="AS376" s="87"/>
      <c r="AT376" s="87"/>
      <c r="AU376" s="87"/>
      <c r="AV376" s="92" t="str">
        <f>HYPERLINK("https://pbs.twimg.com/media/F3qdxFnWEAA2RJ8.jpg")</f>
        <v>https://pbs.twimg.com/media/F3qdxFnWEAA2RJ8.jpg</v>
      </c>
      <c r="AW376" s="93" t="s">
        <v>18629</v>
      </c>
      <c r="AX376" s="93" t="s">
        <v>18629</v>
      </c>
      <c r="AY376" s="87"/>
      <c r="AZ376" s="93" t="s">
        <v>22668</v>
      </c>
      <c r="BA376" s="93" t="s">
        <v>22668</v>
      </c>
      <c r="BB376" s="93" t="s">
        <v>22668</v>
      </c>
      <c r="BC376" s="93" t="s">
        <v>18629</v>
      </c>
      <c r="BD376" s="93" t="s">
        <v>22868</v>
      </c>
      <c r="BE376" s="87"/>
      <c r="BF376" s="87"/>
      <c r="BG376" s="87"/>
      <c r="BH376" s="87"/>
      <c r="BI376" s="87"/>
    </row>
    <row r="377" spans="1:61" x14ac:dyDescent="0.25">
      <c r="A377" s="63" t="s">
        <v>354</v>
      </c>
      <c r="B377" s="63" t="s">
        <v>354</v>
      </c>
      <c r="C377" s="64"/>
      <c r="D377" s="65"/>
      <c r="E377" s="66"/>
      <c r="F377" s="67"/>
      <c r="G377" s="64"/>
      <c r="H377" s="68"/>
      <c r="I377" s="69"/>
      <c r="J377" s="69"/>
      <c r="K377" s="32"/>
      <c r="L377" s="76">
        <v>377</v>
      </c>
      <c r="M377" s="76"/>
      <c r="N377" s="71"/>
      <c r="O377" s="87" t="s">
        <v>179</v>
      </c>
      <c r="P377" s="90">
        <v>45155.486388888887</v>
      </c>
      <c r="Q377" s="87" t="s">
        <v>2214</v>
      </c>
      <c r="R377" s="87">
        <v>0</v>
      </c>
      <c r="S377" s="87">
        <v>2</v>
      </c>
      <c r="T377" s="87">
        <v>0</v>
      </c>
      <c r="U377" s="87">
        <v>0</v>
      </c>
      <c r="V377" s="87">
        <v>127</v>
      </c>
      <c r="W377" s="93" t="s">
        <v>6135</v>
      </c>
      <c r="X377" s="87"/>
      <c r="Y377" s="87"/>
      <c r="Z377" s="87"/>
      <c r="AA377" s="87" t="s">
        <v>8895</v>
      </c>
      <c r="AB377" s="87" t="s">
        <v>11448</v>
      </c>
      <c r="AC377" s="93" t="s">
        <v>11457</v>
      </c>
      <c r="AD377" s="87" t="s">
        <v>11518</v>
      </c>
      <c r="AE377" s="92" t="str">
        <f>HYPERLINK("https://twitter.com/servicesvb30732/status/1692139310483423688")</f>
        <v>https://twitter.com/servicesvb30732/status/1692139310483423688</v>
      </c>
      <c r="AF377" s="90">
        <v>45155.486388888887</v>
      </c>
      <c r="AG377" s="99">
        <v>45155</v>
      </c>
      <c r="AH377" s="93" t="s">
        <v>11887</v>
      </c>
      <c r="AI377" s="87" t="b">
        <v>0</v>
      </c>
      <c r="AJ377" s="87"/>
      <c r="AK377" s="87"/>
      <c r="AL377" s="87"/>
      <c r="AM377" s="87"/>
      <c r="AN377" s="87"/>
      <c r="AO377" s="87"/>
      <c r="AP377" s="87"/>
      <c r="AQ377" s="87" t="s">
        <v>15708</v>
      </c>
      <c r="AR377" s="87"/>
      <c r="AS377" s="87"/>
      <c r="AT377" s="87"/>
      <c r="AU377" s="87"/>
      <c r="AV377" s="92" t="str">
        <f>HYPERLINK("https://pbs.twimg.com/media/F3uvJdEXMAEtjFB.jpg")</f>
        <v>https://pbs.twimg.com/media/F3uvJdEXMAEtjFB.jpg</v>
      </c>
      <c r="AW377" s="93" t="s">
        <v>18630</v>
      </c>
      <c r="AX377" s="93" t="s">
        <v>18630</v>
      </c>
      <c r="AY377" s="87"/>
      <c r="AZ377" s="93" t="s">
        <v>22668</v>
      </c>
      <c r="BA377" s="93" t="s">
        <v>22668</v>
      </c>
      <c r="BB377" s="93" t="s">
        <v>22668</v>
      </c>
      <c r="BC377" s="93" t="s">
        <v>18630</v>
      </c>
      <c r="BD377" s="93" t="s">
        <v>22869</v>
      </c>
      <c r="BE377" s="87"/>
      <c r="BF377" s="87"/>
      <c r="BG377" s="87"/>
      <c r="BH377" s="87"/>
      <c r="BI377" s="87"/>
    </row>
    <row r="378" spans="1:61" x14ac:dyDescent="0.25">
      <c r="A378" s="63" t="s">
        <v>355</v>
      </c>
      <c r="B378" s="63" t="s">
        <v>1631</v>
      </c>
      <c r="C378" s="64"/>
      <c r="D378" s="65"/>
      <c r="E378" s="66"/>
      <c r="F378" s="67"/>
      <c r="G378" s="64"/>
      <c r="H378" s="68"/>
      <c r="I378" s="69"/>
      <c r="J378" s="69"/>
      <c r="K378" s="32"/>
      <c r="L378" s="76">
        <v>378</v>
      </c>
      <c r="M378" s="76"/>
      <c r="N378" s="71"/>
      <c r="O378" s="87" t="s">
        <v>1839</v>
      </c>
      <c r="P378" s="90">
        <v>45175.792650462965</v>
      </c>
      <c r="Q378" s="87" t="s">
        <v>2215</v>
      </c>
      <c r="R378" s="87">
        <v>0</v>
      </c>
      <c r="S378" s="87">
        <v>0</v>
      </c>
      <c r="T378" s="87">
        <v>0</v>
      </c>
      <c r="U378" s="87">
        <v>0</v>
      </c>
      <c r="V378" s="87">
        <v>6</v>
      </c>
      <c r="W378" s="93" t="s">
        <v>6136</v>
      </c>
      <c r="X378" s="87"/>
      <c r="Y378" s="87"/>
      <c r="Z378" s="87" t="s">
        <v>1631</v>
      </c>
      <c r="AA378" s="87" t="s">
        <v>8896</v>
      </c>
      <c r="AB378" s="87" t="s">
        <v>11447</v>
      </c>
      <c r="AC378" s="93" t="s">
        <v>11462</v>
      </c>
      <c r="AD378" s="87" t="s">
        <v>11519</v>
      </c>
      <c r="AE378" s="92" t="str">
        <f>HYPERLINK("https://twitter.com/cherto/status/1699498050786320655")</f>
        <v>https://twitter.com/cherto/status/1699498050786320655</v>
      </c>
      <c r="AF378" s="90">
        <v>45175.792650462965</v>
      </c>
      <c r="AG378" s="99">
        <v>45175</v>
      </c>
      <c r="AH378" s="93" t="s">
        <v>11888</v>
      </c>
      <c r="AI378" s="87" t="b">
        <v>0</v>
      </c>
      <c r="AJ378" s="87"/>
      <c r="AK378" s="87"/>
      <c r="AL378" s="87"/>
      <c r="AM378" s="87"/>
      <c r="AN378" s="87"/>
      <c r="AO378" s="87"/>
      <c r="AP378" s="87"/>
      <c r="AQ378" s="87" t="s">
        <v>15709</v>
      </c>
      <c r="AR378" s="87">
        <v>49833</v>
      </c>
      <c r="AS378" s="87"/>
      <c r="AT378" s="87"/>
      <c r="AU378" s="87"/>
      <c r="AV378" s="92" t="str">
        <f>HYPERLINK("https://pbs.twimg.com/ext_tw_video_thumb/1699497996935667712/pu/img/NlM8Gtvkg4nr-5Th.jpg")</f>
        <v>https://pbs.twimg.com/ext_tw_video_thumb/1699497996935667712/pu/img/NlM8Gtvkg4nr-5Th.jpg</v>
      </c>
      <c r="AW378" s="93" t="s">
        <v>18631</v>
      </c>
      <c r="AX378" s="93" t="s">
        <v>18631</v>
      </c>
      <c r="AY378" s="87"/>
      <c r="AZ378" s="93" t="s">
        <v>22668</v>
      </c>
      <c r="BA378" s="93" t="s">
        <v>22668</v>
      </c>
      <c r="BB378" s="93" t="s">
        <v>22668</v>
      </c>
      <c r="BC378" s="93" t="s">
        <v>18631</v>
      </c>
      <c r="BD378" s="87">
        <v>28868406</v>
      </c>
      <c r="BE378" s="87"/>
      <c r="BF378" s="87"/>
      <c r="BG378" s="87"/>
      <c r="BH378" s="87"/>
      <c r="BI378" s="87"/>
    </row>
    <row r="379" spans="1:61" x14ac:dyDescent="0.25">
      <c r="A379" s="63" t="s">
        <v>355</v>
      </c>
      <c r="B379" s="63" t="s">
        <v>1631</v>
      </c>
      <c r="C379" s="64"/>
      <c r="D379" s="65"/>
      <c r="E379" s="66"/>
      <c r="F379" s="67"/>
      <c r="G379" s="64"/>
      <c r="H379" s="68"/>
      <c r="I379" s="69"/>
      <c r="J379" s="69"/>
      <c r="K379" s="32"/>
      <c r="L379" s="76">
        <v>379</v>
      </c>
      <c r="M379" s="76"/>
      <c r="N379" s="71"/>
      <c r="O379" s="87" t="s">
        <v>1839</v>
      </c>
      <c r="P379" s="90">
        <v>45193.834270833337</v>
      </c>
      <c r="Q379" s="87" t="s">
        <v>2216</v>
      </c>
      <c r="R379" s="87">
        <v>0</v>
      </c>
      <c r="S379" s="87">
        <v>0</v>
      </c>
      <c r="T379" s="87">
        <v>0</v>
      </c>
      <c r="U379" s="87">
        <v>0</v>
      </c>
      <c r="V379" s="87">
        <v>11</v>
      </c>
      <c r="W379" s="93" t="s">
        <v>6137</v>
      </c>
      <c r="X379" s="87"/>
      <c r="Y379" s="87"/>
      <c r="Z379" s="87" t="s">
        <v>1631</v>
      </c>
      <c r="AA379" s="87" t="s">
        <v>8897</v>
      </c>
      <c r="AB379" s="87" t="s">
        <v>11447</v>
      </c>
      <c r="AC379" s="93" t="s">
        <v>11462</v>
      </c>
      <c r="AD379" s="87" t="s">
        <v>11519</v>
      </c>
      <c r="AE379" s="92" t="str">
        <f>HYPERLINK("https://twitter.com/cherto/status/1706036117860978927")</f>
        <v>https://twitter.com/cherto/status/1706036117860978927</v>
      </c>
      <c r="AF379" s="90">
        <v>45193.834270833337</v>
      </c>
      <c r="AG379" s="99">
        <v>45193</v>
      </c>
      <c r="AH379" s="93" t="s">
        <v>11889</v>
      </c>
      <c r="AI379" s="87" t="b">
        <v>0</v>
      </c>
      <c r="AJ379" s="87"/>
      <c r="AK379" s="87"/>
      <c r="AL379" s="87"/>
      <c r="AM379" s="87"/>
      <c r="AN379" s="87"/>
      <c r="AO379" s="87"/>
      <c r="AP379" s="87"/>
      <c r="AQ379" s="87" t="s">
        <v>15710</v>
      </c>
      <c r="AR379" s="87">
        <v>47233</v>
      </c>
      <c r="AS379" s="87"/>
      <c r="AT379" s="87"/>
      <c r="AU379" s="87"/>
      <c r="AV379" s="92" t="str">
        <f>HYPERLINK("https://pbs.twimg.com/ext_tw_video_thumb/1706036067395153920/pu/img/Sx2FPPyVsXfWrIG8.jpg")</f>
        <v>https://pbs.twimg.com/ext_tw_video_thumb/1706036067395153920/pu/img/Sx2FPPyVsXfWrIG8.jpg</v>
      </c>
      <c r="AW379" s="93" t="s">
        <v>18632</v>
      </c>
      <c r="AX379" s="93" t="s">
        <v>18632</v>
      </c>
      <c r="AY379" s="87"/>
      <c r="AZ379" s="93" t="s">
        <v>22668</v>
      </c>
      <c r="BA379" s="93" t="s">
        <v>22668</v>
      </c>
      <c r="BB379" s="93" t="s">
        <v>22668</v>
      </c>
      <c r="BC379" s="93" t="s">
        <v>18632</v>
      </c>
      <c r="BD379" s="87">
        <v>28868406</v>
      </c>
      <c r="BE379" s="87"/>
      <c r="BF379" s="87"/>
      <c r="BG379" s="87"/>
      <c r="BH379" s="87"/>
      <c r="BI379" s="87"/>
    </row>
    <row r="380" spans="1:61" x14ac:dyDescent="0.25">
      <c r="A380" s="63" t="s">
        <v>355</v>
      </c>
      <c r="B380" s="63" t="s">
        <v>1631</v>
      </c>
      <c r="C380" s="64"/>
      <c r="D380" s="65"/>
      <c r="E380" s="66"/>
      <c r="F380" s="67"/>
      <c r="G380" s="64"/>
      <c r="H380" s="68"/>
      <c r="I380" s="69"/>
      <c r="J380" s="69"/>
      <c r="K380" s="32"/>
      <c r="L380" s="76">
        <v>380</v>
      </c>
      <c r="M380" s="76"/>
      <c r="N380" s="71"/>
      <c r="O380" s="87" t="s">
        <v>1839</v>
      </c>
      <c r="P380" s="90">
        <v>45194.834872685184</v>
      </c>
      <c r="Q380" s="87" t="s">
        <v>2217</v>
      </c>
      <c r="R380" s="87">
        <v>0</v>
      </c>
      <c r="S380" s="87">
        <v>0</v>
      </c>
      <c r="T380" s="87">
        <v>0</v>
      </c>
      <c r="U380" s="87">
        <v>0</v>
      </c>
      <c r="V380" s="87">
        <v>1</v>
      </c>
      <c r="W380" s="93" t="s">
        <v>6138</v>
      </c>
      <c r="X380" s="87"/>
      <c r="Y380" s="87"/>
      <c r="Z380" s="87" t="s">
        <v>1631</v>
      </c>
      <c r="AA380" s="87" t="s">
        <v>8898</v>
      </c>
      <c r="AB380" s="87" t="s">
        <v>11447</v>
      </c>
      <c r="AC380" s="93" t="s">
        <v>11462</v>
      </c>
      <c r="AD380" s="87" t="s">
        <v>11519</v>
      </c>
      <c r="AE380" s="92" t="str">
        <f>HYPERLINK("https://twitter.com/cherto/status/1706398722978885929")</f>
        <v>https://twitter.com/cherto/status/1706398722978885929</v>
      </c>
      <c r="AF380" s="90">
        <v>45194.834872685184</v>
      </c>
      <c r="AG380" s="99">
        <v>45194</v>
      </c>
      <c r="AH380" s="93" t="s">
        <v>11890</v>
      </c>
      <c r="AI380" s="87" t="b">
        <v>0</v>
      </c>
      <c r="AJ380" s="87"/>
      <c r="AK380" s="87"/>
      <c r="AL380" s="87"/>
      <c r="AM380" s="87"/>
      <c r="AN380" s="87"/>
      <c r="AO380" s="87"/>
      <c r="AP380" s="87"/>
      <c r="AQ380" s="87" t="s">
        <v>15711</v>
      </c>
      <c r="AR380" s="87">
        <v>69866</v>
      </c>
      <c r="AS380" s="87"/>
      <c r="AT380" s="87"/>
      <c r="AU380" s="87"/>
      <c r="AV380" s="92" t="str">
        <f>HYPERLINK("https://pbs.twimg.com/ext_tw_video_thumb/1706398664573280256/pu/img/CW9ldDzdRiQiLJQb.jpg")</f>
        <v>https://pbs.twimg.com/ext_tw_video_thumb/1706398664573280256/pu/img/CW9ldDzdRiQiLJQb.jpg</v>
      </c>
      <c r="AW380" s="93" t="s">
        <v>18633</v>
      </c>
      <c r="AX380" s="93" t="s">
        <v>18633</v>
      </c>
      <c r="AY380" s="87"/>
      <c r="AZ380" s="93" t="s">
        <v>22668</v>
      </c>
      <c r="BA380" s="93" t="s">
        <v>22668</v>
      </c>
      <c r="BB380" s="93" t="s">
        <v>22668</v>
      </c>
      <c r="BC380" s="93" t="s">
        <v>18633</v>
      </c>
      <c r="BD380" s="87">
        <v>28868406</v>
      </c>
      <c r="BE380" s="87"/>
      <c r="BF380" s="87"/>
      <c r="BG380" s="87"/>
      <c r="BH380" s="87"/>
      <c r="BI380" s="87"/>
    </row>
    <row r="381" spans="1:61" x14ac:dyDescent="0.25">
      <c r="A381" s="63" t="s">
        <v>355</v>
      </c>
      <c r="B381" s="63" t="s">
        <v>1631</v>
      </c>
      <c r="C381" s="64"/>
      <c r="D381" s="65"/>
      <c r="E381" s="66"/>
      <c r="F381" s="67"/>
      <c r="G381" s="64"/>
      <c r="H381" s="68"/>
      <c r="I381" s="69"/>
      <c r="J381" s="69"/>
      <c r="K381" s="32"/>
      <c r="L381" s="76">
        <v>381</v>
      </c>
      <c r="M381" s="76"/>
      <c r="N381" s="71"/>
      <c r="O381" s="87" t="s">
        <v>1839</v>
      </c>
      <c r="P381" s="90">
        <v>45191.792534722219</v>
      </c>
      <c r="Q381" s="87" t="s">
        <v>2218</v>
      </c>
      <c r="R381" s="87">
        <v>0</v>
      </c>
      <c r="S381" s="87">
        <v>0</v>
      </c>
      <c r="T381" s="87">
        <v>0</v>
      </c>
      <c r="U381" s="87">
        <v>0</v>
      </c>
      <c r="V381" s="87">
        <v>11</v>
      </c>
      <c r="W381" s="93" t="s">
        <v>6139</v>
      </c>
      <c r="X381" s="87"/>
      <c r="Y381" s="87"/>
      <c r="Z381" s="87" t="s">
        <v>1631</v>
      </c>
      <c r="AA381" s="87" t="s">
        <v>8899</v>
      </c>
      <c r="AB381" s="87" t="s">
        <v>11447</v>
      </c>
      <c r="AC381" s="93" t="s">
        <v>11462</v>
      </c>
      <c r="AD381" s="87" t="s">
        <v>11519</v>
      </c>
      <c r="AE381" s="92" t="str">
        <f>HYPERLINK("https://twitter.com/cherto/status/1705296217524121941")</f>
        <v>https://twitter.com/cherto/status/1705296217524121941</v>
      </c>
      <c r="AF381" s="90">
        <v>45191.792534722219</v>
      </c>
      <c r="AG381" s="99">
        <v>45191</v>
      </c>
      <c r="AH381" s="93" t="s">
        <v>11891</v>
      </c>
      <c r="AI381" s="87" t="b">
        <v>0</v>
      </c>
      <c r="AJ381" s="87"/>
      <c r="AK381" s="87"/>
      <c r="AL381" s="87"/>
      <c r="AM381" s="87"/>
      <c r="AN381" s="87"/>
      <c r="AO381" s="87"/>
      <c r="AP381" s="87"/>
      <c r="AQ381" s="87" t="s">
        <v>15712</v>
      </c>
      <c r="AR381" s="87">
        <v>70266</v>
      </c>
      <c r="AS381" s="87"/>
      <c r="AT381" s="87"/>
      <c r="AU381" s="87"/>
      <c r="AV381" s="92" t="str">
        <f>HYPERLINK("https://pbs.twimg.com/ext_tw_video_thumb/1705296157960724481/pu/img/o_BCXXoeERZFqBu_.jpg")</f>
        <v>https://pbs.twimg.com/ext_tw_video_thumb/1705296157960724481/pu/img/o_BCXXoeERZFqBu_.jpg</v>
      </c>
      <c r="AW381" s="93" t="s">
        <v>18634</v>
      </c>
      <c r="AX381" s="93" t="s">
        <v>18634</v>
      </c>
      <c r="AY381" s="87"/>
      <c r="AZ381" s="93" t="s">
        <v>22668</v>
      </c>
      <c r="BA381" s="93" t="s">
        <v>22668</v>
      </c>
      <c r="BB381" s="93" t="s">
        <v>22668</v>
      </c>
      <c r="BC381" s="93" t="s">
        <v>18634</v>
      </c>
      <c r="BD381" s="87">
        <v>28868406</v>
      </c>
      <c r="BE381" s="87"/>
      <c r="BF381" s="87"/>
      <c r="BG381" s="87"/>
      <c r="BH381" s="87"/>
      <c r="BI381" s="87"/>
    </row>
    <row r="382" spans="1:61" x14ac:dyDescent="0.25">
      <c r="A382" s="63" t="s">
        <v>355</v>
      </c>
      <c r="B382" s="63" t="s">
        <v>1631</v>
      </c>
      <c r="C382" s="64"/>
      <c r="D382" s="65"/>
      <c r="E382" s="66"/>
      <c r="F382" s="67"/>
      <c r="G382" s="64"/>
      <c r="H382" s="68"/>
      <c r="I382" s="69"/>
      <c r="J382" s="69"/>
      <c r="K382" s="32"/>
      <c r="L382" s="76">
        <v>382</v>
      </c>
      <c r="M382" s="76"/>
      <c r="N382" s="71"/>
      <c r="O382" s="87" t="s">
        <v>1839</v>
      </c>
      <c r="P382" s="90">
        <v>45196.835532407407</v>
      </c>
      <c r="Q382" s="87" t="s">
        <v>2219</v>
      </c>
      <c r="R382" s="87">
        <v>0</v>
      </c>
      <c r="S382" s="87">
        <v>0</v>
      </c>
      <c r="T382" s="87">
        <v>0</v>
      </c>
      <c r="U382" s="87">
        <v>0</v>
      </c>
      <c r="V382" s="87">
        <v>6</v>
      </c>
      <c r="W382" s="93" t="s">
        <v>6140</v>
      </c>
      <c r="X382" s="87"/>
      <c r="Y382" s="87"/>
      <c r="Z382" s="87" t="s">
        <v>1631</v>
      </c>
      <c r="AA382" s="87" t="s">
        <v>8900</v>
      </c>
      <c r="AB382" s="87" t="s">
        <v>11447</v>
      </c>
      <c r="AC382" s="93" t="s">
        <v>11462</v>
      </c>
      <c r="AD382" s="87" t="s">
        <v>11519</v>
      </c>
      <c r="AE382" s="92" t="str">
        <f>HYPERLINK("https://twitter.com/cherto/status/1707123736518791626")</f>
        <v>https://twitter.com/cherto/status/1707123736518791626</v>
      </c>
      <c r="AF382" s="90">
        <v>45196.835532407407</v>
      </c>
      <c r="AG382" s="99">
        <v>45196</v>
      </c>
      <c r="AH382" s="93" t="s">
        <v>11892</v>
      </c>
      <c r="AI382" s="87" t="b">
        <v>0</v>
      </c>
      <c r="AJ382" s="87"/>
      <c r="AK382" s="87"/>
      <c r="AL382" s="87"/>
      <c r="AM382" s="87"/>
      <c r="AN382" s="87"/>
      <c r="AO382" s="87"/>
      <c r="AP382" s="87"/>
      <c r="AQ382" s="87" t="s">
        <v>15713</v>
      </c>
      <c r="AR382" s="87">
        <v>61500</v>
      </c>
      <c r="AS382" s="87"/>
      <c r="AT382" s="87"/>
      <c r="AU382" s="87"/>
      <c r="AV382" s="92" t="str">
        <f>HYPERLINK("https://pbs.twimg.com/ext_tw_video_thumb/1707123681443426304/pu/img/cWZCteWW85zV-PP4.jpg")</f>
        <v>https://pbs.twimg.com/ext_tw_video_thumb/1707123681443426304/pu/img/cWZCteWW85zV-PP4.jpg</v>
      </c>
      <c r="AW382" s="93" t="s">
        <v>18635</v>
      </c>
      <c r="AX382" s="93" t="s">
        <v>18635</v>
      </c>
      <c r="AY382" s="87"/>
      <c r="AZ382" s="93" t="s">
        <v>22668</v>
      </c>
      <c r="BA382" s="93" t="s">
        <v>22668</v>
      </c>
      <c r="BB382" s="93" t="s">
        <v>22668</v>
      </c>
      <c r="BC382" s="93" t="s">
        <v>18635</v>
      </c>
      <c r="BD382" s="87">
        <v>28868406</v>
      </c>
      <c r="BE382" s="87"/>
      <c r="BF382" s="87"/>
      <c r="BG382" s="87"/>
      <c r="BH382" s="87"/>
      <c r="BI382" s="87"/>
    </row>
    <row r="383" spans="1:61" x14ac:dyDescent="0.25">
      <c r="A383" s="63" t="s">
        <v>355</v>
      </c>
      <c r="B383" s="63" t="s">
        <v>1631</v>
      </c>
      <c r="C383" s="64"/>
      <c r="D383" s="65"/>
      <c r="E383" s="66"/>
      <c r="F383" s="67"/>
      <c r="G383" s="64"/>
      <c r="H383" s="68"/>
      <c r="I383" s="69"/>
      <c r="J383" s="69"/>
      <c r="K383" s="32"/>
      <c r="L383" s="76">
        <v>383</v>
      </c>
      <c r="M383" s="76"/>
      <c r="N383" s="71"/>
      <c r="O383" s="87" t="s">
        <v>1839</v>
      </c>
      <c r="P383" s="90">
        <v>45192.834351851852</v>
      </c>
      <c r="Q383" s="87" t="s">
        <v>2220</v>
      </c>
      <c r="R383" s="87">
        <v>0</v>
      </c>
      <c r="S383" s="87">
        <v>0</v>
      </c>
      <c r="T383" s="87">
        <v>0</v>
      </c>
      <c r="U383" s="87">
        <v>0</v>
      </c>
      <c r="V383" s="87">
        <v>8</v>
      </c>
      <c r="W383" s="93" t="s">
        <v>6141</v>
      </c>
      <c r="X383" s="87"/>
      <c r="Y383" s="87"/>
      <c r="Z383" s="87" t="s">
        <v>1631</v>
      </c>
      <c r="AA383" s="87" t="s">
        <v>8901</v>
      </c>
      <c r="AB383" s="87" t="s">
        <v>11447</v>
      </c>
      <c r="AC383" s="93" t="s">
        <v>11462</v>
      </c>
      <c r="AD383" s="87" t="s">
        <v>11519</v>
      </c>
      <c r="AE383" s="92" t="str">
        <f>HYPERLINK("https://twitter.com/cherto/status/1705673759049290172")</f>
        <v>https://twitter.com/cherto/status/1705673759049290172</v>
      </c>
      <c r="AF383" s="90">
        <v>45192.834351851852</v>
      </c>
      <c r="AG383" s="99">
        <v>45192</v>
      </c>
      <c r="AH383" s="93" t="s">
        <v>11893</v>
      </c>
      <c r="AI383" s="87" t="b">
        <v>0</v>
      </c>
      <c r="AJ383" s="87"/>
      <c r="AK383" s="87"/>
      <c r="AL383" s="87"/>
      <c r="AM383" s="87"/>
      <c r="AN383" s="87"/>
      <c r="AO383" s="87"/>
      <c r="AP383" s="87"/>
      <c r="AQ383" s="87" t="s">
        <v>15714</v>
      </c>
      <c r="AR383" s="87">
        <v>55100</v>
      </c>
      <c r="AS383" s="87"/>
      <c r="AT383" s="87"/>
      <c r="AU383" s="87"/>
      <c r="AV383" s="92" t="str">
        <f>HYPERLINK("https://pbs.twimg.com/ext_tw_video_thumb/1705673702589726720/pu/img/6w3TYq0lF6tmiP4B.jpg")</f>
        <v>https://pbs.twimg.com/ext_tw_video_thumb/1705673702589726720/pu/img/6w3TYq0lF6tmiP4B.jpg</v>
      </c>
      <c r="AW383" s="93" t="s">
        <v>18636</v>
      </c>
      <c r="AX383" s="93" t="s">
        <v>18636</v>
      </c>
      <c r="AY383" s="87"/>
      <c r="AZ383" s="93" t="s">
        <v>22668</v>
      </c>
      <c r="BA383" s="93" t="s">
        <v>22668</v>
      </c>
      <c r="BB383" s="93" t="s">
        <v>22668</v>
      </c>
      <c r="BC383" s="93" t="s">
        <v>18636</v>
      </c>
      <c r="BD383" s="87">
        <v>28868406</v>
      </c>
      <c r="BE383" s="87"/>
      <c r="BF383" s="87"/>
      <c r="BG383" s="87"/>
      <c r="BH383" s="87"/>
      <c r="BI383" s="87"/>
    </row>
    <row r="384" spans="1:61" x14ac:dyDescent="0.25">
      <c r="A384" s="63" t="s">
        <v>355</v>
      </c>
      <c r="B384" s="63" t="s">
        <v>355</v>
      </c>
      <c r="C384" s="64"/>
      <c r="D384" s="65"/>
      <c r="E384" s="66"/>
      <c r="F384" s="67"/>
      <c r="G384" s="64"/>
      <c r="H384" s="68"/>
      <c r="I384" s="69"/>
      <c r="J384" s="69"/>
      <c r="K384" s="32"/>
      <c r="L384" s="76">
        <v>384</v>
      </c>
      <c r="M384" s="76"/>
      <c r="N384" s="71"/>
      <c r="O384" s="87" t="s">
        <v>179</v>
      </c>
      <c r="P384" s="90">
        <v>45176.875891203701</v>
      </c>
      <c r="Q384" s="87" t="s">
        <v>2221</v>
      </c>
      <c r="R384" s="87">
        <v>0</v>
      </c>
      <c r="S384" s="87">
        <v>0</v>
      </c>
      <c r="T384" s="87">
        <v>0</v>
      </c>
      <c r="U384" s="87">
        <v>0</v>
      </c>
      <c r="V384" s="87">
        <v>11</v>
      </c>
      <c r="W384" s="93" t="s">
        <v>6142</v>
      </c>
      <c r="X384" s="87"/>
      <c r="Y384" s="87"/>
      <c r="Z384" s="87"/>
      <c r="AA384" s="87" t="s">
        <v>8902</v>
      </c>
      <c r="AB384" s="87" t="s">
        <v>11447</v>
      </c>
      <c r="AC384" s="93" t="s">
        <v>11462</v>
      </c>
      <c r="AD384" s="87" t="s">
        <v>11519</v>
      </c>
      <c r="AE384" s="92" t="str">
        <f>HYPERLINK("https://twitter.com/cherto/status/1699890607534092330")</f>
        <v>https://twitter.com/cherto/status/1699890607534092330</v>
      </c>
      <c r="AF384" s="90">
        <v>45176.875891203701</v>
      </c>
      <c r="AG384" s="99">
        <v>45176</v>
      </c>
      <c r="AH384" s="93" t="s">
        <v>11894</v>
      </c>
      <c r="AI384" s="87" t="b">
        <v>0</v>
      </c>
      <c r="AJ384" s="87"/>
      <c r="AK384" s="87"/>
      <c r="AL384" s="87"/>
      <c r="AM384" s="87"/>
      <c r="AN384" s="87"/>
      <c r="AO384" s="87"/>
      <c r="AP384" s="87"/>
      <c r="AQ384" s="87" t="s">
        <v>15715</v>
      </c>
      <c r="AR384" s="87">
        <v>63766</v>
      </c>
      <c r="AS384" s="87"/>
      <c r="AT384" s="87"/>
      <c r="AU384" s="87"/>
      <c r="AV384" s="92" t="str">
        <f>HYPERLINK("https://pbs.twimg.com/ext_tw_video_thumb/1699890550483107840/pu/img/tewHOyCy2M-CrMmm.jpg")</f>
        <v>https://pbs.twimg.com/ext_tw_video_thumb/1699890550483107840/pu/img/tewHOyCy2M-CrMmm.jpg</v>
      </c>
      <c r="AW384" s="93" t="s">
        <v>18637</v>
      </c>
      <c r="AX384" s="93" t="s">
        <v>18637</v>
      </c>
      <c r="AY384" s="87"/>
      <c r="AZ384" s="93" t="s">
        <v>22668</v>
      </c>
      <c r="BA384" s="93" t="s">
        <v>22668</v>
      </c>
      <c r="BB384" s="93" t="s">
        <v>22668</v>
      </c>
      <c r="BC384" s="93" t="s">
        <v>18637</v>
      </c>
      <c r="BD384" s="87">
        <v>28868406</v>
      </c>
      <c r="BE384" s="87"/>
      <c r="BF384" s="87"/>
      <c r="BG384" s="87"/>
      <c r="BH384" s="87"/>
      <c r="BI384" s="87"/>
    </row>
    <row r="385" spans="1:61" x14ac:dyDescent="0.25">
      <c r="A385" s="63" t="s">
        <v>356</v>
      </c>
      <c r="B385" s="63" t="s">
        <v>356</v>
      </c>
      <c r="C385" s="64"/>
      <c r="D385" s="65"/>
      <c r="E385" s="66"/>
      <c r="F385" s="67"/>
      <c r="G385" s="64"/>
      <c r="H385" s="68"/>
      <c r="I385" s="69"/>
      <c r="J385" s="69"/>
      <c r="K385" s="32"/>
      <c r="L385" s="76">
        <v>385</v>
      </c>
      <c r="M385" s="76"/>
      <c r="N385" s="71"/>
      <c r="O385" s="87" t="s">
        <v>179</v>
      </c>
      <c r="P385" s="90">
        <v>45145.885277777779</v>
      </c>
      <c r="Q385" s="87" t="s">
        <v>2222</v>
      </c>
      <c r="R385" s="87">
        <v>0</v>
      </c>
      <c r="S385" s="87">
        <v>1</v>
      </c>
      <c r="T385" s="87">
        <v>0</v>
      </c>
      <c r="U385" s="87">
        <v>0</v>
      </c>
      <c r="V385" s="87">
        <v>81</v>
      </c>
      <c r="W385" s="93" t="s">
        <v>6143</v>
      </c>
      <c r="X385" s="87"/>
      <c r="Y385" s="87"/>
      <c r="Z385" s="87"/>
      <c r="AA385" s="87"/>
      <c r="AB385" s="87"/>
      <c r="AC385" s="93" t="s">
        <v>11457</v>
      </c>
      <c r="AD385" s="87" t="s">
        <v>11519</v>
      </c>
      <c r="AE385" s="92" t="str">
        <f>HYPERLINK("https://twitter.com/vitorvalim/status/1688659981858439170")</f>
        <v>https://twitter.com/vitorvalim/status/1688659981858439170</v>
      </c>
      <c r="AF385" s="90">
        <v>45145.885277777779</v>
      </c>
      <c r="AG385" s="99">
        <v>45145</v>
      </c>
      <c r="AH385" s="93" t="s">
        <v>11895</v>
      </c>
      <c r="AI385" s="87"/>
      <c r="AJ385" s="87"/>
      <c r="AK385" s="87"/>
      <c r="AL385" s="87"/>
      <c r="AM385" s="87"/>
      <c r="AN385" s="87"/>
      <c r="AO385" s="87"/>
      <c r="AP385" s="87"/>
      <c r="AQ385" s="87"/>
      <c r="AR385" s="87"/>
      <c r="AS385" s="87"/>
      <c r="AT385" s="87"/>
      <c r="AU385" s="87"/>
      <c r="AV385" s="92" t="str">
        <f>HYPERLINK("https://pbs.twimg.com/profile_images/1310191535040933891/ehq7gw_k_normal.jpg")</f>
        <v>https://pbs.twimg.com/profile_images/1310191535040933891/ehq7gw_k_normal.jpg</v>
      </c>
      <c r="AW385" s="93" t="s">
        <v>18638</v>
      </c>
      <c r="AX385" s="93" t="s">
        <v>18638</v>
      </c>
      <c r="AY385" s="87"/>
      <c r="AZ385" s="93" t="s">
        <v>22668</v>
      </c>
      <c r="BA385" s="93" t="s">
        <v>22668</v>
      </c>
      <c r="BB385" s="93" t="s">
        <v>22668</v>
      </c>
      <c r="BC385" s="93" t="s">
        <v>18638</v>
      </c>
      <c r="BD385" s="87">
        <v>67106032</v>
      </c>
      <c r="BE385" s="87"/>
      <c r="BF385" s="87"/>
      <c r="BG385" s="87"/>
      <c r="BH385" s="87"/>
      <c r="BI385" s="87"/>
    </row>
    <row r="386" spans="1:61" x14ac:dyDescent="0.25">
      <c r="A386" s="63" t="s">
        <v>357</v>
      </c>
      <c r="B386" s="63" t="s">
        <v>357</v>
      </c>
      <c r="C386" s="64"/>
      <c r="D386" s="65"/>
      <c r="E386" s="66"/>
      <c r="F386" s="67"/>
      <c r="G386" s="64"/>
      <c r="H386" s="68"/>
      <c r="I386" s="69"/>
      <c r="J386" s="69"/>
      <c r="K386" s="32"/>
      <c r="L386" s="76">
        <v>386</v>
      </c>
      <c r="M386" s="76"/>
      <c r="N386" s="71"/>
      <c r="O386" s="87" t="s">
        <v>179</v>
      </c>
      <c r="P386" s="90">
        <v>45147.493055555555</v>
      </c>
      <c r="Q386" s="87" t="s">
        <v>2223</v>
      </c>
      <c r="R386" s="87">
        <v>1</v>
      </c>
      <c r="S386" s="87">
        <v>0</v>
      </c>
      <c r="T386" s="87">
        <v>0</v>
      </c>
      <c r="U386" s="87">
        <v>0</v>
      </c>
      <c r="V386" s="87">
        <v>78</v>
      </c>
      <c r="W386" s="93" t="s">
        <v>6144</v>
      </c>
      <c r="X386" s="87"/>
      <c r="Y386" s="87"/>
      <c r="Z386" s="87"/>
      <c r="AA386" s="87" t="s">
        <v>8903</v>
      </c>
      <c r="AB386" s="87" t="s">
        <v>11448</v>
      </c>
      <c r="AC386" s="93" t="s">
        <v>11457</v>
      </c>
      <c r="AD386" s="87" t="s">
        <v>11519</v>
      </c>
      <c r="AE386" s="92" t="str">
        <f>HYPERLINK("https://twitter.com/ecomnapratica/status/1689242621607309312")</f>
        <v>https://twitter.com/ecomnapratica/status/1689242621607309312</v>
      </c>
      <c r="AF386" s="90">
        <v>45147.493055555555</v>
      </c>
      <c r="AG386" s="99">
        <v>45147</v>
      </c>
      <c r="AH386" s="93" t="s">
        <v>11896</v>
      </c>
      <c r="AI386" s="87" t="b">
        <v>0</v>
      </c>
      <c r="AJ386" s="87"/>
      <c r="AK386" s="87"/>
      <c r="AL386" s="87"/>
      <c r="AM386" s="87"/>
      <c r="AN386" s="87"/>
      <c r="AO386" s="87"/>
      <c r="AP386" s="87"/>
      <c r="AQ386" s="87" t="s">
        <v>15716</v>
      </c>
      <c r="AR386" s="87"/>
      <c r="AS386" s="87"/>
      <c r="AT386" s="87"/>
      <c r="AU386" s="87"/>
      <c r="AV386" s="92" t="str">
        <f>HYPERLINK("https://pbs.twimg.com/media/F3CZSGSW8AA9oKp.jpg")</f>
        <v>https://pbs.twimg.com/media/F3CZSGSW8AA9oKp.jpg</v>
      </c>
      <c r="AW386" s="93" t="s">
        <v>18639</v>
      </c>
      <c r="AX386" s="93" t="s">
        <v>18639</v>
      </c>
      <c r="AY386" s="87"/>
      <c r="AZ386" s="93" t="s">
        <v>22668</v>
      </c>
      <c r="BA386" s="93" t="s">
        <v>22668</v>
      </c>
      <c r="BB386" s="93" t="s">
        <v>22668</v>
      </c>
      <c r="BC386" s="93" t="s">
        <v>18639</v>
      </c>
      <c r="BD386" s="87">
        <v>59954472</v>
      </c>
      <c r="BE386" s="87"/>
      <c r="BF386" s="87"/>
      <c r="BG386" s="87"/>
      <c r="BH386" s="87"/>
      <c r="BI386" s="87"/>
    </row>
    <row r="387" spans="1:61" x14ac:dyDescent="0.25">
      <c r="A387" s="63" t="s">
        <v>358</v>
      </c>
      <c r="B387" s="63" t="s">
        <v>358</v>
      </c>
      <c r="C387" s="64"/>
      <c r="D387" s="65"/>
      <c r="E387" s="66"/>
      <c r="F387" s="67"/>
      <c r="G387" s="64"/>
      <c r="H387" s="68"/>
      <c r="I387" s="69"/>
      <c r="J387" s="69"/>
      <c r="K387" s="32"/>
      <c r="L387" s="76">
        <v>387</v>
      </c>
      <c r="M387" s="76"/>
      <c r="N387" s="71"/>
      <c r="O387" s="87" t="s">
        <v>179</v>
      </c>
      <c r="P387" s="90">
        <v>45140.791909722226</v>
      </c>
      <c r="Q387" s="87" t="s">
        <v>2224</v>
      </c>
      <c r="R387" s="87">
        <v>0</v>
      </c>
      <c r="S387" s="87">
        <v>1</v>
      </c>
      <c r="T387" s="87">
        <v>0</v>
      </c>
      <c r="U387" s="87">
        <v>0</v>
      </c>
      <c r="V387" s="87">
        <v>34</v>
      </c>
      <c r="W387" s="93" t="s">
        <v>6145</v>
      </c>
      <c r="X387" s="87"/>
      <c r="Y387" s="87"/>
      <c r="Z387" s="87"/>
      <c r="AA387" s="87" t="s">
        <v>8904</v>
      </c>
      <c r="AB387" s="87" t="s">
        <v>11447</v>
      </c>
      <c r="AC387" s="93" t="s">
        <v>11457</v>
      </c>
      <c r="AD387" s="87" t="s">
        <v>11519</v>
      </c>
      <c r="AE387" s="92" t="str">
        <f>HYPERLINK("https://twitter.com/degusteadega/status/1686814209059725312")</f>
        <v>https://twitter.com/degusteadega/status/1686814209059725312</v>
      </c>
      <c r="AF387" s="90">
        <v>45140.791909722226</v>
      </c>
      <c r="AG387" s="99">
        <v>45140</v>
      </c>
      <c r="AH387" s="93" t="s">
        <v>11897</v>
      </c>
      <c r="AI387" s="87" t="b">
        <v>0</v>
      </c>
      <c r="AJ387" s="87"/>
      <c r="AK387" s="87"/>
      <c r="AL387" s="87"/>
      <c r="AM387" s="87"/>
      <c r="AN387" s="87"/>
      <c r="AO387" s="87"/>
      <c r="AP387" s="87"/>
      <c r="AQ387" s="87" t="s">
        <v>15717</v>
      </c>
      <c r="AR387" s="87">
        <v>107481</v>
      </c>
      <c r="AS387" s="87"/>
      <c r="AT387" s="87"/>
      <c r="AU387" s="87"/>
      <c r="AV387" s="92" t="str">
        <f>HYPERLINK("https://pbs.twimg.com/ext_tw_video_thumb/1686813481356378114/pu/img/17duoV94tvjzKulP.jpg")</f>
        <v>https://pbs.twimg.com/ext_tw_video_thumb/1686813481356378114/pu/img/17duoV94tvjzKulP.jpg</v>
      </c>
      <c r="AW387" s="93" t="s">
        <v>18640</v>
      </c>
      <c r="AX387" s="93" t="s">
        <v>18640</v>
      </c>
      <c r="AY387" s="87"/>
      <c r="AZ387" s="93" t="s">
        <v>22668</v>
      </c>
      <c r="BA387" s="93" t="s">
        <v>22668</v>
      </c>
      <c r="BB387" s="93" t="s">
        <v>22668</v>
      </c>
      <c r="BC387" s="93" t="s">
        <v>18640</v>
      </c>
      <c r="BD387" s="93" t="s">
        <v>22870</v>
      </c>
      <c r="BE387" s="87"/>
      <c r="BF387" s="87"/>
      <c r="BG387" s="87"/>
      <c r="BH387" s="87"/>
      <c r="BI387" s="87"/>
    </row>
    <row r="388" spans="1:61" x14ac:dyDescent="0.25">
      <c r="A388" s="63" t="s">
        <v>359</v>
      </c>
      <c r="B388" s="63" t="s">
        <v>359</v>
      </c>
      <c r="C388" s="64"/>
      <c r="D388" s="65"/>
      <c r="E388" s="66"/>
      <c r="F388" s="67"/>
      <c r="G388" s="64"/>
      <c r="H388" s="68"/>
      <c r="I388" s="69"/>
      <c r="J388" s="69"/>
      <c r="K388" s="32"/>
      <c r="L388" s="76">
        <v>388</v>
      </c>
      <c r="M388" s="76"/>
      <c r="N388" s="71"/>
      <c r="O388" s="87" t="s">
        <v>179</v>
      </c>
      <c r="P388" s="90">
        <v>45180.9065625</v>
      </c>
      <c r="Q388" s="87" t="s">
        <v>2225</v>
      </c>
      <c r="R388" s="87">
        <v>0</v>
      </c>
      <c r="S388" s="87">
        <v>1</v>
      </c>
      <c r="T388" s="87">
        <v>0</v>
      </c>
      <c r="U388" s="87">
        <v>0</v>
      </c>
      <c r="V388" s="87">
        <v>6</v>
      </c>
      <c r="W388" s="93" t="s">
        <v>6146</v>
      </c>
      <c r="X388" s="87"/>
      <c r="Y388" s="87"/>
      <c r="Z388" s="87"/>
      <c r="AA388" s="87" t="s">
        <v>8905</v>
      </c>
      <c r="AB388" s="87" t="s">
        <v>11448</v>
      </c>
      <c r="AC388" s="93" t="s">
        <v>11457</v>
      </c>
      <c r="AD388" s="87" t="s">
        <v>11519</v>
      </c>
      <c r="AE388" s="92" t="str">
        <f>HYPERLINK("https://twitter.com/striglab/status/1701351272748577008")</f>
        <v>https://twitter.com/striglab/status/1701351272748577008</v>
      </c>
      <c r="AF388" s="90">
        <v>45180.9065625</v>
      </c>
      <c r="AG388" s="99">
        <v>45180</v>
      </c>
      <c r="AH388" s="93" t="s">
        <v>11898</v>
      </c>
      <c r="AI388" s="87" t="b">
        <v>0</v>
      </c>
      <c r="AJ388" s="87"/>
      <c r="AK388" s="87"/>
      <c r="AL388" s="87"/>
      <c r="AM388" s="87"/>
      <c r="AN388" s="87"/>
      <c r="AO388" s="87"/>
      <c r="AP388" s="87"/>
      <c r="AQ388" s="87" t="s">
        <v>15718</v>
      </c>
      <c r="AR388" s="87"/>
      <c r="AS388" s="87"/>
      <c r="AT388" s="87"/>
      <c r="AU388" s="87"/>
      <c r="AV388" s="92" t="str">
        <f>HYPERLINK("https://pbs.twimg.com/media/F5w7rufX0AAVXds.jpg")</f>
        <v>https://pbs.twimg.com/media/F5w7rufX0AAVXds.jpg</v>
      </c>
      <c r="AW388" s="93" t="s">
        <v>18641</v>
      </c>
      <c r="AX388" s="93" t="s">
        <v>18641</v>
      </c>
      <c r="AY388" s="87"/>
      <c r="AZ388" s="93" t="s">
        <v>22668</v>
      </c>
      <c r="BA388" s="93" t="s">
        <v>22668</v>
      </c>
      <c r="BB388" s="93" t="s">
        <v>22668</v>
      </c>
      <c r="BC388" s="93" t="s">
        <v>18641</v>
      </c>
      <c r="BD388" s="93" t="s">
        <v>22871</v>
      </c>
      <c r="BE388" s="87"/>
      <c r="BF388" s="87"/>
      <c r="BG388" s="87"/>
      <c r="BH388" s="87"/>
      <c r="BI388" s="87"/>
    </row>
    <row r="389" spans="1:61" x14ac:dyDescent="0.25">
      <c r="A389" s="63" t="s">
        <v>360</v>
      </c>
      <c r="B389" s="63" t="s">
        <v>360</v>
      </c>
      <c r="C389" s="64"/>
      <c r="D389" s="65"/>
      <c r="E389" s="66"/>
      <c r="F389" s="67"/>
      <c r="G389" s="64"/>
      <c r="H389" s="68"/>
      <c r="I389" s="69"/>
      <c r="J389" s="69"/>
      <c r="K389" s="32"/>
      <c r="L389" s="76">
        <v>389</v>
      </c>
      <c r="M389" s="76"/>
      <c r="N389" s="71"/>
      <c r="O389" s="87" t="s">
        <v>179</v>
      </c>
      <c r="P389" s="90">
        <v>45193.456886574073</v>
      </c>
      <c r="Q389" s="87" t="s">
        <v>2226</v>
      </c>
      <c r="R389" s="87">
        <v>0</v>
      </c>
      <c r="S389" s="87">
        <v>0</v>
      </c>
      <c r="T389" s="87">
        <v>0</v>
      </c>
      <c r="U389" s="87">
        <v>0</v>
      </c>
      <c r="V389" s="87">
        <v>5</v>
      </c>
      <c r="W389" s="93" t="s">
        <v>6147</v>
      </c>
      <c r="X389" s="87"/>
      <c r="Y389" s="87"/>
      <c r="Z389" s="87"/>
      <c r="AA389" s="87" t="s">
        <v>8906</v>
      </c>
      <c r="AB389" s="87" t="s">
        <v>11448</v>
      </c>
      <c r="AC389" s="93" t="s">
        <v>11459</v>
      </c>
      <c r="AD389" s="87" t="s">
        <v>11519</v>
      </c>
      <c r="AE389" s="92" t="str">
        <f>HYPERLINK("https://twitter.com/andreltrs/status/1705899357277491258")</f>
        <v>https://twitter.com/andreltrs/status/1705899357277491258</v>
      </c>
      <c r="AF389" s="90">
        <v>45193.456886574073</v>
      </c>
      <c r="AG389" s="99">
        <v>45193</v>
      </c>
      <c r="AH389" s="93" t="s">
        <v>11899</v>
      </c>
      <c r="AI389" s="87" t="b">
        <v>0</v>
      </c>
      <c r="AJ389" s="87"/>
      <c r="AK389" s="87"/>
      <c r="AL389" s="87"/>
      <c r="AM389" s="87"/>
      <c r="AN389" s="87"/>
      <c r="AO389" s="87"/>
      <c r="AP389" s="87"/>
      <c r="AQ389" s="87" t="s">
        <v>15719</v>
      </c>
      <c r="AR389" s="87"/>
      <c r="AS389" s="87"/>
      <c r="AT389" s="87"/>
      <c r="AU389" s="87"/>
      <c r="AV389" s="92" t="str">
        <f>HYPERLINK("https://pbs.twimg.com/media/F6ySbMSXwAAyuj3.jpg")</f>
        <v>https://pbs.twimg.com/media/F6ySbMSXwAAyuj3.jpg</v>
      </c>
      <c r="AW389" s="93" t="s">
        <v>18642</v>
      </c>
      <c r="AX389" s="93" t="s">
        <v>18642</v>
      </c>
      <c r="AY389" s="87"/>
      <c r="AZ389" s="93" t="s">
        <v>22668</v>
      </c>
      <c r="BA389" s="93" t="s">
        <v>22668</v>
      </c>
      <c r="BB389" s="93" t="s">
        <v>22668</v>
      </c>
      <c r="BC389" s="93" t="s">
        <v>18642</v>
      </c>
      <c r="BD389" s="93" t="s">
        <v>22872</v>
      </c>
      <c r="BE389" s="87"/>
      <c r="BF389" s="87"/>
      <c r="BG389" s="87"/>
      <c r="BH389" s="87"/>
      <c r="BI389" s="87"/>
    </row>
    <row r="390" spans="1:61" x14ac:dyDescent="0.25">
      <c r="A390" s="63" t="s">
        <v>361</v>
      </c>
      <c r="B390" s="63" t="s">
        <v>361</v>
      </c>
      <c r="C390" s="64"/>
      <c r="D390" s="65"/>
      <c r="E390" s="66"/>
      <c r="F390" s="67"/>
      <c r="G390" s="64"/>
      <c r="H390" s="68"/>
      <c r="I390" s="69"/>
      <c r="J390" s="69"/>
      <c r="K390" s="32"/>
      <c r="L390" s="76">
        <v>390</v>
      </c>
      <c r="M390" s="76"/>
      <c r="N390" s="71"/>
      <c r="O390" s="87" t="s">
        <v>179</v>
      </c>
      <c r="P390" s="90">
        <v>45170.762719907405</v>
      </c>
      <c r="Q390" s="87" t="s">
        <v>2227</v>
      </c>
      <c r="R390" s="87">
        <v>0</v>
      </c>
      <c r="S390" s="87">
        <v>0</v>
      </c>
      <c r="T390" s="87">
        <v>0</v>
      </c>
      <c r="U390" s="87">
        <v>0</v>
      </c>
      <c r="V390" s="87">
        <v>25</v>
      </c>
      <c r="W390" s="93" t="s">
        <v>6148</v>
      </c>
      <c r="X390" s="87"/>
      <c r="Y390" s="87"/>
      <c r="Z390" s="87"/>
      <c r="AA390" s="87" t="s">
        <v>8907</v>
      </c>
      <c r="AB390" s="87" t="s">
        <v>11448</v>
      </c>
      <c r="AC390" s="93" t="s">
        <v>11457</v>
      </c>
      <c r="AD390" s="87" t="s">
        <v>11519</v>
      </c>
      <c r="AE390" s="92" t="str">
        <f>HYPERLINK("https://twitter.com/pucgenesis/status/1697675264719831436")</f>
        <v>https://twitter.com/pucgenesis/status/1697675264719831436</v>
      </c>
      <c r="AF390" s="90">
        <v>45170.762719907405</v>
      </c>
      <c r="AG390" s="99">
        <v>45170</v>
      </c>
      <c r="AH390" s="93" t="s">
        <v>11900</v>
      </c>
      <c r="AI390" s="87" t="b">
        <v>0</v>
      </c>
      <c r="AJ390" s="87"/>
      <c r="AK390" s="87"/>
      <c r="AL390" s="87"/>
      <c r="AM390" s="87"/>
      <c r="AN390" s="87"/>
      <c r="AO390" s="87"/>
      <c r="AP390" s="87"/>
      <c r="AQ390" s="87" t="s">
        <v>15720</v>
      </c>
      <c r="AR390" s="87"/>
      <c r="AS390" s="87"/>
      <c r="AT390" s="87"/>
      <c r="AU390" s="87"/>
      <c r="AV390" s="92" t="str">
        <f>HYPERLINK("https://pbs.twimg.com/media/F49Zf36X0AAtChK.jpg")</f>
        <v>https://pbs.twimg.com/media/F49Zf36X0AAtChK.jpg</v>
      </c>
      <c r="AW390" s="93" t="s">
        <v>18643</v>
      </c>
      <c r="AX390" s="93" t="s">
        <v>18643</v>
      </c>
      <c r="AY390" s="87"/>
      <c r="AZ390" s="93" t="s">
        <v>22668</v>
      </c>
      <c r="BA390" s="93" t="s">
        <v>22668</v>
      </c>
      <c r="BB390" s="93" t="s">
        <v>22668</v>
      </c>
      <c r="BC390" s="93" t="s">
        <v>18643</v>
      </c>
      <c r="BD390" s="87">
        <v>121842852</v>
      </c>
      <c r="BE390" s="87"/>
      <c r="BF390" s="87"/>
      <c r="BG390" s="87"/>
      <c r="BH390" s="87"/>
      <c r="BI390" s="87"/>
    </row>
    <row r="391" spans="1:61" x14ac:dyDescent="0.25">
      <c r="A391" s="63" t="s">
        <v>362</v>
      </c>
      <c r="B391" s="63" t="s">
        <v>362</v>
      </c>
      <c r="C391" s="64"/>
      <c r="D391" s="65"/>
      <c r="E391" s="66"/>
      <c r="F391" s="67"/>
      <c r="G391" s="64"/>
      <c r="H391" s="68"/>
      <c r="I391" s="69"/>
      <c r="J391" s="69"/>
      <c r="K391" s="32"/>
      <c r="L391" s="76">
        <v>391</v>
      </c>
      <c r="M391" s="76"/>
      <c r="N391" s="71"/>
      <c r="O391" s="87" t="s">
        <v>179</v>
      </c>
      <c r="P391" s="90">
        <v>45113.500983796293</v>
      </c>
      <c r="Q391" s="87" t="s">
        <v>2228</v>
      </c>
      <c r="R391" s="87">
        <v>0</v>
      </c>
      <c r="S391" s="87">
        <v>0</v>
      </c>
      <c r="T391" s="87">
        <v>0</v>
      </c>
      <c r="U391" s="87">
        <v>0</v>
      </c>
      <c r="V391" s="87">
        <v>15</v>
      </c>
      <c r="W391" s="93" t="s">
        <v>6149</v>
      </c>
      <c r="X391" s="92" t="str">
        <f>HYPERLINK("https://atrativacontabilidade.com.br/noticias-ler.php?id=8509")</f>
        <v>https://atrativacontabilidade.com.br/noticias-ler.php?id=8509</v>
      </c>
      <c r="Y391" s="87" t="s">
        <v>8373</v>
      </c>
      <c r="Z391" s="87"/>
      <c r="AA391" s="87" t="s">
        <v>8908</v>
      </c>
      <c r="AB391" s="87" t="s">
        <v>11448</v>
      </c>
      <c r="AC391" s="93" t="s">
        <v>11462</v>
      </c>
      <c r="AD391" s="87" t="s">
        <v>11519</v>
      </c>
      <c r="AE391" s="92" t="str">
        <f>HYPERLINK("https://twitter.com/atrativaconta/status/1676924307337879554")</f>
        <v>https://twitter.com/atrativaconta/status/1676924307337879554</v>
      </c>
      <c r="AF391" s="90">
        <v>45113.500983796293</v>
      </c>
      <c r="AG391" s="99">
        <v>45113</v>
      </c>
      <c r="AH391" s="93" t="s">
        <v>11901</v>
      </c>
      <c r="AI391" s="87" t="b">
        <v>0</v>
      </c>
      <c r="AJ391" s="87"/>
      <c r="AK391" s="87"/>
      <c r="AL391" s="87"/>
      <c r="AM391" s="87"/>
      <c r="AN391" s="87"/>
      <c r="AO391" s="87"/>
      <c r="AP391" s="87"/>
      <c r="AQ391" s="87" t="s">
        <v>15721</v>
      </c>
      <c r="AR391" s="87"/>
      <c r="AS391" s="87"/>
      <c r="AT391" s="87"/>
      <c r="AU391" s="87"/>
      <c r="AV391" s="92" t="str">
        <f>HYPERLINK("https://pbs.twimg.com/media/F0WhxU1X0AAE1jL.jpg")</f>
        <v>https://pbs.twimg.com/media/F0WhxU1X0AAE1jL.jpg</v>
      </c>
      <c r="AW391" s="93" t="s">
        <v>18644</v>
      </c>
      <c r="AX391" s="93" t="s">
        <v>18644</v>
      </c>
      <c r="AY391" s="87"/>
      <c r="AZ391" s="93" t="s">
        <v>22668</v>
      </c>
      <c r="BA391" s="93" t="s">
        <v>22668</v>
      </c>
      <c r="BB391" s="93" t="s">
        <v>22668</v>
      </c>
      <c r="BC391" s="93" t="s">
        <v>18644</v>
      </c>
      <c r="BD391" s="93" t="s">
        <v>22873</v>
      </c>
      <c r="BE391" s="87"/>
      <c r="BF391" s="87"/>
      <c r="BG391" s="87"/>
      <c r="BH391" s="87"/>
      <c r="BI391" s="87"/>
    </row>
    <row r="392" spans="1:61" x14ac:dyDescent="0.25">
      <c r="A392" s="63" t="s">
        <v>363</v>
      </c>
      <c r="B392" s="63" t="s">
        <v>363</v>
      </c>
      <c r="C392" s="64"/>
      <c r="D392" s="65"/>
      <c r="E392" s="66"/>
      <c r="F392" s="67"/>
      <c r="G392" s="64"/>
      <c r="H392" s="68"/>
      <c r="I392" s="69"/>
      <c r="J392" s="69"/>
      <c r="K392" s="32"/>
      <c r="L392" s="76">
        <v>392</v>
      </c>
      <c r="M392" s="76"/>
      <c r="N392" s="71"/>
      <c r="O392" s="87" t="s">
        <v>179</v>
      </c>
      <c r="P392" s="90">
        <v>45112.868796296294</v>
      </c>
      <c r="Q392" s="87" t="s">
        <v>2229</v>
      </c>
      <c r="R392" s="87">
        <v>0</v>
      </c>
      <c r="S392" s="87">
        <v>2</v>
      </c>
      <c r="T392" s="87">
        <v>1</v>
      </c>
      <c r="U392" s="87">
        <v>0</v>
      </c>
      <c r="V392" s="87">
        <v>55</v>
      </c>
      <c r="W392" s="93" t="s">
        <v>6150</v>
      </c>
      <c r="X392" s="92" t="str">
        <f>HYPERLINK("https://mla.bs/d93d48ee")</f>
        <v>https://mla.bs/d93d48ee</v>
      </c>
      <c r="Y392" s="87" t="s">
        <v>8396</v>
      </c>
      <c r="Z392" s="87"/>
      <c r="AA392" s="87"/>
      <c r="AB392" s="87"/>
      <c r="AC392" s="93" t="s">
        <v>11460</v>
      </c>
      <c r="AD392" s="87" t="s">
        <v>11519</v>
      </c>
      <c r="AE392" s="92" t="str">
        <f>HYPERLINK("https://twitter.com/brpaisdigital/status/1676695210061955078")</f>
        <v>https://twitter.com/brpaisdigital/status/1676695210061955078</v>
      </c>
      <c r="AF392" s="90">
        <v>45112.868796296294</v>
      </c>
      <c r="AG392" s="99">
        <v>45112</v>
      </c>
      <c r="AH392" s="93" t="s">
        <v>11902</v>
      </c>
      <c r="AI392" s="87" t="b">
        <v>0</v>
      </c>
      <c r="AJ392" s="87"/>
      <c r="AK392" s="87"/>
      <c r="AL392" s="87"/>
      <c r="AM392" s="87"/>
      <c r="AN392" s="87"/>
      <c r="AO392" s="87"/>
      <c r="AP392" s="87"/>
      <c r="AQ392" s="87"/>
      <c r="AR392" s="87"/>
      <c r="AS392" s="87"/>
      <c r="AT392" s="87"/>
      <c r="AU392" s="87"/>
      <c r="AV392" s="92" t="str">
        <f>HYPERLINK("https://pbs.twimg.com/profile_images/849814641937199104/SVbRZkYK_normal.jpg")</f>
        <v>https://pbs.twimg.com/profile_images/849814641937199104/SVbRZkYK_normal.jpg</v>
      </c>
      <c r="AW392" s="93" t="s">
        <v>18645</v>
      </c>
      <c r="AX392" s="93" t="s">
        <v>18645</v>
      </c>
      <c r="AY392" s="87"/>
      <c r="AZ392" s="93" t="s">
        <v>22668</v>
      </c>
      <c r="BA392" s="93" t="s">
        <v>22668</v>
      </c>
      <c r="BB392" s="93" t="s">
        <v>22668</v>
      </c>
      <c r="BC392" s="93" t="s">
        <v>18645</v>
      </c>
      <c r="BD392" s="93" t="s">
        <v>22874</v>
      </c>
      <c r="BE392" s="87"/>
      <c r="BF392" s="87"/>
      <c r="BG392" s="87"/>
      <c r="BH392" s="87"/>
      <c r="BI392" s="87"/>
    </row>
    <row r="393" spans="1:61" x14ac:dyDescent="0.25">
      <c r="A393" s="63" t="s">
        <v>363</v>
      </c>
      <c r="B393" s="63" t="s">
        <v>363</v>
      </c>
      <c r="C393" s="64"/>
      <c r="D393" s="65"/>
      <c r="E393" s="66"/>
      <c r="F393" s="67"/>
      <c r="G393" s="64"/>
      <c r="H393" s="68"/>
      <c r="I393" s="69"/>
      <c r="J393" s="69"/>
      <c r="K393" s="32"/>
      <c r="L393" s="76">
        <v>393</v>
      </c>
      <c r="M393" s="76"/>
      <c r="N393" s="71"/>
      <c r="O393" s="87" t="s">
        <v>179</v>
      </c>
      <c r="P393" s="90">
        <v>45111.875532407408</v>
      </c>
      <c r="Q393" s="87" t="s">
        <v>2229</v>
      </c>
      <c r="R393" s="87">
        <v>0</v>
      </c>
      <c r="S393" s="87">
        <v>1</v>
      </c>
      <c r="T393" s="87">
        <v>0</v>
      </c>
      <c r="U393" s="87">
        <v>0</v>
      </c>
      <c r="V393" s="87">
        <v>39</v>
      </c>
      <c r="W393" s="93" t="s">
        <v>6150</v>
      </c>
      <c r="X393" s="92" t="str">
        <f>HYPERLINK("https://mla.bs/d93d48ee")</f>
        <v>https://mla.bs/d93d48ee</v>
      </c>
      <c r="Y393" s="87" t="s">
        <v>8396</v>
      </c>
      <c r="Z393" s="87"/>
      <c r="AA393" s="87"/>
      <c r="AB393" s="87"/>
      <c r="AC393" s="93" t="s">
        <v>11460</v>
      </c>
      <c r="AD393" s="87" t="s">
        <v>11519</v>
      </c>
      <c r="AE393" s="92" t="str">
        <f>HYPERLINK("https://twitter.com/brpaisdigital/status/1676335263587483650")</f>
        <v>https://twitter.com/brpaisdigital/status/1676335263587483650</v>
      </c>
      <c r="AF393" s="90">
        <v>45111.875532407408</v>
      </c>
      <c r="AG393" s="99">
        <v>45111</v>
      </c>
      <c r="AH393" s="93" t="s">
        <v>11903</v>
      </c>
      <c r="AI393" s="87" t="b">
        <v>0</v>
      </c>
      <c r="AJ393" s="87"/>
      <c r="AK393" s="87"/>
      <c r="AL393" s="87"/>
      <c r="AM393" s="87"/>
      <c r="AN393" s="87"/>
      <c r="AO393" s="87"/>
      <c r="AP393" s="87"/>
      <c r="AQ393" s="87"/>
      <c r="AR393" s="87"/>
      <c r="AS393" s="87"/>
      <c r="AT393" s="87"/>
      <c r="AU393" s="87"/>
      <c r="AV393" s="92" t="str">
        <f>HYPERLINK("https://pbs.twimg.com/profile_images/849814641937199104/SVbRZkYK_normal.jpg")</f>
        <v>https://pbs.twimg.com/profile_images/849814641937199104/SVbRZkYK_normal.jpg</v>
      </c>
      <c r="AW393" s="93" t="s">
        <v>18646</v>
      </c>
      <c r="AX393" s="93" t="s">
        <v>18646</v>
      </c>
      <c r="AY393" s="87"/>
      <c r="AZ393" s="93" t="s">
        <v>22668</v>
      </c>
      <c r="BA393" s="93" t="s">
        <v>22668</v>
      </c>
      <c r="BB393" s="93" t="s">
        <v>22668</v>
      </c>
      <c r="BC393" s="93" t="s">
        <v>18646</v>
      </c>
      <c r="BD393" s="93" t="s">
        <v>22874</v>
      </c>
      <c r="BE393" s="87"/>
      <c r="BF393" s="87"/>
      <c r="BG393" s="87"/>
      <c r="BH393" s="87"/>
      <c r="BI393" s="87"/>
    </row>
    <row r="394" spans="1:61" x14ac:dyDescent="0.25">
      <c r="A394" s="63" t="s">
        <v>363</v>
      </c>
      <c r="B394" s="63" t="s">
        <v>363</v>
      </c>
      <c r="C394" s="64"/>
      <c r="D394" s="65"/>
      <c r="E394" s="66"/>
      <c r="F394" s="67"/>
      <c r="G394" s="64"/>
      <c r="H394" s="68"/>
      <c r="I394" s="69"/>
      <c r="J394" s="69"/>
      <c r="K394" s="32"/>
      <c r="L394" s="76">
        <v>394</v>
      </c>
      <c r="M394" s="76"/>
      <c r="N394" s="71"/>
      <c r="O394" s="87" t="s">
        <v>179</v>
      </c>
      <c r="P394" s="90">
        <v>45124.708761574075</v>
      </c>
      <c r="Q394" s="87" t="s">
        <v>2230</v>
      </c>
      <c r="R394" s="87">
        <v>0</v>
      </c>
      <c r="S394" s="87">
        <v>0</v>
      </c>
      <c r="T394" s="87">
        <v>0</v>
      </c>
      <c r="U394" s="87">
        <v>0</v>
      </c>
      <c r="V394" s="87">
        <v>23</v>
      </c>
      <c r="W394" s="93" t="s">
        <v>6151</v>
      </c>
      <c r="X394" s="92" t="str">
        <f>HYPERLINK("https://mla.bs/49c9c5a1")</f>
        <v>https://mla.bs/49c9c5a1</v>
      </c>
      <c r="Y394" s="87" t="s">
        <v>8396</v>
      </c>
      <c r="Z394" s="87"/>
      <c r="AA394" s="87"/>
      <c r="AB394" s="87"/>
      <c r="AC394" s="93" t="s">
        <v>11460</v>
      </c>
      <c r="AD394" s="87" t="s">
        <v>11519</v>
      </c>
      <c r="AE394" s="92" t="str">
        <f>HYPERLINK("https://twitter.com/brpaisdigital/status/1680985871292440578")</f>
        <v>https://twitter.com/brpaisdigital/status/1680985871292440578</v>
      </c>
      <c r="AF394" s="90">
        <v>45124.708761574075</v>
      </c>
      <c r="AG394" s="99">
        <v>45124</v>
      </c>
      <c r="AH394" s="93" t="s">
        <v>11904</v>
      </c>
      <c r="AI394" s="87" t="b">
        <v>0</v>
      </c>
      <c r="AJ394" s="87"/>
      <c r="AK394" s="87"/>
      <c r="AL394" s="87"/>
      <c r="AM394" s="87"/>
      <c r="AN394" s="87"/>
      <c r="AO394" s="87"/>
      <c r="AP394" s="87"/>
      <c r="AQ394" s="87"/>
      <c r="AR394" s="87"/>
      <c r="AS394" s="87"/>
      <c r="AT394" s="87"/>
      <c r="AU394" s="87"/>
      <c r="AV394" s="92" t="str">
        <f>HYPERLINK("https://pbs.twimg.com/profile_images/849814641937199104/SVbRZkYK_normal.jpg")</f>
        <v>https://pbs.twimg.com/profile_images/849814641937199104/SVbRZkYK_normal.jpg</v>
      </c>
      <c r="AW394" s="93" t="s">
        <v>18647</v>
      </c>
      <c r="AX394" s="93" t="s">
        <v>18647</v>
      </c>
      <c r="AY394" s="87"/>
      <c r="AZ394" s="93" t="s">
        <v>22668</v>
      </c>
      <c r="BA394" s="93" t="s">
        <v>22668</v>
      </c>
      <c r="BB394" s="93" t="s">
        <v>22668</v>
      </c>
      <c r="BC394" s="93" t="s">
        <v>18647</v>
      </c>
      <c r="BD394" s="93" t="s">
        <v>22874</v>
      </c>
      <c r="BE394" s="87"/>
      <c r="BF394" s="87"/>
      <c r="BG394" s="87"/>
      <c r="BH394" s="87"/>
      <c r="BI394" s="87"/>
    </row>
    <row r="395" spans="1:61" x14ac:dyDescent="0.25">
      <c r="A395" s="63" t="s">
        <v>363</v>
      </c>
      <c r="B395" s="63" t="s">
        <v>363</v>
      </c>
      <c r="C395" s="64"/>
      <c r="D395" s="65"/>
      <c r="E395" s="66"/>
      <c r="F395" s="67"/>
      <c r="G395" s="64"/>
      <c r="H395" s="68"/>
      <c r="I395" s="69"/>
      <c r="J395" s="69"/>
      <c r="K395" s="32"/>
      <c r="L395" s="76">
        <v>395</v>
      </c>
      <c r="M395" s="76"/>
      <c r="N395" s="71"/>
      <c r="O395" s="87" t="s">
        <v>179</v>
      </c>
      <c r="P395" s="90">
        <v>45122.854513888888</v>
      </c>
      <c r="Q395" s="87" t="s">
        <v>2230</v>
      </c>
      <c r="R395" s="87">
        <v>0</v>
      </c>
      <c r="S395" s="87">
        <v>0</v>
      </c>
      <c r="T395" s="87">
        <v>0</v>
      </c>
      <c r="U395" s="87">
        <v>0</v>
      </c>
      <c r="V395" s="87">
        <v>28</v>
      </c>
      <c r="W395" s="93" t="s">
        <v>6151</v>
      </c>
      <c r="X395" s="92" t="str">
        <f>HYPERLINK("https://mla.bs/49c9c5a1")</f>
        <v>https://mla.bs/49c9c5a1</v>
      </c>
      <c r="Y395" s="87" t="s">
        <v>8396</v>
      </c>
      <c r="Z395" s="87"/>
      <c r="AA395" s="87"/>
      <c r="AB395" s="87"/>
      <c r="AC395" s="93" t="s">
        <v>11460</v>
      </c>
      <c r="AD395" s="87" t="s">
        <v>11519</v>
      </c>
      <c r="AE395" s="92" t="str">
        <f>HYPERLINK("https://twitter.com/brpaisdigital/status/1680313914049830913")</f>
        <v>https://twitter.com/brpaisdigital/status/1680313914049830913</v>
      </c>
      <c r="AF395" s="90">
        <v>45122.854513888888</v>
      </c>
      <c r="AG395" s="99">
        <v>45122</v>
      </c>
      <c r="AH395" s="93" t="s">
        <v>11905</v>
      </c>
      <c r="AI395" s="87" t="b">
        <v>0</v>
      </c>
      <c r="AJ395" s="87"/>
      <c r="AK395" s="87"/>
      <c r="AL395" s="87"/>
      <c r="AM395" s="87"/>
      <c r="AN395" s="87"/>
      <c r="AO395" s="87"/>
      <c r="AP395" s="87"/>
      <c r="AQ395" s="87"/>
      <c r="AR395" s="87"/>
      <c r="AS395" s="87"/>
      <c r="AT395" s="87"/>
      <c r="AU395" s="87"/>
      <c r="AV395" s="92" t="str">
        <f>HYPERLINK("https://pbs.twimg.com/profile_images/849814641937199104/SVbRZkYK_normal.jpg")</f>
        <v>https://pbs.twimg.com/profile_images/849814641937199104/SVbRZkYK_normal.jpg</v>
      </c>
      <c r="AW395" s="93" t="s">
        <v>18648</v>
      </c>
      <c r="AX395" s="93" t="s">
        <v>18648</v>
      </c>
      <c r="AY395" s="87"/>
      <c r="AZ395" s="93" t="s">
        <v>22668</v>
      </c>
      <c r="BA395" s="93" t="s">
        <v>22668</v>
      </c>
      <c r="BB395" s="93" t="s">
        <v>22668</v>
      </c>
      <c r="BC395" s="93" t="s">
        <v>18648</v>
      </c>
      <c r="BD395" s="93" t="s">
        <v>22874</v>
      </c>
      <c r="BE395" s="87"/>
      <c r="BF395" s="87"/>
      <c r="BG395" s="87"/>
      <c r="BH395" s="87"/>
      <c r="BI395" s="87"/>
    </row>
    <row r="396" spans="1:61" x14ac:dyDescent="0.25">
      <c r="A396" s="63" t="s">
        <v>363</v>
      </c>
      <c r="B396" s="63" t="s">
        <v>363</v>
      </c>
      <c r="C396" s="64"/>
      <c r="D396" s="65"/>
      <c r="E396" s="66"/>
      <c r="F396" s="67"/>
      <c r="G396" s="64"/>
      <c r="H396" s="68"/>
      <c r="I396" s="69"/>
      <c r="J396" s="69"/>
      <c r="K396" s="32"/>
      <c r="L396" s="76">
        <v>396</v>
      </c>
      <c r="M396" s="76"/>
      <c r="N396" s="71"/>
      <c r="O396" s="87" t="s">
        <v>179</v>
      </c>
      <c r="P396" s="90">
        <v>45122.021041666667</v>
      </c>
      <c r="Q396" s="87" t="s">
        <v>2230</v>
      </c>
      <c r="R396" s="87">
        <v>0</v>
      </c>
      <c r="S396" s="87">
        <v>0</v>
      </c>
      <c r="T396" s="87">
        <v>0</v>
      </c>
      <c r="U396" s="87">
        <v>0</v>
      </c>
      <c r="V396" s="87">
        <v>24</v>
      </c>
      <c r="W396" s="93" t="s">
        <v>6151</v>
      </c>
      <c r="X396" s="92" t="str">
        <f>HYPERLINK("https://mla.bs/49c9c5a1")</f>
        <v>https://mla.bs/49c9c5a1</v>
      </c>
      <c r="Y396" s="87" t="s">
        <v>8396</v>
      </c>
      <c r="Z396" s="87"/>
      <c r="AA396" s="87"/>
      <c r="AB396" s="87"/>
      <c r="AC396" s="93" t="s">
        <v>11460</v>
      </c>
      <c r="AD396" s="87" t="s">
        <v>11519</v>
      </c>
      <c r="AE396" s="92" t="str">
        <f>HYPERLINK("https://twitter.com/brpaisdigital/status/1680011872794288132")</f>
        <v>https://twitter.com/brpaisdigital/status/1680011872794288132</v>
      </c>
      <c r="AF396" s="90">
        <v>45122.021041666667</v>
      </c>
      <c r="AG396" s="99">
        <v>45122</v>
      </c>
      <c r="AH396" s="93" t="s">
        <v>11906</v>
      </c>
      <c r="AI396" s="87" t="b">
        <v>0</v>
      </c>
      <c r="AJ396" s="87"/>
      <c r="AK396" s="87"/>
      <c r="AL396" s="87"/>
      <c r="AM396" s="87"/>
      <c r="AN396" s="87"/>
      <c r="AO396" s="87"/>
      <c r="AP396" s="87"/>
      <c r="AQ396" s="87"/>
      <c r="AR396" s="87"/>
      <c r="AS396" s="87"/>
      <c r="AT396" s="87"/>
      <c r="AU396" s="87"/>
      <c r="AV396" s="92" t="str">
        <f>HYPERLINK("https://pbs.twimg.com/profile_images/849814641937199104/SVbRZkYK_normal.jpg")</f>
        <v>https://pbs.twimg.com/profile_images/849814641937199104/SVbRZkYK_normal.jpg</v>
      </c>
      <c r="AW396" s="93" t="s">
        <v>18649</v>
      </c>
      <c r="AX396" s="93" t="s">
        <v>18649</v>
      </c>
      <c r="AY396" s="87"/>
      <c r="AZ396" s="93" t="s">
        <v>22668</v>
      </c>
      <c r="BA396" s="93" t="s">
        <v>22668</v>
      </c>
      <c r="BB396" s="93" t="s">
        <v>22668</v>
      </c>
      <c r="BC396" s="93" t="s">
        <v>18649</v>
      </c>
      <c r="BD396" s="93" t="s">
        <v>22874</v>
      </c>
      <c r="BE396" s="87"/>
      <c r="BF396" s="87"/>
      <c r="BG396" s="87"/>
      <c r="BH396" s="87"/>
      <c r="BI396" s="87"/>
    </row>
    <row r="397" spans="1:61" x14ac:dyDescent="0.25">
      <c r="A397" s="63" t="s">
        <v>363</v>
      </c>
      <c r="B397" s="63" t="s">
        <v>363</v>
      </c>
      <c r="C397" s="64"/>
      <c r="D397" s="65"/>
      <c r="E397" s="66"/>
      <c r="F397" s="67"/>
      <c r="G397" s="64"/>
      <c r="H397" s="68"/>
      <c r="I397" s="69"/>
      <c r="J397" s="69"/>
      <c r="K397" s="32"/>
      <c r="L397" s="76">
        <v>397</v>
      </c>
      <c r="M397" s="76"/>
      <c r="N397" s="71"/>
      <c r="O397" s="87" t="s">
        <v>179</v>
      </c>
      <c r="P397" s="90">
        <v>45111.021087962959</v>
      </c>
      <c r="Q397" s="87" t="s">
        <v>2229</v>
      </c>
      <c r="R397" s="87">
        <v>0</v>
      </c>
      <c r="S397" s="87">
        <v>1</v>
      </c>
      <c r="T397" s="87">
        <v>0</v>
      </c>
      <c r="U397" s="87">
        <v>0</v>
      </c>
      <c r="V397" s="87">
        <v>32</v>
      </c>
      <c r="W397" s="93" t="s">
        <v>6150</v>
      </c>
      <c r="X397" s="92" t="str">
        <f>HYPERLINK("https://mla.bs/d93d48ee")</f>
        <v>https://mla.bs/d93d48ee</v>
      </c>
      <c r="Y397" s="87" t="s">
        <v>8396</v>
      </c>
      <c r="Z397" s="87"/>
      <c r="AA397" s="87"/>
      <c r="AB397" s="87"/>
      <c r="AC397" s="93" t="s">
        <v>11460</v>
      </c>
      <c r="AD397" s="87" t="s">
        <v>11519</v>
      </c>
      <c r="AE397" s="92" t="str">
        <f>HYPERLINK("https://twitter.com/brpaisdigital/status/1676025626115952640")</f>
        <v>https://twitter.com/brpaisdigital/status/1676025626115952640</v>
      </c>
      <c r="AF397" s="90">
        <v>45111.021087962959</v>
      </c>
      <c r="AG397" s="99">
        <v>45111</v>
      </c>
      <c r="AH397" s="93" t="s">
        <v>11907</v>
      </c>
      <c r="AI397" s="87" t="b">
        <v>0</v>
      </c>
      <c r="AJ397" s="87"/>
      <c r="AK397" s="87"/>
      <c r="AL397" s="87"/>
      <c r="AM397" s="87"/>
      <c r="AN397" s="87"/>
      <c r="AO397" s="87"/>
      <c r="AP397" s="87"/>
      <c r="AQ397" s="87"/>
      <c r="AR397" s="87"/>
      <c r="AS397" s="87"/>
      <c r="AT397" s="87"/>
      <c r="AU397" s="87"/>
      <c r="AV397" s="92" t="str">
        <f>HYPERLINK("https://pbs.twimg.com/profile_images/849814641937199104/SVbRZkYK_normal.jpg")</f>
        <v>https://pbs.twimg.com/profile_images/849814641937199104/SVbRZkYK_normal.jpg</v>
      </c>
      <c r="AW397" s="93" t="s">
        <v>18650</v>
      </c>
      <c r="AX397" s="93" t="s">
        <v>18650</v>
      </c>
      <c r="AY397" s="87"/>
      <c r="AZ397" s="93" t="s">
        <v>22668</v>
      </c>
      <c r="BA397" s="93" t="s">
        <v>22668</v>
      </c>
      <c r="BB397" s="93" t="s">
        <v>22668</v>
      </c>
      <c r="BC397" s="93" t="s">
        <v>18650</v>
      </c>
      <c r="BD397" s="93" t="s">
        <v>22874</v>
      </c>
      <c r="BE397" s="87"/>
      <c r="BF397" s="87"/>
      <c r="BG397" s="87"/>
      <c r="BH397" s="87"/>
      <c r="BI397" s="87"/>
    </row>
    <row r="398" spans="1:61" x14ac:dyDescent="0.25">
      <c r="A398" s="63" t="s">
        <v>364</v>
      </c>
      <c r="B398" s="63" t="s">
        <v>364</v>
      </c>
      <c r="C398" s="64"/>
      <c r="D398" s="65"/>
      <c r="E398" s="66"/>
      <c r="F398" s="67"/>
      <c r="G398" s="64"/>
      <c r="H398" s="68"/>
      <c r="I398" s="69"/>
      <c r="J398" s="69"/>
      <c r="K398" s="32"/>
      <c r="L398" s="76">
        <v>398</v>
      </c>
      <c r="M398" s="76"/>
      <c r="N398" s="71"/>
      <c r="O398" s="87" t="s">
        <v>179</v>
      </c>
      <c r="P398" s="90">
        <v>45194.888668981483</v>
      </c>
      <c r="Q398" s="87" t="s">
        <v>2231</v>
      </c>
      <c r="R398" s="87">
        <v>0</v>
      </c>
      <c r="S398" s="87">
        <v>0</v>
      </c>
      <c r="T398" s="87">
        <v>0</v>
      </c>
      <c r="U398" s="87">
        <v>0</v>
      </c>
      <c r="V398" s="87">
        <v>26</v>
      </c>
      <c r="W398" s="93" t="s">
        <v>6152</v>
      </c>
      <c r="X398" s="87"/>
      <c r="Y398" s="87"/>
      <c r="Z398" s="87"/>
      <c r="AA398" s="87" t="s">
        <v>8909</v>
      </c>
      <c r="AB398" s="87" t="s">
        <v>11447</v>
      </c>
      <c r="AC398" s="93" t="s">
        <v>11459</v>
      </c>
      <c r="AD398" s="87" t="s">
        <v>11519</v>
      </c>
      <c r="AE398" s="92" t="str">
        <f>HYPERLINK("https://twitter.com/palmeirajanine/status/1706418219223859375")</f>
        <v>https://twitter.com/palmeirajanine/status/1706418219223859375</v>
      </c>
      <c r="AF398" s="90">
        <v>45194.888668981483</v>
      </c>
      <c r="AG398" s="99">
        <v>45194</v>
      </c>
      <c r="AH398" s="93" t="s">
        <v>11908</v>
      </c>
      <c r="AI398" s="87" t="b">
        <v>0</v>
      </c>
      <c r="AJ398" s="87"/>
      <c r="AK398" s="87"/>
      <c r="AL398" s="87"/>
      <c r="AM398" s="87"/>
      <c r="AN398" s="87"/>
      <c r="AO398" s="87"/>
      <c r="AP398" s="87"/>
      <c r="AQ398" s="87" t="s">
        <v>15722</v>
      </c>
      <c r="AR398" s="87">
        <v>15120</v>
      </c>
      <c r="AS398" s="87"/>
      <c r="AT398" s="87"/>
      <c r="AU398" s="87"/>
      <c r="AV398" s="92" t="str">
        <f>HYPERLINK("https://pbs.twimg.com/ext_tw_video_thumb/1706418189226201089/pu/img/zfkiCEA0s9QmXCow.jpg")</f>
        <v>https://pbs.twimg.com/ext_tw_video_thumb/1706418189226201089/pu/img/zfkiCEA0s9QmXCow.jpg</v>
      </c>
      <c r="AW398" s="93" t="s">
        <v>18651</v>
      </c>
      <c r="AX398" s="93" t="s">
        <v>18651</v>
      </c>
      <c r="AY398" s="87"/>
      <c r="AZ398" s="93" t="s">
        <v>22668</v>
      </c>
      <c r="BA398" s="93" t="s">
        <v>22668</v>
      </c>
      <c r="BB398" s="93" t="s">
        <v>22668</v>
      </c>
      <c r="BC398" s="93" t="s">
        <v>18651</v>
      </c>
      <c r="BD398" s="93" t="s">
        <v>22875</v>
      </c>
      <c r="BE398" s="87"/>
      <c r="BF398" s="87"/>
      <c r="BG398" s="87"/>
      <c r="BH398" s="87"/>
      <c r="BI398" s="87"/>
    </row>
    <row r="399" spans="1:61" x14ac:dyDescent="0.25">
      <c r="A399" s="63" t="s">
        <v>365</v>
      </c>
      <c r="B399" s="63" t="s">
        <v>365</v>
      </c>
      <c r="C399" s="64"/>
      <c r="D399" s="65"/>
      <c r="E399" s="66"/>
      <c r="F399" s="67"/>
      <c r="G399" s="64"/>
      <c r="H399" s="68"/>
      <c r="I399" s="69"/>
      <c r="J399" s="69"/>
      <c r="K399" s="32"/>
      <c r="L399" s="76">
        <v>399</v>
      </c>
      <c r="M399" s="76"/>
      <c r="N399" s="71"/>
      <c r="O399" s="87" t="s">
        <v>179</v>
      </c>
      <c r="P399" s="90">
        <v>45140.558900462966</v>
      </c>
      <c r="Q399" s="87" t="s">
        <v>2232</v>
      </c>
      <c r="R399" s="87">
        <v>0</v>
      </c>
      <c r="S399" s="87">
        <v>0</v>
      </c>
      <c r="T399" s="87">
        <v>0</v>
      </c>
      <c r="U399" s="87">
        <v>0</v>
      </c>
      <c r="V399" s="87">
        <v>27</v>
      </c>
      <c r="W399" s="93" t="s">
        <v>6153</v>
      </c>
      <c r="X399" s="87"/>
      <c r="Y399" s="87"/>
      <c r="Z399" s="87"/>
      <c r="AA399" s="87" t="s">
        <v>8910</v>
      </c>
      <c r="AB399" s="87" t="s">
        <v>11447</v>
      </c>
      <c r="AC399" s="93" t="s">
        <v>11459</v>
      </c>
      <c r="AD399" s="87" t="s">
        <v>11520</v>
      </c>
      <c r="AE399" s="92" t="str">
        <f>HYPERLINK("https://twitter.com/diorgenesadvoca/status/1686729767096082432")</f>
        <v>https://twitter.com/diorgenesadvoca/status/1686729767096082432</v>
      </c>
      <c r="AF399" s="90">
        <v>45140.558900462966</v>
      </c>
      <c r="AG399" s="99">
        <v>45140</v>
      </c>
      <c r="AH399" s="93" t="s">
        <v>11909</v>
      </c>
      <c r="AI399" s="87" t="b">
        <v>0</v>
      </c>
      <c r="AJ399" s="87"/>
      <c r="AK399" s="87"/>
      <c r="AL399" s="87"/>
      <c r="AM399" s="87"/>
      <c r="AN399" s="87"/>
      <c r="AO399" s="87"/>
      <c r="AP399" s="87"/>
      <c r="AQ399" s="87" t="s">
        <v>15723</v>
      </c>
      <c r="AR399" s="87">
        <v>56233</v>
      </c>
      <c r="AS399" s="87"/>
      <c r="AT399" s="87"/>
      <c r="AU399" s="87"/>
      <c r="AV399" s="92" t="str">
        <f>HYPERLINK("https://pbs.twimg.com/ext_tw_video_thumb/1686729692617818114/pu/img/7XNL5nA1YP02pldy.jpg")</f>
        <v>https://pbs.twimg.com/ext_tw_video_thumb/1686729692617818114/pu/img/7XNL5nA1YP02pldy.jpg</v>
      </c>
      <c r="AW399" s="93" t="s">
        <v>18652</v>
      </c>
      <c r="AX399" s="93" t="s">
        <v>18652</v>
      </c>
      <c r="AY399" s="87"/>
      <c r="AZ399" s="93" t="s">
        <v>22668</v>
      </c>
      <c r="BA399" s="93" t="s">
        <v>22668</v>
      </c>
      <c r="BB399" s="93" t="s">
        <v>22668</v>
      </c>
      <c r="BC399" s="93" t="s">
        <v>18652</v>
      </c>
      <c r="BD399" s="93" t="s">
        <v>22876</v>
      </c>
      <c r="BE399" s="87"/>
      <c r="BF399" s="87"/>
      <c r="BG399" s="87"/>
      <c r="BH399" s="87"/>
      <c r="BI399" s="87"/>
    </row>
    <row r="400" spans="1:61" x14ac:dyDescent="0.25">
      <c r="A400" s="63" t="s">
        <v>366</v>
      </c>
      <c r="B400" s="63" t="s">
        <v>366</v>
      </c>
      <c r="C400" s="64"/>
      <c r="D400" s="65"/>
      <c r="E400" s="66"/>
      <c r="F400" s="67"/>
      <c r="G400" s="64"/>
      <c r="H400" s="68"/>
      <c r="I400" s="69"/>
      <c r="J400" s="69"/>
      <c r="K400" s="32"/>
      <c r="L400" s="76">
        <v>400</v>
      </c>
      <c r="M400" s="76"/>
      <c r="N400" s="71"/>
      <c r="O400" s="87" t="s">
        <v>179</v>
      </c>
      <c r="P400" s="90">
        <v>45113.580462962964</v>
      </c>
      <c r="Q400" s="87" t="s">
        <v>2233</v>
      </c>
      <c r="R400" s="87">
        <v>0</v>
      </c>
      <c r="S400" s="87">
        <v>1</v>
      </c>
      <c r="T400" s="87">
        <v>0</v>
      </c>
      <c r="U400" s="87">
        <v>0</v>
      </c>
      <c r="V400" s="87">
        <v>43</v>
      </c>
      <c r="W400" s="93" t="s">
        <v>5897</v>
      </c>
      <c r="X400" s="87"/>
      <c r="Y400" s="87"/>
      <c r="Z400" s="87"/>
      <c r="AA400" s="87" t="s">
        <v>8911</v>
      </c>
      <c r="AB400" s="87" t="s">
        <v>11451</v>
      </c>
      <c r="AC400" s="93" t="s">
        <v>11457</v>
      </c>
      <c r="AD400" s="87" t="s">
        <v>11519</v>
      </c>
      <c r="AE400" s="92" t="str">
        <f>HYPERLINK("https://twitter.com/glitchkitschas/status/1676953109862707200")</f>
        <v>https://twitter.com/glitchkitschas/status/1676953109862707200</v>
      </c>
      <c r="AF400" s="90">
        <v>45113.580462962964</v>
      </c>
      <c r="AG400" s="99">
        <v>45113</v>
      </c>
      <c r="AH400" s="93" t="s">
        <v>11910</v>
      </c>
      <c r="AI400" s="87" t="b">
        <v>0</v>
      </c>
      <c r="AJ400" s="87"/>
      <c r="AK400" s="87"/>
      <c r="AL400" s="87"/>
      <c r="AM400" s="87"/>
      <c r="AN400" s="87"/>
      <c r="AO400" s="87"/>
      <c r="AP400" s="87"/>
      <c r="AQ400" s="87" t="s">
        <v>15724</v>
      </c>
      <c r="AR400" s="87"/>
      <c r="AS400" s="87"/>
      <c r="AT400" s="87"/>
      <c r="AU400" s="87"/>
      <c r="AV400" s="92" t="str">
        <f>HYPERLINK("https://pbs.twimg.com/media/F0W7r-0aQAEovrR.jpg")</f>
        <v>https://pbs.twimg.com/media/F0W7r-0aQAEovrR.jpg</v>
      </c>
      <c r="AW400" s="93" t="s">
        <v>18653</v>
      </c>
      <c r="AX400" s="93" t="s">
        <v>18653</v>
      </c>
      <c r="AY400" s="87"/>
      <c r="AZ400" s="93" t="s">
        <v>22668</v>
      </c>
      <c r="BA400" s="93" t="s">
        <v>22668</v>
      </c>
      <c r="BB400" s="93" t="s">
        <v>22668</v>
      </c>
      <c r="BC400" s="93" t="s">
        <v>18653</v>
      </c>
      <c r="BD400" s="93" t="s">
        <v>22877</v>
      </c>
      <c r="BE400" s="87"/>
      <c r="BF400" s="87"/>
      <c r="BG400" s="87"/>
      <c r="BH400" s="87"/>
      <c r="BI400" s="87"/>
    </row>
    <row r="401" spans="1:61" x14ac:dyDescent="0.25">
      <c r="A401" s="63" t="s">
        <v>367</v>
      </c>
      <c r="B401" s="63" t="s">
        <v>367</v>
      </c>
      <c r="C401" s="64"/>
      <c r="D401" s="65"/>
      <c r="E401" s="66"/>
      <c r="F401" s="67"/>
      <c r="G401" s="64"/>
      <c r="H401" s="68"/>
      <c r="I401" s="69"/>
      <c r="J401" s="69"/>
      <c r="K401" s="32"/>
      <c r="L401" s="76">
        <v>401</v>
      </c>
      <c r="M401" s="76"/>
      <c r="N401" s="71"/>
      <c r="O401" s="87" t="s">
        <v>179</v>
      </c>
      <c r="P401" s="90">
        <v>45145.598680555559</v>
      </c>
      <c r="Q401" s="87" t="s">
        <v>2234</v>
      </c>
      <c r="R401" s="87">
        <v>0</v>
      </c>
      <c r="S401" s="87">
        <v>1</v>
      </c>
      <c r="T401" s="87">
        <v>0</v>
      </c>
      <c r="U401" s="87">
        <v>0</v>
      </c>
      <c r="V401" s="87">
        <v>10</v>
      </c>
      <c r="W401" s="93" t="s">
        <v>6154</v>
      </c>
      <c r="X401" s="92" t="str">
        <f>HYPERLINK("https://www.instagram.com/p/Cvm7c75OkXO/")</f>
        <v>https://www.instagram.com/p/Cvm7c75OkXO/</v>
      </c>
      <c r="Y401" s="87" t="s">
        <v>8383</v>
      </c>
      <c r="Z401" s="87"/>
      <c r="AA401" s="87" t="s">
        <v>8912</v>
      </c>
      <c r="AB401" s="87" t="s">
        <v>11448</v>
      </c>
      <c r="AC401" s="93" t="s">
        <v>11462</v>
      </c>
      <c r="AD401" s="87" t="s">
        <v>11519</v>
      </c>
      <c r="AE401" s="92" t="str">
        <f>HYPERLINK("https://twitter.com/fabysampaio_1/status/1688556123299655680")</f>
        <v>https://twitter.com/fabysampaio_1/status/1688556123299655680</v>
      </c>
      <c r="AF401" s="90">
        <v>45145.598680555559</v>
      </c>
      <c r="AG401" s="99">
        <v>45145</v>
      </c>
      <c r="AH401" s="93" t="s">
        <v>11911</v>
      </c>
      <c r="AI401" s="87" t="b">
        <v>0</v>
      </c>
      <c r="AJ401" s="87"/>
      <c r="AK401" s="87"/>
      <c r="AL401" s="87"/>
      <c r="AM401" s="87"/>
      <c r="AN401" s="87"/>
      <c r="AO401" s="87"/>
      <c r="AP401" s="87"/>
      <c r="AQ401" s="87" t="s">
        <v>15725</v>
      </c>
      <c r="AR401" s="87"/>
      <c r="AS401" s="87"/>
      <c r="AT401" s="87"/>
      <c r="AU401" s="87"/>
      <c r="AV401" s="92" t="str">
        <f>HYPERLINK("https://pbs.twimg.com/media/F2702JvWwAA2Sua.jpg")</f>
        <v>https://pbs.twimg.com/media/F2702JvWwAA2Sua.jpg</v>
      </c>
      <c r="AW401" s="93" t="s">
        <v>18654</v>
      </c>
      <c r="AX401" s="93" t="s">
        <v>18654</v>
      </c>
      <c r="AY401" s="87"/>
      <c r="AZ401" s="93" t="s">
        <v>22668</v>
      </c>
      <c r="BA401" s="93" t="s">
        <v>22668</v>
      </c>
      <c r="BB401" s="93" t="s">
        <v>22668</v>
      </c>
      <c r="BC401" s="93" t="s">
        <v>18654</v>
      </c>
      <c r="BD401" s="93" t="s">
        <v>22878</v>
      </c>
      <c r="BE401" s="87"/>
      <c r="BF401" s="87"/>
      <c r="BG401" s="87"/>
      <c r="BH401" s="87"/>
      <c r="BI401" s="87"/>
    </row>
    <row r="402" spans="1:61" x14ac:dyDescent="0.25">
      <c r="A402" s="63" t="s">
        <v>367</v>
      </c>
      <c r="B402" s="63" t="s">
        <v>367</v>
      </c>
      <c r="C402" s="64"/>
      <c r="D402" s="65"/>
      <c r="E402" s="66"/>
      <c r="F402" s="67"/>
      <c r="G402" s="64"/>
      <c r="H402" s="68"/>
      <c r="I402" s="69"/>
      <c r="J402" s="69"/>
      <c r="K402" s="32"/>
      <c r="L402" s="76">
        <v>402</v>
      </c>
      <c r="M402" s="76"/>
      <c r="N402" s="71"/>
      <c r="O402" s="87" t="s">
        <v>179</v>
      </c>
      <c r="P402" s="90">
        <v>45142.623425925929</v>
      </c>
      <c r="Q402" s="87" t="s">
        <v>2235</v>
      </c>
      <c r="R402" s="87">
        <v>0</v>
      </c>
      <c r="S402" s="87">
        <v>0</v>
      </c>
      <c r="T402" s="87">
        <v>1</v>
      </c>
      <c r="U402" s="87">
        <v>0</v>
      </c>
      <c r="V402" s="87">
        <v>7</v>
      </c>
      <c r="W402" s="93" t="s">
        <v>6155</v>
      </c>
      <c r="X402" s="87"/>
      <c r="Y402" s="87"/>
      <c r="Z402" s="87"/>
      <c r="AA402" s="87" t="s">
        <v>8913</v>
      </c>
      <c r="AB402" s="87" t="s">
        <v>11449</v>
      </c>
      <c r="AC402" s="93" t="s">
        <v>11457</v>
      </c>
      <c r="AD402" s="87" t="s">
        <v>11519</v>
      </c>
      <c r="AE402" s="92" t="str">
        <f>HYPERLINK("https://twitter.com/fabysampaio_1/status/1687477926978113537")</f>
        <v>https://twitter.com/fabysampaio_1/status/1687477926978113537</v>
      </c>
      <c r="AF402" s="90">
        <v>45142.623425925929</v>
      </c>
      <c r="AG402" s="99">
        <v>45142</v>
      </c>
      <c r="AH402" s="93" t="s">
        <v>11912</v>
      </c>
      <c r="AI402" s="87" t="b">
        <v>0</v>
      </c>
      <c r="AJ402" s="87"/>
      <c r="AK402" s="87"/>
      <c r="AL402" s="87"/>
      <c r="AM402" s="87"/>
      <c r="AN402" s="87"/>
      <c r="AO402" s="87"/>
      <c r="AP402" s="87"/>
      <c r="AQ402" s="87" t="s">
        <v>15726</v>
      </c>
      <c r="AR402" s="87"/>
      <c r="AS402" s="87"/>
      <c r="AT402" s="87"/>
      <c r="AU402" s="87"/>
      <c r="AV402" s="92" t="str">
        <f>HYPERLINK("https://pbs.twimg.com/media/F2sgJ2hXMAAbquc.jpg")</f>
        <v>https://pbs.twimg.com/media/F2sgJ2hXMAAbquc.jpg</v>
      </c>
      <c r="AW402" s="93" t="s">
        <v>18655</v>
      </c>
      <c r="AX402" s="93" t="s">
        <v>18655</v>
      </c>
      <c r="AY402" s="87"/>
      <c r="AZ402" s="93" t="s">
        <v>22668</v>
      </c>
      <c r="BA402" s="93" t="s">
        <v>22668</v>
      </c>
      <c r="BB402" s="93" t="s">
        <v>22668</v>
      </c>
      <c r="BC402" s="93" t="s">
        <v>18655</v>
      </c>
      <c r="BD402" s="93" t="s">
        <v>22878</v>
      </c>
      <c r="BE402" s="87"/>
      <c r="BF402" s="87"/>
      <c r="BG402" s="87"/>
      <c r="BH402" s="87"/>
      <c r="BI402" s="87"/>
    </row>
    <row r="403" spans="1:61" x14ac:dyDescent="0.25">
      <c r="A403" s="63" t="s">
        <v>367</v>
      </c>
      <c r="B403" s="63" t="s">
        <v>367</v>
      </c>
      <c r="C403" s="64"/>
      <c r="D403" s="65"/>
      <c r="E403" s="66"/>
      <c r="F403" s="67"/>
      <c r="G403" s="64"/>
      <c r="H403" s="68"/>
      <c r="I403" s="69"/>
      <c r="J403" s="69"/>
      <c r="K403" s="32"/>
      <c r="L403" s="76">
        <v>403</v>
      </c>
      <c r="M403" s="76"/>
      <c r="N403" s="71"/>
      <c r="O403" s="87" t="s">
        <v>179</v>
      </c>
      <c r="P403" s="90">
        <v>45141.869039351855</v>
      </c>
      <c r="Q403" s="87" t="s">
        <v>2236</v>
      </c>
      <c r="R403" s="87">
        <v>0</v>
      </c>
      <c r="S403" s="87">
        <v>0</v>
      </c>
      <c r="T403" s="87">
        <v>0</v>
      </c>
      <c r="U403" s="87">
        <v>0</v>
      </c>
      <c r="V403" s="87">
        <v>9</v>
      </c>
      <c r="W403" s="93" t="s">
        <v>6156</v>
      </c>
      <c r="X403" s="87"/>
      <c r="Y403" s="87"/>
      <c r="Z403" s="87"/>
      <c r="AA403" s="87" t="s">
        <v>8914</v>
      </c>
      <c r="AB403" s="87" t="s">
        <v>11447</v>
      </c>
      <c r="AC403" s="93" t="s">
        <v>11462</v>
      </c>
      <c r="AD403" s="87" t="s">
        <v>11519</v>
      </c>
      <c r="AE403" s="92" t="str">
        <f>HYPERLINK("https://twitter.com/fabysampaio_1/status/1687204546676678656")</f>
        <v>https://twitter.com/fabysampaio_1/status/1687204546676678656</v>
      </c>
      <c r="AF403" s="90">
        <v>45141.869039351855</v>
      </c>
      <c r="AG403" s="99">
        <v>45141</v>
      </c>
      <c r="AH403" s="93" t="s">
        <v>11913</v>
      </c>
      <c r="AI403" s="87" t="b">
        <v>0</v>
      </c>
      <c r="AJ403" s="87"/>
      <c r="AK403" s="87"/>
      <c r="AL403" s="87"/>
      <c r="AM403" s="87"/>
      <c r="AN403" s="87"/>
      <c r="AO403" s="87"/>
      <c r="AP403" s="87"/>
      <c r="AQ403" s="87" t="s">
        <v>15727</v>
      </c>
      <c r="AR403" s="87">
        <v>52766</v>
      </c>
      <c r="AS403" s="87"/>
      <c r="AT403" s="87"/>
      <c r="AU403" s="87"/>
      <c r="AV403" s="92" t="str">
        <f>HYPERLINK("https://pbs.twimg.com/ext_tw_video_thumb/1687204494830944256/pu/img/kF0CImcUBavRiCpG.jpg")</f>
        <v>https://pbs.twimg.com/ext_tw_video_thumb/1687204494830944256/pu/img/kF0CImcUBavRiCpG.jpg</v>
      </c>
      <c r="AW403" s="93" t="s">
        <v>18656</v>
      </c>
      <c r="AX403" s="93" t="s">
        <v>18656</v>
      </c>
      <c r="AY403" s="87"/>
      <c r="AZ403" s="93" t="s">
        <v>22668</v>
      </c>
      <c r="BA403" s="93" t="s">
        <v>22668</v>
      </c>
      <c r="BB403" s="93" t="s">
        <v>22668</v>
      </c>
      <c r="BC403" s="93" t="s">
        <v>18656</v>
      </c>
      <c r="BD403" s="93" t="s">
        <v>22878</v>
      </c>
      <c r="BE403" s="87"/>
      <c r="BF403" s="87"/>
      <c r="BG403" s="87"/>
      <c r="BH403" s="87"/>
      <c r="BI403" s="87"/>
    </row>
    <row r="404" spans="1:61" x14ac:dyDescent="0.25">
      <c r="A404" s="63" t="s">
        <v>367</v>
      </c>
      <c r="B404" s="63" t="s">
        <v>367</v>
      </c>
      <c r="C404" s="64"/>
      <c r="D404" s="65"/>
      <c r="E404" s="66"/>
      <c r="F404" s="67"/>
      <c r="G404" s="64"/>
      <c r="H404" s="68"/>
      <c r="I404" s="69"/>
      <c r="J404" s="69"/>
      <c r="K404" s="32"/>
      <c r="L404" s="76">
        <v>404</v>
      </c>
      <c r="M404" s="76"/>
      <c r="N404" s="71"/>
      <c r="O404" s="87" t="s">
        <v>179</v>
      </c>
      <c r="P404" s="90">
        <v>45141.861192129632</v>
      </c>
      <c r="Q404" s="87" t="s">
        <v>2237</v>
      </c>
      <c r="R404" s="87">
        <v>0</v>
      </c>
      <c r="S404" s="87">
        <v>0</v>
      </c>
      <c r="T404" s="87">
        <v>0</v>
      </c>
      <c r="U404" s="87">
        <v>0</v>
      </c>
      <c r="V404" s="87">
        <v>4</v>
      </c>
      <c r="W404" s="93" t="s">
        <v>6157</v>
      </c>
      <c r="X404" s="87"/>
      <c r="Y404" s="87"/>
      <c r="Z404" s="87"/>
      <c r="AA404" s="87" t="s">
        <v>8915</v>
      </c>
      <c r="AB404" s="87" t="s">
        <v>11448</v>
      </c>
      <c r="AC404" s="93" t="s">
        <v>11462</v>
      </c>
      <c r="AD404" s="87" t="s">
        <v>11519</v>
      </c>
      <c r="AE404" s="92" t="str">
        <f>HYPERLINK("https://twitter.com/fabysampaio_1/status/1687201704012283904")</f>
        <v>https://twitter.com/fabysampaio_1/status/1687201704012283904</v>
      </c>
      <c r="AF404" s="90">
        <v>45141.861192129632</v>
      </c>
      <c r="AG404" s="99">
        <v>45141</v>
      </c>
      <c r="AH404" s="93" t="s">
        <v>11914</v>
      </c>
      <c r="AI404" s="87" t="b">
        <v>0</v>
      </c>
      <c r="AJ404" s="87"/>
      <c r="AK404" s="87"/>
      <c r="AL404" s="87"/>
      <c r="AM404" s="87"/>
      <c r="AN404" s="87"/>
      <c r="AO404" s="87"/>
      <c r="AP404" s="87"/>
      <c r="AQ404" s="87" t="s">
        <v>15728</v>
      </c>
      <c r="AR404" s="87"/>
      <c r="AS404" s="87"/>
      <c r="AT404" s="87"/>
      <c r="AU404" s="87"/>
      <c r="AV404" s="92" t="str">
        <f>HYPERLINK("https://pbs.twimg.com/media/F2olAi8WQAA3ed5.jpg")</f>
        <v>https://pbs.twimg.com/media/F2olAi8WQAA3ed5.jpg</v>
      </c>
      <c r="AW404" s="93" t="s">
        <v>18657</v>
      </c>
      <c r="AX404" s="93" t="s">
        <v>18657</v>
      </c>
      <c r="AY404" s="87"/>
      <c r="AZ404" s="93" t="s">
        <v>22668</v>
      </c>
      <c r="BA404" s="93" t="s">
        <v>22668</v>
      </c>
      <c r="BB404" s="93" t="s">
        <v>22668</v>
      </c>
      <c r="BC404" s="93" t="s">
        <v>18657</v>
      </c>
      <c r="BD404" s="93" t="s">
        <v>22878</v>
      </c>
      <c r="BE404" s="87"/>
      <c r="BF404" s="87"/>
      <c r="BG404" s="87"/>
      <c r="BH404" s="87"/>
      <c r="BI404" s="87"/>
    </row>
    <row r="405" spans="1:61" x14ac:dyDescent="0.25">
      <c r="A405" s="63" t="s">
        <v>367</v>
      </c>
      <c r="B405" s="63" t="s">
        <v>367</v>
      </c>
      <c r="C405" s="64"/>
      <c r="D405" s="65"/>
      <c r="E405" s="66"/>
      <c r="F405" s="67"/>
      <c r="G405" s="64"/>
      <c r="H405" s="68"/>
      <c r="I405" s="69"/>
      <c r="J405" s="69"/>
      <c r="K405" s="32"/>
      <c r="L405" s="76">
        <v>405</v>
      </c>
      <c r="M405" s="76"/>
      <c r="N405" s="71"/>
      <c r="O405" s="87" t="s">
        <v>179</v>
      </c>
      <c r="P405" s="90">
        <v>45141.854942129627</v>
      </c>
      <c r="Q405" s="87" t="s">
        <v>2238</v>
      </c>
      <c r="R405" s="87">
        <v>0</v>
      </c>
      <c r="S405" s="87">
        <v>0</v>
      </c>
      <c r="T405" s="87">
        <v>0</v>
      </c>
      <c r="U405" s="87">
        <v>0</v>
      </c>
      <c r="V405" s="87">
        <v>4</v>
      </c>
      <c r="W405" s="93" t="s">
        <v>6158</v>
      </c>
      <c r="X405" s="87"/>
      <c r="Y405" s="87"/>
      <c r="Z405" s="87"/>
      <c r="AA405" s="87" t="s">
        <v>8916</v>
      </c>
      <c r="AB405" s="87" t="s">
        <v>11448</v>
      </c>
      <c r="AC405" s="93" t="s">
        <v>11462</v>
      </c>
      <c r="AD405" s="87" t="s">
        <v>11519</v>
      </c>
      <c r="AE405" s="92" t="str">
        <f>HYPERLINK("https://twitter.com/fabysampaio_1/status/1687199440514232321")</f>
        <v>https://twitter.com/fabysampaio_1/status/1687199440514232321</v>
      </c>
      <c r="AF405" s="90">
        <v>45141.854942129627</v>
      </c>
      <c r="AG405" s="99">
        <v>45141</v>
      </c>
      <c r="AH405" s="93" t="s">
        <v>11915</v>
      </c>
      <c r="AI405" s="87" t="b">
        <v>0</v>
      </c>
      <c r="AJ405" s="87"/>
      <c r="AK405" s="87"/>
      <c r="AL405" s="87"/>
      <c r="AM405" s="87"/>
      <c r="AN405" s="87"/>
      <c r="AO405" s="87"/>
      <c r="AP405" s="87"/>
      <c r="AQ405" s="87" t="s">
        <v>15729</v>
      </c>
      <c r="AR405" s="87"/>
      <c r="AS405" s="87"/>
      <c r="AT405" s="87"/>
      <c r="AU405" s="87"/>
      <c r="AV405" s="92" t="str">
        <f>HYPERLINK("https://pbs.twimg.com/media/F2oi80ZXEAEcSiC.jpg")</f>
        <v>https://pbs.twimg.com/media/F2oi80ZXEAEcSiC.jpg</v>
      </c>
      <c r="AW405" s="93" t="s">
        <v>18658</v>
      </c>
      <c r="AX405" s="93" t="s">
        <v>18658</v>
      </c>
      <c r="AY405" s="87"/>
      <c r="AZ405" s="93" t="s">
        <v>22668</v>
      </c>
      <c r="BA405" s="93" t="s">
        <v>22668</v>
      </c>
      <c r="BB405" s="93" t="s">
        <v>22668</v>
      </c>
      <c r="BC405" s="93" t="s">
        <v>18658</v>
      </c>
      <c r="BD405" s="93" t="s">
        <v>22878</v>
      </c>
      <c r="BE405" s="87"/>
      <c r="BF405" s="87"/>
      <c r="BG405" s="87"/>
      <c r="BH405" s="87"/>
      <c r="BI405" s="87"/>
    </row>
    <row r="406" spans="1:61" x14ac:dyDescent="0.25">
      <c r="A406" s="63" t="s">
        <v>367</v>
      </c>
      <c r="B406" s="63" t="s">
        <v>367</v>
      </c>
      <c r="C406" s="64"/>
      <c r="D406" s="65"/>
      <c r="E406" s="66"/>
      <c r="F406" s="67"/>
      <c r="G406" s="64"/>
      <c r="H406" s="68"/>
      <c r="I406" s="69"/>
      <c r="J406" s="69"/>
      <c r="K406" s="32"/>
      <c r="L406" s="76">
        <v>406</v>
      </c>
      <c r="M406" s="76"/>
      <c r="N406" s="71"/>
      <c r="O406" s="87" t="s">
        <v>179</v>
      </c>
      <c r="P406" s="90">
        <v>45152.720960648148</v>
      </c>
      <c r="Q406" s="87" t="s">
        <v>2239</v>
      </c>
      <c r="R406" s="87">
        <v>0</v>
      </c>
      <c r="S406" s="87">
        <v>0</v>
      </c>
      <c r="T406" s="87">
        <v>0</v>
      </c>
      <c r="U406" s="87">
        <v>0</v>
      </c>
      <c r="V406" s="87">
        <v>5</v>
      </c>
      <c r="W406" s="93" t="s">
        <v>6159</v>
      </c>
      <c r="X406" s="87"/>
      <c r="Y406" s="87"/>
      <c r="Z406" s="87"/>
      <c r="AA406" s="87" t="s">
        <v>8917</v>
      </c>
      <c r="AB406" s="87" t="s">
        <v>11448</v>
      </c>
      <c r="AC406" s="93" t="s">
        <v>11462</v>
      </c>
      <c r="AD406" s="87" t="s">
        <v>11519</v>
      </c>
      <c r="AE406" s="92" t="str">
        <f>HYPERLINK("https://twitter.com/fabysampaio_1/status/1691137151100923907")</f>
        <v>https://twitter.com/fabysampaio_1/status/1691137151100923907</v>
      </c>
      <c r="AF406" s="90">
        <v>45152.720960648148</v>
      </c>
      <c r="AG406" s="99">
        <v>45152</v>
      </c>
      <c r="AH406" s="93" t="s">
        <v>11916</v>
      </c>
      <c r="AI406" s="87" t="b">
        <v>0</v>
      </c>
      <c r="AJ406" s="87"/>
      <c r="AK406" s="87"/>
      <c r="AL406" s="87"/>
      <c r="AM406" s="87"/>
      <c r="AN406" s="87"/>
      <c r="AO406" s="87"/>
      <c r="AP406" s="87"/>
      <c r="AQ406" s="87" t="s">
        <v>15730</v>
      </c>
      <c r="AR406" s="87"/>
      <c r="AS406" s="87"/>
      <c r="AT406" s="87"/>
      <c r="AU406" s="87"/>
      <c r="AV406" s="92" t="str">
        <f>HYPERLINK("https://pbs.twimg.com/media/F3ggRv2WMAsm-C4.jpg")</f>
        <v>https://pbs.twimg.com/media/F3ggRv2WMAsm-C4.jpg</v>
      </c>
      <c r="AW406" s="93" t="s">
        <v>18659</v>
      </c>
      <c r="AX406" s="93" t="s">
        <v>18659</v>
      </c>
      <c r="AY406" s="87"/>
      <c r="AZ406" s="93" t="s">
        <v>22668</v>
      </c>
      <c r="BA406" s="93" t="s">
        <v>22668</v>
      </c>
      <c r="BB406" s="93" t="s">
        <v>22668</v>
      </c>
      <c r="BC406" s="93" t="s">
        <v>18659</v>
      </c>
      <c r="BD406" s="93" t="s">
        <v>22878</v>
      </c>
      <c r="BE406" s="87"/>
      <c r="BF406" s="87"/>
      <c r="BG406" s="87"/>
      <c r="BH406" s="87"/>
      <c r="BI406" s="87"/>
    </row>
    <row r="407" spans="1:61" x14ac:dyDescent="0.25">
      <c r="A407" s="63" t="s">
        <v>367</v>
      </c>
      <c r="B407" s="63" t="s">
        <v>367</v>
      </c>
      <c r="C407" s="64"/>
      <c r="D407" s="65"/>
      <c r="E407" s="66"/>
      <c r="F407" s="67"/>
      <c r="G407" s="64"/>
      <c r="H407" s="68"/>
      <c r="I407" s="69"/>
      <c r="J407" s="69"/>
      <c r="K407" s="32"/>
      <c r="L407" s="76">
        <v>407</v>
      </c>
      <c r="M407" s="76"/>
      <c r="N407" s="71"/>
      <c r="O407" s="87" t="s">
        <v>179</v>
      </c>
      <c r="P407" s="90">
        <v>45183.841967592591</v>
      </c>
      <c r="Q407" s="87" t="s">
        <v>2240</v>
      </c>
      <c r="R407" s="87">
        <v>0</v>
      </c>
      <c r="S407" s="87">
        <v>0</v>
      </c>
      <c r="T407" s="87">
        <v>1</v>
      </c>
      <c r="U407" s="87">
        <v>0</v>
      </c>
      <c r="V407" s="87">
        <v>6</v>
      </c>
      <c r="W407" s="93" t="s">
        <v>6160</v>
      </c>
      <c r="X407" s="87"/>
      <c r="Y407" s="87"/>
      <c r="Z407" s="87"/>
      <c r="AA407" s="87" t="s">
        <v>8918</v>
      </c>
      <c r="AB407" s="87" t="s">
        <v>11449</v>
      </c>
      <c r="AC407" s="93" t="s">
        <v>11457</v>
      </c>
      <c r="AD407" s="87" t="s">
        <v>11519</v>
      </c>
      <c r="AE407" s="92" t="str">
        <f>HYPERLINK("https://twitter.com/fabysampaio_1/status/1702415025330159683")</f>
        <v>https://twitter.com/fabysampaio_1/status/1702415025330159683</v>
      </c>
      <c r="AF407" s="90">
        <v>45183.841967592591</v>
      </c>
      <c r="AG407" s="99">
        <v>45183</v>
      </c>
      <c r="AH407" s="93" t="s">
        <v>11917</v>
      </c>
      <c r="AI407" s="87" t="b">
        <v>0</v>
      </c>
      <c r="AJ407" s="87"/>
      <c r="AK407" s="87"/>
      <c r="AL407" s="87"/>
      <c r="AM407" s="87"/>
      <c r="AN407" s="87"/>
      <c r="AO407" s="87"/>
      <c r="AP407" s="87"/>
      <c r="AQ407" s="87" t="s">
        <v>15731</v>
      </c>
      <c r="AR407" s="87"/>
      <c r="AS407" s="87"/>
      <c r="AT407" s="87"/>
      <c r="AU407" s="87"/>
      <c r="AV407" s="92" t="str">
        <f>HYPERLINK("https://pbs.twimg.com/media/F6AxPEdXcAAtu64.jpg")</f>
        <v>https://pbs.twimg.com/media/F6AxPEdXcAAtu64.jpg</v>
      </c>
      <c r="AW407" s="93" t="s">
        <v>18660</v>
      </c>
      <c r="AX407" s="93" t="s">
        <v>18660</v>
      </c>
      <c r="AY407" s="87"/>
      <c r="AZ407" s="93" t="s">
        <v>22668</v>
      </c>
      <c r="BA407" s="93" t="s">
        <v>22668</v>
      </c>
      <c r="BB407" s="93" t="s">
        <v>22668</v>
      </c>
      <c r="BC407" s="93" t="s">
        <v>18660</v>
      </c>
      <c r="BD407" s="93" t="s">
        <v>22878</v>
      </c>
      <c r="BE407" s="87"/>
      <c r="BF407" s="87"/>
      <c r="BG407" s="87"/>
      <c r="BH407" s="87"/>
      <c r="BI407" s="87"/>
    </row>
    <row r="408" spans="1:61" x14ac:dyDescent="0.25">
      <c r="A408" s="63" t="s">
        <v>367</v>
      </c>
      <c r="B408" s="63" t="s">
        <v>367</v>
      </c>
      <c r="C408" s="64"/>
      <c r="D408" s="65"/>
      <c r="E408" s="66"/>
      <c r="F408" s="67"/>
      <c r="G408" s="64"/>
      <c r="H408" s="68"/>
      <c r="I408" s="69"/>
      <c r="J408" s="69"/>
      <c r="K408" s="32"/>
      <c r="L408" s="76">
        <v>408</v>
      </c>
      <c r="M408" s="76"/>
      <c r="N408" s="71"/>
      <c r="O408" s="87" t="s">
        <v>179</v>
      </c>
      <c r="P408" s="90">
        <v>45142.735509259262</v>
      </c>
      <c r="Q408" s="87" t="s">
        <v>2241</v>
      </c>
      <c r="R408" s="87">
        <v>0</v>
      </c>
      <c r="S408" s="87">
        <v>0</v>
      </c>
      <c r="T408" s="87">
        <v>1</v>
      </c>
      <c r="U408" s="87">
        <v>0</v>
      </c>
      <c r="V408" s="87">
        <v>8</v>
      </c>
      <c r="W408" s="93" t="s">
        <v>6158</v>
      </c>
      <c r="X408" s="87"/>
      <c r="Y408" s="87"/>
      <c r="Z408" s="87"/>
      <c r="AA408" s="87" t="s">
        <v>8919</v>
      </c>
      <c r="AB408" s="87" t="s">
        <v>11449</v>
      </c>
      <c r="AC408" s="93" t="s">
        <v>11457</v>
      </c>
      <c r="AD408" s="87" t="s">
        <v>11519</v>
      </c>
      <c r="AE408" s="92" t="str">
        <f>HYPERLINK("https://twitter.com/fabysampaio_1/status/1687518544966144007")</f>
        <v>https://twitter.com/fabysampaio_1/status/1687518544966144007</v>
      </c>
      <c r="AF408" s="90">
        <v>45142.735509259262</v>
      </c>
      <c r="AG408" s="99">
        <v>45142</v>
      </c>
      <c r="AH408" s="93" t="s">
        <v>11918</v>
      </c>
      <c r="AI408" s="87" t="b">
        <v>0</v>
      </c>
      <c r="AJ408" s="87"/>
      <c r="AK408" s="87"/>
      <c r="AL408" s="87"/>
      <c r="AM408" s="87"/>
      <c r="AN408" s="87"/>
      <c r="AO408" s="87"/>
      <c r="AP408" s="87"/>
      <c r="AQ408" s="87" t="s">
        <v>15732</v>
      </c>
      <c r="AR408" s="87"/>
      <c r="AS408" s="87"/>
      <c r="AT408" s="87"/>
      <c r="AU408" s="87"/>
      <c r="AV408" s="92" t="str">
        <f>HYPERLINK("https://pbs.twimg.com/media/F2tFHyGXUAQw51n.jpg")</f>
        <v>https://pbs.twimg.com/media/F2tFHyGXUAQw51n.jpg</v>
      </c>
      <c r="AW408" s="93" t="s">
        <v>18661</v>
      </c>
      <c r="AX408" s="93" t="s">
        <v>18661</v>
      </c>
      <c r="AY408" s="87"/>
      <c r="AZ408" s="93" t="s">
        <v>22668</v>
      </c>
      <c r="BA408" s="93" t="s">
        <v>22668</v>
      </c>
      <c r="BB408" s="93" t="s">
        <v>22668</v>
      </c>
      <c r="BC408" s="93" t="s">
        <v>18661</v>
      </c>
      <c r="BD408" s="93" t="s">
        <v>22878</v>
      </c>
      <c r="BE408" s="87"/>
      <c r="BF408" s="87"/>
      <c r="BG408" s="87"/>
      <c r="BH408" s="87"/>
      <c r="BI408" s="87"/>
    </row>
    <row r="409" spans="1:61" x14ac:dyDescent="0.25">
      <c r="A409" s="63" t="s">
        <v>367</v>
      </c>
      <c r="B409" s="63" t="s">
        <v>367</v>
      </c>
      <c r="C409" s="64"/>
      <c r="D409" s="65"/>
      <c r="E409" s="66"/>
      <c r="F409" s="67"/>
      <c r="G409" s="64"/>
      <c r="H409" s="68"/>
      <c r="I409" s="69"/>
      <c r="J409" s="69"/>
      <c r="K409" s="32"/>
      <c r="L409" s="76">
        <v>409</v>
      </c>
      <c r="M409" s="76"/>
      <c r="N409" s="71"/>
      <c r="O409" s="87" t="s">
        <v>179</v>
      </c>
      <c r="P409" s="90">
        <v>45194.823240740741</v>
      </c>
      <c r="Q409" s="87" t="s">
        <v>2242</v>
      </c>
      <c r="R409" s="87">
        <v>0</v>
      </c>
      <c r="S409" s="87">
        <v>0</v>
      </c>
      <c r="T409" s="87">
        <v>0</v>
      </c>
      <c r="U409" s="87">
        <v>0</v>
      </c>
      <c r="V409" s="87">
        <v>2</v>
      </c>
      <c r="W409" s="93" t="s">
        <v>5897</v>
      </c>
      <c r="X409" s="92" t="str">
        <f>HYPERLINK("https://www.instagram.com/p/Cxn3BU1rY1Z/")</f>
        <v>https://www.instagram.com/p/Cxn3BU1rY1Z/</v>
      </c>
      <c r="Y409" s="87" t="s">
        <v>8383</v>
      </c>
      <c r="Z409" s="87"/>
      <c r="AA409" s="87" t="s">
        <v>8920</v>
      </c>
      <c r="AB409" s="87" t="s">
        <v>11447</v>
      </c>
      <c r="AC409" s="93" t="s">
        <v>11462</v>
      </c>
      <c r="AD409" s="87" t="s">
        <v>11519</v>
      </c>
      <c r="AE409" s="92" t="str">
        <f>HYPERLINK("https://twitter.com/fabysampaio_1/status/1706394509142114451")</f>
        <v>https://twitter.com/fabysampaio_1/status/1706394509142114451</v>
      </c>
      <c r="AF409" s="90">
        <v>45194.823240740741</v>
      </c>
      <c r="AG409" s="99">
        <v>45194</v>
      </c>
      <c r="AH409" s="93" t="s">
        <v>11919</v>
      </c>
      <c r="AI409" s="87" t="b">
        <v>0</v>
      </c>
      <c r="AJ409" s="87"/>
      <c r="AK409" s="87"/>
      <c r="AL409" s="87"/>
      <c r="AM409" s="87"/>
      <c r="AN409" s="87"/>
      <c r="AO409" s="87"/>
      <c r="AP409" s="87"/>
      <c r="AQ409" s="87" t="s">
        <v>15733</v>
      </c>
      <c r="AR409" s="87">
        <v>30000</v>
      </c>
      <c r="AS409" s="87"/>
      <c r="AT409" s="87"/>
      <c r="AU409" s="87"/>
      <c r="AV409" s="92" t="str">
        <f>HYPERLINK("https://pbs.twimg.com/ext_tw_video_thumb/1706394465177399296/pu/img/sbpk1Bby4o4RXpUy.jpg")</f>
        <v>https://pbs.twimg.com/ext_tw_video_thumb/1706394465177399296/pu/img/sbpk1Bby4o4RXpUy.jpg</v>
      </c>
      <c r="AW409" s="93" t="s">
        <v>18662</v>
      </c>
      <c r="AX409" s="93" t="s">
        <v>18662</v>
      </c>
      <c r="AY409" s="87"/>
      <c r="AZ409" s="93" t="s">
        <v>22668</v>
      </c>
      <c r="BA409" s="93" t="s">
        <v>22668</v>
      </c>
      <c r="BB409" s="93" t="s">
        <v>22668</v>
      </c>
      <c r="BC409" s="93" t="s">
        <v>18662</v>
      </c>
      <c r="BD409" s="93" t="s">
        <v>22878</v>
      </c>
      <c r="BE409" s="87"/>
      <c r="BF409" s="87"/>
      <c r="BG409" s="87"/>
      <c r="BH409" s="87"/>
      <c r="BI409" s="87"/>
    </row>
    <row r="410" spans="1:61" x14ac:dyDescent="0.25">
      <c r="A410" s="63" t="s">
        <v>368</v>
      </c>
      <c r="B410" s="63" t="s">
        <v>1632</v>
      </c>
      <c r="C410" s="64"/>
      <c r="D410" s="65"/>
      <c r="E410" s="66"/>
      <c r="F410" s="67"/>
      <c r="G410" s="64"/>
      <c r="H410" s="68"/>
      <c r="I410" s="69"/>
      <c r="J410" s="69"/>
      <c r="K410" s="32"/>
      <c r="L410" s="76">
        <v>410</v>
      </c>
      <c r="M410" s="76"/>
      <c r="N410" s="71"/>
      <c r="O410" s="87" t="s">
        <v>1839</v>
      </c>
      <c r="P410" s="90">
        <v>45111.615219907406</v>
      </c>
      <c r="Q410" s="87" t="s">
        <v>2243</v>
      </c>
      <c r="R410" s="87">
        <v>0</v>
      </c>
      <c r="S410" s="87">
        <v>0</v>
      </c>
      <c r="T410" s="87">
        <v>1</v>
      </c>
      <c r="U410" s="87">
        <v>0</v>
      </c>
      <c r="V410" s="87">
        <v>38</v>
      </c>
      <c r="W410" s="93" t="s">
        <v>6161</v>
      </c>
      <c r="X410" s="87"/>
      <c r="Y410" s="87"/>
      <c r="Z410" s="87" t="s">
        <v>1632</v>
      </c>
      <c r="AA410" s="87" t="s">
        <v>8921</v>
      </c>
      <c r="AB410" s="87" t="s">
        <v>11447</v>
      </c>
      <c r="AC410" s="93" t="s">
        <v>11460</v>
      </c>
      <c r="AD410" s="87" t="s">
        <v>11519</v>
      </c>
      <c r="AE410" s="92" t="str">
        <f>HYPERLINK("https://twitter.com/tomoliveirafc/status/1676240928959340545")</f>
        <v>https://twitter.com/tomoliveirafc/status/1676240928959340545</v>
      </c>
      <c r="AF410" s="90">
        <v>45111.615219907406</v>
      </c>
      <c r="AG410" s="99">
        <v>45111</v>
      </c>
      <c r="AH410" s="93" t="s">
        <v>11920</v>
      </c>
      <c r="AI410" s="87" t="b">
        <v>0</v>
      </c>
      <c r="AJ410" s="87"/>
      <c r="AK410" s="87"/>
      <c r="AL410" s="87"/>
      <c r="AM410" s="87"/>
      <c r="AN410" s="87"/>
      <c r="AO410" s="87"/>
      <c r="AP410" s="87"/>
      <c r="AQ410" s="87" t="s">
        <v>15734</v>
      </c>
      <c r="AR410" s="87">
        <v>8000</v>
      </c>
      <c r="AS410" s="87"/>
      <c r="AT410" s="87"/>
      <c r="AU410" s="87"/>
      <c r="AV410" s="92" t="str">
        <f>HYPERLINK("https://pbs.twimg.com/ext_tw_video_thumb/1676240841415745536/pu/img/Htv89oGNcuezuud5.jpg")</f>
        <v>https://pbs.twimg.com/ext_tw_video_thumb/1676240841415745536/pu/img/Htv89oGNcuezuud5.jpg</v>
      </c>
      <c r="AW410" s="93" t="s">
        <v>18663</v>
      </c>
      <c r="AX410" s="93" t="s">
        <v>18663</v>
      </c>
      <c r="AY410" s="87"/>
      <c r="AZ410" s="93" t="s">
        <v>22668</v>
      </c>
      <c r="BA410" s="93" t="s">
        <v>22668</v>
      </c>
      <c r="BB410" s="93" t="s">
        <v>22668</v>
      </c>
      <c r="BC410" s="93" t="s">
        <v>18663</v>
      </c>
      <c r="BD410" s="93" t="s">
        <v>22879</v>
      </c>
      <c r="BE410" s="87"/>
      <c r="BF410" s="87"/>
      <c r="BG410" s="87"/>
      <c r="BH410" s="87"/>
      <c r="BI410" s="87"/>
    </row>
    <row r="411" spans="1:61" x14ac:dyDescent="0.25">
      <c r="A411" s="63" t="s">
        <v>368</v>
      </c>
      <c r="B411" s="63" t="s">
        <v>1632</v>
      </c>
      <c r="C411" s="64"/>
      <c r="D411" s="65"/>
      <c r="E411" s="66"/>
      <c r="F411" s="67"/>
      <c r="G411" s="64"/>
      <c r="H411" s="68"/>
      <c r="I411" s="69"/>
      <c r="J411" s="69"/>
      <c r="K411" s="32"/>
      <c r="L411" s="76">
        <v>411</v>
      </c>
      <c r="M411" s="76"/>
      <c r="N411" s="71"/>
      <c r="O411" s="87" t="s">
        <v>1839</v>
      </c>
      <c r="P411" s="90">
        <v>45111.604733796295</v>
      </c>
      <c r="Q411" s="87" t="s">
        <v>2244</v>
      </c>
      <c r="R411" s="87">
        <v>0</v>
      </c>
      <c r="S411" s="87">
        <v>0</v>
      </c>
      <c r="T411" s="87">
        <v>0</v>
      </c>
      <c r="U411" s="87">
        <v>0</v>
      </c>
      <c r="V411" s="87">
        <v>6</v>
      </c>
      <c r="W411" s="93" t="s">
        <v>6161</v>
      </c>
      <c r="X411" s="87"/>
      <c r="Y411" s="87"/>
      <c r="Z411" s="87" t="s">
        <v>1632</v>
      </c>
      <c r="AA411" s="87" t="s">
        <v>8922</v>
      </c>
      <c r="AB411" s="87" t="s">
        <v>11448</v>
      </c>
      <c r="AC411" s="93" t="s">
        <v>11460</v>
      </c>
      <c r="AD411" s="87" t="s">
        <v>11519</v>
      </c>
      <c r="AE411" s="92" t="str">
        <f>HYPERLINK("https://twitter.com/tomoliveirafc/status/1676237132279562242")</f>
        <v>https://twitter.com/tomoliveirafc/status/1676237132279562242</v>
      </c>
      <c r="AF411" s="90">
        <v>45111.604733796295</v>
      </c>
      <c r="AG411" s="99">
        <v>45111</v>
      </c>
      <c r="AH411" s="93" t="s">
        <v>11921</v>
      </c>
      <c r="AI411" s="87" t="b">
        <v>0</v>
      </c>
      <c r="AJ411" s="87"/>
      <c r="AK411" s="87"/>
      <c r="AL411" s="87"/>
      <c r="AM411" s="87"/>
      <c r="AN411" s="87"/>
      <c r="AO411" s="87"/>
      <c r="AP411" s="87"/>
      <c r="AQ411" s="87" t="s">
        <v>15735</v>
      </c>
      <c r="AR411" s="87"/>
      <c r="AS411" s="87"/>
      <c r="AT411" s="87"/>
      <c r="AU411" s="87"/>
      <c r="AV411" s="92" t="str">
        <f>HYPERLINK("https://pbs.twimg.com/media/F0MwyhaWIAA5uEM.jpg")</f>
        <v>https://pbs.twimg.com/media/F0MwyhaWIAA5uEM.jpg</v>
      </c>
      <c r="AW411" s="93" t="s">
        <v>18664</v>
      </c>
      <c r="AX411" s="93" t="s">
        <v>18664</v>
      </c>
      <c r="AY411" s="87"/>
      <c r="AZ411" s="93" t="s">
        <v>22668</v>
      </c>
      <c r="BA411" s="93" t="s">
        <v>22668</v>
      </c>
      <c r="BB411" s="93" t="s">
        <v>22668</v>
      </c>
      <c r="BC411" s="93" t="s">
        <v>18664</v>
      </c>
      <c r="BD411" s="93" t="s">
        <v>22879</v>
      </c>
      <c r="BE411" s="87"/>
      <c r="BF411" s="87"/>
      <c r="BG411" s="87"/>
      <c r="BH411" s="87"/>
      <c r="BI411" s="87"/>
    </row>
    <row r="412" spans="1:61" x14ac:dyDescent="0.25">
      <c r="A412" s="63" t="s">
        <v>369</v>
      </c>
      <c r="B412" s="63" t="s">
        <v>369</v>
      </c>
      <c r="C412" s="64"/>
      <c r="D412" s="65"/>
      <c r="E412" s="66"/>
      <c r="F412" s="67"/>
      <c r="G412" s="64"/>
      <c r="H412" s="68"/>
      <c r="I412" s="69"/>
      <c r="J412" s="69"/>
      <c r="K412" s="32"/>
      <c r="L412" s="76">
        <v>412</v>
      </c>
      <c r="M412" s="76"/>
      <c r="N412" s="71"/>
      <c r="O412" s="87" t="s">
        <v>179</v>
      </c>
      <c r="P412" s="90">
        <v>45194.566701388889</v>
      </c>
      <c r="Q412" s="87" t="s">
        <v>2245</v>
      </c>
      <c r="R412" s="87">
        <v>0</v>
      </c>
      <c r="S412" s="87">
        <v>0</v>
      </c>
      <c r="T412" s="87">
        <v>0</v>
      </c>
      <c r="U412" s="87">
        <v>0</v>
      </c>
      <c r="V412" s="87">
        <v>2</v>
      </c>
      <c r="W412" s="93" t="s">
        <v>6162</v>
      </c>
      <c r="X412" s="87"/>
      <c r="Y412" s="87"/>
      <c r="Z412" s="87"/>
      <c r="AA412" s="87"/>
      <c r="AB412" s="87"/>
      <c r="AC412" s="93" t="s">
        <v>11458</v>
      </c>
      <c r="AD412" s="87" t="s">
        <v>11519</v>
      </c>
      <c r="AE412" s="92" t="str">
        <f>HYPERLINK("https://twitter.com/jutorrecilas/status/1706301538707054943")</f>
        <v>https://twitter.com/jutorrecilas/status/1706301538707054943</v>
      </c>
      <c r="AF412" s="90">
        <v>45194.566701388889</v>
      </c>
      <c r="AG412" s="99">
        <v>45194</v>
      </c>
      <c r="AH412" s="93" t="s">
        <v>11922</v>
      </c>
      <c r="AI412" s="87"/>
      <c r="AJ412" s="87"/>
      <c r="AK412" s="87"/>
      <c r="AL412" s="87"/>
      <c r="AM412" s="87"/>
      <c r="AN412" s="87"/>
      <c r="AO412" s="87"/>
      <c r="AP412" s="87"/>
      <c r="AQ412" s="87"/>
      <c r="AR412" s="87"/>
      <c r="AS412" s="87"/>
      <c r="AT412" s="87"/>
      <c r="AU412" s="87"/>
      <c r="AV412" s="92" t="str">
        <f>HYPERLINK("https://pbs.twimg.com/profile_images/1705982618406166528/1WiJI-Ar_normal.jpg")</f>
        <v>https://pbs.twimg.com/profile_images/1705982618406166528/1WiJI-Ar_normal.jpg</v>
      </c>
      <c r="AW412" s="93" t="s">
        <v>18665</v>
      </c>
      <c r="AX412" s="93" t="s">
        <v>18665</v>
      </c>
      <c r="AY412" s="87"/>
      <c r="AZ412" s="93" t="s">
        <v>22668</v>
      </c>
      <c r="BA412" s="93" t="s">
        <v>22668</v>
      </c>
      <c r="BB412" s="93" t="s">
        <v>22668</v>
      </c>
      <c r="BC412" s="93" t="s">
        <v>18665</v>
      </c>
      <c r="BD412" s="93" t="s">
        <v>22880</v>
      </c>
      <c r="BE412" s="87"/>
      <c r="BF412" s="87"/>
      <c r="BG412" s="87"/>
      <c r="BH412" s="87"/>
      <c r="BI412" s="87"/>
    </row>
    <row r="413" spans="1:61" x14ac:dyDescent="0.25">
      <c r="A413" s="63" t="s">
        <v>370</v>
      </c>
      <c r="B413" s="63" t="s">
        <v>370</v>
      </c>
      <c r="C413" s="64"/>
      <c r="D413" s="65"/>
      <c r="E413" s="66"/>
      <c r="F413" s="67"/>
      <c r="G413" s="64"/>
      <c r="H413" s="68"/>
      <c r="I413" s="69"/>
      <c r="J413" s="69"/>
      <c r="K413" s="32"/>
      <c r="L413" s="76">
        <v>413</v>
      </c>
      <c r="M413" s="76"/>
      <c r="N413" s="71"/>
      <c r="O413" s="87" t="s">
        <v>179</v>
      </c>
      <c r="P413" s="90">
        <v>45173.585046296299</v>
      </c>
      <c r="Q413" s="87" t="s">
        <v>2246</v>
      </c>
      <c r="R413" s="87">
        <v>0</v>
      </c>
      <c r="S413" s="87">
        <v>0</v>
      </c>
      <c r="T413" s="87">
        <v>0</v>
      </c>
      <c r="U413" s="87">
        <v>1</v>
      </c>
      <c r="V413" s="87">
        <v>16</v>
      </c>
      <c r="W413" s="93" t="s">
        <v>6163</v>
      </c>
      <c r="X413" s="92" t="str">
        <f>HYPERLINK("https://www.instagram.com/p/CwxbuN-Nl8B/?igshid=MzRlODBiNWFlZA==")</f>
        <v>https://www.instagram.com/p/CwxbuN-Nl8B/?igshid=MzRlODBiNWFlZA==</v>
      </c>
      <c r="Y413" s="87" t="s">
        <v>8383</v>
      </c>
      <c r="Z413" s="87"/>
      <c r="AA413" s="87"/>
      <c r="AB413" s="87"/>
      <c r="AC413" s="93" t="s">
        <v>11459</v>
      </c>
      <c r="AD413" s="87" t="s">
        <v>11519</v>
      </c>
      <c r="AE413" s="92" t="str">
        <f>HYPERLINK("https://twitter.com/sbresults/status/1698698045188128998")</f>
        <v>https://twitter.com/sbresults/status/1698698045188128998</v>
      </c>
      <c r="AF413" s="90">
        <v>45173.585046296299</v>
      </c>
      <c r="AG413" s="99">
        <v>45173</v>
      </c>
      <c r="AH413" s="93" t="s">
        <v>11923</v>
      </c>
      <c r="AI413" s="87" t="b">
        <v>0</v>
      </c>
      <c r="AJ413" s="87"/>
      <c r="AK413" s="87"/>
      <c r="AL413" s="87"/>
      <c r="AM413" s="87"/>
      <c r="AN413" s="87"/>
      <c r="AO413" s="87"/>
      <c r="AP413" s="87"/>
      <c r="AQ413" s="87"/>
      <c r="AR413" s="87"/>
      <c r="AS413" s="87"/>
      <c r="AT413" s="87"/>
      <c r="AU413" s="87"/>
      <c r="AV413" s="92" t="str">
        <f>HYPERLINK("https://pbs.twimg.com/profile_images/1599540465061216256/Dk4TZwrJ_normal.jpg")</f>
        <v>https://pbs.twimg.com/profile_images/1599540465061216256/Dk4TZwrJ_normal.jpg</v>
      </c>
      <c r="AW413" s="93" t="s">
        <v>18666</v>
      </c>
      <c r="AX413" s="93" t="s">
        <v>18666</v>
      </c>
      <c r="AY413" s="87"/>
      <c r="AZ413" s="93" t="s">
        <v>22668</v>
      </c>
      <c r="BA413" s="93" t="s">
        <v>22668</v>
      </c>
      <c r="BB413" s="93" t="s">
        <v>22668</v>
      </c>
      <c r="BC413" s="93" t="s">
        <v>18666</v>
      </c>
      <c r="BD413" s="93" t="s">
        <v>22881</v>
      </c>
      <c r="BE413" s="87"/>
      <c r="BF413" s="87"/>
      <c r="BG413" s="87"/>
      <c r="BH413" s="87"/>
      <c r="BI413" s="87"/>
    </row>
    <row r="414" spans="1:61" x14ac:dyDescent="0.25">
      <c r="A414" s="63" t="s">
        <v>371</v>
      </c>
      <c r="B414" s="63" t="s">
        <v>371</v>
      </c>
      <c r="C414" s="64"/>
      <c r="D414" s="65"/>
      <c r="E414" s="66"/>
      <c r="F414" s="67"/>
      <c r="G414" s="64"/>
      <c r="H414" s="68"/>
      <c r="I414" s="69"/>
      <c r="J414" s="69"/>
      <c r="K414" s="32"/>
      <c r="L414" s="76">
        <v>414</v>
      </c>
      <c r="M414" s="76"/>
      <c r="N414" s="71"/>
      <c r="O414" s="87" t="s">
        <v>179</v>
      </c>
      <c r="P414" s="90">
        <v>45162.866793981484</v>
      </c>
      <c r="Q414" s="87" t="s">
        <v>2247</v>
      </c>
      <c r="R414" s="87">
        <v>0</v>
      </c>
      <c r="S414" s="87">
        <v>0</v>
      </c>
      <c r="T414" s="87">
        <v>0</v>
      </c>
      <c r="U414" s="87">
        <v>0</v>
      </c>
      <c r="V414" s="87">
        <v>14</v>
      </c>
      <c r="W414" s="93" t="s">
        <v>6164</v>
      </c>
      <c r="X414" s="87"/>
      <c r="Y414" s="87"/>
      <c r="Z414" s="87"/>
      <c r="AA414" s="87" t="s">
        <v>8923</v>
      </c>
      <c r="AB414" s="87" t="s">
        <v>11448</v>
      </c>
      <c r="AC414" s="93" t="s">
        <v>11457</v>
      </c>
      <c r="AD414" s="87" t="s">
        <v>11519</v>
      </c>
      <c r="AE414" s="92" t="str">
        <f>HYPERLINK("https://twitter.com/bindwayspartner/status/1694813880625631577")</f>
        <v>https://twitter.com/bindwayspartner/status/1694813880625631577</v>
      </c>
      <c r="AF414" s="90">
        <v>45162.866793981484</v>
      </c>
      <c r="AG414" s="99">
        <v>45162</v>
      </c>
      <c r="AH414" s="93" t="s">
        <v>11924</v>
      </c>
      <c r="AI414" s="87" t="b">
        <v>0</v>
      </c>
      <c r="AJ414" s="87"/>
      <c r="AK414" s="87"/>
      <c r="AL414" s="87"/>
      <c r="AM414" s="87"/>
      <c r="AN414" s="87"/>
      <c r="AO414" s="87"/>
      <c r="AP414" s="87"/>
      <c r="AQ414" s="87" t="s">
        <v>15736</v>
      </c>
      <c r="AR414" s="87"/>
      <c r="AS414" s="87"/>
      <c r="AT414" s="87"/>
      <c r="AU414" s="87"/>
      <c r="AV414" s="92" t="str">
        <f>HYPERLINK("https://pbs.twimg.com/media/F4UwPRKXwAANbaZ.jpg")</f>
        <v>https://pbs.twimg.com/media/F4UwPRKXwAANbaZ.jpg</v>
      </c>
      <c r="AW414" s="93" t="s">
        <v>18667</v>
      </c>
      <c r="AX414" s="93" t="s">
        <v>18667</v>
      </c>
      <c r="AY414" s="87"/>
      <c r="AZ414" s="93" t="s">
        <v>22668</v>
      </c>
      <c r="BA414" s="93" t="s">
        <v>22668</v>
      </c>
      <c r="BB414" s="93" t="s">
        <v>22668</v>
      </c>
      <c r="BC414" s="93" t="s">
        <v>18667</v>
      </c>
      <c r="BD414" s="93" t="s">
        <v>22882</v>
      </c>
      <c r="BE414" s="87"/>
      <c r="BF414" s="87"/>
      <c r="BG414" s="87"/>
      <c r="BH414" s="87"/>
      <c r="BI414" s="87"/>
    </row>
    <row r="415" spans="1:61" x14ac:dyDescent="0.25">
      <c r="A415" s="63" t="s">
        <v>372</v>
      </c>
      <c r="B415" s="63" t="s">
        <v>372</v>
      </c>
      <c r="C415" s="64"/>
      <c r="D415" s="65"/>
      <c r="E415" s="66"/>
      <c r="F415" s="67"/>
      <c r="G415" s="64"/>
      <c r="H415" s="68"/>
      <c r="I415" s="69"/>
      <c r="J415" s="69"/>
      <c r="K415" s="32"/>
      <c r="L415" s="76">
        <v>415</v>
      </c>
      <c r="M415" s="76"/>
      <c r="N415" s="71"/>
      <c r="O415" s="87" t="s">
        <v>179</v>
      </c>
      <c r="P415" s="90">
        <v>45183.628460648149</v>
      </c>
      <c r="Q415" s="87" t="s">
        <v>2248</v>
      </c>
      <c r="R415" s="87">
        <v>0</v>
      </c>
      <c r="S415" s="87">
        <v>0</v>
      </c>
      <c r="T415" s="87">
        <v>0</v>
      </c>
      <c r="U415" s="87">
        <v>0</v>
      </c>
      <c r="V415" s="87">
        <v>96</v>
      </c>
      <c r="W415" s="93" t="s">
        <v>6165</v>
      </c>
      <c r="X415" s="87"/>
      <c r="Y415" s="87"/>
      <c r="Z415" s="87"/>
      <c r="AA415" s="87" t="s">
        <v>8924</v>
      </c>
      <c r="AB415" s="87" t="s">
        <v>11448</v>
      </c>
      <c r="AC415" s="93" t="s">
        <v>11457</v>
      </c>
      <c r="AD415" s="87" t="s">
        <v>11519</v>
      </c>
      <c r="AE415" s="92" t="str">
        <f>HYPERLINK("https://twitter.com/fitinsur/status/1702337656150224954")</f>
        <v>https://twitter.com/fitinsur/status/1702337656150224954</v>
      </c>
      <c r="AF415" s="90">
        <v>45183.628460648149</v>
      </c>
      <c r="AG415" s="99">
        <v>45183</v>
      </c>
      <c r="AH415" s="93" t="s">
        <v>11925</v>
      </c>
      <c r="AI415" s="87" t="b">
        <v>0</v>
      </c>
      <c r="AJ415" s="87"/>
      <c r="AK415" s="87"/>
      <c r="AL415" s="87"/>
      <c r="AM415" s="87"/>
      <c r="AN415" s="87"/>
      <c r="AO415" s="87"/>
      <c r="AP415" s="87"/>
      <c r="AQ415" s="87" t="s">
        <v>15737</v>
      </c>
      <c r="AR415" s="87"/>
      <c r="AS415" s="87"/>
      <c r="AT415" s="87"/>
      <c r="AU415" s="87"/>
      <c r="AV415" s="92" t="str">
        <f>HYPERLINK("https://pbs.twimg.com/media/F5_rDrIa0AAgksv.jpg")</f>
        <v>https://pbs.twimg.com/media/F5_rDrIa0AAgksv.jpg</v>
      </c>
      <c r="AW415" s="93" t="s">
        <v>18668</v>
      </c>
      <c r="AX415" s="93" t="s">
        <v>18668</v>
      </c>
      <c r="AY415" s="87"/>
      <c r="AZ415" s="93" t="s">
        <v>22668</v>
      </c>
      <c r="BA415" s="93" t="s">
        <v>22668</v>
      </c>
      <c r="BB415" s="93" t="s">
        <v>22668</v>
      </c>
      <c r="BC415" s="93" t="s">
        <v>18668</v>
      </c>
      <c r="BD415" s="93" t="s">
        <v>22883</v>
      </c>
      <c r="BE415" s="87"/>
      <c r="BF415" s="87"/>
      <c r="BG415" s="87"/>
      <c r="BH415" s="87"/>
      <c r="BI415" s="87"/>
    </row>
    <row r="416" spans="1:61" x14ac:dyDescent="0.25">
      <c r="A416" s="63" t="s">
        <v>373</v>
      </c>
      <c r="B416" s="63" t="s">
        <v>373</v>
      </c>
      <c r="C416" s="64"/>
      <c r="D416" s="65"/>
      <c r="E416" s="66"/>
      <c r="F416" s="67"/>
      <c r="G416" s="64"/>
      <c r="H416" s="68"/>
      <c r="I416" s="69"/>
      <c r="J416" s="69"/>
      <c r="K416" s="32"/>
      <c r="L416" s="76">
        <v>416</v>
      </c>
      <c r="M416" s="76"/>
      <c r="N416" s="71"/>
      <c r="O416" s="87" t="s">
        <v>179</v>
      </c>
      <c r="P416" s="90">
        <v>45183.958344907405</v>
      </c>
      <c r="Q416" s="87" t="s">
        <v>2249</v>
      </c>
      <c r="R416" s="87">
        <v>0</v>
      </c>
      <c r="S416" s="87">
        <v>0</v>
      </c>
      <c r="T416" s="87">
        <v>0</v>
      </c>
      <c r="U416" s="87">
        <v>0</v>
      </c>
      <c r="V416" s="87">
        <v>57</v>
      </c>
      <c r="W416" s="93" t="s">
        <v>6166</v>
      </c>
      <c r="X416" s="87"/>
      <c r="Y416" s="87"/>
      <c r="Z416" s="87"/>
      <c r="AA416" s="87" t="s">
        <v>8925</v>
      </c>
      <c r="AB416" s="87" t="s">
        <v>11448</v>
      </c>
      <c r="AC416" s="93" t="s">
        <v>11457</v>
      </c>
      <c r="AD416" s="87" t="s">
        <v>11519</v>
      </c>
      <c r="AE416" s="92" t="str">
        <f>HYPERLINK("https://twitter.com/profitoclub/status/1702457202710319229")</f>
        <v>https://twitter.com/profitoclub/status/1702457202710319229</v>
      </c>
      <c r="AF416" s="90">
        <v>45183.958344907405</v>
      </c>
      <c r="AG416" s="99">
        <v>45183</v>
      </c>
      <c r="AH416" s="93" t="s">
        <v>11926</v>
      </c>
      <c r="AI416" s="87" t="b">
        <v>0</v>
      </c>
      <c r="AJ416" s="87"/>
      <c r="AK416" s="87"/>
      <c r="AL416" s="87"/>
      <c r="AM416" s="87"/>
      <c r="AN416" s="87"/>
      <c r="AO416" s="87"/>
      <c r="AP416" s="87"/>
      <c r="AQ416" s="87" t="s">
        <v>15738</v>
      </c>
      <c r="AR416" s="87"/>
      <c r="AS416" s="87"/>
      <c r="AT416" s="87"/>
      <c r="AU416" s="87"/>
      <c r="AV416" s="92" t="str">
        <f>HYPERLINK("https://pbs.twimg.com/media/F5wrf3lXMAE_d86.jpg")</f>
        <v>https://pbs.twimg.com/media/F5wrf3lXMAE_d86.jpg</v>
      </c>
      <c r="AW416" s="93" t="s">
        <v>18669</v>
      </c>
      <c r="AX416" s="93" t="s">
        <v>18669</v>
      </c>
      <c r="AY416" s="87"/>
      <c r="AZ416" s="93" t="s">
        <v>22668</v>
      </c>
      <c r="BA416" s="93" t="s">
        <v>22668</v>
      </c>
      <c r="BB416" s="93" t="s">
        <v>22668</v>
      </c>
      <c r="BC416" s="93" t="s">
        <v>18669</v>
      </c>
      <c r="BD416" s="93" t="s">
        <v>22884</v>
      </c>
      <c r="BE416" s="87"/>
      <c r="BF416" s="87"/>
      <c r="BG416" s="87"/>
      <c r="BH416" s="87"/>
      <c r="BI416" s="87"/>
    </row>
    <row r="417" spans="1:61" x14ac:dyDescent="0.25">
      <c r="A417" s="63" t="s">
        <v>374</v>
      </c>
      <c r="B417" s="63" t="s">
        <v>374</v>
      </c>
      <c r="C417" s="64"/>
      <c r="D417" s="65"/>
      <c r="E417" s="66"/>
      <c r="F417" s="67"/>
      <c r="G417" s="64"/>
      <c r="H417" s="68"/>
      <c r="I417" s="69"/>
      <c r="J417" s="69"/>
      <c r="K417" s="32"/>
      <c r="L417" s="76">
        <v>417</v>
      </c>
      <c r="M417" s="76"/>
      <c r="N417" s="71"/>
      <c r="O417" s="87" t="s">
        <v>179</v>
      </c>
      <c r="P417" s="90">
        <v>45165.76357638889</v>
      </c>
      <c r="Q417" s="87" t="s">
        <v>2250</v>
      </c>
      <c r="R417" s="87">
        <v>1</v>
      </c>
      <c r="S417" s="87">
        <v>0</v>
      </c>
      <c r="T417" s="87">
        <v>0</v>
      </c>
      <c r="U417" s="87">
        <v>0</v>
      </c>
      <c r="V417" s="87">
        <v>141</v>
      </c>
      <c r="W417" s="93" t="s">
        <v>5897</v>
      </c>
      <c r="X417" s="92" t="str">
        <f>HYPERLINK("https://www.barrazine.com.br/2017/09/conselhos-para-jovem-empreendedor/")</f>
        <v>https://www.barrazine.com.br/2017/09/conselhos-para-jovem-empreendedor/</v>
      </c>
      <c r="Y417" s="87" t="s">
        <v>8373</v>
      </c>
      <c r="Z417" s="87"/>
      <c r="AA417" s="87" t="s">
        <v>8926</v>
      </c>
      <c r="AB417" s="87" t="s">
        <v>11448</v>
      </c>
      <c r="AC417" s="93" t="s">
        <v>11457</v>
      </c>
      <c r="AD417" s="87" t="s">
        <v>11519</v>
      </c>
      <c r="AE417" s="92" t="str">
        <f>HYPERLINK("https://twitter.com/barrazine/status/1695863637217251608")</f>
        <v>https://twitter.com/barrazine/status/1695863637217251608</v>
      </c>
      <c r="AF417" s="90">
        <v>45165.76357638889</v>
      </c>
      <c r="AG417" s="99">
        <v>45165</v>
      </c>
      <c r="AH417" s="93" t="s">
        <v>11927</v>
      </c>
      <c r="AI417" s="87" t="b">
        <v>0</v>
      </c>
      <c r="AJ417" s="87"/>
      <c r="AK417" s="87"/>
      <c r="AL417" s="87"/>
      <c r="AM417" s="87"/>
      <c r="AN417" s="87"/>
      <c r="AO417" s="87"/>
      <c r="AP417" s="87"/>
      <c r="AQ417" s="87" t="s">
        <v>15739</v>
      </c>
      <c r="AR417" s="87"/>
      <c r="AS417" s="87"/>
      <c r="AT417" s="87"/>
      <c r="AU417" s="87"/>
      <c r="AV417" s="92" t="str">
        <f>HYPERLINK("https://pbs.twimg.com/media/F4jq-X3WkAEzDi6.jpg")</f>
        <v>https://pbs.twimg.com/media/F4jq-X3WkAEzDi6.jpg</v>
      </c>
      <c r="AW417" s="93" t="s">
        <v>18670</v>
      </c>
      <c r="AX417" s="93" t="s">
        <v>18670</v>
      </c>
      <c r="AY417" s="87"/>
      <c r="AZ417" s="93" t="s">
        <v>22668</v>
      </c>
      <c r="BA417" s="93" t="s">
        <v>22668</v>
      </c>
      <c r="BB417" s="93" t="s">
        <v>22668</v>
      </c>
      <c r="BC417" s="93" t="s">
        <v>18670</v>
      </c>
      <c r="BD417" s="87">
        <v>42985931</v>
      </c>
      <c r="BE417" s="87"/>
      <c r="BF417" s="87"/>
      <c r="BG417" s="87"/>
      <c r="BH417" s="87"/>
      <c r="BI417" s="87"/>
    </row>
    <row r="418" spans="1:61" x14ac:dyDescent="0.25">
      <c r="A418" s="63" t="s">
        <v>374</v>
      </c>
      <c r="B418" s="63" t="s">
        <v>374</v>
      </c>
      <c r="C418" s="64"/>
      <c r="D418" s="65"/>
      <c r="E418" s="66"/>
      <c r="F418" s="67"/>
      <c r="G418" s="64"/>
      <c r="H418" s="68"/>
      <c r="I418" s="69"/>
      <c r="J418" s="69"/>
      <c r="K418" s="32"/>
      <c r="L418" s="76">
        <v>418</v>
      </c>
      <c r="M418" s="76"/>
      <c r="N418" s="71"/>
      <c r="O418" s="87" t="s">
        <v>179</v>
      </c>
      <c r="P418" s="90">
        <v>45174.696296296293</v>
      </c>
      <c r="Q418" s="87" t="s">
        <v>2251</v>
      </c>
      <c r="R418" s="87">
        <v>1</v>
      </c>
      <c r="S418" s="87">
        <v>1</v>
      </c>
      <c r="T418" s="87">
        <v>0</v>
      </c>
      <c r="U418" s="87">
        <v>0</v>
      </c>
      <c r="V418" s="87">
        <v>160</v>
      </c>
      <c r="W418" s="93" t="s">
        <v>5897</v>
      </c>
      <c r="X418" s="92" t="str">
        <f>HYPERLINK("https://www.barrazine.com.br/2023/06/empreendedorismo-no-brasil/")</f>
        <v>https://www.barrazine.com.br/2023/06/empreendedorismo-no-brasil/</v>
      </c>
      <c r="Y418" s="87" t="s">
        <v>8373</v>
      </c>
      <c r="Z418" s="87"/>
      <c r="AA418" s="87" t="s">
        <v>8927</v>
      </c>
      <c r="AB418" s="87" t="s">
        <v>11452</v>
      </c>
      <c r="AC418" s="93" t="s">
        <v>11457</v>
      </c>
      <c r="AD418" s="87" t="s">
        <v>11519</v>
      </c>
      <c r="AE418" s="92" t="str">
        <f>HYPERLINK("https://twitter.com/barrazine/status/1699100748837953608")</f>
        <v>https://twitter.com/barrazine/status/1699100748837953608</v>
      </c>
      <c r="AF418" s="90">
        <v>45174.696296296293</v>
      </c>
      <c r="AG418" s="99">
        <v>45174</v>
      </c>
      <c r="AH418" s="93" t="s">
        <v>11928</v>
      </c>
      <c r="AI418" s="87" t="b">
        <v>0</v>
      </c>
      <c r="AJ418" s="87"/>
      <c r="AK418" s="87"/>
      <c r="AL418" s="87"/>
      <c r="AM418" s="87"/>
      <c r="AN418" s="87"/>
      <c r="AO418" s="87"/>
      <c r="AP418" s="87"/>
      <c r="AQ418" s="87" t="s">
        <v>15740</v>
      </c>
      <c r="AR418" s="87"/>
      <c r="AS418" s="87"/>
      <c r="AT418" s="87"/>
      <c r="AU418" s="87"/>
      <c r="AV418" s="92" t="str">
        <f>HYPERLINK("https://pbs.twimg.com/tweet_video_thumb/F5RrHx7XgAAfcxF.jpg")</f>
        <v>https://pbs.twimg.com/tweet_video_thumb/F5RrHx7XgAAfcxF.jpg</v>
      </c>
      <c r="AW418" s="93" t="s">
        <v>18671</v>
      </c>
      <c r="AX418" s="93" t="s">
        <v>18671</v>
      </c>
      <c r="AY418" s="87"/>
      <c r="AZ418" s="93" t="s">
        <v>22668</v>
      </c>
      <c r="BA418" s="93" t="s">
        <v>22668</v>
      </c>
      <c r="BB418" s="93" t="s">
        <v>22668</v>
      </c>
      <c r="BC418" s="93" t="s">
        <v>18671</v>
      </c>
      <c r="BD418" s="87">
        <v>42985931</v>
      </c>
      <c r="BE418" s="87"/>
      <c r="BF418" s="87"/>
      <c r="BG418" s="87"/>
      <c r="BH418" s="87"/>
      <c r="BI418" s="87"/>
    </row>
    <row r="419" spans="1:61" x14ac:dyDescent="0.25">
      <c r="A419" s="63" t="s">
        <v>374</v>
      </c>
      <c r="B419" s="63" t="s">
        <v>374</v>
      </c>
      <c r="C419" s="64"/>
      <c r="D419" s="65"/>
      <c r="E419" s="66"/>
      <c r="F419" s="67"/>
      <c r="G419" s="64"/>
      <c r="H419" s="68"/>
      <c r="I419" s="69"/>
      <c r="J419" s="69"/>
      <c r="K419" s="32"/>
      <c r="L419" s="76">
        <v>419</v>
      </c>
      <c r="M419" s="76"/>
      <c r="N419" s="71"/>
      <c r="O419" s="87" t="s">
        <v>179</v>
      </c>
      <c r="P419" s="90">
        <v>45178.78266203704</v>
      </c>
      <c r="Q419" s="87" t="s">
        <v>2252</v>
      </c>
      <c r="R419" s="87">
        <v>1</v>
      </c>
      <c r="S419" s="87">
        <v>0</v>
      </c>
      <c r="T419" s="87">
        <v>0</v>
      </c>
      <c r="U419" s="87">
        <v>0</v>
      </c>
      <c r="V419" s="87">
        <v>101</v>
      </c>
      <c r="W419" s="93" t="s">
        <v>6167</v>
      </c>
      <c r="X419" s="92" t="str">
        <f>HYPERLINK("https://www.barrazine.com.br/2022/09/5-livros-ensinam-empreender/")</f>
        <v>https://www.barrazine.com.br/2022/09/5-livros-ensinam-empreender/</v>
      </c>
      <c r="Y419" s="87" t="s">
        <v>8373</v>
      </c>
      <c r="Z419" s="87"/>
      <c r="AA419" s="87" t="s">
        <v>8928</v>
      </c>
      <c r="AB419" s="87" t="s">
        <v>11452</v>
      </c>
      <c r="AC419" s="93" t="s">
        <v>11457</v>
      </c>
      <c r="AD419" s="87" t="s">
        <v>11519</v>
      </c>
      <c r="AE419" s="92" t="str">
        <f>HYPERLINK("https://twitter.com/barrazine/status/1700581598209429597")</f>
        <v>https://twitter.com/barrazine/status/1700581598209429597</v>
      </c>
      <c r="AF419" s="90">
        <v>45178.78266203704</v>
      </c>
      <c r="AG419" s="99">
        <v>45178</v>
      </c>
      <c r="AH419" s="93" t="s">
        <v>11929</v>
      </c>
      <c r="AI419" s="87" t="b">
        <v>0</v>
      </c>
      <c r="AJ419" s="87"/>
      <c r="AK419" s="87"/>
      <c r="AL419" s="87"/>
      <c r="AM419" s="87"/>
      <c r="AN419" s="87"/>
      <c r="AO419" s="87"/>
      <c r="AP419" s="87"/>
      <c r="AQ419" s="87" t="s">
        <v>15741</v>
      </c>
      <c r="AR419" s="87"/>
      <c r="AS419" s="87"/>
      <c r="AT419" s="87"/>
      <c r="AU419" s="87"/>
      <c r="AV419" s="92" t="str">
        <f>HYPERLINK("https://pbs.twimg.com/tweet_video_thumb/F5mt7ZkWkAMlq4T.jpg")</f>
        <v>https://pbs.twimg.com/tweet_video_thumb/F5mt7ZkWkAMlq4T.jpg</v>
      </c>
      <c r="AW419" s="93" t="s">
        <v>18672</v>
      </c>
      <c r="AX419" s="93" t="s">
        <v>18672</v>
      </c>
      <c r="AY419" s="87"/>
      <c r="AZ419" s="93" t="s">
        <v>22668</v>
      </c>
      <c r="BA419" s="93" t="s">
        <v>22668</v>
      </c>
      <c r="BB419" s="93" t="s">
        <v>22668</v>
      </c>
      <c r="BC419" s="93" t="s">
        <v>18672</v>
      </c>
      <c r="BD419" s="87">
        <v>42985931</v>
      </c>
      <c r="BE419" s="87"/>
      <c r="BF419" s="87"/>
      <c r="BG419" s="87"/>
      <c r="BH419" s="87"/>
      <c r="BI419" s="87"/>
    </row>
    <row r="420" spans="1:61" x14ac:dyDescent="0.25">
      <c r="A420" s="63" t="s">
        <v>374</v>
      </c>
      <c r="B420" s="63" t="s">
        <v>374</v>
      </c>
      <c r="C420" s="64"/>
      <c r="D420" s="65"/>
      <c r="E420" s="66"/>
      <c r="F420" s="67"/>
      <c r="G420" s="64"/>
      <c r="H420" s="68"/>
      <c r="I420" s="69"/>
      <c r="J420" s="69"/>
      <c r="K420" s="32"/>
      <c r="L420" s="76">
        <v>420</v>
      </c>
      <c r="M420" s="76"/>
      <c r="N420" s="71"/>
      <c r="O420" s="87" t="s">
        <v>179</v>
      </c>
      <c r="P420" s="90">
        <v>45188.891631944447</v>
      </c>
      <c r="Q420" s="87" t="s">
        <v>2253</v>
      </c>
      <c r="R420" s="87">
        <v>1</v>
      </c>
      <c r="S420" s="87">
        <v>0</v>
      </c>
      <c r="T420" s="87">
        <v>0</v>
      </c>
      <c r="U420" s="87">
        <v>0</v>
      </c>
      <c r="V420" s="87">
        <v>111</v>
      </c>
      <c r="W420" s="93" t="s">
        <v>6168</v>
      </c>
      <c r="X420" s="92" t="str">
        <f>HYPERLINK("https://www.barrazine.com.br/2023/09/recreio-shopping-feira-empreendedor/")</f>
        <v>https://www.barrazine.com.br/2023/09/recreio-shopping-feira-empreendedor/</v>
      </c>
      <c r="Y420" s="87" t="s">
        <v>8373</v>
      </c>
      <c r="Z420" s="87"/>
      <c r="AA420" s="87" t="s">
        <v>8929</v>
      </c>
      <c r="AB420" s="87" t="s">
        <v>11448</v>
      </c>
      <c r="AC420" s="93" t="s">
        <v>11457</v>
      </c>
      <c r="AD420" s="87" t="s">
        <v>11519</v>
      </c>
      <c r="AE420" s="92" t="str">
        <f>HYPERLINK("https://twitter.com/barrazine/status/1704244963775517020")</f>
        <v>https://twitter.com/barrazine/status/1704244963775517020</v>
      </c>
      <c r="AF420" s="90">
        <v>45188.891631944447</v>
      </c>
      <c r="AG420" s="99">
        <v>45188</v>
      </c>
      <c r="AH420" s="93" t="s">
        <v>11930</v>
      </c>
      <c r="AI420" s="87" t="b">
        <v>0</v>
      </c>
      <c r="AJ420" s="87"/>
      <c r="AK420" s="87"/>
      <c r="AL420" s="87"/>
      <c r="AM420" s="87"/>
      <c r="AN420" s="87"/>
      <c r="AO420" s="87"/>
      <c r="AP420" s="87"/>
      <c r="AQ420" s="87" t="s">
        <v>15742</v>
      </c>
      <c r="AR420" s="87"/>
      <c r="AS420" s="87"/>
      <c r="AT420" s="87"/>
      <c r="AU420" s="87"/>
      <c r="AV420" s="92" t="str">
        <f>HYPERLINK("https://pbs.twimg.com/media/F6axwIVWUAAQBFx.jpg")</f>
        <v>https://pbs.twimg.com/media/F6axwIVWUAAQBFx.jpg</v>
      </c>
      <c r="AW420" s="93" t="s">
        <v>18673</v>
      </c>
      <c r="AX420" s="93" t="s">
        <v>18673</v>
      </c>
      <c r="AY420" s="87"/>
      <c r="AZ420" s="93" t="s">
        <v>22668</v>
      </c>
      <c r="BA420" s="93" t="s">
        <v>22668</v>
      </c>
      <c r="BB420" s="93" t="s">
        <v>22668</v>
      </c>
      <c r="BC420" s="93" t="s">
        <v>18673</v>
      </c>
      <c r="BD420" s="87">
        <v>42985931</v>
      </c>
      <c r="BE420" s="87"/>
      <c r="BF420" s="87"/>
      <c r="BG420" s="87"/>
      <c r="BH420" s="87"/>
      <c r="BI420" s="87"/>
    </row>
    <row r="421" spans="1:61" x14ac:dyDescent="0.25">
      <c r="A421" s="63" t="s">
        <v>374</v>
      </c>
      <c r="B421" s="63" t="s">
        <v>374</v>
      </c>
      <c r="C421" s="64"/>
      <c r="D421" s="65"/>
      <c r="E421" s="66"/>
      <c r="F421" s="67"/>
      <c r="G421" s="64"/>
      <c r="H421" s="68"/>
      <c r="I421" s="69"/>
      <c r="J421" s="69"/>
      <c r="K421" s="32"/>
      <c r="L421" s="76">
        <v>421</v>
      </c>
      <c r="M421" s="76"/>
      <c r="N421" s="71"/>
      <c r="O421" s="87" t="s">
        <v>1841</v>
      </c>
      <c r="P421" s="90">
        <v>45190.525370370371</v>
      </c>
      <c r="Q421" s="87" t="s">
        <v>2254</v>
      </c>
      <c r="R421" s="87">
        <v>1</v>
      </c>
      <c r="S421" s="87">
        <v>0</v>
      </c>
      <c r="T421" s="87">
        <v>0</v>
      </c>
      <c r="U421" s="87">
        <v>0</v>
      </c>
      <c r="V421" s="87"/>
      <c r="W421" s="93" t="s">
        <v>6168</v>
      </c>
      <c r="X421" s="87"/>
      <c r="Y421" s="87"/>
      <c r="Z421" s="87" t="s">
        <v>374</v>
      </c>
      <c r="AA421" s="87"/>
      <c r="AB421" s="87"/>
      <c r="AC421" s="93" t="s">
        <v>11457</v>
      </c>
      <c r="AD421" s="87" t="s">
        <v>11519</v>
      </c>
      <c r="AE421" s="92" t="str">
        <f>HYPERLINK("https://twitter.com/barrazine/status/1704837013189398716")</f>
        <v>https://twitter.com/barrazine/status/1704837013189398716</v>
      </c>
      <c r="AF421" s="90">
        <v>45190.525370370371</v>
      </c>
      <c r="AG421" s="99">
        <v>45190</v>
      </c>
      <c r="AH421" s="93" t="s">
        <v>11931</v>
      </c>
      <c r="AI421" s="87"/>
      <c r="AJ421" s="87"/>
      <c r="AK421" s="87"/>
      <c r="AL421" s="87"/>
      <c r="AM421" s="87"/>
      <c r="AN421" s="87"/>
      <c r="AO421" s="87"/>
      <c r="AP421" s="87"/>
      <c r="AQ421" s="87"/>
      <c r="AR421" s="87"/>
      <c r="AS421" s="87"/>
      <c r="AT421" s="87"/>
      <c r="AU421" s="87"/>
      <c r="AV421" s="92" t="str">
        <f>HYPERLINK("https://pbs.twimg.com/profile_images/1264584899350102019/t7i9lk35_normal.jpg")</f>
        <v>https://pbs.twimg.com/profile_images/1264584899350102019/t7i9lk35_normal.jpg</v>
      </c>
      <c r="AW421" s="93" t="s">
        <v>18674</v>
      </c>
      <c r="AX421" s="93" t="s">
        <v>18674</v>
      </c>
      <c r="AY421" s="87"/>
      <c r="AZ421" s="93" t="s">
        <v>22668</v>
      </c>
      <c r="BA421" s="93" t="s">
        <v>22668</v>
      </c>
      <c r="BB421" s="93" t="s">
        <v>18673</v>
      </c>
      <c r="BC421" s="93" t="s">
        <v>18673</v>
      </c>
      <c r="BD421" s="87">
        <v>42985931</v>
      </c>
      <c r="BE421" s="87"/>
      <c r="BF421" s="87"/>
      <c r="BG421" s="87"/>
      <c r="BH421" s="87"/>
      <c r="BI421" s="87"/>
    </row>
    <row r="422" spans="1:61" x14ac:dyDescent="0.25">
      <c r="A422" s="63" t="s">
        <v>374</v>
      </c>
      <c r="B422" s="63" t="s">
        <v>374</v>
      </c>
      <c r="C422" s="64"/>
      <c r="D422" s="65"/>
      <c r="E422" s="66"/>
      <c r="F422" s="67"/>
      <c r="G422" s="64"/>
      <c r="H422" s="68"/>
      <c r="I422" s="69"/>
      <c r="J422" s="69"/>
      <c r="K422" s="32"/>
      <c r="L422" s="76">
        <v>422</v>
      </c>
      <c r="M422" s="76"/>
      <c r="N422" s="71"/>
      <c r="O422" s="87" t="s">
        <v>179</v>
      </c>
      <c r="P422" s="90">
        <v>45188.908946759257</v>
      </c>
      <c r="Q422" s="87" t="s">
        <v>2255</v>
      </c>
      <c r="R422" s="87">
        <v>1</v>
      </c>
      <c r="S422" s="87">
        <v>0</v>
      </c>
      <c r="T422" s="87">
        <v>0</v>
      </c>
      <c r="U422" s="87">
        <v>0</v>
      </c>
      <c r="V422" s="87">
        <v>78</v>
      </c>
      <c r="W422" s="93" t="s">
        <v>6169</v>
      </c>
      <c r="X422" s="92" t="str">
        <f>HYPERLINK("https://www.barrazine.com.br/2023/09/empreendendo-no-dia-da-arvore/")</f>
        <v>https://www.barrazine.com.br/2023/09/empreendendo-no-dia-da-arvore/</v>
      </c>
      <c r="Y422" s="87" t="s">
        <v>8373</v>
      </c>
      <c r="Z422" s="87"/>
      <c r="AA422" s="87"/>
      <c r="AB422" s="87"/>
      <c r="AC422" s="93" t="s">
        <v>11457</v>
      </c>
      <c r="AD422" s="87" t="s">
        <v>11519</v>
      </c>
      <c r="AE422" s="92" t="str">
        <f>HYPERLINK("https://twitter.com/barrazine/status/1704251240907940058")</f>
        <v>https://twitter.com/barrazine/status/1704251240907940058</v>
      </c>
      <c r="AF422" s="90">
        <v>45188.908946759257</v>
      </c>
      <c r="AG422" s="99">
        <v>45188</v>
      </c>
      <c r="AH422" s="93" t="s">
        <v>11932</v>
      </c>
      <c r="AI422" s="87" t="b">
        <v>0</v>
      </c>
      <c r="AJ422" s="87"/>
      <c r="AK422" s="87"/>
      <c r="AL422" s="87"/>
      <c r="AM422" s="87"/>
      <c r="AN422" s="87"/>
      <c r="AO422" s="87"/>
      <c r="AP422" s="87"/>
      <c r="AQ422" s="87"/>
      <c r="AR422" s="87"/>
      <c r="AS422" s="87"/>
      <c r="AT422" s="87"/>
      <c r="AU422" s="87"/>
      <c r="AV422" s="92" t="str">
        <f>HYPERLINK("https://pbs.twimg.com/profile_images/1264584899350102019/t7i9lk35_normal.jpg")</f>
        <v>https://pbs.twimg.com/profile_images/1264584899350102019/t7i9lk35_normal.jpg</v>
      </c>
      <c r="AW422" s="93" t="s">
        <v>18675</v>
      </c>
      <c r="AX422" s="93" t="s">
        <v>18675</v>
      </c>
      <c r="AY422" s="87"/>
      <c r="AZ422" s="93" t="s">
        <v>22668</v>
      </c>
      <c r="BA422" s="93" t="s">
        <v>22668</v>
      </c>
      <c r="BB422" s="93" t="s">
        <v>22668</v>
      </c>
      <c r="BC422" s="93" t="s">
        <v>18675</v>
      </c>
      <c r="BD422" s="87">
        <v>42985931</v>
      </c>
      <c r="BE422" s="87"/>
      <c r="BF422" s="87"/>
      <c r="BG422" s="87"/>
      <c r="BH422" s="87"/>
      <c r="BI422" s="87"/>
    </row>
    <row r="423" spans="1:61" x14ac:dyDescent="0.25">
      <c r="A423" s="63" t="s">
        <v>374</v>
      </c>
      <c r="B423" s="63" t="s">
        <v>374</v>
      </c>
      <c r="C423" s="64"/>
      <c r="D423" s="65"/>
      <c r="E423" s="66"/>
      <c r="F423" s="67"/>
      <c r="G423" s="64"/>
      <c r="H423" s="68"/>
      <c r="I423" s="69"/>
      <c r="J423" s="69"/>
      <c r="K423" s="32"/>
      <c r="L423" s="76">
        <v>423</v>
      </c>
      <c r="M423" s="76"/>
      <c r="N423" s="71"/>
      <c r="O423" s="87" t="s">
        <v>1841</v>
      </c>
      <c r="P423" s="90">
        <v>45190.525358796294</v>
      </c>
      <c r="Q423" s="87" t="s">
        <v>2256</v>
      </c>
      <c r="R423" s="87">
        <v>1</v>
      </c>
      <c r="S423" s="87">
        <v>0</v>
      </c>
      <c r="T423" s="87">
        <v>0</v>
      </c>
      <c r="U423" s="87">
        <v>0</v>
      </c>
      <c r="V423" s="87"/>
      <c r="W423" s="87"/>
      <c r="X423" s="87"/>
      <c r="Y423" s="87"/>
      <c r="Z423" s="87" t="s">
        <v>374</v>
      </c>
      <c r="AA423" s="87"/>
      <c r="AB423" s="87"/>
      <c r="AC423" s="93" t="s">
        <v>11457</v>
      </c>
      <c r="AD423" s="87" t="s">
        <v>11519</v>
      </c>
      <c r="AE423" s="92" t="str">
        <f>HYPERLINK("https://twitter.com/barrazine/status/1704837005140430861")</f>
        <v>https://twitter.com/barrazine/status/1704837005140430861</v>
      </c>
      <c r="AF423" s="90">
        <v>45190.525358796294</v>
      </c>
      <c r="AG423" s="99">
        <v>45190</v>
      </c>
      <c r="AH423" s="93" t="s">
        <v>11933</v>
      </c>
      <c r="AI423" s="87" t="b">
        <v>0</v>
      </c>
      <c r="AJ423" s="87"/>
      <c r="AK423" s="87"/>
      <c r="AL423" s="87"/>
      <c r="AM423" s="87"/>
      <c r="AN423" s="87"/>
      <c r="AO423" s="87"/>
      <c r="AP423" s="87"/>
      <c r="AQ423" s="87"/>
      <c r="AR423" s="87"/>
      <c r="AS423" s="87"/>
      <c r="AT423" s="87"/>
      <c r="AU423" s="87"/>
      <c r="AV423" s="92" t="str">
        <f>HYPERLINK("https://pbs.twimg.com/profile_images/1264584899350102019/t7i9lk35_normal.jpg")</f>
        <v>https://pbs.twimg.com/profile_images/1264584899350102019/t7i9lk35_normal.jpg</v>
      </c>
      <c r="AW423" s="93" t="s">
        <v>18676</v>
      </c>
      <c r="AX423" s="93" t="s">
        <v>18676</v>
      </c>
      <c r="AY423" s="87"/>
      <c r="AZ423" s="93" t="s">
        <v>22668</v>
      </c>
      <c r="BA423" s="93" t="s">
        <v>22668</v>
      </c>
      <c r="BB423" s="93" t="s">
        <v>18675</v>
      </c>
      <c r="BC423" s="93" t="s">
        <v>18675</v>
      </c>
      <c r="BD423" s="87">
        <v>42985931</v>
      </c>
      <c r="BE423" s="87"/>
      <c r="BF423" s="87"/>
      <c r="BG423" s="87"/>
      <c r="BH423" s="87"/>
      <c r="BI423" s="87"/>
    </row>
    <row r="424" spans="1:61" x14ac:dyDescent="0.25">
      <c r="A424" s="63" t="s">
        <v>374</v>
      </c>
      <c r="B424" s="63" t="s">
        <v>374</v>
      </c>
      <c r="C424" s="64"/>
      <c r="D424" s="65"/>
      <c r="E424" s="66"/>
      <c r="F424" s="67"/>
      <c r="G424" s="64"/>
      <c r="H424" s="68"/>
      <c r="I424" s="69"/>
      <c r="J424" s="69"/>
      <c r="K424" s="32"/>
      <c r="L424" s="76">
        <v>424</v>
      </c>
      <c r="M424" s="76"/>
      <c r="N424" s="71"/>
      <c r="O424" s="87" t="s">
        <v>1841</v>
      </c>
      <c r="P424" s="90">
        <v>45196.914456018516</v>
      </c>
      <c r="Q424" s="87" t="s">
        <v>2257</v>
      </c>
      <c r="R424" s="87">
        <v>1</v>
      </c>
      <c r="S424" s="87">
        <v>0</v>
      </c>
      <c r="T424" s="87">
        <v>0</v>
      </c>
      <c r="U424" s="87">
        <v>0</v>
      </c>
      <c r="V424" s="87"/>
      <c r="W424" s="87"/>
      <c r="X424" s="87"/>
      <c r="Y424" s="87"/>
      <c r="Z424" s="87" t="s">
        <v>374</v>
      </c>
      <c r="AA424" s="87"/>
      <c r="AB424" s="87"/>
      <c r="AC424" s="93" t="s">
        <v>11457</v>
      </c>
      <c r="AD424" s="87" t="s">
        <v>11519</v>
      </c>
      <c r="AE424" s="92" t="str">
        <f>HYPERLINK("https://twitter.com/barrazine/status/1707152337171583035")</f>
        <v>https://twitter.com/barrazine/status/1707152337171583035</v>
      </c>
      <c r="AF424" s="90">
        <v>45196.914456018516</v>
      </c>
      <c r="AG424" s="99">
        <v>45196</v>
      </c>
      <c r="AH424" s="93" t="s">
        <v>11934</v>
      </c>
      <c r="AI424" s="87"/>
      <c r="AJ424" s="87"/>
      <c r="AK424" s="87"/>
      <c r="AL424" s="87"/>
      <c r="AM424" s="87"/>
      <c r="AN424" s="87"/>
      <c r="AO424" s="87"/>
      <c r="AP424" s="87"/>
      <c r="AQ424" s="87"/>
      <c r="AR424" s="87"/>
      <c r="AS424" s="87"/>
      <c r="AT424" s="87"/>
      <c r="AU424" s="87"/>
      <c r="AV424" s="92" t="str">
        <f>HYPERLINK("https://pbs.twimg.com/profile_images/1264584899350102019/t7i9lk35_normal.jpg")</f>
        <v>https://pbs.twimg.com/profile_images/1264584899350102019/t7i9lk35_normal.jpg</v>
      </c>
      <c r="AW424" s="93" t="s">
        <v>18677</v>
      </c>
      <c r="AX424" s="93" t="s">
        <v>18677</v>
      </c>
      <c r="AY424" s="87"/>
      <c r="AZ424" s="93" t="s">
        <v>22668</v>
      </c>
      <c r="BA424" s="93" t="s">
        <v>22668</v>
      </c>
      <c r="BB424" s="93" t="s">
        <v>18678</v>
      </c>
      <c r="BC424" s="93" t="s">
        <v>18678</v>
      </c>
      <c r="BD424" s="87">
        <v>42985931</v>
      </c>
      <c r="BE424" s="87"/>
      <c r="BF424" s="87"/>
      <c r="BG424" s="87"/>
      <c r="BH424" s="87"/>
      <c r="BI424" s="87"/>
    </row>
    <row r="425" spans="1:61" x14ac:dyDescent="0.25">
      <c r="A425" s="63" t="s">
        <v>374</v>
      </c>
      <c r="B425" s="63" t="s">
        <v>374</v>
      </c>
      <c r="C425" s="64"/>
      <c r="D425" s="65"/>
      <c r="E425" s="66"/>
      <c r="F425" s="67"/>
      <c r="G425" s="64"/>
      <c r="H425" s="68"/>
      <c r="I425" s="69"/>
      <c r="J425" s="69"/>
      <c r="K425" s="32"/>
      <c r="L425" s="76">
        <v>425</v>
      </c>
      <c r="M425" s="76"/>
      <c r="N425" s="71"/>
      <c r="O425" s="87" t="s">
        <v>179</v>
      </c>
      <c r="P425" s="90">
        <v>45195.997731481482</v>
      </c>
      <c r="Q425" s="87" t="s">
        <v>2258</v>
      </c>
      <c r="R425" s="87">
        <v>1</v>
      </c>
      <c r="S425" s="87">
        <v>0</v>
      </c>
      <c r="T425" s="87">
        <v>0</v>
      </c>
      <c r="U425" s="87">
        <v>0</v>
      </c>
      <c r="V425" s="87">
        <v>91</v>
      </c>
      <c r="W425" s="93" t="s">
        <v>5897</v>
      </c>
      <c r="X425" s="92" t="str">
        <f>HYPERLINK("https://www.barrazine.com.br/2023/06/empreendedorismo-no-brasil/")</f>
        <v>https://www.barrazine.com.br/2023/06/empreendedorismo-no-brasil/</v>
      </c>
      <c r="Y425" s="87" t="s">
        <v>8373</v>
      </c>
      <c r="Z425" s="87"/>
      <c r="AA425" s="87" t="s">
        <v>8930</v>
      </c>
      <c r="AB425" s="87" t="s">
        <v>11448</v>
      </c>
      <c r="AC425" s="93" t="s">
        <v>11457</v>
      </c>
      <c r="AD425" s="87" t="s">
        <v>11519</v>
      </c>
      <c r="AE425" s="92" t="str">
        <f>HYPERLINK("https://twitter.com/barrazine/status/1706820130502574301")</f>
        <v>https://twitter.com/barrazine/status/1706820130502574301</v>
      </c>
      <c r="AF425" s="90">
        <v>45195.997731481482</v>
      </c>
      <c r="AG425" s="99">
        <v>45195</v>
      </c>
      <c r="AH425" s="93" t="s">
        <v>11935</v>
      </c>
      <c r="AI425" s="87" t="b">
        <v>0</v>
      </c>
      <c r="AJ425" s="87"/>
      <c r="AK425" s="87"/>
      <c r="AL425" s="87"/>
      <c r="AM425" s="87"/>
      <c r="AN425" s="87"/>
      <c r="AO425" s="87"/>
      <c r="AP425" s="87"/>
      <c r="AQ425" s="87" t="s">
        <v>15743</v>
      </c>
      <c r="AR425" s="87"/>
      <c r="AS425" s="87"/>
      <c r="AT425" s="87"/>
      <c r="AU425" s="87"/>
      <c r="AV425" s="92" t="str">
        <f>HYPERLINK("https://pbs.twimg.com/media/F6_X2zoWMAAEA5h.jpg")</f>
        <v>https://pbs.twimg.com/media/F6_X2zoWMAAEA5h.jpg</v>
      </c>
      <c r="AW425" s="93" t="s">
        <v>18678</v>
      </c>
      <c r="AX425" s="93" t="s">
        <v>18678</v>
      </c>
      <c r="AY425" s="87"/>
      <c r="AZ425" s="93" t="s">
        <v>22668</v>
      </c>
      <c r="BA425" s="93" t="s">
        <v>22668</v>
      </c>
      <c r="BB425" s="93" t="s">
        <v>22668</v>
      </c>
      <c r="BC425" s="93" t="s">
        <v>18678</v>
      </c>
      <c r="BD425" s="87">
        <v>42985931</v>
      </c>
      <c r="BE425" s="87"/>
      <c r="BF425" s="87"/>
      <c r="BG425" s="87"/>
      <c r="BH425" s="87"/>
      <c r="BI425" s="87"/>
    </row>
    <row r="426" spans="1:61" x14ac:dyDescent="0.25">
      <c r="A426" s="63" t="s">
        <v>374</v>
      </c>
      <c r="B426" s="63" t="s">
        <v>374</v>
      </c>
      <c r="C426" s="64"/>
      <c r="D426" s="65"/>
      <c r="E426" s="66"/>
      <c r="F426" s="67"/>
      <c r="G426" s="64"/>
      <c r="H426" s="68"/>
      <c r="I426" s="69"/>
      <c r="J426" s="69"/>
      <c r="K426" s="32"/>
      <c r="L426" s="76">
        <v>426</v>
      </c>
      <c r="M426" s="76"/>
      <c r="N426" s="71"/>
      <c r="O426" s="87" t="s">
        <v>179</v>
      </c>
      <c r="P426" s="90">
        <v>45173.920046296298</v>
      </c>
      <c r="Q426" s="87" t="s">
        <v>2259</v>
      </c>
      <c r="R426" s="87">
        <v>1</v>
      </c>
      <c r="S426" s="87">
        <v>0</v>
      </c>
      <c r="T426" s="87">
        <v>0</v>
      </c>
      <c r="U426" s="87">
        <v>0</v>
      </c>
      <c r="V426" s="87">
        <v>86</v>
      </c>
      <c r="W426" s="93" t="s">
        <v>5897</v>
      </c>
      <c r="X426" s="92" t="str">
        <f>HYPERLINK("https://www.barrazine.com.br/2017/09/conselhos-para-jovem-empreendedor/")</f>
        <v>https://www.barrazine.com.br/2017/09/conselhos-para-jovem-empreendedor/</v>
      </c>
      <c r="Y426" s="87" t="s">
        <v>8373</v>
      </c>
      <c r="Z426" s="87"/>
      <c r="AA426" s="87"/>
      <c r="AB426" s="87"/>
      <c r="AC426" s="93" t="s">
        <v>11457</v>
      </c>
      <c r="AD426" s="87" t="s">
        <v>11519</v>
      </c>
      <c r="AE426" s="92" t="str">
        <f>HYPERLINK("https://twitter.com/barrazine/status/1698819444028379386")</f>
        <v>https://twitter.com/barrazine/status/1698819444028379386</v>
      </c>
      <c r="AF426" s="90">
        <v>45173.920046296298</v>
      </c>
      <c r="AG426" s="99">
        <v>45173</v>
      </c>
      <c r="AH426" s="93" t="s">
        <v>11936</v>
      </c>
      <c r="AI426" s="87" t="b">
        <v>0</v>
      </c>
      <c r="AJ426" s="87"/>
      <c r="AK426" s="87"/>
      <c r="AL426" s="87"/>
      <c r="AM426" s="87"/>
      <c r="AN426" s="87"/>
      <c r="AO426" s="87"/>
      <c r="AP426" s="87"/>
      <c r="AQ426" s="87"/>
      <c r="AR426" s="87"/>
      <c r="AS426" s="87"/>
      <c r="AT426" s="87"/>
      <c r="AU426" s="87"/>
      <c r="AV426" s="92" t="str">
        <f>HYPERLINK("https://pbs.twimg.com/profile_images/1264584899350102019/t7i9lk35_normal.jpg")</f>
        <v>https://pbs.twimg.com/profile_images/1264584899350102019/t7i9lk35_normal.jpg</v>
      </c>
      <c r="AW426" s="93" t="s">
        <v>18679</v>
      </c>
      <c r="AX426" s="93" t="s">
        <v>18679</v>
      </c>
      <c r="AY426" s="87"/>
      <c r="AZ426" s="93" t="s">
        <v>22668</v>
      </c>
      <c r="BA426" s="93" t="s">
        <v>22668</v>
      </c>
      <c r="BB426" s="93" t="s">
        <v>22668</v>
      </c>
      <c r="BC426" s="93" t="s">
        <v>18679</v>
      </c>
      <c r="BD426" s="87">
        <v>42985931</v>
      </c>
      <c r="BE426" s="87"/>
      <c r="BF426" s="87"/>
      <c r="BG426" s="87"/>
      <c r="BH426" s="87"/>
      <c r="BI426" s="87"/>
    </row>
    <row r="427" spans="1:61" x14ac:dyDescent="0.25">
      <c r="A427" s="63" t="s">
        <v>374</v>
      </c>
      <c r="B427" s="63" t="s">
        <v>374</v>
      </c>
      <c r="C427" s="64"/>
      <c r="D427" s="65"/>
      <c r="E427" s="66"/>
      <c r="F427" s="67"/>
      <c r="G427" s="64"/>
      <c r="H427" s="68"/>
      <c r="I427" s="69"/>
      <c r="J427" s="69"/>
      <c r="K427" s="32"/>
      <c r="L427" s="76">
        <v>427</v>
      </c>
      <c r="M427" s="76"/>
      <c r="N427" s="71"/>
      <c r="O427" s="87" t="s">
        <v>179</v>
      </c>
      <c r="P427" s="90">
        <v>45134.56827546296</v>
      </c>
      <c r="Q427" s="87" t="s">
        <v>2260</v>
      </c>
      <c r="R427" s="87">
        <v>2</v>
      </c>
      <c r="S427" s="87">
        <v>1</v>
      </c>
      <c r="T427" s="87">
        <v>0</v>
      </c>
      <c r="U427" s="87">
        <v>0</v>
      </c>
      <c r="V427" s="87">
        <v>103</v>
      </c>
      <c r="W427" s="93" t="s">
        <v>6170</v>
      </c>
      <c r="X427" s="92" t="str">
        <f>HYPERLINK("https://www.barrazine.com.br/2020/10/meis-pandemia-5-como-se-tornar-mei/")</f>
        <v>https://www.barrazine.com.br/2020/10/meis-pandemia-5-como-se-tornar-mei/</v>
      </c>
      <c r="Y427" s="87" t="s">
        <v>8373</v>
      </c>
      <c r="Z427" s="87"/>
      <c r="AA427" s="87" t="s">
        <v>8931</v>
      </c>
      <c r="AB427" s="87" t="s">
        <v>11448</v>
      </c>
      <c r="AC427" s="93" t="s">
        <v>11457</v>
      </c>
      <c r="AD427" s="87" t="s">
        <v>11519</v>
      </c>
      <c r="AE427" s="92" t="str">
        <f>HYPERLINK("https://twitter.com/barrazine/status/1684558837162860545")</f>
        <v>https://twitter.com/barrazine/status/1684558837162860545</v>
      </c>
      <c r="AF427" s="90">
        <v>45134.56827546296</v>
      </c>
      <c r="AG427" s="99">
        <v>45134</v>
      </c>
      <c r="AH427" s="93" t="s">
        <v>11937</v>
      </c>
      <c r="AI427" s="87" t="b">
        <v>0</v>
      </c>
      <c r="AJ427" s="87"/>
      <c r="AK427" s="87"/>
      <c r="AL427" s="87"/>
      <c r="AM427" s="87"/>
      <c r="AN427" s="87"/>
      <c r="AO427" s="87"/>
      <c r="AP427" s="87"/>
      <c r="AQ427" s="87" t="s">
        <v>15744</v>
      </c>
      <c r="AR427" s="87"/>
      <c r="AS427" s="87"/>
      <c r="AT427" s="87"/>
      <c r="AU427" s="87"/>
      <c r="AV427" s="92" t="str">
        <f>HYPERLINK("https://pbs.twimg.com/media/F2DBUomXoAAU1GN.jpg")</f>
        <v>https://pbs.twimg.com/media/F2DBUomXoAAU1GN.jpg</v>
      </c>
      <c r="AW427" s="93" t="s">
        <v>18680</v>
      </c>
      <c r="AX427" s="93" t="s">
        <v>18680</v>
      </c>
      <c r="AY427" s="87"/>
      <c r="AZ427" s="93" t="s">
        <v>22668</v>
      </c>
      <c r="BA427" s="93" t="s">
        <v>22668</v>
      </c>
      <c r="BB427" s="93" t="s">
        <v>22668</v>
      </c>
      <c r="BC427" s="93" t="s">
        <v>18680</v>
      </c>
      <c r="BD427" s="87">
        <v>42985931</v>
      </c>
      <c r="BE427" s="87"/>
      <c r="BF427" s="87"/>
      <c r="BG427" s="87"/>
      <c r="BH427" s="87"/>
      <c r="BI427" s="87"/>
    </row>
    <row r="428" spans="1:61" x14ac:dyDescent="0.25">
      <c r="A428" s="63" t="s">
        <v>375</v>
      </c>
      <c r="B428" s="63" t="s">
        <v>375</v>
      </c>
      <c r="C428" s="64"/>
      <c r="D428" s="65"/>
      <c r="E428" s="66"/>
      <c r="F428" s="67"/>
      <c r="G428" s="64"/>
      <c r="H428" s="68"/>
      <c r="I428" s="69"/>
      <c r="J428" s="69"/>
      <c r="K428" s="32"/>
      <c r="L428" s="76">
        <v>428</v>
      </c>
      <c r="M428" s="76"/>
      <c r="N428" s="71"/>
      <c r="O428" s="87" t="s">
        <v>179</v>
      </c>
      <c r="P428" s="90">
        <v>45184.731828703705</v>
      </c>
      <c r="Q428" s="87" t="s">
        <v>2261</v>
      </c>
      <c r="R428" s="87">
        <v>0</v>
      </c>
      <c r="S428" s="87">
        <v>0</v>
      </c>
      <c r="T428" s="87">
        <v>0</v>
      </c>
      <c r="U428" s="87">
        <v>0</v>
      </c>
      <c r="V428" s="87">
        <v>11</v>
      </c>
      <c r="W428" s="93" t="s">
        <v>6171</v>
      </c>
      <c r="X428" s="87"/>
      <c r="Y428" s="87"/>
      <c r="Z428" s="87"/>
      <c r="AA428" s="87" t="s">
        <v>8932</v>
      </c>
      <c r="AB428" s="87" t="s">
        <v>11448</v>
      </c>
      <c r="AC428" s="93" t="s">
        <v>11459</v>
      </c>
      <c r="AD428" s="87" t="s">
        <v>11527</v>
      </c>
      <c r="AE428" s="92" t="str">
        <f>HYPERLINK("https://twitter.com/comempresaria/status/1702737504137249026")</f>
        <v>https://twitter.com/comempresaria/status/1702737504137249026</v>
      </c>
      <c r="AF428" s="90">
        <v>45184.731828703705</v>
      </c>
      <c r="AG428" s="99">
        <v>45184</v>
      </c>
      <c r="AH428" s="93" t="s">
        <v>11938</v>
      </c>
      <c r="AI428" s="87" t="b">
        <v>0</v>
      </c>
      <c r="AJ428" s="87"/>
      <c r="AK428" s="87"/>
      <c r="AL428" s="87"/>
      <c r="AM428" s="87"/>
      <c r="AN428" s="87"/>
      <c r="AO428" s="87"/>
      <c r="AP428" s="87"/>
      <c r="AQ428" s="87" t="s">
        <v>15745</v>
      </c>
      <c r="AR428" s="87"/>
      <c r="AS428" s="87"/>
      <c r="AT428" s="87"/>
      <c r="AU428" s="87"/>
      <c r="AV428" s="92" t="str">
        <f>HYPERLINK("https://pbs.twimg.com/media/F6FWu9XWoAANDgt.jpg")</f>
        <v>https://pbs.twimg.com/media/F6FWu9XWoAANDgt.jpg</v>
      </c>
      <c r="AW428" s="93" t="s">
        <v>18681</v>
      </c>
      <c r="AX428" s="93" t="s">
        <v>18681</v>
      </c>
      <c r="AY428" s="87"/>
      <c r="AZ428" s="93" t="s">
        <v>22668</v>
      </c>
      <c r="BA428" s="93" t="s">
        <v>22668</v>
      </c>
      <c r="BB428" s="93" t="s">
        <v>22668</v>
      </c>
      <c r="BC428" s="93" t="s">
        <v>18681</v>
      </c>
      <c r="BD428" s="87">
        <v>242877676</v>
      </c>
      <c r="BE428" s="87"/>
      <c r="BF428" s="87"/>
      <c r="BG428" s="87"/>
      <c r="BH428" s="87"/>
      <c r="BI428" s="87"/>
    </row>
    <row r="429" spans="1:61" x14ac:dyDescent="0.25">
      <c r="A429" s="63" t="s">
        <v>376</v>
      </c>
      <c r="B429" s="63" t="s">
        <v>376</v>
      </c>
      <c r="C429" s="64"/>
      <c r="D429" s="65"/>
      <c r="E429" s="66"/>
      <c r="F429" s="67"/>
      <c r="G429" s="64"/>
      <c r="H429" s="68"/>
      <c r="I429" s="69"/>
      <c r="J429" s="69"/>
      <c r="K429" s="32"/>
      <c r="L429" s="76">
        <v>429</v>
      </c>
      <c r="M429" s="76"/>
      <c r="N429" s="71"/>
      <c r="O429" s="87" t="s">
        <v>179</v>
      </c>
      <c r="P429" s="90">
        <v>45119.612488425926</v>
      </c>
      <c r="Q429" s="87" t="s">
        <v>2262</v>
      </c>
      <c r="R429" s="87">
        <v>0</v>
      </c>
      <c r="S429" s="87">
        <v>0</v>
      </c>
      <c r="T429" s="87">
        <v>0</v>
      </c>
      <c r="U429" s="87">
        <v>0</v>
      </c>
      <c r="V429" s="87">
        <v>10</v>
      </c>
      <c r="W429" s="93" t="s">
        <v>6172</v>
      </c>
      <c r="X429" s="87"/>
      <c r="Y429" s="87"/>
      <c r="Z429" s="87"/>
      <c r="AA429" s="87" t="s">
        <v>8933</v>
      </c>
      <c r="AB429" s="87" t="s">
        <v>11448</v>
      </c>
      <c r="AC429" s="93" t="s">
        <v>11460</v>
      </c>
      <c r="AD429" s="87" t="s">
        <v>11519</v>
      </c>
      <c r="AE429" s="92" t="str">
        <f>HYPERLINK("https://twitter.com/dwlcompany/status/1679139043953504256")</f>
        <v>https://twitter.com/dwlcompany/status/1679139043953504256</v>
      </c>
      <c r="AF429" s="90">
        <v>45119.612488425926</v>
      </c>
      <c r="AG429" s="99">
        <v>45119</v>
      </c>
      <c r="AH429" s="93" t="s">
        <v>11939</v>
      </c>
      <c r="AI429" s="87" t="b">
        <v>0</v>
      </c>
      <c r="AJ429" s="87"/>
      <c r="AK429" s="87"/>
      <c r="AL429" s="87"/>
      <c r="AM429" s="87"/>
      <c r="AN429" s="87"/>
      <c r="AO429" s="87"/>
      <c r="AP429" s="87"/>
      <c r="AQ429" s="87" t="s">
        <v>15746</v>
      </c>
      <c r="AR429" s="87"/>
      <c r="AS429" s="87"/>
      <c r="AT429" s="87"/>
      <c r="AU429" s="87"/>
      <c r="AV429" s="92" t="str">
        <f>HYPERLINK("https://pbs.twimg.com/media/F02AD9tXgAAnf1s.jpg")</f>
        <v>https://pbs.twimg.com/media/F02AD9tXgAAnf1s.jpg</v>
      </c>
      <c r="AW429" s="93" t="s">
        <v>18682</v>
      </c>
      <c r="AX429" s="93" t="s">
        <v>18682</v>
      </c>
      <c r="AY429" s="87"/>
      <c r="AZ429" s="93" t="s">
        <v>22668</v>
      </c>
      <c r="BA429" s="93" t="s">
        <v>22668</v>
      </c>
      <c r="BB429" s="93" t="s">
        <v>22668</v>
      </c>
      <c r="BC429" s="93" t="s">
        <v>18682</v>
      </c>
      <c r="BD429" s="93" t="s">
        <v>22885</v>
      </c>
      <c r="BE429" s="87"/>
      <c r="BF429" s="87"/>
      <c r="BG429" s="87"/>
      <c r="BH429" s="87"/>
      <c r="BI429" s="87"/>
    </row>
    <row r="430" spans="1:61" x14ac:dyDescent="0.25">
      <c r="A430" s="63" t="s">
        <v>377</v>
      </c>
      <c r="B430" s="63" t="s">
        <v>377</v>
      </c>
      <c r="C430" s="64"/>
      <c r="D430" s="65"/>
      <c r="E430" s="66"/>
      <c r="F430" s="67"/>
      <c r="G430" s="64"/>
      <c r="H430" s="68"/>
      <c r="I430" s="69"/>
      <c r="J430" s="69"/>
      <c r="K430" s="32"/>
      <c r="L430" s="76">
        <v>430</v>
      </c>
      <c r="M430" s="76"/>
      <c r="N430" s="71"/>
      <c r="O430" s="87" t="s">
        <v>1840</v>
      </c>
      <c r="P430" s="90">
        <v>45174.882754629631</v>
      </c>
      <c r="Q430" s="87" t="s">
        <v>2263</v>
      </c>
      <c r="R430" s="87">
        <v>0</v>
      </c>
      <c r="S430" s="87">
        <v>0</v>
      </c>
      <c r="T430" s="87">
        <v>0</v>
      </c>
      <c r="U430" s="87">
        <v>0</v>
      </c>
      <c r="V430" s="87">
        <v>15</v>
      </c>
      <c r="W430" s="93" t="s">
        <v>6173</v>
      </c>
      <c r="X430" s="92" t="str">
        <f>HYPERLINK("https://empreendemais.softexamazonia.com.br")</f>
        <v>https://empreendemais.softexamazonia.com.br</v>
      </c>
      <c r="Y430" s="87" t="s">
        <v>8373</v>
      </c>
      <c r="Z430" s="87"/>
      <c r="AA430" s="87"/>
      <c r="AB430" s="87"/>
      <c r="AC430" s="93" t="s">
        <v>11459</v>
      </c>
      <c r="AD430" s="87" t="s">
        <v>11519</v>
      </c>
      <c r="AE430" s="92" t="str">
        <f>HYPERLINK("https://twitter.com/softexbr/status/1699168316563087415")</f>
        <v>https://twitter.com/softexbr/status/1699168316563087415</v>
      </c>
      <c r="AF430" s="90">
        <v>45174.882754629631</v>
      </c>
      <c r="AG430" s="99">
        <v>45174</v>
      </c>
      <c r="AH430" s="93" t="s">
        <v>11940</v>
      </c>
      <c r="AI430" s="87" t="b">
        <v>0</v>
      </c>
      <c r="AJ430" s="87"/>
      <c r="AK430" s="87"/>
      <c r="AL430" s="87"/>
      <c r="AM430" s="87"/>
      <c r="AN430" s="87"/>
      <c r="AO430" s="87"/>
      <c r="AP430" s="87"/>
      <c r="AQ430" s="87"/>
      <c r="AR430" s="87"/>
      <c r="AS430" s="87"/>
      <c r="AT430" s="87"/>
      <c r="AU430" s="87"/>
      <c r="AV430" s="92" t="str">
        <f>HYPERLINK("https://pbs.twimg.com/profile_images/1646616079383289858/-i2c5GLP_normal.jpg")</f>
        <v>https://pbs.twimg.com/profile_images/1646616079383289858/-i2c5GLP_normal.jpg</v>
      </c>
      <c r="AW430" s="93" t="s">
        <v>18683</v>
      </c>
      <c r="AX430" s="93" t="s">
        <v>22317</v>
      </c>
      <c r="AY430" s="93" t="s">
        <v>22527</v>
      </c>
      <c r="AZ430" s="93" t="s">
        <v>22317</v>
      </c>
      <c r="BA430" s="93" t="s">
        <v>22668</v>
      </c>
      <c r="BB430" s="93" t="s">
        <v>22668</v>
      </c>
      <c r="BC430" s="93" t="s">
        <v>22317</v>
      </c>
      <c r="BD430" s="87">
        <v>356886873</v>
      </c>
      <c r="BE430" s="87"/>
      <c r="BF430" s="87"/>
      <c r="BG430" s="87"/>
      <c r="BH430" s="87"/>
      <c r="BI430" s="87"/>
    </row>
    <row r="431" spans="1:61" x14ac:dyDescent="0.25">
      <c r="A431" s="63" t="s">
        <v>378</v>
      </c>
      <c r="B431" s="63" t="s">
        <v>378</v>
      </c>
      <c r="C431" s="64"/>
      <c r="D431" s="65"/>
      <c r="E431" s="66"/>
      <c r="F431" s="67"/>
      <c r="G431" s="64"/>
      <c r="H431" s="68"/>
      <c r="I431" s="69"/>
      <c r="J431" s="69"/>
      <c r="K431" s="32"/>
      <c r="L431" s="76">
        <v>431</v>
      </c>
      <c r="M431" s="76"/>
      <c r="N431" s="71"/>
      <c r="O431" s="87" t="s">
        <v>179</v>
      </c>
      <c r="P431" s="90">
        <v>45133.920636574076</v>
      </c>
      <c r="Q431" s="87" t="s">
        <v>2264</v>
      </c>
      <c r="R431" s="87">
        <v>0</v>
      </c>
      <c r="S431" s="87">
        <v>0</v>
      </c>
      <c r="T431" s="87">
        <v>0</v>
      </c>
      <c r="U431" s="87">
        <v>0</v>
      </c>
      <c r="V431" s="87">
        <v>18</v>
      </c>
      <c r="W431" s="93" t="s">
        <v>5897</v>
      </c>
      <c r="X431" s="92" t="str">
        <f>HYPERLINK("https://www.riosdenoticias.com.br/responsabilidade-social-e-ambiental-empresario-do-grupo-tvlar-comenta-formula-do-sucesso/")</f>
        <v>https://www.riosdenoticias.com.br/responsabilidade-social-e-ambiental-empresario-do-grupo-tvlar-comenta-formula-do-sucesso/</v>
      </c>
      <c r="Y431" s="87" t="s">
        <v>8373</v>
      </c>
      <c r="Z431" s="87"/>
      <c r="AA431" s="87"/>
      <c r="AB431" s="87"/>
      <c r="AC431" s="93" t="s">
        <v>11457</v>
      </c>
      <c r="AD431" s="87" t="s">
        <v>11519</v>
      </c>
      <c r="AE431" s="92" t="str">
        <f>HYPERLINK("https://twitter.com/riosdenoticias/status/1684324141967572992")</f>
        <v>https://twitter.com/riosdenoticias/status/1684324141967572992</v>
      </c>
      <c r="AF431" s="90">
        <v>45133.920636574076</v>
      </c>
      <c r="AG431" s="99">
        <v>45133</v>
      </c>
      <c r="AH431" s="93" t="s">
        <v>11941</v>
      </c>
      <c r="AI431" s="87" t="b">
        <v>0</v>
      </c>
      <c r="AJ431" s="87"/>
      <c r="AK431" s="87"/>
      <c r="AL431" s="87"/>
      <c r="AM431" s="87"/>
      <c r="AN431" s="87"/>
      <c r="AO431" s="87"/>
      <c r="AP431" s="87"/>
      <c r="AQ431" s="87"/>
      <c r="AR431" s="87"/>
      <c r="AS431" s="87"/>
      <c r="AT431" s="87"/>
      <c r="AU431" s="87"/>
      <c r="AV431" s="92" t="str">
        <f>HYPERLINK("https://pbs.twimg.com/profile_images/1641135561397108740/FKuLMWjD_normal.jpg")</f>
        <v>https://pbs.twimg.com/profile_images/1641135561397108740/FKuLMWjD_normal.jpg</v>
      </c>
      <c r="AW431" s="93" t="s">
        <v>18684</v>
      </c>
      <c r="AX431" s="93" t="s">
        <v>18684</v>
      </c>
      <c r="AY431" s="87"/>
      <c r="AZ431" s="93" t="s">
        <v>22668</v>
      </c>
      <c r="BA431" s="93" t="s">
        <v>22668</v>
      </c>
      <c r="BB431" s="93" t="s">
        <v>22668</v>
      </c>
      <c r="BC431" s="93" t="s">
        <v>18684</v>
      </c>
      <c r="BD431" s="93" t="s">
        <v>22886</v>
      </c>
      <c r="BE431" s="87"/>
      <c r="BF431" s="87"/>
      <c r="BG431" s="87"/>
      <c r="BH431" s="87"/>
      <c r="BI431" s="87"/>
    </row>
    <row r="432" spans="1:61" x14ac:dyDescent="0.25">
      <c r="A432" s="63" t="s">
        <v>379</v>
      </c>
      <c r="B432" s="63" t="s">
        <v>379</v>
      </c>
      <c r="C432" s="64"/>
      <c r="D432" s="65"/>
      <c r="E432" s="66"/>
      <c r="F432" s="67"/>
      <c r="G432" s="64"/>
      <c r="H432" s="68"/>
      <c r="I432" s="69"/>
      <c r="J432" s="69"/>
      <c r="K432" s="32"/>
      <c r="L432" s="76">
        <v>432</v>
      </c>
      <c r="M432" s="76"/>
      <c r="N432" s="71"/>
      <c r="O432" s="87" t="s">
        <v>1840</v>
      </c>
      <c r="P432" s="90">
        <v>45146.600254629629</v>
      </c>
      <c r="Q432" s="87" t="s">
        <v>2265</v>
      </c>
      <c r="R432" s="87">
        <v>0</v>
      </c>
      <c r="S432" s="87">
        <v>0</v>
      </c>
      <c r="T432" s="87">
        <v>0</v>
      </c>
      <c r="U432" s="87">
        <v>0</v>
      </c>
      <c r="V432" s="87">
        <v>12</v>
      </c>
      <c r="W432" s="93" t="s">
        <v>6174</v>
      </c>
      <c r="X432" s="92" t="str">
        <f>HYPERLINK("https://libereseucrescimento.com.br/")</f>
        <v>https://libereseucrescimento.com.br/</v>
      </c>
      <c r="Y432" s="87" t="s">
        <v>8373</v>
      </c>
      <c r="Z432" s="87"/>
      <c r="AA432" s="87"/>
      <c r="AB432" s="87"/>
      <c r="AC432" s="93" t="s">
        <v>11457</v>
      </c>
      <c r="AD432" s="87" t="s">
        <v>11519</v>
      </c>
      <c r="AE432" s="92" t="str">
        <f>HYPERLINK("https://twitter.com/omieoficial/status/1688919080974397440")</f>
        <v>https://twitter.com/omieoficial/status/1688919080974397440</v>
      </c>
      <c r="AF432" s="90">
        <v>45146.600254629629</v>
      </c>
      <c r="AG432" s="99">
        <v>45146</v>
      </c>
      <c r="AH432" s="93" t="s">
        <v>11942</v>
      </c>
      <c r="AI432" s="87" t="b">
        <v>0</v>
      </c>
      <c r="AJ432" s="87"/>
      <c r="AK432" s="87"/>
      <c r="AL432" s="87"/>
      <c r="AM432" s="87"/>
      <c r="AN432" s="87"/>
      <c r="AO432" s="87"/>
      <c r="AP432" s="87"/>
      <c r="AQ432" s="87"/>
      <c r="AR432" s="87"/>
      <c r="AS432" s="87"/>
      <c r="AT432" s="87"/>
      <c r="AU432" s="87"/>
      <c r="AV432" s="92" t="str">
        <f>HYPERLINK("https://pbs.twimg.com/profile_images/1387408800009932801/Ahet2vdR_normal.jpg")</f>
        <v>https://pbs.twimg.com/profile_images/1387408800009932801/Ahet2vdR_normal.jpg</v>
      </c>
      <c r="AW432" s="93" t="s">
        <v>18685</v>
      </c>
      <c r="AX432" s="93" t="s">
        <v>22318</v>
      </c>
      <c r="AY432" s="93" t="s">
        <v>22528</v>
      </c>
      <c r="AZ432" s="93" t="s">
        <v>22685</v>
      </c>
      <c r="BA432" s="93" t="s">
        <v>22668</v>
      </c>
      <c r="BB432" s="93" t="s">
        <v>22668</v>
      </c>
      <c r="BC432" s="93" t="s">
        <v>22685</v>
      </c>
      <c r="BD432" s="93" t="s">
        <v>22528</v>
      </c>
      <c r="BE432" s="87"/>
      <c r="BF432" s="87"/>
      <c r="BG432" s="87"/>
      <c r="BH432" s="87"/>
      <c r="BI432" s="87"/>
    </row>
    <row r="433" spans="1:61" x14ac:dyDescent="0.25">
      <c r="A433" s="63" t="s">
        <v>379</v>
      </c>
      <c r="B433" s="63" t="s">
        <v>379</v>
      </c>
      <c r="C433" s="64"/>
      <c r="D433" s="65"/>
      <c r="E433" s="66"/>
      <c r="F433" s="67"/>
      <c r="G433" s="64"/>
      <c r="H433" s="68"/>
      <c r="I433" s="69"/>
      <c r="J433" s="69"/>
      <c r="K433" s="32"/>
      <c r="L433" s="76">
        <v>433</v>
      </c>
      <c r="M433" s="76"/>
      <c r="N433" s="71"/>
      <c r="O433" s="87" t="s">
        <v>1840</v>
      </c>
      <c r="P433" s="90">
        <v>45138.846412037034</v>
      </c>
      <c r="Q433" s="87" t="s">
        <v>2266</v>
      </c>
      <c r="R433" s="87">
        <v>0</v>
      </c>
      <c r="S433" s="87">
        <v>1</v>
      </c>
      <c r="T433" s="87">
        <v>0</v>
      </c>
      <c r="U433" s="87">
        <v>0</v>
      </c>
      <c r="V433" s="87">
        <v>16</v>
      </c>
      <c r="W433" s="93" t="s">
        <v>6175</v>
      </c>
      <c r="X433" s="92" t="str">
        <f>HYPERLINK("http://Omie.Academy")</f>
        <v>http://Omie.Academy</v>
      </c>
      <c r="Y433" s="87" t="s">
        <v>8397</v>
      </c>
      <c r="Z433" s="87"/>
      <c r="AA433" s="87"/>
      <c r="AB433" s="87"/>
      <c r="AC433" s="93" t="s">
        <v>11457</v>
      </c>
      <c r="AD433" s="87" t="s">
        <v>11519</v>
      </c>
      <c r="AE433" s="92" t="str">
        <f>HYPERLINK("https://twitter.com/omieoficial/status/1686109182225686528")</f>
        <v>https://twitter.com/omieoficial/status/1686109182225686528</v>
      </c>
      <c r="AF433" s="90">
        <v>45138.846412037034</v>
      </c>
      <c r="AG433" s="99">
        <v>45138</v>
      </c>
      <c r="AH433" s="93" t="s">
        <v>11943</v>
      </c>
      <c r="AI433" s="87" t="b">
        <v>0</v>
      </c>
      <c r="AJ433" s="87"/>
      <c r="AK433" s="87"/>
      <c r="AL433" s="87"/>
      <c r="AM433" s="87"/>
      <c r="AN433" s="87"/>
      <c r="AO433" s="87"/>
      <c r="AP433" s="87"/>
      <c r="AQ433" s="87"/>
      <c r="AR433" s="87"/>
      <c r="AS433" s="87"/>
      <c r="AT433" s="87"/>
      <c r="AU433" s="87"/>
      <c r="AV433" s="92" t="str">
        <f>HYPERLINK("https://pbs.twimg.com/profile_images/1387408800009932801/Ahet2vdR_normal.jpg")</f>
        <v>https://pbs.twimg.com/profile_images/1387408800009932801/Ahet2vdR_normal.jpg</v>
      </c>
      <c r="AW433" s="93" t="s">
        <v>18686</v>
      </c>
      <c r="AX433" s="93" t="s">
        <v>22319</v>
      </c>
      <c r="AY433" s="93" t="s">
        <v>22528</v>
      </c>
      <c r="AZ433" s="93" t="s">
        <v>22686</v>
      </c>
      <c r="BA433" s="93" t="s">
        <v>22668</v>
      </c>
      <c r="BB433" s="93" t="s">
        <v>22668</v>
      </c>
      <c r="BC433" s="93" t="s">
        <v>22686</v>
      </c>
      <c r="BD433" s="93" t="s">
        <v>22528</v>
      </c>
      <c r="BE433" s="87"/>
      <c r="BF433" s="87"/>
      <c r="BG433" s="87"/>
      <c r="BH433" s="87"/>
      <c r="BI433" s="87"/>
    </row>
    <row r="434" spans="1:61" x14ac:dyDescent="0.25">
      <c r="A434" s="63" t="s">
        <v>380</v>
      </c>
      <c r="B434" s="63" t="s">
        <v>380</v>
      </c>
      <c r="C434" s="64"/>
      <c r="D434" s="65"/>
      <c r="E434" s="66"/>
      <c r="F434" s="67"/>
      <c r="G434" s="64"/>
      <c r="H434" s="68"/>
      <c r="I434" s="69"/>
      <c r="J434" s="69"/>
      <c r="K434" s="32"/>
      <c r="L434" s="76">
        <v>434</v>
      </c>
      <c r="M434" s="76"/>
      <c r="N434" s="71"/>
      <c r="O434" s="87" t="s">
        <v>179</v>
      </c>
      <c r="P434" s="90">
        <v>45132.76525462963</v>
      </c>
      <c r="Q434" s="87" t="s">
        <v>2267</v>
      </c>
      <c r="R434" s="87">
        <v>0</v>
      </c>
      <c r="S434" s="87">
        <v>0</v>
      </c>
      <c r="T434" s="87">
        <v>0</v>
      </c>
      <c r="U434" s="87">
        <v>0</v>
      </c>
      <c r="V434" s="87">
        <v>36</v>
      </c>
      <c r="W434" s="93" t="s">
        <v>5897</v>
      </c>
      <c r="X434" s="92" t="str">
        <f>HYPERLINK("https://bit.ly/43WqmHn")</f>
        <v>https://bit.ly/43WqmHn</v>
      </c>
      <c r="Y434" s="87" t="s">
        <v>8374</v>
      </c>
      <c r="Z434" s="87"/>
      <c r="AA434" s="87"/>
      <c r="AB434" s="87"/>
      <c r="AC434" s="93" t="s">
        <v>11457</v>
      </c>
      <c r="AD434" s="87" t="s">
        <v>11519</v>
      </c>
      <c r="AE434" s="92" t="str">
        <f>HYPERLINK("https://twitter.com/portalgcd/status/1683905446879580160")</f>
        <v>https://twitter.com/portalgcd/status/1683905446879580160</v>
      </c>
      <c r="AF434" s="90">
        <v>45132.76525462963</v>
      </c>
      <c r="AG434" s="99">
        <v>45132</v>
      </c>
      <c r="AH434" s="93" t="s">
        <v>11944</v>
      </c>
      <c r="AI434" s="87" t="b">
        <v>0</v>
      </c>
      <c r="AJ434" s="87"/>
      <c r="AK434" s="87"/>
      <c r="AL434" s="87"/>
      <c r="AM434" s="87"/>
      <c r="AN434" s="87"/>
      <c r="AO434" s="87"/>
      <c r="AP434" s="87"/>
      <c r="AQ434" s="87"/>
      <c r="AR434" s="87"/>
      <c r="AS434" s="87"/>
      <c r="AT434" s="87"/>
      <c r="AU434" s="87"/>
      <c r="AV434" s="92" t="str">
        <f>HYPERLINK("https://pbs.twimg.com/profile_images/1701570246832742400/npXY4R9M_normal.jpg")</f>
        <v>https://pbs.twimg.com/profile_images/1701570246832742400/npXY4R9M_normal.jpg</v>
      </c>
      <c r="AW434" s="93" t="s">
        <v>18687</v>
      </c>
      <c r="AX434" s="93" t="s">
        <v>18687</v>
      </c>
      <c r="AY434" s="87"/>
      <c r="AZ434" s="93" t="s">
        <v>22668</v>
      </c>
      <c r="BA434" s="93" t="s">
        <v>22668</v>
      </c>
      <c r="BB434" s="93" t="s">
        <v>22668</v>
      </c>
      <c r="BC434" s="93" t="s">
        <v>18687</v>
      </c>
      <c r="BD434" s="87">
        <v>467438865</v>
      </c>
      <c r="BE434" s="87"/>
      <c r="BF434" s="87"/>
      <c r="BG434" s="87"/>
      <c r="BH434" s="87"/>
      <c r="BI434" s="87"/>
    </row>
    <row r="435" spans="1:61" x14ac:dyDescent="0.25">
      <c r="A435" s="63" t="s">
        <v>380</v>
      </c>
      <c r="B435" s="63" t="s">
        <v>380</v>
      </c>
      <c r="C435" s="64"/>
      <c r="D435" s="65"/>
      <c r="E435" s="66"/>
      <c r="F435" s="67"/>
      <c r="G435" s="64"/>
      <c r="H435" s="68"/>
      <c r="I435" s="69"/>
      <c r="J435" s="69"/>
      <c r="K435" s="32"/>
      <c r="L435" s="76">
        <v>435</v>
      </c>
      <c r="M435" s="76"/>
      <c r="N435" s="71"/>
      <c r="O435" s="87" t="s">
        <v>179</v>
      </c>
      <c r="P435" s="90">
        <v>45152.602777777778</v>
      </c>
      <c r="Q435" s="87" t="s">
        <v>2268</v>
      </c>
      <c r="R435" s="87">
        <v>0</v>
      </c>
      <c r="S435" s="87">
        <v>0</v>
      </c>
      <c r="T435" s="87">
        <v>0</v>
      </c>
      <c r="U435" s="87">
        <v>0</v>
      </c>
      <c r="V435" s="87">
        <v>24</v>
      </c>
      <c r="W435" s="93" t="s">
        <v>5897</v>
      </c>
      <c r="X435" s="92" t="str">
        <f>HYPERLINK("https://bit.ly/3YAscfQ")</f>
        <v>https://bit.ly/3YAscfQ</v>
      </c>
      <c r="Y435" s="87" t="s">
        <v>8374</v>
      </c>
      <c r="Z435" s="87"/>
      <c r="AA435" s="87"/>
      <c r="AB435" s="87"/>
      <c r="AC435" s="93" t="s">
        <v>11457</v>
      </c>
      <c r="AD435" s="87" t="s">
        <v>11519</v>
      </c>
      <c r="AE435" s="92" t="str">
        <f>HYPERLINK("https://twitter.com/portalgcd/status/1691094322660208640")</f>
        <v>https://twitter.com/portalgcd/status/1691094322660208640</v>
      </c>
      <c r="AF435" s="90">
        <v>45152.602777777778</v>
      </c>
      <c r="AG435" s="99">
        <v>45152</v>
      </c>
      <c r="AH435" s="93" t="s">
        <v>11945</v>
      </c>
      <c r="AI435" s="87" t="b">
        <v>0</v>
      </c>
      <c r="AJ435" s="87"/>
      <c r="AK435" s="87"/>
      <c r="AL435" s="87"/>
      <c r="AM435" s="87"/>
      <c r="AN435" s="87"/>
      <c r="AO435" s="87"/>
      <c r="AP435" s="87"/>
      <c r="AQ435" s="87"/>
      <c r="AR435" s="87"/>
      <c r="AS435" s="87"/>
      <c r="AT435" s="87"/>
      <c r="AU435" s="87"/>
      <c r="AV435" s="92" t="str">
        <f>HYPERLINK("https://pbs.twimg.com/profile_images/1701570246832742400/npXY4R9M_normal.jpg")</f>
        <v>https://pbs.twimg.com/profile_images/1701570246832742400/npXY4R9M_normal.jpg</v>
      </c>
      <c r="AW435" s="93" t="s">
        <v>18688</v>
      </c>
      <c r="AX435" s="93" t="s">
        <v>18688</v>
      </c>
      <c r="AY435" s="87"/>
      <c r="AZ435" s="93" t="s">
        <v>22668</v>
      </c>
      <c r="BA435" s="93" t="s">
        <v>22668</v>
      </c>
      <c r="BB435" s="93" t="s">
        <v>22668</v>
      </c>
      <c r="BC435" s="93" t="s">
        <v>18688</v>
      </c>
      <c r="BD435" s="87">
        <v>467438865</v>
      </c>
      <c r="BE435" s="87"/>
      <c r="BF435" s="87"/>
      <c r="BG435" s="87"/>
      <c r="BH435" s="87"/>
      <c r="BI435" s="87"/>
    </row>
    <row r="436" spans="1:61" x14ac:dyDescent="0.25">
      <c r="A436" s="63" t="s">
        <v>380</v>
      </c>
      <c r="B436" s="63" t="s">
        <v>380</v>
      </c>
      <c r="C436" s="64"/>
      <c r="D436" s="65"/>
      <c r="E436" s="66"/>
      <c r="F436" s="67"/>
      <c r="G436" s="64"/>
      <c r="H436" s="68"/>
      <c r="I436" s="69"/>
      <c r="J436" s="69"/>
      <c r="K436" s="32"/>
      <c r="L436" s="76">
        <v>436</v>
      </c>
      <c r="M436" s="76"/>
      <c r="N436" s="71"/>
      <c r="O436" s="87" t="s">
        <v>179</v>
      </c>
      <c r="P436" s="90">
        <v>45148.820833333331</v>
      </c>
      <c r="Q436" s="87" t="s">
        <v>2269</v>
      </c>
      <c r="R436" s="87">
        <v>0</v>
      </c>
      <c r="S436" s="87">
        <v>0</v>
      </c>
      <c r="T436" s="87">
        <v>0</v>
      </c>
      <c r="U436" s="87">
        <v>0</v>
      </c>
      <c r="V436" s="87">
        <v>27</v>
      </c>
      <c r="W436" s="93" t="s">
        <v>5897</v>
      </c>
      <c r="X436" s="92" t="str">
        <f>HYPERLINK("https://bit.ly/3QB5XEI")</f>
        <v>https://bit.ly/3QB5XEI</v>
      </c>
      <c r="Y436" s="87" t="s">
        <v>8374</v>
      </c>
      <c r="Z436" s="87"/>
      <c r="AA436" s="87"/>
      <c r="AB436" s="87"/>
      <c r="AC436" s="93" t="s">
        <v>11457</v>
      </c>
      <c r="AD436" s="87" t="s">
        <v>11519</v>
      </c>
      <c r="AE436" s="92" t="str">
        <f>HYPERLINK("https://twitter.com/portalgcd/status/1689723791897935873")</f>
        <v>https://twitter.com/portalgcd/status/1689723791897935873</v>
      </c>
      <c r="AF436" s="90">
        <v>45148.820833333331</v>
      </c>
      <c r="AG436" s="99">
        <v>45148</v>
      </c>
      <c r="AH436" s="93" t="s">
        <v>11946</v>
      </c>
      <c r="AI436" s="87" t="b">
        <v>0</v>
      </c>
      <c r="AJ436" s="87"/>
      <c r="AK436" s="87"/>
      <c r="AL436" s="87"/>
      <c r="AM436" s="87"/>
      <c r="AN436" s="87"/>
      <c r="AO436" s="87"/>
      <c r="AP436" s="87"/>
      <c r="AQ436" s="87"/>
      <c r="AR436" s="87"/>
      <c r="AS436" s="87"/>
      <c r="AT436" s="87"/>
      <c r="AU436" s="87"/>
      <c r="AV436" s="92" t="str">
        <f>HYPERLINK("https://pbs.twimg.com/profile_images/1701570246832742400/npXY4R9M_normal.jpg")</f>
        <v>https://pbs.twimg.com/profile_images/1701570246832742400/npXY4R9M_normal.jpg</v>
      </c>
      <c r="AW436" s="93" t="s">
        <v>18689</v>
      </c>
      <c r="AX436" s="93" t="s">
        <v>18689</v>
      </c>
      <c r="AY436" s="87"/>
      <c r="AZ436" s="93" t="s">
        <v>22668</v>
      </c>
      <c r="BA436" s="93" t="s">
        <v>22668</v>
      </c>
      <c r="BB436" s="93" t="s">
        <v>22668</v>
      </c>
      <c r="BC436" s="93" t="s">
        <v>18689</v>
      </c>
      <c r="BD436" s="87">
        <v>467438865</v>
      </c>
      <c r="BE436" s="87"/>
      <c r="BF436" s="87"/>
      <c r="BG436" s="87"/>
      <c r="BH436" s="87"/>
      <c r="BI436" s="87"/>
    </row>
    <row r="437" spans="1:61" x14ac:dyDescent="0.25">
      <c r="A437" s="63" t="s">
        <v>381</v>
      </c>
      <c r="B437" s="63" t="s">
        <v>381</v>
      </c>
      <c r="C437" s="64"/>
      <c r="D437" s="65"/>
      <c r="E437" s="66"/>
      <c r="F437" s="67"/>
      <c r="G437" s="64"/>
      <c r="H437" s="68"/>
      <c r="I437" s="69"/>
      <c r="J437" s="69"/>
      <c r="K437" s="32"/>
      <c r="L437" s="76">
        <v>437</v>
      </c>
      <c r="M437" s="76"/>
      <c r="N437" s="71"/>
      <c r="O437" s="87" t="s">
        <v>179</v>
      </c>
      <c r="P437" s="90">
        <v>45196.500405092593</v>
      </c>
      <c r="Q437" s="87" t="s">
        <v>2270</v>
      </c>
      <c r="R437" s="87">
        <v>0</v>
      </c>
      <c r="S437" s="87">
        <v>0</v>
      </c>
      <c r="T437" s="87">
        <v>0</v>
      </c>
      <c r="U437" s="87">
        <v>0</v>
      </c>
      <c r="V437" s="87">
        <v>133</v>
      </c>
      <c r="W437" s="93" t="s">
        <v>6176</v>
      </c>
      <c r="X437" s="92" t="str">
        <f>HYPERLINK("https://gente.ig.com.br/colunas/gabriel-perline/2023-09-27/xo-xuca--suplemento-surpreende--tubaroes--no-reality-shark-tank.html")</f>
        <v>https://gente.ig.com.br/colunas/gabriel-perline/2023-09-27/xo-xuca--suplemento-surpreende--tubaroes--no-reality-shark-tank.html</v>
      </c>
      <c r="Y437" s="87" t="s">
        <v>8373</v>
      </c>
      <c r="Z437" s="87"/>
      <c r="AA437" s="87"/>
      <c r="AB437" s="87"/>
      <c r="AC437" s="93" t="s">
        <v>11457</v>
      </c>
      <c r="AD437" s="87" t="s">
        <v>11519</v>
      </c>
      <c r="AE437" s="92" t="str">
        <f>HYPERLINK("https://twitter.com/ig/status/1707002292904337860")</f>
        <v>https://twitter.com/ig/status/1707002292904337860</v>
      </c>
      <c r="AF437" s="90">
        <v>45196.500405092593</v>
      </c>
      <c r="AG437" s="99">
        <v>45196</v>
      </c>
      <c r="AH437" s="93" t="s">
        <v>11947</v>
      </c>
      <c r="AI437" s="87" t="b">
        <v>0</v>
      </c>
      <c r="AJ437" s="87"/>
      <c r="AK437" s="87"/>
      <c r="AL437" s="87"/>
      <c r="AM437" s="87"/>
      <c r="AN437" s="87"/>
      <c r="AO437" s="87"/>
      <c r="AP437" s="87"/>
      <c r="AQ437" s="87"/>
      <c r="AR437" s="87"/>
      <c r="AS437" s="87"/>
      <c r="AT437" s="87"/>
      <c r="AU437" s="87"/>
      <c r="AV437" s="92" t="str">
        <f>HYPERLINK("https://pbs.twimg.com/profile_images/1603545636309241856/yvqEuSnz_normal.jpg")</f>
        <v>https://pbs.twimg.com/profile_images/1603545636309241856/yvqEuSnz_normal.jpg</v>
      </c>
      <c r="AW437" s="93" t="s">
        <v>18690</v>
      </c>
      <c r="AX437" s="93" t="s">
        <v>18690</v>
      </c>
      <c r="AY437" s="87"/>
      <c r="AZ437" s="93" t="s">
        <v>22668</v>
      </c>
      <c r="BA437" s="93" t="s">
        <v>22668</v>
      </c>
      <c r="BB437" s="93" t="s">
        <v>22668</v>
      </c>
      <c r="BC437" s="93" t="s">
        <v>18690</v>
      </c>
      <c r="BD437" s="87">
        <v>14311308</v>
      </c>
      <c r="BE437" s="87"/>
      <c r="BF437" s="87"/>
      <c r="BG437" s="87"/>
      <c r="BH437" s="87"/>
      <c r="BI437" s="87"/>
    </row>
    <row r="438" spans="1:61" x14ac:dyDescent="0.25">
      <c r="A438" s="63" t="s">
        <v>382</v>
      </c>
      <c r="B438" s="63" t="s">
        <v>382</v>
      </c>
      <c r="C438" s="64"/>
      <c r="D438" s="65"/>
      <c r="E438" s="66"/>
      <c r="F438" s="67"/>
      <c r="G438" s="64"/>
      <c r="H438" s="68"/>
      <c r="I438" s="69"/>
      <c r="J438" s="69"/>
      <c r="K438" s="32"/>
      <c r="L438" s="76">
        <v>438</v>
      </c>
      <c r="M438" s="76"/>
      <c r="N438" s="71"/>
      <c r="O438" s="87" t="s">
        <v>179</v>
      </c>
      <c r="P438" s="90">
        <v>45125.405011574076</v>
      </c>
      <c r="Q438" s="87" t="s">
        <v>2271</v>
      </c>
      <c r="R438" s="87">
        <v>0</v>
      </c>
      <c r="S438" s="87">
        <v>0</v>
      </c>
      <c r="T438" s="87">
        <v>0</v>
      </c>
      <c r="U438" s="87">
        <v>0</v>
      </c>
      <c r="V438" s="87">
        <v>72</v>
      </c>
      <c r="W438" s="93" t="s">
        <v>6177</v>
      </c>
      <c r="X438" s="92" t="str">
        <f>HYPERLINK("https://www.youtube.com/watch?v=q8bVCO9pLHk")</f>
        <v>https://www.youtube.com/watch?v=q8bVCO9pLHk</v>
      </c>
      <c r="Y438" s="87" t="s">
        <v>8380</v>
      </c>
      <c r="Z438" s="87"/>
      <c r="AA438" s="87"/>
      <c r="AB438" s="87"/>
      <c r="AC438" s="93" t="s">
        <v>11459</v>
      </c>
      <c r="AD438" s="87" t="s">
        <v>11519</v>
      </c>
      <c r="AE438" s="92" t="str">
        <f>HYPERLINK("https://twitter.com/tio_jobs/status/1681238182891778049")</f>
        <v>https://twitter.com/tio_jobs/status/1681238182891778049</v>
      </c>
      <c r="AF438" s="90">
        <v>45125.405011574076</v>
      </c>
      <c r="AG438" s="99">
        <v>45125</v>
      </c>
      <c r="AH438" s="93" t="s">
        <v>11948</v>
      </c>
      <c r="AI438" s="87" t="b">
        <v>0</v>
      </c>
      <c r="AJ438" s="87"/>
      <c r="AK438" s="87"/>
      <c r="AL438" s="87"/>
      <c r="AM438" s="87"/>
      <c r="AN438" s="87"/>
      <c r="AO438" s="87"/>
      <c r="AP438" s="87"/>
      <c r="AQ438" s="87"/>
      <c r="AR438" s="87"/>
      <c r="AS438" s="87"/>
      <c r="AT438" s="87"/>
      <c r="AU438" s="87"/>
      <c r="AV438" s="92" t="str">
        <f>HYPERLINK("https://pbs.twimg.com/profile_images/1540505411484278786/oTrfpqgo_normal.jpg")</f>
        <v>https://pbs.twimg.com/profile_images/1540505411484278786/oTrfpqgo_normal.jpg</v>
      </c>
      <c r="AW438" s="93" t="s">
        <v>18691</v>
      </c>
      <c r="AX438" s="93" t="s">
        <v>18691</v>
      </c>
      <c r="AY438" s="87"/>
      <c r="AZ438" s="93" t="s">
        <v>22668</v>
      </c>
      <c r="BA438" s="93" t="s">
        <v>22668</v>
      </c>
      <c r="BB438" s="93" t="s">
        <v>22668</v>
      </c>
      <c r="BC438" s="93" t="s">
        <v>18691</v>
      </c>
      <c r="BD438" s="93" t="s">
        <v>22887</v>
      </c>
      <c r="BE438" s="87"/>
      <c r="BF438" s="87"/>
      <c r="BG438" s="87"/>
      <c r="BH438" s="87"/>
      <c r="BI438" s="87"/>
    </row>
    <row r="439" spans="1:61" x14ac:dyDescent="0.25">
      <c r="A439" s="63" t="s">
        <v>382</v>
      </c>
      <c r="B439" s="63" t="s">
        <v>382</v>
      </c>
      <c r="C439" s="64"/>
      <c r="D439" s="65"/>
      <c r="E439" s="66"/>
      <c r="F439" s="67"/>
      <c r="G439" s="64"/>
      <c r="H439" s="68"/>
      <c r="I439" s="69"/>
      <c r="J439" s="69"/>
      <c r="K439" s="32"/>
      <c r="L439" s="76">
        <v>439</v>
      </c>
      <c r="M439" s="76"/>
      <c r="N439" s="71"/>
      <c r="O439" s="87" t="s">
        <v>179</v>
      </c>
      <c r="P439" s="90">
        <v>45149.913900462961</v>
      </c>
      <c r="Q439" s="87" t="s">
        <v>2272</v>
      </c>
      <c r="R439" s="87">
        <v>0</v>
      </c>
      <c r="S439" s="87">
        <v>2</v>
      </c>
      <c r="T439" s="87">
        <v>0</v>
      </c>
      <c r="U439" s="87">
        <v>0</v>
      </c>
      <c r="V439" s="87">
        <v>83</v>
      </c>
      <c r="W439" s="93" t="s">
        <v>6178</v>
      </c>
      <c r="X439" s="92" t="str">
        <f>HYPERLINK("https://www.youtube.com/watch?v=gK8ZsrMn2uY")</f>
        <v>https://www.youtube.com/watch?v=gK8ZsrMn2uY</v>
      </c>
      <c r="Y439" s="87" t="s">
        <v>8380</v>
      </c>
      <c r="Z439" s="87"/>
      <c r="AA439" s="87"/>
      <c r="AB439" s="87"/>
      <c r="AC439" s="93" t="s">
        <v>11459</v>
      </c>
      <c r="AD439" s="87" t="s">
        <v>11519</v>
      </c>
      <c r="AE439" s="92" t="str">
        <f>HYPERLINK("https://twitter.com/tio_jobs/status/1690119906266943490")</f>
        <v>https://twitter.com/tio_jobs/status/1690119906266943490</v>
      </c>
      <c r="AF439" s="90">
        <v>45149.913900462961</v>
      </c>
      <c r="AG439" s="99">
        <v>45149</v>
      </c>
      <c r="AH439" s="93" t="s">
        <v>11949</v>
      </c>
      <c r="AI439" s="87" t="b">
        <v>0</v>
      </c>
      <c r="AJ439" s="87"/>
      <c r="AK439" s="87"/>
      <c r="AL439" s="87"/>
      <c r="AM439" s="87"/>
      <c r="AN439" s="87"/>
      <c r="AO439" s="87"/>
      <c r="AP439" s="87"/>
      <c r="AQ439" s="87"/>
      <c r="AR439" s="87"/>
      <c r="AS439" s="87"/>
      <c r="AT439" s="87"/>
      <c r="AU439" s="87"/>
      <c r="AV439" s="92" t="str">
        <f>HYPERLINK("https://pbs.twimg.com/profile_images/1540505411484278786/oTrfpqgo_normal.jpg")</f>
        <v>https://pbs.twimg.com/profile_images/1540505411484278786/oTrfpqgo_normal.jpg</v>
      </c>
      <c r="AW439" s="93" t="s">
        <v>18692</v>
      </c>
      <c r="AX439" s="93" t="s">
        <v>18692</v>
      </c>
      <c r="AY439" s="87"/>
      <c r="AZ439" s="93" t="s">
        <v>22668</v>
      </c>
      <c r="BA439" s="93" t="s">
        <v>22668</v>
      </c>
      <c r="BB439" s="93" t="s">
        <v>22668</v>
      </c>
      <c r="BC439" s="93" t="s">
        <v>18692</v>
      </c>
      <c r="BD439" s="93" t="s">
        <v>22887</v>
      </c>
      <c r="BE439" s="87"/>
      <c r="BF439" s="87"/>
      <c r="BG439" s="87"/>
      <c r="BH439" s="87"/>
      <c r="BI439" s="87"/>
    </row>
    <row r="440" spans="1:61" x14ac:dyDescent="0.25">
      <c r="A440" s="63" t="s">
        <v>382</v>
      </c>
      <c r="B440" s="63" t="s">
        <v>382</v>
      </c>
      <c r="C440" s="64"/>
      <c r="D440" s="65"/>
      <c r="E440" s="66"/>
      <c r="F440" s="67"/>
      <c r="G440" s="64"/>
      <c r="H440" s="68"/>
      <c r="I440" s="69"/>
      <c r="J440" s="69"/>
      <c r="K440" s="32"/>
      <c r="L440" s="76">
        <v>440</v>
      </c>
      <c r="M440" s="76"/>
      <c r="N440" s="71"/>
      <c r="O440" s="87" t="s">
        <v>179</v>
      </c>
      <c r="P440" s="90">
        <v>45121.402997685182</v>
      </c>
      <c r="Q440" s="87" t="s">
        <v>2273</v>
      </c>
      <c r="R440" s="87">
        <v>0</v>
      </c>
      <c r="S440" s="87">
        <v>0</v>
      </c>
      <c r="T440" s="87">
        <v>0</v>
      </c>
      <c r="U440" s="87">
        <v>0</v>
      </c>
      <c r="V440" s="87">
        <v>83</v>
      </c>
      <c r="W440" s="93" t="s">
        <v>6179</v>
      </c>
      <c r="X440" s="92" t="str">
        <f>HYPERLINK("https://www.youtube.com/watch?v=kRC9uGfBzLk")</f>
        <v>https://www.youtube.com/watch?v=kRC9uGfBzLk</v>
      </c>
      <c r="Y440" s="87" t="s">
        <v>8380</v>
      </c>
      <c r="Z440" s="87"/>
      <c r="AA440" s="87"/>
      <c r="AB440" s="87"/>
      <c r="AC440" s="93" t="s">
        <v>11459</v>
      </c>
      <c r="AD440" s="87" t="s">
        <v>11519</v>
      </c>
      <c r="AE440" s="92" t="str">
        <f>HYPERLINK("https://twitter.com/tio_jobs/status/1679787902891335682")</f>
        <v>https://twitter.com/tio_jobs/status/1679787902891335682</v>
      </c>
      <c r="AF440" s="90">
        <v>45121.402997685182</v>
      </c>
      <c r="AG440" s="99">
        <v>45121</v>
      </c>
      <c r="AH440" s="93" t="s">
        <v>11950</v>
      </c>
      <c r="AI440" s="87" t="b">
        <v>0</v>
      </c>
      <c r="AJ440" s="87"/>
      <c r="AK440" s="87"/>
      <c r="AL440" s="87"/>
      <c r="AM440" s="87"/>
      <c r="AN440" s="87"/>
      <c r="AO440" s="87"/>
      <c r="AP440" s="87"/>
      <c r="AQ440" s="87"/>
      <c r="AR440" s="87"/>
      <c r="AS440" s="87"/>
      <c r="AT440" s="87"/>
      <c r="AU440" s="87"/>
      <c r="AV440" s="92" t="str">
        <f>HYPERLINK("https://pbs.twimg.com/profile_images/1540505411484278786/oTrfpqgo_normal.jpg")</f>
        <v>https://pbs.twimg.com/profile_images/1540505411484278786/oTrfpqgo_normal.jpg</v>
      </c>
      <c r="AW440" s="93" t="s">
        <v>18693</v>
      </c>
      <c r="AX440" s="93" t="s">
        <v>18693</v>
      </c>
      <c r="AY440" s="87"/>
      <c r="AZ440" s="93" t="s">
        <v>22668</v>
      </c>
      <c r="BA440" s="93" t="s">
        <v>22668</v>
      </c>
      <c r="BB440" s="93" t="s">
        <v>22668</v>
      </c>
      <c r="BC440" s="93" t="s">
        <v>18693</v>
      </c>
      <c r="BD440" s="93" t="s">
        <v>22887</v>
      </c>
      <c r="BE440" s="87"/>
      <c r="BF440" s="87"/>
      <c r="BG440" s="87"/>
      <c r="BH440" s="87"/>
      <c r="BI440" s="87"/>
    </row>
    <row r="441" spans="1:61" x14ac:dyDescent="0.25">
      <c r="A441" s="63" t="s">
        <v>382</v>
      </c>
      <c r="B441" s="63" t="s">
        <v>382</v>
      </c>
      <c r="C441" s="64"/>
      <c r="D441" s="65"/>
      <c r="E441" s="66"/>
      <c r="F441" s="67"/>
      <c r="G441" s="64"/>
      <c r="H441" s="68"/>
      <c r="I441" s="69"/>
      <c r="J441" s="69"/>
      <c r="K441" s="32"/>
      <c r="L441" s="76">
        <v>441</v>
      </c>
      <c r="M441" s="76"/>
      <c r="N441" s="71"/>
      <c r="O441" s="87" t="s">
        <v>179</v>
      </c>
      <c r="P441" s="90">
        <v>45182.409236111111</v>
      </c>
      <c r="Q441" s="87" t="s">
        <v>2274</v>
      </c>
      <c r="R441" s="87">
        <v>0</v>
      </c>
      <c r="S441" s="87">
        <v>0</v>
      </c>
      <c r="T441" s="87">
        <v>0</v>
      </c>
      <c r="U441" s="87">
        <v>0</v>
      </c>
      <c r="V441" s="87">
        <v>56</v>
      </c>
      <c r="W441" s="93" t="s">
        <v>6180</v>
      </c>
      <c r="X441" s="92" t="str">
        <f>HYPERLINK("https://www.youtube.com/watch?v=q9DJUWfaMzo")</f>
        <v>https://www.youtube.com/watch?v=q9DJUWfaMzo</v>
      </c>
      <c r="Y441" s="87" t="s">
        <v>8380</v>
      </c>
      <c r="Z441" s="87"/>
      <c r="AA441" s="87"/>
      <c r="AB441" s="87"/>
      <c r="AC441" s="93" t="s">
        <v>11459</v>
      </c>
      <c r="AD441" s="87" t="s">
        <v>11519</v>
      </c>
      <c r="AE441" s="92" t="str">
        <f>HYPERLINK("https://twitter.com/tio_jobs/status/1701895821103349881")</f>
        <v>https://twitter.com/tio_jobs/status/1701895821103349881</v>
      </c>
      <c r="AF441" s="90">
        <v>45182.409236111111</v>
      </c>
      <c r="AG441" s="99">
        <v>45182</v>
      </c>
      <c r="AH441" s="93" t="s">
        <v>11951</v>
      </c>
      <c r="AI441" s="87" t="b">
        <v>0</v>
      </c>
      <c r="AJ441" s="87"/>
      <c r="AK441" s="87"/>
      <c r="AL441" s="87"/>
      <c r="AM441" s="87"/>
      <c r="AN441" s="87"/>
      <c r="AO441" s="87"/>
      <c r="AP441" s="87"/>
      <c r="AQ441" s="87"/>
      <c r="AR441" s="87"/>
      <c r="AS441" s="87"/>
      <c r="AT441" s="87"/>
      <c r="AU441" s="87"/>
      <c r="AV441" s="92" t="str">
        <f>HYPERLINK("https://pbs.twimg.com/profile_images/1540505411484278786/oTrfpqgo_normal.jpg")</f>
        <v>https://pbs.twimg.com/profile_images/1540505411484278786/oTrfpqgo_normal.jpg</v>
      </c>
      <c r="AW441" s="93" t="s">
        <v>18694</v>
      </c>
      <c r="AX441" s="93" t="s">
        <v>18694</v>
      </c>
      <c r="AY441" s="87"/>
      <c r="AZ441" s="93" t="s">
        <v>22668</v>
      </c>
      <c r="BA441" s="93" t="s">
        <v>22668</v>
      </c>
      <c r="BB441" s="93" t="s">
        <v>22668</v>
      </c>
      <c r="BC441" s="93" t="s">
        <v>18694</v>
      </c>
      <c r="BD441" s="93" t="s">
        <v>22887</v>
      </c>
      <c r="BE441" s="87"/>
      <c r="BF441" s="87"/>
      <c r="BG441" s="87"/>
      <c r="BH441" s="87"/>
      <c r="BI441" s="87"/>
    </row>
    <row r="442" spans="1:61" x14ac:dyDescent="0.25">
      <c r="A442" s="63" t="s">
        <v>382</v>
      </c>
      <c r="B442" s="63" t="s">
        <v>382</v>
      </c>
      <c r="C442" s="64"/>
      <c r="D442" s="65"/>
      <c r="E442" s="66"/>
      <c r="F442" s="67"/>
      <c r="G442" s="64"/>
      <c r="H442" s="68"/>
      <c r="I442" s="69"/>
      <c r="J442" s="69"/>
      <c r="K442" s="32"/>
      <c r="L442" s="76">
        <v>442</v>
      </c>
      <c r="M442" s="76"/>
      <c r="N442" s="71"/>
      <c r="O442" s="87" t="s">
        <v>179</v>
      </c>
      <c r="P442" s="90">
        <v>45188.409351851849</v>
      </c>
      <c r="Q442" s="87" t="s">
        <v>2275</v>
      </c>
      <c r="R442" s="87">
        <v>0</v>
      </c>
      <c r="S442" s="87">
        <v>0</v>
      </c>
      <c r="T442" s="87">
        <v>0</v>
      </c>
      <c r="U442" s="87">
        <v>0</v>
      </c>
      <c r="V442" s="87">
        <v>71</v>
      </c>
      <c r="W442" s="93" t="s">
        <v>6181</v>
      </c>
      <c r="X442" s="92" t="str">
        <f>HYPERLINK("https://www.youtube.com/watch?v=ANnBIdbhMIE")</f>
        <v>https://www.youtube.com/watch?v=ANnBIdbhMIE</v>
      </c>
      <c r="Y442" s="87" t="s">
        <v>8380</v>
      </c>
      <c r="Z442" s="87"/>
      <c r="AA442" s="87"/>
      <c r="AB442" s="87"/>
      <c r="AC442" s="93" t="s">
        <v>11459</v>
      </c>
      <c r="AD442" s="87" t="s">
        <v>11519</v>
      </c>
      <c r="AE442" s="92" t="str">
        <f>HYPERLINK("https://twitter.com/tio_jobs/status/1704070191636689116")</f>
        <v>https://twitter.com/tio_jobs/status/1704070191636689116</v>
      </c>
      <c r="AF442" s="90">
        <v>45188.409351851849</v>
      </c>
      <c r="AG442" s="99">
        <v>45188</v>
      </c>
      <c r="AH442" s="93" t="s">
        <v>11952</v>
      </c>
      <c r="AI442" s="87" t="b">
        <v>0</v>
      </c>
      <c r="AJ442" s="87"/>
      <c r="AK442" s="87"/>
      <c r="AL442" s="87"/>
      <c r="AM442" s="87"/>
      <c r="AN442" s="87"/>
      <c r="AO442" s="87"/>
      <c r="AP442" s="87"/>
      <c r="AQ442" s="87"/>
      <c r="AR442" s="87"/>
      <c r="AS442" s="87"/>
      <c r="AT442" s="87"/>
      <c r="AU442" s="87"/>
      <c r="AV442" s="92" t="str">
        <f>HYPERLINK("https://pbs.twimg.com/profile_images/1540505411484278786/oTrfpqgo_normal.jpg")</f>
        <v>https://pbs.twimg.com/profile_images/1540505411484278786/oTrfpqgo_normal.jpg</v>
      </c>
      <c r="AW442" s="93" t="s">
        <v>18695</v>
      </c>
      <c r="AX442" s="93" t="s">
        <v>18695</v>
      </c>
      <c r="AY442" s="87"/>
      <c r="AZ442" s="93" t="s">
        <v>22668</v>
      </c>
      <c r="BA442" s="93" t="s">
        <v>22668</v>
      </c>
      <c r="BB442" s="93" t="s">
        <v>22668</v>
      </c>
      <c r="BC442" s="93" t="s">
        <v>18695</v>
      </c>
      <c r="BD442" s="93" t="s">
        <v>22887</v>
      </c>
      <c r="BE442" s="87"/>
      <c r="BF442" s="87"/>
      <c r="BG442" s="87"/>
      <c r="BH442" s="87"/>
      <c r="BI442" s="87"/>
    </row>
    <row r="443" spans="1:61" x14ac:dyDescent="0.25">
      <c r="A443" s="63" t="s">
        <v>383</v>
      </c>
      <c r="B443" s="63" t="s">
        <v>1537</v>
      </c>
      <c r="C443" s="64"/>
      <c r="D443" s="65"/>
      <c r="E443" s="66"/>
      <c r="F443" s="67"/>
      <c r="G443" s="64"/>
      <c r="H443" s="68"/>
      <c r="I443" s="69"/>
      <c r="J443" s="69"/>
      <c r="K443" s="32"/>
      <c r="L443" s="76">
        <v>443</v>
      </c>
      <c r="M443" s="76"/>
      <c r="N443" s="71"/>
      <c r="O443" s="87" t="s">
        <v>1841</v>
      </c>
      <c r="P443" s="90">
        <v>45196.524247685185</v>
      </c>
      <c r="Q443" s="87" t="s">
        <v>2276</v>
      </c>
      <c r="R443" s="87">
        <v>2</v>
      </c>
      <c r="S443" s="87">
        <v>0</v>
      </c>
      <c r="T443" s="87">
        <v>0</v>
      </c>
      <c r="U443" s="87">
        <v>0</v>
      </c>
      <c r="V443" s="87"/>
      <c r="W443" s="87"/>
      <c r="X443" s="87"/>
      <c r="Y443" s="87"/>
      <c r="Z443" s="87" t="s">
        <v>1537</v>
      </c>
      <c r="AA443" s="87"/>
      <c r="AB443" s="87"/>
      <c r="AC443" s="93" t="s">
        <v>11457</v>
      </c>
      <c r="AD443" s="87" t="s">
        <v>11519</v>
      </c>
      <c r="AE443" s="92" t="str">
        <f>HYPERLINK("https://twitter.com/guidupas/status/1707010931895537885")</f>
        <v>https://twitter.com/guidupas/status/1707010931895537885</v>
      </c>
      <c r="AF443" s="90">
        <v>45196.524247685185</v>
      </c>
      <c r="AG443" s="99">
        <v>45196</v>
      </c>
      <c r="AH443" s="93" t="s">
        <v>11953</v>
      </c>
      <c r="AI443" s="87" t="b">
        <v>0</v>
      </c>
      <c r="AJ443" s="87"/>
      <c r="AK443" s="87"/>
      <c r="AL443" s="87"/>
      <c r="AM443" s="87"/>
      <c r="AN443" s="87"/>
      <c r="AO443" s="87"/>
      <c r="AP443" s="87"/>
      <c r="AQ443" s="87"/>
      <c r="AR443" s="87"/>
      <c r="AS443" s="87"/>
      <c r="AT443" s="87"/>
      <c r="AU443" s="87"/>
      <c r="AV443" s="92" t="str">
        <f>HYPERLINK("https://pbs.twimg.com/profile_images/578239579540475904/fkBOJ_h2_normal.jpeg")</f>
        <v>https://pbs.twimg.com/profile_images/578239579540475904/fkBOJ_h2_normal.jpeg</v>
      </c>
      <c r="AW443" s="93" t="s">
        <v>18696</v>
      </c>
      <c r="AX443" s="93" t="s">
        <v>18696</v>
      </c>
      <c r="AY443" s="87"/>
      <c r="AZ443" s="93" t="s">
        <v>22668</v>
      </c>
      <c r="BA443" s="93" t="s">
        <v>22668</v>
      </c>
      <c r="BB443" s="93" t="s">
        <v>22060</v>
      </c>
      <c r="BC443" s="93" t="s">
        <v>22060</v>
      </c>
      <c r="BD443" s="87">
        <v>207818181</v>
      </c>
      <c r="BE443" s="87"/>
      <c r="BF443" s="87"/>
      <c r="BG443" s="87"/>
      <c r="BH443" s="87"/>
      <c r="BI443" s="87"/>
    </row>
    <row r="444" spans="1:61" x14ac:dyDescent="0.25">
      <c r="A444" s="63" t="s">
        <v>383</v>
      </c>
      <c r="B444" s="63" t="s">
        <v>1633</v>
      </c>
      <c r="C444" s="64"/>
      <c r="D444" s="65"/>
      <c r="E444" s="66"/>
      <c r="F444" s="67"/>
      <c r="G444" s="64"/>
      <c r="H444" s="68"/>
      <c r="I444" s="69"/>
      <c r="J444" s="69"/>
      <c r="K444" s="32"/>
      <c r="L444" s="76">
        <v>444</v>
      </c>
      <c r="M444" s="76"/>
      <c r="N444" s="71"/>
      <c r="O444" s="87" t="s">
        <v>1843</v>
      </c>
      <c r="P444" s="90">
        <v>45196.472546296296</v>
      </c>
      <c r="Q444" s="87" t="s">
        <v>2277</v>
      </c>
      <c r="R444" s="87">
        <v>1</v>
      </c>
      <c r="S444" s="87">
        <v>0</v>
      </c>
      <c r="T444" s="87">
        <v>0</v>
      </c>
      <c r="U444" s="87">
        <v>0</v>
      </c>
      <c r="V444" s="87"/>
      <c r="W444" s="93" t="s">
        <v>6182</v>
      </c>
      <c r="X444" s="87"/>
      <c r="Y444" s="87"/>
      <c r="Z444" s="87" t="s">
        <v>8566</v>
      </c>
      <c r="AA444" s="87"/>
      <c r="AB444" s="87"/>
      <c r="AC444" s="93" t="s">
        <v>11457</v>
      </c>
      <c r="AD444" s="87" t="s">
        <v>11523</v>
      </c>
      <c r="AE444" s="92" t="str">
        <f>HYPERLINK("https://twitter.com/guidupas/status/1706992194647687380")</f>
        <v>https://twitter.com/guidupas/status/1706992194647687380</v>
      </c>
      <c r="AF444" s="90">
        <v>45196.472546296296</v>
      </c>
      <c r="AG444" s="99">
        <v>45196</v>
      </c>
      <c r="AH444" s="93" t="s">
        <v>11954</v>
      </c>
      <c r="AI444" s="87" t="b">
        <v>0</v>
      </c>
      <c r="AJ444" s="87"/>
      <c r="AK444" s="87"/>
      <c r="AL444" s="87"/>
      <c r="AM444" s="87"/>
      <c r="AN444" s="87"/>
      <c r="AO444" s="87"/>
      <c r="AP444" s="87"/>
      <c r="AQ444" s="87"/>
      <c r="AR444" s="87"/>
      <c r="AS444" s="87"/>
      <c r="AT444" s="87"/>
      <c r="AU444" s="87"/>
      <c r="AV444" s="92" t="str">
        <f>HYPERLINK("https://pbs.twimg.com/profile_images/578239579540475904/fkBOJ_h2_normal.jpeg")</f>
        <v>https://pbs.twimg.com/profile_images/578239579540475904/fkBOJ_h2_normal.jpeg</v>
      </c>
      <c r="AW444" s="93" t="s">
        <v>18697</v>
      </c>
      <c r="AX444" s="93" t="s">
        <v>18697</v>
      </c>
      <c r="AY444" s="87"/>
      <c r="AZ444" s="93" t="s">
        <v>22668</v>
      </c>
      <c r="BA444" s="93" t="s">
        <v>22668</v>
      </c>
      <c r="BB444" s="93" t="s">
        <v>22059</v>
      </c>
      <c r="BC444" s="93" t="s">
        <v>22059</v>
      </c>
      <c r="BD444" s="87">
        <v>207818181</v>
      </c>
      <c r="BE444" s="87"/>
      <c r="BF444" s="87"/>
      <c r="BG444" s="87"/>
      <c r="BH444" s="87"/>
      <c r="BI444" s="87"/>
    </row>
    <row r="445" spans="1:61" x14ac:dyDescent="0.25">
      <c r="A445" s="63" t="s">
        <v>383</v>
      </c>
      <c r="B445" s="63" t="s">
        <v>1634</v>
      </c>
      <c r="C445" s="64"/>
      <c r="D445" s="65"/>
      <c r="E445" s="66"/>
      <c r="F445" s="67"/>
      <c r="G445" s="64"/>
      <c r="H445" s="68"/>
      <c r="I445" s="69"/>
      <c r="J445" s="69"/>
      <c r="K445" s="32"/>
      <c r="L445" s="76">
        <v>445</v>
      </c>
      <c r="M445" s="76"/>
      <c r="N445" s="71"/>
      <c r="O445" s="87" t="s">
        <v>1843</v>
      </c>
      <c r="P445" s="90">
        <v>45196.472546296296</v>
      </c>
      <c r="Q445" s="87" t="s">
        <v>2277</v>
      </c>
      <c r="R445" s="87">
        <v>1</v>
      </c>
      <c r="S445" s="87">
        <v>0</v>
      </c>
      <c r="T445" s="87">
        <v>0</v>
      </c>
      <c r="U445" s="87">
        <v>0</v>
      </c>
      <c r="V445" s="87"/>
      <c r="W445" s="93" t="s">
        <v>6182</v>
      </c>
      <c r="X445" s="87"/>
      <c r="Y445" s="87"/>
      <c r="Z445" s="87" t="s">
        <v>8566</v>
      </c>
      <c r="AA445" s="87"/>
      <c r="AB445" s="87"/>
      <c r="AC445" s="93" t="s">
        <v>11457</v>
      </c>
      <c r="AD445" s="87" t="s">
        <v>11523</v>
      </c>
      <c r="AE445" s="92" t="str">
        <f>HYPERLINK("https://twitter.com/guidupas/status/1706992194647687380")</f>
        <v>https://twitter.com/guidupas/status/1706992194647687380</v>
      </c>
      <c r="AF445" s="90">
        <v>45196.472546296296</v>
      </c>
      <c r="AG445" s="99">
        <v>45196</v>
      </c>
      <c r="AH445" s="93" t="s">
        <v>11954</v>
      </c>
      <c r="AI445" s="87" t="b">
        <v>0</v>
      </c>
      <c r="AJ445" s="87"/>
      <c r="AK445" s="87"/>
      <c r="AL445" s="87"/>
      <c r="AM445" s="87"/>
      <c r="AN445" s="87"/>
      <c r="AO445" s="87"/>
      <c r="AP445" s="87"/>
      <c r="AQ445" s="87"/>
      <c r="AR445" s="87"/>
      <c r="AS445" s="87"/>
      <c r="AT445" s="87"/>
      <c r="AU445" s="87"/>
      <c r="AV445" s="92" t="str">
        <f>HYPERLINK("https://pbs.twimg.com/profile_images/578239579540475904/fkBOJ_h2_normal.jpeg")</f>
        <v>https://pbs.twimg.com/profile_images/578239579540475904/fkBOJ_h2_normal.jpeg</v>
      </c>
      <c r="AW445" s="93" t="s">
        <v>18697</v>
      </c>
      <c r="AX445" s="93" t="s">
        <v>18697</v>
      </c>
      <c r="AY445" s="87"/>
      <c r="AZ445" s="93" t="s">
        <v>22668</v>
      </c>
      <c r="BA445" s="93" t="s">
        <v>22668</v>
      </c>
      <c r="BB445" s="93" t="s">
        <v>22059</v>
      </c>
      <c r="BC445" s="93" t="s">
        <v>22059</v>
      </c>
      <c r="BD445" s="87">
        <v>207818181</v>
      </c>
      <c r="BE445" s="87"/>
      <c r="BF445" s="87"/>
      <c r="BG445" s="87"/>
      <c r="BH445" s="87"/>
      <c r="BI445" s="87"/>
    </row>
    <row r="446" spans="1:61" x14ac:dyDescent="0.25">
      <c r="A446" s="63" t="s">
        <v>383</v>
      </c>
      <c r="B446" s="63" t="s">
        <v>1537</v>
      </c>
      <c r="C446" s="64"/>
      <c r="D446" s="65"/>
      <c r="E446" s="66"/>
      <c r="F446" s="67"/>
      <c r="G446" s="64"/>
      <c r="H446" s="68"/>
      <c r="I446" s="69"/>
      <c r="J446" s="69"/>
      <c r="K446" s="32"/>
      <c r="L446" s="76">
        <v>446</v>
      </c>
      <c r="M446" s="76"/>
      <c r="N446" s="71"/>
      <c r="O446" s="87" t="s">
        <v>1841</v>
      </c>
      <c r="P446" s="90">
        <v>45196.472546296296</v>
      </c>
      <c r="Q446" s="87" t="s">
        <v>2277</v>
      </c>
      <c r="R446" s="87">
        <v>1</v>
      </c>
      <c r="S446" s="87">
        <v>0</v>
      </c>
      <c r="T446" s="87">
        <v>0</v>
      </c>
      <c r="U446" s="87">
        <v>0</v>
      </c>
      <c r="V446" s="87"/>
      <c r="W446" s="93" t="s">
        <v>6182</v>
      </c>
      <c r="X446" s="87"/>
      <c r="Y446" s="87"/>
      <c r="Z446" s="87" t="s">
        <v>8566</v>
      </c>
      <c r="AA446" s="87"/>
      <c r="AB446" s="87"/>
      <c r="AC446" s="93" t="s">
        <v>11457</v>
      </c>
      <c r="AD446" s="87" t="s">
        <v>11523</v>
      </c>
      <c r="AE446" s="92" t="str">
        <f>HYPERLINK("https://twitter.com/guidupas/status/1706992194647687380")</f>
        <v>https://twitter.com/guidupas/status/1706992194647687380</v>
      </c>
      <c r="AF446" s="90">
        <v>45196.472546296296</v>
      </c>
      <c r="AG446" s="99">
        <v>45196</v>
      </c>
      <c r="AH446" s="93" t="s">
        <v>11954</v>
      </c>
      <c r="AI446" s="87" t="b">
        <v>0</v>
      </c>
      <c r="AJ446" s="87"/>
      <c r="AK446" s="87"/>
      <c r="AL446" s="87"/>
      <c r="AM446" s="87"/>
      <c r="AN446" s="87"/>
      <c r="AO446" s="87"/>
      <c r="AP446" s="87"/>
      <c r="AQ446" s="87"/>
      <c r="AR446" s="87"/>
      <c r="AS446" s="87"/>
      <c r="AT446" s="87"/>
      <c r="AU446" s="87"/>
      <c r="AV446" s="92" t="str">
        <f>HYPERLINK("https://pbs.twimg.com/profile_images/578239579540475904/fkBOJ_h2_normal.jpeg")</f>
        <v>https://pbs.twimg.com/profile_images/578239579540475904/fkBOJ_h2_normal.jpeg</v>
      </c>
      <c r="AW446" s="93" t="s">
        <v>18697</v>
      </c>
      <c r="AX446" s="93" t="s">
        <v>18697</v>
      </c>
      <c r="AY446" s="87"/>
      <c r="AZ446" s="93" t="s">
        <v>22668</v>
      </c>
      <c r="BA446" s="93" t="s">
        <v>22668</v>
      </c>
      <c r="BB446" s="93" t="s">
        <v>22059</v>
      </c>
      <c r="BC446" s="93" t="s">
        <v>22059</v>
      </c>
      <c r="BD446" s="87">
        <v>207818181</v>
      </c>
      <c r="BE446" s="87"/>
      <c r="BF446" s="87"/>
      <c r="BG446" s="87"/>
      <c r="BH446" s="87"/>
      <c r="BI446" s="87"/>
    </row>
    <row r="447" spans="1:61" x14ac:dyDescent="0.25">
      <c r="A447" s="63" t="s">
        <v>384</v>
      </c>
      <c r="B447" s="63" t="s">
        <v>384</v>
      </c>
      <c r="C447" s="64"/>
      <c r="D447" s="65"/>
      <c r="E447" s="66"/>
      <c r="F447" s="67"/>
      <c r="G447" s="64"/>
      <c r="H447" s="68"/>
      <c r="I447" s="69"/>
      <c r="J447" s="69"/>
      <c r="K447" s="32"/>
      <c r="L447" s="76">
        <v>447</v>
      </c>
      <c r="M447" s="76"/>
      <c r="N447" s="71"/>
      <c r="O447" s="87" t="s">
        <v>179</v>
      </c>
      <c r="P447" s="90">
        <v>45183.538900462961</v>
      </c>
      <c r="Q447" s="87" t="s">
        <v>2278</v>
      </c>
      <c r="R447" s="87">
        <v>0</v>
      </c>
      <c r="S447" s="87">
        <v>0</v>
      </c>
      <c r="T447" s="87">
        <v>0</v>
      </c>
      <c r="U447" s="87">
        <v>0</v>
      </c>
      <c r="V447" s="87">
        <v>42</v>
      </c>
      <c r="W447" s="93" t="s">
        <v>6183</v>
      </c>
      <c r="X447" s="92" t="str">
        <f>HYPERLINK("https://gestaumdigital.com.br/obrigatoriedade-nota-fiscal-mei/")</f>
        <v>https://gestaumdigital.com.br/obrigatoriedade-nota-fiscal-mei/</v>
      </c>
      <c r="Y447" s="87" t="s">
        <v>8373</v>
      </c>
      <c r="Z447" s="87"/>
      <c r="AA447" s="87" t="s">
        <v>8934</v>
      </c>
      <c r="AB447" s="87" t="s">
        <v>11448</v>
      </c>
      <c r="AC447" s="93" t="s">
        <v>11467</v>
      </c>
      <c r="AD447" s="87" t="s">
        <v>11519</v>
      </c>
      <c r="AE447" s="92" t="str">
        <f>HYPERLINK("https://twitter.com/gestaumdigital/status/1702305198926946627")</f>
        <v>https://twitter.com/gestaumdigital/status/1702305198926946627</v>
      </c>
      <c r="AF447" s="90">
        <v>45183.538900462961</v>
      </c>
      <c r="AG447" s="99">
        <v>45183</v>
      </c>
      <c r="AH447" s="93" t="s">
        <v>11955</v>
      </c>
      <c r="AI447" s="87" t="b">
        <v>0</v>
      </c>
      <c r="AJ447" s="87"/>
      <c r="AK447" s="87"/>
      <c r="AL447" s="87"/>
      <c r="AM447" s="87"/>
      <c r="AN447" s="87"/>
      <c r="AO447" s="87"/>
      <c r="AP447" s="87"/>
      <c r="AQ447" s="87" t="s">
        <v>15747</v>
      </c>
      <c r="AR447" s="87"/>
      <c r="AS447" s="87"/>
      <c r="AT447" s="87"/>
      <c r="AU447" s="87"/>
      <c r="AV447" s="92" t="str">
        <f>HYPERLINK("https://pbs.twimg.com/media/F5_Njp_WYAATkeD.jpg")</f>
        <v>https://pbs.twimg.com/media/F5_Njp_WYAATkeD.jpg</v>
      </c>
      <c r="AW447" s="93" t="s">
        <v>18698</v>
      </c>
      <c r="AX447" s="93" t="s">
        <v>18698</v>
      </c>
      <c r="AY447" s="87"/>
      <c r="AZ447" s="93" t="s">
        <v>22668</v>
      </c>
      <c r="BA447" s="93" t="s">
        <v>22668</v>
      </c>
      <c r="BB447" s="93" t="s">
        <v>22668</v>
      </c>
      <c r="BC447" s="93" t="s">
        <v>18698</v>
      </c>
      <c r="BD447" s="93" t="s">
        <v>22888</v>
      </c>
      <c r="BE447" s="87"/>
      <c r="BF447" s="87"/>
      <c r="BG447" s="87"/>
      <c r="BH447" s="87"/>
      <c r="BI447" s="87"/>
    </row>
    <row r="448" spans="1:61" x14ac:dyDescent="0.25">
      <c r="A448" s="63" t="s">
        <v>384</v>
      </c>
      <c r="B448" s="63" t="s">
        <v>384</v>
      </c>
      <c r="C448" s="64"/>
      <c r="D448" s="65"/>
      <c r="E448" s="66"/>
      <c r="F448" s="67"/>
      <c r="G448" s="64"/>
      <c r="H448" s="68"/>
      <c r="I448" s="69"/>
      <c r="J448" s="69"/>
      <c r="K448" s="32"/>
      <c r="L448" s="76">
        <v>448</v>
      </c>
      <c r="M448" s="76"/>
      <c r="N448" s="71"/>
      <c r="O448" s="87" t="s">
        <v>179</v>
      </c>
      <c r="P448" s="90">
        <v>45194.781956018516</v>
      </c>
      <c r="Q448" s="87" t="s">
        <v>2279</v>
      </c>
      <c r="R448" s="87">
        <v>0</v>
      </c>
      <c r="S448" s="87">
        <v>0</v>
      </c>
      <c r="T448" s="87">
        <v>0</v>
      </c>
      <c r="U448" s="87">
        <v>0</v>
      </c>
      <c r="V448" s="87"/>
      <c r="W448" s="93" t="s">
        <v>6184</v>
      </c>
      <c r="X448" s="92" t="str">
        <f>HYPERLINK("https://gestaumdigital.com.br/fim-do-mei-governo-confirma-suspensao-de-autonomos-em-2023-entenda/")</f>
        <v>https://gestaumdigital.com.br/fim-do-mei-governo-confirma-suspensao-de-autonomos-em-2023-entenda/</v>
      </c>
      <c r="Y448" s="87" t="s">
        <v>8373</v>
      </c>
      <c r="Z448" s="87"/>
      <c r="AA448" s="87" t="s">
        <v>8935</v>
      </c>
      <c r="AB448" s="87" t="s">
        <v>11448</v>
      </c>
      <c r="AC448" s="93" t="s">
        <v>11467</v>
      </c>
      <c r="AD448" s="87" t="s">
        <v>11519</v>
      </c>
      <c r="AE448" s="92" t="str">
        <f>HYPERLINK("https://twitter.com/gestaumdigital/status/1706379544586756112")</f>
        <v>https://twitter.com/gestaumdigital/status/1706379544586756112</v>
      </c>
      <c r="AF448" s="90">
        <v>45194.781956018516</v>
      </c>
      <c r="AG448" s="99">
        <v>45194</v>
      </c>
      <c r="AH448" s="93" t="s">
        <v>11956</v>
      </c>
      <c r="AI448" s="87" t="b">
        <v>0</v>
      </c>
      <c r="AJ448" s="87"/>
      <c r="AK448" s="87"/>
      <c r="AL448" s="87"/>
      <c r="AM448" s="87"/>
      <c r="AN448" s="87"/>
      <c r="AO448" s="87"/>
      <c r="AP448" s="87"/>
      <c r="AQ448" s="87" t="s">
        <v>15748</v>
      </c>
      <c r="AR448" s="87"/>
      <c r="AS448" s="87"/>
      <c r="AT448" s="87"/>
      <c r="AU448" s="87"/>
      <c r="AV448" s="92" t="str">
        <f>HYPERLINK("https://pbs.twimg.com/media/F65HJu6WgAALCxV.jpg")</f>
        <v>https://pbs.twimg.com/media/F65HJu6WgAALCxV.jpg</v>
      </c>
      <c r="AW448" s="93" t="s">
        <v>18699</v>
      </c>
      <c r="AX448" s="93" t="s">
        <v>18699</v>
      </c>
      <c r="AY448" s="87"/>
      <c r="AZ448" s="93" t="s">
        <v>22668</v>
      </c>
      <c r="BA448" s="93" t="s">
        <v>22668</v>
      </c>
      <c r="BB448" s="93" t="s">
        <v>22668</v>
      </c>
      <c r="BC448" s="93" t="s">
        <v>18699</v>
      </c>
      <c r="BD448" s="93" t="s">
        <v>22888</v>
      </c>
      <c r="BE448" s="87"/>
      <c r="BF448" s="87"/>
      <c r="BG448" s="87"/>
      <c r="BH448" s="87"/>
      <c r="BI448" s="87"/>
    </row>
    <row r="449" spans="1:61" x14ac:dyDescent="0.25">
      <c r="A449" s="63" t="s">
        <v>384</v>
      </c>
      <c r="B449" s="63" t="s">
        <v>384</v>
      </c>
      <c r="C449" s="64"/>
      <c r="D449" s="65"/>
      <c r="E449" s="66"/>
      <c r="F449" s="67"/>
      <c r="G449" s="64"/>
      <c r="H449" s="68"/>
      <c r="I449" s="69"/>
      <c r="J449" s="69"/>
      <c r="K449" s="32"/>
      <c r="L449" s="76">
        <v>449</v>
      </c>
      <c r="M449" s="76"/>
      <c r="N449" s="71"/>
      <c r="O449" s="87" t="s">
        <v>179</v>
      </c>
      <c r="P449" s="90">
        <v>45189.656956018516</v>
      </c>
      <c r="Q449" s="87" t="s">
        <v>2280</v>
      </c>
      <c r="R449" s="87">
        <v>0</v>
      </c>
      <c r="S449" s="87">
        <v>0</v>
      </c>
      <c r="T449" s="87">
        <v>0</v>
      </c>
      <c r="U449" s="87">
        <v>0</v>
      </c>
      <c r="V449" s="87"/>
      <c r="W449" s="93" t="s">
        <v>6185</v>
      </c>
      <c r="X449" s="92" t="str">
        <f>HYPERLINK("https://gestaumdigital.com.br/gestaum-digital-secretario/")</f>
        <v>https://gestaumdigital.com.br/gestaum-digital-secretario/</v>
      </c>
      <c r="Y449" s="87" t="s">
        <v>8373</v>
      </c>
      <c r="Z449" s="87"/>
      <c r="AA449" s="87" t="s">
        <v>8936</v>
      </c>
      <c r="AB449" s="87" t="s">
        <v>11448</v>
      </c>
      <c r="AC449" s="93" t="s">
        <v>11467</v>
      </c>
      <c r="AD449" s="87" t="s">
        <v>11519</v>
      </c>
      <c r="AE449" s="92" t="str">
        <f>HYPERLINK("https://twitter.com/gestaumdigital/status/1704522309627711769")</f>
        <v>https://twitter.com/gestaumdigital/status/1704522309627711769</v>
      </c>
      <c r="AF449" s="90">
        <v>45189.656956018516</v>
      </c>
      <c r="AG449" s="99">
        <v>45189</v>
      </c>
      <c r="AH449" s="93" t="s">
        <v>11957</v>
      </c>
      <c r="AI449" s="87" t="b">
        <v>0</v>
      </c>
      <c r="AJ449" s="87"/>
      <c r="AK449" s="87"/>
      <c r="AL449" s="87"/>
      <c r="AM449" s="87"/>
      <c r="AN449" s="87"/>
      <c r="AO449" s="87"/>
      <c r="AP449" s="87"/>
      <c r="AQ449" s="87" t="s">
        <v>15749</v>
      </c>
      <c r="AR449" s="87"/>
      <c r="AS449" s="87"/>
      <c r="AT449" s="87"/>
      <c r="AU449" s="87"/>
      <c r="AV449" s="92" t="str">
        <f>HYPERLINK("https://pbs.twimg.com/media/F6euAb8WwAAFJYD.jpg")</f>
        <v>https://pbs.twimg.com/media/F6euAb8WwAAFJYD.jpg</v>
      </c>
      <c r="AW449" s="93" t="s">
        <v>18700</v>
      </c>
      <c r="AX449" s="93" t="s">
        <v>18700</v>
      </c>
      <c r="AY449" s="87"/>
      <c r="AZ449" s="93" t="s">
        <v>22668</v>
      </c>
      <c r="BA449" s="93" t="s">
        <v>22668</v>
      </c>
      <c r="BB449" s="93" t="s">
        <v>22668</v>
      </c>
      <c r="BC449" s="93" t="s">
        <v>18700</v>
      </c>
      <c r="BD449" s="93" t="s">
        <v>22888</v>
      </c>
      <c r="BE449" s="87"/>
      <c r="BF449" s="87"/>
      <c r="BG449" s="87"/>
      <c r="BH449" s="87"/>
      <c r="BI449" s="87"/>
    </row>
    <row r="450" spans="1:61" x14ac:dyDescent="0.25">
      <c r="A450" s="63" t="s">
        <v>384</v>
      </c>
      <c r="B450" s="63" t="s">
        <v>384</v>
      </c>
      <c r="C450" s="64"/>
      <c r="D450" s="65"/>
      <c r="E450" s="66"/>
      <c r="F450" s="67"/>
      <c r="G450" s="64"/>
      <c r="H450" s="68"/>
      <c r="I450" s="69"/>
      <c r="J450" s="69"/>
      <c r="K450" s="32"/>
      <c r="L450" s="76">
        <v>450</v>
      </c>
      <c r="M450" s="76"/>
      <c r="N450" s="71"/>
      <c r="O450" s="87" t="s">
        <v>179</v>
      </c>
      <c r="P450" s="90">
        <v>45187.656967592593</v>
      </c>
      <c r="Q450" s="87" t="s">
        <v>2281</v>
      </c>
      <c r="R450" s="87">
        <v>0</v>
      </c>
      <c r="S450" s="87">
        <v>0</v>
      </c>
      <c r="T450" s="87">
        <v>0</v>
      </c>
      <c r="U450" s="87">
        <v>0</v>
      </c>
      <c r="V450" s="87">
        <v>34</v>
      </c>
      <c r="W450" s="93" t="s">
        <v>6186</v>
      </c>
      <c r="X450" s="92" t="str">
        <f>HYPERLINK("https://gestaumdigital.com.br/limite-faturamento-mei-2023/")</f>
        <v>https://gestaumdigital.com.br/limite-faturamento-mei-2023/</v>
      </c>
      <c r="Y450" s="87" t="s">
        <v>8373</v>
      </c>
      <c r="Z450" s="87"/>
      <c r="AA450" s="87" t="s">
        <v>8937</v>
      </c>
      <c r="AB450" s="87" t="s">
        <v>11448</v>
      </c>
      <c r="AC450" s="93" t="s">
        <v>11467</v>
      </c>
      <c r="AD450" s="87" t="s">
        <v>11519</v>
      </c>
      <c r="AE450" s="92" t="str">
        <f>HYPERLINK("https://twitter.com/gestaumdigital/status/1703797534995497036")</f>
        <v>https://twitter.com/gestaumdigital/status/1703797534995497036</v>
      </c>
      <c r="AF450" s="90">
        <v>45187.656967592593</v>
      </c>
      <c r="AG450" s="99">
        <v>45187</v>
      </c>
      <c r="AH450" s="93" t="s">
        <v>11958</v>
      </c>
      <c r="AI450" s="87" t="b">
        <v>0</v>
      </c>
      <c r="AJ450" s="87"/>
      <c r="AK450" s="87"/>
      <c r="AL450" s="87"/>
      <c r="AM450" s="87"/>
      <c r="AN450" s="87"/>
      <c r="AO450" s="87"/>
      <c r="AP450" s="87"/>
      <c r="AQ450" s="87" t="s">
        <v>15750</v>
      </c>
      <c r="AR450" s="87"/>
      <c r="AS450" s="87"/>
      <c r="AT450" s="87"/>
      <c r="AU450" s="87"/>
      <c r="AV450" s="92" t="str">
        <f>HYPERLINK("https://pbs.twimg.com/media/F6Ua074W0AAwlAM.jpg")</f>
        <v>https://pbs.twimg.com/media/F6Ua074W0AAwlAM.jpg</v>
      </c>
      <c r="AW450" s="93" t="s">
        <v>18701</v>
      </c>
      <c r="AX450" s="93" t="s">
        <v>18701</v>
      </c>
      <c r="AY450" s="87"/>
      <c r="AZ450" s="93" t="s">
        <v>22668</v>
      </c>
      <c r="BA450" s="93" t="s">
        <v>22668</v>
      </c>
      <c r="BB450" s="93" t="s">
        <v>22668</v>
      </c>
      <c r="BC450" s="93" t="s">
        <v>18701</v>
      </c>
      <c r="BD450" s="93" t="s">
        <v>22888</v>
      </c>
      <c r="BE450" s="87"/>
      <c r="BF450" s="87"/>
      <c r="BG450" s="87"/>
      <c r="BH450" s="87"/>
      <c r="BI450" s="87"/>
    </row>
    <row r="451" spans="1:61" x14ac:dyDescent="0.25">
      <c r="A451" s="63" t="s">
        <v>385</v>
      </c>
      <c r="B451" s="63" t="s">
        <v>385</v>
      </c>
      <c r="C451" s="64"/>
      <c r="D451" s="65"/>
      <c r="E451" s="66"/>
      <c r="F451" s="67"/>
      <c r="G451" s="64"/>
      <c r="H451" s="68"/>
      <c r="I451" s="69"/>
      <c r="J451" s="69"/>
      <c r="K451" s="32"/>
      <c r="L451" s="76">
        <v>451</v>
      </c>
      <c r="M451" s="76"/>
      <c r="N451" s="71"/>
      <c r="O451" s="87" t="s">
        <v>179</v>
      </c>
      <c r="P451" s="90">
        <v>45110.750011574077</v>
      </c>
      <c r="Q451" s="87" t="s">
        <v>2282</v>
      </c>
      <c r="R451" s="87">
        <v>0</v>
      </c>
      <c r="S451" s="87">
        <v>0</v>
      </c>
      <c r="T451" s="87">
        <v>0</v>
      </c>
      <c r="U451" s="87">
        <v>0</v>
      </c>
      <c r="V451" s="87">
        <v>25</v>
      </c>
      <c r="W451" s="93" t="s">
        <v>6187</v>
      </c>
      <c r="X451" s="92" t="str">
        <f>HYPERLINK("https://mercadoeconsumo.com.br/03/07/2023/ecommerce/mercado-livre-reforca-categoria-de-moda-e-digitalizacao-de-lojistas-no-bras/")</f>
        <v>https://mercadoeconsumo.com.br/03/07/2023/ecommerce/mercado-livre-reforca-categoria-de-moda-e-digitalizacao-de-lojistas-no-bras/</v>
      </c>
      <c r="Y451" s="87" t="s">
        <v>8373</v>
      </c>
      <c r="Z451" s="87"/>
      <c r="AA451" s="87" t="s">
        <v>8938</v>
      </c>
      <c r="AB451" s="87" t="s">
        <v>11448</v>
      </c>
      <c r="AC451" s="93" t="s">
        <v>11457</v>
      </c>
      <c r="AD451" s="87" t="s">
        <v>11519</v>
      </c>
      <c r="AE451" s="92" t="str">
        <f>HYPERLINK("https://twitter.com/mercadoeconsumo/status/1675927390000939008")</f>
        <v>https://twitter.com/mercadoeconsumo/status/1675927390000939008</v>
      </c>
      <c r="AF451" s="90">
        <v>45110.750011574077</v>
      </c>
      <c r="AG451" s="99">
        <v>45110</v>
      </c>
      <c r="AH451" s="93" t="s">
        <v>11959</v>
      </c>
      <c r="AI451" s="87" t="b">
        <v>0</v>
      </c>
      <c r="AJ451" s="87"/>
      <c r="AK451" s="87"/>
      <c r="AL451" s="87"/>
      <c r="AM451" s="87"/>
      <c r="AN451" s="87"/>
      <c r="AO451" s="87"/>
      <c r="AP451" s="87"/>
      <c r="AQ451" s="87" t="s">
        <v>15751</v>
      </c>
      <c r="AR451" s="87"/>
      <c r="AS451" s="87"/>
      <c r="AT451" s="87"/>
      <c r="AU451" s="87"/>
      <c r="AV451" s="92" t="str">
        <f>HYPERLINK("https://pbs.twimg.com/media/F0HyTmvXsAImZMk.jpg")</f>
        <v>https://pbs.twimg.com/media/F0HyTmvXsAImZMk.jpg</v>
      </c>
      <c r="AW451" s="93" t="s">
        <v>18702</v>
      </c>
      <c r="AX451" s="93" t="s">
        <v>18702</v>
      </c>
      <c r="AY451" s="87"/>
      <c r="AZ451" s="93" t="s">
        <v>22668</v>
      </c>
      <c r="BA451" s="93" t="s">
        <v>22668</v>
      </c>
      <c r="BB451" s="93" t="s">
        <v>22668</v>
      </c>
      <c r="BC451" s="93" t="s">
        <v>18702</v>
      </c>
      <c r="BD451" s="93" t="s">
        <v>22889</v>
      </c>
      <c r="BE451" s="87"/>
      <c r="BF451" s="87"/>
      <c r="BG451" s="87"/>
      <c r="BH451" s="87"/>
      <c r="BI451" s="87"/>
    </row>
    <row r="452" spans="1:61" x14ac:dyDescent="0.25">
      <c r="A452" s="63" t="s">
        <v>385</v>
      </c>
      <c r="B452" s="63" t="s">
        <v>385</v>
      </c>
      <c r="C452" s="64"/>
      <c r="D452" s="65"/>
      <c r="E452" s="66"/>
      <c r="F452" s="67"/>
      <c r="G452" s="64"/>
      <c r="H452" s="68"/>
      <c r="I452" s="69"/>
      <c r="J452" s="69"/>
      <c r="K452" s="32"/>
      <c r="L452" s="76">
        <v>452</v>
      </c>
      <c r="M452" s="76"/>
      <c r="N452" s="71"/>
      <c r="O452" s="87" t="s">
        <v>179</v>
      </c>
      <c r="P452" s="90">
        <v>45153.729166666664</v>
      </c>
      <c r="Q452" s="87" t="s">
        <v>2283</v>
      </c>
      <c r="R452" s="87">
        <v>0</v>
      </c>
      <c r="S452" s="87">
        <v>0</v>
      </c>
      <c r="T452" s="87">
        <v>0</v>
      </c>
      <c r="U452" s="87">
        <v>0</v>
      </c>
      <c r="V452" s="87">
        <v>7</v>
      </c>
      <c r="W452" s="93" t="s">
        <v>6188</v>
      </c>
      <c r="X452" s="92" t="str">
        <f>HYPERLINK("https://mercadoeconsumo.com.br/15/08/2023/artigos/o-problema-da-sua-equipe-pode-ser-voce/")</f>
        <v>https://mercadoeconsumo.com.br/15/08/2023/artigos/o-problema-da-sua-equipe-pode-ser-voce/</v>
      </c>
      <c r="Y452" s="87" t="s">
        <v>8373</v>
      </c>
      <c r="Z452" s="87"/>
      <c r="AA452" s="87" t="s">
        <v>8939</v>
      </c>
      <c r="AB452" s="87" t="s">
        <v>11448</v>
      </c>
      <c r="AC452" s="93" t="s">
        <v>11457</v>
      </c>
      <c r="AD452" s="87" t="s">
        <v>11519</v>
      </c>
      <c r="AE452" s="92" t="str">
        <f>HYPERLINK("https://twitter.com/mercadoeconsumo/status/1691502513370042368")</f>
        <v>https://twitter.com/mercadoeconsumo/status/1691502513370042368</v>
      </c>
      <c r="AF452" s="90">
        <v>45153.729166666664</v>
      </c>
      <c r="AG452" s="99">
        <v>45153</v>
      </c>
      <c r="AH452" s="93" t="s">
        <v>11960</v>
      </c>
      <c r="AI452" s="87" t="b">
        <v>0</v>
      </c>
      <c r="AJ452" s="87"/>
      <c r="AK452" s="87"/>
      <c r="AL452" s="87"/>
      <c r="AM452" s="87"/>
      <c r="AN452" s="87"/>
      <c r="AO452" s="87"/>
      <c r="AP452" s="87"/>
      <c r="AQ452" s="87" t="s">
        <v>15752</v>
      </c>
      <c r="AR452" s="87"/>
      <c r="AS452" s="87"/>
      <c r="AT452" s="87"/>
      <c r="AU452" s="87"/>
      <c r="AV452" s="92" t="str">
        <f>HYPERLINK("https://pbs.twimg.com/media/F3ldvBJXsAYzIy9.jpg")</f>
        <v>https://pbs.twimg.com/media/F3ldvBJXsAYzIy9.jpg</v>
      </c>
      <c r="AW452" s="93" t="s">
        <v>18703</v>
      </c>
      <c r="AX452" s="93" t="s">
        <v>18703</v>
      </c>
      <c r="AY452" s="87"/>
      <c r="AZ452" s="93" t="s">
        <v>22668</v>
      </c>
      <c r="BA452" s="93" t="s">
        <v>22668</v>
      </c>
      <c r="BB452" s="93" t="s">
        <v>22668</v>
      </c>
      <c r="BC452" s="93" t="s">
        <v>18703</v>
      </c>
      <c r="BD452" s="93" t="s">
        <v>22889</v>
      </c>
      <c r="BE452" s="87"/>
      <c r="BF452" s="87"/>
      <c r="BG452" s="87"/>
      <c r="BH452" s="87"/>
      <c r="BI452" s="87"/>
    </row>
    <row r="453" spans="1:61" x14ac:dyDescent="0.25">
      <c r="A453" s="63" t="s">
        <v>385</v>
      </c>
      <c r="B453" s="63" t="s">
        <v>385</v>
      </c>
      <c r="C453" s="64"/>
      <c r="D453" s="65"/>
      <c r="E453" s="66"/>
      <c r="F453" s="67"/>
      <c r="G453" s="64"/>
      <c r="H453" s="68"/>
      <c r="I453" s="69"/>
      <c r="J453" s="69"/>
      <c r="K453" s="32"/>
      <c r="L453" s="76">
        <v>453</v>
      </c>
      <c r="M453" s="76"/>
      <c r="N453" s="71"/>
      <c r="O453" s="87" t="s">
        <v>179</v>
      </c>
      <c r="P453" s="90">
        <v>45155.791666666664</v>
      </c>
      <c r="Q453" s="87" t="s">
        <v>2284</v>
      </c>
      <c r="R453" s="87">
        <v>0</v>
      </c>
      <c r="S453" s="87">
        <v>0</v>
      </c>
      <c r="T453" s="87">
        <v>0</v>
      </c>
      <c r="U453" s="87">
        <v>0</v>
      </c>
      <c r="V453" s="87">
        <v>15</v>
      </c>
      <c r="W453" s="93" t="s">
        <v>6189</v>
      </c>
      <c r="X453" s="92" t="str">
        <f>HYPERLINK("https://mercadoeconsumo.com.br/17/08/2023/economia/mulheres-representam-em-media-45-dos-meis-com-cnpjs-ativos/")</f>
        <v>https://mercadoeconsumo.com.br/17/08/2023/economia/mulheres-representam-em-media-45-dos-meis-com-cnpjs-ativos/</v>
      </c>
      <c r="Y453" s="87" t="s">
        <v>8373</v>
      </c>
      <c r="Z453" s="87"/>
      <c r="AA453" s="87" t="s">
        <v>8940</v>
      </c>
      <c r="AB453" s="87" t="s">
        <v>11448</v>
      </c>
      <c r="AC453" s="93" t="s">
        <v>11457</v>
      </c>
      <c r="AD453" s="87" t="s">
        <v>11519</v>
      </c>
      <c r="AE453" s="92" t="str">
        <f>HYPERLINK("https://twitter.com/mercadoeconsumo/status/1692249940532359512")</f>
        <v>https://twitter.com/mercadoeconsumo/status/1692249940532359512</v>
      </c>
      <c r="AF453" s="90">
        <v>45155.791666666664</v>
      </c>
      <c r="AG453" s="99">
        <v>45155</v>
      </c>
      <c r="AH453" s="93" t="s">
        <v>11772</v>
      </c>
      <c r="AI453" s="87" t="b">
        <v>0</v>
      </c>
      <c r="AJ453" s="87"/>
      <c r="AK453" s="87"/>
      <c r="AL453" s="87"/>
      <c r="AM453" s="87"/>
      <c r="AN453" s="87"/>
      <c r="AO453" s="87"/>
      <c r="AP453" s="87"/>
      <c r="AQ453" s="87" t="s">
        <v>15753</v>
      </c>
      <c r="AR453" s="87"/>
      <c r="AS453" s="87"/>
      <c r="AT453" s="87"/>
      <c r="AU453" s="87"/>
      <c r="AV453" s="92" t="str">
        <f>HYPERLINK("https://pbs.twimg.com/media/F3vIzokXoAAwsgu.jpg")</f>
        <v>https://pbs.twimg.com/media/F3vIzokXoAAwsgu.jpg</v>
      </c>
      <c r="AW453" s="93" t="s">
        <v>18704</v>
      </c>
      <c r="AX453" s="93" t="s">
        <v>18704</v>
      </c>
      <c r="AY453" s="87"/>
      <c r="AZ453" s="93" t="s">
        <v>22668</v>
      </c>
      <c r="BA453" s="93" t="s">
        <v>22668</v>
      </c>
      <c r="BB453" s="93" t="s">
        <v>22668</v>
      </c>
      <c r="BC453" s="93" t="s">
        <v>18704</v>
      </c>
      <c r="BD453" s="93" t="s">
        <v>22889</v>
      </c>
      <c r="BE453" s="87"/>
      <c r="BF453" s="87"/>
      <c r="BG453" s="87"/>
      <c r="BH453" s="87"/>
      <c r="BI453" s="87"/>
    </row>
    <row r="454" spans="1:61" x14ac:dyDescent="0.25">
      <c r="A454" s="63" t="s">
        <v>385</v>
      </c>
      <c r="B454" s="63" t="s">
        <v>385</v>
      </c>
      <c r="C454" s="64"/>
      <c r="D454" s="65"/>
      <c r="E454" s="66"/>
      <c r="F454" s="67"/>
      <c r="G454" s="64"/>
      <c r="H454" s="68"/>
      <c r="I454" s="69"/>
      <c r="J454" s="69"/>
      <c r="K454" s="32"/>
      <c r="L454" s="76">
        <v>454</v>
      </c>
      <c r="M454" s="76"/>
      <c r="N454" s="71"/>
      <c r="O454" s="87" t="s">
        <v>179</v>
      </c>
      <c r="P454" s="90">
        <v>45113.750011574077</v>
      </c>
      <c r="Q454" s="87" t="s">
        <v>2285</v>
      </c>
      <c r="R454" s="87">
        <v>0</v>
      </c>
      <c r="S454" s="87">
        <v>0</v>
      </c>
      <c r="T454" s="87">
        <v>0</v>
      </c>
      <c r="U454" s="87">
        <v>0</v>
      </c>
      <c r="V454" s="87">
        <v>11</v>
      </c>
      <c r="W454" s="93" t="s">
        <v>6190</v>
      </c>
      <c r="X454" s="92" t="str">
        <f>HYPERLINK("https://mercadoeconsumo.com.br/06/07/2023/destaque-do-dia/mms-cria-iniciativa-para-beneficiar-pequenos-e-medios-confeiteiros-de-sao-paulo/")</f>
        <v>https://mercadoeconsumo.com.br/06/07/2023/destaque-do-dia/mms-cria-iniciativa-para-beneficiar-pequenos-e-medios-confeiteiros-de-sao-paulo/</v>
      </c>
      <c r="Y454" s="87" t="s">
        <v>8373</v>
      </c>
      <c r="Z454" s="87"/>
      <c r="AA454" s="87" t="s">
        <v>8941</v>
      </c>
      <c r="AB454" s="87" t="s">
        <v>11448</v>
      </c>
      <c r="AC454" s="93" t="s">
        <v>11457</v>
      </c>
      <c r="AD454" s="87" t="s">
        <v>11519</v>
      </c>
      <c r="AE454" s="92" t="str">
        <f>HYPERLINK("https://twitter.com/mercadoeconsumo/status/1677014552486219776")</f>
        <v>https://twitter.com/mercadoeconsumo/status/1677014552486219776</v>
      </c>
      <c r="AF454" s="90">
        <v>45113.750011574077</v>
      </c>
      <c r="AG454" s="99">
        <v>45113</v>
      </c>
      <c r="AH454" s="93" t="s">
        <v>11959</v>
      </c>
      <c r="AI454" s="87" t="b">
        <v>0</v>
      </c>
      <c r="AJ454" s="87"/>
      <c r="AK454" s="87"/>
      <c r="AL454" s="87"/>
      <c r="AM454" s="87"/>
      <c r="AN454" s="87"/>
      <c r="AO454" s="87"/>
      <c r="AP454" s="87"/>
      <c r="AQ454" s="87" t="s">
        <v>15754</v>
      </c>
      <c r="AR454" s="87"/>
      <c r="AS454" s="87"/>
      <c r="AT454" s="87"/>
      <c r="AU454" s="87"/>
      <c r="AV454" s="92" t="str">
        <f>HYPERLINK("https://pbs.twimg.com/media/F0Xc1T1WAAMo8hv.jpg")</f>
        <v>https://pbs.twimg.com/media/F0Xc1T1WAAMo8hv.jpg</v>
      </c>
      <c r="AW454" s="93" t="s">
        <v>18705</v>
      </c>
      <c r="AX454" s="93" t="s">
        <v>18705</v>
      </c>
      <c r="AY454" s="87"/>
      <c r="AZ454" s="93" t="s">
        <v>22668</v>
      </c>
      <c r="BA454" s="93" t="s">
        <v>22668</v>
      </c>
      <c r="BB454" s="93" t="s">
        <v>22668</v>
      </c>
      <c r="BC454" s="93" t="s">
        <v>18705</v>
      </c>
      <c r="BD454" s="93" t="s">
        <v>22889</v>
      </c>
      <c r="BE454" s="87"/>
      <c r="BF454" s="87"/>
      <c r="BG454" s="87"/>
      <c r="BH454" s="87"/>
      <c r="BI454" s="87"/>
    </row>
    <row r="455" spans="1:61" x14ac:dyDescent="0.25">
      <c r="A455" s="63" t="s">
        <v>386</v>
      </c>
      <c r="B455" s="63" t="s">
        <v>1635</v>
      </c>
      <c r="C455" s="64"/>
      <c r="D455" s="65"/>
      <c r="E455" s="66"/>
      <c r="F455" s="67"/>
      <c r="G455" s="64"/>
      <c r="H455" s="68"/>
      <c r="I455" s="69"/>
      <c r="J455" s="69"/>
      <c r="K455" s="32"/>
      <c r="L455" s="76">
        <v>455</v>
      </c>
      <c r="M455" s="76"/>
      <c r="N455" s="71"/>
      <c r="O455" s="87" t="s">
        <v>1844</v>
      </c>
      <c r="P455" s="90">
        <v>45153.842592592591</v>
      </c>
      <c r="Q455" s="87" t="s">
        <v>2286</v>
      </c>
      <c r="R455" s="87">
        <v>0</v>
      </c>
      <c r="S455" s="87">
        <v>0</v>
      </c>
      <c r="T455" s="87">
        <v>0</v>
      </c>
      <c r="U455" s="87">
        <v>0</v>
      </c>
      <c r="V455" s="87">
        <v>28</v>
      </c>
      <c r="W455" s="93" t="s">
        <v>6191</v>
      </c>
      <c r="X455" s="87"/>
      <c r="Y455" s="87"/>
      <c r="Z455" s="87" t="s">
        <v>8567</v>
      </c>
      <c r="AA455" s="87"/>
      <c r="AB455" s="87"/>
      <c r="AC455" s="93" t="s">
        <v>11457</v>
      </c>
      <c r="AD455" s="87" t="s">
        <v>11519</v>
      </c>
      <c r="AE455" s="92" t="str">
        <f>HYPERLINK("https://twitter.com/poder_viril/status/1691543616471330816")</f>
        <v>https://twitter.com/poder_viril/status/1691543616471330816</v>
      </c>
      <c r="AF455" s="90">
        <v>45153.842592592591</v>
      </c>
      <c r="AG455" s="99">
        <v>45153</v>
      </c>
      <c r="AH455" s="93" t="s">
        <v>11961</v>
      </c>
      <c r="AI455" s="87"/>
      <c r="AJ455" s="87"/>
      <c r="AK455" s="87"/>
      <c r="AL455" s="87"/>
      <c r="AM455" s="87"/>
      <c r="AN455" s="87"/>
      <c r="AO455" s="87"/>
      <c r="AP455" s="87"/>
      <c r="AQ455" s="87"/>
      <c r="AR455" s="87"/>
      <c r="AS455" s="87"/>
      <c r="AT455" s="87"/>
      <c r="AU455" s="87"/>
      <c r="AV455" s="92" t="str">
        <f>HYPERLINK("https://pbs.twimg.com/profile_images/1700396541998206976/-JIfOuLI_normal.jpg")</f>
        <v>https://pbs.twimg.com/profile_images/1700396541998206976/-JIfOuLI_normal.jpg</v>
      </c>
      <c r="AW455" s="93" t="s">
        <v>18706</v>
      </c>
      <c r="AX455" s="93" t="s">
        <v>22320</v>
      </c>
      <c r="AY455" s="93" t="s">
        <v>22529</v>
      </c>
      <c r="AZ455" s="93" t="s">
        <v>22320</v>
      </c>
      <c r="BA455" s="93" t="s">
        <v>22668</v>
      </c>
      <c r="BB455" s="93" t="s">
        <v>22668</v>
      </c>
      <c r="BC455" s="93" t="s">
        <v>22320</v>
      </c>
      <c r="BD455" s="93" t="s">
        <v>22890</v>
      </c>
      <c r="BE455" s="87"/>
      <c r="BF455" s="87"/>
      <c r="BG455" s="87"/>
      <c r="BH455" s="87"/>
      <c r="BI455" s="87"/>
    </row>
    <row r="456" spans="1:61" x14ac:dyDescent="0.25">
      <c r="A456" s="63" t="s">
        <v>386</v>
      </c>
      <c r="B456" s="63" t="s">
        <v>1636</v>
      </c>
      <c r="C456" s="64"/>
      <c r="D456" s="65"/>
      <c r="E456" s="66"/>
      <c r="F456" s="67"/>
      <c r="G456" s="64"/>
      <c r="H456" s="68"/>
      <c r="I456" s="69"/>
      <c r="J456" s="69"/>
      <c r="K456" s="32"/>
      <c r="L456" s="76">
        <v>456</v>
      </c>
      <c r="M456" s="76"/>
      <c r="N456" s="71"/>
      <c r="O456" s="87" t="s">
        <v>1840</v>
      </c>
      <c r="P456" s="90">
        <v>45153.842592592591</v>
      </c>
      <c r="Q456" s="87" t="s">
        <v>2286</v>
      </c>
      <c r="R456" s="87">
        <v>0</v>
      </c>
      <c r="S456" s="87">
        <v>0</v>
      </c>
      <c r="T456" s="87">
        <v>0</v>
      </c>
      <c r="U456" s="87">
        <v>0</v>
      </c>
      <c r="V456" s="87">
        <v>28</v>
      </c>
      <c r="W456" s="93" t="s">
        <v>6191</v>
      </c>
      <c r="X456" s="87"/>
      <c r="Y456" s="87"/>
      <c r="Z456" s="87" t="s">
        <v>8567</v>
      </c>
      <c r="AA456" s="87"/>
      <c r="AB456" s="87"/>
      <c r="AC456" s="93" t="s">
        <v>11457</v>
      </c>
      <c r="AD456" s="87" t="s">
        <v>11519</v>
      </c>
      <c r="AE456" s="92" t="str">
        <f>HYPERLINK("https://twitter.com/poder_viril/status/1691543616471330816")</f>
        <v>https://twitter.com/poder_viril/status/1691543616471330816</v>
      </c>
      <c r="AF456" s="90">
        <v>45153.842592592591</v>
      </c>
      <c r="AG456" s="99">
        <v>45153</v>
      </c>
      <c r="AH456" s="93" t="s">
        <v>11961</v>
      </c>
      <c r="AI456" s="87"/>
      <c r="AJ456" s="87"/>
      <c r="AK456" s="87"/>
      <c r="AL456" s="87"/>
      <c r="AM456" s="87"/>
      <c r="AN456" s="87"/>
      <c r="AO456" s="87"/>
      <c r="AP456" s="87"/>
      <c r="AQ456" s="87"/>
      <c r="AR456" s="87"/>
      <c r="AS456" s="87"/>
      <c r="AT456" s="87"/>
      <c r="AU456" s="87"/>
      <c r="AV456" s="92" t="str">
        <f>HYPERLINK("https://pbs.twimg.com/profile_images/1700396541998206976/-JIfOuLI_normal.jpg")</f>
        <v>https://pbs.twimg.com/profile_images/1700396541998206976/-JIfOuLI_normal.jpg</v>
      </c>
      <c r="AW456" s="93" t="s">
        <v>18706</v>
      </c>
      <c r="AX456" s="93" t="s">
        <v>22320</v>
      </c>
      <c r="AY456" s="93" t="s">
        <v>22529</v>
      </c>
      <c r="AZ456" s="93" t="s">
        <v>22320</v>
      </c>
      <c r="BA456" s="93" t="s">
        <v>22668</v>
      </c>
      <c r="BB456" s="93" t="s">
        <v>22668</v>
      </c>
      <c r="BC456" s="93" t="s">
        <v>22320</v>
      </c>
      <c r="BD456" s="93" t="s">
        <v>22890</v>
      </c>
      <c r="BE456" s="87"/>
      <c r="BF456" s="87"/>
      <c r="BG456" s="87"/>
      <c r="BH456" s="87"/>
      <c r="BI456" s="87"/>
    </row>
    <row r="457" spans="1:61" x14ac:dyDescent="0.25">
      <c r="A457" s="63" t="s">
        <v>387</v>
      </c>
      <c r="B457" s="63" t="s">
        <v>387</v>
      </c>
      <c r="C457" s="64"/>
      <c r="D457" s="65"/>
      <c r="E457" s="66"/>
      <c r="F457" s="67"/>
      <c r="G457" s="64"/>
      <c r="H457" s="68"/>
      <c r="I457" s="69"/>
      <c r="J457" s="69"/>
      <c r="K457" s="32"/>
      <c r="L457" s="76">
        <v>457</v>
      </c>
      <c r="M457" s="76"/>
      <c r="N457" s="71"/>
      <c r="O457" s="87" t="s">
        <v>179</v>
      </c>
      <c r="P457" s="90">
        <v>45177.911493055559</v>
      </c>
      <c r="Q457" s="87" t="s">
        <v>2287</v>
      </c>
      <c r="R457" s="87">
        <v>0</v>
      </c>
      <c r="S457" s="87">
        <v>1</v>
      </c>
      <c r="T457" s="87">
        <v>0</v>
      </c>
      <c r="U457" s="87">
        <v>0</v>
      </c>
      <c r="V457" s="87">
        <v>89</v>
      </c>
      <c r="W457" s="93" t="s">
        <v>6192</v>
      </c>
      <c r="X457" s="87"/>
      <c r="Y457" s="87"/>
      <c r="Z457" s="87"/>
      <c r="AA457" s="87" t="s">
        <v>8942</v>
      </c>
      <c r="AB457" s="87" t="s">
        <v>11447</v>
      </c>
      <c r="AC457" s="93" t="s">
        <v>11459</v>
      </c>
      <c r="AD457" s="87" t="s">
        <v>11519</v>
      </c>
      <c r="AE457" s="92" t="str">
        <f>HYPERLINK("https://twitter.com/patriciacvidal/status/1700265896592248906")</f>
        <v>https://twitter.com/patriciacvidal/status/1700265896592248906</v>
      </c>
      <c r="AF457" s="90">
        <v>45177.911493055559</v>
      </c>
      <c r="AG457" s="99">
        <v>45177</v>
      </c>
      <c r="AH457" s="93" t="s">
        <v>11962</v>
      </c>
      <c r="AI457" s="87" t="b">
        <v>0</v>
      </c>
      <c r="AJ457" s="87"/>
      <c r="AK457" s="87"/>
      <c r="AL457" s="87"/>
      <c r="AM457" s="87"/>
      <c r="AN457" s="87"/>
      <c r="AO457" s="87"/>
      <c r="AP457" s="87"/>
      <c r="AQ457" s="87" t="s">
        <v>15755</v>
      </c>
      <c r="AR457" s="87">
        <v>15666</v>
      </c>
      <c r="AS457" s="87"/>
      <c r="AT457" s="87"/>
      <c r="AU457" s="87"/>
      <c r="AV457" s="92" t="str">
        <f>HYPERLINK("https://pbs.twimg.com/ext_tw_video_thumb/1700265846239637504/pu/img/eeiIBNJpSHsnwXuo.jpg")</f>
        <v>https://pbs.twimg.com/ext_tw_video_thumb/1700265846239637504/pu/img/eeiIBNJpSHsnwXuo.jpg</v>
      </c>
      <c r="AW457" s="93" t="s">
        <v>18707</v>
      </c>
      <c r="AX457" s="93" t="s">
        <v>18707</v>
      </c>
      <c r="AY457" s="87"/>
      <c r="AZ457" s="93" t="s">
        <v>22668</v>
      </c>
      <c r="BA457" s="93" t="s">
        <v>22668</v>
      </c>
      <c r="BB457" s="93" t="s">
        <v>22668</v>
      </c>
      <c r="BC457" s="93" t="s">
        <v>18707</v>
      </c>
      <c r="BD457" s="87">
        <v>92591120</v>
      </c>
      <c r="BE457" s="87"/>
      <c r="BF457" s="87"/>
      <c r="BG457" s="87"/>
      <c r="BH457" s="87"/>
      <c r="BI457" s="87"/>
    </row>
    <row r="458" spans="1:61" x14ac:dyDescent="0.25">
      <c r="A458" s="63" t="s">
        <v>388</v>
      </c>
      <c r="B458" s="63" t="s">
        <v>388</v>
      </c>
      <c r="C458" s="64"/>
      <c r="D458" s="65"/>
      <c r="E458" s="66"/>
      <c r="F458" s="67"/>
      <c r="G458" s="64"/>
      <c r="H458" s="68"/>
      <c r="I458" s="69"/>
      <c r="J458" s="69"/>
      <c r="K458" s="32"/>
      <c r="L458" s="76">
        <v>458</v>
      </c>
      <c r="M458" s="76"/>
      <c r="N458" s="71"/>
      <c r="O458" s="87" t="s">
        <v>179</v>
      </c>
      <c r="P458" s="90">
        <v>45175.88354166667</v>
      </c>
      <c r="Q458" s="87" t="s">
        <v>2288</v>
      </c>
      <c r="R458" s="87">
        <v>0</v>
      </c>
      <c r="S458" s="87">
        <v>0</v>
      </c>
      <c r="T458" s="87">
        <v>0</v>
      </c>
      <c r="U458" s="87">
        <v>0</v>
      </c>
      <c r="V458" s="87">
        <v>5</v>
      </c>
      <c r="W458" s="93" t="s">
        <v>6193</v>
      </c>
      <c r="X458" s="87"/>
      <c r="Y458" s="87"/>
      <c r="Z458" s="87"/>
      <c r="AA458" s="87" t="s">
        <v>8943</v>
      </c>
      <c r="AB458" s="87" t="s">
        <v>11447</v>
      </c>
      <c r="AC458" s="93" t="s">
        <v>11457</v>
      </c>
      <c r="AD458" s="87" t="s">
        <v>11519</v>
      </c>
      <c r="AE458" s="92" t="str">
        <f>HYPERLINK("https://twitter.com/raiamzices/status/1699530989071220853")</f>
        <v>https://twitter.com/raiamzices/status/1699530989071220853</v>
      </c>
      <c r="AF458" s="90">
        <v>45175.88354166667</v>
      </c>
      <c r="AG458" s="99">
        <v>45175</v>
      </c>
      <c r="AH458" s="93" t="s">
        <v>11963</v>
      </c>
      <c r="AI458" s="87" t="b">
        <v>0</v>
      </c>
      <c r="AJ458" s="87"/>
      <c r="AK458" s="87"/>
      <c r="AL458" s="87"/>
      <c r="AM458" s="87"/>
      <c r="AN458" s="87"/>
      <c r="AO458" s="87"/>
      <c r="AP458" s="87"/>
      <c r="AQ458" s="87" t="s">
        <v>15756</v>
      </c>
      <c r="AR458" s="87">
        <v>10800</v>
      </c>
      <c r="AS458" s="87"/>
      <c r="AT458" s="87"/>
      <c r="AU458" s="87"/>
      <c r="AV458" s="92" t="str">
        <f>HYPERLINK("https://pbs.twimg.com/ext_tw_video_thumb/1699530758489042944/pu/img/iCZ6V4DOBCArBd5x.jpg")</f>
        <v>https://pbs.twimg.com/ext_tw_video_thumb/1699530758489042944/pu/img/iCZ6V4DOBCArBd5x.jpg</v>
      </c>
      <c r="AW458" s="93" t="s">
        <v>18708</v>
      </c>
      <c r="AX458" s="93" t="s">
        <v>18708</v>
      </c>
      <c r="AY458" s="87"/>
      <c r="AZ458" s="93" t="s">
        <v>22668</v>
      </c>
      <c r="BA458" s="93" t="s">
        <v>22668</v>
      </c>
      <c r="BB458" s="93" t="s">
        <v>22668</v>
      </c>
      <c r="BC458" s="93" t="s">
        <v>18708</v>
      </c>
      <c r="BD458" s="93" t="s">
        <v>22891</v>
      </c>
      <c r="BE458" s="87"/>
      <c r="BF458" s="87"/>
      <c r="BG458" s="87"/>
      <c r="BH458" s="87"/>
      <c r="BI458" s="87"/>
    </row>
    <row r="459" spans="1:61" x14ac:dyDescent="0.25">
      <c r="A459" s="63" t="s">
        <v>389</v>
      </c>
      <c r="B459" s="63" t="s">
        <v>389</v>
      </c>
      <c r="C459" s="64"/>
      <c r="D459" s="65"/>
      <c r="E459" s="66"/>
      <c r="F459" s="67"/>
      <c r="G459" s="64"/>
      <c r="H459" s="68"/>
      <c r="I459" s="69"/>
      <c r="J459" s="69"/>
      <c r="K459" s="32"/>
      <c r="L459" s="76">
        <v>459</v>
      </c>
      <c r="M459" s="76"/>
      <c r="N459" s="71"/>
      <c r="O459" s="87" t="s">
        <v>179</v>
      </c>
      <c r="P459" s="90">
        <v>45124.92863425926</v>
      </c>
      <c r="Q459" s="87" t="s">
        <v>2289</v>
      </c>
      <c r="R459" s="87">
        <v>1</v>
      </c>
      <c r="S459" s="87">
        <v>1</v>
      </c>
      <c r="T459" s="87">
        <v>0</v>
      </c>
      <c r="U459" s="87">
        <v>0</v>
      </c>
      <c r="V459" s="87">
        <v>192</v>
      </c>
      <c r="W459" s="93" t="s">
        <v>6194</v>
      </c>
      <c r="X459" s="87"/>
      <c r="Y459" s="87"/>
      <c r="Z459" s="87"/>
      <c r="AA459" s="87" t="s">
        <v>8944</v>
      </c>
      <c r="AB459" s="87" t="s">
        <v>11447</v>
      </c>
      <c r="AC459" s="93" t="s">
        <v>11457</v>
      </c>
      <c r="AD459" s="87" t="s">
        <v>11519</v>
      </c>
      <c r="AE459" s="92" t="str">
        <f>HYPERLINK("https://twitter.com/ffc_designer/status/1681065548858159109")</f>
        <v>https://twitter.com/ffc_designer/status/1681065548858159109</v>
      </c>
      <c r="AF459" s="90">
        <v>45124.92863425926</v>
      </c>
      <c r="AG459" s="99">
        <v>45124</v>
      </c>
      <c r="AH459" s="93" t="s">
        <v>11964</v>
      </c>
      <c r="AI459" s="87" t="b">
        <v>0</v>
      </c>
      <c r="AJ459" s="87"/>
      <c r="AK459" s="87"/>
      <c r="AL459" s="87"/>
      <c r="AM459" s="87"/>
      <c r="AN459" s="87"/>
      <c r="AO459" s="87"/>
      <c r="AP459" s="87"/>
      <c r="AQ459" s="87" t="s">
        <v>15757</v>
      </c>
      <c r="AR459" s="87">
        <v>29996</v>
      </c>
      <c r="AS459" s="87"/>
      <c r="AT459" s="87"/>
      <c r="AU459" s="87"/>
      <c r="AV459" s="92" t="str">
        <f>HYPERLINK("https://pbs.twimg.com/ext_tw_video_thumb/1681065293395664896/pu/img/RH6TGVSiiqZzGJkr.jpg")</f>
        <v>https://pbs.twimg.com/ext_tw_video_thumb/1681065293395664896/pu/img/RH6TGVSiiqZzGJkr.jpg</v>
      </c>
      <c r="AW459" s="93" t="s">
        <v>18709</v>
      </c>
      <c r="AX459" s="93" t="s">
        <v>18709</v>
      </c>
      <c r="AY459" s="87"/>
      <c r="AZ459" s="93" t="s">
        <v>22668</v>
      </c>
      <c r="BA459" s="93" t="s">
        <v>22668</v>
      </c>
      <c r="BB459" s="93" t="s">
        <v>22668</v>
      </c>
      <c r="BC459" s="93" t="s">
        <v>18709</v>
      </c>
      <c r="BD459" s="93" t="s">
        <v>22892</v>
      </c>
      <c r="BE459" s="87"/>
      <c r="BF459" s="87"/>
      <c r="BG459" s="87"/>
      <c r="BH459" s="87"/>
      <c r="BI459" s="87"/>
    </row>
    <row r="460" spans="1:61" x14ac:dyDescent="0.25">
      <c r="A460" s="63" t="s">
        <v>389</v>
      </c>
      <c r="B460" s="63" t="s">
        <v>389</v>
      </c>
      <c r="C460" s="64"/>
      <c r="D460" s="65"/>
      <c r="E460" s="66"/>
      <c r="F460" s="67"/>
      <c r="G460" s="64"/>
      <c r="H460" s="68"/>
      <c r="I460" s="69"/>
      <c r="J460" s="69"/>
      <c r="K460" s="32"/>
      <c r="L460" s="76">
        <v>460</v>
      </c>
      <c r="M460" s="76"/>
      <c r="N460" s="71"/>
      <c r="O460" s="87" t="s">
        <v>179</v>
      </c>
      <c r="P460" s="90">
        <v>45146.889594907407</v>
      </c>
      <c r="Q460" s="87" t="s">
        <v>2290</v>
      </c>
      <c r="R460" s="87">
        <v>0</v>
      </c>
      <c r="S460" s="87">
        <v>0</v>
      </c>
      <c r="T460" s="87">
        <v>0</v>
      </c>
      <c r="U460" s="87">
        <v>0</v>
      </c>
      <c r="V460" s="87">
        <v>139</v>
      </c>
      <c r="W460" s="93" t="s">
        <v>6195</v>
      </c>
      <c r="X460" s="87"/>
      <c r="Y460" s="87"/>
      <c r="Z460" s="87"/>
      <c r="AA460" s="87" t="s">
        <v>8945</v>
      </c>
      <c r="AB460" s="87" t="s">
        <v>11447</v>
      </c>
      <c r="AC460" s="93" t="s">
        <v>11457</v>
      </c>
      <c r="AD460" s="87" t="s">
        <v>11519</v>
      </c>
      <c r="AE460" s="92" t="str">
        <f>HYPERLINK("https://twitter.com/ffc_designer/status/1689023936682475520")</f>
        <v>https://twitter.com/ffc_designer/status/1689023936682475520</v>
      </c>
      <c r="AF460" s="90">
        <v>45146.889594907407</v>
      </c>
      <c r="AG460" s="99">
        <v>45146</v>
      </c>
      <c r="AH460" s="93" t="s">
        <v>11965</v>
      </c>
      <c r="AI460" s="87" t="b">
        <v>0</v>
      </c>
      <c r="AJ460" s="87"/>
      <c r="AK460" s="87"/>
      <c r="AL460" s="87"/>
      <c r="AM460" s="87"/>
      <c r="AN460" s="87"/>
      <c r="AO460" s="87"/>
      <c r="AP460" s="87"/>
      <c r="AQ460" s="87" t="s">
        <v>15758</v>
      </c>
      <c r="AR460" s="87">
        <v>15015</v>
      </c>
      <c r="AS460" s="87"/>
      <c r="AT460" s="87"/>
      <c r="AU460" s="87"/>
      <c r="AV460" s="92" t="str">
        <f>HYPERLINK("https://pbs.twimg.com/ext_tw_video_thumb/1689023787797233665/pu/img/0rlRVM9GV2S88Mm_.jpg")</f>
        <v>https://pbs.twimg.com/ext_tw_video_thumb/1689023787797233665/pu/img/0rlRVM9GV2S88Mm_.jpg</v>
      </c>
      <c r="AW460" s="93" t="s">
        <v>18710</v>
      </c>
      <c r="AX460" s="93" t="s">
        <v>18710</v>
      </c>
      <c r="AY460" s="87"/>
      <c r="AZ460" s="93" t="s">
        <v>22668</v>
      </c>
      <c r="BA460" s="93" t="s">
        <v>22668</v>
      </c>
      <c r="BB460" s="93" t="s">
        <v>22668</v>
      </c>
      <c r="BC460" s="93" t="s">
        <v>18710</v>
      </c>
      <c r="BD460" s="93" t="s">
        <v>22892</v>
      </c>
      <c r="BE460" s="87"/>
      <c r="BF460" s="87"/>
      <c r="BG460" s="87"/>
      <c r="BH460" s="87"/>
      <c r="BI460" s="87"/>
    </row>
    <row r="461" spans="1:61" x14ac:dyDescent="0.25">
      <c r="A461" s="63" t="s">
        <v>389</v>
      </c>
      <c r="B461" s="63" t="s">
        <v>389</v>
      </c>
      <c r="C461" s="64"/>
      <c r="D461" s="65"/>
      <c r="E461" s="66"/>
      <c r="F461" s="67"/>
      <c r="G461" s="64"/>
      <c r="H461" s="68"/>
      <c r="I461" s="69"/>
      <c r="J461" s="69"/>
      <c r="K461" s="32"/>
      <c r="L461" s="76">
        <v>461</v>
      </c>
      <c r="M461" s="76"/>
      <c r="N461" s="71"/>
      <c r="O461" s="87" t="s">
        <v>179</v>
      </c>
      <c r="P461" s="90">
        <v>45167.814814814818</v>
      </c>
      <c r="Q461" s="87" t="s">
        <v>2291</v>
      </c>
      <c r="R461" s="87">
        <v>1</v>
      </c>
      <c r="S461" s="87">
        <v>1</v>
      </c>
      <c r="T461" s="87">
        <v>0</v>
      </c>
      <c r="U461" s="87">
        <v>0</v>
      </c>
      <c r="V461" s="87">
        <v>186</v>
      </c>
      <c r="W461" s="93" t="s">
        <v>6196</v>
      </c>
      <c r="X461" s="87"/>
      <c r="Y461" s="87"/>
      <c r="Z461" s="87"/>
      <c r="AA461" s="87" t="s">
        <v>8946</v>
      </c>
      <c r="AB461" s="87" t="s">
        <v>11447</v>
      </c>
      <c r="AC461" s="93" t="s">
        <v>11457</v>
      </c>
      <c r="AD461" s="87" t="s">
        <v>11519</v>
      </c>
      <c r="AE461" s="92" t="str">
        <f>HYPERLINK("https://twitter.com/ffc_designer/status/1696606982327660870")</f>
        <v>https://twitter.com/ffc_designer/status/1696606982327660870</v>
      </c>
      <c r="AF461" s="90">
        <v>45167.814814814818</v>
      </c>
      <c r="AG461" s="99">
        <v>45167</v>
      </c>
      <c r="AH461" s="93" t="s">
        <v>11966</v>
      </c>
      <c r="AI461" s="87" t="b">
        <v>0</v>
      </c>
      <c r="AJ461" s="87"/>
      <c r="AK461" s="87"/>
      <c r="AL461" s="87"/>
      <c r="AM461" s="87"/>
      <c r="AN461" s="87"/>
      <c r="AO461" s="87"/>
      <c r="AP461" s="87"/>
      <c r="AQ461" s="87" t="s">
        <v>15759</v>
      </c>
      <c r="AR461" s="87">
        <v>15066</v>
      </c>
      <c r="AS461" s="87"/>
      <c r="AT461" s="87"/>
      <c r="AU461" s="87"/>
      <c r="AV461" s="92" t="str">
        <f>HYPERLINK("https://pbs.twimg.com/ext_tw_video_thumb/1696606860264996864/pu/img/lSnRuVi5ZeD4Srov.jpg")</f>
        <v>https://pbs.twimg.com/ext_tw_video_thumb/1696606860264996864/pu/img/lSnRuVi5ZeD4Srov.jpg</v>
      </c>
      <c r="AW461" s="93" t="s">
        <v>18711</v>
      </c>
      <c r="AX461" s="93" t="s">
        <v>18711</v>
      </c>
      <c r="AY461" s="87"/>
      <c r="AZ461" s="93" t="s">
        <v>22668</v>
      </c>
      <c r="BA461" s="93" t="s">
        <v>22668</v>
      </c>
      <c r="BB461" s="93" t="s">
        <v>22668</v>
      </c>
      <c r="BC461" s="93" t="s">
        <v>18711</v>
      </c>
      <c r="BD461" s="93" t="s">
        <v>22892</v>
      </c>
      <c r="BE461" s="87"/>
      <c r="BF461" s="87"/>
      <c r="BG461" s="87"/>
      <c r="BH461" s="87"/>
      <c r="BI461" s="87"/>
    </row>
    <row r="462" spans="1:61" x14ac:dyDescent="0.25">
      <c r="A462" s="63" t="s">
        <v>390</v>
      </c>
      <c r="B462" s="63" t="s">
        <v>390</v>
      </c>
      <c r="C462" s="64"/>
      <c r="D462" s="65"/>
      <c r="E462" s="66"/>
      <c r="F462" s="67"/>
      <c r="G462" s="64"/>
      <c r="H462" s="68"/>
      <c r="I462" s="69"/>
      <c r="J462" s="69"/>
      <c r="K462" s="32"/>
      <c r="L462" s="76">
        <v>462</v>
      </c>
      <c r="M462" s="76"/>
      <c r="N462" s="71"/>
      <c r="O462" s="87" t="s">
        <v>179</v>
      </c>
      <c r="P462" s="90">
        <v>45167.668321759258</v>
      </c>
      <c r="Q462" s="87" t="s">
        <v>2292</v>
      </c>
      <c r="R462" s="87">
        <v>0</v>
      </c>
      <c r="S462" s="87">
        <v>1</v>
      </c>
      <c r="T462" s="87">
        <v>0</v>
      </c>
      <c r="U462" s="87">
        <v>0</v>
      </c>
      <c r="V462" s="87">
        <v>32</v>
      </c>
      <c r="W462" s="93" t="s">
        <v>6197</v>
      </c>
      <c r="X462" s="87"/>
      <c r="Y462" s="87"/>
      <c r="Z462" s="87"/>
      <c r="AA462" s="87" t="s">
        <v>8947</v>
      </c>
      <c r="AB462" s="87" t="s">
        <v>11447</v>
      </c>
      <c r="AC462" s="93" t="s">
        <v>11458</v>
      </c>
      <c r="AD462" s="87" t="s">
        <v>11519</v>
      </c>
      <c r="AE462" s="92" t="str">
        <f>HYPERLINK("https://twitter.com/eduardoduka/status/1696553892274692352")</f>
        <v>https://twitter.com/eduardoduka/status/1696553892274692352</v>
      </c>
      <c r="AF462" s="90">
        <v>45167.668321759258</v>
      </c>
      <c r="AG462" s="99">
        <v>45167</v>
      </c>
      <c r="AH462" s="93" t="s">
        <v>11967</v>
      </c>
      <c r="AI462" s="87" t="b">
        <v>0</v>
      </c>
      <c r="AJ462" s="87"/>
      <c r="AK462" s="87"/>
      <c r="AL462" s="87"/>
      <c r="AM462" s="87"/>
      <c r="AN462" s="87"/>
      <c r="AO462" s="87"/>
      <c r="AP462" s="87"/>
      <c r="AQ462" s="87" t="s">
        <v>15760</v>
      </c>
      <c r="AR462" s="87">
        <v>79655</v>
      </c>
      <c r="AS462" s="87"/>
      <c r="AT462" s="87"/>
      <c r="AU462" s="87"/>
      <c r="AV462" s="92" t="str">
        <f>HYPERLINK("https://pbs.twimg.com/ext_tw_video_thumb/1696553777761845248/pu/img/6ife7zKZlRL1bJZM.jpg")</f>
        <v>https://pbs.twimg.com/ext_tw_video_thumb/1696553777761845248/pu/img/6ife7zKZlRL1bJZM.jpg</v>
      </c>
      <c r="AW462" s="93" t="s">
        <v>18712</v>
      </c>
      <c r="AX462" s="93" t="s">
        <v>18712</v>
      </c>
      <c r="AY462" s="87"/>
      <c r="AZ462" s="93" t="s">
        <v>22668</v>
      </c>
      <c r="BA462" s="93" t="s">
        <v>22668</v>
      </c>
      <c r="BB462" s="93" t="s">
        <v>22668</v>
      </c>
      <c r="BC462" s="93" t="s">
        <v>18712</v>
      </c>
      <c r="BD462" s="87">
        <v>149992574</v>
      </c>
      <c r="BE462" s="87"/>
      <c r="BF462" s="87"/>
      <c r="BG462" s="87"/>
      <c r="BH462" s="87"/>
      <c r="BI462" s="87"/>
    </row>
    <row r="463" spans="1:61" x14ac:dyDescent="0.25">
      <c r="A463" s="63" t="s">
        <v>390</v>
      </c>
      <c r="B463" s="63" t="s">
        <v>390</v>
      </c>
      <c r="C463" s="64"/>
      <c r="D463" s="65"/>
      <c r="E463" s="66"/>
      <c r="F463" s="67"/>
      <c r="G463" s="64"/>
      <c r="H463" s="68"/>
      <c r="I463" s="69"/>
      <c r="J463" s="69"/>
      <c r="K463" s="32"/>
      <c r="L463" s="76">
        <v>463</v>
      </c>
      <c r="M463" s="76"/>
      <c r="N463" s="71"/>
      <c r="O463" s="87" t="s">
        <v>179</v>
      </c>
      <c r="P463" s="90">
        <v>45148.590578703705</v>
      </c>
      <c r="Q463" s="87" t="s">
        <v>2293</v>
      </c>
      <c r="R463" s="87">
        <v>0</v>
      </c>
      <c r="S463" s="87">
        <v>0</v>
      </c>
      <c r="T463" s="87">
        <v>0</v>
      </c>
      <c r="U463" s="87">
        <v>0</v>
      </c>
      <c r="V463" s="87">
        <v>7</v>
      </c>
      <c r="W463" s="93" t="s">
        <v>6198</v>
      </c>
      <c r="X463" s="92" t="str">
        <f>HYPERLINK("https://vm.tiktok.com/ZM2c9eCxT/")</f>
        <v>https://vm.tiktok.com/ZM2c9eCxT/</v>
      </c>
      <c r="Y463" s="87" t="s">
        <v>8398</v>
      </c>
      <c r="Z463" s="87"/>
      <c r="AA463" s="87"/>
      <c r="AB463" s="87"/>
      <c r="AC463" s="93" t="s">
        <v>11458</v>
      </c>
      <c r="AD463" s="87" t="s">
        <v>11519</v>
      </c>
      <c r="AE463" s="92" t="str">
        <f>HYPERLINK("https://twitter.com/eduardoduka/status/1689640350833590272")</f>
        <v>https://twitter.com/eduardoduka/status/1689640350833590272</v>
      </c>
      <c r="AF463" s="90">
        <v>45148.590578703705</v>
      </c>
      <c r="AG463" s="99">
        <v>45148</v>
      </c>
      <c r="AH463" s="93" t="s">
        <v>11968</v>
      </c>
      <c r="AI463" s="87" t="b">
        <v>0</v>
      </c>
      <c r="AJ463" s="87"/>
      <c r="AK463" s="87"/>
      <c r="AL463" s="87"/>
      <c r="AM463" s="87"/>
      <c r="AN463" s="87"/>
      <c r="AO463" s="87"/>
      <c r="AP463" s="87"/>
      <c r="AQ463" s="87"/>
      <c r="AR463" s="87"/>
      <c r="AS463" s="87"/>
      <c r="AT463" s="87"/>
      <c r="AU463" s="87"/>
      <c r="AV463" s="92" t="str">
        <f>HYPERLINK("https://pbs.twimg.com/profile_images/1499873180210667520/pGuGnc4G_normal.jpg")</f>
        <v>https://pbs.twimg.com/profile_images/1499873180210667520/pGuGnc4G_normal.jpg</v>
      </c>
      <c r="AW463" s="93" t="s">
        <v>18713</v>
      </c>
      <c r="AX463" s="93" t="s">
        <v>18713</v>
      </c>
      <c r="AY463" s="87"/>
      <c r="AZ463" s="93" t="s">
        <v>22668</v>
      </c>
      <c r="BA463" s="93" t="s">
        <v>22668</v>
      </c>
      <c r="BB463" s="93" t="s">
        <v>22668</v>
      </c>
      <c r="BC463" s="93" t="s">
        <v>18713</v>
      </c>
      <c r="BD463" s="87">
        <v>149992574</v>
      </c>
      <c r="BE463" s="87"/>
      <c r="BF463" s="87"/>
      <c r="BG463" s="87"/>
      <c r="BH463" s="87"/>
      <c r="BI463" s="87"/>
    </row>
    <row r="464" spans="1:61" x14ac:dyDescent="0.25">
      <c r="A464" s="63" t="s">
        <v>390</v>
      </c>
      <c r="B464" s="63" t="s">
        <v>390</v>
      </c>
      <c r="C464" s="64"/>
      <c r="D464" s="65"/>
      <c r="E464" s="66"/>
      <c r="F464" s="67"/>
      <c r="G464" s="64"/>
      <c r="H464" s="68"/>
      <c r="I464" s="69"/>
      <c r="J464" s="69"/>
      <c r="K464" s="32"/>
      <c r="L464" s="76">
        <v>464</v>
      </c>
      <c r="M464" s="76"/>
      <c r="N464" s="71"/>
      <c r="O464" s="87" t="s">
        <v>179</v>
      </c>
      <c r="P464" s="90">
        <v>45146.685416666667</v>
      </c>
      <c r="Q464" s="87" t="s">
        <v>2294</v>
      </c>
      <c r="R464" s="87">
        <v>0</v>
      </c>
      <c r="S464" s="87">
        <v>0</v>
      </c>
      <c r="T464" s="87">
        <v>0</v>
      </c>
      <c r="U464" s="87">
        <v>0</v>
      </c>
      <c r="V464" s="87">
        <v>18</v>
      </c>
      <c r="W464" s="93" t="s">
        <v>6198</v>
      </c>
      <c r="X464" s="92" t="str">
        <f>HYPERLINK("https://vm.tiktok.com/ZM2va6kK4/")</f>
        <v>https://vm.tiktok.com/ZM2va6kK4/</v>
      </c>
      <c r="Y464" s="87" t="s">
        <v>8398</v>
      </c>
      <c r="Z464" s="87"/>
      <c r="AA464" s="87"/>
      <c r="AB464" s="87"/>
      <c r="AC464" s="93" t="s">
        <v>11458</v>
      </c>
      <c r="AD464" s="87" t="s">
        <v>11519</v>
      </c>
      <c r="AE464" s="92" t="str">
        <f>HYPERLINK("https://twitter.com/eduardoduka/status/1688949943111757846")</f>
        <v>https://twitter.com/eduardoduka/status/1688949943111757846</v>
      </c>
      <c r="AF464" s="90">
        <v>45146.685416666667</v>
      </c>
      <c r="AG464" s="99">
        <v>45146</v>
      </c>
      <c r="AH464" s="93" t="s">
        <v>11969</v>
      </c>
      <c r="AI464" s="87" t="b">
        <v>0</v>
      </c>
      <c r="AJ464" s="87"/>
      <c r="AK464" s="87"/>
      <c r="AL464" s="87"/>
      <c r="AM464" s="87"/>
      <c r="AN464" s="87"/>
      <c r="AO464" s="87"/>
      <c r="AP464" s="87"/>
      <c r="AQ464" s="87"/>
      <c r="AR464" s="87"/>
      <c r="AS464" s="87"/>
      <c r="AT464" s="87"/>
      <c r="AU464" s="87"/>
      <c r="AV464" s="92" t="str">
        <f>HYPERLINK("https://pbs.twimg.com/profile_images/1499873180210667520/pGuGnc4G_normal.jpg")</f>
        <v>https://pbs.twimg.com/profile_images/1499873180210667520/pGuGnc4G_normal.jpg</v>
      </c>
      <c r="AW464" s="93" t="s">
        <v>18714</v>
      </c>
      <c r="AX464" s="93" t="s">
        <v>18714</v>
      </c>
      <c r="AY464" s="87"/>
      <c r="AZ464" s="93" t="s">
        <v>22668</v>
      </c>
      <c r="BA464" s="93" t="s">
        <v>22668</v>
      </c>
      <c r="BB464" s="93" t="s">
        <v>22668</v>
      </c>
      <c r="BC464" s="93" t="s">
        <v>18714</v>
      </c>
      <c r="BD464" s="87">
        <v>149992574</v>
      </c>
      <c r="BE464" s="87"/>
      <c r="BF464" s="87"/>
      <c r="BG464" s="87"/>
      <c r="BH464" s="87"/>
      <c r="BI464" s="87"/>
    </row>
    <row r="465" spans="1:61" x14ac:dyDescent="0.25">
      <c r="A465" s="63" t="s">
        <v>390</v>
      </c>
      <c r="B465" s="63" t="s">
        <v>390</v>
      </c>
      <c r="C465" s="64"/>
      <c r="D465" s="65"/>
      <c r="E465" s="66"/>
      <c r="F465" s="67"/>
      <c r="G465" s="64"/>
      <c r="H465" s="68"/>
      <c r="I465" s="69"/>
      <c r="J465" s="69"/>
      <c r="K465" s="32"/>
      <c r="L465" s="76">
        <v>465</v>
      </c>
      <c r="M465" s="76"/>
      <c r="N465" s="71"/>
      <c r="O465" s="87" t="s">
        <v>179</v>
      </c>
      <c r="P465" s="90">
        <v>45135.737951388888</v>
      </c>
      <c r="Q465" s="87" t="s">
        <v>2295</v>
      </c>
      <c r="R465" s="87">
        <v>0</v>
      </c>
      <c r="S465" s="87">
        <v>0</v>
      </c>
      <c r="T465" s="87">
        <v>0</v>
      </c>
      <c r="U465" s="87">
        <v>0</v>
      </c>
      <c r="V465" s="87">
        <v>7</v>
      </c>
      <c r="W465" s="93" t="s">
        <v>6198</v>
      </c>
      <c r="X465" s="92" t="str">
        <f>HYPERLINK("https://www.tiktok.com/t/ZM2sy2cXJ/")</f>
        <v>https://www.tiktok.com/t/ZM2sy2cXJ/</v>
      </c>
      <c r="Y465" s="87" t="s">
        <v>8398</v>
      </c>
      <c r="Z465" s="87"/>
      <c r="AA465" s="87"/>
      <c r="AB465" s="87"/>
      <c r="AC465" s="93" t="s">
        <v>11458</v>
      </c>
      <c r="AD465" s="87" t="s">
        <v>11519</v>
      </c>
      <c r="AE465" s="92" t="str">
        <f>HYPERLINK("https://twitter.com/eduardoduka/status/1684982713856471055")</f>
        <v>https://twitter.com/eduardoduka/status/1684982713856471055</v>
      </c>
      <c r="AF465" s="90">
        <v>45135.737951388888</v>
      </c>
      <c r="AG465" s="99">
        <v>45135</v>
      </c>
      <c r="AH465" s="93" t="s">
        <v>11970</v>
      </c>
      <c r="AI465" s="87" t="b">
        <v>0</v>
      </c>
      <c r="AJ465" s="87"/>
      <c r="AK465" s="87"/>
      <c r="AL465" s="87"/>
      <c r="AM465" s="87"/>
      <c r="AN465" s="87"/>
      <c r="AO465" s="87"/>
      <c r="AP465" s="87"/>
      <c r="AQ465" s="87"/>
      <c r="AR465" s="87"/>
      <c r="AS465" s="87"/>
      <c r="AT465" s="87"/>
      <c r="AU465" s="87"/>
      <c r="AV465" s="92" t="str">
        <f>HYPERLINK("https://pbs.twimg.com/profile_images/1499873180210667520/pGuGnc4G_normal.jpg")</f>
        <v>https://pbs.twimg.com/profile_images/1499873180210667520/pGuGnc4G_normal.jpg</v>
      </c>
      <c r="AW465" s="93" t="s">
        <v>18715</v>
      </c>
      <c r="AX465" s="93" t="s">
        <v>18715</v>
      </c>
      <c r="AY465" s="87"/>
      <c r="AZ465" s="93" t="s">
        <v>22668</v>
      </c>
      <c r="BA465" s="93" t="s">
        <v>22668</v>
      </c>
      <c r="BB465" s="93" t="s">
        <v>22668</v>
      </c>
      <c r="BC465" s="93" t="s">
        <v>18715</v>
      </c>
      <c r="BD465" s="87">
        <v>149992574</v>
      </c>
      <c r="BE465" s="87"/>
      <c r="BF465" s="87"/>
      <c r="BG465" s="87"/>
      <c r="BH465" s="87"/>
      <c r="BI465" s="87"/>
    </row>
    <row r="466" spans="1:61" x14ac:dyDescent="0.25">
      <c r="A466" s="63" t="s">
        <v>390</v>
      </c>
      <c r="B466" s="63" t="s">
        <v>390</v>
      </c>
      <c r="C466" s="64"/>
      <c r="D466" s="65"/>
      <c r="E466" s="66"/>
      <c r="F466" s="67"/>
      <c r="G466" s="64"/>
      <c r="H466" s="68"/>
      <c r="I466" s="69"/>
      <c r="J466" s="69"/>
      <c r="K466" s="32"/>
      <c r="L466" s="76">
        <v>466</v>
      </c>
      <c r="M466" s="76"/>
      <c r="N466" s="71"/>
      <c r="O466" s="87" t="s">
        <v>179</v>
      </c>
      <c r="P466" s="90">
        <v>45134.779548611114</v>
      </c>
      <c r="Q466" s="87" t="s">
        <v>2296</v>
      </c>
      <c r="R466" s="87">
        <v>0</v>
      </c>
      <c r="S466" s="87">
        <v>0</v>
      </c>
      <c r="T466" s="87">
        <v>0</v>
      </c>
      <c r="U466" s="87">
        <v>0</v>
      </c>
      <c r="V466" s="87">
        <v>7</v>
      </c>
      <c r="W466" s="93" t="s">
        <v>6198</v>
      </c>
      <c r="X466" s="92" t="str">
        <f>HYPERLINK("https://www.tiktok.com/t/ZM2pvy6UC/")</f>
        <v>https://www.tiktok.com/t/ZM2pvy6UC/</v>
      </c>
      <c r="Y466" s="87" t="s">
        <v>8398</v>
      </c>
      <c r="Z466" s="87"/>
      <c r="AA466" s="87"/>
      <c r="AB466" s="87"/>
      <c r="AC466" s="93" t="s">
        <v>11458</v>
      </c>
      <c r="AD466" s="87" t="s">
        <v>11519</v>
      </c>
      <c r="AE466" s="92" t="str">
        <f>HYPERLINK("https://twitter.com/eduardoduka/status/1684635403607797761")</f>
        <v>https://twitter.com/eduardoduka/status/1684635403607797761</v>
      </c>
      <c r="AF466" s="90">
        <v>45134.779548611114</v>
      </c>
      <c r="AG466" s="99">
        <v>45134</v>
      </c>
      <c r="AH466" s="93" t="s">
        <v>11971</v>
      </c>
      <c r="AI466" s="87" t="b">
        <v>0</v>
      </c>
      <c r="AJ466" s="87"/>
      <c r="AK466" s="87"/>
      <c r="AL466" s="87"/>
      <c r="AM466" s="87"/>
      <c r="AN466" s="87"/>
      <c r="AO466" s="87"/>
      <c r="AP466" s="87"/>
      <c r="AQ466" s="87"/>
      <c r="AR466" s="87"/>
      <c r="AS466" s="87"/>
      <c r="AT466" s="87"/>
      <c r="AU466" s="87"/>
      <c r="AV466" s="92" t="str">
        <f>HYPERLINK("https://pbs.twimg.com/profile_images/1499873180210667520/pGuGnc4G_normal.jpg")</f>
        <v>https://pbs.twimg.com/profile_images/1499873180210667520/pGuGnc4G_normal.jpg</v>
      </c>
      <c r="AW466" s="93" t="s">
        <v>18716</v>
      </c>
      <c r="AX466" s="93" t="s">
        <v>18716</v>
      </c>
      <c r="AY466" s="87"/>
      <c r="AZ466" s="93" t="s">
        <v>22668</v>
      </c>
      <c r="BA466" s="93" t="s">
        <v>22668</v>
      </c>
      <c r="BB466" s="93" t="s">
        <v>22668</v>
      </c>
      <c r="BC466" s="93" t="s">
        <v>18716</v>
      </c>
      <c r="BD466" s="87">
        <v>149992574</v>
      </c>
      <c r="BE466" s="87"/>
      <c r="BF466" s="87"/>
      <c r="BG466" s="87"/>
      <c r="BH466" s="87"/>
      <c r="BI466" s="87"/>
    </row>
    <row r="467" spans="1:61" x14ac:dyDescent="0.25">
      <c r="A467" s="63" t="s">
        <v>390</v>
      </c>
      <c r="B467" s="63" t="s">
        <v>390</v>
      </c>
      <c r="C467" s="64"/>
      <c r="D467" s="65"/>
      <c r="E467" s="66"/>
      <c r="F467" s="67"/>
      <c r="G467" s="64"/>
      <c r="H467" s="68"/>
      <c r="I467" s="69"/>
      <c r="J467" s="69"/>
      <c r="K467" s="32"/>
      <c r="L467" s="76">
        <v>467</v>
      </c>
      <c r="M467" s="76"/>
      <c r="N467" s="71"/>
      <c r="O467" s="87" t="s">
        <v>179</v>
      </c>
      <c r="P467" s="90">
        <v>45110.642129629632</v>
      </c>
      <c r="Q467" s="87" t="s">
        <v>2297</v>
      </c>
      <c r="R467" s="87">
        <v>0</v>
      </c>
      <c r="S467" s="87">
        <v>0</v>
      </c>
      <c r="T467" s="87">
        <v>0</v>
      </c>
      <c r="U467" s="87">
        <v>0</v>
      </c>
      <c r="V467" s="87">
        <v>8</v>
      </c>
      <c r="W467" s="93" t="s">
        <v>6198</v>
      </c>
      <c r="X467" s="92" t="str">
        <f>HYPERLINK("https://vm.tiktok.com/ZM2mroMgG/")</f>
        <v>https://vm.tiktok.com/ZM2mroMgG/</v>
      </c>
      <c r="Y467" s="87" t="s">
        <v>8398</v>
      </c>
      <c r="Z467" s="87"/>
      <c r="AA467" s="87"/>
      <c r="AB467" s="87"/>
      <c r="AC467" s="93" t="s">
        <v>11458</v>
      </c>
      <c r="AD467" s="87" t="s">
        <v>11519</v>
      </c>
      <c r="AE467" s="92" t="str">
        <f>HYPERLINK("https://twitter.com/eduardoduka/status/1675888293521571842")</f>
        <v>https://twitter.com/eduardoduka/status/1675888293521571842</v>
      </c>
      <c r="AF467" s="90">
        <v>45110.642129629632</v>
      </c>
      <c r="AG467" s="99">
        <v>45110</v>
      </c>
      <c r="AH467" s="93" t="s">
        <v>11972</v>
      </c>
      <c r="AI467" s="87" t="b">
        <v>0</v>
      </c>
      <c r="AJ467" s="87"/>
      <c r="AK467" s="87"/>
      <c r="AL467" s="87"/>
      <c r="AM467" s="87"/>
      <c r="AN467" s="87"/>
      <c r="AO467" s="87"/>
      <c r="AP467" s="87"/>
      <c r="AQ467" s="87"/>
      <c r="AR467" s="87"/>
      <c r="AS467" s="87"/>
      <c r="AT467" s="87"/>
      <c r="AU467" s="87"/>
      <c r="AV467" s="92" t="str">
        <f>HYPERLINK("https://pbs.twimg.com/profile_images/1499873180210667520/pGuGnc4G_normal.jpg")</f>
        <v>https://pbs.twimg.com/profile_images/1499873180210667520/pGuGnc4G_normal.jpg</v>
      </c>
      <c r="AW467" s="93" t="s">
        <v>18717</v>
      </c>
      <c r="AX467" s="93" t="s">
        <v>18717</v>
      </c>
      <c r="AY467" s="87"/>
      <c r="AZ467" s="93" t="s">
        <v>22668</v>
      </c>
      <c r="BA467" s="93" t="s">
        <v>22668</v>
      </c>
      <c r="BB467" s="93" t="s">
        <v>22668</v>
      </c>
      <c r="BC467" s="93" t="s">
        <v>18717</v>
      </c>
      <c r="BD467" s="87">
        <v>149992574</v>
      </c>
      <c r="BE467" s="87"/>
      <c r="BF467" s="87"/>
      <c r="BG467" s="87"/>
      <c r="BH467" s="87"/>
      <c r="BI467" s="87"/>
    </row>
    <row r="468" spans="1:61" x14ac:dyDescent="0.25">
      <c r="A468" s="63" t="s">
        <v>390</v>
      </c>
      <c r="B468" s="63" t="s">
        <v>390</v>
      </c>
      <c r="C468" s="64"/>
      <c r="D468" s="65"/>
      <c r="E468" s="66"/>
      <c r="F468" s="67"/>
      <c r="G468" s="64"/>
      <c r="H468" s="68"/>
      <c r="I468" s="69"/>
      <c r="J468" s="69"/>
      <c r="K468" s="32"/>
      <c r="L468" s="76">
        <v>468</v>
      </c>
      <c r="M468" s="76"/>
      <c r="N468" s="71"/>
      <c r="O468" s="87" t="s">
        <v>179</v>
      </c>
      <c r="P468" s="90">
        <v>45175.685624999998</v>
      </c>
      <c r="Q468" s="87" t="s">
        <v>2298</v>
      </c>
      <c r="R468" s="87">
        <v>0</v>
      </c>
      <c r="S468" s="87">
        <v>1</v>
      </c>
      <c r="T468" s="87">
        <v>0</v>
      </c>
      <c r="U468" s="87">
        <v>0</v>
      </c>
      <c r="V468" s="87">
        <v>24</v>
      </c>
      <c r="W468" s="93" t="s">
        <v>6197</v>
      </c>
      <c r="X468" s="87"/>
      <c r="Y468" s="87"/>
      <c r="Z468" s="87"/>
      <c r="AA468" s="87" t="s">
        <v>8948</v>
      </c>
      <c r="AB468" s="87" t="s">
        <v>11447</v>
      </c>
      <c r="AC468" s="93" t="s">
        <v>11458</v>
      </c>
      <c r="AD468" s="87" t="s">
        <v>11519</v>
      </c>
      <c r="AE468" s="92" t="str">
        <f>HYPERLINK("https://twitter.com/eduardoduka/status/1699459268888420482")</f>
        <v>https://twitter.com/eduardoduka/status/1699459268888420482</v>
      </c>
      <c r="AF468" s="90">
        <v>45175.685624999998</v>
      </c>
      <c r="AG468" s="99">
        <v>45175</v>
      </c>
      <c r="AH468" s="93" t="s">
        <v>11973</v>
      </c>
      <c r="AI468" s="87" t="b">
        <v>0</v>
      </c>
      <c r="AJ468" s="87"/>
      <c r="AK468" s="87"/>
      <c r="AL468" s="87"/>
      <c r="AM468" s="87"/>
      <c r="AN468" s="87"/>
      <c r="AO468" s="87"/>
      <c r="AP468" s="87"/>
      <c r="AQ468" s="87" t="s">
        <v>15761</v>
      </c>
      <c r="AR468" s="87">
        <v>73506</v>
      </c>
      <c r="AS468" s="87"/>
      <c r="AT468" s="87"/>
      <c r="AU468" s="87"/>
      <c r="AV468" s="92" t="str">
        <f>HYPERLINK("https://pbs.twimg.com/ext_tw_video_thumb/1699459124981874688/pu/img/3KnNIT5RuXjYXnpt.jpg")</f>
        <v>https://pbs.twimg.com/ext_tw_video_thumb/1699459124981874688/pu/img/3KnNIT5RuXjYXnpt.jpg</v>
      </c>
      <c r="AW468" s="93" t="s">
        <v>18718</v>
      </c>
      <c r="AX468" s="93" t="s">
        <v>18718</v>
      </c>
      <c r="AY468" s="87"/>
      <c r="AZ468" s="93" t="s">
        <v>22668</v>
      </c>
      <c r="BA468" s="93" t="s">
        <v>22668</v>
      </c>
      <c r="BB468" s="93" t="s">
        <v>22668</v>
      </c>
      <c r="BC468" s="93" t="s">
        <v>18718</v>
      </c>
      <c r="BD468" s="87">
        <v>149992574</v>
      </c>
      <c r="BE468" s="87"/>
      <c r="BF468" s="87"/>
      <c r="BG468" s="87"/>
      <c r="BH468" s="87"/>
      <c r="BI468" s="87"/>
    </row>
    <row r="469" spans="1:61" x14ac:dyDescent="0.25">
      <c r="A469" s="63" t="s">
        <v>390</v>
      </c>
      <c r="B469" s="63" t="s">
        <v>390</v>
      </c>
      <c r="C469" s="64"/>
      <c r="D469" s="65"/>
      <c r="E469" s="66"/>
      <c r="F469" s="67"/>
      <c r="G469" s="64"/>
      <c r="H469" s="68"/>
      <c r="I469" s="69"/>
      <c r="J469" s="69"/>
      <c r="K469" s="32"/>
      <c r="L469" s="76">
        <v>469</v>
      </c>
      <c r="M469" s="76"/>
      <c r="N469" s="71"/>
      <c r="O469" s="87" t="s">
        <v>179</v>
      </c>
      <c r="P469" s="90">
        <v>45170.6015162037</v>
      </c>
      <c r="Q469" s="87" t="s">
        <v>2299</v>
      </c>
      <c r="R469" s="87">
        <v>1</v>
      </c>
      <c r="S469" s="87">
        <v>3</v>
      </c>
      <c r="T469" s="87">
        <v>0</v>
      </c>
      <c r="U469" s="87">
        <v>0</v>
      </c>
      <c r="V469" s="87">
        <v>62</v>
      </c>
      <c r="W469" s="93" t="s">
        <v>6197</v>
      </c>
      <c r="X469" s="87"/>
      <c r="Y469" s="87"/>
      <c r="Z469" s="87"/>
      <c r="AA469" s="87" t="s">
        <v>8949</v>
      </c>
      <c r="AB469" s="87" t="s">
        <v>11447</v>
      </c>
      <c r="AC469" s="93" t="s">
        <v>11458</v>
      </c>
      <c r="AD469" s="87" t="s">
        <v>11519</v>
      </c>
      <c r="AE469" s="92" t="str">
        <f>HYPERLINK("https://twitter.com/eduardoduka/status/1697616848450175451")</f>
        <v>https://twitter.com/eduardoduka/status/1697616848450175451</v>
      </c>
      <c r="AF469" s="90">
        <v>45170.6015162037</v>
      </c>
      <c r="AG469" s="99">
        <v>45170</v>
      </c>
      <c r="AH469" s="93" t="s">
        <v>11974</v>
      </c>
      <c r="AI469" s="87" t="b">
        <v>0</v>
      </c>
      <c r="AJ469" s="87"/>
      <c r="AK469" s="87"/>
      <c r="AL469" s="87"/>
      <c r="AM469" s="87"/>
      <c r="AN469" s="87"/>
      <c r="AO469" s="87"/>
      <c r="AP469" s="87"/>
      <c r="AQ469" s="87" t="s">
        <v>15762</v>
      </c>
      <c r="AR469" s="87">
        <v>40706</v>
      </c>
      <c r="AS469" s="87"/>
      <c r="AT469" s="87"/>
      <c r="AU469" s="87"/>
      <c r="AV469" s="92" t="str">
        <f>HYPERLINK("https://pbs.twimg.com/ext_tw_video_thumb/1697616771765649408/pu/img/OR80FoROJcpdtwVw.jpg")</f>
        <v>https://pbs.twimg.com/ext_tw_video_thumb/1697616771765649408/pu/img/OR80FoROJcpdtwVw.jpg</v>
      </c>
      <c r="AW469" s="93" t="s">
        <v>18719</v>
      </c>
      <c r="AX469" s="93" t="s">
        <v>18719</v>
      </c>
      <c r="AY469" s="87"/>
      <c r="AZ469" s="93" t="s">
        <v>22668</v>
      </c>
      <c r="BA469" s="93" t="s">
        <v>22668</v>
      </c>
      <c r="BB469" s="93" t="s">
        <v>22668</v>
      </c>
      <c r="BC469" s="93" t="s">
        <v>18719</v>
      </c>
      <c r="BD469" s="87">
        <v>149992574</v>
      </c>
      <c r="BE469" s="87"/>
      <c r="BF469" s="87"/>
      <c r="BG469" s="87"/>
      <c r="BH469" s="87"/>
      <c r="BI469" s="87"/>
    </row>
    <row r="470" spans="1:61" x14ac:dyDescent="0.25">
      <c r="A470" s="63" t="s">
        <v>390</v>
      </c>
      <c r="B470" s="63" t="s">
        <v>390</v>
      </c>
      <c r="C470" s="64"/>
      <c r="D470" s="65"/>
      <c r="E470" s="66"/>
      <c r="F470" s="67"/>
      <c r="G470" s="64"/>
      <c r="H470" s="68"/>
      <c r="I470" s="69"/>
      <c r="J470" s="69"/>
      <c r="K470" s="32"/>
      <c r="L470" s="76">
        <v>470</v>
      </c>
      <c r="M470" s="76"/>
      <c r="N470" s="71"/>
      <c r="O470" s="87" t="s">
        <v>179</v>
      </c>
      <c r="P470" s="90">
        <v>45165.741550925923</v>
      </c>
      <c r="Q470" s="87" t="s">
        <v>2300</v>
      </c>
      <c r="R470" s="87">
        <v>0</v>
      </c>
      <c r="S470" s="87">
        <v>2</v>
      </c>
      <c r="T470" s="87">
        <v>0</v>
      </c>
      <c r="U470" s="87">
        <v>0</v>
      </c>
      <c r="V470" s="87">
        <v>45</v>
      </c>
      <c r="W470" s="93" t="s">
        <v>6197</v>
      </c>
      <c r="X470" s="87"/>
      <c r="Y470" s="87"/>
      <c r="Z470" s="87"/>
      <c r="AA470" s="87" t="s">
        <v>8950</v>
      </c>
      <c r="AB470" s="87" t="s">
        <v>11447</v>
      </c>
      <c r="AC470" s="93" t="s">
        <v>11458</v>
      </c>
      <c r="AD470" s="87" t="s">
        <v>11519</v>
      </c>
      <c r="AE470" s="92" t="str">
        <f>HYPERLINK("https://twitter.com/eduardoduka/status/1695855656824176805")</f>
        <v>https://twitter.com/eduardoduka/status/1695855656824176805</v>
      </c>
      <c r="AF470" s="90">
        <v>45165.741550925923</v>
      </c>
      <c r="AG470" s="99">
        <v>45165</v>
      </c>
      <c r="AH470" s="93" t="s">
        <v>11975</v>
      </c>
      <c r="AI470" s="87" t="b">
        <v>0</v>
      </c>
      <c r="AJ470" s="87"/>
      <c r="AK470" s="87"/>
      <c r="AL470" s="87"/>
      <c r="AM470" s="87"/>
      <c r="AN470" s="87"/>
      <c r="AO470" s="87"/>
      <c r="AP470" s="87"/>
      <c r="AQ470" s="87" t="s">
        <v>15763</v>
      </c>
      <c r="AR470" s="87">
        <v>49416</v>
      </c>
      <c r="AS470" s="87"/>
      <c r="AT470" s="87"/>
      <c r="AU470" s="87"/>
      <c r="AV470" s="92" t="str">
        <f>HYPERLINK("https://pbs.twimg.com/ext_tw_video_thumb/1695855568718639104/pu/img/T-gIVmcA4Jtuz-MQ.jpg")</f>
        <v>https://pbs.twimg.com/ext_tw_video_thumb/1695855568718639104/pu/img/T-gIVmcA4Jtuz-MQ.jpg</v>
      </c>
      <c r="AW470" s="93" t="s">
        <v>18720</v>
      </c>
      <c r="AX470" s="93" t="s">
        <v>18720</v>
      </c>
      <c r="AY470" s="87"/>
      <c r="AZ470" s="93" t="s">
        <v>22668</v>
      </c>
      <c r="BA470" s="93" t="s">
        <v>22668</v>
      </c>
      <c r="BB470" s="93" t="s">
        <v>22668</v>
      </c>
      <c r="BC470" s="93" t="s">
        <v>18720</v>
      </c>
      <c r="BD470" s="87">
        <v>149992574</v>
      </c>
      <c r="BE470" s="87"/>
      <c r="BF470" s="87"/>
      <c r="BG470" s="87"/>
      <c r="BH470" s="87"/>
      <c r="BI470" s="87"/>
    </row>
    <row r="471" spans="1:61" x14ac:dyDescent="0.25">
      <c r="A471" s="63" t="s">
        <v>390</v>
      </c>
      <c r="B471" s="63" t="s">
        <v>390</v>
      </c>
      <c r="C471" s="64"/>
      <c r="D471" s="65"/>
      <c r="E471" s="66"/>
      <c r="F471" s="67"/>
      <c r="G471" s="64"/>
      <c r="H471" s="68"/>
      <c r="I471" s="69"/>
      <c r="J471" s="69"/>
      <c r="K471" s="32"/>
      <c r="L471" s="76">
        <v>471</v>
      </c>
      <c r="M471" s="76"/>
      <c r="N471" s="71"/>
      <c r="O471" s="87" t="s">
        <v>179</v>
      </c>
      <c r="P471" s="90">
        <v>45161.728437500002</v>
      </c>
      <c r="Q471" s="87" t="s">
        <v>2301</v>
      </c>
      <c r="R471" s="87">
        <v>0</v>
      </c>
      <c r="S471" s="87">
        <v>0</v>
      </c>
      <c r="T471" s="87">
        <v>0</v>
      </c>
      <c r="U471" s="87">
        <v>0</v>
      </c>
      <c r="V471" s="87">
        <v>19</v>
      </c>
      <c r="W471" s="93" t="s">
        <v>6197</v>
      </c>
      <c r="X471" s="87"/>
      <c r="Y471" s="87"/>
      <c r="Z471" s="87"/>
      <c r="AA471" s="87" t="s">
        <v>8951</v>
      </c>
      <c r="AB471" s="87" t="s">
        <v>11447</v>
      </c>
      <c r="AC471" s="93" t="s">
        <v>11458</v>
      </c>
      <c r="AD471" s="87" t="s">
        <v>11519</v>
      </c>
      <c r="AE471" s="92" t="str">
        <f>HYPERLINK("https://twitter.com/eduardoduka/status/1694401354322571754")</f>
        <v>https://twitter.com/eduardoduka/status/1694401354322571754</v>
      </c>
      <c r="AF471" s="90">
        <v>45161.728437500002</v>
      </c>
      <c r="AG471" s="99">
        <v>45161</v>
      </c>
      <c r="AH471" s="93" t="s">
        <v>11976</v>
      </c>
      <c r="AI471" s="87" t="b">
        <v>0</v>
      </c>
      <c r="AJ471" s="87"/>
      <c r="AK471" s="87"/>
      <c r="AL471" s="87"/>
      <c r="AM471" s="87"/>
      <c r="AN471" s="87"/>
      <c r="AO471" s="87"/>
      <c r="AP471" s="87"/>
      <c r="AQ471" s="87" t="s">
        <v>15764</v>
      </c>
      <c r="AR471" s="87">
        <v>51518</v>
      </c>
      <c r="AS471" s="87"/>
      <c r="AT471" s="87"/>
      <c r="AU471" s="87"/>
      <c r="AV471" s="92" t="str">
        <f>HYPERLINK("https://pbs.twimg.com/ext_tw_video_thumb/1694401233031757824/pu/img/7TSpuu3yWK25MF2b.jpg")</f>
        <v>https://pbs.twimg.com/ext_tw_video_thumb/1694401233031757824/pu/img/7TSpuu3yWK25MF2b.jpg</v>
      </c>
      <c r="AW471" s="93" t="s">
        <v>18721</v>
      </c>
      <c r="AX471" s="93" t="s">
        <v>18721</v>
      </c>
      <c r="AY471" s="87"/>
      <c r="AZ471" s="93" t="s">
        <v>22668</v>
      </c>
      <c r="BA471" s="93" t="s">
        <v>22668</v>
      </c>
      <c r="BB471" s="93" t="s">
        <v>22668</v>
      </c>
      <c r="BC471" s="93" t="s">
        <v>18721</v>
      </c>
      <c r="BD471" s="87">
        <v>149992574</v>
      </c>
      <c r="BE471" s="87"/>
      <c r="BF471" s="87"/>
      <c r="BG471" s="87"/>
      <c r="BH471" s="87"/>
      <c r="BI471" s="87"/>
    </row>
    <row r="472" spans="1:61" x14ac:dyDescent="0.25">
      <c r="A472" s="63" t="s">
        <v>390</v>
      </c>
      <c r="B472" s="63" t="s">
        <v>390</v>
      </c>
      <c r="C472" s="64"/>
      <c r="D472" s="65"/>
      <c r="E472" s="66"/>
      <c r="F472" s="67"/>
      <c r="G472" s="64"/>
      <c r="H472" s="68"/>
      <c r="I472" s="69"/>
      <c r="J472" s="69"/>
      <c r="K472" s="32"/>
      <c r="L472" s="76">
        <v>472</v>
      </c>
      <c r="M472" s="76"/>
      <c r="N472" s="71"/>
      <c r="O472" s="87" t="s">
        <v>179</v>
      </c>
      <c r="P472" s="90">
        <v>45158.831597222219</v>
      </c>
      <c r="Q472" s="87" t="s">
        <v>2302</v>
      </c>
      <c r="R472" s="87">
        <v>0</v>
      </c>
      <c r="S472" s="87">
        <v>1</v>
      </c>
      <c r="T472" s="87">
        <v>0</v>
      </c>
      <c r="U472" s="87">
        <v>0</v>
      </c>
      <c r="V472" s="87">
        <v>31</v>
      </c>
      <c r="W472" s="93" t="s">
        <v>6197</v>
      </c>
      <c r="X472" s="87"/>
      <c r="Y472" s="87"/>
      <c r="Z472" s="87"/>
      <c r="AA472" s="87" t="s">
        <v>8952</v>
      </c>
      <c r="AB472" s="87" t="s">
        <v>11447</v>
      </c>
      <c r="AC472" s="93" t="s">
        <v>11458</v>
      </c>
      <c r="AD472" s="87" t="s">
        <v>11519</v>
      </c>
      <c r="AE472" s="92" t="str">
        <f>HYPERLINK("https://twitter.com/eduardoduka/status/1693351574624465056")</f>
        <v>https://twitter.com/eduardoduka/status/1693351574624465056</v>
      </c>
      <c r="AF472" s="90">
        <v>45158.831597222219</v>
      </c>
      <c r="AG472" s="99">
        <v>45158</v>
      </c>
      <c r="AH472" s="93" t="s">
        <v>11977</v>
      </c>
      <c r="AI472" s="87" t="b">
        <v>0</v>
      </c>
      <c r="AJ472" s="87"/>
      <c r="AK472" s="87"/>
      <c r="AL472" s="87"/>
      <c r="AM472" s="87"/>
      <c r="AN472" s="87"/>
      <c r="AO472" s="87"/>
      <c r="AP472" s="87"/>
      <c r="AQ472" s="87" t="s">
        <v>15765</v>
      </c>
      <c r="AR472" s="87">
        <v>83916</v>
      </c>
      <c r="AS472" s="87"/>
      <c r="AT472" s="87"/>
      <c r="AU472" s="87"/>
      <c r="AV472" s="92" t="str">
        <f>HYPERLINK("https://pbs.twimg.com/ext_tw_video_thumb/1693351345674223616/pu/img/4Vf_Y_yop1cGjQLT.jpg")</f>
        <v>https://pbs.twimg.com/ext_tw_video_thumb/1693351345674223616/pu/img/4Vf_Y_yop1cGjQLT.jpg</v>
      </c>
      <c r="AW472" s="93" t="s">
        <v>18722</v>
      </c>
      <c r="AX472" s="93" t="s">
        <v>18722</v>
      </c>
      <c r="AY472" s="87"/>
      <c r="AZ472" s="93" t="s">
        <v>22668</v>
      </c>
      <c r="BA472" s="93" t="s">
        <v>22668</v>
      </c>
      <c r="BB472" s="93" t="s">
        <v>22668</v>
      </c>
      <c r="BC472" s="93" t="s">
        <v>18722</v>
      </c>
      <c r="BD472" s="87">
        <v>149992574</v>
      </c>
      <c r="BE472" s="87"/>
      <c r="BF472" s="87"/>
      <c r="BG472" s="87"/>
      <c r="BH472" s="87"/>
      <c r="BI472" s="87"/>
    </row>
    <row r="473" spans="1:61" x14ac:dyDescent="0.25">
      <c r="A473" s="63" t="s">
        <v>390</v>
      </c>
      <c r="B473" s="63" t="s">
        <v>390</v>
      </c>
      <c r="C473" s="64"/>
      <c r="D473" s="65"/>
      <c r="E473" s="66"/>
      <c r="F473" s="67"/>
      <c r="G473" s="64"/>
      <c r="H473" s="68"/>
      <c r="I473" s="69"/>
      <c r="J473" s="69"/>
      <c r="K473" s="32"/>
      <c r="L473" s="76">
        <v>473</v>
      </c>
      <c r="M473" s="76"/>
      <c r="N473" s="71"/>
      <c r="O473" s="87" t="s">
        <v>179</v>
      </c>
      <c r="P473" s="90">
        <v>45145.88853009259</v>
      </c>
      <c r="Q473" s="87" t="s">
        <v>2303</v>
      </c>
      <c r="R473" s="87">
        <v>0</v>
      </c>
      <c r="S473" s="87">
        <v>1</v>
      </c>
      <c r="T473" s="87">
        <v>0</v>
      </c>
      <c r="U473" s="87">
        <v>0</v>
      </c>
      <c r="V473" s="87">
        <v>16</v>
      </c>
      <c r="W473" s="93" t="s">
        <v>6198</v>
      </c>
      <c r="X473" s="92" t="str">
        <f>HYPERLINK("https://vm.tiktok.com/ZM2vJ1gFg/")</f>
        <v>https://vm.tiktok.com/ZM2vJ1gFg/</v>
      </c>
      <c r="Y473" s="87" t="s">
        <v>8398</v>
      </c>
      <c r="Z473" s="87"/>
      <c r="AA473" s="87"/>
      <c r="AB473" s="87"/>
      <c r="AC473" s="93" t="s">
        <v>11458</v>
      </c>
      <c r="AD473" s="87" t="s">
        <v>11519</v>
      </c>
      <c r="AE473" s="92" t="str">
        <f>HYPERLINK("https://twitter.com/eduardoduka/status/1688661160822714368")</f>
        <v>https://twitter.com/eduardoduka/status/1688661160822714368</v>
      </c>
      <c r="AF473" s="90">
        <v>45145.88853009259</v>
      </c>
      <c r="AG473" s="99">
        <v>45145</v>
      </c>
      <c r="AH473" s="93" t="s">
        <v>11978</v>
      </c>
      <c r="AI473" s="87" t="b">
        <v>0</v>
      </c>
      <c r="AJ473" s="87"/>
      <c r="AK473" s="87"/>
      <c r="AL473" s="87"/>
      <c r="AM473" s="87"/>
      <c r="AN473" s="87"/>
      <c r="AO473" s="87"/>
      <c r="AP473" s="87"/>
      <c r="AQ473" s="87"/>
      <c r="AR473" s="87"/>
      <c r="AS473" s="87"/>
      <c r="AT473" s="87"/>
      <c r="AU473" s="87"/>
      <c r="AV473" s="92" t="str">
        <f>HYPERLINK("https://pbs.twimg.com/profile_images/1499873180210667520/pGuGnc4G_normal.jpg")</f>
        <v>https://pbs.twimg.com/profile_images/1499873180210667520/pGuGnc4G_normal.jpg</v>
      </c>
      <c r="AW473" s="93" t="s">
        <v>18723</v>
      </c>
      <c r="AX473" s="93" t="s">
        <v>18723</v>
      </c>
      <c r="AY473" s="87"/>
      <c r="AZ473" s="93" t="s">
        <v>22668</v>
      </c>
      <c r="BA473" s="93" t="s">
        <v>22668</v>
      </c>
      <c r="BB473" s="93" t="s">
        <v>22668</v>
      </c>
      <c r="BC473" s="93" t="s">
        <v>18723</v>
      </c>
      <c r="BD473" s="87">
        <v>149992574</v>
      </c>
      <c r="BE473" s="87"/>
      <c r="BF473" s="87"/>
      <c r="BG473" s="87"/>
      <c r="BH473" s="87"/>
      <c r="BI473" s="87"/>
    </row>
    <row r="474" spans="1:61" x14ac:dyDescent="0.25">
      <c r="A474" s="63" t="s">
        <v>390</v>
      </c>
      <c r="B474" s="63" t="s">
        <v>390</v>
      </c>
      <c r="C474" s="64"/>
      <c r="D474" s="65"/>
      <c r="E474" s="66"/>
      <c r="F474" s="67"/>
      <c r="G474" s="64"/>
      <c r="H474" s="68"/>
      <c r="I474" s="69"/>
      <c r="J474" s="69"/>
      <c r="K474" s="32"/>
      <c r="L474" s="76">
        <v>474</v>
      </c>
      <c r="M474" s="76"/>
      <c r="N474" s="71"/>
      <c r="O474" s="87" t="s">
        <v>179</v>
      </c>
      <c r="P474" s="90">
        <v>45133.738449074073</v>
      </c>
      <c r="Q474" s="87" t="s">
        <v>2304</v>
      </c>
      <c r="R474" s="87">
        <v>0</v>
      </c>
      <c r="S474" s="87">
        <v>0</v>
      </c>
      <c r="T474" s="87">
        <v>0</v>
      </c>
      <c r="U474" s="87">
        <v>0</v>
      </c>
      <c r="V474" s="87">
        <v>12</v>
      </c>
      <c r="W474" s="93" t="s">
        <v>6198</v>
      </c>
      <c r="X474" s="92" t="str">
        <f>HYPERLINK("https://www.tiktok.com/t/ZM2pkq73F/")</f>
        <v>https://www.tiktok.com/t/ZM2pkq73F/</v>
      </c>
      <c r="Y474" s="87" t="s">
        <v>8398</v>
      </c>
      <c r="Z474" s="87"/>
      <c r="AA474" s="87"/>
      <c r="AB474" s="87"/>
      <c r="AC474" s="93" t="s">
        <v>11458</v>
      </c>
      <c r="AD474" s="87" t="s">
        <v>11519</v>
      </c>
      <c r="AE474" s="92" t="str">
        <f>HYPERLINK("https://twitter.com/eduardoduka/status/1684258118505463815")</f>
        <v>https://twitter.com/eduardoduka/status/1684258118505463815</v>
      </c>
      <c r="AF474" s="90">
        <v>45133.738449074073</v>
      </c>
      <c r="AG474" s="99">
        <v>45133</v>
      </c>
      <c r="AH474" s="93" t="s">
        <v>11979</v>
      </c>
      <c r="AI474" s="87" t="b">
        <v>0</v>
      </c>
      <c r="AJ474" s="87"/>
      <c r="AK474" s="87"/>
      <c r="AL474" s="87"/>
      <c r="AM474" s="87"/>
      <c r="AN474" s="87"/>
      <c r="AO474" s="87"/>
      <c r="AP474" s="87"/>
      <c r="AQ474" s="87"/>
      <c r="AR474" s="87"/>
      <c r="AS474" s="87"/>
      <c r="AT474" s="87"/>
      <c r="AU474" s="87"/>
      <c r="AV474" s="92" t="str">
        <f>HYPERLINK("https://pbs.twimg.com/profile_images/1499873180210667520/pGuGnc4G_normal.jpg")</f>
        <v>https://pbs.twimg.com/profile_images/1499873180210667520/pGuGnc4G_normal.jpg</v>
      </c>
      <c r="AW474" s="93" t="s">
        <v>18724</v>
      </c>
      <c r="AX474" s="93" t="s">
        <v>18724</v>
      </c>
      <c r="AY474" s="87"/>
      <c r="AZ474" s="93" t="s">
        <v>22668</v>
      </c>
      <c r="BA474" s="93" t="s">
        <v>22668</v>
      </c>
      <c r="BB474" s="93" t="s">
        <v>22668</v>
      </c>
      <c r="BC474" s="93" t="s">
        <v>18724</v>
      </c>
      <c r="BD474" s="87">
        <v>149992574</v>
      </c>
      <c r="BE474" s="87"/>
      <c r="BF474" s="87"/>
      <c r="BG474" s="87"/>
      <c r="BH474" s="87"/>
      <c r="BI474" s="87"/>
    </row>
    <row r="475" spans="1:61" x14ac:dyDescent="0.25">
      <c r="A475" s="63" t="s">
        <v>390</v>
      </c>
      <c r="B475" s="63" t="s">
        <v>390</v>
      </c>
      <c r="C475" s="64"/>
      <c r="D475" s="65"/>
      <c r="E475" s="66"/>
      <c r="F475" s="67"/>
      <c r="G475" s="64"/>
      <c r="H475" s="68"/>
      <c r="I475" s="69"/>
      <c r="J475" s="69"/>
      <c r="K475" s="32"/>
      <c r="L475" s="76">
        <v>475</v>
      </c>
      <c r="M475" s="76"/>
      <c r="N475" s="71"/>
      <c r="O475" s="87" t="s">
        <v>179</v>
      </c>
      <c r="P475" s="90">
        <v>45119.768541666665</v>
      </c>
      <c r="Q475" s="87" t="s">
        <v>2305</v>
      </c>
      <c r="R475" s="87">
        <v>0</v>
      </c>
      <c r="S475" s="87">
        <v>1</v>
      </c>
      <c r="T475" s="87">
        <v>0</v>
      </c>
      <c r="U475" s="87">
        <v>0</v>
      </c>
      <c r="V475" s="87">
        <v>11</v>
      </c>
      <c r="W475" s="93" t="s">
        <v>6198</v>
      </c>
      <c r="X475" s="92" t="str">
        <f>HYPERLINK("https://vm.tiktok.com/ZM2CLWR66/")</f>
        <v>https://vm.tiktok.com/ZM2CLWR66/</v>
      </c>
      <c r="Y475" s="87" t="s">
        <v>8398</v>
      </c>
      <c r="Z475" s="87"/>
      <c r="AA475" s="87"/>
      <c r="AB475" s="87"/>
      <c r="AC475" s="93" t="s">
        <v>11458</v>
      </c>
      <c r="AD475" s="87" t="s">
        <v>11519</v>
      </c>
      <c r="AE475" s="92" t="str">
        <f>HYPERLINK("https://twitter.com/eduardoduka/status/1679195595754307600")</f>
        <v>https://twitter.com/eduardoduka/status/1679195595754307600</v>
      </c>
      <c r="AF475" s="90">
        <v>45119.768541666665</v>
      </c>
      <c r="AG475" s="99">
        <v>45119</v>
      </c>
      <c r="AH475" s="93" t="s">
        <v>11980</v>
      </c>
      <c r="AI475" s="87" t="b">
        <v>0</v>
      </c>
      <c r="AJ475" s="87"/>
      <c r="AK475" s="87"/>
      <c r="AL475" s="87"/>
      <c r="AM475" s="87"/>
      <c r="AN475" s="87"/>
      <c r="AO475" s="87"/>
      <c r="AP475" s="87"/>
      <c r="AQ475" s="87"/>
      <c r="AR475" s="87"/>
      <c r="AS475" s="87"/>
      <c r="AT475" s="87"/>
      <c r="AU475" s="87"/>
      <c r="AV475" s="92" t="str">
        <f>HYPERLINK("https://pbs.twimg.com/profile_images/1499873180210667520/pGuGnc4G_normal.jpg")</f>
        <v>https://pbs.twimg.com/profile_images/1499873180210667520/pGuGnc4G_normal.jpg</v>
      </c>
      <c r="AW475" s="93" t="s">
        <v>18725</v>
      </c>
      <c r="AX475" s="93" t="s">
        <v>18725</v>
      </c>
      <c r="AY475" s="87"/>
      <c r="AZ475" s="93" t="s">
        <v>22668</v>
      </c>
      <c r="BA475" s="93" t="s">
        <v>22668</v>
      </c>
      <c r="BB475" s="93" t="s">
        <v>22668</v>
      </c>
      <c r="BC475" s="93" t="s">
        <v>18725</v>
      </c>
      <c r="BD475" s="87">
        <v>149992574</v>
      </c>
      <c r="BE475" s="87"/>
      <c r="BF475" s="87"/>
      <c r="BG475" s="87"/>
      <c r="BH475" s="87"/>
      <c r="BI475" s="87"/>
    </row>
    <row r="476" spans="1:61" x14ac:dyDescent="0.25">
      <c r="A476" s="63" t="s">
        <v>390</v>
      </c>
      <c r="B476" s="63" t="s">
        <v>390</v>
      </c>
      <c r="C476" s="64"/>
      <c r="D476" s="65"/>
      <c r="E476" s="66"/>
      <c r="F476" s="67"/>
      <c r="G476" s="64"/>
      <c r="H476" s="68"/>
      <c r="I476" s="69"/>
      <c r="J476" s="69"/>
      <c r="K476" s="32"/>
      <c r="L476" s="76">
        <v>476</v>
      </c>
      <c r="M476" s="76"/>
      <c r="N476" s="71"/>
      <c r="O476" s="87" t="s">
        <v>179</v>
      </c>
      <c r="P476" s="90">
        <v>45112.82135416667</v>
      </c>
      <c r="Q476" s="87" t="s">
        <v>2306</v>
      </c>
      <c r="R476" s="87">
        <v>0</v>
      </c>
      <c r="S476" s="87">
        <v>0</v>
      </c>
      <c r="T476" s="87">
        <v>0</v>
      </c>
      <c r="U476" s="87">
        <v>0</v>
      </c>
      <c r="V476" s="87">
        <v>20</v>
      </c>
      <c r="W476" s="93" t="s">
        <v>6198</v>
      </c>
      <c r="X476" s="92" t="str">
        <f>HYPERLINK("https://vm.tiktok.com/ZM2u4LJHJ/")</f>
        <v>https://vm.tiktok.com/ZM2u4LJHJ/</v>
      </c>
      <c r="Y476" s="87" t="s">
        <v>8398</v>
      </c>
      <c r="Z476" s="87"/>
      <c r="AA476" s="87"/>
      <c r="AB476" s="87"/>
      <c r="AC476" s="93" t="s">
        <v>11458</v>
      </c>
      <c r="AD476" s="87" t="s">
        <v>11519</v>
      </c>
      <c r="AE476" s="92" t="str">
        <f>HYPERLINK("https://twitter.com/eduardoduka/status/1676678018415165440")</f>
        <v>https://twitter.com/eduardoduka/status/1676678018415165440</v>
      </c>
      <c r="AF476" s="90">
        <v>45112.82135416667</v>
      </c>
      <c r="AG476" s="99">
        <v>45112</v>
      </c>
      <c r="AH476" s="93" t="s">
        <v>11981</v>
      </c>
      <c r="AI476" s="87" t="b">
        <v>0</v>
      </c>
      <c r="AJ476" s="87"/>
      <c r="AK476" s="87"/>
      <c r="AL476" s="87"/>
      <c r="AM476" s="87"/>
      <c r="AN476" s="87"/>
      <c r="AO476" s="87"/>
      <c r="AP476" s="87"/>
      <c r="AQ476" s="87"/>
      <c r="AR476" s="87"/>
      <c r="AS476" s="87"/>
      <c r="AT476" s="87"/>
      <c r="AU476" s="87"/>
      <c r="AV476" s="92" t="str">
        <f>HYPERLINK("https://pbs.twimg.com/profile_images/1499873180210667520/pGuGnc4G_normal.jpg")</f>
        <v>https://pbs.twimg.com/profile_images/1499873180210667520/pGuGnc4G_normal.jpg</v>
      </c>
      <c r="AW476" s="93" t="s">
        <v>18726</v>
      </c>
      <c r="AX476" s="93" t="s">
        <v>18726</v>
      </c>
      <c r="AY476" s="87"/>
      <c r="AZ476" s="93" t="s">
        <v>22668</v>
      </c>
      <c r="BA476" s="93" t="s">
        <v>22668</v>
      </c>
      <c r="BB476" s="93" t="s">
        <v>22668</v>
      </c>
      <c r="BC476" s="93" t="s">
        <v>18726</v>
      </c>
      <c r="BD476" s="87">
        <v>149992574</v>
      </c>
      <c r="BE476" s="87"/>
      <c r="BF476" s="87"/>
      <c r="BG476" s="87"/>
      <c r="BH476" s="87"/>
      <c r="BI476" s="87"/>
    </row>
    <row r="477" spans="1:61" x14ac:dyDescent="0.25">
      <c r="A477" s="63" t="s">
        <v>390</v>
      </c>
      <c r="B477" s="63" t="s">
        <v>390</v>
      </c>
      <c r="C477" s="64"/>
      <c r="D477" s="65"/>
      <c r="E477" s="66"/>
      <c r="F477" s="67"/>
      <c r="G477" s="64"/>
      <c r="H477" s="68"/>
      <c r="I477" s="69"/>
      <c r="J477" s="69"/>
      <c r="K477" s="32"/>
      <c r="L477" s="76">
        <v>477</v>
      </c>
      <c r="M477" s="76"/>
      <c r="N477" s="71"/>
      <c r="O477" s="87" t="s">
        <v>179</v>
      </c>
      <c r="P477" s="90">
        <v>45111.79111111111</v>
      </c>
      <c r="Q477" s="87" t="s">
        <v>2307</v>
      </c>
      <c r="R477" s="87">
        <v>0</v>
      </c>
      <c r="S477" s="87">
        <v>0</v>
      </c>
      <c r="T477" s="87">
        <v>0</v>
      </c>
      <c r="U477" s="87">
        <v>0</v>
      </c>
      <c r="V477" s="87">
        <v>14</v>
      </c>
      <c r="W477" s="93" t="s">
        <v>6198</v>
      </c>
      <c r="X477" s="92" t="str">
        <f>HYPERLINK("https://vm.tiktok.com/ZM2mwPbeA/")</f>
        <v>https://vm.tiktok.com/ZM2mwPbeA/</v>
      </c>
      <c r="Y477" s="87" t="s">
        <v>8398</v>
      </c>
      <c r="Z477" s="87"/>
      <c r="AA477" s="87"/>
      <c r="AB477" s="87"/>
      <c r="AC477" s="93" t="s">
        <v>11458</v>
      </c>
      <c r="AD477" s="87" t="s">
        <v>11519</v>
      </c>
      <c r="AE477" s="92" t="str">
        <f>HYPERLINK("https://twitter.com/eduardoduka/status/1676304672632586241")</f>
        <v>https://twitter.com/eduardoduka/status/1676304672632586241</v>
      </c>
      <c r="AF477" s="90">
        <v>45111.79111111111</v>
      </c>
      <c r="AG477" s="99">
        <v>45111</v>
      </c>
      <c r="AH477" s="93" t="s">
        <v>11982</v>
      </c>
      <c r="AI477" s="87" t="b">
        <v>0</v>
      </c>
      <c r="AJ477" s="87"/>
      <c r="AK477" s="87"/>
      <c r="AL477" s="87"/>
      <c r="AM477" s="87"/>
      <c r="AN477" s="87"/>
      <c r="AO477" s="87"/>
      <c r="AP477" s="87"/>
      <c r="AQ477" s="87"/>
      <c r="AR477" s="87"/>
      <c r="AS477" s="87"/>
      <c r="AT477" s="87"/>
      <c r="AU477" s="87"/>
      <c r="AV477" s="92" t="str">
        <f>HYPERLINK("https://pbs.twimg.com/profile_images/1499873180210667520/pGuGnc4G_normal.jpg")</f>
        <v>https://pbs.twimg.com/profile_images/1499873180210667520/pGuGnc4G_normal.jpg</v>
      </c>
      <c r="AW477" s="93" t="s">
        <v>18727</v>
      </c>
      <c r="AX477" s="93" t="s">
        <v>18727</v>
      </c>
      <c r="AY477" s="87"/>
      <c r="AZ477" s="93" t="s">
        <v>22668</v>
      </c>
      <c r="BA477" s="93" t="s">
        <v>22668</v>
      </c>
      <c r="BB477" s="93" t="s">
        <v>22668</v>
      </c>
      <c r="BC477" s="93" t="s">
        <v>18727</v>
      </c>
      <c r="BD477" s="87">
        <v>149992574</v>
      </c>
      <c r="BE477" s="87"/>
      <c r="BF477" s="87"/>
      <c r="BG477" s="87"/>
      <c r="BH477" s="87"/>
      <c r="BI477" s="87"/>
    </row>
    <row r="478" spans="1:61" x14ac:dyDescent="0.25">
      <c r="A478" s="63" t="s">
        <v>390</v>
      </c>
      <c r="B478" s="63" t="s">
        <v>390</v>
      </c>
      <c r="C478" s="64"/>
      <c r="D478" s="65"/>
      <c r="E478" s="66"/>
      <c r="F478" s="67"/>
      <c r="G478" s="64"/>
      <c r="H478" s="68"/>
      <c r="I478" s="69"/>
      <c r="J478" s="69"/>
      <c r="K478" s="32"/>
      <c r="L478" s="76">
        <v>478</v>
      </c>
      <c r="M478" s="76"/>
      <c r="N478" s="71"/>
      <c r="O478" s="87" t="s">
        <v>179</v>
      </c>
      <c r="P478" s="90">
        <v>45185.931770833333</v>
      </c>
      <c r="Q478" s="87" t="s">
        <v>2308</v>
      </c>
      <c r="R478" s="87">
        <v>0</v>
      </c>
      <c r="S478" s="87">
        <v>0</v>
      </c>
      <c r="T478" s="87">
        <v>0</v>
      </c>
      <c r="U478" s="87">
        <v>0</v>
      </c>
      <c r="V478" s="87">
        <v>33</v>
      </c>
      <c r="W478" s="93" t="s">
        <v>6197</v>
      </c>
      <c r="X478" s="87"/>
      <c r="Y478" s="87"/>
      <c r="Z478" s="87"/>
      <c r="AA478" s="87" t="s">
        <v>8953</v>
      </c>
      <c r="AB478" s="87" t="s">
        <v>11447</v>
      </c>
      <c r="AC478" s="93" t="s">
        <v>11458</v>
      </c>
      <c r="AD478" s="87" t="s">
        <v>11519</v>
      </c>
      <c r="AE478" s="92" t="str">
        <f>HYPERLINK("https://twitter.com/eduardoduka/status/1703172348336038216")</f>
        <v>https://twitter.com/eduardoduka/status/1703172348336038216</v>
      </c>
      <c r="AF478" s="90">
        <v>45185.931770833333</v>
      </c>
      <c r="AG478" s="99">
        <v>45185</v>
      </c>
      <c r="AH478" s="93" t="s">
        <v>11983</v>
      </c>
      <c r="AI478" s="87" t="b">
        <v>0</v>
      </c>
      <c r="AJ478" s="87"/>
      <c r="AK478" s="87"/>
      <c r="AL478" s="87"/>
      <c r="AM478" s="87"/>
      <c r="AN478" s="87"/>
      <c r="AO478" s="87"/>
      <c r="AP478" s="87"/>
      <c r="AQ478" s="87" t="s">
        <v>15766</v>
      </c>
      <c r="AR478" s="87">
        <v>71138</v>
      </c>
      <c r="AS478" s="87"/>
      <c r="AT478" s="87"/>
      <c r="AU478" s="87"/>
      <c r="AV478" s="92" t="str">
        <f>HYPERLINK("https://pbs.twimg.com/ext_tw_video_thumb/1703172059088457728/pu/img/Uub4qtepiPIIs8h8.jpg")</f>
        <v>https://pbs.twimg.com/ext_tw_video_thumb/1703172059088457728/pu/img/Uub4qtepiPIIs8h8.jpg</v>
      </c>
      <c r="AW478" s="93" t="s">
        <v>18728</v>
      </c>
      <c r="AX478" s="93" t="s">
        <v>18728</v>
      </c>
      <c r="AY478" s="87"/>
      <c r="AZ478" s="93" t="s">
        <v>22668</v>
      </c>
      <c r="BA478" s="93" t="s">
        <v>22668</v>
      </c>
      <c r="BB478" s="93" t="s">
        <v>22668</v>
      </c>
      <c r="BC478" s="93" t="s">
        <v>18728</v>
      </c>
      <c r="BD478" s="87">
        <v>149992574</v>
      </c>
      <c r="BE478" s="87"/>
      <c r="BF478" s="87"/>
      <c r="BG478" s="87"/>
      <c r="BH478" s="87"/>
      <c r="BI478" s="87"/>
    </row>
    <row r="479" spans="1:61" x14ac:dyDescent="0.25">
      <c r="A479" s="63" t="s">
        <v>390</v>
      </c>
      <c r="B479" s="63" t="s">
        <v>390</v>
      </c>
      <c r="C479" s="64"/>
      <c r="D479" s="65"/>
      <c r="E479" s="66"/>
      <c r="F479" s="67"/>
      <c r="G479" s="64"/>
      <c r="H479" s="68"/>
      <c r="I479" s="69"/>
      <c r="J479" s="69"/>
      <c r="K479" s="32"/>
      <c r="L479" s="76">
        <v>479</v>
      </c>
      <c r="M479" s="76"/>
      <c r="N479" s="71"/>
      <c r="O479" s="87" t="s">
        <v>179</v>
      </c>
      <c r="P479" s="90">
        <v>45173.624409722222</v>
      </c>
      <c r="Q479" s="87" t="s">
        <v>2309</v>
      </c>
      <c r="R479" s="87">
        <v>0</v>
      </c>
      <c r="S479" s="87">
        <v>2</v>
      </c>
      <c r="T479" s="87">
        <v>0</v>
      </c>
      <c r="U479" s="87">
        <v>0</v>
      </c>
      <c r="V479" s="87">
        <v>41</v>
      </c>
      <c r="W479" s="93" t="s">
        <v>6197</v>
      </c>
      <c r="X479" s="87"/>
      <c r="Y479" s="87"/>
      <c r="Z479" s="87"/>
      <c r="AA479" s="87" t="s">
        <v>8954</v>
      </c>
      <c r="AB479" s="87" t="s">
        <v>11447</v>
      </c>
      <c r="AC479" s="93" t="s">
        <v>11458</v>
      </c>
      <c r="AD479" s="87" t="s">
        <v>11519</v>
      </c>
      <c r="AE479" s="92" t="str">
        <f>HYPERLINK("https://twitter.com/eduardoduka/status/1698712309483360440")</f>
        <v>https://twitter.com/eduardoduka/status/1698712309483360440</v>
      </c>
      <c r="AF479" s="90">
        <v>45173.624409722222</v>
      </c>
      <c r="AG479" s="99">
        <v>45173</v>
      </c>
      <c r="AH479" s="93" t="s">
        <v>11984</v>
      </c>
      <c r="AI479" s="87" t="b">
        <v>0</v>
      </c>
      <c r="AJ479" s="87"/>
      <c r="AK479" s="87"/>
      <c r="AL479" s="87"/>
      <c r="AM479" s="87"/>
      <c r="AN479" s="87"/>
      <c r="AO479" s="87"/>
      <c r="AP479" s="87"/>
      <c r="AQ479" s="87" t="s">
        <v>15767</v>
      </c>
      <c r="AR479" s="87">
        <v>63830</v>
      </c>
      <c r="AS479" s="87"/>
      <c r="AT479" s="87"/>
      <c r="AU479" s="87"/>
      <c r="AV479" s="92" t="str">
        <f>HYPERLINK("https://pbs.twimg.com/ext_tw_video_thumb/1698712199605174272/pu/img/VfEAutLOU2Hik9Z9.jpg")</f>
        <v>https://pbs.twimg.com/ext_tw_video_thumb/1698712199605174272/pu/img/VfEAutLOU2Hik9Z9.jpg</v>
      </c>
      <c r="AW479" s="93" t="s">
        <v>18729</v>
      </c>
      <c r="AX479" s="93" t="s">
        <v>18729</v>
      </c>
      <c r="AY479" s="87"/>
      <c r="AZ479" s="93" t="s">
        <v>22668</v>
      </c>
      <c r="BA479" s="93" t="s">
        <v>22668</v>
      </c>
      <c r="BB479" s="93" t="s">
        <v>22668</v>
      </c>
      <c r="BC479" s="93" t="s">
        <v>18729</v>
      </c>
      <c r="BD479" s="87">
        <v>149992574</v>
      </c>
      <c r="BE479" s="87"/>
      <c r="BF479" s="87"/>
      <c r="BG479" s="87"/>
      <c r="BH479" s="87"/>
      <c r="BI479" s="87"/>
    </row>
    <row r="480" spans="1:61" x14ac:dyDescent="0.25">
      <c r="A480" s="63" t="s">
        <v>390</v>
      </c>
      <c r="B480" s="63" t="s">
        <v>390</v>
      </c>
      <c r="C480" s="64"/>
      <c r="D480" s="65"/>
      <c r="E480" s="66"/>
      <c r="F480" s="67"/>
      <c r="G480" s="64"/>
      <c r="H480" s="68"/>
      <c r="I480" s="69"/>
      <c r="J480" s="69"/>
      <c r="K480" s="32"/>
      <c r="L480" s="76">
        <v>480</v>
      </c>
      <c r="M480" s="76"/>
      <c r="N480" s="71"/>
      <c r="O480" s="87" t="s">
        <v>179</v>
      </c>
      <c r="P480" s="90">
        <v>45164.905543981484</v>
      </c>
      <c r="Q480" s="87" t="s">
        <v>2310</v>
      </c>
      <c r="R480" s="87">
        <v>0</v>
      </c>
      <c r="S480" s="87">
        <v>2</v>
      </c>
      <c r="T480" s="87">
        <v>0</v>
      </c>
      <c r="U480" s="87">
        <v>0</v>
      </c>
      <c r="V480" s="87">
        <v>54</v>
      </c>
      <c r="W480" s="93" t="s">
        <v>6197</v>
      </c>
      <c r="X480" s="87"/>
      <c r="Y480" s="87"/>
      <c r="Z480" s="87"/>
      <c r="AA480" s="87" t="s">
        <v>8955</v>
      </c>
      <c r="AB480" s="87" t="s">
        <v>11447</v>
      </c>
      <c r="AC480" s="93" t="s">
        <v>11458</v>
      </c>
      <c r="AD480" s="87" t="s">
        <v>11519</v>
      </c>
      <c r="AE480" s="92" t="str">
        <f>HYPERLINK("https://twitter.com/eduardoduka/status/1695552696328089767")</f>
        <v>https://twitter.com/eduardoduka/status/1695552696328089767</v>
      </c>
      <c r="AF480" s="90">
        <v>45164.905543981484</v>
      </c>
      <c r="AG480" s="99">
        <v>45164</v>
      </c>
      <c r="AH480" s="93" t="s">
        <v>11985</v>
      </c>
      <c r="AI480" s="87" t="b">
        <v>0</v>
      </c>
      <c r="AJ480" s="87"/>
      <c r="AK480" s="87"/>
      <c r="AL480" s="87"/>
      <c r="AM480" s="87"/>
      <c r="AN480" s="87"/>
      <c r="AO480" s="87"/>
      <c r="AP480" s="87"/>
      <c r="AQ480" s="87" t="s">
        <v>15768</v>
      </c>
      <c r="AR480" s="87">
        <v>77778</v>
      </c>
      <c r="AS480" s="87"/>
      <c r="AT480" s="87"/>
      <c r="AU480" s="87"/>
      <c r="AV480" s="92" t="str">
        <f>HYPERLINK("https://pbs.twimg.com/ext_tw_video_thumb/1695552568162701312/pu/img/uZ5d-pkTK_5bgzu4.jpg")</f>
        <v>https://pbs.twimg.com/ext_tw_video_thumb/1695552568162701312/pu/img/uZ5d-pkTK_5bgzu4.jpg</v>
      </c>
      <c r="AW480" s="93" t="s">
        <v>18730</v>
      </c>
      <c r="AX480" s="93" t="s">
        <v>18730</v>
      </c>
      <c r="AY480" s="87"/>
      <c r="AZ480" s="93" t="s">
        <v>22668</v>
      </c>
      <c r="BA480" s="93" t="s">
        <v>22668</v>
      </c>
      <c r="BB480" s="93" t="s">
        <v>22668</v>
      </c>
      <c r="BC480" s="93" t="s">
        <v>18730</v>
      </c>
      <c r="BD480" s="87">
        <v>149992574</v>
      </c>
      <c r="BE480" s="87"/>
      <c r="BF480" s="87"/>
      <c r="BG480" s="87"/>
      <c r="BH480" s="87"/>
      <c r="BI480" s="87"/>
    </row>
    <row r="481" spans="1:61" x14ac:dyDescent="0.25">
      <c r="A481" s="63" t="s">
        <v>390</v>
      </c>
      <c r="B481" s="63" t="s">
        <v>390</v>
      </c>
      <c r="C481" s="64"/>
      <c r="D481" s="65"/>
      <c r="E481" s="66"/>
      <c r="F481" s="67"/>
      <c r="G481" s="64"/>
      <c r="H481" s="68"/>
      <c r="I481" s="69"/>
      <c r="J481" s="69"/>
      <c r="K481" s="32"/>
      <c r="L481" s="76">
        <v>481</v>
      </c>
      <c r="M481" s="76"/>
      <c r="N481" s="71"/>
      <c r="O481" s="87" t="s">
        <v>179</v>
      </c>
      <c r="P481" s="90">
        <v>45151.61414351852</v>
      </c>
      <c r="Q481" s="87" t="s">
        <v>2311</v>
      </c>
      <c r="R481" s="87">
        <v>0</v>
      </c>
      <c r="S481" s="87">
        <v>0</v>
      </c>
      <c r="T481" s="87">
        <v>0</v>
      </c>
      <c r="U481" s="87">
        <v>0</v>
      </c>
      <c r="V481" s="87">
        <v>12</v>
      </c>
      <c r="W481" s="93" t="s">
        <v>6198</v>
      </c>
      <c r="X481" s="92" t="str">
        <f>HYPERLINK("https://vm.tiktok.com/ZM2wejjfA/")</f>
        <v>https://vm.tiktok.com/ZM2wejjfA/</v>
      </c>
      <c r="Y481" s="87" t="s">
        <v>8398</v>
      </c>
      <c r="Z481" s="87"/>
      <c r="AA481" s="87"/>
      <c r="AB481" s="87"/>
      <c r="AC481" s="93" t="s">
        <v>11458</v>
      </c>
      <c r="AD481" s="87" t="s">
        <v>11519</v>
      </c>
      <c r="AE481" s="92" t="str">
        <f>HYPERLINK("https://twitter.com/eduardoduka/status/1690736054578397184")</f>
        <v>https://twitter.com/eduardoduka/status/1690736054578397184</v>
      </c>
      <c r="AF481" s="90">
        <v>45151.61414351852</v>
      </c>
      <c r="AG481" s="99">
        <v>45151</v>
      </c>
      <c r="AH481" s="93" t="s">
        <v>11986</v>
      </c>
      <c r="AI481" s="87" t="b">
        <v>0</v>
      </c>
      <c r="AJ481" s="87"/>
      <c r="AK481" s="87"/>
      <c r="AL481" s="87"/>
      <c r="AM481" s="87"/>
      <c r="AN481" s="87"/>
      <c r="AO481" s="87"/>
      <c r="AP481" s="87"/>
      <c r="AQ481" s="87"/>
      <c r="AR481" s="87"/>
      <c r="AS481" s="87"/>
      <c r="AT481" s="87"/>
      <c r="AU481" s="87"/>
      <c r="AV481" s="92" t="str">
        <f>HYPERLINK("https://pbs.twimg.com/profile_images/1499873180210667520/pGuGnc4G_normal.jpg")</f>
        <v>https://pbs.twimg.com/profile_images/1499873180210667520/pGuGnc4G_normal.jpg</v>
      </c>
      <c r="AW481" s="93" t="s">
        <v>18731</v>
      </c>
      <c r="AX481" s="93" t="s">
        <v>18731</v>
      </c>
      <c r="AY481" s="87"/>
      <c r="AZ481" s="93" t="s">
        <v>22668</v>
      </c>
      <c r="BA481" s="93" t="s">
        <v>22668</v>
      </c>
      <c r="BB481" s="93" t="s">
        <v>22668</v>
      </c>
      <c r="BC481" s="93" t="s">
        <v>18731</v>
      </c>
      <c r="BD481" s="87">
        <v>149992574</v>
      </c>
      <c r="BE481" s="87"/>
      <c r="BF481" s="87"/>
      <c r="BG481" s="87"/>
      <c r="BH481" s="87"/>
      <c r="BI481" s="87"/>
    </row>
    <row r="482" spans="1:61" x14ac:dyDescent="0.25">
      <c r="A482" s="63" t="s">
        <v>390</v>
      </c>
      <c r="B482" s="63" t="s">
        <v>390</v>
      </c>
      <c r="C482" s="64"/>
      <c r="D482" s="65"/>
      <c r="E482" s="66"/>
      <c r="F482" s="67"/>
      <c r="G482" s="64"/>
      <c r="H482" s="68"/>
      <c r="I482" s="69"/>
      <c r="J482" s="69"/>
      <c r="K482" s="32"/>
      <c r="L482" s="76">
        <v>482</v>
      </c>
      <c r="M482" s="76"/>
      <c r="N482" s="71"/>
      <c r="O482" s="87" t="s">
        <v>179</v>
      </c>
      <c r="P482" s="90">
        <v>45150.633425925924</v>
      </c>
      <c r="Q482" s="87" t="s">
        <v>2312</v>
      </c>
      <c r="R482" s="87">
        <v>0</v>
      </c>
      <c r="S482" s="87">
        <v>0</v>
      </c>
      <c r="T482" s="87">
        <v>0</v>
      </c>
      <c r="U482" s="87">
        <v>0</v>
      </c>
      <c r="V482" s="87">
        <v>9</v>
      </c>
      <c r="W482" s="93" t="s">
        <v>6198</v>
      </c>
      <c r="X482" s="92" t="str">
        <f>HYPERLINK("https://vm.tiktok.com/ZM2TR5hwb/")</f>
        <v>https://vm.tiktok.com/ZM2TR5hwb/</v>
      </c>
      <c r="Y482" s="87" t="s">
        <v>8398</v>
      </c>
      <c r="Z482" s="87"/>
      <c r="AA482" s="87"/>
      <c r="AB482" s="87"/>
      <c r="AC482" s="93" t="s">
        <v>11458</v>
      </c>
      <c r="AD482" s="87" t="s">
        <v>11519</v>
      </c>
      <c r="AE482" s="92" t="str">
        <f>HYPERLINK("https://twitter.com/eduardoduka/status/1690380656142913536")</f>
        <v>https://twitter.com/eduardoduka/status/1690380656142913536</v>
      </c>
      <c r="AF482" s="90">
        <v>45150.633425925924</v>
      </c>
      <c r="AG482" s="99">
        <v>45150</v>
      </c>
      <c r="AH482" s="93" t="s">
        <v>11987</v>
      </c>
      <c r="AI482" s="87" t="b">
        <v>0</v>
      </c>
      <c r="AJ482" s="87"/>
      <c r="AK482" s="87"/>
      <c r="AL482" s="87"/>
      <c r="AM482" s="87"/>
      <c r="AN482" s="87"/>
      <c r="AO482" s="87"/>
      <c r="AP482" s="87"/>
      <c r="AQ482" s="87"/>
      <c r="AR482" s="87"/>
      <c r="AS482" s="87"/>
      <c r="AT482" s="87"/>
      <c r="AU482" s="87"/>
      <c r="AV482" s="92" t="str">
        <f>HYPERLINK("https://pbs.twimg.com/profile_images/1499873180210667520/pGuGnc4G_normal.jpg")</f>
        <v>https://pbs.twimg.com/profile_images/1499873180210667520/pGuGnc4G_normal.jpg</v>
      </c>
      <c r="AW482" s="93" t="s">
        <v>18732</v>
      </c>
      <c r="AX482" s="93" t="s">
        <v>18732</v>
      </c>
      <c r="AY482" s="87"/>
      <c r="AZ482" s="93" t="s">
        <v>22668</v>
      </c>
      <c r="BA482" s="93" t="s">
        <v>22668</v>
      </c>
      <c r="BB482" s="93" t="s">
        <v>22668</v>
      </c>
      <c r="BC482" s="93" t="s">
        <v>18732</v>
      </c>
      <c r="BD482" s="87">
        <v>149992574</v>
      </c>
      <c r="BE482" s="87"/>
      <c r="BF482" s="87"/>
      <c r="BG482" s="87"/>
      <c r="BH482" s="87"/>
      <c r="BI482" s="87"/>
    </row>
    <row r="483" spans="1:61" x14ac:dyDescent="0.25">
      <c r="A483" s="63" t="s">
        <v>390</v>
      </c>
      <c r="B483" s="63" t="s">
        <v>390</v>
      </c>
      <c r="C483" s="64"/>
      <c r="D483" s="65"/>
      <c r="E483" s="66"/>
      <c r="F483" s="67"/>
      <c r="G483" s="64"/>
      <c r="H483" s="68"/>
      <c r="I483" s="69"/>
      <c r="J483" s="69"/>
      <c r="K483" s="32"/>
      <c r="L483" s="76">
        <v>483</v>
      </c>
      <c r="M483" s="76"/>
      <c r="N483" s="71"/>
      <c r="O483" s="87" t="s">
        <v>179</v>
      </c>
      <c r="P483" s="90">
        <v>45139.005127314813</v>
      </c>
      <c r="Q483" s="87" t="s">
        <v>2313</v>
      </c>
      <c r="R483" s="87">
        <v>0</v>
      </c>
      <c r="S483" s="87">
        <v>0</v>
      </c>
      <c r="T483" s="87">
        <v>0</v>
      </c>
      <c r="U483" s="87">
        <v>0</v>
      </c>
      <c r="V483" s="87">
        <v>24</v>
      </c>
      <c r="W483" s="93" t="s">
        <v>6198</v>
      </c>
      <c r="X483" s="92" t="str">
        <f>HYPERLINK("https://www.tiktok.com/t/ZM2GEytn8/")</f>
        <v>https://www.tiktok.com/t/ZM2GEytn8/</v>
      </c>
      <c r="Y483" s="87" t="s">
        <v>8398</v>
      </c>
      <c r="Z483" s="87"/>
      <c r="AA483" s="87"/>
      <c r="AB483" s="87"/>
      <c r="AC483" s="93" t="s">
        <v>11458</v>
      </c>
      <c r="AD483" s="87" t="s">
        <v>11519</v>
      </c>
      <c r="AE483" s="92" t="str">
        <f>HYPERLINK("https://twitter.com/eduardoduka/status/1686166699844722688")</f>
        <v>https://twitter.com/eduardoduka/status/1686166699844722688</v>
      </c>
      <c r="AF483" s="90">
        <v>45139.005127314813</v>
      </c>
      <c r="AG483" s="99">
        <v>45139</v>
      </c>
      <c r="AH483" s="93" t="s">
        <v>11988</v>
      </c>
      <c r="AI483" s="87" t="b">
        <v>0</v>
      </c>
      <c r="AJ483" s="87"/>
      <c r="AK483" s="87"/>
      <c r="AL483" s="87"/>
      <c r="AM483" s="87"/>
      <c r="AN483" s="87"/>
      <c r="AO483" s="87"/>
      <c r="AP483" s="87"/>
      <c r="AQ483" s="87"/>
      <c r="AR483" s="87"/>
      <c r="AS483" s="87"/>
      <c r="AT483" s="87"/>
      <c r="AU483" s="87"/>
      <c r="AV483" s="92" t="str">
        <f>HYPERLINK("https://pbs.twimg.com/profile_images/1499873180210667520/pGuGnc4G_normal.jpg")</f>
        <v>https://pbs.twimg.com/profile_images/1499873180210667520/pGuGnc4G_normal.jpg</v>
      </c>
      <c r="AW483" s="93" t="s">
        <v>18733</v>
      </c>
      <c r="AX483" s="93" t="s">
        <v>18733</v>
      </c>
      <c r="AY483" s="87"/>
      <c r="AZ483" s="93" t="s">
        <v>22668</v>
      </c>
      <c r="BA483" s="93" t="s">
        <v>22668</v>
      </c>
      <c r="BB483" s="93" t="s">
        <v>22668</v>
      </c>
      <c r="BC483" s="93" t="s">
        <v>18733</v>
      </c>
      <c r="BD483" s="87">
        <v>149992574</v>
      </c>
      <c r="BE483" s="87"/>
      <c r="BF483" s="87"/>
      <c r="BG483" s="87"/>
      <c r="BH483" s="87"/>
      <c r="BI483" s="87"/>
    </row>
    <row r="484" spans="1:61" x14ac:dyDescent="0.25">
      <c r="A484" s="63" t="s">
        <v>390</v>
      </c>
      <c r="B484" s="63" t="s">
        <v>390</v>
      </c>
      <c r="C484" s="64"/>
      <c r="D484" s="65"/>
      <c r="E484" s="66"/>
      <c r="F484" s="67"/>
      <c r="G484" s="64"/>
      <c r="H484" s="68"/>
      <c r="I484" s="69"/>
      <c r="J484" s="69"/>
      <c r="K484" s="32"/>
      <c r="L484" s="76">
        <v>484</v>
      </c>
      <c r="M484" s="76"/>
      <c r="N484" s="71"/>
      <c r="O484" s="87" t="s">
        <v>179</v>
      </c>
      <c r="P484" s="90">
        <v>45123.665856481479</v>
      </c>
      <c r="Q484" s="87" t="s">
        <v>2314</v>
      </c>
      <c r="R484" s="87">
        <v>0</v>
      </c>
      <c r="S484" s="87">
        <v>0</v>
      </c>
      <c r="T484" s="87">
        <v>0</v>
      </c>
      <c r="U484" s="87">
        <v>0</v>
      </c>
      <c r="V484" s="87">
        <v>15</v>
      </c>
      <c r="W484" s="93" t="s">
        <v>6198</v>
      </c>
      <c r="X484" s="92" t="str">
        <f>HYPERLINK("https://vm.tiktok.com/ZM2XHbq6y/")</f>
        <v>https://vm.tiktok.com/ZM2XHbq6y/</v>
      </c>
      <c r="Y484" s="87" t="s">
        <v>8398</v>
      </c>
      <c r="Z484" s="87"/>
      <c r="AA484" s="87"/>
      <c r="AB484" s="87"/>
      <c r="AC484" s="93" t="s">
        <v>11458</v>
      </c>
      <c r="AD484" s="87" t="s">
        <v>11519</v>
      </c>
      <c r="AE484" s="92" t="str">
        <f>HYPERLINK("https://twitter.com/eduardoduka/status/1680607934009466881")</f>
        <v>https://twitter.com/eduardoduka/status/1680607934009466881</v>
      </c>
      <c r="AF484" s="90">
        <v>45123.665856481479</v>
      </c>
      <c r="AG484" s="99">
        <v>45123</v>
      </c>
      <c r="AH484" s="93" t="s">
        <v>11989</v>
      </c>
      <c r="AI484" s="87" t="b">
        <v>0</v>
      </c>
      <c r="AJ484" s="87"/>
      <c r="AK484" s="87"/>
      <c r="AL484" s="87"/>
      <c r="AM484" s="87"/>
      <c r="AN484" s="87"/>
      <c r="AO484" s="87"/>
      <c r="AP484" s="87"/>
      <c r="AQ484" s="87"/>
      <c r="AR484" s="87"/>
      <c r="AS484" s="87"/>
      <c r="AT484" s="87"/>
      <c r="AU484" s="87"/>
      <c r="AV484" s="92" t="str">
        <f>HYPERLINK("https://pbs.twimg.com/profile_images/1499873180210667520/pGuGnc4G_normal.jpg")</f>
        <v>https://pbs.twimg.com/profile_images/1499873180210667520/pGuGnc4G_normal.jpg</v>
      </c>
      <c r="AW484" s="93" t="s">
        <v>18734</v>
      </c>
      <c r="AX484" s="93" t="s">
        <v>18734</v>
      </c>
      <c r="AY484" s="87"/>
      <c r="AZ484" s="93" t="s">
        <v>22668</v>
      </c>
      <c r="BA484" s="93" t="s">
        <v>22668</v>
      </c>
      <c r="BB484" s="93" t="s">
        <v>22668</v>
      </c>
      <c r="BC484" s="93" t="s">
        <v>18734</v>
      </c>
      <c r="BD484" s="87">
        <v>149992574</v>
      </c>
      <c r="BE484" s="87"/>
      <c r="BF484" s="87"/>
      <c r="BG484" s="87"/>
      <c r="BH484" s="87"/>
      <c r="BI484" s="87"/>
    </row>
    <row r="485" spans="1:61" x14ac:dyDescent="0.25">
      <c r="A485" s="63" t="s">
        <v>390</v>
      </c>
      <c r="B485" s="63" t="s">
        <v>390</v>
      </c>
      <c r="C485" s="64"/>
      <c r="D485" s="65"/>
      <c r="E485" s="66"/>
      <c r="F485" s="67"/>
      <c r="G485" s="64"/>
      <c r="H485" s="68"/>
      <c r="I485" s="69"/>
      <c r="J485" s="69"/>
      <c r="K485" s="32"/>
      <c r="L485" s="76">
        <v>485</v>
      </c>
      <c r="M485" s="76"/>
      <c r="N485" s="71"/>
      <c r="O485" s="87" t="s">
        <v>179</v>
      </c>
      <c r="P485" s="90">
        <v>45122.7033912037</v>
      </c>
      <c r="Q485" s="87" t="s">
        <v>2315</v>
      </c>
      <c r="R485" s="87">
        <v>1</v>
      </c>
      <c r="S485" s="87">
        <v>1</v>
      </c>
      <c r="T485" s="87">
        <v>0</v>
      </c>
      <c r="U485" s="87">
        <v>0</v>
      </c>
      <c r="V485" s="87">
        <v>19</v>
      </c>
      <c r="W485" s="93" t="s">
        <v>6198</v>
      </c>
      <c r="X485" s="92" t="str">
        <f>HYPERLINK("https://vm.tiktok.com/ZM2CoNErd/")</f>
        <v>https://vm.tiktok.com/ZM2CoNErd/</v>
      </c>
      <c r="Y485" s="87" t="s">
        <v>8398</v>
      </c>
      <c r="Z485" s="87"/>
      <c r="AA485" s="87"/>
      <c r="AB485" s="87"/>
      <c r="AC485" s="93" t="s">
        <v>11458</v>
      </c>
      <c r="AD485" s="87" t="s">
        <v>11519</v>
      </c>
      <c r="AE485" s="92" t="str">
        <f>HYPERLINK("https://twitter.com/eduardoduka/status/1680259150243061760")</f>
        <v>https://twitter.com/eduardoduka/status/1680259150243061760</v>
      </c>
      <c r="AF485" s="90">
        <v>45122.7033912037</v>
      </c>
      <c r="AG485" s="99">
        <v>45122</v>
      </c>
      <c r="AH485" s="93" t="s">
        <v>11990</v>
      </c>
      <c r="AI485" s="87" t="b">
        <v>0</v>
      </c>
      <c r="AJ485" s="87"/>
      <c r="AK485" s="87"/>
      <c r="AL485" s="87"/>
      <c r="AM485" s="87"/>
      <c r="AN485" s="87"/>
      <c r="AO485" s="87"/>
      <c r="AP485" s="87"/>
      <c r="AQ485" s="87"/>
      <c r="AR485" s="87"/>
      <c r="AS485" s="87"/>
      <c r="AT485" s="87"/>
      <c r="AU485" s="87"/>
      <c r="AV485" s="92" t="str">
        <f>HYPERLINK("https://pbs.twimg.com/profile_images/1499873180210667520/pGuGnc4G_normal.jpg")</f>
        <v>https://pbs.twimg.com/profile_images/1499873180210667520/pGuGnc4G_normal.jpg</v>
      </c>
      <c r="AW485" s="93" t="s">
        <v>18735</v>
      </c>
      <c r="AX485" s="93" t="s">
        <v>18735</v>
      </c>
      <c r="AY485" s="87"/>
      <c r="AZ485" s="93" t="s">
        <v>22668</v>
      </c>
      <c r="BA485" s="93" t="s">
        <v>22668</v>
      </c>
      <c r="BB485" s="93" t="s">
        <v>22668</v>
      </c>
      <c r="BC485" s="93" t="s">
        <v>18735</v>
      </c>
      <c r="BD485" s="87">
        <v>149992574</v>
      </c>
      <c r="BE485" s="87"/>
      <c r="BF485" s="87"/>
      <c r="BG485" s="87"/>
      <c r="BH485" s="87"/>
      <c r="BI485" s="87"/>
    </row>
    <row r="486" spans="1:61" x14ac:dyDescent="0.25">
      <c r="A486" s="63" t="s">
        <v>390</v>
      </c>
      <c r="B486" s="63" t="s">
        <v>390</v>
      </c>
      <c r="C486" s="64"/>
      <c r="D486" s="65"/>
      <c r="E486" s="66"/>
      <c r="F486" s="67"/>
      <c r="G486" s="64"/>
      <c r="H486" s="68"/>
      <c r="I486" s="69"/>
      <c r="J486" s="69"/>
      <c r="K486" s="32"/>
      <c r="L486" s="76">
        <v>486</v>
      </c>
      <c r="M486" s="76"/>
      <c r="N486" s="71"/>
      <c r="O486" s="87" t="s">
        <v>179</v>
      </c>
      <c r="P486" s="90">
        <v>45186.605069444442</v>
      </c>
      <c r="Q486" s="87" t="s">
        <v>2316</v>
      </c>
      <c r="R486" s="87">
        <v>0</v>
      </c>
      <c r="S486" s="87">
        <v>0</v>
      </c>
      <c r="T486" s="87">
        <v>0</v>
      </c>
      <c r="U486" s="87">
        <v>0</v>
      </c>
      <c r="V486" s="87">
        <v>27</v>
      </c>
      <c r="W486" s="93" t="s">
        <v>6197</v>
      </c>
      <c r="X486" s="87"/>
      <c r="Y486" s="87"/>
      <c r="Z486" s="87"/>
      <c r="AA486" s="87" t="s">
        <v>8956</v>
      </c>
      <c r="AB486" s="87" t="s">
        <v>11447</v>
      </c>
      <c r="AC486" s="93" t="s">
        <v>11458</v>
      </c>
      <c r="AD486" s="87" t="s">
        <v>11519</v>
      </c>
      <c r="AE486" s="92" t="str">
        <f>HYPERLINK("https://twitter.com/eduardoduka/status/1703416339900076238")</f>
        <v>https://twitter.com/eduardoduka/status/1703416339900076238</v>
      </c>
      <c r="AF486" s="90">
        <v>45186.605069444442</v>
      </c>
      <c r="AG486" s="99">
        <v>45186</v>
      </c>
      <c r="AH486" s="93" t="s">
        <v>11991</v>
      </c>
      <c r="AI486" s="87" t="b">
        <v>0</v>
      </c>
      <c r="AJ486" s="87"/>
      <c r="AK486" s="87"/>
      <c r="AL486" s="87"/>
      <c r="AM486" s="87"/>
      <c r="AN486" s="87"/>
      <c r="AO486" s="87"/>
      <c r="AP486" s="87"/>
      <c r="AQ486" s="87" t="s">
        <v>15769</v>
      </c>
      <c r="AR486" s="87">
        <v>84083</v>
      </c>
      <c r="AS486" s="87"/>
      <c r="AT486" s="87"/>
      <c r="AU486" s="87"/>
      <c r="AV486" s="92" t="str">
        <f>HYPERLINK("https://pbs.twimg.com/ext_tw_video_thumb/1703416232261586944/pu/img/l1l7YDFAeYbch7df.jpg")</f>
        <v>https://pbs.twimg.com/ext_tw_video_thumb/1703416232261586944/pu/img/l1l7YDFAeYbch7df.jpg</v>
      </c>
      <c r="AW486" s="93" t="s">
        <v>18736</v>
      </c>
      <c r="AX486" s="93" t="s">
        <v>18736</v>
      </c>
      <c r="AY486" s="87"/>
      <c r="AZ486" s="93" t="s">
        <v>22668</v>
      </c>
      <c r="BA486" s="93" t="s">
        <v>22668</v>
      </c>
      <c r="BB486" s="93" t="s">
        <v>22668</v>
      </c>
      <c r="BC486" s="93" t="s">
        <v>18736</v>
      </c>
      <c r="BD486" s="87">
        <v>149992574</v>
      </c>
      <c r="BE486" s="87"/>
      <c r="BF486" s="87"/>
      <c r="BG486" s="87"/>
      <c r="BH486" s="87"/>
      <c r="BI486" s="87"/>
    </row>
    <row r="487" spans="1:61" x14ac:dyDescent="0.25">
      <c r="A487" s="63" t="s">
        <v>390</v>
      </c>
      <c r="B487" s="63" t="s">
        <v>390</v>
      </c>
      <c r="C487" s="64"/>
      <c r="D487" s="65"/>
      <c r="E487" s="66"/>
      <c r="F487" s="67"/>
      <c r="G487" s="64"/>
      <c r="H487" s="68"/>
      <c r="I487" s="69"/>
      <c r="J487" s="69"/>
      <c r="K487" s="32"/>
      <c r="L487" s="76">
        <v>487</v>
      </c>
      <c r="M487" s="76"/>
      <c r="N487" s="71"/>
      <c r="O487" s="87" t="s">
        <v>179</v>
      </c>
      <c r="P487" s="90">
        <v>45160.852083333331</v>
      </c>
      <c r="Q487" s="87" t="s">
        <v>2317</v>
      </c>
      <c r="R487" s="87">
        <v>0</v>
      </c>
      <c r="S487" s="87">
        <v>3</v>
      </c>
      <c r="T487" s="87">
        <v>0</v>
      </c>
      <c r="U487" s="87">
        <v>0</v>
      </c>
      <c r="V487" s="87">
        <v>76</v>
      </c>
      <c r="W487" s="93" t="s">
        <v>6197</v>
      </c>
      <c r="X487" s="87"/>
      <c r="Y487" s="87"/>
      <c r="Z487" s="87"/>
      <c r="AA487" s="87" t="s">
        <v>8957</v>
      </c>
      <c r="AB487" s="87" t="s">
        <v>11447</v>
      </c>
      <c r="AC487" s="93" t="s">
        <v>11458</v>
      </c>
      <c r="AD487" s="87" t="s">
        <v>11519</v>
      </c>
      <c r="AE487" s="92" t="str">
        <f>HYPERLINK("https://twitter.com/eduardoduka/status/1694083772751151559")</f>
        <v>https://twitter.com/eduardoduka/status/1694083772751151559</v>
      </c>
      <c r="AF487" s="90">
        <v>45160.852083333331</v>
      </c>
      <c r="AG487" s="99">
        <v>45160</v>
      </c>
      <c r="AH487" s="93" t="s">
        <v>11992</v>
      </c>
      <c r="AI487" s="87" t="b">
        <v>0</v>
      </c>
      <c r="AJ487" s="87"/>
      <c r="AK487" s="87"/>
      <c r="AL487" s="87"/>
      <c r="AM487" s="87"/>
      <c r="AN487" s="87"/>
      <c r="AO487" s="87"/>
      <c r="AP487" s="87"/>
      <c r="AQ487" s="87" t="s">
        <v>15770</v>
      </c>
      <c r="AR487" s="87">
        <v>81081</v>
      </c>
      <c r="AS487" s="87"/>
      <c r="AT487" s="87"/>
      <c r="AU487" s="87"/>
      <c r="AV487" s="92" t="str">
        <f>HYPERLINK("https://pbs.twimg.com/ext_tw_video_thumb/1694083666874347520/pu/img/PgiZknl09rO436j0.jpg")</f>
        <v>https://pbs.twimg.com/ext_tw_video_thumb/1694083666874347520/pu/img/PgiZknl09rO436j0.jpg</v>
      </c>
      <c r="AW487" s="93" t="s">
        <v>18737</v>
      </c>
      <c r="AX487" s="93" t="s">
        <v>18737</v>
      </c>
      <c r="AY487" s="87"/>
      <c r="AZ487" s="93" t="s">
        <v>22668</v>
      </c>
      <c r="BA487" s="93" t="s">
        <v>22668</v>
      </c>
      <c r="BB487" s="93" t="s">
        <v>22668</v>
      </c>
      <c r="BC487" s="93" t="s">
        <v>18737</v>
      </c>
      <c r="BD487" s="87">
        <v>149992574</v>
      </c>
      <c r="BE487" s="87"/>
      <c r="BF487" s="87"/>
      <c r="BG487" s="87"/>
      <c r="BH487" s="87"/>
      <c r="BI487" s="87"/>
    </row>
    <row r="488" spans="1:61" x14ac:dyDescent="0.25">
      <c r="A488" s="63" t="s">
        <v>390</v>
      </c>
      <c r="B488" s="63" t="s">
        <v>390</v>
      </c>
      <c r="C488" s="64"/>
      <c r="D488" s="65"/>
      <c r="E488" s="66"/>
      <c r="F488" s="67"/>
      <c r="G488" s="64"/>
      <c r="H488" s="68"/>
      <c r="I488" s="69"/>
      <c r="J488" s="69"/>
      <c r="K488" s="32"/>
      <c r="L488" s="76">
        <v>488</v>
      </c>
      <c r="M488" s="76"/>
      <c r="N488" s="71"/>
      <c r="O488" s="87" t="s">
        <v>179</v>
      </c>
      <c r="P488" s="90">
        <v>45157.690983796296</v>
      </c>
      <c r="Q488" s="87" t="s">
        <v>2318</v>
      </c>
      <c r="R488" s="87">
        <v>0</v>
      </c>
      <c r="S488" s="87">
        <v>1</v>
      </c>
      <c r="T488" s="87">
        <v>0</v>
      </c>
      <c r="U488" s="87">
        <v>0</v>
      </c>
      <c r="V488" s="87">
        <v>35</v>
      </c>
      <c r="W488" s="93" t="s">
        <v>6197</v>
      </c>
      <c r="X488" s="87"/>
      <c r="Y488" s="87"/>
      <c r="Z488" s="87"/>
      <c r="AA488" s="87" t="s">
        <v>8958</v>
      </c>
      <c r="AB488" s="87" t="s">
        <v>11447</v>
      </c>
      <c r="AC488" s="93" t="s">
        <v>11458</v>
      </c>
      <c r="AD488" s="87" t="s">
        <v>11519</v>
      </c>
      <c r="AE488" s="92" t="str">
        <f>HYPERLINK("https://twitter.com/eduardoduka/status/1692938229001888181")</f>
        <v>https://twitter.com/eduardoduka/status/1692938229001888181</v>
      </c>
      <c r="AF488" s="90">
        <v>45157.690983796296</v>
      </c>
      <c r="AG488" s="99">
        <v>45157</v>
      </c>
      <c r="AH488" s="93" t="s">
        <v>11993</v>
      </c>
      <c r="AI488" s="87" t="b">
        <v>0</v>
      </c>
      <c r="AJ488" s="87"/>
      <c r="AK488" s="87"/>
      <c r="AL488" s="87"/>
      <c r="AM488" s="87"/>
      <c r="AN488" s="87"/>
      <c r="AO488" s="87"/>
      <c r="AP488" s="87"/>
      <c r="AQ488" s="87" t="s">
        <v>15771</v>
      </c>
      <c r="AR488" s="87">
        <v>82581</v>
      </c>
      <c r="AS488" s="87"/>
      <c r="AT488" s="87"/>
      <c r="AU488" s="87"/>
      <c r="AV488" s="92" t="str">
        <f>HYPERLINK("https://pbs.twimg.com/ext_tw_video_thumb/1692938015956471810/pu/img/pHpQARz47XLa0CD2.jpg")</f>
        <v>https://pbs.twimg.com/ext_tw_video_thumb/1692938015956471810/pu/img/pHpQARz47XLa0CD2.jpg</v>
      </c>
      <c r="AW488" s="93" t="s">
        <v>18738</v>
      </c>
      <c r="AX488" s="93" t="s">
        <v>18738</v>
      </c>
      <c r="AY488" s="87"/>
      <c r="AZ488" s="93" t="s">
        <v>22668</v>
      </c>
      <c r="BA488" s="93" t="s">
        <v>22668</v>
      </c>
      <c r="BB488" s="93" t="s">
        <v>22668</v>
      </c>
      <c r="BC488" s="93" t="s">
        <v>18738</v>
      </c>
      <c r="BD488" s="87">
        <v>149992574</v>
      </c>
      <c r="BE488" s="87"/>
      <c r="BF488" s="87"/>
      <c r="BG488" s="87"/>
      <c r="BH488" s="87"/>
      <c r="BI488" s="87"/>
    </row>
    <row r="489" spans="1:61" x14ac:dyDescent="0.25">
      <c r="A489" s="63" t="s">
        <v>390</v>
      </c>
      <c r="B489" s="63" t="s">
        <v>390</v>
      </c>
      <c r="C489" s="64"/>
      <c r="D489" s="65"/>
      <c r="E489" s="66"/>
      <c r="F489" s="67"/>
      <c r="G489" s="64"/>
      <c r="H489" s="68"/>
      <c r="I489" s="69"/>
      <c r="J489" s="69"/>
      <c r="K489" s="32"/>
      <c r="L489" s="76">
        <v>489</v>
      </c>
      <c r="M489" s="76"/>
      <c r="N489" s="71"/>
      <c r="O489" s="87" t="s">
        <v>179</v>
      </c>
      <c r="P489" s="90">
        <v>45156.754212962966</v>
      </c>
      <c r="Q489" s="87" t="s">
        <v>2319</v>
      </c>
      <c r="R489" s="87">
        <v>0</v>
      </c>
      <c r="S489" s="87">
        <v>0</v>
      </c>
      <c r="T489" s="87">
        <v>0</v>
      </c>
      <c r="U489" s="87">
        <v>0</v>
      </c>
      <c r="V489" s="87">
        <v>30</v>
      </c>
      <c r="W489" s="93" t="s">
        <v>6197</v>
      </c>
      <c r="X489" s="87"/>
      <c r="Y489" s="87"/>
      <c r="Z489" s="87"/>
      <c r="AA489" s="87" t="s">
        <v>8959</v>
      </c>
      <c r="AB489" s="87" t="s">
        <v>11447</v>
      </c>
      <c r="AC489" s="93" t="s">
        <v>11458</v>
      </c>
      <c r="AD489" s="87" t="s">
        <v>11519</v>
      </c>
      <c r="AE489" s="92" t="str">
        <f>HYPERLINK("https://twitter.com/eduardoduka/status/1692598753750921334")</f>
        <v>https://twitter.com/eduardoduka/status/1692598753750921334</v>
      </c>
      <c r="AF489" s="90">
        <v>45156.754212962966</v>
      </c>
      <c r="AG489" s="99">
        <v>45156</v>
      </c>
      <c r="AH489" s="93" t="s">
        <v>11994</v>
      </c>
      <c r="AI489" s="87" t="b">
        <v>0</v>
      </c>
      <c r="AJ489" s="87"/>
      <c r="AK489" s="87"/>
      <c r="AL489" s="87"/>
      <c r="AM489" s="87"/>
      <c r="AN489" s="87"/>
      <c r="AO489" s="87"/>
      <c r="AP489" s="87"/>
      <c r="AQ489" s="87" t="s">
        <v>15772</v>
      </c>
      <c r="AR489" s="87">
        <v>85051</v>
      </c>
      <c r="AS489" s="87"/>
      <c r="AT489" s="87"/>
      <c r="AU489" s="87"/>
      <c r="AV489" s="92" t="str">
        <f>HYPERLINK("https://pbs.twimg.com/ext_tw_video_thumb/1692598651221069824/pu/img/K22WYAKSAI9Sz4QK.jpg")</f>
        <v>https://pbs.twimg.com/ext_tw_video_thumb/1692598651221069824/pu/img/K22WYAKSAI9Sz4QK.jpg</v>
      </c>
      <c r="AW489" s="93" t="s">
        <v>18739</v>
      </c>
      <c r="AX489" s="93" t="s">
        <v>18739</v>
      </c>
      <c r="AY489" s="87"/>
      <c r="AZ489" s="93" t="s">
        <v>22668</v>
      </c>
      <c r="BA489" s="93" t="s">
        <v>22668</v>
      </c>
      <c r="BB489" s="93" t="s">
        <v>22668</v>
      </c>
      <c r="BC489" s="93" t="s">
        <v>18739</v>
      </c>
      <c r="BD489" s="87">
        <v>149992574</v>
      </c>
      <c r="BE489" s="87"/>
      <c r="BF489" s="87"/>
      <c r="BG489" s="87"/>
      <c r="BH489" s="87"/>
      <c r="BI489" s="87"/>
    </row>
    <row r="490" spans="1:61" x14ac:dyDescent="0.25">
      <c r="A490" s="63" t="s">
        <v>390</v>
      </c>
      <c r="B490" s="63" t="s">
        <v>390</v>
      </c>
      <c r="C490" s="64"/>
      <c r="D490" s="65"/>
      <c r="E490" s="66"/>
      <c r="F490" s="67"/>
      <c r="G490" s="64"/>
      <c r="H490" s="68"/>
      <c r="I490" s="69"/>
      <c r="J490" s="69"/>
      <c r="K490" s="32"/>
      <c r="L490" s="76">
        <v>490</v>
      </c>
      <c r="M490" s="76"/>
      <c r="N490" s="71"/>
      <c r="O490" s="87" t="s">
        <v>179</v>
      </c>
      <c r="P490" s="90">
        <v>45143.762407407405</v>
      </c>
      <c r="Q490" s="87" t="s">
        <v>2320</v>
      </c>
      <c r="R490" s="87">
        <v>0</v>
      </c>
      <c r="S490" s="87">
        <v>0</v>
      </c>
      <c r="T490" s="87">
        <v>0</v>
      </c>
      <c r="U490" s="87">
        <v>0</v>
      </c>
      <c r="V490" s="87">
        <v>12</v>
      </c>
      <c r="W490" s="93" t="s">
        <v>6198</v>
      </c>
      <c r="X490" s="92" t="str">
        <f>HYPERLINK("https://vm.tiktok.com/ZM2W3AQQa/")</f>
        <v>https://vm.tiktok.com/ZM2W3AQQa/</v>
      </c>
      <c r="Y490" s="87" t="s">
        <v>8398</v>
      </c>
      <c r="Z490" s="87"/>
      <c r="AA490" s="87"/>
      <c r="AB490" s="87"/>
      <c r="AC490" s="93" t="s">
        <v>11458</v>
      </c>
      <c r="AD490" s="87" t="s">
        <v>11519</v>
      </c>
      <c r="AE490" s="92" t="str">
        <f>HYPERLINK("https://twitter.com/eduardoduka/status/1687890681983889408")</f>
        <v>https://twitter.com/eduardoduka/status/1687890681983889408</v>
      </c>
      <c r="AF490" s="90">
        <v>45143.762407407405</v>
      </c>
      <c r="AG490" s="99">
        <v>45143</v>
      </c>
      <c r="AH490" s="93" t="s">
        <v>11995</v>
      </c>
      <c r="AI490" s="87" t="b">
        <v>0</v>
      </c>
      <c r="AJ490" s="87"/>
      <c r="AK490" s="87"/>
      <c r="AL490" s="87"/>
      <c r="AM490" s="87"/>
      <c r="AN490" s="87"/>
      <c r="AO490" s="87"/>
      <c r="AP490" s="87"/>
      <c r="AQ490" s="87"/>
      <c r="AR490" s="87"/>
      <c r="AS490" s="87"/>
      <c r="AT490" s="87"/>
      <c r="AU490" s="87"/>
      <c r="AV490" s="92" t="str">
        <f>HYPERLINK("https://pbs.twimg.com/profile_images/1499873180210667520/pGuGnc4G_normal.jpg")</f>
        <v>https://pbs.twimg.com/profile_images/1499873180210667520/pGuGnc4G_normal.jpg</v>
      </c>
      <c r="AW490" s="93" t="s">
        <v>18740</v>
      </c>
      <c r="AX490" s="93" t="s">
        <v>18740</v>
      </c>
      <c r="AY490" s="87"/>
      <c r="AZ490" s="93" t="s">
        <v>22668</v>
      </c>
      <c r="BA490" s="93" t="s">
        <v>22668</v>
      </c>
      <c r="BB490" s="93" t="s">
        <v>22668</v>
      </c>
      <c r="BC490" s="93" t="s">
        <v>18740</v>
      </c>
      <c r="BD490" s="87">
        <v>149992574</v>
      </c>
      <c r="BE490" s="87"/>
      <c r="BF490" s="87"/>
      <c r="BG490" s="87"/>
      <c r="BH490" s="87"/>
      <c r="BI490" s="87"/>
    </row>
    <row r="491" spans="1:61" x14ac:dyDescent="0.25">
      <c r="A491" s="63" t="s">
        <v>390</v>
      </c>
      <c r="B491" s="63" t="s">
        <v>390</v>
      </c>
      <c r="C491" s="64"/>
      <c r="D491" s="65"/>
      <c r="E491" s="66"/>
      <c r="F491" s="67"/>
      <c r="G491" s="64"/>
      <c r="H491" s="68"/>
      <c r="I491" s="69"/>
      <c r="J491" s="69"/>
      <c r="K491" s="32"/>
      <c r="L491" s="76">
        <v>491</v>
      </c>
      <c r="M491" s="76"/>
      <c r="N491" s="71"/>
      <c r="O491" s="87" t="s">
        <v>179</v>
      </c>
      <c r="P491" s="90">
        <v>45132.72552083333</v>
      </c>
      <c r="Q491" s="87" t="s">
        <v>2321</v>
      </c>
      <c r="R491" s="87">
        <v>0</v>
      </c>
      <c r="S491" s="87">
        <v>0</v>
      </c>
      <c r="T491" s="87">
        <v>0</v>
      </c>
      <c r="U491" s="87">
        <v>0</v>
      </c>
      <c r="V491" s="87">
        <v>11</v>
      </c>
      <c r="W491" s="93" t="s">
        <v>6198</v>
      </c>
      <c r="X491" s="92" t="str">
        <f>HYPERLINK("https://vm.tiktok.com/ZM2gsYK35/")</f>
        <v>https://vm.tiktok.com/ZM2gsYK35/</v>
      </c>
      <c r="Y491" s="87" t="s">
        <v>8398</v>
      </c>
      <c r="Z491" s="87"/>
      <c r="AA491" s="87"/>
      <c r="AB491" s="87"/>
      <c r="AC491" s="93" t="s">
        <v>11458</v>
      </c>
      <c r="AD491" s="87" t="s">
        <v>11519</v>
      </c>
      <c r="AE491" s="92" t="str">
        <f>HYPERLINK("https://twitter.com/eduardoduka/status/1683891046436962307")</f>
        <v>https://twitter.com/eduardoduka/status/1683891046436962307</v>
      </c>
      <c r="AF491" s="90">
        <v>45132.72552083333</v>
      </c>
      <c r="AG491" s="99">
        <v>45132</v>
      </c>
      <c r="AH491" s="93" t="s">
        <v>11996</v>
      </c>
      <c r="AI491" s="87" t="b">
        <v>0</v>
      </c>
      <c r="AJ491" s="87"/>
      <c r="AK491" s="87"/>
      <c r="AL491" s="87"/>
      <c r="AM491" s="87"/>
      <c r="AN491" s="87"/>
      <c r="AO491" s="87"/>
      <c r="AP491" s="87"/>
      <c r="AQ491" s="87"/>
      <c r="AR491" s="87"/>
      <c r="AS491" s="87"/>
      <c r="AT491" s="87"/>
      <c r="AU491" s="87"/>
      <c r="AV491" s="92" t="str">
        <f>HYPERLINK("https://pbs.twimg.com/profile_images/1499873180210667520/pGuGnc4G_normal.jpg")</f>
        <v>https://pbs.twimg.com/profile_images/1499873180210667520/pGuGnc4G_normal.jpg</v>
      </c>
      <c r="AW491" s="93" t="s">
        <v>18741</v>
      </c>
      <c r="AX491" s="93" t="s">
        <v>18741</v>
      </c>
      <c r="AY491" s="87"/>
      <c r="AZ491" s="93" t="s">
        <v>22668</v>
      </c>
      <c r="BA491" s="93" t="s">
        <v>22668</v>
      </c>
      <c r="BB491" s="93" t="s">
        <v>22668</v>
      </c>
      <c r="BC491" s="93" t="s">
        <v>18741</v>
      </c>
      <c r="BD491" s="87">
        <v>149992574</v>
      </c>
      <c r="BE491" s="87"/>
      <c r="BF491" s="87"/>
      <c r="BG491" s="87"/>
      <c r="BH491" s="87"/>
      <c r="BI491" s="87"/>
    </row>
    <row r="492" spans="1:61" x14ac:dyDescent="0.25">
      <c r="A492" s="63" t="s">
        <v>390</v>
      </c>
      <c r="B492" s="63" t="s">
        <v>390</v>
      </c>
      <c r="C492" s="64"/>
      <c r="D492" s="65"/>
      <c r="E492" s="66"/>
      <c r="F492" s="67"/>
      <c r="G492" s="64"/>
      <c r="H492" s="68"/>
      <c r="I492" s="69"/>
      <c r="J492" s="69"/>
      <c r="K492" s="32"/>
      <c r="L492" s="76">
        <v>492</v>
      </c>
      <c r="M492" s="76"/>
      <c r="N492" s="71"/>
      <c r="O492" s="87" t="s">
        <v>179</v>
      </c>
      <c r="P492" s="90">
        <v>45117.74428240741</v>
      </c>
      <c r="Q492" s="87" t="s">
        <v>2322</v>
      </c>
      <c r="R492" s="87">
        <v>0</v>
      </c>
      <c r="S492" s="87">
        <v>0</v>
      </c>
      <c r="T492" s="87">
        <v>0</v>
      </c>
      <c r="U492" s="87">
        <v>0</v>
      </c>
      <c r="V492" s="87">
        <v>11</v>
      </c>
      <c r="W492" s="93" t="s">
        <v>6198</v>
      </c>
      <c r="X492" s="92" t="str">
        <f>HYPERLINK("https://vm.tiktok.com/ZM2xK12Kc/")</f>
        <v>https://vm.tiktok.com/ZM2xK12Kc/</v>
      </c>
      <c r="Y492" s="87" t="s">
        <v>8398</v>
      </c>
      <c r="Z492" s="87"/>
      <c r="AA492" s="87"/>
      <c r="AB492" s="87"/>
      <c r="AC492" s="93" t="s">
        <v>11458</v>
      </c>
      <c r="AD492" s="87" t="s">
        <v>11523</v>
      </c>
      <c r="AE492" s="92" t="str">
        <f>HYPERLINK("https://twitter.com/eduardoduka/status/1678462028065767424")</f>
        <v>https://twitter.com/eduardoduka/status/1678462028065767424</v>
      </c>
      <c r="AF492" s="90">
        <v>45117.74428240741</v>
      </c>
      <c r="AG492" s="99">
        <v>45117</v>
      </c>
      <c r="AH492" s="93" t="s">
        <v>11997</v>
      </c>
      <c r="AI492" s="87" t="b">
        <v>0</v>
      </c>
      <c r="AJ492" s="87"/>
      <c r="AK492" s="87"/>
      <c r="AL492" s="87"/>
      <c r="AM492" s="87"/>
      <c r="AN492" s="87"/>
      <c r="AO492" s="87"/>
      <c r="AP492" s="87"/>
      <c r="AQ492" s="87"/>
      <c r="AR492" s="87"/>
      <c r="AS492" s="87"/>
      <c r="AT492" s="87"/>
      <c r="AU492" s="87"/>
      <c r="AV492" s="92" t="str">
        <f>HYPERLINK("https://pbs.twimg.com/profile_images/1499873180210667520/pGuGnc4G_normal.jpg")</f>
        <v>https://pbs.twimg.com/profile_images/1499873180210667520/pGuGnc4G_normal.jpg</v>
      </c>
      <c r="AW492" s="93" t="s">
        <v>18742</v>
      </c>
      <c r="AX492" s="93" t="s">
        <v>18742</v>
      </c>
      <c r="AY492" s="87"/>
      <c r="AZ492" s="93" t="s">
        <v>22668</v>
      </c>
      <c r="BA492" s="93" t="s">
        <v>22668</v>
      </c>
      <c r="BB492" s="93" t="s">
        <v>22668</v>
      </c>
      <c r="BC492" s="93" t="s">
        <v>18742</v>
      </c>
      <c r="BD492" s="87">
        <v>149992574</v>
      </c>
      <c r="BE492" s="87"/>
      <c r="BF492" s="87"/>
      <c r="BG492" s="87"/>
      <c r="BH492" s="87"/>
      <c r="BI492" s="87"/>
    </row>
    <row r="493" spans="1:61" x14ac:dyDescent="0.25">
      <c r="A493" s="63" t="s">
        <v>390</v>
      </c>
      <c r="B493" s="63" t="s">
        <v>390</v>
      </c>
      <c r="C493" s="64"/>
      <c r="D493" s="65"/>
      <c r="E493" s="66"/>
      <c r="F493" s="67"/>
      <c r="G493" s="64"/>
      <c r="H493" s="68"/>
      <c r="I493" s="69"/>
      <c r="J493" s="69"/>
      <c r="K493" s="32"/>
      <c r="L493" s="76">
        <v>493</v>
      </c>
      <c r="M493" s="76"/>
      <c r="N493" s="71"/>
      <c r="O493" s="87" t="s">
        <v>179</v>
      </c>
      <c r="P493" s="90">
        <v>45115.65520833333</v>
      </c>
      <c r="Q493" s="87" t="s">
        <v>2323</v>
      </c>
      <c r="R493" s="87">
        <v>0</v>
      </c>
      <c r="S493" s="87">
        <v>0</v>
      </c>
      <c r="T493" s="87">
        <v>0</v>
      </c>
      <c r="U493" s="87">
        <v>0</v>
      </c>
      <c r="V493" s="87">
        <v>6</v>
      </c>
      <c r="W493" s="93" t="s">
        <v>6198</v>
      </c>
      <c r="X493" s="92" t="str">
        <f>HYPERLINK("https://vm.tiktok.com/ZM29g9JFX/")</f>
        <v>https://vm.tiktok.com/ZM29g9JFX/</v>
      </c>
      <c r="Y493" s="87" t="s">
        <v>8398</v>
      </c>
      <c r="Z493" s="87"/>
      <c r="AA493" s="87"/>
      <c r="AB493" s="87"/>
      <c r="AC493" s="93" t="s">
        <v>11458</v>
      </c>
      <c r="AD493" s="87" t="s">
        <v>11519</v>
      </c>
      <c r="AE493" s="92" t="str">
        <f>HYPERLINK("https://twitter.com/eduardoduka/status/1677704971632926721")</f>
        <v>https://twitter.com/eduardoduka/status/1677704971632926721</v>
      </c>
      <c r="AF493" s="90">
        <v>45115.65520833333</v>
      </c>
      <c r="AG493" s="99">
        <v>45115</v>
      </c>
      <c r="AH493" s="93" t="s">
        <v>11998</v>
      </c>
      <c r="AI493" s="87" t="b">
        <v>0</v>
      </c>
      <c r="AJ493" s="87"/>
      <c r="AK493" s="87"/>
      <c r="AL493" s="87"/>
      <c r="AM493" s="87"/>
      <c r="AN493" s="87"/>
      <c r="AO493" s="87"/>
      <c r="AP493" s="87"/>
      <c r="AQ493" s="87"/>
      <c r="AR493" s="87"/>
      <c r="AS493" s="87"/>
      <c r="AT493" s="87"/>
      <c r="AU493" s="87"/>
      <c r="AV493" s="92" t="str">
        <f>HYPERLINK("https://pbs.twimg.com/profile_images/1499873180210667520/pGuGnc4G_normal.jpg")</f>
        <v>https://pbs.twimg.com/profile_images/1499873180210667520/pGuGnc4G_normal.jpg</v>
      </c>
      <c r="AW493" s="93" t="s">
        <v>18743</v>
      </c>
      <c r="AX493" s="93" t="s">
        <v>18743</v>
      </c>
      <c r="AY493" s="87"/>
      <c r="AZ493" s="93" t="s">
        <v>22668</v>
      </c>
      <c r="BA493" s="93" t="s">
        <v>22668</v>
      </c>
      <c r="BB493" s="93" t="s">
        <v>22668</v>
      </c>
      <c r="BC493" s="93" t="s">
        <v>18743</v>
      </c>
      <c r="BD493" s="87">
        <v>149992574</v>
      </c>
      <c r="BE493" s="87"/>
      <c r="BF493" s="87"/>
      <c r="BG493" s="87"/>
      <c r="BH493" s="87"/>
      <c r="BI493" s="87"/>
    </row>
    <row r="494" spans="1:61" x14ac:dyDescent="0.25">
      <c r="A494" s="63" t="s">
        <v>390</v>
      </c>
      <c r="B494" s="63" t="s">
        <v>390</v>
      </c>
      <c r="C494" s="64"/>
      <c r="D494" s="65"/>
      <c r="E494" s="66"/>
      <c r="F494" s="67"/>
      <c r="G494" s="64"/>
      <c r="H494" s="68"/>
      <c r="I494" s="69"/>
      <c r="J494" s="69"/>
      <c r="K494" s="32"/>
      <c r="L494" s="76">
        <v>494</v>
      </c>
      <c r="M494" s="76"/>
      <c r="N494" s="71"/>
      <c r="O494" s="87" t="s">
        <v>179</v>
      </c>
      <c r="P494" s="90">
        <v>45188.647592592592</v>
      </c>
      <c r="Q494" s="87" t="s">
        <v>2324</v>
      </c>
      <c r="R494" s="87">
        <v>0</v>
      </c>
      <c r="S494" s="87">
        <v>1</v>
      </c>
      <c r="T494" s="87">
        <v>0</v>
      </c>
      <c r="U494" s="87">
        <v>0</v>
      </c>
      <c r="V494" s="87">
        <v>22</v>
      </c>
      <c r="W494" s="93" t="s">
        <v>6197</v>
      </c>
      <c r="X494" s="87"/>
      <c r="Y494" s="87"/>
      <c r="Z494" s="87"/>
      <c r="AA494" s="87" t="s">
        <v>8960</v>
      </c>
      <c r="AB494" s="87" t="s">
        <v>11447</v>
      </c>
      <c r="AC494" s="93" t="s">
        <v>11458</v>
      </c>
      <c r="AD494" s="87" t="s">
        <v>11519</v>
      </c>
      <c r="AE494" s="92" t="str">
        <f>HYPERLINK("https://twitter.com/eduardoduka/status/1704156526322057222")</f>
        <v>https://twitter.com/eduardoduka/status/1704156526322057222</v>
      </c>
      <c r="AF494" s="90">
        <v>45188.647592592592</v>
      </c>
      <c r="AG494" s="99">
        <v>45188</v>
      </c>
      <c r="AH494" s="93" t="s">
        <v>11999</v>
      </c>
      <c r="AI494" s="87" t="b">
        <v>0</v>
      </c>
      <c r="AJ494" s="87"/>
      <c r="AK494" s="87"/>
      <c r="AL494" s="87"/>
      <c r="AM494" s="87"/>
      <c r="AN494" s="87"/>
      <c r="AO494" s="87"/>
      <c r="AP494" s="87"/>
      <c r="AQ494" s="87" t="s">
        <v>15773</v>
      </c>
      <c r="AR494" s="87">
        <v>75441</v>
      </c>
      <c r="AS494" s="87"/>
      <c r="AT494" s="87"/>
      <c r="AU494" s="87"/>
      <c r="AV494" s="92" t="str">
        <f>HYPERLINK("https://pbs.twimg.com/ext_tw_video_thumb/1704156386165133312/pu/img/KjtI1rndfFb6ZcSB.jpg")</f>
        <v>https://pbs.twimg.com/ext_tw_video_thumb/1704156386165133312/pu/img/KjtI1rndfFb6ZcSB.jpg</v>
      </c>
      <c r="AW494" s="93" t="s">
        <v>18744</v>
      </c>
      <c r="AX494" s="93" t="s">
        <v>18744</v>
      </c>
      <c r="AY494" s="87"/>
      <c r="AZ494" s="93" t="s">
        <v>22668</v>
      </c>
      <c r="BA494" s="93" t="s">
        <v>22668</v>
      </c>
      <c r="BB494" s="93" t="s">
        <v>22668</v>
      </c>
      <c r="BC494" s="93" t="s">
        <v>18744</v>
      </c>
      <c r="BD494" s="87">
        <v>149992574</v>
      </c>
      <c r="BE494" s="87"/>
      <c r="BF494" s="87"/>
      <c r="BG494" s="87"/>
      <c r="BH494" s="87"/>
      <c r="BI494" s="87"/>
    </row>
    <row r="495" spans="1:61" x14ac:dyDescent="0.25">
      <c r="A495" s="63" t="s">
        <v>390</v>
      </c>
      <c r="B495" s="63" t="s">
        <v>390</v>
      </c>
      <c r="C495" s="64"/>
      <c r="D495" s="65"/>
      <c r="E495" s="66"/>
      <c r="F495" s="67"/>
      <c r="G495" s="64"/>
      <c r="H495" s="68"/>
      <c r="I495" s="69"/>
      <c r="J495" s="69"/>
      <c r="K495" s="32"/>
      <c r="L495" s="76">
        <v>495</v>
      </c>
      <c r="M495" s="76"/>
      <c r="N495" s="71"/>
      <c r="O495" s="87" t="s">
        <v>179</v>
      </c>
      <c r="P495" s="90">
        <v>45184.651203703703</v>
      </c>
      <c r="Q495" s="87" t="s">
        <v>2325</v>
      </c>
      <c r="R495" s="87">
        <v>0</v>
      </c>
      <c r="S495" s="87">
        <v>1</v>
      </c>
      <c r="T495" s="87">
        <v>0</v>
      </c>
      <c r="U495" s="87">
        <v>0</v>
      </c>
      <c r="V495" s="87">
        <v>26</v>
      </c>
      <c r="W495" s="93" t="s">
        <v>6197</v>
      </c>
      <c r="X495" s="87"/>
      <c r="Y495" s="87"/>
      <c r="Z495" s="87"/>
      <c r="AA495" s="87" t="s">
        <v>8961</v>
      </c>
      <c r="AB495" s="87" t="s">
        <v>11447</v>
      </c>
      <c r="AC495" s="93" t="s">
        <v>11458</v>
      </c>
      <c r="AD495" s="87" t="s">
        <v>11519</v>
      </c>
      <c r="AE495" s="92" t="str">
        <f>HYPERLINK("https://twitter.com/eduardoduka/status/1702708284912779730")</f>
        <v>https://twitter.com/eduardoduka/status/1702708284912779730</v>
      </c>
      <c r="AF495" s="90">
        <v>45184.651203703703</v>
      </c>
      <c r="AG495" s="99">
        <v>45184</v>
      </c>
      <c r="AH495" s="93" t="s">
        <v>12000</v>
      </c>
      <c r="AI495" s="87" t="b">
        <v>0</v>
      </c>
      <c r="AJ495" s="87"/>
      <c r="AK495" s="87"/>
      <c r="AL495" s="87"/>
      <c r="AM495" s="87"/>
      <c r="AN495" s="87"/>
      <c r="AO495" s="87"/>
      <c r="AP495" s="87"/>
      <c r="AQ495" s="87" t="s">
        <v>15774</v>
      </c>
      <c r="AR495" s="87">
        <v>75441</v>
      </c>
      <c r="AS495" s="87"/>
      <c r="AT495" s="87"/>
      <c r="AU495" s="87"/>
      <c r="AV495" s="92" t="str">
        <f>HYPERLINK("https://pbs.twimg.com/ext_tw_video_thumb/1702708079731593216/pu/img/rX20-sSkP0WJ9uow.jpg")</f>
        <v>https://pbs.twimg.com/ext_tw_video_thumb/1702708079731593216/pu/img/rX20-sSkP0WJ9uow.jpg</v>
      </c>
      <c r="AW495" s="93" t="s">
        <v>18745</v>
      </c>
      <c r="AX495" s="93" t="s">
        <v>18745</v>
      </c>
      <c r="AY495" s="87"/>
      <c r="AZ495" s="93" t="s">
        <v>22668</v>
      </c>
      <c r="BA495" s="93" t="s">
        <v>22668</v>
      </c>
      <c r="BB495" s="93" t="s">
        <v>22668</v>
      </c>
      <c r="BC495" s="93" t="s">
        <v>18745</v>
      </c>
      <c r="BD495" s="87">
        <v>149992574</v>
      </c>
      <c r="BE495" s="87"/>
      <c r="BF495" s="87"/>
      <c r="BG495" s="87"/>
      <c r="BH495" s="87"/>
      <c r="BI495" s="87"/>
    </row>
    <row r="496" spans="1:61" x14ac:dyDescent="0.25">
      <c r="A496" s="63" t="s">
        <v>390</v>
      </c>
      <c r="B496" s="63" t="s">
        <v>390</v>
      </c>
      <c r="C496" s="64"/>
      <c r="D496" s="65"/>
      <c r="E496" s="66"/>
      <c r="F496" s="67"/>
      <c r="G496" s="64"/>
      <c r="H496" s="68"/>
      <c r="I496" s="69"/>
      <c r="J496" s="69"/>
      <c r="K496" s="32"/>
      <c r="L496" s="76">
        <v>496</v>
      </c>
      <c r="M496" s="76"/>
      <c r="N496" s="71"/>
      <c r="O496" s="87" t="s">
        <v>179</v>
      </c>
      <c r="P496" s="90">
        <v>45178.606273148151</v>
      </c>
      <c r="Q496" s="87" t="s">
        <v>2326</v>
      </c>
      <c r="R496" s="87">
        <v>0</v>
      </c>
      <c r="S496" s="87">
        <v>0</v>
      </c>
      <c r="T496" s="87">
        <v>0</v>
      </c>
      <c r="U496" s="87">
        <v>0</v>
      </c>
      <c r="V496" s="87">
        <v>14</v>
      </c>
      <c r="W496" s="93" t="s">
        <v>6197</v>
      </c>
      <c r="X496" s="87"/>
      <c r="Y496" s="87"/>
      <c r="Z496" s="87"/>
      <c r="AA496" s="87" t="s">
        <v>8962</v>
      </c>
      <c r="AB496" s="87" t="s">
        <v>11447</v>
      </c>
      <c r="AC496" s="93" t="s">
        <v>11458</v>
      </c>
      <c r="AD496" s="87" t="s">
        <v>11519</v>
      </c>
      <c r="AE496" s="92" t="str">
        <f>HYPERLINK("https://twitter.com/eduardoduka/status/1700517673413599654")</f>
        <v>https://twitter.com/eduardoduka/status/1700517673413599654</v>
      </c>
      <c r="AF496" s="90">
        <v>45178.606273148151</v>
      </c>
      <c r="AG496" s="99">
        <v>45178</v>
      </c>
      <c r="AH496" s="93" t="s">
        <v>12001</v>
      </c>
      <c r="AI496" s="87" t="b">
        <v>0</v>
      </c>
      <c r="AJ496" s="87"/>
      <c r="AK496" s="87"/>
      <c r="AL496" s="87"/>
      <c r="AM496" s="87"/>
      <c r="AN496" s="87"/>
      <c r="AO496" s="87"/>
      <c r="AP496" s="87"/>
      <c r="AQ496" s="87" t="s">
        <v>15775</v>
      </c>
      <c r="AR496" s="87">
        <v>50920</v>
      </c>
      <c r="AS496" s="87"/>
      <c r="AT496" s="87"/>
      <c r="AU496" s="87"/>
      <c r="AV496" s="92" t="str">
        <f>HYPERLINK("https://pbs.twimg.com/ext_tw_video_thumb/1700517580639789056/pu/img/dX078hGlFZDdm2Se.jpg")</f>
        <v>https://pbs.twimg.com/ext_tw_video_thumb/1700517580639789056/pu/img/dX078hGlFZDdm2Se.jpg</v>
      </c>
      <c r="AW496" s="93" t="s">
        <v>18746</v>
      </c>
      <c r="AX496" s="93" t="s">
        <v>18746</v>
      </c>
      <c r="AY496" s="87"/>
      <c r="AZ496" s="93" t="s">
        <v>22668</v>
      </c>
      <c r="BA496" s="93" t="s">
        <v>22668</v>
      </c>
      <c r="BB496" s="93" t="s">
        <v>22668</v>
      </c>
      <c r="BC496" s="93" t="s">
        <v>18746</v>
      </c>
      <c r="BD496" s="87">
        <v>149992574</v>
      </c>
      <c r="BE496" s="87"/>
      <c r="BF496" s="87"/>
      <c r="BG496" s="87"/>
      <c r="BH496" s="87"/>
      <c r="BI496" s="87"/>
    </row>
    <row r="497" spans="1:61" x14ac:dyDescent="0.25">
      <c r="A497" s="63" t="s">
        <v>390</v>
      </c>
      <c r="B497" s="63" t="s">
        <v>390</v>
      </c>
      <c r="C497" s="64"/>
      <c r="D497" s="65"/>
      <c r="E497" s="66"/>
      <c r="F497" s="67"/>
      <c r="G497" s="64"/>
      <c r="H497" s="68"/>
      <c r="I497" s="69"/>
      <c r="J497" s="69"/>
      <c r="K497" s="32"/>
      <c r="L497" s="76">
        <v>497</v>
      </c>
      <c r="M497" s="76"/>
      <c r="N497" s="71"/>
      <c r="O497" s="87" t="s">
        <v>179</v>
      </c>
      <c r="P497" s="90">
        <v>45172.64508101852</v>
      </c>
      <c r="Q497" s="87" t="s">
        <v>2327</v>
      </c>
      <c r="R497" s="87">
        <v>0</v>
      </c>
      <c r="S497" s="87">
        <v>1</v>
      </c>
      <c r="T497" s="87">
        <v>0</v>
      </c>
      <c r="U497" s="87">
        <v>0</v>
      </c>
      <c r="V497" s="87">
        <v>29</v>
      </c>
      <c r="W497" s="93" t="s">
        <v>6197</v>
      </c>
      <c r="X497" s="87"/>
      <c r="Y497" s="87"/>
      <c r="Z497" s="87"/>
      <c r="AA497" s="87" t="s">
        <v>8963</v>
      </c>
      <c r="AB497" s="87" t="s">
        <v>11447</v>
      </c>
      <c r="AC497" s="93" t="s">
        <v>11458</v>
      </c>
      <c r="AD497" s="87" t="s">
        <v>11519</v>
      </c>
      <c r="AE497" s="92" t="str">
        <f>HYPERLINK("https://twitter.com/eduardoduka/status/1698357412648935574")</f>
        <v>https://twitter.com/eduardoduka/status/1698357412648935574</v>
      </c>
      <c r="AF497" s="90">
        <v>45172.64508101852</v>
      </c>
      <c r="AG497" s="99">
        <v>45172</v>
      </c>
      <c r="AH497" s="93" t="s">
        <v>12002</v>
      </c>
      <c r="AI497" s="87" t="b">
        <v>0</v>
      </c>
      <c r="AJ497" s="87"/>
      <c r="AK497" s="87"/>
      <c r="AL497" s="87"/>
      <c r="AM497" s="87"/>
      <c r="AN497" s="87"/>
      <c r="AO497" s="87"/>
      <c r="AP497" s="87"/>
      <c r="AQ497" s="87" t="s">
        <v>15776</v>
      </c>
      <c r="AR497" s="87">
        <v>57773</v>
      </c>
      <c r="AS497" s="87"/>
      <c r="AT497" s="87"/>
      <c r="AU497" s="87"/>
      <c r="AV497" s="92" t="str">
        <f>HYPERLINK("https://pbs.twimg.com/ext_tw_video_thumb/1698357310253416448/pu/img/10avX1pLqbIaaZcn.jpg")</f>
        <v>https://pbs.twimg.com/ext_tw_video_thumb/1698357310253416448/pu/img/10avX1pLqbIaaZcn.jpg</v>
      </c>
      <c r="AW497" s="93" t="s">
        <v>18747</v>
      </c>
      <c r="AX497" s="93" t="s">
        <v>18747</v>
      </c>
      <c r="AY497" s="87"/>
      <c r="AZ497" s="93" t="s">
        <v>22668</v>
      </c>
      <c r="BA497" s="93" t="s">
        <v>22668</v>
      </c>
      <c r="BB497" s="93" t="s">
        <v>22668</v>
      </c>
      <c r="BC497" s="93" t="s">
        <v>18747</v>
      </c>
      <c r="BD497" s="87">
        <v>149992574</v>
      </c>
      <c r="BE497" s="87"/>
      <c r="BF497" s="87"/>
      <c r="BG497" s="87"/>
      <c r="BH497" s="87"/>
      <c r="BI497" s="87"/>
    </row>
    <row r="498" spans="1:61" x14ac:dyDescent="0.25">
      <c r="A498" s="63" t="s">
        <v>390</v>
      </c>
      <c r="B498" s="63" t="s">
        <v>390</v>
      </c>
      <c r="C498" s="64"/>
      <c r="D498" s="65"/>
      <c r="E498" s="66"/>
      <c r="F498" s="67"/>
      <c r="G498" s="64"/>
      <c r="H498" s="68"/>
      <c r="I498" s="69"/>
      <c r="J498" s="69"/>
      <c r="K498" s="32"/>
      <c r="L498" s="76">
        <v>498</v>
      </c>
      <c r="M498" s="76"/>
      <c r="N498" s="71"/>
      <c r="O498" s="87" t="s">
        <v>179</v>
      </c>
      <c r="P498" s="90">
        <v>45171.891423611109</v>
      </c>
      <c r="Q498" s="87" t="s">
        <v>2328</v>
      </c>
      <c r="R498" s="87">
        <v>0</v>
      </c>
      <c r="S498" s="87">
        <v>1</v>
      </c>
      <c r="T498" s="87">
        <v>0</v>
      </c>
      <c r="U498" s="87">
        <v>0</v>
      </c>
      <c r="V498" s="87">
        <v>25</v>
      </c>
      <c r="W498" s="93" t="s">
        <v>6197</v>
      </c>
      <c r="X498" s="87"/>
      <c r="Y498" s="87"/>
      <c r="Z498" s="87"/>
      <c r="AA498" s="87" t="s">
        <v>8964</v>
      </c>
      <c r="AB498" s="87" t="s">
        <v>11447</v>
      </c>
      <c r="AC498" s="93" t="s">
        <v>11458</v>
      </c>
      <c r="AD498" s="87" t="s">
        <v>11519</v>
      </c>
      <c r="AE498" s="92" t="str">
        <f>HYPERLINK("https://twitter.com/eduardoduka/status/1698084296521630014")</f>
        <v>https://twitter.com/eduardoduka/status/1698084296521630014</v>
      </c>
      <c r="AF498" s="90">
        <v>45171.891423611109</v>
      </c>
      <c r="AG498" s="99">
        <v>45171</v>
      </c>
      <c r="AH498" s="93" t="s">
        <v>12003</v>
      </c>
      <c r="AI498" s="87" t="b">
        <v>0</v>
      </c>
      <c r="AJ498" s="87"/>
      <c r="AK498" s="87"/>
      <c r="AL498" s="87"/>
      <c r="AM498" s="87"/>
      <c r="AN498" s="87"/>
      <c r="AO498" s="87"/>
      <c r="AP498" s="87"/>
      <c r="AQ498" s="87" t="s">
        <v>15777</v>
      </c>
      <c r="AR498" s="87">
        <v>78945</v>
      </c>
      <c r="AS498" s="87"/>
      <c r="AT498" s="87"/>
      <c r="AU498" s="87"/>
      <c r="AV498" s="92" t="str">
        <f>HYPERLINK("https://pbs.twimg.com/ext_tw_video_thumb/1698084187343896576/pu/img/zUNDZYA1MGRU5zRy.jpg")</f>
        <v>https://pbs.twimg.com/ext_tw_video_thumb/1698084187343896576/pu/img/zUNDZYA1MGRU5zRy.jpg</v>
      </c>
      <c r="AW498" s="93" t="s">
        <v>18748</v>
      </c>
      <c r="AX498" s="93" t="s">
        <v>18748</v>
      </c>
      <c r="AY498" s="87"/>
      <c r="AZ498" s="93" t="s">
        <v>22668</v>
      </c>
      <c r="BA498" s="93" t="s">
        <v>22668</v>
      </c>
      <c r="BB498" s="93" t="s">
        <v>22668</v>
      </c>
      <c r="BC498" s="93" t="s">
        <v>18748</v>
      </c>
      <c r="BD498" s="87">
        <v>149992574</v>
      </c>
      <c r="BE498" s="87"/>
      <c r="BF498" s="87"/>
      <c r="BG498" s="87"/>
      <c r="BH498" s="87"/>
      <c r="BI498" s="87"/>
    </row>
    <row r="499" spans="1:61" x14ac:dyDescent="0.25">
      <c r="A499" s="63" t="s">
        <v>390</v>
      </c>
      <c r="B499" s="63" t="s">
        <v>390</v>
      </c>
      <c r="C499" s="64"/>
      <c r="D499" s="65"/>
      <c r="E499" s="66"/>
      <c r="F499" s="67"/>
      <c r="G499" s="64"/>
      <c r="H499" s="68"/>
      <c r="I499" s="69"/>
      <c r="J499" s="69"/>
      <c r="K499" s="32"/>
      <c r="L499" s="76">
        <v>499</v>
      </c>
      <c r="M499" s="76"/>
      <c r="N499" s="71"/>
      <c r="O499" s="87" t="s">
        <v>179</v>
      </c>
      <c r="P499" s="90">
        <v>45163.623599537037</v>
      </c>
      <c r="Q499" s="87" t="s">
        <v>2329</v>
      </c>
      <c r="R499" s="87">
        <v>0</v>
      </c>
      <c r="S499" s="87">
        <v>2</v>
      </c>
      <c r="T499" s="87">
        <v>0</v>
      </c>
      <c r="U499" s="87">
        <v>0</v>
      </c>
      <c r="V499" s="87">
        <v>47</v>
      </c>
      <c r="W499" s="93" t="s">
        <v>6197</v>
      </c>
      <c r="X499" s="87"/>
      <c r="Y499" s="87"/>
      <c r="Z499" s="87"/>
      <c r="AA499" s="87" t="s">
        <v>8965</v>
      </c>
      <c r="AB499" s="87" t="s">
        <v>11447</v>
      </c>
      <c r="AC499" s="93" t="s">
        <v>11458</v>
      </c>
      <c r="AD499" s="87" t="s">
        <v>11519</v>
      </c>
      <c r="AE499" s="92" t="str">
        <f>HYPERLINK("https://twitter.com/eduardoduka/status/1695088135665832185")</f>
        <v>https://twitter.com/eduardoduka/status/1695088135665832185</v>
      </c>
      <c r="AF499" s="90">
        <v>45163.623599537037</v>
      </c>
      <c r="AG499" s="99">
        <v>45163</v>
      </c>
      <c r="AH499" s="93" t="s">
        <v>12004</v>
      </c>
      <c r="AI499" s="87" t="b">
        <v>0</v>
      </c>
      <c r="AJ499" s="87"/>
      <c r="AK499" s="87"/>
      <c r="AL499" s="87"/>
      <c r="AM499" s="87"/>
      <c r="AN499" s="87"/>
      <c r="AO499" s="87"/>
      <c r="AP499" s="87"/>
      <c r="AQ499" s="87" t="s">
        <v>15778</v>
      </c>
      <c r="AR499" s="87">
        <v>76076</v>
      </c>
      <c r="AS499" s="87"/>
      <c r="AT499" s="87"/>
      <c r="AU499" s="87"/>
      <c r="AV499" s="92" t="str">
        <f>HYPERLINK("https://pbs.twimg.com/ext_tw_video_thumb/1695087912918929408/pu/img/Ha5IVoC4FE_8UGjV.jpg")</f>
        <v>https://pbs.twimg.com/ext_tw_video_thumb/1695087912918929408/pu/img/Ha5IVoC4FE_8UGjV.jpg</v>
      </c>
      <c r="AW499" s="93" t="s">
        <v>18749</v>
      </c>
      <c r="AX499" s="93" t="s">
        <v>18749</v>
      </c>
      <c r="AY499" s="87"/>
      <c r="AZ499" s="93" t="s">
        <v>22668</v>
      </c>
      <c r="BA499" s="93" t="s">
        <v>22668</v>
      </c>
      <c r="BB499" s="93" t="s">
        <v>22668</v>
      </c>
      <c r="BC499" s="93" t="s">
        <v>18749</v>
      </c>
      <c r="BD499" s="87">
        <v>149992574</v>
      </c>
      <c r="BE499" s="87"/>
      <c r="BF499" s="87"/>
      <c r="BG499" s="87"/>
      <c r="BH499" s="87"/>
      <c r="BI499" s="87"/>
    </row>
    <row r="500" spans="1:61" x14ac:dyDescent="0.25">
      <c r="A500" s="63" t="s">
        <v>390</v>
      </c>
      <c r="B500" s="63" t="s">
        <v>390</v>
      </c>
      <c r="C500" s="64"/>
      <c r="D500" s="65"/>
      <c r="E500" s="66"/>
      <c r="F500" s="67"/>
      <c r="G500" s="64"/>
      <c r="H500" s="68"/>
      <c r="I500" s="69"/>
      <c r="J500" s="69"/>
      <c r="K500" s="32"/>
      <c r="L500" s="76">
        <v>500</v>
      </c>
      <c r="M500" s="76"/>
      <c r="N500" s="71"/>
      <c r="O500" s="87" t="s">
        <v>179</v>
      </c>
      <c r="P500" s="90">
        <v>45162.949942129628</v>
      </c>
      <c r="Q500" s="87" t="s">
        <v>2330</v>
      </c>
      <c r="R500" s="87">
        <v>0</v>
      </c>
      <c r="S500" s="87">
        <v>1</v>
      </c>
      <c r="T500" s="87">
        <v>0</v>
      </c>
      <c r="U500" s="87">
        <v>0</v>
      </c>
      <c r="V500" s="87">
        <v>29</v>
      </c>
      <c r="W500" s="93" t="s">
        <v>6197</v>
      </c>
      <c r="X500" s="87"/>
      <c r="Y500" s="87"/>
      <c r="Z500" s="87"/>
      <c r="AA500" s="87" t="s">
        <v>8966</v>
      </c>
      <c r="AB500" s="87" t="s">
        <v>11447</v>
      </c>
      <c r="AC500" s="93" t="s">
        <v>11458</v>
      </c>
      <c r="AD500" s="87" t="s">
        <v>11519</v>
      </c>
      <c r="AE500" s="92" t="str">
        <f>HYPERLINK("https://twitter.com/eduardoduka/status/1694844011494695059")</f>
        <v>https://twitter.com/eduardoduka/status/1694844011494695059</v>
      </c>
      <c r="AF500" s="90">
        <v>45162.949942129628</v>
      </c>
      <c r="AG500" s="99">
        <v>45162</v>
      </c>
      <c r="AH500" s="93" t="s">
        <v>12005</v>
      </c>
      <c r="AI500" s="87" t="b">
        <v>0</v>
      </c>
      <c r="AJ500" s="87"/>
      <c r="AK500" s="87"/>
      <c r="AL500" s="87"/>
      <c r="AM500" s="87"/>
      <c r="AN500" s="87"/>
      <c r="AO500" s="87"/>
      <c r="AP500" s="87"/>
      <c r="AQ500" s="87" t="s">
        <v>15779</v>
      </c>
      <c r="AR500" s="87">
        <v>77110</v>
      </c>
      <c r="AS500" s="87"/>
      <c r="AT500" s="87"/>
      <c r="AU500" s="87"/>
      <c r="AV500" s="92" t="str">
        <f>HYPERLINK("https://pbs.twimg.com/ext_tw_video_thumb/1694843907060760576/pu/img/DkEcBEQVdF9DUTiN.jpg")</f>
        <v>https://pbs.twimg.com/ext_tw_video_thumb/1694843907060760576/pu/img/DkEcBEQVdF9DUTiN.jpg</v>
      </c>
      <c r="AW500" s="93" t="s">
        <v>18750</v>
      </c>
      <c r="AX500" s="93" t="s">
        <v>18750</v>
      </c>
      <c r="AY500" s="87"/>
      <c r="AZ500" s="93" t="s">
        <v>22668</v>
      </c>
      <c r="BA500" s="93" t="s">
        <v>22668</v>
      </c>
      <c r="BB500" s="93" t="s">
        <v>22668</v>
      </c>
      <c r="BC500" s="93" t="s">
        <v>18750</v>
      </c>
      <c r="BD500" s="87">
        <v>149992574</v>
      </c>
      <c r="BE500" s="87"/>
      <c r="BF500" s="87"/>
      <c r="BG500" s="87"/>
      <c r="BH500" s="87"/>
      <c r="BI500" s="87"/>
    </row>
    <row r="501" spans="1:61" x14ac:dyDescent="0.25">
      <c r="A501" s="63" t="s">
        <v>390</v>
      </c>
      <c r="B501" s="63" t="s">
        <v>390</v>
      </c>
      <c r="C501" s="64"/>
      <c r="D501" s="65"/>
      <c r="E501" s="66"/>
      <c r="F501" s="67"/>
      <c r="G501" s="64"/>
      <c r="H501" s="68"/>
      <c r="I501" s="69"/>
      <c r="J501" s="69"/>
      <c r="K501" s="32"/>
      <c r="L501" s="76">
        <v>501</v>
      </c>
      <c r="M501" s="76"/>
      <c r="N501" s="71"/>
      <c r="O501" s="87" t="s">
        <v>179</v>
      </c>
      <c r="P501" s="90">
        <v>45149.633703703701</v>
      </c>
      <c r="Q501" s="87" t="s">
        <v>2331</v>
      </c>
      <c r="R501" s="87">
        <v>0</v>
      </c>
      <c r="S501" s="87">
        <v>0</v>
      </c>
      <c r="T501" s="87">
        <v>0</v>
      </c>
      <c r="U501" s="87">
        <v>0</v>
      </c>
      <c r="V501" s="87">
        <v>9</v>
      </c>
      <c r="W501" s="93" t="s">
        <v>6198</v>
      </c>
      <c r="X501" s="92" t="str">
        <f>HYPERLINK("https://vm.tiktok.com/ZM23NMfdW/")</f>
        <v>https://vm.tiktok.com/ZM23NMfdW/</v>
      </c>
      <c r="Y501" s="87" t="s">
        <v>8398</v>
      </c>
      <c r="Z501" s="87"/>
      <c r="AA501" s="87"/>
      <c r="AB501" s="87"/>
      <c r="AC501" s="93" t="s">
        <v>11458</v>
      </c>
      <c r="AD501" s="87" t="s">
        <v>11519</v>
      </c>
      <c r="AE501" s="92" t="str">
        <f>HYPERLINK("https://twitter.com/eduardoduka/status/1690018367233486849")</f>
        <v>https://twitter.com/eduardoduka/status/1690018367233486849</v>
      </c>
      <c r="AF501" s="90">
        <v>45149.633703703701</v>
      </c>
      <c r="AG501" s="99">
        <v>45149</v>
      </c>
      <c r="AH501" s="93" t="s">
        <v>12006</v>
      </c>
      <c r="AI501" s="87" t="b">
        <v>0</v>
      </c>
      <c r="AJ501" s="87"/>
      <c r="AK501" s="87"/>
      <c r="AL501" s="87"/>
      <c r="AM501" s="87"/>
      <c r="AN501" s="87"/>
      <c r="AO501" s="87"/>
      <c r="AP501" s="87"/>
      <c r="AQ501" s="87"/>
      <c r="AR501" s="87"/>
      <c r="AS501" s="87"/>
      <c r="AT501" s="87"/>
      <c r="AU501" s="87"/>
      <c r="AV501" s="92" t="str">
        <f>HYPERLINK("https://pbs.twimg.com/profile_images/1499873180210667520/pGuGnc4G_normal.jpg")</f>
        <v>https://pbs.twimg.com/profile_images/1499873180210667520/pGuGnc4G_normal.jpg</v>
      </c>
      <c r="AW501" s="93" t="s">
        <v>18751</v>
      </c>
      <c r="AX501" s="93" t="s">
        <v>18751</v>
      </c>
      <c r="AY501" s="87"/>
      <c r="AZ501" s="93" t="s">
        <v>22668</v>
      </c>
      <c r="BA501" s="93" t="s">
        <v>22668</v>
      </c>
      <c r="BB501" s="93" t="s">
        <v>22668</v>
      </c>
      <c r="BC501" s="93" t="s">
        <v>18751</v>
      </c>
      <c r="BD501" s="87">
        <v>149992574</v>
      </c>
      <c r="BE501" s="87"/>
      <c r="BF501" s="87"/>
      <c r="BG501" s="87"/>
      <c r="BH501" s="87"/>
      <c r="BI501" s="87"/>
    </row>
    <row r="502" spans="1:61" x14ac:dyDescent="0.25">
      <c r="A502" s="63" t="s">
        <v>390</v>
      </c>
      <c r="B502" s="63" t="s">
        <v>390</v>
      </c>
      <c r="C502" s="64"/>
      <c r="D502" s="65"/>
      <c r="E502" s="66"/>
      <c r="F502" s="67"/>
      <c r="G502" s="64"/>
      <c r="H502" s="68"/>
      <c r="I502" s="69"/>
      <c r="J502" s="69"/>
      <c r="K502" s="32"/>
      <c r="L502" s="76">
        <v>502</v>
      </c>
      <c r="M502" s="76"/>
      <c r="N502" s="71"/>
      <c r="O502" s="87" t="s">
        <v>179</v>
      </c>
      <c r="P502" s="90">
        <v>45137.686689814815</v>
      </c>
      <c r="Q502" s="87" t="s">
        <v>2332</v>
      </c>
      <c r="R502" s="87">
        <v>0</v>
      </c>
      <c r="S502" s="87">
        <v>0</v>
      </c>
      <c r="T502" s="87">
        <v>0</v>
      </c>
      <c r="U502" s="87">
        <v>0</v>
      </c>
      <c r="V502" s="87">
        <v>13</v>
      </c>
      <c r="W502" s="93" t="s">
        <v>6198</v>
      </c>
      <c r="X502" s="92" t="str">
        <f>HYPERLINK("https://www.tiktok.com/t/ZM2GP5HHN/")</f>
        <v>https://www.tiktok.com/t/ZM2GP5HHN/</v>
      </c>
      <c r="Y502" s="87" t="s">
        <v>8398</v>
      </c>
      <c r="Z502" s="87"/>
      <c r="AA502" s="87"/>
      <c r="AB502" s="87"/>
      <c r="AC502" s="93" t="s">
        <v>11458</v>
      </c>
      <c r="AD502" s="87" t="s">
        <v>11519</v>
      </c>
      <c r="AE502" s="92" t="str">
        <f>HYPERLINK("https://twitter.com/eduardoduka/status/1685688914718121984")</f>
        <v>https://twitter.com/eduardoduka/status/1685688914718121984</v>
      </c>
      <c r="AF502" s="90">
        <v>45137.686689814815</v>
      </c>
      <c r="AG502" s="99">
        <v>45137</v>
      </c>
      <c r="AH502" s="93" t="s">
        <v>12007</v>
      </c>
      <c r="AI502" s="87" t="b">
        <v>0</v>
      </c>
      <c r="AJ502" s="87"/>
      <c r="AK502" s="87"/>
      <c r="AL502" s="87"/>
      <c r="AM502" s="87"/>
      <c r="AN502" s="87"/>
      <c r="AO502" s="87"/>
      <c r="AP502" s="87"/>
      <c r="AQ502" s="87"/>
      <c r="AR502" s="87"/>
      <c r="AS502" s="87"/>
      <c r="AT502" s="87"/>
      <c r="AU502" s="87"/>
      <c r="AV502" s="92" t="str">
        <f>HYPERLINK("https://pbs.twimg.com/profile_images/1499873180210667520/pGuGnc4G_normal.jpg")</f>
        <v>https://pbs.twimg.com/profile_images/1499873180210667520/pGuGnc4G_normal.jpg</v>
      </c>
      <c r="AW502" s="93" t="s">
        <v>18752</v>
      </c>
      <c r="AX502" s="93" t="s">
        <v>18752</v>
      </c>
      <c r="AY502" s="87"/>
      <c r="AZ502" s="93" t="s">
        <v>22668</v>
      </c>
      <c r="BA502" s="93" t="s">
        <v>22668</v>
      </c>
      <c r="BB502" s="93" t="s">
        <v>22668</v>
      </c>
      <c r="BC502" s="93" t="s">
        <v>18752</v>
      </c>
      <c r="BD502" s="87">
        <v>149992574</v>
      </c>
      <c r="BE502" s="87"/>
      <c r="BF502" s="87"/>
      <c r="BG502" s="87"/>
      <c r="BH502" s="87"/>
      <c r="BI502" s="87"/>
    </row>
    <row r="503" spans="1:61" x14ac:dyDescent="0.25">
      <c r="A503" s="63" t="s">
        <v>390</v>
      </c>
      <c r="B503" s="63" t="s">
        <v>390</v>
      </c>
      <c r="C503" s="64"/>
      <c r="D503" s="65"/>
      <c r="E503" s="66"/>
      <c r="F503" s="67"/>
      <c r="G503" s="64"/>
      <c r="H503" s="68"/>
      <c r="I503" s="69"/>
      <c r="J503" s="69"/>
      <c r="K503" s="32"/>
      <c r="L503" s="76">
        <v>503</v>
      </c>
      <c r="M503" s="76"/>
      <c r="N503" s="71"/>
      <c r="O503" s="87" t="s">
        <v>179</v>
      </c>
      <c r="P503" s="90">
        <v>45136.721493055556</v>
      </c>
      <c r="Q503" s="87" t="s">
        <v>2333</v>
      </c>
      <c r="R503" s="87">
        <v>0</v>
      </c>
      <c r="S503" s="87">
        <v>0</v>
      </c>
      <c r="T503" s="87">
        <v>0</v>
      </c>
      <c r="U503" s="87">
        <v>0</v>
      </c>
      <c r="V503" s="87">
        <v>12</v>
      </c>
      <c r="W503" s="93" t="s">
        <v>6198</v>
      </c>
      <c r="X503" s="92" t="str">
        <f>HYPERLINK("https://vm.tiktok.com/ZM2sKejV7/")</f>
        <v>https://vm.tiktok.com/ZM2sKejV7/</v>
      </c>
      <c r="Y503" s="87" t="s">
        <v>8398</v>
      </c>
      <c r="Z503" s="87"/>
      <c r="AA503" s="87"/>
      <c r="AB503" s="87"/>
      <c r="AC503" s="93" t="s">
        <v>11458</v>
      </c>
      <c r="AD503" s="87" t="s">
        <v>11519</v>
      </c>
      <c r="AE503" s="92" t="str">
        <f>HYPERLINK("https://twitter.com/eduardoduka/status/1685339140550782976")</f>
        <v>https://twitter.com/eduardoduka/status/1685339140550782976</v>
      </c>
      <c r="AF503" s="90">
        <v>45136.721493055556</v>
      </c>
      <c r="AG503" s="99">
        <v>45136</v>
      </c>
      <c r="AH503" s="93" t="s">
        <v>12008</v>
      </c>
      <c r="AI503" s="87" t="b">
        <v>0</v>
      </c>
      <c r="AJ503" s="87"/>
      <c r="AK503" s="87"/>
      <c r="AL503" s="87"/>
      <c r="AM503" s="87"/>
      <c r="AN503" s="87"/>
      <c r="AO503" s="87"/>
      <c r="AP503" s="87"/>
      <c r="AQ503" s="87"/>
      <c r="AR503" s="87"/>
      <c r="AS503" s="87"/>
      <c r="AT503" s="87"/>
      <c r="AU503" s="87"/>
      <c r="AV503" s="92" t="str">
        <f>HYPERLINK("https://pbs.twimg.com/profile_images/1499873180210667520/pGuGnc4G_normal.jpg")</f>
        <v>https://pbs.twimg.com/profile_images/1499873180210667520/pGuGnc4G_normal.jpg</v>
      </c>
      <c r="AW503" s="93" t="s">
        <v>18753</v>
      </c>
      <c r="AX503" s="93" t="s">
        <v>18753</v>
      </c>
      <c r="AY503" s="87"/>
      <c r="AZ503" s="93" t="s">
        <v>22668</v>
      </c>
      <c r="BA503" s="93" t="s">
        <v>22668</v>
      </c>
      <c r="BB503" s="93" t="s">
        <v>22668</v>
      </c>
      <c r="BC503" s="93" t="s">
        <v>18753</v>
      </c>
      <c r="BD503" s="87">
        <v>149992574</v>
      </c>
      <c r="BE503" s="87"/>
      <c r="BF503" s="87"/>
      <c r="BG503" s="87"/>
      <c r="BH503" s="87"/>
      <c r="BI503" s="87"/>
    </row>
    <row r="504" spans="1:61" x14ac:dyDescent="0.25">
      <c r="A504" s="63" t="s">
        <v>390</v>
      </c>
      <c r="B504" s="63" t="s">
        <v>390</v>
      </c>
      <c r="C504" s="64"/>
      <c r="D504" s="65"/>
      <c r="E504" s="66"/>
      <c r="F504" s="67"/>
      <c r="G504" s="64"/>
      <c r="H504" s="68"/>
      <c r="I504" s="69"/>
      <c r="J504" s="69"/>
      <c r="K504" s="32"/>
      <c r="L504" s="76">
        <v>504</v>
      </c>
      <c r="M504" s="76"/>
      <c r="N504" s="71"/>
      <c r="O504" s="87" t="s">
        <v>179</v>
      </c>
      <c r="P504" s="90">
        <v>45193.659317129626</v>
      </c>
      <c r="Q504" s="87" t="s">
        <v>2334</v>
      </c>
      <c r="R504" s="87">
        <v>0</v>
      </c>
      <c r="S504" s="87">
        <v>2</v>
      </c>
      <c r="T504" s="87">
        <v>0</v>
      </c>
      <c r="U504" s="87">
        <v>0</v>
      </c>
      <c r="V504" s="87">
        <v>41</v>
      </c>
      <c r="W504" s="93" t="s">
        <v>6197</v>
      </c>
      <c r="X504" s="87"/>
      <c r="Y504" s="87"/>
      <c r="Z504" s="87"/>
      <c r="AA504" s="87" t="s">
        <v>8967</v>
      </c>
      <c r="AB504" s="87" t="s">
        <v>11447</v>
      </c>
      <c r="AC504" s="93" t="s">
        <v>11458</v>
      </c>
      <c r="AD504" s="87" t="s">
        <v>11519</v>
      </c>
      <c r="AE504" s="92" t="str">
        <f>HYPERLINK("https://twitter.com/eduardoduka/status/1705972713641120246")</f>
        <v>https://twitter.com/eduardoduka/status/1705972713641120246</v>
      </c>
      <c r="AF504" s="90">
        <v>45193.659317129626</v>
      </c>
      <c r="AG504" s="99">
        <v>45193</v>
      </c>
      <c r="AH504" s="93" t="s">
        <v>12009</v>
      </c>
      <c r="AI504" s="87" t="b">
        <v>0</v>
      </c>
      <c r="AJ504" s="87"/>
      <c r="AK504" s="87"/>
      <c r="AL504" s="87"/>
      <c r="AM504" s="87"/>
      <c r="AN504" s="87"/>
      <c r="AO504" s="87"/>
      <c r="AP504" s="87"/>
      <c r="AQ504" s="87" t="s">
        <v>15780</v>
      </c>
      <c r="AR504" s="87">
        <v>60260</v>
      </c>
      <c r="AS504" s="87"/>
      <c r="AT504" s="87"/>
      <c r="AU504" s="87"/>
      <c r="AV504" s="92" t="str">
        <f>HYPERLINK("https://pbs.twimg.com/ext_tw_video_thumb/1705972620108177408/pu/img/ewCoDknjSbZgYn22.jpg")</f>
        <v>https://pbs.twimg.com/ext_tw_video_thumb/1705972620108177408/pu/img/ewCoDknjSbZgYn22.jpg</v>
      </c>
      <c r="AW504" s="93" t="s">
        <v>18754</v>
      </c>
      <c r="AX504" s="93" t="s">
        <v>18754</v>
      </c>
      <c r="AY504" s="87"/>
      <c r="AZ504" s="93" t="s">
        <v>22668</v>
      </c>
      <c r="BA504" s="93" t="s">
        <v>22668</v>
      </c>
      <c r="BB504" s="93" t="s">
        <v>22668</v>
      </c>
      <c r="BC504" s="93" t="s">
        <v>18754</v>
      </c>
      <c r="BD504" s="87">
        <v>149992574</v>
      </c>
      <c r="BE504" s="87"/>
      <c r="BF504" s="87"/>
      <c r="BG504" s="87"/>
      <c r="BH504" s="87"/>
      <c r="BI504" s="87"/>
    </row>
    <row r="505" spans="1:61" x14ac:dyDescent="0.25">
      <c r="A505" s="63" t="s">
        <v>390</v>
      </c>
      <c r="B505" s="63" t="s">
        <v>390</v>
      </c>
      <c r="C505" s="64"/>
      <c r="D505" s="65"/>
      <c r="E505" s="66"/>
      <c r="F505" s="67"/>
      <c r="G505" s="64"/>
      <c r="H505" s="68"/>
      <c r="I505" s="69"/>
      <c r="J505" s="69"/>
      <c r="K505" s="32"/>
      <c r="L505" s="76">
        <v>505</v>
      </c>
      <c r="M505" s="76"/>
      <c r="N505" s="71"/>
      <c r="O505" s="87" t="s">
        <v>179</v>
      </c>
      <c r="P505" s="90">
        <v>45192.682916666665</v>
      </c>
      <c r="Q505" s="87" t="s">
        <v>2335</v>
      </c>
      <c r="R505" s="87">
        <v>0</v>
      </c>
      <c r="S505" s="87">
        <v>1</v>
      </c>
      <c r="T505" s="87">
        <v>1</v>
      </c>
      <c r="U505" s="87">
        <v>0</v>
      </c>
      <c r="V505" s="87">
        <v>25</v>
      </c>
      <c r="W505" s="93" t="s">
        <v>6197</v>
      </c>
      <c r="X505" s="87"/>
      <c r="Y505" s="87"/>
      <c r="Z505" s="87"/>
      <c r="AA505" s="87" t="s">
        <v>8968</v>
      </c>
      <c r="AB505" s="87" t="s">
        <v>11447</v>
      </c>
      <c r="AC505" s="93" t="s">
        <v>11458</v>
      </c>
      <c r="AD505" s="87" t="s">
        <v>11519</v>
      </c>
      <c r="AE505" s="92" t="str">
        <f>HYPERLINK("https://twitter.com/eduardoduka/status/1705618879370719500")</f>
        <v>https://twitter.com/eduardoduka/status/1705618879370719500</v>
      </c>
      <c r="AF505" s="90">
        <v>45192.682916666665</v>
      </c>
      <c r="AG505" s="99">
        <v>45192</v>
      </c>
      <c r="AH505" s="93" t="s">
        <v>12010</v>
      </c>
      <c r="AI505" s="87" t="b">
        <v>0</v>
      </c>
      <c r="AJ505" s="87"/>
      <c r="AK505" s="87"/>
      <c r="AL505" s="87"/>
      <c r="AM505" s="87"/>
      <c r="AN505" s="87"/>
      <c r="AO505" s="87"/>
      <c r="AP505" s="87"/>
      <c r="AQ505" s="87" t="s">
        <v>15781</v>
      </c>
      <c r="AR505" s="87">
        <v>77845</v>
      </c>
      <c r="AS505" s="87"/>
      <c r="AT505" s="87"/>
      <c r="AU505" s="87"/>
      <c r="AV505" s="92" t="str">
        <f>HYPERLINK("https://pbs.twimg.com/ext_tw_video_thumb/1705618752463679488/pu/img/Li2k5c45lfDu2601.jpg")</f>
        <v>https://pbs.twimg.com/ext_tw_video_thumb/1705618752463679488/pu/img/Li2k5c45lfDu2601.jpg</v>
      </c>
      <c r="AW505" s="93" t="s">
        <v>18755</v>
      </c>
      <c r="AX505" s="93" t="s">
        <v>18755</v>
      </c>
      <c r="AY505" s="87"/>
      <c r="AZ505" s="93" t="s">
        <v>22668</v>
      </c>
      <c r="BA505" s="93" t="s">
        <v>22668</v>
      </c>
      <c r="BB505" s="93" t="s">
        <v>22668</v>
      </c>
      <c r="BC505" s="93" t="s">
        <v>18755</v>
      </c>
      <c r="BD505" s="87">
        <v>149992574</v>
      </c>
      <c r="BE505" s="87"/>
      <c r="BF505" s="87"/>
      <c r="BG505" s="87"/>
      <c r="BH505" s="87"/>
      <c r="BI505" s="87"/>
    </row>
    <row r="506" spans="1:61" x14ac:dyDescent="0.25">
      <c r="A506" s="63" t="s">
        <v>390</v>
      </c>
      <c r="B506" s="63" t="s">
        <v>390</v>
      </c>
      <c r="C506" s="64"/>
      <c r="D506" s="65"/>
      <c r="E506" s="66"/>
      <c r="F506" s="67"/>
      <c r="G506" s="64"/>
      <c r="H506" s="68"/>
      <c r="I506" s="69"/>
      <c r="J506" s="69"/>
      <c r="K506" s="32"/>
      <c r="L506" s="76">
        <v>506</v>
      </c>
      <c r="M506" s="76"/>
      <c r="N506" s="71"/>
      <c r="O506" s="87" t="s">
        <v>179</v>
      </c>
      <c r="P506" s="90">
        <v>45189.730902777781</v>
      </c>
      <c r="Q506" s="87" t="s">
        <v>2336</v>
      </c>
      <c r="R506" s="87">
        <v>0</v>
      </c>
      <c r="S506" s="87">
        <v>0</v>
      </c>
      <c r="T506" s="87">
        <v>0</v>
      </c>
      <c r="U506" s="87">
        <v>0</v>
      </c>
      <c r="V506" s="87">
        <v>22</v>
      </c>
      <c r="W506" s="93" t="s">
        <v>6197</v>
      </c>
      <c r="X506" s="87"/>
      <c r="Y506" s="87"/>
      <c r="Z506" s="87"/>
      <c r="AA506" s="87" t="s">
        <v>8969</v>
      </c>
      <c r="AB506" s="87" t="s">
        <v>11447</v>
      </c>
      <c r="AC506" s="93" t="s">
        <v>11458</v>
      </c>
      <c r="AD506" s="87" t="s">
        <v>11519</v>
      </c>
      <c r="AE506" s="92" t="str">
        <f>HYPERLINK("https://twitter.com/eduardoduka/status/1704549105844850859")</f>
        <v>https://twitter.com/eduardoduka/status/1704549105844850859</v>
      </c>
      <c r="AF506" s="90">
        <v>45189.730902777781</v>
      </c>
      <c r="AG506" s="99">
        <v>45189</v>
      </c>
      <c r="AH506" s="93" t="s">
        <v>12011</v>
      </c>
      <c r="AI506" s="87" t="b">
        <v>0</v>
      </c>
      <c r="AJ506" s="87"/>
      <c r="AK506" s="87"/>
      <c r="AL506" s="87"/>
      <c r="AM506" s="87"/>
      <c r="AN506" s="87"/>
      <c r="AO506" s="87"/>
      <c r="AP506" s="87"/>
      <c r="AQ506" s="87" t="s">
        <v>15782</v>
      </c>
      <c r="AR506" s="87">
        <v>60826</v>
      </c>
      <c r="AS506" s="87"/>
      <c r="AT506" s="87"/>
      <c r="AU506" s="87"/>
      <c r="AV506" s="92" t="str">
        <f>HYPERLINK("https://pbs.twimg.com/ext_tw_video_thumb/1704549011129085952/pu/img/fOCA8WacscbY9PcA.jpg")</f>
        <v>https://pbs.twimg.com/ext_tw_video_thumb/1704549011129085952/pu/img/fOCA8WacscbY9PcA.jpg</v>
      </c>
      <c r="AW506" s="93" t="s">
        <v>18756</v>
      </c>
      <c r="AX506" s="93" t="s">
        <v>18756</v>
      </c>
      <c r="AY506" s="87"/>
      <c r="AZ506" s="93" t="s">
        <v>22668</v>
      </c>
      <c r="BA506" s="93" t="s">
        <v>22668</v>
      </c>
      <c r="BB506" s="93" t="s">
        <v>22668</v>
      </c>
      <c r="BC506" s="93" t="s">
        <v>18756</v>
      </c>
      <c r="BD506" s="87">
        <v>149992574</v>
      </c>
      <c r="BE506" s="87"/>
      <c r="BF506" s="87"/>
      <c r="BG506" s="87"/>
      <c r="BH506" s="87"/>
      <c r="BI506" s="87"/>
    </row>
    <row r="507" spans="1:61" x14ac:dyDescent="0.25">
      <c r="A507" s="63" t="s">
        <v>390</v>
      </c>
      <c r="B507" s="63" t="s">
        <v>390</v>
      </c>
      <c r="C507" s="64"/>
      <c r="D507" s="65"/>
      <c r="E507" s="66"/>
      <c r="F507" s="67"/>
      <c r="G507" s="64"/>
      <c r="H507" s="68"/>
      <c r="I507" s="69"/>
      <c r="J507" s="69"/>
      <c r="K507" s="32"/>
      <c r="L507" s="76">
        <v>507</v>
      </c>
      <c r="M507" s="76"/>
      <c r="N507" s="71"/>
      <c r="O507" s="87" t="s">
        <v>179</v>
      </c>
      <c r="P507" s="90">
        <v>45187.647430555553</v>
      </c>
      <c r="Q507" s="87" t="s">
        <v>2337</v>
      </c>
      <c r="R507" s="87">
        <v>0</v>
      </c>
      <c r="S507" s="87">
        <v>1</v>
      </c>
      <c r="T507" s="87">
        <v>0</v>
      </c>
      <c r="U507" s="87">
        <v>0</v>
      </c>
      <c r="V507" s="87">
        <v>41</v>
      </c>
      <c r="W507" s="93" t="s">
        <v>6197</v>
      </c>
      <c r="X507" s="87"/>
      <c r="Y507" s="87"/>
      <c r="Z507" s="87"/>
      <c r="AA507" s="87" t="s">
        <v>8970</v>
      </c>
      <c r="AB507" s="87" t="s">
        <v>11447</v>
      </c>
      <c r="AC507" s="93" t="s">
        <v>11458</v>
      </c>
      <c r="AD507" s="87" t="s">
        <v>11519</v>
      </c>
      <c r="AE507" s="92" t="str">
        <f>HYPERLINK("https://twitter.com/eduardoduka/status/1703794079920710027")</f>
        <v>https://twitter.com/eduardoduka/status/1703794079920710027</v>
      </c>
      <c r="AF507" s="90">
        <v>45187.647430555553</v>
      </c>
      <c r="AG507" s="99">
        <v>45187</v>
      </c>
      <c r="AH507" s="93" t="s">
        <v>12012</v>
      </c>
      <c r="AI507" s="87" t="b">
        <v>0</v>
      </c>
      <c r="AJ507" s="87"/>
      <c r="AK507" s="87"/>
      <c r="AL507" s="87"/>
      <c r="AM507" s="87"/>
      <c r="AN507" s="87"/>
      <c r="AO507" s="87"/>
      <c r="AP507" s="87"/>
      <c r="AQ507" s="87" t="s">
        <v>15783</v>
      </c>
      <c r="AR507" s="87">
        <v>75945</v>
      </c>
      <c r="AS507" s="87"/>
      <c r="AT507" s="87"/>
      <c r="AU507" s="87"/>
      <c r="AV507" s="92" t="str">
        <f>HYPERLINK("https://pbs.twimg.com/ext_tw_video_thumb/1703793933090697217/pu/img/DSL7MEjoVaaUerkD.jpg")</f>
        <v>https://pbs.twimg.com/ext_tw_video_thumb/1703793933090697217/pu/img/DSL7MEjoVaaUerkD.jpg</v>
      </c>
      <c r="AW507" s="93" t="s">
        <v>18757</v>
      </c>
      <c r="AX507" s="93" t="s">
        <v>18757</v>
      </c>
      <c r="AY507" s="87"/>
      <c r="AZ507" s="93" t="s">
        <v>22668</v>
      </c>
      <c r="BA507" s="93" t="s">
        <v>22668</v>
      </c>
      <c r="BB507" s="93" t="s">
        <v>22668</v>
      </c>
      <c r="BC507" s="93" t="s">
        <v>18757</v>
      </c>
      <c r="BD507" s="87">
        <v>149992574</v>
      </c>
      <c r="BE507" s="87"/>
      <c r="BF507" s="87"/>
      <c r="BG507" s="87"/>
      <c r="BH507" s="87"/>
      <c r="BI507" s="87"/>
    </row>
    <row r="508" spans="1:61" x14ac:dyDescent="0.25">
      <c r="A508" s="63" t="s">
        <v>390</v>
      </c>
      <c r="B508" s="63" t="s">
        <v>390</v>
      </c>
      <c r="C508" s="64"/>
      <c r="D508" s="65"/>
      <c r="E508" s="66"/>
      <c r="F508" s="67"/>
      <c r="G508" s="64"/>
      <c r="H508" s="68"/>
      <c r="I508" s="69"/>
      <c r="J508" s="69"/>
      <c r="K508" s="32"/>
      <c r="L508" s="76">
        <v>508</v>
      </c>
      <c r="M508" s="76"/>
      <c r="N508" s="71"/>
      <c r="O508" s="87" t="s">
        <v>179</v>
      </c>
      <c r="P508" s="90">
        <v>45182.683055555557</v>
      </c>
      <c r="Q508" s="87" t="s">
        <v>2338</v>
      </c>
      <c r="R508" s="87">
        <v>0</v>
      </c>
      <c r="S508" s="87">
        <v>1</v>
      </c>
      <c r="T508" s="87">
        <v>0</v>
      </c>
      <c r="U508" s="87">
        <v>0</v>
      </c>
      <c r="V508" s="87">
        <v>12</v>
      </c>
      <c r="W508" s="93" t="s">
        <v>6197</v>
      </c>
      <c r="X508" s="87"/>
      <c r="Y508" s="87"/>
      <c r="Z508" s="87"/>
      <c r="AA508" s="87" t="s">
        <v>8971</v>
      </c>
      <c r="AB508" s="87" t="s">
        <v>11447</v>
      </c>
      <c r="AC508" s="93" t="s">
        <v>11458</v>
      </c>
      <c r="AD508" s="87" t="s">
        <v>11519</v>
      </c>
      <c r="AE508" s="92" t="str">
        <f>HYPERLINK("https://twitter.com/eduardoduka/status/1701995050908131814")</f>
        <v>https://twitter.com/eduardoduka/status/1701995050908131814</v>
      </c>
      <c r="AF508" s="90">
        <v>45182.683055555557</v>
      </c>
      <c r="AG508" s="99">
        <v>45182</v>
      </c>
      <c r="AH508" s="93" t="s">
        <v>12013</v>
      </c>
      <c r="AI508" s="87" t="b">
        <v>0</v>
      </c>
      <c r="AJ508" s="87"/>
      <c r="AK508" s="87"/>
      <c r="AL508" s="87"/>
      <c r="AM508" s="87"/>
      <c r="AN508" s="87"/>
      <c r="AO508" s="87"/>
      <c r="AP508" s="87"/>
      <c r="AQ508" s="87" t="s">
        <v>15784</v>
      </c>
      <c r="AR508" s="87">
        <v>39740</v>
      </c>
      <c r="AS508" s="87"/>
      <c r="AT508" s="87"/>
      <c r="AU508" s="87"/>
      <c r="AV508" s="92" t="str">
        <f>HYPERLINK("https://pbs.twimg.com/ext_tw_video_thumb/1701994970125631488/pu/img/NS7c1O47vUSaggDg.jpg")</f>
        <v>https://pbs.twimg.com/ext_tw_video_thumb/1701994970125631488/pu/img/NS7c1O47vUSaggDg.jpg</v>
      </c>
      <c r="AW508" s="93" t="s">
        <v>18758</v>
      </c>
      <c r="AX508" s="93" t="s">
        <v>18758</v>
      </c>
      <c r="AY508" s="87"/>
      <c r="AZ508" s="93" t="s">
        <v>22668</v>
      </c>
      <c r="BA508" s="93" t="s">
        <v>22668</v>
      </c>
      <c r="BB508" s="93" t="s">
        <v>22668</v>
      </c>
      <c r="BC508" s="93" t="s">
        <v>18758</v>
      </c>
      <c r="BD508" s="87">
        <v>149992574</v>
      </c>
      <c r="BE508" s="87"/>
      <c r="BF508" s="87"/>
      <c r="BG508" s="87"/>
      <c r="BH508" s="87"/>
      <c r="BI508" s="87"/>
    </row>
    <row r="509" spans="1:61" x14ac:dyDescent="0.25">
      <c r="A509" s="63" t="s">
        <v>390</v>
      </c>
      <c r="B509" s="63" t="s">
        <v>390</v>
      </c>
      <c r="C509" s="64"/>
      <c r="D509" s="65"/>
      <c r="E509" s="66"/>
      <c r="F509" s="67"/>
      <c r="G509" s="64"/>
      <c r="H509" s="68"/>
      <c r="I509" s="69"/>
      <c r="J509" s="69"/>
      <c r="K509" s="32"/>
      <c r="L509" s="76">
        <v>509</v>
      </c>
      <c r="M509" s="76"/>
      <c r="N509" s="71"/>
      <c r="O509" s="87" t="s">
        <v>179</v>
      </c>
      <c r="P509" s="90">
        <v>45130.650011574071</v>
      </c>
      <c r="Q509" s="87" t="s">
        <v>2339</v>
      </c>
      <c r="R509" s="87">
        <v>0</v>
      </c>
      <c r="S509" s="87">
        <v>0</v>
      </c>
      <c r="T509" s="87">
        <v>0</v>
      </c>
      <c r="U509" s="87">
        <v>0</v>
      </c>
      <c r="V509" s="87">
        <v>47</v>
      </c>
      <c r="W509" s="93" t="s">
        <v>6198</v>
      </c>
      <c r="X509" s="92" t="str">
        <f>HYPERLINK("https://vm.tiktok.com/ZM2bbUT8P/")</f>
        <v>https://vm.tiktok.com/ZM2bbUT8P/</v>
      </c>
      <c r="Y509" s="87" t="s">
        <v>8398</v>
      </c>
      <c r="Z509" s="87"/>
      <c r="AA509" s="87"/>
      <c r="AB509" s="87"/>
      <c r="AC509" s="93" t="s">
        <v>11458</v>
      </c>
      <c r="AD509" s="87" t="s">
        <v>11519</v>
      </c>
      <c r="AE509" s="92" t="str">
        <f>HYPERLINK("https://twitter.com/eduardoduka/status/1683138906303213571")</f>
        <v>https://twitter.com/eduardoduka/status/1683138906303213571</v>
      </c>
      <c r="AF509" s="90">
        <v>45130.650011574071</v>
      </c>
      <c r="AG509" s="99">
        <v>45130</v>
      </c>
      <c r="AH509" s="93" t="s">
        <v>12014</v>
      </c>
      <c r="AI509" s="87" t="b">
        <v>0</v>
      </c>
      <c r="AJ509" s="87"/>
      <c r="AK509" s="87"/>
      <c r="AL509" s="87"/>
      <c r="AM509" s="87"/>
      <c r="AN509" s="87"/>
      <c r="AO509" s="87"/>
      <c r="AP509" s="87"/>
      <c r="AQ509" s="87"/>
      <c r="AR509" s="87"/>
      <c r="AS509" s="87"/>
      <c r="AT509" s="87"/>
      <c r="AU509" s="87"/>
      <c r="AV509" s="92" t="str">
        <f>HYPERLINK("https://pbs.twimg.com/profile_images/1499873180210667520/pGuGnc4G_normal.jpg")</f>
        <v>https://pbs.twimg.com/profile_images/1499873180210667520/pGuGnc4G_normal.jpg</v>
      </c>
      <c r="AW509" s="93" t="s">
        <v>18759</v>
      </c>
      <c r="AX509" s="93" t="s">
        <v>18759</v>
      </c>
      <c r="AY509" s="87"/>
      <c r="AZ509" s="93" t="s">
        <v>22668</v>
      </c>
      <c r="BA509" s="93" t="s">
        <v>22668</v>
      </c>
      <c r="BB509" s="93" t="s">
        <v>22668</v>
      </c>
      <c r="BC509" s="93" t="s">
        <v>18759</v>
      </c>
      <c r="BD509" s="87">
        <v>149992574</v>
      </c>
      <c r="BE509" s="87"/>
      <c r="BF509" s="87"/>
      <c r="BG509" s="87"/>
      <c r="BH509" s="87"/>
      <c r="BI509" s="87"/>
    </row>
    <row r="510" spans="1:61" x14ac:dyDescent="0.25">
      <c r="A510" s="63" t="s">
        <v>390</v>
      </c>
      <c r="B510" s="63" t="s">
        <v>390</v>
      </c>
      <c r="C510" s="64"/>
      <c r="D510" s="65"/>
      <c r="E510" s="66"/>
      <c r="F510" s="67"/>
      <c r="G510" s="64"/>
      <c r="H510" s="68"/>
      <c r="I510" s="69"/>
      <c r="J510" s="69"/>
      <c r="K510" s="32"/>
      <c r="L510" s="76">
        <v>510</v>
      </c>
      <c r="M510" s="76"/>
      <c r="N510" s="71"/>
      <c r="O510" s="87" t="s">
        <v>179</v>
      </c>
      <c r="P510" s="90">
        <v>45129.610381944447</v>
      </c>
      <c r="Q510" s="87" t="s">
        <v>2340</v>
      </c>
      <c r="R510" s="87">
        <v>0</v>
      </c>
      <c r="S510" s="87">
        <v>0</v>
      </c>
      <c r="T510" s="87">
        <v>0</v>
      </c>
      <c r="U510" s="87">
        <v>0</v>
      </c>
      <c r="V510" s="87">
        <v>13</v>
      </c>
      <c r="W510" s="93" t="s">
        <v>6198</v>
      </c>
      <c r="X510" s="92" t="str">
        <f>HYPERLINK("https://www.tiktok.com/t/ZM2b2qUvw/")</f>
        <v>https://www.tiktok.com/t/ZM2b2qUvw/</v>
      </c>
      <c r="Y510" s="87" t="s">
        <v>8398</v>
      </c>
      <c r="Z510" s="87"/>
      <c r="AA510" s="87"/>
      <c r="AB510" s="87"/>
      <c r="AC510" s="93" t="s">
        <v>11458</v>
      </c>
      <c r="AD510" s="87" t="s">
        <v>11519</v>
      </c>
      <c r="AE510" s="92" t="str">
        <f>HYPERLINK("https://twitter.com/eduardoduka/status/1682762159275626498")</f>
        <v>https://twitter.com/eduardoduka/status/1682762159275626498</v>
      </c>
      <c r="AF510" s="90">
        <v>45129.610381944447</v>
      </c>
      <c r="AG510" s="99">
        <v>45129</v>
      </c>
      <c r="AH510" s="93" t="s">
        <v>12015</v>
      </c>
      <c r="AI510" s="87" t="b">
        <v>0</v>
      </c>
      <c r="AJ510" s="87"/>
      <c r="AK510" s="87"/>
      <c r="AL510" s="87"/>
      <c r="AM510" s="87"/>
      <c r="AN510" s="87"/>
      <c r="AO510" s="87"/>
      <c r="AP510" s="87"/>
      <c r="AQ510" s="87"/>
      <c r="AR510" s="87"/>
      <c r="AS510" s="87"/>
      <c r="AT510" s="87"/>
      <c r="AU510" s="87"/>
      <c r="AV510" s="92" t="str">
        <f>HYPERLINK("https://pbs.twimg.com/profile_images/1499873180210667520/pGuGnc4G_normal.jpg")</f>
        <v>https://pbs.twimg.com/profile_images/1499873180210667520/pGuGnc4G_normal.jpg</v>
      </c>
      <c r="AW510" s="93" t="s">
        <v>18760</v>
      </c>
      <c r="AX510" s="93" t="s">
        <v>18760</v>
      </c>
      <c r="AY510" s="87"/>
      <c r="AZ510" s="93" t="s">
        <v>22668</v>
      </c>
      <c r="BA510" s="93" t="s">
        <v>22668</v>
      </c>
      <c r="BB510" s="93" t="s">
        <v>22668</v>
      </c>
      <c r="BC510" s="93" t="s">
        <v>18760</v>
      </c>
      <c r="BD510" s="87">
        <v>149992574</v>
      </c>
      <c r="BE510" s="87"/>
      <c r="BF510" s="87"/>
      <c r="BG510" s="87"/>
      <c r="BH510" s="87"/>
      <c r="BI510" s="87"/>
    </row>
    <row r="511" spans="1:61" x14ac:dyDescent="0.25">
      <c r="A511" s="63" t="s">
        <v>390</v>
      </c>
      <c r="B511" s="63" t="s">
        <v>390</v>
      </c>
      <c r="C511" s="64"/>
      <c r="D511" s="65"/>
      <c r="E511" s="66"/>
      <c r="F511" s="67"/>
      <c r="G511" s="64"/>
      <c r="H511" s="68"/>
      <c r="I511" s="69"/>
      <c r="J511" s="69"/>
      <c r="K511" s="32"/>
      <c r="L511" s="76">
        <v>511</v>
      </c>
      <c r="M511" s="76"/>
      <c r="N511" s="71"/>
      <c r="O511" s="87" t="s">
        <v>179</v>
      </c>
      <c r="P511" s="90">
        <v>45128.657060185185</v>
      </c>
      <c r="Q511" s="87" t="s">
        <v>2341</v>
      </c>
      <c r="R511" s="87">
        <v>0</v>
      </c>
      <c r="S511" s="87">
        <v>0</v>
      </c>
      <c r="T511" s="87">
        <v>0</v>
      </c>
      <c r="U511" s="87">
        <v>0</v>
      </c>
      <c r="V511" s="87">
        <v>14</v>
      </c>
      <c r="W511" s="93" t="s">
        <v>6198</v>
      </c>
      <c r="X511" s="92" t="str">
        <f>HYPERLINK("https://vm.tiktok.com/ZM2qgHtxm/")</f>
        <v>https://vm.tiktok.com/ZM2qgHtxm/</v>
      </c>
      <c r="Y511" s="87" t="s">
        <v>8398</v>
      </c>
      <c r="Z511" s="87"/>
      <c r="AA511" s="87"/>
      <c r="AB511" s="87"/>
      <c r="AC511" s="93" t="s">
        <v>11458</v>
      </c>
      <c r="AD511" s="87" t="s">
        <v>11519</v>
      </c>
      <c r="AE511" s="92" t="str">
        <f>HYPERLINK("https://twitter.com/eduardoduka/status/1682416687671304193")</f>
        <v>https://twitter.com/eduardoduka/status/1682416687671304193</v>
      </c>
      <c r="AF511" s="90">
        <v>45128.657060185185</v>
      </c>
      <c r="AG511" s="99">
        <v>45128</v>
      </c>
      <c r="AH511" s="93" t="s">
        <v>12016</v>
      </c>
      <c r="AI511" s="87" t="b">
        <v>0</v>
      </c>
      <c r="AJ511" s="87"/>
      <c r="AK511" s="87"/>
      <c r="AL511" s="87"/>
      <c r="AM511" s="87"/>
      <c r="AN511" s="87"/>
      <c r="AO511" s="87"/>
      <c r="AP511" s="87"/>
      <c r="AQ511" s="87"/>
      <c r="AR511" s="87"/>
      <c r="AS511" s="87"/>
      <c r="AT511" s="87"/>
      <c r="AU511" s="87"/>
      <c r="AV511" s="92" t="str">
        <f>HYPERLINK("https://pbs.twimg.com/profile_images/1499873180210667520/pGuGnc4G_normal.jpg")</f>
        <v>https://pbs.twimg.com/profile_images/1499873180210667520/pGuGnc4G_normal.jpg</v>
      </c>
      <c r="AW511" s="93" t="s">
        <v>18761</v>
      </c>
      <c r="AX511" s="93" t="s">
        <v>18761</v>
      </c>
      <c r="AY511" s="87"/>
      <c r="AZ511" s="93" t="s">
        <v>22668</v>
      </c>
      <c r="BA511" s="93" t="s">
        <v>22668</v>
      </c>
      <c r="BB511" s="93" t="s">
        <v>22668</v>
      </c>
      <c r="BC511" s="93" t="s">
        <v>18761</v>
      </c>
      <c r="BD511" s="87">
        <v>149992574</v>
      </c>
      <c r="BE511" s="87"/>
      <c r="BF511" s="87"/>
      <c r="BG511" s="87"/>
      <c r="BH511" s="87"/>
      <c r="BI511" s="87"/>
    </row>
    <row r="512" spans="1:61" x14ac:dyDescent="0.25">
      <c r="A512" s="63" t="s">
        <v>390</v>
      </c>
      <c r="B512" s="63" t="s">
        <v>390</v>
      </c>
      <c r="C512" s="64"/>
      <c r="D512" s="65"/>
      <c r="E512" s="66"/>
      <c r="F512" s="67"/>
      <c r="G512" s="64"/>
      <c r="H512" s="68"/>
      <c r="I512" s="69"/>
      <c r="J512" s="69"/>
      <c r="K512" s="32"/>
      <c r="L512" s="76">
        <v>512</v>
      </c>
      <c r="M512" s="76"/>
      <c r="N512" s="71"/>
      <c r="O512" s="87" t="s">
        <v>179</v>
      </c>
      <c r="P512" s="90">
        <v>45127.709502314814</v>
      </c>
      <c r="Q512" s="87" t="s">
        <v>2342</v>
      </c>
      <c r="R512" s="87">
        <v>0</v>
      </c>
      <c r="S512" s="87">
        <v>0</v>
      </c>
      <c r="T512" s="87">
        <v>0</v>
      </c>
      <c r="U512" s="87">
        <v>0</v>
      </c>
      <c r="V512" s="87">
        <v>14</v>
      </c>
      <c r="W512" s="93" t="s">
        <v>6198</v>
      </c>
      <c r="X512" s="92" t="str">
        <f>HYPERLINK("https://vm.tiktok.com/ZM2q2WL31/")</f>
        <v>https://vm.tiktok.com/ZM2q2WL31/</v>
      </c>
      <c r="Y512" s="87" t="s">
        <v>8398</v>
      </c>
      <c r="Z512" s="87"/>
      <c r="AA512" s="87"/>
      <c r="AB512" s="87"/>
      <c r="AC512" s="93" t="s">
        <v>11458</v>
      </c>
      <c r="AD512" s="87" t="s">
        <v>11519</v>
      </c>
      <c r="AE512" s="92" t="str">
        <f>HYPERLINK("https://twitter.com/eduardoduka/status/1682073301374451719")</f>
        <v>https://twitter.com/eduardoduka/status/1682073301374451719</v>
      </c>
      <c r="AF512" s="90">
        <v>45127.709502314814</v>
      </c>
      <c r="AG512" s="99">
        <v>45127</v>
      </c>
      <c r="AH512" s="93" t="s">
        <v>12017</v>
      </c>
      <c r="AI512" s="87" t="b">
        <v>0</v>
      </c>
      <c r="AJ512" s="87"/>
      <c r="AK512" s="87"/>
      <c r="AL512" s="87"/>
      <c r="AM512" s="87"/>
      <c r="AN512" s="87"/>
      <c r="AO512" s="87"/>
      <c r="AP512" s="87"/>
      <c r="AQ512" s="87"/>
      <c r="AR512" s="87"/>
      <c r="AS512" s="87"/>
      <c r="AT512" s="87"/>
      <c r="AU512" s="87"/>
      <c r="AV512" s="92" t="str">
        <f>HYPERLINK("https://pbs.twimg.com/profile_images/1499873180210667520/pGuGnc4G_normal.jpg")</f>
        <v>https://pbs.twimg.com/profile_images/1499873180210667520/pGuGnc4G_normal.jpg</v>
      </c>
      <c r="AW512" s="93" t="s">
        <v>18762</v>
      </c>
      <c r="AX512" s="93" t="s">
        <v>18762</v>
      </c>
      <c r="AY512" s="87"/>
      <c r="AZ512" s="93" t="s">
        <v>22668</v>
      </c>
      <c r="BA512" s="93" t="s">
        <v>22668</v>
      </c>
      <c r="BB512" s="93" t="s">
        <v>22668</v>
      </c>
      <c r="BC512" s="93" t="s">
        <v>18762</v>
      </c>
      <c r="BD512" s="87">
        <v>149992574</v>
      </c>
      <c r="BE512" s="87"/>
      <c r="BF512" s="87"/>
      <c r="BG512" s="87"/>
      <c r="BH512" s="87"/>
      <c r="BI512" s="87"/>
    </row>
    <row r="513" spans="1:61" x14ac:dyDescent="0.25">
      <c r="A513" s="63" t="s">
        <v>390</v>
      </c>
      <c r="B513" s="63" t="s">
        <v>390</v>
      </c>
      <c r="C513" s="64"/>
      <c r="D513" s="65"/>
      <c r="E513" s="66"/>
      <c r="F513" s="67"/>
      <c r="G513" s="64"/>
      <c r="H513" s="68"/>
      <c r="I513" s="69"/>
      <c r="J513" s="69"/>
      <c r="K513" s="32"/>
      <c r="L513" s="76">
        <v>513</v>
      </c>
      <c r="M513" s="76"/>
      <c r="N513" s="71"/>
      <c r="O513" s="87" t="s">
        <v>179</v>
      </c>
      <c r="P513" s="90">
        <v>45127.025972222225</v>
      </c>
      <c r="Q513" s="87" t="s">
        <v>2343</v>
      </c>
      <c r="R513" s="87">
        <v>0</v>
      </c>
      <c r="S513" s="87">
        <v>0</v>
      </c>
      <c r="T513" s="87">
        <v>0</v>
      </c>
      <c r="U513" s="87">
        <v>0</v>
      </c>
      <c r="V513" s="87">
        <v>7</v>
      </c>
      <c r="W513" s="93" t="s">
        <v>6198</v>
      </c>
      <c r="X513" s="92" t="str">
        <f>HYPERLINK("https://vm.tiktok.com/ZM2V74hk8/")</f>
        <v>https://vm.tiktok.com/ZM2V74hk8/</v>
      </c>
      <c r="Y513" s="87" t="s">
        <v>8398</v>
      </c>
      <c r="Z513" s="87"/>
      <c r="AA513" s="87"/>
      <c r="AB513" s="87"/>
      <c r="AC513" s="93" t="s">
        <v>11458</v>
      </c>
      <c r="AD513" s="87" t="s">
        <v>11519</v>
      </c>
      <c r="AE513" s="92" t="str">
        <f>HYPERLINK("https://twitter.com/eduardoduka/status/1681825600632152064")</f>
        <v>https://twitter.com/eduardoduka/status/1681825600632152064</v>
      </c>
      <c r="AF513" s="90">
        <v>45127.025972222225</v>
      </c>
      <c r="AG513" s="99">
        <v>45127</v>
      </c>
      <c r="AH513" s="93" t="s">
        <v>12018</v>
      </c>
      <c r="AI513" s="87" t="b">
        <v>0</v>
      </c>
      <c r="AJ513" s="87"/>
      <c r="AK513" s="87"/>
      <c r="AL513" s="87"/>
      <c r="AM513" s="87"/>
      <c r="AN513" s="87"/>
      <c r="AO513" s="87"/>
      <c r="AP513" s="87"/>
      <c r="AQ513" s="87"/>
      <c r="AR513" s="87"/>
      <c r="AS513" s="87"/>
      <c r="AT513" s="87"/>
      <c r="AU513" s="87"/>
      <c r="AV513" s="92" t="str">
        <f>HYPERLINK("https://pbs.twimg.com/profile_images/1499873180210667520/pGuGnc4G_normal.jpg")</f>
        <v>https://pbs.twimg.com/profile_images/1499873180210667520/pGuGnc4G_normal.jpg</v>
      </c>
      <c r="AW513" s="93" t="s">
        <v>18763</v>
      </c>
      <c r="AX513" s="93" t="s">
        <v>18763</v>
      </c>
      <c r="AY513" s="87"/>
      <c r="AZ513" s="93" t="s">
        <v>22668</v>
      </c>
      <c r="BA513" s="93" t="s">
        <v>22668</v>
      </c>
      <c r="BB513" s="93" t="s">
        <v>22668</v>
      </c>
      <c r="BC513" s="93" t="s">
        <v>18763</v>
      </c>
      <c r="BD513" s="87">
        <v>149992574</v>
      </c>
      <c r="BE513" s="87"/>
      <c r="BF513" s="87"/>
      <c r="BG513" s="87"/>
      <c r="BH513" s="87"/>
      <c r="BI513" s="87"/>
    </row>
    <row r="514" spans="1:61" x14ac:dyDescent="0.25">
      <c r="A514" s="63" t="s">
        <v>390</v>
      </c>
      <c r="B514" s="63" t="s">
        <v>390</v>
      </c>
      <c r="C514" s="64"/>
      <c r="D514" s="65"/>
      <c r="E514" s="66"/>
      <c r="F514" s="67"/>
      <c r="G514" s="64"/>
      <c r="H514" s="68"/>
      <c r="I514" s="69"/>
      <c r="J514" s="69"/>
      <c r="K514" s="32"/>
      <c r="L514" s="76">
        <v>514</v>
      </c>
      <c r="M514" s="76"/>
      <c r="N514" s="71"/>
      <c r="O514" s="87" t="s">
        <v>179</v>
      </c>
      <c r="P514" s="90">
        <v>45196.624074074076</v>
      </c>
      <c r="Q514" s="87" t="s">
        <v>2344</v>
      </c>
      <c r="R514" s="87">
        <v>0</v>
      </c>
      <c r="S514" s="87">
        <v>0</v>
      </c>
      <c r="T514" s="87">
        <v>0</v>
      </c>
      <c r="U514" s="87">
        <v>0</v>
      </c>
      <c r="V514" s="87">
        <v>7</v>
      </c>
      <c r="W514" s="93" t="s">
        <v>6199</v>
      </c>
      <c r="X514" s="87"/>
      <c r="Y514" s="87"/>
      <c r="Z514" s="87"/>
      <c r="AA514" s="87" t="s">
        <v>8972</v>
      </c>
      <c r="AB514" s="87" t="s">
        <v>11447</v>
      </c>
      <c r="AC514" s="93" t="s">
        <v>11458</v>
      </c>
      <c r="AD514" s="87" t="s">
        <v>11519</v>
      </c>
      <c r="AE514" s="92" t="str">
        <f>HYPERLINK("https://twitter.com/eduardoduka/status/1707047107088036019")</f>
        <v>https://twitter.com/eduardoduka/status/1707047107088036019</v>
      </c>
      <c r="AF514" s="90">
        <v>45196.624074074076</v>
      </c>
      <c r="AG514" s="99">
        <v>45196</v>
      </c>
      <c r="AH514" s="93" t="s">
        <v>12019</v>
      </c>
      <c r="AI514" s="87" t="b">
        <v>0</v>
      </c>
      <c r="AJ514" s="87"/>
      <c r="AK514" s="87"/>
      <c r="AL514" s="87"/>
      <c r="AM514" s="87"/>
      <c r="AN514" s="87"/>
      <c r="AO514" s="87"/>
      <c r="AP514" s="87"/>
      <c r="AQ514" s="87" t="s">
        <v>15785</v>
      </c>
      <c r="AR514" s="87">
        <v>80413</v>
      </c>
      <c r="AS514" s="87"/>
      <c r="AT514" s="87"/>
      <c r="AU514" s="87"/>
      <c r="AV514" s="92" t="str">
        <f>HYPERLINK("https://pbs.twimg.com/ext_tw_video_thumb/1707046975898525696/pu/img/vg0U80CpOpM83Pe5.jpg")</f>
        <v>https://pbs.twimg.com/ext_tw_video_thumb/1707046975898525696/pu/img/vg0U80CpOpM83Pe5.jpg</v>
      </c>
      <c r="AW514" s="93" t="s">
        <v>18764</v>
      </c>
      <c r="AX514" s="93" t="s">
        <v>18764</v>
      </c>
      <c r="AY514" s="87"/>
      <c r="AZ514" s="93" t="s">
        <v>22668</v>
      </c>
      <c r="BA514" s="93" t="s">
        <v>22668</v>
      </c>
      <c r="BB514" s="93" t="s">
        <v>22668</v>
      </c>
      <c r="BC514" s="93" t="s">
        <v>18764</v>
      </c>
      <c r="BD514" s="87">
        <v>149992574</v>
      </c>
      <c r="BE514" s="87"/>
      <c r="BF514" s="87"/>
      <c r="BG514" s="87"/>
      <c r="BH514" s="87"/>
      <c r="BI514" s="87"/>
    </row>
    <row r="515" spans="1:61" x14ac:dyDescent="0.25">
      <c r="A515" s="63" t="s">
        <v>390</v>
      </c>
      <c r="B515" s="63" t="s">
        <v>390</v>
      </c>
      <c r="C515" s="64"/>
      <c r="D515" s="65"/>
      <c r="E515" s="66"/>
      <c r="F515" s="67"/>
      <c r="G515" s="64"/>
      <c r="H515" s="68"/>
      <c r="I515" s="69"/>
      <c r="J515" s="69"/>
      <c r="K515" s="32"/>
      <c r="L515" s="76">
        <v>515</v>
      </c>
      <c r="M515" s="76"/>
      <c r="N515" s="71"/>
      <c r="O515" s="87" t="s">
        <v>179</v>
      </c>
      <c r="P515" s="90">
        <v>45195.612662037034</v>
      </c>
      <c r="Q515" s="87" t="s">
        <v>2345</v>
      </c>
      <c r="R515" s="87">
        <v>0</v>
      </c>
      <c r="S515" s="87">
        <v>0</v>
      </c>
      <c r="T515" s="87">
        <v>0</v>
      </c>
      <c r="U515" s="87">
        <v>0</v>
      </c>
      <c r="V515" s="87">
        <v>17</v>
      </c>
      <c r="W515" s="93" t="s">
        <v>6197</v>
      </c>
      <c r="X515" s="87"/>
      <c r="Y515" s="87"/>
      <c r="Z515" s="87"/>
      <c r="AA515" s="87" t="s">
        <v>8973</v>
      </c>
      <c r="AB515" s="87" t="s">
        <v>11447</v>
      </c>
      <c r="AC515" s="93" t="s">
        <v>11458</v>
      </c>
      <c r="AD515" s="87" t="s">
        <v>11519</v>
      </c>
      <c r="AE515" s="92" t="str">
        <f>HYPERLINK("https://twitter.com/eduardoduka/status/1706680584330727500")</f>
        <v>https://twitter.com/eduardoduka/status/1706680584330727500</v>
      </c>
      <c r="AF515" s="90">
        <v>45195.612662037034</v>
      </c>
      <c r="AG515" s="99">
        <v>45195</v>
      </c>
      <c r="AH515" s="93" t="s">
        <v>12020</v>
      </c>
      <c r="AI515" s="87" t="b">
        <v>0</v>
      </c>
      <c r="AJ515" s="87"/>
      <c r="AK515" s="87"/>
      <c r="AL515" s="87"/>
      <c r="AM515" s="87"/>
      <c r="AN515" s="87"/>
      <c r="AO515" s="87"/>
      <c r="AP515" s="87"/>
      <c r="AQ515" s="87" t="s">
        <v>15786</v>
      </c>
      <c r="AR515" s="87">
        <v>77543</v>
      </c>
      <c r="AS515" s="87"/>
      <c r="AT515" s="87"/>
      <c r="AU515" s="87"/>
      <c r="AV515" s="92" t="str">
        <f>HYPERLINK("https://pbs.twimg.com/ext_tw_video_thumb/1706680469620711425/pu/img/nSSkwxdC5aOogGnr.jpg")</f>
        <v>https://pbs.twimg.com/ext_tw_video_thumb/1706680469620711425/pu/img/nSSkwxdC5aOogGnr.jpg</v>
      </c>
      <c r="AW515" s="93" t="s">
        <v>18765</v>
      </c>
      <c r="AX515" s="93" t="s">
        <v>18765</v>
      </c>
      <c r="AY515" s="87"/>
      <c r="AZ515" s="93" t="s">
        <v>22668</v>
      </c>
      <c r="BA515" s="93" t="s">
        <v>22668</v>
      </c>
      <c r="BB515" s="93" t="s">
        <v>22668</v>
      </c>
      <c r="BC515" s="93" t="s">
        <v>18765</v>
      </c>
      <c r="BD515" s="87">
        <v>149992574</v>
      </c>
      <c r="BE515" s="87"/>
      <c r="BF515" s="87"/>
      <c r="BG515" s="87"/>
      <c r="BH515" s="87"/>
      <c r="BI515" s="87"/>
    </row>
    <row r="516" spans="1:61" x14ac:dyDescent="0.25">
      <c r="A516" s="63" t="s">
        <v>390</v>
      </c>
      <c r="B516" s="63" t="s">
        <v>390</v>
      </c>
      <c r="C516" s="64"/>
      <c r="D516" s="65"/>
      <c r="E516" s="66"/>
      <c r="F516" s="67"/>
      <c r="G516" s="64"/>
      <c r="H516" s="68"/>
      <c r="I516" s="69"/>
      <c r="J516" s="69"/>
      <c r="K516" s="32"/>
      <c r="L516" s="76">
        <v>516</v>
      </c>
      <c r="M516" s="76"/>
      <c r="N516" s="71"/>
      <c r="O516" s="87" t="s">
        <v>179</v>
      </c>
      <c r="P516" s="90">
        <v>45194.668865740743</v>
      </c>
      <c r="Q516" s="87" t="s">
        <v>2346</v>
      </c>
      <c r="R516" s="87">
        <v>0</v>
      </c>
      <c r="S516" s="87">
        <v>0</v>
      </c>
      <c r="T516" s="87">
        <v>0</v>
      </c>
      <c r="U516" s="87">
        <v>0</v>
      </c>
      <c r="V516" s="87">
        <v>11</v>
      </c>
      <c r="W516" s="93" t="s">
        <v>6197</v>
      </c>
      <c r="X516" s="87"/>
      <c r="Y516" s="87"/>
      <c r="Z516" s="87"/>
      <c r="AA516" s="87" t="s">
        <v>8974</v>
      </c>
      <c r="AB516" s="87" t="s">
        <v>11447</v>
      </c>
      <c r="AC516" s="93" t="s">
        <v>11458</v>
      </c>
      <c r="AD516" s="87" t="s">
        <v>11519</v>
      </c>
      <c r="AE516" s="92" t="str">
        <f>HYPERLINK("https://twitter.com/eduardoduka/status/1706338562201751683")</f>
        <v>https://twitter.com/eduardoduka/status/1706338562201751683</v>
      </c>
      <c r="AF516" s="90">
        <v>45194.668865740743</v>
      </c>
      <c r="AG516" s="99">
        <v>45194</v>
      </c>
      <c r="AH516" s="93" t="s">
        <v>12021</v>
      </c>
      <c r="AI516" s="87" t="b">
        <v>0</v>
      </c>
      <c r="AJ516" s="87"/>
      <c r="AK516" s="87"/>
      <c r="AL516" s="87"/>
      <c r="AM516" s="87"/>
      <c r="AN516" s="87"/>
      <c r="AO516" s="87"/>
      <c r="AP516" s="87"/>
      <c r="AQ516" s="87" t="s">
        <v>15787</v>
      </c>
      <c r="AR516" s="87">
        <v>76710</v>
      </c>
      <c r="AS516" s="87"/>
      <c r="AT516" s="87"/>
      <c r="AU516" s="87"/>
      <c r="AV516" s="92" t="str">
        <f>HYPERLINK("https://pbs.twimg.com/ext_tw_video_thumb/1706338431549276160/pu/img/sKMyNyLLNYckIIEf.jpg")</f>
        <v>https://pbs.twimg.com/ext_tw_video_thumb/1706338431549276160/pu/img/sKMyNyLLNYckIIEf.jpg</v>
      </c>
      <c r="AW516" s="93" t="s">
        <v>18766</v>
      </c>
      <c r="AX516" s="93" t="s">
        <v>18766</v>
      </c>
      <c r="AY516" s="87"/>
      <c r="AZ516" s="93" t="s">
        <v>22668</v>
      </c>
      <c r="BA516" s="93" t="s">
        <v>22668</v>
      </c>
      <c r="BB516" s="93" t="s">
        <v>22668</v>
      </c>
      <c r="BC516" s="93" t="s">
        <v>18766</v>
      </c>
      <c r="BD516" s="87">
        <v>149992574</v>
      </c>
      <c r="BE516" s="87"/>
      <c r="BF516" s="87"/>
      <c r="BG516" s="87"/>
      <c r="BH516" s="87"/>
      <c r="BI516" s="87"/>
    </row>
    <row r="517" spans="1:61" x14ac:dyDescent="0.25">
      <c r="A517" s="63" t="s">
        <v>390</v>
      </c>
      <c r="B517" s="63" t="s">
        <v>390</v>
      </c>
      <c r="C517" s="64"/>
      <c r="D517" s="65"/>
      <c r="E517" s="66"/>
      <c r="F517" s="67"/>
      <c r="G517" s="64"/>
      <c r="H517" s="68"/>
      <c r="I517" s="69"/>
      <c r="J517" s="69"/>
      <c r="K517" s="32"/>
      <c r="L517" s="76">
        <v>517</v>
      </c>
      <c r="M517" s="76"/>
      <c r="N517" s="71"/>
      <c r="O517" s="87" t="s">
        <v>179</v>
      </c>
      <c r="P517" s="90">
        <v>45192.931597222225</v>
      </c>
      <c r="Q517" s="87" t="s">
        <v>2347</v>
      </c>
      <c r="R517" s="87">
        <v>0</v>
      </c>
      <c r="S517" s="87">
        <v>1</v>
      </c>
      <c r="T517" s="87">
        <v>0</v>
      </c>
      <c r="U517" s="87">
        <v>0</v>
      </c>
      <c r="V517" s="87">
        <v>15</v>
      </c>
      <c r="W517" s="93" t="s">
        <v>6197</v>
      </c>
      <c r="X517" s="87"/>
      <c r="Y517" s="87"/>
      <c r="Z517" s="87"/>
      <c r="AA517" s="87" t="s">
        <v>8975</v>
      </c>
      <c r="AB517" s="87" t="s">
        <v>11447</v>
      </c>
      <c r="AC517" s="93" t="s">
        <v>11458</v>
      </c>
      <c r="AD517" s="87" t="s">
        <v>11519</v>
      </c>
      <c r="AE517" s="92" t="str">
        <f>HYPERLINK("https://twitter.com/eduardoduka/status/1705709000371683800")</f>
        <v>https://twitter.com/eduardoduka/status/1705709000371683800</v>
      </c>
      <c r="AF517" s="90">
        <v>45192.931597222225</v>
      </c>
      <c r="AG517" s="99">
        <v>45192</v>
      </c>
      <c r="AH517" s="93" t="s">
        <v>12022</v>
      </c>
      <c r="AI517" s="87" t="b">
        <v>0</v>
      </c>
      <c r="AJ517" s="87"/>
      <c r="AK517" s="87"/>
      <c r="AL517" s="87"/>
      <c r="AM517" s="87"/>
      <c r="AN517" s="87"/>
      <c r="AO517" s="87"/>
      <c r="AP517" s="87"/>
      <c r="AQ517" s="87" t="s">
        <v>15788</v>
      </c>
      <c r="AR517" s="87">
        <v>64598</v>
      </c>
      <c r="AS517" s="87"/>
      <c r="AT517" s="87"/>
      <c r="AU517" s="87"/>
      <c r="AV517" s="92" t="str">
        <f>HYPERLINK("https://pbs.twimg.com/ext_tw_video_thumb/1705708893215571968/pu/img/QbTdCIcJzzwu1L9s.jpg")</f>
        <v>https://pbs.twimg.com/ext_tw_video_thumb/1705708893215571968/pu/img/QbTdCIcJzzwu1L9s.jpg</v>
      </c>
      <c r="AW517" s="93" t="s">
        <v>18767</v>
      </c>
      <c r="AX517" s="93" t="s">
        <v>18767</v>
      </c>
      <c r="AY517" s="87"/>
      <c r="AZ517" s="93" t="s">
        <v>22668</v>
      </c>
      <c r="BA517" s="93" t="s">
        <v>22668</v>
      </c>
      <c r="BB517" s="93" t="s">
        <v>22668</v>
      </c>
      <c r="BC517" s="93" t="s">
        <v>18767</v>
      </c>
      <c r="BD517" s="87">
        <v>149992574</v>
      </c>
      <c r="BE517" s="87"/>
      <c r="BF517" s="87"/>
      <c r="BG517" s="87"/>
      <c r="BH517" s="87"/>
      <c r="BI517" s="87"/>
    </row>
    <row r="518" spans="1:61" x14ac:dyDescent="0.25">
      <c r="A518" s="63" t="s">
        <v>390</v>
      </c>
      <c r="B518" s="63" t="s">
        <v>390</v>
      </c>
      <c r="C518" s="64"/>
      <c r="D518" s="65"/>
      <c r="E518" s="66"/>
      <c r="F518" s="67"/>
      <c r="G518" s="64"/>
      <c r="H518" s="68"/>
      <c r="I518" s="69"/>
      <c r="J518" s="69"/>
      <c r="K518" s="32"/>
      <c r="L518" s="76">
        <v>518</v>
      </c>
      <c r="M518" s="76"/>
      <c r="N518" s="71"/>
      <c r="O518" s="87" t="s">
        <v>179</v>
      </c>
      <c r="P518" s="90">
        <v>45181.625162037039</v>
      </c>
      <c r="Q518" s="87" t="s">
        <v>2348</v>
      </c>
      <c r="R518" s="87">
        <v>0</v>
      </c>
      <c r="S518" s="87">
        <v>0</v>
      </c>
      <c r="T518" s="87">
        <v>0</v>
      </c>
      <c r="U518" s="87">
        <v>0</v>
      </c>
      <c r="V518" s="87">
        <v>12</v>
      </c>
      <c r="W518" s="93" t="s">
        <v>6197</v>
      </c>
      <c r="X518" s="87"/>
      <c r="Y518" s="87"/>
      <c r="Z518" s="87"/>
      <c r="AA518" s="87" t="s">
        <v>8976</v>
      </c>
      <c r="AB518" s="87" t="s">
        <v>11447</v>
      </c>
      <c r="AC518" s="93" t="s">
        <v>11458</v>
      </c>
      <c r="AD518" s="87" t="s">
        <v>11519</v>
      </c>
      <c r="AE518" s="92" t="str">
        <f>HYPERLINK("https://twitter.com/eduardoduka/status/1701611682689372537")</f>
        <v>https://twitter.com/eduardoduka/status/1701611682689372537</v>
      </c>
      <c r="AF518" s="90">
        <v>45181.625162037039</v>
      </c>
      <c r="AG518" s="99">
        <v>45181</v>
      </c>
      <c r="AH518" s="93" t="s">
        <v>12023</v>
      </c>
      <c r="AI518" s="87" t="b">
        <v>0</v>
      </c>
      <c r="AJ518" s="87"/>
      <c r="AK518" s="87"/>
      <c r="AL518" s="87"/>
      <c r="AM518" s="87"/>
      <c r="AN518" s="87"/>
      <c r="AO518" s="87"/>
      <c r="AP518" s="87"/>
      <c r="AQ518" s="87" t="s">
        <v>15789</v>
      </c>
      <c r="AR518" s="87">
        <v>79880</v>
      </c>
      <c r="AS518" s="87"/>
      <c r="AT518" s="87"/>
      <c r="AU518" s="87"/>
      <c r="AV518" s="92" t="str">
        <f>HYPERLINK("https://pbs.twimg.com/ext_tw_video_thumb/1701611537797132288/pu/img/NbqfqJvVLSw2HfoJ.jpg")</f>
        <v>https://pbs.twimg.com/ext_tw_video_thumb/1701611537797132288/pu/img/NbqfqJvVLSw2HfoJ.jpg</v>
      </c>
      <c r="AW518" s="93" t="s">
        <v>18768</v>
      </c>
      <c r="AX518" s="93" t="s">
        <v>18768</v>
      </c>
      <c r="AY518" s="87"/>
      <c r="AZ518" s="93" t="s">
        <v>22668</v>
      </c>
      <c r="BA518" s="93" t="s">
        <v>22668</v>
      </c>
      <c r="BB518" s="93" t="s">
        <v>22668</v>
      </c>
      <c r="BC518" s="93" t="s">
        <v>18768</v>
      </c>
      <c r="BD518" s="87">
        <v>149992574</v>
      </c>
      <c r="BE518" s="87"/>
      <c r="BF518" s="87"/>
      <c r="BG518" s="87"/>
      <c r="BH518" s="87"/>
      <c r="BI518" s="87"/>
    </row>
    <row r="519" spans="1:61" x14ac:dyDescent="0.25">
      <c r="A519" s="63" t="s">
        <v>390</v>
      </c>
      <c r="B519" s="63" t="s">
        <v>390</v>
      </c>
      <c r="C519" s="64"/>
      <c r="D519" s="65"/>
      <c r="E519" s="66"/>
      <c r="F519" s="67"/>
      <c r="G519" s="64"/>
      <c r="H519" s="68"/>
      <c r="I519" s="69"/>
      <c r="J519" s="69"/>
      <c r="K519" s="32"/>
      <c r="L519" s="76">
        <v>519</v>
      </c>
      <c r="M519" s="76"/>
      <c r="N519" s="71"/>
      <c r="O519" s="87" t="s">
        <v>179</v>
      </c>
      <c r="P519" s="90">
        <v>45174.599143518521</v>
      </c>
      <c r="Q519" s="87" t="s">
        <v>2349</v>
      </c>
      <c r="R519" s="87">
        <v>0</v>
      </c>
      <c r="S519" s="87">
        <v>1</v>
      </c>
      <c r="T519" s="87">
        <v>0</v>
      </c>
      <c r="U519" s="87">
        <v>0</v>
      </c>
      <c r="V519" s="87">
        <v>26</v>
      </c>
      <c r="W519" s="93" t="s">
        <v>6197</v>
      </c>
      <c r="X519" s="87"/>
      <c r="Y519" s="87"/>
      <c r="Z519" s="87"/>
      <c r="AA519" s="87" t="s">
        <v>8977</v>
      </c>
      <c r="AB519" s="87" t="s">
        <v>11447</v>
      </c>
      <c r="AC519" s="93" t="s">
        <v>11458</v>
      </c>
      <c r="AD519" s="87" t="s">
        <v>11519</v>
      </c>
      <c r="AE519" s="92" t="str">
        <f>HYPERLINK("https://twitter.com/eduardoduka/status/1699065540952936518")</f>
        <v>https://twitter.com/eduardoduka/status/1699065540952936518</v>
      </c>
      <c r="AF519" s="90">
        <v>45174.599143518521</v>
      </c>
      <c r="AG519" s="99">
        <v>45174</v>
      </c>
      <c r="AH519" s="93" t="s">
        <v>12024</v>
      </c>
      <c r="AI519" s="87" t="b">
        <v>0</v>
      </c>
      <c r="AJ519" s="87"/>
      <c r="AK519" s="87"/>
      <c r="AL519" s="87"/>
      <c r="AM519" s="87"/>
      <c r="AN519" s="87"/>
      <c r="AO519" s="87"/>
      <c r="AP519" s="87"/>
      <c r="AQ519" s="87" t="s">
        <v>15790</v>
      </c>
      <c r="AR519" s="87">
        <v>30630</v>
      </c>
      <c r="AS519" s="87"/>
      <c r="AT519" s="87"/>
      <c r="AU519" s="87"/>
      <c r="AV519" s="92" t="str">
        <f>HYPERLINK("https://pbs.twimg.com/ext_tw_video_thumb/1699065436934209537/pu/img/IkaAfPcIWq5nsYiG.jpg")</f>
        <v>https://pbs.twimg.com/ext_tw_video_thumb/1699065436934209537/pu/img/IkaAfPcIWq5nsYiG.jpg</v>
      </c>
      <c r="AW519" s="93" t="s">
        <v>18769</v>
      </c>
      <c r="AX519" s="93" t="s">
        <v>18769</v>
      </c>
      <c r="AY519" s="87"/>
      <c r="AZ519" s="93" t="s">
        <v>22668</v>
      </c>
      <c r="BA519" s="93" t="s">
        <v>22668</v>
      </c>
      <c r="BB519" s="93" t="s">
        <v>22668</v>
      </c>
      <c r="BC519" s="93" t="s">
        <v>18769</v>
      </c>
      <c r="BD519" s="87">
        <v>149992574</v>
      </c>
      <c r="BE519" s="87"/>
      <c r="BF519" s="87"/>
      <c r="BG519" s="87"/>
      <c r="BH519" s="87"/>
      <c r="BI519" s="87"/>
    </row>
    <row r="520" spans="1:61" x14ac:dyDescent="0.25">
      <c r="A520" s="63" t="s">
        <v>390</v>
      </c>
      <c r="B520" s="63" t="s">
        <v>390</v>
      </c>
      <c r="C520" s="64"/>
      <c r="D520" s="65"/>
      <c r="E520" s="66"/>
      <c r="F520" s="67"/>
      <c r="G520" s="64"/>
      <c r="H520" s="68"/>
      <c r="I520" s="69"/>
      <c r="J520" s="69"/>
      <c r="K520" s="32"/>
      <c r="L520" s="76">
        <v>520</v>
      </c>
      <c r="M520" s="76"/>
      <c r="N520" s="71"/>
      <c r="O520" s="87" t="s">
        <v>179</v>
      </c>
      <c r="P520" s="90">
        <v>45166.617581018516</v>
      </c>
      <c r="Q520" s="87" t="s">
        <v>2350</v>
      </c>
      <c r="R520" s="87">
        <v>0</v>
      </c>
      <c r="S520" s="87">
        <v>4</v>
      </c>
      <c r="T520" s="87">
        <v>0</v>
      </c>
      <c r="U520" s="87">
        <v>0</v>
      </c>
      <c r="V520" s="87">
        <v>85</v>
      </c>
      <c r="W520" s="93" t="s">
        <v>6197</v>
      </c>
      <c r="X520" s="87"/>
      <c r="Y520" s="87"/>
      <c r="Z520" s="87"/>
      <c r="AA520" s="87" t="s">
        <v>8978</v>
      </c>
      <c r="AB520" s="87" t="s">
        <v>11447</v>
      </c>
      <c r="AC520" s="93" t="s">
        <v>11458</v>
      </c>
      <c r="AD520" s="87" t="s">
        <v>11519</v>
      </c>
      <c r="AE520" s="92" t="str">
        <f>HYPERLINK("https://twitter.com/eduardoduka/status/1696173120359456975")</f>
        <v>https://twitter.com/eduardoduka/status/1696173120359456975</v>
      </c>
      <c r="AF520" s="90">
        <v>45166.617581018516</v>
      </c>
      <c r="AG520" s="99">
        <v>45166</v>
      </c>
      <c r="AH520" s="93" t="s">
        <v>12025</v>
      </c>
      <c r="AI520" s="87" t="b">
        <v>0</v>
      </c>
      <c r="AJ520" s="87"/>
      <c r="AK520" s="87"/>
      <c r="AL520" s="87"/>
      <c r="AM520" s="87"/>
      <c r="AN520" s="87"/>
      <c r="AO520" s="87"/>
      <c r="AP520" s="87"/>
      <c r="AQ520" s="87" t="s">
        <v>15791</v>
      </c>
      <c r="AR520" s="87">
        <v>76976</v>
      </c>
      <c r="AS520" s="87"/>
      <c r="AT520" s="87"/>
      <c r="AU520" s="87"/>
      <c r="AV520" s="92" t="str">
        <f>HYPERLINK("https://pbs.twimg.com/ext_tw_video_thumb/1696172983788732417/pu/img/GDPFZoy0BXKVJjVt.jpg")</f>
        <v>https://pbs.twimg.com/ext_tw_video_thumb/1696172983788732417/pu/img/GDPFZoy0BXKVJjVt.jpg</v>
      </c>
      <c r="AW520" s="93" t="s">
        <v>18770</v>
      </c>
      <c r="AX520" s="93" t="s">
        <v>18770</v>
      </c>
      <c r="AY520" s="87"/>
      <c r="AZ520" s="93" t="s">
        <v>22668</v>
      </c>
      <c r="BA520" s="93" t="s">
        <v>22668</v>
      </c>
      <c r="BB520" s="93" t="s">
        <v>22668</v>
      </c>
      <c r="BC520" s="93" t="s">
        <v>18770</v>
      </c>
      <c r="BD520" s="87">
        <v>149992574</v>
      </c>
      <c r="BE520" s="87"/>
      <c r="BF520" s="87"/>
      <c r="BG520" s="87"/>
      <c r="BH520" s="87"/>
      <c r="BI520" s="87"/>
    </row>
    <row r="521" spans="1:61" x14ac:dyDescent="0.25">
      <c r="A521" s="63" t="s">
        <v>390</v>
      </c>
      <c r="B521" s="63" t="s">
        <v>390</v>
      </c>
      <c r="C521" s="64"/>
      <c r="D521" s="65"/>
      <c r="E521" s="66"/>
      <c r="F521" s="67"/>
      <c r="G521" s="64"/>
      <c r="H521" s="68"/>
      <c r="I521" s="69"/>
      <c r="J521" s="69"/>
      <c r="K521" s="32"/>
      <c r="L521" s="76">
        <v>521</v>
      </c>
      <c r="M521" s="76"/>
      <c r="N521" s="71"/>
      <c r="O521" s="87" t="s">
        <v>179</v>
      </c>
      <c r="P521" s="90">
        <v>45153.608611111114</v>
      </c>
      <c r="Q521" s="87" t="s">
        <v>2351</v>
      </c>
      <c r="R521" s="87">
        <v>0</v>
      </c>
      <c r="S521" s="87">
        <v>0</v>
      </c>
      <c r="T521" s="87">
        <v>0</v>
      </c>
      <c r="U521" s="87">
        <v>0</v>
      </c>
      <c r="V521" s="87">
        <v>21</v>
      </c>
      <c r="W521" s="93" t="s">
        <v>6198</v>
      </c>
      <c r="X521" s="92" t="str">
        <f>HYPERLINK("https://vm.tiktok.com/ZM2KSqUcb/")</f>
        <v>https://vm.tiktok.com/ZM2KSqUcb/</v>
      </c>
      <c r="Y521" s="87" t="s">
        <v>8398</v>
      </c>
      <c r="Z521" s="87"/>
      <c r="AA521" s="87"/>
      <c r="AB521" s="87"/>
      <c r="AC521" s="93" t="s">
        <v>11458</v>
      </c>
      <c r="AD521" s="87" t="s">
        <v>11519</v>
      </c>
      <c r="AE521" s="92" t="str">
        <f>HYPERLINK("https://twitter.com/eduardoduka/status/1691458824492990464")</f>
        <v>https://twitter.com/eduardoduka/status/1691458824492990464</v>
      </c>
      <c r="AF521" s="90">
        <v>45153.608611111114</v>
      </c>
      <c r="AG521" s="99">
        <v>45153</v>
      </c>
      <c r="AH521" s="93" t="s">
        <v>12026</v>
      </c>
      <c r="AI521" s="87" t="b">
        <v>0</v>
      </c>
      <c r="AJ521" s="87"/>
      <c r="AK521" s="87"/>
      <c r="AL521" s="87"/>
      <c r="AM521" s="87"/>
      <c r="AN521" s="87"/>
      <c r="AO521" s="87"/>
      <c r="AP521" s="87"/>
      <c r="AQ521" s="87"/>
      <c r="AR521" s="87"/>
      <c r="AS521" s="87"/>
      <c r="AT521" s="87"/>
      <c r="AU521" s="87"/>
      <c r="AV521" s="92" t="str">
        <f>HYPERLINK("https://pbs.twimg.com/profile_images/1499873180210667520/pGuGnc4G_normal.jpg")</f>
        <v>https://pbs.twimg.com/profile_images/1499873180210667520/pGuGnc4G_normal.jpg</v>
      </c>
      <c r="AW521" s="93" t="s">
        <v>18771</v>
      </c>
      <c r="AX521" s="93" t="s">
        <v>18771</v>
      </c>
      <c r="AY521" s="87"/>
      <c r="AZ521" s="93" t="s">
        <v>22668</v>
      </c>
      <c r="BA521" s="93" t="s">
        <v>22668</v>
      </c>
      <c r="BB521" s="93" t="s">
        <v>22668</v>
      </c>
      <c r="BC521" s="93" t="s">
        <v>18771</v>
      </c>
      <c r="BD521" s="87">
        <v>149992574</v>
      </c>
      <c r="BE521" s="87"/>
      <c r="BF521" s="87"/>
      <c r="BG521" s="87"/>
      <c r="BH521" s="87"/>
      <c r="BI521" s="87"/>
    </row>
    <row r="522" spans="1:61" x14ac:dyDescent="0.25">
      <c r="A522" s="63" t="s">
        <v>390</v>
      </c>
      <c r="B522" s="63" t="s">
        <v>390</v>
      </c>
      <c r="C522" s="64"/>
      <c r="D522" s="65"/>
      <c r="E522" s="66"/>
      <c r="F522" s="67"/>
      <c r="G522" s="64"/>
      <c r="H522" s="68"/>
      <c r="I522" s="69"/>
      <c r="J522" s="69"/>
      <c r="K522" s="32"/>
      <c r="L522" s="76">
        <v>522</v>
      </c>
      <c r="M522" s="76"/>
      <c r="N522" s="71"/>
      <c r="O522" s="87" t="s">
        <v>179</v>
      </c>
      <c r="P522" s="90">
        <v>45152.646620370368</v>
      </c>
      <c r="Q522" s="87" t="s">
        <v>2352</v>
      </c>
      <c r="R522" s="87">
        <v>0</v>
      </c>
      <c r="S522" s="87">
        <v>0</v>
      </c>
      <c r="T522" s="87">
        <v>0</v>
      </c>
      <c r="U522" s="87">
        <v>0</v>
      </c>
      <c r="V522" s="87">
        <v>18</v>
      </c>
      <c r="W522" s="93" t="s">
        <v>6198</v>
      </c>
      <c r="X522" s="92" t="str">
        <f>HYPERLINK("https://vm.tiktok.com/ZM2wn2uQ3/")</f>
        <v>https://vm.tiktok.com/ZM2wn2uQ3/</v>
      </c>
      <c r="Y522" s="87" t="s">
        <v>8398</v>
      </c>
      <c r="Z522" s="87"/>
      <c r="AA522" s="87"/>
      <c r="AB522" s="87"/>
      <c r="AC522" s="93" t="s">
        <v>11458</v>
      </c>
      <c r="AD522" s="87" t="s">
        <v>11519</v>
      </c>
      <c r="AE522" s="92" t="str">
        <f>HYPERLINK("https://twitter.com/eduardoduka/status/1691110213817159681")</f>
        <v>https://twitter.com/eduardoduka/status/1691110213817159681</v>
      </c>
      <c r="AF522" s="90">
        <v>45152.646620370368</v>
      </c>
      <c r="AG522" s="99">
        <v>45152</v>
      </c>
      <c r="AH522" s="93" t="s">
        <v>12027</v>
      </c>
      <c r="AI522" s="87" t="b">
        <v>0</v>
      </c>
      <c r="AJ522" s="87"/>
      <c r="AK522" s="87"/>
      <c r="AL522" s="87"/>
      <c r="AM522" s="87"/>
      <c r="AN522" s="87"/>
      <c r="AO522" s="87"/>
      <c r="AP522" s="87"/>
      <c r="AQ522" s="87"/>
      <c r="AR522" s="87"/>
      <c r="AS522" s="87"/>
      <c r="AT522" s="87"/>
      <c r="AU522" s="87"/>
      <c r="AV522" s="92" t="str">
        <f>HYPERLINK("https://pbs.twimg.com/profile_images/1499873180210667520/pGuGnc4G_normal.jpg")</f>
        <v>https://pbs.twimg.com/profile_images/1499873180210667520/pGuGnc4G_normal.jpg</v>
      </c>
      <c r="AW522" s="93" t="s">
        <v>18772</v>
      </c>
      <c r="AX522" s="93" t="s">
        <v>18772</v>
      </c>
      <c r="AY522" s="87"/>
      <c r="AZ522" s="93" t="s">
        <v>22668</v>
      </c>
      <c r="BA522" s="93" t="s">
        <v>22668</v>
      </c>
      <c r="BB522" s="93" t="s">
        <v>22668</v>
      </c>
      <c r="BC522" s="93" t="s">
        <v>18772</v>
      </c>
      <c r="BD522" s="87">
        <v>149992574</v>
      </c>
      <c r="BE522" s="87"/>
      <c r="BF522" s="87"/>
      <c r="BG522" s="87"/>
      <c r="BH522" s="87"/>
      <c r="BI522" s="87"/>
    </row>
    <row r="523" spans="1:61" x14ac:dyDescent="0.25">
      <c r="A523" s="63" t="s">
        <v>390</v>
      </c>
      <c r="B523" s="63" t="s">
        <v>390</v>
      </c>
      <c r="C523" s="64"/>
      <c r="D523" s="65"/>
      <c r="E523" s="66"/>
      <c r="F523" s="67"/>
      <c r="G523" s="64"/>
      <c r="H523" s="68"/>
      <c r="I523" s="69"/>
      <c r="J523" s="69"/>
      <c r="K523" s="32"/>
      <c r="L523" s="76">
        <v>523</v>
      </c>
      <c r="M523" s="76"/>
      <c r="N523" s="71"/>
      <c r="O523" s="87" t="s">
        <v>179</v>
      </c>
      <c r="P523" s="90">
        <v>45139.606805555559</v>
      </c>
      <c r="Q523" s="87" t="s">
        <v>2353</v>
      </c>
      <c r="R523" s="87">
        <v>0</v>
      </c>
      <c r="S523" s="87">
        <v>0</v>
      </c>
      <c r="T523" s="87">
        <v>0</v>
      </c>
      <c r="U523" s="87">
        <v>0</v>
      </c>
      <c r="V523" s="87">
        <v>13</v>
      </c>
      <c r="W523" s="93" t="s">
        <v>6198</v>
      </c>
      <c r="X523" s="92" t="str">
        <f>HYPERLINK("https://vm.tiktok.com/ZM2tPT83e/")</f>
        <v>https://vm.tiktok.com/ZM2tPT83e/</v>
      </c>
      <c r="Y523" s="87" t="s">
        <v>8398</v>
      </c>
      <c r="Z523" s="87"/>
      <c r="AA523" s="87"/>
      <c r="AB523" s="87"/>
      <c r="AC523" s="93" t="s">
        <v>11458</v>
      </c>
      <c r="AD523" s="87" t="s">
        <v>11519</v>
      </c>
      <c r="AE523" s="92" t="str">
        <f>HYPERLINK("https://twitter.com/eduardoduka/status/1686384741074042880")</f>
        <v>https://twitter.com/eduardoduka/status/1686384741074042880</v>
      </c>
      <c r="AF523" s="90">
        <v>45139.606805555559</v>
      </c>
      <c r="AG523" s="99">
        <v>45139</v>
      </c>
      <c r="AH523" s="93" t="s">
        <v>12028</v>
      </c>
      <c r="AI523" s="87" t="b">
        <v>0</v>
      </c>
      <c r="AJ523" s="87"/>
      <c r="AK523" s="87"/>
      <c r="AL523" s="87"/>
      <c r="AM523" s="87"/>
      <c r="AN523" s="87"/>
      <c r="AO523" s="87"/>
      <c r="AP523" s="87"/>
      <c r="AQ523" s="87"/>
      <c r="AR523" s="87"/>
      <c r="AS523" s="87"/>
      <c r="AT523" s="87"/>
      <c r="AU523" s="87"/>
      <c r="AV523" s="92" t="str">
        <f>HYPERLINK("https://pbs.twimg.com/profile_images/1499873180210667520/pGuGnc4G_normal.jpg")</f>
        <v>https://pbs.twimg.com/profile_images/1499873180210667520/pGuGnc4G_normal.jpg</v>
      </c>
      <c r="AW523" s="93" t="s">
        <v>18773</v>
      </c>
      <c r="AX523" s="93" t="s">
        <v>18773</v>
      </c>
      <c r="AY523" s="87"/>
      <c r="AZ523" s="93" t="s">
        <v>22668</v>
      </c>
      <c r="BA523" s="93" t="s">
        <v>22668</v>
      </c>
      <c r="BB523" s="93" t="s">
        <v>22668</v>
      </c>
      <c r="BC523" s="93" t="s">
        <v>18773</v>
      </c>
      <c r="BD523" s="87">
        <v>149992574</v>
      </c>
      <c r="BE523" s="87"/>
      <c r="BF523" s="87"/>
      <c r="BG523" s="87"/>
      <c r="BH523" s="87"/>
      <c r="BI523" s="87"/>
    </row>
    <row r="524" spans="1:61" x14ac:dyDescent="0.25">
      <c r="A524" s="63" t="s">
        <v>390</v>
      </c>
      <c r="B524" s="63" t="s">
        <v>390</v>
      </c>
      <c r="C524" s="64"/>
      <c r="D524" s="65"/>
      <c r="E524" s="66"/>
      <c r="F524" s="67"/>
      <c r="G524" s="64"/>
      <c r="H524" s="68"/>
      <c r="I524" s="69"/>
      <c r="J524" s="69"/>
      <c r="K524" s="32"/>
      <c r="L524" s="76">
        <v>524</v>
      </c>
      <c r="M524" s="76"/>
      <c r="N524" s="71"/>
      <c r="O524" s="87" t="s">
        <v>179</v>
      </c>
      <c r="P524" s="90">
        <v>45126.575578703705</v>
      </c>
      <c r="Q524" s="87" t="s">
        <v>2354</v>
      </c>
      <c r="R524" s="87">
        <v>0</v>
      </c>
      <c r="S524" s="87">
        <v>0</v>
      </c>
      <c r="T524" s="87">
        <v>0</v>
      </c>
      <c r="U524" s="87">
        <v>0</v>
      </c>
      <c r="V524" s="87">
        <v>8</v>
      </c>
      <c r="W524" s="93" t="s">
        <v>6198</v>
      </c>
      <c r="X524" s="92" t="str">
        <f>HYPERLINK("https://www.tiktok.com/t/ZM2V4Eyh7/")</f>
        <v>https://www.tiktok.com/t/ZM2V4Eyh7/</v>
      </c>
      <c r="Y524" s="87" t="s">
        <v>8398</v>
      </c>
      <c r="Z524" s="87"/>
      <c r="AA524" s="87"/>
      <c r="AB524" s="87"/>
      <c r="AC524" s="93" t="s">
        <v>11458</v>
      </c>
      <c r="AD524" s="87" t="s">
        <v>11519</v>
      </c>
      <c r="AE524" s="92" t="str">
        <f>HYPERLINK("https://twitter.com/eduardoduka/status/1681662383201165314")</f>
        <v>https://twitter.com/eduardoduka/status/1681662383201165314</v>
      </c>
      <c r="AF524" s="90">
        <v>45126.575578703705</v>
      </c>
      <c r="AG524" s="99">
        <v>45126</v>
      </c>
      <c r="AH524" s="93" t="s">
        <v>12029</v>
      </c>
      <c r="AI524" s="87" t="b">
        <v>0</v>
      </c>
      <c r="AJ524" s="87"/>
      <c r="AK524" s="87"/>
      <c r="AL524" s="87"/>
      <c r="AM524" s="87"/>
      <c r="AN524" s="87"/>
      <c r="AO524" s="87"/>
      <c r="AP524" s="87"/>
      <c r="AQ524" s="87"/>
      <c r="AR524" s="87"/>
      <c r="AS524" s="87"/>
      <c r="AT524" s="87"/>
      <c r="AU524" s="87"/>
      <c r="AV524" s="92" t="str">
        <f>HYPERLINK("https://pbs.twimg.com/profile_images/1499873180210667520/pGuGnc4G_normal.jpg")</f>
        <v>https://pbs.twimg.com/profile_images/1499873180210667520/pGuGnc4G_normal.jpg</v>
      </c>
      <c r="AW524" s="93" t="s">
        <v>18774</v>
      </c>
      <c r="AX524" s="93" t="s">
        <v>18774</v>
      </c>
      <c r="AY524" s="87"/>
      <c r="AZ524" s="93" t="s">
        <v>22668</v>
      </c>
      <c r="BA524" s="93" t="s">
        <v>22668</v>
      </c>
      <c r="BB524" s="93" t="s">
        <v>22668</v>
      </c>
      <c r="BC524" s="93" t="s">
        <v>18774</v>
      </c>
      <c r="BD524" s="87">
        <v>149992574</v>
      </c>
      <c r="BE524" s="87"/>
      <c r="BF524" s="87"/>
      <c r="BG524" s="87"/>
      <c r="BH524" s="87"/>
      <c r="BI524" s="87"/>
    </row>
    <row r="525" spans="1:61" x14ac:dyDescent="0.25">
      <c r="A525" s="63" t="s">
        <v>390</v>
      </c>
      <c r="B525" s="63" t="s">
        <v>390</v>
      </c>
      <c r="C525" s="64"/>
      <c r="D525" s="65"/>
      <c r="E525" s="66"/>
      <c r="F525" s="67"/>
      <c r="G525" s="64"/>
      <c r="H525" s="68"/>
      <c r="I525" s="69"/>
      <c r="J525" s="69"/>
      <c r="K525" s="32"/>
      <c r="L525" s="76">
        <v>525</v>
      </c>
      <c r="M525" s="76"/>
      <c r="N525" s="71"/>
      <c r="O525" s="87" t="s">
        <v>179</v>
      </c>
      <c r="P525" s="90">
        <v>45124.876423611109</v>
      </c>
      <c r="Q525" s="87" t="s">
        <v>2355</v>
      </c>
      <c r="R525" s="87">
        <v>0</v>
      </c>
      <c r="S525" s="87">
        <v>0</v>
      </c>
      <c r="T525" s="87">
        <v>0</v>
      </c>
      <c r="U525" s="87">
        <v>0</v>
      </c>
      <c r="V525" s="87">
        <v>18</v>
      </c>
      <c r="W525" s="93" t="s">
        <v>6198</v>
      </c>
      <c r="X525" s="92" t="str">
        <f>HYPERLINK("https://vm.tiktok.com/ZM244uGgd/")</f>
        <v>https://vm.tiktok.com/ZM244uGgd/</v>
      </c>
      <c r="Y525" s="87" t="s">
        <v>8398</v>
      </c>
      <c r="Z525" s="87"/>
      <c r="AA525" s="87"/>
      <c r="AB525" s="87"/>
      <c r="AC525" s="93" t="s">
        <v>11458</v>
      </c>
      <c r="AD525" s="87" t="s">
        <v>11519</v>
      </c>
      <c r="AE525" s="92" t="str">
        <f>HYPERLINK("https://twitter.com/eduardoduka/status/1681046631464984576")</f>
        <v>https://twitter.com/eduardoduka/status/1681046631464984576</v>
      </c>
      <c r="AF525" s="90">
        <v>45124.876423611109</v>
      </c>
      <c r="AG525" s="99">
        <v>45124</v>
      </c>
      <c r="AH525" s="93" t="s">
        <v>12030</v>
      </c>
      <c r="AI525" s="87" t="b">
        <v>0</v>
      </c>
      <c r="AJ525" s="87"/>
      <c r="AK525" s="87"/>
      <c r="AL525" s="87"/>
      <c r="AM525" s="87"/>
      <c r="AN525" s="87"/>
      <c r="AO525" s="87"/>
      <c r="AP525" s="87"/>
      <c r="AQ525" s="87"/>
      <c r="AR525" s="87"/>
      <c r="AS525" s="87"/>
      <c r="AT525" s="87"/>
      <c r="AU525" s="87"/>
      <c r="AV525" s="92" t="str">
        <f>HYPERLINK("https://pbs.twimg.com/profile_images/1499873180210667520/pGuGnc4G_normal.jpg")</f>
        <v>https://pbs.twimg.com/profile_images/1499873180210667520/pGuGnc4G_normal.jpg</v>
      </c>
      <c r="AW525" s="93" t="s">
        <v>18775</v>
      </c>
      <c r="AX525" s="93" t="s">
        <v>18775</v>
      </c>
      <c r="AY525" s="87"/>
      <c r="AZ525" s="93" t="s">
        <v>22668</v>
      </c>
      <c r="BA525" s="93" t="s">
        <v>22668</v>
      </c>
      <c r="BB525" s="93" t="s">
        <v>22668</v>
      </c>
      <c r="BC525" s="93" t="s">
        <v>18775</v>
      </c>
      <c r="BD525" s="87">
        <v>149992574</v>
      </c>
      <c r="BE525" s="87"/>
      <c r="BF525" s="87"/>
      <c r="BG525" s="87"/>
      <c r="BH525" s="87"/>
      <c r="BI525" s="87"/>
    </row>
    <row r="526" spans="1:61" x14ac:dyDescent="0.25">
      <c r="A526" s="63" t="s">
        <v>390</v>
      </c>
      <c r="B526" s="63" t="s">
        <v>390</v>
      </c>
      <c r="C526" s="64"/>
      <c r="D526" s="65"/>
      <c r="E526" s="66"/>
      <c r="F526" s="67"/>
      <c r="G526" s="64"/>
      <c r="H526" s="68"/>
      <c r="I526" s="69"/>
      <c r="J526" s="69"/>
      <c r="K526" s="32"/>
      <c r="L526" s="76">
        <v>526</v>
      </c>
      <c r="M526" s="76"/>
      <c r="N526" s="71"/>
      <c r="O526" s="87" t="s">
        <v>179</v>
      </c>
      <c r="P526" s="90">
        <v>45196.937951388885</v>
      </c>
      <c r="Q526" s="87" t="s">
        <v>2356</v>
      </c>
      <c r="R526" s="87">
        <v>0</v>
      </c>
      <c r="S526" s="87">
        <v>0</v>
      </c>
      <c r="T526" s="87">
        <v>0</v>
      </c>
      <c r="U526" s="87">
        <v>0</v>
      </c>
      <c r="V526" s="87">
        <v>5</v>
      </c>
      <c r="W526" s="93" t="s">
        <v>6197</v>
      </c>
      <c r="X526" s="87"/>
      <c r="Y526" s="87"/>
      <c r="Z526" s="87"/>
      <c r="AA526" s="87" t="s">
        <v>8979</v>
      </c>
      <c r="AB526" s="87" t="s">
        <v>11447</v>
      </c>
      <c r="AC526" s="93" t="s">
        <v>11458</v>
      </c>
      <c r="AD526" s="87" t="s">
        <v>11519</v>
      </c>
      <c r="AE526" s="92" t="str">
        <f>HYPERLINK("https://twitter.com/eduardoduka/status/1707160853814882497")</f>
        <v>https://twitter.com/eduardoduka/status/1707160853814882497</v>
      </c>
      <c r="AF526" s="90">
        <v>45196.937951388885</v>
      </c>
      <c r="AG526" s="99">
        <v>45196</v>
      </c>
      <c r="AH526" s="93" t="s">
        <v>12031</v>
      </c>
      <c r="AI526" s="87" t="b">
        <v>0</v>
      </c>
      <c r="AJ526" s="87"/>
      <c r="AK526" s="87"/>
      <c r="AL526" s="87"/>
      <c r="AM526" s="87"/>
      <c r="AN526" s="87"/>
      <c r="AO526" s="87"/>
      <c r="AP526" s="87"/>
      <c r="AQ526" s="87" t="s">
        <v>15792</v>
      </c>
      <c r="AR526" s="87">
        <v>77143</v>
      </c>
      <c r="AS526" s="87"/>
      <c r="AT526" s="87"/>
      <c r="AU526" s="87"/>
      <c r="AV526" s="92" t="str">
        <f>HYPERLINK("https://pbs.twimg.com/ext_tw_video_thumb/1707160738727358465/pu/img/DIyREpHF4bF8JSu8.jpg")</f>
        <v>https://pbs.twimg.com/ext_tw_video_thumb/1707160738727358465/pu/img/DIyREpHF4bF8JSu8.jpg</v>
      </c>
      <c r="AW526" s="93" t="s">
        <v>18776</v>
      </c>
      <c r="AX526" s="93" t="s">
        <v>18776</v>
      </c>
      <c r="AY526" s="87"/>
      <c r="AZ526" s="93" t="s">
        <v>22668</v>
      </c>
      <c r="BA526" s="93" t="s">
        <v>22668</v>
      </c>
      <c r="BB526" s="93" t="s">
        <v>22668</v>
      </c>
      <c r="BC526" s="93" t="s">
        <v>18776</v>
      </c>
      <c r="BD526" s="87">
        <v>149992574</v>
      </c>
      <c r="BE526" s="87"/>
      <c r="BF526" s="87"/>
      <c r="BG526" s="87"/>
      <c r="BH526" s="87"/>
      <c r="BI526" s="87"/>
    </row>
    <row r="527" spans="1:61" x14ac:dyDescent="0.25">
      <c r="A527" s="63" t="s">
        <v>390</v>
      </c>
      <c r="B527" s="63" t="s">
        <v>390</v>
      </c>
      <c r="C527" s="64"/>
      <c r="D527" s="65"/>
      <c r="E527" s="66"/>
      <c r="F527" s="67"/>
      <c r="G527" s="64"/>
      <c r="H527" s="68"/>
      <c r="I527" s="69"/>
      <c r="J527" s="69"/>
      <c r="K527" s="32"/>
      <c r="L527" s="76">
        <v>527</v>
      </c>
      <c r="M527" s="76"/>
      <c r="N527" s="71"/>
      <c r="O527" s="87" t="s">
        <v>179</v>
      </c>
      <c r="P527" s="90">
        <v>45190.741655092592</v>
      </c>
      <c r="Q527" s="87" t="s">
        <v>2357</v>
      </c>
      <c r="R527" s="87">
        <v>0</v>
      </c>
      <c r="S527" s="87">
        <v>0</v>
      </c>
      <c r="T527" s="87">
        <v>0</v>
      </c>
      <c r="U527" s="87">
        <v>0</v>
      </c>
      <c r="V527" s="87">
        <v>21</v>
      </c>
      <c r="W527" s="93" t="s">
        <v>6197</v>
      </c>
      <c r="X527" s="87"/>
      <c r="Y527" s="87"/>
      <c r="Z527" s="87"/>
      <c r="AA527" s="87" t="s">
        <v>8980</v>
      </c>
      <c r="AB527" s="87" t="s">
        <v>11447</v>
      </c>
      <c r="AC527" s="93" t="s">
        <v>11458</v>
      </c>
      <c r="AD527" s="87" t="s">
        <v>11519</v>
      </c>
      <c r="AE527" s="92" t="str">
        <f>HYPERLINK("https://twitter.com/eduardoduka/status/1704915390873104615")</f>
        <v>https://twitter.com/eduardoduka/status/1704915390873104615</v>
      </c>
      <c r="AF527" s="90">
        <v>45190.741655092592</v>
      </c>
      <c r="AG527" s="99">
        <v>45190</v>
      </c>
      <c r="AH527" s="93" t="s">
        <v>12032</v>
      </c>
      <c r="AI527" s="87" t="b">
        <v>0</v>
      </c>
      <c r="AJ527" s="87"/>
      <c r="AK527" s="87"/>
      <c r="AL527" s="87"/>
      <c r="AM527" s="87"/>
      <c r="AN527" s="87"/>
      <c r="AO527" s="87"/>
      <c r="AP527" s="87"/>
      <c r="AQ527" s="87" t="s">
        <v>15793</v>
      </c>
      <c r="AR527" s="87">
        <v>63563</v>
      </c>
      <c r="AS527" s="87"/>
      <c r="AT527" s="87"/>
      <c r="AU527" s="87"/>
      <c r="AV527" s="92" t="str">
        <f>HYPERLINK("https://pbs.twimg.com/ext_tw_video_thumb/1704915285101133824/pu/img/76lexsbFAVoEyCdS.jpg")</f>
        <v>https://pbs.twimg.com/ext_tw_video_thumb/1704915285101133824/pu/img/76lexsbFAVoEyCdS.jpg</v>
      </c>
      <c r="AW527" s="93" t="s">
        <v>18777</v>
      </c>
      <c r="AX527" s="93" t="s">
        <v>18777</v>
      </c>
      <c r="AY527" s="87"/>
      <c r="AZ527" s="93" t="s">
        <v>22668</v>
      </c>
      <c r="BA527" s="93" t="s">
        <v>22668</v>
      </c>
      <c r="BB527" s="93" t="s">
        <v>22668</v>
      </c>
      <c r="BC527" s="93" t="s">
        <v>18777</v>
      </c>
      <c r="BD527" s="87">
        <v>149992574</v>
      </c>
      <c r="BE527" s="87"/>
      <c r="BF527" s="87"/>
      <c r="BG527" s="87"/>
      <c r="BH527" s="87"/>
      <c r="BI527" s="87"/>
    </row>
    <row r="528" spans="1:61" x14ac:dyDescent="0.25">
      <c r="A528" s="63" t="s">
        <v>390</v>
      </c>
      <c r="B528" s="63" t="s">
        <v>390</v>
      </c>
      <c r="C528" s="64"/>
      <c r="D528" s="65"/>
      <c r="E528" s="66"/>
      <c r="F528" s="67"/>
      <c r="G528" s="64"/>
      <c r="H528" s="68"/>
      <c r="I528" s="69"/>
      <c r="J528" s="69"/>
      <c r="K528" s="32"/>
      <c r="L528" s="76">
        <v>528</v>
      </c>
      <c r="M528" s="76"/>
      <c r="N528" s="71"/>
      <c r="O528" s="87" t="s">
        <v>179</v>
      </c>
      <c r="P528" s="90">
        <v>45183.598449074074</v>
      </c>
      <c r="Q528" s="87" t="s">
        <v>2358</v>
      </c>
      <c r="R528" s="87">
        <v>0</v>
      </c>
      <c r="S528" s="87">
        <v>1</v>
      </c>
      <c r="T528" s="87">
        <v>0</v>
      </c>
      <c r="U528" s="87">
        <v>0</v>
      </c>
      <c r="V528" s="87">
        <v>14</v>
      </c>
      <c r="W528" s="93" t="s">
        <v>6197</v>
      </c>
      <c r="X528" s="87"/>
      <c r="Y528" s="87"/>
      <c r="Z528" s="87"/>
      <c r="AA528" s="87" t="s">
        <v>8981</v>
      </c>
      <c r="AB528" s="87" t="s">
        <v>11447</v>
      </c>
      <c r="AC528" s="93" t="s">
        <v>11458</v>
      </c>
      <c r="AD528" s="87" t="s">
        <v>11519</v>
      </c>
      <c r="AE528" s="92" t="str">
        <f>HYPERLINK("https://twitter.com/eduardoduka/status/1702326779963441529")</f>
        <v>https://twitter.com/eduardoduka/status/1702326779963441529</v>
      </c>
      <c r="AF528" s="90">
        <v>45183.598449074074</v>
      </c>
      <c r="AG528" s="99">
        <v>45183</v>
      </c>
      <c r="AH528" s="93" t="s">
        <v>12033</v>
      </c>
      <c r="AI528" s="87" t="b">
        <v>0</v>
      </c>
      <c r="AJ528" s="87"/>
      <c r="AK528" s="87"/>
      <c r="AL528" s="87"/>
      <c r="AM528" s="87"/>
      <c r="AN528" s="87"/>
      <c r="AO528" s="87"/>
      <c r="AP528" s="87"/>
      <c r="AQ528" s="87" t="s">
        <v>15794</v>
      </c>
      <c r="AR528" s="87">
        <v>80613</v>
      </c>
      <c r="AS528" s="87"/>
      <c r="AT528" s="87"/>
      <c r="AU528" s="87"/>
      <c r="AV528" s="92" t="str">
        <f>HYPERLINK("https://pbs.twimg.com/ext_tw_video_thumb/1702326634391719936/pu/img/fqALoXz7P25Zpsu1.jpg")</f>
        <v>https://pbs.twimg.com/ext_tw_video_thumb/1702326634391719936/pu/img/fqALoXz7P25Zpsu1.jpg</v>
      </c>
      <c r="AW528" s="93" t="s">
        <v>18778</v>
      </c>
      <c r="AX528" s="93" t="s">
        <v>18778</v>
      </c>
      <c r="AY528" s="87"/>
      <c r="AZ528" s="93" t="s">
        <v>22668</v>
      </c>
      <c r="BA528" s="93" t="s">
        <v>22668</v>
      </c>
      <c r="BB528" s="93" t="s">
        <v>22668</v>
      </c>
      <c r="BC528" s="93" t="s">
        <v>18778</v>
      </c>
      <c r="BD528" s="87">
        <v>149992574</v>
      </c>
      <c r="BE528" s="87"/>
      <c r="BF528" s="87"/>
      <c r="BG528" s="87"/>
      <c r="BH528" s="87"/>
      <c r="BI528" s="87"/>
    </row>
    <row r="529" spans="1:61" x14ac:dyDescent="0.25">
      <c r="A529" s="63" t="s">
        <v>390</v>
      </c>
      <c r="B529" s="63" t="s">
        <v>390</v>
      </c>
      <c r="C529" s="64"/>
      <c r="D529" s="65"/>
      <c r="E529" s="66"/>
      <c r="F529" s="67"/>
      <c r="G529" s="64"/>
      <c r="H529" s="68"/>
      <c r="I529" s="69"/>
      <c r="J529" s="69"/>
      <c r="K529" s="32"/>
      <c r="L529" s="76">
        <v>529</v>
      </c>
      <c r="M529" s="76"/>
      <c r="N529" s="71"/>
      <c r="O529" s="87" t="s">
        <v>179</v>
      </c>
      <c r="P529" s="90">
        <v>45180.634479166663</v>
      </c>
      <c r="Q529" s="87" t="s">
        <v>2359</v>
      </c>
      <c r="R529" s="87">
        <v>0</v>
      </c>
      <c r="S529" s="87">
        <v>0</v>
      </c>
      <c r="T529" s="87">
        <v>0</v>
      </c>
      <c r="U529" s="87">
        <v>0</v>
      </c>
      <c r="V529" s="87">
        <v>17</v>
      </c>
      <c r="W529" s="93" t="s">
        <v>6197</v>
      </c>
      <c r="X529" s="87"/>
      <c r="Y529" s="87"/>
      <c r="Z529" s="87"/>
      <c r="AA529" s="87" t="s">
        <v>8982</v>
      </c>
      <c r="AB529" s="87" t="s">
        <v>11447</v>
      </c>
      <c r="AC529" s="93" t="s">
        <v>11458</v>
      </c>
      <c r="AD529" s="87" t="s">
        <v>11519</v>
      </c>
      <c r="AE529" s="92" t="str">
        <f>HYPERLINK("https://twitter.com/eduardoduka/status/1701252673985544328")</f>
        <v>https://twitter.com/eduardoduka/status/1701252673985544328</v>
      </c>
      <c r="AF529" s="90">
        <v>45180.634479166663</v>
      </c>
      <c r="AG529" s="99">
        <v>45180</v>
      </c>
      <c r="AH529" s="93" t="s">
        <v>12034</v>
      </c>
      <c r="AI529" s="87" t="b">
        <v>0</v>
      </c>
      <c r="AJ529" s="87"/>
      <c r="AK529" s="87"/>
      <c r="AL529" s="87"/>
      <c r="AM529" s="87"/>
      <c r="AN529" s="87"/>
      <c r="AO529" s="87"/>
      <c r="AP529" s="87"/>
      <c r="AQ529" s="87" t="s">
        <v>15795</v>
      </c>
      <c r="AR529" s="87">
        <v>78245</v>
      </c>
      <c r="AS529" s="87"/>
      <c r="AT529" s="87"/>
      <c r="AU529" s="87"/>
      <c r="AV529" s="92" t="str">
        <f>HYPERLINK("https://pbs.twimg.com/ext_tw_video_thumb/1701252473770450944/pu/img/8qrnZWPTAFsJL1m2.jpg")</f>
        <v>https://pbs.twimg.com/ext_tw_video_thumb/1701252473770450944/pu/img/8qrnZWPTAFsJL1m2.jpg</v>
      </c>
      <c r="AW529" s="93" t="s">
        <v>18779</v>
      </c>
      <c r="AX529" s="93" t="s">
        <v>18779</v>
      </c>
      <c r="AY529" s="87"/>
      <c r="AZ529" s="93" t="s">
        <v>22668</v>
      </c>
      <c r="BA529" s="93" t="s">
        <v>22668</v>
      </c>
      <c r="BB529" s="93" t="s">
        <v>22668</v>
      </c>
      <c r="BC529" s="93" t="s">
        <v>18779</v>
      </c>
      <c r="BD529" s="87">
        <v>149992574</v>
      </c>
      <c r="BE529" s="87"/>
      <c r="BF529" s="87"/>
      <c r="BG529" s="87"/>
      <c r="BH529" s="87"/>
      <c r="BI529" s="87"/>
    </row>
    <row r="530" spans="1:61" x14ac:dyDescent="0.25">
      <c r="A530" s="63" t="s">
        <v>390</v>
      </c>
      <c r="B530" s="63" t="s">
        <v>390</v>
      </c>
      <c r="C530" s="64"/>
      <c r="D530" s="65"/>
      <c r="E530" s="66"/>
      <c r="F530" s="67"/>
      <c r="G530" s="64"/>
      <c r="H530" s="68"/>
      <c r="I530" s="69"/>
      <c r="J530" s="69"/>
      <c r="K530" s="32"/>
      <c r="L530" s="76">
        <v>530</v>
      </c>
      <c r="M530" s="76"/>
      <c r="N530" s="71"/>
      <c r="O530" s="87" t="s">
        <v>179</v>
      </c>
      <c r="P530" s="90">
        <v>45177.588900462964</v>
      </c>
      <c r="Q530" s="87" t="s">
        <v>2360</v>
      </c>
      <c r="R530" s="87">
        <v>0</v>
      </c>
      <c r="S530" s="87">
        <v>0</v>
      </c>
      <c r="T530" s="87">
        <v>0</v>
      </c>
      <c r="U530" s="87">
        <v>0</v>
      </c>
      <c r="V530" s="87">
        <v>14</v>
      </c>
      <c r="W530" s="93" t="s">
        <v>6197</v>
      </c>
      <c r="X530" s="87"/>
      <c r="Y530" s="87"/>
      <c r="Z530" s="87"/>
      <c r="AA530" s="87" t="s">
        <v>8983</v>
      </c>
      <c r="AB530" s="87" t="s">
        <v>11447</v>
      </c>
      <c r="AC530" s="93" t="s">
        <v>11458</v>
      </c>
      <c r="AD530" s="87" t="s">
        <v>11519</v>
      </c>
      <c r="AE530" s="92" t="str">
        <f>HYPERLINK("https://twitter.com/eduardoduka/status/1700148992162562120")</f>
        <v>https://twitter.com/eduardoduka/status/1700148992162562120</v>
      </c>
      <c r="AF530" s="90">
        <v>45177.588900462964</v>
      </c>
      <c r="AG530" s="99">
        <v>45177</v>
      </c>
      <c r="AH530" s="93" t="s">
        <v>12035</v>
      </c>
      <c r="AI530" s="87" t="b">
        <v>0</v>
      </c>
      <c r="AJ530" s="87"/>
      <c r="AK530" s="87"/>
      <c r="AL530" s="87"/>
      <c r="AM530" s="87"/>
      <c r="AN530" s="87"/>
      <c r="AO530" s="87"/>
      <c r="AP530" s="87"/>
      <c r="AQ530" s="87" t="s">
        <v>15796</v>
      </c>
      <c r="AR530" s="87">
        <v>73906</v>
      </c>
      <c r="AS530" s="87"/>
      <c r="AT530" s="87"/>
      <c r="AU530" s="87"/>
      <c r="AV530" s="92" t="str">
        <f>HYPERLINK("https://pbs.twimg.com/ext_tw_video_thumb/1700148857407995904/pu/img/huAJIemfT3_F1PKo.jpg")</f>
        <v>https://pbs.twimg.com/ext_tw_video_thumb/1700148857407995904/pu/img/huAJIemfT3_F1PKo.jpg</v>
      </c>
      <c r="AW530" s="93" t="s">
        <v>18780</v>
      </c>
      <c r="AX530" s="93" t="s">
        <v>18780</v>
      </c>
      <c r="AY530" s="87"/>
      <c r="AZ530" s="93" t="s">
        <v>22668</v>
      </c>
      <c r="BA530" s="93" t="s">
        <v>22668</v>
      </c>
      <c r="BB530" s="93" t="s">
        <v>22668</v>
      </c>
      <c r="BC530" s="93" t="s">
        <v>18780</v>
      </c>
      <c r="BD530" s="87">
        <v>149992574</v>
      </c>
      <c r="BE530" s="87"/>
      <c r="BF530" s="87"/>
      <c r="BG530" s="87"/>
      <c r="BH530" s="87"/>
      <c r="BI530" s="87"/>
    </row>
    <row r="531" spans="1:61" x14ac:dyDescent="0.25">
      <c r="A531" s="63" t="s">
        <v>390</v>
      </c>
      <c r="B531" s="63" t="s">
        <v>390</v>
      </c>
      <c r="C531" s="64"/>
      <c r="D531" s="65"/>
      <c r="E531" s="66"/>
      <c r="F531" s="67"/>
      <c r="G531" s="64"/>
      <c r="H531" s="68"/>
      <c r="I531" s="69"/>
      <c r="J531" s="69"/>
      <c r="K531" s="32"/>
      <c r="L531" s="76">
        <v>531</v>
      </c>
      <c r="M531" s="76"/>
      <c r="N531" s="71"/>
      <c r="O531" s="87" t="s">
        <v>179</v>
      </c>
      <c r="P531" s="90">
        <v>45114.671365740738</v>
      </c>
      <c r="Q531" s="87" t="s">
        <v>2361</v>
      </c>
      <c r="R531" s="87">
        <v>0</v>
      </c>
      <c r="S531" s="87">
        <v>0</v>
      </c>
      <c r="T531" s="87">
        <v>0</v>
      </c>
      <c r="U531" s="87">
        <v>0</v>
      </c>
      <c r="V531" s="87">
        <v>5</v>
      </c>
      <c r="W531" s="93" t="s">
        <v>6198</v>
      </c>
      <c r="X531" s="92" t="str">
        <f>HYPERLINK("https://vm.tiktok.com/ZM2HnRDwC/")</f>
        <v>https://vm.tiktok.com/ZM2HnRDwC/</v>
      </c>
      <c r="Y531" s="87" t="s">
        <v>8398</v>
      </c>
      <c r="Z531" s="87"/>
      <c r="AA531" s="87"/>
      <c r="AB531" s="87"/>
      <c r="AC531" s="93" t="s">
        <v>11458</v>
      </c>
      <c r="AD531" s="87" t="s">
        <v>11519</v>
      </c>
      <c r="AE531" s="92" t="str">
        <f>HYPERLINK("https://twitter.com/eduardoduka/status/1677348440076894210")</f>
        <v>https://twitter.com/eduardoduka/status/1677348440076894210</v>
      </c>
      <c r="AF531" s="90">
        <v>45114.671365740738</v>
      </c>
      <c r="AG531" s="99">
        <v>45114</v>
      </c>
      <c r="AH531" s="93" t="s">
        <v>12036</v>
      </c>
      <c r="AI531" s="87" t="b">
        <v>0</v>
      </c>
      <c r="AJ531" s="87"/>
      <c r="AK531" s="87"/>
      <c r="AL531" s="87"/>
      <c r="AM531" s="87"/>
      <c r="AN531" s="87"/>
      <c r="AO531" s="87"/>
      <c r="AP531" s="87"/>
      <c r="AQ531" s="87"/>
      <c r="AR531" s="87"/>
      <c r="AS531" s="87"/>
      <c r="AT531" s="87"/>
      <c r="AU531" s="87"/>
      <c r="AV531" s="92" t="str">
        <f>HYPERLINK("https://pbs.twimg.com/profile_images/1499873180210667520/pGuGnc4G_normal.jpg")</f>
        <v>https://pbs.twimg.com/profile_images/1499873180210667520/pGuGnc4G_normal.jpg</v>
      </c>
      <c r="AW531" s="93" t="s">
        <v>18781</v>
      </c>
      <c r="AX531" s="93" t="s">
        <v>18781</v>
      </c>
      <c r="AY531" s="87"/>
      <c r="AZ531" s="93" t="s">
        <v>22668</v>
      </c>
      <c r="BA531" s="93" t="s">
        <v>22668</v>
      </c>
      <c r="BB531" s="93" t="s">
        <v>22668</v>
      </c>
      <c r="BC531" s="93" t="s">
        <v>18781</v>
      </c>
      <c r="BD531" s="87">
        <v>149992574</v>
      </c>
      <c r="BE531" s="87"/>
      <c r="BF531" s="87"/>
      <c r="BG531" s="87"/>
      <c r="BH531" s="87"/>
      <c r="BI531" s="87"/>
    </row>
    <row r="532" spans="1:61" x14ac:dyDescent="0.25">
      <c r="A532" s="63" t="s">
        <v>390</v>
      </c>
      <c r="B532" s="63" t="s">
        <v>390</v>
      </c>
      <c r="C532" s="64"/>
      <c r="D532" s="65"/>
      <c r="E532" s="66"/>
      <c r="F532" s="67"/>
      <c r="G532" s="64"/>
      <c r="H532" s="68"/>
      <c r="I532" s="69"/>
      <c r="J532" s="69"/>
      <c r="K532" s="32"/>
      <c r="L532" s="76">
        <v>532</v>
      </c>
      <c r="M532" s="76"/>
      <c r="N532" s="71"/>
      <c r="O532" s="87" t="s">
        <v>179</v>
      </c>
      <c r="P532" s="90">
        <v>45113.91002314815</v>
      </c>
      <c r="Q532" s="87" t="s">
        <v>2362</v>
      </c>
      <c r="R532" s="87">
        <v>0</v>
      </c>
      <c r="S532" s="87">
        <v>0</v>
      </c>
      <c r="T532" s="87">
        <v>0</v>
      </c>
      <c r="U532" s="87">
        <v>0</v>
      </c>
      <c r="V532" s="87">
        <v>7</v>
      </c>
      <c r="W532" s="93" t="s">
        <v>6198</v>
      </c>
      <c r="X532" s="92" t="str">
        <f>HYPERLINK("https://vm.tiktok.com/ZM2HHeyVo/")</f>
        <v>https://vm.tiktok.com/ZM2HHeyVo/</v>
      </c>
      <c r="Y532" s="87" t="s">
        <v>8398</v>
      </c>
      <c r="Z532" s="87"/>
      <c r="AA532" s="87"/>
      <c r="AB532" s="87"/>
      <c r="AC532" s="93" t="s">
        <v>11458</v>
      </c>
      <c r="AD532" s="87" t="s">
        <v>11519</v>
      </c>
      <c r="AE532" s="92" t="str">
        <f>HYPERLINK("https://twitter.com/eduardoduka/status/1677072540592685056")</f>
        <v>https://twitter.com/eduardoduka/status/1677072540592685056</v>
      </c>
      <c r="AF532" s="90">
        <v>45113.91002314815</v>
      </c>
      <c r="AG532" s="99">
        <v>45113</v>
      </c>
      <c r="AH532" s="93" t="s">
        <v>12037</v>
      </c>
      <c r="AI532" s="87" t="b">
        <v>0</v>
      </c>
      <c r="AJ532" s="87"/>
      <c r="AK532" s="87"/>
      <c r="AL532" s="87"/>
      <c r="AM532" s="87"/>
      <c r="AN532" s="87"/>
      <c r="AO532" s="87"/>
      <c r="AP532" s="87"/>
      <c r="AQ532" s="87"/>
      <c r="AR532" s="87"/>
      <c r="AS532" s="87"/>
      <c r="AT532" s="87"/>
      <c r="AU532" s="87"/>
      <c r="AV532" s="92" t="str">
        <f>HYPERLINK("https://pbs.twimg.com/profile_images/1499873180210667520/pGuGnc4G_normal.jpg")</f>
        <v>https://pbs.twimg.com/profile_images/1499873180210667520/pGuGnc4G_normal.jpg</v>
      </c>
      <c r="AW532" s="93" t="s">
        <v>18782</v>
      </c>
      <c r="AX532" s="93" t="s">
        <v>18782</v>
      </c>
      <c r="AY532" s="87"/>
      <c r="AZ532" s="93" t="s">
        <v>22668</v>
      </c>
      <c r="BA532" s="93" t="s">
        <v>22668</v>
      </c>
      <c r="BB532" s="93" t="s">
        <v>22668</v>
      </c>
      <c r="BC532" s="93" t="s">
        <v>18782</v>
      </c>
      <c r="BD532" s="87">
        <v>149992574</v>
      </c>
      <c r="BE532" s="87"/>
      <c r="BF532" s="87"/>
      <c r="BG532" s="87"/>
      <c r="BH532" s="87"/>
      <c r="BI532" s="87"/>
    </row>
    <row r="533" spans="1:61" x14ac:dyDescent="0.25">
      <c r="A533" s="63" t="s">
        <v>391</v>
      </c>
      <c r="B533" s="63" t="s">
        <v>391</v>
      </c>
      <c r="C533" s="64"/>
      <c r="D533" s="65"/>
      <c r="E533" s="66"/>
      <c r="F533" s="67"/>
      <c r="G533" s="64"/>
      <c r="H533" s="68"/>
      <c r="I533" s="69"/>
      <c r="J533" s="69"/>
      <c r="K533" s="32"/>
      <c r="L533" s="76">
        <v>533</v>
      </c>
      <c r="M533" s="76"/>
      <c r="N533" s="71"/>
      <c r="O533" s="87" t="s">
        <v>179</v>
      </c>
      <c r="P533" s="90">
        <v>45127.876087962963</v>
      </c>
      <c r="Q533" s="87" t="s">
        <v>2363</v>
      </c>
      <c r="R533" s="87">
        <v>0</v>
      </c>
      <c r="S533" s="87">
        <v>0</v>
      </c>
      <c r="T533" s="87">
        <v>0</v>
      </c>
      <c r="U533" s="87">
        <v>0</v>
      </c>
      <c r="V533" s="87">
        <v>21</v>
      </c>
      <c r="W533" s="93" t="s">
        <v>6200</v>
      </c>
      <c r="X533" s="87"/>
      <c r="Y533" s="87"/>
      <c r="Z533" s="87"/>
      <c r="AA533" s="87" t="s">
        <v>8984</v>
      </c>
      <c r="AB533" s="87" t="s">
        <v>11448</v>
      </c>
      <c r="AC533" s="93" t="s">
        <v>11462</v>
      </c>
      <c r="AD533" s="87" t="s">
        <v>11519</v>
      </c>
      <c r="AE533" s="92" t="str">
        <f>HYPERLINK("https://twitter.com/_wmbmarketing/status/1682133670616870913")</f>
        <v>https://twitter.com/_wmbmarketing/status/1682133670616870913</v>
      </c>
      <c r="AF533" s="90">
        <v>45127.876087962963</v>
      </c>
      <c r="AG533" s="99">
        <v>45127</v>
      </c>
      <c r="AH533" s="93" t="s">
        <v>12038</v>
      </c>
      <c r="AI533" s="87" t="b">
        <v>0</v>
      </c>
      <c r="AJ533" s="87"/>
      <c r="AK533" s="87"/>
      <c r="AL533" s="87"/>
      <c r="AM533" s="87"/>
      <c r="AN533" s="87"/>
      <c r="AO533" s="87"/>
      <c r="AP533" s="87"/>
      <c r="AQ533" s="87" t="s">
        <v>15797</v>
      </c>
      <c r="AR533" s="87"/>
      <c r="AS533" s="87"/>
      <c r="AT533" s="87"/>
      <c r="AU533" s="87"/>
      <c r="AV533" s="92" t="str">
        <f>HYPERLINK("https://pbs.twimg.com/media/F1gjqKMXwAAYDng.jpg")</f>
        <v>https://pbs.twimg.com/media/F1gjqKMXwAAYDng.jpg</v>
      </c>
      <c r="AW533" s="93" t="s">
        <v>18783</v>
      </c>
      <c r="AX533" s="93" t="s">
        <v>18783</v>
      </c>
      <c r="AY533" s="87"/>
      <c r="AZ533" s="93" t="s">
        <v>22668</v>
      </c>
      <c r="BA533" s="93" t="s">
        <v>22668</v>
      </c>
      <c r="BB533" s="93" t="s">
        <v>22668</v>
      </c>
      <c r="BC533" s="93" t="s">
        <v>18783</v>
      </c>
      <c r="BD533" s="87">
        <v>320762743</v>
      </c>
      <c r="BE533" s="87"/>
      <c r="BF533" s="87"/>
      <c r="BG533" s="87"/>
      <c r="BH533" s="87"/>
      <c r="BI533" s="87"/>
    </row>
    <row r="534" spans="1:61" x14ac:dyDescent="0.25">
      <c r="A534" s="63" t="s">
        <v>392</v>
      </c>
      <c r="B534" s="63" t="s">
        <v>392</v>
      </c>
      <c r="C534" s="64"/>
      <c r="D534" s="65"/>
      <c r="E534" s="66"/>
      <c r="F534" s="67"/>
      <c r="G534" s="64"/>
      <c r="H534" s="68"/>
      <c r="I534" s="69"/>
      <c r="J534" s="69"/>
      <c r="K534" s="32"/>
      <c r="L534" s="76">
        <v>534</v>
      </c>
      <c r="M534" s="76"/>
      <c r="N534" s="71"/>
      <c r="O534" s="87" t="s">
        <v>179</v>
      </c>
      <c r="P534" s="90">
        <v>45186.742025462961</v>
      </c>
      <c r="Q534" s="87" t="s">
        <v>2364</v>
      </c>
      <c r="R534" s="87">
        <v>0</v>
      </c>
      <c r="S534" s="87">
        <v>1</v>
      </c>
      <c r="T534" s="87">
        <v>0</v>
      </c>
      <c r="U534" s="87">
        <v>0</v>
      </c>
      <c r="V534" s="87">
        <v>12</v>
      </c>
      <c r="W534" s="93" t="s">
        <v>6201</v>
      </c>
      <c r="X534" s="87"/>
      <c r="Y534" s="87"/>
      <c r="Z534" s="87"/>
      <c r="AA534" s="87" t="s">
        <v>8985</v>
      </c>
      <c r="AB534" s="87" t="s">
        <v>11448</v>
      </c>
      <c r="AC534" s="93" t="s">
        <v>11459</v>
      </c>
      <c r="AD534" s="87" t="s">
        <v>11520</v>
      </c>
      <c r="AE534" s="92" t="str">
        <f>HYPERLINK("https://twitter.com/helioramosjr/status/1703465974895112455")</f>
        <v>https://twitter.com/helioramosjr/status/1703465974895112455</v>
      </c>
      <c r="AF534" s="90">
        <v>45186.742025462961</v>
      </c>
      <c r="AG534" s="99">
        <v>45186</v>
      </c>
      <c r="AH534" s="93" t="s">
        <v>12039</v>
      </c>
      <c r="AI534" s="87" t="b">
        <v>0</v>
      </c>
      <c r="AJ534" s="87"/>
      <c r="AK534" s="87"/>
      <c r="AL534" s="87"/>
      <c r="AM534" s="87"/>
      <c r="AN534" s="87"/>
      <c r="AO534" s="87"/>
      <c r="AP534" s="87"/>
      <c r="AQ534" s="87" t="s">
        <v>15798</v>
      </c>
      <c r="AR534" s="87"/>
      <c r="AS534" s="87"/>
      <c r="AT534" s="87"/>
      <c r="AU534" s="87"/>
      <c r="AV534" s="92" t="str">
        <f>HYPERLINK("https://pbs.twimg.com/media/F6PtRuSXwAA_Fzr.jpg")</f>
        <v>https://pbs.twimg.com/media/F6PtRuSXwAA_Fzr.jpg</v>
      </c>
      <c r="AW534" s="93" t="s">
        <v>18784</v>
      </c>
      <c r="AX534" s="93" t="s">
        <v>18784</v>
      </c>
      <c r="AY534" s="87"/>
      <c r="AZ534" s="93" t="s">
        <v>22668</v>
      </c>
      <c r="BA534" s="93" t="s">
        <v>22668</v>
      </c>
      <c r="BB534" s="93" t="s">
        <v>22668</v>
      </c>
      <c r="BC534" s="93" t="s">
        <v>18784</v>
      </c>
      <c r="BD534" s="87">
        <v>1338265286</v>
      </c>
      <c r="BE534" s="87"/>
      <c r="BF534" s="87"/>
      <c r="BG534" s="87"/>
      <c r="BH534" s="87"/>
      <c r="BI534" s="87"/>
    </row>
    <row r="535" spans="1:61" x14ac:dyDescent="0.25">
      <c r="A535" s="63" t="s">
        <v>393</v>
      </c>
      <c r="B535" s="63" t="s">
        <v>393</v>
      </c>
      <c r="C535" s="64"/>
      <c r="D535" s="65"/>
      <c r="E535" s="66"/>
      <c r="F535" s="67"/>
      <c r="G535" s="64"/>
      <c r="H535" s="68"/>
      <c r="I535" s="69"/>
      <c r="J535" s="69"/>
      <c r="K535" s="32"/>
      <c r="L535" s="76">
        <v>535</v>
      </c>
      <c r="M535" s="76"/>
      <c r="N535" s="71"/>
      <c r="O535" s="87" t="s">
        <v>179</v>
      </c>
      <c r="P535" s="90">
        <v>45173.098368055558</v>
      </c>
      <c r="Q535" s="87" t="s">
        <v>2365</v>
      </c>
      <c r="R535" s="87">
        <v>0</v>
      </c>
      <c r="S535" s="87">
        <v>0</v>
      </c>
      <c r="T535" s="87">
        <v>0</v>
      </c>
      <c r="U535" s="87">
        <v>0</v>
      </c>
      <c r="V535" s="87">
        <v>42</v>
      </c>
      <c r="W535" s="93" t="s">
        <v>6202</v>
      </c>
      <c r="X535" s="87"/>
      <c r="Y535" s="87"/>
      <c r="Z535" s="87"/>
      <c r="AA535" s="87"/>
      <c r="AB535" s="87"/>
      <c r="AC535" s="93" t="s">
        <v>11459</v>
      </c>
      <c r="AD535" s="87" t="s">
        <v>11519</v>
      </c>
      <c r="AE535" s="92" t="str">
        <f>HYPERLINK("https://twitter.com/welingtonseraf1/status/1698521676718244284")</f>
        <v>https://twitter.com/welingtonseraf1/status/1698521676718244284</v>
      </c>
      <c r="AF535" s="90">
        <v>45173.098368055558</v>
      </c>
      <c r="AG535" s="99">
        <v>45173</v>
      </c>
      <c r="AH535" s="93" t="s">
        <v>12040</v>
      </c>
      <c r="AI535" s="87"/>
      <c r="AJ535" s="87"/>
      <c r="AK535" s="87"/>
      <c r="AL535" s="87"/>
      <c r="AM535" s="87"/>
      <c r="AN535" s="87"/>
      <c r="AO535" s="87"/>
      <c r="AP535" s="87"/>
      <c r="AQ535" s="87"/>
      <c r="AR535" s="87"/>
      <c r="AS535" s="87"/>
      <c r="AT535" s="87"/>
      <c r="AU535" s="87"/>
      <c r="AV535" s="92" t="str">
        <f>HYPERLINK("https://pbs.twimg.com/profile_images/1441105958617317381/WZ4I0m0X_normal.jpg")</f>
        <v>https://pbs.twimg.com/profile_images/1441105958617317381/WZ4I0m0X_normal.jpg</v>
      </c>
      <c r="AW535" s="93" t="s">
        <v>18785</v>
      </c>
      <c r="AX535" s="93" t="s">
        <v>18785</v>
      </c>
      <c r="AY535" s="87"/>
      <c r="AZ535" s="93" t="s">
        <v>22668</v>
      </c>
      <c r="BA535" s="93" t="s">
        <v>22668</v>
      </c>
      <c r="BB535" s="93" t="s">
        <v>22668</v>
      </c>
      <c r="BC535" s="93" t="s">
        <v>18785</v>
      </c>
      <c r="BD535" s="93" t="s">
        <v>22893</v>
      </c>
      <c r="BE535" s="87"/>
      <c r="BF535" s="87"/>
      <c r="BG535" s="87"/>
      <c r="BH535" s="87"/>
      <c r="BI535" s="87"/>
    </row>
    <row r="536" spans="1:61" x14ac:dyDescent="0.25">
      <c r="A536" s="63" t="s">
        <v>394</v>
      </c>
      <c r="B536" s="63" t="s">
        <v>1367</v>
      </c>
      <c r="C536" s="64"/>
      <c r="D536" s="65"/>
      <c r="E536" s="66"/>
      <c r="F536" s="67"/>
      <c r="G536" s="64"/>
      <c r="H536" s="68"/>
      <c r="I536" s="69"/>
      <c r="J536" s="69"/>
      <c r="K536" s="32"/>
      <c r="L536" s="76">
        <v>536</v>
      </c>
      <c r="M536" s="76"/>
      <c r="N536" s="71"/>
      <c r="O536" s="87" t="s">
        <v>1841</v>
      </c>
      <c r="P536" s="90">
        <v>45190.565983796296</v>
      </c>
      <c r="Q536" s="87" t="s">
        <v>2090</v>
      </c>
      <c r="R536" s="87">
        <v>14</v>
      </c>
      <c r="S536" s="87">
        <v>0</v>
      </c>
      <c r="T536" s="87">
        <v>0</v>
      </c>
      <c r="U536" s="87">
        <v>0</v>
      </c>
      <c r="V536" s="87"/>
      <c r="W536" s="93" t="s">
        <v>6034</v>
      </c>
      <c r="X536" s="87"/>
      <c r="Y536" s="87"/>
      <c r="Z536" s="87" t="s">
        <v>1367</v>
      </c>
      <c r="AA536" s="87"/>
      <c r="AB536" s="87"/>
      <c r="AC536" s="93" t="s">
        <v>11459</v>
      </c>
      <c r="AD536" s="87" t="s">
        <v>11519</v>
      </c>
      <c r="AE536" s="92" t="str">
        <f>HYPERLINK("https://twitter.com/fredericomark/status/1704851730687525233")</f>
        <v>https://twitter.com/fredericomark/status/1704851730687525233</v>
      </c>
      <c r="AF536" s="90">
        <v>45190.565983796296</v>
      </c>
      <c r="AG536" s="99">
        <v>45190</v>
      </c>
      <c r="AH536" s="93" t="s">
        <v>12041</v>
      </c>
      <c r="AI536" s="87"/>
      <c r="AJ536" s="87"/>
      <c r="AK536" s="87"/>
      <c r="AL536" s="87"/>
      <c r="AM536" s="87"/>
      <c r="AN536" s="87"/>
      <c r="AO536" s="87"/>
      <c r="AP536" s="87"/>
      <c r="AQ536" s="87"/>
      <c r="AR536" s="87"/>
      <c r="AS536" s="87"/>
      <c r="AT536" s="87"/>
      <c r="AU536" s="87"/>
      <c r="AV536" s="92" t="str">
        <f>HYPERLINK("https://pbs.twimg.com/profile_images/1465747548245831686/pKGVMYPw_normal.jpg")</f>
        <v>https://pbs.twimg.com/profile_images/1465747548245831686/pKGVMYPw_normal.jpg</v>
      </c>
      <c r="AW536" s="93" t="s">
        <v>18786</v>
      </c>
      <c r="AX536" s="93" t="s">
        <v>18786</v>
      </c>
      <c r="AY536" s="87"/>
      <c r="AZ536" s="93" t="s">
        <v>22668</v>
      </c>
      <c r="BA536" s="93" t="s">
        <v>22668</v>
      </c>
      <c r="BB536" s="93" t="s">
        <v>21717</v>
      </c>
      <c r="BC536" s="93" t="s">
        <v>21717</v>
      </c>
      <c r="BD536" s="87">
        <v>52031026</v>
      </c>
      <c r="BE536" s="87"/>
      <c r="BF536" s="87"/>
      <c r="BG536" s="87"/>
      <c r="BH536" s="87"/>
      <c r="BI536" s="87"/>
    </row>
    <row r="537" spans="1:61" x14ac:dyDescent="0.25">
      <c r="A537" s="63" t="s">
        <v>395</v>
      </c>
      <c r="B537" s="63" t="s">
        <v>395</v>
      </c>
      <c r="C537" s="64"/>
      <c r="D537" s="65"/>
      <c r="E537" s="66"/>
      <c r="F537" s="67"/>
      <c r="G537" s="64"/>
      <c r="H537" s="68"/>
      <c r="I537" s="69"/>
      <c r="J537" s="69"/>
      <c r="K537" s="32"/>
      <c r="L537" s="76">
        <v>537</v>
      </c>
      <c r="M537" s="76"/>
      <c r="N537" s="71"/>
      <c r="O537" s="87" t="s">
        <v>179</v>
      </c>
      <c r="P537" s="90">
        <v>45160.788645833331</v>
      </c>
      <c r="Q537" s="87" t="s">
        <v>2366</v>
      </c>
      <c r="R537" s="87">
        <v>0</v>
      </c>
      <c r="S537" s="87">
        <v>0</v>
      </c>
      <c r="T537" s="87">
        <v>0</v>
      </c>
      <c r="U537" s="87">
        <v>0</v>
      </c>
      <c r="V537" s="87">
        <v>62</v>
      </c>
      <c r="W537" s="93" t="s">
        <v>6203</v>
      </c>
      <c r="X537" s="92" t="str">
        <f>HYPERLINK("https://tinyurl.com/2p97bdat")</f>
        <v>https://tinyurl.com/2p97bdat</v>
      </c>
      <c r="Y537" s="87" t="s">
        <v>8388</v>
      </c>
      <c r="Z537" s="87"/>
      <c r="AA537" s="87" t="s">
        <v>8986</v>
      </c>
      <c r="AB537" s="87" t="s">
        <v>11448</v>
      </c>
      <c r="AC537" s="93" t="s">
        <v>11457</v>
      </c>
      <c r="AD537" s="87" t="s">
        <v>11519</v>
      </c>
      <c r="AE537" s="92" t="str">
        <f>HYPERLINK("https://twitter.com/assembleia_ce/status/1694060783632605189")</f>
        <v>https://twitter.com/assembleia_ce/status/1694060783632605189</v>
      </c>
      <c r="AF537" s="90">
        <v>45160.788645833331</v>
      </c>
      <c r="AG537" s="99">
        <v>45160</v>
      </c>
      <c r="AH537" s="93" t="s">
        <v>12042</v>
      </c>
      <c r="AI537" s="87" t="b">
        <v>0</v>
      </c>
      <c r="AJ537" s="87"/>
      <c r="AK537" s="87"/>
      <c r="AL537" s="87"/>
      <c r="AM537" s="87"/>
      <c r="AN537" s="87"/>
      <c r="AO537" s="87"/>
      <c r="AP537" s="87"/>
      <c r="AQ537" s="87" t="s">
        <v>15799</v>
      </c>
      <c r="AR537" s="87"/>
      <c r="AS537" s="87"/>
      <c r="AT537" s="87"/>
      <c r="AU537" s="87"/>
      <c r="AV537" s="92" t="str">
        <f>HYPERLINK("https://pbs.twimg.com/media/F4KDP6gWoAA-arC.jpg")</f>
        <v>https://pbs.twimg.com/media/F4KDP6gWoAA-arC.jpg</v>
      </c>
      <c r="AW537" s="93" t="s">
        <v>18787</v>
      </c>
      <c r="AX537" s="93" t="s">
        <v>18787</v>
      </c>
      <c r="AY537" s="87"/>
      <c r="AZ537" s="93" t="s">
        <v>22668</v>
      </c>
      <c r="BA537" s="93" t="s">
        <v>22668</v>
      </c>
      <c r="BB537" s="93" t="s">
        <v>22668</v>
      </c>
      <c r="BC537" s="93" t="s">
        <v>18787</v>
      </c>
      <c r="BD537" s="87">
        <v>62514462</v>
      </c>
      <c r="BE537" s="87"/>
      <c r="BF537" s="87"/>
      <c r="BG537" s="87"/>
      <c r="BH537" s="87"/>
      <c r="BI537" s="87"/>
    </row>
    <row r="538" spans="1:61" x14ac:dyDescent="0.25">
      <c r="A538" s="63" t="s">
        <v>396</v>
      </c>
      <c r="B538" s="63" t="s">
        <v>396</v>
      </c>
      <c r="C538" s="64"/>
      <c r="D538" s="65"/>
      <c r="E538" s="66"/>
      <c r="F538" s="67"/>
      <c r="G538" s="64"/>
      <c r="H538" s="68"/>
      <c r="I538" s="69"/>
      <c r="J538" s="69"/>
      <c r="K538" s="32"/>
      <c r="L538" s="76">
        <v>538</v>
      </c>
      <c r="M538" s="76"/>
      <c r="N538" s="71"/>
      <c r="O538" s="87" t="s">
        <v>179</v>
      </c>
      <c r="P538" s="90">
        <v>45159.646516203706</v>
      </c>
      <c r="Q538" s="87" t="s">
        <v>2367</v>
      </c>
      <c r="R538" s="87">
        <v>0</v>
      </c>
      <c r="S538" s="87">
        <v>2</v>
      </c>
      <c r="T538" s="87">
        <v>0</v>
      </c>
      <c r="U538" s="87">
        <v>0</v>
      </c>
      <c r="V538" s="87">
        <v>31</v>
      </c>
      <c r="W538" s="93" t="s">
        <v>6204</v>
      </c>
      <c r="X538" s="92" t="str">
        <f>HYPERLINK("https://vagaspelomundo.com.br/carreira/empreendedorismo-feminino-modalidades-em-crescimento/")</f>
        <v>https://vagaspelomundo.com.br/carreira/empreendedorismo-feminino-modalidades-em-crescimento/</v>
      </c>
      <c r="Y538" s="87" t="s">
        <v>8373</v>
      </c>
      <c r="Z538" s="87"/>
      <c r="AA538" s="87"/>
      <c r="AB538" s="87"/>
      <c r="AC538" s="93" t="s">
        <v>11457</v>
      </c>
      <c r="AD538" s="87" t="s">
        <v>11519</v>
      </c>
      <c r="AE538" s="92" t="str">
        <f>HYPERLINK("https://twitter.com/vagaspelomundo/status/1693646890368135287")</f>
        <v>https://twitter.com/vagaspelomundo/status/1693646890368135287</v>
      </c>
      <c r="AF538" s="90">
        <v>45159.646516203706</v>
      </c>
      <c r="AG538" s="99">
        <v>45159</v>
      </c>
      <c r="AH538" s="93" t="s">
        <v>12043</v>
      </c>
      <c r="AI538" s="87" t="b">
        <v>0</v>
      </c>
      <c r="AJ538" s="87"/>
      <c r="AK538" s="87"/>
      <c r="AL538" s="87"/>
      <c r="AM538" s="87"/>
      <c r="AN538" s="87"/>
      <c r="AO538" s="87"/>
      <c r="AP538" s="87"/>
      <c r="AQ538" s="87"/>
      <c r="AR538" s="87"/>
      <c r="AS538" s="87"/>
      <c r="AT538" s="87"/>
      <c r="AU538" s="87"/>
      <c r="AV538" s="92" t="str">
        <f>HYPERLINK("https://pbs.twimg.com/profile_images/1069990907934638081/NHoAFn5j_normal.jpg")</f>
        <v>https://pbs.twimg.com/profile_images/1069990907934638081/NHoAFn5j_normal.jpg</v>
      </c>
      <c r="AW538" s="93" t="s">
        <v>18788</v>
      </c>
      <c r="AX538" s="93" t="s">
        <v>18788</v>
      </c>
      <c r="AY538" s="87"/>
      <c r="AZ538" s="93" t="s">
        <v>22668</v>
      </c>
      <c r="BA538" s="93" t="s">
        <v>22668</v>
      </c>
      <c r="BB538" s="93" t="s">
        <v>22668</v>
      </c>
      <c r="BC538" s="93" t="s">
        <v>18788</v>
      </c>
      <c r="BD538" s="93" t="s">
        <v>22894</v>
      </c>
      <c r="BE538" s="87"/>
      <c r="BF538" s="87"/>
      <c r="BG538" s="87"/>
      <c r="BH538" s="87"/>
      <c r="BI538" s="87"/>
    </row>
    <row r="539" spans="1:61" x14ac:dyDescent="0.25">
      <c r="A539" s="63" t="s">
        <v>397</v>
      </c>
      <c r="B539" s="63" t="s">
        <v>397</v>
      </c>
      <c r="C539" s="64"/>
      <c r="D539" s="65"/>
      <c r="E539" s="66"/>
      <c r="F539" s="67"/>
      <c r="G539" s="64"/>
      <c r="H539" s="68"/>
      <c r="I539" s="69"/>
      <c r="J539" s="69"/>
      <c r="K539" s="32"/>
      <c r="L539" s="76">
        <v>539</v>
      </c>
      <c r="M539" s="76"/>
      <c r="N539" s="71"/>
      <c r="O539" s="87" t="s">
        <v>179</v>
      </c>
      <c r="P539" s="90">
        <v>45115.548715277779</v>
      </c>
      <c r="Q539" s="87" t="s">
        <v>2368</v>
      </c>
      <c r="R539" s="87">
        <v>0</v>
      </c>
      <c r="S539" s="87">
        <v>1</v>
      </c>
      <c r="T539" s="87">
        <v>0</v>
      </c>
      <c r="U539" s="87">
        <v>0</v>
      </c>
      <c r="V539" s="87">
        <v>7</v>
      </c>
      <c r="W539" s="93" t="s">
        <v>6205</v>
      </c>
      <c r="X539" s="87"/>
      <c r="Y539" s="87"/>
      <c r="Z539" s="87"/>
      <c r="AA539" s="87" t="s">
        <v>8987</v>
      </c>
      <c r="AB539" s="87" t="s">
        <v>11448</v>
      </c>
      <c r="AC539" s="93" t="s">
        <v>11458</v>
      </c>
      <c r="AD539" s="87" t="s">
        <v>11519</v>
      </c>
      <c r="AE539" s="92" t="str">
        <f>HYPERLINK("https://twitter.com/oportoneto/status/1677666379237928961")</f>
        <v>https://twitter.com/oportoneto/status/1677666379237928961</v>
      </c>
      <c r="AF539" s="90">
        <v>45115.548715277779</v>
      </c>
      <c r="AG539" s="99">
        <v>45115</v>
      </c>
      <c r="AH539" s="93" t="s">
        <v>12044</v>
      </c>
      <c r="AI539" s="87" t="b">
        <v>0</v>
      </c>
      <c r="AJ539" s="87"/>
      <c r="AK539" s="87"/>
      <c r="AL539" s="87"/>
      <c r="AM539" s="87"/>
      <c r="AN539" s="87"/>
      <c r="AO539" s="87"/>
      <c r="AP539" s="87"/>
      <c r="AQ539" s="87" t="s">
        <v>15800</v>
      </c>
      <c r="AR539" s="87"/>
      <c r="AS539" s="87"/>
      <c r="AT539" s="87"/>
      <c r="AU539" s="87"/>
      <c r="AV539" s="92" t="str">
        <f>HYPERLINK("https://pbs.twimg.com/media/F0hEregWYAAZJre.jpg")</f>
        <v>https://pbs.twimg.com/media/F0hEregWYAAZJre.jpg</v>
      </c>
      <c r="AW539" s="93" t="s">
        <v>18789</v>
      </c>
      <c r="AX539" s="93" t="s">
        <v>18789</v>
      </c>
      <c r="AY539" s="87"/>
      <c r="AZ539" s="93" t="s">
        <v>22668</v>
      </c>
      <c r="BA539" s="93" t="s">
        <v>22668</v>
      </c>
      <c r="BB539" s="93" t="s">
        <v>22668</v>
      </c>
      <c r="BC539" s="93" t="s">
        <v>18789</v>
      </c>
      <c r="BD539" s="87">
        <v>3893109381</v>
      </c>
      <c r="BE539" s="87"/>
      <c r="BF539" s="87"/>
      <c r="BG539" s="87"/>
      <c r="BH539" s="87"/>
      <c r="BI539" s="87"/>
    </row>
    <row r="540" spans="1:61" x14ac:dyDescent="0.25">
      <c r="A540" s="63" t="s">
        <v>397</v>
      </c>
      <c r="B540" s="63" t="s">
        <v>397</v>
      </c>
      <c r="C540" s="64"/>
      <c r="D540" s="65"/>
      <c r="E540" s="66"/>
      <c r="F540" s="67"/>
      <c r="G540" s="64"/>
      <c r="H540" s="68"/>
      <c r="I540" s="69"/>
      <c r="J540" s="69"/>
      <c r="K540" s="32"/>
      <c r="L540" s="76">
        <v>540</v>
      </c>
      <c r="M540" s="76"/>
      <c r="N540" s="71"/>
      <c r="O540" s="87" t="s">
        <v>179</v>
      </c>
      <c r="P540" s="90">
        <v>45111.517465277779</v>
      </c>
      <c r="Q540" s="87" t="s">
        <v>2369</v>
      </c>
      <c r="R540" s="87">
        <v>1</v>
      </c>
      <c r="S540" s="87">
        <v>1</v>
      </c>
      <c r="T540" s="87">
        <v>0</v>
      </c>
      <c r="U540" s="87">
        <v>0</v>
      </c>
      <c r="V540" s="87">
        <v>45</v>
      </c>
      <c r="W540" s="93" t="s">
        <v>6206</v>
      </c>
      <c r="X540" s="87"/>
      <c r="Y540" s="87"/>
      <c r="Z540" s="87"/>
      <c r="AA540" s="87" t="s">
        <v>8988</v>
      </c>
      <c r="AB540" s="87" t="s">
        <v>11448</v>
      </c>
      <c r="AC540" s="93" t="s">
        <v>11458</v>
      </c>
      <c r="AD540" s="87" t="s">
        <v>11519</v>
      </c>
      <c r="AE540" s="92" t="str">
        <f>HYPERLINK("https://twitter.com/oportoneto/status/1676205504878501888")</f>
        <v>https://twitter.com/oportoneto/status/1676205504878501888</v>
      </c>
      <c r="AF540" s="90">
        <v>45111.517465277779</v>
      </c>
      <c r="AG540" s="99">
        <v>45111</v>
      </c>
      <c r="AH540" s="93" t="s">
        <v>12045</v>
      </c>
      <c r="AI540" s="87" t="b">
        <v>0</v>
      </c>
      <c r="AJ540" s="87"/>
      <c r="AK540" s="87"/>
      <c r="AL540" s="87"/>
      <c r="AM540" s="87"/>
      <c r="AN540" s="87"/>
      <c r="AO540" s="87"/>
      <c r="AP540" s="87"/>
      <c r="AQ540" s="87" t="s">
        <v>15801</v>
      </c>
      <c r="AR540" s="87"/>
      <c r="AS540" s="87"/>
      <c r="AT540" s="87"/>
      <c r="AU540" s="87"/>
      <c r="AV540" s="92" t="str">
        <f>HYPERLINK("https://pbs.twimg.com/media/F0MUBaRWwAAy5MJ.jpg")</f>
        <v>https://pbs.twimg.com/media/F0MUBaRWwAAy5MJ.jpg</v>
      </c>
      <c r="AW540" s="93" t="s">
        <v>18790</v>
      </c>
      <c r="AX540" s="93" t="s">
        <v>18790</v>
      </c>
      <c r="AY540" s="87"/>
      <c r="AZ540" s="93" t="s">
        <v>22668</v>
      </c>
      <c r="BA540" s="93" t="s">
        <v>22668</v>
      </c>
      <c r="BB540" s="93" t="s">
        <v>22668</v>
      </c>
      <c r="BC540" s="93" t="s">
        <v>18790</v>
      </c>
      <c r="BD540" s="87">
        <v>3893109381</v>
      </c>
      <c r="BE540" s="87"/>
      <c r="BF540" s="87"/>
      <c r="BG540" s="87"/>
      <c r="BH540" s="87"/>
      <c r="BI540" s="87"/>
    </row>
    <row r="541" spans="1:61" x14ac:dyDescent="0.25">
      <c r="A541" s="63" t="s">
        <v>397</v>
      </c>
      <c r="B541" s="63" t="s">
        <v>397</v>
      </c>
      <c r="C541" s="64"/>
      <c r="D541" s="65"/>
      <c r="E541" s="66"/>
      <c r="F541" s="67"/>
      <c r="G541" s="64"/>
      <c r="H541" s="68"/>
      <c r="I541" s="69"/>
      <c r="J541" s="69"/>
      <c r="K541" s="32"/>
      <c r="L541" s="76">
        <v>541</v>
      </c>
      <c r="M541" s="76"/>
      <c r="N541" s="71"/>
      <c r="O541" s="87" t="s">
        <v>179</v>
      </c>
      <c r="P541" s="90">
        <v>45113.507418981484</v>
      </c>
      <c r="Q541" s="87" t="s">
        <v>2370</v>
      </c>
      <c r="R541" s="87">
        <v>0</v>
      </c>
      <c r="S541" s="87">
        <v>1</v>
      </c>
      <c r="T541" s="87">
        <v>0</v>
      </c>
      <c r="U541" s="87">
        <v>0</v>
      </c>
      <c r="V541" s="87">
        <v>15</v>
      </c>
      <c r="W541" s="93" t="s">
        <v>6207</v>
      </c>
      <c r="X541" s="87"/>
      <c r="Y541" s="87"/>
      <c r="Z541" s="87"/>
      <c r="AA541" s="87" t="s">
        <v>8989</v>
      </c>
      <c r="AB541" s="87" t="s">
        <v>11448</v>
      </c>
      <c r="AC541" s="93" t="s">
        <v>11458</v>
      </c>
      <c r="AD541" s="87" t="s">
        <v>11519</v>
      </c>
      <c r="AE541" s="92" t="str">
        <f>HYPERLINK("https://twitter.com/oportoneto/status/1676926640138473473")</f>
        <v>https://twitter.com/oportoneto/status/1676926640138473473</v>
      </c>
      <c r="AF541" s="90">
        <v>45113.507418981484</v>
      </c>
      <c r="AG541" s="99">
        <v>45113</v>
      </c>
      <c r="AH541" s="93" t="s">
        <v>12046</v>
      </c>
      <c r="AI541" s="87" t="b">
        <v>0</v>
      </c>
      <c r="AJ541" s="87" t="s">
        <v>15177</v>
      </c>
      <c r="AK541" s="87" t="s">
        <v>15234</v>
      </c>
      <c r="AL541" s="87" t="s">
        <v>15237</v>
      </c>
      <c r="AM541" s="87" t="s">
        <v>15249</v>
      </c>
      <c r="AN541" s="87" t="s">
        <v>15314</v>
      </c>
      <c r="AO541" s="87" t="s">
        <v>15381</v>
      </c>
      <c r="AP541" s="87" t="s">
        <v>15438</v>
      </c>
      <c r="AQ541" s="87" t="s">
        <v>15802</v>
      </c>
      <c r="AR541" s="87"/>
      <c r="AS541" s="87"/>
      <c r="AT541" s="87"/>
      <c r="AU541" s="87"/>
      <c r="AV541" s="92" t="str">
        <f>HYPERLINK("https://pbs.twimg.com/media/F0Wj5AHXwAA7SwF.jpg")</f>
        <v>https://pbs.twimg.com/media/F0Wj5AHXwAA7SwF.jpg</v>
      </c>
      <c r="AW541" s="93" t="s">
        <v>18791</v>
      </c>
      <c r="AX541" s="93" t="s">
        <v>18791</v>
      </c>
      <c r="AY541" s="87"/>
      <c r="AZ541" s="93" t="s">
        <v>22668</v>
      </c>
      <c r="BA541" s="93" t="s">
        <v>22668</v>
      </c>
      <c r="BB541" s="93" t="s">
        <v>22668</v>
      </c>
      <c r="BC541" s="93" t="s">
        <v>18791</v>
      </c>
      <c r="BD541" s="87">
        <v>3893109381</v>
      </c>
      <c r="BE541" s="87"/>
      <c r="BF541" s="87"/>
      <c r="BG541" s="87"/>
      <c r="BH541" s="87"/>
      <c r="BI541" s="87"/>
    </row>
    <row r="542" spans="1:61" x14ac:dyDescent="0.25">
      <c r="A542" s="63" t="s">
        <v>397</v>
      </c>
      <c r="B542" s="63" t="s">
        <v>397</v>
      </c>
      <c r="C542" s="64"/>
      <c r="D542" s="65"/>
      <c r="E542" s="66"/>
      <c r="F542" s="67"/>
      <c r="G542" s="64"/>
      <c r="H542" s="68"/>
      <c r="I542" s="69"/>
      <c r="J542" s="69"/>
      <c r="K542" s="32"/>
      <c r="L542" s="76">
        <v>542</v>
      </c>
      <c r="M542" s="76"/>
      <c r="N542" s="71"/>
      <c r="O542" s="87" t="s">
        <v>179</v>
      </c>
      <c r="P542" s="90">
        <v>45127.505567129629</v>
      </c>
      <c r="Q542" s="87" t="s">
        <v>2371</v>
      </c>
      <c r="R542" s="87">
        <v>0</v>
      </c>
      <c r="S542" s="87">
        <v>1</v>
      </c>
      <c r="T542" s="87">
        <v>0</v>
      </c>
      <c r="U542" s="87">
        <v>0</v>
      </c>
      <c r="V542" s="87">
        <v>68</v>
      </c>
      <c r="W542" s="93" t="s">
        <v>6208</v>
      </c>
      <c r="X542" s="87"/>
      <c r="Y542" s="87"/>
      <c r="Z542" s="87"/>
      <c r="AA542" s="87" t="s">
        <v>8990</v>
      </c>
      <c r="AB542" s="87" t="s">
        <v>11448</v>
      </c>
      <c r="AC542" s="93" t="s">
        <v>11458</v>
      </c>
      <c r="AD542" s="87" t="s">
        <v>11519</v>
      </c>
      <c r="AE542" s="92" t="str">
        <f>HYPERLINK("https://twitter.com/oportoneto/status/1681999397834375169")</f>
        <v>https://twitter.com/oportoneto/status/1681999397834375169</v>
      </c>
      <c r="AF542" s="90">
        <v>45127.505567129629</v>
      </c>
      <c r="AG542" s="99">
        <v>45127</v>
      </c>
      <c r="AH542" s="93" t="s">
        <v>12047</v>
      </c>
      <c r="AI542" s="87" t="b">
        <v>0</v>
      </c>
      <c r="AJ542" s="87" t="s">
        <v>15177</v>
      </c>
      <c r="AK542" s="87" t="s">
        <v>15234</v>
      </c>
      <c r="AL542" s="87" t="s">
        <v>15237</v>
      </c>
      <c r="AM542" s="87" t="s">
        <v>15249</v>
      </c>
      <c r="AN542" s="87" t="s">
        <v>15314</v>
      </c>
      <c r="AO542" s="87" t="s">
        <v>15381</v>
      </c>
      <c r="AP542" s="87" t="s">
        <v>15438</v>
      </c>
      <c r="AQ542" s="87" t="s">
        <v>15803</v>
      </c>
      <c r="AR542" s="87"/>
      <c r="AS542" s="87"/>
      <c r="AT542" s="87"/>
      <c r="AU542" s="87"/>
      <c r="AV542" s="92" t="str">
        <f>HYPERLINK("https://pbs.twimg.com/media/F1epiX3X0AI36rJ.jpg")</f>
        <v>https://pbs.twimg.com/media/F1epiX3X0AI36rJ.jpg</v>
      </c>
      <c r="AW542" s="93" t="s">
        <v>18792</v>
      </c>
      <c r="AX542" s="93" t="s">
        <v>18792</v>
      </c>
      <c r="AY542" s="87"/>
      <c r="AZ542" s="93" t="s">
        <v>22668</v>
      </c>
      <c r="BA542" s="93" t="s">
        <v>22668</v>
      </c>
      <c r="BB542" s="93" t="s">
        <v>22668</v>
      </c>
      <c r="BC542" s="93" t="s">
        <v>18792</v>
      </c>
      <c r="BD542" s="87">
        <v>3893109381</v>
      </c>
      <c r="BE542" s="87"/>
      <c r="BF542" s="87"/>
      <c r="BG542" s="87"/>
      <c r="BH542" s="87"/>
      <c r="BI542" s="87"/>
    </row>
    <row r="543" spans="1:61" x14ac:dyDescent="0.25">
      <c r="A543" s="63" t="s">
        <v>397</v>
      </c>
      <c r="B543" s="63" t="s">
        <v>397</v>
      </c>
      <c r="C543" s="64"/>
      <c r="D543" s="65"/>
      <c r="E543" s="66"/>
      <c r="F543" s="67"/>
      <c r="G543" s="64"/>
      <c r="H543" s="68"/>
      <c r="I543" s="69"/>
      <c r="J543" s="69"/>
      <c r="K543" s="32"/>
      <c r="L543" s="76">
        <v>543</v>
      </c>
      <c r="M543" s="76"/>
      <c r="N543" s="71"/>
      <c r="O543" s="87" t="s">
        <v>179</v>
      </c>
      <c r="P543" s="90">
        <v>45183.534432870372</v>
      </c>
      <c r="Q543" s="87" t="s">
        <v>2372</v>
      </c>
      <c r="R543" s="87">
        <v>0</v>
      </c>
      <c r="S543" s="87">
        <v>0</v>
      </c>
      <c r="T543" s="87">
        <v>0</v>
      </c>
      <c r="U543" s="87">
        <v>0</v>
      </c>
      <c r="V543" s="87">
        <v>9</v>
      </c>
      <c r="W543" s="93" t="s">
        <v>6209</v>
      </c>
      <c r="X543" s="87"/>
      <c r="Y543" s="87"/>
      <c r="Z543" s="87"/>
      <c r="AA543" s="87" t="s">
        <v>8991</v>
      </c>
      <c r="AB543" s="87" t="s">
        <v>11448</v>
      </c>
      <c r="AC543" s="93" t="s">
        <v>11458</v>
      </c>
      <c r="AD543" s="87" t="s">
        <v>11519</v>
      </c>
      <c r="AE543" s="92" t="str">
        <f>HYPERLINK("https://twitter.com/oportoneto/status/1702303581188055486")</f>
        <v>https://twitter.com/oportoneto/status/1702303581188055486</v>
      </c>
      <c r="AF543" s="90">
        <v>45183.534432870372</v>
      </c>
      <c r="AG543" s="99">
        <v>45183</v>
      </c>
      <c r="AH543" s="93" t="s">
        <v>12048</v>
      </c>
      <c r="AI543" s="87" t="b">
        <v>0</v>
      </c>
      <c r="AJ543" s="87"/>
      <c r="AK543" s="87"/>
      <c r="AL543" s="87"/>
      <c r="AM543" s="87"/>
      <c r="AN543" s="87"/>
      <c r="AO543" s="87"/>
      <c r="AP543" s="87"/>
      <c r="AQ543" s="87" t="s">
        <v>15804</v>
      </c>
      <c r="AR543" s="87"/>
      <c r="AS543" s="87"/>
      <c r="AT543" s="87"/>
      <c r="AU543" s="87"/>
      <c r="AV543" s="92" t="str">
        <f>HYPERLINK("https://pbs.twimg.com/media/F5_MFWiWIAAAg3i.jpg")</f>
        <v>https://pbs.twimg.com/media/F5_MFWiWIAAAg3i.jpg</v>
      </c>
      <c r="AW543" s="93" t="s">
        <v>18793</v>
      </c>
      <c r="AX543" s="93" t="s">
        <v>18793</v>
      </c>
      <c r="AY543" s="87"/>
      <c r="AZ543" s="93" t="s">
        <v>22668</v>
      </c>
      <c r="BA543" s="93" t="s">
        <v>22668</v>
      </c>
      <c r="BB543" s="93" t="s">
        <v>22668</v>
      </c>
      <c r="BC543" s="93" t="s">
        <v>18793</v>
      </c>
      <c r="BD543" s="87">
        <v>3893109381</v>
      </c>
      <c r="BE543" s="87"/>
      <c r="BF543" s="87"/>
      <c r="BG543" s="87"/>
      <c r="BH543" s="87"/>
      <c r="BI543" s="87"/>
    </row>
    <row r="544" spans="1:61" x14ac:dyDescent="0.25">
      <c r="A544" s="63" t="s">
        <v>398</v>
      </c>
      <c r="B544" s="63" t="s">
        <v>398</v>
      </c>
      <c r="C544" s="64"/>
      <c r="D544" s="65"/>
      <c r="E544" s="66"/>
      <c r="F544" s="67"/>
      <c r="G544" s="64"/>
      <c r="H544" s="68"/>
      <c r="I544" s="69"/>
      <c r="J544" s="69"/>
      <c r="K544" s="32"/>
      <c r="L544" s="76">
        <v>544</v>
      </c>
      <c r="M544" s="76"/>
      <c r="N544" s="71"/>
      <c r="O544" s="87" t="s">
        <v>179</v>
      </c>
      <c r="P544" s="90">
        <v>45158.682256944441</v>
      </c>
      <c r="Q544" s="87" t="s">
        <v>2373</v>
      </c>
      <c r="R544" s="87">
        <v>0</v>
      </c>
      <c r="S544" s="87">
        <v>0</v>
      </c>
      <c r="T544" s="87">
        <v>0</v>
      </c>
      <c r="U544" s="87">
        <v>0</v>
      </c>
      <c r="V544" s="87">
        <v>40</v>
      </c>
      <c r="W544" s="93" t="s">
        <v>6210</v>
      </c>
      <c r="X544" s="87"/>
      <c r="Y544" s="87"/>
      <c r="Z544" s="87"/>
      <c r="AA544" s="87" t="s">
        <v>8992</v>
      </c>
      <c r="AB544" s="87" t="s">
        <v>11447</v>
      </c>
      <c r="AC544" s="93" t="s">
        <v>11457</v>
      </c>
      <c r="AD544" s="87" t="s">
        <v>11519</v>
      </c>
      <c r="AE544" s="92" t="str">
        <f>HYPERLINK("https://twitter.com/antonio_twittes/status/1693297455327064507")</f>
        <v>https://twitter.com/antonio_twittes/status/1693297455327064507</v>
      </c>
      <c r="AF544" s="90">
        <v>45158.682256944441</v>
      </c>
      <c r="AG544" s="99">
        <v>45158</v>
      </c>
      <c r="AH544" s="93" t="s">
        <v>12049</v>
      </c>
      <c r="AI544" s="87" t="b">
        <v>0</v>
      </c>
      <c r="AJ544" s="87"/>
      <c r="AK544" s="87"/>
      <c r="AL544" s="87"/>
      <c r="AM544" s="87"/>
      <c r="AN544" s="87"/>
      <c r="AO544" s="87"/>
      <c r="AP544" s="87"/>
      <c r="AQ544" s="87" t="s">
        <v>15805</v>
      </c>
      <c r="AR544" s="87">
        <v>53648</v>
      </c>
      <c r="AS544" s="87"/>
      <c r="AT544" s="87"/>
      <c r="AU544" s="87"/>
      <c r="AV544" s="92" t="str">
        <f>HYPERLINK("https://pbs.twimg.com/ext_tw_video_thumb/1693297391988772864/pu/img/rUBRjFLVK2Ho3urO.jpg")</f>
        <v>https://pbs.twimg.com/ext_tw_video_thumb/1693297391988772864/pu/img/rUBRjFLVK2Ho3urO.jpg</v>
      </c>
      <c r="AW544" s="93" t="s">
        <v>18794</v>
      </c>
      <c r="AX544" s="93" t="s">
        <v>18794</v>
      </c>
      <c r="AY544" s="87"/>
      <c r="AZ544" s="93" t="s">
        <v>22668</v>
      </c>
      <c r="BA544" s="93" t="s">
        <v>22668</v>
      </c>
      <c r="BB544" s="93" t="s">
        <v>22668</v>
      </c>
      <c r="BC544" s="93" t="s">
        <v>18794</v>
      </c>
      <c r="BD544" s="93" t="s">
        <v>22895</v>
      </c>
      <c r="BE544" s="87"/>
      <c r="BF544" s="87"/>
      <c r="BG544" s="87"/>
      <c r="BH544" s="87"/>
      <c r="BI544" s="87"/>
    </row>
    <row r="545" spans="1:61" x14ac:dyDescent="0.25">
      <c r="A545" s="63" t="s">
        <v>398</v>
      </c>
      <c r="B545" s="63" t="s">
        <v>398</v>
      </c>
      <c r="C545" s="64"/>
      <c r="D545" s="65"/>
      <c r="E545" s="66"/>
      <c r="F545" s="67"/>
      <c r="G545" s="64"/>
      <c r="H545" s="68"/>
      <c r="I545" s="69"/>
      <c r="J545" s="69"/>
      <c r="K545" s="32"/>
      <c r="L545" s="76">
        <v>545</v>
      </c>
      <c r="M545" s="76"/>
      <c r="N545" s="71"/>
      <c r="O545" s="87" t="s">
        <v>179</v>
      </c>
      <c r="P545" s="90">
        <v>45154.727013888885</v>
      </c>
      <c r="Q545" s="87" t="s">
        <v>2374</v>
      </c>
      <c r="R545" s="87">
        <v>0</v>
      </c>
      <c r="S545" s="87">
        <v>0</v>
      </c>
      <c r="T545" s="87">
        <v>0</v>
      </c>
      <c r="U545" s="87">
        <v>0</v>
      </c>
      <c r="V545" s="87">
        <v>18</v>
      </c>
      <c r="W545" s="93" t="s">
        <v>5897</v>
      </c>
      <c r="X545" s="87"/>
      <c r="Y545" s="87"/>
      <c r="Z545" s="87"/>
      <c r="AA545" s="87" t="s">
        <v>8993</v>
      </c>
      <c r="AB545" s="87" t="s">
        <v>11447</v>
      </c>
      <c r="AC545" s="93" t="s">
        <v>11457</v>
      </c>
      <c r="AD545" s="87" t="s">
        <v>11519</v>
      </c>
      <c r="AE545" s="92" t="str">
        <f>HYPERLINK("https://twitter.com/antonio_twittes/status/1691864119308153079")</f>
        <v>https://twitter.com/antonio_twittes/status/1691864119308153079</v>
      </c>
      <c r="AF545" s="90">
        <v>45154.727013888885</v>
      </c>
      <c r="AG545" s="99">
        <v>45154</v>
      </c>
      <c r="AH545" s="93" t="s">
        <v>12050</v>
      </c>
      <c r="AI545" s="87" t="b">
        <v>0</v>
      </c>
      <c r="AJ545" s="87"/>
      <c r="AK545" s="87"/>
      <c r="AL545" s="87"/>
      <c r="AM545" s="87"/>
      <c r="AN545" s="87"/>
      <c r="AO545" s="87"/>
      <c r="AP545" s="87"/>
      <c r="AQ545" s="87" t="s">
        <v>15806</v>
      </c>
      <c r="AR545" s="87">
        <v>31300</v>
      </c>
      <c r="AS545" s="87"/>
      <c r="AT545" s="87"/>
      <c r="AU545" s="87"/>
      <c r="AV545" s="92" t="str">
        <f>HYPERLINK("https://pbs.twimg.com/ext_tw_video_thumb/1691863815145615365/pu/img/uzlBzNUszhaduxSc.jpg")</f>
        <v>https://pbs.twimg.com/ext_tw_video_thumb/1691863815145615365/pu/img/uzlBzNUszhaduxSc.jpg</v>
      </c>
      <c r="AW545" s="93" t="s">
        <v>18795</v>
      </c>
      <c r="AX545" s="93" t="s">
        <v>18795</v>
      </c>
      <c r="AY545" s="87"/>
      <c r="AZ545" s="93" t="s">
        <v>22668</v>
      </c>
      <c r="BA545" s="93" t="s">
        <v>22668</v>
      </c>
      <c r="BB545" s="93" t="s">
        <v>22668</v>
      </c>
      <c r="BC545" s="93" t="s">
        <v>18795</v>
      </c>
      <c r="BD545" s="93" t="s">
        <v>22895</v>
      </c>
      <c r="BE545" s="87"/>
      <c r="BF545" s="87"/>
      <c r="BG545" s="87"/>
      <c r="BH545" s="87"/>
      <c r="BI545" s="87"/>
    </row>
    <row r="546" spans="1:61" x14ac:dyDescent="0.25">
      <c r="A546" s="63" t="s">
        <v>398</v>
      </c>
      <c r="B546" s="63" t="s">
        <v>398</v>
      </c>
      <c r="C546" s="64"/>
      <c r="D546" s="65"/>
      <c r="E546" s="66"/>
      <c r="F546" s="67"/>
      <c r="G546" s="64"/>
      <c r="H546" s="68"/>
      <c r="I546" s="69"/>
      <c r="J546" s="69"/>
      <c r="K546" s="32"/>
      <c r="L546" s="76">
        <v>546</v>
      </c>
      <c r="M546" s="76"/>
      <c r="N546" s="71"/>
      <c r="O546" s="87" t="s">
        <v>179</v>
      </c>
      <c r="P546" s="90">
        <v>45160.838796296295</v>
      </c>
      <c r="Q546" s="87" t="s">
        <v>2375</v>
      </c>
      <c r="R546" s="87">
        <v>0</v>
      </c>
      <c r="S546" s="87">
        <v>0</v>
      </c>
      <c r="T546" s="87">
        <v>1</v>
      </c>
      <c r="U546" s="87">
        <v>0</v>
      </c>
      <c r="V546" s="87">
        <v>28</v>
      </c>
      <c r="W546" s="93" t="s">
        <v>6211</v>
      </c>
      <c r="X546" s="87"/>
      <c r="Y546" s="87"/>
      <c r="Z546" s="87"/>
      <c r="AA546" s="87" t="s">
        <v>8994</v>
      </c>
      <c r="AB546" s="87" t="s">
        <v>11447</v>
      </c>
      <c r="AC546" s="93" t="s">
        <v>11457</v>
      </c>
      <c r="AD546" s="87" t="s">
        <v>11519</v>
      </c>
      <c r="AE546" s="92" t="str">
        <f>HYPERLINK("https://twitter.com/antonio_twittes/status/1694078958432559377")</f>
        <v>https://twitter.com/antonio_twittes/status/1694078958432559377</v>
      </c>
      <c r="AF546" s="90">
        <v>45160.838796296295</v>
      </c>
      <c r="AG546" s="99">
        <v>45160</v>
      </c>
      <c r="AH546" s="93" t="s">
        <v>12051</v>
      </c>
      <c r="AI546" s="87" t="b">
        <v>0</v>
      </c>
      <c r="AJ546" s="87"/>
      <c r="AK546" s="87"/>
      <c r="AL546" s="87"/>
      <c r="AM546" s="87"/>
      <c r="AN546" s="87"/>
      <c r="AO546" s="87"/>
      <c r="AP546" s="87"/>
      <c r="AQ546" s="87" t="s">
        <v>15807</v>
      </c>
      <c r="AR546" s="87">
        <v>79191</v>
      </c>
      <c r="AS546" s="87"/>
      <c r="AT546" s="87"/>
      <c r="AU546" s="87"/>
      <c r="AV546" s="92" t="str">
        <f>HYPERLINK("https://pbs.twimg.com/ext_tw_video_thumb/1694077941628448769/pu/img/keVRMMJQzZwei8GU.jpg")</f>
        <v>https://pbs.twimg.com/ext_tw_video_thumb/1694077941628448769/pu/img/keVRMMJQzZwei8GU.jpg</v>
      </c>
      <c r="AW546" s="93" t="s">
        <v>18796</v>
      </c>
      <c r="AX546" s="93" t="s">
        <v>18796</v>
      </c>
      <c r="AY546" s="87"/>
      <c r="AZ546" s="93" t="s">
        <v>22668</v>
      </c>
      <c r="BA546" s="93" t="s">
        <v>22668</v>
      </c>
      <c r="BB546" s="93" t="s">
        <v>22668</v>
      </c>
      <c r="BC546" s="93" t="s">
        <v>18796</v>
      </c>
      <c r="BD546" s="93" t="s">
        <v>22895</v>
      </c>
      <c r="BE546" s="87"/>
      <c r="BF546" s="87"/>
      <c r="BG546" s="87"/>
      <c r="BH546" s="87"/>
      <c r="BI546" s="87"/>
    </row>
    <row r="547" spans="1:61" x14ac:dyDescent="0.25">
      <c r="A547" s="63" t="s">
        <v>399</v>
      </c>
      <c r="B547" s="63" t="s">
        <v>399</v>
      </c>
      <c r="C547" s="64"/>
      <c r="D547" s="65"/>
      <c r="E547" s="66"/>
      <c r="F547" s="67"/>
      <c r="G547" s="64"/>
      <c r="H547" s="68"/>
      <c r="I547" s="69"/>
      <c r="J547" s="69"/>
      <c r="K547" s="32"/>
      <c r="L547" s="76">
        <v>547</v>
      </c>
      <c r="M547" s="76"/>
      <c r="N547" s="71"/>
      <c r="O547" s="87" t="s">
        <v>179</v>
      </c>
      <c r="P547" s="90">
        <v>45153.559120370373</v>
      </c>
      <c r="Q547" s="87" t="s">
        <v>2376</v>
      </c>
      <c r="R547" s="87">
        <v>0</v>
      </c>
      <c r="S547" s="87">
        <v>0</v>
      </c>
      <c r="T547" s="87">
        <v>0</v>
      </c>
      <c r="U547" s="87">
        <v>0</v>
      </c>
      <c r="V547" s="87">
        <v>53</v>
      </c>
      <c r="W547" s="93" t="s">
        <v>6212</v>
      </c>
      <c r="X547" s="92" t="str">
        <f>HYPERLINK("https://youtu.be/fC0eeb7xwrY")</f>
        <v>https://youtu.be/fC0eeb7xwrY</v>
      </c>
      <c r="Y547" s="87" t="s">
        <v>8372</v>
      </c>
      <c r="Z547" s="87"/>
      <c r="AA547" s="87" t="s">
        <v>8995</v>
      </c>
      <c r="AB547" s="87" t="s">
        <v>11448</v>
      </c>
      <c r="AC547" s="93" t="s">
        <v>11457</v>
      </c>
      <c r="AD547" s="87" t="s">
        <v>11519</v>
      </c>
      <c r="AE547" s="92" t="str">
        <f>HYPERLINK("https://twitter.com/jovempansjc/status/1691440889070010368")</f>
        <v>https://twitter.com/jovempansjc/status/1691440889070010368</v>
      </c>
      <c r="AF547" s="90">
        <v>45153.559120370373</v>
      </c>
      <c r="AG547" s="99">
        <v>45153</v>
      </c>
      <c r="AH547" s="93" t="s">
        <v>12052</v>
      </c>
      <c r="AI547" s="87" t="b">
        <v>0</v>
      </c>
      <c r="AJ547" s="87"/>
      <c r="AK547" s="87"/>
      <c r="AL547" s="87"/>
      <c r="AM547" s="87"/>
      <c r="AN547" s="87"/>
      <c r="AO547" s="87"/>
      <c r="AP547" s="87"/>
      <c r="AQ547" s="87" t="s">
        <v>15808</v>
      </c>
      <c r="AR547" s="87"/>
      <c r="AS547" s="87"/>
      <c r="AT547" s="87"/>
      <c r="AU547" s="87"/>
      <c r="AV547" s="92" t="str">
        <f>HYPERLINK("https://pbs.twimg.com/media/F3k0aEkaEAEnRZM.png")</f>
        <v>https://pbs.twimg.com/media/F3k0aEkaEAEnRZM.png</v>
      </c>
      <c r="AW547" s="93" t="s">
        <v>18797</v>
      </c>
      <c r="AX547" s="93" t="s">
        <v>18797</v>
      </c>
      <c r="AY547" s="87"/>
      <c r="AZ547" s="93" t="s">
        <v>22668</v>
      </c>
      <c r="BA547" s="93" t="s">
        <v>22668</v>
      </c>
      <c r="BB547" s="93" t="s">
        <v>22668</v>
      </c>
      <c r="BC547" s="93" t="s">
        <v>18797</v>
      </c>
      <c r="BD547" s="87">
        <v>65361763</v>
      </c>
      <c r="BE547" s="87"/>
      <c r="BF547" s="87"/>
      <c r="BG547" s="87"/>
      <c r="BH547" s="87"/>
      <c r="BI547" s="87"/>
    </row>
    <row r="548" spans="1:61" x14ac:dyDescent="0.25">
      <c r="A548" s="63" t="s">
        <v>400</v>
      </c>
      <c r="B548" s="63" t="s">
        <v>400</v>
      </c>
      <c r="C548" s="64"/>
      <c r="D548" s="65"/>
      <c r="E548" s="66"/>
      <c r="F548" s="67"/>
      <c r="G548" s="64"/>
      <c r="H548" s="68"/>
      <c r="I548" s="69"/>
      <c r="J548" s="69"/>
      <c r="K548" s="32"/>
      <c r="L548" s="76">
        <v>548</v>
      </c>
      <c r="M548" s="76"/>
      <c r="N548" s="71"/>
      <c r="O548" s="87" t="s">
        <v>179</v>
      </c>
      <c r="P548" s="90">
        <v>45131.782418981478</v>
      </c>
      <c r="Q548" s="87" t="s">
        <v>2377</v>
      </c>
      <c r="R548" s="87">
        <v>0</v>
      </c>
      <c r="S548" s="87">
        <v>0</v>
      </c>
      <c r="T548" s="87">
        <v>0</v>
      </c>
      <c r="U548" s="87">
        <v>0</v>
      </c>
      <c r="V548" s="87">
        <v>6</v>
      </c>
      <c r="W548" s="93" t="s">
        <v>6213</v>
      </c>
      <c r="X548" s="92" t="str">
        <f>HYPERLINK("https://bit.ly/3q74uLd")</f>
        <v>https://bit.ly/3q74uLd</v>
      </c>
      <c r="Y548" s="87" t="s">
        <v>8374</v>
      </c>
      <c r="Z548" s="87"/>
      <c r="AA548" s="87" t="s">
        <v>8996</v>
      </c>
      <c r="AB548" s="87" t="s">
        <v>11448</v>
      </c>
      <c r="AC548" s="93" t="s">
        <v>11457</v>
      </c>
      <c r="AD548" s="87" t="s">
        <v>11519</v>
      </c>
      <c r="AE548" s="92" t="str">
        <f>HYPERLINK("https://twitter.com/conectafreela/status/1683549278268973057")</f>
        <v>https://twitter.com/conectafreela/status/1683549278268973057</v>
      </c>
      <c r="AF548" s="90">
        <v>45131.782418981478</v>
      </c>
      <c r="AG548" s="99">
        <v>45131</v>
      </c>
      <c r="AH548" s="93" t="s">
        <v>12053</v>
      </c>
      <c r="AI548" s="87" t="b">
        <v>0</v>
      </c>
      <c r="AJ548" s="87"/>
      <c r="AK548" s="87"/>
      <c r="AL548" s="87"/>
      <c r="AM548" s="87"/>
      <c r="AN548" s="87"/>
      <c r="AO548" s="87"/>
      <c r="AP548" s="87"/>
      <c r="AQ548" s="87" t="s">
        <v>15809</v>
      </c>
      <c r="AR548" s="87"/>
      <c r="AS548" s="87"/>
      <c r="AT548" s="87"/>
      <c r="AU548" s="87"/>
      <c r="AV548" s="92" t="str">
        <f>HYPERLINK("https://pbs.twimg.com/media/F10rH-KWIAUSigU.png")</f>
        <v>https://pbs.twimg.com/media/F10rH-KWIAUSigU.png</v>
      </c>
      <c r="AW548" s="93" t="s">
        <v>18798</v>
      </c>
      <c r="AX548" s="93" t="s">
        <v>18798</v>
      </c>
      <c r="AY548" s="87"/>
      <c r="AZ548" s="93" t="s">
        <v>22668</v>
      </c>
      <c r="BA548" s="93" t="s">
        <v>22668</v>
      </c>
      <c r="BB548" s="93" t="s">
        <v>22668</v>
      </c>
      <c r="BC548" s="93" t="s">
        <v>18798</v>
      </c>
      <c r="BD548" s="93" t="s">
        <v>22896</v>
      </c>
      <c r="BE548" s="87"/>
      <c r="BF548" s="87"/>
      <c r="BG548" s="87"/>
      <c r="BH548" s="87"/>
      <c r="BI548" s="87"/>
    </row>
    <row r="549" spans="1:61" x14ac:dyDescent="0.25">
      <c r="A549" s="63" t="s">
        <v>400</v>
      </c>
      <c r="B549" s="63" t="s">
        <v>400</v>
      </c>
      <c r="C549" s="64"/>
      <c r="D549" s="65"/>
      <c r="E549" s="66"/>
      <c r="F549" s="67"/>
      <c r="G549" s="64"/>
      <c r="H549" s="68"/>
      <c r="I549" s="69"/>
      <c r="J549" s="69"/>
      <c r="K549" s="32"/>
      <c r="L549" s="76">
        <v>549</v>
      </c>
      <c r="M549" s="76"/>
      <c r="N549" s="71"/>
      <c r="O549" s="87" t="s">
        <v>179</v>
      </c>
      <c r="P549" s="90">
        <v>45145.978900462964</v>
      </c>
      <c r="Q549" s="87" t="s">
        <v>2378</v>
      </c>
      <c r="R549" s="87">
        <v>0</v>
      </c>
      <c r="S549" s="87">
        <v>1</v>
      </c>
      <c r="T549" s="87">
        <v>0</v>
      </c>
      <c r="U549" s="87">
        <v>0</v>
      </c>
      <c r="V549" s="87">
        <v>12</v>
      </c>
      <c r="W549" s="93" t="s">
        <v>6214</v>
      </c>
      <c r="X549" s="92" t="str">
        <f>HYPERLINK("https://bit.ly/3YrLrbb")</f>
        <v>https://bit.ly/3YrLrbb</v>
      </c>
      <c r="Y549" s="87" t="s">
        <v>8374</v>
      </c>
      <c r="Z549" s="87"/>
      <c r="AA549" s="87"/>
      <c r="AB549" s="87"/>
      <c r="AC549" s="93" t="s">
        <v>11470</v>
      </c>
      <c r="AD549" s="87" t="s">
        <v>11519</v>
      </c>
      <c r="AE549" s="92" t="str">
        <f>HYPERLINK("https://twitter.com/conectafreela/status/1688693912527880192")</f>
        <v>https://twitter.com/conectafreela/status/1688693912527880192</v>
      </c>
      <c r="AF549" s="90">
        <v>45145.978900462964</v>
      </c>
      <c r="AG549" s="99">
        <v>45145</v>
      </c>
      <c r="AH549" s="93" t="s">
        <v>12054</v>
      </c>
      <c r="AI549" s="87" t="b">
        <v>0</v>
      </c>
      <c r="AJ549" s="87"/>
      <c r="AK549" s="87"/>
      <c r="AL549" s="87"/>
      <c r="AM549" s="87"/>
      <c r="AN549" s="87"/>
      <c r="AO549" s="87"/>
      <c r="AP549" s="87"/>
      <c r="AQ549" s="87"/>
      <c r="AR549" s="87"/>
      <c r="AS549" s="87"/>
      <c r="AT549" s="87"/>
      <c r="AU549" s="87"/>
      <c r="AV549" s="92" t="str">
        <f>HYPERLINK("https://pbs.twimg.com/profile_images/1688868662826942464/hU7ysZKp_normal.jpg")</f>
        <v>https://pbs.twimg.com/profile_images/1688868662826942464/hU7ysZKp_normal.jpg</v>
      </c>
      <c r="AW549" s="93" t="s">
        <v>18799</v>
      </c>
      <c r="AX549" s="93" t="s">
        <v>18799</v>
      </c>
      <c r="AY549" s="87"/>
      <c r="AZ549" s="93" t="s">
        <v>22668</v>
      </c>
      <c r="BA549" s="93" t="s">
        <v>22668</v>
      </c>
      <c r="BB549" s="93" t="s">
        <v>22668</v>
      </c>
      <c r="BC549" s="93" t="s">
        <v>18799</v>
      </c>
      <c r="BD549" s="93" t="s">
        <v>22896</v>
      </c>
      <c r="BE549" s="87"/>
      <c r="BF549" s="87"/>
      <c r="BG549" s="87"/>
      <c r="BH549" s="87"/>
      <c r="BI549" s="87"/>
    </row>
    <row r="550" spans="1:61" x14ac:dyDescent="0.25">
      <c r="A550" s="63" t="s">
        <v>401</v>
      </c>
      <c r="B550" s="63" t="s">
        <v>401</v>
      </c>
      <c r="C550" s="64"/>
      <c r="D550" s="65"/>
      <c r="E550" s="66"/>
      <c r="F550" s="67"/>
      <c r="G550" s="64"/>
      <c r="H550" s="68"/>
      <c r="I550" s="69"/>
      <c r="J550" s="69"/>
      <c r="K550" s="32"/>
      <c r="L550" s="76">
        <v>550</v>
      </c>
      <c r="M550" s="76"/>
      <c r="N550" s="71"/>
      <c r="O550" s="87" t="s">
        <v>179</v>
      </c>
      <c r="P550" s="90">
        <v>45124.549039351848</v>
      </c>
      <c r="Q550" s="87" t="s">
        <v>2379</v>
      </c>
      <c r="R550" s="87">
        <v>0</v>
      </c>
      <c r="S550" s="87">
        <v>1</v>
      </c>
      <c r="T550" s="87">
        <v>0</v>
      </c>
      <c r="U550" s="87">
        <v>0</v>
      </c>
      <c r="V550" s="87">
        <v>37</v>
      </c>
      <c r="W550" s="93" t="s">
        <v>6215</v>
      </c>
      <c r="X550" s="87"/>
      <c r="Y550" s="87"/>
      <c r="Z550" s="87"/>
      <c r="AA550" s="87" t="s">
        <v>8997</v>
      </c>
      <c r="AB550" s="87" t="s">
        <v>11452</v>
      </c>
      <c r="AC550" s="93" t="s">
        <v>11457</v>
      </c>
      <c r="AD550" s="87" t="s">
        <v>11519</v>
      </c>
      <c r="AE550" s="92" t="str">
        <f>HYPERLINK("https://twitter.com/sipagbrasil/status/1680927987959492608")</f>
        <v>https://twitter.com/sipagbrasil/status/1680927987959492608</v>
      </c>
      <c r="AF550" s="90">
        <v>45124.549039351848</v>
      </c>
      <c r="AG550" s="99">
        <v>45124</v>
      </c>
      <c r="AH550" s="93" t="s">
        <v>12055</v>
      </c>
      <c r="AI550" s="87" t="b">
        <v>0</v>
      </c>
      <c r="AJ550" s="87"/>
      <c r="AK550" s="87"/>
      <c r="AL550" s="87"/>
      <c r="AM550" s="87"/>
      <c r="AN550" s="87"/>
      <c r="AO550" s="87"/>
      <c r="AP550" s="87"/>
      <c r="AQ550" s="87" t="s">
        <v>15810</v>
      </c>
      <c r="AR550" s="87"/>
      <c r="AS550" s="87"/>
      <c r="AT550" s="87"/>
      <c r="AU550" s="87"/>
      <c r="AV550" s="92" t="str">
        <f>HYPERLINK("https://pbs.twimg.com/tweet_video_thumb/F1PbDMEWwAMDSwe.jpg")</f>
        <v>https://pbs.twimg.com/tweet_video_thumb/F1PbDMEWwAMDSwe.jpg</v>
      </c>
      <c r="AW550" s="93" t="s">
        <v>18800</v>
      </c>
      <c r="AX550" s="93" t="s">
        <v>18800</v>
      </c>
      <c r="AY550" s="87"/>
      <c r="AZ550" s="93" t="s">
        <v>22668</v>
      </c>
      <c r="BA550" s="93" t="s">
        <v>22668</v>
      </c>
      <c r="BB550" s="93" t="s">
        <v>22668</v>
      </c>
      <c r="BC550" s="93" t="s">
        <v>18800</v>
      </c>
      <c r="BD550" s="93" t="s">
        <v>22530</v>
      </c>
      <c r="BE550" s="87"/>
      <c r="BF550" s="87"/>
      <c r="BG550" s="87"/>
      <c r="BH550" s="87"/>
      <c r="BI550" s="87"/>
    </row>
    <row r="551" spans="1:61" x14ac:dyDescent="0.25">
      <c r="A551" s="63" t="s">
        <v>401</v>
      </c>
      <c r="B551" s="63" t="s">
        <v>401</v>
      </c>
      <c r="C551" s="64"/>
      <c r="D551" s="65"/>
      <c r="E551" s="66"/>
      <c r="F551" s="67"/>
      <c r="G551" s="64"/>
      <c r="H551" s="68"/>
      <c r="I551" s="69"/>
      <c r="J551" s="69"/>
      <c r="K551" s="32"/>
      <c r="L551" s="76">
        <v>551</v>
      </c>
      <c r="M551" s="76"/>
      <c r="N551" s="71"/>
      <c r="O551" s="87" t="s">
        <v>179</v>
      </c>
      <c r="P551" s="90">
        <v>45141.904710648145</v>
      </c>
      <c r="Q551" s="87" t="s">
        <v>2380</v>
      </c>
      <c r="R551" s="87">
        <v>0</v>
      </c>
      <c r="S551" s="87">
        <v>2</v>
      </c>
      <c r="T551" s="87">
        <v>0</v>
      </c>
      <c r="U551" s="87">
        <v>0</v>
      </c>
      <c r="V551" s="87">
        <v>89</v>
      </c>
      <c r="W551" s="93" t="s">
        <v>6216</v>
      </c>
      <c r="X551" s="87"/>
      <c r="Y551" s="87"/>
      <c r="Z551" s="87"/>
      <c r="AA551" s="87" t="s">
        <v>8998</v>
      </c>
      <c r="AB551" s="87" t="s">
        <v>11448</v>
      </c>
      <c r="AC551" s="93" t="s">
        <v>11457</v>
      </c>
      <c r="AD551" s="87" t="s">
        <v>11519</v>
      </c>
      <c r="AE551" s="92" t="str">
        <f>HYPERLINK("https://twitter.com/sipagbrasil/status/1687217473878130694")</f>
        <v>https://twitter.com/sipagbrasil/status/1687217473878130694</v>
      </c>
      <c r="AF551" s="90">
        <v>45141.904710648145</v>
      </c>
      <c r="AG551" s="99">
        <v>45141</v>
      </c>
      <c r="AH551" s="93" t="s">
        <v>12056</v>
      </c>
      <c r="AI551" s="87" t="b">
        <v>0</v>
      </c>
      <c r="AJ551" s="87"/>
      <c r="AK551" s="87"/>
      <c r="AL551" s="87"/>
      <c r="AM551" s="87"/>
      <c r="AN551" s="87"/>
      <c r="AO551" s="87"/>
      <c r="AP551" s="87"/>
      <c r="AQ551" s="87" t="s">
        <v>15811</v>
      </c>
      <c r="AR551" s="87"/>
      <c r="AS551" s="87"/>
      <c r="AT551" s="87"/>
      <c r="AU551" s="87"/>
      <c r="AV551" s="92" t="str">
        <f>HYPERLINK("https://pbs.twimg.com/media/F2oy9avX0AAoim5.jpg")</f>
        <v>https://pbs.twimg.com/media/F2oy9avX0AAoim5.jpg</v>
      </c>
      <c r="AW551" s="93" t="s">
        <v>18801</v>
      </c>
      <c r="AX551" s="93" t="s">
        <v>18801</v>
      </c>
      <c r="AY551" s="87"/>
      <c r="AZ551" s="93" t="s">
        <v>22668</v>
      </c>
      <c r="BA551" s="93" t="s">
        <v>22668</v>
      </c>
      <c r="BB551" s="93" t="s">
        <v>22668</v>
      </c>
      <c r="BC551" s="93" t="s">
        <v>18801</v>
      </c>
      <c r="BD551" s="93" t="s">
        <v>22530</v>
      </c>
      <c r="BE551" s="87"/>
      <c r="BF551" s="87"/>
      <c r="BG551" s="87"/>
      <c r="BH551" s="87"/>
      <c r="BI551" s="87"/>
    </row>
    <row r="552" spans="1:61" x14ac:dyDescent="0.25">
      <c r="A552" s="63" t="s">
        <v>401</v>
      </c>
      <c r="B552" s="63" t="s">
        <v>401</v>
      </c>
      <c r="C552" s="64"/>
      <c r="D552" s="65"/>
      <c r="E552" s="66"/>
      <c r="F552" s="67"/>
      <c r="G552" s="64"/>
      <c r="H552" s="68"/>
      <c r="I552" s="69"/>
      <c r="J552" s="69"/>
      <c r="K552" s="32"/>
      <c r="L552" s="76">
        <v>552</v>
      </c>
      <c r="M552" s="76"/>
      <c r="N552" s="71"/>
      <c r="O552" s="87" t="s">
        <v>179</v>
      </c>
      <c r="P552" s="90">
        <v>45187.851145833331</v>
      </c>
      <c r="Q552" s="87" t="s">
        <v>2381</v>
      </c>
      <c r="R552" s="87">
        <v>0</v>
      </c>
      <c r="S552" s="87">
        <v>1</v>
      </c>
      <c r="T552" s="87">
        <v>0</v>
      </c>
      <c r="U552" s="87">
        <v>0</v>
      </c>
      <c r="V552" s="87">
        <v>44</v>
      </c>
      <c r="W552" s="93" t="s">
        <v>6217</v>
      </c>
      <c r="X552" s="92" t="str">
        <f>HYPERLINK("https://encurtador.com.br/tuQ68")</f>
        <v>https://encurtador.com.br/tuQ68</v>
      </c>
      <c r="Y552" s="87" t="s">
        <v>8373</v>
      </c>
      <c r="Z552" s="87"/>
      <c r="AA552" s="87"/>
      <c r="AB552" s="87"/>
      <c r="AC552" s="93" t="s">
        <v>11457</v>
      </c>
      <c r="AD552" s="87" t="s">
        <v>11519</v>
      </c>
      <c r="AE552" s="92" t="str">
        <f>HYPERLINK("https://twitter.com/sipagbrasil/status/1703867905127874728")</f>
        <v>https://twitter.com/sipagbrasil/status/1703867905127874728</v>
      </c>
      <c r="AF552" s="90">
        <v>45187.851145833331</v>
      </c>
      <c r="AG552" s="99">
        <v>45187</v>
      </c>
      <c r="AH552" s="93" t="s">
        <v>12057</v>
      </c>
      <c r="AI552" s="87" t="b">
        <v>0</v>
      </c>
      <c r="AJ552" s="87"/>
      <c r="AK552" s="87"/>
      <c r="AL552" s="87"/>
      <c r="AM552" s="87"/>
      <c r="AN552" s="87"/>
      <c r="AO552" s="87"/>
      <c r="AP552" s="87"/>
      <c r="AQ552" s="87"/>
      <c r="AR552" s="87"/>
      <c r="AS552" s="87"/>
      <c r="AT552" s="87"/>
      <c r="AU552" s="87"/>
      <c r="AV552" s="92" t="str">
        <f>HYPERLINK("https://pbs.twimg.com/profile_images/1293976043485880323/nWGF-Xj3_normal.jpg")</f>
        <v>https://pbs.twimg.com/profile_images/1293976043485880323/nWGF-Xj3_normal.jpg</v>
      </c>
      <c r="AW552" s="93" t="s">
        <v>18802</v>
      </c>
      <c r="AX552" s="93" t="s">
        <v>18802</v>
      </c>
      <c r="AY552" s="87"/>
      <c r="AZ552" s="93" t="s">
        <v>22668</v>
      </c>
      <c r="BA552" s="93" t="s">
        <v>22668</v>
      </c>
      <c r="BB552" s="93" t="s">
        <v>22668</v>
      </c>
      <c r="BC552" s="93" t="s">
        <v>18802</v>
      </c>
      <c r="BD552" s="93" t="s">
        <v>22530</v>
      </c>
      <c r="BE552" s="87"/>
      <c r="BF552" s="87"/>
      <c r="BG552" s="87"/>
      <c r="BH552" s="87"/>
      <c r="BI552" s="87"/>
    </row>
    <row r="553" spans="1:61" x14ac:dyDescent="0.25">
      <c r="A553" s="63" t="s">
        <v>401</v>
      </c>
      <c r="B553" s="63" t="s">
        <v>401</v>
      </c>
      <c r="C553" s="64"/>
      <c r="D553" s="65"/>
      <c r="E553" s="66"/>
      <c r="F553" s="67"/>
      <c r="G553" s="64"/>
      <c r="H553" s="68"/>
      <c r="I553" s="69"/>
      <c r="J553" s="69"/>
      <c r="K553" s="32"/>
      <c r="L553" s="76">
        <v>553</v>
      </c>
      <c r="M553" s="76"/>
      <c r="N553" s="71"/>
      <c r="O553" s="87" t="s">
        <v>179</v>
      </c>
      <c r="P553" s="90">
        <v>45167.833935185183</v>
      </c>
      <c r="Q553" s="87" t="s">
        <v>2382</v>
      </c>
      <c r="R553" s="87">
        <v>0</v>
      </c>
      <c r="S553" s="87">
        <v>3</v>
      </c>
      <c r="T553" s="87">
        <v>0</v>
      </c>
      <c r="U553" s="87">
        <v>0</v>
      </c>
      <c r="V553" s="87">
        <v>44</v>
      </c>
      <c r="W553" s="93" t="s">
        <v>6218</v>
      </c>
      <c r="X553" s="87"/>
      <c r="Y553" s="87"/>
      <c r="Z553" s="87"/>
      <c r="AA553" s="87" t="s">
        <v>8999</v>
      </c>
      <c r="AB553" s="87" t="s">
        <v>11448</v>
      </c>
      <c r="AC553" s="93" t="s">
        <v>11457</v>
      </c>
      <c r="AD553" s="87" t="s">
        <v>11519</v>
      </c>
      <c r="AE553" s="92" t="str">
        <f>HYPERLINK("https://twitter.com/sipagbrasil/status/1696613909967351930")</f>
        <v>https://twitter.com/sipagbrasil/status/1696613909967351930</v>
      </c>
      <c r="AF553" s="90">
        <v>45167.833935185183</v>
      </c>
      <c r="AG553" s="99">
        <v>45167</v>
      </c>
      <c r="AH553" s="93" t="s">
        <v>12058</v>
      </c>
      <c r="AI553" s="87" t="b">
        <v>0</v>
      </c>
      <c r="AJ553" s="87"/>
      <c r="AK553" s="87"/>
      <c r="AL553" s="87"/>
      <c r="AM553" s="87"/>
      <c r="AN553" s="87"/>
      <c r="AO553" s="87"/>
      <c r="AP553" s="87"/>
      <c r="AQ553" s="87" t="s">
        <v>15812</v>
      </c>
      <c r="AR553" s="87"/>
      <c r="AS553" s="87"/>
      <c r="AT553" s="87"/>
      <c r="AU553" s="87"/>
      <c r="AV553" s="92" t="str">
        <f>HYPERLINK("https://pbs.twimg.com/media/F4uVL3sWcAARBSc.jpg")</f>
        <v>https://pbs.twimg.com/media/F4uVL3sWcAARBSc.jpg</v>
      </c>
      <c r="AW553" s="93" t="s">
        <v>18803</v>
      </c>
      <c r="AX553" s="93" t="s">
        <v>18803</v>
      </c>
      <c r="AY553" s="87"/>
      <c r="AZ553" s="93" t="s">
        <v>22668</v>
      </c>
      <c r="BA553" s="93" t="s">
        <v>22668</v>
      </c>
      <c r="BB553" s="93" t="s">
        <v>22668</v>
      </c>
      <c r="BC553" s="93" t="s">
        <v>18803</v>
      </c>
      <c r="BD553" s="93" t="s">
        <v>22530</v>
      </c>
      <c r="BE553" s="87"/>
      <c r="BF553" s="87"/>
      <c r="BG553" s="87"/>
      <c r="BH553" s="87"/>
      <c r="BI553" s="87"/>
    </row>
    <row r="554" spans="1:61" x14ac:dyDescent="0.25">
      <c r="A554" s="63" t="s">
        <v>401</v>
      </c>
      <c r="B554" s="63" t="s">
        <v>401</v>
      </c>
      <c r="C554" s="64"/>
      <c r="D554" s="65"/>
      <c r="E554" s="66"/>
      <c r="F554" s="67"/>
      <c r="G554" s="64"/>
      <c r="H554" s="68"/>
      <c r="I554" s="69"/>
      <c r="J554" s="69"/>
      <c r="K554" s="32"/>
      <c r="L554" s="76">
        <v>554</v>
      </c>
      <c r="M554" s="76"/>
      <c r="N554" s="71"/>
      <c r="O554" s="87" t="s">
        <v>1840</v>
      </c>
      <c r="P554" s="90">
        <v>45129.611840277779</v>
      </c>
      <c r="Q554" s="87" t="s">
        <v>2383</v>
      </c>
      <c r="R554" s="87">
        <v>0</v>
      </c>
      <c r="S554" s="87">
        <v>1</v>
      </c>
      <c r="T554" s="87">
        <v>0</v>
      </c>
      <c r="U554" s="87">
        <v>0</v>
      </c>
      <c r="V554" s="87">
        <v>32</v>
      </c>
      <c r="W554" s="93" t="s">
        <v>6219</v>
      </c>
      <c r="X554" s="87"/>
      <c r="Y554" s="87"/>
      <c r="Z554" s="87"/>
      <c r="AA554" s="87" t="s">
        <v>9000</v>
      </c>
      <c r="AB554" s="87" t="s">
        <v>11452</v>
      </c>
      <c r="AC554" s="93" t="s">
        <v>11457</v>
      </c>
      <c r="AD554" s="87" t="s">
        <v>11519</v>
      </c>
      <c r="AE554" s="92" t="str">
        <f>HYPERLINK("https://twitter.com/sipagbrasil/status/1682762685178429440")</f>
        <v>https://twitter.com/sipagbrasil/status/1682762685178429440</v>
      </c>
      <c r="AF554" s="90">
        <v>45129.611840277779</v>
      </c>
      <c r="AG554" s="99">
        <v>45129</v>
      </c>
      <c r="AH554" s="93" t="s">
        <v>12059</v>
      </c>
      <c r="AI554" s="87" t="b">
        <v>0</v>
      </c>
      <c r="AJ554" s="87"/>
      <c r="AK554" s="87"/>
      <c r="AL554" s="87"/>
      <c r="AM554" s="87"/>
      <c r="AN554" s="87"/>
      <c r="AO554" s="87"/>
      <c r="AP554" s="87"/>
      <c r="AQ554" s="87" t="s">
        <v>15813</v>
      </c>
      <c r="AR554" s="87"/>
      <c r="AS554" s="87"/>
      <c r="AT554" s="87"/>
      <c r="AU554" s="87"/>
      <c r="AV554" s="92" t="str">
        <f>HYPERLINK("https://pbs.twimg.com/tweet_video_thumb/F1pfp5cWwAENDSv.jpg")</f>
        <v>https://pbs.twimg.com/tweet_video_thumb/F1pfp5cWwAENDSv.jpg</v>
      </c>
      <c r="AW554" s="93" t="s">
        <v>18804</v>
      </c>
      <c r="AX554" s="93" t="s">
        <v>22321</v>
      </c>
      <c r="AY554" s="93" t="s">
        <v>22530</v>
      </c>
      <c r="AZ554" s="93" t="s">
        <v>22321</v>
      </c>
      <c r="BA554" s="93" t="s">
        <v>22668</v>
      </c>
      <c r="BB554" s="93" t="s">
        <v>22668</v>
      </c>
      <c r="BC554" s="93" t="s">
        <v>22321</v>
      </c>
      <c r="BD554" s="93" t="s">
        <v>22530</v>
      </c>
      <c r="BE554" s="87"/>
      <c r="BF554" s="87"/>
      <c r="BG554" s="87"/>
      <c r="BH554" s="87"/>
      <c r="BI554" s="87"/>
    </row>
    <row r="555" spans="1:61" x14ac:dyDescent="0.25">
      <c r="A555" s="63" t="s">
        <v>402</v>
      </c>
      <c r="B555" s="63" t="s">
        <v>402</v>
      </c>
      <c r="C555" s="64"/>
      <c r="D555" s="65"/>
      <c r="E555" s="66"/>
      <c r="F555" s="67"/>
      <c r="G555" s="64"/>
      <c r="H555" s="68"/>
      <c r="I555" s="69"/>
      <c r="J555" s="69"/>
      <c r="K555" s="32"/>
      <c r="L555" s="76">
        <v>555</v>
      </c>
      <c r="M555" s="76"/>
      <c r="N555" s="71"/>
      <c r="O555" s="87" t="s">
        <v>1840</v>
      </c>
      <c r="P555" s="90">
        <v>45140.50141203704</v>
      </c>
      <c r="Q555" s="87" t="s">
        <v>2384</v>
      </c>
      <c r="R555" s="87">
        <v>0</v>
      </c>
      <c r="S555" s="87">
        <v>0</v>
      </c>
      <c r="T555" s="87">
        <v>0</v>
      </c>
      <c r="U555" s="87">
        <v>0</v>
      </c>
      <c r="V555" s="87">
        <v>2</v>
      </c>
      <c r="W555" s="93" t="s">
        <v>6220</v>
      </c>
      <c r="X555" s="87"/>
      <c r="Y555" s="87"/>
      <c r="Z555" s="87"/>
      <c r="AA555" s="87"/>
      <c r="AB555" s="87"/>
      <c r="AC555" s="93" t="s">
        <v>11457</v>
      </c>
      <c r="AD555" s="87" t="s">
        <v>11519</v>
      </c>
      <c r="AE555" s="92" t="str">
        <f>HYPERLINK("https://twitter.com/automatizeig/status/1686708934512361473")</f>
        <v>https://twitter.com/automatizeig/status/1686708934512361473</v>
      </c>
      <c r="AF555" s="90">
        <v>45140.50141203704</v>
      </c>
      <c r="AG555" s="99">
        <v>45140</v>
      </c>
      <c r="AH555" s="93" t="s">
        <v>12060</v>
      </c>
      <c r="AI555" s="87"/>
      <c r="AJ555" s="87"/>
      <c r="AK555" s="87"/>
      <c r="AL555" s="87"/>
      <c r="AM555" s="87"/>
      <c r="AN555" s="87"/>
      <c r="AO555" s="87"/>
      <c r="AP555" s="87"/>
      <c r="AQ555" s="87"/>
      <c r="AR555" s="87"/>
      <c r="AS555" s="87"/>
      <c r="AT555" s="87"/>
      <c r="AU555" s="87"/>
      <c r="AV555" s="92" t="str">
        <f>HYPERLINK("https://pbs.twimg.com/profile_images/1577782700114694146/nhymksgB_normal.jpg")</f>
        <v>https://pbs.twimg.com/profile_images/1577782700114694146/nhymksgB_normal.jpg</v>
      </c>
      <c r="AW555" s="93" t="s">
        <v>18805</v>
      </c>
      <c r="AX555" s="93" t="s">
        <v>22322</v>
      </c>
      <c r="AY555" s="93" t="s">
        <v>22531</v>
      </c>
      <c r="AZ555" s="93" t="s">
        <v>22687</v>
      </c>
      <c r="BA555" s="93" t="s">
        <v>22668</v>
      </c>
      <c r="BB555" s="93" t="s">
        <v>22668</v>
      </c>
      <c r="BC555" s="93" t="s">
        <v>22687</v>
      </c>
      <c r="BD555" s="93" t="s">
        <v>22531</v>
      </c>
      <c r="BE555" s="87"/>
      <c r="BF555" s="87"/>
      <c r="BG555" s="87"/>
      <c r="BH555" s="87"/>
      <c r="BI555" s="87"/>
    </row>
    <row r="556" spans="1:61" x14ac:dyDescent="0.25">
      <c r="A556" s="63" t="s">
        <v>403</v>
      </c>
      <c r="B556" s="63" t="s">
        <v>403</v>
      </c>
      <c r="C556" s="64"/>
      <c r="D556" s="65"/>
      <c r="E556" s="66"/>
      <c r="F556" s="67"/>
      <c r="G556" s="64"/>
      <c r="H556" s="68"/>
      <c r="I556" s="69"/>
      <c r="J556" s="69"/>
      <c r="K556" s="32"/>
      <c r="L556" s="76">
        <v>556</v>
      </c>
      <c r="M556" s="76"/>
      <c r="N556" s="71"/>
      <c r="O556" s="87" t="s">
        <v>179</v>
      </c>
      <c r="P556" s="90">
        <v>45124.437986111108</v>
      </c>
      <c r="Q556" s="87" t="s">
        <v>2385</v>
      </c>
      <c r="R556" s="87">
        <v>1</v>
      </c>
      <c r="S556" s="87">
        <v>5</v>
      </c>
      <c r="T556" s="87">
        <v>0</v>
      </c>
      <c r="U556" s="87">
        <v>0</v>
      </c>
      <c r="V556" s="87">
        <v>103</v>
      </c>
      <c r="W556" s="93" t="s">
        <v>6221</v>
      </c>
      <c r="X556" s="87"/>
      <c r="Y556" s="87"/>
      <c r="Z556" s="87"/>
      <c r="AA556" s="87" t="s">
        <v>9001</v>
      </c>
      <c r="AB556" s="87" t="s">
        <v>11449</v>
      </c>
      <c r="AC556" s="93" t="s">
        <v>11457</v>
      </c>
      <c r="AD556" s="87" t="s">
        <v>11519</v>
      </c>
      <c r="AE556" s="92" t="str">
        <f>HYPERLINK("https://twitter.com/terinov1/status/1680887743264563200")</f>
        <v>https://twitter.com/terinov1/status/1680887743264563200</v>
      </c>
      <c r="AF556" s="90">
        <v>45124.437986111108</v>
      </c>
      <c r="AG556" s="99">
        <v>45124</v>
      </c>
      <c r="AH556" s="93" t="s">
        <v>12061</v>
      </c>
      <c r="AI556" s="87" t="b">
        <v>0</v>
      </c>
      <c r="AJ556" s="87"/>
      <c r="AK556" s="87"/>
      <c r="AL556" s="87"/>
      <c r="AM556" s="87"/>
      <c r="AN556" s="87"/>
      <c r="AO556" s="87"/>
      <c r="AP556" s="87"/>
      <c r="AQ556" s="87" t="s">
        <v>15814</v>
      </c>
      <c r="AR556" s="87"/>
      <c r="AS556" s="87"/>
      <c r="AT556" s="87"/>
      <c r="AU556" s="87"/>
      <c r="AV556" s="92" t="str">
        <f>HYPERLINK("https://pbs.twimg.com/media/F1O2cywWAAA_ZRe.jpg")</f>
        <v>https://pbs.twimg.com/media/F1O2cywWAAA_ZRe.jpg</v>
      </c>
      <c r="AW556" s="93" t="s">
        <v>18806</v>
      </c>
      <c r="AX556" s="93" t="s">
        <v>18806</v>
      </c>
      <c r="AY556" s="87"/>
      <c r="AZ556" s="93" t="s">
        <v>22668</v>
      </c>
      <c r="BA556" s="93" t="s">
        <v>22668</v>
      </c>
      <c r="BB556" s="93" t="s">
        <v>22668</v>
      </c>
      <c r="BC556" s="93" t="s">
        <v>18806</v>
      </c>
      <c r="BD556" s="93" t="s">
        <v>22897</v>
      </c>
      <c r="BE556" s="87"/>
      <c r="BF556" s="87"/>
      <c r="BG556" s="87"/>
      <c r="BH556" s="87"/>
      <c r="BI556" s="87"/>
    </row>
    <row r="557" spans="1:61" x14ac:dyDescent="0.25">
      <c r="A557" s="63" t="s">
        <v>403</v>
      </c>
      <c r="B557" s="63" t="s">
        <v>403</v>
      </c>
      <c r="C557" s="64"/>
      <c r="D557" s="65"/>
      <c r="E557" s="66"/>
      <c r="F557" s="67"/>
      <c r="G557" s="64"/>
      <c r="H557" s="68"/>
      <c r="I557" s="69"/>
      <c r="J557" s="69"/>
      <c r="K557" s="32"/>
      <c r="L557" s="76">
        <v>557</v>
      </c>
      <c r="M557" s="76"/>
      <c r="N557" s="71"/>
      <c r="O557" s="87" t="s">
        <v>179</v>
      </c>
      <c r="P557" s="90">
        <v>45131.655393518522</v>
      </c>
      <c r="Q557" s="87" t="s">
        <v>2386</v>
      </c>
      <c r="R557" s="87">
        <v>0</v>
      </c>
      <c r="S557" s="87">
        <v>2</v>
      </c>
      <c r="T557" s="87">
        <v>0</v>
      </c>
      <c r="U557" s="87">
        <v>0</v>
      </c>
      <c r="V557" s="87">
        <v>49</v>
      </c>
      <c r="W557" s="93" t="s">
        <v>6221</v>
      </c>
      <c r="X557" s="87"/>
      <c r="Y557" s="87"/>
      <c r="Z557" s="87"/>
      <c r="AA557" s="87" t="s">
        <v>9002</v>
      </c>
      <c r="AB557" s="87" t="s">
        <v>11451</v>
      </c>
      <c r="AC557" s="93" t="s">
        <v>11457</v>
      </c>
      <c r="AD557" s="87" t="s">
        <v>11519</v>
      </c>
      <c r="AE557" s="92" t="str">
        <f>HYPERLINK("https://twitter.com/terinov1/status/1683503246768238592")</f>
        <v>https://twitter.com/terinov1/status/1683503246768238592</v>
      </c>
      <c r="AF557" s="90">
        <v>45131.655393518522</v>
      </c>
      <c r="AG557" s="99">
        <v>45131</v>
      </c>
      <c r="AH557" s="93" t="s">
        <v>12062</v>
      </c>
      <c r="AI557" s="87" t="b">
        <v>0</v>
      </c>
      <c r="AJ557" s="87"/>
      <c r="AK557" s="87"/>
      <c r="AL557" s="87"/>
      <c r="AM557" s="87"/>
      <c r="AN557" s="87"/>
      <c r="AO557" s="87"/>
      <c r="AP557" s="87"/>
      <c r="AQ557" s="87" t="s">
        <v>15815</v>
      </c>
      <c r="AR557" s="87"/>
      <c r="AS557" s="87"/>
      <c r="AT557" s="87"/>
      <c r="AU557" s="87"/>
      <c r="AV557" s="92" t="str">
        <f>HYPERLINK("https://pbs.twimg.com/media/F10BRT3X0AMo9QT.jpg")</f>
        <v>https://pbs.twimg.com/media/F10BRT3X0AMo9QT.jpg</v>
      </c>
      <c r="AW557" s="93" t="s">
        <v>18807</v>
      </c>
      <c r="AX557" s="93" t="s">
        <v>18807</v>
      </c>
      <c r="AY557" s="87"/>
      <c r="AZ557" s="93" t="s">
        <v>22668</v>
      </c>
      <c r="BA557" s="93" t="s">
        <v>22668</v>
      </c>
      <c r="BB557" s="93" t="s">
        <v>22668</v>
      </c>
      <c r="BC557" s="93" t="s">
        <v>18807</v>
      </c>
      <c r="BD557" s="93" t="s">
        <v>22897</v>
      </c>
      <c r="BE557" s="87"/>
      <c r="BF557" s="87"/>
      <c r="BG557" s="87"/>
      <c r="BH557" s="87"/>
      <c r="BI557" s="87"/>
    </row>
    <row r="558" spans="1:61" x14ac:dyDescent="0.25">
      <c r="A558" s="63" t="s">
        <v>404</v>
      </c>
      <c r="B558" s="63" t="s">
        <v>404</v>
      </c>
      <c r="C558" s="64"/>
      <c r="D558" s="65"/>
      <c r="E558" s="66"/>
      <c r="F558" s="67"/>
      <c r="G558" s="64"/>
      <c r="H558" s="68"/>
      <c r="I558" s="69"/>
      <c r="J558" s="69"/>
      <c r="K558" s="32"/>
      <c r="L558" s="76">
        <v>558</v>
      </c>
      <c r="M558" s="76"/>
      <c r="N558" s="71"/>
      <c r="O558" s="87" t="s">
        <v>179</v>
      </c>
      <c r="P558" s="90">
        <v>45112.715844907405</v>
      </c>
      <c r="Q558" s="87" t="s">
        <v>2387</v>
      </c>
      <c r="R558" s="87">
        <v>1</v>
      </c>
      <c r="S558" s="87">
        <v>2</v>
      </c>
      <c r="T558" s="87">
        <v>0</v>
      </c>
      <c r="U558" s="87">
        <v>0</v>
      </c>
      <c r="V558" s="87">
        <v>91</v>
      </c>
      <c r="W558" s="93" t="s">
        <v>6222</v>
      </c>
      <c r="X558" s="87"/>
      <c r="Y558" s="87"/>
      <c r="Z558" s="87"/>
      <c r="AA558" s="87" t="s">
        <v>9003</v>
      </c>
      <c r="AB558" s="87" t="s">
        <v>11448</v>
      </c>
      <c r="AC558" s="93" t="s">
        <v>11458</v>
      </c>
      <c r="AD558" s="87" t="s">
        <v>11523</v>
      </c>
      <c r="AE558" s="92" t="str">
        <f>HYPERLINK("https://twitter.com/chicasbiless/status/1676639784222031888")</f>
        <v>https://twitter.com/chicasbiless/status/1676639784222031888</v>
      </c>
      <c r="AF558" s="90">
        <v>45112.715844907405</v>
      </c>
      <c r="AG558" s="99">
        <v>45112</v>
      </c>
      <c r="AH558" s="93" t="s">
        <v>12063</v>
      </c>
      <c r="AI558" s="87" t="b">
        <v>0</v>
      </c>
      <c r="AJ558" s="87"/>
      <c r="AK558" s="87"/>
      <c r="AL558" s="87"/>
      <c r="AM558" s="87"/>
      <c r="AN558" s="87"/>
      <c r="AO558" s="87"/>
      <c r="AP558" s="87"/>
      <c r="AQ558" s="87" t="s">
        <v>15816</v>
      </c>
      <c r="AR558" s="87"/>
      <c r="AS558" s="87"/>
      <c r="AT558" s="87"/>
      <c r="AU558" s="87"/>
      <c r="AV558" s="92" t="str">
        <f>HYPERLINK("https://pbs.twimg.com/media/F0Se_uTaQAAiLrK.jpg")</f>
        <v>https://pbs.twimg.com/media/F0Se_uTaQAAiLrK.jpg</v>
      </c>
      <c r="AW558" s="93" t="s">
        <v>18808</v>
      </c>
      <c r="AX558" s="93" t="s">
        <v>18808</v>
      </c>
      <c r="AY558" s="87"/>
      <c r="AZ558" s="93" t="s">
        <v>22668</v>
      </c>
      <c r="BA558" s="93" t="s">
        <v>22668</v>
      </c>
      <c r="BB558" s="93" t="s">
        <v>22668</v>
      </c>
      <c r="BC558" s="93" t="s">
        <v>18808</v>
      </c>
      <c r="BD558" s="93" t="s">
        <v>22898</v>
      </c>
      <c r="BE558" s="87"/>
      <c r="BF558" s="87"/>
      <c r="BG558" s="87"/>
      <c r="BH558" s="87"/>
      <c r="BI558" s="87"/>
    </row>
    <row r="559" spans="1:61" x14ac:dyDescent="0.25">
      <c r="A559" s="63" t="s">
        <v>405</v>
      </c>
      <c r="B559" s="63" t="s">
        <v>405</v>
      </c>
      <c r="C559" s="64"/>
      <c r="D559" s="65"/>
      <c r="E559" s="66"/>
      <c r="F559" s="67"/>
      <c r="G559" s="64"/>
      <c r="H559" s="68"/>
      <c r="I559" s="69"/>
      <c r="J559" s="69"/>
      <c r="K559" s="32"/>
      <c r="L559" s="76">
        <v>559</v>
      </c>
      <c r="M559" s="76"/>
      <c r="N559" s="71"/>
      <c r="O559" s="87" t="s">
        <v>179</v>
      </c>
      <c r="P559" s="90">
        <v>45185.570937500001</v>
      </c>
      <c r="Q559" s="87" t="s">
        <v>2388</v>
      </c>
      <c r="R559" s="87">
        <v>0</v>
      </c>
      <c r="S559" s="87">
        <v>0</v>
      </c>
      <c r="T559" s="87">
        <v>0</v>
      </c>
      <c r="U559" s="87">
        <v>0</v>
      </c>
      <c r="V559" s="87">
        <v>9</v>
      </c>
      <c r="W559" s="93" t="s">
        <v>6223</v>
      </c>
      <c r="X559" s="87"/>
      <c r="Y559" s="87"/>
      <c r="Z559" s="87"/>
      <c r="AA559" s="87" t="s">
        <v>9004</v>
      </c>
      <c r="AB559" s="87" t="s">
        <v>11447</v>
      </c>
      <c r="AC559" s="93" t="s">
        <v>11458</v>
      </c>
      <c r="AD559" s="87" t="s">
        <v>11519</v>
      </c>
      <c r="AE559" s="92" t="str">
        <f>HYPERLINK("https://twitter.com/elke_pimentel/status/1703041585611428338")</f>
        <v>https://twitter.com/elke_pimentel/status/1703041585611428338</v>
      </c>
      <c r="AF559" s="90">
        <v>45185.570937500001</v>
      </c>
      <c r="AG559" s="99">
        <v>45185</v>
      </c>
      <c r="AH559" s="93" t="s">
        <v>12064</v>
      </c>
      <c r="AI559" s="87" t="b">
        <v>0</v>
      </c>
      <c r="AJ559" s="87"/>
      <c r="AK559" s="87"/>
      <c r="AL559" s="87"/>
      <c r="AM559" s="87"/>
      <c r="AN559" s="87"/>
      <c r="AO559" s="87"/>
      <c r="AP559" s="87"/>
      <c r="AQ559" s="87" t="s">
        <v>15817</v>
      </c>
      <c r="AR559" s="87">
        <v>5566</v>
      </c>
      <c r="AS559" s="87"/>
      <c r="AT559" s="87"/>
      <c r="AU559" s="87"/>
      <c r="AV559" s="92" t="str">
        <f>HYPERLINK("https://pbs.twimg.com/ext_tw_video_thumb/1703041541227307008/pu/img/xKdUWsOSkttJPogC.jpg")</f>
        <v>https://pbs.twimg.com/ext_tw_video_thumb/1703041541227307008/pu/img/xKdUWsOSkttJPogC.jpg</v>
      </c>
      <c r="AW559" s="93" t="s">
        <v>18809</v>
      </c>
      <c r="AX559" s="93" t="s">
        <v>18809</v>
      </c>
      <c r="AY559" s="87"/>
      <c r="AZ559" s="93" t="s">
        <v>22668</v>
      </c>
      <c r="BA559" s="93" t="s">
        <v>22668</v>
      </c>
      <c r="BB559" s="93" t="s">
        <v>22668</v>
      </c>
      <c r="BC559" s="93" t="s">
        <v>18809</v>
      </c>
      <c r="BD559" s="93" t="s">
        <v>22899</v>
      </c>
      <c r="BE559" s="87"/>
      <c r="BF559" s="87"/>
      <c r="BG559" s="87"/>
      <c r="BH559" s="87"/>
      <c r="BI559" s="87"/>
    </row>
    <row r="560" spans="1:61" x14ac:dyDescent="0.25">
      <c r="A560" s="63" t="s">
        <v>406</v>
      </c>
      <c r="B560" s="63" t="s">
        <v>406</v>
      </c>
      <c r="C560" s="64"/>
      <c r="D560" s="65"/>
      <c r="E560" s="66"/>
      <c r="F560" s="67"/>
      <c r="G560" s="64"/>
      <c r="H560" s="68"/>
      <c r="I560" s="69"/>
      <c r="J560" s="69"/>
      <c r="K560" s="32"/>
      <c r="L560" s="76">
        <v>560</v>
      </c>
      <c r="M560" s="76"/>
      <c r="N560" s="71"/>
      <c r="O560" s="87" t="s">
        <v>179</v>
      </c>
      <c r="P560" s="90">
        <v>45120.444953703707</v>
      </c>
      <c r="Q560" s="87" t="s">
        <v>2389</v>
      </c>
      <c r="R560" s="87">
        <v>0</v>
      </c>
      <c r="S560" s="87">
        <v>0</v>
      </c>
      <c r="T560" s="87">
        <v>0</v>
      </c>
      <c r="U560" s="87">
        <v>0</v>
      </c>
      <c r="V560" s="87">
        <v>42</v>
      </c>
      <c r="W560" s="93" t="s">
        <v>6224</v>
      </c>
      <c r="X560" s="87"/>
      <c r="Y560" s="87"/>
      <c r="Z560" s="87"/>
      <c r="AA560" s="87" t="s">
        <v>9005</v>
      </c>
      <c r="AB560" s="87" t="s">
        <v>11447</v>
      </c>
      <c r="AC560" s="93" t="s">
        <v>11458</v>
      </c>
      <c r="AD560" s="87" t="s">
        <v>11519</v>
      </c>
      <c r="AE560" s="92" t="str">
        <f>HYPERLINK("https://twitter.com/sigguimares/status/1679440719734267909")</f>
        <v>https://twitter.com/sigguimares/status/1679440719734267909</v>
      </c>
      <c r="AF560" s="90">
        <v>45120.444953703707</v>
      </c>
      <c r="AG560" s="99">
        <v>45120</v>
      </c>
      <c r="AH560" s="93" t="s">
        <v>12065</v>
      </c>
      <c r="AI560" s="87" t="b">
        <v>0</v>
      </c>
      <c r="AJ560" s="87"/>
      <c r="AK560" s="87"/>
      <c r="AL560" s="87"/>
      <c r="AM560" s="87"/>
      <c r="AN560" s="87"/>
      <c r="AO560" s="87"/>
      <c r="AP560" s="87"/>
      <c r="AQ560" s="87" t="s">
        <v>15818</v>
      </c>
      <c r="AR560" s="87">
        <v>22216</v>
      </c>
      <c r="AS560" s="87"/>
      <c r="AT560" s="87"/>
      <c r="AU560" s="87"/>
      <c r="AV560" s="92" t="str">
        <f>HYPERLINK("https://pbs.twimg.com/ext_tw_video_thumb/1679440666491867137/pu/img/CK_F6wBNDlvSGOEW.jpg")</f>
        <v>https://pbs.twimg.com/ext_tw_video_thumb/1679440666491867137/pu/img/CK_F6wBNDlvSGOEW.jpg</v>
      </c>
      <c r="AW560" s="93" t="s">
        <v>18810</v>
      </c>
      <c r="AX560" s="93" t="s">
        <v>18810</v>
      </c>
      <c r="AY560" s="87"/>
      <c r="AZ560" s="93" t="s">
        <v>22668</v>
      </c>
      <c r="BA560" s="93" t="s">
        <v>22668</v>
      </c>
      <c r="BB560" s="93" t="s">
        <v>22668</v>
      </c>
      <c r="BC560" s="93" t="s">
        <v>18810</v>
      </c>
      <c r="BD560" s="87">
        <v>89691523</v>
      </c>
      <c r="BE560" s="87"/>
      <c r="BF560" s="87"/>
      <c r="BG560" s="87"/>
      <c r="BH560" s="87"/>
      <c r="BI560" s="87"/>
    </row>
    <row r="561" spans="1:61" x14ac:dyDescent="0.25">
      <c r="A561" s="63" t="s">
        <v>407</v>
      </c>
      <c r="B561" s="63" t="s">
        <v>407</v>
      </c>
      <c r="C561" s="64"/>
      <c r="D561" s="65"/>
      <c r="E561" s="66"/>
      <c r="F561" s="67"/>
      <c r="G561" s="64"/>
      <c r="H561" s="68"/>
      <c r="I561" s="69"/>
      <c r="J561" s="69"/>
      <c r="K561" s="32"/>
      <c r="L561" s="76">
        <v>561</v>
      </c>
      <c r="M561" s="76"/>
      <c r="N561" s="71"/>
      <c r="O561" s="87" t="s">
        <v>179</v>
      </c>
      <c r="P561" s="90">
        <v>45112.452488425923</v>
      </c>
      <c r="Q561" s="87" t="s">
        <v>2390</v>
      </c>
      <c r="R561" s="87">
        <v>0</v>
      </c>
      <c r="S561" s="87">
        <v>0</v>
      </c>
      <c r="T561" s="87">
        <v>0</v>
      </c>
      <c r="U561" s="87">
        <v>0</v>
      </c>
      <c r="V561" s="87">
        <v>35</v>
      </c>
      <c r="W561" s="93" t="s">
        <v>5897</v>
      </c>
      <c r="X561" s="92" t="str">
        <f>HYPERLINK("https://youtu.be/jVO4GLrWeNM")</f>
        <v>https://youtu.be/jVO4GLrWeNM</v>
      </c>
      <c r="Y561" s="87" t="s">
        <v>8372</v>
      </c>
      <c r="Z561" s="87"/>
      <c r="AA561" s="87"/>
      <c r="AB561" s="87"/>
      <c r="AC561" s="93" t="s">
        <v>11457</v>
      </c>
      <c r="AD561" s="87" t="s">
        <v>11519</v>
      </c>
      <c r="AE561" s="92" t="str">
        <f>HYPERLINK("https://twitter.com/oktoberblog/status/1676544345694937089")</f>
        <v>https://twitter.com/oktoberblog/status/1676544345694937089</v>
      </c>
      <c r="AF561" s="90">
        <v>45112.452488425923</v>
      </c>
      <c r="AG561" s="99">
        <v>45112</v>
      </c>
      <c r="AH561" s="93" t="s">
        <v>12066</v>
      </c>
      <c r="AI561" s="87" t="b">
        <v>0</v>
      </c>
      <c r="AJ561" s="87"/>
      <c r="AK561" s="87"/>
      <c r="AL561" s="87"/>
      <c r="AM561" s="87"/>
      <c r="AN561" s="87"/>
      <c r="AO561" s="87"/>
      <c r="AP561" s="87"/>
      <c r="AQ561" s="87"/>
      <c r="AR561" s="87"/>
      <c r="AS561" s="87"/>
      <c r="AT561" s="87"/>
      <c r="AU561" s="87"/>
      <c r="AV561" s="92" t="str">
        <f>HYPERLINK("https://pbs.twimg.com/profile_images/1669082299428634626/m_BqEP2Z_normal.jpg")</f>
        <v>https://pbs.twimg.com/profile_images/1669082299428634626/m_BqEP2Z_normal.jpg</v>
      </c>
      <c r="AW561" s="93" t="s">
        <v>18811</v>
      </c>
      <c r="AX561" s="93" t="s">
        <v>18811</v>
      </c>
      <c r="AY561" s="87"/>
      <c r="AZ561" s="93" t="s">
        <v>22668</v>
      </c>
      <c r="BA561" s="93" t="s">
        <v>22668</v>
      </c>
      <c r="BB561" s="93" t="s">
        <v>22668</v>
      </c>
      <c r="BC561" s="93" t="s">
        <v>18811</v>
      </c>
      <c r="BD561" s="87">
        <v>123850299</v>
      </c>
      <c r="BE561" s="87"/>
      <c r="BF561" s="87"/>
      <c r="BG561" s="87"/>
      <c r="BH561" s="87"/>
      <c r="BI561" s="87"/>
    </row>
    <row r="562" spans="1:61" x14ac:dyDescent="0.25">
      <c r="A562" s="63" t="s">
        <v>408</v>
      </c>
      <c r="B562" s="63" t="s">
        <v>408</v>
      </c>
      <c r="C562" s="64"/>
      <c r="D562" s="65"/>
      <c r="E562" s="66"/>
      <c r="F562" s="67"/>
      <c r="G562" s="64"/>
      <c r="H562" s="68"/>
      <c r="I562" s="69"/>
      <c r="J562" s="69"/>
      <c r="K562" s="32"/>
      <c r="L562" s="76">
        <v>562</v>
      </c>
      <c r="M562" s="76"/>
      <c r="N562" s="71"/>
      <c r="O562" s="87" t="s">
        <v>179</v>
      </c>
      <c r="P562" s="90">
        <v>45194.723310185182</v>
      </c>
      <c r="Q562" s="92" t="str">
        <f>HYPERLINK("https://t.co/BZxO4ZTXNO
#Empreendedorismo
#Habitação
#Sinceramente")</f>
        <v>https://t.co/BZxO4ZTXNO
#Empreendedorismo
#Habitação
#Sinceramente</v>
      </c>
      <c r="R562" s="87">
        <v>0</v>
      </c>
      <c r="S562" s="87">
        <v>0</v>
      </c>
      <c r="T562" s="87">
        <v>0</v>
      </c>
      <c r="U562" s="87">
        <v>0</v>
      </c>
      <c r="V562" s="87">
        <v>5</v>
      </c>
      <c r="W562" s="93" t="s">
        <v>6225</v>
      </c>
      <c r="X562" s="92" t="str">
        <f>HYPERLINK("https://executivedigest.sapo.pt/noticias/casas-de-luxo-escapam-aos-impostos-milionarios-usam-truque-para-fugir-ao-imi-e-imt/")</f>
        <v>https://executivedigest.sapo.pt/noticias/casas-de-luxo-escapam-aos-impostos-milionarios-usam-truque-para-fugir-ao-imi-e-imt/</v>
      </c>
      <c r="Y562" s="87" t="s">
        <v>8399</v>
      </c>
      <c r="Z562" s="87"/>
      <c r="AA562" s="87"/>
      <c r="AB562" s="87"/>
      <c r="AC562" s="93" t="s">
        <v>11459</v>
      </c>
      <c r="AD562" s="87" t="s">
        <v>11520</v>
      </c>
      <c r="AE562" s="92" t="str">
        <f>HYPERLINK("https://twitter.com/83abbeyroad/status/1706358295785574868")</f>
        <v>https://twitter.com/83abbeyroad/status/1706358295785574868</v>
      </c>
      <c r="AF562" s="90">
        <v>45194.723310185182</v>
      </c>
      <c r="AG562" s="99">
        <v>45194</v>
      </c>
      <c r="AH562" s="93" t="s">
        <v>12067</v>
      </c>
      <c r="AI562" s="87" t="b">
        <v>0</v>
      </c>
      <c r="AJ562" s="87"/>
      <c r="AK562" s="87"/>
      <c r="AL562" s="87"/>
      <c r="AM562" s="87"/>
      <c r="AN562" s="87"/>
      <c r="AO562" s="87"/>
      <c r="AP562" s="87"/>
      <c r="AQ562" s="87"/>
      <c r="AR562" s="87"/>
      <c r="AS562" s="87"/>
      <c r="AT562" s="87"/>
      <c r="AU562" s="87"/>
      <c r="AV562" s="92" t="str">
        <f>HYPERLINK("https://pbs.twimg.com/profile_images/1575036856722493440/-4Rz3wyk_normal.jpg")</f>
        <v>https://pbs.twimg.com/profile_images/1575036856722493440/-4Rz3wyk_normal.jpg</v>
      </c>
      <c r="AW562" s="93" t="s">
        <v>18812</v>
      </c>
      <c r="AX562" s="93" t="s">
        <v>18812</v>
      </c>
      <c r="AY562" s="87"/>
      <c r="AZ562" s="93" t="s">
        <v>22668</v>
      </c>
      <c r="BA562" s="93" t="s">
        <v>22668</v>
      </c>
      <c r="BB562" s="93" t="s">
        <v>22668</v>
      </c>
      <c r="BC562" s="93" t="s">
        <v>18812</v>
      </c>
      <c r="BD562" s="93" t="s">
        <v>22900</v>
      </c>
      <c r="BE562" s="87"/>
      <c r="BF562" s="87"/>
      <c r="BG562" s="87"/>
      <c r="BH562" s="87"/>
      <c r="BI562" s="87"/>
    </row>
    <row r="563" spans="1:61" x14ac:dyDescent="0.25">
      <c r="A563" s="63" t="s">
        <v>409</v>
      </c>
      <c r="B563" s="63" t="s">
        <v>409</v>
      </c>
      <c r="C563" s="64"/>
      <c r="D563" s="65"/>
      <c r="E563" s="66"/>
      <c r="F563" s="67"/>
      <c r="G563" s="64"/>
      <c r="H563" s="68"/>
      <c r="I563" s="69"/>
      <c r="J563" s="69"/>
      <c r="K563" s="32"/>
      <c r="L563" s="76">
        <v>563</v>
      </c>
      <c r="M563" s="76"/>
      <c r="N563" s="71"/>
      <c r="O563" s="87" t="s">
        <v>179</v>
      </c>
      <c r="P563" s="90">
        <v>45120.727488425924</v>
      </c>
      <c r="Q563" s="87" t="s">
        <v>2391</v>
      </c>
      <c r="R563" s="87">
        <v>0</v>
      </c>
      <c r="S563" s="87">
        <v>1</v>
      </c>
      <c r="T563" s="87">
        <v>0</v>
      </c>
      <c r="U563" s="87">
        <v>0</v>
      </c>
      <c r="V563" s="87">
        <v>6</v>
      </c>
      <c r="W563" s="93" t="s">
        <v>6226</v>
      </c>
      <c r="X563" s="87"/>
      <c r="Y563" s="87"/>
      <c r="Z563" s="87"/>
      <c r="AA563" s="87" t="s">
        <v>9006</v>
      </c>
      <c r="AB563" s="87" t="s">
        <v>11448</v>
      </c>
      <c r="AC563" s="93" t="s">
        <v>11458</v>
      </c>
      <c r="AD563" s="87" t="s">
        <v>11519</v>
      </c>
      <c r="AE563" s="92" t="str">
        <f>HYPERLINK("https://twitter.com/silvanarosaofic/status/1679543107845496835")</f>
        <v>https://twitter.com/silvanarosaofic/status/1679543107845496835</v>
      </c>
      <c r="AF563" s="90">
        <v>45120.727488425924</v>
      </c>
      <c r="AG563" s="99">
        <v>45120</v>
      </c>
      <c r="AH563" s="93" t="s">
        <v>12068</v>
      </c>
      <c r="AI563" s="87" t="b">
        <v>0</v>
      </c>
      <c r="AJ563" s="87"/>
      <c r="AK563" s="87"/>
      <c r="AL563" s="87"/>
      <c r="AM563" s="87"/>
      <c r="AN563" s="87"/>
      <c r="AO563" s="87"/>
      <c r="AP563" s="87"/>
      <c r="AQ563" s="87" t="s">
        <v>15819</v>
      </c>
      <c r="AR563" s="87"/>
      <c r="AS563" s="87"/>
      <c r="AT563" s="87"/>
      <c r="AU563" s="87"/>
      <c r="AV563" s="92" t="str">
        <f>HYPERLINK("https://pbs.twimg.com/media/F07vjWkWIAIHHEb.jpg")</f>
        <v>https://pbs.twimg.com/media/F07vjWkWIAIHHEb.jpg</v>
      </c>
      <c r="AW563" s="93" t="s">
        <v>18813</v>
      </c>
      <c r="AX563" s="93" t="s">
        <v>18813</v>
      </c>
      <c r="AY563" s="87"/>
      <c r="AZ563" s="93" t="s">
        <v>22668</v>
      </c>
      <c r="BA563" s="93" t="s">
        <v>22668</v>
      </c>
      <c r="BB563" s="93" t="s">
        <v>22668</v>
      </c>
      <c r="BC563" s="93" t="s">
        <v>18813</v>
      </c>
      <c r="BD563" s="93" t="s">
        <v>22901</v>
      </c>
      <c r="BE563" s="87"/>
      <c r="BF563" s="87"/>
      <c r="BG563" s="87"/>
      <c r="BH563" s="87"/>
      <c r="BI563" s="87"/>
    </row>
    <row r="564" spans="1:61" x14ac:dyDescent="0.25">
      <c r="A564" s="63" t="s">
        <v>410</v>
      </c>
      <c r="B564" s="63" t="s">
        <v>410</v>
      </c>
      <c r="C564" s="64"/>
      <c r="D564" s="65"/>
      <c r="E564" s="66"/>
      <c r="F564" s="67"/>
      <c r="G564" s="64"/>
      <c r="H564" s="68"/>
      <c r="I564" s="69"/>
      <c r="J564" s="69"/>
      <c r="K564" s="32"/>
      <c r="L564" s="76">
        <v>564</v>
      </c>
      <c r="M564" s="76"/>
      <c r="N564" s="71"/>
      <c r="O564" s="87" t="s">
        <v>179</v>
      </c>
      <c r="P564" s="90">
        <v>45156.068287037036</v>
      </c>
      <c r="Q564" s="87" t="s">
        <v>2392</v>
      </c>
      <c r="R564" s="87">
        <v>0</v>
      </c>
      <c r="S564" s="87">
        <v>0</v>
      </c>
      <c r="T564" s="87">
        <v>0</v>
      </c>
      <c r="U564" s="87">
        <v>0</v>
      </c>
      <c r="V564" s="87">
        <v>14</v>
      </c>
      <c r="W564" s="93" t="s">
        <v>6227</v>
      </c>
      <c r="X564" s="87"/>
      <c r="Y564" s="87"/>
      <c r="Z564" s="87"/>
      <c r="AA564" s="87" t="s">
        <v>9007</v>
      </c>
      <c r="AB564" s="87" t="s">
        <v>11448</v>
      </c>
      <c r="AC564" s="93" t="s">
        <v>11459</v>
      </c>
      <c r="AD564" s="87" t="s">
        <v>11519</v>
      </c>
      <c r="AE564" s="92" t="str">
        <f>HYPERLINK("https://twitter.com/michaelgodoy/status/1692350184334741734")</f>
        <v>https://twitter.com/michaelgodoy/status/1692350184334741734</v>
      </c>
      <c r="AF564" s="90">
        <v>45156.068287037036</v>
      </c>
      <c r="AG564" s="99">
        <v>45156</v>
      </c>
      <c r="AH564" s="93" t="s">
        <v>12069</v>
      </c>
      <c r="AI564" s="87" t="b">
        <v>0</v>
      </c>
      <c r="AJ564" s="87"/>
      <c r="AK564" s="87"/>
      <c r="AL564" s="87"/>
      <c r="AM564" s="87"/>
      <c r="AN564" s="87"/>
      <c r="AO564" s="87"/>
      <c r="AP564" s="87"/>
      <c r="AQ564" s="87" t="s">
        <v>15820</v>
      </c>
      <c r="AR564" s="87"/>
      <c r="AS564" s="87"/>
      <c r="AT564" s="87"/>
      <c r="AU564" s="87"/>
      <c r="AV564" s="92" t="str">
        <f>HYPERLINK("https://pbs.twimg.com/media/F3xvhisW4AAlUTb.jpg")</f>
        <v>https://pbs.twimg.com/media/F3xvhisW4AAlUTb.jpg</v>
      </c>
      <c r="AW564" s="93" t="s">
        <v>18814</v>
      </c>
      <c r="AX564" s="93" t="s">
        <v>18814</v>
      </c>
      <c r="AY564" s="87"/>
      <c r="AZ564" s="93" t="s">
        <v>22668</v>
      </c>
      <c r="BA564" s="93" t="s">
        <v>22668</v>
      </c>
      <c r="BB564" s="93" t="s">
        <v>22668</v>
      </c>
      <c r="BC564" s="93" t="s">
        <v>18814</v>
      </c>
      <c r="BD564" s="87">
        <v>269591829</v>
      </c>
      <c r="BE564" s="87"/>
      <c r="BF564" s="87"/>
      <c r="BG564" s="87"/>
      <c r="BH564" s="87"/>
      <c r="BI564" s="87"/>
    </row>
    <row r="565" spans="1:61" x14ac:dyDescent="0.25">
      <c r="A565" s="63" t="s">
        <v>411</v>
      </c>
      <c r="B565" s="63" t="s">
        <v>411</v>
      </c>
      <c r="C565" s="64"/>
      <c r="D565" s="65"/>
      <c r="E565" s="66"/>
      <c r="F565" s="67"/>
      <c r="G565" s="64"/>
      <c r="H565" s="68"/>
      <c r="I565" s="69"/>
      <c r="J565" s="69"/>
      <c r="K565" s="32"/>
      <c r="L565" s="76">
        <v>565</v>
      </c>
      <c r="M565" s="76"/>
      <c r="N565" s="71"/>
      <c r="O565" s="87" t="s">
        <v>179</v>
      </c>
      <c r="P565" s="90">
        <v>45140.208344907405</v>
      </c>
      <c r="Q565" s="87" t="s">
        <v>2393</v>
      </c>
      <c r="R565" s="87">
        <v>0</v>
      </c>
      <c r="S565" s="87">
        <v>0</v>
      </c>
      <c r="T565" s="87">
        <v>0</v>
      </c>
      <c r="U565" s="87">
        <v>0</v>
      </c>
      <c r="V565" s="87">
        <v>58</v>
      </c>
      <c r="W565" s="93" t="s">
        <v>6228</v>
      </c>
      <c r="X565" s="87"/>
      <c r="Y565" s="87"/>
      <c r="Z565" s="87"/>
      <c r="AA565" s="87" t="s">
        <v>9008</v>
      </c>
      <c r="AB565" s="87" t="s">
        <v>11449</v>
      </c>
      <c r="AC565" s="93" t="s">
        <v>11458</v>
      </c>
      <c r="AD565" s="87" t="s">
        <v>11519</v>
      </c>
      <c r="AE565" s="92" t="str">
        <f>HYPERLINK("https://twitter.com/fellipe_1989/status/1686602731065094144")</f>
        <v>https://twitter.com/fellipe_1989/status/1686602731065094144</v>
      </c>
      <c r="AF565" s="90">
        <v>45140.208344907405</v>
      </c>
      <c r="AG565" s="99">
        <v>45140</v>
      </c>
      <c r="AH565" s="93" t="s">
        <v>12070</v>
      </c>
      <c r="AI565" s="87" t="b">
        <v>0</v>
      </c>
      <c r="AJ565" s="87"/>
      <c r="AK565" s="87"/>
      <c r="AL565" s="87"/>
      <c r="AM565" s="87"/>
      <c r="AN565" s="87"/>
      <c r="AO565" s="87"/>
      <c r="AP565" s="87"/>
      <c r="AQ565" s="87" t="s">
        <v>15821</v>
      </c>
      <c r="AR565" s="87"/>
      <c r="AS565" s="87"/>
      <c r="AT565" s="87"/>
      <c r="AU565" s="87"/>
      <c r="AV565" s="92" t="str">
        <f>HYPERLINK("https://pbs.twimg.com/media/F2gEPkKWQAAjCvs.jpg")</f>
        <v>https://pbs.twimg.com/media/F2gEPkKWQAAjCvs.jpg</v>
      </c>
      <c r="AW565" s="93" t="s">
        <v>18815</v>
      </c>
      <c r="AX565" s="93" t="s">
        <v>18815</v>
      </c>
      <c r="AY565" s="87"/>
      <c r="AZ565" s="93" t="s">
        <v>22668</v>
      </c>
      <c r="BA565" s="93" t="s">
        <v>22668</v>
      </c>
      <c r="BB565" s="93" t="s">
        <v>22668</v>
      </c>
      <c r="BC565" s="93" t="s">
        <v>18815</v>
      </c>
      <c r="BD565" s="93" t="s">
        <v>22902</v>
      </c>
      <c r="BE565" s="87"/>
      <c r="BF565" s="87"/>
      <c r="BG565" s="87"/>
      <c r="BH565" s="87"/>
      <c r="BI565" s="87"/>
    </row>
    <row r="566" spans="1:61" x14ac:dyDescent="0.25">
      <c r="A566" s="63" t="s">
        <v>412</v>
      </c>
      <c r="B566" s="63" t="s">
        <v>1367</v>
      </c>
      <c r="C566" s="64"/>
      <c r="D566" s="65"/>
      <c r="E566" s="66"/>
      <c r="F566" s="67"/>
      <c r="G566" s="64"/>
      <c r="H566" s="68"/>
      <c r="I566" s="69"/>
      <c r="J566" s="69"/>
      <c r="K566" s="32"/>
      <c r="L566" s="76">
        <v>566</v>
      </c>
      <c r="M566" s="76"/>
      <c r="N566" s="71"/>
      <c r="O566" s="87" t="s">
        <v>1841</v>
      </c>
      <c r="P566" s="90">
        <v>45190.487569444442</v>
      </c>
      <c r="Q566" s="87" t="s">
        <v>2090</v>
      </c>
      <c r="R566" s="87">
        <v>14</v>
      </c>
      <c r="S566" s="87">
        <v>0</v>
      </c>
      <c r="T566" s="87">
        <v>0</v>
      </c>
      <c r="U566" s="87">
        <v>0</v>
      </c>
      <c r="V566" s="87"/>
      <c r="W566" s="93" t="s">
        <v>6034</v>
      </c>
      <c r="X566" s="87"/>
      <c r="Y566" s="87"/>
      <c r="Z566" s="87" t="s">
        <v>1367</v>
      </c>
      <c r="AA566" s="87"/>
      <c r="AB566" s="87"/>
      <c r="AC566" s="93" t="s">
        <v>11459</v>
      </c>
      <c r="AD566" s="87" t="s">
        <v>11519</v>
      </c>
      <c r="AE566" s="92" t="str">
        <f>HYPERLINK("https://twitter.com/jessisfonseca/status/1704823314223407256")</f>
        <v>https://twitter.com/jessisfonseca/status/1704823314223407256</v>
      </c>
      <c r="AF566" s="90">
        <v>45190.487569444442</v>
      </c>
      <c r="AG566" s="99">
        <v>45190</v>
      </c>
      <c r="AH566" s="93" t="s">
        <v>12071</v>
      </c>
      <c r="AI566" s="87"/>
      <c r="AJ566" s="87"/>
      <c r="AK566" s="87"/>
      <c r="AL566" s="87"/>
      <c r="AM566" s="87"/>
      <c r="AN566" s="87"/>
      <c r="AO566" s="87"/>
      <c r="AP566" s="87"/>
      <c r="AQ566" s="87"/>
      <c r="AR566" s="87"/>
      <c r="AS566" s="87"/>
      <c r="AT566" s="87"/>
      <c r="AU566" s="87"/>
      <c r="AV566" s="92" t="str">
        <f>HYPERLINK("https://pbs.twimg.com/profile_images/1690838238666080256/nR10SQpN_normal.jpg")</f>
        <v>https://pbs.twimg.com/profile_images/1690838238666080256/nR10SQpN_normal.jpg</v>
      </c>
      <c r="AW566" s="93" t="s">
        <v>18816</v>
      </c>
      <c r="AX566" s="93" t="s">
        <v>18816</v>
      </c>
      <c r="AY566" s="87"/>
      <c r="AZ566" s="93" t="s">
        <v>22668</v>
      </c>
      <c r="BA566" s="93" t="s">
        <v>22668</v>
      </c>
      <c r="BB566" s="93" t="s">
        <v>21717</v>
      </c>
      <c r="BC566" s="93" t="s">
        <v>21717</v>
      </c>
      <c r="BD566" s="93" t="s">
        <v>22903</v>
      </c>
      <c r="BE566" s="87"/>
      <c r="BF566" s="87"/>
      <c r="BG566" s="87"/>
      <c r="BH566" s="87"/>
      <c r="BI566" s="87"/>
    </row>
    <row r="567" spans="1:61" x14ac:dyDescent="0.25">
      <c r="A567" s="63" t="s">
        <v>413</v>
      </c>
      <c r="B567" s="63" t="s">
        <v>413</v>
      </c>
      <c r="C567" s="64"/>
      <c r="D567" s="65"/>
      <c r="E567" s="66"/>
      <c r="F567" s="67"/>
      <c r="G567" s="64"/>
      <c r="H567" s="68"/>
      <c r="I567" s="69"/>
      <c r="J567" s="69"/>
      <c r="K567" s="32"/>
      <c r="L567" s="76">
        <v>567</v>
      </c>
      <c r="M567" s="76"/>
      <c r="N567" s="71"/>
      <c r="O567" s="87" t="s">
        <v>179</v>
      </c>
      <c r="P567" s="90">
        <v>45146.586875000001</v>
      </c>
      <c r="Q567" s="87" t="s">
        <v>2394</v>
      </c>
      <c r="R567" s="87">
        <v>0</v>
      </c>
      <c r="S567" s="87">
        <v>0</v>
      </c>
      <c r="T567" s="87">
        <v>0</v>
      </c>
      <c r="U567" s="87">
        <v>0</v>
      </c>
      <c r="V567" s="87">
        <v>43</v>
      </c>
      <c r="W567" s="93" t="s">
        <v>6229</v>
      </c>
      <c r="X567" s="87"/>
      <c r="Y567" s="87"/>
      <c r="Z567" s="87"/>
      <c r="AA567" s="87" t="s">
        <v>9009</v>
      </c>
      <c r="AB567" s="87" t="s">
        <v>11447</v>
      </c>
      <c r="AC567" s="93" t="s">
        <v>11457</v>
      </c>
      <c r="AD567" s="87" t="s">
        <v>11519</v>
      </c>
      <c r="AE567" s="92" t="str">
        <f>HYPERLINK("https://twitter.com/beabatributario/status/1688914232803549184")</f>
        <v>https://twitter.com/beabatributario/status/1688914232803549184</v>
      </c>
      <c r="AF567" s="90">
        <v>45146.586875000001</v>
      </c>
      <c r="AG567" s="99">
        <v>45146</v>
      </c>
      <c r="AH567" s="93" t="s">
        <v>12072</v>
      </c>
      <c r="AI567" s="87" t="b">
        <v>0</v>
      </c>
      <c r="AJ567" s="87"/>
      <c r="AK567" s="87"/>
      <c r="AL567" s="87"/>
      <c r="AM567" s="87"/>
      <c r="AN567" s="87"/>
      <c r="AO567" s="87"/>
      <c r="AP567" s="87"/>
      <c r="AQ567" s="87" t="s">
        <v>15822</v>
      </c>
      <c r="AR567" s="87">
        <v>133333</v>
      </c>
      <c r="AS567" s="87"/>
      <c r="AT567" s="87"/>
      <c r="AU567" s="87"/>
      <c r="AV567" s="92" t="str">
        <f>HYPERLINK("https://pbs.twimg.com/ext_tw_video_thumb/1688913175381700608/pu/img/-5eezfH8sVrixZll.jpg")</f>
        <v>https://pbs.twimg.com/ext_tw_video_thumb/1688913175381700608/pu/img/-5eezfH8sVrixZll.jpg</v>
      </c>
      <c r="AW567" s="93" t="s">
        <v>18817</v>
      </c>
      <c r="AX567" s="93" t="s">
        <v>18817</v>
      </c>
      <c r="AY567" s="87"/>
      <c r="AZ567" s="93" t="s">
        <v>22668</v>
      </c>
      <c r="BA567" s="93" t="s">
        <v>22668</v>
      </c>
      <c r="BB567" s="93" t="s">
        <v>22668</v>
      </c>
      <c r="BC567" s="93" t="s">
        <v>18817</v>
      </c>
      <c r="BD567" s="93" t="s">
        <v>22904</v>
      </c>
      <c r="BE567" s="87"/>
      <c r="BF567" s="87"/>
      <c r="BG567" s="87"/>
      <c r="BH567" s="87"/>
      <c r="BI567" s="87"/>
    </row>
    <row r="568" spans="1:61" x14ac:dyDescent="0.25">
      <c r="A568" s="63" t="s">
        <v>414</v>
      </c>
      <c r="B568" s="63" t="s">
        <v>414</v>
      </c>
      <c r="C568" s="64"/>
      <c r="D568" s="65"/>
      <c r="E568" s="66"/>
      <c r="F568" s="67"/>
      <c r="G568" s="64"/>
      <c r="H568" s="68"/>
      <c r="I568" s="69"/>
      <c r="J568" s="69"/>
      <c r="K568" s="32"/>
      <c r="L568" s="76">
        <v>568</v>
      </c>
      <c r="M568" s="76"/>
      <c r="N568" s="71"/>
      <c r="O568" s="87" t="s">
        <v>179</v>
      </c>
      <c r="P568" s="90">
        <v>45160.806770833333</v>
      </c>
      <c r="Q568" s="87" t="s">
        <v>2395</v>
      </c>
      <c r="R568" s="87">
        <v>0</v>
      </c>
      <c r="S568" s="87">
        <v>1</v>
      </c>
      <c r="T568" s="87">
        <v>0</v>
      </c>
      <c r="U568" s="87">
        <v>0</v>
      </c>
      <c r="V568" s="87">
        <v>11</v>
      </c>
      <c r="W568" s="93" t="s">
        <v>6230</v>
      </c>
      <c r="X568" s="87"/>
      <c r="Y568" s="87"/>
      <c r="Z568" s="87"/>
      <c r="AA568" s="87" t="s">
        <v>9010</v>
      </c>
      <c r="AB568" s="87" t="s">
        <v>11447</v>
      </c>
      <c r="AC568" s="93" t="s">
        <v>11459</v>
      </c>
      <c r="AD568" s="87" t="s">
        <v>11518</v>
      </c>
      <c r="AE568" s="92" t="str">
        <f>HYPERLINK("https://twitter.com/tom_santiagobr/status/1694067352210395542")</f>
        <v>https://twitter.com/tom_santiagobr/status/1694067352210395542</v>
      </c>
      <c r="AF568" s="90">
        <v>45160.806770833333</v>
      </c>
      <c r="AG568" s="99">
        <v>45160</v>
      </c>
      <c r="AH568" s="93" t="s">
        <v>12073</v>
      </c>
      <c r="AI568" s="87" t="b">
        <v>0</v>
      </c>
      <c r="AJ568" s="87" t="s">
        <v>15178</v>
      </c>
      <c r="AK568" s="87" t="s">
        <v>15234</v>
      </c>
      <c r="AL568" s="87" t="s">
        <v>15237</v>
      </c>
      <c r="AM568" s="87" t="s">
        <v>15250</v>
      </c>
      <c r="AN568" s="87" t="s">
        <v>15315</v>
      </c>
      <c r="AO568" s="87" t="s">
        <v>15382</v>
      </c>
      <c r="AP568" s="87" t="s">
        <v>15438</v>
      </c>
      <c r="AQ568" s="87" t="s">
        <v>15823</v>
      </c>
      <c r="AR568" s="87">
        <v>45012</v>
      </c>
      <c r="AS568" s="87"/>
      <c r="AT568" s="87"/>
      <c r="AU568" s="87"/>
      <c r="AV568" s="92" t="str">
        <f>HYPERLINK("https://pbs.twimg.com/ext_tw_video_thumb/1694067052921638913/pu/img/kQ6ItCzNdp1cEGa0.jpg")</f>
        <v>https://pbs.twimg.com/ext_tw_video_thumb/1694067052921638913/pu/img/kQ6ItCzNdp1cEGa0.jpg</v>
      </c>
      <c r="AW568" s="93" t="s">
        <v>18818</v>
      </c>
      <c r="AX568" s="93" t="s">
        <v>18818</v>
      </c>
      <c r="AY568" s="87"/>
      <c r="AZ568" s="93" t="s">
        <v>22668</v>
      </c>
      <c r="BA568" s="93" t="s">
        <v>22668</v>
      </c>
      <c r="BB568" s="93" t="s">
        <v>22668</v>
      </c>
      <c r="BC568" s="93" t="s">
        <v>18818</v>
      </c>
      <c r="BD568" s="93" t="s">
        <v>22905</v>
      </c>
      <c r="BE568" s="87"/>
      <c r="BF568" s="87"/>
      <c r="BG568" s="87"/>
      <c r="BH568" s="87"/>
      <c r="BI568" s="87"/>
    </row>
    <row r="569" spans="1:61" x14ac:dyDescent="0.25">
      <c r="A569" s="63" t="s">
        <v>415</v>
      </c>
      <c r="B569" s="63" t="s">
        <v>415</v>
      </c>
      <c r="C569" s="64"/>
      <c r="D569" s="65"/>
      <c r="E569" s="66"/>
      <c r="F569" s="67"/>
      <c r="G569" s="64"/>
      <c r="H569" s="68"/>
      <c r="I569" s="69"/>
      <c r="J569" s="69"/>
      <c r="K569" s="32"/>
      <c r="L569" s="76">
        <v>569</v>
      </c>
      <c r="M569" s="76"/>
      <c r="N569" s="71"/>
      <c r="O569" s="87" t="s">
        <v>179</v>
      </c>
      <c r="P569" s="90">
        <v>45147.070833333331</v>
      </c>
      <c r="Q569" s="87" t="s">
        <v>2396</v>
      </c>
      <c r="R569" s="87">
        <v>0</v>
      </c>
      <c r="S569" s="87">
        <v>0</v>
      </c>
      <c r="T569" s="87">
        <v>0</v>
      </c>
      <c r="U569" s="87">
        <v>0</v>
      </c>
      <c r="V569" s="87">
        <v>22</v>
      </c>
      <c r="W569" s="93" t="s">
        <v>6231</v>
      </c>
      <c r="X569" s="92" t="str">
        <f>HYPERLINK("https://sdnews.com.br/noticia/8166/daniel-vilela-reforca-importancia-do-micro-e-pequeno-empreendedor-para-economia-goiana.html")</f>
        <v>https://sdnews.com.br/noticia/8166/daniel-vilela-reforca-importancia-do-micro-e-pequeno-empreendedor-para-economia-goiana.html</v>
      </c>
      <c r="Y569" s="87" t="s">
        <v>8373</v>
      </c>
      <c r="Z569" s="87"/>
      <c r="AA569" s="87"/>
      <c r="AB569" s="87"/>
      <c r="AC569" s="93" t="s">
        <v>11457</v>
      </c>
      <c r="AD569" s="87" t="s">
        <v>11519</v>
      </c>
      <c r="AE569" s="92" t="str">
        <f>HYPERLINK("https://twitter.com/sdnewscatalao/status/1689089614407987200")</f>
        <v>https://twitter.com/sdnewscatalao/status/1689089614407987200</v>
      </c>
      <c r="AF569" s="90">
        <v>45147.070833333331</v>
      </c>
      <c r="AG569" s="99">
        <v>45147</v>
      </c>
      <c r="AH569" s="93" t="s">
        <v>12074</v>
      </c>
      <c r="AI569" s="87" t="b">
        <v>0</v>
      </c>
      <c r="AJ569" s="87"/>
      <c r="AK569" s="87"/>
      <c r="AL569" s="87"/>
      <c r="AM569" s="87"/>
      <c r="AN569" s="87"/>
      <c r="AO569" s="87"/>
      <c r="AP569" s="87"/>
      <c r="AQ569" s="87"/>
      <c r="AR569" s="87"/>
      <c r="AS569" s="87"/>
      <c r="AT569" s="87"/>
      <c r="AU569" s="87"/>
      <c r="AV569" s="92" t="str">
        <f>HYPERLINK("https://pbs.twimg.com/profile_images/1375108267358232576/3mpV1Aqi_normal.jpg")</f>
        <v>https://pbs.twimg.com/profile_images/1375108267358232576/3mpV1Aqi_normal.jpg</v>
      </c>
      <c r="AW569" s="93" t="s">
        <v>18819</v>
      </c>
      <c r="AX569" s="93" t="s">
        <v>18819</v>
      </c>
      <c r="AY569" s="87"/>
      <c r="AZ569" s="93" t="s">
        <v>22668</v>
      </c>
      <c r="BA569" s="93" t="s">
        <v>22668</v>
      </c>
      <c r="BB569" s="93" t="s">
        <v>22668</v>
      </c>
      <c r="BC569" s="93" t="s">
        <v>18819</v>
      </c>
      <c r="BD569" s="87">
        <v>129002495</v>
      </c>
      <c r="BE569" s="87"/>
      <c r="BF569" s="87"/>
      <c r="BG569" s="87"/>
      <c r="BH569" s="87"/>
      <c r="BI569" s="87"/>
    </row>
    <row r="570" spans="1:61" x14ac:dyDescent="0.25">
      <c r="A570" s="63" t="s">
        <v>415</v>
      </c>
      <c r="B570" s="63" t="s">
        <v>415</v>
      </c>
      <c r="C570" s="64"/>
      <c r="D570" s="65"/>
      <c r="E570" s="66"/>
      <c r="F570" s="67"/>
      <c r="G570" s="64"/>
      <c r="H570" s="68"/>
      <c r="I570" s="69"/>
      <c r="J570" s="69"/>
      <c r="K570" s="32"/>
      <c r="L570" s="76">
        <v>570</v>
      </c>
      <c r="M570" s="76"/>
      <c r="N570" s="71"/>
      <c r="O570" s="87" t="s">
        <v>179</v>
      </c>
      <c r="P570" s="90">
        <v>45134.833333333336</v>
      </c>
      <c r="Q570" s="87" t="s">
        <v>2397</v>
      </c>
      <c r="R570" s="87">
        <v>0</v>
      </c>
      <c r="S570" s="87">
        <v>0</v>
      </c>
      <c r="T570" s="87">
        <v>0</v>
      </c>
      <c r="U570" s="87">
        <v>0</v>
      </c>
      <c r="V570" s="87">
        <v>11</v>
      </c>
      <c r="W570" s="93" t="s">
        <v>5897</v>
      </c>
      <c r="X570" s="92" t="str">
        <f>HYPERLINK("https://sdnews.com.br/noticia/8090/dj-rodrigo-dantas-transformando-a-educacao-infantil-em-uma-experiencia-de-vida.html")</f>
        <v>https://sdnews.com.br/noticia/8090/dj-rodrigo-dantas-transformando-a-educacao-infantil-em-uma-experiencia-de-vida.html</v>
      </c>
      <c r="Y570" s="87" t="s">
        <v>8373</v>
      </c>
      <c r="Z570" s="87"/>
      <c r="AA570" s="87"/>
      <c r="AB570" s="87"/>
      <c r="AC570" s="93" t="s">
        <v>11457</v>
      </c>
      <c r="AD570" s="87" t="s">
        <v>11519</v>
      </c>
      <c r="AE570" s="92" t="str">
        <f>HYPERLINK("https://twitter.com/sdnewscatalao/status/1684654892630302723")</f>
        <v>https://twitter.com/sdnewscatalao/status/1684654892630302723</v>
      </c>
      <c r="AF570" s="90">
        <v>45134.833333333336</v>
      </c>
      <c r="AG570" s="99">
        <v>45134</v>
      </c>
      <c r="AH570" s="93" t="s">
        <v>11773</v>
      </c>
      <c r="AI570" s="87" t="b">
        <v>0</v>
      </c>
      <c r="AJ570" s="87"/>
      <c r="AK570" s="87"/>
      <c r="AL570" s="87"/>
      <c r="AM570" s="87"/>
      <c r="AN570" s="87"/>
      <c r="AO570" s="87"/>
      <c r="AP570" s="87"/>
      <c r="AQ570" s="87"/>
      <c r="AR570" s="87"/>
      <c r="AS570" s="87"/>
      <c r="AT570" s="87"/>
      <c r="AU570" s="87"/>
      <c r="AV570" s="92" t="str">
        <f>HYPERLINK("https://pbs.twimg.com/profile_images/1375108267358232576/3mpV1Aqi_normal.jpg")</f>
        <v>https://pbs.twimg.com/profile_images/1375108267358232576/3mpV1Aqi_normal.jpg</v>
      </c>
      <c r="AW570" s="93" t="s">
        <v>18820</v>
      </c>
      <c r="AX570" s="93" t="s">
        <v>18820</v>
      </c>
      <c r="AY570" s="87"/>
      <c r="AZ570" s="93" t="s">
        <v>22668</v>
      </c>
      <c r="BA570" s="93" t="s">
        <v>22668</v>
      </c>
      <c r="BB570" s="93" t="s">
        <v>22668</v>
      </c>
      <c r="BC570" s="93" t="s">
        <v>18820</v>
      </c>
      <c r="BD570" s="87">
        <v>129002495</v>
      </c>
      <c r="BE570" s="87"/>
      <c r="BF570" s="87"/>
      <c r="BG570" s="87"/>
      <c r="BH570" s="87"/>
      <c r="BI570" s="87"/>
    </row>
    <row r="571" spans="1:61" x14ac:dyDescent="0.25">
      <c r="A571" s="63" t="s">
        <v>415</v>
      </c>
      <c r="B571" s="63" t="s">
        <v>415</v>
      </c>
      <c r="C571" s="64"/>
      <c r="D571" s="65"/>
      <c r="E571" s="66"/>
      <c r="F571" s="67"/>
      <c r="G571" s="64"/>
      <c r="H571" s="68"/>
      <c r="I571" s="69"/>
      <c r="J571" s="69"/>
      <c r="K571" s="32"/>
      <c r="L571" s="76">
        <v>571</v>
      </c>
      <c r="M571" s="76"/>
      <c r="N571" s="71"/>
      <c r="O571" s="87" t="s">
        <v>179</v>
      </c>
      <c r="P571" s="90">
        <v>45134.791666666664</v>
      </c>
      <c r="Q571" s="87" t="s">
        <v>2398</v>
      </c>
      <c r="R571" s="87">
        <v>0</v>
      </c>
      <c r="S571" s="87">
        <v>0</v>
      </c>
      <c r="T571" s="87">
        <v>0</v>
      </c>
      <c r="U571" s="87">
        <v>0</v>
      </c>
      <c r="V571" s="87">
        <v>13</v>
      </c>
      <c r="W571" s="93" t="s">
        <v>6232</v>
      </c>
      <c r="X571" s="92" t="str">
        <f>HYPERLINK("https://sdnews.com.br/noticia/8089/goiana-deixa-cargo-publico-e-fatura-rs-1-milhao-ao-ano-promovendo-expedicoes.html")</f>
        <v>https://sdnews.com.br/noticia/8089/goiana-deixa-cargo-publico-e-fatura-rs-1-milhao-ao-ano-promovendo-expedicoes.html</v>
      </c>
      <c r="Y571" s="87" t="s">
        <v>8373</v>
      </c>
      <c r="Z571" s="87"/>
      <c r="AA571" s="87"/>
      <c r="AB571" s="87"/>
      <c r="AC571" s="93" t="s">
        <v>11457</v>
      </c>
      <c r="AD571" s="87" t="s">
        <v>11519</v>
      </c>
      <c r="AE571" s="92" t="str">
        <f>HYPERLINK("https://twitter.com/sdnewscatalao/status/1684639794846920704")</f>
        <v>https://twitter.com/sdnewscatalao/status/1684639794846920704</v>
      </c>
      <c r="AF571" s="90">
        <v>45134.791666666664</v>
      </c>
      <c r="AG571" s="99">
        <v>45134</v>
      </c>
      <c r="AH571" s="93" t="s">
        <v>11772</v>
      </c>
      <c r="AI571" s="87" t="b">
        <v>0</v>
      </c>
      <c r="AJ571" s="87"/>
      <c r="AK571" s="87"/>
      <c r="AL571" s="87"/>
      <c r="AM571" s="87"/>
      <c r="AN571" s="87"/>
      <c r="AO571" s="87"/>
      <c r="AP571" s="87"/>
      <c r="AQ571" s="87"/>
      <c r="AR571" s="87"/>
      <c r="AS571" s="87"/>
      <c r="AT571" s="87"/>
      <c r="AU571" s="87"/>
      <c r="AV571" s="92" t="str">
        <f>HYPERLINK("https://pbs.twimg.com/profile_images/1375108267358232576/3mpV1Aqi_normal.jpg")</f>
        <v>https://pbs.twimg.com/profile_images/1375108267358232576/3mpV1Aqi_normal.jpg</v>
      </c>
      <c r="AW571" s="93" t="s">
        <v>18821</v>
      </c>
      <c r="AX571" s="93" t="s">
        <v>18821</v>
      </c>
      <c r="AY571" s="87"/>
      <c r="AZ571" s="93" t="s">
        <v>22668</v>
      </c>
      <c r="BA571" s="93" t="s">
        <v>22668</v>
      </c>
      <c r="BB571" s="93" t="s">
        <v>22668</v>
      </c>
      <c r="BC571" s="93" t="s">
        <v>18821</v>
      </c>
      <c r="BD571" s="87">
        <v>129002495</v>
      </c>
      <c r="BE571" s="87"/>
      <c r="BF571" s="87"/>
      <c r="BG571" s="87"/>
      <c r="BH571" s="87"/>
      <c r="BI571" s="87"/>
    </row>
    <row r="572" spans="1:61" x14ac:dyDescent="0.25">
      <c r="A572" s="63" t="s">
        <v>415</v>
      </c>
      <c r="B572" s="63" t="s">
        <v>415</v>
      </c>
      <c r="C572" s="64"/>
      <c r="D572" s="65"/>
      <c r="E572" s="66"/>
      <c r="F572" s="67"/>
      <c r="G572" s="64"/>
      <c r="H572" s="68"/>
      <c r="I572" s="69"/>
      <c r="J572" s="69"/>
      <c r="K572" s="32"/>
      <c r="L572" s="76">
        <v>572</v>
      </c>
      <c r="M572" s="76"/>
      <c r="N572" s="71"/>
      <c r="O572" s="87" t="s">
        <v>179</v>
      </c>
      <c r="P572" s="90">
        <v>45118.002453703702</v>
      </c>
      <c r="Q572" s="87" t="s">
        <v>2399</v>
      </c>
      <c r="R572" s="87">
        <v>0</v>
      </c>
      <c r="S572" s="87">
        <v>0</v>
      </c>
      <c r="T572" s="87">
        <v>0</v>
      </c>
      <c r="U572" s="87">
        <v>0</v>
      </c>
      <c r="V572" s="87">
        <v>47</v>
      </c>
      <c r="W572" s="93" t="s">
        <v>6233</v>
      </c>
      <c r="X572" s="92" t="str">
        <f>HYPERLINK("https://sdnews.com.br/noticia/7980/feira-das-mulheres-movimenta-o-empreendedorismo-de-anhanguera.html")</f>
        <v>https://sdnews.com.br/noticia/7980/feira-das-mulheres-movimenta-o-empreendedorismo-de-anhanguera.html</v>
      </c>
      <c r="Y572" s="87" t="s">
        <v>8373</v>
      </c>
      <c r="Z572" s="87"/>
      <c r="AA572" s="87"/>
      <c r="AB572" s="87"/>
      <c r="AC572" s="93" t="s">
        <v>11457</v>
      </c>
      <c r="AD572" s="87" t="s">
        <v>11519</v>
      </c>
      <c r="AE572" s="92" t="str">
        <f>HYPERLINK("https://twitter.com/sdnewscatalao/status/1678555585627803651")</f>
        <v>https://twitter.com/sdnewscatalao/status/1678555585627803651</v>
      </c>
      <c r="AF572" s="90">
        <v>45118.002453703702</v>
      </c>
      <c r="AG572" s="99">
        <v>45118</v>
      </c>
      <c r="AH572" s="93" t="s">
        <v>12075</v>
      </c>
      <c r="AI572" s="87" t="b">
        <v>0</v>
      </c>
      <c r="AJ572" s="87"/>
      <c r="AK572" s="87"/>
      <c r="AL572" s="87"/>
      <c r="AM572" s="87"/>
      <c r="AN572" s="87"/>
      <c r="AO572" s="87"/>
      <c r="AP572" s="87"/>
      <c r="AQ572" s="87"/>
      <c r="AR572" s="87"/>
      <c r="AS572" s="87"/>
      <c r="AT572" s="87"/>
      <c r="AU572" s="87"/>
      <c r="AV572" s="92" t="str">
        <f>HYPERLINK("https://pbs.twimg.com/profile_images/1375108267358232576/3mpV1Aqi_normal.jpg")</f>
        <v>https://pbs.twimg.com/profile_images/1375108267358232576/3mpV1Aqi_normal.jpg</v>
      </c>
      <c r="AW572" s="93" t="s">
        <v>18822</v>
      </c>
      <c r="AX572" s="93" t="s">
        <v>18822</v>
      </c>
      <c r="AY572" s="87"/>
      <c r="AZ572" s="93" t="s">
        <v>22668</v>
      </c>
      <c r="BA572" s="93" t="s">
        <v>22668</v>
      </c>
      <c r="BB572" s="93" t="s">
        <v>22668</v>
      </c>
      <c r="BC572" s="93" t="s">
        <v>18822</v>
      </c>
      <c r="BD572" s="87">
        <v>129002495</v>
      </c>
      <c r="BE572" s="87"/>
      <c r="BF572" s="87"/>
      <c r="BG572" s="87"/>
      <c r="BH572" s="87"/>
      <c r="BI572" s="87"/>
    </row>
    <row r="573" spans="1:61" x14ac:dyDescent="0.25">
      <c r="A573" s="63" t="s">
        <v>416</v>
      </c>
      <c r="B573" s="63" t="s">
        <v>1637</v>
      </c>
      <c r="C573" s="64"/>
      <c r="D573" s="65"/>
      <c r="E573" s="66"/>
      <c r="F573" s="67"/>
      <c r="G573" s="64"/>
      <c r="H573" s="68"/>
      <c r="I573" s="69"/>
      <c r="J573" s="69"/>
      <c r="K573" s="32"/>
      <c r="L573" s="76">
        <v>573</v>
      </c>
      <c r="M573" s="76"/>
      <c r="N573" s="71"/>
      <c r="O573" s="87" t="s">
        <v>1839</v>
      </c>
      <c r="P573" s="90">
        <v>45147.072847222225</v>
      </c>
      <c r="Q573" s="87" t="s">
        <v>2400</v>
      </c>
      <c r="R573" s="87">
        <v>0</v>
      </c>
      <c r="S573" s="87">
        <v>1</v>
      </c>
      <c r="T573" s="87">
        <v>0</v>
      </c>
      <c r="U573" s="87">
        <v>0</v>
      </c>
      <c r="V573" s="87">
        <v>22</v>
      </c>
      <c r="W573" s="93" t="s">
        <v>6234</v>
      </c>
      <c r="X573" s="87"/>
      <c r="Y573" s="87"/>
      <c r="Z573" s="87" t="s">
        <v>1637</v>
      </c>
      <c r="AA573" s="87" t="s">
        <v>9011</v>
      </c>
      <c r="AB573" s="87" t="s">
        <v>11447</v>
      </c>
      <c r="AC573" s="93" t="s">
        <v>11459</v>
      </c>
      <c r="AD573" s="87" t="s">
        <v>11519</v>
      </c>
      <c r="AE573" s="92" t="str">
        <f>HYPERLINK("https://twitter.com/cortesdariqueza/status/1689090345819144193")</f>
        <v>https://twitter.com/cortesdariqueza/status/1689090345819144193</v>
      </c>
      <c r="AF573" s="90">
        <v>45147.072847222225</v>
      </c>
      <c r="AG573" s="99">
        <v>45147</v>
      </c>
      <c r="AH573" s="93" t="s">
        <v>12076</v>
      </c>
      <c r="AI573" s="87" t="b">
        <v>0</v>
      </c>
      <c r="AJ573" s="87"/>
      <c r="AK573" s="87"/>
      <c r="AL573" s="87"/>
      <c r="AM573" s="87"/>
      <c r="AN573" s="87"/>
      <c r="AO573" s="87"/>
      <c r="AP573" s="87"/>
      <c r="AQ573" s="87" t="s">
        <v>15824</v>
      </c>
      <c r="AR573" s="87">
        <v>44965</v>
      </c>
      <c r="AS573" s="87"/>
      <c r="AT573" s="87"/>
      <c r="AU573" s="87"/>
      <c r="AV573" s="92" t="str">
        <f>HYPERLINK("https://pbs.twimg.com/ext_tw_video_thumb/1689090241607475200/pu/img/p6ABXKfkSeXxeOys.jpg")</f>
        <v>https://pbs.twimg.com/ext_tw_video_thumb/1689090241607475200/pu/img/p6ABXKfkSeXxeOys.jpg</v>
      </c>
      <c r="AW573" s="93" t="s">
        <v>18823</v>
      </c>
      <c r="AX573" s="93" t="s">
        <v>18823</v>
      </c>
      <c r="AY573" s="87"/>
      <c r="AZ573" s="93" t="s">
        <v>22668</v>
      </c>
      <c r="BA573" s="93" t="s">
        <v>22668</v>
      </c>
      <c r="BB573" s="93" t="s">
        <v>22668</v>
      </c>
      <c r="BC573" s="93" t="s">
        <v>18823</v>
      </c>
      <c r="BD573" s="93" t="s">
        <v>22906</v>
      </c>
      <c r="BE573" s="87"/>
      <c r="BF573" s="87"/>
      <c r="BG573" s="87"/>
      <c r="BH573" s="87"/>
      <c r="BI573" s="87"/>
    </row>
    <row r="574" spans="1:61" x14ac:dyDescent="0.25">
      <c r="A574" s="63" t="s">
        <v>417</v>
      </c>
      <c r="B574" s="63" t="s">
        <v>417</v>
      </c>
      <c r="C574" s="64"/>
      <c r="D574" s="65"/>
      <c r="E574" s="66"/>
      <c r="F574" s="67"/>
      <c r="G574" s="64"/>
      <c r="H574" s="68"/>
      <c r="I574" s="69"/>
      <c r="J574" s="69"/>
      <c r="K574" s="32"/>
      <c r="L574" s="76">
        <v>574</v>
      </c>
      <c r="M574" s="76"/>
      <c r="N574" s="71"/>
      <c r="O574" s="87" t="s">
        <v>179</v>
      </c>
      <c r="P574" s="90">
        <v>45110.652881944443</v>
      </c>
      <c r="Q574" s="87" t="s">
        <v>2401</v>
      </c>
      <c r="R574" s="87">
        <v>0</v>
      </c>
      <c r="S574" s="87">
        <v>0</v>
      </c>
      <c r="T574" s="87">
        <v>0</v>
      </c>
      <c r="U574" s="87">
        <v>0</v>
      </c>
      <c r="V574" s="87">
        <v>7</v>
      </c>
      <c r="W574" s="93" t="s">
        <v>6235</v>
      </c>
      <c r="X574" s="87"/>
      <c r="Y574" s="87"/>
      <c r="Z574" s="87"/>
      <c r="AA574" s="87" t="s">
        <v>9012</v>
      </c>
      <c r="AB574" s="87" t="s">
        <v>11448</v>
      </c>
      <c r="AC574" s="93" t="s">
        <v>11460</v>
      </c>
      <c r="AD574" s="87" t="s">
        <v>11519</v>
      </c>
      <c r="AE574" s="92" t="str">
        <f>HYPERLINK("https://twitter.com/expertdigitals/status/1675892192311746560")</f>
        <v>https://twitter.com/expertdigitals/status/1675892192311746560</v>
      </c>
      <c r="AF574" s="90">
        <v>45110.652881944443</v>
      </c>
      <c r="AG574" s="99">
        <v>45110</v>
      </c>
      <c r="AH574" s="93" t="s">
        <v>12077</v>
      </c>
      <c r="AI574" s="87" t="b">
        <v>0</v>
      </c>
      <c r="AJ574" s="87"/>
      <c r="AK574" s="87"/>
      <c r="AL574" s="87"/>
      <c r="AM574" s="87"/>
      <c r="AN574" s="87"/>
      <c r="AO574" s="87"/>
      <c r="AP574" s="87"/>
      <c r="AQ574" s="87" t="s">
        <v>15825</v>
      </c>
      <c r="AR574" s="87"/>
      <c r="AS574" s="87"/>
      <c r="AT574" s="87"/>
      <c r="AU574" s="87"/>
      <c r="AV574" s="92" t="str">
        <f>HYPERLINK("https://pbs.twimg.com/media/F0H3EU9XoAA5O_L.jpg")</f>
        <v>https://pbs.twimg.com/media/F0H3EU9XoAA5O_L.jpg</v>
      </c>
      <c r="AW574" s="93" t="s">
        <v>18824</v>
      </c>
      <c r="AX574" s="93" t="s">
        <v>18824</v>
      </c>
      <c r="AY574" s="87"/>
      <c r="AZ574" s="93" t="s">
        <v>22668</v>
      </c>
      <c r="BA574" s="93" t="s">
        <v>22668</v>
      </c>
      <c r="BB574" s="93" t="s">
        <v>22668</v>
      </c>
      <c r="BC574" s="93" t="s">
        <v>18824</v>
      </c>
      <c r="BD574" s="87">
        <v>4847356000</v>
      </c>
      <c r="BE574" s="87"/>
      <c r="BF574" s="87"/>
      <c r="BG574" s="87"/>
      <c r="BH574" s="87"/>
      <c r="BI574" s="87"/>
    </row>
    <row r="575" spans="1:61" x14ac:dyDescent="0.25">
      <c r="A575" s="63" t="s">
        <v>418</v>
      </c>
      <c r="B575" s="63" t="s">
        <v>418</v>
      </c>
      <c r="C575" s="64"/>
      <c r="D575" s="65"/>
      <c r="E575" s="66"/>
      <c r="F575" s="67"/>
      <c r="G575" s="64"/>
      <c r="H575" s="68"/>
      <c r="I575" s="69"/>
      <c r="J575" s="69"/>
      <c r="K575" s="32"/>
      <c r="L575" s="76">
        <v>575</v>
      </c>
      <c r="M575" s="76"/>
      <c r="N575" s="71"/>
      <c r="O575" s="87" t="s">
        <v>179</v>
      </c>
      <c r="P575" s="90">
        <v>45129.058738425927</v>
      </c>
      <c r="Q575" s="87" t="s">
        <v>2402</v>
      </c>
      <c r="R575" s="87">
        <v>0</v>
      </c>
      <c r="S575" s="87">
        <v>0</v>
      </c>
      <c r="T575" s="87">
        <v>0</v>
      </c>
      <c r="U575" s="87">
        <v>0</v>
      </c>
      <c r="V575" s="87">
        <v>10</v>
      </c>
      <c r="W575" s="93" t="s">
        <v>6236</v>
      </c>
      <c r="X575" s="92" t="str">
        <f>HYPERLINK("https://encontrei.blog.br/carreira-profissional/")</f>
        <v>https://encontrei.blog.br/carreira-profissional/</v>
      </c>
      <c r="Y575" s="87" t="s">
        <v>8400</v>
      </c>
      <c r="Z575" s="87"/>
      <c r="AA575" s="87"/>
      <c r="AB575" s="87"/>
      <c r="AC575" s="93" t="s">
        <v>11457</v>
      </c>
      <c r="AD575" s="87" t="s">
        <v>11519</v>
      </c>
      <c r="AE575" s="92" t="str">
        <f>HYPERLINK("https://twitter.com/marciof44736695/status/1682562248823255040")</f>
        <v>https://twitter.com/marciof44736695/status/1682562248823255040</v>
      </c>
      <c r="AF575" s="90">
        <v>45129.058738425927</v>
      </c>
      <c r="AG575" s="99">
        <v>45129</v>
      </c>
      <c r="AH575" s="93" t="s">
        <v>12078</v>
      </c>
      <c r="AI575" s="87" t="b">
        <v>0</v>
      </c>
      <c r="AJ575" s="87"/>
      <c r="AK575" s="87"/>
      <c r="AL575" s="87"/>
      <c r="AM575" s="87"/>
      <c r="AN575" s="87"/>
      <c r="AO575" s="87"/>
      <c r="AP575" s="87"/>
      <c r="AQ575" s="87"/>
      <c r="AR575" s="87"/>
      <c r="AS575" s="87"/>
      <c r="AT575" s="87"/>
      <c r="AU575" s="87"/>
      <c r="AV575" s="92" t="str">
        <f>HYPERLINK("https://pbs.twimg.com/profile_images/1461381989450276865/b0qKOic0_normal.jpg")</f>
        <v>https://pbs.twimg.com/profile_images/1461381989450276865/b0qKOic0_normal.jpg</v>
      </c>
      <c r="AW575" s="93" t="s">
        <v>18825</v>
      </c>
      <c r="AX575" s="93" t="s">
        <v>18825</v>
      </c>
      <c r="AY575" s="87"/>
      <c r="AZ575" s="93" t="s">
        <v>22668</v>
      </c>
      <c r="BA575" s="93" t="s">
        <v>22668</v>
      </c>
      <c r="BB575" s="93" t="s">
        <v>22668</v>
      </c>
      <c r="BC575" s="93" t="s">
        <v>18825</v>
      </c>
      <c r="BD575" s="93" t="s">
        <v>22907</v>
      </c>
      <c r="BE575" s="87"/>
      <c r="BF575" s="87"/>
      <c r="BG575" s="87"/>
      <c r="BH575" s="87"/>
      <c r="BI575" s="87"/>
    </row>
    <row r="576" spans="1:61" x14ac:dyDescent="0.25">
      <c r="A576" s="63" t="s">
        <v>419</v>
      </c>
      <c r="B576" s="63" t="s">
        <v>419</v>
      </c>
      <c r="C576" s="64"/>
      <c r="D576" s="65"/>
      <c r="E576" s="66"/>
      <c r="F576" s="67"/>
      <c r="G576" s="64"/>
      <c r="H576" s="68"/>
      <c r="I576" s="69"/>
      <c r="J576" s="69"/>
      <c r="K576" s="32"/>
      <c r="L576" s="76">
        <v>576</v>
      </c>
      <c r="M576" s="76"/>
      <c r="N576" s="71"/>
      <c r="O576" s="87" t="s">
        <v>179</v>
      </c>
      <c r="P576" s="90">
        <v>45125.837141203701</v>
      </c>
      <c r="Q576" s="87" t="s">
        <v>2403</v>
      </c>
      <c r="R576" s="87">
        <v>0</v>
      </c>
      <c r="S576" s="87">
        <v>0</v>
      </c>
      <c r="T576" s="87">
        <v>0</v>
      </c>
      <c r="U576" s="87">
        <v>0</v>
      </c>
      <c r="V576" s="87">
        <v>99</v>
      </c>
      <c r="W576" s="93" t="s">
        <v>6237</v>
      </c>
      <c r="X576" s="87"/>
      <c r="Y576" s="87"/>
      <c r="Z576" s="87"/>
      <c r="AA576" s="87" t="s">
        <v>9013</v>
      </c>
      <c r="AB576" s="87" t="s">
        <v>11447</v>
      </c>
      <c r="AC576" s="93" t="s">
        <v>11457</v>
      </c>
      <c r="AD576" s="87" t="s">
        <v>11519</v>
      </c>
      <c r="AE576" s="92" t="str">
        <f>HYPERLINK("https://twitter.com/daniel1995rj/status/1681394781623025685")</f>
        <v>https://twitter.com/daniel1995rj/status/1681394781623025685</v>
      </c>
      <c r="AF576" s="90">
        <v>45125.837141203701</v>
      </c>
      <c r="AG576" s="99">
        <v>45125</v>
      </c>
      <c r="AH576" s="93" t="s">
        <v>12079</v>
      </c>
      <c r="AI576" s="87" t="b">
        <v>0</v>
      </c>
      <c r="AJ576" s="87"/>
      <c r="AK576" s="87"/>
      <c r="AL576" s="87"/>
      <c r="AM576" s="87"/>
      <c r="AN576" s="87"/>
      <c r="AO576" s="87"/>
      <c r="AP576" s="87"/>
      <c r="AQ576" s="87" t="s">
        <v>15826</v>
      </c>
      <c r="AR576" s="87">
        <v>57678</v>
      </c>
      <c r="AS576" s="87"/>
      <c r="AT576" s="87"/>
      <c r="AU576" s="87"/>
      <c r="AV576" s="92" t="str">
        <f>HYPERLINK("https://pbs.twimg.com/ext_tw_video_thumb/1681394519600660496/pu/img/MkQ-pxGXaIit7iSL.jpg")</f>
        <v>https://pbs.twimg.com/ext_tw_video_thumb/1681394519600660496/pu/img/MkQ-pxGXaIit7iSL.jpg</v>
      </c>
      <c r="AW576" s="93" t="s">
        <v>18826</v>
      </c>
      <c r="AX576" s="93" t="s">
        <v>18826</v>
      </c>
      <c r="AY576" s="87"/>
      <c r="AZ576" s="93" t="s">
        <v>22668</v>
      </c>
      <c r="BA576" s="93" t="s">
        <v>22668</v>
      </c>
      <c r="BB576" s="93" t="s">
        <v>22668</v>
      </c>
      <c r="BC576" s="93" t="s">
        <v>18826</v>
      </c>
      <c r="BD576" s="93" t="s">
        <v>22908</v>
      </c>
      <c r="BE576" s="87"/>
      <c r="BF576" s="87"/>
      <c r="BG576" s="87"/>
      <c r="BH576" s="87"/>
      <c r="BI576" s="87"/>
    </row>
    <row r="577" spans="1:61" x14ac:dyDescent="0.25">
      <c r="A577" s="63" t="s">
        <v>420</v>
      </c>
      <c r="B577" s="63" t="s">
        <v>420</v>
      </c>
      <c r="C577" s="64"/>
      <c r="D577" s="65"/>
      <c r="E577" s="66"/>
      <c r="F577" s="67"/>
      <c r="G577" s="64"/>
      <c r="H577" s="68"/>
      <c r="I577" s="69"/>
      <c r="J577" s="69"/>
      <c r="K577" s="32"/>
      <c r="L577" s="76">
        <v>577</v>
      </c>
      <c r="M577" s="76"/>
      <c r="N577" s="71"/>
      <c r="O577" s="87" t="s">
        <v>179</v>
      </c>
      <c r="P577" s="90">
        <v>45113.701226851852</v>
      </c>
      <c r="Q577" s="87" t="s">
        <v>2404</v>
      </c>
      <c r="R577" s="87">
        <v>8</v>
      </c>
      <c r="S577" s="87">
        <v>1</v>
      </c>
      <c r="T577" s="87">
        <v>0</v>
      </c>
      <c r="U577" s="87">
        <v>0</v>
      </c>
      <c r="V577" s="87">
        <v>307</v>
      </c>
      <c r="W577" s="93" t="s">
        <v>6238</v>
      </c>
      <c r="X577" s="87"/>
      <c r="Y577" s="87"/>
      <c r="Z577" s="87"/>
      <c r="AA577" s="87" t="s">
        <v>9014</v>
      </c>
      <c r="AB577" s="87" t="s">
        <v>11448</v>
      </c>
      <c r="AC577" s="93" t="s">
        <v>11459</v>
      </c>
      <c r="AD577" s="87" t="s">
        <v>11519</v>
      </c>
      <c r="AE577" s="92" t="str">
        <f>HYPERLINK("https://twitter.com/jocacamargo2020/status/1676996872571846680")</f>
        <v>https://twitter.com/jocacamargo2020/status/1676996872571846680</v>
      </c>
      <c r="AF577" s="90">
        <v>45113.701226851852</v>
      </c>
      <c r="AG577" s="99">
        <v>45113</v>
      </c>
      <c r="AH577" s="93" t="s">
        <v>12080</v>
      </c>
      <c r="AI577" s="87" t="b">
        <v>0</v>
      </c>
      <c r="AJ577" s="87"/>
      <c r="AK577" s="87"/>
      <c r="AL577" s="87"/>
      <c r="AM577" s="87"/>
      <c r="AN577" s="87"/>
      <c r="AO577" s="87"/>
      <c r="AP577" s="87"/>
      <c r="AQ577" s="87" t="s">
        <v>15827</v>
      </c>
      <c r="AR577" s="87"/>
      <c r="AS577" s="87"/>
      <c r="AT577" s="87"/>
      <c r="AU577" s="87"/>
      <c r="AV577" s="92" t="str">
        <f>HYPERLINK("https://pbs.twimg.com/media/F0XjxFIWAAoJ_tC.jpg")</f>
        <v>https://pbs.twimg.com/media/F0XjxFIWAAoJ_tC.jpg</v>
      </c>
      <c r="AW577" s="93" t="s">
        <v>18827</v>
      </c>
      <c r="AX577" s="93" t="s">
        <v>18827</v>
      </c>
      <c r="AY577" s="87"/>
      <c r="AZ577" s="93" t="s">
        <v>22668</v>
      </c>
      <c r="BA577" s="93" t="s">
        <v>22668</v>
      </c>
      <c r="BB577" s="93" t="s">
        <v>22668</v>
      </c>
      <c r="BC577" s="93" t="s">
        <v>18827</v>
      </c>
      <c r="BD577" s="87">
        <v>496514998</v>
      </c>
      <c r="BE577" s="87"/>
      <c r="BF577" s="87"/>
      <c r="BG577" s="87"/>
      <c r="BH577" s="87"/>
      <c r="BI577" s="87"/>
    </row>
    <row r="578" spans="1:61" x14ac:dyDescent="0.25">
      <c r="A578" s="63" t="s">
        <v>421</v>
      </c>
      <c r="B578" s="63" t="s">
        <v>421</v>
      </c>
      <c r="C578" s="64"/>
      <c r="D578" s="65"/>
      <c r="E578" s="66"/>
      <c r="F578" s="67"/>
      <c r="G578" s="64"/>
      <c r="H578" s="68"/>
      <c r="I578" s="69"/>
      <c r="J578" s="69"/>
      <c r="K578" s="32"/>
      <c r="L578" s="76">
        <v>578</v>
      </c>
      <c r="M578" s="76"/>
      <c r="N578" s="71"/>
      <c r="O578" s="87" t="s">
        <v>179</v>
      </c>
      <c r="P578" s="90">
        <v>45196.770231481481</v>
      </c>
      <c r="Q578" s="87" t="s">
        <v>2405</v>
      </c>
      <c r="R578" s="87">
        <v>0</v>
      </c>
      <c r="S578" s="87">
        <v>0</v>
      </c>
      <c r="T578" s="87">
        <v>1</v>
      </c>
      <c r="U578" s="87">
        <v>0</v>
      </c>
      <c r="V578" s="87">
        <v>55</v>
      </c>
      <c r="W578" s="93" t="s">
        <v>6239</v>
      </c>
      <c r="X578" s="92" t="str">
        <f>HYPERLINK("https://bit.ly/3REoKQ0")</f>
        <v>https://bit.ly/3REoKQ0</v>
      </c>
      <c r="Y578" s="87" t="s">
        <v>8374</v>
      </c>
      <c r="Z578" s="87"/>
      <c r="AA578" s="87" t="s">
        <v>9015</v>
      </c>
      <c r="AB578" s="87" t="s">
        <v>11449</v>
      </c>
      <c r="AC578" s="93" t="s">
        <v>11457</v>
      </c>
      <c r="AD578" s="87" t="s">
        <v>11519</v>
      </c>
      <c r="AE578" s="92" t="str">
        <f>HYPERLINK("https://twitter.com/nextracker/status/1707100075191857602")</f>
        <v>https://twitter.com/nextracker/status/1707100075191857602</v>
      </c>
      <c r="AF578" s="90">
        <v>45196.770231481481</v>
      </c>
      <c r="AG578" s="99">
        <v>45196</v>
      </c>
      <c r="AH578" s="93" t="s">
        <v>12081</v>
      </c>
      <c r="AI578" s="87" t="b">
        <v>0</v>
      </c>
      <c r="AJ578" s="87"/>
      <c r="AK578" s="87"/>
      <c r="AL578" s="87"/>
      <c r="AM578" s="87"/>
      <c r="AN578" s="87"/>
      <c r="AO578" s="87"/>
      <c r="AP578" s="87"/>
      <c r="AQ578" s="87" t="s">
        <v>15828</v>
      </c>
      <c r="AR578" s="87"/>
      <c r="AS578" s="87"/>
      <c r="AT578" s="87"/>
      <c r="AU578" s="87"/>
      <c r="AV578" s="92" t="str">
        <f>HYPERLINK("https://pbs.twimg.com/media/F7DV-VNa0AAdmZc.jpg")</f>
        <v>https://pbs.twimg.com/media/F7DV-VNa0AAdmZc.jpg</v>
      </c>
      <c r="AW578" s="93" t="s">
        <v>18828</v>
      </c>
      <c r="AX578" s="93" t="s">
        <v>18828</v>
      </c>
      <c r="AY578" s="87"/>
      <c r="AZ578" s="93" t="s">
        <v>22668</v>
      </c>
      <c r="BA578" s="93" t="s">
        <v>22668</v>
      </c>
      <c r="BB578" s="93" t="s">
        <v>22668</v>
      </c>
      <c r="BC578" s="93" t="s">
        <v>18828</v>
      </c>
      <c r="BD578" s="87">
        <v>3365123086</v>
      </c>
      <c r="BE578" s="87"/>
      <c r="BF578" s="87"/>
      <c r="BG578" s="87"/>
      <c r="BH578" s="87"/>
      <c r="BI578" s="87"/>
    </row>
    <row r="579" spans="1:61" x14ac:dyDescent="0.25">
      <c r="A579" s="63" t="s">
        <v>422</v>
      </c>
      <c r="B579" s="63" t="s">
        <v>543</v>
      </c>
      <c r="C579" s="64"/>
      <c r="D579" s="65"/>
      <c r="E579" s="66"/>
      <c r="F579" s="67"/>
      <c r="G579" s="64"/>
      <c r="H579" s="68"/>
      <c r="I579" s="69"/>
      <c r="J579" s="69"/>
      <c r="K579" s="32"/>
      <c r="L579" s="76">
        <v>579</v>
      </c>
      <c r="M579" s="76"/>
      <c r="N579" s="71"/>
      <c r="O579" s="87" t="s">
        <v>1841</v>
      </c>
      <c r="P579" s="90">
        <v>45187.730405092596</v>
      </c>
      <c r="Q579" s="87" t="s">
        <v>2406</v>
      </c>
      <c r="R579" s="87">
        <v>1</v>
      </c>
      <c r="S579" s="87">
        <v>0</v>
      </c>
      <c r="T579" s="87">
        <v>0</v>
      </c>
      <c r="U579" s="87">
        <v>0</v>
      </c>
      <c r="V579" s="87"/>
      <c r="W579" s="87"/>
      <c r="X579" s="87"/>
      <c r="Y579" s="87"/>
      <c r="Z579" s="87" t="s">
        <v>543</v>
      </c>
      <c r="AA579" s="87"/>
      <c r="AB579" s="87"/>
      <c r="AC579" s="93" t="s">
        <v>11458</v>
      </c>
      <c r="AD579" s="87" t="s">
        <v>11519</v>
      </c>
      <c r="AE579" s="92" t="str">
        <f>HYPERLINK("https://twitter.com/onlyisba/status/1703824151641804933")</f>
        <v>https://twitter.com/onlyisba/status/1703824151641804933</v>
      </c>
      <c r="AF579" s="90">
        <v>45187.730405092596</v>
      </c>
      <c r="AG579" s="99">
        <v>45187</v>
      </c>
      <c r="AH579" s="93" t="s">
        <v>12082</v>
      </c>
      <c r="AI579" s="87"/>
      <c r="AJ579" s="87"/>
      <c r="AK579" s="87"/>
      <c r="AL579" s="87"/>
      <c r="AM579" s="87"/>
      <c r="AN579" s="87"/>
      <c r="AO579" s="87"/>
      <c r="AP579" s="87"/>
      <c r="AQ579" s="87"/>
      <c r="AR579" s="87"/>
      <c r="AS579" s="87"/>
      <c r="AT579" s="87"/>
      <c r="AU579" s="87"/>
      <c r="AV579" s="92" t="str">
        <f>HYPERLINK("https://pbs.twimg.com/profile_images/1655690071318704128/cqLRMk7u_normal.jpg")</f>
        <v>https://pbs.twimg.com/profile_images/1655690071318704128/cqLRMk7u_normal.jpg</v>
      </c>
      <c r="AW579" s="93" t="s">
        <v>18829</v>
      </c>
      <c r="AX579" s="93" t="s">
        <v>18829</v>
      </c>
      <c r="AY579" s="87"/>
      <c r="AZ579" s="93" t="s">
        <v>22668</v>
      </c>
      <c r="BA579" s="93" t="s">
        <v>22668</v>
      </c>
      <c r="BB579" s="93" t="s">
        <v>19103</v>
      </c>
      <c r="BC579" s="93" t="s">
        <v>19103</v>
      </c>
      <c r="BD579" s="87">
        <v>632248784</v>
      </c>
      <c r="BE579" s="87"/>
      <c r="BF579" s="87"/>
      <c r="BG579" s="87"/>
      <c r="BH579" s="87"/>
      <c r="BI579" s="87"/>
    </row>
    <row r="580" spans="1:61" x14ac:dyDescent="0.25">
      <c r="A580" s="63" t="s">
        <v>423</v>
      </c>
      <c r="B580" s="63" t="s">
        <v>423</v>
      </c>
      <c r="C580" s="64"/>
      <c r="D580" s="65"/>
      <c r="E580" s="66"/>
      <c r="F580" s="67"/>
      <c r="G580" s="64"/>
      <c r="H580" s="68"/>
      <c r="I580" s="69"/>
      <c r="J580" s="69"/>
      <c r="K580" s="32"/>
      <c r="L580" s="76">
        <v>580</v>
      </c>
      <c r="M580" s="76"/>
      <c r="N580" s="71"/>
      <c r="O580" s="87" t="s">
        <v>179</v>
      </c>
      <c r="P580" s="90">
        <v>45111.458680555559</v>
      </c>
      <c r="Q580" s="87" t="s">
        <v>2407</v>
      </c>
      <c r="R580" s="87">
        <v>0</v>
      </c>
      <c r="S580" s="87">
        <v>0</v>
      </c>
      <c r="T580" s="87">
        <v>0</v>
      </c>
      <c r="U580" s="87">
        <v>0</v>
      </c>
      <c r="V580" s="87">
        <v>7</v>
      </c>
      <c r="W580" s="93" t="s">
        <v>6240</v>
      </c>
      <c r="X580" s="92" t="str">
        <f>HYPERLINK("https://sites.google.com/view/daniel-dantas/blog?authuser=1#h.gorl8rse3srz")</f>
        <v>https://sites.google.com/view/daniel-dantas/blog?authuser=1#h.gorl8rse3srz</v>
      </c>
      <c r="Y580" s="87" t="s">
        <v>8401</v>
      </c>
      <c r="Z580" s="87"/>
      <c r="AA580" s="87" t="s">
        <v>9016</v>
      </c>
      <c r="AB580" s="87" t="s">
        <v>11448</v>
      </c>
      <c r="AC580" s="93" t="s">
        <v>11457</v>
      </c>
      <c r="AD580" s="87" t="s">
        <v>11519</v>
      </c>
      <c r="AE580" s="92" t="str">
        <f>HYPERLINK("https://twitter.com/dantas_daniel_/status/1676184202772107264")</f>
        <v>https://twitter.com/dantas_daniel_/status/1676184202772107264</v>
      </c>
      <c r="AF580" s="90">
        <v>45111.458680555559</v>
      </c>
      <c r="AG580" s="99">
        <v>45111</v>
      </c>
      <c r="AH580" s="93" t="s">
        <v>12083</v>
      </c>
      <c r="AI580" s="87" t="b">
        <v>0</v>
      </c>
      <c r="AJ580" s="87"/>
      <c r="AK580" s="87"/>
      <c r="AL580" s="87"/>
      <c r="AM580" s="87"/>
      <c r="AN580" s="87"/>
      <c r="AO580" s="87"/>
      <c r="AP580" s="87"/>
      <c r="AQ580" s="87" t="s">
        <v>15829</v>
      </c>
      <c r="AR580" s="87"/>
      <c r="AS580" s="87"/>
      <c r="AT580" s="87"/>
      <c r="AU580" s="87"/>
      <c r="AV580" s="92" t="str">
        <f>HYPERLINK("https://pbs.twimg.com/media/F0MApRjaYAMHmTw.jpg")</f>
        <v>https://pbs.twimg.com/media/F0MApRjaYAMHmTw.jpg</v>
      </c>
      <c r="AW580" s="93" t="s">
        <v>18830</v>
      </c>
      <c r="AX580" s="93" t="s">
        <v>18830</v>
      </c>
      <c r="AY580" s="87"/>
      <c r="AZ580" s="93" t="s">
        <v>22668</v>
      </c>
      <c r="BA580" s="93" t="s">
        <v>22668</v>
      </c>
      <c r="BB580" s="93" t="s">
        <v>22668</v>
      </c>
      <c r="BC580" s="93" t="s">
        <v>18830</v>
      </c>
      <c r="BD580" s="93" t="s">
        <v>22909</v>
      </c>
      <c r="BE580" s="87"/>
      <c r="BF580" s="87"/>
      <c r="BG580" s="87"/>
      <c r="BH580" s="87"/>
      <c r="BI580" s="87"/>
    </row>
    <row r="581" spans="1:61" x14ac:dyDescent="0.25">
      <c r="A581" s="63" t="s">
        <v>423</v>
      </c>
      <c r="B581" s="63" t="s">
        <v>423</v>
      </c>
      <c r="C581" s="64"/>
      <c r="D581" s="65"/>
      <c r="E581" s="66"/>
      <c r="F581" s="67"/>
      <c r="G581" s="64"/>
      <c r="H581" s="68"/>
      <c r="I581" s="69"/>
      <c r="J581" s="69"/>
      <c r="K581" s="32"/>
      <c r="L581" s="76">
        <v>581</v>
      </c>
      <c r="M581" s="76"/>
      <c r="N581" s="71"/>
      <c r="O581" s="87" t="s">
        <v>179</v>
      </c>
      <c r="P581" s="90">
        <v>45183.181770833333</v>
      </c>
      <c r="Q581" s="87" t="s">
        <v>2408</v>
      </c>
      <c r="R581" s="87">
        <v>0</v>
      </c>
      <c r="S581" s="87">
        <v>0</v>
      </c>
      <c r="T581" s="87">
        <v>0</v>
      </c>
      <c r="U581" s="87">
        <v>0</v>
      </c>
      <c r="V581" s="87">
        <v>3</v>
      </c>
      <c r="W581" s="93" t="s">
        <v>6241</v>
      </c>
      <c r="X581" s="92" t="str">
        <f>HYPERLINK("https://aboutexplor.wordpress.com/2023/09/13/scaling-up-estrategias-para-crescer-sua-startup-brasileira-com-daniel-dantas/")</f>
        <v>https://aboutexplor.wordpress.com/2023/09/13/scaling-up-estrategias-para-crescer-sua-startup-brasileira-com-daniel-dantas/</v>
      </c>
      <c r="Y581" s="87" t="s">
        <v>8402</v>
      </c>
      <c r="Z581" s="87"/>
      <c r="AA581" s="87" t="s">
        <v>9017</v>
      </c>
      <c r="AB581" s="87" t="s">
        <v>11448</v>
      </c>
      <c r="AC581" s="93" t="s">
        <v>11457</v>
      </c>
      <c r="AD581" s="87" t="s">
        <v>11519</v>
      </c>
      <c r="AE581" s="92" t="str">
        <f>HYPERLINK("https://twitter.com/dantas_daniel_/status/1702175778346271140")</f>
        <v>https://twitter.com/dantas_daniel_/status/1702175778346271140</v>
      </c>
      <c r="AF581" s="90">
        <v>45183.181770833333</v>
      </c>
      <c r="AG581" s="99">
        <v>45183</v>
      </c>
      <c r="AH581" s="93" t="s">
        <v>12084</v>
      </c>
      <c r="AI581" s="87" t="b">
        <v>0</v>
      </c>
      <c r="AJ581" s="87"/>
      <c r="AK581" s="87"/>
      <c r="AL581" s="87"/>
      <c r="AM581" s="87"/>
      <c r="AN581" s="87"/>
      <c r="AO581" s="87"/>
      <c r="AP581" s="87"/>
      <c r="AQ581" s="87" t="s">
        <v>15830</v>
      </c>
      <c r="AR581" s="87"/>
      <c r="AS581" s="87"/>
      <c r="AT581" s="87"/>
      <c r="AU581" s="87"/>
      <c r="AV581" s="92" t="str">
        <f>HYPERLINK("https://pbs.twimg.com/media/F59X2HEbIAAwuAo.jpg")</f>
        <v>https://pbs.twimg.com/media/F59X2HEbIAAwuAo.jpg</v>
      </c>
      <c r="AW581" s="93" t="s">
        <v>18831</v>
      </c>
      <c r="AX581" s="93" t="s">
        <v>18831</v>
      </c>
      <c r="AY581" s="87"/>
      <c r="AZ581" s="93" t="s">
        <v>22668</v>
      </c>
      <c r="BA581" s="93" t="s">
        <v>22668</v>
      </c>
      <c r="BB581" s="93" t="s">
        <v>22668</v>
      </c>
      <c r="BC581" s="93" t="s">
        <v>18831</v>
      </c>
      <c r="BD581" s="93" t="s">
        <v>22909</v>
      </c>
      <c r="BE581" s="87"/>
      <c r="BF581" s="87"/>
      <c r="BG581" s="87"/>
      <c r="BH581" s="87"/>
      <c r="BI581" s="87"/>
    </row>
    <row r="582" spans="1:61" x14ac:dyDescent="0.25">
      <c r="A582" s="63" t="s">
        <v>423</v>
      </c>
      <c r="B582" s="63" t="s">
        <v>423</v>
      </c>
      <c r="C582" s="64"/>
      <c r="D582" s="65"/>
      <c r="E582" s="66"/>
      <c r="F582" s="67"/>
      <c r="G582" s="64"/>
      <c r="H582" s="68"/>
      <c r="I582" s="69"/>
      <c r="J582" s="69"/>
      <c r="K582" s="32"/>
      <c r="L582" s="76">
        <v>582</v>
      </c>
      <c r="M582" s="76"/>
      <c r="N582" s="71"/>
      <c r="O582" s="87" t="s">
        <v>179</v>
      </c>
      <c r="P582" s="90">
        <v>45183.179571759261</v>
      </c>
      <c r="Q582" s="87" t="s">
        <v>2409</v>
      </c>
      <c r="R582" s="87">
        <v>0</v>
      </c>
      <c r="S582" s="87">
        <v>0</v>
      </c>
      <c r="T582" s="87">
        <v>0</v>
      </c>
      <c r="U582" s="87">
        <v>0</v>
      </c>
      <c r="V582" s="87">
        <v>4</v>
      </c>
      <c r="W582" s="93" t="s">
        <v>6241</v>
      </c>
      <c r="X582" s="92" t="str">
        <f>HYPERLINK("https://danieldantas.mystrikingly.com/blog/o-poder-do-networking-construindo-conexoes-na-comunidade-empresarial")</f>
        <v>https://danieldantas.mystrikingly.com/blog/o-poder-do-networking-construindo-conexoes-na-comunidade-empresarial</v>
      </c>
      <c r="Y582" s="87" t="s">
        <v>8403</v>
      </c>
      <c r="Z582" s="87"/>
      <c r="AA582" s="87" t="s">
        <v>9018</v>
      </c>
      <c r="AB582" s="87" t="s">
        <v>11448</v>
      </c>
      <c r="AC582" s="93" t="s">
        <v>11457</v>
      </c>
      <c r="AD582" s="87" t="s">
        <v>11519</v>
      </c>
      <c r="AE582" s="92" t="str">
        <f>HYPERLINK("https://twitter.com/dantas_daniel_/status/1702174982330323118")</f>
        <v>https://twitter.com/dantas_daniel_/status/1702174982330323118</v>
      </c>
      <c r="AF582" s="90">
        <v>45183.179571759261</v>
      </c>
      <c r="AG582" s="99">
        <v>45183</v>
      </c>
      <c r="AH582" s="93" t="s">
        <v>12085</v>
      </c>
      <c r="AI582" s="87" t="b">
        <v>0</v>
      </c>
      <c r="AJ582" s="87"/>
      <c r="AK582" s="87"/>
      <c r="AL582" s="87"/>
      <c r="AM582" s="87"/>
      <c r="AN582" s="87"/>
      <c r="AO582" s="87"/>
      <c r="AP582" s="87"/>
      <c r="AQ582" s="87" t="s">
        <v>15831</v>
      </c>
      <c r="AR582" s="87"/>
      <c r="AS582" s="87"/>
      <c r="AT582" s="87"/>
      <c r="AU582" s="87"/>
      <c r="AV582" s="92" t="str">
        <f>HYPERLINK("https://pbs.twimg.com/media/F59XHu9b0AAGsCA.jpg")</f>
        <v>https://pbs.twimg.com/media/F59XHu9b0AAGsCA.jpg</v>
      </c>
      <c r="AW582" s="93" t="s">
        <v>18832</v>
      </c>
      <c r="AX582" s="93" t="s">
        <v>18832</v>
      </c>
      <c r="AY582" s="87"/>
      <c r="AZ582" s="93" t="s">
        <v>22668</v>
      </c>
      <c r="BA582" s="93" t="s">
        <v>22668</v>
      </c>
      <c r="BB582" s="93" t="s">
        <v>22668</v>
      </c>
      <c r="BC582" s="93" t="s">
        <v>18832</v>
      </c>
      <c r="BD582" s="93" t="s">
        <v>22909</v>
      </c>
      <c r="BE582" s="87"/>
      <c r="BF582" s="87"/>
      <c r="BG582" s="87"/>
      <c r="BH582" s="87"/>
      <c r="BI582" s="87"/>
    </row>
    <row r="583" spans="1:61" x14ac:dyDescent="0.25">
      <c r="A583" s="63" t="s">
        <v>424</v>
      </c>
      <c r="B583" s="63" t="s">
        <v>424</v>
      </c>
      <c r="C583" s="64"/>
      <c r="D583" s="65"/>
      <c r="E583" s="66"/>
      <c r="F583" s="67"/>
      <c r="G583" s="64"/>
      <c r="H583" s="68"/>
      <c r="I583" s="69"/>
      <c r="J583" s="69"/>
      <c r="K583" s="32"/>
      <c r="L583" s="76">
        <v>583</v>
      </c>
      <c r="M583" s="76"/>
      <c r="N583" s="71"/>
      <c r="O583" s="87" t="s">
        <v>179</v>
      </c>
      <c r="P583" s="90">
        <v>45111.353182870371</v>
      </c>
      <c r="Q583" s="87" t="s">
        <v>2410</v>
      </c>
      <c r="R583" s="87">
        <v>0</v>
      </c>
      <c r="S583" s="87">
        <v>4</v>
      </c>
      <c r="T583" s="87">
        <v>0</v>
      </c>
      <c r="U583" s="87">
        <v>0</v>
      </c>
      <c r="V583" s="87">
        <v>131</v>
      </c>
      <c r="W583" s="93" t="s">
        <v>6242</v>
      </c>
      <c r="X583" s="87"/>
      <c r="Y583" s="87"/>
      <c r="Z583" s="87"/>
      <c r="AA583" s="87" t="s">
        <v>9019</v>
      </c>
      <c r="AB583" s="87" t="s">
        <v>11451</v>
      </c>
      <c r="AC583" s="93" t="s">
        <v>11457</v>
      </c>
      <c r="AD583" s="87" t="s">
        <v>11519</v>
      </c>
      <c r="AE583" s="92" t="str">
        <f>HYPERLINK("https://twitter.com/delbraspar/status/1676145971070205954")</f>
        <v>https://twitter.com/delbraspar/status/1676145971070205954</v>
      </c>
      <c r="AF583" s="90">
        <v>45111.353182870371</v>
      </c>
      <c r="AG583" s="99">
        <v>45111</v>
      </c>
      <c r="AH583" s="93" t="s">
        <v>12086</v>
      </c>
      <c r="AI583" s="87" t="b">
        <v>0</v>
      </c>
      <c r="AJ583" s="87"/>
      <c r="AK583" s="87"/>
      <c r="AL583" s="87"/>
      <c r="AM583" s="87"/>
      <c r="AN583" s="87"/>
      <c r="AO583" s="87"/>
      <c r="AP583" s="87"/>
      <c r="AQ583" s="87" t="s">
        <v>15832</v>
      </c>
      <c r="AR583" s="87"/>
      <c r="AS583" s="87"/>
      <c r="AT583" s="87"/>
      <c r="AU583" s="87"/>
      <c r="AV583" s="92" t="str">
        <f>HYPERLINK("https://pbs.twimg.com/media/F0LdLEdXsAA3snS.jpg")</f>
        <v>https://pbs.twimg.com/media/F0LdLEdXsAA3snS.jpg</v>
      </c>
      <c r="AW583" s="93" t="s">
        <v>18833</v>
      </c>
      <c r="AX583" s="93" t="s">
        <v>18833</v>
      </c>
      <c r="AY583" s="87"/>
      <c r="AZ583" s="93" t="s">
        <v>22668</v>
      </c>
      <c r="BA583" s="93" t="s">
        <v>22668</v>
      </c>
      <c r="BB583" s="93" t="s">
        <v>22668</v>
      </c>
      <c r="BC583" s="93" t="s">
        <v>18833</v>
      </c>
      <c r="BD583" s="93" t="s">
        <v>22910</v>
      </c>
      <c r="BE583" s="87"/>
      <c r="BF583" s="87"/>
      <c r="BG583" s="87"/>
      <c r="BH583" s="87"/>
      <c r="BI583" s="87"/>
    </row>
    <row r="584" spans="1:61" x14ac:dyDescent="0.25">
      <c r="A584" s="63" t="s">
        <v>425</v>
      </c>
      <c r="B584" s="63" t="s">
        <v>524</v>
      </c>
      <c r="C584" s="64"/>
      <c r="D584" s="65"/>
      <c r="E584" s="66"/>
      <c r="F584" s="67"/>
      <c r="G584" s="64"/>
      <c r="H584" s="68"/>
      <c r="I584" s="69"/>
      <c r="J584" s="69"/>
      <c r="K584" s="32"/>
      <c r="L584" s="76">
        <v>584</v>
      </c>
      <c r="M584" s="76"/>
      <c r="N584" s="71"/>
      <c r="O584" s="87" t="s">
        <v>1842</v>
      </c>
      <c r="P584" s="90">
        <v>45191.561655092592</v>
      </c>
      <c r="Q584" s="87" t="s">
        <v>2411</v>
      </c>
      <c r="R584" s="87">
        <v>0</v>
      </c>
      <c r="S584" s="87">
        <v>2</v>
      </c>
      <c r="T584" s="87">
        <v>0</v>
      </c>
      <c r="U584" s="87">
        <v>0</v>
      </c>
      <c r="V584" s="87">
        <v>17</v>
      </c>
      <c r="W584" s="93" t="s">
        <v>6243</v>
      </c>
      <c r="X584" s="87"/>
      <c r="Y584" s="87"/>
      <c r="Z584" s="87"/>
      <c r="AA584" s="87"/>
      <c r="AB584" s="87"/>
      <c r="AC584" s="93" t="s">
        <v>11457</v>
      </c>
      <c r="AD584" s="87" t="s">
        <v>11518</v>
      </c>
      <c r="AE584" s="92" t="str">
        <f>HYPERLINK("https://twitter.com/chupp_bayyy/status/1705212547379732821")</f>
        <v>https://twitter.com/chupp_bayyy/status/1705212547379732821</v>
      </c>
      <c r="AF584" s="90">
        <v>45191.561655092592</v>
      </c>
      <c r="AG584" s="99">
        <v>45191</v>
      </c>
      <c r="AH584" s="93" t="s">
        <v>12087</v>
      </c>
      <c r="AI584" s="87"/>
      <c r="AJ584" s="87"/>
      <c r="AK584" s="87"/>
      <c r="AL584" s="87"/>
      <c r="AM584" s="87"/>
      <c r="AN584" s="87"/>
      <c r="AO584" s="87"/>
      <c r="AP584" s="87"/>
      <c r="AQ584" s="87"/>
      <c r="AR584" s="87"/>
      <c r="AS584" s="87"/>
      <c r="AT584" s="87"/>
      <c r="AU584" s="87"/>
      <c r="AV584" s="92" t="str">
        <f>HYPERLINK("https://pbs.twimg.com/profile_images/1199702122994028544/NHUX6sMw_normal.jpg")</f>
        <v>https://pbs.twimg.com/profile_images/1199702122994028544/NHUX6sMw_normal.jpg</v>
      </c>
      <c r="AW584" s="93" t="s">
        <v>18834</v>
      </c>
      <c r="AX584" s="93" t="s">
        <v>18834</v>
      </c>
      <c r="AY584" s="87"/>
      <c r="AZ584" s="93" t="s">
        <v>22668</v>
      </c>
      <c r="BA584" s="93" t="s">
        <v>19055</v>
      </c>
      <c r="BB584" s="93" t="s">
        <v>22668</v>
      </c>
      <c r="BC584" s="93" t="s">
        <v>19055</v>
      </c>
      <c r="BD584" s="93" t="s">
        <v>22911</v>
      </c>
      <c r="BE584" s="87"/>
      <c r="BF584" s="87"/>
      <c r="BG584" s="87"/>
      <c r="BH584" s="87"/>
      <c r="BI584" s="87"/>
    </row>
    <row r="585" spans="1:61" x14ac:dyDescent="0.25">
      <c r="A585" s="63" t="s">
        <v>426</v>
      </c>
      <c r="B585" s="63" t="s">
        <v>426</v>
      </c>
      <c r="C585" s="64"/>
      <c r="D585" s="65"/>
      <c r="E585" s="66"/>
      <c r="F585" s="67"/>
      <c r="G585" s="64"/>
      <c r="H585" s="68"/>
      <c r="I585" s="69"/>
      <c r="J585" s="69"/>
      <c r="K585" s="32"/>
      <c r="L585" s="76">
        <v>585</v>
      </c>
      <c r="M585" s="76"/>
      <c r="N585" s="71"/>
      <c r="O585" s="87" t="s">
        <v>179</v>
      </c>
      <c r="P585" s="90">
        <v>45128.679675925923</v>
      </c>
      <c r="Q585" s="87" t="s">
        <v>2412</v>
      </c>
      <c r="R585" s="87">
        <v>0</v>
      </c>
      <c r="S585" s="87">
        <v>0</v>
      </c>
      <c r="T585" s="87">
        <v>0</v>
      </c>
      <c r="U585" s="87">
        <v>0</v>
      </c>
      <c r="V585" s="87">
        <v>11</v>
      </c>
      <c r="W585" s="93" t="s">
        <v>6244</v>
      </c>
      <c r="X585" s="92" t="str">
        <f>HYPERLINK("https://www.instagram.com/reel/Cu9ud3TtdlB/")</f>
        <v>https://www.instagram.com/reel/Cu9ud3TtdlB/</v>
      </c>
      <c r="Y585" s="87" t="s">
        <v>8383</v>
      </c>
      <c r="Z585" s="87"/>
      <c r="AA585" s="87"/>
      <c r="AB585" s="87"/>
      <c r="AC585" s="93" t="s">
        <v>11457</v>
      </c>
      <c r="AD585" s="87" t="s">
        <v>11519</v>
      </c>
      <c r="AE585" s="92" t="str">
        <f>HYPERLINK("https://twitter.com/buzzbytebr/status/1682424881990778881")</f>
        <v>https://twitter.com/buzzbytebr/status/1682424881990778881</v>
      </c>
      <c r="AF585" s="90">
        <v>45128.679675925923</v>
      </c>
      <c r="AG585" s="99">
        <v>45128</v>
      </c>
      <c r="AH585" s="93" t="s">
        <v>12088</v>
      </c>
      <c r="AI585" s="87" t="b">
        <v>0</v>
      </c>
      <c r="AJ585" s="87"/>
      <c r="AK585" s="87"/>
      <c r="AL585" s="87"/>
      <c r="AM585" s="87"/>
      <c r="AN585" s="87"/>
      <c r="AO585" s="87"/>
      <c r="AP585" s="87"/>
      <c r="AQ585" s="87"/>
      <c r="AR585" s="87"/>
      <c r="AS585" s="87"/>
      <c r="AT585" s="87"/>
      <c r="AU585" s="87"/>
      <c r="AV585" s="92" t="str">
        <f>HYPERLINK("https://pbs.twimg.com/profile_images/1674837685888856064/xdw55jIY_normal.jpg")</f>
        <v>https://pbs.twimg.com/profile_images/1674837685888856064/xdw55jIY_normal.jpg</v>
      </c>
      <c r="AW585" s="93" t="s">
        <v>18835</v>
      </c>
      <c r="AX585" s="93" t="s">
        <v>18835</v>
      </c>
      <c r="AY585" s="87"/>
      <c r="AZ585" s="93" t="s">
        <v>22668</v>
      </c>
      <c r="BA585" s="93" t="s">
        <v>22668</v>
      </c>
      <c r="BB585" s="93" t="s">
        <v>22668</v>
      </c>
      <c r="BC585" s="93" t="s">
        <v>18835</v>
      </c>
      <c r="BD585" s="93" t="s">
        <v>22912</v>
      </c>
      <c r="BE585" s="87"/>
      <c r="BF585" s="87"/>
      <c r="BG585" s="87"/>
      <c r="BH585" s="87"/>
      <c r="BI585" s="87"/>
    </row>
    <row r="586" spans="1:61" x14ac:dyDescent="0.25">
      <c r="A586" s="63" t="s">
        <v>427</v>
      </c>
      <c r="B586" s="63" t="s">
        <v>427</v>
      </c>
      <c r="C586" s="64"/>
      <c r="D586" s="65"/>
      <c r="E586" s="66"/>
      <c r="F586" s="67"/>
      <c r="G586" s="64"/>
      <c r="H586" s="68"/>
      <c r="I586" s="69"/>
      <c r="J586" s="69"/>
      <c r="K586" s="32"/>
      <c r="L586" s="76">
        <v>586</v>
      </c>
      <c r="M586" s="76"/>
      <c r="N586" s="71"/>
      <c r="O586" s="87" t="s">
        <v>179</v>
      </c>
      <c r="P586" s="90">
        <v>45156.5</v>
      </c>
      <c r="Q586" s="87" t="s">
        <v>2413</v>
      </c>
      <c r="R586" s="87">
        <v>0</v>
      </c>
      <c r="S586" s="87">
        <v>0</v>
      </c>
      <c r="T586" s="87">
        <v>0</v>
      </c>
      <c r="U586" s="87">
        <v>0</v>
      </c>
      <c r="V586" s="87">
        <v>7</v>
      </c>
      <c r="W586" s="93" t="s">
        <v>6245</v>
      </c>
      <c r="X586" s="92" t="str">
        <f>HYPERLINK("http://www.williamhunt.com.br/completo")</f>
        <v>http://www.williamhunt.com.br/completo</v>
      </c>
      <c r="Y586" s="87" t="s">
        <v>8373</v>
      </c>
      <c r="Z586" s="87"/>
      <c r="AA586" s="87" t="s">
        <v>9020</v>
      </c>
      <c r="AB586" s="87" t="s">
        <v>11448</v>
      </c>
      <c r="AC586" s="93" t="s">
        <v>11457</v>
      </c>
      <c r="AD586" s="87" t="s">
        <v>11519</v>
      </c>
      <c r="AE586" s="92" t="str">
        <f>HYPERLINK("https://twitter.com/williamhuntbr/status/1692506630615699522")</f>
        <v>https://twitter.com/williamhuntbr/status/1692506630615699522</v>
      </c>
      <c r="AF586" s="90">
        <v>45156.5</v>
      </c>
      <c r="AG586" s="99">
        <v>45156</v>
      </c>
      <c r="AH586" s="93" t="s">
        <v>12089</v>
      </c>
      <c r="AI586" s="87" t="b">
        <v>0</v>
      </c>
      <c r="AJ586" s="87"/>
      <c r="AK586" s="87"/>
      <c r="AL586" s="87"/>
      <c r="AM586" s="87"/>
      <c r="AN586" s="87"/>
      <c r="AO586" s="87"/>
      <c r="AP586" s="87"/>
      <c r="AQ586" s="87" t="s">
        <v>15833</v>
      </c>
      <c r="AR586" s="87"/>
      <c r="AS586" s="87"/>
      <c r="AT586" s="87"/>
      <c r="AU586" s="87"/>
      <c r="AV586" s="92" t="str">
        <f>HYPERLINK("https://pbs.twimg.com/media/F3hN1T7WYAAC8v_.jpg")</f>
        <v>https://pbs.twimg.com/media/F3hN1T7WYAAC8v_.jpg</v>
      </c>
      <c r="AW586" s="93" t="s">
        <v>18836</v>
      </c>
      <c r="AX586" s="93" t="s">
        <v>18836</v>
      </c>
      <c r="AY586" s="87"/>
      <c r="AZ586" s="93" t="s">
        <v>22668</v>
      </c>
      <c r="BA586" s="93" t="s">
        <v>22668</v>
      </c>
      <c r="BB586" s="93" t="s">
        <v>22668</v>
      </c>
      <c r="BC586" s="93" t="s">
        <v>18836</v>
      </c>
      <c r="BD586" s="93" t="s">
        <v>22913</v>
      </c>
      <c r="BE586" s="87"/>
      <c r="BF586" s="87"/>
      <c r="BG586" s="87"/>
      <c r="BH586" s="87"/>
      <c r="BI586" s="87"/>
    </row>
    <row r="587" spans="1:61" x14ac:dyDescent="0.25">
      <c r="A587" s="63" t="s">
        <v>427</v>
      </c>
      <c r="B587" s="63" t="s">
        <v>427</v>
      </c>
      <c r="C587" s="64"/>
      <c r="D587" s="65"/>
      <c r="E587" s="66"/>
      <c r="F587" s="67"/>
      <c r="G587" s="64"/>
      <c r="H587" s="68"/>
      <c r="I587" s="69"/>
      <c r="J587" s="69"/>
      <c r="K587" s="32"/>
      <c r="L587" s="76">
        <v>587</v>
      </c>
      <c r="M587" s="76"/>
      <c r="N587" s="71"/>
      <c r="O587" s="87" t="s">
        <v>179</v>
      </c>
      <c r="P587" s="90">
        <v>45166.500023148146</v>
      </c>
      <c r="Q587" s="87" t="s">
        <v>2414</v>
      </c>
      <c r="R587" s="87">
        <v>0</v>
      </c>
      <c r="S587" s="87">
        <v>0</v>
      </c>
      <c r="T587" s="87">
        <v>0</v>
      </c>
      <c r="U587" s="87">
        <v>0</v>
      </c>
      <c r="V587" s="87">
        <v>7</v>
      </c>
      <c r="W587" s="93" t="s">
        <v>6246</v>
      </c>
      <c r="X587" s="92" t="str">
        <f>HYPERLINK("http://www.williamhunt.com.br/completo")</f>
        <v>http://www.williamhunt.com.br/completo</v>
      </c>
      <c r="Y587" s="87" t="s">
        <v>8373</v>
      </c>
      <c r="Z587" s="87"/>
      <c r="AA587" s="87" t="s">
        <v>9021</v>
      </c>
      <c r="AB587" s="87" t="s">
        <v>11448</v>
      </c>
      <c r="AC587" s="93" t="s">
        <v>11457</v>
      </c>
      <c r="AD587" s="87" t="s">
        <v>11519</v>
      </c>
      <c r="AE587" s="92" t="str">
        <f>HYPERLINK("https://twitter.com/williamhuntbr/status/1696130515751817414")</f>
        <v>https://twitter.com/williamhuntbr/status/1696130515751817414</v>
      </c>
      <c r="AF587" s="90">
        <v>45166.500023148146</v>
      </c>
      <c r="AG587" s="99">
        <v>45166</v>
      </c>
      <c r="AH587" s="93" t="s">
        <v>12090</v>
      </c>
      <c r="AI587" s="87" t="b">
        <v>0</v>
      </c>
      <c r="AJ587" s="87"/>
      <c r="AK587" s="87"/>
      <c r="AL587" s="87"/>
      <c r="AM587" s="87"/>
      <c r="AN587" s="87"/>
      <c r="AO587" s="87"/>
      <c r="AP587" s="87"/>
      <c r="AQ587" s="87" t="s">
        <v>15834</v>
      </c>
      <c r="AR587" s="87"/>
      <c r="AS587" s="87"/>
      <c r="AT587" s="87"/>
      <c r="AU587" s="87"/>
      <c r="AV587" s="92" t="str">
        <f>HYPERLINK("https://pbs.twimg.com/media/F4I-KTEaQAEpghd.jpg")</f>
        <v>https://pbs.twimg.com/media/F4I-KTEaQAEpghd.jpg</v>
      </c>
      <c r="AW587" s="93" t="s">
        <v>18837</v>
      </c>
      <c r="AX587" s="93" t="s">
        <v>18837</v>
      </c>
      <c r="AY587" s="87"/>
      <c r="AZ587" s="93" t="s">
        <v>22668</v>
      </c>
      <c r="BA587" s="93" t="s">
        <v>22668</v>
      </c>
      <c r="BB587" s="93" t="s">
        <v>22668</v>
      </c>
      <c r="BC587" s="93" t="s">
        <v>18837</v>
      </c>
      <c r="BD587" s="93" t="s">
        <v>22913</v>
      </c>
      <c r="BE587" s="87"/>
      <c r="BF587" s="87"/>
      <c r="BG587" s="87"/>
      <c r="BH587" s="87"/>
      <c r="BI587" s="87"/>
    </row>
    <row r="588" spans="1:61" x14ac:dyDescent="0.25">
      <c r="A588" s="63" t="s">
        <v>427</v>
      </c>
      <c r="B588" s="63" t="s">
        <v>427</v>
      </c>
      <c r="C588" s="64"/>
      <c r="D588" s="65"/>
      <c r="E588" s="66"/>
      <c r="F588" s="67"/>
      <c r="G588" s="64"/>
      <c r="H588" s="68"/>
      <c r="I588" s="69"/>
      <c r="J588" s="69"/>
      <c r="K588" s="32"/>
      <c r="L588" s="76">
        <v>588</v>
      </c>
      <c r="M588" s="76"/>
      <c r="N588" s="71"/>
      <c r="O588" s="87" t="s">
        <v>179</v>
      </c>
      <c r="P588" s="90">
        <v>45140.500011574077</v>
      </c>
      <c r="Q588" s="87" t="s">
        <v>2415</v>
      </c>
      <c r="R588" s="87">
        <v>0</v>
      </c>
      <c r="S588" s="87">
        <v>0</v>
      </c>
      <c r="T588" s="87">
        <v>0</v>
      </c>
      <c r="U588" s="87">
        <v>0</v>
      </c>
      <c r="V588" s="87">
        <v>17</v>
      </c>
      <c r="W588" s="93" t="s">
        <v>6247</v>
      </c>
      <c r="X588" s="92" t="str">
        <f>HYPERLINK("https://williamhunt.com.br/segredos-dos-investimentos-para-iniciantes")</f>
        <v>https://williamhunt.com.br/segredos-dos-investimentos-para-iniciantes</v>
      </c>
      <c r="Y588" s="87" t="s">
        <v>8373</v>
      </c>
      <c r="Z588" s="87"/>
      <c r="AA588" s="87" t="s">
        <v>9022</v>
      </c>
      <c r="AB588" s="87" t="s">
        <v>11448</v>
      </c>
      <c r="AC588" s="93" t="s">
        <v>11457</v>
      </c>
      <c r="AD588" s="87" t="s">
        <v>11519</v>
      </c>
      <c r="AE588" s="92" t="str">
        <f>HYPERLINK("https://twitter.com/williamhuntbr/status/1686708426670555136")</f>
        <v>https://twitter.com/williamhuntbr/status/1686708426670555136</v>
      </c>
      <c r="AF588" s="90">
        <v>45140.500011574077</v>
      </c>
      <c r="AG588" s="99">
        <v>45140</v>
      </c>
      <c r="AH588" s="93" t="s">
        <v>12091</v>
      </c>
      <c r="AI588" s="87" t="b">
        <v>0</v>
      </c>
      <c r="AJ588" s="87"/>
      <c r="AK588" s="87"/>
      <c r="AL588" s="87"/>
      <c r="AM588" s="87"/>
      <c r="AN588" s="87"/>
      <c r="AO588" s="87"/>
      <c r="AP588" s="87"/>
      <c r="AQ588" s="87" t="s">
        <v>15835</v>
      </c>
      <c r="AR588" s="87"/>
      <c r="AS588" s="87"/>
      <c r="AT588" s="87"/>
      <c r="AU588" s="87"/>
      <c r="AV588" s="92" t="str">
        <f>HYPERLINK("https://pbs.twimg.com/media/F2Df6ofX0AIcyeM.jpg")</f>
        <v>https://pbs.twimg.com/media/F2Df6ofX0AIcyeM.jpg</v>
      </c>
      <c r="AW588" s="93" t="s">
        <v>18838</v>
      </c>
      <c r="AX588" s="93" t="s">
        <v>18838</v>
      </c>
      <c r="AY588" s="87"/>
      <c r="AZ588" s="93" t="s">
        <v>22668</v>
      </c>
      <c r="BA588" s="93" t="s">
        <v>22668</v>
      </c>
      <c r="BB588" s="93" t="s">
        <v>22668</v>
      </c>
      <c r="BC588" s="93" t="s">
        <v>18838</v>
      </c>
      <c r="BD588" s="93" t="s">
        <v>22913</v>
      </c>
      <c r="BE588" s="87"/>
      <c r="BF588" s="87"/>
      <c r="BG588" s="87"/>
      <c r="BH588" s="87"/>
      <c r="BI588" s="87"/>
    </row>
    <row r="589" spans="1:61" x14ac:dyDescent="0.25">
      <c r="A589" s="63" t="s">
        <v>427</v>
      </c>
      <c r="B589" s="63" t="s">
        <v>427</v>
      </c>
      <c r="C589" s="64"/>
      <c r="D589" s="65"/>
      <c r="E589" s="66"/>
      <c r="F589" s="67"/>
      <c r="G589" s="64"/>
      <c r="H589" s="68"/>
      <c r="I589" s="69"/>
      <c r="J589" s="69"/>
      <c r="K589" s="32"/>
      <c r="L589" s="76">
        <v>589</v>
      </c>
      <c r="M589" s="76"/>
      <c r="N589" s="71"/>
      <c r="O589" s="87" t="s">
        <v>179</v>
      </c>
      <c r="P589" s="90">
        <v>45173.5</v>
      </c>
      <c r="Q589" s="87" t="s">
        <v>2416</v>
      </c>
      <c r="R589" s="87">
        <v>0</v>
      </c>
      <c r="S589" s="87">
        <v>0</v>
      </c>
      <c r="T589" s="87">
        <v>0</v>
      </c>
      <c r="U589" s="87">
        <v>0</v>
      </c>
      <c r="V589" s="87">
        <v>12</v>
      </c>
      <c r="W589" s="93" t="s">
        <v>6248</v>
      </c>
      <c r="X589" s="87"/>
      <c r="Y589" s="87"/>
      <c r="Z589" s="87"/>
      <c r="AA589" s="87" t="s">
        <v>9023</v>
      </c>
      <c r="AB589" s="87" t="s">
        <v>11448</v>
      </c>
      <c r="AC589" s="93" t="s">
        <v>11457</v>
      </c>
      <c r="AD589" s="87" t="s">
        <v>11519</v>
      </c>
      <c r="AE589" s="92" t="str">
        <f>HYPERLINK("https://twitter.com/williamhuntbr/status/1698667222539833560")</f>
        <v>https://twitter.com/williamhuntbr/status/1698667222539833560</v>
      </c>
      <c r="AF589" s="90">
        <v>45173.5</v>
      </c>
      <c r="AG589" s="99">
        <v>45173</v>
      </c>
      <c r="AH589" s="93" t="s">
        <v>12089</v>
      </c>
      <c r="AI589" s="87" t="b">
        <v>0</v>
      </c>
      <c r="AJ589" s="87"/>
      <c r="AK589" s="87"/>
      <c r="AL589" s="87"/>
      <c r="AM589" s="87"/>
      <c r="AN589" s="87"/>
      <c r="AO589" s="87"/>
      <c r="AP589" s="87"/>
      <c r="AQ589" s="87" t="s">
        <v>15836</v>
      </c>
      <c r="AR589" s="87"/>
      <c r="AS589" s="87"/>
      <c r="AT589" s="87"/>
      <c r="AU589" s="87"/>
      <c r="AV589" s="92" t="str">
        <f>HYPERLINK("https://pbs.twimg.com/media/F4KgqPNXMAAV5kE.jpg")</f>
        <v>https://pbs.twimg.com/media/F4KgqPNXMAAV5kE.jpg</v>
      </c>
      <c r="AW589" s="93" t="s">
        <v>18839</v>
      </c>
      <c r="AX589" s="93" t="s">
        <v>18839</v>
      </c>
      <c r="AY589" s="87"/>
      <c r="AZ589" s="93" t="s">
        <v>22668</v>
      </c>
      <c r="BA589" s="93" t="s">
        <v>22668</v>
      </c>
      <c r="BB589" s="93" t="s">
        <v>22668</v>
      </c>
      <c r="BC589" s="93" t="s">
        <v>18839</v>
      </c>
      <c r="BD589" s="93" t="s">
        <v>22913</v>
      </c>
      <c r="BE589" s="87"/>
      <c r="BF589" s="87"/>
      <c r="BG589" s="87"/>
      <c r="BH589" s="87"/>
      <c r="BI589" s="87"/>
    </row>
    <row r="590" spans="1:61" x14ac:dyDescent="0.25">
      <c r="A590" s="63" t="s">
        <v>427</v>
      </c>
      <c r="B590" s="63" t="s">
        <v>427</v>
      </c>
      <c r="C590" s="64"/>
      <c r="D590" s="65"/>
      <c r="E590" s="66"/>
      <c r="F590" s="67"/>
      <c r="G590" s="64"/>
      <c r="H590" s="68"/>
      <c r="I590" s="69"/>
      <c r="J590" s="69"/>
      <c r="K590" s="32"/>
      <c r="L590" s="76">
        <v>590</v>
      </c>
      <c r="M590" s="76"/>
      <c r="N590" s="71"/>
      <c r="O590" s="87" t="s">
        <v>179</v>
      </c>
      <c r="P590" s="90">
        <v>45152.500011574077</v>
      </c>
      <c r="Q590" s="87" t="s">
        <v>2417</v>
      </c>
      <c r="R590" s="87">
        <v>0</v>
      </c>
      <c r="S590" s="87">
        <v>0</v>
      </c>
      <c r="T590" s="87">
        <v>0</v>
      </c>
      <c r="U590" s="87">
        <v>0</v>
      </c>
      <c r="V590" s="87">
        <v>8</v>
      </c>
      <c r="W590" s="93" t="s">
        <v>6249</v>
      </c>
      <c r="X590" s="92" t="str">
        <f>HYPERLINK("http://www.williamhunt.com.br/completo")</f>
        <v>http://www.williamhunt.com.br/completo</v>
      </c>
      <c r="Y590" s="87" t="s">
        <v>8373</v>
      </c>
      <c r="Z590" s="87"/>
      <c r="AA590" s="87" t="s">
        <v>9024</v>
      </c>
      <c r="AB590" s="87" t="s">
        <v>11448</v>
      </c>
      <c r="AC590" s="93" t="s">
        <v>11457</v>
      </c>
      <c r="AD590" s="87" t="s">
        <v>11519</v>
      </c>
      <c r="AE590" s="92" t="str">
        <f>HYPERLINK("https://twitter.com/williamhuntbr/status/1691057082143776768")</f>
        <v>https://twitter.com/williamhuntbr/status/1691057082143776768</v>
      </c>
      <c r="AF590" s="90">
        <v>45152.500011574077</v>
      </c>
      <c r="AG590" s="99">
        <v>45152</v>
      </c>
      <c r="AH590" s="93" t="s">
        <v>12091</v>
      </c>
      <c r="AI590" s="87" t="b">
        <v>0</v>
      </c>
      <c r="AJ590" s="87"/>
      <c r="AK590" s="87"/>
      <c r="AL590" s="87"/>
      <c r="AM590" s="87"/>
      <c r="AN590" s="87"/>
      <c r="AO590" s="87"/>
      <c r="AP590" s="87"/>
      <c r="AQ590" s="87" t="s">
        <v>15837</v>
      </c>
      <c r="AR590" s="87"/>
      <c r="AS590" s="87"/>
      <c r="AT590" s="87"/>
      <c r="AU590" s="87"/>
      <c r="AV590" s="92" t="str">
        <f>HYPERLINK("https://pbs.twimg.com/media/F3BvZlaXEAEal3I.jpg")</f>
        <v>https://pbs.twimg.com/media/F3BvZlaXEAEal3I.jpg</v>
      </c>
      <c r="AW590" s="93" t="s">
        <v>18840</v>
      </c>
      <c r="AX590" s="93" t="s">
        <v>18840</v>
      </c>
      <c r="AY590" s="87"/>
      <c r="AZ590" s="93" t="s">
        <v>22668</v>
      </c>
      <c r="BA590" s="93" t="s">
        <v>22668</v>
      </c>
      <c r="BB590" s="93" t="s">
        <v>22668</v>
      </c>
      <c r="BC590" s="93" t="s">
        <v>18840</v>
      </c>
      <c r="BD590" s="93" t="s">
        <v>22913</v>
      </c>
      <c r="BE590" s="87"/>
      <c r="BF590" s="87"/>
      <c r="BG590" s="87"/>
      <c r="BH590" s="87"/>
      <c r="BI590" s="87"/>
    </row>
    <row r="591" spans="1:61" x14ac:dyDescent="0.25">
      <c r="A591" s="63" t="s">
        <v>427</v>
      </c>
      <c r="B591" s="63" t="s">
        <v>427</v>
      </c>
      <c r="C591" s="64"/>
      <c r="D591" s="65"/>
      <c r="E591" s="66"/>
      <c r="F591" s="67"/>
      <c r="G591" s="64"/>
      <c r="H591" s="68"/>
      <c r="I591" s="69"/>
      <c r="J591" s="69"/>
      <c r="K591" s="32"/>
      <c r="L591" s="76">
        <v>591</v>
      </c>
      <c r="M591" s="76"/>
      <c r="N591" s="71"/>
      <c r="O591" s="87" t="s">
        <v>179</v>
      </c>
      <c r="P591" s="90">
        <v>45184.500023148146</v>
      </c>
      <c r="Q591" s="87" t="s">
        <v>2418</v>
      </c>
      <c r="R591" s="87">
        <v>0</v>
      </c>
      <c r="S591" s="87">
        <v>0</v>
      </c>
      <c r="T591" s="87">
        <v>0</v>
      </c>
      <c r="U591" s="87">
        <v>0</v>
      </c>
      <c r="V591" s="87">
        <v>3</v>
      </c>
      <c r="W591" s="93" t="s">
        <v>6250</v>
      </c>
      <c r="X591" s="92" t="str">
        <f>HYPERLINK("http://www.williamhunt.com.br/completo")</f>
        <v>http://www.williamhunt.com.br/completo</v>
      </c>
      <c r="Y591" s="87" t="s">
        <v>8373</v>
      </c>
      <c r="Z591" s="87"/>
      <c r="AA591" s="87" t="s">
        <v>9025</v>
      </c>
      <c r="AB591" s="87" t="s">
        <v>11448</v>
      </c>
      <c r="AC591" s="93" t="s">
        <v>11457</v>
      </c>
      <c r="AD591" s="87" t="s">
        <v>11519</v>
      </c>
      <c r="AE591" s="92" t="str">
        <f>HYPERLINK("https://twitter.com/williamhuntbr/status/1702653497945252152")</f>
        <v>https://twitter.com/williamhuntbr/status/1702653497945252152</v>
      </c>
      <c r="AF591" s="90">
        <v>45184.500023148146</v>
      </c>
      <c r="AG591" s="99">
        <v>45184</v>
      </c>
      <c r="AH591" s="93" t="s">
        <v>12090</v>
      </c>
      <c r="AI591" s="87" t="b">
        <v>0</v>
      </c>
      <c r="AJ591" s="87"/>
      <c r="AK591" s="87"/>
      <c r="AL591" s="87"/>
      <c r="AM591" s="87"/>
      <c r="AN591" s="87"/>
      <c r="AO591" s="87"/>
      <c r="AP591" s="87"/>
      <c r="AQ591" s="87" t="s">
        <v>15838</v>
      </c>
      <c r="AR591" s="87"/>
      <c r="AS591" s="87"/>
      <c r="AT591" s="87"/>
      <c r="AU591" s="87"/>
      <c r="AV591" s="92" t="str">
        <f>HYPERLINK("https://pbs.twimg.com/media/F5xIKkoXAAAsvr6.jpg")</f>
        <v>https://pbs.twimg.com/media/F5xIKkoXAAAsvr6.jpg</v>
      </c>
      <c r="AW591" s="93" t="s">
        <v>18841</v>
      </c>
      <c r="AX591" s="93" t="s">
        <v>18841</v>
      </c>
      <c r="AY591" s="87"/>
      <c r="AZ591" s="93" t="s">
        <v>22668</v>
      </c>
      <c r="BA591" s="93" t="s">
        <v>22668</v>
      </c>
      <c r="BB591" s="93" t="s">
        <v>22668</v>
      </c>
      <c r="BC591" s="93" t="s">
        <v>18841</v>
      </c>
      <c r="BD591" s="93" t="s">
        <v>22913</v>
      </c>
      <c r="BE591" s="87"/>
      <c r="BF591" s="87"/>
      <c r="BG591" s="87"/>
      <c r="BH591" s="87"/>
      <c r="BI591" s="87"/>
    </row>
    <row r="592" spans="1:61" x14ac:dyDescent="0.25">
      <c r="A592" s="63" t="s">
        <v>428</v>
      </c>
      <c r="B592" s="63" t="s">
        <v>428</v>
      </c>
      <c r="C592" s="64"/>
      <c r="D592" s="65"/>
      <c r="E592" s="66"/>
      <c r="F592" s="67"/>
      <c r="G592" s="64"/>
      <c r="H592" s="68"/>
      <c r="I592" s="69"/>
      <c r="J592" s="69"/>
      <c r="K592" s="32"/>
      <c r="L592" s="76">
        <v>592</v>
      </c>
      <c r="M592" s="76"/>
      <c r="N592" s="71"/>
      <c r="O592" s="87" t="s">
        <v>179</v>
      </c>
      <c r="P592" s="90">
        <v>45139.136863425927</v>
      </c>
      <c r="Q592" s="87" t="s">
        <v>2419</v>
      </c>
      <c r="R592" s="87">
        <v>0</v>
      </c>
      <c r="S592" s="87">
        <v>1</v>
      </c>
      <c r="T592" s="87">
        <v>1</v>
      </c>
      <c r="U592" s="87">
        <v>0</v>
      </c>
      <c r="V592" s="87">
        <v>84</v>
      </c>
      <c r="W592" s="93" t="s">
        <v>6251</v>
      </c>
      <c r="X592" s="87"/>
      <c r="Y592" s="87"/>
      <c r="Z592" s="87"/>
      <c r="AA592" s="87" t="s">
        <v>9026</v>
      </c>
      <c r="AB592" s="87" t="s">
        <v>11447</v>
      </c>
      <c r="AC592" s="93" t="s">
        <v>11458</v>
      </c>
      <c r="AD592" s="87" t="s">
        <v>11519</v>
      </c>
      <c r="AE592" s="92" t="str">
        <f>HYPERLINK("https://twitter.com/ianworcman/status/1686214439240962048")</f>
        <v>https://twitter.com/ianworcman/status/1686214439240962048</v>
      </c>
      <c r="AF592" s="90">
        <v>45139.136863425927</v>
      </c>
      <c r="AG592" s="99">
        <v>45139</v>
      </c>
      <c r="AH592" s="93" t="s">
        <v>12092</v>
      </c>
      <c r="AI592" s="87" t="b">
        <v>0</v>
      </c>
      <c r="AJ592" s="87" t="s">
        <v>15179</v>
      </c>
      <c r="AK592" s="87" t="s">
        <v>15234</v>
      </c>
      <c r="AL592" s="87" t="s">
        <v>15237</v>
      </c>
      <c r="AM592" s="87" t="s">
        <v>15240</v>
      </c>
      <c r="AN592" s="87" t="s">
        <v>15316</v>
      </c>
      <c r="AO592" s="87" t="s">
        <v>15372</v>
      </c>
      <c r="AP592" s="87" t="s">
        <v>15438</v>
      </c>
      <c r="AQ592" s="87" t="s">
        <v>15839</v>
      </c>
      <c r="AR592" s="87">
        <v>54216</v>
      </c>
      <c r="AS592" s="87"/>
      <c r="AT592" s="87"/>
      <c r="AU592" s="87"/>
      <c r="AV592" s="92" t="str">
        <f>HYPERLINK("https://pbs.twimg.com/ext_tw_video_thumb/1686214365064650752/pu/img/s_GbID5cr5ptCl9a.jpg")</f>
        <v>https://pbs.twimg.com/ext_tw_video_thumb/1686214365064650752/pu/img/s_GbID5cr5ptCl9a.jpg</v>
      </c>
      <c r="AW592" s="93" t="s">
        <v>18842</v>
      </c>
      <c r="AX592" s="93" t="s">
        <v>18842</v>
      </c>
      <c r="AY592" s="87"/>
      <c r="AZ592" s="93" t="s">
        <v>22668</v>
      </c>
      <c r="BA592" s="93" t="s">
        <v>22668</v>
      </c>
      <c r="BB592" s="93" t="s">
        <v>22668</v>
      </c>
      <c r="BC592" s="93" t="s">
        <v>18842</v>
      </c>
      <c r="BD592" s="93" t="s">
        <v>22914</v>
      </c>
      <c r="BE592" s="87"/>
      <c r="BF592" s="87"/>
      <c r="BG592" s="87"/>
      <c r="BH592" s="87"/>
      <c r="BI592" s="87"/>
    </row>
    <row r="593" spans="1:61" x14ac:dyDescent="0.25">
      <c r="A593" s="63" t="s">
        <v>429</v>
      </c>
      <c r="B593" s="63" t="s">
        <v>429</v>
      </c>
      <c r="C593" s="64"/>
      <c r="D593" s="65"/>
      <c r="E593" s="66"/>
      <c r="F593" s="67"/>
      <c r="G593" s="64"/>
      <c r="H593" s="68"/>
      <c r="I593" s="69"/>
      <c r="J593" s="69"/>
      <c r="K593" s="32"/>
      <c r="L593" s="76">
        <v>593</v>
      </c>
      <c r="M593" s="76"/>
      <c r="N593" s="71"/>
      <c r="O593" s="87" t="s">
        <v>179</v>
      </c>
      <c r="P593" s="90">
        <v>45181.918171296296</v>
      </c>
      <c r="Q593" s="87" t="s">
        <v>2420</v>
      </c>
      <c r="R593" s="87">
        <v>1</v>
      </c>
      <c r="S593" s="87">
        <v>0</v>
      </c>
      <c r="T593" s="87">
        <v>0</v>
      </c>
      <c r="U593" s="87">
        <v>0</v>
      </c>
      <c r="V593" s="87">
        <v>45</v>
      </c>
      <c r="W593" s="93" t="s">
        <v>6252</v>
      </c>
      <c r="X593" s="87"/>
      <c r="Y593" s="87"/>
      <c r="Z593" s="87"/>
      <c r="AA593" s="87"/>
      <c r="AB593" s="87"/>
      <c r="AC593" s="93" t="s">
        <v>11458</v>
      </c>
      <c r="AD593" s="87" t="s">
        <v>11519</v>
      </c>
      <c r="AE593" s="92" t="str">
        <f>HYPERLINK("https://twitter.com/silvanamendes9/status/1701717867903758428")</f>
        <v>https://twitter.com/silvanamendes9/status/1701717867903758428</v>
      </c>
      <c r="AF593" s="90">
        <v>45181.918171296296</v>
      </c>
      <c r="AG593" s="99">
        <v>45181</v>
      </c>
      <c r="AH593" s="93" t="s">
        <v>12093</v>
      </c>
      <c r="AI593" s="87"/>
      <c r="AJ593" s="87"/>
      <c r="AK593" s="87"/>
      <c r="AL593" s="87"/>
      <c r="AM593" s="87"/>
      <c r="AN593" s="87"/>
      <c r="AO593" s="87"/>
      <c r="AP593" s="87"/>
      <c r="AQ593" s="87"/>
      <c r="AR593" s="87"/>
      <c r="AS593" s="87"/>
      <c r="AT593" s="87"/>
      <c r="AU593" s="87"/>
      <c r="AV593" s="92" t="str">
        <f>HYPERLINK("https://pbs.twimg.com/profile_images/1701718386361700352/bfrgyIEM_normal.jpg")</f>
        <v>https://pbs.twimg.com/profile_images/1701718386361700352/bfrgyIEM_normal.jpg</v>
      </c>
      <c r="AW593" s="93" t="s">
        <v>18843</v>
      </c>
      <c r="AX593" s="93" t="s">
        <v>18843</v>
      </c>
      <c r="AY593" s="87"/>
      <c r="AZ593" s="93" t="s">
        <v>22668</v>
      </c>
      <c r="BA593" s="93" t="s">
        <v>22668</v>
      </c>
      <c r="BB593" s="93" t="s">
        <v>22668</v>
      </c>
      <c r="BC593" s="93" t="s">
        <v>18843</v>
      </c>
      <c r="BD593" s="87">
        <v>379411883</v>
      </c>
      <c r="BE593" s="87"/>
      <c r="BF593" s="87"/>
      <c r="BG593" s="87"/>
      <c r="BH593" s="87"/>
      <c r="BI593" s="87"/>
    </row>
    <row r="594" spans="1:61" x14ac:dyDescent="0.25">
      <c r="A594" s="63" t="s">
        <v>430</v>
      </c>
      <c r="B594" s="63" t="s">
        <v>430</v>
      </c>
      <c r="C594" s="64"/>
      <c r="D594" s="65"/>
      <c r="E594" s="66"/>
      <c r="F594" s="67"/>
      <c r="G594" s="64"/>
      <c r="H594" s="68"/>
      <c r="I594" s="69"/>
      <c r="J594" s="69"/>
      <c r="K594" s="32"/>
      <c r="L594" s="76">
        <v>594</v>
      </c>
      <c r="M594" s="76"/>
      <c r="N594" s="71"/>
      <c r="O594" s="87" t="s">
        <v>179</v>
      </c>
      <c r="P594" s="90">
        <v>45185.458865740744</v>
      </c>
      <c r="Q594" s="87" t="s">
        <v>2421</v>
      </c>
      <c r="R594" s="87">
        <v>0</v>
      </c>
      <c r="S594" s="87">
        <v>0</v>
      </c>
      <c r="T594" s="87">
        <v>0</v>
      </c>
      <c r="U594" s="87">
        <v>0</v>
      </c>
      <c r="V594" s="87">
        <v>47</v>
      </c>
      <c r="W594" s="93" t="s">
        <v>6253</v>
      </c>
      <c r="X594" s="87"/>
      <c r="Y594" s="87"/>
      <c r="Z594" s="87"/>
      <c r="AA594" s="87"/>
      <c r="AB594" s="87"/>
      <c r="AC594" s="93" t="s">
        <v>11460</v>
      </c>
      <c r="AD594" s="87" t="s">
        <v>11519</v>
      </c>
      <c r="AE594" s="92" t="str">
        <f>HYPERLINK("https://twitter.com/sebraepb/status/1703000972082000007")</f>
        <v>https://twitter.com/sebraepb/status/1703000972082000007</v>
      </c>
      <c r="AF594" s="90">
        <v>45185.458865740744</v>
      </c>
      <c r="AG594" s="99">
        <v>45185</v>
      </c>
      <c r="AH594" s="93" t="s">
        <v>12094</v>
      </c>
      <c r="AI594" s="87"/>
      <c r="AJ594" s="87"/>
      <c r="AK594" s="87"/>
      <c r="AL594" s="87"/>
      <c r="AM594" s="87"/>
      <c r="AN594" s="87"/>
      <c r="AO594" s="87"/>
      <c r="AP594" s="87"/>
      <c r="AQ594" s="87"/>
      <c r="AR594" s="87"/>
      <c r="AS594" s="87"/>
      <c r="AT594" s="87"/>
      <c r="AU594" s="87"/>
      <c r="AV594" s="92" t="str">
        <f>HYPERLINK("https://pbs.twimg.com/profile_images/1583474700793020419/yqpBHzDc_normal.jpg")</f>
        <v>https://pbs.twimg.com/profile_images/1583474700793020419/yqpBHzDc_normal.jpg</v>
      </c>
      <c r="AW594" s="93" t="s">
        <v>18844</v>
      </c>
      <c r="AX594" s="93" t="s">
        <v>18844</v>
      </c>
      <c r="AY594" s="87"/>
      <c r="AZ594" s="93" t="s">
        <v>22668</v>
      </c>
      <c r="BA594" s="93" t="s">
        <v>22668</v>
      </c>
      <c r="BB594" s="93" t="s">
        <v>22668</v>
      </c>
      <c r="BC594" s="93" t="s">
        <v>18844</v>
      </c>
      <c r="BD594" s="87">
        <v>48784302</v>
      </c>
      <c r="BE594" s="87"/>
      <c r="BF594" s="87"/>
      <c r="BG594" s="87"/>
      <c r="BH594" s="87"/>
      <c r="BI594" s="87"/>
    </row>
    <row r="595" spans="1:61" x14ac:dyDescent="0.25">
      <c r="A595" s="63" t="s">
        <v>431</v>
      </c>
      <c r="B595" s="63" t="s">
        <v>431</v>
      </c>
      <c r="C595" s="64"/>
      <c r="D595" s="65"/>
      <c r="E595" s="66"/>
      <c r="F595" s="67"/>
      <c r="G595" s="64"/>
      <c r="H595" s="68"/>
      <c r="I595" s="69"/>
      <c r="J595" s="69"/>
      <c r="K595" s="32"/>
      <c r="L595" s="76">
        <v>595</v>
      </c>
      <c r="M595" s="76"/>
      <c r="N595" s="71"/>
      <c r="O595" s="87" t="s">
        <v>179</v>
      </c>
      <c r="P595" s="90">
        <v>45175.597372685188</v>
      </c>
      <c r="Q595" s="87" t="s">
        <v>2422</v>
      </c>
      <c r="R595" s="87">
        <v>0</v>
      </c>
      <c r="S595" s="87">
        <v>1</v>
      </c>
      <c r="T595" s="87">
        <v>0</v>
      </c>
      <c r="U595" s="87">
        <v>0</v>
      </c>
      <c r="V595" s="87">
        <v>13</v>
      </c>
      <c r="W595" s="93" t="s">
        <v>6254</v>
      </c>
      <c r="X595" s="87"/>
      <c r="Y595" s="87"/>
      <c r="Z595" s="87"/>
      <c r="AA595" s="87" t="s">
        <v>9027</v>
      </c>
      <c r="AB595" s="87" t="s">
        <v>11447</v>
      </c>
      <c r="AC595" s="93" t="s">
        <v>11457</v>
      </c>
      <c r="AD595" s="87" t="s">
        <v>11519</v>
      </c>
      <c r="AE595" s="92" t="str">
        <f>HYPERLINK("https://twitter.com/valeumaprosa/status/1699427284917059724")</f>
        <v>https://twitter.com/valeumaprosa/status/1699427284917059724</v>
      </c>
      <c r="AF595" s="90">
        <v>45175.597372685188</v>
      </c>
      <c r="AG595" s="99">
        <v>45175</v>
      </c>
      <c r="AH595" s="93" t="s">
        <v>12095</v>
      </c>
      <c r="AI595" s="87" t="b">
        <v>0</v>
      </c>
      <c r="AJ595" s="87"/>
      <c r="AK595" s="87"/>
      <c r="AL595" s="87"/>
      <c r="AM595" s="87"/>
      <c r="AN595" s="87"/>
      <c r="AO595" s="87"/>
      <c r="AP595" s="87"/>
      <c r="AQ595" s="87" t="s">
        <v>15840</v>
      </c>
      <c r="AR595" s="87">
        <v>28128</v>
      </c>
      <c r="AS595" s="87"/>
      <c r="AT595" s="87"/>
      <c r="AU595" s="87"/>
      <c r="AV595" s="92" t="str">
        <f>HYPERLINK("https://pbs.twimg.com/ext_tw_video_thumb/1699426578810236928/pu/img/QP8QE7Lrg9bP1uIP.jpg")</f>
        <v>https://pbs.twimg.com/ext_tw_video_thumb/1699426578810236928/pu/img/QP8QE7Lrg9bP1uIP.jpg</v>
      </c>
      <c r="AW595" s="93" t="s">
        <v>18845</v>
      </c>
      <c r="AX595" s="93" t="s">
        <v>18845</v>
      </c>
      <c r="AY595" s="87"/>
      <c r="AZ595" s="93" t="s">
        <v>22668</v>
      </c>
      <c r="BA595" s="93" t="s">
        <v>22668</v>
      </c>
      <c r="BB595" s="93" t="s">
        <v>22668</v>
      </c>
      <c r="BC595" s="93" t="s">
        <v>18845</v>
      </c>
      <c r="BD595" s="93" t="s">
        <v>22915</v>
      </c>
      <c r="BE595" s="87"/>
      <c r="BF595" s="87"/>
      <c r="BG595" s="87"/>
      <c r="BH595" s="87"/>
      <c r="BI595" s="87"/>
    </row>
    <row r="596" spans="1:61" x14ac:dyDescent="0.25">
      <c r="A596" s="63" t="s">
        <v>432</v>
      </c>
      <c r="B596" s="63" t="s">
        <v>432</v>
      </c>
      <c r="C596" s="64"/>
      <c r="D596" s="65"/>
      <c r="E596" s="66"/>
      <c r="F596" s="67"/>
      <c r="G596" s="64"/>
      <c r="H596" s="68"/>
      <c r="I596" s="69"/>
      <c r="J596" s="69"/>
      <c r="K596" s="32"/>
      <c r="L596" s="76">
        <v>596</v>
      </c>
      <c r="M596" s="76"/>
      <c r="N596" s="71"/>
      <c r="O596" s="87" t="s">
        <v>179</v>
      </c>
      <c r="P596" s="90">
        <v>45117.875555555554</v>
      </c>
      <c r="Q596" s="87" t="s">
        <v>2423</v>
      </c>
      <c r="R596" s="87">
        <v>0</v>
      </c>
      <c r="S596" s="87">
        <v>0</v>
      </c>
      <c r="T596" s="87">
        <v>0</v>
      </c>
      <c r="U596" s="87">
        <v>0</v>
      </c>
      <c r="V596" s="87">
        <v>28</v>
      </c>
      <c r="W596" s="93" t="s">
        <v>6255</v>
      </c>
      <c r="X596" s="87"/>
      <c r="Y596" s="87"/>
      <c r="Z596" s="87"/>
      <c r="AA596" s="87" t="s">
        <v>9028</v>
      </c>
      <c r="AB596" s="87" t="s">
        <v>11448</v>
      </c>
      <c r="AC596" s="93" t="s">
        <v>11460</v>
      </c>
      <c r="AD596" s="87" t="s">
        <v>11519</v>
      </c>
      <c r="AE596" s="92" t="str">
        <f>HYPERLINK("https://twitter.com/marciokarsten/status/1678509599542878209")</f>
        <v>https://twitter.com/marciokarsten/status/1678509599542878209</v>
      </c>
      <c r="AF596" s="90">
        <v>45117.875555555554</v>
      </c>
      <c r="AG596" s="99">
        <v>45117</v>
      </c>
      <c r="AH596" s="93" t="s">
        <v>12096</v>
      </c>
      <c r="AI596" s="87" t="b">
        <v>0</v>
      </c>
      <c r="AJ596" s="87"/>
      <c r="AK596" s="87"/>
      <c r="AL596" s="87"/>
      <c r="AM596" s="87"/>
      <c r="AN596" s="87"/>
      <c r="AO596" s="87"/>
      <c r="AP596" s="87"/>
      <c r="AQ596" s="87" t="s">
        <v>15841</v>
      </c>
      <c r="AR596" s="87"/>
      <c r="AS596" s="87"/>
      <c r="AT596" s="87"/>
      <c r="AU596" s="87"/>
      <c r="AV596" s="92" t="str">
        <f>HYPERLINK("https://pbs.twimg.com/media/F0tDlfZXoAItfRr.jpg")</f>
        <v>https://pbs.twimg.com/media/F0tDlfZXoAItfRr.jpg</v>
      </c>
      <c r="AW596" s="93" t="s">
        <v>18846</v>
      </c>
      <c r="AX596" s="93" t="s">
        <v>18846</v>
      </c>
      <c r="AY596" s="87"/>
      <c r="AZ596" s="93" t="s">
        <v>22668</v>
      </c>
      <c r="BA596" s="93" t="s">
        <v>22668</v>
      </c>
      <c r="BB596" s="93" t="s">
        <v>22668</v>
      </c>
      <c r="BC596" s="93" t="s">
        <v>18846</v>
      </c>
      <c r="BD596" s="87">
        <v>36413819</v>
      </c>
      <c r="BE596" s="87"/>
      <c r="BF596" s="87"/>
      <c r="BG596" s="87"/>
      <c r="BH596" s="87"/>
      <c r="BI596" s="87"/>
    </row>
    <row r="597" spans="1:61" x14ac:dyDescent="0.25">
      <c r="A597" s="63" t="s">
        <v>433</v>
      </c>
      <c r="B597" s="63" t="s">
        <v>433</v>
      </c>
      <c r="C597" s="64"/>
      <c r="D597" s="65"/>
      <c r="E597" s="66"/>
      <c r="F597" s="67"/>
      <c r="G597" s="64"/>
      <c r="H597" s="68"/>
      <c r="I597" s="69"/>
      <c r="J597" s="69"/>
      <c r="K597" s="32"/>
      <c r="L597" s="76">
        <v>597</v>
      </c>
      <c r="M597" s="76"/>
      <c r="N597" s="71"/>
      <c r="O597" s="87" t="s">
        <v>179</v>
      </c>
      <c r="P597" s="90">
        <v>45127.585648148146</v>
      </c>
      <c r="Q597" s="87" t="s">
        <v>2424</v>
      </c>
      <c r="R597" s="87">
        <v>0</v>
      </c>
      <c r="S597" s="87">
        <v>0</v>
      </c>
      <c r="T597" s="87">
        <v>0</v>
      </c>
      <c r="U597" s="87">
        <v>0</v>
      </c>
      <c r="V597" s="87">
        <v>3</v>
      </c>
      <c r="W597" s="93" t="s">
        <v>6256</v>
      </c>
      <c r="X597" s="87"/>
      <c r="Y597" s="87"/>
      <c r="Z597" s="87"/>
      <c r="AA597" s="87" t="s">
        <v>9029</v>
      </c>
      <c r="AB597" s="87" t="s">
        <v>11448</v>
      </c>
      <c r="AC597" s="93" t="s">
        <v>11462</v>
      </c>
      <c r="AD597" s="87" t="s">
        <v>11519</v>
      </c>
      <c r="AE597" s="92" t="str">
        <f>HYPERLINK("https://twitter.com/infographya_/status/1682028418295275521")</f>
        <v>https://twitter.com/infographya_/status/1682028418295275521</v>
      </c>
      <c r="AF597" s="90">
        <v>45127.585648148146</v>
      </c>
      <c r="AG597" s="99">
        <v>45127</v>
      </c>
      <c r="AH597" s="93" t="s">
        <v>12097</v>
      </c>
      <c r="AI597" s="87" t="b">
        <v>0</v>
      </c>
      <c r="AJ597" s="87"/>
      <c r="AK597" s="87"/>
      <c r="AL597" s="87"/>
      <c r="AM597" s="87"/>
      <c r="AN597" s="87"/>
      <c r="AO597" s="87"/>
      <c r="AP597" s="87"/>
      <c r="AQ597" s="87" t="s">
        <v>15842</v>
      </c>
      <c r="AR597" s="87"/>
      <c r="AS597" s="87"/>
      <c r="AT597" s="87"/>
      <c r="AU597" s="87"/>
      <c r="AV597" s="92" t="str">
        <f>HYPERLINK("https://pbs.twimg.com/media/F1fD7n3aIAYw2Uz.jpg")</f>
        <v>https://pbs.twimg.com/media/F1fD7n3aIAYw2Uz.jpg</v>
      </c>
      <c r="AW597" s="93" t="s">
        <v>18847</v>
      </c>
      <c r="AX597" s="93" t="s">
        <v>18847</v>
      </c>
      <c r="AY597" s="87"/>
      <c r="AZ597" s="93" t="s">
        <v>22668</v>
      </c>
      <c r="BA597" s="93" t="s">
        <v>22668</v>
      </c>
      <c r="BB597" s="93" t="s">
        <v>22668</v>
      </c>
      <c r="BC597" s="93" t="s">
        <v>18847</v>
      </c>
      <c r="BD597" s="93" t="s">
        <v>22916</v>
      </c>
      <c r="BE597" s="87"/>
      <c r="BF597" s="87"/>
      <c r="BG597" s="87"/>
      <c r="BH597" s="87"/>
      <c r="BI597" s="87"/>
    </row>
    <row r="598" spans="1:61" x14ac:dyDescent="0.25">
      <c r="A598" s="63" t="s">
        <v>434</v>
      </c>
      <c r="B598" s="63" t="s">
        <v>434</v>
      </c>
      <c r="C598" s="64"/>
      <c r="D598" s="65"/>
      <c r="E598" s="66"/>
      <c r="F598" s="67"/>
      <c r="G598" s="64"/>
      <c r="H598" s="68"/>
      <c r="I598" s="69"/>
      <c r="J598" s="69"/>
      <c r="K598" s="32"/>
      <c r="L598" s="76">
        <v>598</v>
      </c>
      <c r="M598" s="76"/>
      <c r="N598" s="71"/>
      <c r="O598" s="87" t="s">
        <v>179</v>
      </c>
      <c r="P598" s="90">
        <v>45120.427974537037</v>
      </c>
      <c r="Q598" s="87" t="s">
        <v>2425</v>
      </c>
      <c r="R598" s="87">
        <v>0</v>
      </c>
      <c r="S598" s="87">
        <v>1</v>
      </c>
      <c r="T598" s="87">
        <v>0</v>
      </c>
      <c r="U598" s="87">
        <v>0</v>
      </c>
      <c r="V598" s="87">
        <v>21</v>
      </c>
      <c r="W598" s="93" t="s">
        <v>6257</v>
      </c>
      <c r="X598" s="87"/>
      <c r="Y598" s="87"/>
      <c r="Z598" s="87"/>
      <c r="AA598" s="87" t="s">
        <v>9030</v>
      </c>
      <c r="AB598" s="87" t="s">
        <v>11448</v>
      </c>
      <c r="AC598" s="93" t="s">
        <v>11458</v>
      </c>
      <c r="AD598" s="87" t="s">
        <v>11520</v>
      </c>
      <c r="AE598" s="92" t="str">
        <f>HYPERLINK("https://twitter.com/juniorl737/status/1679434563829788672")</f>
        <v>https://twitter.com/juniorl737/status/1679434563829788672</v>
      </c>
      <c r="AF598" s="90">
        <v>45120.427974537037</v>
      </c>
      <c r="AG598" s="99">
        <v>45120</v>
      </c>
      <c r="AH598" s="93" t="s">
        <v>12098</v>
      </c>
      <c r="AI598" s="87" t="b">
        <v>0</v>
      </c>
      <c r="AJ598" s="87"/>
      <c r="AK598" s="87"/>
      <c r="AL598" s="87"/>
      <c r="AM598" s="87"/>
      <c r="AN598" s="87"/>
      <c r="AO598" s="87"/>
      <c r="AP598" s="87"/>
      <c r="AQ598" s="87" t="s">
        <v>15843</v>
      </c>
      <c r="AR598" s="87"/>
      <c r="AS598" s="87"/>
      <c r="AT598" s="87"/>
      <c r="AU598" s="87"/>
      <c r="AV598" s="92" t="str">
        <f>HYPERLINK("https://pbs.twimg.com/media/F06M1LBXoAABGvt.jpg")</f>
        <v>https://pbs.twimg.com/media/F06M1LBXoAABGvt.jpg</v>
      </c>
      <c r="AW598" s="93" t="s">
        <v>18848</v>
      </c>
      <c r="AX598" s="93" t="s">
        <v>18848</v>
      </c>
      <c r="AY598" s="87"/>
      <c r="AZ598" s="93" t="s">
        <v>22668</v>
      </c>
      <c r="BA598" s="93" t="s">
        <v>22668</v>
      </c>
      <c r="BB598" s="93" t="s">
        <v>22668</v>
      </c>
      <c r="BC598" s="93" t="s">
        <v>18848</v>
      </c>
      <c r="BD598" s="93" t="s">
        <v>22917</v>
      </c>
      <c r="BE598" s="87"/>
      <c r="BF598" s="87"/>
      <c r="BG598" s="87"/>
      <c r="BH598" s="87"/>
      <c r="BI598" s="87"/>
    </row>
    <row r="599" spans="1:61" x14ac:dyDescent="0.25">
      <c r="A599" s="63" t="s">
        <v>434</v>
      </c>
      <c r="B599" s="63" t="s">
        <v>434</v>
      </c>
      <c r="C599" s="64"/>
      <c r="D599" s="65"/>
      <c r="E599" s="66"/>
      <c r="F599" s="67"/>
      <c r="G599" s="64"/>
      <c r="H599" s="68"/>
      <c r="I599" s="69"/>
      <c r="J599" s="69"/>
      <c r="K599" s="32"/>
      <c r="L599" s="76">
        <v>599</v>
      </c>
      <c r="M599" s="76"/>
      <c r="N599" s="71"/>
      <c r="O599" s="87" t="s">
        <v>179</v>
      </c>
      <c r="P599" s="90">
        <v>45115.26121527778</v>
      </c>
      <c r="Q599" s="87" t="s">
        <v>2426</v>
      </c>
      <c r="R599" s="87">
        <v>0</v>
      </c>
      <c r="S599" s="87">
        <v>0</v>
      </c>
      <c r="T599" s="87">
        <v>0</v>
      </c>
      <c r="U599" s="87">
        <v>0</v>
      </c>
      <c r="V599" s="87">
        <v>21</v>
      </c>
      <c r="W599" s="93" t="s">
        <v>6258</v>
      </c>
      <c r="X599" s="87"/>
      <c r="Y599" s="87"/>
      <c r="Z599" s="87"/>
      <c r="AA599" s="87" t="s">
        <v>9031</v>
      </c>
      <c r="AB599" s="87" t="s">
        <v>11448</v>
      </c>
      <c r="AC599" s="93" t="s">
        <v>11458</v>
      </c>
      <c r="AD599" s="87" t="s">
        <v>11520</v>
      </c>
      <c r="AE599" s="92" t="str">
        <f>HYPERLINK("https://twitter.com/juniorl737/status/1677562194089725952")</f>
        <v>https://twitter.com/juniorl737/status/1677562194089725952</v>
      </c>
      <c r="AF599" s="90">
        <v>45115.26121527778</v>
      </c>
      <c r="AG599" s="99">
        <v>45115</v>
      </c>
      <c r="AH599" s="93" t="s">
        <v>12099</v>
      </c>
      <c r="AI599" s="87" t="b">
        <v>0</v>
      </c>
      <c r="AJ599" s="87"/>
      <c r="AK599" s="87"/>
      <c r="AL599" s="87"/>
      <c r="AM599" s="87"/>
      <c r="AN599" s="87"/>
      <c r="AO599" s="87"/>
      <c r="AP599" s="87"/>
      <c r="AQ599" s="87" t="s">
        <v>15844</v>
      </c>
      <c r="AR599" s="87"/>
      <c r="AS599" s="87"/>
      <c r="AT599" s="87"/>
      <c r="AU599" s="87"/>
      <c r="AV599" s="92" t="str">
        <f>HYPERLINK("https://pbs.twimg.com/media/F0fl7DNXgAEvYWZ.jpg")</f>
        <v>https://pbs.twimg.com/media/F0fl7DNXgAEvYWZ.jpg</v>
      </c>
      <c r="AW599" s="93" t="s">
        <v>18849</v>
      </c>
      <c r="AX599" s="93" t="s">
        <v>18849</v>
      </c>
      <c r="AY599" s="87"/>
      <c r="AZ599" s="93" t="s">
        <v>22668</v>
      </c>
      <c r="BA599" s="93" t="s">
        <v>22668</v>
      </c>
      <c r="BB599" s="93" t="s">
        <v>22668</v>
      </c>
      <c r="BC599" s="93" t="s">
        <v>18849</v>
      </c>
      <c r="BD599" s="93" t="s">
        <v>22917</v>
      </c>
      <c r="BE599" s="87"/>
      <c r="BF599" s="87"/>
      <c r="BG599" s="87"/>
      <c r="BH599" s="87"/>
      <c r="BI599" s="87"/>
    </row>
    <row r="600" spans="1:61" x14ac:dyDescent="0.25">
      <c r="A600" s="63" t="s">
        <v>434</v>
      </c>
      <c r="B600" s="63" t="s">
        <v>434</v>
      </c>
      <c r="C600" s="64"/>
      <c r="D600" s="65"/>
      <c r="E600" s="66"/>
      <c r="F600" s="67"/>
      <c r="G600" s="64"/>
      <c r="H600" s="68"/>
      <c r="I600" s="69"/>
      <c r="J600" s="69"/>
      <c r="K600" s="32"/>
      <c r="L600" s="76">
        <v>600</v>
      </c>
      <c r="M600" s="76"/>
      <c r="N600" s="71"/>
      <c r="O600" s="87" t="s">
        <v>179</v>
      </c>
      <c r="P600" s="90">
        <v>45139.995486111111</v>
      </c>
      <c r="Q600" s="87" t="s">
        <v>2427</v>
      </c>
      <c r="R600" s="87">
        <v>0</v>
      </c>
      <c r="S600" s="87">
        <v>0</v>
      </c>
      <c r="T600" s="87">
        <v>0</v>
      </c>
      <c r="U600" s="87">
        <v>0</v>
      </c>
      <c r="V600" s="87">
        <v>25</v>
      </c>
      <c r="W600" s="93" t="s">
        <v>6259</v>
      </c>
      <c r="X600" s="87"/>
      <c r="Y600" s="87"/>
      <c r="Z600" s="87"/>
      <c r="AA600" s="87" t="s">
        <v>9032</v>
      </c>
      <c r="AB600" s="87" t="s">
        <v>11448</v>
      </c>
      <c r="AC600" s="93" t="s">
        <v>11458</v>
      </c>
      <c r="AD600" s="87" t="s">
        <v>11520</v>
      </c>
      <c r="AE600" s="92" t="str">
        <f>HYPERLINK("https://twitter.com/juniorl737/status/1686525593376927745")</f>
        <v>https://twitter.com/juniorl737/status/1686525593376927745</v>
      </c>
      <c r="AF600" s="90">
        <v>45139.995486111111</v>
      </c>
      <c r="AG600" s="99">
        <v>45139</v>
      </c>
      <c r="AH600" s="93" t="s">
        <v>12100</v>
      </c>
      <c r="AI600" s="87" t="b">
        <v>0</v>
      </c>
      <c r="AJ600" s="87"/>
      <c r="AK600" s="87"/>
      <c r="AL600" s="87"/>
      <c r="AM600" s="87"/>
      <c r="AN600" s="87"/>
      <c r="AO600" s="87"/>
      <c r="AP600" s="87"/>
      <c r="AQ600" s="87" t="s">
        <v>15845</v>
      </c>
      <c r="AR600" s="87"/>
      <c r="AS600" s="87"/>
      <c r="AT600" s="87"/>
      <c r="AU600" s="87"/>
      <c r="AV600" s="92" t="str">
        <f>HYPERLINK("https://pbs.twimg.com/media/F2e-FmcWoAE-CuS.jpg")</f>
        <v>https://pbs.twimg.com/media/F2e-FmcWoAE-CuS.jpg</v>
      </c>
      <c r="AW600" s="93" t="s">
        <v>18850</v>
      </c>
      <c r="AX600" s="93" t="s">
        <v>18850</v>
      </c>
      <c r="AY600" s="87"/>
      <c r="AZ600" s="93" t="s">
        <v>22668</v>
      </c>
      <c r="BA600" s="93" t="s">
        <v>22668</v>
      </c>
      <c r="BB600" s="93" t="s">
        <v>22668</v>
      </c>
      <c r="BC600" s="93" t="s">
        <v>18850</v>
      </c>
      <c r="BD600" s="93" t="s">
        <v>22917</v>
      </c>
      <c r="BE600" s="87"/>
      <c r="BF600" s="87"/>
      <c r="BG600" s="87"/>
      <c r="BH600" s="87"/>
      <c r="BI600" s="87"/>
    </row>
    <row r="601" spans="1:61" x14ac:dyDescent="0.25">
      <c r="A601" s="63" t="s">
        <v>435</v>
      </c>
      <c r="B601" s="63" t="s">
        <v>435</v>
      </c>
      <c r="C601" s="64"/>
      <c r="D601" s="65"/>
      <c r="E601" s="66"/>
      <c r="F601" s="67"/>
      <c r="G601" s="64"/>
      <c r="H601" s="68"/>
      <c r="I601" s="69"/>
      <c r="J601" s="69"/>
      <c r="K601" s="32"/>
      <c r="L601" s="76">
        <v>601</v>
      </c>
      <c r="M601" s="76"/>
      <c r="N601" s="71"/>
      <c r="O601" s="87" t="s">
        <v>179</v>
      </c>
      <c r="P601" s="90">
        <v>45178.459085648145</v>
      </c>
      <c r="Q601" s="87" t="s">
        <v>2428</v>
      </c>
      <c r="R601" s="87">
        <v>0</v>
      </c>
      <c r="S601" s="87">
        <v>0</v>
      </c>
      <c r="T601" s="87">
        <v>0</v>
      </c>
      <c r="U601" s="87">
        <v>0</v>
      </c>
      <c r="V601" s="87">
        <v>244</v>
      </c>
      <c r="W601" s="93" t="s">
        <v>6260</v>
      </c>
      <c r="X601" s="92" t="str">
        <f>HYPERLINK("https://www.seudinheiro.com/2023/colunistas/ajudei-minha-namorada-a-abrir-um-negocio-mas-terminamos-tenho-direito-a-participacao-nos-lucros-dela-julw/")</f>
        <v>https://www.seudinheiro.com/2023/colunistas/ajudei-minha-namorada-a-abrir-um-negocio-mas-terminamos-tenho-direito-a-participacao-nos-lucros-dela-julw/</v>
      </c>
      <c r="Y601" s="87" t="s">
        <v>8404</v>
      </c>
      <c r="Z601" s="87"/>
      <c r="AA601" s="87"/>
      <c r="AB601" s="87"/>
      <c r="AC601" s="93" t="s">
        <v>11471</v>
      </c>
      <c r="AD601" s="87" t="s">
        <v>11519</v>
      </c>
      <c r="AE601" s="92" t="str">
        <f>HYPERLINK("https://twitter.com/seu_dinheiro_br/status/1700464335196127729")</f>
        <v>https://twitter.com/seu_dinheiro_br/status/1700464335196127729</v>
      </c>
      <c r="AF601" s="90">
        <v>45178.459085648145</v>
      </c>
      <c r="AG601" s="99">
        <v>45178</v>
      </c>
      <c r="AH601" s="93" t="s">
        <v>12101</v>
      </c>
      <c r="AI601" s="87" t="b">
        <v>0</v>
      </c>
      <c r="AJ601" s="87"/>
      <c r="AK601" s="87"/>
      <c r="AL601" s="87"/>
      <c r="AM601" s="87"/>
      <c r="AN601" s="87"/>
      <c r="AO601" s="87"/>
      <c r="AP601" s="87"/>
      <c r="AQ601" s="87"/>
      <c r="AR601" s="87"/>
      <c r="AS601" s="87"/>
      <c r="AT601" s="87"/>
      <c r="AU601" s="87"/>
      <c r="AV601" s="92" t="str">
        <f>HYPERLINK("https://pbs.twimg.com/profile_images/1041725334431952896/uaPtkYSp_normal.jpg")</f>
        <v>https://pbs.twimg.com/profile_images/1041725334431952896/uaPtkYSp_normal.jpg</v>
      </c>
      <c r="AW601" s="93" t="s">
        <v>18851</v>
      </c>
      <c r="AX601" s="93" t="s">
        <v>18851</v>
      </c>
      <c r="AY601" s="87"/>
      <c r="AZ601" s="93" t="s">
        <v>22668</v>
      </c>
      <c r="BA601" s="93" t="s">
        <v>22668</v>
      </c>
      <c r="BB601" s="93" t="s">
        <v>22668</v>
      </c>
      <c r="BC601" s="93" t="s">
        <v>18851</v>
      </c>
      <c r="BD601" s="93" t="s">
        <v>22918</v>
      </c>
      <c r="BE601" s="87"/>
      <c r="BF601" s="87"/>
      <c r="BG601" s="87"/>
      <c r="BH601" s="87"/>
      <c r="BI601" s="87"/>
    </row>
    <row r="602" spans="1:61" x14ac:dyDescent="0.25">
      <c r="A602" s="63" t="s">
        <v>435</v>
      </c>
      <c r="B602" s="63" t="s">
        <v>435</v>
      </c>
      <c r="C602" s="64"/>
      <c r="D602" s="65"/>
      <c r="E602" s="66"/>
      <c r="F602" s="67"/>
      <c r="G602" s="64"/>
      <c r="H602" s="68"/>
      <c r="I602" s="69"/>
      <c r="J602" s="69"/>
      <c r="K602" s="32"/>
      <c r="L602" s="76">
        <v>602</v>
      </c>
      <c r="M602" s="76"/>
      <c r="N602" s="71"/>
      <c r="O602" s="87" t="s">
        <v>179</v>
      </c>
      <c r="P602" s="90">
        <v>45177.718124999999</v>
      </c>
      <c r="Q602" s="87" t="s">
        <v>2429</v>
      </c>
      <c r="R602" s="87">
        <v>0</v>
      </c>
      <c r="S602" s="87">
        <v>1</v>
      </c>
      <c r="T602" s="87">
        <v>0</v>
      </c>
      <c r="U602" s="87">
        <v>0</v>
      </c>
      <c r="V602" s="87">
        <v>194</v>
      </c>
      <c r="W602" s="93" t="s">
        <v>5897</v>
      </c>
      <c r="X602" s="92" t="str">
        <f>HYPERLINK("https://www.seudinheiro.com/2023/carreiras/consulta-publica-de-novas-regras-para-registro-de-empresas-termina-hoje-veja-como-participar-vinp/")</f>
        <v>https://www.seudinheiro.com/2023/carreiras/consulta-publica-de-novas-regras-para-registro-de-empresas-termina-hoje-veja-como-participar-vinp/</v>
      </c>
      <c r="Y602" s="87" t="s">
        <v>8404</v>
      </c>
      <c r="Z602" s="87"/>
      <c r="AA602" s="87"/>
      <c r="AB602" s="87"/>
      <c r="AC602" s="93" t="s">
        <v>11471</v>
      </c>
      <c r="AD602" s="87" t="s">
        <v>11519</v>
      </c>
      <c r="AE602" s="92" t="str">
        <f>HYPERLINK("https://twitter.com/seu_dinheiro_br/status/1700195822141308967")</f>
        <v>https://twitter.com/seu_dinheiro_br/status/1700195822141308967</v>
      </c>
      <c r="AF602" s="90">
        <v>45177.718124999999</v>
      </c>
      <c r="AG602" s="99">
        <v>45177</v>
      </c>
      <c r="AH602" s="93" t="s">
        <v>12102</v>
      </c>
      <c r="AI602" s="87" t="b">
        <v>0</v>
      </c>
      <c r="AJ602" s="87"/>
      <c r="AK602" s="87"/>
      <c r="AL602" s="87"/>
      <c r="AM602" s="87"/>
      <c r="AN602" s="87"/>
      <c r="AO602" s="87"/>
      <c r="AP602" s="87"/>
      <c r="AQ602" s="87"/>
      <c r="AR602" s="87"/>
      <c r="AS602" s="87"/>
      <c r="AT602" s="87"/>
      <c r="AU602" s="87"/>
      <c r="AV602" s="92" t="str">
        <f>HYPERLINK("https://pbs.twimg.com/profile_images/1041725334431952896/uaPtkYSp_normal.jpg")</f>
        <v>https://pbs.twimg.com/profile_images/1041725334431952896/uaPtkYSp_normal.jpg</v>
      </c>
      <c r="AW602" s="93" t="s">
        <v>18852</v>
      </c>
      <c r="AX602" s="93" t="s">
        <v>18852</v>
      </c>
      <c r="AY602" s="87"/>
      <c r="AZ602" s="93" t="s">
        <v>22668</v>
      </c>
      <c r="BA602" s="93" t="s">
        <v>22668</v>
      </c>
      <c r="BB602" s="93" t="s">
        <v>22668</v>
      </c>
      <c r="BC602" s="93" t="s">
        <v>18852</v>
      </c>
      <c r="BD602" s="93" t="s">
        <v>22918</v>
      </c>
      <c r="BE602" s="87"/>
      <c r="BF602" s="87"/>
      <c r="BG602" s="87"/>
      <c r="BH602" s="87"/>
      <c r="BI602" s="87"/>
    </row>
    <row r="603" spans="1:61" x14ac:dyDescent="0.25">
      <c r="A603" s="63" t="s">
        <v>436</v>
      </c>
      <c r="B603" s="63" t="s">
        <v>436</v>
      </c>
      <c r="C603" s="64"/>
      <c r="D603" s="65"/>
      <c r="E603" s="66"/>
      <c r="F603" s="67"/>
      <c r="G603" s="64"/>
      <c r="H603" s="68"/>
      <c r="I603" s="69"/>
      <c r="J603" s="69"/>
      <c r="K603" s="32"/>
      <c r="L603" s="76">
        <v>603</v>
      </c>
      <c r="M603" s="76"/>
      <c r="N603" s="71"/>
      <c r="O603" s="87" t="s">
        <v>179</v>
      </c>
      <c r="P603" s="90">
        <v>45138.367534722223</v>
      </c>
      <c r="Q603" s="87" t="s">
        <v>2430</v>
      </c>
      <c r="R603" s="87">
        <v>0</v>
      </c>
      <c r="S603" s="87">
        <v>0</v>
      </c>
      <c r="T603" s="87">
        <v>0</v>
      </c>
      <c r="U603" s="87">
        <v>0</v>
      </c>
      <c r="V603" s="87">
        <v>2</v>
      </c>
      <c r="W603" s="93" t="s">
        <v>6261</v>
      </c>
      <c r="X603" s="87"/>
      <c r="Y603" s="87"/>
      <c r="Z603" s="87"/>
      <c r="AA603" s="87" t="s">
        <v>9033</v>
      </c>
      <c r="AB603" s="87" t="s">
        <v>11452</v>
      </c>
      <c r="AC603" s="93" t="s">
        <v>11459</v>
      </c>
      <c r="AD603" s="87" t="s">
        <v>11519</v>
      </c>
      <c r="AE603" s="92" t="str">
        <f>HYPERLINK("https://twitter.com/oadailsonsantos/status/1685935643036168192")</f>
        <v>https://twitter.com/oadailsonsantos/status/1685935643036168192</v>
      </c>
      <c r="AF603" s="90">
        <v>45138.367534722223</v>
      </c>
      <c r="AG603" s="99">
        <v>45138</v>
      </c>
      <c r="AH603" s="93" t="s">
        <v>12103</v>
      </c>
      <c r="AI603" s="87" t="b">
        <v>0</v>
      </c>
      <c r="AJ603" s="87"/>
      <c r="AK603" s="87"/>
      <c r="AL603" s="87"/>
      <c r="AM603" s="87"/>
      <c r="AN603" s="87"/>
      <c r="AO603" s="87"/>
      <c r="AP603" s="87"/>
      <c r="AQ603" s="87" t="s">
        <v>15846</v>
      </c>
      <c r="AR603" s="87"/>
      <c r="AS603" s="87"/>
      <c r="AT603" s="87"/>
      <c r="AU603" s="87"/>
      <c r="AV603" s="92" t="str">
        <f>HYPERLINK("https://pbs.twimg.com/tweet_video_thumb/F2WlhvbWUAAdbQY.jpg")</f>
        <v>https://pbs.twimg.com/tweet_video_thumb/F2WlhvbWUAAdbQY.jpg</v>
      </c>
      <c r="AW603" s="93" t="s">
        <v>18853</v>
      </c>
      <c r="AX603" s="93" t="s">
        <v>18853</v>
      </c>
      <c r="AY603" s="87"/>
      <c r="AZ603" s="93" t="s">
        <v>22668</v>
      </c>
      <c r="BA603" s="93" t="s">
        <v>22668</v>
      </c>
      <c r="BB603" s="93" t="s">
        <v>22668</v>
      </c>
      <c r="BC603" s="93" t="s">
        <v>18853</v>
      </c>
      <c r="BD603" s="93" t="s">
        <v>22919</v>
      </c>
      <c r="BE603" s="87"/>
      <c r="BF603" s="87"/>
      <c r="BG603" s="87"/>
      <c r="BH603" s="87"/>
      <c r="BI603" s="87"/>
    </row>
    <row r="604" spans="1:61" x14ac:dyDescent="0.25">
      <c r="A604" s="63" t="s">
        <v>437</v>
      </c>
      <c r="B604" s="63" t="s">
        <v>437</v>
      </c>
      <c r="C604" s="64"/>
      <c r="D604" s="65"/>
      <c r="E604" s="66"/>
      <c r="F604" s="67"/>
      <c r="G604" s="64"/>
      <c r="H604" s="68"/>
      <c r="I604" s="69"/>
      <c r="J604" s="69"/>
      <c r="K604" s="32"/>
      <c r="L604" s="76">
        <v>604</v>
      </c>
      <c r="M604" s="76"/>
      <c r="N604" s="71"/>
      <c r="O604" s="87" t="s">
        <v>179</v>
      </c>
      <c r="P604" s="90">
        <v>45119.600937499999</v>
      </c>
      <c r="Q604" s="87" t="s">
        <v>2431</v>
      </c>
      <c r="R604" s="87">
        <v>0</v>
      </c>
      <c r="S604" s="87">
        <v>0</v>
      </c>
      <c r="T604" s="87">
        <v>0</v>
      </c>
      <c r="U604" s="87">
        <v>0</v>
      </c>
      <c r="V604" s="87">
        <v>37</v>
      </c>
      <c r="W604" s="93" t="s">
        <v>5897</v>
      </c>
      <c r="X604" s="92" t="str">
        <f>HYPERLINK("https://criativaonline.com.br/sebrae-realiza-encontro-sobre-gestao-de-pessoas-em-santo-antonio-de-jesus/")</f>
        <v>https://criativaonline.com.br/sebrae-realiza-encontro-sobre-gestao-de-pessoas-em-santo-antonio-de-jesus/</v>
      </c>
      <c r="Y604" s="87" t="s">
        <v>8373</v>
      </c>
      <c r="Z604" s="87"/>
      <c r="AA604" s="87"/>
      <c r="AB604" s="87"/>
      <c r="AC604" s="93" t="s">
        <v>11472</v>
      </c>
      <c r="AD604" s="87" t="s">
        <v>11519</v>
      </c>
      <c r="AE604" s="92" t="str">
        <f>HYPERLINK("https://twitter.com/criativaonline1/status/1679134856591077384")</f>
        <v>https://twitter.com/criativaonline1/status/1679134856591077384</v>
      </c>
      <c r="AF604" s="90">
        <v>45119.600937499999</v>
      </c>
      <c r="AG604" s="99">
        <v>45119</v>
      </c>
      <c r="AH604" s="93" t="s">
        <v>12104</v>
      </c>
      <c r="AI604" s="87" t="b">
        <v>0</v>
      </c>
      <c r="AJ604" s="87"/>
      <c r="AK604" s="87"/>
      <c r="AL604" s="87"/>
      <c r="AM604" s="87"/>
      <c r="AN604" s="87"/>
      <c r="AO604" s="87"/>
      <c r="AP604" s="87"/>
      <c r="AQ604" s="87"/>
      <c r="AR604" s="87"/>
      <c r="AS604" s="87"/>
      <c r="AT604" s="87"/>
      <c r="AU604" s="87"/>
      <c r="AV604" s="92" t="str">
        <f>HYPERLINK("https://pbs.twimg.com/profile_images/1613289276912898048/coG46I1c_normal.jpg")</f>
        <v>https://pbs.twimg.com/profile_images/1613289276912898048/coG46I1c_normal.jpg</v>
      </c>
      <c r="AW604" s="93" t="s">
        <v>18854</v>
      </c>
      <c r="AX604" s="93" t="s">
        <v>18854</v>
      </c>
      <c r="AY604" s="87"/>
      <c r="AZ604" s="93" t="s">
        <v>22668</v>
      </c>
      <c r="BA604" s="93" t="s">
        <v>22668</v>
      </c>
      <c r="BB604" s="93" t="s">
        <v>22668</v>
      </c>
      <c r="BC604" s="93" t="s">
        <v>18854</v>
      </c>
      <c r="BD604" s="87">
        <v>171995902</v>
      </c>
      <c r="BE604" s="87"/>
      <c r="BF604" s="87"/>
      <c r="BG604" s="87"/>
      <c r="BH604" s="87"/>
      <c r="BI604" s="87"/>
    </row>
    <row r="605" spans="1:61" x14ac:dyDescent="0.25">
      <c r="A605" s="63" t="s">
        <v>437</v>
      </c>
      <c r="B605" s="63" t="s">
        <v>437</v>
      </c>
      <c r="C605" s="64"/>
      <c r="D605" s="65"/>
      <c r="E605" s="66"/>
      <c r="F605" s="67"/>
      <c r="G605" s="64"/>
      <c r="H605" s="68"/>
      <c r="I605" s="69"/>
      <c r="J605" s="69"/>
      <c r="K605" s="32"/>
      <c r="L605" s="76">
        <v>605</v>
      </c>
      <c r="M605" s="76"/>
      <c r="N605" s="71"/>
      <c r="O605" s="87" t="s">
        <v>179</v>
      </c>
      <c r="P605" s="90">
        <v>45121.672314814816</v>
      </c>
      <c r="Q605" s="87" t="s">
        <v>2432</v>
      </c>
      <c r="R605" s="87">
        <v>0</v>
      </c>
      <c r="S605" s="87">
        <v>0</v>
      </c>
      <c r="T605" s="87">
        <v>0</v>
      </c>
      <c r="U605" s="87">
        <v>0</v>
      </c>
      <c r="V605" s="87">
        <v>16</v>
      </c>
      <c r="W605" s="93" t="s">
        <v>6262</v>
      </c>
      <c r="X605" s="92" t="str">
        <f>HYPERLINK("https://criativaonline.com.br/super-bahia-2023-bate-recorde-em-negocios-e-supera-expectativa-de-visitacao/")</f>
        <v>https://criativaonline.com.br/super-bahia-2023-bate-recorde-em-negocios-e-supera-expectativa-de-visitacao/</v>
      </c>
      <c r="Y605" s="87" t="s">
        <v>8373</v>
      </c>
      <c r="Z605" s="87"/>
      <c r="AA605" s="87"/>
      <c r="AB605" s="87"/>
      <c r="AC605" s="93" t="s">
        <v>11472</v>
      </c>
      <c r="AD605" s="87" t="s">
        <v>11519</v>
      </c>
      <c r="AE605" s="92" t="str">
        <f>HYPERLINK("https://twitter.com/criativaonline1/status/1679885499207393281")</f>
        <v>https://twitter.com/criativaonline1/status/1679885499207393281</v>
      </c>
      <c r="AF605" s="90">
        <v>45121.672314814816</v>
      </c>
      <c r="AG605" s="99">
        <v>45121</v>
      </c>
      <c r="AH605" s="93" t="s">
        <v>12105</v>
      </c>
      <c r="AI605" s="87" t="b">
        <v>0</v>
      </c>
      <c r="AJ605" s="87"/>
      <c r="AK605" s="87"/>
      <c r="AL605" s="87"/>
      <c r="AM605" s="87"/>
      <c r="AN605" s="87"/>
      <c r="AO605" s="87"/>
      <c r="AP605" s="87"/>
      <c r="AQ605" s="87"/>
      <c r="AR605" s="87"/>
      <c r="AS605" s="87"/>
      <c r="AT605" s="87"/>
      <c r="AU605" s="87"/>
      <c r="AV605" s="92" t="str">
        <f>HYPERLINK("https://pbs.twimg.com/profile_images/1613289276912898048/coG46I1c_normal.jpg")</f>
        <v>https://pbs.twimg.com/profile_images/1613289276912898048/coG46I1c_normal.jpg</v>
      </c>
      <c r="AW605" s="93" t="s">
        <v>18855</v>
      </c>
      <c r="AX605" s="93" t="s">
        <v>18855</v>
      </c>
      <c r="AY605" s="87"/>
      <c r="AZ605" s="93" t="s">
        <v>22668</v>
      </c>
      <c r="BA605" s="93" t="s">
        <v>22668</v>
      </c>
      <c r="BB605" s="93" t="s">
        <v>22668</v>
      </c>
      <c r="BC605" s="93" t="s">
        <v>18855</v>
      </c>
      <c r="BD605" s="87">
        <v>171995902</v>
      </c>
      <c r="BE605" s="87"/>
      <c r="BF605" s="87"/>
      <c r="BG605" s="87"/>
      <c r="BH605" s="87"/>
      <c r="BI605" s="87"/>
    </row>
    <row r="606" spans="1:61" x14ac:dyDescent="0.25">
      <c r="A606" s="63" t="s">
        <v>438</v>
      </c>
      <c r="B606" s="63" t="s">
        <v>438</v>
      </c>
      <c r="C606" s="64"/>
      <c r="D606" s="65"/>
      <c r="E606" s="66"/>
      <c r="F606" s="67"/>
      <c r="G606" s="64"/>
      <c r="H606" s="68"/>
      <c r="I606" s="69"/>
      <c r="J606" s="69"/>
      <c r="K606" s="32"/>
      <c r="L606" s="76">
        <v>606</v>
      </c>
      <c r="M606" s="76"/>
      <c r="N606" s="71"/>
      <c r="O606" s="87" t="s">
        <v>179</v>
      </c>
      <c r="P606" s="90">
        <v>45127.579861111109</v>
      </c>
      <c r="Q606" s="87" t="s">
        <v>2433</v>
      </c>
      <c r="R606" s="87">
        <v>0</v>
      </c>
      <c r="S606" s="87">
        <v>0</v>
      </c>
      <c r="T606" s="87">
        <v>0</v>
      </c>
      <c r="U606" s="87">
        <v>0</v>
      </c>
      <c r="V606" s="87">
        <v>122</v>
      </c>
      <c r="W606" s="93" t="s">
        <v>6263</v>
      </c>
      <c r="X606" s="92" t="str">
        <f>HYPERLINK("https://bit.ly/blogimpacto400")</f>
        <v>https://bit.ly/blogimpacto400</v>
      </c>
      <c r="Y606" s="87" t="s">
        <v>8374</v>
      </c>
      <c r="Z606" s="87"/>
      <c r="AA606" s="87" t="s">
        <v>9034</v>
      </c>
      <c r="AB606" s="87" t="s">
        <v>11448</v>
      </c>
      <c r="AC606" s="93" t="s">
        <v>11457</v>
      </c>
      <c r="AD606" s="87" t="s">
        <v>11519</v>
      </c>
      <c r="AE606" s="92" t="str">
        <f>HYPERLINK("https://twitter.com/fgv_eaesp/status/1682026321336061952")</f>
        <v>https://twitter.com/fgv_eaesp/status/1682026321336061952</v>
      </c>
      <c r="AF606" s="90">
        <v>45127.579861111109</v>
      </c>
      <c r="AG606" s="99">
        <v>45127</v>
      </c>
      <c r="AH606" s="93" t="s">
        <v>12106</v>
      </c>
      <c r="AI606" s="87" t="b">
        <v>0</v>
      </c>
      <c r="AJ606" s="87"/>
      <c r="AK606" s="87"/>
      <c r="AL606" s="87"/>
      <c r="AM606" s="87"/>
      <c r="AN606" s="87"/>
      <c r="AO606" s="87"/>
      <c r="AP606" s="87"/>
      <c r="AQ606" s="87" t="s">
        <v>15847</v>
      </c>
      <c r="AR606" s="87"/>
      <c r="AS606" s="87"/>
      <c r="AT606" s="87"/>
      <c r="AU606" s="87"/>
      <c r="AV606" s="92" t="str">
        <f>HYPERLINK("https://pbs.twimg.com/media/F0wr4O_aQAM2FBw.jpg")</f>
        <v>https://pbs.twimg.com/media/F0wr4O_aQAM2FBw.jpg</v>
      </c>
      <c r="AW606" s="93" t="s">
        <v>18856</v>
      </c>
      <c r="AX606" s="93" t="s">
        <v>18856</v>
      </c>
      <c r="AY606" s="87"/>
      <c r="AZ606" s="93" t="s">
        <v>22668</v>
      </c>
      <c r="BA606" s="93" t="s">
        <v>22668</v>
      </c>
      <c r="BB606" s="93" t="s">
        <v>22668</v>
      </c>
      <c r="BC606" s="93" t="s">
        <v>18856</v>
      </c>
      <c r="BD606" s="87">
        <v>44449999</v>
      </c>
      <c r="BE606" s="87"/>
      <c r="BF606" s="87"/>
      <c r="BG606" s="87"/>
      <c r="BH606" s="87"/>
      <c r="BI606" s="87"/>
    </row>
    <row r="607" spans="1:61" x14ac:dyDescent="0.25">
      <c r="A607" s="63" t="s">
        <v>439</v>
      </c>
      <c r="B607" s="63" t="s">
        <v>439</v>
      </c>
      <c r="C607" s="64"/>
      <c r="D607" s="65"/>
      <c r="E607" s="66"/>
      <c r="F607" s="67"/>
      <c r="G607" s="64"/>
      <c r="H607" s="68"/>
      <c r="I607" s="69"/>
      <c r="J607" s="69"/>
      <c r="K607" s="32"/>
      <c r="L607" s="76">
        <v>607</v>
      </c>
      <c r="M607" s="76"/>
      <c r="N607" s="71"/>
      <c r="O607" s="87" t="s">
        <v>179</v>
      </c>
      <c r="P607" s="90">
        <v>45191.541678240741</v>
      </c>
      <c r="Q607" s="87" t="s">
        <v>2434</v>
      </c>
      <c r="R607" s="87">
        <v>0</v>
      </c>
      <c r="S607" s="87">
        <v>0</v>
      </c>
      <c r="T607" s="87">
        <v>0</v>
      </c>
      <c r="U607" s="87">
        <v>0</v>
      </c>
      <c r="V607" s="87">
        <v>27</v>
      </c>
      <c r="W607" s="93" t="s">
        <v>6264</v>
      </c>
      <c r="X607" s="87"/>
      <c r="Y607" s="87"/>
      <c r="Z607" s="87"/>
      <c r="AA607" s="87" t="s">
        <v>9035</v>
      </c>
      <c r="AB607" s="87" t="s">
        <v>11448</v>
      </c>
      <c r="AC607" s="93" t="s">
        <v>11457</v>
      </c>
      <c r="AD607" s="87" t="s">
        <v>11519</v>
      </c>
      <c r="AE607" s="92" t="str">
        <f>HYPERLINK("https://twitter.com/barbi_contabil/status/1705205307365036447")</f>
        <v>https://twitter.com/barbi_contabil/status/1705205307365036447</v>
      </c>
      <c r="AF607" s="90">
        <v>45191.541678240741</v>
      </c>
      <c r="AG607" s="99">
        <v>45191</v>
      </c>
      <c r="AH607" s="93" t="s">
        <v>12107</v>
      </c>
      <c r="AI607" s="87" t="b">
        <v>0</v>
      </c>
      <c r="AJ607" s="87"/>
      <c r="AK607" s="87"/>
      <c r="AL607" s="87"/>
      <c r="AM607" s="87"/>
      <c r="AN607" s="87"/>
      <c r="AO607" s="87"/>
      <c r="AP607" s="87"/>
      <c r="AQ607" s="87" t="s">
        <v>15848</v>
      </c>
      <c r="AR607" s="87"/>
      <c r="AS607" s="87"/>
      <c r="AT607" s="87"/>
      <c r="AU607" s="87"/>
      <c r="AV607" s="92" t="str">
        <f>HYPERLINK("https://pbs.twimg.com/media/F6fOziVW8AA5-wo.jpg")</f>
        <v>https://pbs.twimg.com/media/F6fOziVW8AA5-wo.jpg</v>
      </c>
      <c r="AW607" s="93" t="s">
        <v>18857</v>
      </c>
      <c r="AX607" s="93" t="s">
        <v>18857</v>
      </c>
      <c r="AY607" s="87"/>
      <c r="AZ607" s="93" t="s">
        <v>22668</v>
      </c>
      <c r="BA607" s="93" t="s">
        <v>22668</v>
      </c>
      <c r="BB607" s="93" t="s">
        <v>22668</v>
      </c>
      <c r="BC607" s="93" t="s">
        <v>18857</v>
      </c>
      <c r="BD607" s="93" t="s">
        <v>22920</v>
      </c>
      <c r="BE607" s="87"/>
      <c r="BF607" s="87"/>
      <c r="BG607" s="87"/>
      <c r="BH607" s="87"/>
      <c r="BI607" s="87"/>
    </row>
    <row r="608" spans="1:61" x14ac:dyDescent="0.25">
      <c r="A608" s="63" t="s">
        <v>440</v>
      </c>
      <c r="B608" s="63" t="s">
        <v>440</v>
      </c>
      <c r="C608" s="64"/>
      <c r="D608" s="65"/>
      <c r="E608" s="66"/>
      <c r="F608" s="67"/>
      <c r="G608" s="64"/>
      <c r="H608" s="68"/>
      <c r="I608" s="69"/>
      <c r="J608" s="69"/>
      <c r="K608" s="32"/>
      <c r="L608" s="76">
        <v>608</v>
      </c>
      <c r="M608" s="76"/>
      <c r="N608" s="71"/>
      <c r="O608" s="87" t="s">
        <v>179</v>
      </c>
      <c r="P608" s="90">
        <v>45164.053298611114</v>
      </c>
      <c r="Q608" s="87" t="s">
        <v>2435</v>
      </c>
      <c r="R608" s="87">
        <v>0</v>
      </c>
      <c r="S608" s="87">
        <v>0</v>
      </c>
      <c r="T608" s="87">
        <v>0</v>
      </c>
      <c r="U608" s="87">
        <v>0</v>
      </c>
      <c r="V608" s="87">
        <v>48</v>
      </c>
      <c r="W608" s="93" t="s">
        <v>6265</v>
      </c>
      <c r="X608" s="87"/>
      <c r="Y608" s="87"/>
      <c r="Z608" s="87"/>
      <c r="AA608" s="87" t="s">
        <v>9036</v>
      </c>
      <c r="AB608" s="87" t="s">
        <v>11448</v>
      </c>
      <c r="AC608" s="93" t="s">
        <v>11459</v>
      </c>
      <c r="AD608" s="87" t="s">
        <v>11519</v>
      </c>
      <c r="AE608" s="92" t="str">
        <f>HYPERLINK("https://twitter.com/passomilionari0/status/1695243853626740935")</f>
        <v>https://twitter.com/passomilionari0/status/1695243853626740935</v>
      </c>
      <c r="AF608" s="90">
        <v>45164.053298611114</v>
      </c>
      <c r="AG608" s="99">
        <v>45164</v>
      </c>
      <c r="AH608" s="93" t="s">
        <v>12108</v>
      </c>
      <c r="AI608" s="87" t="b">
        <v>0</v>
      </c>
      <c r="AJ608" s="87"/>
      <c r="AK608" s="87"/>
      <c r="AL608" s="87"/>
      <c r="AM608" s="87"/>
      <c r="AN608" s="87"/>
      <c r="AO608" s="87"/>
      <c r="AP608" s="87"/>
      <c r="AQ608" s="87" t="s">
        <v>15849</v>
      </c>
      <c r="AR608" s="87"/>
      <c r="AS608" s="87"/>
      <c r="AT608" s="87"/>
      <c r="AU608" s="87"/>
      <c r="AV608" s="92" t="str">
        <f>HYPERLINK("https://pbs.twimg.com/media/F4a3TQnWIAArFPS.jpg")</f>
        <v>https://pbs.twimg.com/media/F4a3TQnWIAArFPS.jpg</v>
      </c>
      <c r="AW608" s="93" t="s">
        <v>18858</v>
      </c>
      <c r="AX608" s="93" t="s">
        <v>18858</v>
      </c>
      <c r="AY608" s="87"/>
      <c r="AZ608" s="93" t="s">
        <v>22668</v>
      </c>
      <c r="BA608" s="93" t="s">
        <v>22668</v>
      </c>
      <c r="BB608" s="93" t="s">
        <v>22668</v>
      </c>
      <c r="BC608" s="93" t="s">
        <v>18858</v>
      </c>
      <c r="BD608" s="93" t="s">
        <v>22921</v>
      </c>
      <c r="BE608" s="87"/>
      <c r="BF608" s="87"/>
      <c r="BG608" s="87"/>
      <c r="BH608" s="87"/>
      <c r="BI608" s="87"/>
    </row>
    <row r="609" spans="1:61" x14ac:dyDescent="0.25">
      <c r="A609" s="63" t="s">
        <v>440</v>
      </c>
      <c r="B609" s="63" t="s">
        <v>440</v>
      </c>
      <c r="C609" s="64"/>
      <c r="D609" s="65"/>
      <c r="E609" s="66"/>
      <c r="F609" s="67"/>
      <c r="G609" s="64"/>
      <c r="H609" s="68"/>
      <c r="I609" s="69"/>
      <c r="J609" s="69"/>
      <c r="K609" s="32"/>
      <c r="L609" s="76">
        <v>609</v>
      </c>
      <c r="M609" s="76"/>
      <c r="N609" s="71"/>
      <c r="O609" s="87" t="s">
        <v>179</v>
      </c>
      <c r="P609" s="90">
        <v>45164.035925925928</v>
      </c>
      <c r="Q609" s="87" t="s">
        <v>2436</v>
      </c>
      <c r="R609" s="87">
        <v>0</v>
      </c>
      <c r="S609" s="87">
        <v>0</v>
      </c>
      <c r="T609" s="87">
        <v>0</v>
      </c>
      <c r="U609" s="87">
        <v>0</v>
      </c>
      <c r="V609" s="87">
        <v>15</v>
      </c>
      <c r="W609" s="93" t="s">
        <v>6266</v>
      </c>
      <c r="X609" s="87"/>
      <c r="Y609" s="87"/>
      <c r="Z609" s="87"/>
      <c r="AA609" s="87"/>
      <c r="AB609" s="87"/>
      <c r="AC609" s="93" t="s">
        <v>11459</v>
      </c>
      <c r="AD609" s="87" t="s">
        <v>11519</v>
      </c>
      <c r="AE609" s="92" t="str">
        <f>HYPERLINK("https://twitter.com/passomilionari0/status/1695237556290351494")</f>
        <v>https://twitter.com/passomilionari0/status/1695237556290351494</v>
      </c>
      <c r="AF609" s="90">
        <v>45164.035925925928</v>
      </c>
      <c r="AG609" s="99">
        <v>45164</v>
      </c>
      <c r="AH609" s="93" t="s">
        <v>12109</v>
      </c>
      <c r="AI609" s="87"/>
      <c r="AJ609" s="87"/>
      <c r="AK609" s="87"/>
      <c r="AL609" s="87"/>
      <c r="AM609" s="87"/>
      <c r="AN609" s="87"/>
      <c r="AO609" s="87"/>
      <c r="AP609" s="87"/>
      <c r="AQ609" s="87"/>
      <c r="AR609" s="87"/>
      <c r="AS609" s="87"/>
      <c r="AT609" s="87"/>
      <c r="AU609" s="87"/>
      <c r="AV609" s="92" t="str">
        <f>HYPERLINK("https://pbs.twimg.com/profile_images/1690063981807898624/Mc0jI_t2_normal.jpg")</f>
        <v>https://pbs.twimg.com/profile_images/1690063981807898624/Mc0jI_t2_normal.jpg</v>
      </c>
      <c r="AW609" s="93" t="s">
        <v>18859</v>
      </c>
      <c r="AX609" s="93" t="s">
        <v>18859</v>
      </c>
      <c r="AY609" s="87"/>
      <c r="AZ609" s="93" t="s">
        <v>22668</v>
      </c>
      <c r="BA609" s="93" t="s">
        <v>22668</v>
      </c>
      <c r="BB609" s="93" t="s">
        <v>22668</v>
      </c>
      <c r="BC609" s="93" t="s">
        <v>18859</v>
      </c>
      <c r="BD609" s="93" t="s">
        <v>22921</v>
      </c>
      <c r="BE609" s="87"/>
      <c r="BF609" s="87"/>
      <c r="BG609" s="87"/>
      <c r="BH609" s="87"/>
      <c r="BI609" s="87"/>
    </row>
    <row r="610" spans="1:61" x14ac:dyDescent="0.25">
      <c r="A610" s="63" t="s">
        <v>441</v>
      </c>
      <c r="B610" s="63" t="s">
        <v>441</v>
      </c>
      <c r="C610" s="64"/>
      <c r="D610" s="65"/>
      <c r="E610" s="66"/>
      <c r="F610" s="67"/>
      <c r="G610" s="64"/>
      <c r="H610" s="68"/>
      <c r="I610" s="69"/>
      <c r="J610" s="69"/>
      <c r="K610" s="32"/>
      <c r="L610" s="76">
        <v>610</v>
      </c>
      <c r="M610" s="76"/>
      <c r="N610" s="71"/>
      <c r="O610" s="87" t="s">
        <v>179</v>
      </c>
      <c r="P610" s="90">
        <v>45137.980555555558</v>
      </c>
      <c r="Q610" s="87" t="s">
        <v>2437</v>
      </c>
      <c r="R610" s="87">
        <v>0</v>
      </c>
      <c r="S610" s="87">
        <v>0</v>
      </c>
      <c r="T610" s="87">
        <v>0</v>
      </c>
      <c r="U610" s="87">
        <v>0</v>
      </c>
      <c r="V610" s="87">
        <v>23</v>
      </c>
      <c r="W610" s="93" t="s">
        <v>6267</v>
      </c>
      <c r="X610" s="87"/>
      <c r="Y610" s="87"/>
      <c r="Z610" s="87"/>
      <c r="AA610" s="87"/>
      <c r="AB610" s="87"/>
      <c r="AC610" s="93" t="s">
        <v>11457</v>
      </c>
      <c r="AD610" s="87" t="s">
        <v>11519</v>
      </c>
      <c r="AE610" s="92" t="str">
        <f>HYPERLINK("https://twitter.com/recebeaqui/status/1685795406855499776")</f>
        <v>https://twitter.com/recebeaqui/status/1685795406855499776</v>
      </c>
      <c r="AF610" s="90">
        <v>45137.980555555558</v>
      </c>
      <c r="AG610" s="99">
        <v>45137</v>
      </c>
      <c r="AH610" s="93" t="s">
        <v>12110</v>
      </c>
      <c r="AI610" s="87"/>
      <c r="AJ610" s="87"/>
      <c r="AK610" s="87"/>
      <c r="AL610" s="87"/>
      <c r="AM610" s="87"/>
      <c r="AN610" s="87"/>
      <c r="AO610" s="87"/>
      <c r="AP610" s="87"/>
      <c r="AQ610" s="87"/>
      <c r="AR610" s="87"/>
      <c r="AS610" s="87"/>
      <c r="AT610" s="87"/>
      <c r="AU610" s="87"/>
      <c r="AV610" s="92" t="str">
        <f>HYPERLINK("https://pbs.twimg.com/profile_images/1655595018537558017/OSWRMYCJ_normal.jpg")</f>
        <v>https://pbs.twimg.com/profile_images/1655595018537558017/OSWRMYCJ_normal.jpg</v>
      </c>
      <c r="AW610" s="93" t="s">
        <v>18860</v>
      </c>
      <c r="AX610" s="93" t="s">
        <v>18860</v>
      </c>
      <c r="AY610" s="87"/>
      <c r="AZ610" s="93" t="s">
        <v>22668</v>
      </c>
      <c r="BA610" s="93" t="s">
        <v>22668</v>
      </c>
      <c r="BB610" s="93" t="s">
        <v>22668</v>
      </c>
      <c r="BC610" s="93" t="s">
        <v>18860</v>
      </c>
      <c r="BD610" s="93" t="s">
        <v>22922</v>
      </c>
      <c r="BE610" s="87"/>
      <c r="BF610" s="87"/>
      <c r="BG610" s="87"/>
      <c r="BH610" s="87"/>
      <c r="BI610" s="87"/>
    </row>
    <row r="611" spans="1:61" x14ac:dyDescent="0.25">
      <c r="A611" s="63" t="s">
        <v>441</v>
      </c>
      <c r="B611" s="63" t="s">
        <v>441</v>
      </c>
      <c r="C611" s="64"/>
      <c r="D611" s="65"/>
      <c r="E611" s="66"/>
      <c r="F611" s="67"/>
      <c r="G611" s="64"/>
      <c r="H611" s="68"/>
      <c r="I611" s="69"/>
      <c r="J611" s="69"/>
      <c r="K611" s="32"/>
      <c r="L611" s="76">
        <v>611</v>
      </c>
      <c r="M611" s="76"/>
      <c r="N611" s="71"/>
      <c r="O611" s="87" t="s">
        <v>179</v>
      </c>
      <c r="P611" s="90">
        <v>45140.625011574077</v>
      </c>
      <c r="Q611" s="87" t="s">
        <v>2438</v>
      </c>
      <c r="R611" s="87">
        <v>0</v>
      </c>
      <c r="S611" s="87">
        <v>0</v>
      </c>
      <c r="T611" s="87">
        <v>0</v>
      </c>
      <c r="U611" s="87">
        <v>0</v>
      </c>
      <c r="V611" s="87">
        <v>8</v>
      </c>
      <c r="W611" s="93" t="s">
        <v>6268</v>
      </c>
      <c r="X611" s="87"/>
      <c r="Y611" s="87"/>
      <c r="Z611" s="87"/>
      <c r="AA611" s="87" t="s">
        <v>9037</v>
      </c>
      <c r="AB611" s="87" t="s">
        <v>11452</v>
      </c>
      <c r="AC611" s="93" t="s">
        <v>11457</v>
      </c>
      <c r="AD611" s="87" t="s">
        <v>11519</v>
      </c>
      <c r="AE611" s="92" t="str">
        <f>HYPERLINK("https://twitter.com/recebeaqui/status/1686753728605683713")</f>
        <v>https://twitter.com/recebeaqui/status/1686753728605683713</v>
      </c>
      <c r="AF611" s="90">
        <v>45140.625011574077</v>
      </c>
      <c r="AG611" s="99">
        <v>45140</v>
      </c>
      <c r="AH611" s="93" t="s">
        <v>11668</v>
      </c>
      <c r="AI611" s="87" t="b">
        <v>0</v>
      </c>
      <c r="AJ611" s="87"/>
      <c r="AK611" s="87"/>
      <c r="AL611" s="87"/>
      <c r="AM611" s="87"/>
      <c r="AN611" s="87"/>
      <c r="AO611" s="87"/>
      <c r="AP611" s="87"/>
      <c r="AQ611" s="87" t="s">
        <v>15850</v>
      </c>
      <c r="AR611" s="87"/>
      <c r="AS611" s="87"/>
      <c r="AT611" s="87"/>
      <c r="AU611" s="87"/>
      <c r="AV611" s="92" t="str">
        <f>HYPERLINK("https://pbs.twimg.com/tweet_video_thumb/F1awgc9WwA0u9yz.jpg")</f>
        <v>https://pbs.twimg.com/tweet_video_thumb/F1awgc9WwA0u9yz.jpg</v>
      </c>
      <c r="AW611" s="93" t="s">
        <v>18861</v>
      </c>
      <c r="AX611" s="93" t="s">
        <v>18861</v>
      </c>
      <c r="AY611" s="87"/>
      <c r="AZ611" s="93" t="s">
        <v>22668</v>
      </c>
      <c r="BA611" s="93" t="s">
        <v>22668</v>
      </c>
      <c r="BB611" s="93" t="s">
        <v>22668</v>
      </c>
      <c r="BC611" s="93" t="s">
        <v>18861</v>
      </c>
      <c r="BD611" s="93" t="s">
        <v>22922</v>
      </c>
      <c r="BE611" s="87"/>
      <c r="BF611" s="87"/>
      <c r="BG611" s="87"/>
      <c r="BH611" s="87"/>
      <c r="BI611" s="87"/>
    </row>
    <row r="612" spans="1:61" x14ac:dyDescent="0.25">
      <c r="A612" s="63" t="s">
        <v>441</v>
      </c>
      <c r="B612" s="63" t="s">
        <v>441</v>
      </c>
      <c r="C612" s="64"/>
      <c r="D612" s="65"/>
      <c r="E612" s="66"/>
      <c r="F612" s="67"/>
      <c r="G612" s="64"/>
      <c r="H612" s="68"/>
      <c r="I612" s="69"/>
      <c r="J612" s="69"/>
      <c r="K612" s="32"/>
      <c r="L612" s="76">
        <v>612</v>
      </c>
      <c r="M612" s="76"/>
      <c r="N612" s="71"/>
      <c r="O612" s="87" t="s">
        <v>179</v>
      </c>
      <c r="P612" s="90">
        <v>45128.804166666669</v>
      </c>
      <c r="Q612" s="87" t="s">
        <v>2439</v>
      </c>
      <c r="R612" s="87">
        <v>0</v>
      </c>
      <c r="S612" s="87">
        <v>0</v>
      </c>
      <c r="T612" s="87">
        <v>0</v>
      </c>
      <c r="U612" s="87">
        <v>0</v>
      </c>
      <c r="V612" s="87">
        <v>8</v>
      </c>
      <c r="W612" s="93" t="s">
        <v>6267</v>
      </c>
      <c r="X612" s="87"/>
      <c r="Y612" s="87"/>
      <c r="Z612" s="87"/>
      <c r="AA612" s="87"/>
      <c r="AB612" s="87"/>
      <c r="AC612" s="93" t="s">
        <v>11457</v>
      </c>
      <c r="AD612" s="87" t="s">
        <v>11519</v>
      </c>
      <c r="AE612" s="92" t="str">
        <f>HYPERLINK("https://twitter.com/recebeaqui/status/1682469994792378372")</f>
        <v>https://twitter.com/recebeaqui/status/1682469994792378372</v>
      </c>
      <c r="AF612" s="90">
        <v>45128.804166666669</v>
      </c>
      <c r="AG612" s="99">
        <v>45128</v>
      </c>
      <c r="AH612" s="93" t="s">
        <v>12111</v>
      </c>
      <c r="AI612" s="87"/>
      <c r="AJ612" s="87"/>
      <c r="AK612" s="87"/>
      <c r="AL612" s="87"/>
      <c r="AM612" s="87"/>
      <c r="AN612" s="87"/>
      <c r="AO612" s="87"/>
      <c r="AP612" s="87"/>
      <c r="AQ612" s="87"/>
      <c r="AR612" s="87"/>
      <c r="AS612" s="87"/>
      <c r="AT612" s="87"/>
      <c r="AU612" s="87"/>
      <c r="AV612" s="92" t="str">
        <f>HYPERLINK("https://pbs.twimg.com/profile_images/1655595018537558017/OSWRMYCJ_normal.jpg")</f>
        <v>https://pbs.twimg.com/profile_images/1655595018537558017/OSWRMYCJ_normal.jpg</v>
      </c>
      <c r="AW612" s="93" t="s">
        <v>18862</v>
      </c>
      <c r="AX612" s="93" t="s">
        <v>18862</v>
      </c>
      <c r="AY612" s="87"/>
      <c r="AZ612" s="93" t="s">
        <v>22668</v>
      </c>
      <c r="BA612" s="93" t="s">
        <v>22668</v>
      </c>
      <c r="BB612" s="93" t="s">
        <v>22668</v>
      </c>
      <c r="BC612" s="93" t="s">
        <v>18862</v>
      </c>
      <c r="BD612" s="93" t="s">
        <v>22922</v>
      </c>
      <c r="BE612" s="87"/>
      <c r="BF612" s="87"/>
      <c r="BG612" s="87"/>
      <c r="BH612" s="87"/>
      <c r="BI612" s="87"/>
    </row>
    <row r="613" spans="1:61" x14ac:dyDescent="0.25">
      <c r="A613" s="63" t="s">
        <v>441</v>
      </c>
      <c r="B613" s="63" t="s">
        <v>441</v>
      </c>
      <c r="C613" s="64"/>
      <c r="D613" s="65"/>
      <c r="E613" s="66"/>
      <c r="F613" s="67"/>
      <c r="G613" s="64"/>
      <c r="H613" s="68"/>
      <c r="I613" s="69"/>
      <c r="J613" s="69"/>
      <c r="K613" s="32"/>
      <c r="L613" s="76">
        <v>613</v>
      </c>
      <c r="M613" s="76"/>
      <c r="N613" s="71"/>
      <c r="O613" s="87" t="s">
        <v>179</v>
      </c>
      <c r="P613" s="90">
        <v>45157.506249999999</v>
      </c>
      <c r="Q613" s="87" t="s">
        <v>2440</v>
      </c>
      <c r="R613" s="87">
        <v>0</v>
      </c>
      <c r="S613" s="87">
        <v>0</v>
      </c>
      <c r="T613" s="87">
        <v>0</v>
      </c>
      <c r="U613" s="87">
        <v>0</v>
      </c>
      <c r="V613" s="87">
        <v>1</v>
      </c>
      <c r="W613" s="93" t="s">
        <v>6267</v>
      </c>
      <c r="X613" s="87"/>
      <c r="Y613" s="87"/>
      <c r="Z613" s="87"/>
      <c r="AA613" s="87"/>
      <c r="AB613" s="87"/>
      <c r="AC613" s="93" t="s">
        <v>11457</v>
      </c>
      <c r="AD613" s="87" t="s">
        <v>11519</v>
      </c>
      <c r="AE613" s="92" t="str">
        <f>HYPERLINK("https://twitter.com/recebeaqui/status/1692871281774116882")</f>
        <v>https://twitter.com/recebeaqui/status/1692871281774116882</v>
      </c>
      <c r="AF613" s="90">
        <v>45157.506249999999</v>
      </c>
      <c r="AG613" s="99">
        <v>45157</v>
      </c>
      <c r="AH613" s="93" t="s">
        <v>12112</v>
      </c>
      <c r="AI613" s="87"/>
      <c r="AJ613" s="87"/>
      <c r="AK613" s="87"/>
      <c r="AL613" s="87"/>
      <c r="AM613" s="87"/>
      <c r="AN613" s="87"/>
      <c r="AO613" s="87"/>
      <c r="AP613" s="87"/>
      <c r="AQ613" s="87"/>
      <c r="AR613" s="87"/>
      <c r="AS613" s="87"/>
      <c r="AT613" s="87"/>
      <c r="AU613" s="87"/>
      <c r="AV613" s="92" t="str">
        <f>HYPERLINK("https://pbs.twimg.com/profile_images/1655595018537558017/OSWRMYCJ_normal.jpg")</f>
        <v>https://pbs.twimg.com/profile_images/1655595018537558017/OSWRMYCJ_normal.jpg</v>
      </c>
      <c r="AW613" s="93" t="s">
        <v>18863</v>
      </c>
      <c r="AX613" s="93" t="s">
        <v>18863</v>
      </c>
      <c r="AY613" s="87"/>
      <c r="AZ613" s="93" t="s">
        <v>22668</v>
      </c>
      <c r="BA613" s="93" t="s">
        <v>22668</v>
      </c>
      <c r="BB613" s="93" t="s">
        <v>22668</v>
      </c>
      <c r="BC613" s="93" t="s">
        <v>18863</v>
      </c>
      <c r="BD613" s="93" t="s">
        <v>22922</v>
      </c>
      <c r="BE613" s="87"/>
      <c r="BF613" s="87"/>
      <c r="BG613" s="87"/>
      <c r="BH613" s="87"/>
      <c r="BI613" s="87"/>
    </row>
    <row r="614" spans="1:61" x14ac:dyDescent="0.25">
      <c r="A614" s="63" t="s">
        <v>441</v>
      </c>
      <c r="B614" s="63" t="s">
        <v>441</v>
      </c>
      <c r="C614" s="64"/>
      <c r="D614" s="65"/>
      <c r="E614" s="66"/>
      <c r="F614" s="67"/>
      <c r="G614" s="64"/>
      <c r="H614" s="68"/>
      <c r="I614" s="69"/>
      <c r="J614" s="69"/>
      <c r="K614" s="32"/>
      <c r="L614" s="76">
        <v>614</v>
      </c>
      <c r="M614" s="76"/>
      <c r="N614" s="71"/>
      <c r="O614" s="87" t="s">
        <v>179</v>
      </c>
      <c r="P614" s="90">
        <v>45131.974999999999</v>
      </c>
      <c r="Q614" s="87" t="s">
        <v>2441</v>
      </c>
      <c r="R614" s="87">
        <v>0</v>
      </c>
      <c r="S614" s="87">
        <v>0</v>
      </c>
      <c r="T614" s="87">
        <v>0</v>
      </c>
      <c r="U614" s="87">
        <v>0</v>
      </c>
      <c r="V614" s="87">
        <v>165</v>
      </c>
      <c r="W614" s="93" t="s">
        <v>6269</v>
      </c>
      <c r="X614" s="87"/>
      <c r="Y614" s="87"/>
      <c r="Z614" s="87"/>
      <c r="AA614" s="87" t="s">
        <v>9038</v>
      </c>
      <c r="AB614" s="87" t="s">
        <v>11452</v>
      </c>
      <c r="AC614" s="93" t="s">
        <v>11457</v>
      </c>
      <c r="AD614" s="87" t="s">
        <v>11519</v>
      </c>
      <c r="AE614" s="92" t="str">
        <f>HYPERLINK("https://twitter.com/recebeaqui/status/1683619066383314944")</f>
        <v>https://twitter.com/recebeaqui/status/1683619066383314944</v>
      </c>
      <c r="AF614" s="90">
        <v>45131.974999999999</v>
      </c>
      <c r="AG614" s="99">
        <v>45131</v>
      </c>
      <c r="AH614" s="93" t="s">
        <v>12113</v>
      </c>
      <c r="AI614" s="87" t="b">
        <v>0</v>
      </c>
      <c r="AJ614" s="87"/>
      <c r="AK614" s="87"/>
      <c r="AL614" s="87"/>
      <c r="AM614" s="87"/>
      <c r="AN614" s="87"/>
      <c r="AO614" s="87"/>
      <c r="AP614" s="87"/>
      <c r="AQ614" s="87" t="s">
        <v>15851</v>
      </c>
      <c r="AR614" s="87"/>
      <c r="AS614" s="87"/>
      <c r="AT614" s="87"/>
      <c r="AU614" s="87"/>
      <c r="AV614" s="92" t="str">
        <f>HYPERLINK("https://pbs.twimg.com/tweet_video_thumb/F03AwhcWcAcCi2u.jpg")</f>
        <v>https://pbs.twimg.com/tweet_video_thumb/F03AwhcWcAcCi2u.jpg</v>
      </c>
      <c r="AW614" s="93" t="s">
        <v>18864</v>
      </c>
      <c r="AX614" s="93" t="s">
        <v>18864</v>
      </c>
      <c r="AY614" s="87"/>
      <c r="AZ614" s="93" t="s">
        <v>22668</v>
      </c>
      <c r="BA614" s="93" t="s">
        <v>22668</v>
      </c>
      <c r="BB614" s="93" t="s">
        <v>22668</v>
      </c>
      <c r="BC614" s="93" t="s">
        <v>18864</v>
      </c>
      <c r="BD614" s="93" t="s">
        <v>22922</v>
      </c>
      <c r="BE614" s="87"/>
      <c r="BF614" s="87"/>
      <c r="BG614" s="87"/>
      <c r="BH614" s="87"/>
      <c r="BI614" s="87"/>
    </row>
    <row r="615" spans="1:61" x14ac:dyDescent="0.25">
      <c r="A615" s="63" t="s">
        <v>441</v>
      </c>
      <c r="B615" s="63" t="s">
        <v>441</v>
      </c>
      <c r="C615" s="64"/>
      <c r="D615" s="65"/>
      <c r="E615" s="66"/>
      <c r="F615" s="67"/>
      <c r="G615" s="64"/>
      <c r="H615" s="68"/>
      <c r="I615" s="69"/>
      <c r="J615" s="69"/>
      <c r="K615" s="32"/>
      <c r="L615" s="76">
        <v>615</v>
      </c>
      <c r="M615" s="76"/>
      <c r="N615" s="71"/>
      <c r="O615" s="87" t="s">
        <v>179</v>
      </c>
      <c r="P615" s="90">
        <v>45117.959027777775</v>
      </c>
      <c r="Q615" s="87" t="s">
        <v>2442</v>
      </c>
      <c r="R615" s="87">
        <v>0</v>
      </c>
      <c r="S615" s="87">
        <v>0</v>
      </c>
      <c r="T615" s="87">
        <v>0</v>
      </c>
      <c r="U615" s="87">
        <v>0</v>
      </c>
      <c r="V615" s="87">
        <v>14</v>
      </c>
      <c r="W615" s="93" t="s">
        <v>6267</v>
      </c>
      <c r="X615" s="87"/>
      <c r="Y615" s="87"/>
      <c r="Z615" s="87"/>
      <c r="AA615" s="87"/>
      <c r="AB615" s="87"/>
      <c r="AC615" s="93" t="s">
        <v>11457</v>
      </c>
      <c r="AD615" s="87" t="s">
        <v>11519</v>
      </c>
      <c r="AE615" s="92" t="str">
        <f>HYPERLINK("https://twitter.com/recebeaqui/status/1678539848682991617")</f>
        <v>https://twitter.com/recebeaqui/status/1678539848682991617</v>
      </c>
      <c r="AF615" s="90">
        <v>45117.959027777775</v>
      </c>
      <c r="AG615" s="99">
        <v>45117</v>
      </c>
      <c r="AH615" s="93" t="s">
        <v>12114</v>
      </c>
      <c r="AI615" s="87"/>
      <c r="AJ615" s="87"/>
      <c r="AK615" s="87"/>
      <c r="AL615" s="87"/>
      <c r="AM615" s="87"/>
      <c r="AN615" s="87"/>
      <c r="AO615" s="87"/>
      <c r="AP615" s="87"/>
      <c r="AQ615" s="87"/>
      <c r="AR615" s="87"/>
      <c r="AS615" s="87"/>
      <c r="AT615" s="87"/>
      <c r="AU615" s="87"/>
      <c r="AV615" s="92" t="str">
        <f>HYPERLINK("https://pbs.twimg.com/profile_images/1655595018537558017/OSWRMYCJ_normal.jpg")</f>
        <v>https://pbs.twimg.com/profile_images/1655595018537558017/OSWRMYCJ_normal.jpg</v>
      </c>
      <c r="AW615" s="93" t="s">
        <v>18865</v>
      </c>
      <c r="AX615" s="93" t="s">
        <v>18865</v>
      </c>
      <c r="AY615" s="87"/>
      <c r="AZ615" s="93" t="s">
        <v>22668</v>
      </c>
      <c r="BA615" s="93" t="s">
        <v>22668</v>
      </c>
      <c r="BB615" s="93" t="s">
        <v>22668</v>
      </c>
      <c r="BC615" s="93" t="s">
        <v>18865</v>
      </c>
      <c r="BD615" s="93" t="s">
        <v>22922</v>
      </c>
      <c r="BE615" s="87"/>
      <c r="BF615" s="87"/>
      <c r="BG615" s="87"/>
      <c r="BH615" s="87"/>
      <c r="BI615" s="87"/>
    </row>
    <row r="616" spans="1:61" x14ac:dyDescent="0.25">
      <c r="A616" s="63" t="s">
        <v>441</v>
      </c>
      <c r="B616" s="63" t="s">
        <v>441</v>
      </c>
      <c r="C616" s="64"/>
      <c r="D616" s="65"/>
      <c r="E616" s="66"/>
      <c r="F616" s="67"/>
      <c r="G616" s="64"/>
      <c r="H616" s="68"/>
      <c r="I616" s="69"/>
      <c r="J616" s="69"/>
      <c r="K616" s="32"/>
      <c r="L616" s="76">
        <v>616</v>
      </c>
      <c r="M616" s="76"/>
      <c r="N616" s="71"/>
      <c r="O616" s="87" t="s">
        <v>179</v>
      </c>
      <c r="P616" s="90">
        <v>45163.510416666664</v>
      </c>
      <c r="Q616" s="87" t="s">
        <v>2443</v>
      </c>
      <c r="R616" s="87">
        <v>0</v>
      </c>
      <c r="S616" s="87">
        <v>0</v>
      </c>
      <c r="T616" s="87">
        <v>0</v>
      </c>
      <c r="U616" s="87">
        <v>0</v>
      </c>
      <c r="V616" s="87">
        <v>2</v>
      </c>
      <c r="W616" s="93" t="s">
        <v>6267</v>
      </c>
      <c r="X616" s="87"/>
      <c r="Y616" s="87"/>
      <c r="Z616" s="87"/>
      <c r="AA616" s="87"/>
      <c r="AB616" s="87"/>
      <c r="AC616" s="93" t="s">
        <v>11457</v>
      </c>
      <c r="AD616" s="87" t="s">
        <v>11519</v>
      </c>
      <c r="AE616" s="92" t="str">
        <f>HYPERLINK("https://twitter.com/recebeaqui/status/1695047119093313544")</f>
        <v>https://twitter.com/recebeaqui/status/1695047119093313544</v>
      </c>
      <c r="AF616" s="90">
        <v>45163.510416666664</v>
      </c>
      <c r="AG616" s="99">
        <v>45163</v>
      </c>
      <c r="AH616" s="93" t="s">
        <v>12115</v>
      </c>
      <c r="AI616" s="87"/>
      <c r="AJ616" s="87"/>
      <c r="AK616" s="87"/>
      <c r="AL616" s="87"/>
      <c r="AM616" s="87"/>
      <c r="AN616" s="87"/>
      <c r="AO616" s="87"/>
      <c r="AP616" s="87"/>
      <c r="AQ616" s="87"/>
      <c r="AR616" s="87"/>
      <c r="AS616" s="87"/>
      <c r="AT616" s="87"/>
      <c r="AU616" s="87"/>
      <c r="AV616" s="92" t="str">
        <f>HYPERLINK("https://pbs.twimg.com/profile_images/1655595018537558017/OSWRMYCJ_normal.jpg")</f>
        <v>https://pbs.twimg.com/profile_images/1655595018537558017/OSWRMYCJ_normal.jpg</v>
      </c>
      <c r="AW616" s="93" t="s">
        <v>18866</v>
      </c>
      <c r="AX616" s="93" t="s">
        <v>18866</v>
      </c>
      <c r="AY616" s="87"/>
      <c r="AZ616" s="93" t="s">
        <v>22668</v>
      </c>
      <c r="BA616" s="93" t="s">
        <v>22668</v>
      </c>
      <c r="BB616" s="93" t="s">
        <v>22668</v>
      </c>
      <c r="BC616" s="93" t="s">
        <v>18866</v>
      </c>
      <c r="BD616" s="93" t="s">
        <v>22922</v>
      </c>
      <c r="BE616" s="87"/>
      <c r="BF616" s="87"/>
      <c r="BG616" s="87"/>
      <c r="BH616" s="87"/>
      <c r="BI616" s="87"/>
    </row>
    <row r="617" spans="1:61" x14ac:dyDescent="0.25">
      <c r="A617" s="63" t="s">
        <v>441</v>
      </c>
      <c r="B617" s="63" t="s">
        <v>441</v>
      </c>
      <c r="C617" s="64"/>
      <c r="D617" s="65"/>
      <c r="E617" s="66"/>
      <c r="F617" s="67"/>
      <c r="G617" s="64"/>
      <c r="H617" s="68"/>
      <c r="I617" s="69"/>
      <c r="J617" s="69"/>
      <c r="K617" s="32"/>
      <c r="L617" s="76">
        <v>617</v>
      </c>
      <c r="M617" s="76"/>
      <c r="N617" s="71"/>
      <c r="O617" s="87" t="s">
        <v>179</v>
      </c>
      <c r="P617" s="90">
        <v>45137.813888888886</v>
      </c>
      <c r="Q617" s="87" t="s">
        <v>2444</v>
      </c>
      <c r="R617" s="87">
        <v>0</v>
      </c>
      <c r="S617" s="87">
        <v>0</v>
      </c>
      <c r="T617" s="87">
        <v>0</v>
      </c>
      <c r="U617" s="87">
        <v>0</v>
      </c>
      <c r="V617" s="87">
        <v>15</v>
      </c>
      <c r="W617" s="93" t="s">
        <v>6267</v>
      </c>
      <c r="X617" s="87"/>
      <c r="Y617" s="87"/>
      <c r="Z617" s="87"/>
      <c r="AA617" s="87"/>
      <c r="AB617" s="87"/>
      <c r="AC617" s="93" t="s">
        <v>11457</v>
      </c>
      <c r="AD617" s="87" t="s">
        <v>11519</v>
      </c>
      <c r="AE617" s="92" t="str">
        <f>HYPERLINK("https://twitter.com/recebeaqui/status/1685735008911421440")</f>
        <v>https://twitter.com/recebeaqui/status/1685735008911421440</v>
      </c>
      <c r="AF617" s="90">
        <v>45137.813888888886</v>
      </c>
      <c r="AG617" s="99">
        <v>45137</v>
      </c>
      <c r="AH617" s="93" t="s">
        <v>12116</v>
      </c>
      <c r="AI617" s="87"/>
      <c r="AJ617" s="87"/>
      <c r="AK617" s="87"/>
      <c r="AL617" s="87"/>
      <c r="AM617" s="87"/>
      <c r="AN617" s="87"/>
      <c r="AO617" s="87"/>
      <c r="AP617" s="87"/>
      <c r="AQ617" s="87"/>
      <c r="AR617" s="87"/>
      <c r="AS617" s="87"/>
      <c r="AT617" s="87"/>
      <c r="AU617" s="87"/>
      <c r="AV617" s="92" t="str">
        <f>HYPERLINK("https://pbs.twimg.com/profile_images/1655595018537558017/OSWRMYCJ_normal.jpg")</f>
        <v>https://pbs.twimg.com/profile_images/1655595018537558017/OSWRMYCJ_normal.jpg</v>
      </c>
      <c r="AW617" s="93" t="s">
        <v>18867</v>
      </c>
      <c r="AX617" s="93" t="s">
        <v>18867</v>
      </c>
      <c r="AY617" s="87"/>
      <c r="AZ617" s="93" t="s">
        <v>22668</v>
      </c>
      <c r="BA617" s="93" t="s">
        <v>22668</v>
      </c>
      <c r="BB617" s="93" t="s">
        <v>22668</v>
      </c>
      <c r="BC617" s="93" t="s">
        <v>18867</v>
      </c>
      <c r="BD617" s="93" t="s">
        <v>22922</v>
      </c>
      <c r="BE617" s="87"/>
      <c r="BF617" s="87"/>
      <c r="BG617" s="87"/>
      <c r="BH617" s="87"/>
      <c r="BI617" s="87"/>
    </row>
    <row r="618" spans="1:61" x14ac:dyDescent="0.25">
      <c r="A618" s="63" t="s">
        <v>441</v>
      </c>
      <c r="B618" s="63" t="s">
        <v>441</v>
      </c>
      <c r="C618" s="64"/>
      <c r="D618" s="65"/>
      <c r="E618" s="66"/>
      <c r="F618" s="67"/>
      <c r="G618" s="64"/>
      <c r="H618" s="68"/>
      <c r="I618" s="69"/>
      <c r="J618" s="69"/>
      <c r="K618" s="32"/>
      <c r="L618" s="76">
        <v>618</v>
      </c>
      <c r="M618" s="76"/>
      <c r="N618" s="71"/>
      <c r="O618" s="87" t="s">
        <v>179</v>
      </c>
      <c r="P618" s="90">
        <v>45137.020833333336</v>
      </c>
      <c r="Q618" s="87" t="s">
        <v>2445</v>
      </c>
      <c r="R618" s="87">
        <v>0</v>
      </c>
      <c r="S618" s="87">
        <v>0</v>
      </c>
      <c r="T618" s="87">
        <v>0</v>
      </c>
      <c r="U618" s="87">
        <v>0</v>
      </c>
      <c r="V618" s="87">
        <v>1</v>
      </c>
      <c r="W618" s="93" t="s">
        <v>6270</v>
      </c>
      <c r="X618" s="87"/>
      <c r="Y618" s="87"/>
      <c r="Z618" s="87"/>
      <c r="AA618" s="87"/>
      <c r="AB618" s="87"/>
      <c r="AC618" s="93" t="s">
        <v>11457</v>
      </c>
      <c r="AD618" s="87" t="s">
        <v>11519</v>
      </c>
      <c r="AE618" s="92" t="str">
        <f>HYPERLINK("https://twitter.com/recebeaqui/status/1685447614953644032")</f>
        <v>https://twitter.com/recebeaqui/status/1685447614953644032</v>
      </c>
      <c r="AF618" s="90">
        <v>45137.020833333336</v>
      </c>
      <c r="AG618" s="99">
        <v>45137</v>
      </c>
      <c r="AH618" s="93" t="s">
        <v>12117</v>
      </c>
      <c r="AI618" s="87"/>
      <c r="AJ618" s="87"/>
      <c r="AK618" s="87"/>
      <c r="AL618" s="87"/>
      <c r="AM618" s="87"/>
      <c r="AN618" s="87"/>
      <c r="AO618" s="87"/>
      <c r="AP618" s="87"/>
      <c r="AQ618" s="87"/>
      <c r="AR618" s="87"/>
      <c r="AS618" s="87"/>
      <c r="AT618" s="87"/>
      <c r="AU618" s="87"/>
      <c r="AV618" s="92" t="str">
        <f>HYPERLINK("https://pbs.twimg.com/profile_images/1655595018537558017/OSWRMYCJ_normal.jpg")</f>
        <v>https://pbs.twimg.com/profile_images/1655595018537558017/OSWRMYCJ_normal.jpg</v>
      </c>
      <c r="AW618" s="93" t="s">
        <v>18868</v>
      </c>
      <c r="AX618" s="93" t="s">
        <v>18868</v>
      </c>
      <c r="AY618" s="87"/>
      <c r="AZ618" s="93" t="s">
        <v>22668</v>
      </c>
      <c r="BA618" s="93" t="s">
        <v>22668</v>
      </c>
      <c r="BB618" s="93" t="s">
        <v>22668</v>
      </c>
      <c r="BC618" s="93" t="s">
        <v>18868</v>
      </c>
      <c r="BD618" s="93" t="s">
        <v>22922</v>
      </c>
      <c r="BE618" s="87"/>
      <c r="BF618" s="87"/>
      <c r="BG618" s="87"/>
      <c r="BH618" s="87"/>
      <c r="BI618" s="87"/>
    </row>
    <row r="619" spans="1:61" x14ac:dyDescent="0.25">
      <c r="A619" s="63" t="s">
        <v>441</v>
      </c>
      <c r="B619" s="63" t="s">
        <v>441</v>
      </c>
      <c r="C619" s="64"/>
      <c r="D619" s="65"/>
      <c r="E619" s="66"/>
      <c r="F619" s="67"/>
      <c r="G619" s="64"/>
      <c r="H619" s="68"/>
      <c r="I619" s="69"/>
      <c r="J619" s="69"/>
      <c r="K619" s="32"/>
      <c r="L619" s="76">
        <v>619</v>
      </c>
      <c r="M619" s="76"/>
      <c r="N619" s="71"/>
      <c r="O619" s="87" t="s">
        <v>179</v>
      </c>
      <c r="P619" s="90">
        <v>45121.755555555559</v>
      </c>
      <c r="Q619" s="87" t="s">
        <v>2446</v>
      </c>
      <c r="R619" s="87">
        <v>0</v>
      </c>
      <c r="S619" s="87">
        <v>0</v>
      </c>
      <c r="T619" s="87">
        <v>0</v>
      </c>
      <c r="U619" s="87">
        <v>0</v>
      </c>
      <c r="V619" s="87">
        <v>7</v>
      </c>
      <c r="W619" s="93" t="s">
        <v>6267</v>
      </c>
      <c r="X619" s="92" t="str">
        <f>HYPERLINK("http://recebeaqui.com")</f>
        <v>http://recebeaqui.com</v>
      </c>
      <c r="Y619" s="87" t="s">
        <v>8405</v>
      </c>
      <c r="Z619" s="87"/>
      <c r="AA619" s="87"/>
      <c r="AB619" s="87"/>
      <c r="AC619" s="93" t="s">
        <v>11457</v>
      </c>
      <c r="AD619" s="87" t="s">
        <v>11519</v>
      </c>
      <c r="AE619" s="92" t="str">
        <f>HYPERLINK("https://twitter.com/recebeaqui/status/1679915663870001153")</f>
        <v>https://twitter.com/recebeaqui/status/1679915663870001153</v>
      </c>
      <c r="AF619" s="90">
        <v>45121.755555555559</v>
      </c>
      <c r="AG619" s="99">
        <v>45121</v>
      </c>
      <c r="AH619" s="93" t="s">
        <v>12118</v>
      </c>
      <c r="AI619" s="87" t="b">
        <v>0</v>
      </c>
      <c r="AJ619" s="87"/>
      <c r="AK619" s="87"/>
      <c r="AL619" s="87"/>
      <c r="AM619" s="87"/>
      <c r="AN619" s="87"/>
      <c r="AO619" s="87"/>
      <c r="AP619" s="87"/>
      <c r="AQ619" s="87"/>
      <c r="AR619" s="87"/>
      <c r="AS619" s="87"/>
      <c r="AT619" s="87"/>
      <c r="AU619" s="87"/>
      <c r="AV619" s="92" t="str">
        <f>HYPERLINK("https://pbs.twimg.com/profile_images/1655595018537558017/OSWRMYCJ_normal.jpg")</f>
        <v>https://pbs.twimg.com/profile_images/1655595018537558017/OSWRMYCJ_normal.jpg</v>
      </c>
      <c r="AW619" s="93" t="s">
        <v>18869</v>
      </c>
      <c r="AX619" s="93" t="s">
        <v>18869</v>
      </c>
      <c r="AY619" s="87"/>
      <c r="AZ619" s="93" t="s">
        <v>22668</v>
      </c>
      <c r="BA619" s="93" t="s">
        <v>22668</v>
      </c>
      <c r="BB619" s="93" t="s">
        <v>22668</v>
      </c>
      <c r="BC619" s="93" t="s">
        <v>18869</v>
      </c>
      <c r="BD619" s="93" t="s">
        <v>22922</v>
      </c>
      <c r="BE619" s="87"/>
      <c r="BF619" s="87"/>
      <c r="BG619" s="87"/>
      <c r="BH619" s="87"/>
      <c r="BI619" s="87"/>
    </row>
    <row r="620" spans="1:61" x14ac:dyDescent="0.25">
      <c r="A620" s="63" t="s">
        <v>441</v>
      </c>
      <c r="B620" s="63" t="s">
        <v>441</v>
      </c>
      <c r="C620" s="64"/>
      <c r="D620" s="65"/>
      <c r="E620" s="66"/>
      <c r="F620" s="67"/>
      <c r="G620" s="64"/>
      <c r="H620" s="68"/>
      <c r="I620" s="69"/>
      <c r="J620" s="69"/>
      <c r="K620" s="32"/>
      <c r="L620" s="76">
        <v>620</v>
      </c>
      <c r="M620" s="76"/>
      <c r="N620" s="71"/>
      <c r="O620" s="87" t="s">
        <v>179</v>
      </c>
      <c r="P620" s="90">
        <v>45120.921527777777</v>
      </c>
      <c r="Q620" s="87" t="s">
        <v>2447</v>
      </c>
      <c r="R620" s="87">
        <v>0</v>
      </c>
      <c r="S620" s="87">
        <v>0</v>
      </c>
      <c r="T620" s="87">
        <v>0</v>
      </c>
      <c r="U620" s="87">
        <v>0</v>
      </c>
      <c r="V620" s="87">
        <v>6</v>
      </c>
      <c r="W620" s="93" t="s">
        <v>6267</v>
      </c>
      <c r="X620" s="87"/>
      <c r="Y620" s="87"/>
      <c r="Z620" s="87"/>
      <c r="AA620" s="87"/>
      <c r="AB620" s="87"/>
      <c r="AC620" s="93" t="s">
        <v>11457</v>
      </c>
      <c r="AD620" s="87" t="s">
        <v>11519</v>
      </c>
      <c r="AE620" s="92" t="str">
        <f>HYPERLINK("https://twitter.com/recebeaqui/status/1679613422386950144")</f>
        <v>https://twitter.com/recebeaqui/status/1679613422386950144</v>
      </c>
      <c r="AF620" s="90">
        <v>45120.921527777777</v>
      </c>
      <c r="AG620" s="99">
        <v>45120</v>
      </c>
      <c r="AH620" s="93" t="s">
        <v>12119</v>
      </c>
      <c r="AI620" s="87"/>
      <c r="AJ620" s="87"/>
      <c r="AK620" s="87"/>
      <c r="AL620" s="87"/>
      <c r="AM620" s="87"/>
      <c r="AN620" s="87"/>
      <c r="AO620" s="87"/>
      <c r="AP620" s="87"/>
      <c r="AQ620" s="87"/>
      <c r="AR620" s="87"/>
      <c r="AS620" s="87"/>
      <c r="AT620" s="87"/>
      <c r="AU620" s="87"/>
      <c r="AV620" s="92" t="str">
        <f>HYPERLINK("https://pbs.twimg.com/profile_images/1655595018537558017/OSWRMYCJ_normal.jpg")</f>
        <v>https://pbs.twimg.com/profile_images/1655595018537558017/OSWRMYCJ_normal.jpg</v>
      </c>
      <c r="AW620" s="93" t="s">
        <v>18870</v>
      </c>
      <c r="AX620" s="93" t="s">
        <v>18870</v>
      </c>
      <c r="AY620" s="87"/>
      <c r="AZ620" s="93" t="s">
        <v>22668</v>
      </c>
      <c r="BA620" s="93" t="s">
        <v>22668</v>
      </c>
      <c r="BB620" s="93" t="s">
        <v>22668</v>
      </c>
      <c r="BC620" s="93" t="s">
        <v>18870</v>
      </c>
      <c r="BD620" s="93" t="s">
        <v>22922</v>
      </c>
      <c r="BE620" s="87"/>
      <c r="BF620" s="87"/>
      <c r="BG620" s="87"/>
      <c r="BH620" s="87"/>
      <c r="BI620" s="87"/>
    </row>
    <row r="621" spans="1:61" x14ac:dyDescent="0.25">
      <c r="A621" s="63" t="s">
        <v>441</v>
      </c>
      <c r="B621" s="63" t="s">
        <v>441</v>
      </c>
      <c r="C621" s="64"/>
      <c r="D621" s="65"/>
      <c r="E621" s="66"/>
      <c r="F621" s="67"/>
      <c r="G621" s="64"/>
      <c r="H621" s="68"/>
      <c r="I621" s="69"/>
      <c r="J621" s="69"/>
      <c r="K621" s="32"/>
      <c r="L621" s="76">
        <v>621</v>
      </c>
      <c r="M621" s="76"/>
      <c r="N621" s="71"/>
      <c r="O621" s="87" t="s">
        <v>179</v>
      </c>
      <c r="P621" s="90">
        <v>45120.587500000001</v>
      </c>
      <c r="Q621" s="87" t="s">
        <v>2448</v>
      </c>
      <c r="R621" s="87">
        <v>0</v>
      </c>
      <c r="S621" s="87">
        <v>0</v>
      </c>
      <c r="T621" s="87">
        <v>0</v>
      </c>
      <c r="U621" s="87">
        <v>0</v>
      </c>
      <c r="V621" s="87">
        <v>4</v>
      </c>
      <c r="W621" s="93" t="s">
        <v>5897</v>
      </c>
      <c r="X621" s="87"/>
      <c r="Y621" s="87"/>
      <c r="Z621" s="87"/>
      <c r="AA621" s="87" t="s">
        <v>9039</v>
      </c>
      <c r="AB621" s="87" t="s">
        <v>11452</v>
      </c>
      <c r="AC621" s="93" t="s">
        <v>11457</v>
      </c>
      <c r="AD621" s="87" t="s">
        <v>11519</v>
      </c>
      <c r="AE621" s="92" t="str">
        <f>HYPERLINK("https://twitter.com/recebeaqui/status/1679492374542557186")</f>
        <v>https://twitter.com/recebeaqui/status/1679492374542557186</v>
      </c>
      <c r="AF621" s="90">
        <v>45120.587500000001</v>
      </c>
      <c r="AG621" s="99">
        <v>45120</v>
      </c>
      <c r="AH621" s="93" t="s">
        <v>12120</v>
      </c>
      <c r="AI621" s="87" t="b">
        <v>0</v>
      </c>
      <c r="AJ621" s="87"/>
      <c r="AK621" s="87"/>
      <c r="AL621" s="87"/>
      <c r="AM621" s="87"/>
      <c r="AN621" s="87"/>
      <c r="AO621" s="87"/>
      <c r="AP621" s="87"/>
      <c r="AQ621" s="87" t="s">
        <v>15852</v>
      </c>
      <c r="AR621" s="87"/>
      <c r="AS621" s="87"/>
      <c r="AT621" s="87"/>
      <c r="AU621" s="87"/>
      <c r="AV621" s="92" t="str">
        <f>HYPERLINK("https://pbs.twimg.com/tweet_video_thumb/Fz5XSS-XoAI-AFG.jpg")</f>
        <v>https://pbs.twimg.com/tweet_video_thumb/Fz5XSS-XoAI-AFG.jpg</v>
      </c>
      <c r="AW621" s="93" t="s">
        <v>18871</v>
      </c>
      <c r="AX621" s="93" t="s">
        <v>18871</v>
      </c>
      <c r="AY621" s="87"/>
      <c r="AZ621" s="93" t="s">
        <v>22668</v>
      </c>
      <c r="BA621" s="93" t="s">
        <v>22668</v>
      </c>
      <c r="BB621" s="93" t="s">
        <v>22668</v>
      </c>
      <c r="BC621" s="93" t="s">
        <v>18871</v>
      </c>
      <c r="BD621" s="93" t="s">
        <v>22922</v>
      </c>
      <c r="BE621" s="87"/>
      <c r="BF621" s="87"/>
      <c r="BG621" s="87"/>
      <c r="BH621" s="87"/>
      <c r="BI621" s="87"/>
    </row>
    <row r="622" spans="1:61" x14ac:dyDescent="0.25">
      <c r="A622" s="63" t="s">
        <v>441</v>
      </c>
      <c r="B622" s="63" t="s">
        <v>441</v>
      </c>
      <c r="C622" s="64"/>
      <c r="D622" s="65"/>
      <c r="E622" s="66"/>
      <c r="F622" s="67"/>
      <c r="G622" s="64"/>
      <c r="H622" s="68"/>
      <c r="I622" s="69"/>
      <c r="J622" s="69"/>
      <c r="K622" s="32"/>
      <c r="L622" s="76">
        <v>622</v>
      </c>
      <c r="M622" s="76"/>
      <c r="N622" s="71"/>
      <c r="O622" s="87" t="s">
        <v>179</v>
      </c>
      <c r="P622" s="90">
        <v>45176.786111111112</v>
      </c>
      <c r="Q622" s="87" t="s">
        <v>2449</v>
      </c>
      <c r="R622" s="87">
        <v>0</v>
      </c>
      <c r="S622" s="87">
        <v>0</v>
      </c>
      <c r="T622" s="87">
        <v>0</v>
      </c>
      <c r="U622" s="87">
        <v>0</v>
      </c>
      <c r="V622" s="87">
        <v>2</v>
      </c>
      <c r="W622" s="93" t="s">
        <v>6271</v>
      </c>
      <c r="X622" s="87"/>
      <c r="Y622" s="87"/>
      <c r="Z622" s="87"/>
      <c r="AA622" s="87"/>
      <c r="AB622" s="87"/>
      <c r="AC622" s="93" t="s">
        <v>11457</v>
      </c>
      <c r="AD622" s="87" t="s">
        <v>11519</v>
      </c>
      <c r="AE622" s="92" t="str">
        <f>HYPERLINK("https://twitter.com/recebeaqui/status/1699858069205971309")</f>
        <v>https://twitter.com/recebeaqui/status/1699858069205971309</v>
      </c>
      <c r="AF622" s="90">
        <v>45176.786111111112</v>
      </c>
      <c r="AG622" s="99">
        <v>45176</v>
      </c>
      <c r="AH622" s="93" t="s">
        <v>12121</v>
      </c>
      <c r="AI622" s="87"/>
      <c r="AJ622" s="87"/>
      <c r="AK622" s="87"/>
      <c r="AL622" s="87"/>
      <c r="AM622" s="87"/>
      <c r="AN622" s="87"/>
      <c r="AO622" s="87"/>
      <c r="AP622" s="87"/>
      <c r="AQ622" s="87"/>
      <c r="AR622" s="87"/>
      <c r="AS622" s="87"/>
      <c r="AT622" s="87"/>
      <c r="AU622" s="87"/>
      <c r="AV622" s="92" t="str">
        <f>HYPERLINK("https://pbs.twimg.com/profile_images/1655595018537558017/OSWRMYCJ_normal.jpg")</f>
        <v>https://pbs.twimg.com/profile_images/1655595018537558017/OSWRMYCJ_normal.jpg</v>
      </c>
      <c r="AW622" s="93" t="s">
        <v>18872</v>
      </c>
      <c r="AX622" s="93" t="s">
        <v>18872</v>
      </c>
      <c r="AY622" s="87"/>
      <c r="AZ622" s="93" t="s">
        <v>22668</v>
      </c>
      <c r="BA622" s="93" t="s">
        <v>22668</v>
      </c>
      <c r="BB622" s="93" t="s">
        <v>22668</v>
      </c>
      <c r="BC622" s="93" t="s">
        <v>18872</v>
      </c>
      <c r="BD622" s="93" t="s">
        <v>22922</v>
      </c>
      <c r="BE622" s="87"/>
      <c r="BF622" s="87"/>
      <c r="BG622" s="87"/>
      <c r="BH622" s="87"/>
      <c r="BI622" s="87"/>
    </row>
    <row r="623" spans="1:61" x14ac:dyDescent="0.25">
      <c r="A623" s="63" t="s">
        <v>441</v>
      </c>
      <c r="B623" s="63" t="s">
        <v>441</v>
      </c>
      <c r="C623" s="64"/>
      <c r="D623" s="65"/>
      <c r="E623" s="66"/>
      <c r="F623" s="67"/>
      <c r="G623" s="64"/>
      <c r="H623" s="68"/>
      <c r="I623" s="69"/>
      <c r="J623" s="69"/>
      <c r="K623" s="32"/>
      <c r="L623" s="76">
        <v>623</v>
      </c>
      <c r="M623" s="76"/>
      <c r="N623" s="71"/>
      <c r="O623" s="87" t="s">
        <v>179</v>
      </c>
      <c r="P623" s="90">
        <v>45154.752083333333</v>
      </c>
      <c r="Q623" s="87" t="s">
        <v>2450</v>
      </c>
      <c r="R623" s="87">
        <v>0</v>
      </c>
      <c r="S623" s="87">
        <v>0</v>
      </c>
      <c r="T623" s="87">
        <v>0</v>
      </c>
      <c r="U623" s="87">
        <v>0</v>
      </c>
      <c r="V623" s="87"/>
      <c r="W623" s="93" t="s">
        <v>6272</v>
      </c>
      <c r="X623" s="87"/>
      <c r="Y623" s="87"/>
      <c r="Z623" s="87"/>
      <c r="AA623" s="87" t="s">
        <v>9040</v>
      </c>
      <c r="AB623" s="87" t="s">
        <v>11452</v>
      </c>
      <c r="AC623" s="93" t="s">
        <v>11457</v>
      </c>
      <c r="AD623" s="87" t="s">
        <v>11519</v>
      </c>
      <c r="AE623" s="92" t="str">
        <f>HYPERLINK("https://twitter.com/recebeaqui/status/1691873205189792047")</f>
        <v>https://twitter.com/recebeaqui/status/1691873205189792047</v>
      </c>
      <c r="AF623" s="90">
        <v>45154.752083333333</v>
      </c>
      <c r="AG623" s="99">
        <v>45154</v>
      </c>
      <c r="AH623" s="93" t="s">
        <v>12122</v>
      </c>
      <c r="AI623" s="87" t="b">
        <v>0</v>
      </c>
      <c r="AJ623" s="87"/>
      <c r="AK623" s="87"/>
      <c r="AL623" s="87"/>
      <c r="AM623" s="87"/>
      <c r="AN623" s="87"/>
      <c r="AO623" s="87"/>
      <c r="AP623" s="87"/>
      <c r="AQ623" s="87" t="s">
        <v>15853</v>
      </c>
      <c r="AR623" s="87"/>
      <c r="AS623" s="87"/>
      <c r="AT623" s="87"/>
      <c r="AU623" s="87"/>
      <c r="AV623" s="92" t="str">
        <f>HYPERLINK("https://pbs.twimg.com/tweet_video_thumb/F1axRGAWwAkN120.jpg")</f>
        <v>https://pbs.twimg.com/tweet_video_thumb/F1axRGAWwAkN120.jpg</v>
      </c>
      <c r="AW623" s="93" t="s">
        <v>18873</v>
      </c>
      <c r="AX623" s="93" t="s">
        <v>18873</v>
      </c>
      <c r="AY623" s="87"/>
      <c r="AZ623" s="93" t="s">
        <v>22668</v>
      </c>
      <c r="BA623" s="93" t="s">
        <v>22668</v>
      </c>
      <c r="BB623" s="93" t="s">
        <v>22668</v>
      </c>
      <c r="BC623" s="93" t="s">
        <v>18873</v>
      </c>
      <c r="BD623" s="93" t="s">
        <v>22922</v>
      </c>
      <c r="BE623" s="87"/>
      <c r="BF623" s="87"/>
      <c r="BG623" s="87"/>
      <c r="BH623" s="87"/>
      <c r="BI623" s="87"/>
    </row>
    <row r="624" spans="1:61" x14ac:dyDescent="0.25">
      <c r="A624" s="63" t="s">
        <v>441</v>
      </c>
      <c r="B624" s="63" t="s">
        <v>441</v>
      </c>
      <c r="C624" s="64"/>
      <c r="D624" s="65"/>
      <c r="E624" s="66"/>
      <c r="F624" s="67"/>
      <c r="G624" s="64"/>
      <c r="H624" s="68"/>
      <c r="I624" s="69"/>
      <c r="J624" s="69"/>
      <c r="K624" s="32"/>
      <c r="L624" s="76">
        <v>624</v>
      </c>
      <c r="M624" s="76"/>
      <c r="N624" s="71"/>
      <c r="O624" s="87" t="s">
        <v>179</v>
      </c>
      <c r="P624" s="90">
        <v>45142.479166666664</v>
      </c>
      <c r="Q624" s="87" t="s">
        <v>2451</v>
      </c>
      <c r="R624" s="87">
        <v>0</v>
      </c>
      <c r="S624" s="87">
        <v>0</v>
      </c>
      <c r="T624" s="87">
        <v>0</v>
      </c>
      <c r="U624" s="87">
        <v>0</v>
      </c>
      <c r="V624" s="87">
        <v>1</v>
      </c>
      <c r="W624" s="93" t="s">
        <v>6267</v>
      </c>
      <c r="X624" s="87"/>
      <c r="Y624" s="87"/>
      <c r="Z624" s="87"/>
      <c r="AA624" s="87"/>
      <c r="AB624" s="87"/>
      <c r="AC624" s="93" t="s">
        <v>11457</v>
      </c>
      <c r="AD624" s="87" t="s">
        <v>11519</v>
      </c>
      <c r="AE624" s="92" t="str">
        <f>HYPERLINK("https://twitter.com/recebeaqui/status/1687425651308158976")</f>
        <v>https://twitter.com/recebeaqui/status/1687425651308158976</v>
      </c>
      <c r="AF624" s="90">
        <v>45142.479166666664</v>
      </c>
      <c r="AG624" s="99">
        <v>45142</v>
      </c>
      <c r="AH624" s="93" t="s">
        <v>12123</v>
      </c>
      <c r="AI624" s="87"/>
      <c r="AJ624" s="87"/>
      <c r="AK624" s="87"/>
      <c r="AL624" s="87"/>
      <c r="AM624" s="87"/>
      <c r="AN624" s="87"/>
      <c r="AO624" s="87"/>
      <c r="AP624" s="87"/>
      <c r="AQ624" s="87"/>
      <c r="AR624" s="87"/>
      <c r="AS624" s="87"/>
      <c r="AT624" s="87"/>
      <c r="AU624" s="87"/>
      <c r="AV624" s="92" t="str">
        <f>HYPERLINK("https://pbs.twimg.com/profile_images/1655595018537558017/OSWRMYCJ_normal.jpg")</f>
        <v>https://pbs.twimg.com/profile_images/1655595018537558017/OSWRMYCJ_normal.jpg</v>
      </c>
      <c r="AW624" s="93" t="s">
        <v>18874</v>
      </c>
      <c r="AX624" s="93" t="s">
        <v>18874</v>
      </c>
      <c r="AY624" s="87"/>
      <c r="AZ624" s="93" t="s">
        <v>22668</v>
      </c>
      <c r="BA624" s="93" t="s">
        <v>22668</v>
      </c>
      <c r="BB624" s="93" t="s">
        <v>22668</v>
      </c>
      <c r="BC624" s="93" t="s">
        <v>18874</v>
      </c>
      <c r="BD624" s="93" t="s">
        <v>22922</v>
      </c>
      <c r="BE624" s="87"/>
      <c r="BF624" s="87"/>
      <c r="BG624" s="87"/>
      <c r="BH624" s="87"/>
      <c r="BI624" s="87"/>
    </row>
    <row r="625" spans="1:61" x14ac:dyDescent="0.25">
      <c r="A625" s="63" t="s">
        <v>441</v>
      </c>
      <c r="B625" s="63" t="s">
        <v>441</v>
      </c>
      <c r="C625" s="64"/>
      <c r="D625" s="65"/>
      <c r="E625" s="66"/>
      <c r="F625" s="67"/>
      <c r="G625" s="64"/>
      <c r="H625" s="68"/>
      <c r="I625" s="69"/>
      <c r="J625" s="69"/>
      <c r="K625" s="32"/>
      <c r="L625" s="76">
        <v>625</v>
      </c>
      <c r="M625" s="76"/>
      <c r="N625" s="71"/>
      <c r="O625" s="87" t="s">
        <v>179</v>
      </c>
      <c r="P625" s="90">
        <v>45113.993750000001</v>
      </c>
      <c r="Q625" s="87" t="s">
        <v>2452</v>
      </c>
      <c r="R625" s="87">
        <v>0</v>
      </c>
      <c r="S625" s="87">
        <v>0</v>
      </c>
      <c r="T625" s="87">
        <v>0</v>
      </c>
      <c r="U625" s="87">
        <v>0</v>
      </c>
      <c r="V625" s="87">
        <v>8</v>
      </c>
      <c r="W625" s="93" t="s">
        <v>6267</v>
      </c>
      <c r="X625" s="87"/>
      <c r="Y625" s="87"/>
      <c r="Z625" s="87"/>
      <c r="AA625" s="87"/>
      <c r="AB625" s="87"/>
      <c r="AC625" s="93" t="s">
        <v>11457</v>
      </c>
      <c r="AD625" s="87" t="s">
        <v>11519</v>
      </c>
      <c r="AE625" s="92" t="str">
        <f>HYPERLINK("https://twitter.com/recebeaqui/status/1677102879407222784")</f>
        <v>https://twitter.com/recebeaqui/status/1677102879407222784</v>
      </c>
      <c r="AF625" s="90">
        <v>45113.993750000001</v>
      </c>
      <c r="AG625" s="99">
        <v>45113</v>
      </c>
      <c r="AH625" s="93" t="s">
        <v>12124</v>
      </c>
      <c r="AI625" s="87"/>
      <c r="AJ625" s="87"/>
      <c r="AK625" s="87"/>
      <c r="AL625" s="87"/>
      <c r="AM625" s="87"/>
      <c r="AN625" s="87"/>
      <c r="AO625" s="87"/>
      <c r="AP625" s="87"/>
      <c r="AQ625" s="87"/>
      <c r="AR625" s="87"/>
      <c r="AS625" s="87"/>
      <c r="AT625" s="87"/>
      <c r="AU625" s="87"/>
      <c r="AV625" s="92" t="str">
        <f>HYPERLINK("https://pbs.twimg.com/profile_images/1655595018537558017/OSWRMYCJ_normal.jpg")</f>
        <v>https://pbs.twimg.com/profile_images/1655595018537558017/OSWRMYCJ_normal.jpg</v>
      </c>
      <c r="AW625" s="93" t="s">
        <v>18875</v>
      </c>
      <c r="AX625" s="93" t="s">
        <v>18875</v>
      </c>
      <c r="AY625" s="87"/>
      <c r="AZ625" s="93" t="s">
        <v>22668</v>
      </c>
      <c r="BA625" s="93" t="s">
        <v>22668</v>
      </c>
      <c r="BB625" s="93" t="s">
        <v>22668</v>
      </c>
      <c r="BC625" s="93" t="s">
        <v>18875</v>
      </c>
      <c r="BD625" s="93" t="s">
        <v>22922</v>
      </c>
      <c r="BE625" s="87"/>
      <c r="BF625" s="87"/>
      <c r="BG625" s="87"/>
      <c r="BH625" s="87"/>
      <c r="BI625" s="87"/>
    </row>
    <row r="626" spans="1:61" x14ac:dyDescent="0.25">
      <c r="A626" s="63" t="s">
        <v>441</v>
      </c>
      <c r="B626" s="63" t="s">
        <v>441</v>
      </c>
      <c r="C626" s="64"/>
      <c r="D626" s="65"/>
      <c r="E626" s="66"/>
      <c r="F626" s="67"/>
      <c r="G626" s="64"/>
      <c r="H626" s="68"/>
      <c r="I626" s="69"/>
      <c r="J626" s="69"/>
      <c r="K626" s="32"/>
      <c r="L626" s="76">
        <v>626</v>
      </c>
      <c r="M626" s="76"/>
      <c r="N626" s="71"/>
      <c r="O626" s="87" t="s">
        <v>179</v>
      </c>
      <c r="P626" s="90">
        <v>45179.831250000003</v>
      </c>
      <c r="Q626" s="87" t="s">
        <v>2453</v>
      </c>
      <c r="R626" s="87">
        <v>0</v>
      </c>
      <c r="S626" s="87">
        <v>0</v>
      </c>
      <c r="T626" s="87">
        <v>0</v>
      </c>
      <c r="U626" s="87">
        <v>0</v>
      </c>
      <c r="V626" s="87"/>
      <c r="W626" s="93" t="s">
        <v>6267</v>
      </c>
      <c r="X626" s="87"/>
      <c r="Y626" s="87"/>
      <c r="Z626" s="87"/>
      <c r="AA626" s="87"/>
      <c r="AB626" s="87"/>
      <c r="AC626" s="93" t="s">
        <v>11457</v>
      </c>
      <c r="AD626" s="87" t="s">
        <v>11519</v>
      </c>
      <c r="AE626" s="92" t="str">
        <f>HYPERLINK("https://twitter.com/recebeaqui/status/1700961590710079802")</f>
        <v>https://twitter.com/recebeaqui/status/1700961590710079802</v>
      </c>
      <c r="AF626" s="90">
        <v>45179.831250000003</v>
      </c>
      <c r="AG626" s="99">
        <v>45179</v>
      </c>
      <c r="AH626" s="93" t="s">
        <v>12125</v>
      </c>
      <c r="AI626" s="87"/>
      <c r="AJ626" s="87"/>
      <c r="AK626" s="87"/>
      <c r="AL626" s="87"/>
      <c r="AM626" s="87"/>
      <c r="AN626" s="87"/>
      <c r="AO626" s="87"/>
      <c r="AP626" s="87"/>
      <c r="AQ626" s="87"/>
      <c r="AR626" s="87"/>
      <c r="AS626" s="87"/>
      <c r="AT626" s="87"/>
      <c r="AU626" s="87"/>
      <c r="AV626" s="92" t="str">
        <f>HYPERLINK("https://pbs.twimg.com/profile_images/1655595018537558017/OSWRMYCJ_normal.jpg")</f>
        <v>https://pbs.twimg.com/profile_images/1655595018537558017/OSWRMYCJ_normal.jpg</v>
      </c>
      <c r="AW626" s="93" t="s">
        <v>18876</v>
      </c>
      <c r="AX626" s="93" t="s">
        <v>18876</v>
      </c>
      <c r="AY626" s="87"/>
      <c r="AZ626" s="93" t="s">
        <v>22668</v>
      </c>
      <c r="BA626" s="93" t="s">
        <v>22668</v>
      </c>
      <c r="BB626" s="93" t="s">
        <v>22668</v>
      </c>
      <c r="BC626" s="93" t="s">
        <v>18876</v>
      </c>
      <c r="BD626" s="93" t="s">
        <v>22922</v>
      </c>
      <c r="BE626" s="87"/>
      <c r="BF626" s="87"/>
      <c r="BG626" s="87"/>
      <c r="BH626" s="87"/>
      <c r="BI626" s="87"/>
    </row>
    <row r="627" spans="1:61" x14ac:dyDescent="0.25">
      <c r="A627" s="63" t="s">
        <v>441</v>
      </c>
      <c r="B627" s="63" t="s">
        <v>441</v>
      </c>
      <c r="C627" s="64"/>
      <c r="D627" s="65"/>
      <c r="E627" s="66"/>
      <c r="F627" s="67"/>
      <c r="G627" s="64"/>
      <c r="H627" s="68"/>
      <c r="I627" s="69"/>
      <c r="J627" s="69"/>
      <c r="K627" s="32"/>
      <c r="L627" s="76">
        <v>627</v>
      </c>
      <c r="M627" s="76"/>
      <c r="N627" s="71"/>
      <c r="O627" s="87" t="s">
        <v>179</v>
      </c>
      <c r="P627" s="90">
        <v>45161.675694444442</v>
      </c>
      <c r="Q627" s="87" t="s">
        <v>2454</v>
      </c>
      <c r="R627" s="87">
        <v>0</v>
      </c>
      <c r="S627" s="87">
        <v>1</v>
      </c>
      <c r="T627" s="87">
        <v>0</v>
      </c>
      <c r="U627" s="87">
        <v>0</v>
      </c>
      <c r="V627" s="87">
        <v>4</v>
      </c>
      <c r="W627" s="93" t="s">
        <v>6267</v>
      </c>
      <c r="X627" s="87"/>
      <c r="Y627" s="87"/>
      <c r="Z627" s="87"/>
      <c r="AA627" s="87"/>
      <c r="AB627" s="87"/>
      <c r="AC627" s="93" t="s">
        <v>11457</v>
      </c>
      <c r="AD627" s="87" t="s">
        <v>11519</v>
      </c>
      <c r="AE627" s="92" t="str">
        <f>HYPERLINK("https://twitter.com/recebeaqui/status/1694382237708337322")</f>
        <v>https://twitter.com/recebeaqui/status/1694382237708337322</v>
      </c>
      <c r="AF627" s="90">
        <v>45161.675694444442</v>
      </c>
      <c r="AG627" s="99">
        <v>45161</v>
      </c>
      <c r="AH627" s="93" t="s">
        <v>12126</v>
      </c>
      <c r="AI627" s="87"/>
      <c r="AJ627" s="87"/>
      <c r="AK627" s="87"/>
      <c r="AL627" s="87"/>
      <c r="AM627" s="87"/>
      <c r="AN627" s="87"/>
      <c r="AO627" s="87"/>
      <c r="AP627" s="87"/>
      <c r="AQ627" s="87"/>
      <c r="AR627" s="87"/>
      <c r="AS627" s="87"/>
      <c r="AT627" s="87"/>
      <c r="AU627" s="87"/>
      <c r="AV627" s="92" t="str">
        <f>HYPERLINK("https://pbs.twimg.com/profile_images/1655595018537558017/OSWRMYCJ_normal.jpg")</f>
        <v>https://pbs.twimg.com/profile_images/1655595018537558017/OSWRMYCJ_normal.jpg</v>
      </c>
      <c r="AW627" s="93" t="s">
        <v>18877</v>
      </c>
      <c r="AX627" s="93" t="s">
        <v>18877</v>
      </c>
      <c r="AY627" s="87"/>
      <c r="AZ627" s="93" t="s">
        <v>22668</v>
      </c>
      <c r="BA627" s="93" t="s">
        <v>22668</v>
      </c>
      <c r="BB627" s="93" t="s">
        <v>22668</v>
      </c>
      <c r="BC627" s="93" t="s">
        <v>18877</v>
      </c>
      <c r="BD627" s="93" t="s">
        <v>22922</v>
      </c>
      <c r="BE627" s="87"/>
      <c r="BF627" s="87"/>
      <c r="BG627" s="87"/>
      <c r="BH627" s="87"/>
      <c r="BI627" s="87"/>
    </row>
    <row r="628" spans="1:61" x14ac:dyDescent="0.25">
      <c r="A628" s="63" t="s">
        <v>441</v>
      </c>
      <c r="B628" s="63" t="s">
        <v>441</v>
      </c>
      <c r="C628" s="64"/>
      <c r="D628" s="65"/>
      <c r="E628" s="66"/>
      <c r="F628" s="67"/>
      <c r="G628" s="64"/>
      <c r="H628" s="68"/>
      <c r="I628" s="69"/>
      <c r="J628" s="69"/>
      <c r="K628" s="32"/>
      <c r="L628" s="76">
        <v>628</v>
      </c>
      <c r="M628" s="76"/>
      <c r="N628" s="71"/>
      <c r="O628" s="87" t="s">
        <v>179</v>
      </c>
      <c r="P628" s="90">
        <v>45161.50277777778</v>
      </c>
      <c r="Q628" s="87" t="s">
        <v>2455</v>
      </c>
      <c r="R628" s="87">
        <v>0</v>
      </c>
      <c r="S628" s="87">
        <v>0</v>
      </c>
      <c r="T628" s="87">
        <v>0</v>
      </c>
      <c r="U628" s="87">
        <v>0</v>
      </c>
      <c r="V628" s="87"/>
      <c r="W628" s="93" t="s">
        <v>6273</v>
      </c>
      <c r="X628" s="87"/>
      <c r="Y628" s="87"/>
      <c r="Z628" s="87"/>
      <c r="AA628" s="87" t="s">
        <v>9041</v>
      </c>
      <c r="AB628" s="87" t="s">
        <v>11452</v>
      </c>
      <c r="AC628" s="93" t="s">
        <v>11457</v>
      </c>
      <c r="AD628" s="87" t="s">
        <v>11519</v>
      </c>
      <c r="AE628" s="92" t="str">
        <f>HYPERLINK("https://twitter.com/recebeaqui/status/1694319575100207191")</f>
        <v>https://twitter.com/recebeaqui/status/1694319575100207191</v>
      </c>
      <c r="AF628" s="90">
        <v>45161.50277777778</v>
      </c>
      <c r="AG628" s="99">
        <v>45161</v>
      </c>
      <c r="AH628" s="93" t="s">
        <v>12127</v>
      </c>
      <c r="AI628" s="87" t="b">
        <v>0</v>
      </c>
      <c r="AJ628" s="87"/>
      <c r="AK628" s="87"/>
      <c r="AL628" s="87"/>
      <c r="AM628" s="87"/>
      <c r="AN628" s="87"/>
      <c r="AO628" s="87"/>
      <c r="AP628" s="87"/>
      <c r="AQ628" s="87" t="s">
        <v>15854</v>
      </c>
      <c r="AR628" s="87"/>
      <c r="AS628" s="87"/>
      <c r="AT628" s="87"/>
      <c r="AU628" s="87"/>
      <c r="AV628" s="92" t="str">
        <f>HYPERLINK("https://pbs.twimg.com/tweet_video_thumb/F1axlo4WwAgtKlJ.jpg")</f>
        <v>https://pbs.twimg.com/tweet_video_thumb/F1axlo4WwAgtKlJ.jpg</v>
      </c>
      <c r="AW628" s="93" t="s">
        <v>18878</v>
      </c>
      <c r="AX628" s="93" t="s">
        <v>18878</v>
      </c>
      <c r="AY628" s="87"/>
      <c r="AZ628" s="93" t="s">
        <v>22668</v>
      </c>
      <c r="BA628" s="93" t="s">
        <v>22668</v>
      </c>
      <c r="BB628" s="93" t="s">
        <v>22668</v>
      </c>
      <c r="BC628" s="93" t="s">
        <v>18878</v>
      </c>
      <c r="BD628" s="93" t="s">
        <v>22922</v>
      </c>
      <c r="BE628" s="87"/>
      <c r="BF628" s="87"/>
      <c r="BG628" s="87"/>
      <c r="BH628" s="87"/>
      <c r="BI628" s="87"/>
    </row>
    <row r="629" spans="1:61" x14ac:dyDescent="0.25">
      <c r="A629" s="63" t="s">
        <v>441</v>
      </c>
      <c r="B629" s="63" t="s">
        <v>441</v>
      </c>
      <c r="C629" s="64"/>
      <c r="D629" s="65"/>
      <c r="E629" s="66"/>
      <c r="F629" s="67"/>
      <c r="G629" s="64"/>
      <c r="H629" s="68"/>
      <c r="I629" s="69"/>
      <c r="J629" s="69"/>
      <c r="K629" s="32"/>
      <c r="L629" s="76">
        <v>629</v>
      </c>
      <c r="M629" s="76"/>
      <c r="N629" s="71"/>
      <c r="O629" s="87" t="s">
        <v>179</v>
      </c>
      <c r="P629" s="90">
        <v>45189.509027777778</v>
      </c>
      <c r="Q629" s="87" t="s">
        <v>2456</v>
      </c>
      <c r="R629" s="87">
        <v>0</v>
      </c>
      <c r="S629" s="87">
        <v>0</v>
      </c>
      <c r="T629" s="87">
        <v>0</v>
      </c>
      <c r="U629" s="87">
        <v>0</v>
      </c>
      <c r="V629" s="87"/>
      <c r="W629" s="93" t="s">
        <v>6267</v>
      </c>
      <c r="X629" s="87"/>
      <c r="Y629" s="87"/>
      <c r="Z629" s="87"/>
      <c r="AA629" s="87"/>
      <c r="AB629" s="87"/>
      <c r="AC629" s="93" t="s">
        <v>11457</v>
      </c>
      <c r="AD629" s="87" t="s">
        <v>11519</v>
      </c>
      <c r="AE629" s="92" t="str">
        <f>HYPERLINK("https://twitter.com/recebeaqui/status/1704468699862761813")</f>
        <v>https://twitter.com/recebeaqui/status/1704468699862761813</v>
      </c>
      <c r="AF629" s="90">
        <v>45189.509027777778</v>
      </c>
      <c r="AG629" s="99">
        <v>45189</v>
      </c>
      <c r="AH629" s="93" t="s">
        <v>12128</v>
      </c>
      <c r="AI629" s="87"/>
      <c r="AJ629" s="87"/>
      <c r="AK629" s="87"/>
      <c r="AL629" s="87"/>
      <c r="AM629" s="87"/>
      <c r="AN629" s="87"/>
      <c r="AO629" s="87"/>
      <c r="AP629" s="87"/>
      <c r="AQ629" s="87"/>
      <c r="AR629" s="87"/>
      <c r="AS629" s="87"/>
      <c r="AT629" s="87"/>
      <c r="AU629" s="87"/>
      <c r="AV629" s="92" t="str">
        <f>HYPERLINK("https://pbs.twimg.com/profile_images/1655595018537558017/OSWRMYCJ_normal.jpg")</f>
        <v>https://pbs.twimg.com/profile_images/1655595018537558017/OSWRMYCJ_normal.jpg</v>
      </c>
      <c r="AW629" s="93" t="s">
        <v>18879</v>
      </c>
      <c r="AX629" s="93" t="s">
        <v>18879</v>
      </c>
      <c r="AY629" s="87"/>
      <c r="AZ629" s="93" t="s">
        <v>22668</v>
      </c>
      <c r="BA629" s="93" t="s">
        <v>22668</v>
      </c>
      <c r="BB629" s="93" t="s">
        <v>22668</v>
      </c>
      <c r="BC629" s="93" t="s">
        <v>18879</v>
      </c>
      <c r="BD629" s="93" t="s">
        <v>22922</v>
      </c>
      <c r="BE629" s="87"/>
      <c r="BF629" s="87"/>
      <c r="BG629" s="87"/>
      <c r="BH629" s="87"/>
      <c r="BI629" s="87"/>
    </row>
    <row r="630" spans="1:61" x14ac:dyDescent="0.25">
      <c r="A630" s="63" t="s">
        <v>441</v>
      </c>
      <c r="B630" s="63" t="s">
        <v>441</v>
      </c>
      <c r="C630" s="64"/>
      <c r="D630" s="65"/>
      <c r="E630" s="66"/>
      <c r="F630" s="67"/>
      <c r="G630" s="64"/>
      <c r="H630" s="68"/>
      <c r="I630" s="69"/>
      <c r="J630" s="69"/>
      <c r="K630" s="32"/>
      <c r="L630" s="76">
        <v>630</v>
      </c>
      <c r="M630" s="76"/>
      <c r="N630" s="71"/>
      <c r="O630" s="87" t="s">
        <v>179</v>
      </c>
      <c r="P630" s="90">
        <v>45153.50277777778</v>
      </c>
      <c r="Q630" s="87" t="s">
        <v>2457</v>
      </c>
      <c r="R630" s="87">
        <v>0</v>
      </c>
      <c r="S630" s="87">
        <v>0</v>
      </c>
      <c r="T630" s="87">
        <v>0</v>
      </c>
      <c r="U630" s="87">
        <v>0</v>
      </c>
      <c r="V630" s="87">
        <v>5</v>
      </c>
      <c r="W630" s="93" t="s">
        <v>6267</v>
      </c>
      <c r="X630" s="87"/>
      <c r="Y630" s="87"/>
      <c r="Z630" s="87"/>
      <c r="AA630" s="87"/>
      <c r="AB630" s="87"/>
      <c r="AC630" s="93" t="s">
        <v>11457</v>
      </c>
      <c r="AD630" s="87" t="s">
        <v>11519</v>
      </c>
      <c r="AE630" s="92" t="str">
        <f>HYPERLINK("https://twitter.com/recebeaqui/status/1691420472230158336")</f>
        <v>https://twitter.com/recebeaqui/status/1691420472230158336</v>
      </c>
      <c r="AF630" s="90">
        <v>45153.50277777778</v>
      </c>
      <c r="AG630" s="99">
        <v>45153</v>
      </c>
      <c r="AH630" s="93" t="s">
        <v>12127</v>
      </c>
      <c r="AI630" s="87"/>
      <c r="AJ630" s="87"/>
      <c r="AK630" s="87"/>
      <c r="AL630" s="87"/>
      <c r="AM630" s="87"/>
      <c r="AN630" s="87"/>
      <c r="AO630" s="87"/>
      <c r="AP630" s="87"/>
      <c r="AQ630" s="87"/>
      <c r="AR630" s="87"/>
      <c r="AS630" s="87"/>
      <c r="AT630" s="87"/>
      <c r="AU630" s="87"/>
      <c r="AV630" s="92" t="str">
        <f>HYPERLINK("https://pbs.twimg.com/profile_images/1655595018537558017/OSWRMYCJ_normal.jpg")</f>
        <v>https://pbs.twimg.com/profile_images/1655595018537558017/OSWRMYCJ_normal.jpg</v>
      </c>
      <c r="AW630" s="93" t="s">
        <v>18880</v>
      </c>
      <c r="AX630" s="93" t="s">
        <v>18880</v>
      </c>
      <c r="AY630" s="87"/>
      <c r="AZ630" s="93" t="s">
        <v>22668</v>
      </c>
      <c r="BA630" s="93" t="s">
        <v>22668</v>
      </c>
      <c r="BB630" s="93" t="s">
        <v>22668</v>
      </c>
      <c r="BC630" s="93" t="s">
        <v>18880</v>
      </c>
      <c r="BD630" s="93" t="s">
        <v>22922</v>
      </c>
      <c r="BE630" s="87"/>
      <c r="BF630" s="87"/>
      <c r="BG630" s="87"/>
      <c r="BH630" s="87"/>
      <c r="BI630" s="87"/>
    </row>
    <row r="631" spans="1:61" x14ac:dyDescent="0.25">
      <c r="A631" s="63" t="s">
        <v>441</v>
      </c>
      <c r="B631" s="63" t="s">
        <v>441</v>
      </c>
      <c r="C631" s="64"/>
      <c r="D631" s="65"/>
      <c r="E631" s="66"/>
      <c r="F631" s="67"/>
      <c r="G631" s="64"/>
      <c r="H631" s="68"/>
      <c r="I631" s="69"/>
      <c r="J631" s="69"/>
      <c r="K631" s="32"/>
      <c r="L631" s="76">
        <v>631</v>
      </c>
      <c r="M631" s="76"/>
      <c r="N631" s="71"/>
      <c r="O631" s="87" t="s">
        <v>179</v>
      </c>
      <c r="P631" s="90">
        <v>45139.75</v>
      </c>
      <c r="Q631" s="87" t="s">
        <v>2458</v>
      </c>
      <c r="R631" s="87">
        <v>0</v>
      </c>
      <c r="S631" s="87">
        <v>0</v>
      </c>
      <c r="T631" s="87">
        <v>0</v>
      </c>
      <c r="U631" s="87">
        <v>0</v>
      </c>
      <c r="V631" s="87">
        <v>4</v>
      </c>
      <c r="W631" s="93" t="s">
        <v>6267</v>
      </c>
      <c r="X631" s="87"/>
      <c r="Y631" s="87"/>
      <c r="Z631" s="87"/>
      <c r="AA631" s="87"/>
      <c r="AB631" s="87"/>
      <c r="AC631" s="93" t="s">
        <v>11457</v>
      </c>
      <c r="AD631" s="87" t="s">
        <v>11519</v>
      </c>
      <c r="AE631" s="92" t="str">
        <f>HYPERLINK("https://twitter.com/recebeaqui/status/1686436632604397584")</f>
        <v>https://twitter.com/recebeaqui/status/1686436632604397584</v>
      </c>
      <c r="AF631" s="90">
        <v>45139.75</v>
      </c>
      <c r="AG631" s="99">
        <v>45139</v>
      </c>
      <c r="AH631" s="93" t="s">
        <v>12129</v>
      </c>
      <c r="AI631" s="87"/>
      <c r="AJ631" s="87"/>
      <c r="AK631" s="87"/>
      <c r="AL631" s="87"/>
      <c r="AM631" s="87"/>
      <c r="AN631" s="87"/>
      <c r="AO631" s="87"/>
      <c r="AP631" s="87"/>
      <c r="AQ631" s="87"/>
      <c r="AR631" s="87"/>
      <c r="AS631" s="87"/>
      <c r="AT631" s="87"/>
      <c r="AU631" s="87"/>
      <c r="AV631" s="92" t="str">
        <f>HYPERLINK("https://pbs.twimg.com/profile_images/1655595018537558017/OSWRMYCJ_normal.jpg")</f>
        <v>https://pbs.twimg.com/profile_images/1655595018537558017/OSWRMYCJ_normal.jpg</v>
      </c>
      <c r="AW631" s="93" t="s">
        <v>18881</v>
      </c>
      <c r="AX631" s="93" t="s">
        <v>18881</v>
      </c>
      <c r="AY631" s="87"/>
      <c r="AZ631" s="93" t="s">
        <v>22668</v>
      </c>
      <c r="BA631" s="93" t="s">
        <v>22668</v>
      </c>
      <c r="BB631" s="93" t="s">
        <v>22668</v>
      </c>
      <c r="BC631" s="93" t="s">
        <v>18881</v>
      </c>
      <c r="BD631" s="93" t="s">
        <v>22922</v>
      </c>
      <c r="BE631" s="87"/>
      <c r="BF631" s="87"/>
      <c r="BG631" s="87"/>
      <c r="BH631" s="87"/>
      <c r="BI631" s="87"/>
    </row>
    <row r="632" spans="1:61" x14ac:dyDescent="0.25">
      <c r="A632" s="63" t="s">
        <v>441</v>
      </c>
      <c r="B632" s="63" t="s">
        <v>441</v>
      </c>
      <c r="C632" s="64"/>
      <c r="D632" s="65"/>
      <c r="E632" s="66"/>
      <c r="F632" s="67"/>
      <c r="G632" s="64"/>
      <c r="H632" s="68"/>
      <c r="I632" s="69"/>
      <c r="J632" s="69"/>
      <c r="K632" s="32"/>
      <c r="L632" s="76">
        <v>632</v>
      </c>
      <c r="M632" s="76"/>
      <c r="N632" s="71"/>
      <c r="O632" s="87" t="s">
        <v>179</v>
      </c>
      <c r="P632" s="90">
        <v>45124.96597222222</v>
      </c>
      <c r="Q632" s="87" t="s">
        <v>2459</v>
      </c>
      <c r="R632" s="87">
        <v>0</v>
      </c>
      <c r="S632" s="87">
        <v>0</v>
      </c>
      <c r="T632" s="87">
        <v>0</v>
      </c>
      <c r="U632" s="87">
        <v>0</v>
      </c>
      <c r="V632" s="87">
        <v>10</v>
      </c>
      <c r="W632" s="93" t="s">
        <v>6274</v>
      </c>
      <c r="X632" s="87"/>
      <c r="Y632" s="87"/>
      <c r="Z632" s="87"/>
      <c r="AA632" s="87" t="s">
        <v>9042</v>
      </c>
      <c r="AB632" s="87" t="s">
        <v>11452</v>
      </c>
      <c r="AC632" s="93" t="s">
        <v>11457</v>
      </c>
      <c r="AD632" s="87" t="s">
        <v>11519</v>
      </c>
      <c r="AE632" s="92" t="str">
        <f>HYPERLINK("https://twitter.com/recebeaqui/status/1681079079833858050")</f>
        <v>https://twitter.com/recebeaqui/status/1681079079833858050</v>
      </c>
      <c r="AF632" s="90">
        <v>45124.96597222222</v>
      </c>
      <c r="AG632" s="99">
        <v>45124</v>
      </c>
      <c r="AH632" s="93" t="s">
        <v>11861</v>
      </c>
      <c r="AI632" s="87" t="b">
        <v>0</v>
      </c>
      <c r="AJ632" s="87"/>
      <c r="AK632" s="87"/>
      <c r="AL632" s="87"/>
      <c r="AM632" s="87"/>
      <c r="AN632" s="87"/>
      <c r="AO632" s="87"/>
      <c r="AP632" s="87"/>
      <c r="AQ632" s="87" t="s">
        <v>15855</v>
      </c>
      <c r="AR632" s="87"/>
      <c r="AS632" s="87"/>
      <c r="AT632" s="87"/>
      <c r="AU632" s="87"/>
      <c r="AV632" s="92" t="str">
        <f>HYPERLINK("https://pbs.twimg.com/tweet_video_thumb/F029vI9WIAAvDW9.jpg")</f>
        <v>https://pbs.twimg.com/tweet_video_thumb/F029vI9WIAAvDW9.jpg</v>
      </c>
      <c r="AW632" s="93" t="s">
        <v>18882</v>
      </c>
      <c r="AX632" s="93" t="s">
        <v>18882</v>
      </c>
      <c r="AY632" s="87"/>
      <c r="AZ632" s="93" t="s">
        <v>22668</v>
      </c>
      <c r="BA632" s="93" t="s">
        <v>22668</v>
      </c>
      <c r="BB632" s="93" t="s">
        <v>22668</v>
      </c>
      <c r="BC632" s="93" t="s">
        <v>18882</v>
      </c>
      <c r="BD632" s="93" t="s">
        <v>22922</v>
      </c>
      <c r="BE632" s="87"/>
      <c r="BF632" s="87"/>
      <c r="BG632" s="87"/>
      <c r="BH632" s="87"/>
      <c r="BI632" s="87"/>
    </row>
    <row r="633" spans="1:61" x14ac:dyDescent="0.25">
      <c r="A633" s="63" t="s">
        <v>442</v>
      </c>
      <c r="B633" s="63" t="s">
        <v>442</v>
      </c>
      <c r="C633" s="64"/>
      <c r="D633" s="65"/>
      <c r="E633" s="66"/>
      <c r="F633" s="67"/>
      <c r="G633" s="64"/>
      <c r="H633" s="68"/>
      <c r="I633" s="69"/>
      <c r="J633" s="69"/>
      <c r="K633" s="32"/>
      <c r="L633" s="76">
        <v>633</v>
      </c>
      <c r="M633" s="76"/>
      <c r="N633" s="71"/>
      <c r="O633" s="87" t="s">
        <v>179</v>
      </c>
      <c r="P633" s="90">
        <v>45131.881944444445</v>
      </c>
      <c r="Q633" s="87" t="s">
        <v>2460</v>
      </c>
      <c r="R633" s="87">
        <v>1</v>
      </c>
      <c r="S633" s="87">
        <v>3</v>
      </c>
      <c r="T633" s="87">
        <v>0</v>
      </c>
      <c r="U633" s="87">
        <v>0</v>
      </c>
      <c r="V633" s="87">
        <v>315</v>
      </c>
      <c r="W633" s="93" t="s">
        <v>6275</v>
      </c>
      <c r="X633" s="87"/>
      <c r="Y633" s="87"/>
      <c r="Z633" s="87"/>
      <c r="AA633" s="87" t="s">
        <v>9043</v>
      </c>
      <c r="AB633" s="87" t="s">
        <v>11447</v>
      </c>
      <c r="AC633" s="93" t="s">
        <v>11457</v>
      </c>
      <c r="AD633" s="87" t="s">
        <v>11519</v>
      </c>
      <c r="AE633" s="92" t="str">
        <f>HYPERLINK("https://twitter.com/agiwork/status/1683585344133017600")</f>
        <v>https://twitter.com/agiwork/status/1683585344133017600</v>
      </c>
      <c r="AF633" s="90">
        <v>45131.881944444445</v>
      </c>
      <c r="AG633" s="99">
        <v>45131</v>
      </c>
      <c r="AH633" s="93" t="s">
        <v>12130</v>
      </c>
      <c r="AI633" s="87" t="b">
        <v>0</v>
      </c>
      <c r="AJ633" s="87"/>
      <c r="AK633" s="87"/>
      <c r="AL633" s="87"/>
      <c r="AM633" s="87"/>
      <c r="AN633" s="87"/>
      <c r="AO633" s="87"/>
      <c r="AP633" s="87"/>
      <c r="AQ633" s="87" t="s">
        <v>15856</v>
      </c>
      <c r="AR633" s="87">
        <v>25000</v>
      </c>
      <c r="AS633" s="87"/>
      <c r="AT633" s="87"/>
      <c r="AU633" s="87"/>
      <c r="AV633" s="92" t="str">
        <f>HYPERLINK("https://pbs.twimg.com/ext_tw_video_thumb/1683524664377712653/pu/img/IVxA9jBUMfwXnl9b.jpg")</f>
        <v>https://pbs.twimg.com/ext_tw_video_thumb/1683524664377712653/pu/img/IVxA9jBUMfwXnl9b.jpg</v>
      </c>
      <c r="AW633" s="93" t="s">
        <v>18883</v>
      </c>
      <c r="AX633" s="93" t="s">
        <v>18883</v>
      </c>
      <c r="AY633" s="87"/>
      <c r="AZ633" s="93" t="s">
        <v>22668</v>
      </c>
      <c r="BA633" s="93" t="s">
        <v>22668</v>
      </c>
      <c r="BB633" s="93" t="s">
        <v>22668</v>
      </c>
      <c r="BC633" s="93" t="s">
        <v>18883</v>
      </c>
      <c r="BD633" s="93" t="s">
        <v>22923</v>
      </c>
      <c r="BE633" s="87"/>
      <c r="BF633" s="87"/>
      <c r="BG633" s="87"/>
      <c r="BH633" s="87"/>
      <c r="BI633" s="87"/>
    </row>
    <row r="634" spans="1:61" x14ac:dyDescent="0.25">
      <c r="A634" s="63" t="s">
        <v>443</v>
      </c>
      <c r="B634" s="63" t="s">
        <v>1638</v>
      </c>
      <c r="C634" s="64"/>
      <c r="D634" s="65"/>
      <c r="E634" s="66"/>
      <c r="F634" s="67"/>
      <c r="G634" s="64"/>
      <c r="H634" s="68"/>
      <c r="I634" s="69"/>
      <c r="J634" s="69"/>
      <c r="K634" s="32"/>
      <c r="L634" s="76">
        <v>634</v>
      </c>
      <c r="M634" s="76"/>
      <c r="N634" s="71"/>
      <c r="O634" s="87" t="s">
        <v>1839</v>
      </c>
      <c r="P634" s="90">
        <v>45111.417048611111</v>
      </c>
      <c r="Q634" s="87" t="s">
        <v>2461</v>
      </c>
      <c r="R634" s="87">
        <v>0</v>
      </c>
      <c r="S634" s="87">
        <v>0</v>
      </c>
      <c r="T634" s="87">
        <v>0</v>
      </c>
      <c r="U634" s="87">
        <v>0</v>
      </c>
      <c r="V634" s="87">
        <v>18</v>
      </c>
      <c r="W634" s="93" t="s">
        <v>6276</v>
      </c>
      <c r="X634" s="92" t="str">
        <f>HYPERLINK("http://CAPITALDAJOIA.COM.BR")</f>
        <v>http://CAPITALDAJOIA.COM.BR</v>
      </c>
      <c r="Y634" s="87" t="s">
        <v>8373</v>
      </c>
      <c r="Z634" s="87" t="s">
        <v>1638</v>
      </c>
      <c r="AA634" s="87" t="s">
        <v>9044</v>
      </c>
      <c r="AB634" s="87" t="s">
        <v>11448</v>
      </c>
      <c r="AC634" s="93" t="s">
        <v>11460</v>
      </c>
      <c r="AD634" s="87" t="s">
        <v>11519</v>
      </c>
      <c r="AE634" s="92" t="str">
        <f>HYPERLINK("https://twitter.com/capitaldajoia/status/1676169117504610307")</f>
        <v>https://twitter.com/capitaldajoia/status/1676169117504610307</v>
      </c>
      <c r="AF634" s="90">
        <v>45111.417048611111</v>
      </c>
      <c r="AG634" s="99">
        <v>45111</v>
      </c>
      <c r="AH634" s="93" t="s">
        <v>12131</v>
      </c>
      <c r="AI634" s="87" t="b">
        <v>0</v>
      </c>
      <c r="AJ634" s="87"/>
      <c r="AK634" s="87"/>
      <c r="AL634" s="87"/>
      <c r="AM634" s="87"/>
      <c r="AN634" s="87"/>
      <c r="AO634" s="87"/>
      <c r="AP634" s="87"/>
      <c r="AQ634" s="87" t="s">
        <v>15857</v>
      </c>
      <c r="AR634" s="87"/>
      <c r="AS634" s="87"/>
      <c r="AT634" s="87"/>
      <c r="AU634" s="87"/>
      <c r="AV634" s="92" t="str">
        <f>HYPERLINK("https://pbs.twimg.com/media/F0Ly7e7XwAYZoBC.jpg")</f>
        <v>https://pbs.twimg.com/media/F0Ly7e7XwAYZoBC.jpg</v>
      </c>
      <c r="AW634" s="93" t="s">
        <v>18884</v>
      </c>
      <c r="AX634" s="93" t="s">
        <v>18884</v>
      </c>
      <c r="AY634" s="87"/>
      <c r="AZ634" s="93" t="s">
        <v>22668</v>
      </c>
      <c r="BA634" s="93" t="s">
        <v>22668</v>
      </c>
      <c r="BB634" s="93" t="s">
        <v>22668</v>
      </c>
      <c r="BC634" s="93" t="s">
        <v>18884</v>
      </c>
      <c r="BD634" s="93" t="s">
        <v>22924</v>
      </c>
      <c r="BE634" s="87"/>
      <c r="BF634" s="87"/>
      <c r="BG634" s="87"/>
      <c r="BH634" s="87"/>
      <c r="BI634" s="87"/>
    </row>
    <row r="635" spans="1:61" x14ac:dyDescent="0.25">
      <c r="A635" s="63" t="s">
        <v>443</v>
      </c>
      <c r="B635" s="63" t="s">
        <v>443</v>
      </c>
      <c r="C635" s="64"/>
      <c r="D635" s="65"/>
      <c r="E635" s="66"/>
      <c r="F635" s="67"/>
      <c r="G635" s="64"/>
      <c r="H635" s="68"/>
      <c r="I635" s="69"/>
      <c r="J635" s="69"/>
      <c r="K635" s="32"/>
      <c r="L635" s="76">
        <v>635</v>
      </c>
      <c r="M635" s="76"/>
      <c r="N635" s="71"/>
      <c r="O635" s="87" t="s">
        <v>179</v>
      </c>
      <c r="P635" s="90">
        <v>45110.781354166669</v>
      </c>
      <c r="Q635" s="87" t="s">
        <v>2462</v>
      </c>
      <c r="R635" s="87">
        <v>0</v>
      </c>
      <c r="S635" s="87">
        <v>0</v>
      </c>
      <c r="T635" s="87">
        <v>0</v>
      </c>
      <c r="U635" s="87">
        <v>0</v>
      </c>
      <c r="V635" s="87">
        <v>3</v>
      </c>
      <c r="W635" s="93" t="s">
        <v>6277</v>
      </c>
      <c r="X635" s="92" t="str">
        <f>HYPERLINK("http://CAPITALDAJOIA.COM.BR")</f>
        <v>http://CAPITALDAJOIA.COM.BR</v>
      </c>
      <c r="Y635" s="87" t="s">
        <v>8373</v>
      </c>
      <c r="Z635" s="87"/>
      <c r="AA635" s="87" t="s">
        <v>9045</v>
      </c>
      <c r="AB635" s="87" t="s">
        <v>11448</v>
      </c>
      <c r="AC635" s="93" t="s">
        <v>11460</v>
      </c>
      <c r="AD635" s="87" t="s">
        <v>11519</v>
      </c>
      <c r="AE635" s="92" t="str">
        <f>HYPERLINK("https://twitter.com/capitaldajoia/status/1675938746259185664")</f>
        <v>https://twitter.com/capitaldajoia/status/1675938746259185664</v>
      </c>
      <c r="AF635" s="90">
        <v>45110.781354166669</v>
      </c>
      <c r="AG635" s="99">
        <v>45110</v>
      </c>
      <c r="AH635" s="93" t="s">
        <v>11830</v>
      </c>
      <c r="AI635" s="87" t="b">
        <v>0</v>
      </c>
      <c r="AJ635" s="87"/>
      <c r="AK635" s="87"/>
      <c r="AL635" s="87"/>
      <c r="AM635" s="87"/>
      <c r="AN635" s="87"/>
      <c r="AO635" s="87"/>
      <c r="AP635" s="87"/>
      <c r="AQ635" s="87" t="s">
        <v>15858</v>
      </c>
      <c r="AR635" s="87"/>
      <c r="AS635" s="87"/>
      <c r="AT635" s="87"/>
      <c r="AU635" s="87"/>
      <c r="AV635" s="92" t="str">
        <f>HYPERLINK("https://pbs.twimg.com/media/F0IhaJfWwAAQxbs.jpg")</f>
        <v>https://pbs.twimg.com/media/F0IhaJfWwAAQxbs.jpg</v>
      </c>
      <c r="AW635" s="93" t="s">
        <v>18885</v>
      </c>
      <c r="AX635" s="93" t="s">
        <v>18885</v>
      </c>
      <c r="AY635" s="87"/>
      <c r="AZ635" s="93" t="s">
        <v>22668</v>
      </c>
      <c r="BA635" s="93" t="s">
        <v>22668</v>
      </c>
      <c r="BB635" s="93" t="s">
        <v>22668</v>
      </c>
      <c r="BC635" s="93" t="s">
        <v>18885</v>
      </c>
      <c r="BD635" s="93" t="s">
        <v>22924</v>
      </c>
      <c r="BE635" s="87"/>
      <c r="BF635" s="87"/>
      <c r="BG635" s="87"/>
      <c r="BH635" s="87"/>
      <c r="BI635" s="87"/>
    </row>
    <row r="636" spans="1:61" x14ac:dyDescent="0.25">
      <c r="A636" s="63" t="s">
        <v>443</v>
      </c>
      <c r="B636" s="63" t="s">
        <v>443</v>
      </c>
      <c r="C636" s="64"/>
      <c r="D636" s="65"/>
      <c r="E636" s="66"/>
      <c r="F636" s="67"/>
      <c r="G636" s="64"/>
      <c r="H636" s="68"/>
      <c r="I636" s="69"/>
      <c r="J636" s="69"/>
      <c r="K636" s="32"/>
      <c r="L636" s="76">
        <v>636</v>
      </c>
      <c r="M636" s="76"/>
      <c r="N636" s="71"/>
      <c r="O636" s="87" t="s">
        <v>179</v>
      </c>
      <c r="P636" s="90">
        <v>45124.80572916667</v>
      </c>
      <c r="Q636" s="87" t="s">
        <v>2463</v>
      </c>
      <c r="R636" s="87">
        <v>0</v>
      </c>
      <c r="S636" s="87">
        <v>0</v>
      </c>
      <c r="T636" s="87">
        <v>0</v>
      </c>
      <c r="U636" s="87">
        <v>0</v>
      </c>
      <c r="V636" s="87">
        <v>7</v>
      </c>
      <c r="W636" s="93" t="s">
        <v>6278</v>
      </c>
      <c r="X636" s="92" t="str">
        <f>HYPERLINK("http://CAPITALDAJOIA.COM.BR")</f>
        <v>http://CAPITALDAJOIA.COM.BR</v>
      </c>
      <c r="Y636" s="87" t="s">
        <v>8373</v>
      </c>
      <c r="Z636" s="87"/>
      <c r="AA636" s="87" t="s">
        <v>9046</v>
      </c>
      <c r="AB636" s="87" t="s">
        <v>11448</v>
      </c>
      <c r="AC636" s="93" t="s">
        <v>11460</v>
      </c>
      <c r="AD636" s="87" t="s">
        <v>11519</v>
      </c>
      <c r="AE636" s="92" t="str">
        <f>HYPERLINK("https://twitter.com/capitaldajoia/status/1681021011758555136")</f>
        <v>https://twitter.com/capitaldajoia/status/1681021011758555136</v>
      </c>
      <c r="AF636" s="90">
        <v>45124.80572916667</v>
      </c>
      <c r="AG636" s="99">
        <v>45124</v>
      </c>
      <c r="AH636" s="93" t="s">
        <v>12132</v>
      </c>
      <c r="AI636" s="87" t="b">
        <v>0</v>
      </c>
      <c r="AJ636" s="87"/>
      <c r="AK636" s="87"/>
      <c r="AL636" s="87"/>
      <c r="AM636" s="87"/>
      <c r="AN636" s="87"/>
      <c r="AO636" s="87"/>
      <c r="AP636" s="87"/>
      <c r="AQ636" s="87" t="s">
        <v>15859</v>
      </c>
      <c r="AR636" s="87"/>
      <c r="AS636" s="87"/>
      <c r="AT636" s="87"/>
      <c r="AU636" s="87"/>
      <c r="AV636" s="92" t="str">
        <f>HYPERLINK("https://pbs.twimg.com/media/F1Qvs9kXwAEt-Ws.jpg")</f>
        <v>https://pbs.twimg.com/media/F1Qvs9kXwAEt-Ws.jpg</v>
      </c>
      <c r="AW636" s="93" t="s">
        <v>18886</v>
      </c>
      <c r="AX636" s="93" t="s">
        <v>18886</v>
      </c>
      <c r="AY636" s="87"/>
      <c r="AZ636" s="93" t="s">
        <v>22668</v>
      </c>
      <c r="BA636" s="93" t="s">
        <v>22668</v>
      </c>
      <c r="BB636" s="93" t="s">
        <v>22668</v>
      </c>
      <c r="BC636" s="93" t="s">
        <v>18886</v>
      </c>
      <c r="BD636" s="93" t="s">
        <v>22924</v>
      </c>
      <c r="BE636" s="87"/>
      <c r="BF636" s="87"/>
      <c r="BG636" s="87"/>
      <c r="BH636" s="87"/>
      <c r="BI636" s="87"/>
    </row>
    <row r="637" spans="1:61" x14ac:dyDescent="0.25">
      <c r="A637" s="63" t="s">
        <v>444</v>
      </c>
      <c r="B637" s="63" t="s">
        <v>1639</v>
      </c>
      <c r="C637" s="64"/>
      <c r="D637" s="65"/>
      <c r="E637" s="66"/>
      <c r="F637" s="67"/>
      <c r="G637" s="64"/>
      <c r="H637" s="68"/>
      <c r="I637" s="69"/>
      <c r="J637" s="69"/>
      <c r="K637" s="32"/>
      <c r="L637" s="76">
        <v>637</v>
      </c>
      <c r="M637" s="76"/>
      <c r="N637" s="71"/>
      <c r="O637" s="87" t="s">
        <v>1839</v>
      </c>
      <c r="P637" s="90">
        <v>45152.833391203705</v>
      </c>
      <c r="Q637" s="87" t="s">
        <v>2464</v>
      </c>
      <c r="R637" s="87">
        <v>0</v>
      </c>
      <c r="S637" s="87">
        <v>0</v>
      </c>
      <c r="T637" s="87">
        <v>0</v>
      </c>
      <c r="U637" s="87">
        <v>0</v>
      </c>
      <c r="V637" s="87">
        <v>10</v>
      </c>
      <c r="W637" s="93" t="s">
        <v>6279</v>
      </c>
      <c r="X637" s="87"/>
      <c r="Y637" s="87"/>
      <c r="Z637" s="87" t="s">
        <v>8568</v>
      </c>
      <c r="AA637" s="87"/>
      <c r="AB637" s="87"/>
      <c r="AC637" s="93" t="s">
        <v>11457</v>
      </c>
      <c r="AD637" s="87" t="s">
        <v>11519</v>
      </c>
      <c r="AE637" s="92" t="str">
        <f>HYPERLINK("https://twitter.com/paulotec96/status/1691177895597604864")</f>
        <v>https://twitter.com/paulotec96/status/1691177895597604864</v>
      </c>
      <c r="AF637" s="90">
        <v>45152.833391203705</v>
      </c>
      <c r="AG637" s="99">
        <v>45152</v>
      </c>
      <c r="AH637" s="93" t="s">
        <v>12133</v>
      </c>
      <c r="AI637" s="87"/>
      <c r="AJ637" s="87"/>
      <c r="AK637" s="87"/>
      <c r="AL637" s="87"/>
      <c r="AM637" s="87"/>
      <c r="AN637" s="87"/>
      <c r="AO637" s="87"/>
      <c r="AP637" s="87"/>
      <c r="AQ637" s="87"/>
      <c r="AR637" s="87"/>
      <c r="AS637" s="87"/>
      <c r="AT637" s="87"/>
      <c r="AU637" s="87"/>
      <c r="AV637" s="92" t="str">
        <f>HYPERLINK("https://pbs.twimg.com/profile_images/1174153558658310148/mbX5fAp5_normal.jpg")</f>
        <v>https://pbs.twimg.com/profile_images/1174153558658310148/mbX5fAp5_normal.jpg</v>
      </c>
      <c r="AW637" s="93" t="s">
        <v>18887</v>
      </c>
      <c r="AX637" s="93" t="s">
        <v>18887</v>
      </c>
      <c r="AY637" s="87"/>
      <c r="AZ637" s="93" t="s">
        <v>22668</v>
      </c>
      <c r="BA637" s="93" t="s">
        <v>22668</v>
      </c>
      <c r="BB637" s="93" t="s">
        <v>22668</v>
      </c>
      <c r="BC637" s="93" t="s">
        <v>18887</v>
      </c>
      <c r="BD637" s="93" t="s">
        <v>22925</v>
      </c>
      <c r="BE637" s="87"/>
      <c r="BF637" s="87"/>
      <c r="BG637" s="87"/>
      <c r="BH637" s="87"/>
      <c r="BI637" s="87"/>
    </row>
    <row r="638" spans="1:61" x14ac:dyDescent="0.25">
      <c r="A638" s="63" t="s">
        <v>444</v>
      </c>
      <c r="B638" s="63" t="s">
        <v>326</v>
      </c>
      <c r="C638" s="64"/>
      <c r="D638" s="65"/>
      <c r="E638" s="66"/>
      <c r="F638" s="67"/>
      <c r="G638" s="64"/>
      <c r="H638" s="68"/>
      <c r="I638" s="69"/>
      <c r="J638" s="69"/>
      <c r="K638" s="32"/>
      <c r="L638" s="76">
        <v>638</v>
      </c>
      <c r="M638" s="76"/>
      <c r="N638" s="71"/>
      <c r="O638" s="87" t="s">
        <v>1839</v>
      </c>
      <c r="P638" s="90">
        <v>45152.833391203705</v>
      </c>
      <c r="Q638" s="87" t="s">
        <v>2464</v>
      </c>
      <c r="R638" s="87">
        <v>0</v>
      </c>
      <c r="S638" s="87">
        <v>0</v>
      </c>
      <c r="T638" s="87">
        <v>0</v>
      </c>
      <c r="U638" s="87">
        <v>0</v>
      </c>
      <c r="V638" s="87">
        <v>10</v>
      </c>
      <c r="W638" s="93" t="s">
        <v>6279</v>
      </c>
      <c r="X638" s="87"/>
      <c r="Y638" s="87"/>
      <c r="Z638" s="87" t="s">
        <v>8568</v>
      </c>
      <c r="AA638" s="87"/>
      <c r="AB638" s="87"/>
      <c r="AC638" s="93" t="s">
        <v>11457</v>
      </c>
      <c r="AD638" s="87" t="s">
        <v>11519</v>
      </c>
      <c r="AE638" s="92" t="str">
        <f>HYPERLINK("https://twitter.com/paulotec96/status/1691177895597604864")</f>
        <v>https://twitter.com/paulotec96/status/1691177895597604864</v>
      </c>
      <c r="AF638" s="90">
        <v>45152.833391203705</v>
      </c>
      <c r="AG638" s="99">
        <v>45152</v>
      </c>
      <c r="AH638" s="93" t="s">
        <v>12133</v>
      </c>
      <c r="AI638" s="87"/>
      <c r="AJ638" s="87"/>
      <c r="AK638" s="87"/>
      <c r="AL638" s="87"/>
      <c r="AM638" s="87"/>
      <c r="AN638" s="87"/>
      <c r="AO638" s="87"/>
      <c r="AP638" s="87"/>
      <c r="AQ638" s="87"/>
      <c r="AR638" s="87"/>
      <c r="AS638" s="87"/>
      <c r="AT638" s="87"/>
      <c r="AU638" s="87"/>
      <c r="AV638" s="92" t="str">
        <f>HYPERLINK("https://pbs.twimg.com/profile_images/1174153558658310148/mbX5fAp5_normal.jpg")</f>
        <v>https://pbs.twimg.com/profile_images/1174153558658310148/mbX5fAp5_normal.jpg</v>
      </c>
      <c r="AW638" s="93" t="s">
        <v>18887</v>
      </c>
      <c r="AX638" s="93" t="s">
        <v>18887</v>
      </c>
      <c r="AY638" s="87"/>
      <c r="AZ638" s="93" t="s">
        <v>22668</v>
      </c>
      <c r="BA638" s="93" t="s">
        <v>22668</v>
      </c>
      <c r="BB638" s="93" t="s">
        <v>22668</v>
      </c>
      <c r="BC638" s="93" t="s">
        <v>18887</v>
      </c>
      <c r="BD638" s="93" t="s">
        <v>22925</v>
      </c>
      <c r="BE638" s="87"/>
      <c r="BF638" s="87"/>
      <c r="BG638" s="87"/>
      <c r="BH638" s="87"/>
      <c r="BI638" s="87"/>
    </row>
    <row r="639" spans="1:61" x14ac:dyDescent="0.25">
      <c r="A639" s="63" t="s">
        <v>445</v>
      </c>
      <c r="B639" s="63" t="s">
        <v>445</v>
      </c>
      <c r="C639" s="64"/>
      <c r="D639" s="65"/>
      <c r="E639" s="66"/>
      <c r="F639" s="67"/>
      <c r="G639" s="64"/>
      <c r="H639" s="68"/>
      <c r="I639" s="69"/>
      <c r="J639" s="69"/>
      <c r="K639" s="32"/>
      <c r="L639" s="76">
        <v>639</v>
      </c>
      <c r="M639" s="76"/>
      <c r="N639" s="71"/>
      <c r="O639" s="87" t="s">
        <v>179</v>
      </c>
      <c r="P639" s="90">
        <v>45194.802025462966</v>
      </c>
      <c r="Q639" s="87" t="s">
        <v>2465</v>
      </c>
      <c r="R639" s="87">
        <v>0</v>
      </c>
      <c r="S639" s="87">
        <v>0</v>
      </c>
      <c r="T639" s="87">
        <v>0</v>
      </c>
      <c r="U639" s="87">
        <v>0</v>
      </c>
      <c r="V639" s="87">
        <v>11</v>
      </c>
      <c r="W639" s="93" t="s">
        <v>6280</v>
      </c>
      <c r="X639" s="87"/>
      <c r="Y639" s="87"/>
      <c r="Z639" s="87"/>
      <c r="AA639" s="87" t="s">
        <v>9047</v>
      </c>
      <c r="AB639" s="87" t="s">
        <v>11448</v>
      </c>
      <c r="AC639" s="93" t="s">
        <v>11457</v>
      </c>
      <c r="AD639" s="87" t="s">
        <v>11519</v>
      </c>
      <c r="AE639" s="92" t="str">
        <f>HYPERLINK("https://twitter.com/grupo_centercon/status/1706386818843677073")</f>
        <v>https://twitter.com/grupo_centercon/status/1706386818843677073</v>
      </c>
      <c r="AF639" s="90">
        <v>45194.802025462966</v>
      </c>
      <c r="AG639" s="99">
        <v>45194</v>
      </c>
      <c r="AH639" s="93" t="s">
        <v>12134</v>
      </c>
      <c r="AI639" s="87" t="b">
        <v>0</v>
      </c>
      <c r="AJ639" s="87"/>
      <c r="AK639" s="87"/>
      <c r="AL639" s="87"/>
      <c r="AM639" s="87"/>
      <c r="AN639" s="87"/>
      <c r="AO639" s="87"/>
      <c r="AP639" s="87"/>
      <c r="AQ639" s="87" t="s">
        <v>15860</v>
      </c>
      <c r="AR639" s="87"/>
      <c r="AS639" s="87"/>
      <c r="AT639" s="87"/>
      <c r="AU639" s="87"/>
      <c r="AV639" s="92" t="str">
        <f>HYPERLINK("https://pbs.twimg.com/media/F65Nw-HXUAA_PYk.jpg")</f>
        <v>https://pbs.twimg.com/media/F65Nw-HXUAA_PYk.jpg</v>
      </c>
      <c r="AW639" s="93" t="s">
        <v>18888</v>
      </c>
      <c r="AX639" s="93" t="s">
        <v>18888</v>
      </c>
      <c r="AY639" s="87"/>
      <c r="AZ639" s="93" t="s">
        <v>22668</v>
      </c>
      <c r="BA639" s="93" t="s">
        <v>22668</v>
      </c>
      <c r="BB639" s="93" t="s">
        <v>22668</v>
      </c>
      <c r="BC639" s="93" t="s">
        <v>18888</v>
      </c>
      <c r="BD639" s="87">
        <v>67313006</v>
      </c>
      <c r="BE639" s="87"/>
      <c r="BF639" s="87"/>
      <c r="BG639" s="87"/>
      <c r="BH639" s="87"/>
      <c r="BI639" s="87"/>
    </row>
    <row r="640" spans="1:61" x14ac:dyDescent="0.25">
      <c r="A640" s="63" t="s">
        <v>445</v>
      </c>
      <c r="B640" s="63" t="s">
        <v>445</v>
      </c>
      <c r="C640" s="64"/>
      <c r="D640" s="65"/>
      <c r="E640" s="66"/>
      <c r="F640" s="67"/>
      <c r="G640" s="64"/>
      <c r="H640" s="68"/>
      <c r="I640" s="69"/>
      <c r="J640" s="69"/>
      <c r="K640" s="32"/>
      <c r="L640" s="76">
        <v>640</v>
      </c>
      <c r="M640" s="76"/>
      <c r="N640" s="71"/>
      <c r="O640" s="87" t="s">
        <v>179</v>
      </c>
      <c r="P640" s="90">
        <v>45195.814270833333</v>
      </c>
      <c r="Q640" s="87" t="s">
        <v>2466</v>
      </c>
      <c r="R640" s="87">
        <v>0</v>
      </c>
      <c r="S640" s="87">
        <v>1</v>
      </c>
      <c r="T640" s="87">
        <v>0</v>
      </c>
      <c r="U640" s="87">
        <v>0</v>
      </c>
      <c r="V640" s="87">
        <v>7</v>
      </c>
      <c r="W640" s="93" t="s">
        <v>1737</v>
      </c>
      <c r="X640" s="87"/>
      <c r="Y640" s="87"/>
      <c r="Z640" s="87"/>
      <c r="AA640" s="87" t="s">
        <v>9048</v>
      </c>
      <c r="AB640" s="87" t="s">
        <v>11448</v>
      </c>
      <c r="AC640" s="93" t="s">
        <v>11457</v>
      </c>
      <c r="AD640" s="87" t="s">
        <v>11520</v>
      </c>
      <c r="AE640" s="92" t="str">
        <f>HYPERLINK("https://twitter.com/grupo_centercon/status/1706753644727878094")</f>
        <v>https://twitter.com/grupo_centercon/status/1706753644727878094</v>
      </c>
      <c r="AF640" s="90">
        <v>45195.814270833333</v>
      </c>
      <c r="AG640" s="99">
        <v>45195</v>
      </c>
      <c r="AH640" s="93" t="s">
        <v>12135</v>
      </c>
      <c r="AI640" s="87" t="b">
        <v>0</v>
      </c>
      <c r="AJ640" s="87"/>
      <c r="AK640" s="87"/>
      <c r="AL640" s="87"/>
      <c r="AM640" s="87"/>
      <c r="AN640" s="87"/>
      <c r="AO640" s="87"/>
      <c r="AP640" s="87"/>
      <c r="AQ640" s="87" t="s">
        <v>15861</v>
      </c>
      <c r="AR640" s="87"/>
      <c r="AS640" s="87"/>
      <c r="AT640" s="87"/>
      <c r="AU640" s="87"/>
      <c r="AV640" s="92" t="str">
        <f>HYPERLINK("https://pbs.twimg.com/media/F6-bWZFWMAAjP59.jpg")</f>
        <v>https://pbs.twimg.com/media/F6-bWZFWMAAjP59.jpg</v>
      </c>
      <c r="AW640" s="93" t="s">
        <v>18889</v>
      </c>
      <c r="AX640" s="93" t="s">
        <v>18889</v>
      </c>
      <c r="AY640" s="87"/>
      <c r="AZ640" s="93" t="s">
        <v>22668</v>
      </c>
      <c r="BA640" s="93" t="s">
        <v>22668</v>
      </c>
      <c r="BB640" s="93" t="s">
        <v>22668</v>
      </c>
      <c r="BC640" s="93" t="s">
        <v>18889</v>
      </c>
      <c r="BD640" s="87">
        <v>67313006</v>
      </c>
      <c r="BE640" s="87"/>
      <c r="BF640" s="87"/>
      <c r="BG640" s="87"/>
      <c r="BH640" s="87"/>
      <c r="BI640" s="87"/>
    </row>
    <row r="641" spans="1:61" x14ac:dyDescent="0.25">
      <c r="A641" s="63" t="s">
        <v>446</v>
      </c>
      <c r="B641" s="63" t="s">
        <v>653</v>
      </c>
      <c r="C641" s="64"/>
      <c r="D641" s="65"/>
      <c r="E641" s="66"/>
      <c r="F641" s="67"/>
      <c r="G641" s="64"/>
      <c r="H641" s="68"/>
      <c r="I641" s="69"/>
      <c r="J641" s="69"/>
      <c r="K641" s="32"/>
      <c r="L641" s="76">
        <v>641</v>
      </c>
      <c r="M641" s="76"/>
      <c r="N641" s="71"/>
      <c r="O641" s="87" t="s">
        <v>1841</v>
      </c>
      <c r="P641" s="90">
        <v>45190.623171296298</v>
      </c>
      <c r="Q641" s="87" t="s">
        <v>2467</v>
      </c>
      <c r="R641" s="87">
        <v>1</v>
      </c>
      <c r="S641" s="87">
        <v>0</v>
      </c>
      <c r="T641" s="87">
        <v>0</v>
      </c>
      <c r="U641" s="87">
        <v>0</v>
      </c>
      <c r="V641" s="87"/>
      <c r="W641" s="93" t="s">
        <v>6281</v>
      </c>
      <c r="X641" s="87"/>
      <c r="Y641" s="87"/>
      <c r="Z641" s="87" t="s">
        <v>653</v>
      </c>
      <c r="AA641" s="87"/>
      <c r="AB641" s="87"/>
      <c r="AC641" s="93" t="s">
        <v>11457</v>
      </c>
      <c r="AD641" s="87" t="s">
        <v>11519</v>
      </c>
      <c r="AE641" s="92" t="str">
        <f>HYPERLINK("https://twitter.com/paineiraa/status/1704872454735134954")</f>
        <v>https://twitter.com/paineiraa/status/1704872454735134954</v>
      </c>
      <c r="AF641" s="90">
        <v>45190.623171296298</v>
      </c>
      <c r="AG641" s="99">
        <v>45190</v>
      </c>
      <c r="AH641" s="93" t="s">
        <v>12136</v>
      </c>
      <c r="AI641" s="87" t="b">
        <v>0</v>
      </c>
      <c r="AJ641" s="87"/>
      <c r="AK641" s="87"/>
      <c r="AL641" s="87"/>
      <c r="AM641" s="87"/>
      <c r="AN641" s="87"/>
      <c r="AO641" s="87"/>
      <c r="AP641" s="87"/>
      <c r="AQ641" s="87"/>
      <c r="AR641" s="87"/>
      <c r="AS641" s="87"/>
      <c r="AT641" s="87"/>
      <c r="AU641" s="87"/>
      <c r="AV641" s="92" t="str">
        <f>HYPERLINK("https://pbs.twimg.com/profile_images/1380521463527186434/nJ-2woyc_normal.jpg")</f>
        <v>https://pbs.twimg.com/profile_images/1380521463527186434/nJ-2woyc_normal.jpg</v>
      </c>
      <c r="AW641" s="93" t="s">
        <v>18890</v>
      </c>
      <c r="AX641" s="93" t="s">
        <v>18890</v>
      </c>
      <c r="AY641" s="87"/>
      <c r="AZ641" s="93" t="s">
        <v>22668</v>
      </c>
      <c r="BA641" s="93" t="s">
        <v>22668</v>
      </c>
      <c r="BB641" s="93" t="s">
        <v>19518</v>
      </c>
      <c r="BC641" s="93" t="s">
        <v>19518</v>
      </c>
      <c r="BD641" s="93" t="s">
        <v>22926</v>
      </c>
      <c r="BE641" s="87"/>
      <c r="BF641" s="87"/>
      <c r="BG641" s="87"/>
      <c r="BH641" s="87"/>
      <c r="BI641" s="87"/>
    </row>
    <row r="642" spans="1:61" x14ac:dyDescent="0.25">
      <c r="A642" s="63" t="s">
        <v>447</v>
      </c>
      <c r="B642" s="63" t="s">
        <v>447</v>
      </c>
      <c r="C642" s="64"/>
      <c r="D642" s="65"/>
      <c r="E642" s="66"/>
      <c r="F642" s="67"/>
      <c r="G642" s="64"/>
      <c r="H642" s="68"/>
      <c r="I642" s="69"/>
      <c r="J642" s="69"/>
      <c r="K642" s="32"/>
      <c r="L642" s="76">
        <v>642</v>
      </c>
      <c r="M642" s="76"/>
      <c r="N642" s="71"/>
      <c r="O642" s="87" t="s">
        <v>179</v>
      </c>
      <c r="P642" s="90">
        <v>45145.916886574072</v>
      </c>
      <c r="Q642" s="87" t="s">
        <v>2468</v>
      </c>
      <c r="R642" s="87">
        <v>0</v>
      </c>
      <c r="S642" s="87">
        <v>1</v>
      </c>
      <c r="T642" s="87">
        <v>0</v>
      </c>
      <c r="U642" s="87">
        <v>0</v>
      </c>
      <c r="V642" s="87">
        <v>25</v>
      </c>
      <c r="W642" s="93" t="s">
        <v>6282</v>
      </c>
      <c r="X642" s="87"/>
      <c r="Y642" s="87"/>
      <c r="Z642" s="87"/>
      <c r="AA642" s="87"/>
      <c r="AB642" s="87"/>
      <c r="AC642" s="93" t="s">
        <v>11457</v>
      </c>
      <c r="AD642" s="87" t="s">
        <v>11519</v>
      </c>
      <c r="AE642" s="92" t="str">
        <f>HYPERLINK("https://twitter.com/indanna_gestao/status/1688671438927015937")</f>
        <v>https://twitter.com/indanna_gestao/status/1688671438927015937</v>
      </c>
      <c r="AF642" s="90">
        <v>45145.916886574072</v>
      </c>
      <c r="AG642" s="99">
        <v>45145</v>
      </c>
      <c r="AH642" s="93" t="s">
        <v>12137</v>
      </c>
      <c r="AI642" s="87"/>
      <c r="AJ642" s="87"/>
      <c r="AK642" s="87"/>
      <c r="AL642" s="87"/>
      <c r="AM642" s="87"/>
      <c r="AN642" s="87"/>
      <c r="AO642" s="87"/>
      <c r="AP642" s="87"/>
      <c r="AQ642" s="87"/>
      <c r="AR642" s="87"/>
      <c r="AS642" s="87"/>
      <c r="AT642" s="87"/>
      <c r="AU642" s="87"/>
      <c r="AV642" s="92" t="str">
        <f>HYPERLINK("https://pbs.twimg.com/profile_images/1675876097949331456/XPGkQfUT_normal.jpg")</f>
        <v>https://pbs.twimg.com/profile_images/1675876097949331456/XPGkQfUT_normal.jpg</v>
      </c>
      <c r="AW642" s="93" t="s">
        <v>18891</v>
      </c>
      <c r="AX642" s="93" t="s">
        <v>18891</v>
      </c>
      <c r="AY642" s="87"/>
      <c r="AZ642" s="93" t="s">
        <v>22668</v>
      </c>
      <c r="BA642" s="93" t="s">
        <v>22668</v>
      </c>
      <c r="BB642" s="93" t="s">
        <v>22668</v>
      </c>
      <c r="BC642" s="93" t="s">
        <v>18891</v>
      </c>
      <c r="BD642" s="93" t="s">
        <v>22927</v>
      </c>
      <c r="BE642" s="87"/>
      <c r="BF642" s="87"/>
      <c r="BG642" s="87"/>
      <c r="BH642" s="87"/>
      <c r="BI642" s="87"/>
    </row>
    <row r="643" spans="1:61" x14ac:dyDescent="0.25">
      <c r="A643" s="63" t="s">
        <v>448</v>
      </c>
      <c r="B643" s="63" t="s">
        <v>1640</v>
      </c>
      <c r="C643" s="64"/>
      <c r="D643" s="65"/>
      <c r="E643" s="66"/>
      <c r="F643" s="67"/>
      <c r="G643" s="64"/>
      <c r="H643" s="68"/>
      <c r="I643" s="69"/>
      <c r="J643" s="69"/>
      <c r="K643" s="32"/>
      <c r="L643" s="76">
        <v>643</v>
      </c>
      <c r="M643" s="76"/>
      <c r="N643" s="71"/>
      <c r="O643" s="87" t="s">
        <v>1839</v>
      </c>
      <c r="P643" s="90">
        <v>45191.5</v>
      </c>
      <c r="Q643" s="87" t="s">
        <v>2469</v>
      </c>
      <c r="R643" s="87">
        <v>0</v>
      </c>
      <c r="S643" s="87">
        <v>5</v>
      </c>
      <c r="T643" s="87">
        <v>0</v>
      </c>
      <c r="U643" s="87">
        <v>0</v>
      </c>
      <c r="V643" s="87">
        <v>81</v>
      </c>
      <c r="W643" s="93" t="s">
        <v>6283</v>
      </c>
      <c r="X643" s="87" t="s">
        <v>8344</v>
      </c>
      <c r="Y643" s="87" t="s">
        <v>8406</v>
      </c>
      <c r="Z643" s="87" t="s">
        <v>1640</v>
      </c>
      <c r="AA643" s="87" t="s">
        <v>9049</v>
      </c>
      <c r="AB643" s="87" t="s">
        <v>11448</v>
      </c>
      <c r="AC643" s="93" t="s">
        <v>11473</v>
      </c>
      <c r="AD643" s="87" t="s">
        <v>11519</v>
      </c>
      <c r="AE643" s="92" t="str">
        <f>HYPERLINK("https://twitter.com/fortinetbrasil/status/1705190207119647055")</f>
        <v>https://twitter.com/fortinetbrasil/status/1705190207119647055</v>
      </c>
      <c r="AF643" s="90">
        <v>45191.5</v>
      </c>
      <c r="AG643" s="99">
        <v>45191</v>
      </c>
      <c r="AH643" s="93" t="s">
        <v>12089</v>
      </c>
      <c r="AI643" s="87" t="b">
        <v>0</v>
      </c>
      <c r="AJ643" s="87"/>
      <c r="AK643" s="87"/>
      <c r="AL643" s="87"/>
      <c r="AM643" s="87"/>
      <c r="AN643" s="87"/>
      <c r="AO643" s="87"/>
      <c r="AP643" s="87"/>
      <c r="AQ643" s="87" t="s">
        <v>15862</v>
      </c>
      <c r="AR643" s="87"/>
      <c r="AS643" s="87"/>
      <c r="AT643" s="87"/>
      <c r="AU643" s="87"/>
      <c r="AV643" s="92" t="str">
        <f>HYPERLINK("https://pbs.twimg.com/media/F6oNdPUXgAAMxJe.png")</f>
        <v>https://pbs.twimg.com/media/F6oNdPUXgAAMxJe.png</v>
      </c>
      <c r="AW643" s="93" t="s">
        <v>18892</v>
      </c>
      <c r="AX643" s="93" t="s">
        <v>18892</v>
      </c>
      <c r="AY643" s="87"/>
      <c r="AZ643" s="93" t="s">
        <v>22668</v>
      </c>
      <c r="BA643" s="93" t="s">
        <v>22668</v>
      </c>
      <c r="BB643" s="93" t="s">
        <v>22668</v>
      </c>
      <c r="BC643" s="93" t="s">
        <v>18892</v>
      </c>
      <c r="BD643" s="93" t="s">
        <v>22928</v>
      </c>
      <c r="BE643" s="87"/>
      <c r="BF643" s="87"/>
      <c r="BG643" s="87"/>
      <c r="BH643" s="87"/>
      <c r="BI643" s="87"/>
    </row>
    <row r="644" spans="1:61" x14ac:dyDescent="0.25">
      <c r="A644" s="63" t="s">
        <v>449</v>
      </c>
      <c r="B644" s="63" t="s">
        <v>449</v>
      </c>
      <c r="C644" s="64"/>
      <c r="D644" s="65"/>
      <c r="E644" s="66"/>
      <c r="F644" s="67"/>
      <c r="G644" s="64"/>
      <c r="H644" s="68"/>
      <c r="I644" s="69"/>
      <c r="J644" s="69"/>
      <c r="K644" s="32"/>
      <c r="L644" s="76">
        <v>644</v>
      </c>
      <c r="M644" s="76"/>
      <c r="N644" s="71"/>
      <c r="O644" s="87" t="s">
        <v>179</v>
      </c>
      <c r="P644" s="90">
        <v>45131.473310185182</v>
      </c>
      <c r="Q644" s="87" t="s">
        <v>2470</v>
      </c>
      <c r="R644" s="87">
        <v>0</v>
      </c>
      <c r="S644" s="87">
        <v>0</v>
      </c>
      <c r="T644" s="87">
        <v>0</v>
      </c>
      <c r="U644" s="87">
        <v>0</v>
      </c>
      <c r="V644" s="87">
        <v>89</v>
      </c>
      <c r="W644" s="93" t="s">
        <v>6284</v>
      </c>
      <c r="X644" s="92" t="str">
        <f>HYPERLINK("https://www.jornalcontabil.com.br/quer-abrir-uma-empresa-vai-precisar-ter-esses-documentos/")</f>
        <v>https://www.jornalcontabil.com.br/quer-abrir-uma-empresa-vai-precisar-ter-esses-documentos/</v>
      </c>
      <c r="Y644" s="87" t="s">
        <v>8373</v>
      </c>
      <c r="Z644" s="87"/>
      <c r="AA644" s="87"/>
      <c r="AB644" s="87"/>
      <c r="AC644" s="93" t="s">
        <v>11457</v>
      </c>
      <c r="AD644" s="87" t="s">
        <v>11519</v>
      </c>
      <c r="AE644" s="92" t="str">
        <f>HYPERLINK("https://twitter.com/jornalcontabil_/status/1683437259465392128")</f>
        <v>https://twitter.com/jornalcontabil_/status/1683437259465392128</v>
      </c>
      <c r="AF644" s="90">
        <v>45131.473310185182</v>
      </c>
      <c r="AG644" s="99">
        <v>45131</v>
      </c>
      <c r="AH644" s="93" t="s">
        <v>12138</v>
      </c>
      <c r="AI644" s="87" t="b">
        <v>0</v>
      </c>
      <c r="AJ644" s="87"/>
      <c r="AK644" s="87"/>
      <c r="AL644" s="87"/>
      <c r="AM644" s="87"/>
      <c r="AN644" s="87"/>
      <c r="AO644" s="87"/>
      <c r="AP644" s="87"/>
      <c r="AQ644" s="87"/>
      <c r="AR644" s="87"/>
      <c r="AS644" s="87"/>
      <c r="AT644" s="87"/>
      <c r="AU644" s="87"/>
      <c r="AV644" s="92" t="str">
        <f>HYPERLINK("https://pbs.twimg.com/profile_images/1618704448913645585/SRa-pW4s_normal.jpg")</f>
        <v>https://pbs.twimg.com/profile_images/1618704448913645585/SRa-pW4s_normal.jpg</v>
      </c>
      <c r="AW644" s="93" t="s">
        <v>18893</v>
      </c>
      <c r="AX644" s="93" t="s">
        <v>18893</v>
      </c>
      <c r="AY644" s="87"/>
      <c r="AZ644" s="93" t="s">
        <v>22668</v>
      </c>
      <c r="BA644" s="93" t="s">
        <v>22668</v>
      </c>
      <c r="BB644" s="93" t="s">
        <v>22668</v>
      </c>
      <c r="BC644" s="93" t="s">
        <v>18893</v>
      </c>
      <c r="BD644" s="87">
        <v>212916157</v>
      </c>
      <c r="BE644" s="87"/>
      <c r="BF644" s="87"/>
      <c r="BG644" s="87"/>
      <c r="BH644" s="87"/>
      <c r="BI644" s="87"/>
    </row>
    <row r="645" spans="1:61" x14ac:dyDescent="0.25">
      <c r="A645" s="63" t="s">
        <v>449</v>
      </c>
      <c r="B645" s="63" t="s">
        <v>449</v>
      </c>
      <c r="C645" s="64"/>
      <c r="D645" s="65"/>
      <c r="E645" s="66"/>
      <c r="F645" s="67"/>
      <c r="G645" s="64"/>
      <c r="H645" s="68"/>
      <c r="I645" s="69"/>
      <c r="J645" s="69"/>
      <c r="K645" s="32"/>
      <c r="L645" s="76">
        <v>645</v>
      </c>
      <c r="M645" s="76"/>
      <c r="N645" s="71"/>
      <c r="O645" s="87" t="s">
        <v>179</v>
      </c>
      <c r="P645" s="90">
        <v>45142.958356481482</v>
      </c>
      <c r="Q645" s="87" t="s">
        <v>2471</v>
      </c>
      <c r="R645" s="87">
        <v>0</v>
      </c>
      <c r="S645" s="87">
        <v>0</v>
      </c>
      <c r="T645" s="87">
        <v>0</v>
      </c>
      <c r="U645" s="87">
        <v>0</v>
      </c>
      <c r="V645" s="87">
        <v>99</v>
      </c>
      <c r="W645" s="93" t="s">
        <v>6285</v>
      </c>
      <c r="X645" s="92" t="str">
        <f>HYPERLINK("https://www.jornalcontabil.com.br/projeto-que-estimula-o-empreendedorismo-no-brasil-e-aprovado-pela-comissao/")</f>
        <v>https://www.jornalcontabil.com.br/projeto-que-estimula-o-empreendedorismo-no-brasil-e-aprovado-pela-comissao/</v>
      </c>
      <c r="Y645" s="87" t="s">
        <v>8373</v>
      </c>
      <c r="Z645" s="87"/>
      <c r="AA645" s="87" t="s">
        <v>9050</v>
      </c>
      <c r="AB645" s="87" t="s">
        <v>11448</v>
      </c>
      <c r="AC645" s="93" t="s">
        <v>11457</v>
      </c>
      <c r="AD645" s="87" t="s">
        <v>11519</v>
      </c>
      <c r="AE645" s="92" t="str">
        <f>HYPERLINK("https://twitter.com/jornalcontabil_/status/1687599300916981766")</f>
        <v>https://twitter.com/jornalcontabil_/status/1687599300916981766</v>
      </c>
      <c r="AF645" s="90">
        <v>45142.958356481482</v>
      </c>
      <c r="AG645" s="99">
        <v>45142</v>
      </c>
      <c r="AH645" s="93" t="s">
        <v>12139</v>
      </c>
      <c r="AI645" s="87" t="b">
        <v>0</v>
      </c>
      <c r="AJ645" s="87"/>
      <c r="AK645" s="87"/>
      <c r="AL645" s="87"/>
      <c r="AM645" s="87"/>
      <c r="AN645" s="87"/>
      <c r="AO645" s="87"/>
      <c r="AP645" s="87"/>
      <c r="AQ645" s="87" t="s">
        <v>15863</v>
      </c>
      <c r="AR645" s="87"/>
      <c r="AS645" s="87"/>
      <c r="AT645" s="87"/>
      <c r="AU645" s="87"/>
      <c r="AV645" s="92" t="str">
        <f>HYPERLINK("https://pbs.twimg.com/media/F2ta8HOXYAArg98.jpg")</f>
        <v>https://pbs.twimg.com/media/F2ta8HOXYAArg98.jpg</v>
      </c>
      <c r="AW645" s="93" t="s">
        <v>18894</v>
      </c>
      <c r="AX645" s="93" t="s">
        <v>18894</v>
      </c>
      <c r="AY645" s="87"/>
      <c r="AZ645" s="93" t="s">
        <v>22668</v>
      </c>
      <c r="BA645" s="93" t="s">
        <v>22668</v>
      </c>
      <c r="BB645" s="93" t="s">
        <v>22668</v>
      </c>
      <c r="BC645" s="93" t="s">
        <v>18894</v>
      </c>
      <c r="BD645" s="87">
        <v>212916157</v>
      </c>
      <c r="BE645" s="87"/>
      <c r="BF645" s="87"/>
      <c r="BG645" s="87"/>
      <c r="BH645" s="87"/>
      <c r="BI645" s="87"/>
    </row>
    <row r="646" spans="1:61" x14ac:dyDescent="0.25">
      <c r="A646" s="63" t="s">
        <v>449</v>
      </c>
      <c r="B646" s="63" t="s">
        <v>449</v>
      </c>
      <c r="C646" s="64"/>
      <c r="D646" s="65"/>
      <c r="E646" s="66"/>
      <c r="F646" s="67"/>
      <c r="G646" s="64"/>
      <c r="H646" s="68"/>
      <c r="I646" s="69"/>
      <c r="J646" s="69"/>
      <c r="K646" s="32"/>
      <c r="L646" s="76">
        <v>646</v>
      </c>
      <c r="M646" s="76"/>
      <c r="N646" s="71"/>
      <c r="O646" s="87" t="s">
        <v>179</v>
      </c>
      <c r="P646" s="90">
        <v>45145.521840277775</v>
      </c>
      <c r="Q646" s="87" t="s">
        <v>2472</v>
      </c>
      <c r="R646" s="87">
        <v>0</v>
      </c>
      <c r="S646" s="87">
        <v>0</v>
      </c>
      <c r="T646" s="87">
        <v>0</v>
      </c>
      <c r="U646" s="87">
        <v>0</v>
      </c>
      <c r="V646" s="87">
        <v>85</v>
      </c>
      <c r="W646" s="93" t="s">
        <v>6286</v>
      </c>
      <c r="X646" s="92" t="str">
        <f>HYPERLINK("https://www.jornalcontabil.com.br/projeto-que-estimula-o-empreendedorismo-no-brasil-e-aprovado-pela-comissao/")</f>
        <v>https://www.jornalcontabil.com.br/projeto-que-estimula-o-empreendedorismo-no-brasil-e-aprovado-pela-comissao/</v>
      </c>
      <c r="Y646" s="87" t="s">
        <v>8373</v>
      </c>
      <c r="Z646" s="87"/>
      <c r="AA646" s="87"/>
      <c r="AB646" s="87"/>
      <c r="AC646" s="93" t="s">
        <v>11457</v>
      </c>
      <c r="AD646" s="87" t="s">
        <v>11519</v>
      </c>
      <c r="AE646" s="92" t="str">
        <f>HYPERLINK("https://twitter.com/jornalcontabil_/status/1688528279693561856")</f>
        <v>https://twitter.com/jornalcontabil_/status/1688528279693561856</v>
      </c>
      <c r="AF646" s="90">
        <v>45145.521840277775</v>
      </c>
      <c r="AG646" s="99">
        <v>45145</v>
      </c>
      <c r="AH646" s="93" t="s">
        <v>12140</v>
      </c>
      <c r="AI646" s="87" t="b">
        <v>0</v>
      </c>
      <c r="AJ646" s="87"/>
      <c r="AK646" s="87"/>
      <c r="AL646" s="87"/>
      <c r="AM646" s="87"/>
      <c r="AN646" s="87"/>
      <c r="AO646" s="87"/>
      <c r="AP646" s="87"/>
      <c r="AQ646" s="87"/>
      <c r="AR646" s="87"/>
      <c r="AS646" s="87"/>
      <c r="AT646" s="87"/>
      <c r="AU646" s="87"/>
      <c r="AV646" s="92" t="str">
        <f>HYPERLINK("https://pbs.twimg.com/profile_images/1618704448913645585/SRa-pW4s_normal.jpg")</f>
        <v>https://pbs.twimg.com/profile_images/1618704448913645585/SRa-pW4s_normal.jpg</v>
      </c>
      <c r="AW646" s="93" t="s">
        <v>18895</v>
      </c>
      <c r="AX646" s="93" t="s">
        <v>18895</v>
      </c>
      <c r="AY646" s="87"/>
      <c r="AZ646" s="93" t="s">
        <v>22668</v>
      </c>
      <c r="BA646" s="93" t="s">
        <v>22668</v>
      </c>
      <c r="BB646" s="93" t="s">
        <v>22668</v>
      </c>
      <c r="BC646" s="93" t="s">
        <v>18895</v>
      </c>
      <c r="BD646" s="87">
        <v>212916157</v>
      </c>
      <c r="BE646" s="87"/>
      <c r="BF646" s="87"/>
      <c r="BG646" s="87"/>
      <c r="BH646" s="87"/>
      <c r="BI646" s="87"/>
    </row>
    <row r="647" spans="1:61" x14ac:dyDescent="0.25">
      <c r="A647" s="63" t="s">
        <v>449</v>
      </c>
      <c r="B647" s="63" t="s">
        <v>449</v>
      </c>
      <c r="C647" s="64"/>
      <c r="D647" s="65"/>
      <c r="E647" s="66"/>
      <c r="F647" s="67"/>
      <c r="G647" s="64"/>
      <c r="H647" s="68"/>
      <c r="I647" s="69"/>
      <c r="J647" s="69"/>
      <c r="K647" s="32"/>
      <c r="L647" s="76">
        <v>647</v>
      </c>
      <c r="M647" s="76"/>
      <c r="N647" s="71"/>
      <c r="O647" s="87" t="s">
        <v>179</v>
      </c>
      <c r="P647" s="90">
        <v>45150.708344907405</v>
      </c>
      <c r="Q647" s="87" t="s">
        <v>2473</v>
      </c>
      <c r="R647" s="87">
        <v>1</v>
      </c>
      <c r="S647" s="87">
        <v>1</v>
      </c>
      <c r="T647" s="87">
        <v>0</v>
      </c>
      <c r="U647" s="87">
        <v>0</v>
      </c>
      <c r="V647" s="87">
        <v>176</v>
      </c>
      <c r="W647" s="93" t="s">
        <v>6287</v>
      </c>
      <c r="X647" s="92" t="str">
        <f>HYPERLINK("https://www.jornalcontabil.com.br/quais-areas-contabeis-que-pagam-melhor-no-brasil/")</f>
        <v>https://www.jornalcontabil.com.br/quais-areas-contabeis-que-pagam-melhor-no-brasil/</v>
      </c>
      <c r="Y647" s="87" t="s">
        <v>8373</v>
      </c>
      <c r="Z647" s="87"/>
      <c r="AA647" s="87"/>
      <c r="AB647" s="87"/>
      <c r="AC647" s="93" t="s">
        <v>11457</v>
      </c>
      <c r="AD647" s="87" t="s">
        <v>11519</v>
      </c>
      <c r="AE647" s="92" t="str">
        <f>HYPERLINK("https://twitter.com/jornalcontabil_/status/1690407805746843648")</f>
        <v>https://twitter.com/jornalcontabil_/status/1690407805746843648</v>
      </c>
      <c r="AF647" s="90">
        <v>45150.708344907405</v>
      </c>
      <c r="AG647" s="99">
        <v>45150</v>
      </c>
      <c r="AH647" s="93" t="s">
        <v>12141</v>
      </c>
      <c r="AI647" s="87" t="b">
        <v>0</v>
      </c>
      <c r="AJ647" s="87"/>
      <c r="AK647" s="87"/>
      <c r="AL647" s="87"/>
      <c r="AM647" s="87"/>
      <c r="AN647" s="87"/>
      <c r="AO647" s="87"/>
      <c r="AP647" s="87"/>
      <c r="AQ647" s="87"/>
      <c r="AR647" s="87"/>
      <c r="AS647" s="87"/>
      <c r="AT647" s="87"/>
      <c r="AU647" s="87"/>
      <c r="AV647" s="92" t="str">
        <f>HYPERLINK("https://pbs.twimg.com/profile_images/1618704448913645585/SRa-pW4s_normal.jpg")</f>
        <v>https://pbs.twimg.com/profile_images/1618704448913645585/SRa-pW4s_normal.jpg</v>
      </c>
      <c r="AW647" s="93" t="s">
        <v>18896</v>
      </c>
      <c r="AX647" s="93" t="s">
        <v>18896</v>
      </c>
      <c r="AY647" s="87"/>
      <c r="AZ647" s="93" t="s">
        <v>22668</v>
      </c>
      <c r="BA647" s="93" t="s">
        <v>22668</v>
      </c>
      <c r="BB647" s="93" t="s">
        <v>22668</v>
      </c>
      <c r="BC647" s="93" t="s">
        <v>18896</v>
      </c>
      <c r="BD647" s="87">
        <v>212916157</v>
      </c>
      <c r="BE647" s="87"/>
      <c r="BF647" s="87"/>
      <c r="BG647" s="87"/>
      <c r="BH647" s="87"/>
      <c r="BI647" s="87"/>
    </row>
    <row r="648" spans="1:61" x14ac:dyDescent="0.25">
      <c r="A648" s="63" t="s">
        <v>449</v>
      </c>
      <c r="B648" s="63" t="s">
        <v>449</v>
      </c>
      <c r="C648" s="64"/>
      <c r="D648" s="65"/>
      <c r="E648" s="66"/>
      <c r="F648" s="67"/>
      <c r="G648" s="64"/>
      <c r="H648" s="68"/>
      <c r="I648" s="69"/>
      <c r="J648" s="69"/>
      <c r="K648" s="32"/>
      <c r="L648" s="76">
        <v>648</v>
      </c>
      <c r="M648" s="76"/>
      <c r="N648" s="71"/>
      <c r="O648" s="87" t="s">
        <v>179</v>
      </c>
      <c r="P648" s="90">
        <v>45138.587951388887</v>
      </c>
      <c r="Q648" s="87" t="s">
        <v>2474</v>
      </c>
      <c r="R648" s="87">
        <v>1</v>
      </c>
      <c r="S648" s="87">
        <v>0</v>
      </c>
      <c r="T648" s="87">
        <v>0</v>
      </c>
      <c r="U648" s="87">
        <v>0</v>
      </c>
      <c r="V648" s="87">
        <v>124</v>
      </c>
      <c r="W648" s="93" t="s">
        <v>6288</v>
      </c>
      <c r="X648" s="92" t="str">
        <f>HYPERLINK("https://www.jornalcontabil.com.br/voce-e-mei-e-quer-mudar-para-me-acompanhe-o-passo-a-passo/")</f>
        <v>https://www.jornalcontabil.com.br/voce-e-mei-e-quer-mudar-para-me-acompanhe-o-passo-a-passo/</v>
      </c>
      <c r="Y648" s="87" t="s">
        <v>8373</v>
      </c>
      <c r="Z648" s="87"/>
      <c r="AA648" s="87"/>
      <c r="AB648" s="87"/>
      <c r="AC648" s="93" t="s">
        <v>11457</v>
      </c>
      <c r="AD648" s="87" t="s">
        <v>11519</v>
      </c>
      <c r="AE648" s="92" t="str">
        <f>HYPERLINK("https://twitter.com/jornalcontabil_/status/1686015520108068864")</f>
        <v>https://twitter.com/jornalcontabil_/status/1686015520108068864</v>
      </c>
      <c r="AF648" s="90">
        <v>45138.587951388887</v>
      </c>
      <c r="AG648" s="99">
        <v>45138</v>
      </c>
      <c r="AH648" s="93" t="s">
        <v>12142</v>
      </c>
      <c r="AI648" s="87" t="b">
        <v>0</v>
      </c>
      <c r="AJ648" s="87"/>
      <c r="AK648" s="87"/>
      <c r="AL648" s="87"/>
      <c r="AM648" s="87"/>
      <c r="AN648" s="87"/>
      <c r="AO648" s="87"/>
      <c r="AP648" s="87"/>
      <c r="AQ648" s="87"/>
      <c r="AR648" s="87"/>
      <c r="AS648" s="87"/>
      <c r="AT648" s="87"/>
      <c r="AU648" s="87"/>
      <c r="AV648" s="92" t="str">
        <f>HYPERLINK("https://pbs.twimg.com/profile_images/1618704448913645585/SRa-pW4s_normal.jpg")</f>
        <v>https://pbs.twimg.com/profile_images/1618704448913645585/SRa-pW4s_normal.jpg</v>
      </c>
      <c r="AW648" s="93" t="s">
        <v>18897</v>
      </c>
      <c r="AX648" s="93" t="s">
        <v>18897</v>
      </c>
      <c r="AY648" s="87"/>
      <c r="AZ648" s="93" t="s">
        <v>22668</v>
      </c>
      <c r="BA648" s="93" t="s">
        <v>22668</v>
      </c>
      <c r="BB648" s="93" t="s">
        <v>22668</v>
      </c>
      <c r="BC648" s="93" t="s">
        <v>18897</v>
      </c>
      <c r="BD648" s="87">
        <v>212916157</v>
      </c>
      <c r="BE648" s="87"/>
      <c r="BF648" s="87"/>
      <c r="BG648" s="87"/>
      <c r="BH648" s="87"/>
      <c r="BI648" s="87"/>
    </row>
    <row r="649" spans="1:61" x14ac:dyDescent="0.25">
      <c r="A649" s="63" t="s">
        <v>449</v>
      </c>
      <c r="B649" s="63" t="s">
        <v>449</v>
      </c>
      <c r="C649" s="64"/>
      <c r="D649" s="65"/>
      <c r="E649" s="66"/>
      <c r="F649" s="67"/>
      <c r="G649" s="64"/>
      <c r="H649" s="68"/>
      <c r="I649" s="69"/>
      <c r="J649" s="69"/>
      <c r="K649" s="32"/>
      <c r="L649" s="76">
        <v>649</v>
      </c>
      <c r="M649" s="76"/>
      <c r="N649" s="71"/>
      <c r="O649" s="87" t="s">
        <v>179</v>
      </c>
      <c r="P649" s="90">
        <v>45122.875011574077</v>
      </c>
      <c r="Q649" s="87" t="s">
        <v>2475</v>
      </c>
      <c r="R649" s="87">
        <v>1</v>
      </c>
      <c r="S649" s="87">
        <v>2</v>
      </c>
      <c r="T649" s="87">
        <v>0</v>
      </c>
      <c r="U649" s="87">
        <v>0</v>
      </c>
      <c r="V649" s="87">
        <v>182</v>
      </c>
      <c r="W649" s="93" t="s">
        <v>6289</v>
      </c>
      <c r="X649" s="92" t="str">
        <f>HYPERLINK("https://www.jornalcontabil.com.br/empreendedorismo-cative-e-fidelize-seu-cliente-oferecendo-mimos/")</f>
        <v>https://www.jornalcontabil.com.br/empreendedorismo-cative-e-fidelize-seu-cliente-oferecendo-mimos/</v>
      </c>
      <c r="Y649" s="87" t="s">
        <v>8373</v>
      </c>
      <c r="Z649" s="87"/>
      <c r="AA649" s="87" t="s">
        <v>9051</v>
      </c>
      <c r="AB649" s="87" t="s">
        <v>11447</v>
      </c>
      <c r="AC649" s="93" t="s">
        <v>11457</v>
      </c>
      <c r="AD649" s="87" t="s">
        <v>11519</v>
      </c>
      <c r="AE649" s="92" t="str">
        <f>HYPERLINK("https://twitter.com/jornalcontabil_/status/1680321340874653713")</f>
        <v>https://twitter.com/jornalcontabil_/status/1680321340874653713</v>
      </c>
      <c r="AF649" s="90">
        <v>45122.875011574077</v>
      </c>
      <c r="AG649" s="99">
        <v>45122</v>
      </c>
      <c r="AH649" s="93" t="s">
        <v>11667</v>
      </c>
      <c r="AI649" s="87" t="b">
        <v>0</v>
      </c>
      <c r="AJ649" s="87"/>
      <c r="AK649" s="87"/>
      <c r="AL649" s="87"/>
      <c r="AM649" s="87"/>
      <c r="AN649" s="87"/>
      <c r="AO649" s="87"/>
      <c r="AP649" s="87"/>
      <c r="AQ649" s="87" t="s">
        <v>15864</v>
      </c>
      <c r="AR649" s="87">
        <v>58390</v>
      </c>
      <c r="AS649" s="87"/>
      <c r="AT649" s="87"/>
      <c r="AU649" s="87"/>
      <c r="AV649" s="92" t="str">
        <f>HYPERLINK("https://pbs.twimg.com/ext_tw_video_thumb/1679527419986731009/pu/img/DDU_xXiL6uZm8YaG.jpg")</f>
        <v>https://pbs.twimg.com/ext_tw_video_thumb/1679527419986731009/pu/img/DDU_xXiL6uZm8YaG.jpg</v>
      </c>
      <c r="AW649" s="93" t="s">
        <v>18898</v>
      </c>
      <c r="AX649" s="93" t="s">
        <v>18898</v>
      </c>
      <c r="AY649" s="87"/>
      <c r="AZ649" s="93" t="s">
        <v>22668</v>
      </c>
      <c r="BA649" s="93" t="s">
        <v>22668</v>
      </c>
      <c r="BB649" s="93" t="s">
        <v>22668</v>
      </c>
      <c r="BC649" s="93" t="s">
        <v>18898</v>
      </c>
      <c r="BD649" s="87">
        <v>212916157</v>
      </c>
      <c r="BE649" s="87"/>
      <c r="BF649" s="87"/>
      <c r="BG649" s="87"/>
      <c r="BH649" s="87"/>
      <c r="BI649" s="87"/>
    </row>
    <row r="650" spans="1:61" x14ac:dyDescent="0.25">
      <c r="A650" s="63" t="s">
        <v>449</v>
      </c>
      <c r="B650" s="63" t="s">
        <v>449</v>
      </c>
      <c r="C650" s="64"/>
      <c r="D650" s="65"/>
      <c r="E650" s="66"/>
      <c r="F650" s="67"/>
      <c r="G650" s="64"/>
      <c r="H650" s="68"/>
      <c r="I650" s="69"/>
      <c r="J650" s="69"/>
      <c r="K650" s="32"/>
      <c r="L650" s="76">
        <v>650</v>
      </c>
      <c r="M650" s="76"/>
      <c r="N650" s="71"/>
      <c r="O650" s="87" t="s">
        <v>179</v>
      </c>
      <c r="P650" s="90">
        <v>45149.916678240741</v>
      </c>
      <c r="Q650" s="87" t="s">
        <v>2476</v>
      </c>
      <c r="R650" s="87">
        <v>0</v>
      </c>
      <c r="S650" s="87">
        <v>0</v>
      </c>
      <c r="T650" s="87">
        <v>0</v>
      </c>
      <c r="U650" s="87">
        <v>0</v>
      </c>
      <c r="V650" s="87">
        <v>93</v>
      </c>
      <c r="W650" s="93" t="s">
        <v>6288</v>
      </c>
      <c r="X650" s="92" t="str">
        <f>HYPERLINK("https://www.jornalcontabil.com.br/mei-pode-ser-excluido-da-categoria-sem-solicitacao/")</f>
        <v>https://www.jornalcontabil.com.br/mei-pode-ser-excluido-da-categoria-sem-solicitacao/</v>
      </c>
      <c r="Y650" s="87" t="s">
        <v>8373</v>
      </c>
      <c r="Z650" s="87"/>
      <c r="AA650" s="87"/>
      <c r="AB650" s="87"/>
      <c r="AC650" s="93" t="s">
        <v>11457</v>
      </c>
      <c r="AD650" s="87" t="s">
        <v>11519</v>
      </c>
      <c r="AE650" s="92" t="str">
        <f>HYPERLINK("https://twitter.com/jornalcontabil_/status/1690120915877859331")</f>
        <v>https://twitter.com/jornalcontabil_/status/1690120915877859331</v>
      </c>
      <c r="AF650" s="90">
        <v>45149.916678240741</v>
      </c>
      <c r="AG650" s="99">
        <v>45149</v>
      </c>
      <c r="AH650" s="93" t="s">
        <v>12143</v>
      </c>
      <c r="AI650" s="87" t="b">
        <v>0</v>
      </c>
      <c r="AJ650" s="87"/>
      <c r="AK650" s="87"/>
      <c r="AL650" s="87"/>
      <c r="AM650" s="87"/>
      <c r="AN650" s="87"/>
      <c r="AO650" s="87"/>
      <c r="AP650" s="87"/>
      <c r="AQ650" s="87"/>
      <c r="AR650" s="87"/>
      <c r="AS650" s="87"/>
      <c r="AT650" s="87"/>
      <c r="AU650" s="87"/>
      <c r="AV650" s="92" t="str">
        <f>HYPERLINK("https://pbs.twimg.com/profile_images/1618704448913645585/SRa-pW4s_normal.jpg")</f>
        <v>https://pbs.twimg.com/profile_images/1618704448913645585/SRa-pW4s_normal.jpg</v>
      </c>
      <c r="AW650" s="93" t="s">
        <v>18899</v>
      </c>
      <c r="AX650" s="93" t="s">
        <v>18899</v>
      </c>
      <c r="AY650" s="87"/>
      <c r="AZ650" s="93" t="s">
        <v>22668</v>
      </c>
      <c r="BA650" s="93" t="s">
        <v>22668</v>
      </c>
      <c r="BB650" s="93" t="s">
        <v>22668</v>
      </c>
      <c r="BC650" s="93" t="s">
        <v>18899</v>
      </c>
      <c r="BD650" s="87">
        <v>212916157</v>
      </c>
      <c r="BE650" s="87"/>
      <c r="BF650" s="87"/>
      <c r="BG650" s="87"/>
      <c r="BH650" s="87"/>
      <c r="BI650" s="87"/>
    </row>
    <row r="651" spans="1:61" x14ac:dyDescent="0.25">
      <c r="A651" s="63" t="s">
        <v>449</v>
      </c>
      <c r="B651" s="63" t="s">
        <v>449</v>
      </c>
      <c r="C651" s="64"/>
      <c r="D651" s="65"/>
      <c r="E651" s="66"/>
      <c r="F651" s="67"/>
      <c r="G651" s="64"/>
      <c r="H651" s="68"/>
      <c r="I651" s="69"/>
      <c r="J651" s="69"/>
      <c r="K651" s="32"/>
      <c r="L651" s="76">
        <v>651</v>
      </c>
      <c r="M651" s="76"/>
      <c r="N651" s="71"/>
      <c r="O651" s="87" t="s">
        <v>179</v>
      </c>
      <c r="P651" s="90">
        <v>45137.583344907405</v>
      </c>
      <c r="Q651" s="87" t="s">
        <v>2477</v>
      </c>
      <c r="R651" s="87">
        <v>1</v>
      </c>
      <c r="S651" s="87">
        <v>1</v>
      </c>
      <c r="T651" s="87">
        <v>0</v>
      </c>
      <c r="U651" s="87">
        <v>0</v>
      </c>
      <c r="V651" s="87">
        <v>112</v>
      </c>
      <c r="W651" s="93" t="s">
        <v>6290</v>
      </c>
      <c r="X651" s="92" t="str">
        <f>HYPERLINK("https://www.jornalcontabil.com.br/empreendedorismo-qual-e-o-momento-de-fechar-um-negocio/")</f>
        <v>https://www.jornalcontabil.com.br/empreendedorismo-qual-e-o-momento-de-fechar-um-negocio/</v>
      </c>
      <c r="Y651" s="87" t="s">
        <v>8373</v>
      </c>
      <c r="Z651" s="87"/>
      <c r="AA651" s="87"/>
      <c r="AB651" s="87"/>
      <c r="AC651" s="93" t="s">
        <v>11457</v>
      </c>
      <c r="AD651" s="87" t="s">
        <v>11519</v>
      </c>
      <c r="AE651" s="92" t="str">
        <f>HYPERLINK("https://twitter.com/jornalcontabil_/status/1685651464088383488")</f>
        <v>https://twitter.com/jornalcontabil_/status/1685651464088383488</v>
      </c>
      <c r="AF651" s="90">
        <v>45137.583344907405</v>
      </c>
      <c r="AG651" s="99">
        <v>45137</v>
      </c>
      <c r="AH651" s="93" t="s">
        <v>12144</v>
      </c>
      <c r="AI651" s="87" t="b">
        <v>0</v>
      </c>
      <c r="AJ651" s="87"/>
      <c r="AK651" s="87"/>
      <c r="AL651" s="87"/>
      <c r="AM651" s="87"/>
      <c r="AN651" s="87"/>
      <c r="AO651" s="87"/>
      <c r="AP651" s="87"/>
      <c r="AQ651" s="87"/>
      <c r="AR651" s="87"/>
      <c r="AS651" s="87"/>
      <c r="AT651" s="87"/>
      <c r="AU651" s="87"/>
      <c r="AV651" s="92" t="str">
        <f>HYPERLINK("https://pbs.twimg.com/profile_images/1618704448913645585/SRa-pW4s_normal.jpg")</f>
        <v>https://pbs.twimg.com/profile_images/1618704448913645585/SRa-pW4s_normal.jpg</v>
      </c>
      <c r="AW651" s="93" t="s">
        <v>18900</v>
      </c>
      <c r="AX651" s="93" t="s">
        <v>18900</v>
      </c>
      <c r="AY651" s="87"/>
      <c r="AZ651" s="93" t="s">
        <v>22668</v>
      </c>
      <c r="BA651" s="93" t="s">
        <v>22668</v>
      </c>
      <c r="BB651" s="93" t="s">
        <v>22668</v>
      </c>
      <c r="BC651" s="93" t="s">
        <v>18900</v>
      </c>
      <c r="BD651" s="87">
        <v>212916157</v>
      </c>
      <c r="BE651" s="87"/>
      <c r="BF651" s="87"/>
      <c r="BG651" s="87"/>
      <c r="BH651" s="87"/>
      <c r="BI651" s="87"/>
    </row>
    <row r="652" spans="1:61" x14ac:dyDescent="0.25">
      <c r="A652" s="63" t="s">
        <v>449</v>
      </c>
      <c r="B652" s="63" t="s">
        <v>449</v>
      </c>
      <c r="C652" s="64"/>
      <c r="D652" s="65"/>
      <c r="E652" s="66"/>
      <c r="F652" s="67"/>
      <c r="G652" s="64"/>
      <c r="H652" s="68"/>
      <c r="I652" s="69"/>
      <c r="J652" s="69"/>
      <c r="K652" s="32"/>
      <c r="L652" s="76">
        <v>652</v>
      </c>
      <c r="M652" s="76"/>
      <c r="N652" s="71"/>
      <c r="O652" s="87" t="s">
        <v>179</v>
      </c>
      <c r="P652" s="90">
        <v>45121.666145833333</v>
      </c>
      <c r="Q652" s="87" t="s">
        <v>2478</v>
      </c>
      <c r="R652" s="87">
        <v>0</v>
      </c>
      <c r="S652" s="87">
        <v>1</v>
      </c>
      <c r="T652" s="87">
        <v>0</v>
      </c>
      <c r="U652" s="87">
        <v>0</v>
      </c>
      <c r="V652" s="87">
        <v>79</v>
      </c>
      <c r="W652" s="93" t="s">
        <v>6291</v>
      </c>
      <c r="X652" s="92" t="str">
        <f>HYPERLINK("https://www.jornalcontabil.com.br/7-dicas-valiosas-para-ser-um-empresario-de-sucesso/")</f>
        <v>https://www.jornalcontabil.com.br/7-dicas-valiosas-para-ser-um-empresario-de-sucesso/</v>
      </c>
      <c r="Y652" s="87" t="s">
        <v>8373</v>
      </c>
      <c r="Z652" s="87"/>
      <c r="AA652" s="87"/>
      <c r="AB652" s="87"/>
      <c r="AC652" s="93" t="s">
        <v>11457</v>
      </c>
      <c r="AD652" s="87" t="s">
        <v>11519</v>
      </c>
      <c r="AE652" s="92" t="str">
        <f>HYPERLINK("https://twitter.com/jornalcontabil_/status/1679883264922664961")</f>
        <v>https://twitter.com/jornalcontabil_/status/1679883264922664961</v>
      </c>
      <c r="AF652" s="90">
        <v>45121.666145833333</v>
      </c>
      <c r="AG652" s="99">
        <v>45121</v>
      </c>
      <c r="AH652" s="93" t="s">
        <v>12145</v>
      </c>
      <c r="AI652" s="87" t="b">
        <v>0</v>
      </c>
      <c r="AJ652" s="87"/>
      <c r="AK652" s="87"/>
      <c r="AL652" s="87"/>
      <c r="AM652" s="87"/>
      <c r="AN652" s="87"/>
      <c r="AO652" s="87"/>
      <c r="AP652" s="87"/>
      <c r="AQ652" s="87"/>
      <c r="AR652" s="87"/>
      <c r="AS652" s="87"/>
      <c r="AT652" s="87"/>
      <c r="AU652" s="87"/>
      <c r="AV652" s="92" t="str">
        <f>HYPERLINK("https://pbs.twimg.com/profile_images/1618704448913645585/SRa-pW4s_normal.jpg")</f>
        <v>https://pbs.twimg.com/profile_images/1618704448913645585/SRa-pW4s_normal.jpg</v>
      </c>
      <c r="AW652" s="93" t="s">
        <v>18901</v>
      </c>
      <c r="AX652" s="93" t="s">
        <v>18901</v>
      </c>
      <c r="AY652" s="87"/>
      <c r="AZ652" s="93" t="s">
        <v>22668</v>
      </c>
      <c r="BA652" s="93" t="s">
        <v>22668</v>
      </c>
      <c r="BB652" s="93" t="s">
        <v>22668</v>
      </c>
      <c r="BC652" s="93" t="s">
        <v>18901</v>
      </c>
      <c r="BD652" s="87">
        <v>212916157</v>
      </c>
      <c r="BE652" s="87"/>
      <c r="BF652" s="87"/>
      <c r="BG652" s="87"/>
      <c r="BH652" s="87"/>
      <c r="BI652" s="87"/>
    </row>
    <row r="653" spans="1:61" x14ac:dyDescent="0.25">
      <c r="A653" s="63" t="s">
        <v>449</v>
      </c>
      <c r="B653" s="63" t="s">
        <v>449</v>
      </c>
      <c r="C653" s="64"/>
      <c r="D653" s="65"/>
      <c r="E653" s="66"/>
      <c r="F653" s="67"/>
      <c r="G653" s="64"/>
      <c r="H653" s="68"/>
      <c r="I653" s="69"/>
      <c r="J653" s="69"/>
      <c r="K653" s="32"/>
      <c r="L653" s="76">
        <v>653</v>
      </c>
      <c r="M653" s="76"/>
      <c r="N653" s="71"/>
      <c r="O653" s="87" t="s">
        <v>179</v>
      </c>
      <c r="P653" s="90">
        <v>45120.083333333336</v>
      </c>
      <c r="Q653" s="87" t="s">
        <v>2479</v>
      </c>
      <c r="R653" s="87">
        <v>0</v>
      </c>
      <c r="S653" s="87">
        <v>0</v>
      </c>
      <c r="T653" s="87">
        <v>0</v>
      </c>
      <c r="U653" s="87">
        <v>0</v>
      </c>
      <c r="V653" s="87">
        <v>130</v>
      </c>
      <c r="W653" s="93" t="s">
        <v>6292</v>
      </c>
      <c r="X653" s="92" t="str">
        <f>HYPERLINK("https://www.jornalcontabil.com.br/empreendedorismo-cative-e-fidelize-seu-cliente-oferecendo-mimos/")</f>
        <v>https://www.jornalcontabil.com.br/empreendedorismo-cative-e-fidelize-seu-cliente-oferecendo-mimos/</v>
      </c>
      <c r="Y653" s="87" t="s">
        <v>8373</v>
      </c>
      <c r="Z653" s="87"/>
      <c r="AA653" s="87"/>
      <c r="AB653" s="87"/>
      <c r="AC653" s="93" t="s">
        <v>11457</v>
      </c>
      <c r="AD653" s="87" t="s">
        <v>11519</v>
      </c>
      <c r="AE653" s="92" t="str">
        <f>HYPERLINK("https://twitter.com/jornalcontabil_/status/1679309671985717253")</f>
        <v>https://twitter.com/jornalcontabil_/status/1679309671985717253</v>
      </c>
      <c r="AF653" s="90">
        <v>45120.083333333336</v>
      </c>
      <c r="AG653" s="99">
        <v>45120</v>
      </c>
      <c r="AH653" s="93" t="s">
        <v>12146</v>
      </c>
      <c r="AI653" s="87" t="b">
        <v>0</v>
      </c>
      <c r="AJ653" s="87"/>
      <c r="AK653" s="87"/>
      <c r="AL653" s="87"/>
      <c r="AM653" s="87"/>
      <c r="AN653" s="87"/>
      <c r="AO653" s="87"/>
      <c r="AP653" s="87"/>
      <c r="AQ653" s="87"/>
      <c r="AR653" s="87"/>
      <c r="AS653" s="87"/>
      <c r="AT653" s="87"/>
      <c r="AU653" s="87"/>
      <c r="AV653" s="92" t="str">
        <f>HYPERLINK("https://pbs.twimg.com/profile_images/1618704448913645585/SRa-pW4s_normal.jpg")</f>
        <v>https://pbs.twimg.com/profile_images/1618704448913645585/SRa-pW4s_normal.jpg</v>
      </c>
      <c r="AW653" s="93" t="s">
        <v>18902</v>
      </c>
      <c r="AX653" s="93" t="s">
        <v>18902</v>
      </c>
      <c r="AY653" s="87"/>
      <c r="AZ653" s="93" t="s">
        <v>22668</v>
      </c>
      <c r="BA653" s="93" t="s">
        <v>22668</v>
      </c>
      <c r="BB653" s="93" t="s">
        <v>22668</v>
      </c>
      <c r="BC653" s="93" t="s">
        <v>18902</v>
      </c>
      <c r="BD653" s="87">
        <v>212916157</v>
      </c>
      <c r="BE653" s="87"/>
      <c r="BF653" s="87"/>
      <c r="BG653" s="87"/>
      <c r="BH653" s="87"/>
      <c r="BI653" s="87"/>
    </row>
    <row r="654" spans="1:61" x14ac:dyDescent="0.25">
      <c r="A654" s="63" t="s">
        <v>449</v>
      </c>
      <c r="B654" s="63" t="s">
        <v>449</v>
      </c>
      <c r="C654" s="64"/>
      <c r="D654" s="65"/>
      <c r="E654" s="66"/>
      <c r="F654" s="67"/>
      <c r="G654" s="64"/>
      <c r="H654" s="68"/>
      <c r="I654" s="69"/>
      <c r="J654" s="69"/>
      <c r="K654" s="32"/>
      <c r="L654" s="76">
        <v>654</v>
      </c>
      <c r="M654" s="76"/>
      <c r="N654" s="71"/>
      <c r="O654" s="87" t="s">
        <v>179</v>
      </c>
      <c r="P654" s="90">
        <v>45168.958333333336</v>
      </c>
      <c r="Q654" s="87" t="s">
        <v>2480</v>
      </c>
      <c r="R654" s="87">
        <v>0</v>
      </c>
      <c r="S654" s="87">
        <v>2</v>
      </c>
      <c r="T654" s="87">
        <v>0</v>
      </c>
      <c r="U654" s="87">
        <v>0</v>
      </c>
      <c r="V654" s="87">
        <v>272</v>
      </c>
      <c r="W654" s="93" t="s">
        <v>6293</v>
      </c>
      <c r="X654" s="92" t="str">
        <f>HYPERLINK("https://www.jornalcontabil.com.br/nfs-e-nacional-uso-obrigatorio-a-partir-desta-sexta-feira/")</f>
        <v>https://www.jornalcontabil.com.br/nfs-e-nacional-uso-obrigatorio-a-partir-desta-sexta-feira/</v>
      </c>
      <c r="Y654" s="87" t="s">
        <v>8373</v>
      </c>
      <c r="Z654" s="87"/>
      <c r="AA654" s="87"/>
      <c r="AB654" s="87"/>
      <c r="AC654" s="93" t="s">
        <v>11457</v>
      </c>
      <c r="AD654" s="87" t="s">
        <v>11519</v>
      </c>
      <c r="AE654" s="92" t="str">
        <f>HYPERLINK("https://twitter.com/jornalcontabil_/status/1697021378883453000")</f>
        <v>https://twitter.com/jornalcontabil_/status/1697021378883453000</v>
      </c>
      <c r="AF654" s="90">
        <v>45168.958333333336</v>
      </c>
      <c r="AG654" s="99">
        <v>45168</v>
      </c>
      <c r="AH654" s="93" t="s">
        <v>12147</v>
      </c>
      <c r="AI654" s="87" t="b">
        <v>0</v>
      </c>
      <c r="AJ654" s="87"/>
      <c r="AK654" s="87"/>
      <c r="AL654" s="87"/>
      <c r="AM654" s="87"/>
      <c r="AN654" s="87"/>
      <c r="AO654" s="87"/>
      <c r="AP654" s="87"/>
      <c r="AQ654" s="87"/>
      <c r="AR654" s="87"/>
      <c r="AS654" s="87"/>
      <c r="AT654" s="87"/>
      <c r="AU654" s="87"/>
      <c r="AV654" s="92" t="str">
        <f>HYPERLINK("https://pbs.twimg.com/profile_images/1618704448913645585/SRa-pW4s_normal.jpg")</f>
        <v>https://pbs.twimg.com/profile_images/1618704448913645585/SRa-pW4s_normal.jpg</v>
      </c>
      <c r="AW654" s="93" t="s">
        <v>18903</v>
      </c>
      <c r="AX654" s="93" t="s">
        <v>18903</v>
      </c>
      <c r="AY654" s="87"/>
      <c r="AZ654" s="93" t="s">
        <v>22668</v>
      </c>
      <c r="BA654" s="93" t="s">
        <v>22668</v>
      </c>
      <c r="BB654" s="93" t="s">
        <v>22668</v>
      </c>
      <c r="BC654" s="93" t="s">
        <v>18903</v>
      </c>
      <c r="BD654" s="87">
        <v>212916157</v>
      </c>
      <c r="BE654" s="87"/>
      <c r="BF654" s="87"/>
      <c r="BG654" s="87"/>
      <c r="BH654" s="87"/>
      <c r="BI654" s="87"/>
    </row>
    <row r="655" spans="1:61" x14ac:dyDescent="0.25">
      <c r="A655" s="63" t="s">
        <v>449</v>
      </c>
      <c r="B655" s="63" t="s">
        <v>449</v>
      </c>
      <c r="C655" s="64"/>
      <c r="D655" s="65"/>
      <c r="E655" s="66"/>
      <c r="F655" s="67"/>
      <c r="G655" s="64"/>
      <c r="H655" s="68"/>
      <c r="I655" s="69"/>
      <c r="J655" s="69"/>
      <c r="K655" s="32"/>
      <c r="L655" s="76">
        <v>655</v>
      </c>
      <c r="M655" s="76"/>
      <c r="N655" s="71"/>
      <c r="O655" s="87" t="s">
        <v>179</v>
      </c>
      <c r="P655" s="90">
        <v>45130.083333333336</v>
      </c>
      <c r="Q655" s="87" t="s">
        <v>2481</v>
      </c>
      <c r="R655" s="87">
        <v>0</v>
      </c>
      <c r="S655" s="87">
        <v>1</v>
      </c>
      <c r="T655" s="87">
        <v>1</v>
      </c>
      <c r="U655" s="87">
        <v>0</v>
      </c>
      <c r="V655" s="87">
        <v>188</v>
      </c>
      <c r="W655" s="93" t="s">
        <v>6294</v>
      </c>
      <c r="X655" s="92" t="str">
        <f>HYPERLINK("https://www.jornalcontabil.com.br/mei-ou-cnpj-qual-a-melhor-opcao-para-o-meu-negocio/")</f>
        <v>https://www.jornalcontabil.com.br/mei-ou-cnpj-qual-a-melhor-opcao-para-o-meu-negocio/</v>
      </c>
      <c r="Y655" s="87" t="s">
        <v>8373</v>
      </c>
      <c r="Z655" s="87"/>
      <c r="AA655" s="87"/>
      <c r="AB655" s="87"/>
      <c r="AC655" s="93" t="s">
        <v>11457</v>
      </c>
      <c r="AD655" s="87" t="s">
        <v>11519</v>
      </c>
      <c r="AE655" s="92" t="str">
        <f>HYPERLINK("https://twitter.com/jornalcontabil_/status/1682933549173964802")</f>
        <v>https://twitter.com/jornalcontabil_/status/1682933549173964802</v>
      </c>
      <c r="AF655" s="90">
        <v>45130.083333333336</v>
      </c>
      <c r="AG655" s="99">
        <v>45130</v>
      </c>
      <c r="AH655" s="93" t="s">
        <v>12146</v>
      </c>
      <c r="AI655" s="87" t="b">
        <v>0</v>
      </c>
      <c r="AJ655" s="87"/>
      <c r="AK655" s="87"/>
      <c r="AL655" s="87"/>
      <c r="AM655" s="87"/>
      <c r="AN655" s="87"/>
      <c r="AO655" s="87"/>
      <c r="AP655" s="87"/>
      <c r="AQ655" s="87"/>
      <c r="AR655" s="87"/>
      <c r="AS655" s="87"/>
      <c r="AT655" s="87"/>
      <c r="AU655" s="87"/>
      <c r="AV655" s="92" t="str">
        <f>HYPERLINK("https://pbs.twimg.com/profile_images/1618704448913645585/SRa-pW4s_normal.jpg")</f>
        <v>https://pbs.twimg.com/profile_images/1618704448913645585/SRa-pW4s_normal.jpg</v>
      </c>
      <c r="AW655" s="93" t="s">
        <v>18904</v>
      </c>
      <c r="AX655" s="93" t="s">
        <v>18904</v>
      </c>
      <c r="AY655" s="87"/>
      <c r="AZ655" s="93" t="s">
        <v>22668</v>
      </c>
      <c r="BA655" s="93" t="s">
        <v>22668</v>
      </c>
      <c r="BB655" s="93" t="s">
        <v>22668</v>
      </c>
      <c r="BC655" s="93" t="s">
        <v>18904</v>
      </c>
      <c r="BD655" s="87">
        <v>212916157</v>
      </c>
      <c r="BE655" s="87"/>
      <c r="BF655" s="87"/>
      <c r="BG655" s="87"/>
      <c r="BH655" s="87"/>
      <c r="BI655" s="87"/>
    </row>
    <row r="656" spans="1:61" x14ac:dyDescent="0.25">
      <c r="A656" s="63" t="s">
        <v>449</v>
      </c>
      <c r="B656" s="63" t="s">
        <v>449</v>
      </c>
      <c r="C656" s="64"/>
      <c r="D656" s="65"/>
      <c r="E656" s="66"/>
      <c r="F656" s="67"/>
      <c r="G656" s="64"/>
      <c r="H656" s="68"/>
      <c r="I656" s="69"/>
      <c r="J656" s="69"/>
      <c r="K656" s="32"/>
      <c r="L656" s="76">
        <v>656</v>
      </c>
      <c r="M656" s="76"/>
      <c r="N656" s="71"/>
      <c r="O656" s="87" t="s">
        <v>179</v>
      </c>
      <c r="P656" s="90">
        <v>45128.715949074074</v>
      </c>
      <c r="Q656" s="87" t="s">
        <v>2482</v>
      </c>
      <c r="R656" s="87">
        <v>0</v>
      </c>
      <c r="S656" s="87">
        <v>0</v>
      </c>
      <c r="T656" s="87">
        <v>0</v>
      </c>
      <c r="U656" s="87">
        <v>0</v>
      </c>
      <c r="V656" s="87">
        <v>99</v>
      </c>
      <c r="W656" s="93" t="s">
        <v>6295</v>
      </c>
      <c r="X656" s="92" t="str">
        <f>HYPERLINK("https://www.jornalcontabil.com.br/empreendedor-12.../")</f>
        <v>https://www.jornalcontabil.com.br/empreendedor-12.../</v>
      </c>
      <c r="Y656" s="87" t="s">
        <v>8373</v>
      </c>
      <c r="Z656" s="87"/>
      <c r="AA656" s="87"/>
      <c r="AB656" s="87"/>
      <c r="AC656" s="93" t="s">
        <v>11457</v>
      </c>
      <c r="AD656" s="87" t="s">
        <v>11519</v>
      </c>
      <c r="AE656" s="92" t="str">
        <f>HYPERLINK("https://twitter.com/jornalcontabil_/status/1682438029112123447")</f>
        <v>https://twitter.com/jornalcontabil_/status/1682438029112123447</v>
      </c>
      <c r="AF656" s="90">
        <v>45128.715949074074</v>
      </c>
      <c r="AG656" s="99">
        <v>45128</v>
      </c>
      <c r="AH656" s="93" t="s">
        <v>12148</v>
      </c>
      <c r="AI656" s="87" t="b">
        <v>0</v>
      </c>
      <c r="AJ656" s="87"/>
      <c r="AK656" s="87"/>
      <c r="AL656" s="87"/>
      <c r="AM656" s="87"/>
      <c r="AN656" s="87"/>
      <c r="AO656" s="87"/>
      <c r="AP656" s="87"/>
      <c r="AQ656" s="87"/>
      <c r="AR656" s="87"/>
      <c r="AS656" s="87"/>
      <c r="AT656" s="87"/>
      <c r="AU656" s="87"/>
      <c r="AV656" s="92" t="str">
        <f>HYPERLINK("https://pbs.twimg.com/profile_images/1618704448913645585/SRa-pW4s_normal.jpg")</f>
        <v>https://pbs.twimg.com/profile_images/1618704448913645585/SRa-pW4s_normal.jpg</v>
      </c>
      <c r="AW656" s="93" t="s">
        <v>18905</v>
      </c>
      <c r="AX656" s="93" t="s">
        <v>18905</v>
      </c>
      <c r="AY656" s="87"/>
      <c r="AZ656" s="93" t="s">
        <v>22668</v>
      </c>
      <c r="BA656" s="93" t="s">
        <v>22668</v>
      </c>
      <c r="BB656" s="93" t="s">
        <v>22668</v>
      </c>
      <c r="BC656" s="93" t="s">
        <v>18905</v>
      </c>
      <c r="BD656" s="87">
        <v>212916157</v>
      </c>
      <c r="BE656" s="87"/>
      <c r="BF656" s="87"/>
      <c r="BG656" s="87"/>
      <c r="BH656" s="87"/>
      <c r="BI656" s="87"/>
    </row>
    <row r="657" spans="1:61" x14ac:dyDescent="0.25">
      <c r="A657" s="63" t="s">
        <v>449</v>
      </c>
      <c r="B657" s="63" t="s">
        <v>449</v>
      </c>
      <c r="C657" s="64"/>
      <c r="D657" s="65"/>
      <c r="E657" s="66"/>
      <c r="F657" s="67"/>
      <c r="G657" s="64"/>
      <c r="H657" s="68"/>
      <c r="I657" s="69"/>
      <c r="J657" s="69"/>
      <c r="K657" s="32"/>
      <c r="L657" s="76">
        <v>657</v>
      </c>
      <c r="M657" s="76"/>
      <c r="N657" s="71"/>
      <c r="O657" s="87" t="s">
        <v>179</v>
      </c>
      <c r="P657" s="90">
        <v>45170.958344907405</v>
      </c>
      <c r="Q657" s="87" t="s">
        <v>2483</v>
      </c>
      <c r="R657" s="87">
        <v>1</v>
      </c>
      <c r="S657" s="87">
        <v>0</v>
      </c>
      <c r="T657" s="87">
        <v>0</v>
      </c>
      <c r="U657" s="87">
        <v>0</v>
      </c>
      <c r="V657" s="87">
        <v>206</v>
      </c>
      <c r="W657" s="93" t="s">
        <v>6296</v>
      </c>
      <c r="X657" s="92" t="str">
        <f>HYPERLINK("https://www.jornalcontabil.com.br/boleto-mensal-do-mei-sera-reajustado-para-r-18114/")</f>
        <v>https://www.jornalcontabil.com.br/boleto-mensal-do-mei-sera-reajustado-para-r-18114/</v>
      </c>
      <c r="Y657" s="87" t="s">
        <v>8373</v>
      </c>
      <c r="Z657" s="87"/>
      <c r="AA657" s="87"/>
      <c r="AB657" s="87"/>
      <c r="AC657" s="93" t="s">
        <v>11457</v>
      </c>
      <c r="AD657" s="87" t="s">
        <v>11519</v>
      </c>
      <c r="AE657" s="92" t="str">
        <f>HYPERLINK("https://twitter.com/jornalcontabil_/status/1697746157324107964")</f>
        <v>https://twitter.com/jornalcontabil_/status/1697746157324107964</v>
      </c>
      <c r="AF657" s="90">
        <v>45170.958344907405</v>
      </c>
      <c r="AG657" s="99">
        <v>45170</v>
      </c>
      <c r="AH657" s="93" t="s">
        <v>11926</v>
      </c>
      <c r="AI657" s="87" t="b">
        <v>0</v>
      </c>
      <c r="AJ657" s="87"/>
      <c r="AK657" s="87"/>
      <c r="AL657" s="87"/>
      <c r="AM657" s="87"/>
      <c r="AN657" s="87"/>
      <c r="AO657" s="87"/>
      <c r="AP657" s="87"/>
      <c r="AQ657" s="87"/>
      <c r="AR657" s="87"/>
      <c r="AS657" s="87"/>
      <c r="AT657" s="87"/>
      <c r="AU657" s="87"/>
      <c r="AV657" s="92" t="str">
        <f>HYPERLINK("https://pbs.twimg.com/profile_images/1618704448913645585/SRa-pW4s_normal.jpg")</f>
        <v>https://pbs.twimg.com/profile_images/1618704448913645585/SRa-pW4s_normal.jpg</v>
      </c>
      <c r="AW657" s="93" t="s">
        <v>18906</v>
      </c>
      <c r="AX657" s="93" t="s">
        <v>18906</v>
      </c>
      <c r="AY657" s="87"/>
      <c r="AZ657" s="93" t="s">
        <v>22668</v>
      </c>
      <c r="BA657" s="93" t="s">
        <v>22668</v>
      </c>
      <c r="BB657" s="93" t="s">
        <v>22668</v>
      </c>
      <c r="BC657" s="93" t="s">
        <v>18906</v>
      </c>
      <c r="BD657" s="87">
        <v>212916157</v>
      </c>
      <c r="BE657" s="87"/>
      <c r="BF657" s="87"/>
      <c r="BG657" s="87"/>
      <c r="BH657" s="87"/>
      <c r="BI657" s="87"/>
    </row>
    <row r="658" spans="1:61" x14ac:dyDescent="0.25">
      <c r="A658" s="63" t="s">
        <v>450</v>
      </c>
      <c r="B658" s="63" t="s">
        <v>450</v>
      </c>
      <c r="C658" s="64"/>
      <c r="D658" s="65"/>
      <c r="E658" s="66"/>
      <c r="F658" s="67"/>
      <c r="G658" s="64"/>
      <c r="H658" s="68"/>
      <c r="I658" s="69"/>
      <c r="J658" s="69"/>
      <c r="K658" s="32"/>
      <c r="L658" s="76">
        <v>658</v>
      </c>
      <c r="M658" s="76"/>
      <c r="N658" s="71"/>
      <c r="O658" s="87" t="s">
        <v>179</v>
      </c>
      <c r="P658" s="90">
        <v>45127.72997685185</v>
      </c>
      <c r="Q658" s="87" t="s">
        <v>2484</v>
      </c>
      <c r="R658" s="87">
        <v>0</v>
      </c>
      <c r="S658" s="87">
        <v>0</v>
      </c>
      <c r="T658" s="87">
        <v>0</v>
      </c>
      <c r="U658" s="87">
        <v>0</v>
      </c>
      <c r="V658" s="87">
        <v>108</v>
      </c>
      <c r="W658" s="93" t="s">
        <v>6297</v>
      </c>
      <c r="X658" s="92" t="str">
        <f>HYPERLINK("http://www.conescap.com.br")</f>
        <v>http://www.conescap.com.br</v>
      </c>
      <c r="Y658" s="87" t="s">
        <v>8373</v>
      </c>
      <c r="Z658" s="87"/>
      <c r="AA658" s="87" t="s">
        <v>9052</v>
      </c>
      <c r="AB658" s="87" t="s">
        <v>11447</v>
      </c>
      <c r="AC658" s="93" t="s">
        <v>11460</v>
      </c>
      <c r="AD658" s="87" t="s">
        <v>11519</v>
      </c>
      <c r="AE658" s="92" t="str">
        <f>HYPERLINK("https://twitter.com/fenaconfed/status/1682080721484013568")</f>
        <v>https://twitter.com/fenaconfed/status/1682080721484013568</v>
      </c>
      <c r="AF658" s="90">
        <v>45127.72997685185</v>
      </c>
      <c r="AG658" s="99">
        <v>45127</v>
      </c>
      <c r="AH658" s="93" t="s">
        <v>12149</v>
      </c>
      <c r="AI658" s="87" t="b">
        <v>0</v>
      </c>
      <c r="AJ658" s="87"/>
      <c r="AK658" s="87"/>
      <c r="AL658" s="87"/>
      <c r="AM658" s="87"/>
      <c r="AN658" s="87"/>
      <c r="AO658" s="87"/>
      <c r="AP658" s="87"/>
      <c r="AQ658" s="87" t="s">
        <v>15865</v>
      </c>
      <c r="AR658" s="87">
        <v>61861</v>
      </c>
      <c r="AS658" s="87"/>
      <c r="AT658" s="87"/>
      <c r="AU658" s="87"/>
      <c r="AV658" s="92" t="str">
        <f>HYPERLINK("https://pbs.twimg.com/ext_tw_video_thumb/1682080620069920775/pu/img/--dJBBljuj93Pejc.jpg")</f>
        <v>https://pbs.twimg.com/ext_tw_video_thumb/1682080620069920775/pu/img/--dJBBljuj93Pejc.jpg</v>
      </c>
      <c r="AW658" s="93" t="s">
        <v>18907</v>
      </c>
      <c r="AX658" s="93" t="s">
        <v>18907</v>
      </c>
      <c r="AY658" s="87"/>
      <c r="AZ658" s="93" t="s">
        <v>22668</v>
      </c>
      <c r="BA658" s="93" t="s">
        <v>22668</v>
      </c>
      <c r="BB658" s="93" t="s">
        <v>22668</v>
      </c>
      <c r="BC658" s="93" t="s">
        <v>18907</v>
      </c>
      <c r="BD658" s="87">
        <v>254001950</v>
      </c>
      <c r="BE658" s="87"/>
      <c r="BF658" s="87"/>
      <c r="BG658" s="87"/>
      <c r="BH658" s="87"/>
      <c r="BI658" s="87"/>
    </row>
    <row r="659" spans="1:61" x14ac:dyDescent="0.25">
      <c r="A659" s="63" t="s">
        <v>450</v>
      </c>
      <c r="B659" s="63" t="s">
        <v>450</v>
      </c>
      <c r="C659" s="64"/>
      <c r="D659" s="65"/>
      <c r="E659" s="66"/>
      <c r="F659" s="67"/>
      <c r="G659" s="64"/>
      <c r="H659" s="68"/>
      <c r="I659" s="69"/>
      <c r="J659" s="69"/>
      <c r="K659" s="32"/>
      <c r="L659" s="76">
        <v>659</v>
      </c>
      <c r="M659" s="76"/>
      <c r="N659" s="71"/>
      <c r="O659" s="87" t="s">
        <v>179</v>
      </c>
      <c r="P659" s="90">
        <v>45133.867766203701</v>
      </c>
      <c r="Q659" s="87" t="s">
        <v>2485</v>
      </c>
      <c r="R659" s="87">
        <v>0</v>
      </c>
      <c r="S659" s="87">
        <v>0</v>
      </c>
      <c r="T659" s="87">
        <v>0</v>
      </c>
      <c r="U659" s="87">
        <v>0</v>
      </c>
      <c r="V659" s="87">
        <v>94</v>
      </c>
      <c r="W659" s="93" t="s">
        <v>6298</v>
      </c>
      <c r="X659" s="92" t="str">
        <f>HYPERLINK("http://www.conescap.com.br")</f>
        <v>http://www.conescap.com.br</v>
      </c>
      <c r="Y659" s="87" t="s">
        <v>8373</v>
      </c>
      <c r="Z659" s="87"/>
      <c r="AA659" s="87" t="s">
        <v>9053</v>
      </c>
      <c r="AB659" s="87" t="s">
        <v>11448</v>
      </c>
      <c r="AC659" s="93" t="s">
        <v>11457</v>
      </c>
      <c r="AD659" s="87" t="s">
        <v>11519</v>
      </c>
      <c r="AE659" s="92" t="str">
        <f>HYPERLINK("https://twitter.com/fenaconfed/status/1684304981262839809")</f>
        <v>https://twitter.com/fenaconfed/status/1684304981262839809</v>
      </c>
      <c r="AF659" s="90">
        <v>45133.867766203701</v>
      </c>
      <c r="AG659" s="99">
        <v>45133</v>
      </c>
      <c r="AH659" s="93" t="s">
        <v>12150</v>
      </c>
      <c r="AI659" s="87" t="b">
        <v>0</v>
      </c>
      <c r="AJ659" s="87"/>
      <c r="AK659" s="87"/>
      <c r="AL659" s="87"/>
      <c r="AM659" s="87"/>
      <c r="AN659" s="87"/>
      <c r="AO659" s="87"/>
      <c r="AP659" s="87"/>
      <c r="AQ659" s="87" t="s">
        <v>15866</v>
      </c>
      <c r="AR659" s="87"/>
      <c r="AS659" s="87"/>
      <c r="AT659" s="87"/>
      <c r="AU659" s="87"/>
      <c r="AV659" s="92" t="str">
        <f>HYPERLINK("https://pbs.twimg.com/media/F1_abe6XwAABuHl.jpg")</f>
        <v>https://pbs.twimg.com/media/F1_abe6XwAABuHl.jpg</v>
      </c>
      <c r="AW659" s="93" t="s">
        <v>18908</v>
      </c>
      <c r="AX659" s="93" t="s">
        <v>18908</v>
      </c>
      <c r="AY659" s="87"/>
      <c r="AZ659" s="93" t="s">
        <v>22668</v>
      </c>
      <c r="BA659" s="93" t="s">
        <v>22668</v>
      </c>
      <c r="BB659" s="93" t="s">
        <v>22668</v>
      </c>
      <c r="BC659" s="93" t="s">
        <v>18908</v>
      </c>
      <c r="BD659" s="87">
        <v>254001950</v>
      </c>
      <c r="BE659" s="87"/>
      <c r="BF659" s="87"/>
      <c r="BG659" s="87"/>
      <c r="BH659" s="87"/>
      <c r="BI659" s="87"/>
    </row>
    <row r="660" spans="1:61" x14ac:dyDescent="0.25">
      <c r="A660" s="63" t="s">
        <v>450</v>
      </c>
      <c r="B660" s="63" t="s">
        <v>450</v>
      </c>
      <c r="C660" s="64"/>
      <c r="D660" s="65"/>
      <c r="E660" s="66"/>
      <c r="F660" s="67"/>
      <c r="G660" s="64"/>
      <c r="H660" s="68"/>
      <c r="I660" s="69"/>
      <c r="J660" s="69"/>
      <c r="K660" s="32"/>
      <c r="L660" s="76">
        <v>660</v>
      </c>
      <c r="M660" s="76"/>
      <c r="N660" s="71"/>
      <c r="O660" s="87" t="s">
        <v>179</v>
      </c>
      <c r="P660" s="90">
        <v>45112.798750000002</v>
      </c>
      <c r="Q660" s="87" t="s">
        <v>2486</v>
      </c>
      <c r="R660" s="87">
        <v>0</v>
      </c>
      <c r="S660" s="87">
        <v>0</v>
      </c>
      <c r="T660" s="87">
        <v>1</v>
      </c>
      <c r="U660" s="87">
        <v>0</v>
      </c>
      <c r="V660" s="87">
        <v>102</v>
      </c>
      <c r="W660" s="93" t="s">
        <v>6299</v>
      </c>
      <c r="X660" s="87"/>
      <c r="Y660" s="87"/>
      <c r="Z660" s="87"/>
      <c r="AA660" s="87" t="s">
        <v>9054</v>
      </c>
      <c r="AB660" s="87" t="s">
        <v>11448</v>
      </c>
      <c r="AC660" s="93" t="s">
        <v>11460</v>
      </c>
      <c r="AD660" s="87" t="s">
        <v>11519</v>
      </c>
      <c r="AE660" s="92" t="str">
        <f>HYPERLINK("https://twitter.com/fenaconfed/status/1676669828151627786")</f>
        <v>https://twitter.com/fenaconfed/status/1676669828151627786</v>
      </c>
      <c r="AF660" s="90">
        <v>45112.798750000002</v>
      </c>
      <c r="AG660" s="99">
        <v>45112</v>
      </c>
      <c r="AH660" s="93" t="s">
        <v>12151</v>
      </c>
      <c r="AI660" s="87" t="b">
        <v>0</v>
      </c>
      <c r="AJ660" s="87"/>
      <c r="AK660" s="87"/>
      <c r="AL660" s="87"/>
      <c r="AM660" s="87"/>
      <c r="AN660" s="87"/>
      <c r="AO660" s="87"/>
      <c r="AP660" s="87"/>
      <c r="AQ660" s="87" t="s">
        <v>15867</v>
      </c>
      <c r="AR660" s="87"/>
      <c r="AS660" s="87"/>
      <c r="AT660" s="87"/>
      <c r="AU660" s="87"/>
      <c r="AV660" s="92" t="str">
        <f>HYPERLINK("https://pbs.twimg.com/media/F0S6UoMWAAAzZZK.jpg")</f>
        <v>https://pbs.twimg.com/media/F0S6UoMWAAAzZZK.jpg</v>
      </c>
      <c r="AW660" s="93" t="s">
        <v>18909</v>
      </c>
      <c r="AX660" s="93" t="s">
        <v>18909</v>
      </c>
      <c r="AY660" s="87"/>
      <c r="AZ660" s="93" t="s">
        <v>22668</v>
      </c>
      <c r="BA660" s="93" t="s">
        <v>22668</v>
      </c>
      <c r="BB660" s="93" t="s">
        <v>22668</v>
      </c>
      <c r="BC660" s="93" t="s">
        <v>18909</v>
      </c>
      <c r="BD660" s="87">
        <v>254001950</v>
      </c>
      <c r="BE660" s="87"/>
      <c r="BF660" s="87"/>
      <c r="BG660" s="87"/>
      <c r="BH660" s="87"/>
      <c r="BI660" s="87"/>
    </row>
    <row r="661" spans="1:61" x14ac:dyDescent="0.25">
      <c r="A661" s="63" t="s">
        <v>451</v>
      </c>
      <c r="B661" s="63" t="s">
        <v>813</v>
      </c>
      <c r="C661" s="64"/>
      <c r="D661" s="65"/>
      <c r="E661" s="66"/>
      <c r="F661" s="67"/>
      <c r="G661" s="64"/>
      <c r="H661" s="68"/>
      <c r="I661" s="69"/>
      <c r="J661" s="69"/>
      <c r="K661" s="32"/>
      <c r="L661" s="76">
        <v>661</v>
      </c>
      <c r="M661" s="76"/>
      <c r="N661" s="71"/>
      <c r="O661" s="87" t="s">
        <v>1841</v>
      </c>
      <c r="P661" s="90">
        <v>45190.936886574076</v>
      </c>
      <c r="Q661" s="87" t="s">
        <v>2487</v>
      </c>
      <c r="R661" s="87">
        <v>2</v>
      </c>
      <c r="S661" s="87">
        <v>0</v>
      </c>
      <c r="T661" s="87">
        <v>0</v>
      </c>
      <c r="U661" s="87">
        <v>0</v>
      </c>
      <c r="V661" s="87"/>
      <c r="W661" s="87"/>
      <c r="X661" s="87"/>
      <c r="Y661" s="87"/>
      <c r="Z661" s="87" t="s">
        <v>813</v>
      </c>
      <c r="AA661" s="87"/>
      <c r="AB661" s="87"/>
      <c r="AC661" s="93" t="s">
        <v>11459</v>
      </c>
      <c r="AD661" s="87" t="s">
        <v>11519</v>
      </c>
      <c r="AE661" s="92" t="str">
        <f>HYPERLINK("https://twitter.com/alfeojr/status/1704986141328376204")</f>
        <v>https://twitter.com/alfeojr/status/1704986141328376204</v>
      </c>
      <c r="AF661" s="90">
        <v>45190.936886574076</v>
      </c>
      <c r="AG661" s="99">
        <v>45190</v>
      </c>
      <c r="AH661" s="93" t="s">
        <v>12152</v>
      </c>
      <c r="AI661" s="87"/>
      <c r="AJ661" s="87"/>
      <c r="AK661" s="87"/>
      <c r="AL661" s="87"/>
      <c r="AM661" s="87"/>
      <c r="AN661" s="87"/>
      <c r="AO661" s="87"/>
      <c r="AP661" s="87"/>
      <c r="AQ661" s="87"/>
      <c r="AR661" s="87"/>
      <c r="AS661" s="87"/>
      <c r="AT661" s="87"/>
      <c r="AU661" s="87"/>
      <c r="AV661" s="92" t="str">
        <f>HYPERLINK("https://pbs.twimg.com/profile_images/1574941480766038016/-BrvJF3l_normal.jpg")</f>
        <v>https://pbs.twimg.com/profile_images/1574941480766038016/-BrvJF3l_normal.jpg</v>
      </c>
      <c r="AW661" s="93" t="s">
        <v>18910</v>
      </c>
      <c r="AX661" s="93" t="s">
        <v>18910</v>
      </c>
      <c r="AY661" s="87"/>
      <c r="AZ661" s="93" t="s">
        <v>22668</v>
      </c>
      <c r="BA661" s="93" t="s">
        <v>22668</v>
      </c>
      <c r="BB661" s="93" t="s">
        <v>19969</v>
      </c>
      <c r="BC661" s="93" t="s">
        <v>19969</v>
      </c>
      <c r="BD661" s="87">
        <v>60401182</v>
      </c>
      <c r="BE661" s="87"/>
      <c r="BF661" s="87"/>
      <c r="BG661" s="87"/>
      <c r="BH661" s="87"/>
      <c r="BI661" s="87"/>
    </row>
    <row r="662" spans="1:61" x14ac:dyDescent="0.25">
      <c r="A662" s="63" t="s">
        <v>452</v>
      </c>
      <c r="B662" s="63" t="s">
        <v>452</v>
      </c>
      <c r="C662" s="64"/>
      <c r="D662" s="65"/>
      <c r="E662" s="66"/>
      <c r="F662" s="67"/>
      <c r="G662" s="64"/>
      <c r="H662" s="68"/>
      <c r="I662" s="69"/>
      <c r="J662" s="69"/>
      <c r="K662" s="32"/>
      <c r="L662" s="76">
        <v>662</v>
      </c>
      <c r="M662" s="76"/>
      <c r="N662" s="71"/>
      <c r="O662" s="87" t="s">
        <v>179</v>
      </c>
      <c r="P662" s="90">
        <v>45111.955868055556</v>
      </c>
      <c r="Q662" s="87" t="s">
        <v>2488</v>
      </c>
      <c r="R662" s="87">
        <v>0</v>
      </c>
      <c r="S662" s="87">
        <v>0</v>
      </c>
      <c r="T662" s="87">
        <v>0</v>
      </c>
      <c r="U662" s="87">
        <v>0</v>
      </c>
      <c r="V662" s="87">
        <v>16</v>
      </c>
      <c r="W662" s="93" t="s">
        <v>6300</v>
      </c>
      <c r="X662" s="92" t="str">
        <f>HYPERLINK("https://franchiseb2b.com.br/feira/FLORIPA23")</f>
        <v>https://franchiseb2b.com.br/feira/FLORIPA23</v>
      </c>
      <c r="Y662" s="87" t="s">
        <v>8373</v>
      </c>
      <c r="Z662" s="87"/>
      <c r="AA662" s="87" t="s">
        <v>9055</v>
      </c>
      <c r="AB662" s="87" t="s">
        <v>11448</v>
      </c>
      <c r="AC662" s="93" t="s">
        <v>11457</v>
      </c>
      <c r="AD662" s="87" t="s">
        <v>11519</v>
      </c>
      <c r="AE662" s="92" t="str">
        <f>HYPERLINK("https://twitter.com/ggianni/status/1676364379158134790")</f>
        <v>https://twitter.com/ggianni/status/1676364379158134790</v>
      </c>
      <c r="AF662" s="90">
        <v>45111.955868055556</v>
      </c>
      <c r="AG662" s="99">
        <v>45111</v>
      </c>
      <c r="AH662" s="93" t="s">
        <v>12153</v>
      </c>
      <c r="AI662" s="87" t="b">
        <v>0</v>
      </c>
      <c r="AJ662" s="87"/>
      <c r="AK662" s="87"/>
      <c r="AL662" s="87"/>
      <c r="AM662" s="87"/>
      <c r="AN662" s="87"/>
      <c r="AO662" s="87"/>
      <c r="AP662" s="87"/>
      <c r="AQ662" s="87" t="s">
        <v>15868</v>
      </c>
      <c r="AR662" s="87"/>
      <c r="AS662" s="87"/>
      <c r="AT662" s="87"/>
      <c r="AU662" s="87"/>
      <c r="AV662" s="92" t="str">
        <f>HYPERLINK("https://pbs.twimg.com/media/F0OkbpeWwAEd6GD.jpg")</f>
        <v>https://pbs.twimg.com/media/F0OkbpeWwAEd6GD.jpg</v>
      </c>
      <c r="AW662" s="93" t="s">
        <v>18911</v>
      </c>
      <c r="AX662" s="93" t="s">
        <v>18911</v>
      </c>
      <c r="AY662" s="87"/>
      <c r="AZ662" s="93" t="s">
        <v>22668</v>
      </c>
      <c r="BA662" s="93" t="s">
        <v>22668</v>
      </c>
      <c r="BB662" s="93" t="s">
        <v>22668</v>
      </c>
      <c r="BC662" s="93" t="s">
        <v>18911</v>
      </c>
      <c r="BD662" s="87">
        <v>107496318</v>
      </c>
      <c r="BE662" s="87"/>
      <c r="BF662" s="87"/>
      <c r="BG662" s="87"/>
      <c r="BH662" s="87"/>
      <c r="BI662" s="87"/>
    </row>
    <row r="663" spans="1:61" x14ac:dyDescent="0.25">
      <c r="A663" s="63" t="s">
        <v>452</v>
      </c>
      <c r="B663" s="63" t="s">
        <v>452</v>
      </c>
      <c r="C663" s="64"/>
      <c r="D663" s="65"/>
      <c r="E663" s="66"/>
      <c r="F663" s="67"/>
      <c r="G663" s="64"/>
      <c r="H663" s="68"/>
      <c r="I663" s="69"/>
      <c r="J663" s="69"/>
      <c r="K663" s="32"/>
      <c r="L663" s="76">
        <v>663</v>
      </c>
      <c r="M663" s="76"/>
      <c r="N663" s="71"/>
      <c r="O663" s="87" t="s">
        <v>179</v>
      </c>
      <c r="P663" s="90">
        <v>45153.780821759261</v>
      </c>
      <c r="Q663" s="87" t="s">
        <v>2489</v>
      </c>
      <c r="R663" s="87">
        <v>0</v>
      </c>
      <c r="S663" s="87">
        <v>0</v>
      </c>
      <c r="T663" s="87">
        <v>0</v>
      </c>
      <c r="U663" s="87">
        <v>0</v>
      </c>
      <c r="V663" s="87">
        <v>4</v>
      </c>
      <c r="W663" s="93" t="s">
        <v>6301</v>
      </c>
      <c r="X663" s="87" t="s">
        <v>8345</v>
      </c>
      <c r="Y663" s="87" t="s">
        <v>8407</v>
      </c>
      <c r="Z663" s="87"/>
      <c r="AA663" s="87"/>
      <c r="AB663" s="87"/>
      <c r="AC663" s="93" t="s">
        <v>11457</v>
      </c>
      <c r="AD663" s="87" t="s">
        <v>11519</v>
      </c>
      <c r="AE663" s="92" t="str">
        <f>HYPERLINK("https://twitter.com/ggianni/status/1691521231806160896")</f>
        <v>https://twitter.com/ggianni/status/1691521231806160896</v>
      </c>
      <c r="AF663" s="90">
        <v>45153.780821759261</v>
      </c>
      <c r="AG663" s="99">
        <v>45153</v>
      </c>
      <c r="AH663" s="93" t="s">
        <v>12154</v>
      </c>
      <c r="AI663" s="87" t="b">
        <v>0</v>
      </c>
      <c r="AJ663" s="87"/>
      <c r="AK663" s="87"/>
      <c r="AL663" s="87"/>
      <c r="AM663" s="87"/>
      <c r="AN663" s="87"/>
      <c r="AO663" s="87"/>
      <c r="AP663" s="87"/>
      <c r="AQ663" s="87"/>
      <c r="AR663" s="87"/>
      <c r="AS663" s="87"/>
      <c r="AT663" s="87"/>
      <c r="AU663" s="87"/>
      <c r="AV663" s="92" t="str">
        <f>HYPERLINK("https://pbs.twimg.com/profile_images/1471531764535468033/Rk36W-Sp_normal.jpg")</f>
        <v>https://pbs.twimg.com/profile_images/1471531764535468033/Rk36W-Sp_normal.jpg</v>
      </c>
      <c r="AW663" s="93" t="s">
        <v>18912</v>
      </c>
      <c r="AX663" s="93" t="s">
        <v>18912</v>
      </c>
      <c r="AY663" s="87"/>
      <c r="AZ663" s="93" t="s">
        <v>22668</v>
      </c>
      <c r="BA663" s="93" t="s">
        <v>22668</v>
      </c>
      <c r="BB663" s="93" t="s">
        <v>22668</v>
      </c>
      <c r="BC663" s="93" t="s">
        <v>18912</v>
      </c>
      <c r="BD663" s="87">
        <v>107496318</v>
      </c>
      <c r="BE663" s="87"/>
      <c r="BF663" s="87"/>
      <c r="BG663" s="87"/>
      <c r="BH663" s="87"/>
      <c r="BI663" s="87"/>
    </row>
    <row r="664" spans="1:61" x14ac:dyDescent="0.25">
      <c r="A664" s="63" t="s">
        <v>452</v>
      </c>
      <c r="B664" s="63" t="s">
        <v>452</v>
      </c>
      <c r="C664" s="64"/>
      <c r="D664" s="65"/>
      <c r="E664" s="66"/>
      <c r="F664" s="67"/>
      <c r="G664" s="64"/>
      <c r="H664" s="68"/>
      <c r="I664" s="69"/>
      <c r="J664" s="69"/>
      <c r="K664" s="32"/>
      <c r="L664" s="76">
        <v>664</v>
      </c>
      <c r="M664" s="76"/>
      <c r="N664" s="71"/>
      <c r="O664" s="87" t="s">
        <v>179</v>
      </c>
      <c r="P664" s="90">
        <v>45140.934895833336</v>
      </c>
      <c r="Q664" s="87" t="s">
        <v>2490</v>
      </c>
      <c r="R664" s="87">
        <v>0</v>
      </c>
      <c r="S664" s="87">
        <v>0</v>
      </c>
      <c r="T664" s="87">
        <v>0</v>
      </c>
      <c r="U664" s="87">
        <v>0</v>
      </c>
      <c r="V664" s="87">
        <v>31</v>
      </c>
      <c r="W664" s="93" t="s">
        <v>6302</v>
      </c>
      <c r="X664" s="92" t="str">
        <f>HYPERLINK("https://www.infomoney.com.br/business/befly-a-empresa-que-foi-de")</f>
        <v>https://www.infomoney.com.br/business/befly-a-empresa-que-foi-de</v>
      </c>
      <c r="Y664" s="87" t="s">
        <v>8373</v>
      </c>
      <c r="Z664" s="87"/>
      <c r="AA664" s="87"/>
      <c r="AB664" s="87"/>
      <c r="AC664" s="93" t="s">
        <v>11457</v>
      </c>
      <c r="AD664" s="87" t="s">
        <v>11519</v>
      </c>
      <c r="AE664" s="92" t="str">
        <f>HYPERLINK("https://twitter.com/ggianni/status/1686866024832913408")</f>
        <v>https://twitter.com/ggianni/status/1686866024832913408</v>
      </c>
      <c r="AF664" s="90">
        <v>45140.934895833336</v>
      </c>
      <c r="AG664" s="99">
        <v>45140</v>
      </c>
      <c r="AH664" s="93" t="s">
        <v>12155</v>
      </c>
      <c r="AI664" s="87" t="b">
        <v>0</v>
      </c>
      <c r="AJ664" s="87"/>
      <c r="AK664" s="87"/>
      <c r="AL664" s="87"/>
      <c r="AM664" s="87"/>
      <c r="AN664" s="87"/>
      <c r="AO664" s="87"/>
      <c r="AP664" s="87"/>
      <c r="AQ664" s="87"/>
      <c r="AR664" s="87"/>
      <c r="AS664" s="87"/>
      <c r="AT664" s="87"/>
      <c r="AU664" s="87"/>
      <c r="AV664" s="92" t="str">
        <f>HYPERLINK("https://pbs.twimg.com/profile_images/1471531764535468033/Rk36W-Sp_normal.jpg")</f>
        <v>https://pbs.twimg.com/profile_images/1471531764535468033/Rk36W-Sp_normal.jpg</v>
      </c>
      <c r="AW664" s="93" t="s">
        <v>18913</v>
      </c>
      <c r="AX664" s="93" t="s">
        <v>18913</v>
      </c>
      <c r="AY664" s="87"/>
      <c r="AZ664" s="93" t="s">
        <v>22668</v>
      </c>
      <c r="BA664" s="93" t="s">
        <v>22668</v>
      </c>
      <c r="BB664" s="93" t="s">
        <v>22668</v>
      </c>
      <c r="BC664" s="93" t="s">
        <v>18913</v>
      </c>
      <c r="BD664" s="87">
        <v>107496318</v>
      </c>
      <c r="BE664" s="87"/>
      <c r="BF664" s="87"/>
      <c r="BG664" s="87"/>
      <c r="BH664" s="87"/>
      <c r="BI664" s="87"/>
    </row>
    <row r="665" spans="1:61" x14ac:dyDescent="0.25">
      <c r="A665" s="63" t="s">
        <v>452</v>
      </c>
      <c r="B665" s="63" t="s">
        <v>452</v>
      </c>
      <c r="C665" s="64"/>
      <c r="D665" s="65"/>
      <c r="E665" s="66"/>
      <c r="F665" s="67"/>
      <c r="G665" s="64"/>
      <c r="H665" s="68"/>
      <c r="I665" s="69"/>
      <c r="J665" s="69"/>
      <c r="K665" s="32"/>
      <c r="L665" s="76">
        <v>665</v>
      </c>
      <c r="M665" s="76"/>
      <c r="N665" s="71"/>
      <c r="O665" s="87" t="s">
        <v>179</v>
      </c>
      <c r="P665" s="90">
        <v>45154.895486111112</v>
      </c>
      <c r="Q665" s="87" t="s">
        <v>2491</v>
      </c>
      <c r="R665" s="87">
        <v>0</v>
      </c>
      <c r="S665" s="87">
        <v>0</v>
      </c>
      <c r="T665" s="87">
        <v>0</v>
      </c>
      <c r="U665" s="87">
        <v>0</v>
      </c>
      <c r="V665" s="87">
        <v>4</v>
      </c>
      <c r="W665" s="93" t="s">
        <v>6303</v>
      </c>
      <c r="X665" s="92" t="str">
        <f>HYPERLINK("https://monitormercantil.com.br/franquias-crescem-172-em-2023-e-faturamento-bate-marca-de-r-50-bi/")</f>
        <v>https://monitormercantil.com.br/franquias-crescem-172-em-2023-e-faturamento-bate-marca-de-r-50-bi/</v>
      </c>
      <c r="Y665" s="87" t="s">
        <v>8373</v>
      </c>
      <c r="Z665" s="87"/>
      <c r="AA665" s="87"/>
      <c r="AB665" s="87"/>
      <c r="AC665" s="93" t="s">
        <v>11457</v>
      </c>
      <c r="AD665" s="87" t="s">
        <v>11519</v>
      </c>
      <c r="AE665" s="92" t="str">
        <f>HYPERLINK("https://twitter.com/ggianni/status/1691925173899792774")</f>
        <v>https://twitter.com/ggianni/status/1691925173899792774</v>
      </c>
      <c r="AF665" s="90">
        <v>45154.895486111112</v>
      </c>
      <c r="AG665" s="99">
        <v>45154</v>
      </c>
      <c r="AH665" s="93" t="s">
        <v>12156</v>
      </c>
      <c r="AI665" s="87" t="b">
        <v>0</v>
      </c>
      <c r="AJ665" s="87"/>
      <c r="AK665" s="87"/>
      <c r="AL665" s="87"/>
      <c r="AM665" s="87"/>
      <c r="AN665" s="87"/>
      <c r="AO665" s="87"/>
      <c r="AP665" s="87"/>
      <c r="AQ665" s="87"/>
      <c r="AR665" s="87"/>
      <c r="AS665" s="87"/>
      <c r="AT665" s="87"/>
      <c r="AU665" s="87"/>
      <c r="AV665" s="92" t="str">
        <f>HYPERLINK("https://pbs.twimg.com/profile_images/1471531764535468033/Rk36W-Sp_normal.jpg")</f>
        <v>https://pbs.twimg.com/profile_images/1471531764535468033/Rk36W-Sp_normal.jpg</v>
      </c>
      <c r="AW665" s="93" t="s">
        <v>18914</v>
      </c>
      <c r="AX665" s="93" t="s">
        <v>18914</v>
      </c>
      <c r="AY665" s="87"/>
      <c r="AZ665" s="93" t="s">
        <v>22668</v>
      </c>
      <c r="BA665" s="93" t="s">
        <v>22668</v>
      </c>
      <c r="BB665" s="93" t="s">
        <v>22668</v>
      </c>
      <c r="BC665" s="93" t="s">
        <v>18914</v>
      </c>
      <c r="BD665" s="87">
        <v>107496318</v>
      </c>
      <c r="BE665" s="87"/>
      <c r="BF665" s="87"/>
      <c r="BG665" s="87"/>
      <c r="BH665" s="87"/>
      <c r="BI665" s="87"/>
    </row>
    <row r="666" spans="1:61" x14ac:dyDescent="0.25">
      <c r="A666" s="63" t="s">
        <v>452</v>
      </c>
      <c r="B666" s="63" t="s">
        <v>452</v>
      </c>
      <c r="C666" s="64"/>
      <c r="D666" s="65"/>
      <c r="E666" s="66"/>
      <c r="F666" s="67"/>
      <c r="G666" s="64"/>
      <c r="H666" s="68"/>
      <c r="I666" s="69"/>
      <c r="J666" s="69"/>
      <c r="K666" s="32"/>
      <c r="L666" s="76">
        <v>666</v>
      </c>
      <c r="M666" s="76"/>
      <c r="N666" s="71"/>
      <c r="O666" s="87" t="s">
        <v>179</v>
      </c>
      <c r="P666" s="90">
        <v>45164.015115740738</v>
      </c>
      <c r="Q666" s="87" t="s">
        <v>2492</v>
      </c>
      <c r="R666" s="87">
        <v>0</v>
      </c>
      <c r="S666" s="87">
        <v>0</v>
      </c>
      <c r="T666" s="87">
        <v>0</v>
      </c>
      <c r="U666" s="87">
        <v>0</v>
      </c>
      <c r="V666" s="87">
        <v>52</v>
      </c>
      <c r="W666" s="93" t="s">
        <v>6304</v>
      </c>
      <c r="X666" s="92" t="str">
        <f>HYPERLINK("https://www.startupsummit.com.br/")</f>
        <v>https://www.startupsummit.com.br/</v>
      </c>
      <c r="Y666" s="87" t="s">
        <v>8373</v>
      </c>
      <c r="Z666" s="87"/>
      <c r="AA666" s="87" t="s">
        <v>9056</v>
      </c>
      <c r="AB666" s="87" t="s">
        <v>11448</v>
      </c>
      <c r="AC666" s="93" t="s">
        <v>11457</v>
      </c>
      <c r="AD666" s="87" t="s">
        <v>11519</v>
      </c>
      <c r="AE666" s="92" t="str">
        <f>HYPERLINK("https://twitter.com/ggianni/status/1695230015141519793")</f>
        <v>https://twitter.com/ggianni/status/1695230015141519793</v>
      </c>
      <c r="AF666" s="90">
        <v>45164.015115740738</v>
      </c>
      <c r="AG666" s="99">
        <v>45164</v>
      </c>
      <c r="AH666" s="93" t="s">
        <v>12157</v>
      </c>
      <c r="AI666" s="87" t="b">
        <v>0</v>
      </c>
      <c r="AJ666" s="87"/>
      <c r="AK666" s="87"/>
      <c r="AL666" s="87"/>
      <c r="AM666" s="87"/>
      <c r="AN666" s="87"/>
      <c r="AO666" s="87"/>
      <c r="AP666" s="87"/>
      <c r="AQ666" s="87" t="s">
        <v>15869</v>
      </c>
      <c r="AR666" s="87"/>
      <c r="AS666" s="87"/>
      <c r="AT666" s="87"/>
      <c r="AU666" s="87"/>
      <c r="AV666" s="92" t="str">
        <f>HYPERLINK("https://pbs.twimg.com/media/F4aqrlVWQAAbugQ.jpg")</f>
        <v>https://pbs.twimg.com/media/F4aqrlVWQAAbugQ.jpg</v>
      </c>
      <c r="AW666" s="93" t="s">
        <v>18915</v>
      </c>
      <c r="AX666" s="93" t="s">
        <v>18915</v>
      </c>
      <c r="AY666" s="87"/>
      <c r="AZ666" s="93" t="s">
        <v>22668</v>
      </c>
      <c r="BA666" s="93" t="s">
        <v>22668</v>
      </c>
      <c r="BB666" s="93" t="s">
        <v>22668</v>
      </c>
      <c r="BC666" s="93" t="s">
        <v>18915</v>
      </c>
      <c r="BD666" s="87">
        <v>107496318</v>
      </c>
      <c r="BE666" s="87"/>
      <c r="BF666" s="87"/>
      <c r="BG666" s="87"/>
      <c r="BH666" s="87"/>
      <c r="BI666" s="87"/>
    </row>
    <row r="667" spans="1:61" x14ac:dyDescent="0.25">
      <c r="A667" s="63" t="s">
        <v>452</v>
      </c>
      <c r="B667" s="63" t="s">
        <v>452</v>
      </c>
      <c r="C667" s="64"/>
      <c r="D667" s="65"/>
      <c r="E667" s="66"/>
      <c r="F667" s="67"/>
      <c r="G667" s="64"/>
      <c r="H667" s="68"/>
      <c r="I667" s="69"/>
      <c r="J667" s="69"/>
      <c r="K667" s="32"/>
      <c r="L667" s="76">
        <v>667</v>
      </c>
      <c r="M667" s="76"/>
      <c r="N667" s="71"/>
      <c r="O667" s="87" t="s">
        <v>179</v>
      </c>
      <c r="P667" s="90">
        <v>45162.977129629631</v>
      </c>
      <c r="Q667" s="87" t="s">
        <v>2493</v>
      </c>
      <c r="R667" s="87">
        <v>0</v>
      </c>
      <c r="S667" s="87">
        <v>1</v>
      </c>
      <c r="T667" s="87">
        <v>0</v>
      </c>
      <c r="U667" s="87">
        <v>0</v>
      </c>
      <c r="V667" s="87">
        <v>116</v>
      </c>
      <c r="W667" s="93" t="s">
        <v>6305</v>
      </c>
      <c r="X667" s="92" t="str">
        <f>HYPERLINK("https://www.startupsummit.com.br/")</f>
        <v>https://www.startupsummit.com.br/</v>
      </c>
      <c r="Y667" s="87" t="s">
        <v>8373</v>
      </c>
      <c r="Z667" s="87"/>
      <c r="AA667" s="87" t="s">
        <v>9057</v>
      </c>
      <c r="AB667" s="87" t="s">
        <v>11448</v>
      </c>
      <c r="AC667" s="93" t="s">
        <v>11457</v>
      </c>
      <c r="AD667" s="87" t="s">
        <v>11519</v>
      </c>
      <c r="AE667" s="92" t="str">
        <f>HYPERLINK("https://twitter.com/ggianni/status/1694853862228656229")</f>
        <v>https://twitter.com/ggianni/status/1694853862228656229</v>
      </c>
      <c r="AF667" s="90">
        <v>45162.977129629631</v>
      </c>
      <c r="AG667" s="99">
        <v>45162</v>
      </c>
      <c r="AH667" s="93" t="s">
        <v>12158</v>
      </c>
      <c r="AI667" s="87" t="b">
        <v>0</v>
      </c>
      <c r="AJ667" s="87"/>
      <c r="AK667" s="87"/>
      <c r="AL667" s="87"/>
      <c r="AM667" s="87"/>
      <c r="AN667" s="87"/>
      <c r="AO667" s="87"/>
      <c r="AP667" s="87"/>
      <c r="AQ667" s="87" t="s">
        <v>15870</v>
      </c>
      <c r="AR667" s="87"/>
      <c r="AS667" s="87"/>
      <c r="AT667" s="87"/>
      <c r="AU667" s="87"/>
      <c r="AV667" s="92" t="str">
        <f>HYPERLINK("https://pbs.twimg.com/media/F4VUk_-XcAEnZLl.jpg")</f>
        <v>https://pbs.twimg.com/media/F4VUk_-XcAEnZLl.jpg</v>
      </c>
      <c r="AW667" s="93" t="s">
        <v>18916</v>
      </c>
      <c r="AX667" s="93" t="s">
        <v>18916</v>
      </c>
      <c r="AY667" s="87"/>
      <c r="AZ667" s="93" t="s">
        <v>22668</v>
      </c>
      <c r="BA667" s="93" t="s">
        <v>22668</v>
      </c>
      <c r="BB667" s="93" t="s">
        <v>22668</v>
      </c>
      <c r="BC667" s="93" t="s">
        <v>18916</v>
      </c>
      <c r="BD667" s="87">
        <v>107496318</v>
      </c>
      <c r="BE667" s="87"/>
      <c r="BF667" s="87"/>
      <c r="BG667" s="87"/>
      <c r="BH667" s="87"/>
      <c r="BI667" s="87"/>
    </row>
    <row r="668" spans="1:61" x14ac:dyDescent="0.25">
      <c r="A668" s="63" t="s">
        <v>452</v>
      </c>
      <c r="B668" s="63" t="s">
        <v>452</v>
      </c>
      <c r="C668" s="64"/>
      <c r="D668" s="65"/>
      <c r="E668" s="66"/>
      <c r="F668" s="67"/>
      <c r="G668" s="64"/>
      <c r="H668" s="68"/>
      <c r="I668" s="69"/>
      <c r="J668" s="69"/>
      <c r="K668" s="32"/>
      <c r="L668" s="76">
        <v>668</v>
      </c>
      <c r="M668" s="76"/>
      <c r="N668" s="71"/>
      <c r="O668" s="87" t="s">
        <v>179</v>
      </c>
      <c r="P668" s="90">
        <v>45162.051261574074</v>
      </c>
      <c r="Q668" s="87" t="s">
        <v>2494</v>
      </c>
      <c r="R668" s="87">
        <v>0</v>
      </c>
      <c r="S668" s="87">
        <v>0</v>
      </c>
      <c r="T668" s="87">
        <v>0</v>
      </c>
      <c r="U668" s="87">
        <v>0</v>
      </c>
      <c r="V668" s="87">
        <v>50</v>
      </c>
      <c r="W668" s="93" t="s">
        <v>6305</v>
      </c>
      <c r="X668" s="92" t="str">
        <f>HYPERLINK("https://www.startupsummit.com.br/")</f>
        <v>https://www.startupsummit.com.br/</v>
      </c>
      <c r="Y668" s="87" t="s">
        <v>8373</v>
      </c>
      <c r="Z668" s="87"/>
      <c r="AA668" s="87" t="s">
        <v>9058</v>
      </c>
      <c r="AB668" s="87" t="s">
        <v>11448</v>
      </c>
      <c r="AC668" s="93" t="s">
        <v>11457</v>
      </c>
      <c r="AD668" s="87" t="s">
        <v>11519</v>
      </c>
      <c r="AE668" s="92" t="str">
        <f>HYPERLINK("https://twitter.com/ggianni/status/1694518338372895114")</f>
        <v>https://twitter.com/ggianni/status/1694518338372895114</v>
      </c>
      <c r="AF668" s="90">
        <v>45162.051261574074</v>
      </c>
      <c r="AG668" s="99">
        <v>45162</v>
      </c>
      <c r="AH668" s="93" t="s">
        <v>12159</v>
      </c>
      <c r="AI668" s="87" t="b">
        <v>0</v>
      </c>
      <c r="AJ668" s="87"/>
      <c r="AK668" s="87"/>
      <c r="AL668" s="87"/>
      <c r="AM668" s="87"/>
      <c r="AN668" s="87"/>
      <c r="AO668" s="87"/>
      <c r="AP668" s="87"/>
      <c r="AQ668" s="87" t="s">
        <v>15871</v>
      </c>
      <c r="AR668" s="87"/>
      <c r="AS668" s="87"/>
      <c r="AT668" s="87"/>
      <c r="AU668" s="87"/>
      <c r="AV668" s="92" t="str">
        <f>HYPERLINK("https://pbs.twimg.com/media/F4QjbYaWsAEdSc9.jpg")</f>
        <v>https://pbs.twimg.com/media/F4QjbYaWsAEdSc9.jpg</v>
      </c>
      <c r="AW668" s="93" t="s">
        <v>18917</v>
      </c>
      <c r="AX668" s="93" t="s">
        <v>18917</v>
      </c>
      <c r="AY668" s="87"/>
      <c r="AZ668" s="93" t="s">
        <v>22668</v>
      </c>
      <c r="BA668" s="93" t="s">
        <v>22668</v>
      </c>
      <c r="BB668" s="93" t="s">
        <v>22668</v>
      </c>
      <c r="BC668" s="93" t="s">
        <v>18917</v>
      </c>
      <c r="BD668" s="87">
        <v>107496318</v>
      </c>
      <c r="BE668" s="87"/>
      <c r="BF668" s="87"/>
      <c r="BG668" s="87"/>
      <c r="BH668" s="87"/>
      <c r="BI668" s="87"/>
    </row>
    <row r="669" spans="1:61" x14ac:dyDescent="0.25">
      <c r="A669" s="63" t="s">
        <v>453</v>
      </c>
      <c r="B669" s="63" t="s">
        <v>453</v>
      </c>
      <c r="C669" s="64"/>
      <c r="D669" s="65"/>
      <c r="E669" s="66"/>
      <c r="F669" s="67"/>
      <c r="G669" s="64"/>
      <c r="H669" s="68"/>
      <c r="I669" s="69"/>
      <c r="J669" s="69"/>
      <c r="K669" s="32"/>
      <c r="L669" s="76">
        <v>669</v>
      </c>
      <c r="M669" s="76"/>
      <c r="N669" s="71"/>
      <c r="O669" s="87" t="s">
        <v>1839</v>
      </c>
      <c r="P669" s="90">
        <v>45116.085659722223</v>
      </c>
      <c r="Q669" s="87" t="s">
        <v>2495</v>
      </c>
      <c r="R669" s="87">
        <v>0</v>
      </c>
      <c r="S669" s="87">
        <v>0</v>
      </c>
      <c r="T669" s="87">
        <v>0</v>
      </c>
      <c r="U669" s="87">
        <v>0</v>
      </c>
      <c r="V669" s="87">
        <v>20</v>
      </c>
      <c r="W669" s="93" t="s">
        <v>5969</v>
      </c>
      <c r="X669" s="92" t="str">
        <f>HYPERLINK("https://lnkd.in/dMNYEg6d")</f>
        <v>https://lnkd.in/dMNYEg6d</v>
      </c>
      <c r="Y669" s="87" t="s">
        <v>8408</v>
      </c>
      <c r="Z669" s="87" t="s">
        <v>453</v>
      </c>
      <c r="AA669" s="87"/>
      <c r="AB669" s="87"/>
      <c r="AC669" s="93" t="s">
        <v>11474</v>
      </c>
      <c r="AD669" s="87" t="s">
        <v>11519</v>
      </c>
      <c r="AE669" s="92" t="str">
        <f>HYPERLINK("https://twitter.com/rschollemberg/status/1677860964698300417")</f>
        <v>https://twitter.com/rschollemberg/status/1677860964698300417</v>
      </c>
      <c r="AF669" s="90">
        <v>45116.085659722223</v>
      </c>
      <c r="AG669" s="99">
        <v>45116</v>
      </c>
      <c r="AH669" s="93" t="s">
        <v>12160</v>
      </c>
      <c r="AI669" s="87" t="b">
        <v>0</v>
      </c>
      <c r="AJ669" s="87"/>
      <c r="AK669" s="87"/>
      <c r="AL669" s="87"/>
      <c r="AM669" s="87"/>
      <c r="AN669" s="87"/>
      <c r="AO669" s="87"/>
      <c r="AP669" s="87"/>
      <c r="AQ669" s="87"/>
      <c r="AR669" s="87"/>
      <c r="AS669" s="87"/>
      <c r="AT669" s="87"/>
      <c r="AU669" s="87"/>
      <c r="AV669" s="92" t="str">
        <f>HYPERLINK("https://pbs.twimg.com/profile_images/1649617223000924160/lB__DYVn_normal.jpg")</f>
        <v>https://pbs.twimg.com/profile_images/1649617223000924160/lB__DYVn_normal.jpg</v>
      </c>
      <c r="AW669" s="93" t="s">
        <v>18918</v>
      </c>
      <c r="AX669" s="93" t="s">
        <v>18918</v>
      </c>
      <c r="AY669" s="87"/>
      <c r="AZ669" s="93" t="s">
        <v>22668</v>
      </c>
      <c r="BA669" s="93" t="s">
        <v>22668</v>
      </c>
      <c r="BB669" s="93" t="s">
        <v>22668</v>
      </c>
      <c r="BC669" s="93" t="s">
        <v>18918</v>
      </c>
      <c r="BD669" s="93" t="s">
        <v>22929</v>
      </c>
      <c r="BE669" s="87"/>
      <c r="BF669" s="87"/>
      <c r="BG669" s="87"/>
      <c r="BH669" s="87"/>
      <c r="BI669" s="87"/>
    </row>
    <row r="670" spans="1:61" x14ac:dyDescent="0.25">
      <c r="A670" s="63" t="s">
        <v>454</v>
      </c>
      <c r="B670" s="63" t="s">
        <v>454</v>
      </c>
      <c r="C670" s="64"/>
      <c r="D670" s="65"/>
      <c r="E670" s="66"/>
      <c r="F670" s="67"/>
      <c r="G670" s="64"/>
      <c r="H670" s="68"/>
      <c r="I670" s="69"/>
      <c r="J670" s="69"/>
      <c r="K670" s="32"/>
      <c r="L670" s="76">
        <v>670</v>
      </c>
      <c r="M670" s="76"/>
      <c r="N670" s="71"/>
      <c r="O670" s="87" t="s">
        <v>179</v>
      </c>
      <c r="P670" s="90">
        <v>45156.594050925924</v>
      </c>
      <c r="Q670" s="87" t="s">
        <v>2496</v>
      </c>
      <c r="R670" s="87">
        <v>0</v>
      </c>
      <c r="S670" s="87">
        <v>0</v>
      </c>
      <c r="T670" s="87">
        <v>0</v>
      </c>
      <c r="U670" s="87">
        <v>0</v>
      </c>
      <c r="V670" s="87">
        <v>24</v>
      </c>
      <c r="W670" s="93" t="s">
        <v>6306</v>
      </c>
      <c r="X670" s="92" t="str">
        <f>HYPERLINK("https://go.hotmart.com/Y42373274Q")</f>
        <v>https://go.hotmart.com/Y42373274Q</v>
      </c>
      <c r="Y670" s="87" t="s">
        <v>8390</v>
      </c>
      <c r="Z670" s="87"/>
      <c r="AA670" s="87"/>
      <c r="AB670" s="87"/>
      <c r="AC670" s="93" t="s">
        <v>11457</v>
      </c>
      <c r="AD670" s="87" t="s">
        <v>11519</v>
      </c>
      <c r="AE670" s="92" t="str">
        <f>HYPERLINK("https://twitter.com/filomenasilva_/status/1692540714377199734")</f>
        <v>https://twitter.com/filomenasilva_/status/1692540714377199734</v>
      </c>
      <c r="AF670" s="90">
        <v>45156.594050925924</v>
      </c>
      <c r="AG670" s="99">
        <v>45156</v>
      </c>
      <c r="AH670" s="93" t="s">
        <v>12161</v>
      </c>
      <c r="AI670" s="87" t="b">
        <v>0</v>
      </c>
      <c r="AJ670" s="87"/>
      <c r="AK670" s="87"/>
      <c r="AL670" s="87"/>
      <c r="AM670" s="87"/>
      <c r="AN670" s="87"/>
      <c r="AO670" s="87"/>
      <c r="AP670" s="87"/>
      <c r="AQ670" s="87"/>
      <c r="AR670" s="87"/>
      <c r="AS670" s="87"/>
      <c r="AT670" s="87"/>
      <c r="AU670" s="87"/>
      <c r="AV670" s="92" t="str">
        <f>HYPERLINK("https://pbs.twimg.com/profile_images/1589789516931416064/jlrebLd7_normal.jpg")</f>
        <v>https://pbs.twimg.com/profile_images/1589789516931416064/jlrebLd7_normal.jpg</v>
      </c>
      <c r="AW670" s="93" t="s">
        <v>18919</v>
      </c>
      <c r="AX670" s="93" t="s">
        <v>18919</v>
      </c>
      <c r="AY670" s="87"/>
      <c r="AZ670" s="93" t="s">
        <v>22668</v>
      </c>
      <c r="BA670" s="93" t="s">
        <v>22668</v>
      </c>
      <c r="BB670" s="93" t="s">
        <v>22668</v>
      </c>
      <c r="BC670" s="93" t="s">
        <v>18919</v>
      </c>
      <c r="BD670" s="87">
        <v>3106384919</v>
      </c>
      <c r="BE670" s="87"/>
      <c r="BF670" s="87"/>
      <c r="BG670" s="87"/>
      <c r="BH670" s="87"/>
      <c r="BI670" s="87"/>
    </row>
    <row r="671" spans="1:61" x14ac:dyDescent="0.25">
      <c r="A671" s="63" t="s">
        <v>454</v>
      </c>
      <c r="B671" s="63" t="s">
        <v>454</v>
      </c>
      <c r="C671" s="64"/>
      <c r="D671" s="65"/>
      <c r="E671" s="66"/>
      <c r="F671" s="67"/>
      <c r="G671" s="64"/>
      <c r="H671" s="68"/>
      <c r="I671" s="69"/>
      <c r="J671" s="69"/>
      <c r="K671" s="32"/>
      <c r="L671" s="76">
        <v>671</v>
      </c>
      <c r="M671" s="76"/>
      <c r="N671" s="71"/>
      <c r="O671" s="87" t="s">
        <v>179</v>
      </c>
      <c r="P671" s="90">
        <v>45151.3437037037</v>
      </c>
      <c r="Q671" s="87" t="s">
        <v>2497</v>
      </c>
      <c r="R671" s="87">
        <v>0</v>
      </c>
      <c r="S671" s="87">
        <v>0</v>
      </c>
      <c r="T671" s="87">
        <v>0</v>
      </c>
      <c r="U671" s="87">
        <v>0</v>
      </c>
      <c r="V671" s="87">
        <v>14</v>
      </c>
      <c r="W671" s="93" t="s">
        <v>6307</v>
      </c>
      <c r="X671" s="87"/>
      <c r="Y671" s="87"/>
      <c r="Z671" s="87"/>
      <c r="AA671" s="87"/>
      <c r="AB671" s="87"/>
      <c r="AC671" s="93" t="s">
        <v>11459</v>
      </c>
      <c r="AD671" s="87" t="s">
        <v>11519</v>
      </c>
      <c r="AE671" s="92" t="str">
        <f>HYPERLINK("https://twitter.com/filomenasilva_/status/1690638052685660160")</f>
        <v>https://twitter.com/filomenasilva_/status/1690638052685660160</v>
      </c>
      <c r="AF671" s="90">
        <v>45151.3437037037</v>
      </c>
      <c r="AG671" s="99">
        <v>45151</v>
      </c>
      <c r="AH671" s="93" t="s">
        <v>12162</v>
      </c>
      <c r="AI671" s="87"/>
      <c r="AJ671" s="87"/>
      <c r="AK671" s="87"/>
      <c r="AL671" s="87"/>
      <c r="AM671" s="87"/>
      <c r="AN671" s="87"/>
      <c r="AO671" s="87"/>
      <c r="AP671" s="87"/>
      <c r="AQ671" s="87"/>
      <c r="AR671" s="87"/>
      <c r="AS671" s="87"/>
      <c r="AT671" s="87"/>
      <c r="AU671" s="87"/>
      <c r="AV671" s="92" t="str">
        <f>HYPERLINK("https://pbs.twimg.com/profile_images/1589789516931416064/jlrebLd7_normal.jpg")</f>
        <v>https://pbs.twimg.com/profile_images/1589789516931416064/jlrebLd7_normal.jpg</v>
      </c>
      <c r="AW671" s="93" t="s">
        <v>18920</v>
      </c>
      <c r="AX671" s="93" t="s">
        <v>18920</v>
      </c>
      <c r="AY671" s="87"/>
      <c r="AZ671" s="93" t="s">
        <v>22668</v>
      </c>
      <c r="BA671" s="93" t="s">
        <v>22668</v>
      </c>
      <c r="BB671" s="93" t="s">
        <v>22668</v>
      </c>
      <c r="BC671" s="93" t="s">
        <v>18920</v>
      </c>
      <c r="BD671" s="87">
        <v>3106384919</v>
      </c>
      <c r="BE671" s="87"/>
      <c r="BF671" s="87"/>
      <c r="BG671" s="87"/>
      <c r="BH671" s="87"/>
      <c r="BI671" s="87"/>
    </row>
    <row r="672" spans="1:61" x14ac:dyDescent="0.25">
      <c r="A672" s="63" t="s">
        <v>454</v>
      </c>
      <c r="B672" s="63" t="s">
        <v>454</v>
      </c>
      <c r="C672" s="64"/>
      <c r="D672" s="65"/>
      <c r="E672" s="66"/>
      <c r="F672" s="67"/>
      <c r="G672" s="64"/>
      <c r="H672" s="68"/>
      <c r="I672" s="69"/>
      <c r="J672" s="69"/>
      <c r="K672" s="32"/>
      <c r="L672" s="76">
        <v>672</v>
      </c>
      <c r="M672" s="76"/>
      <c r="N672" s="71"/>
      <c r="O672" s="87" t="s">
        <v>179</v>
      </c>
      <c r="P672" s="90">
        <v>45159.49015046296</v>
      </c>
      <c r="Q672" s="87" t="s">
        <v>2498</v>
      </c>
      <c r="R672" s="87">
        <v>0</v>
      </c>
      <c r="S672" s="87">
        <v>0</v>
      </c>
      <c r="T672" s="87">
        <v>0</v>
      </c>
      <c r="U672" s="87">
        <v>0</v>
      </c>
      <c r="V672" s="87">
        <v>91</v>
      </c>
      <c r="W672" s="93" t="s">
        <v>6308</v>
      </c>
      <c r="X672" s="92" t="str">
        <f>HYPERLINK("https://www.filomena-silva.pt/post/conciliar-um-negócio-próprio-com-emprego-a-tempo-inteiro-encontrando-o-equilíbrio-profissional")</f>
        <v>https://www.filomena-silva.pt/post/conciliar-um-negócio-próprio-com-emprego-a-tempo-inteiro-encontrando-o-equilíbrio-profissional</v>
      </c>
      <c r="Y672" s="87" t="s">
        <v>8409</v>
      </c>
      <c r="Z672" s="87"/>
      <c r="AA672" s="87"/>
      <c r="AB672" s="87"/>
      <c r="AC672" s="93" t="s">
        <v>11457</v>
      </c>
      <c r="AD672" s="87" t="s">
        <v>11519</v>
      </c>
      <c r="AE672" s="92" t="str">
        <f>HYPERLINK("https://twitter.com/filomenasilva_/status/1693590223404319031")</f>
        <v>https://twitter.com/filomenasilva_/status/1693590223404319031</v>
      </c>
      <c r="AF672" s="90">
        <v>45159.49015046296</v>
      </c>
      <c r="AG672" s="99">
        <v>45159</v>
      </c>
      <c r="AH672" s="93" t="s">
        <v>12163</v>
      </c>
      <c r="AI672" s="87" t="b">
        <v>0</v>
      </c>
      <c r="AJ672" s="87"/>
      <c r="AK672" s="87"/>
      <c r="AL672" s="87"/>
      <c r="AM672" s="87"/>
      <c r="AN672" s="87"/>
      <c r="AO672" s="87"/>
      <c r="AP672" s="87"/>
      <c r="AQ672" s="87"/>
      <c r="AR672" s="87"/>
      <c r="AS672" s="87"/>
      <c r="AT672" s="87"/>
      <c r="AU672" s="87"/>
      <c r="AV672" s="92" t="str">
        <f>HYPERLINK("https://pbs.twimg.com/profile_images/1589789516931416064/jlrebLd7_normal.jpg")</f>
        <v>https://pbs.twimg.com/profile_images/1589789516931416064/jlrebLd7_normal.jpg</v>
      </c>
      <c r="AW672" s="93" t="s">
        <v>18921</v>
      </c>
      <c r="AX672" s="93" t="s">
        <v>18921</v>
      </c>
      <c r="AY672" s="87"/>
      <c r="AZ672" s="93" t="s">
        <v>22668</v>
      </c>
      <c r="BA672" s="93" t="s">
        <v>22668</v>
      </c>
      <c r="BB672" s="93" t="s">
        <v>22668</v>
      </c>
      <c r="BC672" s="93" t="s">
        <v>18921</v>
      </c>
      <c r="BD672" s="87">
        <v>3106384919</v>
      </c>
      <c r="BE672" s="87"/>
      <c r="BF672" s="87"/>
      <c r="BG672" s="87"/>
      <c r="BH672" s="87"/>
      <c r="BI672" s="87"/>
    </row>
    <row r="673" spans="1:61" x14ac:dyDescent="0.25">
      <c r="A673" s="63" t="s">
        <v>454</v>
      </c>
      <c r="B673" s="63" t="s">
        <v>454</v>
      </c>
      <c r="C673" s="64"/>
      <c r="D673" s="65"/>
      <c r="E673" s="66"/>
      <c r="F673" s="67"/>
      <c r="G673" s="64"/>
      <c r="H673" s="68"/>
      <c r="I673" s="69"/>
      <c r="J673" s="69"/>
      <c r="K673" s="32"/>
      <c r="L673" s="76">
        <v>673</v>
      </c>
      <c r="M673" s="76"/>
      <c r="N673" s="71"/>
      <c r="O673" s="87" t="s">
        <v>179</v>
      </c>
      <c r="P673" s="90">
        <v>45178.5705787037</v>
      </c>
      <c r="Q673" s="87" t="s">
        <v>2499</v>
      </c>
      <c r="R673" s="87">
        <v>0</v>
      </c>
      <c r="S673" s="87">
        <v>0</v>
      </c>
      <c r="T673" s="87">
        <v>0</v>
      </c>
      <c r="U673" s="87">
        <v>0</v>
      </c>
      <c r="V673" s="87">
        <v>10</v>
      </c>
      <c r="W673" s="93" t="s">
        <v>6309</v>
      </c>
      <c r="X673" s="92" t="str">
        <f>HYPERLINK("https://www.instagram.com/p/Cw-ImXFM9EG/")</f>
        <v>https://www.instagram.com/p/Cw-ImXFM9EG/</v>
      </c>
      <c r="Y673" s="87" t="s">
        <v>8383</v>
      </c>
      <c r="Z673" s="87"/>
      <c r="AA673" s="87"/>
      <c r="AB673" s="87"/>
      <c r="AC673" s="93" t="s">
        <v>11457</v>
      </c>
      <c r="AD673" s="87" t="s">
        <v>11519</v>
      </c>
      <c r="AE673" s="92" t="str">
        <f>HYPERLINK("https://twitter.com/filomenasilva_/status/1700504739291488422")</f>
        <v>https://twitter.com/filomenasilva_/status/1700504739291488422</v>
      </c>
      <c r="AF673" s="90">
        <v>45178.5705787037</v>
      </c>
      <c r="AG673" s="99">
        <v>45178</v>
      </c>
      <c r="AH673" s="93" t="s">
        <v>12164</v>
      </c>
      <c r="AI673" s="87" t="b">
        <v>0</v>
      </c>
      <c r="AJ673" s="87"/>
      <c r="AK673" s="87"/>
      <c r="AL673" s="87"/>
      <c r="AM673" s="87"/>
      <c r="AN673" s="87"/>
      <c r="AO673" s="87"/>
      <c r="AP673" s="87"/>
      <c r="AQ673" s="87"/>
      <c r="AR673" s="87"/>
      <c r="AS673" s="87"/>
      <c r="AT673" s="87"/>
      <c r="AU673" s="87"/>
      <c r="AV673" s="92" t="str">
        <f>HYPERLINK("https://pbs.twimg.com/profile_images/1589789516931416064/jlrebLd7_normal.jpg")</f>
        <v>https://pbs.twimg.com/profile_images/1589789516931416064/jlrebLd7_normal.jpg</v>
      </c>
      <c r="AW673" s="93" t="s">
        <v>18922</v>
      </c>
      <c r="AX673" s="93" t="s">
        <v>18922</v>
      </c>
      <c r="AY673" s="87"/>
      <c r="AZ673" s="93" t="s">
        <v>22668</v>
      </c>
      <c r="BA673" s="93" t="s">
        <v>22668</v>
      </c>
      <c r="BB673" s="93" t="s">
        <v>22668</v>
      </c>
      <c r="BC673" s="93" t="s">
        <v>18922</v>
      </c>
      <c r="BD673" s="87">
        <v>3106384919</v>
      </c>
      <c r="BE673" s="87"/>
      <c r="BF673" s="87"/>
      <c r="BG673" s="87"/>
      <c r="BH673" s="87"/>
      <c r="BI673" s="87"/>
    </row>
    <row r="674" spans="1:61" x14ac:dyDescent="0.25">
      <c r="A674" s="63" t="s">
        <v>454</v>
      </c>
      <c r="B674" s="63" t="s">
        <v>454</v>
      </c>
      <c r="C674" s="64"/>
      <c r="D674" s="65"/>
      <c r="E674" s="66"/>
      <c r="F674" s="67"/>
      <c r="G674" s="64"/>
      <c r="H674" s="68"/>
      <c r="I674" s="69"/>
      <c r="J674" s="69"/>
      <c r="K674" s="32"/>
      <c r="L674" s="76">
        <v>674</v>
      </c>
      <c r="M674" s="76"/>
      <c r="N674" s="71"/>
      <c r="O674" s="87" t="s">
        <v>179</v>
      </c>
      <c r="P674" s="90">
        <v>45181.836712962962</v>
      </c>
      <c r="Q674" s="87" t="s">
        <v>2500</v>
      </c>
      <c r="R674" s="87">
        <v>0</v>
      </c>
      <c r="S674" s="87">
        <v>0</v>
      </c>
      <c r="T674" s="87">
        <v>0</v>
      </c>
      <c r="U674" s="87">
        <v>0</v>
      </c>
      <c r="V674" s="87">
        <v>21</v>
      </c>
      <c r="W674" s="93" t="s">
        <v>6310</v>
      </c>
      <c r="X674" s="87"/>
      <c r="Y674" s="87"/>
      <c r="Z674" s="87"/>
      <c r="AA674" s="87"/>
      <c r="AB674" s="87"/>
      <c r="AC674" s="93" t="s">
        <v>11457</v>
      </c>
      <c r="AD674" s="87" t="s">
        <v>11519</v>
      </c>
      <c r="AE674" s="92" t="str">
        <f>HYPERLINK("https://twitter.com/filomenasilva_/status/1701688348425732376")</f>
        <v>https://twitter.com/filomenasilva_/status/1701688348425732376</v>
      </c>
      <c r="AF674" s="90">
        <v>45181.836712962962</v>
      </c>
      <c r="AG674" s="99">
        <v>45181</v>
      </c>
      <c r="AH674" s="93" t="s">
        <v>12165</v>
      </c>
      <c r="AI674" s="87"/>
      <c r="AJ674" s="87"/>
      <c r="AK674" s="87"/>
      <c r="AL674" s="87"/>
      <c r="AM674" s="87"/>
      <c r="AN674" s="87"/>
      <c r="AO674" s="87"/>
      <c r="AP674" s="87"/>
      <c r="AQ674" s="87"/>
      <c r="AR674" s="87"/>
      <c r="AS674" s="87"/>
      <c r="AT674" s="87"/>
      <c r="AU674" s="87"/>
      <c r="AV674" s="92" t="str">
        <f>HYPERLINK("https://pbs.twimg.com/profile_images/1589789516931416064/jlrebLd7_normal.jpg")</f>
        <v>https://pbs.twimg.com/profile_images/1589789516931416064/jlrebLd7_normal.jpg</v>
      </c>
      <c r="AW674" s="93" t="s">
        <v>18923</v>
      </c>
      <c r="AX674" s="93" t="s">
        <v>18923</v>
      </c>
      <c r="AY674" s="87"/>
      <c r="AZ674" s="93" t="s">
        <v>22668</v>
      </c>
      <c r="BA674" s="93" t="s">
        <v>22668</v>
      </c>
      <c r="BB674" s="93" t="s">
        <v>22668</v>
      </c>
      <c r="BC674" s="93" t="s">
        <v>18923</v>
      </c>
      <c r="BD674" s="87">
        <v>3106384919</v>
      </c>
      <c r="BE674" s="87"/>
      <c r="BF674" s="87"/>
      <c r="BG674" s="87"/>
      <c r="BH674" s="87"/>
      <c r="BI674" s="87"/>
    </row>
    <row r="675" spans="1:61" x14ac:dyDescent="0.25">
      <c r="A675" s="63" t="s">
        <v>454</v>
      </c>
      <c r="B675" s="63" t="s">
        <v>454</v>
      </c>
      <c r="C675" s="64"/>
      <c r="D675" s="65"/>
      <c r="E675" s="66"/>
      <c r="F675" s="67"/>
      <c r="G675" s="64"/>
      <c r="H675" s="68"/>
      <c r="I675" s="69"/>
      <c r="J675" s="69"/>
      <c r="K675" s="32"/>
      <c r="L675" s="76">
        <v>675</v>
      </c>
      <c r="M675" s="76"/>
      <c r="N675" s="71"/>
      <c r="O675" s="87" t="s">
        <v>179</v>
      </c>
      <c r="P675" s="90">
        <v>45167.349664351852</v>
      </c>
      <c r="Q675" s="87" t="s">
        <v>2501</v>
      </c>
      <c r="R675" s="87">
        <v>0</v>
      </c>
      <c r="S675" s="87">
        <v>0</v>
      </c>
      <c r="T675" s="87">
        <v>0</v>
      </c>
      <c r="U675" s="87">
        <v>0</v>
      </c>
      <c r="V675" s="87">
        <v>21</v>
      </c>
      <c r="W675" s="93" t="s">
        <v>6311</v>
      </c>
      <c r="X675" s="87"/>
      <c r="Y675" s="87"/>
      <c r="Z675" s="87"/>
      <c r="AA675" s="87"/>
      <c r="AB675" s="87"/>
      <c r="AC675" s="93" t="s">
        <v>11457</v>
      </c>
      <c r="AD675" s="87" t="s">
        <v>11519</v>
      </c>
      <c r="AE675" s="92" t="str">
        <f>HYPERLINK("https://twitter.com/filomenasilva_/status/1696438414956974096")</f>
        <v>https://twitter.com/filomenasilva_/status/1696438414956974096</v>
      </c>
      <c r="AF675" s="90">
        <v>45167.349664351852</v>
      </c>
      <c r="AG675" s="99">
        <v>45167</v>
      </c>
      <c r="AH675" s="93" t="s">
        <v>12166</v>
      </c>
      <c r="AI675" s="87"/>
      <c r="AJ675" s="87"/>
      <c r="AK675" s="87"/>
      <c r="AL675" s="87"/>
      <c r="AM675" s="87"/>
      <c r="AN675" s="87"/>
      <c r="AO675" s="87"/>
      <c r="AP675" s="87"/>
      <c r="AQ675" s="87"/>
      <c r="AR675" s="87"/>
      <c r="AS675" s="87"/>
      <c r="AT675" s="87"/>
      <c r="AU675" s="87"/>
      <c r="AV675" s="92" t="str">
        <f>HYPERLINK("https://pbs.twimg.com/profile_images/1589789516931416064/jlrebLd7_normal.jpg")</f>
        <v>https://pbs.twimg.com/profile_images/1589789516931416064/jlrebLd7_normal.jpg</v>
      </c>
      <c r="AW675" s="93" t="s">
        <v>18924</v>
      </c>
      <c r="AX675" s="93" t="s">
        <v>18924</v>
      </c>
      <c r="AY675" s="87"/>
      <c r="AZ675" s="93" t="s">
        <v>22668</v>
      </c>
      <c r="BA675" s="93" t="s">
        <v>22668</v>
      </c>
      <c r="BB675" s="93" t="s">
        <v>22668</v>
      </c>
      <c r="BC675" s="93" t="s">
        <v>18924</v>
      </c>
      <c r="BD675" s="87">
        <v>3106384919</v>
      </c>
      <c r="BE675" s="87"/>
      <c r="BF675" s="87"/>
      <c r="BG675" s="87"/>
      <c r="BH675" s="87"/>
      <c r="BI675" s="87"/>
    </row>
    <row r="676" spans="1:61" x14ac:dyDescent="0.25">
      <c r="A676" s="63" t="s">
        <v>454</v>
      </c>
      <c r="B676" s="63" t="s">
        <v>454</v>
      </c>
      <c r="C676" s="64"/>
      <c r="D676" s="65"/>
      <c r="E676" s="66"/>
      <c r="F676" s="67"/>
      <c r="G676" s="64"/>
      <c r="H676" s="68"/>
      <c r="I676" s="69"/>
      <c r="J676" s="69"/>
      <c r="K676" s="32"/>
      <c r="L676" s="76">
        <v>676</v>
      </c>
      <c r="M676" s="76"/>
      <c r="N676" s="71"/>
      <c r="O676" s="87" t="s">
        <v>179</v>
      </c>
      <c r="P676" s="90">
        <v>45166.486585648148</v>
      </c>
      <c r="Q676" s="87" t="s">
        <v>2502</v>
      </c>
      <c r="R676" s="87">
        <v>0</v>
      </c>
      <c r="S676" s="87">
        <v>0</v>
      </c>
      <c r="T676" s="87">
        <v>0</v>
      </c>
      <c r="U676" s="87">
        <v>0</v>
      </c>
      <c r="V676" s="87">
        <v>17</v>
      </c>
      <c r="W676" s="93" t="s">
        <v>6312</v>
      </c>
      <c r="X676" s="87"/>
      <c r="Y676" s="87"/>
      <c r="Z676" s="87"/>
      <c r="AA676" s="87"/>
      <c r="AB676" s="87"/>
      <c r="AC676" s="93" t="s">
        <v>11457</v>
      </c>
      <c r="AD676" s="87" t="s">
        <v>11519</v>
      </c>
      <c r="AE676" s="92" t="str">
        <f>HYPERLINK("https://twitter.com/filomenasilva_/status/1696125647184101381")</f>
        <v>https://twitter.com/filomenasilva_/status/1696125647184101381</v>
      </c>
      <c r="AF676" s="90">
        <v>45166.486585648148</v>
      </c>
      <c r="AG676" s="99">
        <v>45166</v>
      </c>
      <c r="AH676" s="93" t="s">
        <v>12167</v>
      </c>
      <c r="AI676" s="87"/>
      <c r="AJ676" s="87"/>
      <c r="AK676" s="87"/>
      <c r="AL676" s="87"/>
      <c r="AM676" s="87"/>
      <c r="AN676" s="87"/>
      <c r="AO676" s="87"/>
      <c r="AP676" s="87"/>
      <c r="AQ676" s="87"/>
      <c r="AR676" s="87"/>
      <c r="AS676" s="87"/>
      <c r="AT676" s="87"/>
      <c r="AU676" s="87"/>
      <c r="AV676" s="92" t="str">
        <f>HYPERLINK("https://pbs.twimg.com/profile_images/1589789516931416064/jlrebLd7_normal.jpg")</f>
        <v>https://pbs.twimg.com/profile_images/1589789516931416064/jlrebLd7_normal.jpg</v>
      </c>
      <c r="AW676" s="93" t="s">
        <v>18925</v>
      </c>
      <c r="AX676" s="93" t="s">
        <v>18925</v>
      </c>
      <c r="AY676" s="87"/>
      <c r="AZ676" s="93" t="s">
        <v>22668</v>
      </c>
      <c r="BA676" s="93" t="s">
        <v>22668</v>
      </c>
      <c r="BB676" s="93" t="s">
        <v>22668</v>
      </c>
      <c r="BC676" s="93" t="s">
        <v>18925</v>
      </c>
      <c r="BD676" s="87">
        <v>3106384919</v>
      </c>
      <c r="BE676" s="87"/>
      <c r="BF676" s="87"/>
      <c r="BG676" s="87"/>
      <c r="BH676" s="87"/>
      <c r="BI676" s="87"/>
    </row>
    <row r="677" spans="1:61" x14ac:dyDescent="0.25">
      <c r="A677" s="63" t="s">
        <v>455</v>
      </c>
      <c r="B677" s="63" t="s">
        <v>455</v>
      </c>
      <c r="C677" s="64"/>
      <c r="D677" s="65"/>
      <c r="E677" s="66"/>
      <c r="F677" s="67"/>
      <c r="G677" s="64"/>
      <c r="H677" s="68"/>
      <c r="I677" s="69"/>
      <c r="J677" s="69"/>
      <c r="K677" s="32"/>
      <c r="L677" s="76">
        <v>677</v>
      </c>
      <c r="M677" s="76"/>
      <c r="N677" s="71"/>
      <c r="O677" s="87" t="s">
        <v>1839</v>
      </c>
      <c r="P677" s="90">
        <v>45176.790798611109</v>
      </c>
      <c r="Q677" s="87" t="s">
        <v>2503</v>
      </c>
      <c r="R677" s="87">
        <v>0</v>
      </c>
      <c r="S677" s="87">
        <v>0</v>
      </c>
      <c r="T677" s="87">
        <v>0</v>
      </c>
      <c r="U677" s="87">
        <v>0</v>
      </c>
      <c r="V677" s="87">
        <v>45</v>
      </c>
      <c r="W677" s="93" t="s">
        <v>6313</v>
      </c>
      <c r="X677" s="92" t="str">
        <f>HYPERLINK("https://anoticia.pt/2023/09/07/pao-de-forma-vai-desafiar-jovens-empreendedores-de-viseu-dao-lafoes/")</f>
        <v>https://anoticia.pt/2023/09/07/pao-de-forma-vai-desafiar-jovens-empreendedores-de-viseu-dao-lafoes/</v>
      </c>
      <c r="Y677" s="87" t="s">
        <v>8410</v>
      </c>
      <c r="Z677" s="87" t="s">
        <v>455</v>
      </c>
      <c r="AA677" s="87"/>
      <c r="AB677" s="87"/>
      <c r="AC677" s="93" t="s">
        <v>11457</v>
      </c>
      <c r="AD677" s="87" t="s">
        <v>11519</v>
      </c>
      <c r="AE677" s="92" t="str">
        <f>HYPERLINK("https://twitter.com/anoticiapt/status/1699859770717458458")</f>
        <v>https://twitter.com/anoticiapt/status/1699859770717458458</v>
      </c>
      <c r="AF677" s="90">
        <v>45176.790798611109</v>
      </c>
      <c r="AG677" s="99">
        <v>45176</v>
      </c>
      <c r="AH677" s="93" t="s">
        <v>12168</v>
      </c>
      <c r="AI677" s="87" t="b">
        <v>0</v>
      </c>
      <c r="AJ677" s="87"/>
      <c r="AK677" s="87"/>
      <c r="AL677" s="87"/>
      <c r="AM677" s="87"/>
      <c r="AN677" s="87"/>
      <c r="AO677" s="87"/>
      <c r="AP677" s="87"/>
      <c r="AQ677" s="87"/>
      <c r="AR677" s="87"/>
      <c r="AS677" s="87"/>
      <c r="AT677" s="87"/>
      <c r="AU677" s="87"/>
      <c r="AV677" s="92" t="str">
        <f>HYPERLINK("https://pbs.twimg.com/profile_images/1280264830142812161/np4F4ADw_normal.jpg")</f>
        <v>https://pbs.twimg.com/profile_images/1280264830142812161/np4F4ADw_normal.jpg</v>
      </c>
      <c r="AW677" s="93" t="s">
        <v>18926</v>
      </c>
      <c r="AX677" s="93" t="s">
        <v>18926</v>
      </c>
      <c r="AY677" s="87"/>
      <c r="AZ677" s="93" t="s">
        <v>22668</v>
      </c>
      <c r="BA677" s="93" t="s">
        <v>22668</v>
      </c>
      <c r="BB677" s="93" t="s">
        <v>22668</v>
      </c>
      <c r="BC677" s="93" t="s">
        <v>18926</v>
      </c>
      <c r="BD677" s="93" t="s">
        <v>22930</v>
      </c>
      <c r="BE677" s="87"/>
      <c r="BF677" s="87"/>
      <c r="BG677" s="87"/>
      <c r="BH677" s="87"/>
      <c r="BI677" s="87"/>
    </row>
    <row r="678" spans="1:61" x14ac:dyDescent="0.25">
      <c r="A678" s="63" t="s">
        <v>456</v>
      </c>
      <c r="B678" s="63" t="s">
        <v>456</v>
      </c>
      <c r="C678" s="64"/>
      <c r="D678" s="65"/>
      <c r="E678" s="66"/>
      <c r="F678" s="67"/>
      <c r="G678" s="64"/>
      <c r="H678" s="68"/>
      <c r="I678" s="69"/>
      <c r="J678" s="69"/>
      <c r="K678" s="32"/>
      <c r="L678" s="76">
        <v>678</v>
      </c>
      <c r="M678" s="76"/>
      <c r="N678" s="71"/>
      <c r="O678" s="87" t="s">
        <v>179</v>
      </c>
      <c r="P678" s="90">
        <v>45184.106747685182</v>
      </c>
      <c r="Q678" s="87" t="s">
        <v>2504</v>
      </c>
      <c r="R678" s="87">
        <v>0</v>
      </c>
      <c r="S678" s="87">
        <v>0</v>
      </c>
      <c r="T678" s="87">
        <v>0</v>
      </c>
      <c r="U678" s="87">
        <v>0</v>
      </c>
      <c r="V678" s="87">
        <v>2</v>
      </c>
      <c r="W678" s="93" t="s">
        <v>6314</v>
      </c>
      <c r="X678" s="87"/>
      <c r="Y678" s="87"/>
      <c r="Z678" s="87"/>
      <c r="AA678" s="87"/>
      <c r="AB678" s="87"/>
      <c r="AC678" s="93" t="s">
        <v>11457</v>
      </c>
      <c r="AD678" s="87" t="s">
        <v>11519</v>
      </c>
      <c r="AE678" s="92" t="str">
        <f>HYPERLINK("https://twitter.com/thaysastaniski/status/1702510980494672073")</f>
        <v>https://twitter.com/thaysastaniski/status/1702510980494672073</v>
      </c>
      <c r="AF678" s="90">
        <v>45184.106747685182</v>
      </c>
      <c r="AG678" s="99">
        <v>45184</v>
      </c>
      <c r="AH678" s="93" t="s">
        <v>12169</v>
      </c>
      <c r="AI678" s="87"/>
      <c r="AJ678" s="87"/>
      <c r="AK678" s="87"/>
      <c r="AL678" s="87"/>
      <c r="AM678" s="87"/>
      <c r="AN678" s="87"/>
      <c r="AO678" s="87"/>
      <c r="AP678" s="87"/>
      <c r="AQ678" s="87"/>
      <c r="AR678" s="87"/>
      <c r="AS678" s="87"/>
      <c r="AT678" s="87"/>
      <c r="AU678" s="87"/>
      <c r="AV678" s="92" t="str">
        <f>HYPERLINK("https://pbs.twimg.com/profile_images/1702486763690688512/0Zc-7CZF_normal.jpg")</f>
        <v>https://pbs.twimg.com/profile_images/1702486763690688512/0Zc-7CZF_normal.jpg</v>
      </c>
      <c r="AW678" s="93" t="s">
        <v>18927</v>
      </c>
      <c r="AX678" s="93" t="s">
        <v>18927</v>
      </c>
      <c r="AY678" s="87"/>
      <c r="AZ678" s="93" t="s">
        <v>22668</v>
      </c>
      <c r="BA678" s="93" t="s">
        <v>22668</v>
      </c>
      <c r="BB678" s="93" t="s">
        <v>22668</v>
      </c>
      <c r="BC678" s="93" t="s">
        <v>18927</v>
      </c>
      <c r="BD678" s="93" t="s">
        <v>22931</v>
      </c>
      <c r="BE678" s="87"/>
      <c r="BF678" s="87"/>
      <c r="BG678" s="87"/>
      <c r="BH678" s="87"/>
      <c r="BI678" s="87"/>
    </row>
    <row r="679" spans="1:61" x14ac:dyDescent="0.25">
      <c r="A679" s="63" t="s">
        <v>456</v>
      </c>
      <c r="B679" s="63" t="s">
        <v>456</v>
      </c>
      <c r="C679" s="64"/>
      <c r="D679" s="65"/>
      <c r="E679" s="66"/>
      <c r="F679" s="67"/>
      <c r="G679" s="64"/>
      <c r="H679" s="68"/>
      <c r="I679" s="69"/>
      <c r="J679" s="69"/>
      <c r="K679" s="32"/>
      <c r="L679" s="76">
        <v>679</v>
      </c>
      <c r="M679" s="76"/>
      <c r="N679" s="71"/>
      <c r="O679" s="87" t="s">
        <v>179</v>
      </c>
      <c r="P679" s="90">
        <v>45184.105821759258</v>
      </c>
      <c r="Q679" s="87" t="s">
        <v>2505</v>
      </c>
      <c r="R679" s="87">
        <v>0</v>
      </c>
      <c r="S679" s="87">
        <v>0</v>
      </c>
      <c r="T679" s="87">
        <v>0</v>
      </c>
      <c r="U679" s="87">
        <v>0</v>
      </c>
      <c r="V679" s="87">
        <v>1</v>
      </c>
      <c r="W679" s="93" t="s">
        <v>6315</v>
      </c>
      <c r="X679" s="87"/>
      <c r="Y679" s="87"/>
      <c r="Z679" s="87"/>
      <c r="AA679" s="87"/>
      <c r="AB679" s="87"/>
      <c r="AC679" s="93" t="s">
        <v>11457</v>
      </c>
      <c r="AD679" s="87" t="s">
        <v>11519</v>
      </c>
      <c r="AE679" s="92" t="str">
        <f>HYPERLINK("https://twitter.com/thaysastaniski/status/1702510646024183882")</f>
        <v>https://twitter.com/thaysastaniski/status/1702510646024183882</v>
      </c>
      <c r="AF679" s="90">
        <v>45184.105821759258</v>
      </c>
      <c r="AG679" s="99">
        <v>45184</v>
      </c>
      <c r="AH679" s="93" t="s">
        <v>12170</v>
      </c>
      <c r="AI679" s="87"/>
      <c r="AJ679" s="87"/>
      <c r="AK679" s="87"/>
      <c r="AL679" s="87"/>
      <c r="AM679" s="87"/>
      <c r="AN679" s="87"/>
      <c r="AO679" s="87"/>
      <c r="AP679" s="87"/>
      <c r="AQ679" s="87"/>
      <c r="AR679" s="87"/>
      <c r="AS679" s="87"/>
      <c r="AT679" s="87"/>
      <c r="AU679" s="87"/>
      <c r="AV679" s="92" t="str">
        <f>HYPERLINK("https://pbs.twimg.com/profile_images/1702486763690688512/0Zc-7CZF_normal.jpg")</f>
        <v>https://pbs.twimg.com/profile_images/1702486763690688512/0Zc-7CZF_normal.jpg</v>
      </c>
      <c r="AW679" s="93" t="s">
        <v>18928</v>
      </c>
      <c r="AX679" s="93" t="s">
        <v>18928</v>
      </c>
      <c r="AY679" s="87"/>
      <c r="AZ679" s="93" t="s">
        <v>22668</v>
      </c>
      <c r="BA679" s="93" t="s">
        <v>22668</v>
      </c>
      <c r="BB679" s="93" t="s">
        <v>22668</v>
      </c>
      <c r="BC679" s="93" t="s">
        <v>18928</v>
      </c>
      <c r="BD679" s="93" t="s">
        <v>22931</v>
      </c>
      <c r="BE679" s="87"/>
      <c r="BF679" s="87"/>
      <c r="BG679" s="87"/>
      <c r="BH679" s="87"/>
      <c r="BI679" s="87"/>
    </row>
    <row r="680" spans="1:61" x14ac:dyDescent="0.25">
      <c r="A680" s="63" t="s">
        <v>456</v>
      </c>
      <c r="B680" s="63" t="s">
        <v>456</v>
      </c>
      <c r="C680" s="64"/>
      <c r="D680" s="65"/>
      <c r="E680" s="66"/>
      <c r="F680" s="67"/>
      <c r="G680" s="64"/>
      <c r="H680" s="68"/>
      <c r="I680" s="69"/>
      <c r="J680" s="69"/>
      <c r="K680" s="32"/>
      <c r="L680" s="76">
        <v>680</v>
      </c>
      <c r="M680" s="76"/>
      <c r="N680" s="71"/>
      <c r="O680" s="87" t="s">
        <v>179</v>
      </c>
      <c r="P680" s="90">
        <v>45184.10460648148</v>
      </c>
      <c r="Q680" s="87" t="s">
        <v>2506</v>
      </c>
      <c r="R680" s="87">
        <v>0</v>
      </c>
      <c r="S680" s="87">
        <v>0</v>
      </c>
      <c r="T680" s="87">
        <v>0</v>
      </c>
      <c r="U680" s="87">
        <v>0</v>
      </c>
      <c r="V680" s="87">
        <v>1</v>
      </c>
      <c r="W680" s="93" t="s">
        <v>6316</v>
      </c>
      <c r="X680" s="87"/>
      <c r="Y680" s="87"/>
      <c r="Z680" s="87"/>
      <c r="AA680" s="87"/>
      <c r="AB680" s="87"/>
      <c r="AC680" s="93" t="s">
        <v>11457</v>
      </c>
      <c r="AD680" s="87" t="s">
        <v>11519</v>
      </c>
      <c r="AE680" s="92" t="str">
        <f>HYPERLINK("https://twitter.com/thaysastaniski/status/1702510204674265137")</f>
        <v>https://twitter.com/thaysastaniski/status/1702510204674265137</v>
      </c>
      <c r="AF680" s="90">
        <v>45184.10460648148</v>
      </c>
      <c r="AG680" s="99">
        <v>45184</v>
      </c>
      <c r="AH680" s="93" t="s">
        <v>12171</v>
      </c>
      <c r="AI680" s="87"/>
      <c r="AJ680" s="87"/>
      <c r="AK680" s="87"/>
      <c r="AL680" s="87"/>
      <c r="AM680" s="87"/>
      <c r="AN680" s="87"/>
      <c r="AO680" s="87"/>
      <c r="AP680" s="87"/>
      <c r="AQ680" s="87"/>
      <c r="AR680" s="87"/>
      <c r="AS680" s="87"/>
      <c r="AT680" s="87"/>
      <c r="AU680" s="87"/>
      <c r="AV680" s="92" t="str">
        <f>HYPERLINK("https://pbs.twimg.com/profile_images/1702486763690688512/0Zc-7CZF_normal.jpg")</f>
        <v>https://pbs.twimg.com/profile_images/1702486763690688512/0Zc-7CZF_normal.jpg</v>
      </c>
      <c r="AW680" s="93" t="s">
        <v>18929</v>
      </c>
      <c r="AX680" s="93" t="s">
        <v>18929</v>
      </c>
      <c r="AY680" s="87"/>
      <c r="AZ680" s="93" t="s">
        <v>22668</v>
      </c>
      <c r="BA680" s="93" t="s">
        <v>22668</v>
      </c>
      <c r="BB680" s="93" t="s">
        <v>22668</v>
      </c>
      <c r="BC680" s="93" t="s">
        <v>18929</v>
      </c>
      <c r="BD680" s="93" t="s">
        <v>22931</v>
      </c>
      <c r="BE680" s="87"/>
      <c r="BF680" s="87"/>
      <c r="BG680" s="87"/>
      <c r="BH680" s="87"/>
      <c r="BI680" s="87"/>
    </row>
    <row r="681" spans="1:61" x14ac:dyDescent="0.25">
      <c r="A681" s="63" t="s">
        <v>456</v>
      </c>
      <c r="B681" s="63" t="s">
        <v>456</v>
      </c>
      <c r="C681" s="64"/>
      <c r="D681" s="65"/>
      <c r="E681" s="66"/>
      <c r="F681" s="67"/>
      <c r="G681" s="64"/>
      <c r="H681" s="68"/>
      <c r="I681" s="69"/>
      <c r="J681" s="69"/>
      <c r="K681" s="32"/>
      <c r="L681" s="76">
        <v>681</v>
      </c>
      <c r="M681" s="76"/>
      <c r="N681" s="71"/>
      <c r="O681" s="87" t="s">
        <v>179</v>
      </c>
      <c r="P681" s="90">
        <v>45184.104120370372</v>
      </c>
      <c r="Q681" s="87" t="s">
        <v>2507</v>
      </c>
      <c r="R681" s="87">
        <v>0</v>
      </c>
      <c r="S681" s="87">
        <v>0</v>
      </c>
      <c r="T681" s="87">
        <v>0</v>
      </c>
      <c r="U681" s="87">
        <v>0</v>
      </c>
      <c r="V681" s="87">
        <v>1</v>
      </c>
      <c r="W681" s="93" t="s">
        <v>6317</v>
      </c>
      <c r="X681" s="87"/>
      <c r="Y681" s="87"/>
      <c r="Z681" s="87"/>
      <c r="AA681" s="87"/>
      <c r="AB681" s="87"/>
      <c r="AC681" s="93" t="s">
        <v>11457</v>
      </c>
      <c r="AD681" s="87" t="s">
        <v>11519</v>
      </c>
      <c r="AE681" s="92" t="str">
        <f>HYPERLINK("https://twitter.com/thaysastaniski/status/1702510027985080686")</f>
        <v>https://twitter.com/thaysastaniski/status/1702510027985080686</v>
      </c>
      <c r="AF681" s="90">
        <v>45184.104120370372</v>
      </c>
      <c r="AG681" s="99">
        <v>45184</v>
      </c>
      <c r="AH681" s="93" t="s">
        <v>12172</v>
      </c>
      <c r="AI681" s="87"/>
      <c r="AJ681" s="87"/>
      <c r="AK681" s="87"/>
      <c r="AL681" s="87"/>
      <c r="AM681" s="87"/>
      <c r="AN681" s="87"/>
      <c r="AO681" s="87"/>
      <c r="AP681" s="87"/>
      <c r="AQ681" s="87"/>
      <c r="AR681" s="87"/>
      <c r="AS681" s="87"/>
      <c r="AT681" s="87"/>
      <c r="AU681" s="87"/>
      <c r="AV681" s="92" t="str">
        <f>HYPERLINK("https://pbs.twimg.com/profile_images/1702486763690688512/0Zc-7CZF_normal.jpg")</f>
        <v>https://pbs.twimg.com/profile_images/1702486763690688512/0Zc-7CZF_normal.jpg</v>
      </c>
      <c r="AW681" s="93" t="s">
        <v>18930</v>
      </c>
      <c r="AX681" s="93" t="s">
        <v>18930</v>
      </c>
      <c r="AY681" s="87"/>
      <c r="AZ681" s="93" t="s">
        <v>22668</v>
      </c>
      <c r="BA681" s="93" t="s">
        <v>22668</v>
      </c>
      <c r="BB681" s="93" t="s">
        <v>22668</v>
      </c>
      <c r="BC681" s="93" t="s">
        <v>18930</v>
      </c>
      <c r="BD681" s="93" t="s">
        <v>22931</v>
      </c>
      <c r="BE681" s="87"/>
      <c r="BF681" s="87"/>
      <c r="BG681" s="87"/>
      <c r="BH681" s="87"/>
      <c r="BI681" s="87"/>
    </row>
    <row r="682" spans="1:61" x14ac:dyDescent="0.25">
      <c r="A682" s="63" t="s">
        <v>457</v>
      </c>
      <c r="B682" s="63" t="s">
        <v>457</v>
      </c>
      <c r="C682" s="64"/>
      <c r="D682" s="65"/>
      <c r="E682" s="66"/>
      <c r="F682" s="67"/>
      <c r="G682" s="64"/>
      <c r="H682" s="68"/>
      <c r="I682" s="69"/>
      <c r="J682" s="69"/>
      <c r="K682" s="32"/>
      <c r="L682" s="76">
        <v>682</v>
      </c>
      <c r="M682" s="76"/>
      <c r="N682" s="71"/>
      <c r="O682" s="87" t="s">
        <v>179</v>
      </c>
      <c r="P682" s="90">
        <v>45128.895150462966</v>
      </c>
      <c r="Q682" s="87" t="s">
        <v>2508</v>
      </c>
      <c r="R682" s="87">
        <v>0</v>
      </c>
      <c r="S682" s="87">
        <v>0</v>
      </c>
      <c r="T682" s="87">
        <v>0</v>
      </c>
      <c r="U682" s="87">
        <v>0</v>
      </c>
      <c r="V682" s="87">
        <v>1</v>
      </c>
      <c r="W682" s="93" t="s">
        <v>6318</v>
      </c>
      <c r="X682" s="87"/>
      <c r="Y682" s="87"/>
      <c r="Z682" s="87"/>
      <c r="AA682" s="87"/>
      <c r="AB682" s="87"/>
      <c r="AC682" s="93" t="s">
        <v>11458</v>
      </c>
      <c r="AD682" s="87" t="s">
        <v>11519</v>
      </c>
      <c r="AE682" s="92" t="str">
        <f>HYPERLINK("https://twitter.com/marcelozuin/status/1682502966958346240")</f>
        <v>https://twitter.com/marcelozuin/status/1682502966958346240</v>
      </c>
      <c r="AF682" s="90">
        <v>45128.895150462966</v>
      </c>
      <c r="AG682" s="99">
        <v>45128</v>
      </c>
      <c r="AH682" s="93" t="s">
        <v>12173</v>
      </c>
      <c r="AI682" s="87"/>
      <c r="AJ682" s="87"/>
      <c r="AK682" s="87"/>
      <c r="AL682" s="87"/>
      <c r="AM682" s="87"/>
      <c r="AN682" s="87"/>
      <c r="AO682" s="87"/>
      <c r="AP682" s="87"/>
      <c r="AQ682" s="87"/>
      <c r="AR682" s="87"/>
      <c r="AS682" s="87"/>
      <c r="AT682" s="87"/>
      <c r="AU682" s="87"/>
      <c r="AV682" s="92" t="str">
        <f>HYPERLINK("https://pbs.twimg.com/profile_images/1614721556432977920/e3sxf42y_normal.jpg")</f>
        <v>https://pbs.twimg.com/profile_images/1614721556432977920/e3sxf42y_normal.jpg</v>
      </c>
      <c r="AW682" s="93" t="s">
        <v>18931</v>
      </c>
      <c r="AX682" s="93" t="s">
        <v>18931</v>
      </c>
      <c r="AY682" s="87"/>
      <c r="AZ682" s="93" t="s">
        <v>22668</v>
      </c>
      <c r="BA682" s="93" t="s">
        <v>22668</v>
      </c>
      <c r="BB682" s="93" t="s">
        <v>22668</v>
      </c>
      <c r="BC682" s="93" t="s">
        <v>18931</v>
      </c>
      <c r="BD682" s="87">
        <v>3228921178</v>
      </c>
      <c r="BE682" s="87"/>
      <c r="BF682" s="87"/>
      <c r="BG682" s="87"/>
      <c r="BH682" s="87"/>
      <c r="BI682" s="87"/>
    </row>
    <row r="683" spans="1:61" x14ac:dyDescent="0.25">
      <c r="A683" s="63" t="s">
        <v>458</v>
      </c>
      <c r="B683" s="63" t="s">
        <v>458</v>
      </c>
      <c r="C683" s="64"/>
      <c r="D683" s="65"/>
      <c r="E683" s="66"/>
      <c r="F683" s="67"/>
      <c r="G683" s="64"/>
      <c r="H683" s="68"/>
      <c r="I683" s="69"/>
      <c r="J683" s="69"/>
      <c r="K683" s="32"/>
      <c r="L683" s="76">
        <v>683</v>
      </c>
      <c r="M683" s="76"/>
      <c r="N683" s="71"/>
      <c r="O683" s="87" t="s">
        <v>179</v>
      </c>
      <c r="P683" s="90">
        <v>45119.329594907409</v>
      </c>
      <c r="Q683" s="87" t="s">
        <v>2509</v>
      </c>
      <c r="R683" s="87">
        <v>0</v>
      </c>
      <c r="S683" s="87">
        <v>0</v>
      </c>
      <c r="T683" s="87">
        <v>0</v>
      </c>
      <c r="U683" s="87">
        <v>0</v>
      </c>
      <c r="V683" s="87">
        <v>8</v>
      </c>
      <c r="W683" s="93" t="s">
        <v>6319</v>
      </c>
      <c r="X683" s="87"/>
      <c r="Y683" s="87"/>
      <c r="Z683" s="87"/>
      <c r="AA683" s="87"/>
      <c r="AB683" s="87"/>
      <c r="AC683" s="93" t="s">
        <v>11458</v>
      </c>
      <c r="AD683" s="87" t="s">
        <v>11519</v>
      </c>
      <c r="AE683" s="92" t="str">
        <f>HYPERLINK("https://twitter.com/lu_buscaroli/status/1679036527039459328")</f>
        <v>https://twitter.com/lu_buscaroli/status/1679036527039459328</v>
      </c>
      <c r="AF683" s="90">
        <v>45119.329594907409</v>
      </c>
      <c r="AG683" s="99">
        <v>45119</v>
      </c>
      <c r="AH683" s="93" t="s">
        <v>12174</v>
      </c>
      <c r="AI683" s="87"/>
      <c r="AJ683" s="87"/>
      <c r="AK683" s="87"/>
      <c r="AL683" s="87"/>
      <c r="AM683" s="87"/>
      <c r="AN683" s="87"/>
      <c r="AO683" s="87"/>
      <c r="AP683" s="87"/>
      <c r="AQ683" s="87"/>
      <c r="AR683" s="87"/>
      <c r="AS683" s="87"/>
      <c r="AT683" s="87"/>
      <c r="AU683" s="87"/>
      <c r="AV683" s="92" t="str">
        <f>HYPERLINK("https://pbs.twimg.com/profile_images/1701914523244830720/iY6VqD0Z_normal.jpg")</f>
        <v>https://pbs.twimg.com/profile_images/1701914523244830720/iY6VqD0Z_normal.jpg</v>
      </c>
      <c r="AW683" s="93" t="s">
        <v>18932</v>
      </c>
      <c r="AX683" s="93" t="s">
        <v>18932</v>
      </c>
      <c r="AY683" s="87"/>
      <c r="AZ683" s="93" t="s">
        <v>22668</v>
      </c>
      <c r="BA683" s="93" t="s">
        <v>22668</v>
      </c>
      <c r="BB683" s="93" t="s">
        <v>22668</v>
      </c>
      <c r="BC683" s="93" t="s">
        <v>18932</v>
      </c>
      <c r="BD683" s="93" t="s">
        <v>22932</v>
      </c>
      <c r="BE683" s="87"/>
      <c r="BF683" s="87"/>
      <c r="BG683" s="87"/>
      <c r="BH683" s="87"/>
      <c r="BI683" s="87"/>
    </row>
    <row r="684" spans="1:61" x14ac:dyDescent="0.25">
      <c r="A684" s="63" t="s">
        <v>458</v>
      </c>
      <c r="B684" s="63" t="s">
        <v>458</v>
      </c>
      <c r="C684" s="64"/>
      <c r="D684" s="65"/>
      <c r="E684" s="66"/>
      <c r="F684" s="67"/>
      <c r="G684" s="64"/>
      <c r="H684" s="68"/>
      <c r="I684" s="69"/>
      <c r="J684" s="69"/>
      <c r="K684" s="32"/>
      <c r="L684" s="76">
        <v>684</v>
      </c>
      <c r="M684" s="76"/>
      <c r="N684" s="71"/>
      <c r="O684" s="87" t="s">
        <v>179</v>
      </c>
      <c r="P684" s="90">
        <v>45141.45826388889</v>
      </c>
      <c r="Q684" s="87" t="s">
        <v>2510</v>
      </c>
      <c r="R684" s="87">
        <v>0</v>
      </c>
      <c r="S684" s="87">
        <v>0</v>
      </c>
      <c r="T684" s="87">
        <v>0</v>
      </c>
      <c r="U684" s="87">
        <v>0</v>
      </c>
      <c r="V684" s="87">
        <v>10</v>
      </c>
      <c r="W684" s="93" t="s">
        <v>6320</v>
      </c>
      <c r="X684" s="87"/>
      <c r="Y684" s="87"/>
      <c r="Z684" s="87"/>
      <c r="AA684" s="87"/>
      <c r="AB684" s="87"/>
      <c r="AC684" s="93" t="s">
        <v>11458</v>
      </c>
      <c r="AD684" s="87" t="s">
        <v>11519</v>
      </c>
      <c r="AE684" s="92" t="str">
        <f>HYPERLINK("https://twitter.com/lu_buscaroli/status/1687055688483078144")</f>
        <v>https://twitter.com/lu_buscaroli/status/1687055688483078144</v>
      </c>
      <c r="AF684" s="90">
        <v>45141.45826388889</v>
      </c>
      <c r="AG684" s="99">
        <v>45141</v>
      </c>
      <c r="AH684" s="93" t="s">
        <v>12175</v>
      </c>
      <c r="AI684" s="87"/>
      <c r="AJ684" s="87"/>
      <c r="AK684" s="87"/>
      <c r="AL684" s="87"/>
      <c r="AM684" s="87"/>
      <c r="AN684" s="87"/>
      <c r="AO684" s="87"/>
      <c r="AP684" s="87"/>
      <c r="AQ684" s="87"/>
      <c r="AR684" s="87"/>
      <c r="AS684" s="87"/>
      <c r="AT684" s="87"/>
      <c r="AU684" s="87"/>
      <c r="AV684" s="92" t="str">
        <f>HYPERLINK("https://pbs.twimg.com/profile_images/1701914523244830720/iY6VqD0Z_normal.jpg")</f>
        <v>https://pbs.twimg.com/profile_images/1701914523244830720/iY6VqD0Z_normal.jpg</v>
      </c>
      <c r="AW684" s="93" t="s">
        <v>18933</v>
      </c>
      <c r="AX684" s="93" t="s">
        <v>18933</v>
      </c>
      <c r="AY684" s="87"/>
      <c r="AZ684" s="93" t="s">
        <v>22668</v>
      </c>
      <c r="BA684" s="93" t="s">
        <v>22668</v>
      </c>
      <c r="BB684" s="93" t="s">
        <v>22668</v>
      </c>
      <c r="BC684" s="93" t="s">
        <v>18933</v>
      </c>
      <c r="BD684" s="93" t="s">
        <v>22932</v>
      </c>
      <c r="BE684" s="87"/>
      <c r="BF684" s="87"/>
      <c r="BG684" s="87"/>
      <c r="BH684" s="87"/>
      <c r="BI684" s="87"/>
    </row>
    <row r="685" spans="1:61" x14ac:dyDescent="0.25">
      <c r="A685" s="63" t="s">
        <v>458</v>
      </c>
      <c r="B685" s="63" t="s">
        <v>458</v>
      </c>
      <c r="C685" s="64"/>
      <c r="D685" s="65"/>
      <c r="E685" s="66"/>
      <c r="F685" s="67"/>
      <c r="G685" s="64"/>
      <c r="H685" s="68"/>
      <c r="I685" s="69"/>
      <c r="J685" s="69"/>
      <c r="K685" s="32"/>
      <c r="L685" s="76">
        <v>685</v>
      </c>
      <c r="M685" s="76"/>
      <c r="N685" s="71"/>
      <c r="O685" s="87" t="s">
        <v>179</v>
      </c>
      <c r="P685" s="90">
        <v>45140.677488425928</v>
      </c>
      <c r="Q685" s="87" t="s">
        <v>2511</v>
      </c>
      <c r="R685" s="87">
        <v>0</v>
      </c>
      <c r="S685" s="87">
        <v>0</v>
      </c>
      <c r="T685" s="87">
        <v>0</v>
      </c>
      <c r="U685" s="87">
        <v>0</v>
      </c>
      <c r="V685" s="87">
        <v>10</v>
      </c>
      <c r="W685" s="93" t="s">
        <v>6321</v>
      </c>
      <c r="X685" s="87"/>
      <c r="Y685" s="87"/>
      <c r="Z685" s="87"/>
      <c r="AA685" s="87"/>
      <c r="AB685" s="87"/>
      <c r="AC685" s="93" t="s">
        <v>11458</v>
      </c>
      <c r="AD685" s="87" t="s">
        <v>11519</v>
      </c>
      <c r="AE685" s="92" t="str">
        <f>HYPERLINK("https://twitter.com/lu_buscaroli/status/1686772743000223744")</f>
        <v>https://twitter.com/lu_buscaroli/status/1686772743000223744</v>
      </c>
      <c r="AF685" s="90">
        <v>45140.677488425928</v>
      </c>
      <c r="AG685" s="99">
        <v>45140</v>
      </c>
      <c r="AH685" s="93" t="s">
        <v>12176</v>
      </c>
      <c r="AI685" s="87"/>
      <c r="AJ685" s="87"/>
      <c r="AK685" s="87"/>
      <c r="AL685" s="87"/>
      <c r="AM685" s="87"/>
      <c r="AN685" s="87"/>
      <c r="AO685" s="87"/>
      <c r="AP685" s="87"/>
      <c r="AQ685" s="87"/>
      <c r="AR685" s="87"/>
      <c r="AS685" s="87"/>
      <c r="AT685" s="87"/>
      <c r="AU685" s="87"/>
      <c r="AV685" s="92" t="str">
        <f>HYPERLINK("https://pbs.twimg.com/profile_images/1701914523244830720/iY6VqD0Z_normal.jpg")</f>
        <v>https://pbs.twimg.com/profile_images/1701914523244830720/iY6VqD0Z_normal.jpg</v>
      </c>
      <c r="AW685" s="93" t="s">
        <v>18934</v>
      </c>
      <c r="AX685" s="93" t="s">
        <v>18934</v>
      </c>
      <c r="AY685" s="87"/>
      <c r="AZ685" s="93" t="s">
        <v>22668</v>
      </c>
      <c r="BA685" s="93" t="s">
        <v>22668</v>
      </c>
      <c r="BB685" s="93" t="s">
        <v>22668</v>
      </c>
      <c r="BC685" s="93" t="s">
        <v>18934</v>
      </c>
      <c r="BD685" s="93" t="s">
        <v>22932</v>
      </c>
      <c r="BE685" s="87"/>
      <c r="BF685" s="87"/>
      <c r="BG685" s="87"/>
      <c r="BH685" s="87"/>
      <c r="BI685" s="87"/>
    </row>
    <row r="686" spans="1:61" x14ac:dyDescent="0.25">
      <c r="A686" s="63" t="s">
        <v>459</v>
      </c>
      <c r="B686" s="63" t="s">
        <v>459</v>
      </c>
      <c r="C686" s="64"/>
      <c r="D686" s="65"/>
      <c r="E686" s="66"/>
      <c r="F686" s="67"/>
      <c r="G686" s="64"/>
      <c r="H686" s="68"/>
      <c r="I686" s="69"/>
      <c r="J686" s="69"/>
      <c r="K686" s="32"/>
      <c r="L686" s="76">
        <v>686</v>
      </c>
      <c r="M686" s="76"/>
      <c r="N686" s="71"/>
      <c r="O686" s="87" t="s">
        <v>179</v>
      </c>
      <c r="P686" s="90">
        <v>45130.06459490741</v>
      </c>
      <c r="Q686" s="87" t="s">
        <v>2512</v>
      </c>
      <c r="R686" s="87">
        <v>0</v>
      </c>
      <c r="S686" s="87">
        <v>0</v>
      </c>
      <c r="T686" s="87">
        <v>0</v>
      </c>
      <c r="U686" s="87">
        <v>0</v>
      </c>
      <c r="V686" s="87">
        <v>35</v>
      </c>
      <c r="W686" s="93" t="s">
        <v>6322</v>
      </c>
      <c r="X686" s="92" t="str">
        <f>HYPERLINK("https://youtu.be/pPG2IU_F_zs")</f>
        <v>https://youtu.be/pPG2IU_F_zs</v>
      </c>
      <c r="Y686" s="87" t="s">
        <v>8372</v>
      </c>
      <c r="Z686" s="87"/>
      <c r="AA686" s="87"/>
      <c r="AB686" s="87"/>
      <c r="AC686" s="93" t="s">
        <v>11458</v>
      </c>
      <c r="AD686" s="87" t="s">
        <v>11519</v>
      </c>
      <c r="AE686" s="92" t="str">
        <f>HYPERLINK("https://twitter.com/humbertadvogado/status/1682926758914592769")</f>
        <v>https://twitter.com/humbertadvogado/status/1682926758914592769</v>
      </c>
      <c r="AF686" s="90">
        <v>45130.06459490741</v>
      </c>
      <c r="AG686" s="99">
        <v>45130</v>
      </c>
      <c r="AH686" s="93" t="s">
        <v>12177</v>
      </c>
      <c r="AI686" s="87" t="b">
        <v>0</v>
      </c>
      <c r="AJ686" s="87"/>
      <c r="AK686" s="87"/>
      <c r="AL686" s="87"/>
      <c r="AM686" s="87"/>
      <c r="AN686" s="87"/>
      <c r="AO686" s="87"/>
      <c r="AP686" s="87"/>
      <c r="AQ686" s="87"/>
      <c r="AR686" s="87"/>
      <c r="AS686" s="87"/>
      <c r="AT686" s="87"/>
      <c r="AU686" s="87"/>
      <c r="AV686" s="92" t="str">
        <f>HYPERLINK("https://pbs.twimg.com/profile_images/1654328185406799875/ofzkfh48_normal.jpg")</f>
        <v>https://pbs.twimg.com/profile_images/1654328185406799875/ofzkfh48_normal.jpg</v>
      </c>
      <c r="AW686" s="93" t="s">
        <v>18935</v>
      </c>
      <c r="AX686" s="93" t="s">
        <v>18935</v>
      </c>
      <c r="AY686" s="87"/>
      <c r="AZ686" s="93" t="s">
        <v>22668</v>
      </c>
      <c r="BA686" s="93" t="s">
        <v>22668</v>
      </c>
      <c r="BB686" s="93" t="s">
        <v>22668</v>
      </c>
      <c r="BC686" s="93" t="s">
        <v>18935</v>
      </c>
      <c r="BD686" s="93" t="s">
        <v>22933</v>
      </c>
      <c r="BE686" s="87"/>
      <c r="BF686" s="87"/>
      <c r="BG686" s="87"/>
      <c r="BH686" s="87"/>
      <c r="BI686" s="87"/>
    </row>
    <row r="687" spans="1:61" x14ac:dyDescent="0.25">
      <c r="A687" s="63" t="s">
        <v>460</v>
      </c>
      <c r="B687" s="63" t="s">
        <v>460</v>
      </c>
      <c r="C687" s="64"/>
      <c r="D687" s="65"/>
      <c r="E687" s="66"/>
      <c r="F687" s="67"/>
      <c r="G687" s="64"/>
      <c r="H687" s="68"/>
      <c r="I687" s="69"/>
      <c r="J687" s="69"/>
      <c r="K687" s="32"/>
      <c r="L687" s="76">
        <v>687</v>
      </c>
      <c r="M687" s="76"/>
      <c r="N687" s="71"/>
      <c r="O687" s="87" t="s">
        <v>179</v>
      </c>
      <c r="P687" s="90">
        <v>45117.842835648145</v>
      </c>
      <c r="Q687" s="87" t="s">
        <v>2513</v>
      </c>
      <c r="R687" s="87">
        <v>0</v>
      </c>
      <c r="S687" s="87">
        <v>0</v>
      </c>
      <c r="T687" s="87">
        <v>0</v>
      </c>
      <c r="U687" s="87">
        <v>0</v>
      </c>
      <c r="V687" s="87">
        <v>40</v>
      </c>
      <c r="W687" s="93" t="s">
        <v>6323</v>
      </c>
      <c r="X687" s="87"/>
      <c r="Y687" s="87"/>
      <c r="Z687" s="87"/>
      <c r="AA687" s="87" t="s">
        <v>9059</v>
      </c>
      <c r="AB687" s="87" t="s">
        <v>11448</v>
      </c>
      <c r="AC687" s="93" t="s">
        <v>11457</v>
      </c>
      <c r="AD687" s="87" t="s">
        <v>11519</v>
      </c>
      <c r="AE687" s="92" t="str">
        <f>HYPERLINK("https://twitter.com/magnettomkt/status/1678497744095150080")</f>
        <v>https://twitter.com/magnettomkt/status/1678497744095150080</v>
      </c>
      <c r="AF687" s="90">
        <v>45117.842835648145</v>
      </c>
      <c r="AG687" s="99">
        <v>45117</v>
      </c>
      <c r="AH687" s="93" t="s">
        <v>12178</v>
      </c>
      <c r="AI687" s="87" t="b">
        <v>0</v>
      </c>
      <c r="AJ687" s="87"/>
      <c r="AK687" s="87"/>
      <c r="AL687" s="87"/>
      <c r="AM687" s="87"/>
      <c r="AN687" s="87"/>
      <c r="AO687" s="87"/>
      <c r="AP687" s="87"/>
      <c r="AQ687" s="87" t="s">
        <v>15872</v>
      </c>
      <c r="AR687" s="87"/>
      <c r="AS687" s="87"/>
      <c r="AT687" s="87"/>
      <c r="AU687" s="87"/>
      <c r="AV687" s="92" t="str">
        <f>HYPERLINK("https://pbs.twimg.com/media/F0s4rpPXsAUdnib.png")</f>
        <v>https://pbs.twimg.com/media/F0s4rpPXsAUdnib.png</v>
      </c>
      <c r="AW687" s="93" t="s">
        <v>18936</v>
      </c>
      <c r="AX687" s="93" t="s">
        <v>18936</v>
      </c>
      <c r="AY687" s="87"/>
      <c r="AZ687" s="93" t="s">
        <v>22668</v>
      </c>
      <c r="BA687" s="93" t="s">
        <v>22668</v>
      </c>
      <c r="BB687" s="93" t="s">
        <v>22668</v>
      </c>
      <c r="BC687" s="93" t="s">
        <v>18936</v>
      </c>
      <c r="BD687" s="93" t="s">
        <v>22934</v>
      </c>
      <c r="BE687" s="87"/>
      <c r="BF687" s="87"/>
      <c r="BG687" s="87"/>
      <c r="BH687" s="87"/>
      <c r="BI687" s="87"/>
    </row>
    <row r="688" spans="1:61" x14ac:dyDescent="0.25">
      <c r="A688" s="63" t="s">
        <v>461</v>
      </c>
      <c r="B688" s="63" t="s">
        <v>461</v>
      </c>
      <c r="C688" s="64"/>
      <c r="D688" s="65"/>
      <c r="E688" s="66"/>
      <c r="F688" s="67"/>
      <c r="G688" s="64"/>
      <c r="H688" s="68"/>
      <c r="I688" s="69"/>
      <c r="J688" s="69"/>
      <c r="K688" s="32"/>
      <c r="L688" s="76">
        <v>688</v>
      </c>
      <c r="M688" s="76"/>
      <c r="N688" s="71"/>
      <c r="O688" s="87" t="s">
        <v>179</v>
      </c>
      <c r="P688" s="90">
        <v>45138.451504629629</v>
      </c>
      <c r="Q688" s="87" t="s">
        <v>2514</v>
      </c>
      <c r="R688" s="87">
        <v>0</v>
      </c>
      <c r="S688" s="87">
        <v>0</v>
      </c>
      <c r="T688" s="87">
        <v>0</v>
      </c>
      <c r="U688" s="87">
        <v>0</v>
      </c>
      <c r="V688" s="87">
        <v>17</v>
      </c>
      <c r="W688" s="93" t="s">
        <v>6324</v>
      </c>
      <c r="X688" s="87"/>
      <c r="Y688" s="87"/>
      <c r="Z688" s="87"/>
      <c r="AA688" s="87" t="s">
        <v>9060</v>
      </c>
      <c r="AB688" s="87" t="s">
        <v>11448</v>
      </c>
      <c r="AC688" s="93" t="s">
        <v>11475</v>
      </c>
      <c r="AD688" s="87" t="s">
        <v>11519</v>
      </c>
      <c r="AE688" s="92" t="str">
        <f>HYPERLINK("https://twitter.com/janikingbr/status/1685966073730928640")</f>
        <v>https://twitter.com/janikingbr/status/1685966073730928640</v>
      </c>
      <c r="AF688" s="90">
        <v>45138.451504629629</v>
      </c>
      <c r="AG688" s="99">
        <v>45138</v>
      </c>
      <c r="AH688" s="93" t="s">
        <v>12179</v>
      </c>
      <c r="AI688" s="87" t="b">
        <v>0</v>
      </c>
      <c r="AJ688" s="87"/>
      <c r="AK688" s="87"/>
      <c r="AL688" s="87"/>
      <c r="AM688" s="87"/>
      <c r="AN688" s="87"/>
      <c r="AO688" s="87"/>
      <c r="AP688" s="87"/>
      <c r="AQ688" s="87" t="s">
        <v>15873</v>
      </c>
      <c r="AR688" s="87"/>
      <c r="AS688" s="87"/>
      <c r="AT688" s="87"/>
      <c r="AU688" s="87"/>
      <c r="AV688" s="92" t="str">
        <f>HYPERLINK("https://pbs.twimg.com/media/F2XBNaTXMAANvgf.jpg")</f>
        <v>https://pbs.twimg.com/media/F2XBNaTXMAANvgf.jpg</v>
      </c>
      <c r="AW688" s="93" t="s">
        <v>18937</v>
      </c>
      <c r="AX688" s="93" t="s">
        <v>18937</v>
      </c>
      <c r="AY688" s="87"/>
      <c r="AZ688" s="93" t="s">
        <v>22668</v>
      </c>
      <c r="BA688" s="93" t="s">
        <v>22668</v>
      </c>
      <c r="BB688" s="93" t="s">
        <v>22668</v>
      </c>
      <c r="BC688" s="93" t="s">
        <v>18937</v>
      </c>
      <c r="BD688" s="87">
        <v>317269700</v>
      </c>
      <c r="BE688" s="87"/>
      <c r="BF688" s="87"/>
      <c r="BG688" s="87"/>
      <c r="BH688" s="87"/>
      <c r="BI688" s="87"/>
    </row>
    <row r="689" spans="1:61" x14ac:dyDescent="0.25">
      <c r="A689" s="63" t="s">
        <v>462</v>
      </c>
      <c r="B689" s="63" t="s">
        <v>462</v>
      </c>
      <c r="C689" s="64"/>
      <c r="D689" s="65"/>
      <c r="E689" s="66"/>
      <c r="F689" s="67"/>
      <c r="G689" s="64"/>
      <c r="H689" s="68"/>
      <c r="I689" s="69"/>
      <c r="J689" s="69"/>
      <c r="K689" s="32"/>
      <c r="L689" s="76">
        <v>689</v>
      </c>
      <c r="M689" s="76"/>
      <c r="N689" s="71"/>
      <c r="O689" s="87" t="s">
        <v>179</v>
      </c>
      <c r="P689" s="90">
        <v>45174.351122685184</v>
      </c>
      <c r="Q689" s="87" t="s">
        <v>2515</v>
      </c>
      <c r="R689" s="87">
        <v>0</v>
      </c>
      <c r="S689" s="87">
        <v>0</v>
      </c>
      <c r="T689" s="87">
        <v>0</v>
      </c>
      <c r="U689" s="87">
        <v>0</v>
      </c>
      <c r="V689" s="87">
        <v>7</v>
      </c>
      <c r="W689" s="93" t="s">
        <v>6325</v>
      </c>
      <c r="X689" s="87"/>
      <c r="Y689" s="87"/>
      <c r="Z689" s="87"/>
      <c r="AA689" s="87" t="s">
        <v>9061</v>
      </c>
      <c r="AB689" s="87" t="s">
        <v>11448</v>
      </c>
      <c r="AC689" s="93" t="s">
        <v>11459</v>
      </c>
      <c r="AD689" s="87" t="s">
        <v>11519</v>
      </c>
      <c r="AE689" s="92" t="str">
        <f>HYPERLINK("https://twitter.com/quemaraseria/status/1698975660197249192")</f>
        <v>https://twitter.com/quemaraseria/status/1698975660197249192</v>
      </c>
      <c r="AF689" s="90">
        <v>45174.351122685184</v>
      </c>
      <c r="AG689" s="99">
        <v>45174</v>
      </c>
      <c r="AH689" s="93" t="s">
        <v>12180</v>
      </c>
      <c r="AI689" s="87" t="b">
        <v>0</v>
      </c>
      <c r="AJ689" s="87" t="s">
        <v>15180</v>
      </c>
      <c r="AK689" s="87" t="s">
        <v>15234</v>
      </c>
      <c r="AL689" s="87" t="s">
        <v>15237</v>
      </c>
      <c r="AM689" s="87" t="s">
        <v>15251</v>
      </c>
      <c r="AN689" s="87" t="s">
        <v>15317</v>
      </c>
      <c r="AO689" s="87" t="s">
        <v>15383</v>
      </c>
      <c r="AP689" s="87" t="s">
        <v>15438</v>
      </c>
      <c r="AQ689" s="87" t="s">
        <v>15874</v>
      </c>
      <c r="AR689" s="87"/>
      <c r="AS689" s="87"/>
      <c r="AT689" s="87"/>
      <c r="AU689" s="87"/>
      <c r="AV689" s="92" t="str">
        <f>HYPERLINK("https://pbs.twimg.com/media/F5P5W9yXMAAA2Cq.jpg")</f>
        <v>https://pbs.twimg.com/media/F5P5W9yXMAAA2Cq.jpg</v>
      </c>
      <c r="AW689" s="93" t="s">
        <v>18938</v>
      </c>
      <c r="AX689" s="93" t="s">
        <v>18938</v>
      </c>
      <c r="AY689" s="87"/>
      <c r="AZ689" s="93" t="s">
        <v>22668</v>
      </c>
      <c r="BA689" s="93" t="s">
        <v>22668</v>
      </c>
      <c r="BB689" s="93" t="s">
        <v>22668</v>
      </c>
      <c r="BC689" s="93" t="s">
        <v>18938</v>
      </c>
      <c r="BD689" s="93" t="s">
        <v>22935</v>
      </c>
      <c r="BE689" s="87"/>
      <c r="BF689" s="87"/>
      <c r="BG689" s="87"/>
      <c r="BH689" s="87"/>
      <c r="BI689" s="87"/>
    </row>
    <row r="690" spans="1:61" x14ac:dyDescent="0.25">
      <c r="A690" s="63" t="s">
        <v>463</v>
      </c>
      <c r="B690" s="63" t="s">
        <v>463</v>
      </c>
      <c r="C690" s="64"/>
      <c r="D690" s="65"/>
      <c r="E690" s="66"/>
      <c r="F690" s="67"/>
      <c r="G690" s="64"/>
      <c r="H690" s="68"/>
      <c r="I690" s="69"/>
      <c r="J690" s="69"/>
      <c r="K690" s="32"/>
      <c r="L690" s="76">
        <v>690</v>
      </c>
      <c r="M690" s="76"/>
      <c r="N690" s="71"/>
      <c r="O690" s="87" t="s">
        <v>179</v>
      </c>
      <c r="P690" s="90">
        <v>45113.628634259258</v>
      </c>
      <c r="Q690" s="87" t="s">
        <v>2516</v>
      </c>
      <c r="R690" s="87">
        <v>0</v>
      </c>
      <c r="S690" s="87">
        <v>2</v>
      </c>
      <c r="T690" s="87">
        <v>0</v>
      </c>
      <c r="U690" s="87">
        <v>0</v>
      </c>
      <c r="V690" s="87">
        <v>10</v>
      </c>
      <c r="W690" s="93" t="s">
        <v>6326</v>
      </c>
      <c r="X690" s="92" t="str">
        <f>HYPERLINK("http://www.aese.pt/entrepreneurial-initiative-do-21-o-executive-mba-aese/")</f>
        <v>http://www.aese.pt/entrepreneurial-initiative-do-21-o-executive-mba-aese/</v>
      </c>
      <c r="Y690" s="87" t="s">
        <v>8411</v>
      </c>
      <c r="Z690" s="87"/>
      <c r="AA690" s="87" t="s">
        <v>9062</v>
      </c>
      <c r="AB690" s="87" t="s">
        <v>11448</v>
      </c>
      <c r="AC690" s="93" t="s">
        <v>11475</v>
      </c>
      <c r="AD690" s="87" t="s">
        <v>11519</v>
      </c>
      <c r="AE690" s="92" t="str">
        <f>HYPERLINK("https://twitter.com/aesebschool/status/1676970566191050754")</f>
        <v>https://twitter.com/aesebschool/status/1676970566191050754</v>
      </c>
      <c r="AF690" s="90">
        <v>45113.628634259258</v>
      </c>
      <c r="AG690" s="99">
        <v>45113</v>
      </c>
      <c r="AH690" s="93" t="s">
        <v>12181</v>
      </c>
      <c r="AI690" s="87" t="b">
        <v>0</v>
      </c>
      <c r="AJ690" s="87"/>
      <c r="AK690" s="87"/>
      <c r="AL690" s="87"/>
      <c r="AM690" s="87"/>
      <c r="AN690" s="87"/>
      <c r="AO690" s="87"/>
      <c r="AP690" s="87"/>
      <c r="AQ690" s="87" t="s">
        <v>15875</v>
      </c>
      <c r="AR690" s="87"/>
      <c r="AS690" s="87"/>
      <c r="AT690" s="87"/>
      <c r="AU690" s="87"/>
      <c r="AV690" s="92" t="str">
        <f>HYPERLINK("https://pbs.twimg.com/media/F0XLCzAaUAI0t6D.jpg")</f>
        <v>https://pbs.twimg.com/media/F0XLCzAaUAI0t6D.jpg</v>
      </c>
      <c r="AW690" s="93" t="s">
        <v>18939</v>
      </c>
      <c r="AX690" s="93" t="s">
        <v>18939</v>
      </c>
      <c r="AY690" s="87"/>
      <c r="AZ690" s="93" t="s">
        <v>22668</v>
      </c>
      <c r="BA690" s="93" t="s">
        <v>22668</v>
      </c>
      <c r="BB690" s="93" t="s">
        <v>22668</v>
      </c>
      <c r="BC690" s="93" t="s">
        <v>18939</v>
      </c>
      <c r="BD690" s="93" t="s">
        <v>22936</v>
      </c>
      <c r="BE690" s="87"/>
      <c r="BF690" s="87"/>
      <c r="BG690" s="87"/>
      <c r="BH690" s="87"/>
      <c r="BI690" s="87"/>
    </row>
    <row r="691" spans="1:61" x14ac:dyDescent="0.25">
      <c r="A691" s="63" t="s">
        <v>463</v>
      </c>
      <c r="B691" s="63" t="s">
        <v>463</v>
      </c>
      <c r="C691" s="64"/>
      <c r="D691" s="65"/>
      <c r="E691" s="66"/>
      <c r="F691" s="67"/>
      <c r="G691" s="64"/>
      <c r="H691" s="68"/>
      <c r="I691" s="69"/>
      <c r="J691" s="69"/>
      <c r="K691" s="32"/>
      <c r="L691" s="76">
        <v>691</v>
      </c>
      <c r="M691" s="76"/>
      <c r="N691" s="71"/>
      <c r="O691" s="87" t="s">
        <v>179</v>
      </c>
      <c r="P691" s="90">
        <v>45113.626608796294</v>
      </c>
      <c r="Q691" s="87" t="s">
        <v>2517</v>
      </c>
      <c r="R691" s="87">
        <v>0</v>
      </c>
      <c r="S691" s="87">
        <v>1</v>
      </c>
      <c r="T691" s="87">
        <v>0</v>
      </c>
      <c r="U691" s="87">
        <v>0</v>
      </c>
      <c r="V691" s="87">
        <v>5</v>
      </c>
      <c r="W691" s="93" t="s">
        <v>6326</v>
      </c>
      <c r="X691" s="92" t="str">
        <f>HYPERLINK("http://www.aese.pt/entrepreneurial-initiative-do-21-o-executive-mba-aese/")</f>
        <v>http://www.aese.pt/entrepreneurial-initiative-do-21-o-executive-mba-aese/</v>
      </c>
      <c r="Y691" s="87" t="s">
        <v>8411</v>
      </c>
      <c r="Z691" s="87"/>
      <c r="AA691" s="87" t="s">
        <v>9063</v>
      </c>
      <c r="AB691" s="87" t="s">
        <v>11448</v>
      </c>
      <c r="AC691" s="93" t="s">
        <v>11475</v>
      </c>
      <c r="AD691" s="87" t="s">
        <v>11519</v>
      </c>
      <c r="AE691" s="92" t="str">
        <f>HYPERLINK("https://twitter.com/aesebschool/status/1676969831420264450")</f>
        <v>https://twitter.com/aesebschool/status/1676969831420264450</v>
      </c>
      <c r="AF691" s="90">
        <v>45113.626608796294</v>
      </c>
      <c r="AG691" s="99">
        <v>45113</v>
      </c>
      <c r="AH691" s="93" t="s">
        <v>12182</v>
      </c>
      <c r="AI691" s="87" t="b">
        <v>0</v>
      </c>
      <c r="AJ691" s="87"/>
      <c r="AK691" s="87"/>
      <c r="AL691" s="87"/>
      <c r="AM691" s="87"/>
      <c r="AN691" s="87"/>
      <c r="AO691" s="87"/>
      <c r="AP691" s="87"/>
      <c r="AQ691" s="87" t="s">
        <v>15876</v>
      </c>
      <c r="AR691" s="87"/>
      <c r="AS691" s="87"/>
      <c r="AT691" s="87"/>
      <c r="AU691" s="87"/>
      <c r="AV691" s="92" t="str">
        <f>HYPERLINK("https://pbs.twimg.com/media/F0XLLLuaAAAIBMi.jpg")</f>
        <v>https://pbs.twimg.com/media/F0XLLLuaAAAIBMi.jpg</v>
      </c>
      <c r="AW691" s="93" t="s">
        <v>18940</v>
      </c>
      <c r="AX691" s="93" t="s">
        <v>18940</v>
      </c>
      <c r="AY691" s="87"/>
      <c r="AZ691" s="93" t="s">
        <v>22668</v>
      </c>
      <c r="BA691" s="93" t="s">
        <v>22668</v>
      </c>
      <c r="BB691" s="93" t="s">
        <v>22668</v>
      </c>
      <c r="BC691" s="93" t="s">
        <v>18940</v>
      </c>
      <c r="BD691" s="93" t="s">
        <v>22936</v>
      </c>
      <c r="BE691" s="87"/>
      <c r="BF691" s="87"/>
      <c r="BG691" s="87"/>
      <c r="BH691" s="87"/>
      <c r="BI691" s="87"/>
    </row>
    <row r="692" spans="1:61" x14ac:dyDescent="0.25">
      <c r="A692" s="63" t="s">
        <v>464</v>
      </c>
      <c r="B692" s="63" t="s">
        <v>464</v>
      </c>
      <c r="C692" s="64"/>
      <c r="D692" s="65"/>
      <c r="E692" s="66"/>
      <c r="F692" s="67"/>
      <c r="G692" s="64"/>
      <c r="H692" s="68"/>
      <c r="I692" s="69"/>
      <c r="J692" s="69"/>
      <c r="K692" s="32"/>
      <c r="L692" s="76">
        <v>692</v>
      </c>
      <c r="M692" s="76"/>
      <c r="N692" s="71"/>
      <c r="O692" s="87" t="s">
        <v>179</v>
      </c>
      <c r="P692" s="90">
        <v>45113.528252314813</v>
      </c>
      <c r="Q692" s="87" t="s">
        <v>2518</v>
      </c>
      <c r="R692" s="87">
        <v>0</v>
      </c>
      <c r="S692" s="87">
        <v>0</v>
      </c>
      <c r="T692" s="87">
        <v>0</v>
      </c>
      <c r="U692" s="87">
        <v>0</v>
      </c>
      <c r="V692" s="87">
        <v>22</v>
      </c>
      <c r="W692" s="93" t="s">
        <v>6327</v>
      </c>
      <c r="X692" s="87"/>
      <c r="Y692" s="87"/>
      <c r="Z692" s="87"/>
      <c r="AA692" s="87" t="s">
        <v>9064</v>
      </c>
      <c r="AB692" s="87" t="s">
        <v>11448</v>
      </c>
      <c r="AC692" s="93" t="s">
        <v>11460</v>
      </c>
      <c r="AD692" s="87" t="s">
        <v>11519</v>
      </c>
      <c r="AE692" s="92" t="str">
        <f>HYPERLINK("https://twitter.com/laserchiprj/status/1676934190015602688")</f>
        <v>https://twitter.com/laserchiprj/status/1676934190015602688</v>
      </c>
      <c r="AF692" s="90">
        <v>45113.528252314813</v>
      </c>
      <c r="AG692" s="99">
        <v>45113</v>
      </c>
      <c r="AH692" s="93" t="s">
        <v>12183</v>
      </c>
      <c r="AI692" s="87" t="b">
        <v>0</v>
      </c>
      <c r="AJ692" s="87"/>
      <c r="AK692" s="87"/>
      <c r="AL692" s="87"/>
      <c r="AM692" s="87"/>
      <c r="AN692" s="87"/>
      <c r="AO692" s="87"/>
      <c r="AP692" s="87"/>
      <c r="AQ692" s="87" t="s">
        <v>15877</v>
      </c>
      <c r="AR692" s="87"/>
      <c r="AS692" s="87"/>
      <c r="AT692" s="87"/>
      <c r="AU692" s="87"/>
      <c r="AV692" s="92" t="str">
        <f>HYPERLINK("https://pbs.twimg.com/media/F0WqwjiXsAI4gUh.jpg")</f>
        <v>https://pbs.twimg.com/media/F0WqwjiXsAI4gUh.jpg</v>
      </c>
      <c r="AW692" s="93" t="s">
        <v>18941</v>
      </c>
      <c r="AX692" s="93" t="s">
        <v>18941</v>
      </c>
      <c r="AY692" s="87"/>
      <c r="AZ692" s="93" t="s">
        <v>22668</v>
      </c>
      <c r="BA692" s="93" t="s">
        <v>22668</v>
      </c>
      <c r="BB692" s="93" t="s">
        <v>22668</v>
      </c>
      <c r="BC692" s="93" t="s">
        <v>18941</v>
      </c>
      <c r="BD692" s="93" t="s">
        <v>22937</v>
      </c>
      <c r="BE692" s="87"/>
      <c r="BF692" s="87"/>
      <c r="BG692" s="87"/>
      <c r="BH692" s="87"/>
      <c r="BI692" s="87"/>
    </row>
    <row r="693" spans="1:61" x14ac:dyDescent="0.25">
      <c r="A693" s="63" t="s">
        <v>464</v>
      </c>
      <c r="B693" s="63" t="s">
        <v>464</v>
      </c>
      <c r="C693" s="64"/>
      <c r="D693" s="65"/>
      <c r="E693" s="66"/>
      <c r="F693" s="67"/>
      <c r="G693" s="64"/>
      <c r="H693" s="68"/>
      <c r="I693" s="69"/>
      <c r="J693" s="69"/>
      <c r="K693" s="32"/>
      <c r="L693" s="76">
        <v>693</v>
      </c>
      <c r="M693" s="76"/>
      <c r="N693" s="71"/>
      <c r="O693" s="87" t="s">
        <v>179</v>
      </c>
      <c r="P693" s="90">
        <v>45120.458854166667</v>
      </c>
      <c r="Q693" s="87" t="s">
        <v>2519</v>
      </c>
      <c r="R693" s="87">
        <v>0</v>
      </c>
      <c r="S693" s="87">
        <v>0</v>
      </c>
      <c r="T693" s="87">
        <v>0</v>
      </c>
      <c r="U693" s="87">
        <v>0</v>
      </c>
      <c r="V693" s="87">
        <v>32</v>
      </c>
      <c r="W693" s="93" t="s">
        <v>6328</v>
      </c>
      <c r="X693" s="87"/>
      <c r="Y693" s="87"/>
      <c r="Z693" s="87"/>
      <c r="AA693" s="87" t="s">
        <v>9065</v>
      </c>
      <c r="AB693" s="87" t="s">
        <v>11448</v>
      </c>
      <c r="AC693" s="93" t="s">
        <v>11460</v>
      </c>
      <c r="AD693" s="87" t="s">
        <v>11519</v>
      </c>
      <c r="AE693" s="92" t="str">
        <f>HYPERLINK("https://twitter.com/laserchiprj/status/1679445755117830145")</f>
        <v>https://twitter.com/laserchiprj/status/1679445755117830145</v>
      </c>
      <c r="AF693" s="90">
        <v>45120.458854166667</v>
      </c>
      <c r="AG693" s="99">
        <v>45120</v>
      </c>
      <c r="AH693" s="93" t="s">
        <v>12184</v>
      </c>
      <c r="AI693" s="87" t="b">
        <v>0</v>
      </c>
      <c r="AJ693" s="87"/>
      <c r="AK693" s="87"/>
      <c r="AL693" s="87"/>
      <c r="AM693" s="87"/>
      <c r="AN693" s="87"/>
      <c r="AO693" s="87"/>
      <c r="AP693" s="87"/>
      <c r="AQ693" s="87" t="s">
        <v>15878</v>
      </c>
      <c r="AR693" s="87"/>
      <c r="AS693" s="87"/>
      <c r="AT693" s="87"/>
      <c r="AU693" s="87"/>
      <c r="AV693" s="92" t="str">
        <f>HYPERLINK("https://pbs.twimg.com/media/F06XA2vXsAIhHj2.jpg")</f>
        <v>https://pbs.twimg.com/media/F06XA2vXsAIhHj2.jpg</v>
      </c>
      <c r="AW693" s="93" t="s">
        <v>18942</v>
      </c>
      <c r="AX693" s="93" t="s">
        <v>18942</v>
      </c>
      <c r="AY693" s="87"/>
      <c r="AZ693" s="93" t="s">
        <v>22668</v>
      </c>
      <c r="BA693" s="93" t="s">
        <v>22668</v>
      </c>
      <c r="BB693" s="93" t="s">
        <v>22668</v>
      </c>
      <c r="BC693" s="93" t="s">
        <v>18942</v>
      </c>
      <c r="BD693" s="93" t="s">
        <v>22937</v>
      </c>
      <c r="BE693" s="87"/>
      <c r="BF693" s="87"/>
      <c r="BG693" s="87"/>
      <c r="BH693" s="87"/>
      <c r="BI693" s="87"/>
    </row>
    <row r="694" spans="1:61" x14ac:dyDescent="0.25">
      <c r="A694" s="63" t="s">
        <v>464</v>
      </c>
      <c r="B694" s="63" t="s">
        <v>464</v>
      </c>
      <c r="C694" s="64"/>
      <c r="D694" s="65"/>
      <c r="E694" s="66"/>
      <c r="F694" s="67"/>
      <c r="G694" s="64"/>
      <c r="H694" s="68"/>
      <c r="I694" s="69"/>
      <c r="J694" s="69"/>
      <c r="K694" s="32"/>
      <c r="L694" s="76">
        <v>694</v>
      </c>
      <c r="M694" s="76"/>
      <c r="N694" s="71"/>
      <c r="O694" s="87" t="s">
        <v>179</v>
      </c>
      <c r="P694" s="90">
        <v>45152.560312499998</v>
      </c>
      <c r="Q694" s="87" t="s">
        <v>2520</v>
      </c>
      <c r="R694" s="87">
        <v>0</v>
      </c>
      <c r="S694" s="87">
        <v>0</v>
      </c>
      <c r="T694" s="87">
        <v>0</v>
      </c>
      <c r="U694" s="87">
        <v>0</v>
      </c>
      <c r="V694" s="87">
        <v>21</v>
      </c>
      <c r="W694" s="93" t="s">
        <v>6329</v>
      </c>
      <c r="X694" s="87"/>
      <c r="Y694" s="87"/>
      <c r="Z694" s="87"/>
      <c r="AA694" s="87" t="s">
        <v>9066</v>
      </c>
      <c r="AB694" s="87" t="s">
        <v>11448</v>
      </c>
      <c r="AC694" s="93" t="s">
        <v>11457</v>
      </c>
      <c r="AD694" s="87" t="s">
        <v>11519</v>
      </c>
      <c r="AE694" s="92" t="str">
        <f>HYPERLINK("https://twitter.com/laserchiprj/status/1691078936787083264")</f>
        <v>https://twitter.com/laserchiprj/status/1691078936787083264</v>
      </c>
      <c r="AF694" s="90">
        <v>45152.560312499998</v>
      </c>
      <c r="AG694" s="99">
        <v>45152</v>
      </c>
      <c r="AH694" s="93" t="s">
        <v>12185</v>
      </c>
      <c r="AI694" s="87" t="b">
        <v>0</v>
      </c>
      <c r="AJ694" s="87" t="s">
        <v>15179</v>
      </c>
      <c r="AK694" s="87" t="s">
        <v>15234</v>
      </c>
      <c r="AL694" s="87" t="s">
        <v>15237</v>
      </c>
      <c r="AM694" s="87" t="s">
        <v>15240</v>
      </c>
      <c r="AN694" s="87" t="s">
        <v>15316</v>
      </c>
      <c r="AO694" s="87" t="s">
        <v>15372</v>
      </c>
      <c r="AP694" s="87" t="s">
        <v>15438</v>
      </c>
      <c r="AQ694" s="87" t="s">
        <v>15879</v>
      </c>
      <c r="AR694" s="87"/>
      <c r="AS694" s="87"/>
      <c r="AT694" s="87"/>
      <c r="AU694" s="87"/>
      <c r="AV694" s="92" t="str">
        <f>HYPERLINK("https://pbs.twimg.com/media/F3frKIzWsAMx3aP.jpg")</f>
        <v>https://pbs.twimg.com/media/F3frKIzWsAMx3aP.jpg</v>
      </c>
      <c r="AW694" s="93" t="s">
        <v>18943</v>
      </c>
      <c r="AX694" s="93" t="s">
        <v>18943</v>
      </c>
      <c r="AY694" s="87"/>
      <c r="AZ694" s="93" t="s">
        <v>22668</v>
      </c>
      <c r="BA694" s="93" t="s">
        <v>22668</v>
      </c>
      <c r="BB694" s="93" t="s">
        <v>22668</v>
      </c>
      <c r="BC694" s="93" t="s">
        <v>18943</v>
      </c>
      <c r="BD694" s="93" t="s">
        <v>22937</v>
      </c>
      <c r="BE694" s="87"/>
      <c r="BF694" s="87"/>
      <c r="BG694" s="87"/>
      <c r="BH694" s="87"/>
      <c r="BI694" s="87"/>
    </row>
    <row r="695" spans="1:61" x14ac:dyDescent="0.25">
      <c r="A695" s="63" t="s">
        <v>465</v>
      </c>
      <c r="B695" s="63" t="s">
        <v>465</v>
      </c>
      <c r="C695" s="64"/>
      <c r="D695" s="65"/>
      <c r="E695" s="66"/>
      <c r="F695" s="67"/>
      <c r="G695" s="64"/>
      <c r="H695" s="68"/>
      <c r="I695" s="69"/>
      <c r="J695" s="69"/>
      <c r="K695" s="32"/>
      <c r="L695" s="76">
        <v>695</v>
      </c>
      <c r="M695" s="76"/>
      <c r="N695" s="71"/>
      <c r="O695" s="87" t="s">
        <v>179</v>
      </c>
      <c r="P695" s="90">
        <v>45143.107465277775</v>
      </c>
      <c r="Q695" s="87" t="s">
        <v>2521</v>
      </c>
      <c r="R695" s="87">
        <v>0</v>
      </c>
      <c r="S695" s="87">
        <v>1</v>
      </c>
      <c r="T695" s="87">
        <v>4</v>
      </c>
      <c r="U695" s="87">
        <v>0</v>
      </c>
      <c r="V695" s="87">
        <v>88</v>
      </c>
      <c r="W695" s="93" t="s">
        <v>6330</v>
      </c>
      <c r="X695" s="87"/>
      <c r="Y695" s="87"/>
      <c r="Z695" s="87"/>
      <c r="AA695" s="87"/>
      <c r="AB695" s="87"/>
      <c r="AC695" s="93" t="s">
        <v>11459</v>
      </c>
      <c r="AD695" s="87" t="s">
        <v>11519</v>
      </c>
      <c r="AE695" s="92" t="str">
        <f>HYPERLINK("https://twitter.com/najulinharees/status/1687653337003335680")</f>
        <v>https://twitter.com/najulinharees/status/1687653337003335680</v>
      </c>
      <c r="AF695" s="90">
        <v>45143.107465277775</v>
      </c>
      <c r="AG695" s="99">
        <v>45143</v>
      </c>
      <c r="AH695" s="93" t="s">
        <v>12186</v>
      </c>
      <c r="AI695" s="87"/>
      <c r="AJ695" s="87"/>
      <c r="AK695" s="87"/>
      <c r="AL695" s="87"/>
      <c r="AM695" s="87"/>
      <c r="AN695" s="87"/>
      <c r="AO695" s="87"/>
      <c r="AP695" s="87"/>
      <c r="AQ695" s="87"/>
      <c r="AR695" s="87"/>
      <c r="AS695" s="87"/>
      <c r="AT695" s="87"/>
      <c r="AU695" s="87"/>
      <c r="AV695" s="92" t="str">
        <f>HYPERLINK("https://pbs.twimg.com/profile_images/1703133684419756032/CROJGNvi_normal.jpg")</f>
        <v>https://pbs.twimg.com/profile_images/1703133684419756032/CROJGNvi_normal.jpg</v>
      </c>
      <c r="AW695" s="93" t="s">
        <v>18944</v>
      </c>
      <c r="AX695" s="93" t="s">
        <v>18944</v>
      </c>
      <c r="AY695" s="87"/>
      <c r="AZ695" s="93" t="s">
        <v>22668</v>
      </c>
      <c r="BA695" s="93" t="s">
        <v>22668</v>
      </c>
      <c r="BB695" s="93" t="s">
        <v>22668</v>
      </c>
      <c r="BC695" s="93" t="s">
        <v>18944</v>
      </c>
      <c r="BD695" s="93" t="s">
        <v>22938</v>
      </c>
      <c r="BE695" s="87"/>
      <c r="BF695" s="87"/>
      <c r="BG695" s="87"/>
      <c r="BH695" s="87"/>
      <c r="BI695" s="87"/>
    </row>
    <row r="696" spans="1:61" x14ac:dyDescent="0.25">
      <c r="A696" s="63" t="s">
        <v>466</v>
      </c>
      <c r="B696" s="63" t="s">
        <v>1641</v>
      </c>
      <c r="C696" s="64"/>
      <c r="D696" s="65"/>
      <c r="E696" s="66"/>
      <c r="F696" s="67"/>
      <c r="G696" s="64"/>
      <c r="H696" s="68"/>
      <c r="I696" s="69"/>
      <c r="J696" s="69"/>
      <c r="K696" s="32"/>
      <c r="L696" s="76">
        <v>696</v>
      </c>
      <c r="M696" s="76"/>
      <c r="N696" s="71"/>
      <c r="O696" s="87" t="s">
        <v>1839</v>
      </c>
      <c r="P696" s="90">
        <v>45149.585451388892</v>
      </c>
      <c r="Q696" s="87" t="s">
        <v>2522</v>
      </c>
      <c r="R696" s="87">
        <v>0</v>
      </c>
      <c r="S696" s="87">
        <v>1</v>
      </c>
      <c r="T696" s="87">
        <v>1</v>
      </c>
      <c r="U696" s="87">
        <v>0</v>
      </c>
      <c r="V696" s="87">
        <v>63</v>
      </c>
      <c r="W696" s="93" t="s">
        <v>5897</v>
      </c>
      <c r="X696" s="92" t="str">
        <f>HYPERLINK("https://www.congressodeinovacao.com.br/")</f>
        <v>https://www.congressodeinovacao.com.br/</v>
      </c>
      <c r="Y696" s="87" t="s">
        <v>8373</v>
      </c>
      <c r="Z696" s="87" t="s">
        <v>8569</v>
      </c>
      <c r="AA696" s="87" t="s">
        <v>9067</v>
      </c>
      <c r="AB696" s="87" t="s">
        <v>11448</v>
      </c>
      <c r="AC696" s="93" t="s">
        <v>11457</v>
      </c>
      <c r="AD696" s="87" t="s">
        <v>11519</v>
      </c>
      <c r="AE696" s="92" t="str">
        <f>HYPERLINK("https://twitter.com/swissnexbrazil/status/1690000883507998722")</f>
        <v>https://twitter.com/swissnexbrazil/status/1690000883507998722</v>
      </c>
      <c r="AF696" s="90">
        <v>45149.585451388892</v>
      </c>
      <c r="AG696" s="99">
        <v>45149</v>
      </c>
      <c r="AH696" s="93" t="s">
        <v>12187</v>
      </c>
      <c r="AI696" s="87" t="b">
        <v>0</v>
      </c>
      <c r="AJ696" s="87"/>
      <c r="AK696" s="87"/>
      <c r="AL696" s="87"/>
      <c r="AM696" s="87"/>
      <c r="AN696" s="87"/>
      <c r="AO696" s="87"/>
      <c r="AP696" s="87"/>
      <c r="AQ696" s="87" t="s">
        <v>15880</v>
      </c>
      <c r="AR696" s="87"/>
      <c r="AS696" s="87"/>
      <c r="AT696" s="87"/>
      <c r="AU696" s="87"/>
      <c r="AV696" s="92" t="str">
        <f>HYPERLINK("https://pbs.twimg.com/media/F3QWey6WcAA5LDU.jpg")</f>
        <v>https://pbs.twimg.com/media/F3QWey6WcAA5LDU.jpg</v>
      </c>
      <c r="AW696" s="93" t="s">
        <v>18945</v>
      </c>
      <c r="AX696" s="93" t="s">
        <v>18945</v>
      </c>
      <c r="AY696" s="87"/>
      <c r="AZ696" s="93" t="s">
        <v>22668</v>
      </c>
      <c r="BA696" s="93" t="s">
        <v>22668</v>
      </c>
      <c r="BB696" s="93" t="s">
        <v>22668</v>
      </c>
      <c r="BC696" s="93" t="s">
        <v>18945</v>
      </c>
      <c r="BD696" s="87">
        <v>1641300630</v>
      </c>
      <c r="BE696" s="87"/>
      <c r="BF696" s="87"/>
      <c r="BG696" s="87"/>
      <c r="BH696" s="87"/>
      <c r="BI696" s="87"/>
    </row>
    <row r="697" spans="1:61" x14ac:dyDescent="0.25">
      <c r="A697" s="63" t="s">
        <v>466</v>
      </c>
      <c r="B697" s="63" t="s">
        <v>254</v>
      </c>
      <c r="C697" s="64"/>
      <c r="D697" s="65"/>
      <c r="E697" s="66"/>
      <c r="F697" s="67"/>
      <c r="G697" s="64"/>
      <c r="H697" s="68"/>
      <c r="I697" s="69"/>
      <c r="J697" s="69"/>
      <c r="K697" s="32"/>
      <c r="L697" s="76">
        <v>697</v>
      </c>
      <c r="M697" s="76"/>
      <c r="N697" s="71"/>
      <c r="O697" s="87" t="s">
        <v>1839</v>
      </c>
      <c r="P697" s="90">
        <v>45149.585451388892</v>
      </c>
      <c r="Q697" s="87" t="s">
        <v>2522</v>
      </c>
      <c r="R697" s="87">
        <v>0</v>
      </c>
      <c r="S697" s="87">
        <v>1</v>
      </c>
      <c r="T697" s="87">
        <v>1</v>
      </c>
      <c r="U697" s="87">
        <v>0</v>
      </c>
      <c r="V697" s="87">
        <v>63</v>
      </c>
      <c r="W697" s="93" t="s">
        <v>5897</v>
      </c>
      <c r="X697" s="92" t="str">
        <f>HYPERLINK("https://www.congressodeinovacao.com.br/")</f>
        <v>https://www.congressodeinovacao.com.br/</v>
      </c>
      <c r="Y697" s="87" t="s">
        <v>8373</v>
      </c>
      <c r="Z697" s="87" t="s">
        <v>8569</v>
      </c>
      <c r="AA697" s="87" t="s">
        <v>9067</v>
      </c>
      <c r="AB697" s="87" t="s">
        <v>11448</v>
      </c>
      <c r="AC697" s="93" t="s">
        <v>11457</v>
      </c>
      <c r="AD697" s="87" t="s">
        <v>11519</v>
      </c>
      <c r="AE697" s="92" t="str">
        <f>HYPERLINK("https://twitter.com/swissnexbrazil/status/1690000883507998722")</f>
        <v>https://twitter.com/swissnexbrazil/status/1690000883507998722</v>
      </c>
      <c r="AF697" s="90">
        <v>45149.585451388892</v>
      </c>
      <c r="AG697" s="99">
        <v>45149</v>
      </c>
      <c r="AH697" s="93" t="s">
        <v>12187</v>
      </c>
      <c r="AI697" s="87" t="b">
        <v>0</v>
      </c>
      <c r="AJ697" s="87"/>
      <c r="AK697" s="87"/>
      <c r="AL697" s="87"/>
      <c r="AM697" s="87"/>
      <c r="AN697" s="87"/>
      <c r="AO697" s="87"/>
      <c r="AP697" s="87"/>
      <c r="AQ697" s="87" t="s">
        <v>15880</v>
      </c>
      <c r="AR697" s="87"/>
      <c r="AS697" s="87"/>
      <c r="AT697" s="87"/>
      <c r="AU697" s="87"/>
      <c r="AV697" s="92" t="str">
        <f>HYPERLINK("https://pbs.twimg.com/media/F3QWey6WcAA5LDU.jpg")</f>
        <v>https://pbs.twimg.com/media/F3QWey6WcAA5LDU.jpg</v>
      </c>
      <c r="AW697" s="93" t="s">
        <v>18945</v>
      </c>
      <c r="AX697" s="93" t="s">
        <v>18945</v>
      </c>
      <c r="AY697" s="87"/>
      <c r="AZ697" s="93" t="s">
        <v>22668</v>
      </c>
      <c r="BA697" s="93" t="s">
        <v>22668</v>
      </c>
      <c r="BB697" s="93" t="s">
        <v>22668</v>
      </c>
      <c r="BC697" s="93" t="s">
        <v>18945</v>
      </c>
      <c r="BD697" s="87">
        <v>1641300630</v>
      </c>
      <c r="BE697" s="87"/>
      <c r="BF697" s="87"/>
      <c r="BG697" s="87"/>
      <c r="BH697" s="87"/>
      <c r="BI697" s="87"/>
    </row>
    <row r="698" spans="1:61" x14ac:dyDescent="0.25">
      <c r="A698" s="63" t="s">
        <v>467</v>
      </c>
      <c r="B698" s="63" t="s">
        <v>467</v>
      </c>
      <c r="C698" s="64"/>
      <c r="D698" s="65"/>
      <c r="E698" s="66"/>
      <c r="F698" s="67"/>
      <c r="G698" s="64"/>
      <c r="H698" s="68"/>
      <c r="I698" s="69"/>
      <c r="J698" s="69"/>
      <c r="K698" s="32"/>
      <c r="L698" s="76">
        <v>698</v>
      </c>
      <c r="M698" s="76"/>
      <c r="N698" s="71"/>
      <c r="O698" s="87" t="s">
        <v>179</v>
      </c>
      <c r="P698" s="90">
        <v>45185.625289351854</v>
      </c>
      <c r="Q698" s="87" t="s">
        <v>2523</v>
      </c>
      <c r="R698" s="87">
        <v>0</v>
      </c>
      <c r="S698" s="87">
        <v>0</v>
      </c>
      <c r="T698" s="87">
        <v>0</v>
      </c>
      <c r="U698" s="87">
        <v>0</v>
      </c>
      <c r="V698" s="87">
        <v>5</v>
      </c>
      <c r="W698" s="93" t="s">
        <v>6331</v>
      </c>
      <c r="X698" s="92" t="str">
        <f>HYPERLINK("https://youtu.be/rU15QINDx-Q")</f>
        <v>https://youtu.be/rU15QINDx-Q</v>
      </c>
      <c r="Y698" s="87" t="s">
        <v>8372</v>
      </c>
      <c r="Z698" s="87"/>
      <c r="AA698" s="87" t="s">
        <v>9068</v>
      </c>
      <c r="AB698" s="87" t="s">
        <v>11448</v>
      </c>
      <c r="AC698" s="93" t="s">
        <v>11462</v>
      </c>
      <c r="AD698" s="87" t="s">
        <v>11519</v>
      </c>
      <c r="AE698" s="92" t="str">
        <f>HYPERLINK("https://twitter.com/solvitsc/status/1703061280871838095")</f>
        <v>https://twitter.com/solvitsc/status/1703061280871838095</v>
      </c>
      <c r="AF698" s="90">
        <v>45185.625289351854</v>
      </c>
      <c r="AG698" s="99">
        <v>45185</v>
      </c>
      <c r="AH698" s="93" t="s">
        <v>12188</v>
      </c>
      <c r="AI698" s="87" t="b">
        <v>0</v>
      </c>
      <c r="AJ698" s="87"/>
      <c r="AK698" s="87"/>
      <c r="AL698" s="87"/>
      <c r="AM698" s="87"/>
      <c r="AN698" s="87"/>
      <c r="AO698" s="87"/>
      <c r="AP698" s="87"/>
      <c r="AQ698" s="87" t="s">
        <v>15881</v>
      </c>
      <c r="AR698" s="87"/>
      <c r="AS698" s="87"/>
      <c r="AT698" s="87"/>
      <c r="AU698" s="87"/>
      <c r="AV698" s="92" t="str">
        <f>HYPERLINK("https://pbs.twimg.com/media/F6J9NaTXkAA_64Q.jpg")</f>
        <v>https://pbs.twimg.com/media/F6J9NaTXkAA_64Q.jpg</v>
      </c>
      <c r="AW698" s="93" t="s">
        <v>18946</v>
      </c>
      <c r="AX698" s="93" t="s">
        <v>18946</v>
      </c>
      <c r="AY698" s="87"/>
      <c r="AZ698" s="93" t="s">
        <v>22668</v>
      </c>
      <c r="BA698" s="93" t="s">
        <v>22668</v>
      </c>
      <c r="BB698" s="93" t="s">
        <v>22668</v>
      </c>
      <c r="BC698" s="93" t="s">
        <v>18946</v>
      </c>
      <c r="BD698" s="93" t="s">
        <v>22939</v>
      </c>
      <c r="BE698" s="87"/>
      <c r="BF698" s="87"/>
      <c r="BG698" s="87"/>
      <c r="BH698" s="87"/>
      <c r="BI698" s="87"/>
    </row>
    <row r="699" spans="1:61" x14ac:dyDescent="0.25">
      <c r="A699" s="63" t="s">
        <v>468</v>
      </c>
      <c r="B699" s="63" t="s">
        <v>468</v>
      </c>
      <c r="C699" s="64"/>
      <c r="D699" s="65"/>
      <c r="E699" s="66"/>
      <c r="F699" s="67"/>
      <c r="G699" s="64"/>
      <c r="H699" s="68"/>
      <c r="I699" s="69"/>
      <c r="J699" s="69"/>
      <c r="K699" s="32"/>
      <c r="L699" s="76">
        <v>699</v>
      </c>
      <c r="M699" s="76"/>
      <c r="N699" s="71"/>
      <c r="O699" s="87" t="s">
        <v>179</v>
      </c>
      <c r="P699" s="90">
        <v>45115.83384259259</v>
      </c>
      <c r="Q699" s="87" t="s">
        <v>2524</v>
      </c>
      <c r="R699" s="87">
        <v>0</v>
      </c>
      <c r="S699" s="87">
        <v>0</v>
      </c>
      <c r="T699" s="87">
        <v>0</v>
      </c>
      <c r="U699" s="87">
        <v>0</v>
      </c>
      <c r="V699" s="87">
        <v>16</v>
      </c>
      <c r="W699" s="93" t="s">
        <v>6332</v>
      </c>
      <c r="X699" s="92" t="str">
        <f>HYPERLINK("https://blogueiroconvidado.com/4-maneiras-de-aumentar-suas-comissoes-de-afiliado/")</f>
        <v>https://blogueiroconvidado.com/4-maneiras-de-aumentar-suas-comissoes-de-afiliado/</v>
      </c>
      <c r="Y699" s="87" t="s">
        <v>8412</v>
      </c>
      <c r="Z699" s="87"/>
      <c r="AA699" s="87" t="s">
        <v>9069</v>
      </c>
      <c r="AB699" s="87" t="s">
        <v>11448</v>
      </c>
      <c r="AC699" s="93" t="s">
        <v>11460</v>
      </c>
      <c r="AD699" s="87" t="s">
        <v>11519</v>
      </c>
      <c r="AE699" s="92" t="str">
        <f>HYPERLINK("https://twitter.com/blogconvidado/status/1677769707569512450")</f>
        <v>https://twitter.com/blogconvidado/status/1677769707569512450</v>
      </c>
      <c r="AF699" s="90">
        <v>45115.83384259259</v>
      </c>
      <c r="AG699" s="99">
        <v>45115</v>
      </c>
      <c r="AH699" s="93" t="s">
        <v>12189</v>
      </c>
      <c r="AI699" s="87" t="b">
        <v>0</v>
      </c>
      <c r="AJ699" s="87"/>
      <c r="AK699" s="87"/>
      <c r="AL699" s="87"/>
      <c r="AM699" s="87"/>
      <c r="AN699" s="87"/>
      <c r="AO699" s="87"/>
      <c r="AP699" s="87"/>
      <c r="AQ699" s="87" t="s">
        <v>15882</v>
      </c>
      <c r="AR699" s="87"/>
      <c r="AS699" s="87"/>
      <c r="AT699" s="87"/>
      <c r="AU699" s="87"/>
      <c r="AV699" s="92" t="str">
        <f>HYPERLINK("https://pbs.twimg.com/media/F0iiqIEXwAA4Tx4.jpg")</f>
        <v>https://pbs.twimg.com/media/F0iiqIEXwAA4Tx4.jpg</v>
      </c>
      <c r="AW699" s="93" t="s">
        <v>18947</v>
      </c>
      <c r="AX699" s="93" t="s">
        <v>18947</v>
      </c>
      <c r="AY699" s="87"/>
      <c r="AZ699" s="93" t="s">
        <v>22668</v>
      </c>
      <c r="BA699" s="93" t="s">
        <v>22668</v>
      </c>
      <c r="BB699" s="93" t="s">
        <v>22668</v>
      </c>
      <c r="BC699" s="93" t="s">
        <v>18947</v>
      </c>
      <c r="BD699" s="93" t="s">
        <v>22940</v>
      </c>
      <c r="BE699" s="87"/>
      <c r="BF699" s="87"/>
      <c r="BG699" s="87"/>
      <c r="BH699" s="87"/>
      <c r="BI699" s="87"/>
    </row>
    <row r="700" spans="1:61" x14ac:dyDescent="0.25">
      <c r="A700" s="63" t="s">
        <v>468</v>
      </c>
      <c r="B700" s="63" t="s">
        <v>468</v>
      </c>
      <c r="C700" s="64"/>
      <c r="D700" s="65"/>
      <c r="E700" s="66"/>
      <c r="F700" s="67"/>
      <c r="G700" s="64"/>
      <c r="H700" s="68"/>
      <c r="I700" s="69"/>
      <c r="J700" s="69"/>
      <c r="K700" s="32"/>
      <c r="L700" s="76">
        <v>700</v>
      </c>
      <c r="M700" s="76"/>
      <c r="N700" s="71"/>
      <c r="O700" s="87" t="s">
        <v>179</v>
      </c>
      <c r="P700" s="90">
        <v>45115.814004629632</v>
      </c>
      <c r="Q700" s="87" t="s">
        <v>2525</v>
      </c>
      <c r="R700" s="87">
        <v>0</v>
      </c>
      <c r="S700" s="87">
        <v>0</v>
      </c>
      <c r="T700" s="87">
        <v>0</v>
      </c>
      <c r="U700" s="87">
        <v>0</v>
      </c>
      <c r="V700" s="87">
        <v>9</v>
      </c>
      <c r="W700" s="93" t="s">
        <v>6333</v>
      </c>
      <c r="X700" s="92" t="str">
        <f>HYPERLINK("https://blogueiroconvidado.com/8-motivos-para-investir-em-publicidade-online/")</f>
        <v>https://blogueiroconvidado.com/8-motivos-para-investir-em-publicidade-online/</v>
      </c>
      <c r="Y700" s="87" t="s">
        <v>8412</v>
      </c>
      <c r="Z700" s="87"/>
      <c r="AA700" s="87" t="s">
        <v>9070</v>
      </c>
      <c r="AB700" s="87" t="s">
        <v>11448</v>
      </c>
      <c r="AC700" s="93" t="s">
        <v>11460</v>
      </c>
      <c r="AD700" s="87" t="s">
        <v>11519</v>
      </c>
      <c r="AE700" s="92" t="str">
        <f>HYPERLINK("https://twitter.com/blogconvidado/status/1677762519673257985")</f>
        <v>https://twitter.com/blogconvidado/status/1677762519673257985</v>
      </c>
      <c r="AF700" s="90">
        <v>45115.814004629632</v>
      </c>
      <c r="AG700" s="99">
        <v>45115</v>
      </c>
      <c r="AH700" s="93" t="s">
        <v>12190</v>
      </c>
      <c r="AI700" s="87" t="b">
        <v>0</v>
      </c>
      <c r="AJ700" s="87"/>
      <c r="AK700" s="87"/>
      <c r="AL700" s="87"/>
      <c r="AM700" s="87"/>
      <c r="AN700" s="87"/>
      <c r="AO700" s="87"/>
      <c r="AP700" s="87"/>
      <c r="AQ700" s="87" t="s">
        <v>15883</v>
      </c>
      <c r="AR700" s="87"/>
      <c r="AS700" s="87"/>
      <c r="AT700" s="87"/>
      <c r="AU700" s="87"/>
      <c r="AV700" s="92" t="str">
        <f>HYPERLINK("https://pbs.twimg.com/media/F0icHu7XoAAyOxh.png")</f>
        <v>https://pbs.twimg.com/media/F0icHu7XoAAyOxh.png</v>
      </c>
      <c r="AW700" s="93" t="s">
        <v>18948</v>
      </c>
      <c r="AX700" s="93" t="s">
        <v>18948</v>
      </c>
      <c r="AY700" s="87"/>
      <c r="AZ700" s="93" t="s">
        <v>22668</v>
      </c>
      <c r="BA700" s="93" t="s">
        <v>22668</v>
      </c>
      <c r="BB700" s="93" t="s">
        <v>22668</v>
      </c>
      <c r="BC700" s="93" t="s">
        <v>18948</v>
      </c>
      <c r="BD700" s="93" t="s">
        <v>22940</v>
      </c>
      <c r="BE700" s="87"/>
      <c r="BF700" s="87"/>
      <c r="BG700" s="87"/>
      <c r="BH700" s="87"/>
      <c r="BI700" s="87"/>
    </row>
    <row r="701" spans="1:61" x14ac:dyDescent="0.25">
      <c r="A701" s="63" t="s">
        <v>468</v>
      </c>
      <c r="B701" s="63" t="s">
        <v>468</v>
      </c>
      <c r="C701" s="64"/>
      <c r="D701" s="65"/>
      <c r="E701" s="66"/>
      <c r="F701" s="67"/>
      <c r="G701" s="64"/>
      <c r="H701" s="68"/>
      <c r="I701" s="69"/>
      <c r="J701" s="69"/>
      <c r="K701" s="32"/>
      <c r="L701" s="76">
        <v>701</v>
      </c>
      <c r="M701" s="76"/>
      <c r="N701" s="71"/>
      <c r="O701" s="87" t="s">
        <v>179</v>
      </c>
      <c r="P701" s="90">
        <v>45115.625520833331</v>
      </c>
      <c r="Q701" s="87" t="s">
        <v>2526</v>
      </c>
      <c r="R701" s="87">
        <v>0</v>
      </c>
      <c r="S701" s="87">
        <v>0</v>
      </c>
      <c r="T701" s="87">
        <v>0</v>
      </c>
      <c r="U701" s="87">
        <v>0</v>
      </c>
      <c r="V701" s="87">
        <v>13</v>
      </c>
      <c r="W701" s="93" t="s">
        <v>6334</v>
      </c>
      <c r="X701" s="92" t="str">
        <f>HYPERLINK("https://blogueiroconvidado.com/5-erros-ao-trabalhar-no-exterior/")</f>
        <v>https://blogueiroconvidado.com/5-erros-ao-trabalhar-no-exterior/</v>
      </c>
      <c r="Y701" s="87" t="s">
        <v>8412</v>
      </c>
      <c r="Z701" s="87"/>
      <c r="AA701" s="87" t="s">
        <v>9071</v>
      </c>
      <c r="AB701" s="87" t="s">
        <v>11448</v>
      </c>
      <c r="AC701" s="93" t="s">
        <v>11460</v>
      </c>
      <c r="AD701" s="87" t="s">
        <v>11519</v>
      </c>
      <c r="AE701" s="92" t="str">
        <f>HYPERLINK("https://twitter.com/blogconvidado/status/1677694214996389889")</f>
        <v>https://twitter.com/blogconvidado/status/1677694214996389889</v>
      </c>
      <c r="AF701" s="90">
        <v>45115.625520833331</v>
      </c>
      <c r="AG701" s="99">
        <v>45115</v>
      </c>
      <c r="AH701" s="93" t="s">
        <v>12191</v>
      </c>
      <c r="AI701" s="87" t="b">
        <v>0</v>
      </c>
      <c r="AJ701" s="87"/>
      <c r="AK701" s="87"/>
      <c r="AL701" s="87"/>
      <c r="AM701" s="87"/>
      <c r="AN701" s="87"/>
      <c r="AO701" s="87"/>
      <c r="AP701" s="87"/>
      <c r="AQ701" s="87" t="s">
        <v>15884</v>
      </c>
      <c r="AR701" s="87"/>
      <c r="AS701" s="87"/>
      <c r="AT701" s="87"/>
      <c r="AU701" s="87"/>
      <c r="AV701" s="92" t="str">
        <f>HYPERLINK("https://pbs.twimg.com/media/F0hd_1JXsAEUAKM.jpg")</f>
        <v>https://pbs.twimg.com/media/F0hd_1JXsAEUAKM.jpg</v>
      </c>
      <c r="AW701" s="93" t="s">
        <v>18949</v>
      </c>
      <c r="AX701" s="93" t="s">
        <v>18949</v>
      </c>
      <c r="AY701" s="87"/>
      <c r="AZ701" s="93" t="s">
        <v>22668</v>
      </c>
      <c r="BA701" s="93" t="s">
        <v>22668</v>
      </c>
      <c r="BB701" s="93" t="s">
        <v>22668</v>
      </c>
      <c r="BC701" s="93" t="s">
        <v>18949</v>
      </c>
      <c r="BD701" s="93" t="s">
        <v>22940</v>
      </c>
      <c r="BE701" s="87"/>
      <c r="BF701" s="87"/>
      <c r="BG701" s="87"/>
      <c r="BH701" s="87"/>
      <c r="BI701" s="87"/>
    </row>
    <row r="702" spans="1:61" x14ac:dyDescent="0.25">
      <c r="A702" s="63" t="s">
        <v>469</v>
      </c>
      <c r="B702" s="63" t="s">
        <v>1637</v>
      </c>
      <c r="C702" s="64"/>
      <c r="D702" s="65"/>
      <c r="E702" s="66"/>
      <c r="F702" s="67"/>
      <c r="G702" s="64"/>
      <c r="H702" s="68"/>
      <c r="I702" s="69"/>
      <c r="J702" s="69"/>
      <c r="K702" s="32"/>
      <c r="L702" s="76">
        <v>702</v>
      </c>
      <c r="M702" s="76"/>
      <c r="N702" s="71"/>
      <c r="O702" s="87" t="s">
        <v>1839</v>
      </c>
      <c r="P702" s="90">
        <v>45150.991620370369</v>
      </c>
      <c r="Q702" s="87" t="s">
        <v>2527</v>
      </c>
      <c r="R702" s="87">
        <v>0</v>
      </c>
      <c r="S702" s="87">
        <v>0</v>
      </c>
      <c r="T702" s="87">
        <v>0</v>
      </c>
      <c r="U702" s="87">
        <v>0</v>
      </c>
      <c r="V702" s="87">
        <v>30</v>
      </c>
      <c r="W702" s="93" t="s">
        <v>6335</v>
      </c>
      <c r="X702" s="87"/>
      <c r="Y702" s="87"/>
      <c r="Z702" s="87" t="s">
        <v>1637</v>
      </c>
      <c r="AA702" s="87" t="s">
        <v>9072</v>
      </c>
      <c r="AB702" s="87" t="s">
        <v>11447</v>
      </c>
      <c r="AC702" s="93" t="s">
        <v>11457</v>
      </c>
      <c r="AD702" s="87" t="s">
        <v>11519</v>
      </c>
      <c r="AE702" s="92" t="str">
        <f>HYPERLINK("https://twitter.com/takesdoferini/status/1690510458921287682")</f>
        <v>https://twitter.com/takesdoferini/status/1690510458921287682</v>
      </c>
      <c r="AF702" s="90">
        <v>45150.991620370369</v>
      </c>
      <c r="AG702" s="99">
        <v>45150</v>
      </c>
      <c r="AH702" s="93" t="s">
        <v>12192</v>
      </c>
      <c r="AI702" s="87" t="b">
        <v>0</v>
      </c>
      <c r="AJ702" s="87"/>
      <c r="AK702" s="87"/>
      <c r="AL702" s="87"/>
      <c r="AM702" s="87"/>
      <c r="AN702" s="87"/>
      <c r="AO702" s="87"/>
      <c r="AP702" s="87"/>
      <c r="AQ702" s="87" t="s">
        <v>15885</v>
      </c>
      <c r="AR702" s="87">
        <v>52266</v>
      </c>
      <c r="AS702" s="87"/>
      <c r="AT702" s="87"/>
      <c r="AU702" s="87"/>
      <c r="AV702" s="92" t="str">
        <f>HYPERLINK("https://pbs.twimg.com/ext_tw_video_thumb/1690510204662624256/pu/img/gjD0iFfi1jpWmPNe.jpg")</f>
        <v>https://pbs.twimg.com/ext_tw_video_thumb/1690510204662624256/pu/img/gjD0iFfi1jpWmPNe.jpg</v>
      </c>
      <c r="AW702" s="93" t="s">
        <v>18950</v>
      </c>
      <c r="AX702" s="93" t="s">
        <v>18950</v>
      </c>
      <c r="AY702" s="87"/>
      <c r="AZ702" s="93" t="s">
        <v>22668</v>
      </c>
      <c r="BA702" s="93" t="s">
        <v>22668</v>
      </c>
      <c r="BB702" s="93" t="s">
        <v>22668</v>
      </c>
      <c r="BC702" s="93" t="s">
        <v>18950</v>
      </c>
      <c r="BD702" s="93" t="s">
        <v>22941</v>
      </c>
      <c r="BE702" s="87"/>
      <c r="BF702" s="87"/>
      <c r="BG702" s="87"/>
      <c r="BH702" s="87"/>
      <c r="BI702" s="87"/>
    </row>
    <row r="703" spans="1:61" x14ac:dyDescent="0.25">
      <c r="A703" s="63" t="s">
        <v>469</v>
      </c>
      <c r="B703" s="63" t="s">
        <v>1637</v>
      </c>
      <c r="C703" s="64"/>
      <c r="D703" s="65"/>
      <c r="E703" s="66"/>
      <c r="F703" s="67"/>
      <c r="G703" s="64"/>
      <c r="H703" s="68"/>
      <c r="I703" s="69"/>
      <c r="J703" s="69"/>
      <c r="K703" s="32"/>
      <c r="L703" s="76">
        <v>703</v>
      </c>
      <c r="M703" s="76"/>
      <c r="N703" s="71"/>
      <c r="O703" s="87" t="s">
        <v>1839</v>
      </c>
      <c r="P703" s="90">
        <v>45150.147407407407</v>
      </c>
      <c r="Q703" s="87" t="s">
        <v>2528</v>
      </c>
      <c r="R703" s="87">
        <v>0</v>
      </c>
      <c r="S703" s="87">
        <v>1</v>
      </c>
      <c r="T703" s="87">
        <v>0</v>
      </c>
      <c r="U703" s="87">
        <v>0</v>
      </c>
      <c r="V703" s="87">
        <v>65</v>
      </c>
      <c r="W703" s="93" t="s">
        <v>6335</v>
      </c>
      <c r="X703" s="87"/>
      <c r="Y703" s="87"/>
      <c r="Z703" s="87" t="s">
        <v>1637</v>
      </c>
      <c r="AA703" s="87" t="s">
        <v>9073</v>
      </c>
      <c r="AB703" s="87" t="s">
        <v>11447</v>
      </c>
      <c r="AC703" s="93" t="s">
        <v>11457</v>
      </c>
      <c r="AD703" s="87" t="s">
        <v>11519</v>
      </c>
      <c r="AE703" s="92" t="str">
        <f>HYPERLINK("https://twitter.com/takesdoferini/status/1690204528774139904")</f>
        <v>https://twitter.com/takesdoferini/status/1690204528774139904</v>
      </c>
      <c r="AF703" s="90">
        <v>45150.147407407407</v>
      </c>
      <c r="AG703" s="99">
        <v>45150</v>
      </c>
      <c r="AH703" s="93" t="s">
        <v>12193</v>
      </c>
      <c r="AI703" s="87" t="b">
        <v>0</v>
      </c>
      <c r="AJ703" s="87"/>
      <c r="AK703" s="87"/>
      <c r="AL703" s="87"/>
      <c r="AM703" s="87"/>
      <c r="AN703" s="87"/>
      <c r="AO703" s="87"/>
      <c r="AP703" s="87"/>
      <c r="AQ703" s="87" t="s">
        <v>15886</v>
      </c>
      <c r="AR703" s="87">
        <v>71966</v>
      </c>
      <c r="AS703" s="87"/>
      <c r="AT703" s="87"/>
      <c r="AU703" s="87"/>
      <c r="AV703" s="92" t="str">
        <f>HYPERLINK("https://pbs.twimg.com/ext_tw_video_thumb/1690202931675418625/pu/img/pOniaThmpaOq2tHB.jpg")</f>
        <v>https://pbs.twimg.com/ext_tw_video_thumb/1690202931675418625/pu/img/pOniaThmpaOq2tHB.jpg</v>
      </c>
      <c r="AW703" s="93" t="s">
        <v>18951</v>
      </c>
      <c r="AX703" s="93" t="s">
        <v>18951</v>
      </c>
      <c r="AY703" s="87"/>
      <c r="AZ703" s="93" t="s">
        <v>22668</v>
      </c>
      <c r="BA703" s="93" t="s">
        <v>22668</v>
      </c>
      <c r="BB703" s="93" t="s">
        <v>22668</v>
      </c>
      <c r="BC703" s="93" t="s">
        <v>18951</v>
      </c>
      <c r="BD703" s="93" t="s">
        <v>22941</v>
      </c>
      <c r="BE703" s="87"/>
      <c r="BF703" s="87"/>
      <c r="BG703" s="87"/>
      <c r="BH703" s="87"/>
      <c r="BI703" s="87"/>
    </row>
    <row r="704" spans="1:61" x14ac:dyDescent="0.25">
      <c r="A704" s="63" t="s">
        <v>469</v>
      </c>
      <c r="B704" s="63" t="s">
        <v>1637</v>
      </c>
      <c r="C704" s="64"/>
      <c r="D704" s="65"/>
      <c r="E704" s="66"/>
      <c r="F704" s="67"/>
      <c r="G704" s="64"/>
      <c r="H704" s="68"/>
      <c r="I704" s="69"/>
      <c r="J704" s="69"/>
      <c r="K704" s="32"/>
      <c r="L704" s="76">
        <v>704</v>
      </c>
      <c r="M704" s="76"/>
      <c r="N704" s="71"/>
      <c r="O704" s="87" t="s">
        <v>1839</v>
      </c>
      <c r="P704" s="90">
        <v>45149.726168981484</v>
      </c>
      <c r="Q704" s="87" t="s">
        <v>2529</v>
      </c>
      <c r="R704" s="87">
        <v>0</v>
      </c>
      <c r="S704" s="87">
        <v>0</v>
      </c>
      <c r="T704" s="87">
        <v>0</v>
      </c>
      <c r="U704" s="87">
        <v>0</v>
      </c>
      <c r="V704" s="87">
        <v>37</v>
      </c>
      <c r="W704" s="93" t="s">
        <v>6336</v>
      </c>
      <c r="X704" s="87"/>
      <c r="Y704" s="87"/>
      <c r="Z704" s="87" t="s">
        <v>1637</v>
      </c>
      <c r="AA704" s="87" t="s">
        <v>9074</v>
      </c>
      <c r="AB704" s="87" t="s">
        <v>11447</v>
      </c>
      <c r="AC704" s="93" t="s">
        <v>11457</v>
      </c>
      <c r="AD704" s="87" t="s">
        <v>11519</v>
      </c>
      <c r="AE704" s="92" t="str">
        <f>HYPERLINK("https://twitter.com/takesdoferini/status/1690051877423980559")</f>
        <v>https://twitter.com/takesdoferini/status/1690051877423980559</v>
      </c>
      <c r="AF704" s="90">
        <v>45149.726168981484</v>
      </c>
      <c r="AG704" s="99">
        <v>45149</v>
      </c>
      <c r="AH704" s="93" t="s">
        <v>12194</v>
      </c>
      <c r="AI704" s="87" t="b">
        <v>0</v>
      </c>
      <c r="AJ704" s="87"/>
      <c r="AK704" s="87"/>
      <c r="AL704" s="87"/>
      <c r="AM704" s="87"/>
      <c r="AN704" s="87"/>
      <c r="AO704" s="87"/>
      <c r="AP704" s="87"/>
      <c r="AQ704" s="87" t="s">
        <v>15887</v>
      </c>
      <c r="AR704" s="87">
        <v>15833</v>
      </c>
      <c r="AS704" s="87"/>
      <c r="AT704" s="87"/>
      <c r="AU704" s="87"/>
      <c r="AV704" s="92" t="str">
        <f>HYPERLINK("https://pbs.twimg.com/ext_tw_video_thumb/1690051730132606984/pu/img/hn3HULPMuwJntVnG.jpg")</f>
        <v>https://pbs.twimg.com/ext_tw_video_thumb/1690051730132606984/pu/img/hn3HULPMuwJntVnG.jpg</v>
      </c>
      <c r="AW704" s="93" t="s">
        <v>18952</v>
      </c>
      <c r="AX704" s="93" t="s">
        <v>18952</v>
      </c>
      <c r="AY704" s="87"/>
      <c r="AZ704" s="93" t="s">
        <v>22668</v>
      </c>
      <c r="BA704" s="93" t="s">
        <v>22668</v>
      </c>
      <c r="BB704" s="93" t="s">
        <v>22668</v>
      </c>
      <c r="BC704" s="93" t="s">
        <v>18952</v>
      </c>
      <c r="BD704" s="93" t="s">
        <v>22941</v>
      </c>
      <c r="BE704" s="87"/>
      <c r="BF704" s="87"/>
      <c r="BG704" s="87"/>
      <c r="BH704" s="87"/>
      <c r="BI704" s="87"/>
    </row>
    <row r="705" spans="1:61" x14ac:dyDescent="0.25">
      <c r="A705" s="63" t="s">
        <v>469</v>
      </c>
      <c r="B705" s="63" t="s">
        <v>469</v>
      </c>
      <c r="C705" s="64"/>
      <c r="D705" s="65"/>
      <c r="E705" s="66"/>
      <c r="F705" s="67"/>
      <c r="G705" s="64"/>
      <c r="H705" s="68"/>
      <c r="I705" s="69"/>
      <c r="J705" s="69"/>
      <c r="K705" s="32"/>
      <c r="L705" s="76">
        <v>705</v>
      </c>
      <c r="M705" s="76"/>
      <c r="N705" s="71"/>
      <c r="O705" s="87" t="s">
        <v>179</v>
      </c>
      <c r="P705" s="90">
        <v>45149.606365740743</v>
      </c>
      <c r="Q705" s="87" t="s">
        <v>2530</v>
      </c>
      <c r="R705" s="87">
        <v>0</v>
      </c>
      <c r="S705" s="87">
        <v>0</v>
      </c>
      <c r="T705" s="87">
        <v>0</v>
      </c>
      <c r="U705" s="87">
        <v>0</v>
      </c>
      <c r="V705" s="87">
        <v>39</v>
      </c>
      <c r="W705" s="93" t="s">
        <v>6337</v>
      </c>
      <c r="X705" s="87"/>
      <c r="Y705" s="87"/>
      <c r="Z705" s="87"/>
      <c r="AA705" s="87" t="s">
        <v>9075</v>
      </c>
      <c r="AB705" s="87" t="s">
        <v>11447</v>
      </c>
      <c r="AC705" s="93" t="s">
        <v>11457</v>
      </c>
      <c r="AD705" s="87" t="s">
        <v>11519</v>
      </c>
      <c r="AE705" s="92" t="str">
        <f>HYPERLINK("https://twitter.com/takesdoferini/status/1690008462246232064")</f>
        <v>https://twitter.com/takesdoferini/status/1690008462246232064</v>
      </c>
      <c r="AF705" s="90">
        <v>45149.606365740743</v>
      </c>
      <c r="AG705" s="99">
        <v>45149</v>
      </c>
      <c r="AH705" s="93" t="s">
        <v>12195</v>
      </c>
      <c r="AI705" s="87" t="b">
        <v>0</v>
      </c>
      <c r="AJ705" s="87"/>
      <c r="AK705" s="87"/>
      <c r="AL705" s="87"/>
      <c r="AM705" s="87"/>
      <c r="AN705" s="87"/>
      <c r="AO705" s="87"/>
      <c r="AP705" s="87"/>
      <c r="AQ705" s="87" t="s">
        <v>15888</v>
      </c>
      <c r="AR705" s="87">
        <v>44533</v>
      </c>
      <c r="AS705" s="87"/>
      <c r="AT705" s="87"/>
      <c r="AU705" s="87"/>
      <c r="AV705" s="92" t="str">
        <f>HYPERLINK("https://pbs.twimg.com/ext_tw_video_thumb/1690001254179618818/pu/img/5httkdGeng-SH9SR.jpg")</f>
        <v>https://pbs.twimg.com/ext_tw_video_thumb/1690001254179618818/pu/img/5httkdGeng-SH9SR.jpg</v>
      </c>
      <c r="AW705" s="93" t="s">
        <v>18953</v>
      </c>
      <c r="AX705" s="93" t="s">
        <v>18953</v>
      </c>
      <c r="AY705" s="87"/>
      <c r="AZ705" s="93" t="s">
        <v>22668</v>
      </c>
      <c r="BA705" s="93" t="s">
        <v>22668</v>
      </c>
      <c r="BB705" s="93" t="s">
        <v>22668</v>
      </c>
      <c r="BC705" s="93" t="s">
        <v>18953</v>
      </c>
      <c r="BD705" s="93" t="s">
        <v>22941</v>
      </c>
      <c r="BE705" s="87"/>
      <c r="BF705" s="87"/>
      <c r="BG705" s="87"/>
      <c r="BH705" s="87"/>
      <c r="BI705" s="87"/>
    </row>
    <row r="706" spans="1:61" x14ac:dyDescent="0.25">
      <c r="A706" s="63" t="s">
        <v>470</v>
      </c>
      <c r="B706" s="63" t="s">
        <v>470</v>
      </c>
      <c r="C706" s="64"/>
      <c r="D706" s="65"/>
      <c r="E706" s="66"/>
      <c r="F706" s="67"/>
      <c r="G706" s="64"/>
      <c r="H706" s="68"/>
      <c r="I706" s="69"/>
      <c r="J706" s="69"/>
      <c r="K706" s="32"/>
      <c r="L706" s="76">
        <v>706</v>
      </c>
      <c r="M706" s="76"/>
      <c r="N706" s="71"/>
      <c r="O706" s="87" t="s">
        <v>179</v>
      </c>
      <c r="P706" s="90">
        <v>45160.695925925924</v>
      </c>
      <c r="Q706" s="87" t="s">
        <v>2531</v>
      </c>
      <c r="R706" s="87">
        <v>0</v>
      </c>
      <c r="S706" s="87">
        <v>0</v>
      </c>
      <c r="T706" s="87">
        <v>0</v>
      </c>
      <c r="U706" s="87">
        <v>0</v>
      </c>
      <c r="V706" s="87">
        <v>15</v>
      </c>
      <c r="W706" s="93" t="s">
        <v>6338</v>
      </c>
      <c r="X706" s="92" t="str">
        <f>HYPERLINK("http://even3.com.br/planetaifmg2023/")</f>
        <v>http://even3.com.br/planetaifmg2023/</v>
      </c>
      <c r="Y706" s="87" t="s">
        <v>8373</v>
      </c>
      <c r="Z706" s="87"/>
      <c r="AA706" s="87"/>
      <c r="AB706" s="87"/>
      <c r="AC706" s="93" t="s">
        <v>11457</v>
      </c>
      <c r="AD706" s="87" t="s">
        <v>11519</v>
      </c>
      <c r="AE706" s="92" t="str">
        <f>HYPERLINK("https://twitter.com/ifmgcongonhas/status/1694027180802552002")</f>
        <v>https://twitter.com/ifmgcongonhas/status/1694027180802552002</v>
      </c>
      <c r="AF706" s="90">
        <v>45160.695925925924</v>
      </c>
      <c r="AG706" s="99">
        <v>45160</v>
      </c>
      <c r="AH706" s="93" t="s">
        <v>12196</v>
      </c>
      <c r="AI706" s="87" t="b">
        <v>1</v>
      </c>
      <c r="AJ706" s="87"/>
      <c r="AK706" s="87"/>
      <c r="AL706" s="87"/>
      <c r="AM706" s="87"/>
      <c r="AN706" s="87"/>
      <c r="AO706" s="87"/>
      <c r="AP706" s="87"/>
      <c r="AQ706" s="87"/>
      <c r="AR706" s="87"/>
      <c r="AS706" s="87"/>
      <c r="AT706" s="87"/>
      <c r="AU706" s="87"/>
      <c r="AV706" s="92" t="str">
        <f>HYPERLINK("https://pbs.twimg.com/profile_images/1118532112498425858/Wol4T_ra_normal.jpg")</f>
        <v>https://pbs.twimg.com/profile_images/1118532112498425858/Wol4T_ra_normal.jpg</v>
      </c>
      <c r="AW706" s="93" t="s">
        <v>18954</v>
      </c>
      <c r="AX706" s="93" t="s">
        <v>18954</v>
      </c>
      <c r="AY706" s="87"/>
      <c r="AZ706" s="93" t="s">
        <v>22668</v>
      </c>
      <c r="BA706" s="93" t="s">
        <v>22668</v>
      </c>
      <c r="BB706" s="93" t="s">
        <v>22668</v>
      </c>
      <c r="BC706" s="93" t="s">
        <v>18954</v>
      </c>
      <c r="BD706" s="87">
        <v>269916702</v>
      </c>
      <c r="BE706" s="87"/>
      <c r="BF706" s="87"/>
      <c r="BG706" s="87"/>
      <c r="BH706" s="87"/>
      <c r="BI706" s="87"/>
    </row>
    <row r="707" spans="1:61" x14ac:dyDescent="0.25">
      <c r="A707" s="63" t="s">
        <v>471</v>
      </c>
      <c r="B707" s="63" t="s">
        <v>471</v>
      </c>
      <c r="C707" s="64"/>
      <c r="D707" s="65"/>
      <c r="E707" s="66"/>
      <c r="F707" s="67"/>
      <c r="G707" s="64"/>
      <c r="H707" s="68"/>
      <c r="I707" s="69"/>
      <c r="J707" s="69"/>
      <c r="K707" s="32"/>
      <c r="L707" s="76">
        <v>707</v>
      </c>
      <c r="M707" s="76"/>
      <c r="N707" s="71"/>
      <c r="O707" s="87" t="s">
        <v>179</v>
      </c>
      <c r="P707" s="90">
        <v>45124.417118055557</v>
      </c>
      <c r="Q707" s="87" t="s">
        <v>2532</v>
      </c>
      <c r="R707" s="87">
        <v>0</v>
      </c>
      <c r="S707" s="87">
        <v>0</v>
      </c>
      <c r="T707" s="87">
        <v>0</v>
      </c>
      <c r="U707" s="87">
        <v>0</v>
      </c>
      <c r="V707" s="87">
        <v>7</v>
      </c>
      <c r="W707" s="93" t="s">
        <v>6339</v>
      </c>
      <c r="X707" s="87"/>
      <c r="Y707" s="87"/>
      <c r="Z707" s="87"/>
      <c r="AA707" s="87" t="s">
        <v>9076</v>
      </c>
      <c r="AB707" s="87" t="s">
        <v>11448</v>
      </c>
      <c r="AC707" s="93" t="s">
        <v>11460</v>
      </c>
      <c r="AD707" s="87" t="s">
        <v>11519</v>
      </c>
      <c r="AE707" s="92" t="str">
        <f>HYPERLINK("https://twitter.com/an_mktdigital/status/1680880182700195841")</f>
        <v>https://twitter.com/an_mktdigital/status/1680880182700195841</v>
      </c>
      <c r="AF707" s="90">
        <v>45124.417118055557</v>
      </c>
      <c r="AG707" s="99">
        <v>45124</v>
      </c>
      <c r="AH707" s="93" t="s">
        <v>12197</v>
      </c>
      <c r="AI707" s="87" t="b">
        <v>0</v>
      </c>
      <c r="AJ707" s="87"/>
      <c r="AK707" s="87"/>
      <c r="AL707" s="87"/>
      <c r="AM707" s="87"/>
      <c r="AN707" s="87"/>
      <c r="AO707" s="87"/>
      <c r="AP707" s="87"/>
      <c r="AQ707" s="87" t="s">
        <v>15889</v>
      </c>
      <c r="AR707" s="87"/>
      <c r="AS707" s="87"/>
      <c r="AT707" s="87"/>
      <c r="AU707" s="87"/>
      <c r="AV707" s="92" t="str">
        <f>HYPERLINK("https://pbs.twimg.com/media/F1OvnllWwAI3hWF.jpg")</f>
        <v>https://pbs.twimg.com/media/F1OvnllWwAI3hWF.jpg</v>
      </c>
      <c r="AW707" s="93" t="s">
        <v>18955</v>
      </c>
      <c r="AX707" s="93" t="s">
        <v>18955</v>
      </c>
      <c r="AY707" s="87"/>
      <c r="AZ707" s="93" t="s">
        <v>22668</v>
      </c>
      <c r="BA707" s="93" t="s">
        <v>22668</v>
      </c>
      <c r="BB707" s="93" t="s">
        <v>22668</v>
      </c>
      <c r="BC707" s="93" t="s">
        <v>18955</v>
      </c>
      <c r="BD707" s="93" t="s">
        <v>22942</v>
      </c>
      <c r="BE707" s="87"/>
      <c r="BF707" s="87"/>
      <c r="BG707" s="87"/>
      <c r="BH707" s="87"/>
      <c r="BI707" s="87"/>
    </row>
    <row r="708" spans="1:61" x14ac:dyDescent="0.25">
      <c r="A708" s="63" t="s">
        <v>472</v>
      </c>
      <c r="B708" s="63" t="s">
        <v>472</v>
      </c>
      <c r="C708" s="64"/>
      <c r="D708" s="65"/>
      <c r="E708" s="66"/>
      <c r="F708" s="67"/>
      <c r="G708" s="64"/>
      <c r="H708" s="68"/>
      <c r="I708" s="69"/>
      <c r="J708" s="69"/>
      <c r="K708" s="32"/>
      <c r="L708" s="76">
        <v>708</v>
      </c>
      <c r="M708" s="76"/>
      <c r="N708" s="71"/>
      <c r="O708" s="87" t="s">
        <v>179</v>
      </c>
      <c r="P708" s="90">
        <v>45138.095219907409</v>
      </c>
      <c r="Q708" s="87" t="s">
        <v>2533</v>
      </c>
      <c r="R708" s="87">
        <v>0</v>
      </c>
      <c r="S708" s="87">
        <v>0</v>
      </c>
      <c r="T708" s="87">
        <v>0</v>
      </c>
      <c r="U708" s="87">
        <v>0</v>
      </c>
      <c r="V708" s="87">
        <v>24</v>
      </c>
      <c r="W708" s="93" t="s">
        <v>6340</v>
      </c>
      <c r="X708" s="92" t="str">
        <f>HYPERLINK("https://www.instagram.com/reel/CrrKdk6Jx3i/?igshid=MTVlNTYxMjY2ZQ==")</f>
        <v>https://www.instagram.com/reel/CrrKdk6Jx3i/?igshid=MTVlNTYxMjY2ZQ==</v>
      </c>
      <c r="Y708" s="87" t="s">
        <v>8383</v>
      </c>
      <c r="Z708" s="87"/>
      <c r="AA708" s="87"/>
      <c r="AB708" s="87"/>
      <c r="AC708" s="93" t="s">
        <v>11458</v>
      </c>
      <c r="AD708" s="87" t="s">
        <v>11519</v>
      </c>
      <c r="AE708" s="92" t="str">
        <f>HYPERLINK("https://twitter.com/carlossantosven/status/1685836960558915584")</f>
        <v>https://twitter.com/carlossantosven/status/1685836960558915584</v>
      </c>
      <c r="AF708" s="90">
        <v>45138.095219907409</v>
      </c>
      <c r="AG708" s="99">
        <v>45138</v>
      </c>
      <c r="AH708" s="93" t="s">
        <v>12198</v>
      </c>
      <c r="AI708" s="87" t="b">
        <v>0</v>
      </c>
      <c r="AJ708" s="87"/>
      <c r="AK708" s="87"/>
      <c r="AL708" s="87"/>
      <c r="AM708" s="87"/>
      <c r="AN708" s="87"/>
      <c r="AO708" s="87"/>
      <c r="AP708" s="87"/>
      <c r="AQ708" s="87"/>
      <c r="AR708" s="87"/>
      <c r="AS708" s="87"/>
      <c r="AT708" s="87"/>
      <c r="AU708" s="87"/>
      <c r="AV708" s="92" t="str">
        <f>HYPERLINK("https://pbs.twimg.com/profile_images/1689793014967808000/lUn5o0vi_normal.jpg")</f>
        <v>https://pbs.twimg.com/profile_images/1689793014967808000/lUn5o0vi_normal.jpg</v>
      </c>
      <c r="AW708" s="93" t="s">
        <v>18956</v>
      </c>
      <c r="AX708" s="93" t="s">
        <v>18956</v>
      </c>
      <c r="AY708" s="87"/>
      <c r="AZ708" s="93" t="s">
        <v>22668</v>
      </c>
      <c r="BA708" s="93" t="s">
        <v>22668</v>
      </c>
      <c r="BB708" s="93" t="s">
        <v>22668</v>
      </c>
      <c r="BC708" s="93" t="s">
        <v>18956</v>
      </c>
      <c r="BD708" s="87">
        <v>277150932</v>
      </c>
      <c r="BE708" s="87"/>
      <c r="BF708" s="87"/>
      <c r="BG708" s="87"/>
      <c r="BH708" s="87"/>
      <c r="BI708" s="87"/>
    </row>
    <row r="709" spans="1:61" x14ac:dyDescent="0.25">
      <c r="A709" s="63" t="s">
        <v>472</v>
      </c>
      <c r="B709" s="63" t="s">
        <v>472</v>
      </c>
      <c r="C709" s="64"/>
      <c r="D709" s="65"/>
      <c r="E709" s="66"/>
      <c r="F709" s="67"/>
      <c r="G709" s="64"/>
      <c r="H709" s="68"/>
      <c r="I709" s="69"/>
      <c r="J709" s="69"/>
      <c r="K709" s="32"/>
      <c r="L709" s="76">
        <v>709</v>
      </c>
      <c r="M709" s="76"/>
      <c r="N709" s="71"/>
      <c r="O709" s="87" t="s">
        <v>179</v>
      </c>
      <c r="P709" s="90">
        <v>45166.738298611112</v>
      </c>
      <c r="Q709" s="87" t="s">
        <v>2534</v>
      </c>
      <c r="R709" s="87">
        <v>0</v>
      </c>
      <c r="S709" s="87">
        <v>0</v>
      </c>
      <c r="T709" s="87">
        <v>0</v>
      </c>
      <c r="U709" s="87">
        <v>0</v>
      </c>
      <c r="V709" s="87">
        <v>38</v>
      </c>
      <c r="W709" s="93" t="s">
        <v>6341</v>
      </c>
      <c r="X709" s="87" t="s">
        <v>8346</v>
      </c>
      <c r="Y709" s="87" t="s">
        <v>8413</v>
      </c>
      <c r="Z709" s="87"/>
      <c r="AA709" s="87"/>
      <c r="AB709" s="87"/>
      <c r="AC709" s="93" t="s">
        <v>11458</v>
      </c>
      <c r="AD709" s="87" t="s">
        <v>11519</v>
      </c>
      <c r="AE709" s="92" t="str">
        <f>HYPERLINK("https://twitter.com/carlossantosven/status/1696216864936907234")</f>
        <v>https://twitter.com/carlossantosven/status/1696216864936907234</v>
      </c>
      <c r="AF709" s="90">
        <v>45166.738298611112</v>
      </c>
      <c r="AG709" s="99">
        <v>45166</v>
      </c>
      <c r="AH709" s="93" t="s">
        <v>12199</v>
      </c>
      <c r="AI709" s="87" t="b">
        <v>0</v>
      </c>
      <c r="AJ709" s="87"/>
      <c r="AK709" s="87"/>
      <c r="AL709" s="87"/>
      <c r="AM709" s="87"/>
      <c r="AN709" s="87"/>
      <c r="AO709" s="87"/>
      <c r="AP709" s="87"/>
      <c r="AQ709" s="87"/>
      <c r="AR709" s="87"/>
      <c r="AS709" s="87"/>
      <c r="AT709" s="87"/>
      <c r="AU709" s="87"/>
      <c r="AV709" s="92" t="str">
        <f>HYPERLINK("https://pbs.twimg.com/profile_images/1689793014967808000/lUn5o0vi_normal.jpg")</f>
        <v>https://pbs.twimg.com/profile_images/1689793014967808000/lUn5o0vi_normal.jpg</v>
      </c>
      <c r="AW709" s="93" t="s">
        <v>18957</v>
      </c>
      <c r="AX709" s="93" t="s">
        <v>18957</v>
      </c>
      <c r="AY709" s="87"/>
      <c r="AZ709" s="93" t="s">
        <v>22668</v>
      </c>
      <c r="BA709" s="93" t="s">
        <v>22668</v>
      </c>
      <c r="BB709" s="93" t="s">
        <v>22668</v>
      </c>
      <c r="BC709" s="93" t="s">
        <v>18957</v>
      </c>
      <c r="BD709" s="87">
        <v>277150932</v>
      </c>
      <c r="BE709" s="87"/>
      <c r="BF709" s="87"/>
      <c r="BG709" s="87"/>
      <c r="BH709" s="87"/>
      <c r="BI709" s="87"/>
    </row>
    <row r="710" spans="1:61" x14ac:dyDescent="0.25">
      <c r="A710" s="63" t="s">
        <v>472</v>
      </c>
      <c r="B710" s="63" t="s">
        <v>472</v>
      </c>
      <c r="C710" s="64"/>
      <c r="D710" s="65"/>
      <c r="E710" s="66"/>
      <c r="F710" s="67"/>
      <c r="G710" s="64"/>
      <c r="H710" s="68"/>
      <c r="I710" s="69"/>
      <c r="J710" s="69"/>
      <c r="K710" s="32"/>
      <c r="L710" s="76">
        <v>710</v>
      </c>
      <c r="M710" s="76"/>
      <c r="N710" s="71"/>
      <c r="O710" s="87" t="s">
        <v>179</v>
      </c>
      <c r="P710" s="90">
        <v>45178.645682870374</v>
      </c>
      <c r="Q710" s="87" t="s">
        <v>2535</v>
      </c>
      <c r="R710" s="87">
        <v>0</v>
      </c>
      <c r="S710" s="87">
        <v>0</v>
      </c>
      <c r="T710" s="87">
        <v>0</v>
      </c>
      <c r="U710" s="87">
        <v>0</v>
      </c>
      <c r="V710" s="87">
        <v>44</v>
      </c>
      <c r="W710" s="93" t="s">
        <v>6341</v>
      </c>
      <c r="X710" s="87" t="s">
        <v>8347</v>
      </c>
      <c r="Y710" s="87" t="s">
        <v>8413</v>
      </c>
      <c r="Z710" s="87"/>
      <c r="AA710" s="87"/>
      <c r="AB710" s="87"/>
      <c r="AC710" s="93" t="s">
        <v>11458</v>
      </c>
      <c r="AD710" s="87" t="s">
        <v>11519</v>
      </c>
      <c r="AE710" s="92" t="str">
        <f>HYPERLINK("https://twitter.com/carlossantosven/status/1700531958592213097")</f>
        <v>https://twitter.com/carlossantosven/status/1700531958592213097</v>
      </c>
      <c r="AF710" s="90">
        <v>45178.645682870374</v>
      </c>
      <c r="AG710" s="99">
        <v>45178</v>
      </c>
      <c r="AH710" s="93" t="s">
        <v>12200</v>
      </c>
      <c r="AI710" s="87" t="b">
        <v>0</v>
      </c>
      <c r="AJ710" s="87"/>
      <c r="AK710" s="87"/>
      <c r="AL710" s="87"/>
      <c r="AM710" s="87"/>
      <c r="AN710" s="87"/>
      <c r="AO710" s="87"/>
      <c r="AP710" s="87"/>
      <c r="AQ710" s="87"/>
      <c r="AR710" s="87"/>
      <c r="AS710" s="87"/>
      <c r="AT710" s="87"/>
      <c r="AU710" s="87"/>
      <c r="AV710" s="92" t="str">
        <f>HYPERLINK("https://pbs.twimg.com/profile_images/1689793014967808000/lUn5o0vi_normal.jpg")</f>
        <v>https://pbs.twimg.com/profile_images/1689793014967808000/lUn5o0vi_normal.jpg</v>
      </c>
      <c r="AW710" s="93" t="s">
        <v>18958</v>
      </c>
      <c r="AX710" s="93" t="s">
        <v>18958</v>
      </c>
      <c r="AY710" s="87"/>
      <c r="AZ710" s="93" t="s">
        <v>22668</v>
      </c>
      <c r="BA710" s="93" t="s">
        <v>22668</v>
      </c>
      <c r="BB710" s="93" t="s">
        <v>22668</v>
      </c>
      <c r="BC710" s="93" t="s">
        <v>18958</v>
      </c>
      <c r="BD710" s="87">
        <v>277150932</v>
      </c>
      <c r="BE710" s="87"/>
      <c r="BF710" s="87"/>
      <c r="BG710" s="87"/>
      <c r="BH710" s="87"/>
      <c r="BI710" s="87"/>
    </row>
    <row r="711" spans="1:61" x14ac:dyDescent="0.25">
      <c r="A711" s="63" t="s">
        <v>472</v>
      </c>
      <c r="B711" s="63" t="s">
        <v>472</v>
      </c>
      <c r="C711" s="64"/>
      <c r="D711" s="65"/>
      <c r="E711" s="66"/>
      <c r="F711" s="67"/>
      <c r="G711" s="64"/>
      <c r="H711" s="68"/>
      <c r="I711" s="69"/>
      <c r="J711" s="69"/>
      <c r="K711" s="32"/>
      <c r="L711" s="76">
        <v>711</v>
      </c>
      <c r="M711" s="76"/>
      <c r="N711" s="71"/>
      <c r="O711" s="87" t="s">
        <v>179</v>
      </c>
      <c r="P711" s="90">
        <v>45172.939525462964</v>
      </c>
      <c r="Q711" s="87" t="s">
        <v>2536</v>
      </c>
      <c r="R711" s="87">
        <v>0</v>
      </c>
      <c r="S711" s="87">
        <v>0</v>
      </c>
      <c r="T711" s="87">
        <v>0</v>
      </c>
      <c r="U711" s="87">
        <v>0</v>
      </c>
      <c r="V711" s="87">
        <v>52</v>
      </c>
      <c r="W711" s="93" t="s">
        <v>6342</v>
      </c>
      <c r="X711" s="87"/>
      <c r="Y711" s="87"/>
      <c r="Z711" s="87"/>
      <c r="AA711" s="87" t="s">
        <v>9077</v>
      </c>
      <c r="AB711" s="87" t="s">
        <v>11447</v>
      </c>
      <c r="AC711" s="93" t="s">
        <v>11458</v>
      </c>
      <c r="AD711" s="87" t="s">
        <v>11519</v>
      </c>
      <c r="AE711" s="92" t="str">
        <f>HYPERLINK("https://twitter.com/carlossantosven/status/1698464116183105604")</f>
        <v>https://twitter.com/carlossantosven/status/1698464116183105604</v>
      </c>
      <c r="AF711" s="90">
        <v>45172.939525462964</v>
      </c>
      <c r="AG711" s="99">
        <v>45172</v>
      </c>
      <c r="AH711" s="93" t="s">
        <v>12201</v>
      </c>
      <c r="AI711" s="87" t="b">
        <v>0</v>
      </c>
      <c r="AJ711" s="87"/>
      <c r="AK711" s="87"/>
      <c r="AL711" s="87"/>
      <c r="AM711" s="87"/>
      <c r="AN711" s="87"/>
      <c r="AO711" s="87"/>
      <c r="AP711" s="87"/>
      <c r="AQ711" s="87" t="s">
        <v>15890</v>
      </c>
      <c r="AR711" s="87">
        <v>61336</v>
      </c>
      <c r="AS711" s="87"/>
      <c r="AT711" s="87"/>
      <c r="AU711" s="87"/>
      <c r="AV711" s="92" t="str">
        <f>HYPERLINK("https://pbs.twimg.com/ext_tw_video_thumb/1698446316957790209/pu/img/YenG_sCS1zJPnyz7.jpg")</f>
        <v>https://pbs.twimg.com/ext_tw_video_thumb/1698446316957790209/pu/img/YenG_sCS1zJPnyz7.jpg</v>
      </c>
      <c r="AW711" s="93" t="s">
        <v>18959</v>
      </c>
      <c r="AX711" s="93" t="s">
        <v>18959</v>
      </c>
      <c r="AY711" s="87"/>
      <c r="AZ711" s="93" t="s">
        <v>22668</v>
      </c>
      <c r="BA711" s="93" t="s">
        <v>22668</v>
      </c>
      <c r="BB711" s="93" t="s">
        <v>22668</v>
      </c>
      <c r="BC711" s="93" t="s">
        <v>18959</v>
      </c>
      <c r="BD711" s="87">
        <v>277150932</v>
      </c>
      <c r="BE711" s="87"/>
      <c r="BF711" s="87"/>
      <c r="BG711" s="87"/>
      <c r="BH711" s="87"/>
      <c r="BI711" s="87"/>
    </row>
    <row r="712" spans="1:61" x14ac:dyDescent="0.25">
      <c r="A712" s="63" t="s">
        <v>472</v>
      </c>
      <c r="B712" s="63" t="s">
        <v>472</v>
      </c>
      <c r="C712" s="64"/>
      <c r="D712" s="65"/>
      <c r="E712" s="66"/>
      <c r="F712" s="67"/>
      <c r="G712" s="64"/>
      <c r="H712" s="68"/>
      <c r="I712" s="69"/>
      <c r="J712" s="69"/>
      <c r="K712" s="32"/>
      <c r="L712" s="76">
        <v>712</v>
      </c>
      <c r="M712" s="76"/>
      <c r="N712" s="71"/>
      <c r="O712" s="87" t="s">
        <v>179</v>
      </c>
      <c r="P712" s="90">
        <v>45121.633171296293</v>
      </c>
      <c r="Q712" s="87" t="s">
        <v>2537</v>
      </c>
      <c r="R712" s="87">
        <v>0</v>
      </c>
      <c r="S712" s="87">
        <v>0</v>
      </c>
      <c r="T712" s="87">
        <v>0</v>
      </c>
      <c r="U712" s="87">
        <v>0</v>
      </c>
      <c r="V712" s="87">
        <v>15</v>
      </c>
      <c r="W712" s="93" t="s">
        <v>6343</v>
      </c>
      <c r="X712" s="92" t="str">
        <f>HYPERLINK("http://www.carlossantos.com")</f>
        <v>http://www.carlossantos.com</v>
      </c>
      <c r="Y712" s="87" t="s">
        <v>8414</v>
      </c>
      <c r="Z712" s="87"/>
      <c r="AA712" s="87"/>
      <c r="AB712" s="87"/>
      <c r="AC712" s="93" t="s">
        <v>11458</v>
      </c>
      <c r="AD712" s="87" t="s">
        <v>11519</v>
      </c>
      <c r="AE712" s="92" t="str">
        <f>HYPERLINK("https://twitter.com/carlossantosven/status/1679871312846548992")</f>
        <v>https://twitter.com/carlossantosven/status/1679871312846548992</v>
      </c>
      <c r="AF712" s="90">
        <v>45121.633171296293</v>
      </c>
      <c r="AG712" s="99">
        <v>45121</v>
      </c>
      <c r="AH712" s="93" t="s">
        <v>12202</v>
      </c>
      <c r="AI712" s="87" t="b">
        <v>0</v>
      </c>
      <c r="AJ712" s="87"/>
      <c r="AK712" s="87"/>
      <c r="AL712" s="87"/>
      <c r="AM712" s="87"/>
      <c r="AN712" s="87"/>
      <c r="AO712" s="87"/>
      <c r="AP712" s="87"/>
      <c r="AQ712" s="87"/>
      <c r="AR712" s="87"/>
      <c r="AS712" s="87"/>
      <c r="AT712" s="87"/>
      <c r="AU712" s="87"/>
      <c r="AV712" s="92" t="str">
        <f>HYPERLINK("https://pbs.twimg.com/profile_images/1689793014967808000/lUn5o0vi_normal.jpg")</f>
        <v>https://pbs.twimg.com/profile_images/1689793014967808000/lUn5o0vi_normal.jpg</v>
      </c>
      <c r="AW712" s="93" t="s">
        <v>18960</v>
      </c>
      <c r="AX712" s="93" t="s">
        <v>18960</v>
      </c>
      <c r="AY712" s="87"/>
      <c r="AZ712" s="93" t="s">
        <v>22668</v>
      </c>
      <c r="BA712" s="93" t="s">
        <v>22668</v>
      </c>
      <c r="BB712" s="93" t="s">
        <v>22668</v>
      </c>
      <c r="BC712" s="93" t="s">
        <v>18960</v>
      </c>
      <c r="BD712" s="87">
        <v>277150932</v>
      </c>
      <c r="BE712" s="87"/>
      <c r="BF712" s="87"/>
      <c r="BG712" s="87"/>
      <c r="BH712" s="87"/>
      <c r="BI712" s="87"/>
    </row>
    <row r="713" spans="1:61" x14ac:dyDescent="0.25">
      <c r="A713" s="63" t="s">
        <v>473</v>
      </c>
      <c r="B713" s="63" t="s">
        <v>473</v>
      </c>
      <c r="C713" s="64"/>
      <c r="D713" s="65"/>
      <c r="E713" s="66"/>
      <c r="F713" s="67"/>
      <c r="G713" s="64"/>
      <c r="H713" s="68"/>
      <c r="I713" s="69"/>
      <c r="J713" s="69"/>
      <c r="K713" s="32"/>
      <c r="L713" s="76">
        <v>713</v>
      </c>
      <c r="M713" s="76"/>
      <c r="N713" s="71"/>
      <c r="O713" s="87" t="s">
        <v>179</v>
      </c>
      <c r="P713" s="90">
        <v>45168.082928240743</v>
      </c>
      <c r="Q713" s="87" t="s">
        <v>2538</v>
      </c>
      <c r="R713" s="87">
        <v>0</v>
      </c>
      <c r="S713" s="87">
        <v>0</v>
      </c>
      <c r="T713" s="87">
        <v>0</v>
      </c>
      <c r="U713" s="87">
        <v>1</v>
      </c>
      <c r="V713" s="87">
        <v>316</v>
      </c>
      <c r="W713" s="93" t="s">
        <v>6344</v>
      </c>
      <c r="X713" s="87"/>
      <c r="Y713" s="87"/>
      <c r="Z713" s="87"/>
      <c r="AA713" s="87" t="s">
        <v>9078</v>
      </c>
      <c r="AB713" s="87" t="s">
        <v>11448</v>
      </c>
      <c r="AC713" s="93" t="s">
        <v>11459</v>
      </c>
      <c r="AD713" s="87" t="s">
        <v>11519</v>
      </c>
      <c r="AE713" s="92" t="str">
        <f>HYPERLINK("https://twitter.com/hypebr7/status/1696704140695482775")</f>
        <v>https://twitter.com/hypebr7/status/1696704140695482775</v>
      </c>
      <c r="AF713" s="90">
        <v>45168.082928240743</v>
      </c>
      <c r="AG713" s="99">
        <v>45168</v>
      </c>
      <c r="AH713" s="93" t="s">
        <v>12203</v>
      </c>
      <c r="AI713" s="87" t="b">
        <v>0</v>
      </c>
      <c r="AJ713" s="87"/>
      <c r="AK713" s="87"/>
      <c r="AL713" s="87"/>
      <c r="AM713" s="87"/>
      <c r="AN713" s="87"/>
      <c r="AO713" s="87"/>
      <c r="AP713" s="87"/>
      <c r="AQ713" s="87" t="s">
        <v>15891</v>
      </c>
      <c r="AR713" s="87"/>
      <c r="AS713" s="87"/>
      <c r="AT713" s="87"/>
      <c r="AU713" s="87"/>
      <c r="AV713" s="92" t="str">
        <f>HYPERLINK("https://pbs.twimg.com/media/F4vnbJIWQAA-15O.jpg")</f>
        <v>https://pbs.twimg.com/media/F4vnbJIWQAA-15O.jpg</v>
      </c>
      <c r="AW713" s="93" t="s">
        <v>18961</v>
      </c>
      <c r="AX713" s="93" t="s">
        <v>18961</v>
      </c>
      <c r="AY713" s="87"/>
      <c r="AZ713" s="93" t="s">
        <v>22668</v>
      </c>
      <c r="BA713" s="93" t="s">
        <v>22668</v>
      </c>
      <c r="BB713" s="93" t="s">
        <v>22668</v>
      </c>
      <c r="BC713" s="93" t="s">
        <v>18961</v>
      </c>
      <c r="BD713" s="93" t="s">
        <v>22943</v>
      </c>
      <c r="BE713" s="87"/>
      <c r="BF713" s="87"/>
      <c r="BG713" s="87"/>
      <c r="BH713" s="87"/>
      <c r="BI713" s="87"/>
    </row>
    <row r="714" spans="1:61" x14ac:dyDescent="0.25">
      <c r="A714" s="63" t="s">
        <v>474</v>
      </c>
      <c r="B714" s="63" t="s">
        <v>474</v>
      </c>
      <c r="C714" s="64"/>
      <c r="D714" s="65"/>
      <c r="E714" s="66"/>
      <c r="F714" s="67"/>
      <c r="G714" s="64"/>
      <c r="H714" s="68"/>
      <c r="I714" s="69"/>
      <c r="J714" s="69"/>
      <c r="K714" s="32"/>
      <c r="L714" s="76">
        <v>714</v>
      </c>
      <c r="M714" s="76"/>
      <c r="N714" s="71"/>
      <c r="O714" s="87" t="s">
        <v>179</v>
      </c>
      <c r="P714" s="90">
        <v>45185.583344907405</v>
      </c>
      <c r="Q714" s="87" t="s">
        <v>2539</v>
      </c>
      <c r="R714" s="87">
        <v>0</v>
      </c>
      <c r="S714" s="87">
        <v>0</v>
      </c>
      <c r="T714" s="87">
        <v>0</v>
      </c>
      <c r="U714" s="87">
        <v>0</v>
      </c>
      <c r="V714" s="87">
        <v>12</v>
      </c>
      <c r="W714" s="93" t="s">
        <v>1737</v>
      </c>
      <c r="X714" s="87"/>
      <c r="Y714" s="87"/>
      <c r="Z714" s="87"/>
      <c r="AA714" s="87" t="s">
        <v>9079</v>
      </c>
      <c r="AB714" s="87" t="s">
        <v>11448</v>
      </c>
      <c r="AC714" s="93" t="s">
        <v>11457</v>
      </c>
      <c r="AD714" s="87" t="s">
        <v>11519</v>
      </c>
      <c r="AE714" s="92" t="str">
        <f>HYPERLINK("https://twitter.com/stanley_bittar/status/1703046083050701299")</f>
        <v>https://twitter.com/stanley_bittar/status/1703046083050701299</v>
      </c>
      <c r="AF714" s="90">
        <v>45185.583344907405</v>
      </c>
      <c r="AG714" s="99">
        <v>45185</v>
      </c>
      <c r="AH714" s="93" t="s">
        <v>12144</v>
      </c>
      <c r="AI714" s="87" t="b">
        <v>0</v>
      </c>
      <c r="AJ714" s="87"/>
      <c r="AK714" s="87"/>
      <c r="AL714" s="87"/>
      <c r="AM714" s="87"/>
      <c r="AN714" s="87"/>
      <c r="AO714" s="87"/>
      <c r="AP714" s="87"/>
      <c r="AQ714" s="87" t="s">
        <v>15892</v>
      </c>
      <c r="AR714" s="87"/>
      <c r="AS714" s="87"/>
      <c r="AT714" s="87"/>
      <c r="AU714" s="87"/>
      <c r="AV714" s="92" t="str">
        <f>HYPERLINK("https://pbs.twimg.com/media/F6ATBngWAAAHw55.jpg")</f>
        <v>https://pbs.twimg.com/media/F6ATBngWAAAHw55.jpg</v>
      </c>
      <c r="AW714" s="93" t="s">
        <v>18962</v>
      </c>
      <c r="AX714" s="93" t="s">
        <v>18962</v>
      </c>
      <c r="AY714" s="87"/>
      <c r="AZ714" s="93" t="s">
        <v>22668</v>
      </c>
      <c r="BA714" s="93" t="s">
        <v>22668</v>
      </c>
      <c r="BB714" s="93" t="s">
        <v>22668</v>
      </c>
      <c r="BC714" s="93" t="s">
        <v>18962</v>
      </c>
      <c r="BD714" s="93" t="s">
        <v>22944</v>
      </c>
      <c r="BE714" s="87"/>
      <c r="BF714" s="87"/>
      <c r="BG714" s="87"/>
      <c r="BH714" s="87"/>
      <c r="BI714" s="87"/>
    </row>
    <row r="715" spans="1:61" x14ac:dyDescent="0.25">
      <c r="A715" s="63" t="s">
        <v>475</v>
      </c>
      <c r="B715" s="63" t="s">
        <v>475</v>
      </c>
      <c r="C715" s="64"/>
      <c r="D715" s="65"/>
      <c r="E715" s="66"/>
      <c r="F715" s="67"/>
      <c r="G715" s="64"/>
      <c r="H715" s="68"/>
      <c r="I715" s="69"/>
      <c r="J715" s="69"/>
      <c r="K715" s="32"/>
      <c r="L715" s="76">
        <v>715</v>
      </c>
      <c r="M715" s="76"/>
      <c r="N715" s="71"/>
      <c r="O715" s="87" t="s">
        <v>179</v>
      </c>
      <c r="P715" s="90">
        <v>45133.611122685186</v>
      </c>
      <c r="Q715" s="87" t="s">
        <v>2540</v>
      </c>
      <c r="R715" s="87">
        <v>0</v>
      </c>
      <c r="S715" s="87">
        <v>0</v>
      </c>
      <c r="T715" s="87">
        <v>0</v>
      </c>
      <c r="U715" s="87">
        <v>0</v>
      </c>
      <c r="V715" s="87">
        <v>33</v>
      </c>
      <c r="W715" s="93" t="s">
        <v>6345</v>
      </c>
      <c r="X715" s="92" t="str">
        <f>HYPERLINK("https://caesegatos.com.br/conheca-os-desafios-ao-empreender-na-medicina-veterinaria/")</f>
        <v>https://caesegatos.com.br/conheca-os-desafios-ao-empreender-na-medicina-veterinaria/</v>
      </c>
      <c r="Y715" s="87" t="s">
        <v>8373</v>
      </c>
      <c r="Z715" s="87"/>
      <c r="AA715" s="87"/>
      <c r="AB715" s="87"/>
      <c r="AC715" s="93" t="s">
        <v>11457</v>
      </c>
      <c r="AD715" s="87" t="s">
        <v>11519</v>
      </c>
      <c r="AE715" s="92" t="str">
        <f>HYPERLINK("https://twitter.com/caesgatos/status/1684211979949309958")</f>
        <v>https://twitter.com/caesgatos/status/1684211979949309958</v>
      </c>
      <c r="AF715" s="90">
        <v>45133.611122685186</v>
      </c>
      <c r="AG715" s="99">
        <v>45133</v>
      </c>
      <c r="AH715" s="93" t="s">
        <v>12204</v>
      </c>
      <c r="AI715" s="87" t="b">
        <v>0</v>
      </c>
      <c r="AJ715" s="87"/>
      <c r="AK715" s="87"/>
      <c r="AL715" s="87"/>
      <c r="AM715" s="87"/>
      <c r="AN715" s="87"/>
      <c r="AO715" s="87"/>
      <c r="AP715" s="87"/>
      <c r="AQ715" s="87"/>
      <c r="AR715" s="87"/>
      <c r="AS715" s="87"/>
      <c r="AT715" s="87"/>
      <c r="AU715" s="87"/>
      <c r="AV715" s="92" t="str">
        <f>HYPERLINK("https://pbs.twimg.com/profile_images/1601188173614387200/Fz1EeOb__normal.jpg")</f>
        <v>https://pbs.twimg.com/profile_images/1601188173614387200/Fz1EeOb__normal.jpg</v>
      </c>
      <c r="AW715" s="93" t="s">
        <v>18963</v>
      </c>
      <c r="AX715" s="93" t="s">
        <v>18963</v>
      </c>
      <c r="AY715" s="87"/>
      <c r="AZ715" s="93" t="s">
        <v>22668</v>
      </c>
      <c r="BA715" s="93" t="s">
        <v>22668</v>
      </c>
      <c r="BB715" s="93" t="s">
        <v>22668</v>
      </c>
      <c r="BC715" s="93" t="s">
        <v>18963</v>
      </c>
      <c r="BD715" s="87">
        <v>74146257</v>
      </c>
      <c r="BE715" s="87"/>
      <c r="BF715" s="87"/>
      <c r="BG715" s="87"/>
      <c r="BH715" s="87"/>
      <c r="BI715" s="87"/>
    </row>
    <row r="716" spans="1:61" x14ac:dyDescent="0.25">
      <c r="A716" s="63" t="s">
        <v>476</v>
      </c>
      <c r="B716" s="63" t="s">
        <v>476</v>
      </c>
      <c r="C716" s="64"/>
      <c r="D716" s="65"/>
      <c r="E716" s="66"/>
      <c r="F716" s="67"/>
      <c r="G716" s="64"/>
      <c r="H716" s="68"/>
      <c r="I716" s="69"/>
      <c r="J716" s="69"/>
      <c r="K716" s="32"/>
      <c r="L716" s="76">
        <v>716</v>
      </c>
      <c r="M716" s="76"/>
      <c r="N716" s="71"/>
      <c r="O716" s="87" t="s">
        <v>179</v>
      </c>
      <c r="P716" s="90">
        <v>45131.573240740741</v>
      </c>
      <c r="Q716" s="87" t="s">
        <v>2541</v>
      </c>
      <c r="R716" s="87">
        <v>0</v>
      </c>
      <c r="S716" s="87">
        <v>4</v>
      </c>
      <c r="T716" s="87">
        <v>0</v>
      </c>
      <c r="U716" s="87">
        <v>0</v>
      </c>
      <c r="V716" s="87">
        <v>11</v>
      </c>
      <c r="W716" s="93" t="s">
        <v>6346</v>
      </c>
      <c r="X716" s="92" t="str">
        <f>HYPERLINK("https://conteudo.digitalista.com.br/curso-online-empreender-como-jornalista")</f>
        <v>https://conteudo.digitalista.com.br/curso-online-empreender-como-jornalista</v>
      </c>
      <c r="Y716" s="87" t="s">
        <v>8373</v>
      </c>
      <c r="Z716" s="87"/>
      <c r="AA716" s="87" t="s">
        <v>9080</v>
      </c>
      <c r="AB716" s="87" t="s">
        <v>11448</v>
      </c>
      <c r="AC716" s="93" t="s">
        <v>11460</v>
      </c>
      <c r="AD716" s="87" t="s">
        <v>11519</v>
      </c>
      <c r="AE716" s="92" t="str">
        <f>HYPERLINK("https://twitter.com/almirrizzatto/status/1683473475543941122")</f>
        <v>https://twitter.com/almirrizzatto/status/1683473475543941122</v>
      </c>
      <c r="AF716" s="90">
        <v>45131.573240740741</v>
      </c>
      <c r="AG716" s="99">
        <v>45131</v>
      </c>
      <c r="AH716" s="93" t="s">
        <v>12205</v>
      </c>
      <c r="AI716" s="87" t="b">
        <v>0</v>
      </c>
      <c r="AJ716" s="87"/>
      <c r="AK716" s="87"/>
      <c r="AL716" s="87"/>
      <c r="AM716" s="87"/>
      <c r="AN716" s="87"/>
      <c r="AO716" s="87"/>
      <c r="AP716" s="87"/>
      <c r="AQ716" s="87" t="s">
        <v>15893</v>
      </c>
      <c r="AR716" s="87"/>
      <c r="AS716" s="87"/>
      <c r="AT716" s="87"/>
      <c r="AU716" s="87"/>
      <c r="AV716" s="92" t="str">
        <f>HYPERLINK("https://pbs.twimg.com/media/F1zmNATXoAUCyNG.jpg")</f>
        <v>https://pbs.twimg.com/media/F1zmNATXoAUCyNG.jpg</v>
      </c>
      <c r="AW716" s="93" t="s">
        <v>18964</v>
      </c>
      <c r="AX716" s="93" t="s">
        <v>18964</v>
      </c>
      <c r="AY716" s="87"/>
      <c r="AZ716" s="93" t="s">
        <v>22668</v>
      </c>
      <c r="BA716" s="93" t="s">
        <v>22668</v>
      </c>
      <c r="BB716" s="93" t="s">
        <v>22668</v>
      </c>
      <c r="BC716" s="93" t="s">
        <v>18964</v>
      </c>
      <c r="BD716" s="87">
        <v>33349702</v>
      </c>
      <c r="BE716" s="87"/>
      <c r="BF716" s="87"/>
      <c r="BG716" s="87"/>
      <c r="BH716" s="87"/>
      <c r="BI716" s="87"/>
    </row>
    <row r="717" spans="1:61" x14ac:dyDescent="0.25">
      <c r="A717" s="63" t="s">
        <v>476</v>
      </c>
      <c r="B717" s="63" t="s">
        <v>476</v>
      </c>
      <c r="C717" s="64"/>
      <c r="D717" s="65"/>
      <c r="E717" s="66"/>
      <c r="F717" s="67"/>
      <c r="G717" s="64"/>
      <c r="H717" s="68"/>
      <c r="I717" s="69"/>
      <c r="J717" s="69"/>
      <c r="K717" s="32"/>
      <c r="L717" s="76">
        <v>717</v>
      </c>
      <c r="M717" s="76"/>
      <c r="N717" s="71"/>
      <c r="O717" s="87" t="s">
        <v>179</v>
      </c>
      <c r="P717" s="90">
        <v>45131.566608796296</v>
      </c>
      <c r="Q717" s="87" t="s">
        <v>2542</v>
      </c>
      <c r="R717" s="87">
        <v>0</v>
      </c>
      <c r="S717" s="87">
        <v>4</v>
      </c>
      <c r="T717" s="87">
        <v>0</v>
      </c>
      <c r="U717" s="87">
        <v>0</v>
      </c>
      <c r="V717" s="87">
        <v>9</v>
      </c>
      <c r="W717" s="93" t="s">
        <v>6346</v>
      </c>
      <c r="X717" s="92" t="str">
        <f>HYPERLINK("https://conteudo.digitalista.com.br/curso-online-empreender-como-jornalista")</f>
        <v>https://conteudo.digitalista.com.br/curso-online-empreender-como-jornalista</v>
      </c>
      <c r="Y717" s="87" t="s">
        <v>8373</v>
      </c>
      <c r="Z717" s="87"/>
      <c r="AA717" s="87" t="s">
        <v>9081</v>
      </c>
      <c r="AB717" s="87" t="s">
        <v>11448</v>
      </c>
      <c r="AC717" s="93" t="s">
        <v>11457</v>
      </c>
      <c r="AD717" s="87" t="s">
        <v>11519</v>
      </c>
      <c r="AE717" s="92" t="str">
        <f>HYPERLINK("https://twitter.com/almirrizzatto/status/1683471073487011843")</f>
        <v>https://twitter.com/almirrizzatto/status/1683471073487011843</v>
      </c>
      <c r="AF717" s="90">
        <v>45131.566608796296</v>
      </c>
      <c r="AG717" s="99">
        <v>45131</v>
      </c>
      <c r="AH717" s="93" t="s">
        <v>12206</v>
      </c>
      <c r="AI717" s="87" t="b">
        <v>0</v>
      </c>
      <c r="AJ717" s="87"/>
      <c r="AK717" s="87"/>
      <c r="AL717" s="87"/>
      <c r="AM717" s="87"/>
      <c r="AN717" s="87"/>
      <c r="AO717" s="87"/>
      <c r="AP717" s="87"/>
      <c r="AQ717" s="87" t="s">
        <v>15894</v>
      </c>
      <c r="AR717" s="87"/>
      <c r="AS717" s="87"/>
      <c r="AT717" s="87"/>
      <c r="AU717" s="87"/>
      <c r="AV717" s="92" t="str">
        <f>HYPERLINK("https://pbs.twimg.com/media/F1zj4asXsAIJ3Dx.jpg")</f>
        <v>https://pbs.twimg.com/media/F1zj4asXsAIJ3Dx.jpg</v>
      </c>
      <c r="AW717" s="93" t="s">
        <v>18965</v>
      </c>
      <c r="AX717" s="93" t="s">
        <v>18965</v>
      </c>
      <c r="AY717" s="87"/>
      <c r="AZ717" s="93" t="s">
        <v>22668</v>
      </c>
      <c r="BA717" s="93" t="s">
        <v>22668</v>
      </c>
      <c r="BB717" s="93" t="s">
        <v>22668</v>
      </c>
      <c r="BC717" s="93" t="s">
        <v>18965</v>
      </c>
      <c r="BD717" s="87">
        <v>33349702</v>
      </c>
      <c r="BE717" s="87"/>
      <c r="BF717" s="87"/>
      <c r="BG717" s="87"/>
      <c r="BH717" s="87"/>
      <c r="BI717" s="87"/>
    </row>
    <row r="718" spans="1:61" x14ac:dyDescent="0.25">
      <c r="A718" s="63" t="s">
        <v>477</v>
      </c>
      <c r="B718" s="63" t="s">
        <v>477</v>
      </c>
      <c r="C718" s="64"/>
      <c r="D718" s="65"/>
      <c r="E718" s="66"/>
      <c r="F718" s="67"/>
      <c r="G718" s="64"/>
      <c r="H718" s="68"/>
      <c r="I718" s="69"/>
      <c r="J718" s="69"/>
      <c r="K718" s="32"/>
      <c r="L718" s="76">
        <v>718</v>
      </c>
      <c r="M718" s="76"/>
      <c r="N718" s="71"/>
      <c r="O718" s="87" t="s">
        <v>179</v>
      </c>
      <c r="P718" s="90">
        <v>45113.934062499997</v>
      </c>
      <c r="Q718" s="87" t="s">
        <v>2543</v>
      </c>
      <c r="R718" s="87">
        <v>0</v>
      </c>
      <c r="S718" s="87">
        <v>0</v>
      </c>
      <c r="T718" s="87">
        <v>0</v>
      </c>
      <c r="U718" s="87">
        <v>0</v>
      </c>
      <c r="V718" s="87">
        <v>5</v>
      </c>
      <c r="W718" s="93" t="s">
        <v>6094</v>
      </c>
      <c r="X718" s="87"/>
      <c r="Y718" s="87"/>
      <c r="Z718" s="87"/>
      <c r="AA718" s="87"/>
      <c r="AB718" s="87"/>
      <c r="AC718" s="93" t="s">
        <v>11457</v>
      </c>
      <c r="AD718" s="87" t="s">
        <v>11519</v>
      </c>
      <c r="AE718" s="92" t="str">
        <f>HYPERLINK("https://twitter.com/blakeshadow2126/status/1677081248722714625")</f>
        <v>https://twitter.com/blakeshadow2126/status/1677081248722714625</v>
      </c>
      <c r="AF718" s="90">
        <v>45113.934062499997</v>
      </c>
      <c r="AG718" s="99">
        <v>45113</v>
      </c>
      <c r="AH718" s="93" t="s">
        <v>12207</v>
      </c>
      <c r="AI718" s="87"/>
      <c r="AJ718" s="87"/>
      <c r="AK718" s="87"/>
      <c r="AL718" s="87"/>
      <c r="AM718" s="87"/>
      <c r="AN718" s="87"/>
      <c r="AO718" s="87"/>
      <c r="AP718" s="87"/>
      <c r="AQ718" s="87"/>
      <c r="AR718" s="87"/>
      <c r="AS718" s="87"/>
      <c r="AT718" s="87"/>
      <c r="AU718" s="87"/>
      <c r="AV718" s="92" t="str">
        <f>HYPERLINK("https://pbs.twimg.com/profile_images/1696840647267762176/M4zK_DHY_normal.jpg")</f>
        <v>https://pbs.twimg.com/profile_images/1696840647267762176/M4zK_DHY_normal.jpg</v>
      </c>
      <c r="AW718" s="93" t="s">
        <v>18966</v>
      </c>
      <c r="AX718" s="93" t="s">
        <v>18966</v>
      </c>
      <c r="AY718" s="87"/>
      <c r="AZ718" s="93" t="s">
        <v>22668</v>
      </c>
      <c r="BA718" s="93" t="s">
        <v>22668</v>
      </c>
      <c r="BB718" s="93" t="s">
        <v>22668</v>
      </c>
      <c r="BC718" s="93" t="s">
        <v>18966</v>
      </c>
      <c r="BD718" s="93" t="s">
        <v>22945</v>
      </c>
      <c r="BE718" s="87"/>
      <c r="BF718" s="87"/>
      <c r="BG718" s="87"/>
      <c r="BH718" s="87"/>
      <c r="BI718" s="87"/>
    </row>
    <row r="719" spans="1:61" x14ac:dyDescent="0.25">
      <c r="A719" s="63" t="s">
        <v>478</v>
      </c>
      <c r="B719" s="63" t="s">
        <v>478</v>
      </c>
      <c r="C719" s="64"/>
      <c r="D719" s="65"/>
      <c r="E719" s="66"/>
      <c r="F719" s="67"/>
      <c r="G719" s="64"/>
      <c r="H719" s="68"/>
      <c r="I719" s="69"/>
      <c r="J719" s="69"/>
      <c r="K719" s="32"/>
      <c r="L719" s="76">
        <v>719</v>
      </c>
      <c r="M719" s="76"/>
      <c r="N719" s="71"/>
      <c r="O719" s="87" t="s">
        <v>179</v>
      </c>
      <c r="P719" s="90">
        <v>45135.882835648146</v>
      </c>
      <c r="Q719" s="87" t="s">
        <v>2544</v>
      </c>
      <c r="R719" s="87">
        <v>0</v>
      </c>
      <c r="S719" s="87">
        <v>0</v>
      </c>
      <c r="T719" s="87">
        <v>0</v>
      </c>
      <c r="U719" s="87">
        <v>0</v>
      </c>
      <c r="V719" s="87">
        <v>24</v>
      </c>
      <c r="W719" s="93" t="s">
        <v>6347</v>
      </c>
      <c r="X719" s="92" t="str">
        <f>HYPERLINK("https://amzn.to/3rVVtVO")</f>
        <v>https://amzn.to/3rVVtVO</v>
      </c>
      <c r="Y719" s="87" t="s">
        <v>8415</v>
      </c>
      <c r="Z719" s="87"/>
      <c r="AA719" s="87"/>
      <c r="AB719" s="87"/>
      <c r="AC719" s="93" t="s">
        <v>11457</v>
      </c>
      <c r="AD719" s="87" t="s">
        <v>11519</v>
      </c>
      <c r="AE719" s="92" t="str">
        <f>HYPERLINK("https://twitter.com/kaua_da027/status/1685035219739398146")</f>
        <v>https://twitter.com/kaua_da027/status/1685035219739398146</v>
      </c>
      <c r="AF719" s="90">
        <v>45135.882835648146</v>
      </c>
      <c r="AG719" s="99">
        <v>45135</v>
      </c>
      <c r="AH719" s="93" t="s">
        <v>12208</v>
      </c>
      <c r="AI719" s="87" t="b">
        <v>0</v>
      </c>
      <c r="AJ719" s="87"/>
      <c r="AK719" s="87"/>
      <c r="AL719" s="87"/>
      <c r="AM719" s="87"/>
      <c r="AN719" s="87"/>
      <c r="AO719" s="87"/>
      <c r="AP719" s="87"/>
      <c r="AQ719" s="87"/>
      <c r="AR719" s="87"/>
      <c r="AS719" s="87"/>
      <c r="AT719" s="87"/>
      <c r="AU719" s="87"/>
      <c r="AV719" s="92" t="str">
        <f>HYPERLINK("https://pbs.twimg.com/profile_images/1698055382478798848/ihyjC5-K_normal.jpg")</f>
        <v>https://pbs.twimg.com/profile_images/1698055382478798848/ihyjC5-K_normal.jpg</v>
      </c>
      <c r="AW719" s="93" t="s">
        <v>18967</v>
      </c>
      <c r="AX719" s="93" t="s">
        <v>18967</v>
      </c>
      <c r="AY719" s="87"/>
      <c r="AZ719" s="93" t="s">
        <v>22668</v>
      </c>
      <c r="BA719" s="93" t="s">
        <v>22668</v>
      </c>
      <c r="BB719" s="93" t="s">
        <v>22668</v>
      </c>
      <c r="BC719" s="93" t="s">
        <v>18967</v>
      </c>
      <c r="BD719" s="93" t="s">
        <v>22946</v>
      </c>
      <c r="BE719" s="87"/>
      <c r="BF719" s="87"/>
      <c r="BG719" s="87"/>
      <c r="BH719" s="87"/>
      <c r="BI719" s="87"/>
    </row>
    <row r="720" spans="1:61" x14ac:dyDescent="0.25">
      <c r="A720" s="63" t="s">
        <v>479</v>
      </c>
      <c r="B720" s="63" t="s">
        <v>1642</v>
      </c>
      <c r="C720" s="64"/>
      <c r="D720" s="65"/>
      <c r="E720" s="66"/>
      <c r="F720" s="67"/>
      <c r="G720" s="64"/>
      <c r="H720" s="68"/>
      <c r="I720" s="69"/>
      <c r="J720" s="69"/>
      <c r="K720" s="32"/>
      <c r="L720" s="76">
        <v>720</v>
      </c>
      <c r="M720" s="76"/>
      <c r="N720" s="71"/>
      <c r="O720" s="87" t="s">
        <v>1840</v>
      </c>
      <c r="P720" s="90">
        <v>45154.619849537034</v>
      </c>
      <c r="Q720" s="87" t="s">
        <v>2545</v>
      </c>
      <c r="R720" s="87">
        <v>0</v>
      </c>
      <c r="S720" s="87">
        <v>8</v>
      </c>
      <c r="T720" s="87">
        <v>1</v>
      </c>
      <c r="U720" s="87">
        <v>0</v>
      </c>
      <c r="V720" s="87">
        <v>107</v>
      </c>
      <c r="W720" s="93" t="s">
        <v>6348</v>
      </c>
      <c r="X720" s="87"/>
      <c r="Y720" s="87"/>
      <c r="Z720" s="87" t="s">
        <v>1642</v>
      </c>
      <c r="AA720" s="87"/>
      <c r="AB720" s="87"/>
      <c r="AC720" s="93" t="s">
        <v>11459</v>
      </c>
      <c r="AD720" s="87" t="s">
        <v>11519</v>
      </c>
      <c r="AE720" s="92" t="str">
        <f>HYPERLINK("https://twitter.com/dantao__lindao/status/1691825285685973215")</f>
        <v>https://twitter.com/dantao__lindao/status/1691825285685973215</v>
      </c>
      <c r="AF720" s="90">
        <v>45154.619849537034</v>
      </c>
      <c r="AG720" s="99">
        <v>45154</v>
      </c>
      <c r="AH720" s="93" t="s">
        <v>12209</v>
      </c>
      <c r="AI720" s="87"/>
      <c r="AJ720" s="87"/>
      <c r="AK720" s="87"/>
      <c r="AL720" s="87"/>
      <c r="AM720" s="87"/>
      <c r="AN720" s="87"/>
      <c r="AO720" s="87"/>
      <c r="AP720" s="87"/>
      <c r="AQ720" s="87"/>
      <c r="AR720" s="87"/>
      <c r="AS720" s="87"/>
      <c r="AT720" s="87"/>
      <c r="AU720" s="87"/>
      <c r="AV720" s="92" t="str">
        <f>HYPERLINK("https://pbs.twimg.com/profile_images/1690834011009036289/8JoHLb06_normal.jpg")</f>
        <v>https://pbs.twimg.com/profile_images/1690834011009036289/8JoHLb06_normal.jpg</v>
      </c>
      <c r="AW720" s="93" t="s">
        <v>18968</v>
      </c>
      <c r="AX720" s="93" t="s">
        <v>22323</v>
      </c>
      <c r="AY720" s="93" t="s">
        <v>22532</v>
      </c>
      <c r="AZ720" s="93" t="s">
        <v>22323</v>
      </c>
      <c r="BA720" s="93" t="s">
        <v>22668</v>
      </c>
      <c r="BB720" s="93" t="s">
        <v>22668</v>
      </c>
      <c r="BC720" s="93" t="s">
        <v>22323</v>
      </c>
      <c r="BD720" s="93" t="s">
        <v>22947</v>
      </c>
      <c r="BE720" s="87"/>
      <c r="BF720" s="87"/>
      <c r="BG720" s="87"/>
      <c r="BH720" s="87"/>
      <c r="BI720" s="87"/>
    </row>
    <row r="721" spans="1:61" x14ac:dyDescent="0.25">
      <c r="A721" s="63" t="s">
        <v>480</v>
      </c>
      <c r="B721" s="63" t="s">
        <v>1624</v>
      </c>
      <c r="C721" s="64"/>
      <c r="D721" s="65"/>
      <c r="E721" s="66"/>
      <c r="F721" s="67"/>
      <c r="G721" s="64"/>
      <c r="H721" s="68"/>
      <c r="I721" s="69"/>
      <c r="J721" s="69"/>
      <c r="K721" s="32"/>
      <c r="L721" s="76">
        <v>721</v>
      </c>
      <c r="M721" s="76"/>
      <c r="N721" s="71"/>
      <c r="O721" s="87" t="s">
        <v>1839</v>
      </c>
      <c r="P721" s="90">
        <v>45155.960046296299</v>
      </c>
      <c r="Q721" s="87" t="s">
        <v>2546</v>
      </c>
      <c r="R721" s="87">
        <v>0</v>
      </c>
      <c r="S721" s="87">
        <v>0</v>
      </c>
      <c r="T721" s="87">
        <v>0</v>
      </c>
      <c r="U721" s="87">
        <v>0</v>
      </c>
      <c r="V721" s="87">
        <v>23</v>
      </c>
      <c r="W721" s="93" t="s">
        <v>6349</v>
      </c>
      <c r="X721" s="92" t="str">
        <f>HYPERLINK("https://youtube.com/shorts/RMINC7LsIKY?feature=share")</f>
        <v>https://youtube.com/shorts/RMINC7LsIKY?feature=share</v>
      </c>
      <c r="Y721" s="87" t="s">
        <v>8380</v>
      </c>
      <c r="Z721" s="87" t="s">
        <v>1624</v>
      </c>
      <c r="AA721" s="87"/>
      <c r="AB721" s="87"/>
      <c r="AC721" s="93" t="s">
        <v>11457</v>
      </c>
      <c r="AD721" s="87" t="s">
        <v>11518</v>
      </c>
      <c r="AE721" s="92" t="str">
        <f>HYPERLINK("https://twitter.com/chatprivado_/status/1692310959308579100")</f>
        <v>https://twitter.com/chatprivado_/status/1692310959308579100</v>
      </c>
      <c r="AF721" s="90">
        <v>45155.960046296299</v>
      </c>
      <c r="AG721" s="99">
        <v>45155</v>
      </c>
      <c r="AH721" s="93" t="s">
        <v>12210</v>
      </c>
      <c r="AI721" s="87" t="b">
        <v>0</v>
      </c>
      <c r="AJ721" s="87"/>
      <c r="AK721" s="87"/>
      <c r="AL721" s="87"/>
      <c r="AM721" s="87"/>
      <c r="AN721" s="87"/>
      <c r="AO721" s="87"/>
      <c r="AP721" s="87"/>
      <c r="AQ721" s="87"/>
      <c r="AR721" s="87"/>
      <c r="AS721" s="87"/>
      <c r="AT721" s="87"/>
      <c r="AU721" s="87"/>
      <c r="AV721" s="92" t="str">
        <f>HYPERLINK("https://pbs.twimg.com/profile_images/1675901445655212041/ipSPe06M_normal.jpg")</f>
        <v>https://pbs.twimg.com/profile_images/1675901445655212041/ipSPe06M_normal.jpg</v>
      </c>
      <c r="AW721" s="93" t="s">
        <v>18969</v>
      </c>
      <c r="AX721" s="93" t="s">
        <v>18969</v>
      </c>
      <c r="AY721" s="87"/>
      <c r="AZ721" s="93" t="s">
        <v>22668</v>
      </c>
      <c r="BA721" s="93" t="s">
        <v>22668</v>
      </c>
      <c r="BB721" s="93" t="s">
        <v>22668</v>
      </c>
      <c r="BC721" s="93" t="s">
        <v>18969</v>
      </c>
      <c r="BD721" s="93" t="s">
        <v>22948</v>
      </c>
      <c r="BE721" s="87"/>
      <c r="BF721" s="87"/>
      <c r="BG721" s="87"/>
      <c r="BH721" s="87"/>
      <c r="BI721" s="87"/>
    </row>
    <row r="722" spans="1:61" x14ac:dyDescent="0.25">
      <c r="A722" s="63" t="s">
        <v>481</v>
      </c>
      <c r="B722" s="63" t="s">
        <v>481</v>
      </c>
      <c r="C722" s="64"/>
      <c r="D722" s="65"/>
      <c r="E722" s="66"/>
      <c r="F722" s="67"/>
      <c r="G722" s="64"/>
      <c r="H722" s="68"/>
      <c r="I722" s="69"/>
      <c r="J722" s="69"/>
      <c r="K722" s="32"/>
      <c r="L722" s="76">
        <v>722</v>
      </c>
      <c r="M722" s="76"/>
      <c r="N722" s="71"/>
      <c r="O722" s="87" t="s">
        <v>179</v>
      </c>
      <c r="P722" s="90">
        <v>45190.113495370373</v>
      </c>
      <c r="Q722" s="87" t="s">
        <v>2547</v>
      </c>
      <c r="R722" s="87">
        <v>0</v>
      </c>
      <c r="S722" s="87">
        <v>0</v>
      </c>
      <c r="T722" s="87">
        <v>0</v>
      </c>
      <c r="U722" s="87">
        <v>0</v>
      </c>
      <c r="V722" s="87">
        <v>26</v>
      </c>
      <c r="W722" s="93" t="s">
        <v>6350</v>
      </c>
      <c r="X722" s="87"/>
      <c r="Y722" s="87"/>
      <c r="Z722" s="87"/>
      <c r="AA722" s="87" t="s">
        <v>9082</v>
      </c>
      <c r="AB722" s="87" t="s">
        <v>11448</v>
      </c>
      <c r="AC722" s="93" t="s">
        <v>11459</v>
      </c>
      <c r="AD722" s="87" t="s">
        <v>11521</v>
      </c>
      <c r="AE722" s="92" t="str">
        <f>HYPERLINK("https://twitter.com/anderso89334776/status/1704687753311424877")</f>
        <v>https://twitter.com/anderso89334776/status/1704687753311424877</v>
      </c>
      <c r="AF722" s="90">
        <v>45190.113495370373</v>
      </c>
      <c r="AG722" s="99">
        <v>45190</v>
      </c>
      <c r="AH722" s="93" t="s">
        <v>12211</v>
      </c>
      <c r="AI722" s="87" t="b">
        <v>0</v>
      </c>
      <c r="AJ722" s="87" t="s">
        <v>15181</v>
      </c>
      <c r="AK722" s="87" t="s">
        <v>15234</v>
      </c>
      <c r="AL722" s="87" t="s">
        <v>15237</v>
      </c>
      <c r="AM722" s="87" t="s">
        <v>15252</v>
      </c>
      <c r="AN722" s="87" t="s">
        <v>15318</v>
      </c>
      <c r="AO722" s="87" t="s">
        <v>15384</v>
      </c>
      <c r="AP722" s="87" t="s">
        <v>15439</v>
      </c>
      <c r="AQ722" s="87" t="s">
        <v>15895</v>
      </c>
      <c r="AR722" s="87"/>
      <c r="AS722" s="87"/>
      <c r="AT722" s="87"/>
      <c r="AU722" s="87"/>
      <c r="AV722" s="92" t="str">
        <f>HYPERLINK("https://pbs.twimg.com/media/F6hEeiyWUAAf-YG.jpg")</f>
        <v>https://pbs.twimg.com/media/F6hEeiyWUAAf-YG.jpg</v>
      </c>
      <c r="AW722" s="93" t="s">
        <v>18970</v>
      </c>
      <c r="AX722" s="93" t="s">
        <v>18970</v>
      </c>
      <c r="AY722" s="87"/>
      <c r="AZ722" s="93" t="s">
        <v>22668</v>
      </c>
      <c r="BA722" s="93" t="s">
        <v>22668</v>
      </c>
      <c r="BB722" s="93" t="s">
        <v>22668</v>
      </c>
      <c r="BC722" s="93" t="s">
        <v>18970</v>
      </c>
      <c r="BD722" s="93" t="s">
        <v>22949</v>
      </c>
      <c r="BE722" s="87"/>
      <c r="BF722" s="87"/>
      <c r="BG722" s="87"/>
      <c r="BH722" s="87"/>
      <c r="BI722" s="87"/>
    </row>
    <row r="723" spans="1:61" x14ac:dyDescent="0.25">
      <c r="A723" s="63" t="s">
        <v>482</v>
      </c>
      <c r="B723" s="63" t="s">
        <v>482</v>
      </c>
      <c r="C723" s="64"/>
      <c r="D723" s="65"/>
      <c r="E723" s="66"/>
      <c r="F723" s="67"/>
      <c r="G723" s="64"/>
      <c r="H723" s="68"/>
      <c r="I723" s="69"/>
      <c r="J723" s="69"/>
      <c r="K723" s="32"/>
      <c r="L723" s="76">
        <v>723</v>
      </c>
      <c r="M723" s="76"/>
      <c r="N723" s="71"/>
      <c r="O723" s="87" t="s">
        <v>179</v>
      </c>
      <c r="P723" s="90">
        <v>45112.742418981485</v>
      </c>
      <c r="Q723" s="87" t="s">
        <v>2548</v>
      </c>
      <c r="R723" s="87">
        <v>0</v>
      </c>
      <c r="S723" s="87">
        <v>5</v>
      </c>
      <c r="T723" s="87">
        <v>0</v>
      </c>
      <c r="U723" s="87">
        <v>0</v>
      </c>
      <c r="V723" s="87">
        <v>268</v>
      </c>
      <c r="W723" s="93" t="s">
        <v>6351</v>
      </c>
      <c r="X723" s="92" t="str">
        <f>HYPERLINK("https://paraiba.pb.gov.br/noticias/joao-azevedo-prestigia-evento-2018lideres-em-movimento2019-do-sebrae-e-destaca-importancia-do-estimulo-ao-empreendedorismo")</f>
        <v>https://paraiba.pb.gov.br/noticias/joao-azevedo-prestigia-evento-2018lideres-em-movimento2019-do-sebrae-e-destaca-importancia-do-estimulo-ao-empreendedorismo</v>
      </c>
      <c r="Y723" s="87" t="s">
        <v>8392</v>
      </c>
      <c r="Z723" s="87"/>
      <c r="AA723" s="87" t="s">
        <v>9083</v>
      </c>
      <c r="AB723" s="87" t="s">
        <v>11448</v>
      </c>
      <c r="AC723" s="93" t="s">
        <v>11458</v>
      </c>
      <c r="AD723" s="87" t="s">
        <v>11519</v>
      </c>
      <c r="AE723" s="92" t="str">
        <f>HYPERLINK("https://twitter.com/govparaiba/status/1676649414104961024")</f>
        <v>https://twitter.com/govparaiba/status/1676649414104961024</v>
      </c>
      <c r="AF723" s="90">
        <v>45112.742418981485</v>
      </c>
      <c r="AG723" s="99">
        <v>45112</v>
      </c>
      <c r="AH723" s="93" t="s">
        <v>12212</v>
      </c>
      <c r="AI723" s="87" t="b">
        <v>0</v>
      </c>
      <c r="AJ723" s="87" t="s">
        <v>15182</v>
      </c>
      <c r="AK723" s="87" t="s">
        <v>15234</v>
      </c>
      <c r="AL723" s="87" t="s">
        <v>15237</v>
      </c>
      <c r="AM723" s="87" t="s">
        <v>15253</v>
      </c>
      <c r="AN723" s="87" t="s">
        <v>15319</v>
      </c>
      <c r="AO723" s="87" t="s">
        <v>15385</v>
      </c>
      <c r="AP723" s="87" t="s">
        <v>15437</v>
      </c>
      <c r="AQ723" s="87" t="s">
        <v>15896</v>
      </c>
      <c r="AR723" s="87"/>
      <c r="AS723" s="87"/>
      <c r="AT723" s="87"/>
      <c r="AU723" s="87"/>
      <c r="AV723" s="92" t="str">
        <f>HYPERLINK("https://pbs.twimg.com/media/F0SnwJLWIA4Ok6y.jpg")</f>
        <v>https://pbs.twimg.com/media/F0SnwJLWIA4Ok6y.jpg</v>
      </c>
      <c r="AW723" s="93" t="s">
        <v>18971</v>
      </c>
      <c r="AX723" s="93" t="s">
        <v>18971</v>
      </c>
      <c r="AY723" s="87"/>
      <c r="AZ723" s="93" t="s">
        <v>22668</v>
      </c>
      <c r="BA723" s="93" t="s">
        <v>22668</v>
      </c>
      <c r="BB723" s="93" t="s">
        <v>22668</v>
      </c>
      <c r="BC723" s="93" t="s">
        <v>18971</v>
      </c>
      <c r="BD723" s="87">
        <v>224661399</v>
      </c>
      <c r="BE723" s="87"/>
      <c r="BF723" s="87"/>
      <c r="BG723" s="87"/>
      <c r="BH723" s="87"/>
      <c r="BI723" s="87"/>
    </row>
    <row r="724" spans="1:61" x14ac:dyDescent="0.25">
      <c r="A724" s="63" t="s">
        <v>482</v>
      </c>
      <c r="B724" s="63" t="s">
        <v>482</v>
      </c>
      <c r="C724" s="64"/>
      <c r="D724" s="65"/>
      <c r="E724" s="66"/>
      <c r="F724" s="67"/>
      <c r="G724" s="64"/>
      <c r="H724" s="68"/>
      <c r="I724" s="69"/>
      <c r="J724" s="69"/>
      <c r="K724" s="32"/>
      <c r="L724" s="76">
        <v>724</v>
      </c>
      <c r="M724" s="76"/>
      <c r="N724" s="71"/>
      <c r="O724" s="87" t="s">
        <v>179</v>
      </c>
      <c r="P724" s="90">
        <v>45131.838229166664</v>
      </c>
      <c r="Q724" s="87" t="s">
        <v>2549</v>
      </c>
      <c r="R724" s="87">
        <v>0</v>
      </c>
      <c r="S724" s="87">
        <v>2</v>
      </c>
      <c r="T724" s="87">
        <v>0</v>
      </c>
      <c r="U724" s="87">
        <v>0</v>
      </c>
      <c r="V724" s="87">
        <v>252</v>
      </c>
      <c r="W724" s="93" t="s">
        <v>6351</v>
      </c>
      <c r="X724" s="92" t="str">
        <f>HYPERLINK("https://paraiba.pb.gov.br/noticias/edicao-2023-da-fenemp-e-lancada-em-remigio-e-municipio-sedia-evento-em-outubro")</f>
        <v>https://paraiba.pb.gov.br/noticias/edicao-2023-da-fenemp-e-lancada-em-remigio-e-municipio-sedia-evento-em-outubro</v>
      </c>
      <c r="Y724" s="87" t="s">
        <v>8392</v>
      </c>
      <c r="Z724" s="87"/>
      <c r="AA724" s="87" t="s">
        <v>9084</v>
      </c>
      <c r="AB724" s="87" t="s">
        <v>11448</v>
      </c>
      <c r="AC724" s="93" t="s">
        <v>11458</v>
      </c>
      <c r="AD724" s="87" t="s">
        <v>11519</v>
      </c>
      <c r="AE724" s="92" t="str">
        <f>HYPERLINK("https://twitter.com/govparaiba/status/1683569504171827202")</f>
        <v>https://twitter.com/govparaiba/status/1683569504171827202</v>
      </c>
      <c r="AF724" s="90">
        <v>45131.838229166664</v>
      </c>
      <c r="AG724" s="99">
        <v>45131</v>
      </c>
      <c r="AH724" s="93" t="s">
        <v>12213</v>
      </c>
      <c r="AI724" s="87" t="b">
        <v>0</v>
      </c>
      <c r="AJ724" s="87" t="s">
        <v>15182</v>
      </c>
      <c r="AK724" s="87" t="s">
        <v>15234</v>
      </c>
      <c r="AL724" s="87" t="s">
        <v>15237</v>
      </c>
      <c r="AM724" s="87" t="s">
        <v>15253</v>
      </c>
      <c r="AN724" s="87" t="s">
        <v>15319</v>
      </c>
      <c r="AO724" s="87" t="s">
        <v>15385</v>
      </c>
      <c r="AP724" s="87" t="s">
        <v>15437</v>
      </c>
      <c r="AQ724" s="87" t="s">
        <v>15897</v>
      </c>
      <c r="AR724" s="87"/>
      <c r="AS724" s="87"/>
      <c r="AT724" s="87"/>
      <c r="AU724" s="87"/>
      <c r="AV724" s="92" t="str">
        <f>HYPERLINK("https://pbs.twimg.com/media/F109iNuWIAIyUUF.jpg")</f>
        <v>https://pbs.twimg.com/media/F109iNuWIAIyUUF.jpg</v>
      </c>
      <c r="AW724" s="93" t="s">
        <v>18972</v>
      </c>
      <c r="AX724" s="93" t="s">
        <v>18972</v>
      </c>
      <c r="AY724" s="87"/>
      <c r="AZ724" s="93" t="s">
        <v>22668</v>
      </c>
      <c r="BA724" s="93" t="s">
        <v>22668</v>
      </c>
      <c r="BB724" s="93" t="s">
        <v>22668</v>
      </c>
      <c r="BC724" s="93" t="s">
        <v>18972</v>
      </c>
      <c r="BD724" s="87">
        <v>224661399</v>
      </c>
      <c r="BE724" s="87"/>
      <c r="BF724" s="87"/>
      <c r="BG724" s="87"/>
      <c r="BH724" s="87"/>
      <c r="BI724" s="87"/>
    </row>
    <row r="725" spans="1:61" x14ac:dyDescent="0.25">
      <c r="A725" s="63" t="s">
        <v>482</v>
      </c>
      <c r="B725" s="63" t="s">
        <v>482</v>
      </c>
      <c r="C725" s="64"/>
      <c r="D725" s="65"/>
      <c r="E725" s="66"/>
      <c r="F725" s="67"/>
      <c r="G725" s="64"/>
      <c r="H725" s="68"/>
      <c r="I725" s="69"/>
      <c r="J725" s="69"/>
      <c r="K725" s="32"/>
      <c r="L725" s="76">
        <v>725</v>
      </c>
      <c r="M725" s="76"/>
      <c r="N725" s="71"/>
      <c r="O725" s="87" t="s">
        <v>179</v>
      </c>
      <c r="P725" s="90">
        <v>45141.794444444444</v>
      </c>
      <c r="Q725" s="87" t="s">
        <v>2550</v>
      </c>
      <c r="R725" s="87">
        <v>0</v>
      </c>
      <c r="S725" s="87">
        <v>5</v>
      </c>
      <c r="T725" s="87">
        <v>1</v>
      </c>
      <c r="U725" s="87">
        <v>0</v>
      </c>
      <c r="V725" s="87">
        <v>319</v>
      </c>
      <c r="W725" s="93" t="s">
        <v>6351</v>
      </c>
      <c r="X725" s="87"/>
      <c r="Y725" s="87"/>
      <c r="Z725" s="87"/>
      <c r="AA725" s="87" t="s">
        <v>9085</v>
      </c>
      <c r="AB725" s="87" t="s">
        <v>11448</v>
      </c>
      <c r="AC725" s="93" t="s">
        <v>11458</v>
      </c>
      <c r="AD725" s="87" t="s">
        <v>11519</v>
      </c>
      <c r="AE725" s="92" t="str">
        <f>HYPERLINK("https://twitter.com/govparaiba/status/1687177515905724417")</f>
        <v>https://twitter.com/govparaiba/status/1687177515905724417</v>
      </c>
      <c r="AF725" s="90">
        <v>45141.794444444444</v>
      </c>
      <c r="AG725" s="99">
        <v>45141</v>
      </c>
      <c r="AH725" s="93" t="s">
        <v>12214</v>
      </c>
      <c r="AI725" s="87" t="b">
        <v>0</v>
      </c>
      <c r="AJ725" s="87" t="s">
        <v>15183</v>
      </c>
      <c r="AK725" s="87" t="s">
        <v>15234</v>
      </c>
      <c r="AL725" s="87" t="s">
        <v>15237</v>
      </c>
      <c r="AM725" s="87" t="s">
        <v>15254</v>
      </c>
      <c r="AN725" s="87" t="s">
        <v>15320</v>
      </c>
      <c r="AO725" s="87" t="s">
        <v>15386</v>
      </c>
      <c r="AP725" s="87" t="s">
        <v>15438</v>
      </c>
      <c r="AQ725" s="87" t="s">
        <v>15898</v>
      </c>
      <c r="AR725" s="87"/>
      <c r="AS725" s="87"/>
      <c r="AT725" s="87"/>
      <c r="AU725" s="87"/>
      <c r="AV725" s="92" t="str">
        <f>HYPERLINK("https://pbs.twimg.com/media/F2oPAOLXIAEb0Tp.jpg")</f>
        <v>https://pbs.twimg.com/media/F2oPAOLXIAEb0Tp.jpg</v>
      </c>
      <c r="AW725" s="93" t="s">
        <v>18973</v>
      </c>
      <c r="AX725" s="93" t="s">
        <v>18973</v>
      </c>
      <c r="AY725" s="87"/>
      <c r="AZ725" s="93" t="s">
        <v>22668</v>
      </c>
      <c r="BA725" s="93" t="s">
        <v>22668</v>
      </c>
      <c r="BB725" s="93" t="s">
        <v>22668</v>
      </c>
      <c r="BC725" s="93" t="s">
        <v>18973</v>
      </c>
      <c r="BD725" s="87">
        <v>224661399</v>
      </c>
      <c r="BE725" s="87"/>
      <c r="BF725" s="87"/>
      <c r="BG725" s="87"/>
      <c r="BH725" s="87"/>
      <c r="BI725" s="87"/>
    </row>
    <row r="726" spans="1:61" x14ac:dyDescent="0.25">
      <c r="A726" s="63" t="s">
        <v>483</v>
      </c>
      <c r="B726" s="63" t="s">
        <v>483</v>
      </c>
      <c r="C726" s="64"/>
      <c r="D726" s="65"/>
      <c r="E726" s="66"/>
      <c r="F726" s="67"/>
      <c r="G726" s="64"/>
      <c r="H726" s="68"/>
      <c r="I726" s="69"/>
      <c r="J726" s="69"/>
      <c r="K726" s="32"/>
      <c r="L726" s="76">
        <v>726</v>
      </c>
      <c r="M726" s="76"/>
      <c r="N726" s="71"/>
      <c r="O726" s="87" t="s">
        <v>179</v>
      </c>
      <c r="P726" s="90">
        <v>45125.542233796295</v>
      </c>
      <c r="Q726" s="87" t="s">
        <v>2551</v>
      </c>
      <c r="R726" s="87">
        <v>0</v>
      </c>
      <c r="S726" s="87">
        <v>0</v>
      </c>
      <c r="T726" s="87">
        <v>0</v>
      </c>
      <c r="U726" s="87">
        <v>0</v>
      </c>
      <c r="V726" s="87">
        <v>5</v>
      </c>
      <c r="W726" s="93" t="s">
        <v>6352</v>
      </c>
      <c r="X726" s="92" t="str">
        <f>HYPERLINK("https://syscoin.com.br/2023/07/18/usando-graficos-paisagem-economica-de-pequenas-empresas-dos-eua-em-2023/")</f>
        <v>https://syscoin.com.br/2023/07/18/usando-graficos-paisagem-economica-de-pequenas-empresas-dos-eua-em-2023/</v>
      </c>
      <c r="Y726" s="87" t="s">
        <v>8373</v>
      </c>
      <c r="Z726" s="87"/>
      <c r="AA726" s="87"/>
      <c r="AB726" s="87"/>
      <c r="AC726" s="93" t="s">
        <v>11476</v>
      </c>
      <c r="AD726" s="87" t="s">
        <v>11519</v>
      </c>
      <c r="AE726" s="92" t="str">
        <f>HYPERLINK("https://twitter.com/syscoin_space/status/1681287911327641600")</f>
        <v>https://twitter.com/syscoin_space/status/1681287911327641600</v>
      </c>
      <c r="AF726" s="90">
        <v>45125.542233796295</v>
      </c>
      <c r="AG726" s="99">
        <v>45125</v>
      </c>
      <c r="AH726" s="93" t="s">
        <v>12215</v>
      </c>
      <c r="AI726" s="87" t="b">
        <v>0</v>
      </c>
      <c r="AJ726" s="87"/>
      <c r="AK726" s="87"/>
      <c r="AL726" s="87"/>
      <c r="AM726" s="87"/>
      <c r="AN726" s="87"/>
      <c r="AO726" s="87"/>
      <c r="AP726" s="87"/>
      <c r="AQ726" s="87"/>
      <c r="AR726" s="87"/>
      <c r="AS726" s="87"/>
      <c r="AT726" s="87"/>
      <c r="AU726" s="87"/>
      <c r="AV726" s="92" t="str">
        <f>HYPERLINK("https://pbs.twimg.com/profile_images/1675193204147191808/miOjW1tY_normal.jpg")</f>
        <v>https://pbs.twimg.com/profile_images/1675193204147191808/miOjW1tY_normal.jpg</v>
      </c>
      <c r="AW726" s="93" t="s">
        <v>18974</v>
      </c>
      <c r="AX726" s="93" t="s">
        <v>18974</v>
      </c>
      <c r="AY726" s="87"/>
      <c r="AZ726" s="93" t="s">
        <v>22668</v>
      </c>
      <c r="BA726" s="93" t="s">
        <v>22668</v>
      </c>
      <c r="BB726" s="93" t="s">
        <v>22668</v>
      </c>
      <c r="BC726" s="93" t="s">
        <v>18974</v>
      </c>
      <c r="BD726" s="93" t="s">
        <v>22950</v>
      </c>
      <c r="BE726" s="87"/>
      <c r="BF726" s="87"/>
      <c r="BG726" s="87"/>
      <c r="BH726" s="87"/>
      <c r="BI726" s="87"/>
    </row>
    <row r="727" spans="1:61" x14ac:dyDescent="0.25">
      <c r="A727" s="63" t="s">
        <v>484</v>
      </c>
      <c r="B727" s="63" t="s">
        <v>484</v>
      </c>
      <c r="C727" s="64"/>
      <c r="D727" s="65"/>
      <c r="E727" s="66"/>
      <c r="F727" s="67"/>
      <c r="G727" s="64"/>
      <c r="H727" s="68"/>
      <c r="I727" s="69"/>
      <c r="J727" s="69"/>
      <c r="K727" s="32"/>
      <c r="L727" s="76">
        <v>727</v>
      </c>
      <c r="M727" s="76"/>
      <c r="N727" s="71"/>
      <c r="O727" s="87" t="s">
        <v>179</v>
      </c>
      <c r="P727" s="90">
        <v>45150.4841087963</v>
      </c>
      <c r="Q727" s="87" t="s">
        <v>2552</v>
      </c>
      <c r="R727" s="87">
        <v>0</v>
      </c>
      <c r="S727" s="87">
        <v>0</v>
      </c>
      <c r="T727" s="87">
        <v>0</v>
      </c>
      <c r="U727" s="87">
        <v>0</v>
      </c>
      <c r="V727" s="87">
        <v>6</v>
      </c>
      <c r="W727" s="93" t="s">
        <v>6353</v>
      </c>
      <c r="X727" s="87"/>
      <c r="Y727" s="87"/>
      <c r="Z727" s="87"/>
      <c r="AA727" s="87" t="s">
        <v>9086</v>
      </c>
      <c r="AB727" s="87" t="s">
        <v>11450</v>
      </c>
      <c r="AC727" s="93" t="s">
        <v>11458</v>
      </c>
      <c r="AD727" s="87" t="s">
        <v>11520</v>
      </c>
      <c r="AE727" s="92" t="str">
        <f>HYPERLINK("https://twitter.com/ewertonkleber5/status/1690326544558731264")</f>
        <v>https://twitter.com/ewertonkleber5/status/1690326544558731264</v>
      </c>
      <c r="AF727" s="90">
        <v>45150.4841087963</v>
      </c>
      <c r="AG727" s="99">
        <v>45150</v>
      </c>
      <c r="AH727" s="93" t="s">
        <v>12216</v>
      </c>
      <c r="AI727" s="87" t="b">
        <v>0</v>
      </c>
      <c r="AJ727" s="87"/>
      <c r="AK727" s="87"/>
      <c r="AL727" s="87"/>
      <c r="AM727" s="87"/>
      <c r="AN727" s="87"/>
      <c r="AO727" s="87"/>
      <c r="AP727" s="87"/>
      <c r="AQ727" s="87" t="s">
        <v>15899</v>
      </c>
      <c r="AR727" s="87"/>
      <c r="AS727" s="87"/>
      <c r="AT727" s="87"/>
      <c r="AU727" s="87"/>
      <c r="AV727" s="92" t="str">
        <f>HYPERLINK("https://pbs.twimg.com/media/F3U_B-PXUAASIcJ.jpg")</f>
        <v>https://pbs.twimg.com/media/F3U_B-PXUAASIcJ.jpg</v>
      </c>
      <c r="AW727" s="93" t="s">
        <v>18975</v>
      </c>
      <c r="AX727" s="93" t="s">
        <v>18975</v>
      </c>
      <c r="AY727" s="87"/>
      <c r="AZ727" s="93" t="s">
        <v>22668</v>
      </c>
      <c r="BA727" s="93" t="s">
        <v>22668</v>
      </c>
      <c r="BB727" s="93" t="s">
        <v>22668</v>
      </c>
      <c r="BC727" s="93" t="s">
        <v>18975</v>
      </c>
      <c r="BD727" s="93" t="s">
        <v>22951</v>
      </c>
      <c r="BE727" s="87"/>
      <c r="BF727" s="87"/>
      <c r="BG727" s="87"/>
      <c r="BH727" s="87"/>
      <c r="BI727" s="87"/>
    </row>
    <row r="728" spans="1:61" x14ac:dyDescent="0.25">
      <c r="A728" s="63" t="s">
        <v>485</v>
      </c>
      <c r="B728" s="63" t="s">
        <v>485</v>
      </c>
      <c r="C728" s="64"/>
      <c r="D728" s="65"/>
      <c r="E728" s="66"/>
      <c r="F728" s="67"/>
      <c r="G728" s="64"/>
      <c r="H728" s="68"/>
      <c r="I728" s="69"/>
      <c r="J728" s="69"/>
      <c r="K728" s="32"/>
      <c r="L728" s="76">
        <v>728</v>
      </c>
      <c r="M728" s="76"/>
      <c r="N728" s="71"/>
      <c r="O728" s="87" t="s">
        <v>179</v>
      </c>
      <c r="P728" s="90">
        <v>45142.899456018517</v>
      </c>
      <c r="Q728" s="87" t="s">
        <v>2553</v>
      </c>
      <c r="R728" s="87">
        <v>0</v>
      </c>
      <c r="S728" s="87">
        <v>2</v>
      </c>
      <c r="T728" s="87">
        <v>0</v>
      </c>
      <c r="U728" s="87">
        <v>0</v>
      </c>
      <c r="V728" s="87">
        <v>6</v>
      </c>
      <c r="W728" s="93" t="s">
        <v>6354</v>
      </c>
      <c r="X728" s="87"/>
      <c r="Y728" s="87"/>
      <c r="Z728" s="87"/>
      <c r="AA728" s="87" t="s">
        <v>9087</v>
      </c>
      <c r="AB728" s="87" t="s">
        <v>11448</v>
      </c>
      <c r="AC728" s="93" t="s">
        <v>11459</v>
      </c>
      <c r="AD728" s="87" t="s">
        <v>11519</v>
      </c>
      <c r="AE728" s="92" t="str">
        <f>HYPERLINK("https://twitter.com/cryptoherobr/status/1687577956711895040")</f>
        <v>https://twitter.com/cryptoherobr/status/1687577956711895040</v>
      </c>
      <c r="AF728" s="90">
        <v>45142.899456018517</v>
      </c>
      <c r="AG728" s="99">
        <v>45142</v>
      </c>
      <c r="AH728" s="93" t="s">
        <v>12217</v>
      </c>
      <c r="AI728" s="87" t="b">
        <v>0</v>
      </c>
      <c r="AJ728" s="87"/>
      <c r="AK728" s="87"/>
      <c r="AL728" s="87"/>
      <c r="AM728" s="87"/>
      <c r="AN728" s="87"/>
      <c r="AO728" s="87"/>
      <c r="AP728" s="87"/>
      <c r="AQ728" s="87" t="s">
        <v>15900</v>
      </c>
      <c r="AR728" s="87"/>
      <c r="AS728" s="87"/>
      <c r="AT728" s="87"/>
      <c r="AU728" s="87"/>
      <c r="AV728" s="92" t="str">
        <f>HYPERLINK("https://pbs.twimg.com/media/F2t7MyjWQAAXprU.jpg")</f>
        <v>https://pbs.twimg.com/media/F2t7MyjWQAAXprU.jpg</v>
      </c>
      <c r="AW728" s="93" t="s">
        <v>18976</v>
      </c>
      <c r="AX728" s="93" t="s">
        <v>18976</v>
      </c>
      <c r="AY728" s="87"/>
      <c r="AZ728" s="93" t="s">
        <v>22668</v>
      </c>
      <c r="BA728" s="93" t="s">
        <v>22668</v>
      </c>
      <c r="BB728" s="93" t="s">
        <v>22668</v>
      </c>
      <c r="BC728" s="93" t="s">
        <v>18976</v>
      </c>
      <c r="BD728" s="93" t="s">
        <v>22952</v>
      </c>
      <c r="BE728" s="87"/>
      <c r="BF728" s="87"/>
      <c r="BG728" s="87"/>
      <c r="BH728" s="87"/>
      <c r="BI728" s="87"/>
    </row>
    <row r="729" spans="1:61" x14ac:dyDescent="0.25">
      <c r="A729" s="63" t="s">
        <v>486</v>
      </c>
      <c r="B729" s="63" t="s">
        <v>486</v>
      </c>
      <c r="C729" s="64"/>
      <c r="D729" s="65"/>
      <c r="E729" s="66"/>
      <c r="F729" s="67"/>
      <c r="G729" s="64"/>
      <c r="H729" s="68"/>
      <c r="I729" s="69"/>
      <c r="J729" s="69"/>
      <c r="K729" s="32"/>
      <c r="L729" s="76">
        <v>729</v>
      </c>
      <c r="M729" s="76"/>
      <c r="N729" s="71"/>
      <c r="O729" s="87" t="s">
        <v>179</v>
      </c>
      <c r="P729" s="90">
        <v>45147.605555555558</v>
      </c>
      <c r="Q729" s="87" t="s">
        <v>2554</v>
      </c>
      <c r="R729" s="87">
        <v>0</v>
      </c>
      <c r="S729" s="87">
        <v>1</v>
      </c>
      <c r="T729" s="87">
        <v>0</v>
      </c>
      <c r="U729" s="87">
        <v>0</v>
      </c>
      <c r="V729" s="87">
        <v>8</v>
      </c>
      <c r="W729" s="93" t="s">
        <v>6355</v>
      </c>
      <c r="X729" s="92" t="str">
        <f>HYPERLINK("http://www.negociosemterapia.com")</f>
        <v>http://www.negociosemterapia.com</v>
      </c>
      <c r="Y729" s="87" t="s">
        <v>8416</v>
      </c>
      <c r="Z729" s="87"/>
      <c r="AA729" s="87" t="s">
        <v>9088</v>
      </c>
      <c r="AB729" s="87" t="s">
        <v>11448</v>
      </c>
      <c r="AC729" s="93" t="s">
        <v>11457</v>
      </c>
      <c r="AD729" s="87" t="s">
        <v>11520</v>
      </c>
      <c r="AE729" s="92" t="str">
        <f>HYPERLINK("https://twitter.com/negociosterapia/status/1689283390598524928")</f>
        <v>https://twitter.com/negociosterapia/status/1689283390598524928</v>
      </c>
      <c r="AF729" s="90">
        <v>45147.605555555558</v>
      </c>
      <c r="AG729" s="99">
        <v>45147</v>
      </c>
      <c r="AH729" s="93" t="s">
        <v>12218</v>
      </c>
      <c r="AI729" s="87" t="b">
        <v>0</v>
      </c>
      <c r="AJ729" s="87"/>
      <c r="AK729" s="87"/>
      <c r="AL729" s="87"/>
      <c r="AM729" s="87"/>
      <c r="AN729" s="87"/>
      <c r="AO729" s="87"/>
      <c r="AP729" s="87"/>
      <c r="AQ729" s="87" t="s">
        <v>15901</v>
      </c>
      <c r="AR729" s="87"/>
      <c r="AS729" s="87"/>
      <c r="AT729" s="87"/>
      <c r="AU729" s="87"/>
      <c r="AV729" s="92" t="str">
        <f>HYPERLINK("https://pbs.twimg.com/media/F273CQOWoAA-ClR.jpg")</f>
        <v>https://pbs.twimg.com/media/F273CQOWoAA-ClR.jpg</v>
      </c>
      <c r="AW729" s="93" t="s">
        <v>18977</v>
      </c>
      <c r="AX729" s="93" t="s">
        <v>18977</v>
      </c>
      <c r="AY729" s="87"/>
      <c r="AZ729" s="93" t="s">
        <v>22668</v>
      </c>
      <c r="BA729" s="93" t="s">
        <v>22668</v>
      </c>
      <c r="BB729" s="93" t="s">
        <v>22668</v>
      </c>
      <c r="BC729" s="93" t="s">
        <v>18977</v>
      </c>
      <c r="BD729" s="93" t="s">
        <v>22953</v>
      </c>
      <c r="BE729" s="87"/>
      <c r="BF729" s="87"/>
      <c r="BG729" s="87"/>
      <c r="BH729" s="87"/>
      <c r="BI729" s="87"/>
    </row>
    <row r="730" spans="1:61" x14ac:dyDescent="0.25">
      <c r="A730" s="63" t="s">
        <v>487</v>
      </c>
      <c r="B730" s="63" t="s">
        <v>487</v>
      </c>
      <c r="C730" s="64"/>
      <c r="D730" s="65"/>
      <c r="E730" s="66"/>
      <c r="F730" s="67"/>
      <c r="G730" s="64"/>
      <c r="H730" s="68"/>
      <c r="I730" s="69"/>
      <c r="J730" s="69"/>
      <c r="K730" s="32"/>
      <c r="L730" s="76">
        <v>730</v>
      </c>
      <c r="M730" s="76"/>
      <c r="N730" s="71"/>
      <c r="O730" s="87" t="s">
        <v>179</v>
      </c>
      <c r="P730" s="90">
        <v>45125.81858796296</v>
      </c>
      <c r="Q730" s="87" t="s">
        <v>2555</v>
      </c>
      <c r="R730" s="87">
        <v>0</v>
      </c>
      <c r="S730" s="87">
        <v>2</v>
      </c>
      <c r="T730" s="87">
        <v>1</v>
      </c>
      <c r="U730" s="87">
        <v>0</v>
      </c>
      <c r="V730" s="87">
        <v>296</v>
      </c>
      <c r="W730" s="93" t="s">
        <v>6356</v>
      </c>
      <c r="X730" s="87"/>
      <c r="Y730" s="87"/>
      <c r="Z730" s="87"/>
      <c r="AA730" s="87" t="s">
        <v>9089</v>
      </c>
      <c r="AB730" s="87" t="s">
        <v>11447</v>
      </c>
      <c r="AC730" s="93" t="s">
        <v>11458</v>
      </c>
      <c r="AD730" s="87" t="s">
        <v>11519</v>
      </c>
      <c r="AE730" s="92" t="str">
        <f>HYPERLINK("https://twitter.com/semmassagem5/status/1681388059311341576")</f>
        <v>https://twitter.com/semmassagem5/status/1681388059311341576</v>
      </c>
      <c r="AF730" s="90">
        <v>45125.81858796296</v>
      </c>
      <c r="AG730" s="99">
        <v>45125</v>
      </c>
      <c r="AH730" s="93" t="s">
        <v>12219</v>
      </c>
      <c r="AI730" s="87" t="b">
        <v>0</v>
      </c>
      <c r="AJ730" s="87"/>
      <c r="AK730" s="87"/>
      <c r="AL730" s="87"/>
      <c r="AM730" s="87"/>
      <c r="AN730" s="87"/>
      <c r="AO730" s="87"/>
      <c r="AP730" s="87"/>
      <c r="AQ730" s="87" t="s">
        <v>15902</v>
      </c>
      <c r="AR730" s="87">
        <v>22466</v>
      </c>
      <c r="AS730" s="87"/>
      <c r="AT730" s="87"/>
      <c r="AU730" s="87"/>
      <c r="AV730" s="92" t="str">
        <f>HYPERLINK("https://pbs.twimg.com/ext_tw_video_thumb/1681388027765981186/pu/img/1tLgSfe1bbFgslCC.jpg")</f>
        <v>https://pbs.twimg.com/ext_tw_video_thumb/1681388027765981186/pu/img/1tLgSfe1bbFgslCC.jpg</v>
      </c>
      <c r="AW730" s="93" t="s">
        <v>18978</v>
      </c>
      <c r="AX730" s="93" t="s">
        <v>18978</v>
      </c>
      <c r="AY730" s="87"/>
      <c r="AZ730" s="93" t="s">
        <v>22668</v>
      </c>
      <c r="BA730" s="93" t="s">
        <v>22668</v>
      </c>
      <c r="BB730" s="93" t="s">
        <v>22668</v>
      </c>
      <c r="BC730" s="93" t="s">
        <v>18978</v>
      </c>
      <c r="BD730" s="93" t="s">
        <v>22954</v>
      </c>
      <c r="BE730" s="87"/>
      <c r="BF730" s="87"/>
      <c r="BG730" s="87"/>
      <c r="BH730" s="87"/>
      <c r="BI730" s="87"/>
    </row>
    <row r="731" spans="1:61" x14ac:dyDescent="0.25">
      <c r="A731" s="63" t="s">
        <v>488</v>
      </c>
      <c r="B731" s="63" t="s">
        <v>488</v>
      </c>
      <c r="C731" s="64"/>
      <c r="D731" s="65"/>
      <c r="E731" s="66"/>
      <c r="F731" s="67"/>
      <c r="G731" s="64"/>
      <c r="H731" s="68"/>
      <c r="I731" s="69"/>
      <c r="J731" s="69"/>
      <c r="K731" s="32"/>
      <c r="L731" s="76">
        <v>731</v>
      </c>
      <c r="M731" s="76"/>
      <c r="N731" s="71"/>
      <c r="O731" s="87" t="s">
        <v>179</v>
      </c>
      <c r="P731" s="90">
        <v>45167.678912037038</v>
      </c>
      <c r="Q731" s="87" t="s">
        <v>2556</v>
      </c>
      <c r="R731" s="87">
        <v>0</v>
      </c>
      <c r="S731" s="87">
        <v>0</v>
      </c>
      <c r="T731" s="87">
        <v>0</v>
      </c>
      <c r="U731" s="87">
        <v>0</v>
      </c>
      <c r="V731" s="87">
        <v>10</v>
      </c>
      <c r="W731" s="93" t="s">
        <v>6357</v>
      </c>
      <c r="X731" s="92" t="str">
        <f>HYPERLINK("https://brasil.perfil.com/politica/presidente-lula-diz-que-criara-ministerio-para-pequena-e-media-empresa.phtml")</f>
        <v>https://brasil.perfil.com/politica/presidente-lula-diz-que-criara-ministerio-para-pequena-e-media-empresa.phtml</v>
      </c>
      <c r="Y731" s="87" t="s">
        <v>8417</v>
      </c>
      <c r="Z731" s="87"/>
      <c r="AA731" s="87"/>
      <c r="AB731" s="87"/>
      <c r="AC731" s="93" t="s">
        <v>11457</v>
      </c>
      <c r="AD731" s="87" t="s">
        <v>11520</v>
      </c>
      <c r="AE731" s="92" t="str">
        <f>HYPERLINK("https://twitter.com/perfilcombrasil/status/1696557732810182921")</f>
        <v>https://twitter.com/perfilcombrasil/status/1696557732810182921</v>
      </c>
      <c r="AF731" s="90">
        <v>45167.678912037038</v>
      </c>
      <c r="AG731" s="99">
        <v>45167</v>
      </c>
      <c r="AH731" s="93" t="s">
        <v>12220</v>
      </c>
      <c r="AI731" s="87" t="b">
        <v>0</v>
      </c>
      <c r="AJ731" s="87"/>
      <c r="AK731" s="87"/>
      <c r="AL731" s="87"/>
      <c r="AM731" s="87"/>
      <c r="AN731" s="87"/>
      <c r="AO731" s="87"/>
      <c r="AP731" s="87"/>
      <c r="AQ731" s="87"/>
      <c r="AR731" s="87"/>
      <c r="AS731" s="87"/>
      <c r="AT731" s="87"/>
      <c r="AU731" s="87"/>
      <c r="AV731" s="92" t="str">
        <f>HYPERLINK("https://pbs.twimg.com/profile_images/1373348274288099328/X9OehZDj_normal.jpg")</f>
        <v>https://pbs.twimg.com/profile_images/1373348274288099328/X9OehZDj_normal.jpg</v>
      </c>
      <c r="AW731" s="93" t="s">
        <v>18979</v>
      </c>
      <c r="AX731" s="93" t="s">
        <v>18979</v>
      </c>
      <c r="AY731" s="87"/>
      <c r="AZ731" s="93" t="s">
        <v>22668</v>
      </c>
      <c r="BA731" s="93" t="s">
        <v>22668</v>
      </c>
      <c r="BB731" s="93" t="s">
        <v>22668</v>
      </c>
      <c r="BC731" s="93" t="s">
        <v>18979</v>
      </c>
      <c r="BD731" s="93" t="s">
        <v>22955</v>
      </c>
      <c r="BE731" s="87"/>
      <c r="BF731" s="87"/>
      <c r="BG731" s="87"/>
      <c r="BH731" s="87"/>
      <c r="BI731" s="87"/>
    </row>
    <row r="732" spans="1:61" x14ac:dyDescent="0.25">
      <c r="A732" s="63" t="s">
        <v>488</v>
      </c>
      <c r="B732" s="63" t="s">
        <v>488</v>
      </c>
      <c r="C732" s="64"/>
      <c r="D732" s="65"/>
      <c r="E732" s="66"/>
      <c r="F732" s="67"/>
      <c r="G732" s="64"/>
      <c r="H732" s="68"/>
      <c r="I732" s="69"/>
      <c r="J732" s="69"/>
      <c r="K732" s="32"/>
      <c r="L732" s="76">
        <v>732</v>
      </c>
      <c r="M732" s="76"/>
      <c r="N732" s="71"/>
      <c r="O732" s="87" t="s">
        <v>179</v>
      </c>
      <c r="P732" s="90">
        <v>45174.648240740738</v>
      </c>
      <c r="Q732" s="87" t="s">
        <v>2557</v>
      </c>
      <c r="R732" s="87">
        <v>0</v>
      </c>
      <c r="S732" s="87">
        <v>0</v>
      </c>
      <c r="T732" s="87">
        <v>0</v>
      </c>
      <c r="U732" s="87">
        <v>0</v>
      </c>
      <c r="V732" s="87">
        <v>6</v>
      </c>
      <c r="W732" s="93" t="s">
        <v>6358</v>
      </c>
      <c r="X732" s="92" t="str">
        <f>HYPERLINK("https://brasil.perfil.com/agronegocios/lei-institui-politica-de-empreendedorismo-para-jovens-no-campo.phtml")</f>
        <v>https://brasil.perfil.com/agronegocios/lei-institui-politica-de-empreendedorismo-para-jovens-no-campo.phtml</v>
      </c>
      <c r="Y732" s="87" t="s">
        <v>8417</v>
      </c>
      <c r="Z732" s="87"/>
      <c r="AA732" s="87"/>
      <c r="AB732" s="87"/>
      <c r="AC732" s="93" t="s">
        <v>11457</v>
      </c>
      <c r="AD732" s="87" t="s">
        <v>11520</v>
      </c>
      <c r="AE732" s="92" t="str">
        <f>HYPERLINK("https://twitter.com/perfilcombrasil/status/1699083331441209839")</f>
        <v>https://twitter.com/perfilcombrasil/status/1699083331441209839</v>
      </c>
      <c r="AF732" s="90">
        <v>45174.648240740738</v>
      </c>
      <c r="AG732" s="99">
        <v>45174</v>
      </c>
      <c r="AH732" s="93" t="s">
        <v>12221</v>
      </c>
      <c r="AI732" s="87" t="b">
        <v>0</v>
      </c>
      <c r="AJ732" s="87"/>
      <c r="AK732" s="87"/>
      <c r="AL732" s="87"/>
      <c r="AM732" s="87"/>
      <c r="AN732" s="87"/>
      <c r="AO732" s="87"/>
      <c r="AP732" s="87"/>
      <c r="AQ732" s="87"/>
      <c r="AR732" s="87"/>
      <c r="AS732" s="87"/>
      <c r="AT732" s="87"/>
      <c r="AU732" s="87"/>
      <c r="AV732" s="92" t="str">
        <f>HYPERLINK("https://pbs.twimg.com/profile_images/1373348274288099328/X9OehZDj_normal.jpg")</f>
        <v>https://pbs.twimg.com/profile_images/1373348274288099328/X9OehZDj_normal.jpg</v>
      </c>
      <c r="AW732" s="93" t="s">
        <v>18980</v>
      </c>
      <c r="AX732" s="93" t="s">
        <v>18980</v>
      </c>
      <c r="AY732" s="87"/>
      <c r="AZ732" s="93" t="s">
        <v>22668</v>
      </c>
      <c r="BA732" s="93" t="s">
        <v>22668</v>
      </c>
      <c r="BB732" s="93" t="s">
        <v>22668</v>
      </c>
      <c r="BC732" s="93" t="s">
        <v>18980</v>
      </c>
      <c r="BD732" s="93" t="s">
        <v>22955</v>
      </c>
      <c r="BE732" s="87"/>
      <c r="BF732" s="87"/>
      <c r="BG732" s="87"/>
      <c r="BH732" s="87"/>
      <c r="BI732" s="87"/>
    </row>
    <row r="733" spans="1:61" x14ac:dyDescent="0.25">
      <c r="A733" s="63" t="s">
        <v>489</v>
      </c>
      <c r="B733" s="63" t="s">
        <v>489</v>
      </c>
      <c r="C733" s="64"/>
      <c r="D733" s="65"/>
      <c r="E733" s="66"/>
      <c r="F733" s="67"/>
      <c r="G733" s="64"/>
      <c r="H733" s="68"/>
      <c r="I733" s="69"/>
      <c r="J733" s="69"/>
      <c r="K733" s="32"/>
      <c r="L733" s="76">
        <v>733</v>
      </c>
      <c r="M733" s="76"/>
      <c r="N733" s="71"/>
      <c r="O733" s="87" t="s">
        <v>179</v>
      </c>
      <c r="P733" s="90">
        <v>45131.563796296294</v>
      </c>
      <c r="Q733" s="87" t="s">
        <v>2558</v>
      </c>
      <c r="R733" s="87">
        <v>0</v>
      </c>
      <c r="S733" s="87">
        <v>0</v>
      </c>
      <c r="T733" s="87">
        <v>0</v>
      </c>
      <c r="U733" s="87">
        <v>0</v>
      </c>
      <c r="V733" s="87">
        <v>12</v>
      </c>
      <c r="W733" s="93" t="s">
        <v>6359</v>
      </c>
      <c r="X733" s="87"/>
      <c r="Y733" s="87"/>
      <c r="Z733" s="87"/>
      <c r="AA733" s="87" t="s">
        <v>9090</v>
      </c>
      <c r="AB733" s="87" t="s">
        <v>11448</v>
      </c>
      <c r="AC733" s="93" t="s">
        <v>11459</v>
      </c>
      <c r="AD733" s="87" t="s">
        <v>11519</v>
      </c>
      <c r="AE733" s="92" t="str">
        <f>HYPERLINK("https://twitter.com/jonamenezes/status/1683470051725172736")</f>
        <v>https://twitter.com/jonamenezes/status/1683470051725172736</v>
      </c>
      <c r="AF733" s="90">
        <v>45131.563796296294</v>
      </c>
      <c r="AG733" s="99">
        <v>45131</v>
      </c>
      <c r="AH733" s="93" t="s">
        <v>12222</v>
      </c>
      <c r="AI733" s="87" t="b">
        <v>0</v>
      </c>
      <c r="AJ733" s="87"/>
      <c r="AK733" s="87"/>
      <c r="AL733" s="87"/>
      <c r="AM733" s="87"/>
      <c r="AN733" s="87"/>
      <c r="AO733" s="87"/>
      <c r="AP733" s="87"/>
      <c r="AQ733" s="87" t="s">
        <v>15903</v>
      </c>
      <c r="AR733" s="87"/>
      <c r="AS733" s="87"/>
      <c r="AT733" s="87"/>
      <c r="AU733" s="87"/>
      <c r="AV733" s="92" t="str">
        <f>HYPERLINK("https://pbs.twimg.com/media/F1zjFsYWcAEId2D.jpg")</f>
        <v>https://pbs.twimg.com/media/F1zjFsYWcAEId2D.jpg</v>
      </c>
      <c r="AW733" s="93" t="s">
        <v>18981</v>
      </c>
      <c r="AX733" s="93" t="s">
        <v>18981</v>
      </c>
      <c r="AY733" s="87"/>
      <c r="AZ733" s="93" t="s">
        <v>22668</v>
      </c>
      <c r="BA733" s="93" t="s">
        <v>22668</v>
      </c>
      <c r="BB733" s="93" t="s">
        <v>22668</v>
      </c>
      <c r="BC733" s="93" t="s">
        <v>18981</v>
      </c>
      <c r="BD733" s="87">
        <v>2796243538</v>
      </c>
      <c r="BE733" s="87"/>
      <c r="BF733" s="87"/>
      <c r="BG733" s="87"/>
      <c r="BH733" s="87"/>
      <c r="BI733" s="87"/>
    </row>
    <row r="734" spans="1:61" x14ac:dyDescent="0.25">
      <c r="A734" s="63" t="s">
        <v>490</v>
      </c>
      <c r="B734" s="63" t="s">
        <v>490</v>
      </c>
      <c r="C734" s="64"/>
      <c r="D734" s="65"/>
      <c r="E734" s="66"/>
      <c r="F734" s="67"/>
      <c r="G734" s="64"/>
      <c r="H734" s="68"/>
      <c r="I734" s="69"/>
      <c r="J734" s="69"/>
      <c r="K734" s="32"/>
      <c r="L734" s="76">
        <v>734</v>
      </c>
      <c r="M734" s="76"/>
      <c r="N734" s="71"/>
      <c r="O734" s="87" t="s">
        <v>179</v>
      </c>
      <c r="P734" s="90">
        <v>45113.832870370374</v>
      </c>
      <c r="Q734" s="87" t="s">
        <v>2559</v>
      </c>
      <c r="R734" s="87">
        <v>0</v>
      </c>
      <c r="S734" s="87">
        <v>1</v>
      </c>
      <c r="T734" s="87">
        <v>0</v>
      </c>
      <c r="U734" s="87">
        <v>0</v>
      </c>
      <c r="V734" s="87">
        <v>65</v>
      </c>
      <c r="W734" s="93" t="s">
        <v>6360</v>
      </c>
      <c r="X734" s="87"/>
      <c r="Y734" s="87"/>
      <c r="Z734" s="87"/>
      <c r="AA734" s="87" t="s">
        <v>9091</v>
      </c>
      <c r="AB734" s="87" t="s">
        <v>11447</v>
      </c>
      <c r="AC734" s="93" t="s">
        <v>11459</v>
      </c>
      <c r="AD734" s="87" t="s">
        <v>11519</v>
      </c>
      <c r="AE734" s="92" t="str">
        <f>HYPERLINK("https://twitter.com/in9midia/status/1677044581240655873")</f>
        <v>https://twitter.com/in9midia/status/1677044581240655873</v>
      </c>
      <c r="AF734" s="90">
        <v>45113.832870370374</v>
      </c>
      <c r="AG734" s="99">
        <v>45113</v>
      </c>
      <c r="AH734" s="93" t="s">
        <v>12223</v>
      </c>
      <c r="AI734" s="87" t="b">
        <v>0</v>
      </c>
      <c r="AJ734" s="87"/>
      <c r="AK734" s="87"/>
      <c r="AL734" s="87"/>
      <c r="AM734" s="87"/>
      <c r="AN734" s="87"/>
      <c r="AO734" s="87"/>
      <c r="AP734" s="87"/>
      <c r="AQ734" s="87" t="s">
        <v>15904</v>
      </c>
      <c r="AR734" s="87">
        <v>24333</v>
      </c>
      <c r="AS734" s="87"/>
      <c r="AT734" s="87"/>
      <c r="AU734" s="87"/>
      <c r="AV734" s="92" t="str">
        <f>HYPERLINK("https://pbs.twimg.com/ext_tw_video_thumb/1677044540446765060/pu/img/4wTLxi7b5QdcB3Hp.jpg")</f>
        <v>https://pbs.twimg.com/ext_tw_video_thumb/1677044540446765060/pu/img/4wTLxi7b5QdcB3Hp.jpg</v>
      </c>
      <c r="AW734" s="93" t="s">
        <v>18982</v>
      </c>
      <c r="AX734" s="93" t="s">
        <v>18982</v>
      </c>
      <c r="AY734" s="87"/>
      <c r="AZ734" s="93" t="s">
        <v>22668</v>
      </c>
      <c r="BA734" s="93" t="s">
        <v>22668</v>
      </c>
      <c r="BB734" s="93" t="s">
        <v>22668</v>
      </c>
      <c r="BC734" s="93" t="s">
        <v>18982</v>
      </c>
      <c r="BD734" s="87">
        <v>225874467</v>
      </c>
      <c r="BE734" s="87"/>
      <c r="BF734" s="87"/>
      <c r="BG734" s="87"/>
      <c r="BH734" s="87"/>
      <c r="BI734" s="87"/>
    </row>
    <row r="735" spans="1:61" x14ac:dyDescent="0.25">
      <c r="A735" s="63" t="s">
        <v>491</v>
      </c>
      <c r="B735" s="63" t="s">
        <v>491</v>
      </c>
      <c r="C735" s="64"/>
      <c r="D735" s="65"/>
      <c r="E735" s="66"/>
      <c r="F735" s="67"/>
      <c r="G735" s="64"/>
      <c r="H735" s="68"/>
      <c r="I735" s="69"/>
      <c r="J735" s="69"/>
      <c r="K735" s="32"/>
      <c r="L735" s="76">
        <v>735</v>
      </c>
      <c r="M735" s="76"/>
      <c r="N735" s="71"/>
      <c r="O735" s="87" t="s">
        <v>179</v>
      </c>
      <c r="P735" s="90">
        <v>45142.019259259258</v>
      </c>
      <c r="Q735" s="87" t="s">
        <v>2560</v>
      </c>
      <c r="R735" s="87">
        <v>0</v>
      </c>
      <c r="S735" s="87">
        <v>1</v>
      </c>
      <c r="T735" s="87">
        <v>0</v>
      </c>
      <c r="U735" s="87">
        <v>0</v>
      </c>
      <c r="V735" s="87">
        <v>29</v>
      </c>
      <c r="W735" s="93" t="s">
        <v>6361</v>
      </c>
      <c r="X735" s="87"/>
      <c r="Y735" s="87"/>
      <c r="Z735" s="87"/>
      <c r="AA735" s="87" t="s">
        <v>9092</v>
      </c>
      <c r="AB735" s="87" t="s">
        <v>11447</v>
      </c>
      <c r="AC735" s="93" t="s">
        <v>11458</v>
      </c>
      <c r="AD735" s="87" t="s">
        <v>11519</v>
      </c>
      <c r="AE735" s="92" t="str">
        <f>HYPERLINK("https://twitter.com/tapasdonegao/status/1687258983818563584")</f>
        <v>https://twitter.com/tapasdonegao/status/1687258983818563584</v>
      </c>
      <c r="AF735" s="90">
        <v>45142.019259259258</v>
      </c>
      <c r="AG735" s="99">
        <v>45142</v>
      </c>
      <c r="AH735" s="93" t="s">
        <v>12224</v>
      </c>
      <c r="AI735" s="87" t="b">
        <v>0</v>
      </c>
      <c r="AJ735" s="87"/>
      <c r="AK735" s="87"/>
      <c r="AL735" s="87"/>
      <c r="AM735" s="87"/>
      <c r="AN735" s="87"/>
      <c r="AO735" s="87"/>
      <c r="AP735" s="87"/>
      <c r="AQ735" s="87" t="s">
        <v>15905</v>
      </c>
      <c r="AR735" s="87">
        <v>37833</v>
      </c>
      <c r="AS735" s="87"/>
      <c r="AT735" s="87"/>
      <c r="AU735" s="87"/>
      <c r="AV735" s="92" t="str">
        <f>HYPERLINK("https://pbs.twimg.com/ext_tw_video_thumb/1687258938096463872/pu/img/u-wIILBhBng7GMWI.jpg")</f>
        <v>https://pbs.twimg.com/ext_tw_video_thumb/1687258938096463872/pu/img/u-wIILBhBng7GMWI.jpg</v>
      </c>
      <c r="AW735" s="93" t="s">
        <v>18983</v>
      </c>
      <c r="AX735" s="93" t="s">
        <v>18983</v>
      </c>
      <c r="AY735" s="87"/>
      <c r="AZ735" s="93" t="s">
        <v>22668</v>
      </c>
      <c r="BA735" s="93" t="s">
        <v>22668</v>
      </c>
      <c r="BB735" s="93" t="s">
        <v>22668</v>
      </c>
      <c r="BC735" s="93" t="s">
        <v>18983</v>
      </c>
      <c r="BD735" s="93" t="s">
        <v>22956</v>
      </c>
      <c r="BE735" s="87"/>
      <c r="BF735" s="87"/>
      <c r="BG735" s="87"/>
      <c r="BH735" s="87"/>
      <c r="BI735" s="87"/>
    </row>
    <row r="736" spans="1:61" x14ac:dyDescent="0.25">
      <c r="A736" s="63" t="s">
        <v>492</v>
      </c>
      <c r="B736" s="63" t="s">
        <v>492</v>
      </c>
      <c r="C736" s="64"/>
      <c r="D736" s="65"/>
      <c r="E736" s="66"/>
      <c r="F736" s="67"/>
      <c r="G736" s="64"/>
      <c r="H736" s="68"/>
      <c r="I736" s="69"/>
      <c r="J736" s="69"/>
      <c r="K736" s="32"/>
      <c r="L736" s="76">
        <v>736</v>
      </c>
      <c r="M736" s="76"/>
      <c r="N736" s="71"/>
      <c r="O736" s="87" t="s">
        <v>179</v>
      </c>
      <c r="P736" s="90">
        <v>45154.681967592594</v>
      </c>
      <c r="Q736" s="87" t="s">
        <v>2561</v>
      </c>
      <c r="R736" s="87">
        <v>0</v>
      </c>
      <c r="S736" s="87">
        <v>1</v>
      </c>
      <c r="T736" s="87">
        <v>0</v>
      </c>
      <c r="U736" s="87">
        <v>0</v>
      </c>
      <c r="V736" s="87">
        <v>34</v>
      </c>
      <c r="W736" s="93" t="s">
        <v>6362</v>
      </c>
      <c r="X736" s="92" t="str">
        <f>HYPERLINK("https://i3d.me/Mini-Curso")</f>
        <v>https://i3d.me/Mini-Curso</v>
      </c>
      <c r="Y736" s="87" t="s">
        <v>8418</v>
      </c>
      <c r="Z736" s="87"/>
      <c r="AA736" s="87"/>
      <c r="AB736" s="87"/>
      <c r="AC736" s="93" t="s">
        <v>11459</v>
      </c>
      <c r="AD736" s="87" t="s">
        <v>11519</v>
      </c>
      <c r="AE736" s="92" t="str">
        <f>HYPERLINK("https://twitter.com/awkangelo/status/1691847798122008636")</f>
        <v>https://twitter.com/awkangelo/status/1691847798122008636</v>
      </c>
      <c r="AF736" s="90">
        <v>45154.681967592594</v>
      </c>
      <c r="AG736" s="99">
        <v>45154</v>
      </c>
      <c r="AH736" s="93" t="s">
        <v>12225</v>
      </c>
      <c r="AI736" s="87" t="b">
        <v>0</v>
      </c>
      <c r="AJ736" s="87"/>
      <c r="AK736" s="87"/>
      <c r="AL736" s="87"/>
      <c r="AM736" s="87"/>
      <c r="AN736" s="87"/>
      <c r="AO736" s="87"/>
      <c r="AP736" s="87"/>
      <c r="AQ736" s="87"/>
      <c r="AR736" s="87"/>
      <c r="AS736" s="87"/>
      <c r="AT736" s="87"/>
      <c r="AU736" s="87"/>
      <c r="AV736" s="92" t="str">
        <f>HYPERLINK("https://pbs.twimg.com/profile_images/1694313706518155264/Ie5upl1L_normal.jpg")</f>
        <v>https://pbs.twimg.com/profile_images/1694313706518155264/Ie5upl1L_normal.jpg</v>
      </c>
      <c r="AW736" s="93" t="s">
        <v>18984</v>
      </c>
      <c r="AX736" s="93" t="s">
        <v>18984</v>
      </c>
      <c r="AY736" s="87"/>
      <c r="AZ736" s="93" t="s">
        <v>22668</v>
      </c>
      <c r="BA736" s="93" t="s">
        <v>22668</v>
      </c>
      <c r="BB736" s="93" t="s">
        <v>22668</v>
      </c>
      <c r="BC736" s="93" t="s">
        <v>18984</v>
      </c>
      <c r="BD736" s="93" t="s">
        <v>22957</v>
      </c>
      <c r="BE736" s="87"/>
      <c r="BF736" s="87"/>
      <c r="BG736" s="87"/>
      <c r="BH736" s="87"/>
      <c r="BI736" s="87"/>
    </row>
    <row r="737" spans="1:61" x14ac:dyDescent="0.25">
      <c r="A737" s="63" t="s">
        <v>493</v>
      </c>
      <c r="B737" s="63" t="s">
        <v>493</v>
      </c>
      <c r="C737" s="64"/>
      <c r="D737" s="65"/>
      <c r="E737" s="66"/>
      <c r="F737" s="67"/>
      <c r="G737" s="64"/>
      <c r="H737" s="68"/>
      <c r="I737" s="69"/>
      <c r="J737" s="69"/>
      <c r="K737" s="32"/>
      <c r="L737" s="76">
        <v>737</v>
      </c>
      <c r="M737" s="76"/>
      <c r="N737" s="71"/>
      <c r="O737" s="87" t="s">
        <v>179</v>
      </c>
      <c r="P737" s="90">
        <v>45148.797905092593</v>
      </c>
      <c r="Q737" s="87" t="s">
        <v>2562</v>
      </c>
      <c r="R737" s="87">
        <v>0</v>
      </c>
      <c r="S737" s="87">
        <v>0</v>
      </c>
      <c r="T737" s="87">
        <v>0</v>
      </c>
      <c r="U737" s="87">
        <v>0</v>
      </c>
      <c r="V737" s="87">
        <v>36</v>
      </c>
      <c r="W737" s="93" t="s">
        <v>6363</v>
      </c>
      <c r="X737" s="92" t="str">
        <f>HYPERLINK("https://revistaesquinas.casperlibero.edu.br/cotidiano/o-que-e-invisivel/easie-imigrante-haitiano-procura-melhores-condicoes-no-bras/")</f>
        <v>https://revistaesquinas.casperlibero.edu.br/cotidiano/o-que-e-invisivel/easie-imigrante-haitiano-procura-melhores-condicoes-no-bras/</v>
      </c>
      <c r="Y737" s="87" t="s">
        <v>8419</v>
      </c>
      <c r="Z737" s="87"/>
      <c r="AA737" s="87"/>
      <c r="AB737" s="87"/>
      <c r="AC737" s="93" t="s">
        <v>11457</v>
      </c>
      <c r="AD737" s="87" t="s">
        <v>11519</v>
      </c>
      <c r="AE737" s="92" t="str">
        <f>HYPERLINK("https://twitter.com/revistaesquinas/status/1689715486206926849")</f>
        <v>https://twitter.com/revistaesquinas/status/1689715486206926849</v>
      </c>
      <c r="AF737" s="90">
        <v>45148.797905092593</v>
      </c>
      <c r="AG737" s="99">
        <v>45148</v>
      </c>
      <c r="AH737" s="93" t="s">
        <v>12226</v>
      </c>
      <c r="AI737" s="87" t="b">
        <v>0</v>
      </c>
      <c r="AJ737" s="87"/>
      <c r="AK737" s="87"/>
      <c r="AL737" s="87"/>
      <c r="AM737" s="87"/>
      <c r="AN737" s="87"/>
      <c r="AO737" s="87"/>
      <c r="AP737" s="87"/>
      <c r="AQ737" s="87"/>
      <c r="AR737" s="87"/>
      <c r="AS737" s="87"/>
      <c r="AT737" s="87"/>
      <c r="AU737" s="87"/>
      <c r="AV737" s="92" t="str">
        <f>HYPERLINK("https://pbs.twimg.com/profile_images/1256664808105095169/IrODcpZU_normal.jpg")</f>
        <v>https://pbs.twimg.com/profile_images/1256664808105095169/IrODcpZU_normal.jpg</v>
      </c>
      <c r="AW737" s="93" t="s">
        <v>18985</v>
      </c>
      <c r="AX737" s="93" t="s">
        <v>18985</v>
      </c>
      <c r="AY737" s="87"/>
      <c r="AZ737" s="93" t="s">
        <v>22668</v>
      </c>
      <c r="BA737" s="93" t="s">
        <v>22668</v>
      </c>
      <c r="BB737" s="93" t="s">
        <v>22668</v>
      </c>
      <c r="BC737" s="93" t="s">
        <v>18985</v>
      </c>
      <c r="BD737" s="87">
        <v>90958806</v>
      </c>
      <c r="BE737" s="87"/>
      <c r="BF737" s="87"/>
      <c r="BG737" s="87"/>
      <c r="BH737" s="87"/>
      <c r="BI737" s="87"/>
    </row>
    <row r="738" spans="1:61" x14ac:dyDescent="0.25">
      <c r="A738" s="63" t="s">
        <v>494</v>
      </c>
      <c r="B738" s="63" t="s">
        <v>1643</v>
      </c>
      <c r="C738" s="64"/>
      <c r="D738" s="65"/>
      <c r="E738" s="66"/>
      <c r="F738" s="67"/>
      <c r="G738" s="64"/>
      <c r="H738" s="68"/>
      <c r="I738" s="69"/>
      <c r="J738" s="69"/>
      <c r="K738" s="32"/>
      <c r="L738" s="76">
        <v>738</v>
      </c>
      <c r="M738" s="76"/>
      <c r="N738" s="71"/>
      <c r="O738" s="87" t="s">
        <v>1839</v>
      </c>
      <c r="P738" s="90">
        <v>45160.386701388888</v>
      </c>
      <c r="Q738" s="87" t="s">
        <v>2563</v>
      </c>
      <c r="R738" s="87">
        <v>0</v>
      </c>
      <c r="S738" s="87">
        <v>1</v>
      </c>
      <c r="T738" s="87">
        <v>0</v>
      </c>
      <c r="U738" s="87">
        <v>0</v>
      </c>
      <c r="V738" s="87">
        <v>72</v>
      </c>
      <c r="W738" s="93" t="s">
        <v>6364</v>
      </c>
      <c r="X738" s="92" t="str">
        <f>HYPERLINK("https://maissuperior.com/2023/08/22/estudantes-do-ips-destacam-se-na-european-innovation-academy/")</f>
        <v>https://maissuperior.com/2023/08/22/estudantes-do-ips-destacam-se-na-european-innovation-academy/</v>
      </c>
      <c r="Y738" s="87" t="s">
        <v>8420</v>
      </c>
      <c r="Z738" s="87" t="s">
        <v>8570</v>
      </c>
      <c r="AA738" s="87"/>
      <c r="AB738" s="87"/>
      <c r="AC738" s="93" t="s">
        <v>11457</v>
      </c>
      <c r="AD738" s="87" t="s">
        <v>11519</v>
      </c>
      <c r="AE738" s="92" t="str">
        <f>HYPERLINK("https://twitter.com/mais_superior/status/1693915124757676309")</f>
        <v>https://twitter.com/mais_superior/status/1693915124757676309</v>
      </c>
      <c r="AF738" s="90">
        <v>45160.386701388888</v>
      </c>
      <c r="AG738" s="99">
        <v>45160</v>
      </c>
      <c r="AH738" s="93" t="s">
        <v>12227</v>
      </c>
      <c r="AI738" s="87" t="b">
        <v>0</v>
      </c>
      <c r="AJ738" s="87"/>
      <c r="AK738" s="87"/>
      <c r="AL738" s="87"/>
      <c r="AM738" s="87"/>
      <c r="AN738" s="87"/>
      <c r="AO738" s="87"/>
      <c r="AP738" s="87"/>
      <c r="AQ738" s="87"/>
      <c r="AR738" s="87"/>
      <c r="AS738" s="87"/>
      <c r="AT738" s="87"/>
      <c r="AU738" s="87"/>
      <c r="AV738" s="92" t="str">
        <f>HYPERLINK("https://pbs.twimg.com/profile_images/1303008746445176832/8f22kqoM_normal.jpg")</f>
        <v>https://pbs.twimg.com/profile_images/1303008746445176832/8f22kqoM_normal.jpg</v>
      </c>
      <c r="AW738" s="93" t="s">
        <v>18986</v>
      </c>
      <c r="AX738" s="93" t="s">
        <v>18986</v>
      </c>
      <c r="AY738" s="87"/>
      <c r="AZ738" s="93" t="s">
        <v>22668</v>
      </c>
      <c r="BA738" s="93" t="s">
        <v>22668</v>
      </c>
      <c r="BB738" s="93" t="s">
        <v>22668</v>
      </c>
      <c r="BC738" s="93" t="s">
        <v>18986</v>
      </c>
      <c r="BD738" s="87">
        <v>2862272213</v>
      </c>
      <c r="BE738" s="87"/>
      <c r="BF738" s="87"/>
      <c r="BG738" s="87"/>
      <c r="BH738" s="87"/>
      <c r="BI738" s="87"/>
    </row>
    <row r="739" spans="1:61" x14ac:dyDescent="0.25">
      <c r="A739" s="63" t="s">
        <v>494</v>
      </c>
      <c r="B739" s="63" t="s">
        <v>1644</v>
      </c>
      <c r="C739" s="64"/>
      <c r="D739" s="65"/>
      <c r="E739" s="66"/>
      <c r="F739" s="67"/>
      <c r="G739" s="64"/>
      <c r="H739" s="68"/>
      <c r="I739" s="69"/>
      <c r="J739" s="69"/>
      <c r="K739" s="32"/>
      <c r="L739" s="76">
        <v>739</v>
      </c>
      <c r="M739" s="76"/>
      <c r="N739" s="71"/>
      <c r="O739" s="87" t="s">
        <v>1839</v>
      </c>
      <c r="P739" s="90">
        <v>45160.386701388888</v>
      </c>
      <c r="Q739" s="87" t="s">
        <v>2563</v>
      </c>
      <c r="R739" s="87">
        <v>0</v>
      </c>
      <c r="S739" s="87">
        <v>1</v>
      </c>
      <c r="T739" s="87">
        <v>0</v>
      </c>
      <c r="U739" s="87">
        <v>0</v>
      </c>
      <c r="V739" s="87">
        <v>72</v>
      </c>
      <c r="W739" s="93" t="s">
        <v>6364</v>
      </c>
      <c r="X739" s="92" t="str">
        <f>HYPERLINK("https://maissuperior.com/2023/08/22/estudantes-do-ips-destacam-se-na-european-innovation-academy/")</f>
        <v>https://maissuperior.com/2023/08/22/estudantes-do-ips-destacam-se-na-european-innovation-academy/</v>
      </c>
      <c r="Y739" s="87" t="s">
        <v>8420</v>
      </c>
      <c r="Z739" s="87" t="s">
        <v>8570</v>
      </c>
      <c r="AA739" s="87"/>
      <c r="AB739" s="87"/>
      <c r="AC739" s="93" t="s">
        <v>11457</v>
      </c>
      <c r="AD739" s="87" t="s">
        <v>11519</v>
      </c>
      <c r="AE739" s="92" t="str">
        <f>HYPERLINK("https://twitter.com/mais_superior/status/1693915124757676309")</f>
        <v>https://twitter.com/mais_superior/status/1693915124757676309</v>
      </c>
      <c r="AF739" s="90">
        <v>45160.386701388888</v>
      </c>
      <c r="AG739" s="99">
        <v>45160</v>
      </c>
      <c r="AH739" s="93" t="s">
        <v>12227</v>
      </c>
      <c r="AI739" s="87" t="b">
        <v>0</v>
      </c>
      <c r="AJ739" s="87"/>
      <c r="AK739" s="87"/>
      <c r="AL739" s="87"/>
      <c r="AM739" s="87"/>
      <c r="AN739" s="87"/>
      <c r="AO739" s="87"/>
      <c r="AP739" s="87"/>
      <c r="AQ739" s="87"/>
      <c r="AR739" s="87"/>
      <c r="AS739" s="87"/>
      <c r="AT739" s="87"/>
      <c r="AU739" s="87"/>
      <c r="AV739" s="92" t="str">
        <f>HYPERLINK("https://pbs.twimg.com/profile_images/1303008746445176832/8f22kqoM_normal.jpg")</f>
        <v>https://pbs.twimg.com/profile_images/1303008746445176832/8f22kqoM_normal.jpg</v>
      </c>
      <c r="AW739" s="93" t="s">
        <v>18986</v>
      </c>
      <c r="AX739" s="93" t="s">
        <v>18986</v>
      </c>
      <c r="AY739" s="87"/>
      <c r="AZ739" s="93" t="s">
        <v>22668</v>
      </c>
      <c r="BA739" s="93" t="s">
        <v>22668</v>
      </c>
      <c r="BB739" s="93" t="s">
        <v>22668</v>
      </c>
      <c r="BC739" s="93" t="s">
        <v>18986</v>
      </c>
      <c r="BD739" s="87">
        <v>2862272213</v>
      </c>
      <c r="BE739" s="87"/>
      <c r="BF739" s="87"/>
      <c r="BG739" s="87"/>
      <c r="BH739" s="87"/>
      <c r="BI739" s="87"/>
    </row>
    <row r="740" spans="1:61" x14ac:dyDescent="0.25">
      <c r="A740" s="63" t="s">
        <v>494</v>
      </c>
      <c r="B740" s="63" t="s">
        <v>1645</v>
      </c>
      <c r="C740" s="64"/>
      <c r="D740" s="65"/>
      <c r="E740" s="66"/>
      <c r="F740" s="67"/>
      <c r="G740" s="64"/>
      <c r="H740" s="68"/>
      <c r="I740" s="69"/>
      <c r="J740" s="69"/>
      <c r="K740" s="32"/>
      <c r="L740" s="76">
        <v>740</v>
      </c>
      <c r="M740" s="76"/>
      <c r="N740" s="71"/>
      <c r="O740" s="87" t="s">
        <v>1839</v>
      </c>
      <c r="P740" s="90">
        <v>45190.693472222221</v>
      </c>
      <c r="Q740" s="87" t="s">
        <v>2564</v>
      </c>
      <c r="R740" s="87">
        <v>0</v>
      </c>
      <c r="S740" s="87">
        <v>0</v>
      </c>
      <c r="T740" s="87">
        <v>0</v>
      </c>
      <c r="U740" s="87">
        <v>0</v>
      </c>
      <c r="V740" s="87">
        <v>10</v>
      </c>
      <c r="W740" s="93" t="s">
        <v>6365</v>
      </c>
      <c r="X740" s="92" t="str">
        <f>HYPERLINK("https://maissuperior.com/2023/09/21/universidade-de-coimbra-coordena-programa-para-apoiar-comunidade-academica-a-criar-uma-start-up-do-zero/")</f>
        <v>https://maissuperior.com/2023/09/21/universidade-de-coimbra-coordena-programa-para-apoiar-comunidade-academica-a-criar-uma-start-up-do-zero/</v>
      </c>
      <c r="Y740" s="87" t="s">
        <v>8420</v>
      </c>
      <c r="Z740" s="87" t="s">
        <v>1645</v>
      </c>
      <c r="AA740" s="87"/>
      <c r="AB740" s="87"/>
      <c r="AC740" s="93" t="s">
        <v>11457</v>
      </c>
      <c r="AD740" s="87" t="s">
        <v>11519</v>
      </c>
      <c r="AE740" s="92" t="str">
        <f>HYPERLINK("https://twitter.com/mais_superior/status/1704897930363035923")</f>
        <v>https://twitter.com/mais_superior/status/1704897930363035923</v>
      </c>
      <c r="AF740" s="90">
        <v>45190.693472222221</v>
      </c>
      <c r="AG740" s="99">
        <v>45190</v>
      </c>
      <c r="AH740" s="93" t="s">
        <v>12228</v>
      </c>
      <c r="AI740" s="87" t="b">
        <v>0</v>
      </c>
      <c r="AJ740" s="87"/>
      <c r="AK740" s="87"/>
      <c r="AL740" s="87"/>
      <c r="AM740" s="87"/>
      <c r="AN740" s="87"/>
      <c r="AO740" s="87"/>
      <c r="AP740" s="87"/>
      <c r="AQ740" s="87"/>
      <c r="AR740" s="87"/>
      <c r="AS740" s="87"/>
      <c r="AT740" s="87"/>
      <c r="AU740" s="87"/>
      <c r="AV740" s="92" t="str">
        <f>HYPERLINK("https://pbs.twimg.com/profile_images/1303008746445176832/8f22kqoM_normal.jpg")</f>
        <v>https://pbs.twimg.com/profile_images/1303008746445176832/8f22kqoM_normal.jpg</v>
      </c>
      <c r="AW740" s="93" t="s">
        <v>18987</v>
      </c>
      <c r="AX740" s="93" t="s">
        <v>18987</v>
      </c>
      <c r="AY740" s="87"/>
      <c r="AZ740" s="93" t="s">
        <v>22668</v>
      </c>
      <c r="BA740" s="93" t="s">
        <v>22668</v>
      </c>
      <c r="BB740" s="93" t="s">
        <v>22668</v>
      </c>
      <c r="BC740" s="93" t="s">
        <v>18987</v>
      </c>
      <c r="BD740" s="87">
        <v>2862272213</v>
      </c>
      <c r="BE740" s="87"/>
      <c r="BF740" s="87"/>
      <c r="BG740" s="87"/>
      <c r="BH740" s="87"/>
      <c r="BI740" s="87"/>
    </row>
    <row r="741" spans="1:61" x14ac:dyDescent="0.25">
      <c r="A741" s="63" t="s">
        <v>495</v>
      </c>
      <c r="B741" s="63" t="s">
        <v>495</v>
      </c>
      <c r="C741" s="64"/>
      <c r="D741" s="65"/>
      <c r="E741" s="66"/>
      <c r="F741" s="67"/>
      <c r="G741" s="64"/>
      <c r="H741" s="68"/>
      <c r="I741" s="69"/>
      <c r="J741" s="69"/>
      <c r="K741" s="32"/>
      <c r="L741" s="76">
        <v>741</v>
      </c>
      <c r="M741" s="76"/>
      <c r="N741" s="71"/>
      <c r="O741" s="87" t="s">
        <v>179</v>
      </c>
      <c r="P741" s="90">
        <v>45151.881122685183</v>
      </c>
      <c r="Q741" s="87" t="s">
        <v>2565</v>
      </c>
      <c r="R741" s="87">
        <v>0</v>
      </c>
      <c r="S741" s="87">
        <v>1</v>
      </c>
      <c r="T741" s="87">
        <v>0</v>
      </c>
      <c r="U741" s="87">
        <v>0</v>
      </c>
      <c r="V741" s="87">
        <v>42</v>
      </c>
      <c r="W741" s="93" t="s">
        <v>6366</v>
      </c>
      <c r="X741" s="92" t="str">
        <f>HYPERLINK("http://hotm.art/combo5ebooks")</f>
        <v>http://hotm.art/combo5ebooks</v>
      </c>
      <c r="Y741" s="87" t="s">
        <v>8421</v>
      </c>
      <c r="Z741" s="87"/>
      <c r="AA741" s="87" t="s">
        <v>9093</v>
      </c>
      <c r="AB741" s="87" t="s">
        <v>11448</v>
      </c>
      <c r="AC741" s="93" t="s">
        <v>11457</v>
      </c>
      <c r="AD741" s="87" t="s">
        <v>11519</v>
      </c>
      <c r="AE741" s="92" t="str">
        <f>HYPERLINK("https://twitter.com/combo5ebooks/status/1690832806815948802")</f>
        <v>https://twitter.com/combo5ebooks/status/1690832806815948802</v>
      </c>
      <c r="AF741" s="90">
        <v>45151.881122685183</v>
      </c>
      <c r="AG741" s="99">
        <v>45151</v>
      </c>
      <c r="AH741" s="93" t="s">
        <v>12229</v>
      </c>
      <c r="AI741" s="87" t="b">
        <v>0</v>
      </c>
      <c r="AJ741" s="87"/>
      <c r="AK741" s="87"/>
      <c r="AL741" s="87"/>
      <c r="AM741" s="87"/>
      <c r="AN741" s="87"/>
      <c r="AO741" s="87"/>
      <c r="AP741" s="87"/>
      <c r="AQ741" s="87" t="s">
        <v>15906</v>
      </c>
      <c r="AR741" s="87"/>
      <c r="AS741" s="87"/>
      <c r="AT741" s="87"/>
      <c r="AU741" s="87"/>
      <c r="AV741" s="92" t="str">
        <f>HYPERLINK("https://pbs.twimg.com/media/F3cLbZyWkAEXlNz.jpg")</f>
        <v>https://pbs.twimg.com/media/F3cLbZyWkAEXlNz.jpg</v>
      </c>
      <c r="AW741" s="93" t="s">
        <v>18988</v>
      </c>
      <c r="AX741" s="93" t="s">
        <v>18988</v>
      </c>
      <c r="AY741" s="87"/>
      <c r="AZ741" s="93" t="s">
        <v>22668</v>
      </c>
      <c r="BA741" s="93" t="s">
        <v>22668</v>
      </c>
      <c r="BB741" s="93" t="s">
        <v>22668</v>
      </c>
      <c r="BC741" s="93" t="s">
        <v>18988</v>
      </c>
      <c r="BD741" s="93" t="s">
        <v>22958</v>
      </c>
      <c r="BE741" s="87"/>
      <c r="BF741" s="87"/>
      <c r="BG741" s="87"/>
      <c r="BH741" s="87"/>
      <c r="BI741" s="87"/>
    </row>
    <row r="742" spans="1:61" x14ac:dyDescent="0.25">
      <c r="A742" s="63" t="s">
        <v>496</v>
      </c>
      <c r="B742" s="63" t="s">
        <v>496</v>
      </c>
      <c r="C742" s="64"/>
      <c r="D742" s="65"/>
      <c r="E742" s="66"/>
      <c r="F742" s="67"/>
      <c r="G742" s="64"/>
      <c r="H742" s="68"/>
      <c r="I742" s="69"/>
      <c r="J742" s="69"/>
      <c r="K742" s="32"/>
      <c r="L742" s="76">
        <v>742</v>
      </c>
      <c r="M742" s="76"/>
      <c r="N742" s="71"/>
      <c r="O742" s="87" t="s">
        <v>179</v>
      </c>
      <c r="P742" s="90">
        <v>45184.474849537037</v>
      </c>
      <c r="Q742" s="87" t="s">
        <v>2566</v>
      </c>
      <c r="R742" s="87">
        <v>0</v>
      </c>
      <c r="S742" s="87">
        <v>0</v>
      </c>
      <c r="T742" s="87">
        <v>0</v>
      </c>
      <c r="U742" s="87">
        <v>0</v>
      </c>
      <c r="V742" s="87">
        <v>39</v>
      </c>
      <c r="W742" s="93" t="s">
        <v>6367</v>
      </c>
      <c r="X742" s="87"/>
      <c r="Y742" s="87"/>
      <c r="Z742" s="87"/>
      <c r="AA742" s="87" t="s">
        <v>9094</v>
      </c>
      <c r="AB742" s="87" t="s">
        <v>11448</v>
      </c>
      <c r="AC742" s="93" t="s">
        <v>11457</v>
      </c>
      <c r="AD742" s="87" t="s">
        <v>11519</v>
      </c>
      <c r="AE742" s="92" t="str">
        <f>HYPERLINK("https://twitter.com/sebraebahia/status/1702644376546029990")</f>
        <v>https://twitter.com/sebraebahia/status/1702644376546029990</v>
      </c>
      <c r="AF742" s="90">
        <v>45184.474849537037</v>
      </c>
      <c r="AG742" s="99">
        <v>45184</v>
      </c>
      <c r="AH742" s="93" t="s">
        <v>12230</v>
      </c>
      <c r="AI742" s="87" t="b">
        <v>0</v>
      </c>
      <c r="AJ742" s="87"/>
      <c r="AK742" s="87"/>
      <c r="AL742" s="87"/>
      <c r="AM742" s="87"/>
      <c r="AN742" s="87"/>
      <c r="AO742" s="87"/>
      <c r="AP742" s="87"/>
      <c r="AQ742" s="87" t="s">
        <v>15907</v>
      </c>
      <c r="AR742" s="87"/>
      <c r="AS742" s="87"/>
      <c r="AT742" s="87"/>
      <c r="AU742" s="87"/>
      <c r="AV742" s="92" t="str">
        <f>HYPERLINK("https://pbs.twimg.com/media/F6ECCB5X0AAkI2R.jpg")</f>
        <v>https://pbs.twimg.com/media/F6ECCB5X0AAkI2R.jpg</v>
      </c>
      <c r="AW742" s="93" t="s">
        <v>18989</v>
      </c>
      <c r="AX742" s="93" t="s">
        <v>18989</v>
      </c>
      <c r="AY742" s="87"/>
      <c r="AZ742" s="93" t="s">
        <v>22668</v>
      </c>
      <c r="BA742" s="93" t="s">
        <v>22668</v>
      </c>
      <c r="BB742" s="93" t="s">
        <v>22668</v>
      </c>
      <c r="BC742" s="93" t="s">
        <v>18989</v>
      </c>
      <c r="BD742" s="87">
        <v>117409085</v>
      </c>
      <c r="BE742" s="87"/>
      <c r="BF742" s="87"/>
      <c r="BG742" s="87"/>
      <c r="BH742" s="87"/>
      <c r="BI742" s="87"/>
    </row>
    <row r="743" spans="1:61" x14ac:dyDescent="0.25">
      <c r="A743" s="63" t="s">
        <v>496</v>
      </c>
      <c r="B743" s="63" t="s">
        <v>496</v>
      </c>
      <c r="C743" s="64"/>
      <c r="D743" s="65"/>
      <c r="E743" s="66"/>
      <c r="F743" s="67"/>
      <c r="G743" s="64"/>
      <c r="H743" s="68"/>
      <c r="I743" s="69"/>
      <c r="J743" s="69"/>
      <c r="K743" s="32"/>
      <c r="L743" s="76">
        <v>743</v>
      </c>
      <c r="M743" s="76"/>
      <c r="N743" s="71"/>
      <c r="O743" s="87" t="s">
        <v>179</v>
      </c>
      <c r="P743" s="90">
        <v>45194.727696759262</v>
      </c>
      <c r="Q743" s="87" t="s">
        <v>2567</v>
      </c>
      <c r="R743" s="87">
        <v>0</v>
      </c>
      <c r="S743" s="87">
        <v>0</v>
      </c>
      <c r="T743" s="87">
        <v>0</v>
      </c>
      <c r="U743" s="87">
        <v>0</v>
      </c>
      <c r="V743" s="87">
        <v>31</v>
      </c>
      <c r="W743" s="93" t="s">
        <v>6368</v>
      </c>
      <c r="X743" s="92" t="str">
        <f>HYPERLINK("https://bit.ly/3t58Y6u")</f>
        <v>https://bit.ly/3t58Y6u</v>
      </c>
      <c r="Y743" s="87" t="s">
        <v>8374</v>
      </c>
      <c r="Z743" s="87"/>
      <c r="AA743" s="87"/>
      <c r="AB743" s="87"/>
      <c r="AC743" s="93" t="s">
        <v>11457</v>
      </c>
      <c r="AD743" s="87" t="s">
        <v>11519</v>
      </c>
      <c r="AE743" s="92" t="str">
        <f>HYPERLINK("https://twitter.com/sebraebahia/status/1706359881454735820")</f>
        <v>https://twitter.com/sebraebahia/status/1706359881454735820</v>
      </c>
      <c r="AF743" s="90">
        <v>45194.727696759262</v>
      </c>
      <c r="AG743" s="99">
        <v>45194</v>
      </c>
      <c r="AH743" s="93" t="s">
        <v>12231</v>
      </c>
      <c r="AI743" s="87" t="b">
        <v>0</v>
      </c>
      <c r="AJ743" s="87"/>
      <c r="AK743" s="87"/>
      <c r="AL743" s="87"/>
      <c r="AM743" s="87"/>
      <c r="AN743" s="87"/>
      <c r="AO743" s="87"/>
      <c r="AP743" s="87"/>
      <c r="AQ743" s="87"/>
      <c r="AR743" s="87"/>
      <c r="AS743" s="87"/>
      <c r="AT743" s="87"/>
      <c r="AU743" s="87"/>
      <c r="AV743" s="92" t="str">
        <f>HYPERLINK("https://pbs.twimg.com/profile_images/1579420409182781444/M1vpmSSB_normal.jpg")</f>
        <v>https://pbs.twimg.com/profile_images/1579420409182781444/M1vpmSSB_normal.jpg</v>
      </c>
      <c r="AW743" s="93" t="s">
        <v>18990</v>
      </c>
      <c r="AX743" s="93" t="s">
        <v>18990</v>
      </c>
      <c r="AY743" s="87"/>
      <c r="AZ743" s="93" t="s">
        <v>22668</v>
      </c>
      <c r="BA743" s="93" t="s">
        <v>22668</v>
      </c>
      <c r="BB743" s="93" t="s">
        <v>22668</v>
      </c>
      <c r="BC743" s="93" t="s">
        <v>18990</v>
      </c>
      <c r="BD743" s="87">
        <v>117409085</v>
      </c>
      <c r="BE743" s="87"/>
      <c r="BF743" s="87"/>
      <c r="BG743" s="87"/>
      <c r="BH743" s="87"/>
      <c r="BI743" s="87"/>
    </row>
    <row r="744" spans="1:61" x14ac:dyDescent="0.25">
      <c r="A744" s="63" t="s">
        <v>497</v>
      </c>
      <c r="B744" s="63" t="s">
        <v>497</v>
      </c>
      <c r="C744" s="64"/>
      <c r="D744" s="65"/>
      <c r="E744" s="66"/>
      <c r="F744" s="67"/>
      <c r="G744" s="64"/>
      <c r="H744" s="68"/>
      <c r="I744" s="69"/>
      <c r="J744" s="69"/>
      <c r="K744" s="32"/>
      <c r="L744" s="76">
        <v>744</v>
      </c>
      <c r="M744" s="76"/>
      <c r="N744" s="71"/>
      <c r="O744" s="87" t="s">
        <v>179</v>
      </c>
      <c r="P744" s="90">
        <v>45141.803622685184</v>
      </c>
      <c r="Q744" s="87" t="s">
        <v>2568</v>
      </c>
      <c r="R744" s="87">
        <v>0</v>
      </c>
      <c r="S744" s="87">
        <v>1</v>
      </c>
      <c r="T744" s="87">
        <v>1</v>
      </c>
      <c r="U744" s="87">
        <v>0</v>
      </c>
      <c r="V744" s="87">
        <v>10</v>
      </c>
      <c r="W744" s="93" t="s">
        <v>6369</v>
      </c>
      <c r="X744" s="92" t="str">
        <f>HYPERLINK("https://lnkd.in/dRKUijK4")</f>
        <v>https://lnkd.in/dRKUijK4</v>
      </c>
      <c r="Y744" s="87" t="s">
        <v>8408</v>
      </c>
      <c r="Z744" s="87"/>
      <c r="AA744" s="87" t="s">
        <v>9095</v>
      </c>
      <c r="AB744" s="87" t="s">
        <v>11448</v>
      </c>
      <c r="AC744" s="93" t="s">
        <v>11457</v>
      </c>
      <c r="AD744" s="87" t="s">
        <v>11519</v>
      </c>
      <c r="AE744" s="92" t="str">
        <f>HYPERLINK("https://twitter.com/mcvarnieri/status/1687180839648473091")</f>
        <v>https://twitter.com/mcvarnieri/status/1687180839648473091</v>
      </c>
      <c r="AF744" s="90">
        <v>45141.803622685184</v>
      </c>
      <c r="AG744" s="99">
        <v>45141</v>
      </c>
      <c r="AH744" s="93" t="s">
        <v>12232</v>
      </c>
      <c r="AI744" s="87" t="b">
        <v>0</v>
      </c>
      <c r="AJ744" s="87"/>
      <c r="AK744" s="87"/>
      <c r="AL744" s="87"/>
      <c r="AM744" s="87"/>
      <c r="AN744" s="87"/>
      <c r="AO744" s="87"/>
      <c r="AP744" s="87"/>
      <c r="AQ744" s="87" t="s">
        <v>15908</v>
      </c>
      <c r="AR744" s="87"/>
      <c r="AS744" s="87"/>
      <c r="AT744" s="87"/>
      <c r="AU744" s="87"/>
      <c r="AV744" s="92" t="str">
        <f>HYPERLINK("https://pbs.twimg.com/media/F2oRi7gWYAAh7vx.jpg")</f>
        <v>https://pbs.twimg.com/media/F2oRi7gWYAAh7vx.jpg</v>
      </c>
      <c r="AW744" s="93" t="s">
        <v>18991</v>
      </c>
      <c r="AX744" s="93" t="s">
        <v>18991</v>
      </c>
      <c r="AY744" s="87"/>
      <c r="AZ744" s="93" t="s">
        <v>22668</v>
      </c>
      <c r="BA744" s="93" t="s">
        <v>22668</v>
      </c>
      <c r="BB744" s="93" t="s">
        <v>22668</v>
      </c>
      <c r="BC744" s="93" t="s">
        <v>18991</v>
      </c>
      <c r="BD744" s="87">
        <v>4754287947</v>
      </c>
      <c r="BE744" s="87"/>
      <c r="BF744" s="87"/>
      <c r="BG744" s="87"/>
      <c r="BH744" s="87"/>
      <c r="BI744" s="87"/>
    </row>
    <row r="745" spans="1:61" x14ac:dyDescent="0.25">
      <c r="A745" s="63" t="s">
        <v>498</v>
      </c>
      <c r="B745" s="63" t="s">
        <v>498</v>
      </c>
      <c r="C745" s="64"/>
      <c r="D745" s="65"/>
      <c r="E745" s="66"/>
      <c r="F745" s="67"/>
      <c r="G745" s="64"/>
      <c r="H745" s="68"/>
      <c r="I745" s="69"/>
      <c r="J745" s="69"/>
      <c r="K745" s="32"/>
      <c r="L745" s="76">
        <v>745</v>
      </c>
      <c r="M745" s="76"/>
      <c r="N745" s="71"/>
      <c r="O745" s="87" t="s">
        <v>179</v>
      </c>
      <c r="P745" s="90">
        <v>45113.750509259262</v>
      </c>
      <c r="Q745" s="87" t="s">
        <v>2569</v>
      </c>
      <c r="R745" s="87">
        <v>0</v>
      </c>
      <c r="S745" s="87">
        <v>1</v>
      </c>
      <c r="T745" s="87">
        <v>0</v>
      </c>
      <c r="U745" s="87">
        <v>0</v>
      </c>
      <c r="V745" s="87">
        <v>15</v>
      </c>
      <c r="W745" s="93" t="s">
        <v>6370</v>
      </c>
      <c r="X745" s="92" t="str">
        <f>HYPERLINK("https://mla.bs/8857580e")</f>
        <v>https://mla.bs/8857580e</v>
      </c>
      <c r="Y745" s="87" t="s">
        <v>8396</v>
      </c>
      <c r="Z745" s="87"/>
      <c r="AA745" s="87"/>
      <c r="AB745" s="87"/>
      <c r="AC745" s="93" t="s">
        <v>11460</v>
      </c>
      <c r="AD745" s="87" t="s">
        <v>11519</v>
      </c>
      <c r="AE745" s="92" t="str">
        <f>HYPERLINK("https://twitter.com/russelldobrasil/status/1677014733214343175")</f>
        <v>https://twitter.com/russelldobrasil/status/1677014733214343175</v>
      </c>
      <c r="AF745" s="90">
        <v>45113.750509259262</v>
      </c>
      <c r="AG745" s="99">
        <v>45113</v>
      </c>
      <c r="AH745" s="93" t="s">
        <v>12233</v>
      </c>
      <c r="AI745" s="87" t="b">
        <v>0</v>
      </c>
      <c r="AJ745" s="87"/>
      <c r="AK745" s="87"/>
      <c r="AL745" s="87"/>
      <c r="AM745" s="87"/>
      <c r="AN745" s="87"/>
      <c r="AO745" s="87"/>
      <c r="AP745" s="87"/>
      <c r="AQ745" s="87"/>
      <c r="AR745" s="87"/>
      <c r="AS745" s="87"/>
      <c r="AT745" s="87"/>
      <c r="AU745" s="87"/>
      <c r="AV745" s="92" t="str">
        <f>HYPERLINK("https://pbs.twimg.com/profile_images/1679565949496590337/7eTERYjy_normal.jpg")</f>
        <v>https://pbs.twimg.com/profile_images/1679565949496590337/7eTERYjy_normal.jpg</v>
      </c>
      <c r="AW745" s="93" t="s">
        <v>18992</v>
      </c>
      <c r="AX745" s="93" t="s">
        <v>18992</v>
      </c>
      <c r="AY745" s="87"/>
      <c r="AZ745" s="93" t="s">
        <v>22668</v>
      </c>
      <c r="BA745" s="93" t="s">
        <v>22668</v>
      </c>
      <c r="BB745" s="93" t="s">
        <v>22668</v>
      </c>
      <c r="BC745" s="93" t="s">
        <v>18992</v>
      </c>
      <c r="BD745" s="93" t="s">
        <v>22959</v>
      </c>
      <c r="BE745" s="87"/>
      <c r="BF745" s="87"/>
      <c r="BG745" s="87"/>
      <c r="BH745" s="87"/>
      <c r="BI745" s="87"/>
    </row>
    <row r="746" spans="1:61" x14ac:dyDescent="0.25">
      <c r="A746" s="63" t="s">
        <v>499</v>
      </c>
      <c r="B746" s="63" t="s">
        <v>499</v>
      </c>
      <c r="C746" s="64"/>
      <c r="D746" s="65"/>
      <c r="E746" s="66"/>
      <c r="F746" s="67"/>
      <c r="G746" s="64"/>
      <c r="H746" s="68"/>
      <c r="I746" s="69"/>
      <c r="J746" s="69"/>
      <c r="K746" s="32"/>
      <c r="L746" s="76">
        <v>746</v>
      </c>
      <c r="M746" s="76"/>
      <c r="N746" s="71"/>
      <c r="O746" s="87" t="s">
        <v>179</v>
      </c>
      <c r="P746" s="90">
        <v>45173.631215277775</v>
      </c>
      <c r="Q746" s="87" t="s">
        <v>2570</v>
      </c>
      <c r="R746" s="87">
        <v>0</v>
      </c>
      <c r="S746" s="87">
        <v>0</v>
      </c>
      <c r="T746" s="87">
        <v>0</v>
      </c>
      <c r="U746" s="87">
        <v>0</v>
      </c>
      <c r="V746" s="87">
        <v>12</v>
      </c>
      <c r="W746" s="93" t="s">
        <v>6371</v>
      </c>
      <c r="X746" s="87"/>
      <c r="Y746" s="87"/>
      <c r="Z746" s="87"/>
      <c r="AA746" s="87" t="s">
        <v>9096</v>
      </c>
      <c r="AB746" s="87" t="s">
        <v>11448</v>
      </c>
      <c r="AC746" s="93" t="s">
        <v>11459</v>
      </c>
      <c r="AD746" s="87" t="s">
        <v>11519</v>
      </c>
      <c r="AE746" s="92" t="str">
        <f>HYPERLINK("https://twitter.com/absorvendermico/status/1698714772655522091")</f>
        <v>https://twitter.com/absorvendermico/status/1698714772655522091</v>
      </c>
      <c r="AF746" s="90">
        <v>45173.631215277775</v>
      </c>
      <c r="AG746" s="99">
        <v>45173</v>
      </c>
      <c r="AH746" s="93" t="s">
        <v>12234</v>
      </c>
      <c r="AI746" s="87" t="b">
        <v>0</v>
      </c>
      <c r="AJ746" s="87"/>
      <c r="AK746" s="87"/>
      <c r="AL746" s="87"/>
      <c r="AM746" s="87"/>
      <c r="AN746" s="87"/>
      <c r="AO746" s="87"/>
      <c r="AP746" s="87"/>
      <c r="AQ746" s="87" t="s">
        <v>15909</v>
      </c>
      <c r="AR746" s="87"/>
      <c r="AS746" s="87"/>
      <c r="AT746" s="87"/>
      <c r="AU746" s="87"/>
      <c r="AV746" s="92" t="str">
        <f>HYPERLINK("https://pbs.twimg.com/media/F5MMFQ3WMAAFotK.jpg")</f>
        <v>https://pbs.twimg.com/media/F5MMFQ3WMAAFotK.jpg</v>
      </c>
      <c r="AW746" s="93" t="s">
        <v>18993</v>
      </c>
      <c r="AX746" s="93" t="s">
        <v>18993</v>
      </c>
      <c r="AY746" s="87"/>
      <c r="AZ746" s="93" t="s">
        <v>22668</v>
      </c>
      <c r="BA746" s="93" t="s">
        <v>22668</v>
      </c>
      <c r="BB746" s="93" t="s">
        <v>22668</v>
      </c>
      <c r="BC746" s="93" t="s">
        <v>18993</v>
      </c>
      <c r="BD746" s="93" t="s">
        <v>22960</v>
      </c>
      <c r="BE746" s="87"/>
      <c r="BF746" s="87"/>
      <c r="BG746" s="87"/>
      <c r="BH746" s="87"/>
      <c r="BI746" s="87"/>
    </row>
    <row r="747" spans="1:61" x14ac:dyDescent="0.25">
      <c r="A747" s="63" t="s">
        <v>500</v>
      </c>
      <c r="B747" s="63" t="s">
        <v>500</v>
      </c>
      <c r="C747" s="64"/>
      <c r="D747" s="65"/>
      <c r="E747" s="66"/>
      <c r="F747" s="67"/>
      <c r="G747" s="64"/>
      <c r="H747" s="68"/>
      <c r="I747" s="69"/>
      <c r="J747" s="69"/>
      <c r="K747" s="32"/>
      <c r="L747" s="76">
        <v>747</v>
      </c>
      <c r="M747" s="76"/>
      <c r="N747" s="71"/>
      <c r="O747" s="87" t="s">
        <v>179</v>
      </c>
      <c r="P747" s="90">
        <v>45169.187013888892</v>
      </c>
      <c r="Q747" s="87" t="s">
        <v>2571</v>
      </c>
      <c r="R747" s="87">
        <v>0</v>
      </c>
      <c r="S747" s="87">
        <v>1</v>
      </c>
      <c r="T747" s="87">
        <v>0</v>
      </c>
      <c r="U747" s="87">
        <v>0</v>
      </c>
      <c r="V747" s="87">
        <v>19</v>
      </c>
      <c r="W747" s="93" t="s">
        <v>6372</v>
      </c>
      <c r="X747" s="87"/>
      <c r="Y747" s="87"/>
      <c r="Z747" s="87"/>
      <c r="AA747" s="87" t="s">
        <v>9097</v>
      </c>
      <c r="AB747" s="87" t="s">
        <v>11447</v>
      </c>
      <c r="AC747" s="93" t="s">
        <v>11458</v>
      </c>
      <c r="AD747" s="87" t="s">
        <v>11519</v>
      </c>
      <c r="AE747" s="92" t="str">
        <f>HYPERLINK("https://twitter.com/empreended0r_/status/1697104248226337095")</f>
        <v>https://twitter.com/empreended0r_/status/1697104248226337095</v>
      </c>
      <c r="AF747" s="90">
        <v>45169.187013888892</v>
      </c>
      <c r="AG747" s="99">
        <v>45169</v>
      </c>
      <c r="AH747" s="93" t="s">
        <v>12235</v>
      </c>
      <c r="AI747" s="87" t="b">
        <v>0</v>
      </c>
      <c r="AJ747" s="87"/>
      <c r="AK747" s="87"/>
      <c r="AL747" s="87"/>
      <c r="AM747" s="87"/>
      <c r="AN747" s="87"/>
      <c r="AO747" s="87"/>
      <c r="AP747" s="87"/>
      <c r="AQ747" s="87" t="s">
        <v>15910</v>
      </c>
      <c r="AR747" s="87">
        <v>53400</v>
      </c>
      <c r="AS747" s="87"/>
      <c r="AT747" s="87"/>
      <c r="AU747" s="87"/>
      <c r="AV747" s="92" t="str">
        <f>HYPERLINK("https://pbs.twimg.com/ext_tw_video_thumb/1697104208170725376/pu/img/DvsQU-gqIYXsHftr.jpg")</f>
        <v>https://pbs.twimg.com/ext_tw_video_thumb/1697104208170725376/pu/img/DvsQU-gqIYXsHftr.jpg</v>
      </c>
      <c r="AW747" s="93" t="s">
        <v>18994</v>
      </c>
      <c r="AX747" s="93" t="s">
        <v>18994</v>
      </c>
      <c r="AY747" s="87"/>
      <c r="AZ747" s="93" t="s">
        <v>22668</v>
      </c>
      <c r="BA747" s="93" t="s">
        <v>22668</v>
      </c>
      <c r="BB747" s="93" t="s">
        <v>22668</v>
      </c>
      <c r="BC747" s="93" t="s">
        <v>18994</v>
      </c>
      <c r="BD747" s="93" t="s">
        <v>22961</v>
      </c>
      <c r="BE747" s="87"/>
      <c r="BF747" s="87"/>
      <c r="BG747" s="87"/>
      <c r="BH747" s="87"/>
      <c r="BI747" s="87"/>
    </row>
    <row r="748" spans="1:61" x14ac:dyDescent="0.25">
      <c r="A748" s="63" t="s">
        <v>501</v>
      </c>
      <c r="B748" s="63" t="s">
        <v>501</v>
      </c>
      <c r="C748" s="64"/>
      <c r="D748" s="65"/>
      <c r="E748" s="66"/>
      <c r="F748" s="67"/>
      <c r="G748" s="64"/>
      <c r="H748" s="68"/>
      <c r="I748" s="69"/>
      <c r="J748" s="69"/>
      <c r="K748" s="32"/>
      <c r="L748" s="76">
        <v>748</v>
      </c>
      <c r="M748" s="76"/>
      <c r="N748" s="71"/>
      <c r="O748" s="87" t="s">
        <v>1840</v>
      </c>
      <c r="P748" s="90">
        <v>45182.874675925923</v>
      </c>
      <c r="Q748" s="87" t="s">
        <v>2572</v>
      </c>
      <c r="R748" s="87">
        <v>0</v>
      </c>
      <c r="S748" s="87">
        <v>0</v>
      </c>
      <c r="T748" s="87">
        <v>1</v>
      </c>
      <c r="U748" s="87">
        <v>0</v>
      </c>
      <c r="V748" s="87">
        <v>171</v>
      </c>
      <c r="W748" s="93" t="s">
        <v>6373</v>
      </c>
      <c r="X748" s="92" t="str">
        <f>HYPERLINK("https://youtu.be/FY6tu0YZRh4")</f>
        <v>https://youtu.be/FY6tu0YZRh4</v>
      </c>
      <c r="Y748" s="87" t="s">
        <v>8372</v>
      </c>
      <c r="Z748" s="87"/>
      <c r="AA748" s="87"/>
      <c r="AB748" s="87"/>
      <c r="AC748" s="93" t="s">
        <v>11457</v>
      </c>
      <c r="AD748" s="87" t="s">
        <v>11519</v>
      </c>
      <c r="AE748" s="92" t="str">
        <f>HYPERLINK("https://twitter.com/camarasaopaulo/status/1702064492593447313")</f>
        <v>https://twitter.com/camarasaopaulo/status/1702064492593447313</v>
      </c>
      <c r="AF748" s="90">
        <v>45182.874675925923</v>
      </c>
      <c r="AG748" s="99">
        <v>45182</v>
      </c>
      <c r="AH748" s="93" t="s">
        <v>12236</v>
      </c>
      <c r="AI748" s="87" t="b">
        <v>0</v>
      </c>
      <c r="AJ748" s="87"/>
      <c r="AK748" s="87"/>
      <c r="AL748" s="87"/>
      <c r="AM748" s="87"/>
      <c r="AN748" s="87"/>
      <c r="AO748" s="87"/>
      <c r="AP748" s="87"/>
      <c r="AQ748" s="87"/>
      <c r="AR748" s="87"/>
      <c r="AS748" s="87"/>
      <c r="AT748" s="87"/>
      <c r="AU748" s="87"/>
      <c r="AV748" s="92" t="str">
        <f>HYPERLINK("https://pbs.twimg.com/profile_images/1648368073324240899/O62M-O8U_normal.jpg")</f>
        <v>https://pbs.twimg.com/profile_images/1648368073324240899/O62M-O8U_normal.jpg</v>
      </c>
      <c r="AW748" s="93" t="s">
        <v>18995</v>
      </c>
      <c r="AX748" s="93" t="s">
        <v>22324</v>
      </c>
      <c r="AY748" s="93" t="s">
        <v>22533</v>
      </c>
      <c r="AZ748" s="93" t="s">
        <v>22688</v>
      </c>
      <c r="BA748" s="93" t="s">
        <v>22668</v>
      </c>
      <c r="BB748" s="93" t="s">
        <v>22668</v>
      </c>
      <c r="BC748" s="93" t="s">
        <v>22688</v>
      </c>
      <c r="BD748" s="87">
        <v>308031714</v>
      </c>
      <c r="BE748" s="87"/>
      <c r="BF748" s="87"/>
      <c r="BG748" s="87"/>
      <c r="BH748" s="87"/>
      <c r="BI748" s="87"/>
    </row>
    <row r="749" spans="1:61" x14ac:dyDescent="0.25">
      <c r="A749" s="63" t="s">
        <v>502</v>
      </c>
      <c r="B749" s="63" t="s">
        <v>502</v>
      </c>
      <c r="C749" s="64"/>
      <c r="D749" s="65"/>
      <c r="E749" s="66"/>
      <c r="F749" s="67"/>
      <c r="G749" s="64"/>
      <c r="H749" s="68"/>
      <c r="I749" s="69"/>
      <c r="J749" s="69"/>
      <c r="K749" s="32"/>
      <c r="L749" s="76">
        <v>749</v>
      </c>
      <c r="M749" s="76"/>
      <c r="N749" s="71"/>
      <c r="O749" s="87" t="s">
        <v>179</v>
      </c>
      <c r="P749" s="90">
        <v>45139.375671296293</v>
      </c>
      <c r="Q749" s="87" t="s">
        <v>2573</v>
      </c>
      <c r="R749" s="87">
        <v>0</v>
      </c>
      <c r="S749" s="87">
        <v>1</v>
      </c>
      <c r="T749" s="87">
        <v>0</v>
      </c>
      <c r="U749" s="87">
        <v>0</v>
      </c>
      <c r="V749" s="87">
        <v>91</v>
      </c>
      <c r="W749" s="93" t="s">
        <v>6374</v>
      </c>
      <c r="X749" s="92" t="str">
        <f>HYPERLINK("https://bit.ly/3NZXVnm")</f>
        <v>https://bit.ly/3NZXVnm</v>
      </c>
      <c r="Y749" s="87" t="s">
        <v>8374</v>
      </c>
      <c r="Z749" s="87"/>
      <c r="AA749" s="87" t="s">
        <v>9098</v>
      </c>
      <c r="AB749" s="87" t="s">
        <v>11448</v>
      </c>
      <c r="AC749" s="93" t="s">
        <v>11477</v>
      </c>
      <c r="AD749" s="87" t="s">
        <v>11519</v>
      </c>
      <c r="AE749" s="92" t="str">
        <f>HYPERLINK("https://twitter.com/uaberta/status/1686300982517366784")</f>
        <v>https://twitter.com/uaberta/status/1686300982517366784</v>
      </c>
      <c r="AF749" s="90">
        <v>45139.375671296293</v>
      </c>
      <c r="AG749" s="99">
        <v>45139</v>
      </c>
      <c r="AH749" s="93" t="s">
        <v>12237</v>
      </c>
      <c r="AI749" s="87" t="b">
        <v>0</v>
      </c>
      <c r="AJ749" s="87"/>
      <c r="AK749" s="87"/>
      <c r="AL749" s="87"/>
      <c r="AM749" s="87"/>
      <c r="AN749" s="87"/>
      <c r="AO749" s="87"/>
      <c r="AP749" s="87"/>
      <c r="AQ749" s="87" t="s">
        <v>15911</v>
      </c>
      <c r="AR749" s="87"/>
      <c r="AS749" s="87"/>
      <c r="AT749" s="87"/>
      <c r="AU749" s="87"/>
      <c r="AV749" s="92" t="str">
        <f>HYPERLINK("https://pbs.twimg.com/media/F2bxzrKXcAAHTM8.jpg")</f>
        <v>https://pbs.twimg.com/media/F2bxzrKXcAAHTM8.jpg</v>
      </c>
      <c r="AW749" s="93" t="s">
        <v>18996</v>
      </c>
      <c r="AX749" s="93" t="s">
        <v>18996</v>
      </c>
      <c r="AY749" s="87"/>
      <c r="AZ749" s="93" t="s">
        <v>22668</v>
      </c>
      <c r="BA749" s="93" t="s">
        <v>22668</v>
      </c>
      <c r="BB749" s="93" t="s">
        <v>22668</v>
      </c>
      <c r="BC749" s="93" t="s">
        <v>18996</v>
      </c>
      <c r="BD749" s="87">
        <v>125625907</v>
      </c>
      <c r="BE749" s="87"/>
      <c r="BF749" s="87"/>
      <c r="BG749" s="87"/>
      <c r="BH749" s="87"/>
      <c r="BI749" s="87"/>
    </row>
    <row r="750" spans="1:61" x14ac:dyDescent="0.25">
      <c r="A750" s="63" t="s">
        <v>502</v>
      </c>
      <c r="B750" s="63" t="s">
        <v>502</v>
      </c>
      <c r="C750" s="64"/>
      <c r="D750" s="65"/>
      <c r="E750" s="66"/>
      <c r="F750" s="67"/>
      <c r="G750" s="64"/>
      <c r="H750" s="68"/>
      <c r="I750" s="69"/>
      <c r="J750" s="69"/>
      <c r="K750" s="32"/>
      <c r="L750" s="76">
        <v>750</v>
      </c>
      <c r="M750" s="76"/>
      <c r="N750" s="71"/>
      <c r="O750" s="87" t="s">
        <v>179</v>
      </c>
      <c r="P750" s="90">
        <v>45174.625775462962</v>
      </c>
      <c r="Q750" s="87" t="s">
        <v>2574</v>
      </c>
      <c r="R750" s="87">
        <v>0</v>
      </c>
      <c r="S750" s="87">
        <v>0</v>
      </c>
      <c r="T750" s="87">
        <v>0</v>
      </c>
      <c r="U750" s="87">
        <v>0</v>
      </c>
      <c r="V750" s="87">
        <v>81</v>
      </c>
      <c r="W750" s="93" t="s">
        <v>6375</v>
      </c>
      <c r="X750" s="92" t="str">
        <f>HYPERLINK("https://bit.ly/3YXW4CZ")</f>
        <v>https://bit.ly/3YXW4CZ</v>
      </c>
      <c r="Y750" s="87" t="s">
        <v>8374</v>
      </c>
      <c r="Z750" s="87"/>
      <c r="AA750" s="87" t="s">
        <v>9099</v>
      </c>
      <c r="AB750" s="87" t="s">
        <v>11448</v>
      </c>
      <c r="AC750" s="93" t="s">
        <v>11457</v>
      </c>
      <c r="AD750" s="87" t="s">
        <v>11519</v>
      </c>
      <c r="AE750" s="92" t="str">
        <f>HYPERLINK("https://twitter.com/uaberta/status/1699075191299821699")</f>
        <v>https://twitter.com/uaberta/status/1699075191299821699</v>
      </c>
      <c r="AF750" s="90">
        <v>45174.625775462962</v>
      </c>
      <c r="AG750" s="99">
        <v>45174</v>
      </c>
      <c r="AH750" s="93" t="s">
        <v>12238</v>
      </c>
      <c r="AI750" s="87" t="b">
        <v>0</v>
      </c>
      <c r="AJ750" s="87"/>
      <c r="AK750" s="87"/>
      <c r="AL750" s="87"/>
      <c r="AM750" s="87"/>
      <c r="AN750" s="87"/>
      <c r="AO750" s="87"/>
      <c r="AP750" s="87"/>
      <c r="AQ750" s="87" t="s">
        <v>15912</v>
      </c>
      <c r="AR750" s="87"/>
      <c r="AS750" s="87"/>
      <c r="AT750" s="87"/>
      <c r="AU750" s="87"/>
      <c r="AV750" s="92" t="str">
        <f>HYPERLINK("https://pbs.twimg.com/media/F5RTUbGaMAE4Cb9.jpg")</f>
        <v>https://pbs.twimg.com/media/F5RTUbGaMAE4Cb9.jpg</v>
      </c>
      <c r="AW750" s="93" t="s">
        <v>18997</v>
      </c>
      <c r="AX750" s="93" t="s">
        <v>18997</v>
      </c>
      <c r="AY750" s="87"/>
      <c r="AZ750" s="93" t="s">
        <v>22668</v>
      </c>
      <c r="BA750" s="93" t="s">
        <v>22668</v>
      </c>
      <c r="BB750" s="93" t="s">
        <v>22668</v>
      </c>
      <c r="BC750" s="93" t="s">
        <v>18997</v>
      </c>
      <c r="BD750" s="87">
        <v>125625907</v>
      </c>
      <c r="BE750" s="87"/>
      <c r="BF750" s="87"/>
      <c r="BG750" s="87"/>
      <c r="BH750" s="87"/>
      <c r="BI750" s="87"/>
    </row>
    <row r="751" spans="1:61" x14ac:dyDescent="0.25">
      <c r="A751" s="63" t="s">
        <v>503</v>
      </c>
      <c r="B751" s="63" t="s">
        <v>503</v>
      </c>
      <c r="C751" s="64"/>
      <c r="D751" s="65"/>
      <c r="E751" s="66"/>
      <c r="F751" s="67"/>
      <c r="G751" s="64"/>
      <c r="H751" s="68"/>
      <c r="I751" s="69"/>
      <c r="J751" s="69"/>
      <c r="K751" s="32"/>
      <c r="L751" s="76">
        <v>751</v>
      </c>
      <c r="M751" s="76"/>
      <c r="N751" s="71"/>
      <c r="O751" s="87" t="s">
        <v>179</v>
      </c>
      <c r="P751" s="90">
        <v>45112.771585648145</v>
      </c>
      <c r="Q751" s="87" t="s">
        <v>2575</v>
      </c>
      <c r="R751" s="87">
        <v>0</v>
      </c>
      <c r="S751" s="87">
        <v>0</v>
      </c>
      <c r="T751" s="87">
        <v>0</v>
      </c>
      <c r="U751" s="87">
        <v>0</v>
      </c>
      <c r="V751" s="87">
        <v>14</v>
      </c>
      <c r="W751" s="93" t="s">
        <v>6376</v>
      </c>
      <c r="X751" s="92" t="str">
        <f>HYPERLINK("http://workspacecuritiba.com.br")</f>
        <v>http://workspacecuritiba.com.br</v>
      </c>
      <c r="Y751" s="87" t="s">
        <v>8373</v>
      </c>
      <c r="Z751" s="87"/>
      <c r="AA751" s="87" t="s">
        <v>9100</v>
      </c>
      <c r="AB751" s="87" t="s">
        <v>11448</v>
      </c>
      <c r="AC751" s="93" t="s">
        <v>11457</v>
      </c>
      <c r="AD751" s="87" t="s">
        <v>11519</v>
      </c>
      <c r="AE751" s="92" t="str">
        <f>HYPERLINK("https://twitter.com/workspacecurit1/status/1676659984178860048")</f>
        <v>https://twitter.com/workspacecurit1/status/1676659984178860048</v>
      </c>
      <c r="AF751" s="90">
        <v>45112.771585648145</v>
      </c>
      <c r="AG751" s="99">
        <v>45112</v>
      </c>
      <c r="AH751" s="93" t="s">
        <v>12239</v>
      </c>
      <c r="AI751" s="87" t="b">
        <v>0</v>
      </c>
      <c r="AJ751" s="87"/>
      <c r="AK751" s="87"/>
      <c r="AL751" s="87"/>
      <c r="AM751" s="87"/>
      <c r="AN751" s="87"/>
      <c r="AO751" s="87"/>
      <c r="AP751" s="87"/>
      <c r="AQ751" s="87" t="s">
        <v>15913</v>
      </c>
      <c r="AR751" s="87"/>
      <c r="AS751" s="87"/>
      <c r="AT751" s="87"/>
      <c r="AU751" s="87"/>
      <c r="AV751" s="92" t="str">
        <f>HYPERLINK("https://pbs.twimg.com/media/F0SxT66X0BEzbEJ.jpg")</f>
        <v>https://pbs.twimg.com/media/F0SxT66X0BEzbEJ.jpg</v>
      </c>
      <c r="AW751" s="93" t="s">
        <v>18998</v>
      </c>
      <c r="AX751" s="93" t="s">
        <v>18998</v>
      </c>
      <c r="AY751" s="87"/>
      <c r="AZ751" s="93" t="s">
        <v>22668</v>
      </c>
      <c r="BA751" s="93" t="s">
        <v>22668</v>
      </c>
      <c r="BB751" s="93" t="s">
        <v>22668</v>
      </c>
      <c r="BC751" s="93" t="s">
        <v>18998</v>
      </c>
      <c r="BD751" s="93" t="s">
        <v>22962</v>
      </c>
      <c r="BE751" s="87"/>
      <c r="BF751" s="87"/>
      <c r="BG751" s="87"/>
      <c r="BH751" s="87"/>
      <c r="BI751" s="87"/>
    </row>
    <row r="752" spans="1:61" x14ac:dyDescent="0.25">
      <c r="A752" s="63" t="s">
        <v>503</v>
      </c>
      <c r="B752" s="63" t="s">
        <v>503</v>
      </c>
      <c r="C752" s="64"/>
      <c r="D752" s="65"/>
      <c r="E752" s="66"/>
      <c r="F752" s="67"/>
      <c r="G752" s="64"/>
      <c r="H752" s="68"/>
      <c r="I752" s="69"/>
      <c r="J752" s="69"/>
      <c r="K752" s="32"/>
      <c r="L752" s="76">
        <v>752</v>
      </c>
      <c r="M752" s="76"/>
      <c r="N752" s="71"/>
      <c r="O752" s="87" t="s">
        <v>179</v>
      </c>
      <c r="P752" s="90">
        <v>45114.639432870368</v>
      </c>
      <c r="Q752" s="87" t="s">
        <v>2576</v>
      </c>
      <c r="R752" s="87">
        <v>0</v>
      </c>
      <c r="S752" s="87">
        <v>0</v>
      </c>
      <c r="T752" s="87">
        <v>0</v>
      </c>
      <c r="U752" s="87">
        <v>0</v>
      </c>
      <c r="V752" s="87">
        <v>17</v>
      </c>
      <c r="W752" s="93" t="s">
        <v>6377</v>
      </c>
      <c r="X752" s="92" t="str">
        <f>HYPERLINK("http://workspacecuritiba.com.br")</f>
        <v>http://workspacecuritiba.com.br</v>
      </c>
      <c r="Y752" s="87" t="s">
        <v>8373</v>
      </c>
      <c r="Z752" s="87"/>
      <c r="AA752" s="87" t="s">
        <v>9101</v>
      </c>
      <c r="AB752" s="87" t="s">
        <v>11448</v>
      </c>
      <c r="AC752" s="93" t="s">
        <v>11457</v>
      </c>
      <c r="AD752" s="87" t="s">
        <v>11519</v>
      </c>
      <c r="AE752" s="92" t="str">
        <f>HYPERLINK("https://twitter.com/workspacecurit1/status/1677336869594341377")</f>
        <v>https://twitter.com/workspacecurit1/status/1677336869594341377</v>
      </c>
      <c r="AF752" s="90">
        <v>45114.639432870368</v>
      </c>
      <c r="AG752" s="99">
        <v>45114</v>
      </c>
      <c r="AH752" s="93" t="s">
        <v>12240</v>
      </c>
      <c r="AI752" s="87" t="b">
        <v>0</v>
      </c>
      <c r="AJ752" s="87"/>
      <c r="AK752" s="87"/>
      <c r="AL752" s="87"/>
      <c r="AM752" s="87"/>
      <c r="AN752" s="87"/>
      <c r="AO752" s="87"/>
      <c r="AP752" s="87"/>
      <c r="AQ752" s="87" t="s">
        <v>15914</v>
      </c>
      <c r="AR752" s="87"/>
      <c r="AS752" s="87"/>
      <c r="AT752" s="87"/>
      <c r="AU752" s="87"/>
      <c r="AV752" s="92" t="str">
        <f>HYPERLINK("https://pbs.twimg.com/media/F0cYXwAXoAECb6u.jpg")</f>
        <v>https://pbs.twimg.com/media/F0cYXwAXoAECb6u.jpg</v>
      </c>
      <c r="AW752" s="93" t="s">
        <v>18999</v>
      </c>
      <c r="AX752" s="93" t="s">
        <v>18999</v>
      </c>
      <c r="AY752" s="87"/>
      <c r="AZ752" s="93" t="s">
        <v>22668</v>
      </c>
      <c r="BA752" s="93" t="s">
        <v>22668</v>
      </c>
      <c r="BB752" s="93" t="s">
        <v>22668</v>
      </c>
      <c r="BC752" s="93" t="s">
        <v>18999</v>
      </c>
      <c r="BD752" s="93" t="s">
        <v>22962</v>
      </c>
      <c r="BE752" s="87"/>
      <c r="BF752" s="87"/>
      <c r="BG752" s="87"/>
      <c r="BH752" s="87"/>
      <c r="BI752" s="87"/>
    </row>
    <row r="753" spans="1:61" x14ac:dyDescent="0.25">
      <c r="A753" s="63" t="s">
        <v>503</v>
      </c>
      <c r="B753" s="63" t="s">
        <v>503</v>
      </c>
      <c r="C753" s="64"/>
      <c r="D753" s="65"/>
      <c r="E753" s="66"/>
      <c r="F753" s="67"/>
      <c r="G753" s="64"/>
      <c r="H753" s="68"/>
      <c r="I753" s="69"/>
      <c r="J753" s="69"/>
      <c r="K753" s="32"/>
      <c r="L753" s="76">
        <v>753</v>
      </c>
      <c r="M753" s="76"/>
      <c r="N753" s="71"/>
      <c r="O753" s="87" t="s">
        <v>179</v>
      </c>
      <c r="P753" s="90">
        <v>45126.543240740742</v>
      </c>
      <c r="Q753" s="87" t="s">
        <v>2577</v>
      </c>
      <c r="R753" s="87">
        <v>0</v>
      </c>
      <c r="S753" s="87">
        <v>0</v>
      </c>
      <c r="T753" s="87">
        <v>0</v>
      </c>
      <c r="U753" s="87">
        <v>0</v>
      </c>
      <c r="V753" s="87">
        <v>20</v>
      </c>
      <c r="W753" s="93" t="s">
        <v>6376</v>
      </c>
      <c r="X753" s="92" t="str">
        <f>HYPERLINK("http://workspacecuritiba.com.br")</f>
        <v>http://workspacecuritiba.com.br</v>
      </c>
      <c r="Y753" s="87" t="s">
        <v>8373</v>
      </c>
      <c r="Z753" s="87"/>
      <c r="AA753" s="87" t="s">
        <v>9102</v>
      </c>
      <c r="AB753" s="87" t="s">
        <v>11448</v>
      </c>
      <c r="AC753" s="93" t="s">
        <v>11457</v>
      </c>
      <c r="AD753" s="87" t="s">
        <v>11519</v>
      </c>
      <c r="AE753" s="92" t="str">
        <f>HYPERLINK("https://twitter.com/workspacecurit1/status/1681650664445706241")</f>
        <v>https://twitter.com/workspacecurit1/status/1681650664445706241</v>
      </c>
      <c r="AF753" s="90">
        <v>45126.543240740742</v>
      </c>
      <c r="AG753" s="99">
        <v>45126</v>
      </c>
      <c r="AH753" s="93" t="s">
        <v>12241</v>
      </c>
      <c r="AI753" s="87" t="b">
        <v>0</v>
      </c>
      <c r="AJ753" s="87"/>
      <c r="AK753" s="87"/>
      <c r="AL753" s="87"/>
      <c r="AM753" s="87"/>
      <c r="AN753" s="87"/>
      <c r="AO753" s="87"/>
      <c r="AP753" s="87"/>
      <c r="AQ753" s="87" t="s">
        <v>15915</v>
      </c>
      <c r="AR753" s="87"/>
      <c r="AS753" s="87"/>
      <c r="AT753" s="87"/>
      <c r="AU753" s="87"/>
      <c r="AV753" s="92" t="str">
        <f>HYPERLINK("https://pbs.twimg.com/media/F1ZsMZjXwAEMuYZ.jpg")</f>
        <v>https://pbs.twimg.com/media/F1ZsMZjXwAEMuYZ.jpg</v>
      </c>
      <c r="AW753" s="93" t="s">
        <v>19000</v>
      </c>
      <c r="AX753" s="93" t="s">
        <v>19000</v>
      </c>
      <c r="AY753" s="87"/>
      <c r="AZ753" s="93" t="s">
        <v>22668</v>
      </c>
      <c r="BA753" s="93" t="s">
        <v>22668</v>
      </c>
      <c r="BB753" s="93" t="s">
        <v>22668</v>
      </c>
      <c r="BC753" s="93" t="s">
        <v>19000</v>
      </c>
      <c r="BD753" s="93" t="s">
        <v>22962</v>
      </c>
      <c r="BE753" s="87"/>
      <c r="BF753" s="87"/>
      <c r="BG753" s="87"/>
      <c r="BH753" s="87"/>
      <c r="BI753" s="87"/>
    </row>
    <row r="754" spans="1:61" x14ac:dyDescent="0.25">
      <c r="A754" s="63" t="s">
        <v>503</v>
      </c>
      <c r="B754" s="63" t="s">
        <v>503</v>
      </c>
      <c r="C754" s="64"/>
      <c r="D754" s="65"/>
      <c r="E754" s="66"/>
      <c r="F754" s="67"/>
      <c r="G754" s="64"/>
      <c r="H754" s="68"/>
      <c r="I754" s="69"/>
      <c r="J754" s="69"/>
      <c r="K754" s="32"/>
      <c r="L754" s="76">
        <v>754</v>
      </c>
      <c r="M754" s="76"/>
      <c r="N754" s="71"/>
      <c r="O754" s="87" t="s">
        <v>179</v>
      </c>
      <c r="P754" s="90">
        <v>45124.600821759261</v>
      </c>
      <c r="Q754" s="87" t="s">
        <v>2578</v>
      </c>
      <c r="R754" s="87">
        <v>0</v>
      </c>
      <c r="S754" s="87">
        <v>0</v>
      </c>
      <c r="T754" s="87">
        <v>0</v>
      </c>
      <c r="U754" s="87">
        <v>0</v>
      </c>
      <c r="V754" s="87">
        <v>12</v>
      </c>
      <c r="W754" s="93" t="s">
        <v>6377</v>
      </c>
      <c r="X754" s="92" t="str">
        <f>HYPERLINK("http://workspacecuritiba.com.br")</f>
        <v>http://workspacecuritiba.com.br</v>
      </c>
      <c r="Y754" s="87" t="s">
        <v>8373</v>
      </c>
      <c r="Z754" s="87"/>
      <c r="AA754" s="87" t="s">
        <v>9103</v>
      </c>
      <c r="AB754" s="87" t="s">
        <v>11449</v>
      </c>
      <c r="AC754" s="93" t="s">
        <v>11457</v>
      </c>
      <c r="AD754" s="87" t="s">
        <v>11519</v>
      </c>
      <c r="AE754" s="92" t="str">
        <f>HYPERLINK("https://twitter.com/workspacecurit1/status/1680946754538143745")</f>
        <v>https://twitter.com/workspacecurit1/status/1680946754538143745</v>
      </c>
      <c r="AF754" s="90">
        <v>45124.600821759261</v>
      </c>
      <c r="AG754" s="99">
        <v>45124</v>
      </c>
      <c r="AH754" s="93" t="s">
        <v>12242</v>
      </c>
      <c r="AI754" s="87" t="b">
        <v>0</v>
      </c>
      <c r="AJ754" s="87"/>
      <c r="AK754" s="87"/>
      <c r="AL754" s="87"/>
      <c r="AM754" s="87"/>
      <c r="AN754" s="87"/>
      <c r="AO754" s="87"/>
      <c r="AP754" s="87"/>
      <c r="AQ754" s="87" t="s">
        <v>15916</v>
      </c>
      <c r="AR754" s="87"/>
      <c r="AS754" s="87"/>
      <c r="AT754" s="87"/>
      <c r="AU754" s="87"/>
      <c r="AV754" s="92" t="str">
        <f>HYPERLINK("https://pbs.twimg.com/media/F1PsDe1XoAAE_cE.jpg")</f>
        <v>https://pbs.twimg.com/media/F1PsDe1XoAAE_cE.jpg</v>
      </c>
      <c r="AW754" s="93" t="s">
        <v>19001</v>
      </c>
      <c r="AX754" s="93" t="s">
        <v>19001</v>
      </c>
      <c r="AY754" s="87"/>
      <c r="AZ754" s="93" t="s">
        <v>22668</v>
      </c>
      <c r="BA754" s="93" t="s">
        <v>22668</v>
      </c>
      <c r="BB754" s="93" t="s">
        <v>22668</v>
      </c>
      <c r="BC754" s="93" t="s">
        <v>19001</v>
      </c>
      <c r="BD754" s="93" t="s">
        <v>22962</v>
      </c>
      <c r="BE754" s="87"/>
      <c r="BF754" s="87"/>
      <c r="BG754" s="87"/>
      <c r="BH754" s="87"/>
      <c r="BI754" s="87"/>
    </row>
    <row r="755" spans="1:61" x14ac:dyDescent="0.25">
      <c r="A755" s="63" t="s">
        <v>503</v>
      </c>
      <c r="B755" s="63" t="s">
        <v>503</v>
      </c>
      <c r="C755" s="64"/>
      <c r="D755" s="65"/>
      <c r="E755" s="66"/>
      <c r="F755" s="67"/>
      <c r="G755" s="64"/>
      <c r="H755" s="68"/>
      <c r="I755" s="69"/>
      <c r="J755" s="69"/>
      <c r="K755" s="32"/>
      <c r="L755" s="76">
        <v>755</v>
      </c>
      <c r="M755" s="76"/>
      <c r="N755" s="71"/>
      <c r="O755" s="87" t="s">
        <v>179</v>
      </c>
      <c r="P755" s="90">
        <v>45132.627314814818</v>
      </c>
      <c r="Q755" s="87" t="s">
        <v>2579</v>
      </c>
      <c r="R755" s="87">
        <v>0</v>
      </c>
      <c r="S755" s="87">
        <v>0</v>
      </c>
      <c r="T755" s="87">
        <v>0</v>
      </c>
      <c r="U755" s="87">
        <v>0</v>
      </c>
      <c r="V755" s="87">
        <v>15</v>
      </c>
      <c r="W755" s="93" t="s">
        <v>6378</v>
      </c>
      <c r="X755" s="92" t="str">
        <f>HYPERLINK("http://workspacecuritiba.com.br")</f>
        <v>http://workspacecuritiba.com.br</v>
      </c>
      <c r="Y755" s="87" t="s">
        <v>8373</v>
      </c>
      <c r="Z755" s="87"/>
      <c r="AA755" s="87" t="s">
        <v>9104</v>
      </c>
      <c r="AB755" s="87" t="s">
        <v>11449</v>
      </c>
      <c r="AC755" s="93" t="s">
        <v>11457</v>
      </c>
      <c r="AD755" s="87" t="s">
        <v>11519</v>
      </c>
      <c r="AE755" s="92" t="str">
        <f>HYPERLINK("https://twitter.com/workspacecurit1/status/1683855457033547776")</f>
        <v>https://twitter.com/workspacecurit1/status/1683855457033547776</v>
      </c>
      <c r="AF755" s="90">
        <v>45132.627314814818</v>
      </c>
      <c r="AG755" s="99">
        <v>45132</v>
      </c>
      <c r="AH755" s="93" t="s">
        <v>12243</v>
      </c>
      <c r="AI755" s="87" t="b">
        <v>0</v>
      </c>
      <c r="AJ755" s="87"/>
      <c r="AK755" s="87"/>
      <c r="AL755" s="87"/>
      <c r="AM755" s="87"/>
      <c r="AN755" s="87"/>
      <c r="AO755" s="87"/>
      <c r="AP755" s="87"/>
      <c r="AQ755" s="87" t="s">
        <v>15917</v>
      </c>
      <c r="AR755" s="87"/>
      <c r="AS755" s="87"/>
      <c r="AT755" s="87"/>
      <c r="AU755" s="87"/>
      <c r="AV755" s="92" t="str">
        <f>HYPERLINK("https://pbs.twimg.com/media/F15BhcZWcAEPRUv.jpg")</f>
        <v>https://pbs.twimg.com/media/F15BhcZWcAEPRUv.jpg</v>
      </c>
      <c r="AW755" s="93" t="s">
        <v>19002</v>
      </c>
      <c r="AX755" s="93" t="s">
        <v>19002</v>
      </c>
      <c r="AY755" s="87"/>
      <c r="AZ755" s="93" t="s">
        <v>22668</v>
      </c>
      <c r="BA755" s="93" t="s">
        <v>22668</v>
      </c>
      <c r="BB755" s="93" t="s">
        <v>22668</v>
      </c>
      <c r="BC755" s="93" t="s">
        <v>19002</v>
      </c>
      <c r="BD755" s="93" t="s">
        <v>22962</v>
      </c>
      <c r="BE755" s="87"/>
      <c r="BF755" s="87"/>
      <c r="BG755" s="87"/>
      <c r="BH755" s="87"/>
      <c r="BI755" s="87"/>
    </row>
    <row r="756" spans="1:61" x14ac:dyDescent="0.25">
      <c r="A756" s="63" t="s">
        <v>503</v>
      </c>
      <c r="B756" s="63" t="s">
        <v>503</v>
      </c>
      <c r="C756" s="64"/>
      <c r="D756" s="65"/>
      <c r="E756" s="66"/>
      <c r="F756" s="67"/>
      <c r="G756" s="64"/>
      <c r="H756" s="68"/>
      <c r="I756" s="69"/>
      <c r="J756" s="69"/>
      <c r="K756" s="32"/>
      <c r="L756" s="76">
        <v>756</v>
      </c>
      <c r="M756" s="76"/>
      <c r="N756" s="71"/>
      <c r="O756" s="87" t="s">
        <v>179</v>
      </c>
      <c r="P756" s="90">
        <v>45159.64329861111</v>
      </c>
      <c r="Q756" s="87" t="s">
        <v>2580</v>
      </c>
      <c r="R756" s="87">
        <v>0</v>
      </c>
      <c r="S756" s="87">
        <v>0</v>
      </c>
      <c r="T756" s="87">
        <v>0</v>
      </c>
      <c r="U756" s="87">
        <v>0</v>
      </c>
      <c r="V756" s="87">
        <v>11</v>
      </c>
      <c r="W756" s="93" t="s">
        <v>6377</v>
      </c>
      <c r="X756" s="92" t="str">
        <f>HYPERLINK("http://workspacecuritiba.com.br")</f>
        <v>http://workspacecuritiba.com.br</v>
      </c>
      <c r="Y756" s="87" t="s">
        <v>8373</v>
      </c>
      <c r="Z756" s="87"/>
      <c r="AA756" s="87" t="s">
        <v>9105</v>
      </c>
      <c r="AB756" s="87" t="s">
        <v>11448</v>
      </c>
      <c r="AC756" s="93" t="s">
        <v>11457</v>
      </c>
      <c r="AD756" s="87" t="s">
        <v>11519</v>
      </c>
      <c r="AE756" s="92" t="str">
        <f>HYPERLINK("https://twitter.com/workspacecurit1/status/1693645723563147754")</f>
        <v>https://twitter.com/workspacecurit1/status/1693645723563147754</v>
      </c>
      <c r="AF756" s="90">
        <v>45159.64329861111</v>
      </c>
      <c r="AG756" s="99">
        <v>45159</v>
      </c>
      <c r="AH756" s="93" t="s">
        <v>12244</v>
      </c>
      <c r="AI756" s="87" t="b">
        <v>0</v>
      </c>
      <c r="AJ756" s="87"/>
      <c r="AK756" s="87"/>
      <c r="AL756" s="87"/>
      <c r="AM756" s="87"/>
      <c r="AN756" s="87"/>
      <c r="AO756" s="87"/>
      <c r="AP756" s="87"/>
      <c r="AQ756" s="87" t="s">
        <v>15918</v>
      </c>
      <c r="AR756" s="87"/>
      <c r="AS756" s="87"/>
      <c r="AT756" s="87"/>
      <c r="AU756" s="87"/>
      <c r="AV756" s="92" t="str">
        <f>HYPERLINK("https://pbs.twimg.com/media/F4EJvkfWMAEAldm.jpg")</f>
        <v>https://pbs.twimg.com/media/F4EJvkfWMAEAldm.jpg</v>
      </c>
      <c r="AW756" s="93" t="s">
        <v>19003</v>
      </c>
      <c r="AX756" s="93" t="s">
        <v>19003</v>
      </c>
      <c r="AY756" s="87"/>
      <c r="AZ756" s="93" t="s">
        <v>22668</v>
      </c>
      <c r="BA756" s="93" t="s">
        <v>22668</v>
      </c>
      <c r="BB756" s="93" t="s">
        <v>22668</v>
      </c>
      <c r="BC756" s="93" t="s">
        <v>19003</v>
      </c>
      <c r="BD756" s="93" t="s">
        <v>22962</v>
      </c>
      <c r="BE756" s="87"/>
      <c r="BF756" s="87"/>
      <c r="BG756" s="87"/>
      <c r="BH756" s="87"/>
      <c r="BI756" s="87"/>
    </row>
    <row r="757" spans="1:61" x14ac:dyDescent="0.25">
      <c r="A757" s="63" t="s">
        <v>503</v>
      </c>
      <c r="B757" s="63" t="s">
        <v>503</v>
      </c>
      <c r="C757" s="64"/>
      <c r="D757" s="65"/>
      <c r="E757" s="66"/>
      <c r="F757" s="67"/>
      <c r="G757" s="64"/>
      <c r="H757" s="68"/>
      <c r="I757" s="69"/>
      <c r="J757" s="69"/>
      <c r="K757" s="32"/>
      <c r="L757" s="76">
        <v>757</v>
      </c>
      <c r="M757" s="76"/>
      <c r="N757" s="71"/>
      <c r="O757" s="87" t="s">
        <v>179</v>
      </c>
      <c r="P757" s="90">
        <v>45135.591874999998</v>
      </c>
      <c r="Q757" s="87" t="s">
        <v>2581</v>
      </c>
      <c r="R757" s="87">
        <v>0</v>
      </c>
      <c r="S757" s="87">
        <v>0</v>
      </c>
      <c r="T757" s="87">
        <v>0</v>
      </c>
      <c r="U757" s="87">
        <v>0</v>
      </c>
      <c r="V757" s="87">
        <v>18</v>
      </c>
      <c r="W757" s="93" t="s">
        <v>6379</v>
      </c>
      <c r="X757" s="92" t="str">
        <f>HYPERLINK("http://workspacecuritiba.com.br")</f>
        <v>http://workspacecuritiba.com.br</v>
      </c>
      <c r="Y757" s="87" t="s">
        <v>8373</v>
      </c>
      <c r="Z757" s="87"/>
      <c r="AA757" s="87" t="s">
        <v>9106</v>
      </c>
      <c r="AB757" s="87" t="s">
        <v>11448</v>
      </c>
      <c r="AC757" s="93" t="s">
        <v>11457</v>
      </c>
      <c r="AD757" s="87" t="s">
        <v>11519</v>
      </c>
      <c r="AE757" s="92" t="str">
        <f>HYPERLINK("https://twitter.com/workspacecurit1/status/1684929780037083136")</f>
        <v>https://twitter.com/workspacecurit1/status/1684929780037083136</v>
      </c>
      <c r="AF757" s="90">
        <v>45135.591874999998</v>
      </c>
      <c r="AG757" s="99">
        <v>45135</v>
      </c>
      <c r="AH757" s="93" t="s">
        <v>12245</v>
      </c>
      <c r="AI757" s="87" t="b">
        <v>0</v>
      </c>
      <c r="AJ757" s="87"/>
      <c r="AK757" s="87"/>
      <c r="AL757" s="87"/>
      <c r="AM757" s="87"/>
      <c r="AN757" s="87"/>
      <c r="AO757" s="87"/>
      <c r="AP757" s="87"/>
      <c r="AQ757" s="87" t="s">
        <v>15919</v>
      </c>
      <c r="AR757" s="87"/>
      <c r="AS757" s="87"/>
      <c r="AT757" s="87"/>
      <c r="AU757" s="87"/>
      <c r="AV757" s="92" t="str">
        <f>HYPERLINK("https://pbs.twimg.com/media/F2ISizhXkAA8YQa.jpg")</f>
        <v>https://pbs.twimg.com/media/F2ISizhXkAA8YQa.jpg</v>
      </c>
      <c r="AW757" s="93" t="s">
        <v>19004</v>
      </c>
      <c r="AX757" s="93" t="s">
        <v>19004</v>
      </c>
      <c r="AY757" s="87"/>
      <c r="AZ757" s="93" t="s">
        <v>22668</v>
      </c>
      <c r="BA757" s="93" t="s">
        <v>22668</v>
      </c>
      <c r="BB757" s="93" t="s">
        <v>22668</v>
      </c>
      <c r="BC757" s="93" t="s">
        <v>19004</v>
      </c>
      <c r="BD757" s="93" t="s">
        <v>22962</v>
      </c>
      <c r="BE757" s="87"/>
      <c r="BF757" s="87"/>
      <c r="BG757" s="87"/>
      <c r="BH757" s="87"/>
      <c r="BI757" s="87"/>
    </row>
    <row r="758" spans="1:61" x14ac:dyDescent="0.25">
      <c r="A758" s="63" t="s">
        <v>503</v>
      </c>
      <c r="B758" s="63" t="s">
        <v>503</v>
      </c>
      <c r="C758" s="64"/>
      <c r="D758" s="65"/>
      <c r="E758" s="66"/>
      <c r="F758" s="67"/>
      <c r="G758" s="64"/>
      <c r="H758" s="68"/>
      <c r="I758" s="69"/>
      <c r="J758" s="69"/>
      <c r="K758" s="32"/>
      <c r="L758" s="76">
        <v>758</v>
      </c>
      <c r="M758" s="76"/>
      <c r="N758" s="71"/>
      <c r="O758" s="87" t="s">
        <v>179</v>
      </c>
      <c r="P758" s="90">
        <v>45110.770879629628</v>
      </c>
      <c r="Q758" s="87" t="s">
        <v>2582</v>
      </c>
      <c r="R758" s="87">
        <v>0</v>
      </c>
      <c r="S758" s="87">
        <v>0</v>
      </c>
      <c r="T758" s="87">
        <v>0</v>
      </c>
      <c r="U758" s="87">
        <v>0</v>
      </c>
      <c r="V758" s="87">
        <v>12</v>
      </c>
      <c r="W758" s="93" t="s">
        <v>6377</v>
      </c>
      <c r="X758" s="92" t="str">
        <f>HYPERLINK("http://workspacecuritiba.com.br")</f>
        <v>http://workspacecuritiba.com.br</v>
      </c>
      <c r="Y758" s="87" t="s">
        <v>8373</v>
      </c>
      <c r="Z758" s="87"/>
      <c r="AA758" s="87" t="s">
        <v>9107</v>
      </c>
      <c r="AB758" s="87" t="s">
        <v>11448</v>
      </c>
      <c r="AC758" s="93" t="s">
        <v>11457</v>
      </c>
      <c r="AD758" s="87" t="s">
        <v>11519</v>
      </c>
      <c r="AE758" s="92" t="str">
        <f>HYPERLINK("https://twitter.com/workspacecurit1/status/1675934953375166465")</f>
        <v>https://twitter.com/workspacecurit1/status/1675934953375166465</v>
      </c>
      <c r="AF758" s="90">
        <v>45110.770879629628</v>
      </c>
      <c r="AG758" s="99">
        <v>45110</v>
      </c>
      <c r="AH758" s="93" t="s">
        <v>12246</v>
      </c>
      <c r="AI758" s="87" t="b">
        <v>0</v>
      </c>
      <c r="AJ758" s="87"/>
      <c r="AK758" s="87"/>
      <c r="AL758" s="87"/>
      <c r="AM758" s="87"/>
      <c r="AN758" s="87"/>
      <c r="AO758" s="87"/>
      <c r="AP758" s="87"/>
      <c r="AQ758" s="87" t="s">
        <v>15920</v>
      </c>
      <c r="AR758" s="87"/>
      <c r="AS758" s="87"/>
      <c r="AT758" s="87"/>
      <c r="AU758" s="87"/>
      <c r="AV758" s="92" t="str">
        <f>HYPERLINK("https://pbs.twimg.com/media/F0Id4KlWcA815aw.jpg")</f>
        <v>https://pbs.twimg.com/media/F0Id4KlWcA815aw.jpg</v>
      </c>
      <c r="AW758" s="93" t="s">
        <v>19005</v>
      </c>
      <c r="AX758" s="93" t="s">
        <v>19005</v>
      </c>
      <c r="AY758" s="87"/>
      <c r="AZ758" s="93" t="s">
        <v>22668</v>
      </c>
      <c r="BA758" s="93" t="s">
        <v>22668</v>
      </c>
      <c r="BB758" s="93" t="s">
        <v>22668</v>
      </c>
      <c r="BC758" s="93" t="s">
        <v>19005</v>
      </c>
      <c r="BD758" s="93" t="s">
        <v>22962</v>
      </c>
      <c r="BE758" s="87"/>
      <c r="BF758" s="87"/>
      <c r="BG758" s="87"/>
      <c r="BH758" s="87"/>
      <c r="BI758" s="87"/>
    </row>
    <row r="759" spans="1:61" x14ac:dyDescent="0.25">
      <c r="A759" s="63" t="s">
        <v>503</v>
      </c>
      <c r="B759" s="63" t="s">
        <v>503</v>
      </c>
      <c r="C759" s="64"/>
      <c r="D759" s="65"/>
      <c r="E759" s="66"/>
      <c r="F759" s="67"/>
      <c r="G759" s="64"/>
      <c r="H759" s="68"/>
      <c r="I759" s="69"/>
      <c r="J759" s="69"/>
      <c r="K759" s="32"/>
      <c r="L759" s="76">
        <v>759</v>
      </c>
      <c r="M759" s="76"/>
      <c r="N759" s="71"/>
      <c r="O759" s="87" t="s">
        <v>179</v>
      </c>
      <c r="P759" s="90">
        <v>45195.459490740737</v>
      </c>
      <c r="Q759" s="87" t="s">
        <v>2583</v>
      </c>
      <c r="R759" s="87">
        <v>0</v>
      </c>
      <c r="S759" s="87">
        <v>0</v>
      </c>
      <c r="T759" s="87">
        <v>0</v>
      </c>
      <c r="U759" s="87">
        <v>0</v>
      </c>
      <c r="V759" s="87">
        <v>16</v>
      </c>
      <c r="W759" s="93" t="s">
        <v>6377</v>
      </c>
      <c r="X759" s="92" t="str">
        <f>HYPERLINK("http://workspacecuritiba.com.br")</f>
        <v>http://workspacecuritiba.com.br</v>
      </c>
      <c r="Y759" s="87" t="s">
        <v>8373</v>
      </c>
      <c r="Z759" s="87"/>
      <c r="AA759" s="87" t="s">
        <v>9108</v>
      </c>
      <c r="AB759" s="87" t="s">
        <v>11448</v>
      </c>
      <c r="AC759" s="93" t="s">
        <v>11457</v>
      </c>
      <c r="AD759" s="87" t="s">
        <v>11519</v>
      </c>
      <c r="AE759" s="92" t="str">
        <f>HYPERLINK("https://twitter.com/workspacecurit1/status/1706625077398196305")</f>
        <v>https://twitter.com/workspacecurit1/status/1706625077398196305</v>
      </c>
      <c r="AF759" s="90">
        <v>45195.459490740737</v>
      </c>
      <c r="AG759" s="99">
        <v>45195</v>
      </c>
      <c r="AH759" s="93" t="s">
        <v>12247</v>
      </c>
      <c r="AI759" s="87" t="b">
        <v>0</v>
      </c>
      <c r="AJ759" s="87"/>
      <c r="AK759" s="87"/>
      <c r="AL759" s="87"/>
      <c r="AM759" s="87"/>
      <c r="AN759" s="87"/>
      <c r="AO759" s="87"/>
      <c r="AP759" s="87"/>
      <c r="AQ759" s="87" t="s">
        <v>15921</v>
      </c>
      <c r="AR759" s="87"/>
      <c r="AS759" s="87"/>
      <c r="AT759" s="87"/>
      <c r="AU759" s="87"/>
      <c r="AV759" s="92" t="str">
        <f>HYPERLINK("https://pbs.twimg.com/media/F68ma9zWQAAbDtB.jpg")</f>
        <v>https://pbs.twimg.com/media/F68ma9zWQAAbDtB.jpg</v>
      </c>
      <c r="AW759" s="93" t="s">
        <v>19006</v>
      </c>
      <c r="AX759" s="93" t="s">
        <v>19006</v>
      </c>
      <c r="AY759" s="87"/>
      <c r="AZ759" s="93" t="s">
        <v>22668</v>
      </c>
      <c r="BA759" s="93" t="s">
        <v>22668</v>
      </c>
      <c r="BB759" s="93" t="s">
        <v>22668</v>
      </c>
      <c r="BC759" s="93" t="s">
        <v>19006</v>
      </c>
      <c r="BD759" s="93" t="s">
        <v>22962</v>
      </c>
      <c r="BE759" s="87"/>
      <c r="BF759" s="87"/>
      <c r="BG759" s="87"/>
      <c r="BH759" s="87"/>
      <c r="BI759" s="87"/>
    </row>
    <row r="760" spans="1:61" x14ac:dyDescent="0.25">
      <c r="A760" s="63" t="s">
        <v>504</v>
      </c>
      <c r="B760" s="63" t="s">
        <v>504</v>
      </c>
      <c r="C760" s="64"/>
      <c r="D760" s="65"/>
      <c r="E760" s="66"/>
      <c r="F760" s="67"/>
      <c r="G760" s="64"/>
      <c r="H760" s="68"/>
      <c r="I760" s="69"/>
      <c r="J760" s="69"/>
      <c r="K760" s="32"/>
      <c r="L760" s="76">
        <v>760</v>
      </c>
      <c r="M760" s="76"/>
      <c r="N760" s="71"/>
      <c r="O760" s="87" t="s">
        <v>179</v>
      </c>
      <c r="P760" s="90">
        <v>45187.257048611114</v>
      </c>
      <c r="Q760" s="87" t="s">
        <v>2584</v>
      </c>
      <c r="R760" s="87">
        <v>2</v>
      </c>
      <c r="S760" s="87">
        <v>1</v>
      </c>
      <c r="T760" s="87">
        <v>0</v>
      </c>
      <c r="U760" s="87">
        <v>0</v>
      </c>
      <c r="V760" s="87">
        <v>38</v>
      </c>
      <c r="W760" s="93" t="s">
        <v>6380</v>
      </c>
      <c r="X760" s="87"/>
      <c r="Y760" s="87"/>
      <c r="Z760" s="87"/>
      <c r="AA760" s="87" t="s">
        <v>9109</v>
      </c>
      <c r="AB760" s="87" t="s">
        <v>11447</v>
      </c>
      <c r="AC760" s="93" t="s">
        <v>11457</v>
      </c>
      <c r="AD760" s="87" t="s">
        <v>11520</v>
      </c>
      <c r="AE760" s="92" t="str">
        <f>HYPERLINK("https://twitter.com/pipsnacks75/status/1703652611243803056")</f>
        <v>https://twitter.com/pipsnacks75/status/1703652611243803056</v>
      </c>
      <c r="AF760" s="90">
        <v>45187.257048611114</v>
      </c>
      <c r="AG760" s="99">
        <v>45187</v>
      </c>
      <c r="AH760" s="93" t="s">
        <v>12248</v>
      </c>
      <c r="AI760" s="87" t="b">
        <v>0</v>
      </c>
      <c r="AJ760" s="87"/>
      <c r="AK760" s="87"/>
      <c r="AL760" s="87"/>
      <c r="AM760" s="87"/>
      <c r="AN760" s="87"/>
      <c r="AO760" s="87"/>
      <c r="AP760" s="87"/>
      <c r="AQ760" s="87" t="s">
        <v>15922</v>
      </c>
      <c r="AR760" s="87">
        <v>32347</v>
      </c>
      <c r="AS760" s="87"/>
      <c r="AT760" s="87"/>
      <c r="AU760" s="87"/>
      <c r="AV760" s="92" t="str">
        <f>HYPERLINK("https://pbs.twimg.com/ext_tw_video_thumb/1703651757354831872/pu/img/P5jlW7nM1rn9D_OM.jpg")</f>
        <v>https://pbs.twimg.com/ext_tw_video_thumb/1703651757354831872/pu/img/P5jlW7nM1rn9D_OM.jpg</v>
      </c>
      <c r="AW760" s="93" t="s">
        <v>19007</v>
      </c>
      <c r="AX760" s="93" t="s">
        <v>19007</v>
      </c>
      <c r="AY760" s="87"/>
      <c r="AZ760" s="93" t="s">
        <v>22668</v>
      </c>
      <c r="BA760" s="93" t="s">
        <v>22668</v>
      </c>
      <c r="BB760" s="93" t="s">
        <v>22668</v>
      </c>
      <c r="BC760" s="93" t="s">
        <v>19007</v>
      </c>
      <c r="BD760" s="93" t="s">
        <v>22963</v>
      </c>
      <c r="BE760" s="87"/>
      <c r="BF760" s="87"/>
      <c r="BG760" s="87"/>
      <c r="BH760" s="87"/>
      <c r="BI760" s="87"/>
    </row>
    <row r="761" spans="1:61" x14ac:dyDescent="0.25">
      <c r="A761" s="63" t="s">
        <v>505</v>
      </c>
      <c r="B761" s="63" t="s">
        <v>505</v>
      </c>
      <c r="C761" s="64"/>
      <c r="D761" s="65"/>
      <c r="E761" s="66"/>
      <c r="F761" s="67"/>
      <c r="G761" s="64"/>
      <c r="H761" s="68"/>
      <c r="I761" s="69"/>
      <c r="J761" s="69"/>
      <c r="K761" s="32"/>
      <c r="L761" s="76">
        <v>761</v>
      </c>
      <c r="M761" s="76"/>
      <c r="N761" s="71"/>
      <c r="O761" s="87" t="s">
        <v>179</v>
      </c>
      <c r="P761" s="90">
        <v>45176.625081018516</v>
      </c>
      <c r="Q761" s="87" t="s">
        <v>2585</v>
      </c>
      <c r="R761" s="87">
        <v>0</v>
      </c>
      <c r="S761" s="87">
        <v>1</v>
      </c>
      <c r="T761" s="87">
        <v>0</v>
      </c>
      <c r="U761" s="87">
        <v>0</v>
      </c>
      <c r="V761" s="87">
        <v>37</v>
      </c>
      <c r="W761" s="93" t="s">
        <v>6381</v>
      </c>
      <c r="X761" s="87"/>
      <c r="Y761" s="87"/>
      <c r="Z761" s="87"/>
      <c r="AA761" s="87" t="s">
        <v>9110</v>
      </c>
      <c r="AB761" s="87" t="s">
        <v>11448</v>
      </c>
      <c r="AC761" s="93" t="s">
        <v>11462</v>
      </c>
      <c r="AD761" s="87" t="s">
        <v>11519</v>
      </c>
      <c r="AE761" s="92" t="str">
        <f>HYPERLINK("https://twitter.com/americans__real/status/1699799717021122635")</f>
        <v>https://twitter.com/americans__real/status/1699799717021122635</v>
      </c>
      <c r="AF761" s="90">
        <v>45176.625081018516</v>
      </c>
      <c r="AG761" s="99">
        <v>45176</v>
      </c>
      <c r="AH761" s="93" t="s">
        <v>12249</v>
      </c>
      <c r="AI761" s="87" t="b">
        <v>0</v>
      </c>
      <c r="AJ761" s="87"/>
      <c r="AK761" s="87"/>
      <c r="AL761" s="87"/>
      <c r="AM761" s="87"/>
      <c r="AN761" s="87"/>
      <c r="AO761" s="87"/>
      <c r="AP761" s="87"/>
      <c r="AQ761" s="87" t="s">
        <v>15923</v>
      </c>
      <c r="AR761" s="87"/>
      <c r="AS761" s="87"/>
      <c r="AT761" s="87"/>
      <c r="AU761" s="87"/>
      <c r="AV761" s="92" t="str">
        <f>HYPERLINK("https://pbs.twimg.com/media/F5bm1WkaYAE_vuM.jpg")</f>
        <v>https://pbs.twimg.com/media/F5bm1WkaYAE_vuM.jpg</v>
      </c>
      <c r="AW761" s="93" t="s">
        <v>19008</v>
      </c>
      <c r="AX761" s="93" t="s">
        <v>19008</v>
      </c>
      <c r="AY761" s="87"/>
      <c r="AZ761" s="93" t="s">
        <v>22668</v>
      </c>
      <c r="BA761" s="93" t="s">
        <v>22668</v>
      </c>
      <c r="BB761" s="93" t="s">
        <v>22668</v>
      </c>
      <c r="BC761" s="93" t="s">
        <v>19008</v>
      </c>
      <c r="BD761" s="93" t="s">
        <v>22964</v>
      </c>
      <c r="BE761" s="87"/>
      <c r="BF761" s="87"/>
      <c r="BG761" s="87"/>
      <c r="BH761" s="87"/>
      <c r="BI761" s="87"/>
    </row>
    <row r="762" spans="1:61" x14ac:dyDescent="0.25">
      <c r="A762" s="63" t="s">
        <v>506</v>
      </c>
      <c r="B762" s="63" t="s">
        <v>506</v>
      </c>
      <c r="C762" s="64"/>
      <c r="D762" s="65"/>
      <c r="E762" s="66"/>
      <c r="F762" s="67"/>
      <c r="G762" s="64"/>
      <c r="H762" s="68"/>
      <c r="I762" s="69"/>
      <c r="J762" s="69"/>
      <c r="K762" s="32"/>
      <c r="L762" s="76">
        <v>762</v>
      </c>
      <c r="M762" s="76"/>
      <c r="N762" s="71"/>
      <c r="O762" s="87" t="s">
        <v>179</v>
      </c>
      <c r="P762" s="90">
        <v>45191.177233796298</v>
      </c>
      <c r="Q762" s="87" t="s">
        <v>2586</v>
      </c>
      <c r="R762" s="87">
        <v>0</v>
      </c>
      <c r="S762" s="87">
        <v>2</v>
      </c>
      <c r="T762" s="87">
        <v>0</v>
      </c>
      <c r="U762" s="87">
        <v>0</v>
      </c>
      <c r="V762" s="87">
        <v>69</v>
      </c>
      <c r="W762" s="93" t="s">
        <v>6382</v>
      </c>
      <c r="X762" s="87"/>
      <c r="Y762" s="87"/>
      <c r="Z762" s="87"/>
      <c r="AA762" s="87" t="s">
        <v>9111</v>
      </c>
      <c r="AB762" s="87" t="s">
        <v>11448</v>
      </c>
      <c r="AC762" s="93" t="s">
        <v>11459</v>
      </c>
      <c r="AD762" s="87" t="s">
        <v>11520</v>
      </c>
      <c r="AE762" s="92" t="str">
        <f>HYPERLINK("https://twitter.com/valterlobo1/status/1705073238416502852")</f>
        <v>https://twitter.com/valterlobo1/status/1705073238416502852</v>
      </c>
      <c r="AF762" s="90">
        <v>45191.177233796298</v>
      </c>
      <c r="AG762" s="99">
        <v>45191</v>
      </c>
      <c r="AH762" s="93" t="s">
        <v>12250</v>
      </c>
      <c r="AI762" s="87" t="b">
        <v>0</v>
      </c>
      <c r="AJ762" s="87"/>
      <c r="AK762" s="87"/>
      <c r="AL762" s="87"/>
      <c r="AM762" s="87"/>
      <c r="AN762" s="87"/>
      <c r="AO762" s="87"/>
      <c r="AP762" s="87"/>
      <c r="AQ762" s="87" t="s">
        <v>15924</v>
      </c>
      <c r="AR762" s="87"/>
      <c r="AS762" s="87"/>
      <c r="AT762" s="87"/>
      <c r="AU762" s="87"/>
      <c r="AV762" s="92" t="str">
        <f>HYPERLINK("https://pbs.twimg.com/media/F6mjEwEXUAAPExi.jpg")</f>
        <v>https://pbs.twimg.com/media/F6mjEwEXUAAPExi.jpg</v>
      </c>
      <c r="AW762" s="93" t="s">
        <v>19009</v>
      </c>
      <c r="AX762" s="93" t="s">
        <v>19009</v>
      </c>
      <c r="AY762" s="87"/>
      <c r="AZ762" s="93" t="s">
        <v>22668</v>
      </c>
      <c r="BA762" s="93" t="s">
        <v>22668</v>
      </c>
      <c r="BB762" s="93" t="s">
        <v>22668</v>
      </c>
      <c r="BC762" s="93" t="s">
        <v>19009</v>
      </c>
      <c r="BD762" s="87">
        <v>370803086</v>
      </c>
      <c r="BE762" s="87"/>
      <c r="BF762" s="87"/>
      <c r="BG762" s="87"/>
      <c r="BH762" s="87"/>
      <c r="BI762" s="87"/>
    </row>
    <row r="763" spans="1:61" x14ac:dyDescent="0.25">
      <c r="A763" s="63" t="s">
        <v>507</v>
      </c>
      <c r="B763" s="63" t="s">
        <v>507</v>
      </c>
      <c r="C763" s="64"/>
      <c r="D763" s="65"/>
      <c r="E763" s="66"/>
      <c r="F763" s="67"/>
      <c r="G763" s="64"/>
      <c r="H763" s="68"/>
      <c r="I763" s="69"/>
      <c r="J763" s="69"/>
      <c r="K763" s="32"/>
      <c r="L763" s="76">
        <v>763</v>
      </c>
      <c r="M763" s="76"/>
      <c r="N763" s="71"/>
      <c r="O763" s="87" t="s">
        <v>1840</v>
      </c>
      <c r="P763" s="90">
        <v>45140.416319444441</v>
      </c>
      <c r="Q763" s="87" t="s">
        <v>2587</v>
      </c>
      <c r="R763" s="87">
        <v>0</v>
      </c>
      <c r="S763" s="87">
        <v>1</v>
      </c>
      <c r="T763" s="87">
        <v>0</v>
      </c>
      <c r="U763" s="87">
        <v>0</v>
      </c>
      <c r="V763" s="87">
        <v>1028</v>
      </c>
      <c r="W763" s="93" t="s">
        <v>6383</v>
      </c>
      <c r="X763" s="87"/>
      <c r="Y763" s="87"/>
      <c r="Z763" s="87"/>
      <c r="AA763" s="87" t="s">
        <v>9112</v>
      </c>
      <c r="AB763" s="87" t="s">
        <v>11448</v>
      </c>
      <c r="AC763" s="93" t="s">
        <v>11458</v>
      </c>
      <c r="AD763" s="87" t="s">
        <v>11520</v>
      </c>
      <c r="AE763" s="92" t="str">
        <f>HYPERLINK("https://twitter.com/dinheironosaco/status/1686678100724080640")</f>
        <v>https://twitter.com/dinheironosaco/status/1686678100724080640</v>
      </c>
      <c r="AF763" s="90">
        <v>45140.416319444441</v>
      </c>
      <c r="AG763" s="99">
        <v>45140</v>
      </c>
      <c r="AH763" s="93" t="s">
        <v>12251</v>
      </c>
      <c r="AI763" s="87" t="b">
        <v>0</v>
      </c>
      <c r="AJ763" s="87"/>
      <c r="AK763" s="87"/>
      <c r="AL763" s="87"/>
      <c r="AM763" s="87"/>
      <c r="AN763" s="87"/>
      <c r="AO763" s="87"/>
      <c r="AP763" s="87"/>
      <c r="AQ763" s="87" t="s">
        <v>15925</v>
      </c>
      <c r="AR763" s="87"/>
      <c r="AS763" s="87"/>
      <c r="AT763" s="87"/>
      <c r="AU763" s="87"/>
      <c r="AV763" s="92" t="str">
        <f>HYPERLINK("https://pbs.twimg.com/media/F2hIydqWEAAKYuy.jpg")</f>
        <v>https://pbs.twimg.com/media/F2hIydqWEAAKYuy.jpg</v>
      </c>
      <c r="AW763" s="93" t="s">
        <v>19010</v>
      </c>
      <c r="AX763" s="93" t="s">
        <v>22325</v>
      </c>
      <c r="AY763" s="93" t="s">
        <v>22534</v>
      </c>
      <c r="AZ763" s="93" t="s">
        <v>22325</v>
      </c>
      <c r="BA763" s="93" t="s">
        <v>22668</v>
      </c>
      <c r="BB763" s="93" t="s">
        <v>22668</v>
      </c>
      <c r="BC763" s="93" t="s">
        <v>22325</v>
      </c>
      <c r="BD763" s="93" t="s">
        <v>22534</v>
      </c>
      <c r="BE763" s="87"/>
      <c r="BF763" s="87"/>
      <c r="BG763" s="87"/>
      <c r="BH763" s="87"/>
      <c r="BI763" s="87"/>
    </row>
    <row r="764" spans="1:61" x14ac:dyDescent="0.25">
      <c r="A764" s="63" t="s">
        <v>508</v>
      </c>
      <c r="B764" s="63" t="s">
        <v>508</v>
      </c>
      <c r="C764" s="64"/>
      <c r="D764" s="65"/>
      <c r="E764" s="66"/>
      <c r="F764" s="67"/>
      <c r="G764" s="64"/>
      <c r="H764" s="68"/>
      <c r="I764" s="69"/>
      <c r="J764" s="69"/>
      <c r="K764" s="32"/>
      <c r="L764" s="76">
        <v>764</v>
      </c>
      <c r="M764" s="76"/>
      <c r="N764" s="71"/>
      <c r="O764" s="87" t="s">
        <v>179</v>
      </c>
      <c r="P764" s="90">
        <v>45149.720937500002</v>
      </c>
      <c r="Q764" s="87" t="s">
        <v>2588</v>
      </c>
      <c r="R764" s="87">
        <v>0</v>
      </c>
      <c r="S764" s="87">
        <v>0</v>
      </c>
      <c r="T764" s="87">
        <v>0</v>
      </c>
      <c r="U764" s="87">
        <v>0</v>
      </c>
      <c r="V764" s="87">
        <v>33</v>
      </c>
      <c r="W764" s="93" t="s">
        <v>6384</v>
      </c>
      <c r="X764" s="92" t="str">
        <f>HYPERLINK("https://www.jornalcidade.net/rc/influenciadores-entram-na-pauta-do-empreendedorismo/248240/")</f>
        <v>https://www.jornalcidade.net/rc/influenciadores-entram-na-pauta-do-empreendedorismo/248240/</v>
      </c>
      <c r="Y764" s="87" t="s">
        <v>8422</v>
      </c>
      <c r="Z764" s="87"/>
      <c r="AA764" s="87" t="s">
        <v>9113</v>
      </c>
      <c r="AB764" s="87" t="s">
        <v>11448</v>
      </c>
      <c r="AC764" s="93" t="s">
        <v>11457</v>
      </c>
      <c r="AD764" s="87" t="s">
        <v>11519</v>
      </c>
      <c r="AE764" s="92" t="str">
        <f>HYPERLINK("https://twitter.com/jcrioclaro/status/1690049979077869568")</f>
        <v>https://twitter.com/jcrioclaro/status/1690049979077869568</v>
      </c>
      <c r="AF764" s="90">
        <v>45149.720937500002</v>
      </c>
      <c r="AG764" s="99">
        <v>45149</v>
      </c>
      <c r="AH764" s="93" t="s">
        <v>12252</v>
      </c>
      <c r="AI764" s="87" t="b">
        <v>0</v>
      </c>
      <c r="AJ764" s="87"/>
      <c r="AK764" s="87"/>
      <c r="AL764" s="87"/>
      <c r="AM764" s="87"/>
      <c r="AN764" s="87"/>
      <c r="AO764" s="87"/>
      <c r="AP764" s="87"/>
      <c r="AQ764" s="87" t="s">
        <v>15926</v>
      </c>
      <c r="AR764" s="87"/>
      <c r="AS764" s="87"/>
      <c r="AT764" s="87"/>
      <c r="AU764" s="87"/>
      <c r="AV764" s="92" t="str">
        <f>HYPERLINK("https://pbs.twimg.com/media/F3RDQTHWoAQdUjb.jpg")</f>
        <v>https://pbs.twimg.com/media/F3RDQTHWoAQdUjb.jpg</v>
      </c>
      <c r="AW764" s="93" t="s">
        <v>19011</v>
      </c>
      <c r="AX764" s="93" t="s">
        <v>19011</v>
      </c>
      <c r="AY764" s="87"/>
      <c r="AZ764" s="93" t="s">
        <v>22668</v>
      </c>
      <c r="BA764" s="93" t="s">
        <v>22668</v>
      </c>
      <c r="BB764" s="93" t="s">
        <v>22668</v>
      </c>
      <c r="BC764" s="93" t="s">
        <v>19011</v>
      </c>
      <c r="BD764" s="87">
        <v>34442116</v>
      </c>
      <c r="BE764" s="87"/>
      <c r="BF764" s="87"/>
      <c r="BG764" s="87"/>
      <c r="BH764" s="87"/>
      <c r="BI764" s="87"/>
    </row>
    <row r="765" spans="1:61" x14ac:dyDescent="0.25">
      <c r="A765" s="63" t="s">
        <v>509</v>
      </c>
      <c r="B765" s="63" t="s">
        <v>509</v>
      </c>
      <c r="C765" s="64"/>
      <c r="D765" s="65"/>
      <c r="E765" s="66"/>
      <c r="F765" s="67"/>
      <c r="G765" s="64"/>
      <c r="H765" s="68"/>
      <c r="I765" s="69"/>
      <c r="J765" s="69"/>
      <c r="K765" s="32"/>
      <c r="L765" s="76">
        <v>765</v>
      </c>
      <c r="M765" s="76"/>
      <c r="N765" s="71"/>
      <c r="O765" s="87" t="s">
        <v>179</v>
      </c>
      <c r="P765" s="90">
        <v>45130.850590277776</v>
      </c>
      <c r="Q765" s="87" t="s">
        <v>2589</v>
      </c>
      <c r="R765" s="87">
        <v>0</v>
      </c>
      <c r="S765" s="87">
        <v>0</v>
      </c>
      <c r="T765" s="87">
        <v>0</v>
      </c>
      <c r="U765" s="87">
        <v>0</v>
      </c>
      <c r="V765" s="87">
        <v>32</v>
      </c>
      <c r="W765" s="93" t="s">
        <v>6385</v>
      </c>
      <c r="X765" s="87"/>
      <c r="Y765" s="87"/>
      <c r="Z765" s="87"/>
      <c r="AA765" s="87"/>
      <c r="AB765" s="87"/>
      <c r="AC765" s="93" t="s">
        <v>11457</v>
      </c>
      <c r="AD765" s="87" t="s">
        <v>11519</v>
      </c>
      <c r="AE765" s="92" t="str">
        <f>HYPERLINK("https://twitter.com/arno_rocha/status/1683211596246466562")</f>
        <v>https://twitter.com/arno_rocha/status/1683211596246466562</v>
      </c>
      <c r="AF765" s="90">
        <v>45130.850590277776</v>
      </c>
      <c r="AG765" s="99">
        <v>45130</v>
      </c>
      <c r="AH765" s="93" t="s">
        <v>12253</v>
      </c>
      <c r="AI765" s="87"/>
      <c r="AJ765" s="87"/>
      <c r="AK765" s="87"/>
      <c r="AL765" s="87"/>
      <c r="AM765" s="87"/>
      <c r="AN765" s="87"/>
      <c r="AO765" s="87"/>
      <c r="AP765" s="87"/>
      <c r="AQ765" s="87"/>
      <c r="AR765" s="87"/>
      <c r="AS765" s="87"/>
      <c r="AT765" s="87"/>
      <c r="AU765" s="87"/>
      <c r="AV765" s="92" t="str">
        <f>HYPERLINK("https://pbs.twimg.com/profile_images/1683121319796244480/wodm9G3W_normal.jpg")</f>
        <v>https://pbs.twimg.com/profile_images/1683121319796244480/wodm9G3W_normal.jpg</v>
      </c>
      <c r="AW765" s="93" t="s">
        <v>19012</v>
      </c>
      <c r="AX765" s="93" t="s">
        <v>19012</v>
      </c>
      <c r="AY765" s="87"/>
      <c r="AZ765" s="93" t="s">
        <v>22668</v>
      </c>
      <c r="BA765" s="93" t="s">
        <v>22668</v>
      </c>
      <c r="BB765" s="93" t="s">
        <v>22668</v>
      </c>
      <c r="BC765" s="93" t="s">
        <v>19012</v>
      </c>
      <c r="BD765" s="93" t="s">
        <v>22965</v>
      </c>
      <c r="BE765" s="87"/>
      <c r="BF765" s="87"/>
      <c r="BG765" s="87"/>
      <c r="BH765" s="87"/>
      <c r="BI765" s="87"/>
    </row>
    <row r="766" spans="1:61" x14ac:dyDescent="0.25">
      <c r="A766" s="63" t="s">
        <v>510</v>
      </c>
      <c r="B766" s="63" t="s">
        <v>1646</v>
      </c>
      <c r="C766" s="64"/>
      <c r="D766" s="65"/>
      <c r="E766" s="66"/>
      <c r="F766" s="67"/>
      <c r="G766" s="64"/>
      <c r="H766" s="68"/>
      <c r="I766" s="69"/>
      <c r="J766" s="69"/>
      <c r="K766" s="32"/>
      <c r="L766" s="76">
        <v>766</v>
      </c>
      <c r="M766" s="76"/>
      <c r="N766" s="71"/>
      <c r="O766" s="87" t="s">
        <v>1840</v>
      </c>
      <c r="P766" s="90">
        <v>45142.569733796299</v>
      </c>
      <c r="Q766" s="87" t="s">
        <v>2590</v>
      </c>
      <c r="R766" s="87">
        <v>0</v>
      </c>
      <c r="S766" s="87">
        <v>0</v>
      </c>
      <c r="T766" s="87">
        <v>0</v>
      </c>
      <c r="U766" s="87">
        <v>0</v>
      </c>
      <c r="V766" s="87">
        <v>4</v>
      </c>
      <c r="W766" s="93" t="s">
        <v>5897</v>
      </c>
      <c r="X766" s="87"/>
      <c r="Y766" s="87"/>
      <c r="Z766" s="87" t="s">
        <v>1646</v>
      </c>
      <c r="AA766" s="87"/>
      <c r="AB766" s="87"/>
      <c r="AC766" s="93" t="s">
        <v>11459</v>
      </c>
      <c r="AD766" s="87" t="s">
        <v>11519</v>
      </c>
      <c r="AE766" s="92" t="str">
        <f>HYPERLINK("https://twitter.com/mattheus22/status/1687458468611919872")</f>
        <v>https://twitter.com/mattheus22/status/1687458468611919872</v>
      </c>
      <c r="AF766" s="90">
        <v>45142.569733796299</v>
      </c>
      <c r="AG766" s="99">
        <v>45142</v>
      </c>
      <c r="AH766" s="93" t="s">
        <v>12254</v>
      </c>
      <c r="AI766" s="87"/>
      <c r="AJ766" s="87"/>
      <c r="AK766" s="87"/>
      <c r="AL766" s="87"/>
      <c r="AM766" s="87"/>
      <c r="AN766" s="87"/>
      <c r="AO766" s="87"/>
      <c r="AP766" s="87"/>
      <c r="AQ766" s="87"/>
      <c r="AR766" s="87"/>
      <c r="AS766" s="87"/>
      <c r="AT766" s="87"/>
      <c r="AU766" s="87"/>
      <c r="AV766" s="92" t="str">
        <f>HYPERLINK("https://pbs.twimg.com/profile_images/1696604106427645952/kKWe_7IM_normal.jpg")</f>
        <v>https://pbs.twimg.com/profile_images/1696604106427645952/kKWe_7IM_normal.jpg</v>
      </c>
      <c r="AW766" s="93" t="s">
        <v>19013</v>
      </c>
      <c r="AX766" s="93" t="s">
        <v>22326</v>
      </c>
      <c r="AY766" s="93" t="s">
        <v>22535</v>
      </c>
      <c r="AZ766" s="93" t="s">
        <v>22326</v>
      </c>
      <c r="BA766" s="93" t="s">
        <v>22668</v>
      </c>
      <c r="BB766" s="93" t="s">
        <v>22668</v>
      </c>
      <c r="BC766" s="93" t="s">
        <v>22326</v>
      </c>
      <c r="BD766" s="87">
        <v>98167418</v>
      </c>
      <c r="BE766" s="87"/>
      <c r="BF766" s="87"/>
      <c r="BG766" s="87"/>
      <c r="BH766" s="87"/>
      <c r="BI766" s="87"/>
    </row>
    <row r="767" spans="1:61" x14ac:dyDescent="0.25">
      <c r="A767" s="63" t="s">
        <v>511</v>
      </c>
      <c r="B767" s="63" t="s">
        <v>511</v>
      </c>
      <c r="C767" s="64"/>
      <c r="D767" s="65"/>
      <c r="E767" s="66"/>
      <c r="F767" s="67"/>
      <c r="G767" s="64"/>
      <c r="H767" s="68"/>
      <c r="I767" s="69"/>
      <c r="J767" s="69"/>
      <c r="K767" s="32"/>
      <c r="L767" s="76">
        <v>767</v>
      </c>
      <c r="M767" s="76"/>
      <c r="N767" s="71"/>
      <c r="O767" s="87" t="s">
        <v>179</v>
      </c>
      <c r="P767" s="90">
        <v>45159.966932870368</v>
      </c>
      <c r="Q767" s="87" t="s">
        <v>2591</v>
      </c>
      <c r="R767" s="87">
        <v>0</v>
      </c>
      <c r="S767" s="87">
        <v>0</v>
      </c>
      <c r="T767" s="87">
        <v>0</v>
      </c>
      <c r="U767" s="87">
        <v>0</v>
      </c>
      <c r="V767" s="87">
        <v>17</v>
      </c>
      <c r="W767" s="93" t="s">
        <v>6386</v>
      </c>
      <c r="X767" s="87"/>
      <c r="Y767" s="87"/>
      <c r="Z767" s="87"/>
      <c r="AA767" s="87" t="s">
        <v>9114</v>
      </c>
      <c r="AB767" s="87" t="s">
        <v>11447</v>
      </c>
      <c r="AC767" s="93" t="s">
        <v>11458</v>
      </c>
      <c r="AD767" s="87" t="s">
        <v>11519</v>
      </c>
      <c r="AE767" s="92" t="str">
        <f>HYPERLINK("https://twitter.com/milionarioscty/status/1693763006427955457")</f>
        <v>https://twitter.com/milionarioscty/status/1693763006427955457</v>
      </c>
      <c r="AF767" s="90">
        <v>45159.966932870368</v>
      </c>
      <c r="AG767" s="99">
        <v>45159</v>
      </c>
      <c r="AH767" s="93" t="s">
        <v>12255</v>
      </c>
      <c r="AI767" s="87" t="b">
        <v>0</v>
      </c>
      <c r="AJ767" s="87"/>
      <c r="AK767" s="87"/>
      <c r="AL767" s="87"/>
      <c r="AM767" s="87"/>
      <c r="AN767" s="87"/>
      <c r="AO767" s="87"/>
      <c r="AP767" s="87"/>
      <c r="AQ767" s="87" t="s">
        <v>15927</v>
      </c>
      <c r="AR767" s="87">
        <v>12910</v>
      </c>
      <c r="AS767" s="87"/>
      <c r="AT767" s="87"/>
      <c r="AU767" s="87"/>
      <c r="AV767" s="92" t="str">
        <f>HYPERLINK("https://pbs.twimg.com/ext_tw_video_thumb/1693762973947379712/pu/img/XHVnWx7fuNb3vzDN.jpg")</f>
        <v>https://pbs.twimg.com/ext_tw_video_thumb/1693762973947379712/pu/img/XHVnWx7fuNb3vzDN.jpg</v>
      </c>
      <c r="AW767" s="93" t="s">
        <v>19014</v>
      </c>
      <c r="AX767" s="93" t="s">
        <v>19014</v>
      </c>
      <c r="AY767" s="87"/>
      <c r="AZ767" s="93" t="s">
        <v>22668</v>
      </c>
      <c r="BA767" s="93" t="s">
        <v>22668</v>
      </c>
      <c r="BB767" s="93" t="s">
        <v>22668</v>
      </c>
      <c r="BC767" s="93" t="s">
        <v>19014</v>
      </c>
      <c r="BD767" s="93" t="s">
        <v>22966</v>
      </c>
      <c r="BE767" s="87"/>
      <c r="BF767" s="87"/>
      <c r="BG767" s="87"/>
      <c r="BH767" s="87"/>
      <c r="BI767" s="87"/>
    </row>
    <row r="768" spans="1:61" x14ac:dyDescent="0.25">
      <c r="A768" s="63" t="s">
        <v>512</v>
      </c>
      <c r="B768" s="63" t="s">
        <v>512</v>
      </c>
      <c r="C768" s="64"/>
      <c r="D768" s="65"/>
      <c r="E768" s="66"/>
      <c r="F768" s="67"/>
      <c r="G768" s="64"/>
      <c r="H768" s="68"/>
      <c r="I768" s="69"/>
      <c r="J768" s="69"/>
      <c r="K768" s="32"/>
      <c r="L768" s="76">
        <v>768</v>
      </c>
      <c r="M768" s="76"/>
      <c r="N768" s="71"/>
      <c r="O768" s="87" t="s">
        <v>179</v>
      </c>
      <c r="P768" s="90">
        <v>45111.835393518515</v>
      </c>
      <c r="Q768" s="87" t="s">
        <v>2592</v>
      </c>
      <c r="R768" s="87">
        <v>0</v>
      </c>
      <c r="S768" s="87">
        <v>1</v>
      </c>
      <c r="T768" s="87">
        <v>0</v>
      </c>
      <c r="U768" s="87">
        <v>0</v>
      </c>
      <c r="V768" s="87">
        <v>57</v>
      </c>
      <c r="W768" s="93" t="s">
        <v>6387</v>
      </c>
      <c r="X768" s="87"/>
      <c r="Y768" s="87"/>
      <c r="Z768" s="87"/>
      <c r="AA768" s="87" t="s">
        <v>9115</v>
      </c>
      <c r="AB768" s="87" t="s">
        <v>11448</v>
      </c>
      <c r="AC768" s="93" t="s">
        <v>11459</v>
      </c>
      <c r="AD768" s="87" t="s">
        <v>11519</v>
      </c>
      <c r="AE768" s="92" t="str">
        <f>HYPERLINK("https://twitter.com/altaidestorres/status/1676320719251075073")</f>
        <v>https://twitter.com/altaidestorres/status/1676320719251075073</v>
      </c>
      <c r="AF768" s="90">
        <v>45111.835393518515</v>
      </c>
      <c r="AG768" s="99">
        <v>45111</v>
      </c>
      <c r="AH768" s="93" t="s">
        <v>12256</v>
      </c>
      <c r="AI768" s="87" t="b">
        <v>0</v>
      </c>
      <c r="AJ768" s="87" t="s">
        <v>15184</v>
      </c>
      <c r="AK768" s="87" t="s">
        <v>15234</v>
      </c>
      <c r="AL768" s="87" t="s">
        <v>15237</v>
      </c>
      <c r="AM768" s="87" t="s">
        <v>15255</v>
      </c>
      <c r="AN768" s="87" t="s">
        <v>15321</v>
      </c>
      <c r="AO768" s="87" t="s">
        <v>15387</v>
      </c>
      <c r="AP768" s="87" t="s">
        <v>15437</v>
      </c>
      <c r="AQ768" s="87" t="s">
        <v>15928</v>
      </c>
      <c r="AR768" s="87"/>
      <c r="AS768" s="87"/>
      <c r="AT768" s="87"/>
      <c r="AU768" s="87"/>
      <c r="AV768" s="92" t="str">
        <f>HYPERLINK("https://pbs.twimg.com/media/F0N8z3QXgAgigVB.jpg")</f>
        <v>https://pbs.twimg.com/media/F0N8z3QXgAgigVB.jpg</v>
      </c>
      <c r="AW768" s="93" t="s">
        <v>19015</v>
      </c>
      <c r="AX768" s="93" t="s">
        <v>19015</v>
      </c>
      <c r="AY768" s="87"/>
      <c r="AZ768" s="93" t="s">
        <v>22668</v>
      </c>
      <c r="BA768" s="93" t="s">
        <v>22668</v>
      </c>
      <c r="BB768" s="93" t="s">
        <v>22668</v>
      </c>
      <c r="BC768" s="93" t="s">
        <v>19015</v>
      </c>
      <c r="BD768" s="87">
        <v>135640986</v>
      </c>
      <c r="BE768" s="87"/>
      <c r="BF768" s="87"/>
      <c r="BG768" s="87"/>
      <c r="BH768" s="87"/>
      <c r="BI768" s="87"/>
    </row>
    <row r="769" spans="1:61" x14ac:dyDescent="0.25">
      <c r="A769" s="63" t="s">
        <v>512</v>
      </c>
      <c r="B769" s="63" t="s">
        <v>512</v>
      </c>
      <c r="C769" s="64"/>
      <c r="D769" s="65"/>
      <c r="E769" s="66"/>
      <c r="F769" s="67"/>
      <c r="G769" s="64"/>
      <c r="H769" s="68"/>
      <c r="I769" s="69"/>
      <c r="J769" s="69"/>
      <c r="K769" s="32"/>
      <c r="L769" s="76">
        <v>769</v>
      </c>
      <c r="M769" s="76"/>
      <c r="N769" s="71"/>
      <c r="O769" s="87" t="s">
        <v>179</v>
      </c>
      <c r="P769" s="90">
        <v>45148.844236111108</v>
      </c>
      <c r="Q769" s="87" t="s">
        <v>2593</v>
      </c>
      <c r="R769" s="87">
        <v>0</v>
      </c>
      <c r="S769" s="87">
        <v>1</v>
      </c>
      <c r="T769" s="87">
        <v>0</v>
      </c>
      <c r="U769" s="87">
        <v>0</v>
      </c>
      <c r="V769" s="87">
        <v>19</v>
      </c>
      <c r="W769" s="93" t="s">
        <v>6388</v>
      </c>
      <c r="X769" s="87"/>
      <c r="Y769" s="87"/>
      <c r="Z769" s="87"/>
      <c r="AA769" s="87" t="s">
        <v>9116</v>
      </c>
      <c r="AB769" s="87" t="s">
        <v>11448</v>
      </c>
      <c r="AC769" s="93" t="s">
        <v>11457</v>
      </c>
      <c r="AD769" s="87" t="s">
        <v>11519</v>
      </c>
      <c r="AE769" s="92" t="str">
        <f>HYPERLINK("https://twitter.com/altaidestorres/status/1689732275091431424")</f>
        <v>https://twitter.com/altaidestorres/status/1689732275091431424</v>
      </c>
      <c r="AF769" s="90">
        <v>45148.844236111108</v>
      </c>
      <c r="AG769" s="99">
        <v>45148</v>
      </c>
      <c r="AH769" s="93" t="s">
        <v>12257</v>
      </c>
      <c r="AI769" s="87" t="b">
        <v>0</v>
      </c>
      <c r="AJ769" s="87" t="s">
        <v>15184</v>
      </c>
      <c r="AK769" s="87" t="s">
        <v>15234</v>
      </c>
      <c r="AL769" s="87" t="s">
        <v>15237</v>
      </c>
      <c r="AM769" s="87" t="s">
        <v>15256</v>
      </c>
      <c r="AN769" s="87" t="s">
        <v>15322</v>
      </c>
      <c r="AO769" s="87" t="s">
        <v>15388</v>
      </c>
      <c r="AP769" s="87" t="s">
        <v>15438</v>
      </c>
      <c r="AQ769" s="87" t="s">
        <v>15929</v>
      </c>
      <c r="AR769" s="87"/>
      <c r="AS769" s="87"/>
      <c r="AT769" s="87"/>
      <c r="AU769" s="87"/>
      <c r="AV769" s="92" t="str">
        <f>HYPERLINK("https://pbs.twimg.com/media/F3MihkcXIAAIDOO.jpg")</f>
        <v>https://pbs.twimg.com/media/F3MihkcXIAAIDOO.jpg</v>
      </c>
      <c r="AW769" s="93" t="s">
        <v>19016</v>
      </c>
      <c r="AX769" s="93" t="s">
        <v>19016</v>
      </c>
      <c r="AY769" s="87"/>
      <c r="AZ769" s="93" t="s">
        <v>22668</v>
      </c>
      <c r="BA769" s="93" t="s">
        <v>22668</v>
      </c>
      <c r="BB769" s="93" t="s">
        <v>22668</v>
      </c>
      <c r="BC769" s="93" t="s">
        <v>19016</v>
      </c>
      <c r="BD769" s="87">
        <v>135640986</v>
      </c>
      <c r="BE769" s="87"/>
      <c r="BF769" s="87"/>
      <c r="BG769" s="87"/>
      <c r="BH769" s="87"/>
      <c r="BI769" s="87"/>
    </row>
    <row r="770" spans="1:61" x14ac:dyDescent="0.25">
      <c r="A770" s="63" t="s">
        <v>512</v>
      </c>
      <c r="B770" s="63" t="s">
        <v>512</v>
      </c>
      <c r="C770" s="64"/>
      <c r="D770" s="65"/>
      <c r="E770" s="66"/>
      <c r="F770" s="67"/>
      <c r="G770" s="64"/>
      <c r="H770" s="68"/>
      <c r="I770" s="69"/>
      <c r="J770" s="69"/>
      <c r="K770" s="32"/>
      <c r="L770" s="76">
        <v>770</v>
      </c>
      <c r="M770" s="76"/>
      <c r="N770" s="71"/>
      <c r="O770" s="87" t="s">
        <v>179</v>
      </c>
      <c r="P770" s="90">
        <v>45147.585497685184</v>
      </c>
      <c r="Q770" s="87" t="s">
        <v>2594</v>
      </c>
      <c r="R770" s="87">
        <v>0</v>
      </c>
      <c r="S770" s="87">
        <v>1</v>
      </c>
      <c r="T770" s="87">
        <v>0</v>
      </c>
      <c r="U770" s="87">
        <v>0</v>
      </c>
      <c r="V770" s="87">
        <v>31</v>
      </c>
      <c r="W770" s="93" t="s">
        <v>6389</v>
      </c>
      <c r="X770" s="87"/>
      <c r="Y770" s="87"/>
      <c r="Z770" s="87"/>
      <c r="AA770" s="87" t="s">
        <v>9117</v>
      </c>
      <c r="AB770" s="87" t="s">
        <v>11448</v>
      </c>
      <c r="AC770" s="93" t="s">
        <v>11457</v>
      </c>
      <c r="AD770" s="87" t="s">
        <v>11519</v>
      </c>
      <c r="AE770" s="92" t="str">
        <f>HYPERLINK("https://twitter.com/altaidestorres/status/1689276123417362433")</f>
        <v>https://twitter.com/altaidestorres/status/1689276123417362433</v>
      </c>
      <c r="AF770" s="90">
        <v>45147.585497685184</v>
      </c>
      <c r="AG770" s="99">
        <v>45147</v>
      </c>
      <c r="AH770" s="93" t="s">
        <v>12258</v>
      </c>
      <c r="AI770" s="87" t="b">
        <v>0</v>
      </c>
      <c r="AJ770" s="87" t="s">
        <v>15184</v>
      </c>
      <c r="AK770" s="87" t="s">
        <v>15234</v>
      </c>
      <c r="AL770" s="87" t="s">
        <v>15237</v>
      </c>
      <c r="AM770" s="87" t="s">
        <v>15255</v>
      </c>
      <c r="AN770" s="87" t="s">
        <v>15321</v>
      </c>
      <c r="AO770" s="87" t="s">
        <v>15387</v>
      </c>
      <c r="AP770" s="87" t="s">
        <v>15437</v>
      </c>
      <c r="AQ770" s="87" t="s">
        <v>15930</v>
      </c>
      <c r="AR770" s="87"/>
      <c r="AS770" s="87"/>
      <c r="AT770" s="87"/>
      <c r="AU770" s="87"/>
      <c r="AV770" s="92" t="str">
        <f>HYPERLINK("https://pbs.twimg.com/media/F3GDlN3WcAASikY.jpg")</f>
        <v>https://pbs.twimg.com/media/F3GDlN3WcAASikY.jpg</v>
      </c>
      <c r="AW770" s="93" t="s">
        <v>19017</v>
      </c>
      <c r="AX770" s="93" t="s">
        <v>19017</v>
      </c>
      <c r="AY770" s="87"/>
      <c r="AZ770" s="93" t="s">
        <v>22668</v>
      </c>
      <c r="BA770" s="93" t="s">
        <v>22668</v>
      </c>
      <c r="BB770" s="93" t="s">
        <v>22668</v>
      </c>
      <c r="BC770" s="93" t="s">
        <v>19017</v>
      </c>
      <c r="BD770" s="87">
        <v>135640986</v>
      </c>
      <c r="BE770" s="87"/>
      <c r="BF770" s="87"/>
      <c r="BG770" s="87"/>
      <c r="BH770" s="87"/>
      <c r="BI770" s="87"/>
    </row>
    <row r="771" spans="1:61" x14ac:dyDescent="0.25">
      <c r="A771" s="63" t="s">
        <v>513</v>
      </c>
      <c r="B771" s="63" t="s">
        <v>513</v>
      </c>
      <c r="C771" s="64"/>
      <c r="D771" s="65"/>
      <c r="E771" s="66"/>
      <c r="F771" s="67"/>
      <c r="G771" s="64"/>
      <c r="H771" s="68"/>
      <c r="I771" s="69"/>
      <c r="J771" s="69"/>
      <c r="K771" s="32"/>
      <c r="L771" s="76">
        <v>771</v>
      </c>
      <c r="M771" s="76"/>
      <c r="N771" s="71"/>
      <c r="O771" s="87" t="s">
        <v>179</v>
      </c>
      <c r="P771" s="90">
        <v>45120.628506944442</v>
      </c>
      <c r="Q771" s="87" t="s">
        <v>2595</v>
      </c>
      <c r="R771" s="87">
        <v>0</v>
      </c>
      <c r="S771" s="87">
        <v>1</v>
      </c>
      <c r="T771" s="87">
        <v>0</v>
      </c>
      <c r="U771" s="87">
        <v>0</v>
      </c>
      <c r="V771" s="87">
        <v>9</v>
      </c>
      <c r="W771" s="93" t="s">
        <v>6390</v>
      </c>
      <c r="X771" s="92" t="str">
        <f>HYPERLINK("https://www.instagram.com/reel/CuoihHENtR2/?igshid=ZmZhNmZiZDJmOA==")</f>
        <v>https://www.instagram.com/reel/CuoihHENtR2/?igshid=ZmZhNmZiZDJmOA==</v>
      </c>
      <c r="Y771" s="87" t="s">
        <v>8383</v>
      </c>
      <c r="Z771" s="87"/>
      <c r="AA771" s="87"/>
      <c r="AB771" s="87"/>
      <c r="AC771" s="93" t="s">
        <v>11458</v>
      </c>
      <c r="AD771" s="87" t="s">
        <v>11520</v>
      </c>
      <c r="AE771" s="92" t="str">
        <f>HYPERLINK("https://twitter.com/jorgerafaelcont/status/1679507236094181378")</f>
        <v>https://twitter.com/jorgerafaelcont/status/1679507236094181378</v>
      </c>
      <c r="AF771" s="90">
        <v>45120.628506944442</v>
      </c>
      <c r="AG771" s="99">
        <v>45120</v>
      </c>
      <c r="AH771" s="93" t="s">
        <v>12259</v>
      </c>
      <c r="AI771" s="87" t="b">
        <v>0</v>
      </c>
      <c r="AJ771" s="87"/>
      <c r="AK771" s="87"/>
      <c r="AL771" s="87"/>
      <c r="AM771" s="87"/>
      <c r="AN771" s="87"/>
      <c r="AO771" s="87"/>
      <c r="AP771" s="87"/>
      <c r="AQ771" s="87"/>
      <c r="AR771" s="87"/>
      <c r="AS771" s="87"/>
      <c r="AT771" s="87"/>
      <c r="AU771" s="87"/>
      <c r="AV771" s="92" t="str">
        <f>HYPERLINK("https://pbs.twimg.com/profile_images/1684901753001525248/V8_IfihG_normal.jpg")</f>
        <v>https://pbs.twimg.com/profile_images/1684901753001525248/V8_IfihG_normal.jpg</v>
      </c>
      <c r="AW771" s="93" t="s">
        <v>19018</v>
      </c>
      <c r="AX771" s="93" t="s">
        <v>19018</v>
      </c>
      <c r="AY771" s="87"/>
      <c r="AZ771" s="93" t="s">
        <v>22668</v>
      </c>
      <c r="BA771" s="93" t="s">
        <v>22668</v>
      </c>
      <c r="BB771" s="93" t="s">
        <v>22668</v>
      </c>
      <c r="BC771" s="93" t="s">
        <v>19018</v>
      </c>
      <c r="BD771" s="87">
        <v>4765700173</v>
      </c>
      <c r="BE771" s="87"/>
      <c r="BF771" s="87"/>
      <c r="BG771" s="87"/>
      <c r="BH771" s="87"/>
      <c r="BI771" s="87"/>
    </row>
    <row r="772" spans="1:61" x14ac:dyDescent="0.25">
      <c r="A772" s="63" t="s">
        <v>513</v>
      </c>
      <c r="B772" s="63" t="s">
        <v>513</v>
      </c>
      <c r="C772" s="64"/>
      <c r="D772" s="65"/>
      <c r="E772" s="66"/>
      <c r="F772" s="67"/>
      <c r="G772" s="64"/>
      <c r="H772" s="68"/>
      <c r="I772" s="69"/>
      <c r="J772" s="69"/>
      <c r="K772" s="32"/>
      <c r="L772" s="76">
        <v>772</v>
      </c>
      <c r="M772" s="76"/>
      <c r="N772" s="71"/>
      <c r="O772" s="87" t="s">
        <v>179</v>
      </c>
      <c r="P772" s="90">
        <v>45148.590671296297</v>
      </c>
      <c r="Q772" s="87" t="s">
        <v>2596</v>
      </c>
      <c r="R772" s="87">
        <v>0</v>
      </c>
      <c r="S772" s="87">
        <v>1</v>
      </c>
      <c r="T772" s="87">
        <v>0</v>
      </c>
      <c r="U772" s="87">
        <v>0</v>
      </c>
      <c r="V772" s="87">
        <v>7</v>
      </c>
      <c r="W772" s="93" t="s">
        <v>6391</v>
      </c>
      <c r="X772" s="92" t="str">
        <f>HYPERLINK("https://www.instagram.com/reel/Cvw-7LZowWO/?igshid=MTc4MmM1YmI2Ng==")</f>
        <v>https://www.instagram.com/reel/Cvw-7LZowWO/?igshid=MTc4MmM1YmI2Ng==</v>
      </c>
      <c r="Y772" s="87" t="s">
        <v>8383</v>
      </c>
      <c r="Z772" s="87"/>
      <c r="AA772" s="87"/>
      <c r="AB772" s="87"/>
      <c r="AC772" s="93" t="s">
        <v>11458</v>
      </c>
      <c r="AD772" s="87" t="s">
        <v>11520</v>
      </c>
      <c r="AE772" s="92" t="str">
        <f>HYPERLINK("https://twitter.com/jorgerafaelcont/status/1689640383226191872")</f>
        <v>https://twitter.com/jorgerafaelcont/status/1689640383226191872</v>
      </c>
      <c r="AF772" s="90">
        <v>45148.590671296297</v>
      </c>
      <c r="AG772" s="99">
        <v>45148</v>
      </c>
      <c r="AH772" s="93" t="s">
        <v>12260</v>
      </c>
      <c r="AI772" s="87" t="b">
        <v>0</v>
      </c>
      <c r="AJ772" s="87"/>
      <c r="AK772" s="87"/>
      <c r="AL772" s="87"/>
      <c r="AM772" s="87"/>
      <c r="AN772" s="87"/>
      <c r="AO772" s="87"/>
      <c r="AP772" s="87"/>
      <c r="AQ772" s="87"/>
      <c r="AR772" s="87"/>
      <c r="AS772" s="87"/>
      <c r="AT772" s="87"/>
      <c r="AU772" s="87"/>
      <c r="AV772" s="92" t="str">
        <f>HYPERLINK("https://pbs.twimg.com/profile_images/1684901753001525248/V8_IfihG_normal.jpg")</f>
        <v>https://pbs.twimg.com/profile_images/1684901753001525248/V8_IfihG_normal.jpg</v>
      </c>
      <c r="AW772" s="93" t="s">
        <v>19019</v>
      </c>
      <c r="AX772" s="93" t="s">
        <v>19019</v>
      </c>
      <c r="AY772" s="87"/>
      <c r="AZ772" s="93" t="s">
        <v>22668</v>
      </c>
      <c r="BA772" s="93" t="s">
        <v>22668</v>
      </c>
      <c r="BB772" s="93" t="s">
        <v>22668</v>
      </c>
      <c r="BC772" s="93" t="s">
        <v>19019</v>
      </c>
      <c r="BD772" s="87">
        <v>4765700173</v>
      </c>
      <c r="BE772" s="87"/>
      <c r="BF772" s="87"/>
      <c r="BG772" s="87"/>
      <c r="BH772" s="87"/>
      <c r="BI772" s="87"/>
    </row>
    <row r="773" spans="1:61" x14ac:dyDescent="0.25">
      <c r="A773" s="63" t="s">
        <v>513</v>
      </c>
      <c r="B773" s="63" t="s">
        <v>513</v>
      </c>
      <c r="C773" s="64"/>
      <c r="D773" s="65"/>
      <c r="E773" s="66"/>
      <c r="F773" s="67"/>
      <c r="G773" s="64"/>
      <c r="H773" s="68"/>
      <c r="I773" s="69"/>
      <c r="J773" s="69"/>
      <c r="K773" s="32"/>
      <c r="L773" s="76">
        <v>773</v>
      </c>
      <c r="M773" s="76"/>
      <c r="N773" s="71"/>
      <c r="O773" s="87" t="s">
        <v>179</v>
      </c>
      <c r="P773" s="90">
        <v>45157.581203703703</v>
      </c>
      <c r="Q773" s="87" t="s">
        <v>2597</v>
      </c>
      <c r="R773" s="87">
        <v>0</v>
      </c>
      <c r="S773" s="87">
        <v>1</v>
      </c>
      <c r="T773" s="87">
        <v>0</v>
      </c>
      <c r="U773" s="87">
        <v>0</v>
      </c>
      <c r="V773" s="87">
        <v>16</v>
      </c>
      <c r="W773" s="93" t="s">
        <v>6392</v>
      </c>
      <c r="X773" s="92" t="str">
        <f>HYPERLINK("https://www.instagram.com/reel/CwIINtWodjC/?igshid=MTc4MmM1YmI2Ng==")</f>
        <v>https://www.instagram.com/reel/CwIINtWodjC/?igshid=MTc4MmM1YmI2Ng==</v>
      </c>
      <c r="Y773" s="87" t="s">
        <v>8383</v>
      </c>
      <c r="Z773" s="87"/>
      <c r="AA773" s="87"/>
      <c r="AB773" s="87"/>
      <c r="AC773" s="93" t="s">
        <v>11458</v>
      </c>
      <c r="AD773" s="87" t="s">
        <v>11520</v>
      </c>
      <c r="AE773" s="92" t="str">
        <f>HYPERLINK("https://twitter.com/jorgerafaelcont/status/1692898444774424740")</f>
        <v>https://twitter.com/jorgerafaelcont/status/1692898444774424740</v>
      </c>
      <c r="AF773" s="90">
        <v>45157.581203703703</v>
      </c>
      <c r="AG773" s="99">
        <v>45157</v>
      </c>
      <c r="AH773" s="93" t="s">
        <v>12261</v>
      </c>
      <c r="AI773" s="87" t="b">
        <v>0</v>
      </c>
      <c r="AJ773" s="87"/>
      <c r="AK773" s="87"/>
      <c r="AL773" s="87"/>
      <c r="AM773" s="87"/>
      <c r="AN773" s="87"/>
      <c r="AO773" s="87"/>
      <c r="AP773" s="87"/>
      <c r="AQ773" s="87"/>
      <c r="AR773" s="87"/>
      <c r="AS773" s="87"/>
      <c r="AT773" s="87"/>
      <c r="AU773" s="87"/>
      <c r="AV773" s="92" t="str">
        <f>HYPERLINK("https://pbs.twimg.com/profile_images/1684901753001525248/V8_IfihG_normal.jpg")</f>
        <v>https://pbs.twimg.com/profile_images/1684901753001525248/V8_IfihG_normal.jpg</v>
      </c>
      <c r="AW773" s="93" t="s">
        <v>19020</v>
      </c>
      <c r="AX773" s="93" t="s">
        <v>19020</v>
      </c>
      <c r="AY773" s="87"/>
      <c r="AZ773" s="93" t="s">
        <v>22668</v>
      </c>
      <c r="BA773" s="93" t="s">
        <v>22668</v>
      </c>
      <c r="BB773" s="93" t="s">
        <v>22668</v>
      </c>
      <c r="BC773" s="93" t="s">
        <v>19020</v>
      </c>
      <c r="BD773" s="87">
        <v>4765700173</v>
      </c>
      <c r="BE773" s="87"/>
      <c r="BF773" s="87"/>
      <c r="BG773" s="87"/>
      <c r="BH773" s="87"/>
      <c r="BI773" s="87"/>
    </row>
    <row r="774" spans="1:61" x14ac:dyDescent="0.25">
      <c r="A774" s="63" t="s">
        <v>513</v>
      </c>
      <c r="B774" s="63" t="s">
        <v>513</v>
      </c>
      <c r="C774" s="64"/>
      <c r="D774" s="65"/>
      <c r="E774" s="66"/>
      <c r="F774" s="67"/>
      <c r="G774" s="64"/>
      <c r="H774" s="68"/>
      <c r="I774" s="69"/>
      <c r="J774" s="69"/>
      <c r="K774" s="32"/>
      <c r="L774" s="76">
        <v>774</v>
      </c>
      <c r="M774" s="76"/>
      <c r="N774" s="71"/>
      <c r="O774" s="87" t="s">
        <v>179</v>
      </c>
      <c r="P774" s="90">
        <v>45117.552314814813</v>
      </c>
      <c r="Q774" s="87" t="s">
        <v>2598</v>
      </c>
      <c r="R774" s="87">
        <v>0</v>
      </c>
      <c r="S774" s="87">
        <v>1</v>
      </c>
      <c r="T774" s="87">
        <v>0</v>
      </c>
      <c r="U774" s="87">
        <v>0</v>
      </c>
      <c r="V774" s="87">
        <v>9</v>
      </c>
      <c r="W774" s="93" t="s">
        <v>6393</v>
      </c>
      <c r="X774" s="92" t="str">
        <f>HYPERLINK("https://www.instagram.com/p/Cug1mPBuIQh/?igshid=ZmZhNmZiZDJmOA==")</f>
        <v>https://www.instagram.com/p/Cug1mPBuIQh/?igshid=ZmZhNmZiZDJmOA==</v>
      </c>
      <c r="Y774" s="87" t="s">
        <v>8383</v>
      </c>
      <c r="Z774" s="87"/>
      <c r="AA774" s="87"/>
      <c r="AB774" s="87"/>
      <c r="AC774" s="93" t="s">
        <v>11458</v>
      </c>
      <c r="AD774" s="87" t="s">
        <v>11520</v>
      </c>
      <c r="AE774" s="92" t="str">
        <f>HYPERLINK("https://twitter.com/jorgerafaelcont/status/1678392461683482625")</f>
        <v>https://twitter.com/jorgerafaelcont/status/1678392461683482625</v>
      </c>
      <c r="AF774" s="90">
        <v>45117.552314814813</v>
      </c>
      <c r="AG774" s="99">
        <v>45117</v>
      </c>
      <c r="AH774" s="93" t="s">
        <v>12262</v>
      </c>
      <c r="AI774" s="87" t="b">
        <v>0</v>
      </c>
      <c r="AJ774" s="87"/>
      <c r="AK774" s="87"/>
      <c r="AL774" s="87"/>
      <c r="AM774" s="87"/>
      <c r="AN774" s="87"/>
      <c r="AO774" s="87"/>
      <c r="AP774" s="87"/>
      <c r="AQ774" s="87"/>
      <c r="AR774" s="87"/>
      <c r="AS774" s="87"/>
      <c r="AT774" s="87"/>
      <c r="AU774" s="87"/>
      <c r="AV774" s="92" t="str">
        <f>HYPERLINK("https://pbs.twimg.com/profile_images/1684901753001525248/V8_IfihG_normal.jpg")</f>
        <v>https://pbs.twimg.com/profile_images/1684901753001525248/V8_IfihG_normal.jpg</v>
      </c>
      <c r="AW774" s="93" t="s">
        <v>19021</v>
      </c>
      <c r="AX774" s="93" t="s">
        <v>19021</v>
      </c>
      <c r="AY774" s="87"/>
      <c r="AZ774" s="93" t="s">
        <v>22668</v>
      </c>
      <c r="BA774" s="93" t="s">
        <v>22668</v>
      </c>
      <c r="BB774" s="93" t="s">
        <v>22668</v>
      </c>
      <c r="BC774" s="93" t="s">
        <v>19021</v>
      </c>
      <c r="BD774" s="87">
        <v>4765700173</v>
      </c>
      <c r="BE774" s="87"/>
      <c r="BF774" s="87"/>
      <c r="BG774" s="87"/>
      <c r="BH774" s="87"/>
      <c r="BI774" s="87"/>
    </row>
    <row r="775" spans="1:61" x14ac:dyDescent="0.25">
      <c r="A775" s="63" t="s">
        <v>513</v>
      </c>
      <c r="B775" s="63" t="s">
        <v>513</v>
      </c>
      <c r="C775" s="64"/>
      <c r="D775" s="65"/>
      <c r="E775" s="66"/>
      <c r="F775" s="67"/>
      <c r="G775" s="64"/>
      <c r="H775" s="68"/>
      <c r="I775" s="69"/>
      <c r="J775" s="69"/>
      <c r="K775" s="32"/>
      <c r="L775" s="76">
        <v>775</v>
      </c>
      <c r="M775" s="76"/>
      <c r="N775" s="71"/>
      <c r="O775" s="87" t="s">
        <v>179</v>
      </c>
      <c r="P775" s="90">
        <v>45160.561620370368</v>
      </c>
      <c r="Q775" s="87" t="s">
        <v>2599</v>
      </c>
      <c r="R775" s="87">
        <v>0</v>
      </c>
      <c r="S775" s="87">
        <v>1</v>
      </c>
      <c r="T775" s="87">
        <v>0</v>
      </c>
      <c r="U775" s="87">
        <v>0</v>
      </c>
      <c r="V775" s="87">
        <v>12</v>
      </c>
      <c r="W775" s="93" t="s">
        <v>6392</v>
      </c>
      <c r="X775" s="92" t="str">
        <f>HYPERLINK("https://www.instagram.com/p/CwPisp9uSPL/?igshid=MTc4MmM1YmI2Ng==")</f>
        <v>https://www.instagram.com/p/CwPisp9uSPL/?igshid=MTc4MmM1YmI2Ng==</v>
      </c>
      <c r="Y775" s="87" t="s">
        <v>8383</v>
      </c>
      <c r="Z775" s="87"/>
      <c r="AA775" s="87"/>
      <c r="AB775" s="87"/>
      <c r="AC775" s="93" t="s">
        <v>11458</v>
      </c>
      <c r="AD775" s="87" t="s">
        <v>11520</v>
      </c>
      <c r="AE775" s="92" t="str">
        <f>HYPERLINK("https://twitter.com/jorgerafaelcont/status/1693978510484795903")</f>
        <v>https://twitter.com/jorgerafaelcont/status/1693978510484795903</v>
      </c>
      <c r="AF775" s="90">
        <v>45160.561620370368</v>
      </c>
      <c r="AG775" s="99">
        <v>45160</v>
      </c>
      <c r="AH775" s="93" t="s">
        <v>12263</v>
      </c>
      <c r="AI775" s="87" t="b">
        <v>0</v>
      </c>
      <c r="AJ775" s="87"/>
      <c r="AK775" s="87"/>
      <c r="AL775" s="87"/>
      <c r="AM775" s="87"/>
      <c r="AN775" s="87"/>
      <c r="AO775" s="87"/>
      <c r="AP775" s="87"/>
      <c r="AQ775" s="87"/>
      <c r="AR775" s="87"/>
      <c r="AS775" s="87"/>
      <c r="AT775" s="87"/>
      <c r="AU775" s="87"/>
      <c r="AV775" s="92" t="str">
        <f>HYPERLINK("https://pbs.twimg.com/profile_images/1684901753001525248/V8_IfihG_normal.jpg")</f>
        <v>https://pbs.twimg.com/profile_images/1684901753001525248/V8_IfihG_normal.jpg</v>
      </c>
      <c r="AW775" s="93" t="s">
        <v>19022</v>
      </c>
      <c r="AX775" s="93" t="s">
        <v>19022</v>
      </c>
      <c r="AY775" s="87"/>
      <c r="AZ775" s="93" t="s">
        <v>22668</v>
      </c>
      <c r="BA775" s="93" t="s">
        <v>22668</v>
      </c>
      <c r="BB775" s="93" t="s">
        <v>22668</v>
      </c>
      <c r="BC775" s="93" t="s">
        <v>19022</v>
      </c>
      <c r="BD775" s="87">
        <v>4765700173</v>
      </c>
      <c r="BE775" s="87"/>
      <c r="BF775" s="87"/>
      <c r="BG775" s="87"/>
      <c r="BH775" s="87"/>
      <c r="BI775" s="87"/>
    </row>
    <row r="776" spans="1:61" x14ac:dyDescent="0.25">
      <c r="A776" s="63" t="s">
        <v>513</v>
      </c>
      <c r="B776" s="63" t="s">
        <v>513</v>
      </c>
      <c r="C776" s="64"/>
      <c r="D776" s="65"/>
      <c r="E776" s="66"/>
      <c r="F776" s="67"/>
      <c r="G776" s="64"/>
      <c r="H776" s="68"/>
      <c r="I776" s="69"/>
      <c r="J776" s="69"/>
      <c r="K776" s="32"/>
      <c r="L776" s="76">
        <v>776</v>
      </c>
      <c r="M776" s="76"/>
      <c r="N776" s="71"/>
      <c r="O776" s="87" t="s">
        <v>179</v>
      </c>
      <c r="P776" s="90">
        <v>45189.58258101852</v>
      </c>
      <c r="Q776" s="87" t="s">
        <v>2600</v>
      </c>
      <c r="R776" s="87">
        <v>0</v>
      </c>
      <c r="S776" s="87">
        <v>1</v>
      </c>
      <c r="T776" s="87">
        <v>0</v>
      </c>
      <c r="U776" s="87">
        <v>0</v>
      </c>
      <c r="V776" s="87">
        <v>9</v>
      </c>
      <c r="W776" s="93" t="s">
        <v>6394</v>
      </c>
      <c r="X776" s="92" t="str">
        <f>HYPERLINK("https://www.instagram.com/reel/Cxak2q5OkRs/?igshid=MTc4MmM1YmI2Ng==")</f>
        <v>https://www.instagram.com/reel/Cxak2q5OkRs/?igshid=MTc4MmM1YmI2Ng==</v>
      </c>
      <c r="Y776" s="87" t="s">
        <v>8383</v>
      </c>
      <c r="Z776" s="87"/>
      <c r="AA776" s="87"/>
      <c r="AB776" s="87"/>
      <c r="AC776" s="93" t="s">
        <v>11458</v>
      </c>
      <c r="AD776" s="87" t="s">
        <v>11520</v>
      </c>
      <c r="AE776" s="92" t="str">
        <f>HYPERLINK("https://twitter.com/jorgerafaelcont/status/1704495356174618850")</f>
        <v>https://twitter.com/jorgerafaelcont/status/1704495356174618850</v>
      </c>
      <c r="AF776" s="90">
        <v>45189.58258101852</v>
      </c>
      <c r="AG776" s="99">
        <v>45189</v>
      </c>
      <c r="AH776" s="93" t="s">
        <v>12264</v>
      </c>
      <c r="AI776" s="87" t="b">
        <v>0</v>
      </c>
      <c r="AJ776" s="87"/>
      <c r="AK776" s="87"/>
      <c r="AL776" s="87"/>
      <c r="AM776" s="87"/>
      <c r="AN776" s="87"/>
      <c r="AO776" s="87"/>
      <c r="AP776" s="87"/>
      <c r="AQ776" s="87"/>
      <c r="AR776" s="87"/>
      <c r="AS776" s="87"/>
      <c r="AT776" s="87"/>
      <c r="AU776" s="87"/>
      <c r="AV776" s="92" t="str">
        <f>HYPERLINK("https://pbs.twimg.com/profile_images/1684901753001525248/V8_IfihG_normal.jpg")</f>
        <v>https://pbs.twimg.com/profile_images/1684901753001525248/V8_IfihG_normal.jpg</v>
      </c>
      <c r="AW776" s="93" t="s">
        <v>19023</v>
      </c>
      <c r="AX776" s="93" t="s">
        <v>19023</v>
      </c>
      <c r="AY776" s="87"/>
      <c r="AZ776" s="93" t="s">
        <v>22668</v>
      </c>
      <c r="BA776" s="93" t="s">
        <v>22668</v>
      </c>
      <c r="BB776" s="93" t="s">
        <v>22668</v>
      </c>
      <c r="BC776" s="93" t="s">
        <v>19023</v>
      </c>
      <c r="BD776" s="87">
        <v>4765700173</v>
      </c>
      <c r="BE776" s="87"/>
      <c r="BF776" s="87"/>
      <c r="BG776" s="87"/>
      <c r="BH776" s="87"/>
      <c r="BI776" s="87"/>
    </row>
    <row r="777" spans="1:61" x14ac:dyDescent="0.25">
      <c r="A777" s="63" t="s">
        <v>513</v>
      </c>
      <c r="B777" s="63" t="s">
        <v>513</v>
      </c>
      <c r="C777" s="64"/>
      <c r="D777" s="65"/>
      <c r="E777" s="66"/>
      <c r="F777" s="67"/>
      <c r="G777" s="64"/>
      <c r="H777" s="68"/>
      <c r="I777" s="69"/>
      <c r="J777" s="69"/>
      <c r="K777" s="32"/>
      <c r="L777" s="76">
        <v>777</v>
      </c>
      <c r="M777" s="76"/>
      <c r="N777" s="71"/>
      <c r="O777" s="87" t="s">
        <v>179</v>
      </c>
      <c r="P777" s="90">
        <v>45187.564641203702</v>
      </c>
      <c r="Q777" s="87" t="s">
        <v>2601</v>
      </c>
      <c r="R777" s="87">
        <v>0</v>
      </c>
      <c r="S777" s="87">
        <v>1</v>
      </c>
      <c r="T777" s="87">
        <v>0</v>
      </c>
      <c r="U777" s="87">
        <v>0</v>
      </c>
      <c r="V777" s="87">
        <v>15</v>
      </c>
      <c r="W777" s="93" t="s">
        <v>6395</v>
      </c>
      <c r="X777" s="92" t="str">
        <f>HYPERLINK("https://www.instagram.com/reel/CxVZJJ2u5VR/?igshid=MTc4MmM1YmI2Ng==")</f>
        <v>https://www.instagram.com/reel/CxVZJJ2u5VR/?igshid=MTc4MmM1YmI2Ng==</v>
      </c>
      <c r="Y777" s="87" t="s">
        <v>8383</v>
      </c>
      <c r="Z777" s="87"/>
      <c r="AA777" s="87"/>
      <c r="AB777" s="87"/>
      <c r="AC777" s="93" t="s">
        <v>11458</v>
      </c>
      <c r="AD777" s="87" t="s">
        <v>11520</v>
      </c>
      <c r="AE777" s="92" t="str">
        <f>HYPERLINK("https://twitter.com/jorgerafaelcont/status/1703764077019889884")</f>
        <v>https://twitter.com/jorgerafaelcont/status/1703764077019889884</v>
      </c>
      <c r="AF777" s="90">
        <v>45187.564641203702</v>
      </c>
      <c r="AG777" s="99">
        <v>45187</v>
      </c>
      <c r="AH777" s="93" t="s">
        <v>12265</v>
      </c>
      <c r="AI777" s="87" t="b">
        <v>0</v>
      </c>
      <c r="AJ777" s="87"/>
      <c r="AK777" s="87"/>
      <c r="AL777" s="87"/>
      <c r="AM777" s="87"/>
      <c r="AN777" s="87"/>
      <c r="AO777" s="87"/>
      <c r="AP777" s="87"/>
      <c r="AQ777" s="87"/>
      <c r="AR777" s="87"/>
      <c r="AS777" s="87"/>
      <c r="AT777" s="87"/>
      <c r="AU777" s="87"/>
      <c r="AV777" s="92" t="str">
        <f>HYPERLINK("https://pbs.twimg.com/profile_images/1684901753001525248/V8_IfihG_normal.jpg")</f>
        <v>https://pbs.twimg.com/profile_images/1684901753001525248/V8_IfihG_normal.jpg</v>
      </c>
      <c r="AW777" s="93" t="s">
        <v>19024</v>
      </c>
      <c r="AX777" s="93" t="s">
        <v>19024</v>
      </c>
      <c r="AY777" s="87"/>
      <c r="AZ777" s="93" t="s">
        <v>22668</v>
      </c>
      <c r="BA777" s="93" t="s">
        <v>22668</v>
      </c>
      <c r="BB777" s="93" t="s">
        <v>22668</v>
      </c>
      <c r="BC777" s="93" t="s">
        <v>19024</v>
      </c>
      <c r="BD777" s="87">
        <v>4765700173</v>
      </c>
      <c r="BE777" s="87"/>
      <c r="BF777" s="87"/>
      <c r="BG777" s="87"/>
      <c r="BH777" s="87"/>
      <c r="BI777" s="87"/>
    </row>
    <row r="778" spans="1:61" x14ac:dyDescent="0.25">
      <c r="A778" s="63" t="s">
        <v>513</v>
      </c>
      <c r="B778" s="63" t="s">
        <v>513</v>
      </c>
      <c r="C778" s="64"/>
      <c r="D778" s="65"/>
      <c r="E778" s="66"/>
      <c r="F778" s="67"/>
      <c r="G778" s="64"/>
      <c r="H778" s="68"/>
      <c r="I778" s="69"/>
      <c r="J778" s="69"/>
      <c r="K778" s="32"/>
      <c r="L778" s="76">
        <v>778</v>
      </c>
      <c r="M778" s="76"/>
      <c r="N778" s="71"/>
      <c r="O778" s="87" t="s">
        <v>179</v>
      </c>
      <c r="P778" s="90">
        <v>45166.509467592594</v>
      </c>
      <c r="Q778" s="87" t="s">
        <v>2602</v>
      </c>
      <c r="R778" s="87">
        <v>0</v>
      </c>
      <c r="S778" s="87">
        <v>1</v>
      </c>
      <c r="T778" s="87">
        <v>0</v>
      </c>
      <c r="U778" s="87">
        <v>0</v>
      </c>
      <c r="V778" s="87">
        <v>13</v>
      </c>
      <c r="W778" s="93" t="s">
        <v>6396</v>
      </c>
      <c r="X778" s="92" t="str">
        <f>HYPERLINK("https://www.instagram.com/p/CwfH602tdNn/?igshid=MTc4MmM1YmI2Ng==")</f>
        <v>https://www.instagram.com/p/CwfH602tdNn/?igshid=MTc4MmM1YmI2Ng==</v>
      </c>
      <c r="Y778" s="87" t="s">
        <v>8383</v>
      </c>
      <c r="Z778" s="87"/>
      <c r="AA778" s="87"/>
      <c r="AB778" s="87"/>
      <c r="AC778" s="93" t="s">
        <v>11458</v>
      </c>
      <c r="AD778" s="87" t="s">
        <v>11520</v>
      </c>
      <c r="AE778" s="92" t="str">
        <f>HYPERLINK("https://twitter.com/jorgerafaelcont/status/1696133939079872791")</f>
        <v>https://twitter.com/jorgerafaelcont/status/1696133939079872791</v>
      </c>
      <c r="AF778" s="90">
        <v>45166.509467592594</v>
      </c>
      <c r="AG778" s="99">
        <v>45166</v>
      </c>
      <c r="AH778" s="93" t="s">
        <v>12266</v>
      </c>
      <c r="AI778" s="87" t="b">
        <v>0</v>
      </c>
      <c r="AJ778" s="87"/>
      <c r="AK778" s="87"/>
      <c r="AL778" s="87"/>
      <c r="AM778" s="87"/>
      <c r="AN778" s="87"/>
      <c r="AO778" s="87"/>
      <c r="AP778" s="87"/>
      <c r="AQ778" s="87"/>
      <c r="AR778" s="87"/>
      <c r="AS778" s="87"/>
      <c r="AT778" s="87"/>
      <c r="AU778" s="87"/>
      <c r="AV778" s="92" t="str">
        <f>HYPERLINK("https://pbs.twimg.com/profile_images/1684901753001525248/V8_IfihG_normal.jpg")</f>
        <v>https://pbs.twimg.com/profile_images/1684901753001525248/V8_IfihG_normal.jpg</v>
      </c>
      <c r="AW778" s="93" t="s">
        <v>19025</v>
      </c>
      <c r="AX778" s="93" t="s">
        <v>19025</v>
      </c>
      <c r="AY778" s="87"/>
      <c r="AZ778" s="93" t="s">
        <v>22668</v>
      </c>
      <c r="BA778" s="93" t="s">
        <v>22668</v>
      </c>
      <c r="BB778" s="93" t="s">
        <v>22668</v>
      </c>
      <c r="BC778" s="93" t="s">
        <v>19025</v>
      </c>
      <c r="BD778" s="87">
        <v>4765700173</v>
      </c>
      <c r="BE778" s="87"/>
      <c r="BF778" s="87"/>
      <c r="BG778" s="87"/>
      <c r="BH778" s="87"/>
      <c r="BI778" s="87"/>
    </row>
    <row r="779" spans="1:61" x14ac:dyDescent="0.25">
      <c r="A779" s="63" t="s">
        <v>513</v>
      </c>
      <c r="B779" s="63" t="s">
        <v>513</v>
      </c>
      <c r="C779" s="64"/>
      <c r="D779" s="65"/>
      <c r="E779" s="66"/>
      <c r="F779" s="67"/>
      <c r="G779" s="64"/>
      <c r="H779" s="68"/>
      <c r="I779" s="69"/>
      <c r="J779" s="69"/>
      <c r="K779" s="32"/>
      <c r="L779" s="76">
        <v>779</v>
      </c>
      <c r="M779" s="76"/>
      <c r="N779" s="71"/>
      <c r="O779" s="87" t="s">
        <v>179</v>
      </c>
      <c r="P779" s="90">
        <v>45126.559201388889</v>
      </c>
      <c r="Q779" s="87" t="s">
        <v>2603</v>
      </c>
      <c r="R779" s="87">
        <v>0</v>
      </c>
      <c r="S779" s="87">
        <v>1</v>
      </c>
      <c r="T779" s="87">
        <v>0</v>
      </c>
      <c r="U779" s="87">
        <v>0</v>
      </c>
      <c r="V779" s="87">
        <v>12</v>
      </c>
      <c r="W779" s="93" t="s">
        <v>6392</v>
      </c>
      <c r="X779" s="92" t="str">
        <f>HYPERLINK("https://www.instagram.com/reel/Cu4Qbj9tLcZ/?igshid=MTc4MmM1YmI2Ng==")</f>
        <v>https://www.instagram.com/reel/Cu4Qbj9tLcZ/?igshid=MTc4MmM1YmI2Ng==</v>
      </c>
      <c r="Y779" s="87" t="s">
        <v>8383</v>
      </c>
      <c r="Z779" s="87"/>
      <c r="AA779" s="87"/>
      <c r="AB779" s="87"/>
      <c r="AC779" s="93" t="s">
        <v>11458</v>
      </c>
      <c r="AD779" s="87" t="s">
        <v>11520</v>
      </c>
      <c r="AE779" s="92" t="str">
        <f>HYPERLINK("https://twitter.com/jorgerafaelcont/status/1681656447162040320")</f>
        <v>https://twitter.com/jorgerafaelcont/status/1681656447162040320</v>
      </c>
      <c r="AF779" s="90">
        <v>45126.559201388889</v>
      </c>
      <c r="AG779" s="99">
        <v>45126</v>
      </c>
      <c r="AH779" s="93" t="s">
        <v>12267</v>
      </c>
      <c r="AI779" s="87" t="b">
        <v>0</v>
      </c>
      <c r="AJ779" s="87"/>
      <c r="AK779" s="87"/>
      <c r="AL779" s="87"/>
      <c r="AM779" s="87"/>
      <c r="AN779" s="87"/>
      <c r="AO779" s="87"/>
      <c r="AP779" s="87"/>
      <c r="AQ779" s="87"/>
      <c r="AR779" s="87"/>
      <c r="AS779" s="87"/>
      <c r="AT779" s="87"/>
      <c r="AU779" s="87"/>
      <c r="AV779" s="92" t="str">
        <f>HYPERLINK("https://pbs.twimg.com/profile_images/1684901753001525248/V8_IfihG_normal.jpg")</f>
        <v>https://pbs.twimg.com/profile_images/1684901753001525248/V8_IfihG_normal.jpg</v>
      </c>
      <c r="AW779" s="93" t="s">
        <v>19026</v>
      </c>
      <c r="AX779" s="93" t="s">
        <v>19026</v>
      </c>
      <c r="AY779" s="87"/>
      <c r="AZ779" s="93" t="s">
        <v>22668</v>
      </c>
      <c r="BA779" s="93" t="s">
        <v>22668</v>
      </c>
      <c r="BB779" s="93" t="s">
        <v>22668</v>
      </c>
      <c r="BC779" s="93" t="s">
        <v>19026</v>
      </c>
      <c r="BD779" s="87">
        <v>4765700173</v>
      </c>
      <c r="BE779" s="87"/>
      <c r="BF779" s="87"/>
      <c r="BG779" s="87"/>
      <c r="BH779" s="87"/>
      <c r="BI779" s="87"/>
    </row>
    <row r="780" spans="1:61" x14ac:dyDescent="0.25">
      <c r="A780" s="63" t="s">
        <v>514</v>
      </c>
      <c r="B780" s="63" t="s">
        <v>514</v>
      </c>
      <c r="C780" s="64"/>
      <c r="D780" s="65"/>
      <c r="E780" s="66"/>
      <c r="F780" s="67"/>
      <c r="G780" s="64"/>
      <c r="H780" s="68"/>
      <c r="I780" s="69"/>
      <c r="J780" s="69"/>
      <c r="K780" s="32"/>
      <c r="L780" s="76">
        <v>780</v>
      </c>
      <c r="M780" s="76"/>
      <c r="N780" s="71"/>
      <c r="O780" s="87" t="s">
        <v>1840</v>
      </c>
      <c r="P780" s="90">
        <v>45118.429097222222</v>
      </c>
      <c r="Q780" s="87" t="s">
        <v>2604</v>
      </c>
      <c r="R780" s="87">
        <v>0</v>
      </c>
      <c r="S780" s="87">
        <v>0</v>
      </c>
      <c r="T780" s="87">
        <v>0</v>
      </c>
      <c r="U780" s="87">
        <v>0</v>
      </c>
      <c r="V780" s="87">
        <v>22</v>
      </c>
      <c r="W780" s="93" t="s">
        <v>6397</v>
      </c>
      <c r="X780" s="87"/>
      <c r="Y780" s="87"/>
      <c r="Z780" s="87"/>
      <c r="AA780" s="87"/>
      <c r="AB780" s="87"/>
      <c r="AC780" s="93" t="s">
        <v>11457</v>
      </c>
      <c r="AD780" s="87" t="s">
        <v>11519</v>
      </c>
      <c r="AE780" s="92" t="str">
        <f>HYPERLINK("https://twitter.com/evandrolima395/status/1678710195097141248")</f>
        <v>https://twitter.com/evandrolima395/status/1678710195097141248</v>
      </c>
      <c r="AF780" s="90">
        <v>45118.429097222222</v>
      </c>
      <c r="AG780" s="99">
        <v>45118</v>
      </c>
      <c r="AH780" s="93" t="s">
        <v>12268</v>
      </c>
      <c r="AI780" s="87"/>
      <c r="AJ780" s="87"/>
      <c r="AK780" s="87"/>
      <c r="AL780" s="87"/>
      <c r="AM780" s="87"/>
      <c r="AN780" s="87"/>
      <c r="AO780" s="87"/>
      <c r="AP780" s="87"/>
      <c r="AQ780" s="87"/>
      <c r="AR780" s="87"/>
      <c r="AS780" s="87"/>
      <c r="AT780" s="87"/>
      <c r="AU780" s="87"/>
      <c r="AV780" s="92" t="str">
        <f>HYPERLINK("https://pbs.twimg.com/profile_images/1674892856597573633/bgQiYe60_normal.jpg")</f>
        <v>https://pbs.twimg.com/profile_images/1674892856597573633/bgQiYe60_normal.jpg</v>
      </c>
      <c r="AW780" s="93" t="s">
        <v>19027</v>
      </c>
      <c r="AX780" s="93" t="s">
        <v>19028</v>
      </c>
      <c r="AY780" s="93" t="s">
        <v>22536</v>
      </c>
      <c r="AZ780" s="93" t="s">
        <v>19028</v>
      </c>
      <c r="BA780" s="93" t="s">
        <v>22668</v>
      </c>
      <c r="BB780" s="93" t="s">
        <v>22668</v>
      </c>
      <c r="BC780" s="93" t="s">
        <v>19028</v>
      </c>
      <c r="BD780" s="87">
        <v>2382222073</v>
      </c>
      <c r="BE780" s="87"/>
      <c r="BF780" s="87"/>
      <c r="BG780" s="87"/>
      <c r="BH780" s="87"/>
      <c r="BI780" s="87"/>
    </row>
    <row r="781" spans="1:61" x14ac:dyDescent="0.25">
      <c r="A781" s="63" t="s">
        <v>514</v>
      </c>
      <c r="B781" s="63" t="s">
        <v>514</v>
      </c>
      <c r="C781" s="64"/>
      <c r="D781" s="65"/>
      <c r="E781" s="66"/>
      <c r="F781" s="67"/>
      <c r="G781" s="64"/>
      <c r="H781" s="68"/>
      <c r="I781" s="69"/>
      <c r="J781" s="69"/>
      <c r="K781" s="32"/>
      <c r="L781" s="76">
        <v>781</v>
      </c>
      <c r="M781" s="76"/>
      <c r="N781" s="71"/>
      <c r="O781" s="87" t="s">
        <v>179</v>
      </c>
      <c r="P781" s="90">
        <v>45118.428425925929</v>
      </c>
      <c r="Q781" s="87" t="s">
        <v>2605</v>
      </c>
      <c r="R781" s="87">
        <v>0</v>
      </c>
      <c r="S781" s="87">
        <v>0</v>
      </c>
      <c r="T781" s="87">
        <v>1</v>
      </c>
      <c r="U781" s="87">
        <v>0</v>
      </c>
      <c r="V781" s="87">
        <v>42</v>
      </c>
      <c r="W781" s="93" t="s">
        <v>6398</v>
      </c>
      <c r="X781" s="87"/>
      <c r="Y781" s="87"/>
      <c r="Z781" s="87"/>
      <c r="AA781" s="87"/>
      <c r="AB781" s="87"/>
      <c r="AC781" s="93" t="s">
        <v>11457</v>
      </c>
      <c r="AD781" s="87" t="s">
        <v>11519</v>
      </c>
      <c r="AE781" s="92" t="str">
        <f>HYPERLINK("https://twitter.com/evandrolima395/status/1678709955346706433")</f>
        <v>https://twitter.com/evandrolima395/status/1678709955346706433</v>
      </c>
      <c r="AF781" s="90">
        <v>45118.428425925929</v>
      </c>
      <c r="AG781" s="99">
        <v>45118</v>
      </c>
      <c r="AH781" s="93" t="s">
        <v>12269</v>
      </c>
      <c r="AI781" s="87"/>
      <c r="AJ781" s="87"/>
      <c r="AK781" s="87"/>
      <c r="AL781" s="87"/>
      <c r="AM781" s="87"/>
      <c r="AN781" s="87"/>
      <c r="AO781" s="87"/>
      <c r="AP781" s="87"/>
      <c r="AQ781" s="87"/>
      <c r="AR781" s="87"/>
      <c r="AS781" s="87"/>
      <c r="AT781" s="87"/>
      <c r="AU781" s="87"/>
      <c r="AV781" s="92" t="str">
        <f>HYPERLINK("https://pbs.twimg.com/profile_images/1674892856597573633/bgQiYe60_normal.jpg")</f>
        <v>https://pbs.twimg.com/profile_images/1674892856597573633/bgQiYe60_normal.jpg</v>
      </c>
      <c r="AW781" s="93" t="s">
        <v>19028</v>
      </c>
      <c r="AX781" s="93" t="s">
        <v>19028</v>
      </c>
      <c r="AY781" s="87"/>
      <c r="AZ781" s="93" t="s">
        <v>22668</v>
      </c>
      <c r="BA781" s="93" t="s">
        <v>22668</v>
      </c>
      <c r="BB781" s="93" t="s">
        <v>22668</v>
      </c>
      <c r="BC781" s="93" t="s">
        <v>19028</v>
      </c>
      <c r="BD781" s="87">
        <v>2382222073</v>
      </c>
      <c r="BE781" s="87"/>
      <c r="BF781" s="87"/>
      <c r="BG781" s="87"/>
      <c r="BH781" s="87"/>
      <c r="BI781" s="87"/>
    </row>
    <row r="782" spans="1:61" x14ac:dyDescent="0.25">
      <c r="A782" s="63" t="s">
        <v>515</v>
      </c>
      <c r="B782" s="63" t="s">
        <v>515</v>
      </c>
      <c r="C782" s="64"/>
      <c r="D782" s="65"/>
      <c r="E782" s="66"/>
      <c r="F782" s="67"/>
      <c r="G782" s="64"/>
      <c r="H782" s="68"/>
      <c r="I782" s="69"/>
      <c r="J782" s="69"/>
      <c r="K782" s="32"/>
      <c r="L782" s="76">
        <v>782</v>
      </c>
      <c r="M782" s="76"/>
      <c r="N782" s="71"/>
      <c r="O782" s="87" t="s">
        <v>179</v>
      </c>
      <c r="P782" s="90">
        <v>45171.922685185185</v>
      </c>
      <c r="Q782" s="87" t="s">
        <v>2606</v>
      </c>
      <c r="R782" s="87">
        <v>0</v>
      </c>
      <c r="S782" s="87">
        <v>0</v>
      </c>
      <c r="T782" s="87">
        <v>0</v>
      </c>
      <c r="U782" s="87">
        <v>0</v>
      </c>
      <c r="V782" s="87">
        <v>11</v>
      </c>
      <c r="W782" s="93" t="s">
        <v>6399</v>
      </c>
      <c r="X782" s="92" t="str">
        <f>HYPERLINK("https://www.instagram.com/p/CwsO-_5LHGJ/?igshid=ODk2MDJkZDc2Zg==")</f>
        <v>https://www.instagram.com/p/CwsO-_5LHGJ/?igshid=ODk2MDJkZDc2Zg==</v>
      </c>
      <c r="Y782" s="87" t="s">
        <v>8383</v>
      </c>
      <c r="Z782" s="87"/>
      <c r="AA782" s="87"/>
      <c r="AB782" s="87"/>
      <c r="AC782" s="93" t="s">
        <v>11459</v>
      </c>
      <c r="AD782" s="87" t="s">
        <v>11523</v>
      </c>
      <c r="AE782" s="92" t="str">
        <f>HYPERLINK("https://twitter.com/rulosro/status/1698095622283243597")</f>
        <v>https://twitter.com/rulosro/status/1698095622283243597</v>
      </c>
      <c r="AF782" s="90">
        <v>45171.922685185185</v>
      </c>
      <c r="AG782" s="99">
        <v>45171</v>
      </c>
      <c r="AH782" s="93" t="s">
        <v>12270</v>
      </c>
      <c r="AI782" s="87" t="b">
        <v>0</v>
      </c>
      <c r="AJ782" s="87"/>
      <c r="AK782" s="87"/>
      <c r="AL782" s="87"/>
      <c r="AM782" s="87"/>
      <c r="AN782" s="87"/>
      <c r="AO782" s="87"/>
      <c r="AP782" s="87"/>
      <c r="AQ782" s="87"/>
      <c r="AR782" s="87"/>
      <c r="AS782" s="87"/>
      <c r="AT782" s="87"/>
      <c r="AU782" s="87"/>
      <c r="AV782" s="92" t="str">
        <f>HYPERLINK("https://pbs.twimg.com/profile_images/1633224637424254977/ZNBftiDg_normal.jpg")</f>
        <v>https://pbs.twimg.com/profile_images/1633224637424254977/ZNBftiDg_normal.jpg</v>
      </c>
      <c r="AW782" s="93" t="s">
        <v>19029</v>
      </c>
      <c r="AX782" s="93" t="s">
        <v>19029</v>
      </c>
      <c r="AY782" s="87"/>
      <c r="AZ782" s="93" t="s">
        <v>22668</v>
      </c>
      <c r="BA782" s="93" t="s">
        <v>22668</v>
      </c>
      <c r="BB782" s="93" t="s">
        <v>22668</v>
      </c>
      <c r="BC782" s="93" t="s">
        <v>19029</v>
      </c>
      <c r="BD782" s="87">
        <v>268589236</v>
      </c>
      <c r="BE782" s="87"/>
      <c r="BF782" s="87"/>
      <c r="BG782" s="87"/>
      <c r="BH782" s="87"/>
      <c r="BI782" s="87"/>
    </row>
    <row r="783" spans="1:61" x14ac:dyDescent="0.25">
      <c r="A783" s="63" t="s">
        <v>515</v>
      </c>
      <c r="B783" s="63" t="s">
        <v>515</v>
      </c>
      <c r="C783" s="64"/>
      <c r="D783" s="65"/>
      <c r="E783" s="66"/>
      <c r="F783" s="67"/>
      <c r="G783" s="64"/>
      <c r="H783" s="68"/>
      <c r="I783" s="69"/>
      <c r="J783" s="69"/>
      <c r="K783" s="32"/>
      <c r="L783" s="76">
        <v>783</v>
      </c>
      <c r="M783" s="76"/>
      <c r="N783" s="71"/>
      <c r="O783" s="87" t="s">
        <v>179</v>
      </c>
      <c r="P783" s="90">
        <v>45171.9221875</v>
      </c>
      <c r="Q783" s="87" t="s">
        <v>2607</v>
      </c>
      <c r="R783" s="87">
        <v>0</v>
      </c>
      <c r="S783" s="87">
        <v>0</v>
      </c>
      <c r="T783" s="87">
        <v>0</v>
      </c>
      <c r="U783" s="87">
        <v>0</v>
      </c>
      <c r="V783" s="87">
        <v>9</v>
      </c>
      <c r="W783" s="93" t="s">
        <v>6400</v>
      </c>
      <c r="X783" s="92" t="str">
        <f>HYPERLINK("https://www.instagram.com/p/CwnHlJVLs4q/?igshid=ODk2MDJkZDc2Zg==")</f>
        <v>https://www.instagram.com/p/CwnHlJVLs4q/?igshid=ODk2MDJkZDc2Zg==</v>
      </c>
      <c r="Y783" s="87" t="s">
        <v>8383</v>
      </c>
      <c r="Z783" s="87"/>
      <c r="AA783" s="87"/>
      <c r="AB783" s="87"/>
      <c r="AC783" s="93" t="s">
        <v>11459</v>
      </c>
      <c r="AD783" s="87" t="s">
        <v>11523</v>
      </c>
      <c r="AE783" s="92" t="str">
        <f>HYPERLINK("https://twitter.com/rulosro/status/1698095442670543342")</f>
        <v>https://twitter.com/rulosro/status/1698095442670543342</v>
      </c>
      <c r="AF783" s="90">
        <v>45171.9221875</v>
      </c>
      <c r="AG783" s="99">
        <v>45171</v>
      </c>
      <c r="AH783" s="93" t="s">
        <v>12271</v>
      </c>
      <c r="AI783" s="87" t="b">
        <v>0</v>
      </c>
      <c r="AJ783" s="87"/>
      <c r="AK783" s="87"/>
      <c r="AL783" s="87"/>
      <c r="AM783" s="87"/>
      <c r="AN783" s="87"/>
      <c r="AO783" s="87"/>
      <c r="AP783" s="87"/>
      <c r="AQ783" s="87"/>
      <c r="AR783" s="87"/>
      <c r="AS783" s="87"/>
      <c r="AT783" s="87"/>
      <c r="AU783" s="87"/>
      <c r="AV783" s="92" t="str">
        <f>HYPERLINK("https://pbs.twimg.com/profile_images/1633224637424254977/ZNBftiDg_normal.jpg")</f>
        <v>https://pbs.twimg.com/profile_images/1633224637424254977/ZNBftiDg_normal.jpg</v>
      </c>
      <c r="AW783" s="93" t="s">
        <v>19030</v>
      </c>
      <c r="AX783" s="93" t="s">
        <v>19030</v>
      </c>
      <c r="AY783" s="87"/>
      <c r="AZ783" s="93" t="s">
        <v>22668</v>
      </c>
      <c r="BA783" s="93" t="s">
        <v>22668</v>
      </c>
      <c r="BB783" s="93" t="s">
        <v>22668</v>
      </c>
      <c r="BC783" s="93" t="s">
        <v>19030</v>
      </c>
      <c r="BD783" s="87">
        <v>268589236</v>
      </c>
      <c r="BE783" s="87"/>
      <c r="BF783" s="87"/>
      <c r="BG783" s="87"/>
      <c r="BH783" s="87"/>
      <c r="BI783" s="87"/>
    </row>
    <row r="784" spans="1:61" x14ac:dyDescent="0.25">
      <c r="A784" s="63" t="s">
        <v>515</v>
      </c>
      <c r="B784" s="63" t="s">
        <v>515</v>
      </c>
      <c r="C784" s="64"/>
      <c r="D784" s="65"/>
      <c r="E784" s="66"/>
      <c r="F784" s="67"/>
      <c r="G784" s="64"/>
      <c r="H784" s="68"/>
      <c r="I784" s="69"/>
      <c r="J784" s="69"/>
      <c r="K784" s="32"/>
      <c r="L784" s="76">
        <v>784</v>
      </c>
      <c r="M784" s="76"/>
      <c r="N784" s="71"/>
      <c r="O784" s="87" t="s">
        <v>179</v>
      </c>
      <c r="P784" s="90">
        <v>45191.057476851849</v>
      </c>
      <c r="Q784" s="87" t="s">
        <v>2608</v>
      </c>
      <c r="R784" s="87">
        <v>0</v>
      </c>
      <c r="S784" s="87">
        <v>1</v>
      </c>
      <c r="T784" s="87">
        <v>0</v>
      </c>
      <c r="U784" s="87">
        <v>0</v>
      </c>
      <c r="V784" s="87">
        <v>21</v>
      </c>
      <c r="W784" s="93" t="s">
        <v>6401</v>
      </c>
      <c r="X784" s="87"/>
      <c r="Y784" s="87"/>
      <c r="Z784" s="87"/>
      <c r="AA784" s="87" t="s">
        <v>9118</v>
      </c>
      <c r="AB784" s="87" t="s">
        <v>11448</v>
      </c>
      <c r="AC784" s="93" t="s">
        <v>11459</v>
      </c>
      <c r="AD784" s="87" t="s">
        <v>11523</v>
      </c>
      <c r="AE784" s="92" t="str">
        <f>HYPERLINK("https://twitter.com/rulosro/status/1705029839931973952")</f>
        <v>https://twitter.com/rulosro/status/1705029839931973952</v>
      </c>
      <c r="AF784" s="90">
        <v>45191.057476851849</v>
      </c>
      <c r="AG784" s="99">
        <v>45191</v>
      </c>
      <c r="AH784" s="93" t="s">
        <v>12272</v>
      </c>
      <c r="AI784" s="87" t="b">
        <v>0</v>
      </c>
      <c r="AJ784" s="87"/>
      <c r="AK784" s="87"/>
      <c r="AL784" s="87"/>
      <c r="AM784" s="87"/>
      <c r="AN784" s="87"/>
      <c r="AO784" s="87"/>
      <c r="AP784" s="87"/>
      <c r="AQ784" s="87" t="s">
        <v>15931</v>
      </c>
      <c r="AR784" s="87"/>
      <c r="AS784" s="87"/>
      <c r="AT784" s="87"/>
      <c r="AU784" s="87"/>
      <c r="AV784" s="92" t="str">
        <f>HYPERLINK("https://pbs.twimg.com/media/F6l7mmRWwAAmUtY.jpg")</f>
        <v>https://pbs.twimg.com/media/F6l7mmRWwAAmUtY.jpg</v>
      </c>
      <c r="AW784" s="93" t="s">
        <v>19031</v>
      </c>
      <c r="AX784" s="93" t="s">
        <v>19031</v>
      </c>
      <c r="AY784" s="87"/>
      <c r="AZ784" s="93" t="s">
        <v>22668</v>
      </c>
      <c r="BA784" s="93" t="s">
        <v>22668</v>
      </c>
      <c r="BB784" s="93" t="s">
        <v>22668</v>
      </c>
      <c r="BC784" s="93" t="s">
        <v>19031</v>
      </c>
      <c r="BD784" s="87">
        <v>268589236</v>
      </c>
      <c r="BE784" s="87"/>
      <c r="BF784" s="87"/>
      <c r="BG784" s="87"/>
      <c r="BH784" s="87"/>
      <c r="BI784" s="87"/>
    </row>
    <row r="785" spans="1:61" x14ac:dyDescent="0.25">
      <c r="A785" s="63" t="s">
        <v>516</v>
      </c>
      <c r="B785" s="63" t="s">
        <v>1647</v>
      </c>
      <c r="C785" s="64"/>
      <c r="D785" s="65"/>
      <c r="E785" s="66"/>
      <c r="F785" s="67"/>
      <c r="G785" s="64"/>
      <c r="H785" s="68"/>
      <c r="I785" s="69"/>
      <c r="J785" s="69"/>
      <c r="K785" s="32"/>
      <c r="L785" s="76">
        <v>785</v>
      </c>
      <c r="M785" s="76"/>
      <c r="N785" s="71"/>
      <c r="O785" s="87" t="s">
        <v>1840</v>
      </c>
      <c r="P785" s="90">
        <v>45170.996099537035</v>
      </c>
      <c r="Q785" s="87" t="s">
        <v>2609</v>
      </c>
      <c r="R785" s="87">
        <v>0</v>
      </c>
      <c r="S785" s="87">
        <v>0</v>
      </c>
      <c r="T785" s="87">
        <v>0</v>
      </c>
      <c r="U785" s="87">
        <v>0</v>
      </c>
      <c r="V785" s="87">
        <v>27</v>
      </c>
      <c r="W785" s="93" t="s">
        <v>5897</v>
      </c>
      <c r="X785" s="87"/>
      <c r="Y785" s="87"/>
      <c r="Z785" s="87" t="s">
        <v>1647</v>
      </c>
      <c r="AA785" s="87"/>
      <c r="AB785" s="87"/>
      <c r="AC785" s="93" t="s">
        <v>11459</v>
      </c>
      <c r="AD785" s="87" t="s">
        <v>11520</v>
      </c>
      <c r="AE785" s="92" t="str">
        <f>HYPERLINK("https://twitter.com/pradooluu/status/1697759838627893674")</f>
        <v>https://twitter.com/pradooluu/status/1697759838627893674</v>
      </c>
      <c r="AF785" s="90">
        <v>45170.996099537035</v>
      </c>
      <c r="AG785" s="99">
        <v>45170</v>
      </c>
      <c r="AH785" s="93" t="s">
        <v>12273</v>
      </c>
      <c r="AI785" s="87"/>
      <c r="AJ785" s="87"/>
      <c r="AK785" s="87"/>
      <c r="AL785" s="87"/>
      <c r="AM785" s="87"/>
      <c r="AN785" s="87"/>
      <c r="AO785" s="87"/>
      <c r="AP785" s="87"/>
      <c r="AQ785" s="87"/>
      <c r="AR785" s="87"/>
      <c r="AS785" s="87"/>
      <c r="AT785" s="87"/>
      <c r="AU785" s="87"/>
      <c r="AV785" s="92" t="str">
        <f>HYPERLINK("https://pbs.twimg.com/profile_images/1696527114391126017/U-tI1KGy_normal.jpg")</f>
        <v>https://pbs.twimg.com/profile_images/1696527114391126017/U-tI1KGy_normal.jpg</v>
      </c>
      <c r="AW785" s="93" t="s">
        <v>19032</v>
      </c>
      <c r="AX785" s="93" t="s">
        <v>22327</v>
      </c>
      <c r="AY785" s="93" t="s">
        <v>22537</v>
      </c>
      <c r="AZ785" s="93" t="s">
        <v>22689</v>
      </c>
      <c r="BA785" s="93" t="s">
        <v>22668</v>
      </c>
      <c r="BB785" s="93" t="s">
        <v>22668</v>
      </c>
      <c r="BC785" s="93" t="s">
        <v>22689</v>
      </c>
      <c r="BD785" s="93" t="s">
        <v>22967</v>
      </c>
      <c r="BE785" s="87"/>
      <c r="BF785" s="87"/>
      <c r="BG785" s="87"/>
      <c r="BH785" s="87"/>
      <c r="BI785" s="87"/>
    </row>
    <row r="786" spans="1:61" x14ac:dyDescent="0.25">
      <c r="A786" s="63" t="s">
        <v>517</v>
      </c>
      <c r="B786" s="63" t="s">
        <v>517</v>
      </c>
      <c r="C786" s="64"/>
      <c r="D786" s="65"/>
      <c r="E786" s="66"/>
      <c r="F786" s="67"/>
      <c r="G786" s="64"/>
      <c r="H786" s="68"/>
      <c r="I786" s="69"/>
      <c r="J786" s="69"/>
      <c r="K786" s="32"/>
      <c r="L786" s="76">
        <v>786</v>
      </c>
      <c r="M786" s="76"/>
      <c r="N786" s="71"/>
      <c r="O786" s="87" t="s">
        <v>1840</v>
      </c>
      <c r="P786" s="90">
        <v>45145.780729166669</v>
      </c>
      <c r="Q786" s="87" t="s">
        <v>2610</v>
      </c>
      <c r="R786" s="87">
        <v>0</v>
      </c>
      <c r="S786" s="87">
        <v>0</v>
      </c>
      <c r="T786" s="87">
        <v>0</v>
      </c>
      <c r="U786" s="87">
        <v>0</v>
      </c>
      <c r="V786" s="87">
        <v>4</v>
      </c>
      <c r="W786" s="93" t="s">
        <v>6402</v>
      </c>
      <c r="X786" s="87"/>
      <c r="Y786" s="87"/>
      <c r="Z786" s="87"/>
      <c r="AA786" s="87"/>
      <c r="AB786" s="87"/>
      <c r="AC786" s="93" t="s">
        <v>11457</v>
      </c>
      <c r="AD786" s="87" t="s">
        <v>11519</v>
      </c>
      <c r="AE786" s="92" t="str">
        <f>HYPERLINK("https://twitter.com/filipefcf/status/1688622095402463232")</f>
        <v>https://twitter.com/filipefcf/status/1688622095402463232</v>
      </c>
      <c r="AF786" s="90">
        <v>45145.780729166669</v>
      </c>
      <c r="AG786" s="99">
        <v>45145</v>
      </c>
      <c r="AH786" s="93" t="s">
        <v>12274</v>
      </c>
      <c r="AI786" s="87"/>
      <c r="AJ786" s="87"/>
      <c r="AK786" s="87"/>
      <c r="AL786" s="87"/>
      <c r="AM786" s="87"/>
      <c r="AN786" s="87"/>
      <c r="AO786" s="87"/>
      <c r="AP786" s="87"/>
      <c r="AQ786" s="87"/>
      <c r="AR786" s="87"/>
      <c r="AS786" s="87"/>
      <c r="AT786" s="87"/>
      <c r="AU786" s="87"/>
      <c r="AV786" s="92" t="str">
        <f>HYPERLINK("https://pbs.twimg.com/profile_images/1594290454509518849/0_SRBIuN_normal.jpg")</f>
        <v>https://pbs.twimg.com/profile_images/1594290454509518849/0_SRBIuN_normal.jpg</v>
      </c>
      <c r="AW786" s="93" t="s">
        <v>19033</v>
      </c>
      <c r="AX786" s="93" t="s">
        <v>22328</v>
      </c>
      <c r="AY786" s="93" t="s">
        <v>22538</v>
      </c>
      <c r="AZ786" s="93" t="s">
        <v>22690</v>
      </c>
      <c r="BA786" s="93" t="s">
        <v>22668</v>
      </c>
      <c r="BB786" s="93" t="s">
        <v>22668</v>
      </c>
      <c r="BC786" s="93" t="s">
        <v>22690</v>
      </c>
      <c r="BD786" s="93" t="s">
        <v>22538</v>
      </c>
      <c r="BE786" s="87"/>
      <c r="BF786" s="87"/>
      <c r="BG786" s="87"/>
      <c r="BH786" s="87"/>
      <c r="BI786" s="87"/>
    </row>
    <row r="787" spans="1:61" x14ac:dyDescent="0.25">
      <c r="A787" s="63" t="s">
        <v>518</v>
      </c>
      <c r="B787" s="63" t="s">
        <v>1624</v>
      </c>
      <c r="C787" s="64"/>
      <c r="D787" s="65"/>
      <c r="E787" s="66"/>
      <c r="F787" s="67"/>
      <c r="G787" s="64"/>
      <c r="H787" s="68"/>
      <c r="I787" s="69"/>
      <c r="J787" s="69"/>
      <c r="K787" s="32"/>
      <c r="L787" s="76">
        <v>787</v>
      </c>
      <c r="M787" s="76"/>
      <c r="N787" s="71"/>
      <c r="O787" s="87" t="s">
        <v>1839</v>
      </c>
      <c r="P787" s="90">
        <v>45185.999421296299</v>
      </c>
      <c r="Q787" s="87" t="s">
        <v>2611</v>
      </c>
      <c r="R787" s="87">
        <v>0</v>
      </c>
      <c r="S787" s="87">
        <v>0</v>
      </c>
      <c r="T787" s="87">
        <v>0</v>
      </c>
      <c r="U787" s="87">
        <v>0</v>
      </c>
      <c r="V787" s="87">
        <v>25</v>
      </c>
      <c r="W787" s="93" t="s">
        <v>6403</v>
      </c>
      <c r="X787" s="92" t="str">
        <f>HYPERLINK("https://youtu.be/tubs2nOQFJI?si=YIFEbo9mVpIqAhvB")</f>
        <v>https://youtu.be/tubs2nOQFJI?si=YIFEbo9mVpIqAhvB</v>
      </c>
      <c r="Y787" s="87" t="s">
        <v>8372</v>
      </c>
      <c r="Z787" s="87" t="s">
        <v>1624</v>
      </c>
      <c r="AA787" s="87"/>
      <c r="AB787" s="87"/>
      <c r="AC787" s="93" t="s">
        <v>11457</v>
      </c>
      <c r="AD787" s="87" t="s">
        <v>11519</v>
      </c>
      <c r="AE787" s="92" t="str">
        <f>HYPERLINK("https://twitter.com/ornilolundgren/status/1703196862533054950")</f>
        <v>https://twitter.com/ornilolundgren/status/1703196862533054950</v>
      </c>
      <c r="AF787" s="90">
        <v>45185.999421296299</v>
      </c>
      <c r="AG787" s="99">
        <v>45185</v>
      </c>
      <c r="AH787" s="93" t="s">
        <v>12275</v>
      </c>
      <c r="AI787" s="87" t="b">
        <v>0</v>
      </c>
      <c r="AJ787" s="87"/>
      <c r="AK787" s="87"/>
      <c r="AL787" s="87"/>
      <c r="AM787" s="87"/>
      <c r="AN787" s="87"/>
      <c r="AO787" s="87"/>
      <c r="AP787" s="87"/>
      <c r="AQ787" s="87"/>
      <c r="AR787" s="87"/>
      <c r="AS787" s="87"/>
      <c r="AT787" s="87"/>
      <c r="AU787" s="87"/>
      <c r="AV787" s="92" t="str">
        <f>HYPERLINK("https://pbs.twimg.com/profile_images/56731563/Ornilo_1_normal.JPG")</f>
        <v>https://pbs.twimg.com/profile_images/56731563/Ornilo_1_normal.JPG</v>
      </c>
      <c r="AW787" s="93" t="s">
        <v>19034</v>
      </c>
      <c r="AX787" s="93" t="s">
        <v>19034</v>
      </c>
      <c r="AY787" s="87"/>
      <c r="AZ787" s="93" t="s">
        <v>22668</v>
      </c>
      <c r="BA787" s="93" t="s">
        <v>22668</v>
      </c>
      <c r="BB787" s="93" t="s">
        <v>22668</v>
      </c>
      <c r="BC787" s="93" t="s">
        <v>19034</v>
      </c>
      <c r="BD787" s="87">
        <v>15451593</v>
      </c>
      <c r="BE787" s="87"/>
      <c r="BF787" s="87"/>
      <c r="BG787" s="87"/>
      <c r="BH787" s="87"/>
      <c r="BI787" s="87"/>
    </row>
    <row r="788" spans="1:61" x14ac:dyDescent="0.25">
      <c r="A788" s="63" t="s">
        <v>519</v>
      </c>
      <c r="B788" s="63" t="s">
        <v>519</v>
      </c>
      <c r="C788" s="64"/>
      <c r="D788" s="65"/>
      <c r="E788" s="66"/>
      <c r="F788" s="67"/>
      <c r="G788" s="64"/>
      <c r="H788" s="68"/>
      <c r="I788" s="69"/>
      <c r="J788" s="69"/>
      <c r="K788" s="32"/>
      <c r="L788" s="76">
        <v>788</v>
      </c>
      <c r="M788" s="76"/>
      <c r="N788" s="71"/>
      <c r="O788" s="87" t="s">
        <v>179</v>
      </c>
      <c r="P788" s="90">
        <v>45128.642500000002</v>
      </c>
      <c r="Q788" s="87" t="s">
        <v>2612</v>
      </c>
      <c r="R788" s="87">
        <v>0</v>
      </c>
      <c r="S788" s="87">
        <v>0</v>
      </c>
      <c r="T788" s="87">
        <v>0</v>
      </c>
      <c r="U788" s="87">
        <v>0</v>
      </c>
      <c r="V788" s="87">
        <v>2</v>
      </c>
      <c r="W788" s="93" t="s">
        <v>6404</v>
      </c>
      <c r="X788" s="87" t="s">
        <v>8348</v>
      </c>
      <c r="Y788" s="87" t="s">
        <v>8423</v>
      </c>
      <c r="Z788" s="87"/>
      <c r="AA788" s="87" t="s">
        <v>9119</v>
      </c>
      <c r="AB788" s="87" t="s">
        <v>11448</v>
      </c>
      <c r="AC788" s="93" t="s">
        <v>11460</v>
      </c>
      <c r="AD788" s="87" t="s">
        <v>11519</v>
      </c>
      <c r="AE788" s="92" t="str">
        <f>HYPERLINK("https://twitter.com/jonatha_timao/status/1682411408300933123")</f>
        <v>https://twitter.com/jonatha_timao/status/1682411408300933123</v>
      </c>
      <c r="AF788" s="90">
        <v>45128.642500000002</v>
      </c>
      <c r="AG788" s="99">
        <v>45128</v>
      </c>
      <c r="AH788" s="93" t="s">
        <v>12276</v>
      </c>
      <c r="AI788" s="87" t="b">
        <v>0</v>
      </c>
      <c r="AJ788" s="87"/>
      <c r="AK788" s="87"/>
      <c r="AL788" s="87"/>
      <c r="AM788" s="87"/>
      <c r="AN788" s="87"/>
      <c r="AO788" s="87"/>
      <c r="AP788" s="87"/>
      <c r="AQ788" s="87" t="s">
        <v>15932</v>
      </c>
      <c r="AR788" s="87"/>
      <c r="AS788" s="87"/>
      <c r="AT788" s="87"/>
      <c r="AU788" s="87"/>
      <c r="AV788" s="92" t="str">
        <f>HYPERLINK("https://pbs.twimg.com/media/F1kgQpMWIAEEBfT.jpg")</f>
        <v>https://pbs.twimg.com/media/F1kgQpMWIAEEBfT.jpg</v>
      </c>
      <c r="AW788" s="93" t="s">
        <v>19035</v>
      </c>
      <c r="AX788" s="93" t="s">
        <v>19035</v>
      </c>
      <c r="AY788" s="87"/>
      <c r="AZ788" s="93" t="s">
        <v>22668</v>
      </c>
      <c r="BA788" s="93" t="s">
        <v>22668</v>
      </c>
      <c r="BB788" s="93" t="s">
        <v>22668</v>
      </c>
      <c r="BC788" s="93" t="s">
        <v>19035</v>
      </c>
      <c r="BD788" s="87">
        <v>85412101</v>
      </c>
      <c r="BE788" s="87"/>
      <c r="BF788" s="87"/>
      <c r="BG788" s="87"/>
      <c r="BH788" s="87"/>
      <c r="BI788" s="87"/>
    </row>
    <row r="789" spans="1:61" x14ac:dyDescent="0.25">
      <c r="A789" s="63" t="s">
        <v>519</v>
      </c>
      <c r="B789" s="63" t="s">
        <v>519</v>
      </c>
      <c r="C789" s="64"/>
      <c r="D789" s="65"/>
      <c r="E789" s="66"/>
      <c r="F789" s="67"/>
      <c r="G789" s="64"/>
      <c r="H789" s="68"/>
      <c r="I789" s="69"/>
      <c r="J789" s="69"/>
      <c r="K789" s="32"/>
      <c r="L789" s="76">
        <v>789</v>
      </c>
      <c r="M789" s="76"/>
      <c r="N789" s="71"/>
      <c r="O789" s="87" t="s">
        <v>179</v>
      </c>
      <c r="P789" s="90">
        <v>45138.730196759258</v>
      </c>
      <c r="Q789" s="87" t="s">
        <v>2613</v>
      </c>
      <c r="R789" s="87">
        <v>0</v>
      </c>
      <c r="S789" s="87">
        <v>0</v>
      </c>
      <c r="T789" s="87">
        <v>0</v>
      </c>
      <c r="U789" s="87">
        <v>0</v>
      </c>
      <c r="V789" s="87">
        <v>151</v>
      </c>
      <c r="W789" s="93" t="s">
        <v>6405</v>
      </c>
      <c r="X789" s="87"/>
      <c r="Y789" s="87"/>
      <c r="Z789" s="87"/>
      <c r="AA789" s="87" t="s">
        <v>9120</v>
      </c>
      <c r="AB789" s="87" t="s">
        <v>11447</v>
      </c>
      <c r="AC789" s="93" t="s">
        <v>11460</v>
      </c>
      <c r="AD789" s="87" t="s">
        <v>11519</v>
      </c>
      <c r="AE789" s="92" t="str">
        <f>HYPERLINK("https://twitter.com/jonatha_timao/status/1686067068444033030")</f>
        <v>https://twitter.com/jonatha_timao/status/1686067068444033030</v>
      </c>
      <c r="AF789" s="90">
        <v>45138.730196759258</v>
      </c>
      <c r="AG789" s="99">
        <v>45138</v>
      </c>
      <c r="AH789" s="93" t="s">
        <v>12277</v>
      </c>
      <c r="AI789" s="87" t="b">
        <v>0</v>
      </c>
      <c r="AJ789" s="87"/>
      <c r="AK789" s="87"/>
      <c r="AL789" s="87"/>
      <c r="AM789" s="87"/>
      <c r="AN789" s="87"/>
      <c r="AO789" s="87"/>
      <c r="AP789" s="87"/>
      <c r="AQ789" s="87" t="s">
        <v>15933</v>
      </c>
      <c r="AR789" s="87">
        <v>39966</v>
      </c>
      <c r="AS789" s="87"/>
      <c r="AT789" s="87"/>
      <c r="AU789" s="87"/>
      <c r="AV789" s="92" t="str">
        <f>HYPERLINK("https://pbs.twimg.com/ext_tw_video_thumb/1686067043349528576/pu/img/N5x3TZdJdTMC67G2.jpg")</f>
        <v>https://pbs.twimg.com/ext_tw_video_thumb/1686067043349528576/pu/img/N5x3TZdJdTMC67G2.jpg</v>
      </c>
      <c r="AW789" s="93" t="s">
        <v>19036</v>
      </c>
      <c r="AX789" s="93" t="s">
        <v>19036</v>
      </c>
      <c r="AY789" s="87"/>
      <c r="AZ789" s="93" t="s">
        <v>22668</v>
      </c>
      <c r="BA789" s="93" t="s">
        <v>22668</v>
      </c>
      <c r="BB789" s="93" t="s">
        <v>22668</v>
      </c>
      <c r="BC789" s="93" t="s">
        <v>19036</v>
      </c>
      <c r="BD789" s="87">
        <v>85412101</v>
      </c>
      <c r="BE789" s="87"/>
      <c r="BF789" s="87"/>
      <c r="BG789" s="87"/>
      <c r="BH789" s="87"/>
      <c r="BI789" s="87"/>
    </row>
    <row r="790" spans="1:61" x14ac:dyDescent="0.25">
      <c r="A790" s="63" t="s">
        <v>520</v>
      </c>
      <c r="B790" s="63" t="s">
        <v>520</v>
      </c>
      <c r="C790" s="64"/>
      <c r="D790" s="65"/>
      <c r="E790" s="66"/>
      <c r="F790" s="67"/>
      <c r="G790" s="64"/>
      <c r="H790" s="68"/>
      <c r="I790" s="69"/>
      <c r="J790" s="69"/>
      <c r="K790" s="32"/>
      <c r="L790" s="76">
        <v>790</v>
      </c>
      <c r="M790" s="76"/>
      <c r="N790" s="71"/>
      <c r="O790" s="87" t="s">
        <v>179</v>
      </c>
      <c r="P790" s="90">
        <v>45159.752870370372</v>
      </c>
      <c r="Q790" s="87" t="s">
        <v>2614</v>
      </c>
      <c r="R790" s="87">
        <v>0</v>
      </c>
      <c r="S790" s="87">
        <v>0</v>
      </c>
      <c r="T790" s="87">
        <v>0</v>
      </c>
      <c r="U790" s="87">
        <v>0</v>
      </c>
      <c r="V790" s="87">
        <v>7</v>
      </c>
      <c r="W790" s="93" t="s">
        <v>6406</v>
      </c>
      <c r="X790" s="92" t="str">
        <f>HYPERLINK("https://www.gastronomia.com.br/italin-house-massas-gourmet-que-conquistam-o-mercado/")</f>
        <v>https://www.gastronomia.com.br/italin-house-massas-gourmet-que-conquistam-o-mercado/</v>
      </c>
      <c r="Y790" s="87" t="s">
        <v>8373</v>
      </c>
      <c r="Z790" s="87"/>
      <c r="AA790" s="87"/>
      <c r="AB790" s="87"/>
      <c r="AC790" s="93" t="s">
        <v>11457</v>
      </c>
      <c r="AD790" s="87" t="s">
        <v>11519</v>
      </c>
      <c r="AE790" s="92" t="str">
        <f>HYPERLINK("https://twitter.com/gastrocombr/status/1693685429726281829")</f>
        <v>https://twitter.com/gastrocombr/status/1693685429726281829</v>
      </c>
      <c r="AF790" s="90">
        <v>45159.752870370372</v>
      </c>
      <c r="AG790" s="99">
        <v>45159</v>
      </c>
      <c r="AH790" s="93" t="s">
        <v>12278</v>
      </c>
      <c r="AI790" s="87" t="b">
        <v>0</v>
      </c>
      <c r="AJ790" s="87"/>
      <c r="AK790" s="87"/>
      <c r="AL790" s="87"/>
      <c r="AM790" s="87"/>
      <c r="AN790" s="87"/>
      <c r="AO790" s="87"/>
      <c r="AP790" s="87"/>
      <c r="AQ790" s="87"/>
      <c r="AR790" s="87"/>
      <c r="AS790" s="87"/>
      <c r="AT790" s="87"/>
      <c r="AU790" s="87"/>
      <c r="AV790" s="92" t="str">
        <f>HYPERLINK("https://pbs.twimg.com/profile_images/1671136538120396800/C1b7oA4n_normal.jpg")</f>
        <v>https://pbs.twimg.com/profile_images/1671136538120396800/C1b7oA4n_normal.jpg</v>
      </c>
      <c r="AW790" s="93" t="s">
        <v>19037</v>
      </c>
      <c r="AX790" s="93" t="s">
        <v>19037</v>
      </c>
      <c r="AY790" s="87"/>
      <c r="AZ790" s="93" t="s">
        <v>22668</v>
      </c>
      <c r="BA790" s="93" t="s">
        <v>22668</v>
      </c>
      <c r="BB790" s="93" t="s">
        <v>22668</v>
      </c>
      <c r="BC790" s="93" t="s">
        <v>19037</v>
      </c>
      <c r="BD790" s="93" t="s">
        <v>22968</v>
      </c>
      <c r="BE790" s="87"/>
      <c r="BF790" s="87"/>
      <c r="BG790" s="87"/>
      <c r="BH790" s="87"/>
      <c r="BI790" s="87"/>
    </row>
    <row r="791" spans="1:61" x14ac:dyDescent="0.25">
      <c r="A791" s="63" t="s">
        <v>520</v>
      </c>
      <c r="B791" s="63" t="s">
        <v>520</v>
      </c>
      <c r="C791" s="64"/>
      <c r="D791" s="65"/>
      <c r="E791" s="66"/>
      <c r="F791" s="67"/>
      <c r="G791" s="64"/>
      <c r="H791" s="68"/>
      <c r="I791" s="69"/>
      <c r="J791" s="69"/>
      <c r="K791" s="32"/>
      <c r="L791" s="76">
        <v>791</v>
      </c>
      <c r="M791" s="76"/>
      <c r="N791" s="71"/>
      <c r="O791" s="87" t="s">
        <v>179</v>
      </c>
      <c r="P791" s="90">
        <v>45196.561747685184</v>
      </c>
      <c r="Q791" s="87" t="s">
        <v>2615</v>
      </c>
      <c r="R791" s="87">
        <v>0</v>
      </c>
      <c r="S791" s="87">
        <v>0</v>
      </c>
      <c r="T791" s="87">
        <v>0</v>
      </c>
      <c r="U791" s="87">
        <v>0</v>
      </c>
      <c r="V791" s="87">
        <v>4</v>
      </c>
      <c r="W791" s="93" t="s">
        <v>6407</v>
      </c>
      <c r="X791" s="92" t="str">
        <f>HYPERLINK("https://www.gastronomia.com.br/aplicativos-de-comida-entenda-a-importancia-desse-recurso-tao-popular-no-brasil/")</f>
        <v>https://www.gastronomia.com.br/aplicativos-de-comida-entenda-a-importancia-desse-recurso-tao-popular-no-brasil/</v>
      </c>
      <c r="Y791" s="87" t="s">
        <v>8373</v>
      </c>
      <c r="Z791" s="87"/>
      <c r="AA791" s="87"/>
      <c r="AB791" s="87"/>
      <c r="AC791" s="93" t="s">
        <v>11457</v>
      </c>
      <c r="AD791" s="87" t="s">
        <v>11519</v>
      </c>
      <c r="AE791" s="92" t="str">
        <f>HYPERLINK("https://twitter.com/gastrocombr/status/1707024519813083523")</f>
        <v>https://twitter.com/gastrocombr/status/1707024519813083523</v>
      </c>
      <c r="AF791" s="90">
        <v>45196.561747685184</v>
      </c>
      <c r="AG791" s="99">
        <v>45196</v>
      </c>
      <c r="AH791" s="93" t="s">
        <v>12279</v>
      </c>
      <c r="AI791" s="87" t="b">
        <v>0</v>
      </c>
      <c r="AJ791" s="87"/>
      <c r="AK791" s="87"/>
      <c r="AL791" s="87"/>
      <c r="AM791" s="87"/>
      <c r="AN791" s="87"/>
      <c r="AO791" s="87"/>
      <c r="AP791" s="87"/>
      <c r="AQ791" s="87"/>
      <c r="AR791" s="87"/>
      <c r="AS791" s="87"/>
      <c r="AT791" s="87"/>
      <c r="AU791" s="87"/>
      <c r="AV791" s="92" t="str">
        <f>HYPERLINK("https://pbs.twimg.com/profile_images/1671136538120396800/C1b7oA4n_normal.jpg")</f>
        <v>https://pbs.twimg.com/profile_images/1671136538120396800/C1b7oA4n_normal.jpg</v>
      </c>
      <c r="AW791" s="93" t="s">
        <v>19038</v>
      </c>
      <c r="AX791" s="93" t="s">
        <v>19038</v>
      </c>
      <c r="AY791" s="87"/>
      <c r="AZ791" s="93" t="s">
        <v>22668</v>
      </c>
      <c r="BA791" s="93" t="s">
        <v>22668</v>
      </c>
      <c r="BB791" s="93" t="s">
        <v>22668</v>
      </c>
      <c r="BC791" s="93" t="s">
        <v>19038</v>
      </c>
      <c r="BD791" s="93" t="s">
        <v>22968</v>
      </c>
      <c r="BE791" s="87"/>
      <c r="BF791" s="87"/>
      <c r="BG791" s="87"/>
      <c r="BH791" s="87"/>
      <c r="BI791" s="87"/>
    </row>
    <row r="792" spans="1:61" x14ac:dyDescent="0.25">
      <c r="A792" s="63" t="s">
        <v>521</v>
      </c>
      <c r="B792" s="63" t="s">
        <v>521</v>
      </c>
      <c r="C792" s="64"/>
      <c r="D792" s="65"/>
      <c r="E792" s="66"/>
      <c r="F792" s="67"/>
      <c r="G792" s="64"/>
      <c r="H792" s="68"/>
      <c r="I792" s="69"/>
      <c r="J792" s="69"/>
      <c r="K792" s="32"/>
      <c r="L792" s="76">
        <v>792</v>
      </c>
      <c r="M792" s="76"/>
      <c r="N792" s="71"/>
      <c r="O792" s="87" t="s">
        <v>179</v>
      </c>
      <c r="P792" s="90">
        <v>45114.475543981483</v>
      </c>
      <c r="Q792" s="87" t="s">
        <v>2616</v>
      </c>
      <c r="R792" s="87">
        <v>0</v>
      </c>
      <c r="S792" s="87">
        <v>0</v>
      </c>
      <c r="T792" s="87">
        <v>0</v>
      </c>
      <c r="U792" s="87">
        <v>0</v>
      </c>
      <c r="V792" s="87">
        <v>20</v>
      </c>
      <c r="W792" s="93" t="s">
        <v>6408</v>
      </c>
      <c r="X792" s="87"/>
      <c r="Y792" s="87"/>
      <c r="Z792" s="87"/>
      <c r="AA792" s="87" t="s">
        <v>9121</v>
      </c>
      <c r="AB792" s="87" t="s">
        <v>11447</v>
      </c>
      <c r="AC792" s="93" t="s">
        <v>11459</v>
      </c>
      <c r="AD792" s="87" t="s">
        <v>11519</v>
      </c>
      <c r="AE792" s="92" t="str">
        <f>HYPERLINK("https://twitter.com/fernandomelodn/status/1677277476634992641")</f>
        <v>https://twitter.com/fernandomelodn/status/1677277476634992641</v>
      </c>
      <c r="AF792" s="90">
        <v>45114.475543981483</v>
      </c>
      <c r="AG792" s="99">
        <v>45114</v>
      </c>
      <c r="AH792" s="93" t="s">
        <v>12280</v>
      </c>
      <c r="AI792" s="87" t="b">
        <v>0</v>
      </c>
      <c r="AJ792" s="87"/>
      <c r="AK792" s="87"/>
      <c r="AL792" s="87"/>
      <c r="AM792" s="87"/>
      <c r="AN792" s="87"/>
      <c r="AO792" s="87"/>
      <c r="AP792" s="87"/>
      <c r="AQ792" s="87" t="s">
        <v>15934</v>
      </c>
      <c r="AR792" s="87">
        <v>21533</v>
      </c>
      <c r="AS792" s="87"/>
      <c r="AT792" s="87"/>
      <c r="AU792" s="87"/>
      <c r="AV792" s="92" t="str">
        <f>HYPERLINK("https://pbs.twimg.com/ext_tw_video_thumb/1677277444506636288/pu/img/u9bStVaGY39JdkMI.jpg")</f>
        <v>https://pbs.twimg.com/ext_tw_video_thumb/1677277444506636288/pu/img/u9bStVaGY39JdkMI.jpg</v>
      </c>
      <c r="AW792" s="93" t="s">
        <v>19039</v>
      </c>
      <c r="AX792" s="93" t="s">
        <v>19039</v>
      </c>
      <c r="AY792" s="87"/>
      <c r="AZ792" s="93" t="s">
        <v>22668</v>
      </c>
      <c r="BA792" s="93" t="s">
        <v>22668</v>
      </c>
      <c r="BB792" s="93" t="s">
        <v>22668</v>
      </c>
      <c r="BC792" s="93" t="s">
        <v>19039</v>
      </c>
      <c r="BD792" s="93" t="s">
        <v>22969</v>
      </c>
      <c r="BE792" s="87"/>
      <c r="BF792" s="87"/>
      <c r="BG792" s="87"/>
      <c r="BH792" s="87"/>
      <c r="BI792" s="87"/>
    </row>
    <row r="793" spans="1:61" x14ac:dyDescent="0.25">
      <c r="A793" s="63" t="s">
        <v>521</v>
      </c>
      <c r="B793" s="63" t="s">
        <v>521</v>
      </c>
      <c r="C793" s="64"/>
      <c r="D793" s="65"/>
      <c r="E793" s="66"/>
      <c r="F793" s="67"/>
      <c r="G793" s="64"/>
      <c r="H793" s="68"/>
      <c r="I793" s="69"/>
      <c r="J793" s="69"/>
      <c r="K793" s="32"/>
      <c r="L793" s="76">
        <v>793</v>
      </c>
      <c r="M793" s="76"/>
      <c r="N793" s="71"/>
      <c r="O793" s="87" t="s">
        <v>179</v>
      </c>
      <c r="P793" s="90">
        <v>45113.854317129626</v>
      </c>
      <c r="Q793" s="87" t="s">
        <v>2617</v>
      </c>
      <c r="R793" s="87">
        <v>0</v>
      </c>
      <c r="S793" s="87">
        <v>0</v>
      </c>
      <c r="T793" s="87">
        <v>0</v>
      </c>
      <c r="U793" s="87">
        <v>0</v>
      </c>
      <c r="V793" s="87">
        <v>6</v>
      </c>
      <c r="W793" s="93" t="s">
        <v>6409</v>
      </c>
      <c r="X793" s="87"/>
      <c r="Y793" s="87"/>
      <c r="Z793" s="87"/>
      <c r="AA793" s="87" t="s">
        <v>9122</v>
      </c>
      <c r="AB793" s="87" t="s">
        <v>11447</v>
      </c>
      <c r="AC793" s="93" t="s">
        <v>11459</v>
      </c>
      <c r="AD793" s="87" t="s">
        <v>11519</v>
      </c>
      <c r="AE793" s="92" t="str">
        <f>HYPERLINK("https://twitter.com/fernandomelodn/status/1677052351889260544")</f>
        <v>https://twitter.com/fernandomelodn/status/1677052351889260544</v>
      </c>
      <c r="AF793" s="90">
        <v>45113.854317129626</v>
      </c>
      <c r="AG793" s="99">
        <v>45113</v>
      </c>
      <c r="AH793" s="93" t="s">
        <v>12281</v>
      </c>
      <c r="AI793" s="87" t="b">
        <v>0</v>
      </c>
      <c r="AJ793" s="87"/>
      <c r="AK793" s="87"/>
      <c r="AL793" s="87"/>
      <c r="AM793" s="87"/>
      <c r="AN793" s="87"/>
      <c r="AO793" s="87"/>
      <c r="AP793" s="87"/>
      <c r="AQ793" s="87" t="s">
        <v>15935</v>
      </c>
      <c r="AR793" s="87">
        <v>44996</v>
      </c>
      <c r="AS793" s="87"/>
      <c r="AT793" s="87"/>
      <c r="AU793" s="87"/>
      <c r="AV793" s="92" t="str">
        <f>HYPERLINK("https://pbs.twimg.com/ext_tw_video_thumb/1677052302660710400/pu/img/8m4kezW98p-SQHcf.jpg")</f>
        <v>https://pbs.twimg.com/ext_tw_video_thumb/1677052302660710400/pu/img/8m4kezW98p-SQHcf.jpg</v>
      </c>
      <c r="AW793" s="93" t="s">
        <v>19040</v>
      </c>
      <c r="AX793" s="93" t="s">
        <v>19040</v>
      </c>
      <c r="AY793" s="87"/>
      <c r="AZ793" s="93" t="s">
        <v>22668</v>
      </c>
      <c r="BA793" s="93" t="s">
        <v>22668</v>
      </c>
      <c r="BB793" s="93" t="s">
        <v>22668</v>
      </c>
      <c r="BC793" s="93" t="s">
        <v>19040</v>
      </c>
      <c r="BD793" s="93" t="s">
        <v>22969</v>
      </c>
      <c r="BE793" s="87"/>
      <c r="BF793" s="87"/>
      <c r="BG793" s="87"/>
      <c r="BH793" s="87"/>
      <c r="BI793" s="87"/>
    </row>
    <row r="794" spans="1:61" x14ac:dyDescent="0.25">
      <c r="A794" s="63" t="s">
        <v>521</v>
      </c>
      <c r="B794" s="63" t="s">
        <v>521</v>
      </c>
      <c r="C794" s="64"/>
      <c r="D794" s="65"/>
      <c r="E794" s="66"/>
      <c r="F794" s="67"/>
      <c r="G794" s="64"/>
      <c r="H794" s="68"/>
      <c r="I794" s="69"/>
      <c r="J794" s="69"/>
      <c r="K794" s="32"/>
      <c r="L794" s="76">
        <v>794</v>
      </c>
      <c r="M794" s="76"/>
      <c r="N794" s="71"/>
      <c r="O794" s="87" t="s">
        <v>179</v>
      </c>
      <c r="P794" s="90">
        <v>45113.579872685186</v>
      </c>
      <c r="Q794" s="87" t="s">
        <v>2618</v>
      </c>
      <c r="R794" s="87">
        <v>0</v>
      </c>
      <c r="S794" s="87">
        <v>0</v>
      </c>
      <c r="T794" s="87">
        <v>0</v>
      </c>
      <c r="U794" s="87">
        <v>0</v>
      </c>
      <c r="V794" s="87">
        <v>12</v>
      </c>
      <c r="W794" s="93" t="s">
        <v>6410</v>
      </c>
      <c r="X794" s="87"/>
      <c r="Y794" s="87"/>
      <c r="Z794" s="87"/>
      <c r="AA794" s="87" t="s">
        <v>9123</v>
      </c>
      <c r="AB794" s="87" t="s">
        <v>11447</v>
      </c>
      <c r="AC794" s="93" t="s">
        <v>11459</v>
      </c>
      <c r="AD794" s="87" t="s">
        <v>11519</v>
      </c>
      <c r="AE794" s="92" t="str">
        <f>HYPERLINK("https://twitter.com/fernandomelodn/status/1676952898654343168")</f>
        <v>https://twitter.com/fernandomelodn/status/1676952898654343168</v>
      </c>
      <c r="AF794" s="90">
        <v>45113.579872685186</v>
      </c>
      <c r="AG794" s="99">
        <v>45113</v>
      </c>
      <c r="AH794" s="93" t="s">
        <v>11849</v>
      </c>
      <c r="AI794" s="87" t="b">
        <v>0</v>
      </c>
      <c r="AJ794" s="87"/>
      <c r="AK794" s="87"/>
      <c r="AL794" s="87"/>
      <c r="AM794" s="87"/>
      <c r="AN794" s="87"/>
      <c r="AO794" s="87"/>
      <c r="AP794" s="87"/>
      <c r="AQ794" s="87" t="s">
        <v>15936</v>
      </c>
      <c r="AR794" s="87">
        <v>19280</v>
      </c>
      <c r="AS794" s="87"/>
      <c r="AT794" s="87"/>
      <c r="AU794" s="87"/>
      <c r="AV794" s="92" t="str">
        <f>HYPERLINK("https://pbs.twimg.com/ext_tw_video_thumb/1676952833395150848/pu/img/WZCms19tpkuCO_kK.jpg")</f>
        <v>https://pbs.twimg.com/ext_tw_video_thumb/1676952833395150848/pu/img/WZCms19tpkuCO_kK.jpg</v>
      </c>
      <c r="AW794" s="93" t="s">
        <v>19041</v>
      </c>
      <c r="AX794" s="93" t="s">
        <v>19041</v>
      </c>
      <c r="AY794" s="87"/>
      <c r="AZ794" s="93" t="s">
        <v>22668</v>
      </c>
      <c r="BA794" s="93" t="s">
        <v>22668</v>
      </c>
      <c r="BB794" s="93" t="s">
        <v>22668</v>
      </c>
      <c r="BC794" s="93" t="s">
        <v>19041</v>
      </c>
      <c r="BD794" s="93" t="s">
        <v>22969</v>
      </c>
      <c r="BE794" s="87"/>
      <c r="BF794" s="87"/>
      <c r="BG794" s="87"/>
      <c r="BH794" s="87"/>
      <c r="BI794" s="87"/>
    </row>
    <row r="795" spans="1:61" x14ac:dyDescent="0.25">
      <c r="A795" s="63" t="s">
        <v>521</v>
      </c>
      <c r="B795" s="63" t="s">
        <v>521</v>
      </c>
      <c r="C795" s="64"/>
      <c r="D795" s="65"/>
      <c r="E795" s="66"/>
      <c r="F795" s="67"/>
      <c r="G795" s="64"/>
      <c r="H795" s="68"/>
      <c r="I795" s="69"/>
      <c r="J795" s="69"/>
      <c r="K795" s="32"/>
      <c r="L795" s="76">
        <v>795</v>
      </c>
      <c r="M795" s="76"/>
      <c r="N795" s="71"/>
      <c r="O795" s="87" t="s">
        <v>179</v>
      </c>
      <c r="P795" s="90">
        <v>45113.491608796299</v>
      </c>
      <c r="Q795" s="87" t="s">
        <v>2619</v>
      </c>
      <c r="R795" s="87">
        <v>0</v>
      </c>
      <c r="S795" s="87">
        <v>0</v>
      </c>
      <c r="T795" s="87">
        <v>0</v>
      </c>
      <c r="U795" s="87">
        <v>0</v>
      </c>
      <c r="V795" s="87">
        <v>18</v>
      </c>
      <c r="W795" s="93" t="s">
        <v>6411</v>
      </c>
      <c r="X795" s="87"/>
      <c r="Y795" s="87"/>
      <c r="Z795" s="87"/>
      <c r="AA795" s="87" t="s">
        <v>9124</v>
      </c>
      <c r="AB795" s="87" t="s">
        <v>11447</v>
      </c>
      <c r="AC795" s="93" t="s">
        <v>11459</v>
      </c>
      <c r="AD795" s="87" t="s">
        <v>11519</v>
      </c>
      <c r="AE795" s="92" t="str">
        <f>HYPERLINK("https://twitter.com/fernandomelodn/status/1676920912183013376")</f>
        <v>https://twitter.com/fernandomelodn/status/1676920912183013376</v>
      </c>
      <c r="AF795" s="90">
        <v>45113.491608796299</v>
      </c>
      <c r="AG795" s="99">
        <v>45113</v>
      </c>
      <c r="AH795" s="93" t="s">
        <v>12282</v>
      </c>
      <c r="AI795" s="87" t="b">
        <v>0</v>
      </c>
      <c r="AJ795" s="87"/>
      <c r="AK795" s="87"/>
      <c r="AL795" s="87"/>
      <c r="AM795" s="87"/>
      <c r="AN795" s="87"/>
      <c r="AO795" s="87"/>
      <c r="AP795" s="87"/>
      <c r="AQ795" s="87" t="s">
        <v>15937</v>
      </c>
      <c r="AR795" s="87">
        <v>24799</v>
      </c>
      <c r="AS795" s="87"/>
      <c r="AT795" s="87"/>
      <c r="AU795" s="87"/>
      <c r="AV795" s="92" t="str">
        <f>HYPERLINK("https://pbs.twimg.com/ext_tw_video_thumb/1676920854607716352/pu/img/OUTRq323-dKJu5fs.jpg")</f>
        <v>https://pbs.twimg.com/ext_tw_video_thumb/1676920854607716352/pu/img/OUTRq323-dKJu5fs.jpg</v>
      </c>
      <c r="AW795" s="93" t="s">
        <v>19042</v>
      </c>
      <c r="AX795" s="93" t="s">
        <v>19042</v>
      </c>
      <c r="AY795" s="87"/>
      <c r="AZ795" s="93" t="s">
        <v>22668</v>
      </c>
      <c r="BA795" s="93" t="s">
        <v>22668</v>
      </c>
      <c r="BB795" s="93" t="s">
        <v>22668</v>
      </c>
      <c r="BC795" s="93" t="s">
        <v>19042</v>
      </c>
      <c r="BD795" s="93" t="s">
        <v>22969</v>
      </c>
      <c r="BE795" s="87"/>
      <c r="BF795" s="87"/>
      <c r="BG795" s="87"/>
      <c r="BH795" s="87"/>
      <c r="BI795" s="87"/>
    </row>
    <row r="796" spans="1:61" x14ac:dyDescent="0.25">
      <c r="A796" s="63" t="s">
        <v>521</v>
      </c>
      <c r="B796" s="63" t="s">
        <v>521</v>
      </c>
      <c r="C796" s="64"/>
      <c r="D796" s="65"/>
      <c r="E796" s="66"/>
      <c r="F796" s="67"/>
      <c r="G796" s="64"/>
      <c r="H796" s="68"/>
      <c r="I796" s="69"/>
      <c r="J796" s="69"/>
      <c r="K796" s="32"/>
      <c r="L796" s="76">
        <v>796</v>
      </c>
      <c r="M796" s="76"/>
      <c r="N796" s="71"/>
      <c r="O796" s="87" t="s">
        <v>179</v>
      </c>
      <c r="P796" s="90">
        <v>45112.836215277777</v>
      </c>
      <c r="Q796" s="87" t="s">
        <v>2620</v>
      </c>
      <c r="R796" s="87">
        <v>0</v>
      </c>
      <c r="S796" s="87">
        <v>0</v>
      </c>
      <c r="T796" s="87">
        <v>1</v>
      </c>
      <c r="U796" s="87">
        <v>0</v>
      </c>
      <c r="V796" s="87">
        <v>75</v>
      </c>
      <c r="W796" s="93" t="s">
        <v>6412</v>
      </c>
      <c r="X796" s="87"/>
      <c r="Y796" s="87"/>
      <c r="Z796" s="87"/>
      <c r="AA796" s="87" t="s">
        <v>9125</v>
      </c>
      <c r="AB796" s="87" t="s">
        <v>11447</v>
      </c>
      <c r="AC796" s="93" t="s">
        <v>11459</v>
      </c>
      <c r="AD796" s="87" t="s">
        <v>11519</v>
      </c>
      <c r="AE796" s="92" t="str">
        <f>HYPERLINK("https://twitter.com/fernandomelodn/status/1676683402509000705")</f>
        <v>https://twitter.com/fernandomelodn/status/1676683402509000705</v>
      </c>
      <c r="AF796" s="90">
        <v>45112.836215277777</v>
      </c>
      <c r="AG796" s="99">
        <v>45112</v>
      </c>
      <c r="AH796" s="93" t="s">
        <v>12283</v>
      </c>
      <c r="AI796" s="87" t="b">
        <v>0</v>
      </c>
      <c r="AJ796" s="87"/>
      <c r="AK796" s="87"/>
      <c r="AL796" s="87"/>
      <c r="AM796" s="87"/>
      <c r="AN796" s="87"/>
      <c r="AO796" s="87"/>
      <c r="AP796" s="87"/>
      <c r="AQ796" s="87" t="s">
        <v>15938</v>
      </c>
      <c r="AR796" s="87">
        <v>29533</v>
      </c>
      <c r="AS796" s="87"/>
      <c r="AT796" s="87"/>
      <c r="AU796" s="87"/>
      <c r="AV796" s="92" t="str">
        <f>HYPERLINK("https://pbs.twimg.com/ext_tw_video_thumb/1676683335307780099/pu/img/rj39NyGvluK3ZMZk.jpg")</f>
        <v>https://pbs.twimg.com/ext_tw_video_thumb/1676683335307780099/pu/img/rj39NyGvluK3ZMZk.jpg</v>
      </c>
      <c r="AW796" s="93" t="s">
        <v>19043</v>
      </c>
      <c r="AX796" s="93" t="s">
        <v>19043</v>
      </c>
      <c r="AY796" s="87"/>
      <c r="AZ796" s="93" t="s">
        <v>22668</v>
      </c>
      <c r="BA796" s="93" t="s">
        <v>22668</v>
      </c>
      <c r="BB796" s="93" t="s">
        <v>22668</v>
      </c>
      <c r="BC796" s="93" t="s">
        <v>19043</v>
      </c>
      <c r="BD796" s="93" t="s">
        <v>22969</v>
      </c>
      <c r="BE796" s="87"/>
      <c r="BF796" s="87"/>
      <c r="BG796" s="87"/>
      <c r="BH796" s="87"/>
      <c r="BI796" s="87"/>
    </row>
    <row r="797" spans="1:61" x14ac:dyDescent="0.25">
      <c r="A797" s="63" t="s">
        <v>521</v>
      </c>
      <c r="B797" s="63" t="s">
        <v>521</v>
      </c>
      <c r="C797" s="64"/>
      <c r="D797" s="65"/>
      <c r="E797" s="66"/>
      <c r="F797" s="67"/>
      <c r="G797" s="64"/>
      <c r="H797" s="68"/>
      <c r="I797" s="69"/>
      <c r="J797" s="69"/>
      <c r="K797" s="32"/>
      <c r="L797" s="76">
        <v>797</v>
      </c>
      <c r="M797" s="76"/>
      <c r="N797" s="71"/>
      <c r="O797" s="87" t="s">
        <v>179</v>
      </c>
      <c r="P797" s="90">
        <v>45112.475960648146</v>
      </c>
      <c r="Q797" s="87" t="s">
        <v>2621</v>
      </c>
      <c r="R797" s="87">
        <v>0</v>
      </c>
      <c r="S797" s="87">
        <v>0</v>
      </c>
      <c r="T797" s="87">
        <v>0</v>
      </c>
      <c r="U797" s="87">
        <v>0</v>
      </c>
      <c r="V797" s="87">
        <v>19</v>
      </c>
      <c r="W797" s="93" t="s">
        <v>6413</v>
      </c>
      <c r="X797" s="87"/>
      <c r="Y797" s="87"/>
      <c r="Z797" s="87"/>
      <c r="AA797" s="87" t="s">
        <v>9126</v>
      </c>
      <c r="AB797" s="87" t="s">
        <v>11447</v>
      </c>
      <c r="AC797" s="93" t="s">
        <v>11459</v>
      </c>
      <c r="AD797" s="87" t="s">
        <v>11519</v>
      </c>
      <c r="AE797" s="92" t="str">
        <f>HYPERLINK("https://twitter.com/fernandomelodn/status/1676552853983223809")</f>
        <v>https://twitter.com/fernandomelodn/status/1676552853983223809</v>
      </c>
      <c r="AF797" s="90">
        <v>45112.475960648146</v>
      </c>
      <c r="AG797" s="99">
        <v>45112</v>
      </c>
      <c r="AH797" s="93" t="s">
        <v>12284</v>
      </c>
      <c r="AI797" s="87" t="b">
        <v>0</v>
      </c>
      <c r="AJ797" s="87"/>
      <c r="AK797" s="87"/>
      <c r="AL797" s="87"/>
      <c r="AM797" s="87"/>
      <c r="AN797" s="87"/>
      <c r="AO797" s="87"/>
      <c r="AP797" s="87"/>
      <c r="AQ797" s="87" t="s">
        <v>15939</v>
      </c>
      <c r="AR797" s="87">
        <v>60000</v>
      </c>
      <c r="AS797" s="87"/>
      <c r="AT797" s="87"/>
      <c r="AU797" s="87"/>
      <c r="AV797" s="92" t="str">
        <f>HYPERLINK("https://pbs.twimg.com/ext_tw_video_thumb/1676552763633696769/pu/img/2FnjiySrsgaWDbGI.jpg")</f>
        <v>https://pbs.twimg.com/ext_tw_video_thumb/1676552763633696769/pu/img/2FnjiySrsgaWDbGI.jpg</v>
      </c>
      <c r="AW797" s="93" t="s">
        <v>19044</v>
      </c>
      <c r="AX797" s="93" t="s">
        <v>19044</v>
      </c>
      <c r="AY797" s="87"/>
      <c r="AZ797" s="93" t="s">
        <v>22668</v>
      </c>
      <c r="BA797" s="93" t="s">
        <v>22668</v>
      </c>
      <c r="BB797" s="93" t="s">
        <v>22668</v>
      </c>
      <c r="BC797" s="93" t="s">
        <v>19044</v>
      </c>
      <c r="BD797" s="93" t="s">
        <v>22969</v>
      </c>
      <c r="BE797" s="87"/>
      <c r="BF797" s="87"/>
      <c r="BG797" s="87"/>
      <c r="BH797" s="87"/>
      <c r="BI797" s="87"/>
    </row>
    <row r="798" spans="1:61" x14ac:dyDescent="0.25">
      <c r="A798" s="63" t="s">
        <v>521</v>
      </c>
      <c r="B798" s="63" t="s">
        <v>521</v>
      </c>
      <c r="C798" s="64"/>
      <c r="D798" s="65"/>
      <c r="E798" s="66"/>
      <c r="F798" s="67"/>
      <c r="G798" s="64"/>
      <c r="H798" s="68"/>
      <c r="I798" s="69"/>
      <c r="J798" s="69"/>
      <c r="K798" s="32"/>
      <c r="L798" s="76">
        <v>798</v>
      </c>
      <c r="M798" s="76"/>
      <c r="N798" s="71"/>
      <c r="O798" s="87" t="s">
        <v>179</v>
      </c>
      <c r="P798" s="90">
        <v>45111.818692129629</v>
      </c>
      <c r="Q798" s="87" t="s">
        <v>2622</v>
      </c>
      <c r="R798" s="87">
        <v>0</v>
      </c>
      <c r="S798" s="87">
        <v>0</v>
      </c>
      <c r="T798" s="87">
        <v>0</v>
      </c>
      <c r="U798" s="87">
        <v>0</v>
      </c>
      <c r="V798" s="87">
        <v>16</v>
      </c>
      <c r="W798" s="93" t="s">
        <v>6414</v>
      </c>
      <c r="X798" s="87"/>
      <c r="Y798" s="87"/>
      <c r="Z798" s="87"/>
      <c r="AA798" s="87" t="s">
        <v>9127</v>
      </c>
      <c r="AB798" s="87" t="s">
        <v>11447</v>
      </c>
      <c r="AC798" s="93" t="s">
        <v>11459</v>
      </c>
      <c r="AD798" s="87" t="s">
        <v>11519</v>
      </c>
      <c r="AE798" s="92" t="str">
        <f>HYPERLINK("https://twitter.com/fernandomelodn/status/1676314664773337089")</f>
        <v>https://twitter.com/fernandomelodn/status/1676314664773337089</v>
      </c>
      <c r="AF798" s="90">
        <v>45111.818692129629</v>
      </c>
      <c r="AG798" s="99">
        <v>45111</v>
      </c>
      <c r="AH798" s="93" t="s">
        <v>12285</v>
      </c>
      <c r="AI798" s="87" t="b">
        <v>0</v>
      </c>
      <c r="AJ798" s="87"/>
      <c r="AK798" s="87"/>
      <c r="AL798" s="87"/>
      <c r="AM798" s="87"/>
      <c r="AN798" s="87"/>
      <c r="AO798" s="87"/>
      <c r="AP798" s="87"/>
      <c r="AQ798" s="87" t="s">
        <v>15940</v>
      </c>
      <c r="AR798" s="87">
        <v>8033</v>
      </c>
      <c r="AS798" s="87"/>
      <c r="AT798" s="87"/>
      <c r="AU798" s="87"/>
      <c r="AV798" s="92" t="str">
        <f>HYPERLINK("https://pbs.twimg.com/ext_tw_video_thumb/1676314644015620097/pu/img/SZzEZKR7LutAVA8l.jpg")</f>
        <v>https://pbs.twimg.com/ext_tw_video_thumb/1676314644015620097/pu/img/SZzEZKR7LutAVA8l.jpg</v>
      </c>
      <c r="AW798" s="93" t="s">
        <v>19045</v>
      </c>
      <c r="AX798" s="93" t="s">
        <v>19045</v>
      </c>
      <c r="AY798" s="87"/>
      <c r="AZ798" s="93" t="s">
        <v>22668</v>
      </c>
      <c r="BA798" s="93" t="s">
        <v>22668</v>
      </c>
      <c r="BB798" s="93" t="s">
        <v>22668</v>
      </c>
      <c r="BC798" s="93" t="s">
        <v>19045</v>
      </c>
      <c r="BD798" s="93" t="s">
        <v>22969</v>
      </c>
      <c r="BE798" s="87"/>
      <c r="BF798" s="87"/>
      <c r="BG798" s="87"/>
      <c r="BH798" s="87"/>
      <c r="BI798" s="87"/>
    </row>
    <row r="799" spans="1:61" x14ac:dyDescent="0.25">
      <c r="A799" s="63" t="s">
        <v>521</v>
      </c>
      <c r="B799" s="63" t="s">
        <v>521</v>
      </c>
      <c r="C799" s="64"/>
      <c r="D799" s="65"/>
      <c r="E799" s="66"/>
      <c r="F799" s="67"/>
      <c r="G799" s="64"/>
      <c r="H799" s="68"/>
      <c r="I799" s="69"/>
      <c r="J799" s="69"/>
      <c r="K799" s="32"/>
      <c r="L799" s="76">
        <v>799</v>
      </c>
      <c r="M799" s="76"/>
      <c r="N799" s="71"/>
      <c r="O799" s="87" t="s">
        <v>179</v>
      </c>
      <c r="P799" s="90">
        <v>45117.511458333334</v>
      </c>
      <c r="Q799" s="87" t="s">
        <v>2623</v>
      </c>
      <c r="R799" s="87">
        <v>0</v>
      </c>
      <c r="S799" s="87">
        <v>0</v>
      </c>
      <c r="T799" s="87">
        <v>0</v>
      </c>
      <c r="U799" s="87">
        <v>0</v>
      </c>
      <c r="V799" s="87">
        <v>48</v>
      </c>
      <c r="W799" s="93" t="s">
        <v>6415</v>
      </c>
      <c r="X799" s="87"/>
      <c r="Y799" s="87"/>
      <c r="Z799" s="87"/>
      <c r="AA799" s="87" t="s">
        <v>9128</v>
      </c>
      <c r="AB799" s="87" t="s">
        <v>11447</v>
      </c>
      <c r="AC799" s="93" t="s">
        <v>11459</v>
      </c>
      <c r="AD799" s="87" t="s">
        <v>11519</v>
      </c>
      <c r="AE799" s="92" t="str">
        <f>HYPERLINK("https://twitter.com/fernandomelodn/status/1678377653747740673")</f>
        <v>https://twitter.com/fernandomelodn/status/1678377653747740673</v>
      </c>
      <c r="AF799" s="90">
        <v>45117.511458333334</v>
      </c>
      <c r="AG799" s="99">
        <v>45117</v>
      </c>
      <c r="AH799" s="93" t="s">
        <v>12286</v>
      </c>
      <c r="AI799" s="87" t="b">
        <v>0</v>
      </c>
      <c r="AJ799" s="87"/>
      <c r="AK799" s="87"/>
      <c r="AL799" s="87"/>
      <c r="AM799" s="87"/>
      <c r="AN799" s="87"/>
      <c r="AO799" s="87"/>
      <c r="AP799" s="87"/>
      <c r="AQ799" s="87" t="s">
        <v>15941</v>
      </c>
      <c r="AR799" s="87">
        <v>14833</v>
      </c>
      <c r="AS799" s="87"/>
      <c r="AT799" s="87"/>
      <c r="AU799" s="87"/>
      <c r="AV799" s="92" t="str">
        <f>HYPERLINK("https://pbs.twimg.com/ext_tw_video_thumb/1678377616875585537/pu/img/MqMl2HKhXL8_vbll.jpg")</f>
        <v>https://pbs.twimg.com/ext_tw_video_thumb/1678377616875585537/pu/img/MqMl2HKhXL8_vbll.jpg</v>
      </c>
      <c r="AW799" s="93" t="s">
        <v>19046</v>
      </c>
      <c r="AX799" s="93" t="s">
        <v>19046</v>
      </c>
      <c r="AY799" s="87"/>
      <c r="AZ799" s="93" t="s">
        <v>22668</v>
      </c>
      <c r="BA799" s="93" t="s">
        <v>22668</v>
      </c>
      <c r="BB799" s="93" t="s">
        <v>22668</v>
      </c>
      <c r="BC799" s="93" t="s">
        <v>19046</v>
      </c>
      <c r="BD799" s="93" t="s">
        <v>22969</v>
      </c>
      <c r="BE799" s="87"/>
      <c r="BF799" s="87"/>
      <c r="BG799" s="87"/>
      <c r="BH799" s="87"/>
      <c r="BI799" s="87"/>
    </row>
    <row r="800" spans="1:61" x14ac:dyDescent="0.25">
      <c r="A800" s="63" t="s">
        <v>521</v>
      </c>
      <c r="B800" s="63" t="s">
        <v>521</v>
      </c>
      <c r="C800" s="64"/>
      <c r="D800" s="65"/>
      <c r="E800" s="66"/>
      <c r="F800" s="67"/>
      <c r="G800" s="64"/>
      <c r="H800" s="68"/>
      <c r="I800" s="69"/>
      <c r="J800" s="69"/>
      <c r="K800" s="32"/>
      <c r="L800" s="76">
        <v>800</v>
      </c>
      <c r="M800" s="76"/>
      <c r="N800" s="71"/>
      <c r="O800" s="87" t="s">
        <v>179</v>
      </c>
      <c r="P800" s="90">
        <v>45127.531851851854</v>
      </c>
      <c r="Q800" s="87" t="s">
        <v>2624</v>
      </c>
      <c r="R800" s="87">
        <v>0</v>
      </c>
      <c r="S800" s="87">
        <v>0</v>
      </c>
      <c r="T800" s="87">
        <v>0</v>
      </c>
      <c r="U800" s="87">
        <v>0</v>
      </c>
      <c r="V800" s="87">
        <v>21</v>
      </c>
      <c r="W800" s="93" t="s">
        <v>6416</v>
      </c>
      <c r="X800" s="87"/>
      <c r="Y800" s="87"/>
      <c r="Z800" s="87"/>
      <c r="AA800" s="87" t="s">
        <v>9129</v>
      </c>
      <c r="AB800" s="87" t="s">
        <v>11447</v>
      </c>
      <c r="AC800" s="93" t="s">
        <v>11459</v>
      </c>
      <c r="AD800" s="87" t="s">
        <v>11519</v>
      </c>
      <c r="AE800" s="92" t="str">
        <f>HYPERLINK("https://twitter.com/fernandomelodn/status/1682008923509800960")</f>
        <v>https://twitter.com/fernandomelodn/status/1682008923509800960</v>
      </c>
      <c r="AF800" s="90">
        <v>45127.531851851854</v>
      </c>
      <c r="AG800" s="99">
        <v>45127</v>
      </c>
      <c r="AH800" s="93" t="s">
        <v>12287</v>
      </c>
      <c r="AI800" s="87" t="b">
        <v>0</v>
      </c>
      <c r="AJ800" s="87"/>
      <c r="AK800" s="87"/>
      <c r="AL800" s="87"/>
      <c r="AM800" s="87"/>
      <c r="AN800" s="87"/>
      <c r="AO800" s="87"/>
      <c r="AP800" s="87"/>
      <c r="AQ800" s="87" t="s">
        <v>15942</v>
      </c>
      <c r="AR800" s="87">
        <v>55693</v>
      </c>
      <c r="AS800" s="87"/>
      <c r="AT800" s="87"/>
      <c r="AU800" s="87"/>
      <c r="AV800" s="92" t="str">
        <f>HYPERLINK("https://pbs.twimg.com/ext_tw_video_thumb/1682008826923343873/pu/img/N9Y8BKhPOYUYLpNh.jpg")</f>
        <v>https://pbs.twimg.com/ext_tw_video_thumb/1682008826923343873/pu/img/N9Y8BKhPOYUYLpNh.jpg</v>
      </c>
      <c r="AW800" s="93" t="s">
        <v>19047</v>
      </c>
      <c r="AX800" s="93" t="s">
        <v>19047</v>
      </c>
      <c r="AY800" s="87"/>
      <c r="AZ800" s="93" t="s">
        <v>22668</v>
      </c>
      <c r="BA800" s="93" t="s">
        <v>22668</v>
      </c>
      <c r="BB800" s="93" t="s">
        <v>22668</v>
      </c>
      <c r="BC800" s="93" t="s">
        <v>19047</v>
      </c>
      <c r="BD800" s="93" t="s">
        <v>22969</v>
      </c>
      <c r="BE800" s="87"/>
      <c r="BF800" s="87"/>
      <c r="BG800" s="87"/>
      <c r="BH800" s="87"/>
      <c r="BI800" s="87"/>
    </row>
    <row r="801" spans="1:61" x14ac:dyDescent="0.25">
      <c r="A801" s="63" t="s">
        <v>521</v>
      </c>
      <c r="B801" s="63" t="s">
        <v>521</v>
      </c>
      <c r="C801" s="64"/>
      <c r="D801" s="65"/>
      <c r="E801" s="66"/>
      <c r="F801" s="67"/>
      <c r="G801" s="64"/>
      <c r="H801" s="68"/>
      <c r="I801" s="69"/>
      <c r="J801" s="69"/>
      <c r="K801" s="32"/>
      <c r="L801" s="76">
        <v>801</v>
      </c>
      <c r="M801" s="76"/>
      <c r="N801" s="71"/>
      <c r="O801" s="87" t="s">
        <v>179</v>
      </c>
      <c r="P801" s="90">
        <v>45125.460266203707</v>
      </c>
      <c r="Q801" s="87" t="s">
        <v>2625</v>
      </c>
      <c r="R801" s="87">
        <v>0</v>
      </c>
      <c r="S801" s="87">
        <v>0</v>
      </c>
      <c r="T801" s="87">
        <v>0</v>
      </c>
      <c r="U801" s="87">
        <v>0</v>
      </c>
      <c r="V801" s="87">
        <v>4</v>
      </c>
      <c r="W801" s="93" t="s">
        <v>6417</v>
      </c>
      <c r="X801" s="87"/>
      <c r="Y801" s="87"/>
      <c r="Z801" s="87"/>
      <c r="AA801" s="87" t="s">
        <v>9130</v>
      </c>
      <c r="AB801" s="87" t="s">
        <v>11447</v>
      </c>
      <c r="AC801" s="93" t="s">
        <v>11459</v>
      </c>
      <c r="AD801" s="87" t="s">
        <v>11519</v>
      </c>
      <c r="AE801" s="92" t="str">
        <f>HYPERLINK("https://twitter.com/fernandomelodn/status/1681258207086354434")</f>
        <v>https://twitter.com/fernandomelodn/status/1681258207086354434</v>
      </c>
      <c r="AF801" s="90">
        <v>45125.460266203707</v>
      </c>
      <c r="AG801" s="99">
        <v>45125</v>
      </c>
      <c r="AH801" s="93" t="s">
        <v>12288</v>
      </c>
      <c r="AI801" s="87" t="b">
        <v>0</v>
      </c>
      <c r="AJ801" s="87"/>
      <c r="AK801" s="87"/>
      <c r="AL801" s="87"/>
      <c r="AM801" s="87"/>
      <c r="AN801" s="87"/>
      <c r="AO801" s="87"/>
      <c r="AP801" s="87"/>
      <c r="AQ801" s="87" t="s">
        <v>15943</v>
      </c>
      <c r="AR801" s="87">
        <v>11501</v>
      </c>
      <c r="AS801" s="87"/>
      <c r="AT801" s="87"/>
      <c r="AU801" s="87"/>
      <c r="AV801" s="92" t="str">
        <f>HYPERLINK("https://pbs.twimg.com/ext_tw_video_thumb/1681258187981303808/pu/img/5MydufLJm_PcWqU1.jpg")</f>
        <v>https://pbs.twimg.com/ext_tw_video_thumb/1681258187981303808/pu/img/5MydufLJm_PcWqU1.jpg</v>
      </c>
      <c r="AW801" s="93" t="s">
        <v>19048</v>
      </c>
      <c r="AX801" s="93" t="s">
        <v>19048</v>
      </c>
      <c r="AY801" s="87"/>
      <c r="AZ801" s="93" t="s">
        <v>22668</v>
      </c>
      <c r="BA801" s="93" t="s">
        <v>22668</v>
      </c>
      <c r="BB801" s="93" t="s">
        <v>22668</v>
      </c>
      <c r="BC801" s="93" t="s">
        <v>19048</v>
      </c>
      <c r="BD801" s="93" t="s">
        <v>22969</v>
      </c>
      <c r="BE801" s="87"/>
      <c r="BF801" s="87"/>
      <c r="BG801" s="87"/>
      <c r="BH801" s="87"/>
      <c r="BI801" s="87"/>
    </row>
    <row r="802" spans="1:61" x14ac:dyDescent="0.25">
      <c r="A802" s="63" t="s">
        <v>521</v>
      </c>
      <c r="B802" s="63" t="s">
        <v>521</v>
      </c>
      <c r="C802" s="64"/>
      <c r="D802" s="65"/>
      <c r="E802" s="66"/>
      <c r="F802" s="67"/>
      <c r="G802" s="64"/>
      <c r="H802" s="68"/>
      <c r="I802" s="69"/>
      <c r="J802" s="69"/>
      <c r="K802" s="32"/>
      <c r="L802" s="76">
        <v>802</v>
      </c>
      <c r="M802" s="76"/>
      <c r="N802" s="71"/>
      <c r="O802" s="87" t="s">
        <v>179</v>
      </c>
      <c r="P802" s="90">
        <v>45121.477696759262</v>
      </c>
      <c r="Q802" s="87" t="s">
        <v>2626</v>
      </c>
      <c r="R802" s="87">
        <v>0</v>
      </c>
      <c r="S802" s="87">
        <v>0</v>
      </c>
      <c r="T802" s="87">
        <v>0</v>
      </c>
      <c r="U802" s="87">
        <v>0</v>
      </c>
      <c r="V802" s="87">
        <v>15</v>
      </c>
      <c r="W802" s="93" t="s">
        <v>6418</v>
      </c>
      <c r="X802" s="87"/>
      <c r="Y802" s="87"/>
      <c r="Z802" s="87"/>
      <c r="AA802" s="87" t="s">
        <v>9131</v>
      </c>
      <c r="AB802" s="87" t="s">
        <v>11447</v>
      </c>
      <c r="AC802" s="93" t="s">
        <v>11459</v>
      </c>
      <c r="AD802" s="87" t="s">
        <v>11519</v>
      </c>
      <c r="AE802" s="92" t="str">
        <f>HYPERLINK("https://twitter.com/fernandomelodn/status/1679814972996452353")</f>
        <v>https://twitter.com/fernandomelodn/status/1679814972996452353</v>
      </c>
      <c r="AF802" s="90">
        <v>45121.477696759262</v>
      </c>
      <c r="AG802" s="99">
        <v>45121</v>
      </c>
      <c r="AH802" s="93" t="s">
        <v>12289</v>
      </c>
      <c r="AI802" s="87" t="b">
        <v>0</v>
      </c>
      <c r="AJ802" s="87"/>
      <c r="AK802" s="87"/>
      <c r="AL802" s="87"/>
      <c r="AM802" s="87"/>
      <c r="AN802" s="87"/>
      <c r="AO802" s="87"/>
      <c r="AP802" s="87"/>
      <c r="AQ802" s="87" t="s">
        <v>15944</v>
      </c>
      <c r="AR802" s="87">
        <v>14333</v>
      </c>
      <c r="AS802" s="87"/>
      <c r="AT802" s="87"/>
      <c r="AU802" s="87"/>
      <c r="AV802" s="92" t="str">
        <f>HYPERLINK("https://pbs.twimg.com/ext_tw_video_thumb/1679814945209237504/pu/img/JgJZZACmSbKMTNxD.jpg")</f>
        <v>https://pbs.twimg.com/ext_tw_video_thumb/1679814945209237504/pu/img/JgJZZACmSbKMTNxD.jpg</v>
      </c>
      <c r="AW802" s="93" t="s">
        <v>19049</v>
      </c>
      <c r="AX802" s="93" t="s">
        <v>19049</v>
      </c>
      <c r="AY802" s="87"/>
      <c r="AZ802" s="93" t="s">
        <v>22668</v>
      </c>
      <c r="BA802" s="93" t="s">
        <v>22668</v>
      </c>
      <c r="BB802" s="93" t="s">
        <v>22668</v>
      </c>
      <c r="BC802" s="93" t="s">
        <v>19049</v>
      </c>
      <c r="BD802" s="93" t="s">
        <v>22969</v>
      </c>
      <c r="BE802" s="87"/>
      <c r="BF802" s="87"/>
      <c r="BG802" s="87"/>
      <c r="BH802" s="87"/>
      <c r="BI802" s="87"/>
    </row>
    <row r="803" spans="1:61" x14ac:dyDescent="0.25">
      <c r="A803" s="63" t="s">
        <v>521</v>
      </c>
      <c r="B803" s="63" t="s">
        <v>521</v>
      </c>
      <c r="C803" s="64"/>
      <c r="D803" s="65"/>
      <c r="E803" s="66"/>
      <c r="F803" s="67"/>
      <c r="G803" s="64"/>
      <c r="H803" s="68"/>
      <c r="I803" s="69"/>
      <c r="J803" s="69"/>
      <c r="K803" s="32"/>
      <c r="L803" s="76">
        <v>803</v>
      </c>
      <c r="M803" s="76"/>
      <c r="N803" s="71"/>
      <c r="O803" s="87" t="s">
        <v>179</v>
      </c>
      <c r="P803" s="90">
        <v>45124.477118055554</v>
      </c>
      <c r="Q803" s="87" t="s">
        <v>2627</v>
      </c>
      <c r="R803" s="87">
        <v>0</v>
      </c>
      <c r="S803" s="87">
        <v>0</v>
      </c>
      <c r="T803" s="87">
        <v>0</v>
      </c>
      <c r="U803" s="87">
        <v>0</v>
      </c>
      <c r="V803" s="87">
        <v>9</v>
      </c>
      <c r="W803" s="93" t="s">
        <v>6419</v>
      </c>
      <c r="X803" s="87"/>
      <c r="Y803" s="87"/>
      <c r="Z803" s="87"/>
      <c r="AA803" s="87" t="s">
        <v>9132</v>
      </c>
      <c r="AB803" s="87" t="s">
        <v>11447</v>
      </c>
      <c r="AC803" s="93" t="s">
        <v>11459</v>
      </c>
      <c r="AD803" s="87" t="s">
        <v>11519</v>
      </c>
      <c r="AE803" s="92" t="str">
        <f>HYPERLINK("https://twitter.com/fernandomelodn/status/1680901926945280002")</f>
        <v>https://twitter.com/fernandomelodn/status/1680901926945280002</v>
      </c>
      <c r="AF803" s="90">
        <v>45124.477118055554</v>
      </c>
      <c r="AG803" s="99">
        <v>45124</v>
      </c>
      <c r="AH803" s="93" t="s">
        <v>12290</v>
      </c>
      <c r="AI803" s="87" t="b">
        <v>0</v>
      </c>
      <c r="AJ803" s="87"/>
      <c r="AK803" s="87"/>
      <c r="AL803" s="87"/>
      <c r="AM803" s="87"/>
      <c r="AN803" s="87"/>
      <c r="AO803" s="87"/>
      <c r="AP803" s="87"/>
      <c r="AQ803" s="87" t="s">
        <v>15945</v>
      </c>
      <c r="AR803" s="87">
        <v>13933</v>
      </c>
      <c r="AS803" s="87"/>
      <c r="AT803" s="87"/>
      <c r="AU803" s="87"/>
      <c r="AV803" s="92" t="str">
        <f>HYPERLINK("https://pbs.twimg.com/ext_tw_video_thumb/1680901883328708609/pu/img/HBxJIE6R-4iF_G8y.jpg")</f>
        <v>https://pbs.twimg.com/ext_tw_video_thumb/1680901883328708609/pu/img/HBxJIE6R-4iF_G8y.jpg</v>
      </c>
      <c r="AW803" s="93" t="s">
        <v>19050</v>
      </c>
      <c r="AX803" s="93" t="s">
        <v>19050</v>
      </c>
      <c r="AY803" s="87"/>
      <c r="AZ803" s="93" t="s">
        <v>22668</v>
      </c>
      <c r="BA803" s="93" t="s">
        <v>22668</v>
      </c>
      <c r="BB803" s="93" t="s">
        <v>22668</v>
      </c>
      <c r="BC803" s="93" t="s">
        <v>19050</v>
      </c>
      <c r="BD803" s="93" t="s">
        <v>22969</v>
      </c>
      <c r="BE803" s="87"/>
      <c r="BF803" s="87"/>
      <c r="BG803" s="87"/>
      <c r="BH803" s="87"/>
      <c r="BI803" s="87"/>
    </row>
    <row r="804" spans="1:61" x14ac:dyDescent="0.25">
      <c r="A804" s="63" t="s">
        <v>522</v>
      </c>
      <c r="B804" s="63" t="s">
        <v>522</v>
      </c>
      <c r="C804" s="64"/>
      <c r="D804" s="65"/>
      <c r="E804" s="66"/>
      <c r="F804" s="67"/>
      <c r="G804" s="64"/>
      <c r="H804" s="68"/>
      <c r="I804" s="69"/>
      <c r="J804" s="69"/>
      <c r="K804" s="32"/>
      <c r="L804" s="76">
        <v>804</v>
      </c>
      <c r="M804" s="76"/>
      <c r="N804" s="71"/>
      <c r="O804" s="87" t="s">
        <v>179</v>
      </c>
      <c r="P804" s="90">
        <v>45146.913229166668</v>
      </c>
      <c r="Q804" s="87" t="s">
        <v>2628</v>
      </c>
      <c r="R804" s="87">
        <v>1</v>
      </c>
      <c r="S804" s="87">
        <v>3</v>
      </c>
      <c r="T804" s="87">
        <v>0</v>
      </c>
      <c r="U804" s="87">
        <v>0</v>
      </c>
      <c r="V804" s="87">
        <v>66</v>
      </c>
      <c r="W804" s="93" t="s">
        <v>6420</v>
      </c>
      <c r="X804" s="87"/>
      <c r="Y804" s="87"/>
      <c r="Z804" s="87"/>
      <c r="AA804" s="87" t="s">
        <v>9133</v>
      </c>
      <c r="AB804" s="87" t="s">
        <v>11449</v>
      </c>
      <c r="AC804" s="93" t="s">
        <v>11457</v>
      </c>
      <c r="AD804" s="87" t="s">
        <v>11519</v>
      </c>
      <c r="AE804" s="92" t="str">
        <f>HYPERLINK("https://twitter.com/fetrabalho1/status/1689032502348795906")</f>
        <v>https://twitter.com/fetrabalho1/status/1689032502348795906</v>
      </c>
      <c r="AF804" s="90">
        <v>45146.913229166668</v>
      </c>
      <c r="AG804" s="99">
        <v>45146</v>
      </c>
      <c r="AH804" s="93" t="s">
        <v>12291</v>
      </c>
      <c r="AI804" s="87" t="b">
        <v>0</v>
      </c>
      <c r="AJ804" s="87"/>
      <c r="AK804" s="87"/>
      <c r="AL804" s="87"/>
      <c r="AM804" s="87"/>
      <c r="AN804" s="87"/>
      <c r="AO804" s="87"/>
      <c r="AP804" s="87"/>
      <c r="AQ804" s="87" t="s">
        <v>15946</v>
      </c>
      <c r="AR804" s="87"/>
      <c r="AS804" s="87"/>
      <c r="AT804" s="87"/>
      <c r="AU804" s="87"/>
      <c r="AV804" s="92" t="str">
        <f>HYPERLINK("https://pbs.twimg.com/media/F3CMg0IW8AA6Z9Q.jpg")</f>
        <v>https://pbs.twimg.com/media/F3CMg0IW8AA6Z9Q.jpg</v>
      </c>
      <c r="AW804" s="93" t="s">
        <v>19051</v>
      </c>
      <c r="AX804" s="93" t="s">
        <v>19051</v>
      </c>
      <c r="AY804" s="87"/>
      <c r="AZ804" s="93" t="s">
        <v>22668</v>
      </c>
      <c r="BA804" s="93" t="s">
        <v>22668</v>
      </c>
      <c r="BB804" s="93" t="s">
        <v>22668</v>
      </c>
      <c r="BC804" s="93" t="s">
        <v>19051</v>
      </c>
      <c r="BD804" s="93" t="s">
        <v>22970</v>
      </c>
      <c r="BE804" s="87"/>
      <c r="BF804" s="87"/>
      <c r="BG804" s="87"/>
      <c r="BH804" s="87"/>
      <c r="BI804" s="87"/>
    </row>
    <row r="805" spans="1:61" x14ac:dyDescent="0.25">
      <c r="A805" s="63" t="s">
        <v>522</v>
      </c>
      <c r="B805" s="63" t="s">
        <v>522</v>
      </c>
      <c r="C805" s="64"/>
      <c r="D805" s="65"/>
      <c r="E805" s="66"/>
      <c r="F805" s="67"/>
      <c r="G805" s="64"/>
      <c r="H805" s="68"/>
      <c r="I805" s="69"/>
      <c r="J805" s="69"/>
      <c r="K805" s="32"/>
      <c r="L805" s="76">
        <v>805</v>
      </c>
      <c r="M805" s="76"/>
      <c r="N805" s="71"/>
      <c r="O805" s="87" t="s">
        <v>179</v>
      </c>
      <c r="P805" s="90">
        <v>45143.895833333336</v>
      </c>
      <c r="Q805" s="87" t="s">
        <v>2629</v>
      </c>
      <c r="R805" s="87">
        <v>2</v>
      </c>
      <c r="S805" s="87">
        <v>9</v>
      </c>
      <c r="T805" s="87">
        <v>0</v>
      </c>
      <c r="U805" s="87">
        <v>0</v>
      </c>
      <c r="V805" s="87">
        <v>192</v>
      </c>
      <c r="W805" s="93" t="s">
        <v>6421</v>
      </c>
      <c r="X805" s="87"/>
      <c r="Y805" s="87"/>
      <c r="Z805" s="87"/>
      <c r="AA805" s="87" t="s">
        <v>9134</v>
      </c>
      <c r="AB805" s="87" t="s">
        <v>11447</v>
      </c>
      <c r="AC805" s="93" t="s">
        <v>11457</v>
      </c>
      <c r="AD805" s="87" t="s">
        <v>11519</v>
      </c>
      <c r="AE805" s="92" t="str">
        <f>HYPERLINK("https://twitter.com/fetrabalho1/status/1687939031508930560")</f>
        <v>https://twitter.com/fetrabalho1/status/1687939031508930560</v>
      </c>
      <c r="AF805" s="90">
        <v>45143.895833333336</v>
      </c>
      <c r="AG805" s="99">
        <v>45143</v>
      </c>
      <c r="AH805" s="93" t="s">
        <v>12292</v>
      </c>
      <c r="AI805" s="87" t="b">
        <v>0</v>
      </c>
      <c r="AJ805" s="87"/>
      <c r="AK805" s="87"/>
      <c r="AL805" s="87"/>
      <c r="AM805" s="87"/>
      <c r="AN805" s="87"/>
      <c r="AO805" s="87"/>
      <c r="AP805" s="87"/>
      <c r="AQ805" s="87" t="s">
        <v>15947</v>
      </c>
      <c r="AR805" s="87">
        <v>53840</v>
      </c>
      <c r="AS805" s="87"/>
      <c r="AT805" s="87"/>
      <c r="AU805" s="87"/>
      <c r="AV805" s="92" t="str">
        <f>HYPERLINK("https://pbs.twimg.com/ext_tw_video_thumb/1687904014258593792/pu/img/XjFKDAsC1PWIr_Qa.jpg")</f>
        <v>https://pbs.twimg.com/ext_tw_video_thumb/1687904014258593792/pu/img/XjFKDAsC1PWIr_Qa.jpg</v>
      </c>
      <c r="AW805" s="93" t="s">
        <v>19052</v>
      </c>
      <c r="AX805" s="93" t="s">
        <v>19052</v>
      </c>
      <c r="AY805" s="87"/>
      <c r="AZ805" s="93" t="s">
        <v>22668</v>
      </c>
      <c r="BA805" s="93" t="s">
        <v>22668</v>
      </c>
      <c r="BB805" s="93" t="s">
        <v>22668</v>
      </c>
      <c r="BC805" s="93" t="s">
        <v>19052</v>
      </c>
      <c r="BD805" s="93" t="s">
        <v>22970</v>
      </c>
      <c r="BE805" s="87"/>
      <c r="BF805" s="87"/>
      <c r="BG805" s="87"/>
      <c r="BH805" s="87"/>
      <c r="BI805" s="87"/>
    </row>
    <row r="806" spans="1:61" x14ac:dyDescent="0.25">
      <c r="A806" s="63" t="s">
        <v>522</v>
      </c>
      <c r="B806" s="63" t="s">
        <v>522</v>
      </c>
      <c r="C806" s="64"/>
      <c r="D806" s="65"/>
      <c r="E806" s="66"/>
      <c r="F806" s="67"/>
      <c r="G806" s="64"/>
      <c r="H806" s="68"/>
      <c r="I806" s="69"/>
      <c r="J806" s="69"/>
      <c r="K806" s="32"/>
      <c r="L806" s="76">
        <v>806</v>
      </c>
      <c r="M806" s="76"/>
      <c r="N806" s="71"/>
      <c r="O806" s="87" t="s">
        <v>179</v>
      </c>
      <c r="P806" s="90">
        <v>45132.678912037038</v>
      </c>
      <c r="Q806" s="87" t="s">
        <v>2630</v>
      </c>
      <c r="R806" s="87">
        <v>0</v>
      </c>
      <c r="S806" s="87">
        <v>5</v>
      </c>
      <c r="T806" s="87">
        <v>0</v>
      </c>
      <c r="U806" s="87">
        <v>0</v>
      </c>
      <c r="V806" s="87">
        <v>79</v>
      </c>
      <c r="W806" s="93" t="s">
        <v>6422</v>
      </c>
      <c r="X806" s="87"/>
      <c r="Y806" s="87"/>
      <c r="Z806" s="87"/>
      <c r="AA806" s="87" t="s">
        <v>9135</v>
      </c>
      <c r="AB806" s="87" t="s">
        <v>11447</v>
      </c>
      <c r="AC806" s="93" t="s">
        <v>11457</v>
      </c>
      <c r="AD806" s="87" t="s">
        <v>11519</v>
      </c>
      <c r="AE806" s="92" t="str">
        <f>HYPERLINK("https://twitter.com/fetrabalho1/status/1683874158248177666")</f>
        <v>https://twitter.com/fetrabalho1/status/1683874158248177666</v>
      </c>
      <c r="AF806" s="90">
        <v>45132.678912037038</v>
      </c>
      <c r="AG806" s="99">
        <v>45132</v>
      </c>
      <c r="AH806" s="93" t="s">
        <v>12220</v>
      </c>
      <c r="AI806" s="87" t="b">
        <v>0</v>
      </c>
      <c r="AJ806" s="87"/>
      <c r="AK806" s="87"/>
      <c r="AL806" s="87"/>
      <c r="AM806" s="87"/>
      <c r="AN806" s="87"/>
      <c r="AO806" s="87"/>
      <c r="AP806" s="87"/>
      <c r="AQ806" s="87" t="s">
        <v>15948</v>
      </c>
      <c r="AR806" s="87">
        <v>46720</v>
      </c>
      <c r="AS806" s="87"/>
      <c r="AT806" s="87"/>
      <c r="AU806" s="87"/>
      <c r="AV806" s="92" t="str">
        <f>HYPERLINK("https://pbs.twimg.com/ext_tw_video_thumb/1683873218090741768/pu/img/uSeDbWbzAqOTpjmj.jpg")</f>
        <v>https://pbs.twimg.com/ext_tw_video_thumb/1683873218090741768/pu/img/uSeDbWbzAqOTpjmj.jpg</v>
      </c>
      <c r="AW806" s="93" t="s">
        <v>19053</v>
      </c>
      <c r="AX806" s="93" t="s">
        <v>19053</v>
      </c>
      <c r="AY806" s="87"/>
      <c r="AZ806" s="93" t="s">
        <v>22668</v>
      </c>
      <c r="BA806" s="93" t="s">
        <v>22668</v>
      </c>
      <c r="BB806" s="93" t="s">
        <v>22668</v>
      </c>
      <c r="BC806" s="93" t="s">
        <v>19053</v>
      </c>
      <c r="BD806" s="93" t="s">
        <v>22970</v>
      </c>
      <c r="BE806" s="87"/>
      <c r="BF806" s="87"/>
      <c r="BG806" s="87"/>
      <c r="BH806" s="87"/>
      <c r="BI806" s="87"/>
    </row>
    <row r="807" spans="1:61" x14ac:dyDescent="0.25">
      <c r="A807" s="63" t="s">
        <v>523</v>
      </c>
      <c r="B807" s="63" t="s">
        <v>523</v>
      </c>
      <c r="C807" s="64"/>
      <c r="D807" s="65"/>
      <c r="E807" s="66"/>
      <c r="F807" s="67"/>
      <c r="G807" s="64"/>
      <c r="H807" s="68"/>
      <c r="I807" s="69"/>
      <c r="J807" s="69"/>
      <c r="K807" s="32"/>
      <c r="L807" s="76">
        <v>807</v>
      </c>
      <c r="M807" s="76"/>
      <c r="N807" s="71"/>
      <c r="O807" s="87" t="s">
        <v>179</v>
      </c>
      <c r="P807" s="90">
        <v>45187.497488425928</v>
      </c>
      <c r="Q807" s="87" t="s">
        <v>2631</v>
      </c>
      <c r="R807" s="87">
        <v>0</v>
      </c>
      <c r="S807" s="87">
        <v>0</v>
      </c>
      <c r="T807" s="87">
        <v>0</v>
      </c>
      <c r="U807" s="87">
        <v>0</v>
      </c>
      <c r="V807" s="87">
        <v>31</v>
      </c>
      <c r="W807" s="93" t="s">
        <v>6423</v>
      </c>
      <c r="X807" s="92" t="str">
        <f>HYPERLINK("http://www.universidadefm.ufma.br/jornalismo106/empresaemacao/ii-seminario-papos-com-cafe-discutira-empreendedorismo-em-sao-luis/")</f>
        <v>http://www.universidadefm.ufma.br/jornalismo106/empresaemacao/ii-seminario-papos-com-cafe-discutira-empreendedorismo-em-sao-luis/</v>
      </c>
      <c r="Y807" s="87" t="s">
        <v>8424</v>
      </c>
      <c r="Z807" s="87"/>
      <c r="AA807" s="87"/>
      <c r="AB807" s="87"/>
      <c r="AC807" s="93" t="s">
        <v>11457</v>
      </c>
      <c r="AD807" s="87" t="s">
        <v>11519</v>
      </c>
      <c r="AE807" s="92" t="str">
        <f>HYPERLINK("https://twitter.com/adalbertopcjr/status/1703739742318141444")</f>
        <v>https://twitter.com/adalbertopcjr/status/1703739742318141444</v>
      </c>
      <c r="AF807" s="90">
        <v>45187.497488425928</v>
      </c>
      <c r="AG807" s="99">
        <v>45187</v>
      </c>
      <c r="AH807" s="93" t="s">
        <v>12293</v>
      </c>
      <c r="AI807" s="87" t="b">
        <v>0</v>
      </c>
      <c r="AJ807" s="87"/>
      <c r="AK807" s="87"/>
      <c r="AL807" s="87"/>
      <c r="AM807" s="87"/>
      <c r="AN807" s="87"/>
      <c r="AO807" s="87"/>
      <c r="AP807" s="87"/>
      <c r="AQ807" s="87"/>
      <c r="AR807" s="87"/>
      <c r="AS807" s="87"/>
      <c r="AT807" s="87"/>
      <c r="AU807" s="87"/>
      <c r="AV807" s="92" t="str">
        <f>HYPERLINK("https://pbs.twimg.com/profile_images/1683810619827396608/SJJ92CA3_normal.jpg")</f>
        <v>https://pbs.twimg.com/profile_images/1683810619827396608/SJJ92CA3_normal.jpg</v>
      </c>
      <c r="AW807" s="93" t="s">
        <v>19054</v>
      </c>
      <c r="AX807" s="93" t="s">
        <v>19054</v>
      </c>
      <c r="AY807" s="87"/>
      <c r="AZ807" s="93" t="s">
        <v>22668</v>
      </c>
      <c r="BA807" s="93" t="s">
        <v>22668</v>
      </c>
      <c r="BB807" s="93" t="s">
        <v>22668</v>
      </c>
      <c r="BC807" s="93" t="s">
        <v>19054</v>
      </c>
      <c r="BD807" s="87">
        <v>73200757</v>
      </c>
      <c r="BE807" s="87"/>
      <c r="BF807" s="87"/>
      <c r="BG807" s="87"/>
      <c r="BH807" s="87"/>
      <c r="BI807" s="87"/>
    </row>
    <row r="808" spans="1:61" x14ac:dyDescent="0.25">
      <c r="A808" s="63" t="s">
        <v>524</v>
      </c>
      <c r="B808" s="63" t="s">
        <v>524</v>
      </c>
      <c r="C808" s="64"/>
      <c r="D808" s="65"/>
      <c r="E808" s="66"/>
      <c r="F808" s="67"/>
      <c r="G808" s="64"/>
      <c r="H808" s="68"/>
      <c r="I808" s="69"/>
      <c r="J808" s="69"/>
      <c r="K808" s="32"/>
      <c r="L808" s="76">
        <v>808</v>
      </c>
      <c r="M808" s="76"/>
      <c r="N808" s="71"/>
      <c r="O808" s="87" t="s">
        <v>1840</v>
      </c>
      <c r="P808" s="90">
        <v>45191.547592592593</v>
      </c>
      <c r="Q808" s="87" t="s">
        <v>2632</v>
      </c>
      <c r="R808" s="87">
        <v>0</v>
      </c>
      <c r="S808" s="87">
        <v>2</v>
      </c>
      <c r="T808" s="87">
        <v>6</v>
      </c>
      <c r="U808" s="87">
        <v>1</v>
      </c>
      <c r="V808" s="87">
        <v>41</v>
      </c>
      <c r="W808" s="93" t="s">
        <v>6424</v>
      </c>
      <c r="X808" s="87"/>
      <c r="Y808" s="87"/>
      <c r="Z808" s="87"/>
      <c r="AA808" s="87" t="s">
        <v>9136</v>
      </c>
      <c r="AB808" s="87" t="s">
        <v>11448</v>
      </c>
      <c r="AC808" s="93" t="s">
        <v>11457</v>
      </c>
      <c r="AD808" s="87" t="s">
        <v>11518</v>
      </c>
      <c r="AE808" s="92" t="str">
        <f>HYPERLINK("https://twitter.com/spaceapps_khi/status/1705207451807822257")</f>
        <v>https://twitter.com/spaceapps_khi/status/1705207451807822257</v>
      </c>
      <c r="AF808" s="90">
        <v>45191.547592592593</v>
      </c>
      <c r="AG808" s="99">
        <v>45191</v>
      </c>
      <c r="AH808" s="93" t="s">
        <v>12294</v>
      </c>
      <c r="AI808" s="87" t="b">
        <v>0</v>
      </c>
      <c r="AJ808" s="87"/>
      <c r="AK808" s="87"/>
      <c r="AL808" s="87"/>
      <c r="AM808" s="87"/>
      <c r="AN808" s="87"/>
      <c r="AO808" s="87"/>
      <c r="AP808" s="87"/>
      <c r="AQ808" s="87" t="s">
        <v>15949</v>
      </c>
      <c r="AR808" s="87"/>
      <c r="AS808" s="87"/>
      <c r="AT808" s="87"/>
      <c r="AU808" s="87"/>
      <c r="AV808" s="92" t="str">
        <f>HYPERLINK("https://pbs.twimg.com/media/F6oc1SubIAEnClE.jpg")</f>
        <v>https://pbs.twimg.com/media/F6oc1SubIAEnClE.jpg</v>
      </c>
      <c r="AW808" s="93" t="s">
        <v>19055</v>
      </c>
      <c r="AX808" s="93" t="s">
        <v>22329</v>
      </c>
      <c r="AY808" s="93" t="s">
        <v>22539</v>
      </c>
      <c r="AZ808" s="93" t="s">
        <v>22329</v>
      </c>
      <c r="BA808" s="93" t="s">
        <v>22668</v>
      </c>
      <c r="BB808" s="93" t="s">
        <v>22668</v>
      </c>
      <c r="BC808" s="93" t="s">
        <v>22329</v>
      </c>
      <c r="BD808" s="93" t="s">
        <v>22539</v>
      </c>
      <c r="BE808" s="87"/>
      <c r="BF808" s="87"/>
      <c r="BG808" s="87"/>
      <c r="BH808" s="87"/>
      <c r="BI808" s="87"/>
    </row>
    <row r="809" spans="1:61" x14ac:dyDescent="0.25">
      <c r="A809" s="63" t="s">
        <v>525</v>
      </c>
      <c r="B809" s="63" t="s">
        <v>525</v>
      </c>
      <c r="C809" s="64"/>
      <c r="D809" s="65"/>
      <c r="E809" s="66"/>
      <c r="F809" s="67"/>
      <c r="G809" s="64"/>
      <c r="H809" s="68"/>
      <c r="I809" s="69"/>
      <c r="J809" s="69"/>
      <c r="K809" s="32"/>
      <c r="L809" s="76">
        <v>809</v>
      </c>
      <c r="M809" s="76"/>
      <c r="N809" s="71"/>
      <c r="O809" s="87" t="s">
        <v>179</v>
      </c>
      <c r="P809" s="90">
        <v>45163.745833333334</v>
      </c>
      <c r="Q809" s="87" t="s">
        <v>2633</v>
      </c>
      <c r="R809" s="87">
        <v>0</v>
      </c>
      <c r="S809" s="87">
        <v>0</v>
      </c>
      <c r="T809" s="87">
        <v>0</v>
      </c>
      <c r="U809" s="87">
        <v>0</v>
      </c>
      <c r="V809" s="87">
        <v>5</v>
      </c>
      <c r="W809" s="93" t="s">
        <v>6425</v>
      </c>
      <c r="X809" s="92" t="str">
        <f>HYPERLINK("https://talentosconsultoria.com.br/blog/como-implementar-o-rh/")</f>
        <v>https://talentosconsultoria.com.br/blog/como-implementar-o-rh/</v>
      </c>
      <c r="Y809" s="87" t="s">
        <v>8373</v>
      </c>
      <c r="Z809" s="87"/>
      <c r="AA809" s="87"/>
      <c r="AB809" s="87"/>
      <c r="AC809" s="93" t="s">
        <v>11457</v>
      </c>
      <c r="AD809" s="87" t="s">
        <v>11519</v>
      </c>
      <c r="AE809" s="92" t="str">
        <f>HYPERLINK("https://twitter.com/carloso36490707/status/1695132433505468647")</f>
        <v>https://twitter.com/carloso36490707/status/1695132433505468647</v>
      </c>
      <c r="AF809" s="90">
        <v>45163.745833333334</v>
      </c>
      <c r="AG809" s="99">
        <v>45163</v>
      </c>
      <c r="AH809" s="93" t="s">
        <v>12295</v>
      </c>
      <c r="AI809" s="87" t="b">
        <v>0</v>
      </c>
      <c r="AJ809" s="87"/>
      <c r="AK809" s="87"/>
      <c r="AL809" s="87"/>
      <c r="AM809" s="87"/>
      <c r="AN809" s="87"/>
      <c r="AO809" s="87"/>
      <c r="AP809" s="87"/>
      <c r="AQ809" s="87"/>
      <c r="AR809" s="87"/>
      <c r="AS809" s="87"/>
      <c r="AT809" s="87"/>
      <c r="AU809" s="87"/>
      <c r="AV809" s="92" t="str">
        <f>HYPERLINK("https://pbs.twimg.com/profile_images/1252305565574987784/hDWCJ-rv_normal.jpg")</f>
        <v>https://pbs.twimg.com/profile_images/1252305565574987784/hDWCJ-rv_normal.jpg</v>
      </c>
      <c r="AW809" s="93" t="s">
        <v>19056</v>
      </c>
      <c r="AX809" s="93" t="s">
        <v>19056</v>
      </c>
      <c r="AY809" s="87"/>
      <c r="AZ809" s="93" t="s">
        <v>22668</v>
      </c>
      <c r="BA809" s="93" t="s">
        <v>22668</v>
      </c>
      <c r="BB809" s="93" t="s">
        <v>22668</v>
      </c>
      <c r="BC809" s="93" t="s">
        <v>19056</v>
      </c>
      <c r="BD809" s="93" t="s">
        <v>22971</v>
      </c>
      <c r="BE809" s="87"/>
      <c r="BF809" s="87"/>
      <c r="BG809" s="87"/>
      <c r="BH809" s="87"/>
      <c r="BI809" s="87"/>
    </row>
    <row r="810" spans="1:61" x14ac:dyDescent="0.25">
      <c r="A810" s="63" t="s">
        <v>526</v>
      </c>
      <c r="B810" s="63" t="s">
        <v>526</v>
      </c>
      <c r="C810" s="64"/>
      <c r="D810" s="65"/>
      <c r="E810" s="66"/>
      <c r="F810" s="67"/>
      <c r="G810" s="64"/>
      <c r="H810" s="68"/>
      <c r="I810" s="69"/>
      <c r="J810" s="69"/>
      <c r="K810" s="32"/>
      <c r="L810" s="76">
        <v>810</v>
      </c>
      <c r="M810" s="76"/>
      <c r="N810" s="71"/>
      <c r="O810" s="87" t="s">
        <v>179</v>
      </c>
      <c r="P810" s="90">
        <v>45131.660081018519</v>
      </c>
      <c r="Q810" s="87" t="s">
        <v>2634</v>
      </c>
      <c r="R810" s="87">
        <v>0</v>
      </c>
      <c r="S810" s="87">
        <v>0</v>
      </c>
      <c r="T810" s="87">
        <v>0</v>
      </c>
      <c r="U810" s="87">
        <v>0</v>
      </c>
      <c r="V810" s="87">
        <v>17</v>
      </c>
      <c r="W810" s="93" t="s">
        <v>5897</v>
      </c>
      <c r="X810" s="92" t="str">
        <f>HYPERLINK("https://conteudo.diretogroup.com/agendar-reuniao")</f>
        <v>https://conteudo.diretogroup.com/agendar-reuniao</v>
      </c>
      <c r="Y810" s="87" t="s">
        <v>8425</v>
      </c>
      <c r="Z810" s="87"/>
      <c r="AA810" s="87" t="s">
        <v>9137</v>
      </c>
      <c r="AB810" s="87" t="s">
        <v>11447</v>
      </c>
      <c r="AC810" s="93" t="s">
        <v>11457</v>
      </c>
      <c r="AD810" s="87" t="s">
        <v>11519</v>
      </c>
      <c r="AE810" s="92" t="str">
        <f>HYPERLINK("https://twitter.com/diretogroup/status/1683504945016741890")</f>
        <v>https://twitter.com/diretogroup/status/1683504945016741890</v>
      </c>
      <c r="AF810" s="90">
        <v>45131.660081018519</v>
      </c>
      <c r="AG810" s="99">
        <v>45131</v>
      </c>
      <c r="AH810" s="93" t="s">
        <v>12296</v>
      </c>
      <c r="AI810" s="87" t="b">
        <v>0</v>
      </c>
      <c r="AJ810" s="87"/>
      <c r="AK810" s="87"/>
      <c r="AL810" s="87"/>
      <c r="AM810" s="87"/>
      <c r="AN810" s="87"/>
      <c r="AO810" s="87"/>
      <c r="AP810" s="87"/>
      <c r="AQ810" s="87" t="s">
        <v>15950</v>
      </c>
      <c r="AR810" s="87">
        <v>29633</v>
      </c>
      <c r="AS810" s="87"/>
      <c r="AT810" s="87"/>
      <c r="AU810" s="87"/>
      <c r="AV810" s="92" t="str">
        <f>HYPERLINK("https://pbs.twimg.com/ext_tw_video_thumb/1683504865585111040/pu/img/O27FRyTb7veqHoV3.jpg")</f>
        <v>https://pbs.twimg.com/ext_tw_video_thumb/1683504865585111040/pu/img/O27FRyTb7veqHoV3.jpg</v>
      </c>
      <c r="AW810" s="93" t="s">
        <v>19057</v>
      </c>
      <c r="AX810" s="93" t="s">
        <v>19057</v>
      </c>
      <c r="AY810" s="87"/>
      <c r="AZ810" s="93" t="s">
        <v>22668</v>
      </c>
      <c r="BA810" s="93" t="s">
        <v>22668</v>
      </c>
      <c r="BB810" s="93" t="s">
        <v>22668</v>
      </c>
      <c r="BC810" s="93" t="s">
        <v>19057</v>
      </c>
      <c r="BD810" s="87">
        <v>62877090</v>
      </c>
      <c r="BE810" s="87"/>
      <c r="BF810" s="87"/>
      <c r="BG810" s="87"/>
      <c r="BH810" s="87"/>
      <c r="BI810" s="87"/>
    </row>
    <row r="811" spans="1:61" x14ac:dyDescent="0.25">
      <c r="A811" s="63" t="s">
        <v>527</v>
      </c>
      <c r="B811" s="63" t="s">
        <v>1648</v>
      </c>
      <c r="C811" s="64"/>
      <c r="D811" s="65"/>
      <c r="E811" s="66"/>
      <c r="F811" s="67"/>
      <c r="G811" s="64"/>
      <c r="H811" s="68"/>
      <c r="I811" s="69"/>
      <c r="J811" s="69"/>
      <c r="K811" s="32"/>
      <c r="L811" s="76">
        <v>811</v>
      </c>
      <c r="M811" s="76"/>
      <c r="N811" s="71"/>
      <c r="O811" s="87" t="s">
        <v>1839</v>
      </c>
      <c r="P811" s="90">
        <v>45192.073125000003</v>
      </c>
      <c r="Q811" s="87" t="s">
        <v>2635</v>
      </c>
      <c r="R811" s="87">
        <v>0</v>
      </c>
      <c r="S811" s="87">
        <v>1</v>
      </c>
      <c r="T811" s="87">
        <v>0</v>
      </c>
      <c r="U811" s="87">
        <v>1</v>
      </c>
      <c r="V811" s="87">
        <v>586</v>
      </c>
      <c r="W811" s="93" t="s">
        <v>6426</v>
      </c>
      <c r="X811" s="87"/>
      <c r="Y811" s="87"/>
      <c r="Z811" s="87" t="s">
        <v>8571</v>
      </c>
      <c r="AA811" s="87" t="s">
        <v>9138</v>
      </c>
      <c r="AB811" s="87" t="s">
        <v>11448</v>
      </c>
      <c r="AC811" s="93" t="s">
        <v>11457</v>
      </c>
      <c r="AD811" s="87" t="s">
        <v>11519</v>
      </c>
      <c r="AE811" s="92" t="str">
        <f>HYPERLINK("https://twitter.com/andersondiego6/status/1705397900363055434")</f>
        <v>https://twitter.com/andersondiego6/status/1705397900363055434</v>
      </c>
      <c r="AF811" s="90">
        <v>45192.073125000003</v>
      </c>
      <c r="AG811" s="99">
        <v>45192</v>
      </c>
      <c r="AH811" s="93" t="s">
        <v>12297</v>
      </c>
      <c r="AI811" s="87" t="b">
        <v>0</v>
      </c>
      <c r="AJ811" s="87"/>
      <c r="AK811" s="87"/>
      <c r="AL811" s="87"/>
      <c r="AM811" s="87"/>
      <c r="AN811" s="87"/>
      <c r="AO811" s="87"/>
      <c r="AP811" s="87"/>
      <c r="AQ811" s="87" t="s">
        <v>15951</v>
      </c>
      <c r="AR811" s="87"/>
      <c r="AS811" s="87"/>
      <c r="AT811" s="87"/>
      <c r="AU811" s="87"/>
      <c r="AV811" s="92" t="str">
        <f>HYPERLINK("https://pbs.twimg.com/media/F6rKOZdWIAAyGjZ.jpg")</f>
        <v>https://pbs.twimg.com/media/F6rKOZdWIAAyGjZ.jpg</v>
      </c>
      <c r="AW811" s="93" t="s">
        <v>19058</v>
      </c>
      <c r="AX811" s="93" t="s">
        <v>19058</v>
      </c>
      <c r="AY811" s="87"/>
      <c r="AZ811" s="93" t="s">
        <v>22668</v>
      </c>
      <c r="BA811" s="93" t="s">
        <v>22668</v>
      </c>
      <c r="BB811" s="93" t="s">
        <v>22668</v>
      </c>
      <c r="BC811" s="93" t="s">
        <v>19058</v>
      </c>
      <c r="BD811" s="87">
        <v>72289332</v>
      </c>
      <c r="BE811" s="87"/>
      <c r="BF811" s="87"/>
      <c r="BG811" s="87"/>
      <c r="BH811" s="87"/>
      <c r="BI811" s="87"/>
    </row>
    <row r="812" spans="1:61" x14ac:dyDescent="0.25">
      <c r="A812" s="63" t="s">
        <v>527</v>
      </c>
      <c r="B812" s="63" t="s">
        <v>1649</v>
      </c>
      <c r="C812" s="64"/>
      <c r="D812" s="65"/>
      <c r="E812" s="66"/>
      <c r="F812" s="67"/>
      <c r="G812" s="64"/>
      <c r="H812" s="68"/>
      <c r="I812" s="69"/>
      <c r="J812" s="69"/>
      <c r="K812" s="32"/>
      <c r="L812" s="76">
        <v>812</v>
      </c>
      <c r="M812" s="76"/>
      <c r="N812" s="71"/>
      <c r="O812" s="87" t="s">
        <v>1839</v>
      </c>
      <c r="P812" s="90">
        <v>45192.073125000003</v>
      </c>
      <c r="Q812" s="87" t="s">
        <v>2635</v>
      </c>
      <c r="R812" s="87">
        <v>0</v>
      </c>
      <c r="S812" s="87">
        <v>1</v>
      </c>
      <c r="T812" s="87">
        <v>0</v>
      </c>
      <c r="U812" s="87">
        <v>1</v>
      </c>
      <c r="V812" s="87">
        <v>586</v>
      </c>
      <c r="W812" s="93" t="s">
        <v>6426</v>
      </c>
      <c r="X812" s="87"/>
      <c r="Y812" s="87"/>
      <c r="Z812" s="87" t="s">
        <v>8571</v>
      </c>
      <c r="AA812" s="87" t="s">
        <v>9138</v>
      </c>
      <c r="AB812" s="87" t="s">
        <v>11448</v>
      </c>
      <c r="AC812" s="93" t="s">
        <v>11457</v>
      </c>
      <c r="AD812" s="87" t="s">
        <v>11519</v>
      </c>
      <c r="AE812" s="92" t="str">
        <f>HYPERLINK("https://twitter.com/andersondiego6/status/1705397900363055434")</f>
        <v>https://twitter.com/andersondiego6/status/1705397900363055434</v>
      </c>
      <c r="AF812" s="90">
        <v>45192.073125000003</v>
      </c>
      <c r="AG812" s="99">
        <v>45192</v>
      </c>
      <c r="AH812" s="93" t="s">
        <v>12297</v>
      </c>
      <c r="AI812" s="87" t="b">
        <v>0</v>
      </c>
      <c r="AJ812" s="87"/>
      <c r="AK812" s="87"/>
      <c r="AL812" s="87"/>
      <c r="AM812" s="87"/>
      <c r="AN812" s="87"/>
      <c r="AO812" s="87"/>
      <c r="AP812" s="87"/>
      <c r="AQ812" s="87" t="s">
        <v>15951</v>
      </c>
      <c r="AR812" s="87"/>
      <c r="AS812" s="87"/>
      <c r="AT812" s="87"/>
      <c r="AU812" s="87"/>
      <c r="AV812" s="92" t="str">
        <f>HYPERLINK("https://pbs.twimg.com/media/F6rKOZdWIAAyGjZ.jpg")</f>
        <v>https://pbs.twimg.com/media/F6rKOZdWIAAyGjZ.jpg</v>
      </c>
      <c r="AW812" s="93" t="s">
        <v>19058</v>
      </c>
      <c r="AX812" s="93" t="s">
        <v>19058</v>
      </c>
      <c r="AY812" s="87"/>
      <c r="AZ812" s="93" t="s">
        <v>22668</v>
      </c>
      <c r="BA812" s="93" t="s">
        <v>22668</v>
      </c>
      <c r="BB812" s="93" t="s">
        <v>22668</v>
      </c>
      <c r="BC812" s="93" t="s">
        <v>19058</v>
      </c>
      <c r="BD812" s="87">
        <v>72289332</v>
      </c>
      <c r="BE812" s="87"/>
      <c r="BF812" s="87"/>
      <c r="BG812" s="87"/>
      <c r="BH812" s="87"/>
      <c r="BI812" s="87"/>
    </row>
    <row r="813" spans="1:61" x14ac:dyDescent="0.25">
      <c r="A813" s="63" t="s">
        <v>528</v>
      </c>
      <c r="B813" s="63" t="s">
        <v>528</v>
      </c>
      <c r="C813" s="64"/>
      <c r="D813" s="65"/>
      <c r="E813" s="66"/>
      <c r="F813" s="67"/>
      <c r="G813" s="64"/>
      <c r="H813" s="68"/>
      <c r="I813" s="69"/>
      <c r="J813" s="69"/>
      <c r="K813" s="32"/>
      <c r="L813" s="76">
        <v>813</v>
      </c>
      <c r="M813" s="76"/>
      <c r="N813" s="71"/>
      <c r="O813" s="87" t="s">
        <v>179</v>
      </c>
      <c r="P813" s="90">
        <v>45150.131990740738</v>
      </c>
      <c r="Q813" s="87" t="s">
        <v>2636</v>
      </c>
      <c r="R813" s="87">
        <v>0</v>
      </c>
      <c r="S813" s="87">
        <v>0</v>
      </c>
      <c r="T813" s="87">
        <v>0</v>
      </c>
      <c r="U813" s="87">
        <v>0</v>
      </c>
      <c r="V813" s="87">
        <v>33</v>
      </c>
      <c r="W813" s="93" t="s">
        <v>6427</v>
      </c>
      <c r="X813" s="87"/>
      <c r="Y813" s="87"/>
      <c r="Z813" s="87"/>
      <c r="AA813" s="87"/>
      <c r="AB813" s="87"/>
      <c r="AC813" s="93" t="s">
        <v>11459</v>
      </c>
      <c r="AD813" s="87" t="s">
        <v>11519</v>
      </c>
      <c r="AE813" s="92" t="str">
        <f>HYPERLINK("https://twitter.com/socanterle/status/1690198939495014400")</f>
        <v>https://twitter.com/socanterle/status/1690198939495014400</v>
      </c>
      <c r="AF813" s="90">
        <v>45150.131990740738</v>
      </c>
      <c r="AG813" s="99">
        <v>45150</v>
      </c>
      <c r="AH813" s="93" t="s">
        <v>12298</v>
      </c>
      <c r="AI813" s="87"/>
      <c r="AJ813" s="87"/>
      <c r="AK813" s="87"/>
      <c r="AL813" s="87"/>
      <c r="AM813" s="87"/>
      <c r="AN813" s="87"/>
      <c r="AO813" s="87"/>
      <c r="AP813" s="87"/>
      <c r="AQ813" s="87"/>
      <c r="AR813" s="87"/>
      <c r="AS813" s="87"/>
      <c r="AT813" s="87"/>
      <c r="AU813" s="87"/>
      <c r="AV813" s="92" t="str">
        <f>HYPERLINK("https://pbs.twimg.com/profile_images/1704685945197342720/tRps4kzC_normal.jpg")</f>
        <v>https://pbs.twimg.com/profile_images/1704685945197342720/tRps4kzC_normal.jpg</v>
      </c>
      <c r="AW813" s="93" t="s">
        <v>19059</v>
      </c>
      <c r="AX813" s="93" t="s">
        <v>19059</v>
      </c>
      <c r="AY813" s="87"/>
      <c r="AZ813" s="93" t="s">
        <v>22668</v>
      </c>
      <c r="BA813" s="93" t="s">
        <v>22668</v>
      </c>
      <c r="BB813" s="93" t="s">
        <v>22668</v>
      </c>
      <c r="BC813" s="93" t="s">
        <v>19059</v>
      </c>
      <c r="BD813" s="87">
        <v>242505613</v>
      </c>
      <c r="BE813" s="87"/>
      <c r="BF813" s="87"/>
      <c r="BG813" s="87"/>
      <c r="BH813" s="87"/>
      <c r="BI813" s="87"/>
    </row>
    <row r="814" spans="1:61" x14ac:dyDescent="0.25">
      <c r="A814" s="63" t="s">
        <v>529</v>
      </c>
      <c r="B814" s="63" t="s">
        <v>529</v>
      </c>
      <c r="C814" s="64"/>
      <c r="D814" s="65"/>
      <c r="E814" s="66"/>
      <c r="F814" s="67"/>
      <c r="G814" s="64"/>
      <c r="H814" s="68"/>
      <c r="I814" s="69"/>
      <c r="J814" s="69"/>
      <c r="K814" s="32"/>
      <c r="L814" s="76">
        <v>814</v>
      </c>
      <c r="M814" s="76"/>
      <c r="N814" s="71"/>
      <c r="O814" s="87" t="s">
        <v>179</v>
      </c>
      <c r="P814" s="90">
        <v>45126.847962962966</v>
      </c>
      <c r="Q814" s="87" t="s">
        <v>2637</v>
      </c>
      <c r="R814" s="87">
        <v>0</v>
      </c>
      <c r="S814" s="87">
        <v>0</v>
      </c>
      <c r="T814" s="87">
        <v>0</v>
      </c>
      <c r="U814" s="87">
        <v>0</v>
      </c>
      <c r="V814" s="87">
        <v>13</v>
      </c>
      <c r="W814" s="93" t="s">
        <v>6428</v>
      </c>
      <c r="X814" s="87"/>
      <c r="Y814" s="87"/>
      <c r="Z814" s="87"/>
      <c r="AA814" s="87"/>
      <c r="AB814" s="87"/>
      <c r="AC814" s="93" t="s">
        <v>11458</v>
      </c>
      <c r="AD814" s="87" t="s">
        <v>11519</v>
      </c>
      <c r="AE814" s="92" t="str">
        <f>HYPERLINK("https://twitter.com/salomaoferretti/status/1681761092995895297")</f>
        <v>https://twitter.com/salomaoferretti/status/1681761092995895297</v>
      </c>
      <c r="AF814" s="90">
        <v>45126.847962962966</v>
      </c>
      <c r="AG814" s="99">
        <v>45126</v>
      </c>
      <c r="AH814" s="93" t="s">
        <v>12299</v>
      </c>
      <c r="AI814" s="87"/>
      <c r="AJ814" s="87"/>
      <c r="AK814" s="87"/>
      <c r="AL814" s="87"/>
      <c r="AM814" s="87"/>
      <c r="AN814" s="87"/>
      <c r="AO814" s="87"/>
      <c r="AP814" s="87"/>
      <c r="AQ814" s="87"/>
      <c r="AR814" s="87"/>
      <c r="AS814" s="87"/>
      <c r="AT814" s="87"/>
      <c r="AU814" s="87"/>
      <c r="AV814" s="92" t="str">
        <f>HYPERLINK("https://pbs.twimg.com/profile_images/1661450350891507713/85jhiJWy_normal.jpg")</f>
        <v>https://pbs.twimg.com/profile_images/1661450350891507713/85jhiJWy_normal.jpg</v>
      </c>
      <c r="AW814" s="93" t="s">
        <v>19060</v>
      </c>
      <c r="AX814" s="93" t="s">
        <v>19060</v>
      </c>
      <c r="AY814" s="87"/>
      <c r="AZ814" s="93" t="s">
        <v>22668</v>
      </c>
      <c r="BA814" s="93" t="s">
        <v>22668</v>
      </c>
      <c r="BB814" s="93" t="s">
        <v>22668</v>
      </c>
      <c r="BC814" s="93" t="s">
        <v>19060</v>
      </c>
      <c r="BD814" s="93" t="s">
        <v>22972</v>
      </c>
      <c r="BE814" s="87"/>
      <c r="BF814" s="87"/>
      <c r="BG814" s="87"/>
      <c r="BH814" s="87"/>
      <c r="BI814" s="87"/>
    </row>
    <row r="815" spans="1:61" x14ac:dyDescent="0.25">
      <c r="A815" s="63" t="s">
        <v>530</v>
      </c>
      <c r="B815" s="63" t="s">
        <v>1650</v>
      </c>
      <c r="C815" s="64"/>
      <c r="D815" s="65"/>
      <c r="E815" s="66"/>
      <c r="F815" s="67"/>
      <c r="G815" s="64"/>
      <c r="H815" s="68"/>
      <c r="I815" s="69"/>
      <c r="J815" s="69"/>
      <c r="K815" s="32"/>
      <c r="L815" s="76">
        <v>815</v>
      </c>
      <c r="M815" s="76"/>
      <c r="N815" s="71"/>
      <c r="O815" s="87" t="s">
        <v>1839</v>
      </c>
      <c r="P815" s="90">
        <v>45191.486574074072</v>
      </c>
      <c r="Q815" s="87" t="s">
        <v>2638</v>
      </c>
      <c r="R815" s="87">
        <v>0</v>
      </c>
      <c r="S815" s="87">
        <v>0</v>
      </c>
      <c r="T815" s="87">
        <v>0</v>
      </c>
      <c r="U815" s="87">
        <v>0</v>
      </c>
      <c r="V815" s="87">
        <v>99</v>
      </c>
      <c r="W815" s="93" t="s">
        <v>6429</v>
      </c>
      <c r="X815" s="92" t="str">
        <f>HYPERLINK("https://jornal.usp.br/campus-ribeirao-preto/workshop-discute-as-ciencias-farmaceuticas-e-seus-avancos-tecnologia-e-empreendedorismo/")</f>
        <v>https://jornal.usp.br/campus-ribeirao-preto/workshop-discute-as-ciencias-farmaceuticas-e-seus-avancos-tecnologia-e-empreendedorismo/</v>
      </c>
      <c r="Y815" s="87" t="s">
        <v>8426</v>
      </c>
      <c r="Z815" s="87" t="s">
        <v>8572</v>
      </c>
      <c r="AA815" s="87"/>
      <c r="AB815" s="87"/>
      <c r="AC815" s="93" t="s">
        <v>11457</v>
      </c>
      <c r="AD815" s="87" t="s">
        <v>11519</v>
      </c>
      <c r="AE815" s="92" t="str">
        <f>HYPERLINK("https://twitter.com/bibliotecacq/status/1705185338077892673")</f>
        <v>https://twitter.com/bibliotecacq/status/1705185338077892673</v>
      </c>
      <c r="AF815" s="90">
        <v>45191.486574074072</v>
      </c>
      <c r="AG815" s="99">
        <v>45191</v>
      </c>
      <c r="AH815" s="93" t="s">
        <v>12300</v>
      </c>
      <c r="AI815" s="87" t="b">
        <v>0</v>
      </c>
      <c r="AJ815" s="87"/>
      <c r="AK815" s="87"/>
      <c r="AL815" s="87"/>
      <c r="AM815" s="87"/>
      <c r="AN815" s="87"/>
      <c r="AO815" s="87"/>
      <c r="AP815" s="87"/>
      <c r="AQ815" s="87"/>
      <c r="AR815" s="87"/>
      <c r="AS815" s="87"/>
      <c r="AT815" s="87"/>
      <c r="AU815" s="87"/>
      <c r="AV815" s="92" t="str">
        <f>HYPERLINK("https://pbs.twimg.com/profile_images/1456289137431044096/2OE7xA5R_normal.jpg")</f>
        <v>https://pbs.twimg.com/profile_images/1456289137431044096/2OE7xA5R_normal.jpg</v>
      </c>
      <c r="AW815" s="93" t="s">
        <v>19061</v>
      </c>
      <c r="AX815" s="93" t="s">
        <v>19061</v>
      </c>
      <c r="AY815" s="87"/>
      <c r="AZ815" s="93" t="s">
        <v>22668</v>
      </c>
      <c r="BA815" s="93" t="s">
        <v>22668</v>
      </c>
      <c r="BB815" s="93" t="s">
        <v>22668</v>
      </c>
      <c r="BC815" s="93" t="s">
        <v>19061</v>
      </c>
      <c r="BD815" s="87">
        <v>1965002960</v>
      </c>
      <c r="BE815" s="87"/>
      <c r="BF815" s="87"/>
      <c r="BG815" s="87"/>
      <c r="BH815" s="87"/>
      <c r="BI815" s="87"/>
    </row>
    <row r="816" spans="1:61" x14ac:dyDescent="0.25">
      <c r="A816" s="63" t="s">
        <v>530</v>
      </c>
      <c r="B816" s="63" t="s">
        <v>1651</v>
      </c>
      <c r="C816" s="64"/>
      <c r="D816" s="65"/>
      <c r="E816" s="66"/>
      <c r="F816" s="67"/>
      <c r="G816" s="64"/>
      <c r="H816" s="68"/>
      <c r="I816" s="69"/>
      <c r="J816" s="69"/>
      <c r="K816" s="32"/>
      <c r="L816" s="76">
        <v>816</v>
      </c>
      <c r="M816" s="76"/>
      <c r="N816" s="71"/>
      <c r="O816" s="87" t="s">
        <v>1839</v>
      </c>
      <c r="P816" s="90">
        <v>45191.486574074072</v>
      </c>
      <c r="Q816" s="87" t="s">
        <v>2638</v>
      </c>
      <c r="R816" s="87">
        <v>0</v>
      </c>
      <c r="S816" s="87">
        <v>0</v>
      </c>
      <c r="T816" s="87">
        <v>0</v>
      </c>
      <c r="U816" s="87">
        <v>0</v>
      </c>
      <c r="V816" s="87">
        <v>99</v>
      </c>
      <c r="W816" s="93" t="s">
        <v>6429</v>
      </c>
      <c r="X816" s="92" t="str">
        <f>HYPERLINK("https://jornal.usp.br/campus-ribeirao-preto/workshop-discute-as-ciencias-farmaceuticas-e-seus-avancos-tecnologia-e-empreendedorismo/")</f>
        <v>https://jornal.usp.br/campus-ribeirao-preto/workshop-discute-as-ciencias-farmaceuticas-e-seus-avancos-tecnologia-e-empreendedorismo/</v>
      </c>
      <c r="Y816" s="87" t="s">
        <v>8426</v>
      </c>
      <c r="Z816" s="87" t="s">
        <v>8572</v>
      </c>
      <c r="AA816" s="87"/>
      <c r="AB816" s="87"/>
      <c r="AC816" s="93" t="s">
        <v>11457</v>
      </c>
      <c r="AD816" s="87" t="s">
        <v>11519</v>
      </c>
      <c r="AE816" s="92" t="str">
        <f>HYPERLINK("https://twitter.com/bibliotecacq/status/1705185338077892673")</f>
        <v>https://twitter.com/bibliotecacq/status/1705185338077892673</v>
      </c>
      <c r="AF816" s="90">
        <v>45191.486574074072</v>
      </c>
      <c r="AG816" s="99">
        <v>45191</v>
      </c>
      <c r="AH816" s="93" t="s">
        <v>12300</v>
      </c>
      <c r="AI816" s="87" t="b">
        <v>0</v>
      </c>
      <c r="AJ816" s="87"/>
      <c r="AK816" s="87"/>
      <c r="AL816" s="87"/>
      <c r="AM816" s="87"/>
      <c r="AN816" s="87"/>
      <c r="AO816" s="87"/>
      <c r="AP816" s="87"/>
      <c r="AQ816" s="87"/>
      <c r="AR816" s="87"/>
      <c r="AS816" s="87"/>
      <c r="AT816" s="87"/>
      <c r="AU816" s="87"/>
      <c r="AV816" s="92" t="str">
        <f>HYPERLINK("https://pbs.twimg.com/profile_images/1456289137431044096/2OE7xA5R_normal.jpg")</f>
        <v>https://pbs.twimg.com/profile_images/1456289137431044096/2OE7xA5R_normal.jpg</v>
      </c>
      <c r="AW816" s="93" t="s">
        <v>19061</v>
      </c>
      <c r="AX816" s="93" t="s">
        <v>19061</v>
      </c>
      <c r="AY816" s="87"/>
      <c r="AZ816" s="93" t="s">
        <v>22668</v>
      </c>
      <c r="BA816" s="93" t="s">
        <v>22668</v>
      </c>
      <c r="BB816" s="93" t="s">
        <v>22668</v>
      </c>
      <c r="BC816" s="93" t="s">
        <v>19061</v>
      </c>
      <c r="BD816" s="87">
        <v>1965002960</v>
      </c>
      <c r="BE816" s="87"/>
      <c r="BF816" s="87"/>
      <c r="BG816" s="87"/>
      <c r="BH816" s="87"/>
      <c r="BI816" s="87"/>
    </row>
    <row r="817" spans="1:61" x14ac:dyDescent="0.25">
      <c r="A817" s="63" t="s">
        <v>530</v>
      </c>
      <c r="B817" s="63" t="s">
        <v>1652</v>
      </c>
      <c r="C817" s="64"/>
      <c r="D817" s="65"/>
      <c r="E817" s="66"/>
      <c r="F817" s="67"/>
      <c r="G817" s="64"/>
      <c r="H817" s="68"/>
      <c r="I817" s="69"/>
      <c r="J817" s="69"/>
      <c r="K817" s="32"/>
      <c r="L817" s="76">
        <v>817</v>
      </c>
      <c r="M817" s="76"/>
      <c r="N817" s="71"/>
      <c r="O817" s="87" t="s">
        <v>1839</v>
      </c>
      <c r="P817" s="90">
        <v>45191.486574074072</v>
      </c>
      <c r="Q817" s="87" t="s">
        <v>2638</v>
      </c>
      <c r="R817" s="87">
        <v>0</v>
      </c>
      <c r="S817" s="87">
        <v>0</v>
      </c>
      <c r="T817" s="87">
        <v>0</v>
      </c>
      <c r="U817" s="87">
        <v>0</v>
      </c>
      <c r="V817" s="87">
        <v>99</v>
      </c>
      <c r="W817" s="93" t="s">
        <v>6429</v>
      </c>
      <c r="X817" s="92" t="str">
        <f>HYPERLINK("https://jornal.usp.br/campus-ribeirao-preto/workshop-discute-as-ciencias-farmaceuticas-e-seus-avancos-tecnologia-e-empreendedorismo/")</f>
        <v>https://jornal.usp.br/campus-ribeirao-preto/workshop-discute-as-ciencias-farmaceuticas-e-seus-avancos-tecnologia-e-empreendedorismo/</v>
      </c>
      <c r="Y817" s="87" t="s">
        <v>8426</v>
      </c>
      <c r="Z817" s="87" t="s">
        <v>8572</v>
      </c>
      <c r="AA817" s="87"/>
      <c r="AB817" s="87"/>
      <c r="AC817" s="93" t="s">
        <v>11457</v>
      </c>
      <c r="AD817" s="87" t="s">
        <v>11519</v>
      </c>
      <c r="AE817" s="92" t="str">
        <f>HYPERLINK("https://twitter.com/bibliotecacq/status/1705185338077892673")</f>
        <v>https://twitter.com/bibliotecacq/status/1705185338077892673</v>
      </c>
      <c r="AF817" s="90">
        <v>45191.486574074072</v>
      </c>
      <c r="AG817" s="99">
        <v>45191</v>
      </c>
      <c r="AH817" s="93" t="s">
        <v>12300</v>
      </c>
      <c r="AI817" s="87" t="b">
        <v>0</v>
      </c>
      <c r="AJ817" s="87"/>
      <c r="AK817" s="87"/>
      <c r="AL817" s="87"/>
      <c r="AM817" s="87"/>
      <c r="AN817" s="87"/>
      <c r="AO817" s="87"/>
      <c r="AP817" s="87"/>
      <c r="AQ817" s="87"/>
      <c r="AR817" s="87"/>
      <c r="AS817" s="87"/>
      <c r="AT817" s="87"/>
      <c r="AU817" s="87"/>
      <c r="AV817" s="92" t="str">
        <f>HYPERLINK("https://pbs.twimg.com/profile_images/1456289137431044096/2OE7xA5R_normal.jpg")</f>
        <v>https://pbs.twimg.com/profile_images/1456289137431044096/2OE7xA5R_normal.jpg</v>
      </c>
      <c r="AW817" s="93" t="s">
        <v>19061</v>
      </c>
      <c r="AX817" s="93" t="s">
        <v>19061</v>
      </c>
      <c r="AY817" s="87"/>
      <c r="AZ817" s="93" t="s">
        <v>22668</v>
      </c>
      <c r="BA817" s="93" t="s">
        <v>22668</v>
      </c>
      <c r="BB817" s="93" t="s">
        <v>22668</v>
      </c>
      <c r="BC817" s="93" t="s">
        <v>19061</v>
      </c>
      <c r="BD817" s="87">
        <v>1965002960</v>
      </c>
      <c r="BE817" s="87"/>
      <c r="BF817" s="87"/>
      <c r="BG817" s="87"/>
      <c r="BH817" s="87"/>
      <c r="BI817" s="87"/>
    </row>
    <row r="818" spans="1:61" x14ac:dyDescent="0.25">
      <c r="A818" s="63" t="s">
        <v>530</v>
      </c>
      <c r="B818" s="63" t="s">
        <v>530</v>
      </c>
      <c r="C818" s="64"/>
      <c r="D818" s="65"/>
      <c r="E818" s="66"/>
      <c r="F818" s="67"/>
      <c r="G818" s="64"/>
      <c r="H818" s="68"/>
      <c r="I818" s="69"/>
      <c r="J818" s="69"/>
      <c r="K818" s="32"/>
      <c r="L818" s="76">
        <v>818</v>
      </c>
      <c r="M818" s="76"/>
      <c r="N818" s="71"/>
      <c r="O818" s="87" t="s">
        <v>179</v>
      </c>
      <c r="P818" s="90">
        <v>45160.703356481485</v>
      </c>
      <c r="Q818" s="87" t="s">
        <v>2639</v>
      </c>
      <c r="R818" s="87">
        <v>0</v>
      </c>
      <c r="S818" s="87">
        <v>0</v>
      </c>
      <c r="T818" s="87">
        <v>0</v>
      </c>
      <c r="U818" s="87">
        <v>0</v>
      </c>
      <c r="V818" s="87">
        <v>38</v>
      </c>
      <c r="W818" s="93" t="s">
        <v>5897</v>
      </c>
      <c r="X818" s="92" t="str">
        <f>HYPERLINK("https://app.santanderx.com/calls/explorer-2023-segunda-edicao")</f>
        <v>https://app.santanderx.com/calls/explorer-2023-segunda-edicao</v>
      </c>
      <c r="Y818" s="87" t="s">
        <v>8427</v>
      </c>
      <c r="Z818" s="87"/>
      <c r="AA818" s="87"/>
      <c r="AB818" s="87"/>
      <c r="AC818" s="93" t="s">
        <v>11457</v>
      </c>
      <c r="AD818" s="87" t="s">
        <v>11519</v>
      </c>
      <c r="AE818" s="92" t="str">
        <f>HYPERLINK("https://twitter.com/bibliotecacq/status/1694029876439703862")</f>
        <v>https://twitter.com/bibliotecacq/status/1694029876439703862</v>
      </c>
      <c r="AF818" s="90">
        <v>45160.703356481485</v>
      </c>
      <c r="AG818" s="99">
        <v>45160</v>
      </c>
      <c r="AH818" s="93" t="s">
        <v>12301</v>
      </c>
      <c r="AI818" s="87" t="b">
        <v>0</v>
      </c>
      <c r="AJ818" s="87"/>
      <c r="AK818" s="87"/>
      <c r="AL818" s="87"/>
      <c r="AM818" s="87"/>
      <c r="AN818" s="87"/>
      <c r="AO818" s="87"/>
      <c r="AP818" s="87"/>
      <c r="AQ818" s="87"/>
      <c r="AR818" s="87"/>
      <c r="AS818" s="87"/>
      <c r="AT818" s="87"/>
      <c r="AU818" s="87"/>
      <c r="AV818" s="92" t="str">
        <f>HYPERLINK("https://pbs.twimg.com/profile_images/1456289137431044096/2OE7xA5R_normal.jpg")</f>
        <v>https://pbs.twimg.com/profile_images/1456289137431044096/2OE7xA5R_normal.jpg</v>
      </c>
      <c r="AW818" s="93" t="s">
        <v>19062</v>
      </c>
      <c r="AX818" s="93" t="s">
        <v>19062</v>
      </c>
      <c r="AY818" s="87"/>
      <c r="AZ818" s="93" t="s">
        <v>22668</v>
      </c>
      <c r="BA818" s="93" t="s">
        <v>22668</v>
      </c>
      <c r="BB818" s="93" t="s">
        <v>22668</v>
      </c>
      <c r="BC818" s="93" t="s">
        <v>19062</v>
      </c>
      <c r="BD818" s="87">
        <v>1965002960</v>
      </c>
      <c r="BE818" s="87"/>
      <c r="BF818" s="87"/>
      <c r="BG818" s="87"/>
      <c r="BH818" s="87"/>
      <c r="BI818" s="87"/>
    </row>
    <row r="819" spans="1:61" x14ac:dyDescent="0.25">
      <c r="A819" s="63" t="s">
        <v>531</v>
      </c>
      <c r="B819" s="63" t="s">
        <v>531</v>
      </c>
      <c r="C819" s="64"/>
      <c r="D819" s="65"/>
      <c r="E819" s="66"/>
      <c r="F819" s="67"/>
      <c r="G819" s="64"/>
      <c r="H819" s="68"/>
      <c r="I819" s="69"/>
      <c r="J819" s="69"/>
      <c r="K819" s="32"/>
      <c r="L819" s="76">
        <v>819</v>
      </c>
      <c r="M819" s="76"/>
      <c r="N819" s="71"/>
      <c r="O819" s="87" t="s">
        <v>179</v>
      </c>
      <c r="P819" s="90">
        <v>45141.562662037039</v>
      </c>
      <c r="Q819" s="87" t="s">
        <v>2640</v>
      </c>
      <c r="R819" s="87">
        <v>0</v>
      </c>
      <c r="S819" s="87">
        <v>0</v>
      </c>
      <c r="T819" s="87">
        <v>0</v>
      </c>
      <c r="U819" s="87">
        <v>0</v>
      </c>
      <c r="V819" s="87">
        <v>5</v>
      </c>
      <c r="W819" s="93" t="s">
        <v>6430</v>
      </c>
      <c r="X819" s="87"/>
      <c r="Y819" s="87"/>
      <c r="Z819" s="87"/>
      <c r="AA819" s="87"/>
      <c r="AB819" s="87"/>
      <c r="AC819" s="93" t="s">
        <v>11457</v>
      </c>
      <c r="AD819" s="87" t="s">
        <v>11519</v>
      </c>
      <c r="AE819" s="92" t="str">
        <f>HYPERLINK("https://twitter.com/saassalescombr/status/1687093518869946368")</f>
        <v>https://twitter.com/saassalescombr/status/1687093518869946368</v>
      </c>
      <c r="AF819" s="90">
        <v>45141.562662037039</v>
      </c>
      <c r="AG819" s="99">
        <v>45141</v>
      </c>
      <c r="AH819" s="93" t="s">
        <v>12302</v>
      </c>
      <c r="AI819" s="87"/>
      <c r="AJ819" s="87"/>
      <c r="AK819" s="87"/>
      <c r="AL819" s="87"/>
      <c r="AM819" s="87"/>
      <c r="AN819" s="87"/>
      <c r="AO819" s="87"/>
      <c r="AP819" s="87"/>
      <c r="AQ819" s="87"/>
      <c r="AR819" s="87"/>
      <c r="AS819" s="87"/>
      <c r="AT819" s="87"/>
      <c r="AU819" s="87"/>
      <c r="AV819" s="92" t="str">
        <f>HYPERLINK("https://pbs.twimg.com/profile_images/1686733963216162817/P6FYARwK_normal.jpg")</f>
        <v>https://pbs.twimg.com/profile_images/1686733963216162817/P6FYARwK_normal.jpg</v>
      </c>
      <c r="AW819" s="93" t="s">
        <v>19063</v>
      </c>
      <c r="AX819" s="93" t="s">
        <v>19063</v>
      </c>
      <c r="AY819" s="87"/>
      <c r="AZ819" s="93" t="s">
        <v>22668</v>
      </c>
      <c r="BA819" s="93" t="s">
        <v>22668</v>
      </c>
      <c r="BB819" s="93" t="s">
        <v>22668</v>
      </c>
      <c r="BC819" s="93" t="s">
        <v>19063</v>
      </c>
      <c r="BD819" s="93" t="s">
        <v>22973</v>
      </c>
      <c r="BE819" s="87"/>
      <c r="BF819" s="87"/>
      <c r="BG819" s="87"/>
      <c r="BH819" s="87"/>
      <c r="BI819" s="87"/>
    </row>
    <row r="820" spans="1:61" x14ac:dyDescent="0.25">
      <c r="A820" s="63" t="s">
        <v>531</v>
      </c>
      <c r="B820" s="63" t="s">
        <v>531</v>
      </c>
      <c r="C820" s="64"/>
      <c r="D820" s="65"/>
      <c r="E820" s="66"/>
      <c r="F820" s="67"/>
      <c r="G820" s="64"/>
      <c r="H820" s="68"/>
      <c r="I820" s="69"/>
      <c r="J820" s="69"/>
      <c r="K820" s="32"/>
      <c r="L820" s="76">
        <v>820</v>
      </c>
      <c r="M820" s="76"/>
      <c r="N820" s="71"/>
      <c r="O820" s="87" t="s">
        <v>179</v>
      </c>
      <c r="P820" s="90">
        <v>45142.563194444447</v>
      </c>
      <c r="Q820" s="87" t="s">
        <v>2641</v>
      </c>
      <c r="R820" s="87">
        <v>0</v>
      </c>
      <c r="S820" s="87">
        <v>0</v>
      </c>
      <c r="T820" s="87">
        <v>0</v>
      </c>
      <c r="U820" s="87">
        <v>0</v>
      </c>
      <c r="V820" s="87">
        <v>6</v>
      </c>
      <c r="W820" s="93" t="s">
        <v>6431</v>
      </c>
      <c r="X820" s="87"/>
      <c r="Y820" s="87"/>
      <c r="Z820" s="87"/>
      <c r="AA820" s="87"/>
      <c r="AB820" s="87"/>
      <c r="AC820" s="93" t="s">
        <v>11457</v>
      </c>
      <c r="AD820" s="87" t="s">
        <v>11519</v>
      </c>
      <c r="AE820" s="92" t="str">
        <f>HYPERLINK("https://twitter.com/saassalescombr/status/1687456099606331393")</f>
        <v>https://twitter.com/saassalescombr/status/1687456099606331393</v>
      </c>
      <c r="AF820" s="90">
        <v>45142.563194444447</v>
      </c>
      <c r="AG820" s="99">
        <v>45142</v>
      </c>
      <c r="AH820" s="93" t="s">
        <v>12303</v>
      </c>
      <c r="AI820" s="87"/>
      <c r="AJ820" s="87"/>
      <c r="AK820" s="87"/>
      <c r="AL820" s="87"/>
      <c r="AM820" s="87"/>
      <c r="AN820" s="87"/>
      <c r="AO820" s="87"/>
      <c r="AP820" s="87"/>
      <c r="AQ820" s="87"/>
      <c r="AR820" s="87"/>
      <c r="AS820" s="87"/>
      <c r="AT820" s="87"/>
      <c r="AU820" s="87"/>
      <c r="AV820" s="92" t="str">
        <f>HYPERLINK("https://pbs.twimg.com/profile_images/1686733963216162817/P6FYARwK_normal.jpg")</f>
        <v>https://pbs.twimg.com/profile_images/1686733963216162817/P6FYARwK_normal.jpg</v>
      </c>
      <c r="AW820" s="93" t="s">
        <v>19064</v>
      </c>
      <c r="AX820" s="93" t="s">
        <v>19064</v>
      </c>
      <c r="AY820" s="87"/>
      <c r="AZ820" s="93" t="s">
        <v>22668</v>
      </c>
      <c r="BA820" s="93" t="s">
        <v>22668</v>
      </c>
      <c r="BB820" s="93" t="s">
        <v>22668</v>
      </c>
      <c r="BC820" s="93" t="s">
        <v>19064</v>
      </c>
      <c r="BD820" s="93" t="s">
        <v>22973</v>
      </c>
      <c r="BE820" s="87"/>
      <c r="BF820" s="87"/>
      <c r="BG820" s="87"/>
      <c r="BH820" s="87"/>
      <c r="BI820" s="87"/>
    </row>
    <row r="821" spans="1:61" x14ac:dyDescent="0.25">
      <c r="A821" s="63" t="s">
        <v>532</v>
      </c>
      <c r="B821" s="63" t="s">
        <v>532</v>
      </c>
      <c r="C821" s="64"/>
      <c r="D821" s="65"/>
      <c r="E821" s="66"/>
      <c r="F821" s="67"/>
      <c r="G821" s="64"/>
      <c r="H821" s="68"/>
      <c r="I821" s="69"/>
      <c r="J821" s="69"/>
      <c r="K821" s="32"/>
      <c r="L821" s="76">
        <v>821</v>
      </c>
      <c r="M821" s="76"/>
      <c r="N821" s="71"/>
      <c r="O821" s="87" t="s">
        <v>179</v>
      </c>
      <c r="P821" s="90">
        <v>45127.454097222224</v>
      </c>
      <c r="Q821" s="87" t="s">
        <v>2642</v>
      </c>
      <c r="R821" s="87">
        <v>0</v>
      </c>
      <c r="S821" s="87">
        <v>3</v>
      </c>
      <c r="T821" s="87">
        <v>0</v>
      </c>
      <c r="U821" s="87">
        <v>0</v>
      </c>
      <c r="V821" s="87">
        <v>1123</v>
      </c>
      <c r="W821" s="93" t="s">
        <v>6432</v>
      </c>
      <c r="X821" s="92" t="str">
        <f>HYPERLINK("https://mla.bs/a64d340c")</f>
        <v>https://mla.bs/a64d340c</v>
      </c>
      <c r="Y821" s="87" t="s">
        <v>8396</v>
      </c>
      <c r="Z821" s="87"/>
      <c r="AA821" s="87"/>
      <c r="AB821" s="87"/>
      <c r="AC821" s="93" t="s">
        <v>11464</v>
      </c>
      <c r="AD821" s="87" t="s">
        <v>11519</v>
      </c>
      <c r="AE821" s="92" t="str">
        <f>HYPERLINK("https://twitter.com/einvestidor/status/1681980747261853696")</f>
        <v>https://twitter.com/einvestidor/status/1681980747261853696</v>
      </c>
      <c r="AF821" s="90">
        <v>45127.454097222224</v>
      </c>
      <c r="AG821" s="99">
        <v>45127</v>
      </c>
      <c r="AH821" s="93" t="s">
        <v>12304</v>
      </c>
      <c r="AI821" s="87" t="b">
        <v>0</v>
      </c>
      <c r="AJ821" s="87"/>
      <c r="AK821" s="87"/>
      <c r="AL821" s="87"/>
      <c r="AM821" s="87"/>
      <c r="AN821" s="87"/>
      <c r="AO821" s="87"/>
      <c r="AP821" s="87"/>
      <c r="AQ821" s="87"/>
      <c r="AR821" s="87"/>
      <c r="AS821" s="87"/>
      <c r="AT821" s="87"/>
      <c r="AU821" s="87"/>
      <c r="AV821" s="92" t="str">
        <f>HYPERLINK("https://pbs.twimg.com/profile_images/1241147984924082183/gZgx_hL-_normal.jpg")</f>
        <v>https://pbs.twimg.com/profile_images/1241147984924082183/gZgx_hL-_normal.jpg</v>
      </c>
      <c r="AW821" s="93" t="s">
        <v>19065</v>
      </c>
      <c r="AX821" s="93" t="s">
        <v>19065</v>
      </c>
      <c r="AY821" s="87"/>
      <c r="AZ821" s="93" t="s">
        <v>22668</v>
      </c>
      <c r="BA821" s="93" t="s">
        <v>22668</v>
      </c>
      <c r="BB821" s="93" t="s">
        <v>22668</v>
      </c>
      <c r="BC821" s="93" t="s">
        <v>19065</v>
      </c>
      <c r="BD821" s="93" t="s">
        <v>22974</v>
      </c>
      <c r="BE821" s="87"/>
      <c r="BF821" s="87"/>
      <c r="BG821" s="87"/>
      <c r="BH821" s="87"/>
      <c r="BI821" s="87"/>
    </row>
    <row r="822" spans="1:61" x14ac:dyDescent="0.25">
      <c r="A822" s="63" t="s">
        <v>533</v>
      </c>
      <c r="B822" s="63" t="s">
        <v>533</v>
      </c>
      <c r="C822" s="64"/>
      <c r="D822" s="65"/>
      <c r="E822" s="66"/>
      <c r="F822" s="67"/>
      <c r="G822" s="64"/>
      <c r="H822" s="68"/>
      <c r="I822" s="69"/>
      <c r="J822" s="69"/>
      <c r="K822" s="32"/>
      <c r="L822" s="76">
        <v>822</v>
      </c>
      <c r="M822" s="76"/>
      <c r="N822" s="71"/>
      <c r="O822" s="87" t="s">
        <v>179</v>
      </c>
      <c r="P822" s="90">
        <v>45126.000057870369</v>
      </c>
      <c r="Q822" s="87" t="s">
        <v>2643</v>
      </c>
      <c r="R822" s="87">
        <v>0</v>
      </c>
      <c r="S822" s="87">
        <v>0</v>
      </c>
      <c r="T822" s="87">
        <v>0</v>
      </c>
      <c r="U822" s="87">
        <v>0</v>
      </c>
      <c r="V822" s="87">
        <v>79</v>
      </c>
      <c r="W822" s="93" t="s">
        <v>6433</v>
      </c>
      <c r="X822" s="87"/>
      <c r="Y822" s="87"/>
      <c r="Z822" s="87"/>
      <c r="AA822" s="87" t="s">
        <v>9139</v>
      </c>
      <c r="AB822" s="87" t="s">
        <v>11447</v>
      </c>
      <c r="AC822" s="93" t="s">
        <v>11459</v>
      </c>
      <c r="AD822" s="87" t="s">
        <v>11520</v>
      </c>
      <c r="AE822" s="92" t="str">
        <f>HYPERLINK("https://twitter.com/heitormauricio_/status/1681453819656568845")</f>
        <v>https://twitter.com/heitormauricio_/status/1681453819656568845</v>
      </c>
      <c r="AF822" s="90">
        <v>45126.000057870369</v>
      </c>
      <c r="AG822" s="99">
        <v>45126</v>
      </c>
      <c r="AH822" s="93" t="s">
        <v>12305</v>
      </c>
      <c r="AI822" s="87" t="b">
        <v>0</v>
      </c>
      <c r="AJ822" s="87"/>
      <c r="AK822" s="87"/>
      <c r="AL822" s="87"/>
      <c r="AM822" s="87"/>
      <c r="AN822" s="87"/>
      <c r="AO822" s="87"/>
      <c r="AP822" s="87"/>
      <c r="AQ822" s="87" t="s">
        <v>15952</v>
      </c>
      <c r="AR822" s="87">
        <v>11033</v>
      </c>
      <c r="AS822" s="87"/>
      <c r="AT822" s="87"/>
      <c r="AU822" s="87"/>
      <c r="AV822" s="92" t="str">
        <f>HYPERLINK("https://pbs.twimg.com/ext_tw_video_thumb/1681453788329136129/pu/img/xoRvKJfmGddqGx-Q.jpg")</f>
        <v>https://pbs.twimg.com/ext_tw_video_thumb/1681453788329136129/pu/img/xoRvKJfmGddqGx-Q.jpg</v>
      </c>
      <c r="AW822" s="93" t="s">
        <v>19066</v>
      </c>
      <c r="AX822" s="93" t="s">
        <v>19066</v>
      </c>
      <c r="AY822" s="87"/>
      <c r="AZ822" s="93" t="s">
        <v>22668</v>
      </c>
      <c r="BA822" s="93" t="s">
        <v>22668</v>
      </c>
      <c r="BB822" s="93" t="s">
        <v>22668</v>
      </c>
      <c r="BC822" s="93" t="s">
        <v>19066</v>
      </c>
      <c r="BD822" s="87">
        <v>412680143</v>
      </c>
      <c r="BE822" s="87"/>
      <c r="BF822" s="87"/>
      <c r="BG822" s="87"/>
      <c r="BH822" s="87"/>
      <c r="BI822" s="87"/>
    </row>
    <row r="823" spans="1:61" x14ac:dyDescent="0.25">
      <c r="A823" s="63" t="s">
        <v>534</v>
      </c>
      <c r="B823" s="63" t="s">
        <v>534</v>
      </c>
      <c r="C823" s="64"/>
      <c r="D823" s="65"/>
      <c r="E823" s="66"/>
      <c r="F823" s="67"/>
      <c r="G823" s="64"/>
      <c r="H823" s="68"/>
      <c r="I823" s="69"/>
      <c r="J823" s="69"/>
      <c r="K823" s="32"/>
      <c r="L823" s="76">
        <v>823</v>
      </c>
      <c r="M823" s="76"/>
      <c r="N823" s="71"/>
      <c r="O823" s="87" t="s">
        <v>179</v>
      </c>
      <c r="P823" s="90">
        <v>45120.625023148146</v>
      </c>
      <c r="Q823" s="87" t="s">
        <v>2644</v>
      </c>
      <c r="R823" s="87">
        <v>0</v>
      </c>
      <c r="S823" s="87">
        <v>0</v>
      </c>
      <c r="T823" s="87">
        <v>0</v>
      </c>
      <c r="U823" s="87">
        <v>0</v>
      </c>
      <c r="V823" s="87">
        <v>25</v>
      </c>
      <c r="W823" s="93" t="s">
        <v>6434</v>
      </c>
      <c r="X823" s="92" t="str">
        <f>HYPERLINK("https://diariodocomercio.com.br/opiniao/coluna/o-seu-tempo-esta-passando-ou-voando/")</f>
        <v>https://diariodocomercio.com.br/opiniao/coluna/o-seu-tempo-esta-passando-ou-voando/</v>
      </c>
      <c r="Y823" s="87" t="s">
        <v>8373</v>
      </c>
      <c r="Z823" s="87"/>
      <c r="AA823" s="87"/>
      <c r="AB823" s="87"/>
      <c r="AC823" s="93" t="s">
        <v>11464</v>
      </c>
      <c r="AD823" s="87" t="s">
        <v>11519</v>
      </c>
      <c r="AE823" s="92" t="str">
        <f>HYPERLINK("https://twitter.com/diario_comercio/status/1679505972954316802")</f>
        <v>https://twitter.com/diario_comercio/status/1679505972954316802</v>
      </c>
      <c r="AF823" s="90">
        <v>45120.625023148146</v>
      </c>
      <c r="AG823" s="99">
        <v>45120</v>
      </c>
      <c r="AH823" s="93" t="s">
        <v>12306</v>
      </c>
      <c r="AI823" s="87" t="b">
        <v>0</v>
      </c>
      <c r="AJ823" s="87"/>
      <c r="AK823" s="87"/>
      <c r="AL823" s="87"/>
      <c r="AM823" s="87"/>
      <c r="AN823" s="87"/>
      <c r="AO823" s="87"/>
      <c r="AP823" s="87"/>
      <c r="AQ823" s="87"/>
      <c r="AR823" s="87"/>
      <c r="AS823" s="87"/>
      <c r="AT823" s="87"/>
      <c r="AU823" s="87"/>
      <c r="AV823" s="92" t="str">
        <f>HYPERLINK("https://pbs.twimg.com/profile_images/1610325557580898306/UZehEg0I_normal.jpg")</f>
        <v>https://pbs.twimg.com/profile_images/1610325557580898306/UZehEg0I_normal.jpg</v>
      </c>
      <c r="AW823" s="93" t="s">
        <v>19067</v>
      </c>
      <c r="AX823" s="93" t="s">
        <v>19067</v>
      </c>
      <c r="AY823" s="87"/>
      <c r="AZ823" s="93" t="s">
        <v>22668</v>
      </c>
      <c r="BA823" s="93" t="s">
        <v>22668</v>
      </c>
      <c r="BB823" s="93" t="s">
        <v>22668</v>
      </c>
      <c r="BC823" s="93" t="s">
        <v>19067</v>
      </c>
      <c r="BD823" s="87">
        <v>94388843</v>
      </c>
      <c r="BE823" s="87"/>
      <c r="BF823" s="87"/>
      <c r="BG823" s="87"/>
      <c r="BH823" s="87"/>
      <c r="BI823" s="87"/>
    </row>
    <row r="824" spans="1:61" x14ac:dyDescent="0.25">
      <c r="A824" s="63" t="s">
        <v>534</v>
      </c>
      <c r="B824" s="63" t="s">
        <v>534</v>
      </c>
      <c r="C824" s="64"/>
      <c r="D824" s="65"/>
      <c r="E824" s="66"/>
      <c r="F824" s="67"/>
      <c r="G824" s="64"/>
      <c r="H824" s="68"/>
      <c r="I824" s="69"/>
      <c r="J824" s="69"/>
      <c r="K824" s="32"/>
      <c r="L824" s="76">
        <v>824</v>
      </c>
      <c r="M824" s="76"/>
      <c r="N824" s="71"/>
      <c r="O824" s="87" t="s">
        <v>179</v>
      </c>
      <c r="P824" s="90">
        <v>45159.854166666664</v>
      </c>
      <c r="Q824" s="87" t="s">
        <v>2645</v>
      </c>
      <c r="R824" s="87">
        <v>0</v>
      </c>
      <c r="S824" s="87">
        <v>0</v>
      </c>
      <c r="T824" s="87">
        <v>0</v>
      </c>
      <c r="U824" s="87">
        <v>0</v>
      </c>
      <c r="V824" s="87">
        <v>168</v>
      </c>
      <c r="W824" s="93" t="s">
        <v>6435</v>
      </c>
      <c r="X824" s="92" t="str">
        <f>HYPERLINK("https://diariodocomercio.com.br/negocios/fire-festival-promete-movimentar-r-50-milhoes-em-belo-horizonte/")</f>
        <v>https://diariodocomercio.com.br/negocios/fire-festival-promete-movimentar-r-50-milhoes-em-belo-horizonte/</v>
      </c>
      <c r="Y824" s="87" t="s">
        <v>8373</v>
      </c>
      <c r="Z824" s="87"/>
      <c r="AA824" s="87"/>
      <c r="AB824" s="87"/>
      <c r="AC824" s="93" t="s">
        <v>11457</v>
      </c>
      <c r="AD824" s="87" t="s">
        <v>11519</v>
      </c>
      <c r="AE824" s="92" t="str">
        <f>HYPERLINK("https://twitter.com/diario_comercio/status/1693722138094481463")</f>
        <v>https://twitter.com/diario_comercio/status/1693722138094481463</v>
      </c>
      <c r="AF824" s="90">
        <v>45159.854166666664</v>
      </c>
      <c r="AG824" s="99">
        <v>45159</v>
      </c>
      <c r="AH824" s="93" t="s">
        <v>12307</v>
      </c>
      <c r="AI824" s="87" t="b">
        <v>0</v>
      </c>
      <c r="AJ824" s="87"/>
      <c r="AK824" s="87"/>
      <c r="AL824" s="87"/>
      <c r="AM824" s="87"/>
      <c r="AN824" s="87"/>
      <c r="AO824" s="87"/>
      <c r="AP824" s="87"/>
      <c r="AQ824" s="87"/>
      <c r="AR824" s="87"/>
      <c r="AS824" s="87"/>
      <c r="AT824" s="87"/>
      <c r="AU824" s="87"/>
      <c r="AV824" s="92" t="str">
        <f>HYPERLINK("https://pbs.twimg.com/profile_images/1610325557580898306/UZehEg0I_normal.jpg")</f>
        <v>https://pbs.twimg.com/profile_images/1610325557580898306/UZehEg0I_normal.jpg</v>
      </c>
      <c r="AW824" s="93" t="s">
        <v>19068</v>
      </c>
      <c r="AX824" s="93" t="s">
        <v>19068</v>
      </c>
      <c r="AY824" s="87"/>
      <c r="AZ824" s="93" t="s">
        <v>22668</v>
      </c>
      <c r="BA824" s="93" t="s">
        <v>22668</v>
      </c>
      <c r="BB824" s="93" t="s">
        <v>22668</v>
      </c>
      <c r="BC824" s="93" t="s">
        <v>19068</v>
      </c>
      <c r="BD824" s="87">
        <v>94388843</v>
      </c>
      <c r="BE824" s="87"/>
      <c r="BF824" s="87"/>
      <c r="BG824" s="87"/>
      <c r="BH824" s="87"/>
      <c r="BI824" s="87"/>
    </row>
    <row r="825" spans="1:61" x14ac:dyDescent="0.25">
      <c r="A825" s="63" t="s">
        <v>534</v>
      </c>
      <c r="B825" s="63" t="s">
        <v>534</v>
      </c>
      <c r="C825" s="64"/>
      <c r="D825" s="65"/>
      <c r="E825" s="66"/>
      <c r="F825" s="67"/>
      <c r="G825" s="64"/>
      <c r="H825" s="68"/>
      <c r="I825" s="69"/>
      <c r="J825" s="69"/>
      <c r="K825" s="32"/>
      <c r="L825" s="76">
        <v>825</v>
      </c>
      <c r="M825" s="76"/>
      <c r="N825" s="71"/>
      <c r="O825" s="87" t="s">
        <v>179</v>
      </c>
      <c r="P825" s="90">
        <v>45134.562511574077</v>
      </c>
      <c r="Q825" s="87" t="s">
        <v>2646</v>
      </c>
      <c r="R825" s="87">
        <v>0</v>
      </c>
      <c r="S825" s="87">
        <v>0</v>
      </c>
      <c r="T825" s="87">
        <v>0</v>
      </c>
      <c r="U825" s="87">
        <v>0</v>
      </c>
      <c r="V825" s="87">
        <v>33</v>
      </c>
      <c r="W825" s="93" t="s">
        <v>6436</v>
      </c>
      <c r="X825" s="92" t="str">
        <f>HYPERLINK("https://diariodocomercio.com.br/economia/belo-horizonte-lidera-abertura-de-empresas/")</f>
        <v>https://diariodocomercio.com.br/economia/belo-horizonte-lidera-abertura-de-empresas/</v>
      </c>
      <c r="Y825" s="87" t="s">
        <v>8373</v>
      </c>
      <c r="Z825" s="87"/>
      <c r="AA825" s="87"/>
      <c r="AB825" s="87"/>
      <c r="AC825" s="93" t="s">
        <v>11464</v>
      </c>
      <c r="AD825" s="87" t="s">
        <v>11519</v>
      </c>
      <c r="AE825" s="92" t="str">
        <f>HYPERLINK("https://twitter.com/diario_comercio/status/1684556748693323779")</f>
        <v>https://twitter.com/diario_comercio/status/1684556748693323779</v>
      </c>
      <c r="AF825" s="90">
        <v>45134.562511574077</v>
      </c>
      <c r="AG825" s="99">
        <v>45134</v>
      </c>
      <c r="AH825" s="93" t="s">
        <v>12308</v>
      </c>
      <c r="AI825" s="87" t="b">
        <v>0</v>
      </c>
      <c r="AJ825" s="87"/>
      <c r="AK825" s="87"/>
      <c r="AL825" s="87"/>
      <c r="AM825" s="87"/>
      <c r="AN825" s="87"/>
      <c r="AO825" s="87"/>
      <c r="AP825" s="87"/>
      <c r="AQ825" s="87"/>
      <c r="AR825" s="87"/>
      <c r="AS825" s="87"/>
      <c r="AT825" s="87"/>
      <c r="AU825" s="87"/>
      <c r="AV825" s="92" t="str">
        <f>HYPERLINK("https://pbs.twimg.com/profile_images/1610325557580898306/UZehEg0I_normal.jpg")</f>
        <v>https://pbs.twimg.com/profile_images/1610325557580898306/UZehEg0I_normal.jpg</v>
      </c>
      <c r="AW825" s="93" t="s">
        <v>19069</v>
      </c>
      <c r="AX825" s="93" t="s">
        <v>19069</v>
      </c>
      <c r="AY825" s="87"/>
      <c r="AZ825" s="93" t="s">
        <v>22668</v>
      </c>
      <c r="BA825" s="93" t="s">
        <v>22668</v>
      </c>
      <c r="BB825" s="93" t="s">
        <v>22668</v>
      </c>
      <c r="BC825" s="93" t="s">
        <v>19069</v>
      </c>
      <c r="BD825" s="87">
        <v>94388843</v>
      </c>
      <c r="BE825" s="87"/>
      <c r="BF825" s="87"/>
      <c r="BG825" s="87"/>
      <c r="BH825" s="87"/>
      <c r="BI825" s="87"/>
    </row>
    <row r="826" spans="1:61" x14ac:dyDescent="0.25">
      <c r="A826" s="63" t="s">
        <v>534</v>
      </c>
      <c r="B826" s="63" t="s">
        <v>534</v>
      </c>
      <c r="C826" s="64"/>
      <c r="D826" s="65"/>
      <c r="E826" s="66"/>
      <c r="F826" s="67"/>
      <c r="G826" s="64"/>
      <c r="H826" s="68"/>
      <c r="I826" s="69"/>
      <c r="J826" s="69"/>
      <c r="K826" s="32"/>
      <c r="L826" s="76">
        <v>826</v>
      </c>
      <c r="M826" s="76"/>
      <c r="N826" s="71"/>
      <c r="O826" s="87" t="s">
        <v>179</v>
      </c>
      <c r="P826" s="90">
        <v>45169.479166666664</v>
      </c>
      <c r="Q826" s="87" t="s">
        <v>2647</v>
      </c>
      <c r="R826" s="87">
        <v>1</v>
      </c>
      <c r="S826" s="87">
        <v>0</v>
      </c>
      <c r="T826" s="87">
        <v>0</v>
      </c>
      <c r="U826" s="87">
        <v>0</v>
      </c>
      <c r="V826" s="87">
        <v>54</v>
      </c>
      <c r="W826" s="93" t="s">
        <v>6437</v>
      </c>
      <c r="X826" s="92" t="str">
        <f>HYPERLINK("https://diariodocomercio.com.br/mpes/sebrae-sucesso-nos-negocios-passa-pela-capacitacao-do-empreendedor/?utm_source=twitter&amp;utm_medium=social&amp;utm_campaign=sebraemgesp23&amp;campaignName=sebraemgesp23")</f>
        <v>https://diariodocomercio.com.br/mpes/sebrae-sucesso-nos-negocios-passa-pela-capacitacao-do-empreendedor/?utm_source=twitter&amp;utm_medium=social&amp;utm_campaign=sebraemgesp23&amp;campaignName=sebraemgesp23</v>
      </c>
      <c r="Y826" s="87" t="s">
        <v>8373</v>
      </c>
      <c r="Z826" s="87"/>
      <c r="AA826" s="87"/>
      <c r="AB826" s="87"/>
      <c r="AC826" s="93" t="s">
        <v>11457</v>
      </c>
      <c r="AD826" s="87" t="s">
        <v>11519</v>
      </c>
      <c r="AE826" s="92" t="str">
        <f>HYPERLINK("https://twitter.com/diario_comercio/status/1697210121217024021")</f>
        <v>https://twitter.com/diario_comercio/status/1697210121217024021</v>
      </c>
      <c r="AF826" s="90">
        <v>45169.479166666664</v>
      </c>
      <c r="AG826" s="99">
        <v>45169</v>
      </c>
      <c r="AH826" s="93" t="s">
        <v>12123</v>
      </c>
      <c r="AI826" s="87" t="b">
        <v>0</v>
      </c>
      <c r="AJ826" s="87"/>
      <c r="AK826" s="87"/>
      <c r="AL826" s="87"/>
      <c r="AM826" s="87"/>
      <c r="AN826" s="87"/>
      <c r="AO826" s="87"/>
      <c r="AP826" s="87"/>
      <c r="AQ826" s="87"/>
      <c r="AR826" s="87"/>
      <c r="AS826" s="87"/>
      <c r="AT826" s="87"/>
      <c r="AU826" s="87"/>
      <c r="AV826" s="92" t="str">
        <f>HYPERLINK("https://pbs.twimg.com/profile_images/1610325557580898306/UZehEg0I_normal.jpg")</f>
        <v>https://pbs.twimg.com/profile_images/1610325557580898306/UZehEg0I_normal.jpg</v>
      </c>
      <c r="AW826" s="93" t="s">
        <v>19070</v>
      </c>
      <c r="AX826" s="93" t="s">
        <v>19070</v>
      </c>
      <c r="AY826" s="87"/>
      <c r="AZ826" s="93" t="s">
        <v>22668</v>
      </c>
      <c r="BA826" s="93" t="s">
        <v>22668</v>
      </c>
      <c r="BB826" s="93" t="s">
        <v>22668</v>
      </c>
      <c r="BC826" s="93" t="s">
        <v>19070</v>
      </c>
      <c r="BD826" s="87">
        <v>94388843</v>
      </c>
      <c r="BE826" s="87"/>
      <c r="BF826" s="87"/>
      <c r="BG826" s="87"/>
      <c r="BH826" s="87"/>
      <c r="BI826" s="87"/>
    </row>
    <row r="827" spans="1:61" x14ac:dyDescent="0.25">
      <c r="A827" s="63" t="s">
        <v>534</v>
      </c>
      <c r="B827" s="63" t="s">
        <v>534</v>
      </c>
      <c r="C827" s="64"/>
      <c r="D827" s="65"/>
      <c r="E827" s="66"/>
      <c r="F827" s="67"/>
      <c r="G827" s="64"/>
      <c r="H827" s="68"/>
      <c r="I827" s="69"/>
      <c r="J827" s="69"/>
      <c r="K827" s="32"/>
      <c r="L827" s="76">
        <v>827</v>
      </c>
      <c r="M827" s="76"/>
      <c r="N827" s="71"/>
      <c r="O827" s="87" t="s">
        <v>179</v>
      </c>
      <c r="P827" s="90">
        <v>45183.791678240741</v>
      </c>
      <c r="Q827" s="87" t="s">
        <v>2648</v>
      </c>
      <c r="R827" s="87">
        <v>0</v>
      </c>
      <c r="S827" s="87">
        <v>0</v>
      </c>
      <c r="T827" s="87">
        <v>0</v>
      </c>
      <c r="U827" s="87">
        <v>0</v>
      </c>
      <c r="V827" s="87">
        <v>46</v>
      </c>
      <c r="W827" s="93" t="s">
        <v>6438</v>
      </c>
      <c r="X827" s="92" t="str">
        <f>HYPERLINK("https://diariodocomercio.com.br/negocios/barbie-do-morro-criacao-empreendedoras-comunidade-belo-horizonte/")</f>
        <v>https://diariodocomercio.com.br/negocios/barbie-do-morro-criacao-empreendedoras-comunidade-belo-horizonte/</v>
      </c>
      <c r="Y827" s="87" t="s">
        <v>8373</v>
      </c>
      <c r="Z827" s="87"/>
      <c r="AA827" s="87"/>
      <c r="AB827" s="87"/>
      <c r="AC827" s="93" t="s">
        <v>11457</v>
      </c>
      <c r="AD827" s="87" t="s">
        <v>11519</v>
      </c>
      <c r="AE827" s="92" t="str">
        <f>HYPERLINK("https://twitter.com/diario_comercio/status/1702396802782339445")</f>
        <v>https://twitter.com/diario_comercio/status/1702396802782339445</v>
      </c>
      <c r="AF827" s="90">
        <v>45183.791678240741</v>
      </c>
      <c r="AG827" s="99">
        <v>45183</v>
      </c>
      <c r="AH827" s="93" t="s">
        <v>12309</v>
      </c>
      <c r="AI827" s="87" t="b">
        <v>0</v>
      </c>
      <c r="AJ827" s="87"/>
      <c r="AK827" s="87"/>
      <c r="AL827" s="87"/>
      <c r="AM827" s="87"/>
      <c r="AN827" s="87"/>
      <c r="AO827" s="87"/>
      <c r="AP827" s="87"/>
      <c r="AQ827" s="87"/>
      <c r="AR827" s="87"/>
      <c r="AS827" s="87"/>
      <c r="AT827" s="87"/>
      <c r="AU827" s="87"/>
      <c r="AV827" s="92" t="str">
        <f>HYPERLINK("https://pbs.twimg.com/profile_images/1610325557580898306/UZehEg0I_normal.jpg")</f>
        <v>https://pbs.twimg.com/profile_images/1610325557580898306/UZehEg0I_normal.jpg</v>
      </c>
      <c r="AW827" s="93" t="s">
        <v>19071</v>
      </c>
      <c r="AX827" s="93" t="s">
        <v>19071</v>
      </c>
      <c r="AY827" s="87"/>
      <c r="AZ827" s="93" t="s">
        <v>22668</v>
      </c>
      <c r="BA827" s="93" t="s">
        <v>22668</v>
      </c>
      <c r="BB827" s="93" t="s">
        <v>22668</v>
      </c>
      <c r="BC827" s="93" t="s">
        <v>19071</v>
      </c>
      <c r="BD827" s="87">
        <v>94388843</v>
      </c>
      <c r="BE827" s="87"/>
      <c r="BF827" s="87"/>
      <c r="BG827" s="87"/>
      <c r="BH827" s="87"/>
      <c r="BI827" s="87"/>
    </row>
    <row r="828" spans="1:61" x14ac:dyDescent="0.25">
      <c r="A828" s="63" t="s">
        <v>534</v>
      </c>
      <c r="B828" s="63" t="s">
        <v>534</v>
      </c>
      <c r="C828" s="64"/>
      <c r="D828" s="65"/>
      <c r="E828" s="66"/>
      <c r="F828" s="67"/>
      <c r="G828" s="64"/>
      <c r="H828" s="68"/>
      <c r="I828" s="69"/>
      <c r="J828" s="69"/>
      <c r="K828" s="32"/>
      <c r="L828" s="76">
        <v>828</v>
      </c>
      <c r="M828" s="76"/>
      <c r="N828" s="71"/>
      <c r="O828" s="87" t="s">
        <v>179</v>
      </c>
      <c r="P828" s="90">
        <v>45170.754201388889</v>
      </c>
      <c r="Q828" s="87" t="s">
        <v>2649</v>
      </c>
      <c r="R828" s="87">
        <v>1</v>
      </c>
      <c r="S828" s="87">
        <v>1</v>
      </c>
      <c r="T828" s="87">
        <v>1</v>
      </c>
      <c r="U828" s="87">
        <v>0</v>
      </c>
      <c r="V828" s="87">
        <v>213</v>
      </c>
      <c r="W828" s="93" t="s">
        <v>6439</v>
      </c>
      <c r="X828" s="92" t="str">
        <f>HYPERLINK("https://diariodocomercio.com.br/economia/meis-que-emitem-nota-tem-novo-processo-a-partir-de-hoje/")</f>
        <v>https://diariodocomercio.com.br/economia/meis-que-emitem-nota-tem-novo-processo-a-partir-de-hoje/</v>
      </c>
      <c r="Y828" s="87" t="s">
        <v>8373</v>
      </c>
      <c r="Z828" s="87"/>
      <c r="AA828" s="87"/>
      <c r="AB828" s="87"/>
      <c r="AC828" s="93" t="s">
        <v>11457</v>
      </c>
      <c r="AD828" s="87" t="s">
        <v>11519</v>
      </c>
      <c r="AE828" s="92" t="str">
        <f>HYPERLINK("https://twitter.com/diario_comercio/status/1697672181621104847")</f>
        <v>https://twitter.com/diario_comercio/status/1697672181621104847</v>
      </c>
      <c r="AF828" s="90">
        <v>45170.754201388889</v>
      </c>
      <c r="AG828" s="99">
        <v>45170</v>
      </c>
      <c r="AH828" s="93" t="s">
        <v>12310</v>
      </c>
      <c r="AI828" s="87" t="b">
        <v>0</v>
      </c>
      <c r="AJ828" s="87"/>
      <c r="AK828" s="87"/>
      <c r="AL828" s="87"/>
      <c r="AM828" s="87"/>
      <c r="AN828" s="87"/>
      <c r="AO828" s="87"/>
      <c r="AP828" s="87"/>
      <c r="AQ828" s="87"/>
      <c r="AR828" s="87"/>
      <c r="AS828" s="87"/>
      <c r="AT828" s="87"/>
      <c r="AU828" s="87"/>
      <c r="AV828" s="92" t="str">
        <f>HYPERLINK("https://pbs.twimg.com/profile_images/1610325557580898306/UZehEg0I_normal.jpg")</f>
        <v>https://pbs.twimg.com/profile_images/1610325557580898306/UZehEg0I_normal.jpg</v>
      </c>
      <c r="AW828" s="93" t="s">
        <v>19072</v>
      </c>
      <c r="AX828" s="93" t="s">
        <v>19072</v>
      </c>
      <c r="AY828" s="87"/>
      <c r="AZ828" s="93" t="s">
        <v>22668</v>
      </c>
      <c r="BA828" s="93" t="s">
        <v>22668</v>
      </c>
      <c r="BB828" s="93" t="s">
        <v>22668</v>
      </c>
      <c r="BC828" s="93" t="s">
        <v>19072</v>
      </c>
      <c r="BD828" s="87">
        <v>94388843</v>
      </c>
      <c r="BE828" s="87"/>
      <c r="BF828" s="87"/>
      <c r="BG828" s="87"/>
      <c r="BH828" s="87"/>
      <c r="BI828" s="87"/>
    </row>
    <row r="829" spans="1:61" x14ac:dyDescent="0.25">
      <c r="A829" s="63" t="s">
        <v>534</v>
      </c>
      <c r="B829" s="63" t="s">
        <v>534</v>
      </c>
      <c r="C829" s="64"/>
      <c r="D829" s="65"/>
      <c r="E829" s="66"/>
      <c r="F829" s="67"/>
      <c r="G829" s="64"/>
      <c r="H829" s="68"/>
      <c r="I829" s="69"/>
      <c r="J829" s="69"/>
      <c r="K829" s="32"/>
      <c r="L829" s="76">
        <v>829</v>
      </c>
      <c r="M829" s="76"/>
      <c r="N829" s="71"/>
      <c r="O829" s="87" t="s">
        <v>179</v>
      </c>
      <c r="P829" s="90">
        <v>45194.8125</v>
      </c>
      <c r="Q829" s="87" t="s">
        <v>2650</v>
      </c>
      <c r="R829" s="87">
        <v>0</v>
      </c>
      <c r="S829" s="87">
        <v>0</v>
      </c>
      <c r="T829" s="87">
        <v>0</v>
      </c>
      <c r="U829" s="87">
        <v>0</v>
      </c>
      <c r="V829" s="87">
        <v>37</v>
      </c>
      <c r="W829" s="93" t="s">
        <v>6440</v>
      </c>
      <c r="X829" s="92" t="str">
        <f>HYPERLINK("https://diariodocomercio.com.br/legislacao/microempreendedores-individuais-encontram-dificuldades-com-emissao-de-nfs-e/")</f>
        <v>https://diariodocomercio.com.br/legislacao/microempreendedores-individuais-encontram-dificuldades-com-emissao-de-nfs-e/</v>
      </c>
      <c r="Y829" s="87" t="s">
        <v>8373</v>
      </c>
      <c r="Z829" s="87"/>
      <c r="AA829" s="87"/>
      <c r="AB829" s="87"/>
      <c r="AC829" s="93" t="s">
        <v>11457</v>
      </c>
      <c r="AD829" s="87" t="s">
        <v>11519</v>
      </c>
      <c r="AE829" s="92" t="str">
        <f>HYPERLINK("https://twitter.com/diario_comercio/status/1706390614604939729")</f>
        <v>https://twitter.com/diario_comercio/status/1706390614604939729</v>
      </c>
      <c r="AF829" s="90">
        <v>45194.8125</v>
      </c>
      <c r="AG829" s="99">
        <v>45194</v>
      </c>
      <c r="AH829" s="93" t="s">
        <v>12311</v>
      </c>
      <c r="AI829" s="87" t="b">
        <v>0</v>
      </c>
      <c r="AJ829" s="87"/>
      <c r="AK829" s="87"/>
      <c r="AL829" s="87"/>
      <c r="AM829" s="87"/>
      <c r="AN829" s="87"/>
      <c r="AO829" s="87"/>
      <c r="AP829" s="87"/>
      <c r="AQ829" s="87"/>
      <c r="AR829" s="87"/>
      <c r="AS829" s="87"/>
      <c r="AT829" s="87"/>
      <c r="AU829" s="87"/>
      <c r="AV829" s="92" t="str">
        <f>HYPERLINK("https://pbs.twimg.com/profile_images/1610325557580898306/UZehEg0I_normal.jpg")</f>
        <v>https://pbs.twimg.com/profile_images/1610325557580898306/UZehEg0I_normal.jpg</v>
      </c>
      <c r="AW829" s="93" t="s">
        <v>19073</v>
      </c>
      <c r="AX829" s="93" t="s">
        <v>19073</v>
      </c>
      <c r="AY829" s="87"/>
      <c r="AZ829" s="93" t="s">
        <v>22668</v>
      </c>
      <c r="BA829" s="93" t="s">
        <v>22668</v>
      </c>
      <c r="BB829" s="93" t="s">
        <v>22668</v>
      </c>
      <c r="BC829" s="93" t="s">
        <v>19073</v>
      </c>
      <c r="BD829" s="87">
        <v>94388843</v>
      </c>
      <c r="BE829" s="87"/>
      <c r="BF829" s="87"/>
      <c r="BG829" s="87"/>
      <c r="BH829" s="87"/>
      <c r="BI829" s="87"/>
    </row>
    <row r="830" spans="1:61" x14ac:dyDescent="0.25">
      <c r="A830" s="63" t="s">
        <v>534</v>
      </c>
      <c r="B830" s="63" t="s">
        <v>534</v>
      </c>
      <c r="C830" s="64"/>
      <c r="D830" s="65"/>
      <c r="E830" s="66"/>
      <c r="F830" s="67"/>
      <c r="G830" s="64"/>
      <c r="H830" s="68"/>
      <c r="I830" s="69"/>
      <c r="J830" s="69"/>
      <c r="K830" s="32"/>
      <c r="L830" s="76">
        <v>830</v>
      </c>
      <c r="M830" s="76"/>
      <c r="N830" s="71"/>
      <c r="O830" s="87" t="s">
        <v>179</v>
      </c>
      <c r="P830" s="90">
        <v>45174.916666666664</v>
      </c>
      <c r="Q830" s="87" t="s">
        <v>2651</v>
      </c>
      <c r="R830" s="87">
        <v>0</v>
      </c>
      <c r="S830" s="87">
        <v>0</v>
      </c>
      <c r="T830" s="87">
        <v>0</v>
      </c>
      <c r="U830" s="87">
        <v>0</v>
      </c>
      <c r="V830" s="87">
        <v>31</v>
      </c>
      <c r="W830" s="93" t="s">
        <v>6441</v>
      </c>
      <c r="X830" s="92" t="str">
        <f>HYPERLINK("https://diariodocomercio.com.br/negocios/pequenos-negocios-de-minas-gerais-sao-destaques-no-setor-de-panificacao/")</f>
        <v>https://diariodocomercio.com.br/negocios/pequenos-negocios-de-minas-gerais-sao-destaques-no-setor-de-panificacao/</v>
      </c>
      <c r="Y830" s="87" t="s">
        <v>8373</v>
      </c>
      <c r="Z830" s="87"/>
      <c r="AA830" s="87"/>
      <c r="AB830" s="87"/>
      <c r="AC830" s="93" t="s">
        <v>11457</v>
      </c>
      <c r="AD830" s="87" t="s">
        <v>11519</v>
      </c>
      <c r="AE830" s="92" t="str">
        <f>HYPERLINK("https://twitter.com/diario_comercio/status/1699180605248790616")</f>
        <v>https://twitter.com/diario_comercio/status/1699180605248790616</v>
      </c>
      <c r="AF830" s="90">
        <v>45174.916666666664</v>
      </c>
      <c r="AG830" s="99">
        <v>45174</v>
      </c>
      <c r="AH830" s="93" t="s">
        <v>12312</v>
      </c>
      <c r="AI830" s="87" t="b">
        <v>0</v>
      </c>
      <c r="AJ830" s="87"/>
      <c r="AK830" s="87"/>
      <c r="AL830" s="87"/>
      <c r="AM830" s="87"/>
      <c r="AN830" s="87"/>
      <c r="AO830" s="87"/>
      <c r="AP830" s="87"/>
      <c r="AQ830" s="87"/>
      <c r="AR830" s="87"/>
      <c r="AS830" s="87"/>
      <c r="AT830" s="87"/>
      <c r="AU830" s="87"/>
      <c r="AV830" s="92" t="str">
        <f>HYPERLINK("https://pbs.twimg.com/profile_images/1610325557580898306/UZehEg0I_normal.jpg")</f>
        <v>https://pbs.twimg.com/profile_images/1610325557580898306/UZehEg0I_normal.jpg</v>
      </c>
      <c r="AW830" s="93" t="s">
        <v>19074</v>
      </c>
      <c r="AX830" s="93" t="s">
        <v>19074</v>
      </c>
      <c r="AY830" s="87"/>
      <c r="AZ830" s="93" t="s">
        <v>22668</v>
      </c>
      <c r="BA830" s="93" t="s">
        <v>22668</v>
      </c>
      <c r="BB830" s="93" t="s">
        <v>22668</v>
      </c>
      <c r="BC830" s="93" t="s">
        <v>19074</v>
      </c>
      <c r="BD830" s="87">
        <v>94388843</v>
      </c>
      <c r="BE830" s="87"/>
      <c r="BF830" s="87"/>
      <c r="BG830" s="87"/>
      <c r="BH830" s="87"/>
      <c r="BI830" s="87"/>
    </row>
    <row r="831" spans="1:61" x14ac:dyDescent="0.25">
      <c r="A831" s="63" t="s">
        <v>534</v>
      </c>
      <c r="B831" s="63" t="s">
        <v>534</v>
      </c>
      <c r="C831" s="64"/>
      <c r="D831" s="65"/>
      <c r="E831" s="66"/>
      <c r="F831" s="67"/>
      <c r="G831" s="64"/>
      <c r="H831" s="68"/>
      <c r="I831" s="69"/>
      <c r="J831" s="69"/>
      <c r="K831" s="32"/>
      <c r="L831" s="76">
        <v>831</v>
      </c>
      <c r="M831" s="76"/>
      <c r="N831" s="71"/>
      <c r="O831" s="87" t="s">
        <v>179</v>
      </c>
      <c r="P831" s="90">
        <v>45168.645833333336</v>
      </c>
      <c r="Q831" s="87" t="s">
        <v>2652</v>
      </c>
      <c r="R831" s="87">
        <v>0</v>
      </c>
      <c r="S831" s="87">
        <v>0</v>
      </c>
      <c r="T831" s="87">
        <v>0</v>
      </c>
      <c r="U831" s="87">
        <v>0</v>
      </c>
      <c r="V831" s="87">
        <v>65</v>
      </c>
      <c r="W831" s="93" t="s">
        <v>6442</v>
      </c>
      <c r="X831" s="92" t="str">
        <f>HYPERLINK("https://diariodocomercio.com.br/economia/estudantes-propoem-diversificacao-economica-de-santa-barbara/")</f>
        <v>https://diariodocomercio.com.br/economia/estudantes-propoem-diversificacao-economica-de-santa-barbara/</v>
      </c>
      <c r="Y831" s="87" t="s">
        <v>8373</v>
      </c>
      <c r="Z831" s="87"/>
      <c r="AA831" s="87"/>
      <c r="AB831" s="87"/>
      <c r="AC831" s="93" t="s">
        <v>11457</v>
      </c>
      <c r="AD831" s="87" t="s">
        <v>11519</v>
      </c>
      <c r="AE831" s="92" t="str">
        <f>HYPERLINK("https://twitter.com/diario_comercio/status/1696908133447155826")</f>
        <v>https://twitter.com/diario_comercio/status/1696908133447155826</v>
      </c>
      <c r="AF831" s="90">
        <v>45168.645833333336</v>
      </c>
      <c r="AG831" s="99">
        <v>45168</v>
      </c>
      <c r="AH831" s="93" t="s">
        <v>12313</v>
      </c>
      <c r="AI831" s="87" t="b">
        <v>0</v>
      </c>
      <c r="AJ831" s="87"/>
      <c r="AK831" s="87"/>
      <c r="AL831" s="87"/>
      <c r="AM831" s="87"/>
      <c r="AN831" s="87"/>
      <c r="AO831" s="87"/>
      <c r="AP831" s="87"/>
      <c r="AQ831" s="87"/>
      <c r="AR831" s="87"/>
      <c r="AS831" s="87"/>
      <c r="AT831" s="87"/>
      <c r="AU831" s="87"/>
      <c r="AV831" s="92" t="str">
        <f>HYPERLINK("https://pbs.twimg.com/profile_images/1610325557580898306/UZehEg0I_normal.jpg")</f>
        <v>https://pbs.twimg.com/profile_images/1610325557580898306/UZehEg0I_normal.jpg</v>
      </c>
      <c r="AW831" s="93" t="s">
        <v>19075</v>
      </c>
      <c r="AX831" s="93" t="s">
        <v>19075</v>
      </c>
      <c r="AY831" s="87"/>
      <c r="AZ831" s="93" t="s">
        <v>22668</v>
      </c>
      <c r="BA831" s="93" t="s">
        <v>22668</v>
      </c>
      <c r="BB831" s="93" t="s">
        <v>22668</v>
      </c>
      <c r="BC831" s="93" t="s">
        <v>19075</v>
      </c>
      <c r="BD831" s="87">
        <v>94388843</v>
      </c>
      <c r="BE831" s="87"/>
      <c r="BF831" s="87"/>
      <c r="BG831" s="87"/>
      <c r="BH831" s="87"/>
      <c r="BI831" s="87"/>
    </row>
    <row r="832" spans="1:61" x14ac:dyDescent="0.25">
      <c r="A832" s="63" t="s">
        <v>534</v>
      </c>
      <c r="B832" s="63" t="s">
        <v>534</v>
      </c>
      <c r="C832" s="64"/>
      <c r="D832" s="65"/>
      <c r="E832" s="66"/>
      <c r="F832" s="67"/>
      <c r="G832" s="64"/>
      <c r="H832" s="68"/>
      <c r="I832" s="69"/>
      <c r="J832" s="69"/>
      <c r="K832" s="32"/>
      <c r="L832" s="76">
        <v>832</v>
      </c>
      <c r="M832" s="76"/>
      <c r="N832" s="71"/>
      <c r="O832" s="87" t="s">
        <v>179</v>
      </c>
      <c r="P832" s="90">
        <v>45141.479166666664</v>
      </c>
      <c r="Q832" s="87" t="s">
        <v>2653</v>
      </c>
      <c r="R832" s="87">
        <v>1</v>
      </c>
      <c r="S832" s="87">
        <v>2</v>
      </c>
      <c r="T832" s="87">
        <v>0</v>
      </c>
      <c r="U832" s="87">
        <v>0</v>
      </c>
      <c r="V832" s="87">
        <v>44</v>
      </c>
      <c r="W832" s="93" t="s">
        <v>6443</v>
      </c>
      <c r="X832" s="92" t="str">
        <f>HYPERLINK("https://diariodocomercio.com.br/mpes/praticas-de-esg-estao-ao-alcance-das-pequenas-empresas/?utm_source=twitter&amp;utm_medium=social&amp;utm_campaign=sebraemgesp23&amp;campaignName=sebraemgesp23")</f>
        <v>https://diariodocomercio.com.br/mpes/praticas-de-esg-estao-ao-alcance-das-pequenas-empresas/?utm_source=twitter&amp;utm_medium=social&amp;utm_campaign=sebraemgesp23&amp;campaignName=sebraemgesp23</v>
      </c>
      <c r="Y832" s="87" t="s">
        <v>8373</v>
      </c>
      <c r="Z832" s="87"/>
      <c r="AA832" s="87"/>
      <c r="AB832" s="87"/>
      <c r="AC832" s="93" t="s">
        <v>11464</v>
      </c>
      <c r="AD832" s="87" t="s">
        <v>11519</v>
      </c>
      <c r="AE832" s="92" t="str">
        <f>HYPERLINK("https://twitter.com/diario_comercio/status/1687063263572336640")</f>
        <v>https://twitter.com/diario_comercio/status/1687063263572336640</v>
      </c>
      <c r="AF832" s="90">
        <v>45141.479166666664</v>
      </c>
      <c r="AG832" s="99">
        <v>45141</v>
      </c>
      <c r="AH832" s="93" t="s">
        <v>12123</v>
      </c>
      <c r="AI832" s="87" t="b">
        <v>0</v>
      </c>
      <c r="AJ832" s="87"/>
      <c r="AK832" s="87"/>
      <c r="AL832" s="87"/>
      <c r="AM832" s="87"/>
      <c r="AN832" s="87"/>
      <c r="AO832" s="87"/>
      <c r="AP832" s="87"/>
      <c r="AQ832" s="87"/>
      <c r="AR832" s="87"/>
      <c r="AS832" s="87"/>
      <c r="AT832" s="87"/>
      <c r="AU832" s="87"/>
      <c r="AV832" s="92" t="str">
        <f>HYPERLINK("https://pbs.twimg.com/profile_images/1610325557580898306/UZehEg0I_normal.jpg")</f>
        <v>https://pbs.twimg.com/profile_images/1610325557580898306/UZehEg0I_normal.jpg</v>
      </c>
      <c r="AW832" s="93" t="s">
        <v>19076</v>
      </c>
      <c r="AX832" s="93" t="s">
        <v>19076</v>
      </c>
      <c r="AY832" s="87"/>
      <c r="AZ832" s="93" t="s">
        <v>22668</v>
      </c>
      <c r="BA832" s="93" t="s">
        <v>22668</v>
      </c>
      <c r="BB832" s="93" t="s">
        <v>22668</v>
      </c>
      <c r="BC832" s="93" t="s">
        <v>19076</v>
      </c>
      <c r="BD832" s="87">
        <v>94388843</v>
      </c>
      <c r="BE832" s="87"/>
      <c r="BF832" s="87"/>
      <c r="BG832" s="87"/>
      <c r="BH832" s="87"/>
      <c r="BI832" s="87"/>
    </row>
    <row r="833" spans="1:61" x14ac:dyDescent="0.25">
      <c r="A833" s="63" t="s">
        <v>534</v>
      </c>
      <c r="B833" s="63" t="s">
        <v>534</v>
      </c>
      <c r="C833" s="64"/>
      <c r="D833" s="65"/>
      <c r="E833" s="66"/>
      <c r="F833" s="67"/>
      <c r="G833" s="64"/>
      <c r="H833" s="68"/>
      <c r="I833" s="69"/>
      <c r="J833" s="69"/>
      <c r="K833" s="32"/>
      <c r="L833" s="76">
        <v>833</v>
      </c>
      <c r="M833" s="76"/>
      <c r="N833" s="71"/>
      <c r="O833" s="87" t="s">
        <v>179</v>
      </c>
      <c r="P833" s="90">
        <v>45140.625023148146</v>
      </c>
      <c r="Q833" s="87" t="s">
        <v>2654</v>
      </c>
      <c r="R833" s="87">
        <v>0</v>
      </c>
      <c r="S833" s="87">
        <v>0</v>
      </c>
      <c r="T833" s="87">
        <v>0</v>
      </c>
      <c r="U833" s="87">
        <v>0</v>
      </c>
      <c r="V833" s="87">
        <v>25</v>
      </c>
      <c r="W833" s="93" t="s">
        <v>6444</v>
      </c>
      <c r="X833" s="92" t="str">
        <f>HYPERLINK("https://diariodocomercio.com.br/economia/confianca-dos-pequenos-empreendedores-de-minas-aumenta-em-junho/")</f>
        <v>https://diariodocomercio.com.br/economia/confianca-dos-pequenos-empreendedores-de-minas-aumenta-em-junho/</v>
      </c>
      <c r="Y833" s="87" t="s">
        <v>8373</v>
      </c>
      <c r="Z833" s="87"/>
      <c r="AA833" s="87"/>
      <c r="AB833" s="87"/>
      <c r="AC833" s="93" t="s">
        <v>11464</v>
      </c>
      <c r="AD833" s="87" t="s">
        <v>11519</v>
      </c>
      <c r="AE833" s="92" t="str">
        <f>HYPERLINK("https://twitter.com/diario_comercio/status/1686753730321166337")</f>
        <v>https://twitter.com/diario_comercio/status/1686753730321166337</v>
      </c>
      <c r="AF833" s="90">
        <v>45140.625023148146</v>
      </c>
      <c r="AG833" s="99">
        <v>45140</v>
      </c>
      <c r="AH833" s="93" t="s">
        <v>12306</v>
      </c>
      <c r="AI833" s="87" t="b">
        <v>0</v>
      </c>
      <c r="AJ833" s="87"/>
      <c r="AK833" s="87"/>
      <c r="AL833" s="87"/>
      <c r="AM833" s="87"/>
      <c r="AN833" s="87"/>
      <c r="AO833" s="87"/>
      <c r="AP833" s="87"/>
      <c r="AQ833" s="87"/>
      <c r="AR833" s="87"/>
      <c r="AS833" s="87"/>
      <c r="AT833" s="87"/>
      <c r="AU833" s="87"/>
      <c r="AV833" s="92" t="str">
        <f>HYPERLINK("https://pbs.twimg.com/profile_images/1610325557580898306/UZehEg0I_normal.jpg")</f>
        <v>https://pbs.twimg.com/profile_images/1610325557580898306/UZehEg0I_normal.jpg</v>
      </c>
      <c r="AW833" s="93" t="s">
        <v>19077</v>
      </c>
      <c r="AX833" s="93" t="s">
        <v>19077</v>
      </c>
      <c r="AY833" s="87"/>
      <c r="AZ833" s="93" t="s">
        <v>22668</v>
      </c>
      <c r="BA833" s="93" t="s">
        <v>22668</v>
      </c>
      <c r="BB833" s="93" t="s">
        <v>22668</v>
      </c>
      <c r="BC833" s="93" t="s">
        <v>19077</v>
      </c>
      <c r="BD833" s="87">
        <v>94388843</v>
      </c>
      <c r="BE833" s="87"/>
      <c r="BF833" s="87"/>
      <c r="BG833" s="87"/>
      <c r="BH833" s="87"/>
      <c r="BI833" s="87"/>
    </row>
    <row r="834" spans="1:61" x14ac:dyDescent="0.25">
      <c r="A834" s="63" t="s">
        <v>534</v>
      </c>
      <c r="B834" s="63" t="s">
        <v>534</v>
      </c>
      <c r="C834" s="64"/>
      <c r="D834" s="65"/>
      <c r="E834" s="66"/>
      <c r="F834" s="67"/>
      <c r="G834" s="64"/>
      <c r="H834" s="68"/>
      <c r="I834" s="69"/>
      <c r="J834" s="69"/>
      <c r="K834" s="32"/>
      <c r="L834" s="76">
        <v>834</v>
      </c>
      <c r="M834" s="76"/>
      <c r="N834" s="71"/>
      <c r="O834" s="87" t="s">
        <v>179</v>
      </c>
      <c r="P834" s="90">
        <v>45127.500011574077</v>
      </c>
      <c r="Q834" s="87" t="s">
        <v>2655</v>
      </c>
      <c r="R834" s="87">
        <v>0</v>
      </c>
      <c r="S834" s="87">
        <v>0</v>
      </c>
      <c r="T834" s="87">
        <v>0</v>
      </c>
      <c r="U834" s="87">
        <v>0</v>
      </c>
      <c r="V834" s="87">
        <v>32</v>
      </c>
      <c r="W834" s="93" t="s">
        <v>6445</v>
      </c>
      <c r="X834" s="92" t="str">
        <f>HYPERLINK("https://diariodocomercio.com.br/mpes/tomada-de-credito-precisa-de-cautela-e-planejamento/?utm_source=twitter&amp;utm_medium=social&amp;utm_campaign=sebraemgesp23&amp;campaignName=sebraemgesp23")</f>
        <v>https://diariodocomercio.com.br/mpes/tomada-de-credito-precisa-de-cautela-e-planejamento/?utm_source=twitter&amp;utm_medium=social&amp;utm_campaign=sebraemgesp23&amp;campaignName=sebraemgesp23</v>
      </c>
      <c r="Y834" s="87" t="s">
        <v>8373</v>
      </c>
      <c r="Z834" s="87"/>
      <c r="AA834" s="87"/>
      <c r="AB834" s="87"/>
      <c r="AC834" s="93" t="s">
        <v>11464</v>
      </c>
      <c r="AD834" s="87" t="s">
        <v>11519</v>
      </c>
      <c r="AE834" s="92" t="str">
        <f>HYPERLINK("https://twitter.com/diario_comercio/status/1681997385059237888")</f>
        <v>https://twitter.com/diario_comercio/status/1681997385059237888</v>
      </c>
      <c r="AF834" s="90">
        <v>45127.500011574077</v>
      </c>
      <c r="AG834" s="99">
        <v>45127</v>
      </c>
      <c r="AH834" s="93" t="s">
        <v>12091</v>
      </c>
      <c r="AI834" s="87" t="b">
        <v>0</v>
      </c>
      <c r="AJ834" s="87"/>
      <c r="AK834" s="87"/>
      <c r="AL834" s="87"/>
      <c r="AM834" s="87"/>
      <c r="AN834" s="87"/>
      <c r="AO834" s="87"/>
      <c r="AP834" s="87"/>
      <c r="AQ834" s="87"/>
      <c r="AR834" s="87"/>
      <c r="AS834" s="87"/>
      <c r="AT834" s="87"/>
      <c r="AU834" s="87"/>
      <c r="AV834" s="92" t="str">
        <f>HYPERLINK("https://pbs.twimg.com/profile_images/1610325557580898306/UZehEg0I_normal.jpg")</f>
        <v>https://pbs.twimg.com/profile_images/1610325557580898306/UZehEg0I_normal.jpg</v>
      </c>
      <c r="AW834" s="93" t="s">
        <v>19078</v>
      </c>
      <c r="AX834" s="93" t="s">
        <v>19078</v>
      </c>
      <c r="AY834" s="87"/>
      <c r="AZ834" s="93" t="s">
        <v>22668</v>
      </c>
      <c r="BA834" s="93" t="s">
        <v>22668</v>
      </c>
      <c r="BB834" s="93" t="s">
        <v>22668</v>
      </c>
      <c r="BC834" s="93" t="s">
        <v>19078</v>
      </c>
      <c r="BD834" s="87">
        <v>94388843</v>
      </c>
      <c r="BE834" s="87"/>
      <c r="BF834" s="87"/>
      <c r="BG834" s="87"/>
      <c r="BH834" s="87"/>
      <c r="BI834" s="87"/>
    </row>
    <row r="835" spans="1:61" x14ac:dyDescent="0.25">
      <c r="A835" s="63" t="s">
        <v>534</v>
      </c>
      <c r="B835" s="63" t="s">
        <v>534</v>
      </c>
      <c r="C835" s="64"/>
      <c r="D835" s="65"/>
      <c r="E835" s="66"/>
      <c r="F835" s="67"/>
      <c r="G835" s="64"/>
      <c r="H835" s="68"/>
      <c r="I835" s="69"/>
      <c r="J835" s="69"/>
      <c r="K835" s="32"/>
      <c r="L835" s="76">
        <v>835</v>
      </c>
      <c r="M835" s="76"/>
      <c r="N835" s="71"/>
      <c r="O835" s="87" t="s">
        <v>179</v>
      </c>
      <c r="P835" s="90">
        <v>45195.607106481482</v>
      </c>
      <c r="Q835" s="87" t="s">
        <v>2656</v>
      </c>
      <c r="R835" s="87">
        <v>0</v>
      </c>
      <c r="S835" s="87">
        <v>0</v>
      </c>
      <c r="T835" s="87">
        <v>0</v>
      </c>
      <c r="U835" s="87">
        <v>0</v>
      </c>
      <c r="V835" s="87">
        <v>30</v>
      </c>
      <c r="W835" s="93" t="s">
        <v>6446</v>
      </c>
      <c r="X835" s="92" t="str">
        <f>HYPERLINK("https://diariodocomercio.com.br/negocios/mulheres-assumem-mais-posicoes-de-lideranca-nos-negocios/")</f>
        <v>https://diariodocomercio.com.br/negocios/mulheres-assumem-mais-posicoes-de-lideranca-nos-negocios/</v>
      </c>
      <c r="Y835" s="87" t="s">
        <v>8373</v>
      </c>
      <c r="Z835" s="87"/>
      <c r="AA835" s="87"/>
      <c r="AB835" s="87"/>
      <c r="AC835" s="93" t="s">
        <v>11457</v>
      </c>
      <c r="AD835" s="87" t="s">
        <v>11519</v>
      </c>
      <c r="AE835" s="92" t="str">
        <f>HYPERLINK("https://twitter.com/diario_comercio/status/1706678572805480801")</f>
        <v>https://twitter.com/diario_comercio/status/1706678572805480801</v>
      </c>
      <c r="AF835" s="90">
        <v>45195.607106481482</v>
      </c>
      <c r="AG835" s="99">
        <v>45195</v>
      </c>
      <c r="AH835" s="93" t="s">
        <v>12314</v>
      </c>
      <c r="AI835" s="87" t="b">
        <v>0</v>
      </c>
      <c r="AJ835" s="87"/>
      <c r="AK835" s="87"/>
      <c r="AL835" s="87"/>
      <c r="AM835" s="87"/>
      <c r="AN835" s="87"/>
      <c r="AO835" s="87"/>
      <c r="AP835" s="87"/>
      <c r="AQ835" s="87"/>
      <c r="AR835" s="87"/>
      <c r="AS835" s="87"/>
      <c r="AT835" s="87"/>
      <c r="AU835" s="87"/>
      <c r="AV835" s="92" t="str">
        <f>HYPERLINK("https://pbs.twimg.com/profile_images/1610325557580898306/UZehEg0I_normal.jpg")</f>
        <v>https://pbs.twimg.com/profile_images/1610325557580898306/UZehEg0I_normal.jpg</v>
      </c>
      <c r="AW835" s="93" t="s">
        <v>19079</v>
      </c>
      <c r="AX835" s="93" t="s">
        <v>19079</v>
      </c>
      <c r="AY835" s="87"/>
      <c r="AZ835" s="93" t="s">
        <v>22668</v>
      </c>
      <c r="BA835" s="93" t="s">
        <v>22668</v>
      </c>
      <c r="BB835" s="93" t="s">
        <v>22668</v>
      </c>
      <c r="BC835" s="93" t="s">
        <v>19079</v>
      </c>
      <c r="BD835" s="87">
        <v>94388843</v>
      </c>
      <c r="BE835" s="87"/>
      <c r="BF835" s="87"/>
      <c r="BG835" s="87"/>
      <c r="BH835" s="87"/>
      <c r="BI835" s="87"/>
    </row>
    <row r="836" spans="1:61" x14ac:dyDescent="0.25">
      <c r="A836" s="63" t="s">
        <v>534</v>
      </c>
      <c r="B836" s="63" t="s">
        <v>534</v>
      </c>
      <c r="C836" s="64"/>
      <c r="D836" s="65"/>
      <c r="E836" s="66"/>
      <c r="F836" s="67"/>
      <c r="G836" s="64"/>
      <c r="H836" s="68"/>
      <c r="I836" s="69"/>
      <c r="J836" s="69"/>
      <c r="K836" s="32"/>
      <c r="L836" s="76">
        <v>836</v>
      </c>
      <c r="M836" s="76"/>
      <c r="N836" s="71"/>
      <c r="O836" s="87" t="s">
        <v>179</v>
      </c>
      <c r="P836" s="90">
        <v>45191.895833333336</v>
      </c>
      <c r="Q836" s="87" t="s">
        <v>2657</v>
      </c>
      <c r="R836" s="87">
        <v>1</v>
      </c>
      <c r="S836" s="87">
        <v>1</v>
      </c>
      <c r="T836" s="87">
        <v>0</v>
      </c>
      <c r="U836" s="87">
        <v>0</v>
      </c>
      <c r="V836" s="87">
        <v>42</v>
      </c>
      <c r="W836" s="93" t="s">
        <v>6447</v>
      </c>
      <c r="X836" s="92" t="str">
        <f>HYPERLINK("https://diariodocomercio.com.br/economia/mei-governo-federal-espera-arrecadar-r-44-milhoes-pendencias-fiscais/")</f>
        <v>https://diariodocomercio.com.br/economia/mei-governo-federal-espera-arrecadar-r-44-milhoes-pendencias-fiscais/</v>
      </c>
      <c r="Y836" s="87" t="s">
        <v>8373</v>
      </c>
      <c r="Z836" s="87"/>
      <c r="AA836" s="87"/>
      <c r="AB836" s="87"/>
      <c r="AC836" s="93" t="s">
        <v>11457</v>
      </c>
      <c r="AD836" s="87" t="s">
        <v>11519</v>
      </c>
      <c r="AE836" s="92" t="str">
        <f>HYPERLINK("https://twitter.com/diario_comercio/status/1705333649195831619")</f>
        <v>https://twitter.com/diario_comercio/status/1705333649195831619</v>
      </c>
      <c r="AF836" s="90">
        <v>45191.895833333336</v>
      </c>
      <c r="AG836" s="99">
        <v>45191</v>
      </c>
      <c r="AH836" s="93" t="s">
        <v>12292</v>
      </c>
      <c r="AI836" s="87" t="b">
        <v>0</v>
      </c>
      <c r="AJ836" s="87"/>
      <c r="AK836" s="87"/>
      <c r="AL836" s="87"/>
      <c r="AM836" s="87"/>
      <c r="AN836" s="87"/>
      <c r="AO836" s="87"/>
      <c r="AP836" s="87"/>
      <c r="AQ836" s="87"/>
      <c r="AR836" s="87"/>
      <c r="AS836" s="87"/>
      <c r="AT836" s="87"/>
      <c r="AU836" s="87"/>
      <c r="AV836" s="92" t="str">
        <f>HYPERLINK("https://pbs.twimg.com/profile_images/1610325557580898306/UZehEg0I_normal.jpg")</f>
        <v>https://pbs.twimg.com/profile_images/1610325557580898306/UZehEg0I_normal.jpg</v>
      </c>
      <c r="AW836" s="93" t="s">
        <v>19080</v>
      </c>
      <c r="AX836" s="93" t="s">
        <v>19080</v>
      </c>
      <c r="AY836" s="87"/>
      <c r="AZ836" s="93" t="s">
        <v>22668</v>
      </c>
      <c r="BA836" s="93" t="s">
        <v>22668</v>
      </c>
      <c r="BB836" s="93" t="s">
        <v>22668</v>
      </c>
      <c r="BC836" s="93" t="s">
        <v>19080</v>
      </c>
      <c r="BD836" s="87">
        <v>94388843</v>
      </c>
      <c r="BE836" s="87"/>
      <c r="BF836" s="87"/>
      <c r="BG836" s="87"/>
      <c r="BH836" s="87"/>
      <c r="BI836" s="87"/>
    </row>
    <row r="837" spans="1:61" x14ac:dyDescent="0.25">
      <c r="A837" s="63" t="s">
        <v>534</v>
      </c>
      <c r="B837" s="63" t="s">
        <v>534</v>
      </c>
      <c r="C837" s="64"/>
      <c r="D837" s="65"/>
      <c r="E837" s="66"/>
      <c r="F837" s="67"/>
      <c r="G837" s="64"/>
      <c r="H837" s="68"/>
      <c r="I837" s="69"/>
      <c r="J837" s="69"/>
      <c r="K837" s="32"/>
      <c r="L837" s="76">
        <v>837</v>
      </c>
      <c r="M837" s="76"/>
      <c r="N837" s="71"/>
      <c r="O837" s="87" t="s">
        <v>179</v>
      </c>
      <c r="P837" s="90">
        <v>45187.479166666664</v>
      </c>
      <c r="Q837" s="87" t="s">
        <v>2658</v>
      </c>
      <c r="R837" s="87">
        <v>0</v>
      </c>
      <c r="S837" s="87">
        <v>1</v>
      </c>
      <c r="T837" s="87">
        <v>0</v>
      </c>
      <c r="U837" s="87">
        <v>0</v>
      </c>
      <c r="V837" s="87">
        <v>54</v>
      </c>
      <c r="W837" s="93" t="s">
        <v>6448</v>
      </c>
      <c r="X837" s="92" t="str">
        <f>HYPERLINK("https://diariodocomercio.com.br/economia/abertura-de-empresas-e-recorde-em-mg/")</f>
        <v>https://diariodocomercio.com.br/economia/abertura-de-empresas-e-recorde-em-mg/</v>
      </c>
      <c r="Y837" s="87" t="s">
        <v>8373</v>
      </c>
      <c r="Z837" s="87"/>
      <c r="AA837" s="87"/>
      <c r="AB837" s="87"/>
      <c r="AC837" s="93" t="s">
        <v>11457</v>
      </c>
      <c r="AD837" s="87" t="s">
        <v>11519</v>
      </c>
      <c r="AE837" s="92" t="str">
        <f>HYPERLINK("https://twitter.com/diario_comercio/status/1703733105734078882")</f>
        <v>https://twitter.com/diario_comercio/status/1703733105734078882</v>
      </c>
      <c r="AF837" s="90">
        <v>45187.479166666664</v>
      </c>
      <c r="AG837" s="99">
        <v>45187</v>
      </c>
      <c r="AH837" s="93" t="s">
        <v>12123</v>
      </c>
      <c r="AI837" s="87" t="b">
        <v>0</v>
      </c>
      <c r="AJ837" s="87"/>
      <c r="AK837" s="87"/>
      <c r="AL837" s="87"/>
      <c r="AM837" s="87"/>
      <c r="AN837" s="87"/>
      <c r="AO837" s="87"/>
      <c r="AP837" s="87"/>
      <c r="AQ837" s="87"/>
      <c r="AR837" s="87"/>
      <c r="AS837" s="87"/>
      <c r="AT837" s="87"/>
      <c r="AU837" s="87"/>
      <c r="AV837" s="92" t="str">
        <f>HYPERLINK("https://pbs.twimg.com/profile_images/1610325557580898306/UZehEg0I_normal.jpg")</f>
        <v>https://pbs.twimg.com/profile_images/1610325557580898306/UZehEg0I_normal.jpg</v>
      </c>
      <c r="AW837" s="93" t="s">
        <v>19081</v>
      </c>
      <c r="AX837" s="93" t="s">
        <v>19081</v>
      </c>
      <c r="AY837" s="87"/>
      <c r="AZ837" s="93" t="s">
        <v>22668</v>
      </c>
      <c r="BA837" s="93" t="s">
        <v>22668</v>
      </c>
      <c r="BB837" s="93" t="s">
        <v>22668</v>
      </c>
      <c r="BC837" s="93" t="s">
        <v>19081</v>
      </c>
      <c r="BD837" s="87">
        <v>94388843</v>
      </c>
      <c r="BE837" s="87"/>
      <c r="BF837" s="87"/>
      <c r="BG837" s="87"/>
      <c r="BH837" s="87"/>
      <c r="BI837" s="87"/>
    </row>
    <row r="838" spans="1:61" x14ac:dyDescent="0.25">
      <c r="A838" s="63" t="s">
        <v>534</v>
      </c>
      <c r="B838" s="63" t="s">
        <v>534</v>
      </c>
      <c r="C838" s="64"/>
      <c r="D838" s="65"/>
      <c r="E838" s="66"/>
      <c r="F838" s="67"/>
      <c r="G838" s="64"/>
      <c r="H838" s="68"/>
      <c r="I838" s="69"/>
      <c r="J838" s="69"/>
      <c r="K838" s="32"/>
      <c r="L838" s="76">
        <v>838</v>
      </c>
      <c r="M838" s="76"/>
      <c r="N838" s="71"/>
      <c r="O838" s="87" t="s">
        <v>179</v>
      </c>
      <c r="P838" s="90">
        <v>45181.8125</v>
      </c>
      <c r="Q838" s="87" t="s">
        <v>2659</v>
      </c>
      <c r="R838" s="87">
        <v>0</v>
      </c>
      <c r="S838" s="87">
        <v>1</v>
      </c>
      <c r="T838" s="87">
        <v>0</v>
      </c>
      <c r="U838" s="87">
        <v>0</v>
      </c>
      <c r="V838" s="87">
        <v>48</v>
      </c>
      <c r="W838" s="93" t="s">
        <v>6449</v>
      </c>
      <c r="X838" s="92" t="str">
        <f>HYPERLINK("https://diariodocomercio.com.br/negocios/expo-favela-minas-potencializa-o-empreendedorismo-periferico/")</f>
        <v>https://diariodocomercio.com.br/negocios/expo-favela-minas-potencializa-o-empreendedorismo-periferico/</v>
      </c>
      <c r="Y838" s="87" t="s">
        <v>8373</v>
      </c>
      <c r="Z838" s="87"/>
      <c r="AA838" s="87"/>
      <c r="AB838" s="87"/>
      <c r="AC838" s="93" t="s">
        <v>11457</v>
      </c>
      <c r="AD838" s="87" t="s">
        <v>11519</v>
      </c>
      <c r="AE838" s="92" t="str">
        <f>HYPERLINK("https://twitter.com/diario_comercio/status/1701679572516041156")</f>
        <v>https://twitter.com/diario_comercio/status/1701679572516041156</v>
      </c>
      <c r="AF838" s="90">
        <v>45181.8125</v>
      </c>
      <c r="AG838" s="99">
        <v>45181</v>
      </c>
      <c r="AH838" s="93" t="s">
        <v>12311</v>
      </c>
      <c r="AI838" s="87" t="b">
        <v>0</v>
      </c>
      <c r="AJ838" s="87"/>
      <c r="AK838" s="87"/>
      <c r="AL838" s="87"/>
      <c r="AM838" s="87"/>
      <c r="AN838" s="87"/>
      <c r="AO838" s="87"/>
      <c r="AP838" s="87"/>
      <c r="AQ838" s="87"/>
      <c r="AR838" s="87"/>
      <c r="AS838" s="87"/>
      <c r="AT838" s="87"/>
      <c r="AU838" s="87"/>
      <c r="AV838" s="92" t="str">
        <f>HYPERLINK("https://pbs.twimg.com/profile_images/1610325557580898306/UZehEg0I_normal.jpg")</f>
        <v>https://pbs.twimg.com/profile_images/1610325557580898306/UZehEg0I_normal.jpg</v>
      </c>
      <c r="AW838" s="93" t="s">
        <v>19082</v>
      </c>
      <c r="AX838" s="93" t="s">
        <v>19082</v>
      </c>
      <c r="AY838" s="87"/>
      <c r="AZ838" s="93" t="s">
        <v>22668</v>
      </c>
      <c r="BA838" s="93" t="s">
        <v>22668</v>
      </c>
      <c r="BB838" s="93" t="s">
        <v>22668</v>
      </c>
      <c r="BC838" s="93" t="s">
        <v>19082</v>
      </c>
      <c r="BD838" s="87">
        <v>94388843</v>
      </c>
      <c r="BE838" s="87"/>
      <c r="BF838" s="87"/>
      <c r="BG838" s="87"/>
      <c r="BH838" s="87"/>
      <c r="BI838" s="87"/>
    </row>
    <row r="839" spans="1:61" x14ac:dyDescent="0.25">
      <c r="A839" s="63" t="s">
        <v>534</v>
      </c>
      <c r="B839" s="63" t="s">
        <v>534</v>
      </c>
      <c r="C839" s="64"/>
      <c r="D839" s="65"/>
      <c r="E839" s="66"/>
      <c r="F839" s="67"/>
      <c r="G839" s="64"/>
      <c r="H839" s="68"/>
      <c r="I839" s="69"/>
      <c r="J839" s="69"/>
      <c r="K839" s="32"/>
      <c r="L839" s="76">
        <v>839</v>
      </c>
      <c r="M839" s="76"/>
      <c r="N839" s="71"/>
      <c r="O839" s="87" t="s">
        <v>179</v>
      </c>
      <c r="P839" s="90">
        <v>45174.750011574077</v>
      </c>
      <c r="Q839" s="87" t="s">
        <v>2660</v>
      </c>
      <c r="R839" s="87">
        <v>0</v>
      </c>
      <c r="S839" s="87">
        <v>0</v>
      </c>
      <c r="T839" s="87">
        <v>0</v>
      </c>
      <c r="U839" s="87">
        <v>0</v>
      </c>
      <c r="V839" s="87">
        <v>34</v>
      </c>
      <c r="W839" s="93" t="s">
        <v>6450</v>
      </c>
      <c r="X839" s="92" t="str">
        <f>HYPERLINK("https://diariodocomercio.com.br/economia/recuperacao-judicial-de-grupos-impacta-pequenos-negocios/#google_vignette")</f>
        <v>https://diariodocomercio.com.br/economia/recuperacao-judicial-de-grupos-impacta-pequenos-negocios/#google_vignette</v>
      </c>
      <c r="Y839" s="87" t="s">
        <v>8373</v>
      </c>
      <c r="Z839" s="87"/>
      <c r="AA839" s="87"/>
      <c r="AB839" s="87"/>
      <c r="AC839" s="93" t="s">
        <v>11457</v>
      </c>
      <c r="AD839" s="87" t="s">
        <v>11519</v>
      </c>
      <c r="AE839" s="92" t="str">
        <f>HYPERLINK("https://twitter.com/diario_comercio/status/1699120210827952344")</f>
        <v>https://twitter.com/diario_comercio/status/1699120210827952344</v>
      </c>
      <c r="AF839" s="90">
        <v>45174.750011574077</v>
      </c>
      <c r="AG839" s="99">
        <v>45174</v>
      </c>
      <c r="AH839" s="93" t="s">
        <v>11959</v>
      </c>
      <c r="AI839" s="87" t="b">
        <v>0</v>
      </c>
      <c r="AJ839" s="87"/>
      <c r="AK839" s="87"/>
      <c r="AL839" s="87"/>
      <c r="AM839" s="87"/>
      <c r="AN839" s="87"/>
      <c r="AO839" s="87"/>
      <c r="AP839" s="87"/>
      <c r="AQ839" s="87"/>
      <c r="AR839" s="87"/>
      <c r="AS839" s="87"/>
      <c r="AT839" s="87"/>
      <c r="AU839" s="87"/>
      <c r="AV839" s="92" t="str">
        <f>HYPERLINK("https://pbs.twimg.com/profile_images/1610325557580898306/UZehEg0I_normal.jpg")</f>
        <v>https://pbs.twimg.com/profile_images/1610325557580898306/UZehEg0I_normal.jpg</v>
      </c>
      <c r="AW839" s="93" t="s">
        <v>19083</v>
      </c>
      <c r="AX839" s="93" t="s">
        <v>19083</v>
      </c>
      <c r="AY839" s="87"/>
      <c r="AZ839" s="93" t="s">
        <v>22668</v>
      </c>
      <c r="BA839" s="93" t="s">
        <v>22668</v>
      </c>
      <c r="BB839" s="93" t="s">
        <v>22668</v>
      </c>
      <c r="BC839" s="93" t="s">
        <v>19083</v>
      </c>
      <c r="BD839" s="87">
        <v>94388843</v>
      </c>
      <c r="BE839" s="87"/>
      <c r="BF839" s="87"/>
      <c r="BG839" s="87"/>
      <c r="BH839" s="87"/>
      <c r="BI839" s="87"/>
    </row>
    <row r="840" spans="1:61" x14ac:dyDescent="0.25">
      <c r="A840" s="63" t="s">
        <v>534</v>
      </c>
      <c r="B840" s="63" t="s">
        <v>534</v>
      </c>
      <c r="C840" s="64"/>
      <c r="D840" s="65"/>
      <c r="E840" s="66"/>
      <c r="F840" s="67"/>
      <c r="G840" s="64"/>
      <c r="H840" s="68"/>
      <c r="I840" s="69"/>
      <c r="J840" s="69"/>
      <c r="K840" s="32"/>
      <c r="L840" s="76">
        <v>840</v>
      </c>
      <c r="M840" s="76"/>
      <c r="N840" s="71"/>
      <c r="O840" s="87" t="s">
        <v>179</v>
      </c>
      <c r="P840" s="90">
        <v>45166.6250462963</v>
      </c>
      <c r="Q840" s="87" t="s">
        <v>2661</v>
      </c>
      <c r="R840" s="87">
        <v>0</v>
      </c>
      <c r="S840" s="87">
        <v>0</v>
      </c>
      <c r="T840" s="87">
        <v>0</v>
      </c>
      <c r="U840" s="87">
        <v>0</v>
      </c>
      <c r="V840" s="87">
        <v>72</v>
      </c>
      <c r="W840" s="93" t="s">
        <v>6451</v>
      </c>
      <c r="X840" s="92" t="str">
        <f>HYPERLINK("https://diariodocomercio.com.br/negocios/minas-ganha-operadora-de-saude-fundada-por-mulheres/")</f>
        <v>https://diariodocomercio.com.br/negocios/minas-ganha-operadora-de-saude-fundada-por-mulheres/</v>
      </c>
      <c r="Y840" s="87" t="s">
        <v>8373</v>
      </c>
      <c r="Z840" s="87"/>
      <c r="AA840" s="87"/>
      <c r="AB840" s="87"/>
      <c r="AC840" s="93" t="s">
        <v>11457</v>
      </c>
      <c r="AD840" s="87" t="s">
        <v>11519</v>
      </c>
      <c r="AE840" s="92" t="str">
        <f>HYPERLINK("https://twitter.com/diario_comercio/status/1696175822061572490")</f>
        <v>https://twitter.com/diario_comercio/status/1696175822061572490</v>
      </c>
      <c r="AF840" s="90">
        <v>45166.6250462963</v>
      </c>
      <c r="AG840" s="99">
        <v>45166</v>
      </c>
      <c r="AH840" s="93" t="s">
        <v>12315</v>
      </c>
      <c r="AI840" s="87" t="b">
        <v>0</v>
      </c>
      <c r="AJ840" s="87"/>
      <c r="AK840" s="87"/>
      <c r="AL840" s="87"/>
      <c r="AM840" s="87"/>
      <c r="AN840" s="87"/>
      <c r="AO840" s="87"/>
      <c r="AP840" s="87"/>
      <c r="AQ840" s="87"/>
      <c r="AR840" s="87"/>
      <c r="AS840" s="87"/>
      <c r="AT840" s="87"/>
      <c r="AU840" s="87"/>
      <c r="AV840" s="92" t="str">
        <f>HYPERLINK("https://pbs.twimg.com/profile_images/1610325557580898306/UZehEg0I_normal.jpg")</f>
        <v>https://pbs.twimg.com/profile_images/1610325557580898306/UZehEg0I_normal.jpg</v>
      </c>
      <c r="AW840" s="93" t="s">
        <v>19084</v>
      </c>
      <c r="AX840" s="93" t="s">
        <v>19084</v>
      </c>
      <c r="AY840" s="87"/>
      <c r="AZ840" s="93" t="s">
        <v>22668</v>
      </c>
      <c r="BA840" s="93" t="s">
        <v>22668</v>
      </c>
      <c r="BB840" s="93" t="s">
        <v>22668</v>
      </c>
      <c r="BC840" s="93" t="s">
        <v>19084</v>
      </c>
      <c r="BD840" s="87">
        <v>94388843</v>
      </c>
      <c r="BE840" s="87"/>
      <c r="BF840" s="87"/>
      <c r="BG840" s="87"/>
      <c r="BH840" s="87"/>
      <c r="BI840" s="87"/>
    </row>
    <row r="841" spans="1:61" x14ac:dyDescent="0.25">
      <c r="A841" s="63" t="s">
        <v>535</v>
      </c>
      <c r="B841" s="63" t="s">
        <v>534</v>
      </c>
      <c r="C841" s="64"/>
      <c r="D841" s="65"/>
      <c r="E841" s="66"/>
      <c r="F841" s="67"/>
      <c r="G841" s="64"/>
      <c r="H841" s="68"/>
      <c r="I841" s="69"/>
      <c r="J841" s="69"/>
      <c r="K841" s="32"/>
      <c r="L841" s="76">
        <v>841</v>
      </c>
      <c r="M841" s="76"/>
      <c r="N841" s="71"/>
      <c r="O841" s="87" t="s">
        <v>1839</v>
      </c>
      <c r="P841" s="90">
        <v>45141.896481481483</v>
      </c>
      <c r="Q841" s="87" t="s">
        <v>2662</v>
      </c>
      <c r="R841" s="87">
        <v>0</v>
      </c>
      <c r="S841" s="87">
        <v>1</v>
      </c>
      <c r="T841" s="87">
        <v>0</v>
      </c>
      <c r="U841" s="87">
        <v>0</v>
      </c>
      <c r="V841" s="87">
        <v>14</v>
      </c>
      <c r="W841" s="93" t="s">
        <v>6452</v>
      </c>
      <c r="X841" s="92" t="str">
        <f>HYPERLINK("https://diariodocomercio.com.br/economia/frente-parlamentar-melhoria-ambiente-de-negocios/")</f>
        <v>https://diariodocomercio.com.br/economia/frente-parlamentar-melhoria-ambiente-de-negocios/</v>
      </c>
      <c r="Y841" s="87" t="s">
        <v>8373</v>
      </c>
      <c r="Z841" s="87" t="s">
        <v>534</v>
      </c>
      <c r="AA841" s="87"/>
      <c r="AB841" s="87"/>
      <c r="AC841" s="93" t="s">
        <v>11459</v>
      </c>
      <c r="AD841" s="87" t="s">
        <v>11519</v>
      </c>
      <c r="AE841" s="92" t="str">
        <f>HYPERLINK("https://twitter.com/leonardo_leao3/status/1687214493602816000")</f>
        <v>https://twitter.com/leonardo_leao3/status/1687214493602816000</v>
      </c>
      <c r="AF841" s="90">
        <v>45141.896481481483</v>
      </c>
      <c r="AG841" s="99">
        <v>45141</v>
      </c>
      <c r="AH841" s="93" t="s">
        <v>12316</v>
      </c>
      <c r="AI841" s="87" t="b">
        <v>0</v>
      </c>
      <c r="AJ841" s="87"/>
      <c r="AK841" s="87"/>
      <c r="AL841" s="87"/>
      <c r="AM841" s="87"/>
      <c r="AN841" s="87"/>
      <c r="AO841" s="87"/>
      <c r="AP841" s="87"/>
      <c r="AQ841" s="87"/>
      <c r="AR841" s="87"/>
      <c r="AS841" s="87"/>
      <c r="AT841" s="87"/>
      <c r="AU841" s="87"/>
      <c r="AV841" s="92" t="str">
        <f>HYPERLINK("https://pbs.twimg.com/profile_images/1315048476972023810/zOM9ofxf_normal.jpg")</f>
        <v>https://pbs.twimg.com/profile_images/1315048476972023810/zOM9ofxf_normal.jpg</v>
      </c>
      <c r="AW841" s="93" t="s">
        <v>19085</v>
      </c>
      <c r="AX841" s="93" t="s">
        <v>19085</v>
      </c>
      <c r="AY841" s="87"/>
      <c r="AZ841" s="93" t="s">
        <v>22668</v>
      </c>
      <c r="BA841" s="93" t="s">
        <v>22668</v>
      </c>
      <c r="BB841" s="93" t="s">
        <v>22668</v>
      </c>
      <c r="BC841" s="93" t="s">
        <v>19085</v>
      </c>
      <c r="BD841" s="87">
        <v>3254994765</v>
      </c>
      <c r="BE841" s="87"/>
      <c r="BF841" s="87"/>
      <c r="BG841" s="87"/>
      <c r="BH841" s="87"/>
      <c r="BI841" s="87"/>
    </row>
    <row r="842" spans="1:61" x14ac:dyDescent="0.25">
      <c r="A842" s="63" t="s">
        <v>535</v>
      </c>
      <c r="B842" s="63" t="s">
        <v>534</v>
      </c>
      <c r="C842" s="64"/>
      <c r="D842" s="65"/>
      <c r="E842" s="66"/>
      <c r="F842" s="67"/>
      <c r="G842" s="64"/>
      <c r="H842" s="68"/>
      <c r="I842" s="69"/>
      <c r="J842" s="69"/>
      <c r="K842" s="32"/>
      <c r="L842" s="76">
        <v>842</v>
      </c>
      <c r="M842" s="76"/>
      <c r="N842" s="71"/>
      <c r="O842" s="87" t="s">
        <v>1839</v>
      </c>
      <c r="P842" s="90">
        <v>45182.505914351852</v>
      </c>
      <c r="Q842" s="87" t="s">
        <v>2663</v>
      </c>
      <c r="R842" s="87">
        <v>0</v>
      </c>
      <c r="S842" s="87">
        <v>0</v>
      </c>
      <c r="T842" s="87">
        <v>0</v>
      </c>
      <c r="U842" s="87">
        <v>0</v>
      </c>
      <c r="V842" s="87">
        <v>6</v>
      </c>
      <c r="W842" s="93" t="s">
        <v>6453</v>
      </c>
      <c r="X842" s="92" t="str">
        <f>HYPERLINK("https://diariodocomercio.com.br/economia/plano-de-negocios-saiba-como-ajustar/")</f>
        <v>https://diariodocomercio.com.br/economia/plano-de-negocios-saiba-como-ajustar/</v>
      </c>
      <c r="Y842" s="87" t="s">
        <v>8373</v>
      </c>
      <c r="Z842" s="87" t="s">
        <v>534</v>
      </c>
      <c r="AA842" s="87"/>
      <c r="AB842" s="87"/>
      <c r="AC842" s="93" t="s">
        <v>11459</v>
      </c>
      <c r="AD842" s="87" t="s">
        <v>11519</v>
      </c>
      <c r="AE842" s="92" t="str">
        <f>HYPERLINK("https://twitter.com/leonardo_leao3/status/1701930859400486962")</f>
        <v>https://twitter.com/leonardo_leao3/status/1701930859400486962</v>
      </c>
      <c r="AF842" s="90">
        <v>45182.505914351852</v>
      </c>
      <c r="AG842" s="99">
        <v>45182</v>
      </c>
      <c r="AH842" s="93" t="s">
        <v>12317</v>
      </c>
      <c r="AI842" s="87" t="b">
        <v>0</v>
      </c>
      <c r="AJ842" s="87"/>
      <c r="AK842" s="87"/>
      <c r="AL842" s="87"/>
      <c r="AM842" s="87"/>
      <c r="AN842" s="87"/>
      <c r="AO842" s="87"/>
      <c r="AP842" s="87"/>
      <c r="AQ842" s="87"/>
      <c r="AR842" s="87"/>
      <c r="AS842" s="87"/>
      <c r="AT842" s="87"/>
      <c r="AU842" s="87"/>
      <c r="AV842" s="92" t="str">
        <f>HYPERLINK("https://pbs.twimg.com/profile_images/1315048476972023810/zOM9ofxf_normal.jpg")</f>
        <v>https://pbs.twimg.com/profile_images/1315048476972023810/zOM9ofxf_normal.jpg</v>
      </c>
      <c r="AW842" s="93" t="s">
        <v>19086</v>
      </c>
      <c r="AX842" s="93" t="s">
        <v>19086</v>
      </c>
      <c r="AY842" s="87"/>
      <c r="AZ842" s="93" t="s">
        <v>22668</v>
      </c>
      <c r="BA842" s="93" t="s">
        <v>22668</v>
      </c>
      <c r="BB842" s="93" t="s">
        <v>22668</v>
      </c>
      <c r="BC842" s="93" t="s">
        <v>19086</v>
      </c>
      <c r="BD842" s="87">
        <v>3254994765</v>
      </c>
      <c r="BE842" s="87"/>
      <c r="BF842" s="87"/>
      <c r="BG842" s="87"/>
      <c r="BH842" s="87"/>
      <c r="BI842" s="87"/>
    </row>
    <row r="843" spans="1:61" x14ac:dyDescent="0.25">
      <c r="A843" s="63" t="s">
        <v>535</v>
      </c>
      <c r="B843" s="63" t="s">
        <v>534</v>
      </c>
      <c r="C843" s="64"/>
      <c r="D843" s="65"/>
      <c r="E843" s="66"/>
      <c r="F843" s="67"/>
      <c r="G843" s="64"/>
      <c r="H843" s="68"/>
      <c r="I843" s="69"/>
      <c r="J843" s="69"/>
      <c r="K843" s="32"/>
      <c r="L843" s="76">
        <v>843</v>
      </c>
      <c r="M843" s="76"/>
      <c r="N843" s="71"/>
      <c r="O843" s="87" t="s">
        <v>1839</v>
      </c>
      <c r="P843" s="90">
        <v>45190.515567129631</v>
      </c>
      <c r="Q843" s="87" t="s">
        <v>2664</v>
      </c>
      <c r="R843" s="87">
        <v>0</v>
      </c>
      <c r="S843" s="87">
        <v>1</v>
      </c>
      <c r="T843" s="87">
        <v>0</v>
      </c>
      <c r="U843" s="87">
        <v>0</v>
      </c>
      <c r="V843" s="87">
        <v>13</v>
      </c>
      <c r="W843" s="93" t="s">
        <v>6454</v>
      </c>
      <c r="X843" s="92" t="str">
        <f>HYPERLINK("https://diariodocomercio.com.br/financas/cartao-de-credito-principal-fonte-de-financiamento-pequenos-empresarios/")</f>
        <v>https://diariodocomercio.com.br/financas/cartao-de-credito-principal-fonte-de-financiamento-pequenos-empresarios/</v>
      </c>
      <c r="Y843" s="87" t="s">
        <v>8373</v>
      </c>
      <c r="Z843" s="87" t="s">
        <v>534</v>
      </c>
      <c r="AA843" s="87"/>
      <c r="AB843" s="87"/>
      <c r="AC843" s="93" t="s">
        <v>11459</v>
      </c>
      <c r="AD843" s="87" t="s">
        <v>11519</v>
      </c>
      <c r="AE843" s="92" t="str">
        <f>HYPERLINK("https://twitter.com/leonardo_leao3/status/1704833458579624171")</f>
        <v>https://twitter.com/leonardo_leao3/status/1704833458579624171</v>
      </c>
      <c r="AF843" s="90">
        <v>45190.515567129631</v>
      </c>
      <c r="AG843" s="99">
        <v>45190</v>
      </c>
      <c r="AH843" s="93" t="s">
        <v>12318</v>
      </c>
      <c r="AI843" s="87" t="b">
        <v>0</v>
      </c>
      <c r="AJ843" s="87"/>
      <c r="AK843" s="87"/>
      <c r="AL843" s="87"/>
      <c r="AM843" s="87"/>
      <c r="AN843" s="87"/>
      <c r="AO843" s="87"/>
      <c r="AP843" s="87"/>
      <c r="AQ843" s="87"/>
      <c r="AR843" s="87"/>
      <c r="AS843" s="87"/>
      <c r="AT843" s="87"/>
      <c r="AU843" s="87"/>
      <c r="AV843" s="92" t="str">
        <f>HYPERLINK("https://pbs.twimg.com/profile_images/1315048476972023810/zOM9ofxf_normal.jpg")</f>
        <v>https://pbs.twimg.com/profile_images/1315048476972023810/zOM9ofxf_normal.jpg</v>
      </c>
      <c r="AW843" s="93" t="s">
        <v>19087</v>
      </c>
      <c r="AX843" s="93" t="s">
        <v>19087</v>
      </c>
      <c r="AY843" s="87"/>
      <c r="AZ843" s="93" t="s">
        <v>22668</v>
      </c>
      <c r="BA843" s="93" t="s">
        <v>22668</v>
      </c>
      <c r="BB843" s="93" t="s">
        <v>22668</v>
      </c>
      <c r="BC843" s="93" t="s">
        <v>19087</v>
      </c>
      <c r="BD843" s="87">
        <v>3254994765</v>
      </c>
      <c r="BE843" s="87"/>
      <c r="BF843" s="87"/>
      <c r="BG843" s="87"/>
      <c r="BH843" s="87"/>
      <c r="BI843" s="87"/>
    </row>
    <row r="844" spans="1:61" x14ac:dyDescent="0.25">
      <c r="A844" s="63" t="s">
        <v>535</v>
      </c>
      <c r="B844" s="63" t="s">
        <v>534</v>
      </c>
      <c r="C844" s="64"/>
      <c r="D844" s="65"/>
      <c r="E844" s="66"/>
      <c r="F844" s="67"/>
      <c r="G844" s="64"/>
      <c r="H844" s="68"/>
      <c r="I844" s="69"/>
      <c r="J844" s="69"/>
      <c r="K844" s="32"/>
      <c r="L844" s="76">
        <v>844</v>
      </c>
      <c r="M844" s="76"/>
      <c r="N844" s="71"/>
      <c r="O844" s="87" t="s">
        <v>1839</v>
      </c>
      <c r="P844" s="90">
        <v>45185.653090277781</v>
      </c>
      <c r="Q844" s="87" t="s">
        <v>2665</v>
      </c>
      <c r="R844" s="87">
        <v>0</v>
      </c>
      <c r="S844" s="87">
        <v>0</v>
      </c>
      <c r="T844" s="87">
        <v>0</v>
      </c>
      <c r="U844" s="87">
        <v>0</v>
      </c>
      <c r="V844" s="87">
        <v>18</v>
      </c>
      <c r="W844" s="93" t="s">
        <v>6455</v>
      </c>
      <c r="X844" s="92" t="str">
        <f>HYPERLINK("https://diariodocomercio.com.br/economia/expo-favela-instituto-localiza-convida-ongs-parceiras/")</f>
        <v>https://diariodocomercio.com.br/economia/expo-favela-instituto-localiza-convida-ongs-parceiras/</v>
      </c>
      <c r="Y844" s="87" t="s">
        <v>8373</v>
      </c>
      <c r="Z844" s="87" t="s">
        <v>534</v>
      </c>
      <c r="AA844" s="87"/>
      <c r="AB844" s="87"/>
      <c r="AC844" s="93" t="s">
        <v>11459</v>
      </c>
      <c r="AD844" s="87" t="s">
        <v>11519</v>
      </c>
      <c r="AE844" s="92" t="str">
        <f>HYPERLINK("https://twitter.com/leonardo_leao3/status/1703071355405562319")</f>
        <v>https://twitter.com/leonardo_leao3/status/1703071355405562319</v>
      </c>
      <c r="AF844" s="90">
        <v>45185.653090277781</v>
      </c>
      <c r="AG844" s="99">
        <v>45185</v>
      </c>
      <c r="AH844" s="93" t="s">
        <v>12319</v>
      </c>
      <c r="AI844" s="87" t="b">
        <v>0</v>
      </c>
      <c r="AJ844" s="87"/>
      <c r="AK844" s="87"/>
      <c r="AL844" s="87"/>
      <c r="AM844" s="87"/>
      <c r="AN844" s="87"/>
      <c r="AO844" s="87"/>
      <c r="AP844" s="87"/>
      <c r="AQ844" s="87"/>
      <c r="AR844" s="87"/>
      <c r="AS844" s="87"/>
      <c r="AT844" s="87"/>
      <c r="AU844" s="87"/>
      <c r="AV844" s="92" t="str">
        <f>HYPERLINK("https://pbs.twimg.com/profile_images/1315048476972023810/zOM9ofxf_normal.jpg")</f>
        <v>https://pbs.twimg.com/profile_images/1315048476972023810/zOM9ofxf_normal.jpg</v>
      </c>
      <c r="AW844" s="93" t="s">
        <v>19088</v>
      </c>
      <c r="AX844" s="93" t="s">
        <v>19088</v>
      </c>
      <c r="AY844" s="87"/>
      <c r="AZ844" s="93" t="s">
        <v>22668</v>
      </c>
      <c r="BA844" s="93" t="s">
        <v>22668</v>
      </c>
      <c r="BB844" s="93" t="s">
        <v>22668</v>
      </c>
      <c r="BC844" s="93" t="s">
        <v>19088</v>
      </c>
      <c r="BD844" s="87">
        <v>3254994765</v>
      </c>
      <c r="BE844" s="87"/>
      <c r="BF844" s="87"/>
      <c r="BG844" s="87"/>
      <c r="BH844" s="87"/>
      <c r="BI844" s="87"/>
    </row>
    <row r="845" spans="1:61" x14ac:dyDescent="0.25">
      <c r="A845" s="63" t="s">
        <v>535</v>
      </c>
      <c r="B845" s="63" t="s">
        <v>534</v>
      </c>
      <c r="C845" s="64"/>
      <c r="D845" s="65"/>
      <c r="E845" s="66"/>
      <c r="F845" s="67"/>
      <c r="G845" s="64"/>
      <c r="H845" s="68"/>
      <c r="I845" s="69"/>
      <c r="J845" s="69"/>
      <c r="K845" s="32"/>
      <c r="L845" s="76">
        <v>845</v>
      </c>
      <c r="M845" s="76"/>
      <c r="N845" s="71"/>
      <c r="O845" s="87" t="s">
        <v>1841</v>
      </c>
      <c r="P845" s="90">
        <v>45192.88622685185</v>
      </c>
      <c r="Q845" s="87" t="s">
        <v>2666</v>
      </c>
      <c r="R845" s="87">
        <v>1</v>
      </c>
      <c r="S845" s="87">
        <v>0</v>
      </c>
      <c r="T845" s="87">
        <v>0</v>
      </c>
      <c r="U845" s="87">
        <v>0</v>
      </c>
      <c r="V845" s="87"/>
      <c r="W845" s="87"/>
      <c r="X845" s="87"/>
      <c r="Y845" s="87"/>
      <c r="Z845" s="87" t="s">
        <v>534</v>
      </c>
      <c r="AA845" s="87"/>
      <c r="AB845" s="87"/>
      <c r="AC845" s="93" t="s">
        <v>11459</v>
      </c>
      <c r="AD845" s="87" t="s">
        <v>11519</v>
      </c>
      <c r="AE845" s="92" t="str">
        <f>HYPERLINK("https://twitter.com/leonardo_leao3/status/1705692555470422467")</f>
        <v>https://twitter.com/leonardo_leao3/status/1705692555470422467</v>
      </c>
      <c r="AF845" s="90">
        <v>45192.88622685185</v>
      </c>
      <c r="AG845" s="99">
        <v>45192</v>
      </c>
      <c r="AH845" s="93" t="s">
        <v>12320</v>
      </c>
      <c r="AI845" s="87" t="b">
        <v>0</v>
      </c>
      <c r="AJ845" s="87"/>
      <c r="AK845" s="87"/>
      <c r="AL845" s="87"/>
      <c r="AM845" s="87"/>
      <c r="AN845" s="87"/>
      <c r="AO845" s="87"/>
      <c r="AP845" s="87"/>
      <c r="AQ845" s="87"/>
      <c r="AR845" s="87"/>
      <c r="AS845" s="87"/>
      <c r="AT845" s="87"/>
      <c r="AU845" s="87"/>
      <c r="AV845" s="92" t="str">
        <f>HYPERLINK("https://pbs.twimg.com/profile_images/1315048476972023810/zOM9ofxf_normal.jpg")</f>
        <v>https://pbs.twimg.com/profile_images/1315048476972023810/zOM9ofxf_normal.jpg</v>
      </c>
      <c r="AW845" s="93" t="s">
        <v>19089</v>
      </c>
      <c r="AX845" s="93" t="s">
        <v>19089</v>
      </c>
      <c r="AY845" s="87"/>
      <c r="AZ845" s="93" t="s">
        <v>22668</v>
      </c>
      <c r="BA845" s="93" t="s">
        <v>22668</v>
      </c>
      <c r="BB845" s="93" t="s">
        <v>19080</v>
      </c>
      <c r="BC845" s="93" t="s">
        <v>19080</v>
      </c>
      <c r="BD845" s="87">
        <v>3254994765</v>
      </c>
      <c r="BE845" s="87"/>
      <c r="BF845" s="87"/>
      <c r="BG845" s="87"/>
      <c r="BH845" s="87"/>
      <c r="BI845" s="87"/>
    </row>
    <row r="846" spans="1:61" x14ac:dyDescent="0.25">
      <c r="A846" s="63" t="s">
        <v>535</v>
      </c>
      <c r="B846" s="63" t="s">
        <v>534</v>
      </c>
      <c r="C846" s="64"/>
      <c r="D846" s="65"/>
      <c r="E846" s="66"/>
      <c r="F846" s="67"/>
      <c r="G846" s="64"/>
      <c r="H846" s="68"/>
      <c r="I846" s="69"/>
      <c r="J846" s="69"/>
      <c r="K846" s="32"/>
      <c r="L846" s="76">
        <v>846</v>
      </c>
      <c r="M846" s="76"/>
      <c r="N846" s="71"/>
      <c r="O846" s="87" t="s">
        <v>1839</v>
      </c>
      <c r="P846" s="90">
        <v>45140.459629629629</v>
      </c>
      <c r="Q846" s="87" t="s">
        <v>2667</v>
      </c>
      <c r="R846" s="87">
        <v>0</v>
      </c>
      <c r="S846" s="87">
        <v>0</v>
      </c>
      <c r="T846" s="87">
        <v>0</v>
      </c>
      <c r="U846" s="87">
        <v>0</v>
      </c>
      <c r="V846" s="87">
        <v>18</v>
      </c>
      <c r="W846" s="93" t="s">
        <v>6456</v>
      </c>
      <c r="X846" s="92" t="str">
        <f>HYPERLINK("https://diariodocomercio.com.br/negocios/varejo-experience-sebrae-minas-inscricoes-abertas-bh/")</f>
        <v>https://diariodocomercio.com.br/negocios/varejo-experience-sebrae-minas-inscricoes-abertas-bh/</v>
      </c>
      <c r="Y846" s="87" t="s">
        <v>8373</v>
      </c>
      <c r="Z846" s="87" t="s">
        <v>534</v>
      </c>
      <c r="AA846" s="87"/>
      <c r="AB846" s="87"/>
      <c r="AC846" s="93" t="s">
        <v>11459</v>
      </c>
      <c r="AD846" s="87" t="s">
        <v>11519</v>
      </c>
      <c r="AE846" s="92" t="str">
        <f>HYPERLINK("https://twitter.com/leonardo_leao3/status/1686693795264413696")</f>
        <v>https://twitter.com/leonardo_leao3/status/1686693795264413696</v>
      </c>
      <c r="AF846" s="90">
        <v>45140.459629629629</v>
      </c>
      <c r="AG846" s="99">
        <v>45140</v>
      </c>
      <c r="AH846" s="93" t="s">
        <v>12321</v>
      </c>
      <c r="AI846" s="87" t="b">
        <v>0</v>
      </c>
      <c r="AJ846" s="87"/>
      <c r="AK846" s="87"/>
      <c r="AL846" s="87"/>
      <c r="AM846" s="87"/>
      <c r="AN846" s="87"/>
      <c r="AO846" s="87"/>
      <c r="AP846" s="87"/>
      <c r="AQ846" s="87"/>
      <c r="AR846" s="87"/>
      <c r="AS846" s="87"/>
      <c r="AT846" s="87"/>
      <c r="AU846" s="87"/>
      <c r="AV846" s="92" t="str">
        <f>HYPERLINK("https://pbs.twimg.com/profile_images/1315048476972023810/zOM9ofxf_normal.jpg")</f>
        <v>https://pbs.twimg.com/profile_images/1315048476972023810/zOM9ofxf_normal.jpg</v>
      </c>
      <c r="AW846" s="93" t="s">
        <v>19090</v>
      </c>
      <c r="AX846" s="93" t="s">
        <v>19090</v>
      </c>
      <c r="AY846" s="87"/>
      <c r="AZ846" s="93" t="s">
        <v>22668</v>
      </c>
      <c r="BA846" s="93" t="s">
        <v>22668</v>
      </c>
      <c r="BB846" s="93" t="s">
        <v>22668</v>
      </c>
      <c r="BC846" s="93" t="s">
        <v>19090</v>
      </c>
      <c r="BD846" s="87">
        <v>3254994765</v>
      </c>
      <c r="BE846" s="87"/>
      <c r="BF846" s="87"/>
      <c r="BG846" s="87"/>
      <c r="BH846" s="87"/>
      <c r="BI846" s="87"/>
    </row>
    <row r="847" spans="1:61" x14ac:dyDescent="0.25">
      <c r="A847" s="63" t="s">
        <v>536</v>
      </c>
      <c r="B847" s="63" t="s">
        <v>536</v>
      </c>
      <c r="C847" s="64"/>
      <c r="D847" s="65"/>
      <c r="E847" s="66"/>
      <c r="F847" s="67"/>
      <c r="G847" s="64"/>
      <c r="H847" s="68"/>
      <c r="I847" s="69"/>
      <c r="J847" s="69"/>
      <c r="K847" s="32"/>
      <c r="L847" s="76">
        <v>847</v>
      </c>
      <c r="M847" s="76"/>
      <c r="N847" s="71"/>
      <c r="O847" s="87" t="s">
        <v>179</v>
      </c>
      <c r="P847" s="90">
        <v>45194.023935185185</v>
      </c>
      <c r="Q847" s="87" t="s">
        <v>2668</v>
      </c>
      <c r="R847" s="87">
        <v>0</v>
      </c>
      <c r="S847" s="87">
        <v>1</v>
      </c>
      <c r="T847" s="87">
        <v>0</v>
      </c>
      <c r="U847" s="87">
        <v>0</v>
      </c>
      <c r="V847" s="87">
        <v>9</v>
      </c>
      <c r="W847" s="93" t="s">
        <v>6457</v>
      </c>
      <c r="X847" s="87"/>
      <c r="Y847" s="87"/>
      <c r="Z847" s="87"/>
      <c r="AA847" s="87" t="s">
        <v>9140</v>
      </c>
      <c r="AB847" s="87" t="s">
        <v>11448</v>
      </c>
      <c r="AC847" s="93" t="s">
        <v>11459</v>
      </c>
      <c r="AD847" s="87" t="s">
        <v>11520</v>
      </c>
      <c r="AE847" s="92" t="str">
        <f>HYPERLINK("https://twitter.com/cleber_neris/status/1706104848351957328")</f>
        <v>https://twitter.com/cleber_neris/status/1706104848351957328</v>
      </c>
      <c r="AF847" s="90">
        <v>45194.023935185185</v>
      </c>
      <c r="AG847" s="99">
        <v>45194</v>
      </c>
      <c r="AH847" s="93" t="s">
        <v>12322</v>
      </c>
      <c r="AI847" s="87" t="b">
        <v>0</v>
      </c>
      <c r="AJ847" s="87" t="s">
        <v>15185</v>
      </c>
      <c r="AK847" s="87" t="s">
        <v>15234</v>
      </c>
      <c r="AL847" s="87" t="s">
        <v>15237</v>
      </c>
      <c r="AM847" s="87" t="s">
        <v>15257</v>
      </c>
      <c r="AN847" s="87" t="s">
        <v>15323</v>
      </c>
      <c r="AO847" s="87" t="s">
        <v>15389</v>
      </c>
      <c r="AP847" s="87" t="s">
        <v>15438</v>
      </c>
      <c r="AQ847" s="87" t="s">
        <v>15953</v>
      </c>
      <c r="AR847" s="87"/>
      <c r="AS847" s="87"/>
      <c r="AT847" s="87"/>
      <c r="AU847" s="87"/>
      <c r="AV847" s="92" t="str">
        <f>HYPERLINK("https://pbs.twimg.com/media/F61NUWyXUAAKHPw.jpg")</f>
        <v>https://pbs.twimg.com/media/F61NUWyXUAAKHPw.jpg</v>
      </c>
      <c r="AW847" s="93" t="s">
        <v>19091</v>
      </c>
      <c r="AX847" s="93" t="s">
        <v>19091</v>
      </c>
      <c r="AY847" s="87"/>
      <c r="AZ847" s="93" t="s">
        <v>22668</v>
      </c>
      <c r="BA847" s="93" t="s">
        <v>22668</v>
      </c>
      <c r="BB847" s="93" t="s">
        <v>22668</v>
      </c>
      <c r="BC847" s="93" t="s">
        <v>19091</v>
      </c>
      <c r="BD847" s="87">
        <v>138814012</v>
      </c>
      <c r="BE847" s="87"/>
      <c r="BF847" s="87"/>
      <c r="BG847" s="87"/>
      <c r="BH847" s="87"/>
      <c r="BI847" s="87"/>
    </row>
    <row r="848" spans="1:61" x14ac:dyDescent="0.25">
      <c r="A848" s="63" t="s">
        <v>537</v>
      </c>
      <c r="B848" s="63" t="s">
        <v>537</v>
      </c>
      <c r="C848" s="64"/>
      <c r="D848" s="65"/>
      <c r="E848" s="66"/>
      <c r="F848" s="67"/>
      <c r="G848" s="64"/>
      <c r="H848" s="68"/>
      <c r="I848" s="69"/>
      <c r="J848" s="69"/>
      <c r="K848" s="32"/>
      <c r="L848" s="76">
        <v>848</v>
      </c>
      <c r="M848" s="76"/>
      <c r="N848" s="71"/>
      <c r="O848" s="87" t="s">
        <v>179</v>
      </c>
      <c r="P848" s="90">
        <v>45152.178124999999</v>
      </c>
      <c r="Q848" s="87" t="s">
        <v>2669</v>
      </c>
      <c r="R848" s="87">
        <v>0</v>
      </c>
      <c r="S848" s="87">
        <v>1</v>
      </c>
      <c r="T848" s="87">
        <v>1</v>
      </c>
      <c r="U848" s="87">
        <v>0</v>
      </c>
      <c r="V848" s="87">
        <v>150</v>
      </c>
      <c r="W848" s="93" t="s">
        <v>6458</v>
      </c>
      <c r="X848" s="87"/>
      <c r="Y848" s="87"/>
      <c r="Z848" s="87"/>
      <c r="AA848" s="87" t="s">
        <v>9141</v>
      </c>
      <c r="AB848" s="87" t="s">
        <v>11447</v>
      </c>
      <c r="AC848" s="93" t="s">
        <v>11458</v>
      </c>
      <c r="AD848" s="87" t="s">
        <v>11519</v>
      </c>
      <c r="AE848" s="92" t="str">
        <f>HYPERLINK("https://twitter.com/rafaelmilagre/status/1690940434116190208")</f>
        <v>https://twitter.com/rafaelmilagre/status/1690940434116190208</v>
      </c>
      <c r="AF848" s="90">
        <v>45152.178124999999</v>
      </c>
      <c r="AG848" s="99">
        <v>45152</v>
      </c>
      <c r="AH848" s="93" t="s">
        <v>12323</v>
      </c>
      <c r="AI848" s="87" t="b">
        <v>0</v>
      </c>
      <c r="AJ848" s="87"/>
      <c r="AK848" s="87"/>
      <c r="AL848" s="87"/>
      <c r="AM848" s="87"/>
      <c r="AN848" s="87"/>
      <c r="AO848" s="87"/>
      <c r="AP848" s="87"/>
      <c r="AQ848" s="87" t="s">
        <v>15954</v>
      </c>
      <c r="AR848" s="87">
        <v>29266</v>
      </c>
      <c r="AS848" s="87"/>
      <c r="AT848" s="87"/>
      <c r="AU848" s="87"/>
      <c r="AV848" s="92" t="str">
        <f>HYPERLINK("https://pbs.twimg.com/ext_tw_video_thumb/1690940316642131968/pu/img/P8Bx49sUHKYuGw2K.jpg")</f>
        <v>https://pbs.twimg.com/ext_tw_video_thumb/1690940316642131968/pu/img/P8Bx49sUHKYuGw2K.jpg</v>
      </c>
      <c r="AW848" s="93" t="s">
        <v>19092</v>
      </c>
      <c r="AX848" s="93" t="s">
        <v>19092</v>
      </c>
      <c r="AY848" s="87"/>
      <c r="AZ848" s="93" t="s">
        <v>22668</v>
      </c>
      <c r="BA848" s="93" t="s">
        <v>22668</v>
      </c>
      <c r="BB848" s="93" t="s">
        <v>22668</v>
      </c>
      <c r="BC848" s="93" t="s">
        <v>19092</v>
      </c>
      <c r="BD848" s="87">
        <v>1363195494</v>
      </c>
      <c r="BE848" s="87"/>
      <c r="BF848" s="87"/>
      <c r="BG848" s="87"/>
      <c r="BH848" s="87"/>
      <c r="BI848" s="87"/>
    </row>
    <row r="849" spans="1:61" x14ac:dyDescent="0.25">
      <c r="A849" s="63" t="s">
        <v>538</v>
      </c>
      <c r="B849" s="63" t="s">
        <v>1653</v>
      </c>
      <c r="C849" s="64"/>
      <c r="D849" s="65"/>
      <c r="E849" s="66"/>
      <c r="F849" s="67"/>
      <c r="G849" s="64"/>
      <c r="H849" s="68"/>
      <c r="I849" s="69"/>
      <c r="J849" s="69"/>
      <c r="K849" s="32"/>
      <c r="L849" s="76">
        <v>849</v>
      </c>
      <c r="M849" s="76"/>
      <c r="N849" s="71"/>
      <c r="O849" s="87" t="s">
        <v>1839</v>
      </c>
      <c r="P849" s="90">
        <v>45168.709027777775</v>
      </c>
      <c r="Q849" s="87" t="s">
        <v>2670</v>
      </c>
      <c r="R849" s="87">
        <v>1</v>
      </c>
      <c r="S849" s="87">
        <v>1</v>
      </c>
      <c r="T849" s="87">
        <v>0</v>
      </c>
      <c r="U849" s="87">
        <v>0</v>
      </c>
      <c r="V849" s="87">
        <v>546</v>
      </c>
      <c r="W849" s="93" t="s">
        <v>5897</v>
      </c>
      <c r="X849" s="92" t="str">
        <f>HYPERLINK("https://agencia.fapesp.br/44720")</f>
        <v>https://agencia.fapesp.br/44720</v>
      </c>
      <c r="Y849" s="87" t="s">
        <v>8428</v>
      </c>
      <c r="Z849" s="87" t="s">
        <v>8573</v>
      </c>
      <c r="AA849" s="87"/>
      <c r="AB849" s="87"/>
      <c r="AC849" s="93" t="s">
        <v>11457</v>
      </c>
      <c r="AD849" s="87" t="s">
        <v>11519</v>
      </c>
      <c r="AE849" s="92" t="str">
        <f>HYPERLINK("https://twitter.com/agenciafapesp/status/1696931032610541754")</f>
        <v>https://twitter.com/agenciafapesp/status/1696931032610541754</v>
      </c>
      <c r="AF849" s="90">
        <v>45168.709027777775</v>
      </c>
      <c r="AG849" s="99">
        <v>45168</v>
      </c>
      <c r="AH849" s="93" t="s">
        <v>12324</v>
      </c>
      <c r="AI849" s="87" t="b">
        <v>0</v>
      </c>
      <c r="AJ849" s="87"/>
      <c r="AK849" s="87"/>
      <c r="AL849" s="87"/>
      <c r="AM849" s="87"/>
      <c r="AN849" s="87"/>
      <c r="AO849" s="87"/>
      <c r="AP849" s="87"/>
      <c r="AQ849" s="87"/>
      <c r="AR849" s="87"/>
      <c r="AS849" s="87"/>
      <c r="AT849" s="87"/>
      <c r="AU849" s="87"/>
      <c r="AV849" s="92" t="str">
        <f>HYPERLINK("https://pbs.twimg.com/profile_images/1075409264833900546/sZWnULi1_normal.jpg")</f>
        <v>https://pbs.twimg.com/profile_images/1075409264833900546/sZWnULi1_normal.jpg</v>
      </c>
      <c r="AW849" s="93" t="s">
        <v>19093</v>
      </c>
      <c r="AX849" s="93" t="s">
        <v>19093</v>
      </c>
      <c r="AY849" s="87"/>
      <c r="AZ849" s="93" t="s">
        <v>22668</v>
      </c>
      <c r="BA849" s="93" t="s">
        <v>22668</v>
      </c>
      <c r="BB849" s="93" t="s">
        <v>22668</v>
      </c>
      <c r="BC849" s="93" t="s">
        <v>19093</v>
      </c>
      <c r="BD849" s="87">
        <v>42399225</v>
      </c>
      <c r="BE849" s="87"/>
      <c r="BF849" s="87"/>
      <c r="BG849" s="87"/>
      <c r="BH849" s="87"/>
      <c r="BI849" s="87"/>
    </row>
    <row r="850" spans="1:61" x14ac:dyDescent="0.25">
      <c r="A850" s="63" t="s">
        <v>538</v>
      </c>
      <c r="B850" s="63" t="s">
        <v>1654</v>
      </c>
      <c r="C850" s="64"/>
      <c r="D850" s="65"/>
      <c r="E850" s="66"/>
      <c r="F850" s="67"/>
      <c r="G850" s="64"/>
      <c r="H850" s="68"/>
      <c r="I850" s="69"/>
      <c r="J850" s="69"/>
      <c r="K850" s="32"/>
      <c r="L850" s="76">
        <v>850</v>
      </c>
      <c r="M850" s="76"/>
      <c r="N850" s="71"/>
      <c r="O850" s="87" t="s">
        <v>1839</v>
      </c>
      <c r="P850" s="90">
        <v>45168.709027777775</v>
      </c>
      <c r="Q850" s="87" t="s">
        <v>2670</v>
      </c>
      <c r="R850" s="87">
        <v>1</v>
      </c>
      <c r="S850" s="87">
        <v>1</v>
      </c>
      <c r="T850" s="87">
        <v>0</v>
      </c>
      <c r="U850" s="87">
        <v>0</v>
      </c>
      <c r="V850" s="87">
        <v>546</v>
      </c>
      <c r="W850" s="93" t="s">
        <v>5897</v>
      </c>
      <c r="X850" s="92" t="str">
        <f>HYPERLINK("https://agencia.fapesp.br/44720")</f>
        <v>https://agencia.fapesp.br/44720</v>
      </c>
      <c r="Y850" s="87" t="s">
        <v>8428</v>
      </c>
      <c r="Z850" s="87" t="s">
        <v>8573</v>
      </c>
      <c r="AA850" s="87"/>
      <c r="AB850" s="87"/>
      <c r="AC850" s="93" t="s">
        <v>11457</v>
      </c>
      <c r="AD850" s="87" t="s">
        <v>11519</v>
      </c>
      <c r="AE850" s="92" t="str">
        <f>HYPERLINK("https://twitter.com/agenciafapesp/status/1696931032610541754")</f>
        <v>https://twitter.com/agenciafapesp/status/1696931032610541754</v>
      </c>
      <c r="AF850" s="90">
        <v>45168.709027777775</v>
      </c>
      <c r="AG850" s="99">
        <v>45168</v>
      </c>
      <c r="AH850" s="93" t="s">
        <v>12324</v>
      </c>
      <c r="AI850" s="87" t="b">
        <v>0</v>
      </c>
      <c r="AJ850" s="87"/>
      <c r="AK850" s="87"/>
      <c r="AL850" s="87"/>
      <c r="AM850" s="87"/>
      <c r="AN850" s="87"/>
      <c r="AO850" s="87"/>
      <c r="AP850" s="87"/>
      <c r="AQ850" s="87"/>
      <c r="AR850" s="87"/>
      <c r="AS850" s="87"/>
      <c r="AT850" s="87"/>
      <c r="AU850" s="87"/>
      <c r="AV850" s="92" t="str">
        <f>HYPERLINK("https://pbs.twimg.com/profile_images/1075409264833900546/sZWnULi1_normal.jpg")</f>
        <v>https://pbs.twimg.com/profile_images/1075409264833900546/sZWnULi1_normal.jpg</v>
      </c>
      <c r="AW850" s="93" t="s">
        <v>19093</v>
      </c>
      <c r="AX850" s="93" t="s">
        <v>19093</v>
      </c>
      <c r="AY850" s="87"/>
      <c r="AZ850" s="93" t="s">
        <v>22668</v>
      </c>
      <c r="BA850" s="93" t="s">
        <v>22668</v>
      </c>
      <c r="BB850" s="93" t="s">
        <v>22668</v>
      </c>
      <c r="BC850" s="93" t="s">
        <v>19093</v>
      </c>
      <c r="BD850" s="87">
        <v>42399225</v>
      </c>
      <c r="BE850" s="87"/>
      <c r="BF850" s="87"/>
      <c r="BG850" s="87"/>
      <c r="BH850" s="87"/>
      <c r="BI850" s="87"/>
    </row>
    <row r="851" spans="1:61" x14ac:dyDescent="0.25">
      <c r="A851" s="63" t="s">
        <v>538</v>
      </c>
      <c r="B851" s="63" t="s">
        <v>538</v>
      </c>
      <c r="C851" s="64"/>
      <c r="D851" s="65"/>
      <c r="E851" s="66"/>
      <c r="F851" s="67"/>
      <c r="G851" s="64"/>
      <c r="H851" s="68"/>
      <c r="I851" s="69"/>
      <c r="J851" s="69"/>
      <c r="K851" s="32"/>
      <c r="L851" s="76">
        <v>851</v>
      </c>
      <c r="M851" s="76"/>
      <c r="N851" s="71"/>
      <c r="O851" s="87" t="s">
        <v>179</v>
      </c>
      <c r="P851" s="90">
        <v>45167.651388888888</v>
      </c>
      <c r="Q851" s="87" t="s">
        <v>2671</v>
      </c>
      <c r="R851" s="87">
        <v>1</v>
      </c>
      <c r="S851" s="87">
        <v>2</v>
      </c>
      <c r="T851" s="87">
        <v>0</v>
      </c>
      <c r="U851" s="87">
        <v>0</v>
      </c>
      <c r="V851" s="87">
        <v>548</v>
      </c>
      <c r="W851" s="93" t="s">
        <v>6459</v>
      </c>
      <c r="X851" s="92" t="str">
        <f>HYPERLINK("https://fapesp.br/16245/")</f>
        <v>https://fapesp.br/16245/</v>
      </c>
      <c r="Y851" s="87" t="s">
        <v>8428</v>
      </c>
      <c r="Z851" s="87"/>
      <c r="AA851" s="87" t="s">
        <v>9142</v>
      </c>
      <c r="AB851" s="87" t="s">
        <v>11448</v>
      </c>
      <c r="AC851" s="93" t="s">
        <v>11457</v>
      </c>
      <c r="AD851" s="87" t="s">
        <v>11519</v>
      </c>
      <c r="AE851" s="92" t="str">
        <f>HYPERLINK("https://twitter.com/agenciafapesp/status/1696547756951937165")</f>
        <v>https://twitter.com/agenciafapesp/status/1696547756951937165</v>
      </c>
      <c r="AF851" s="90">
        <v>45167.651388888888</v>
      </c>
      <c r="AG851" s="99">
        <v>45167</v>
      </c>
      <c r="AH851" s="93" t="s">
        <v>12325</v>
      </c>
      <c r="AI851" s="87" t="b">
        <v>0</v>
      </c>
      <c r="AJ851" s="87"/>
      <c r="AK851" s="87"/>
      <c r="AL851" s="87"/>
      <c r="AM851" s="87"/>
      <c r="AN851" s="87"/>
      <c r="AO851" s="87"/>
      <c r="AP851" s="87"/>
      <c r="AQ851" s="87" t="s">
        <v>15955</v>
      </c>
      <c r="AR851" s="87"/>
      <c r="AS851" s="87"/>
      <c r="AT851" s="87"/>
      <c r="AU851" s="87"/>
      <c r="AV851" s="92" t="str">
        <f>HYPERLINK("https://pbs.twimg.com/media/F4s06jbXcAAEm-b.jpg")</f>
        <v>https://pbs.twimg.com/media/F4s06jbXcAAEm-b.jpg</v>
      </c>
      <c r="AW851" s="93" t="s">
        <v>19094</v>
      </c>
      <c r="AX851" s="93" t="s">
        <v>19094</v>
      </c>
      <c r="AY851" s="87"/>
      <c r="AZ851" s="93" t="s">
        <v>22668</v>
      </c>
      <c r="BA851" s="93" t="s">
        <v>22668</v>
      </c>
      <c r="BB851" s="93" t="s">
        <v>22668</v>
      </c>
      <c r="BC851" s="93" t="s">
        <v>19094</v>
      </c>
      <c r="BD851" s="87">
        <v>42399225</v>
      </c>
      <c r="BE851" s="87"/>
      <c r="BF851" s="87"/>
      <c r="BG851" s="87"/>
      <c r="BH851" s="87"/>
      <c r="BI851" s="87"/>
    </row>
    <row r="852" spans="1:61" x14ac:dyDescent="0.25">
      <c r="A852" s="63" t="s">
        <v>539</v>
      </c>
      <c r="B852" s="63" t="s">
        <v>539</v>
      </c>
      <c r="C852" s="64"/>
      <c r="D852" s="65"/>
      <c r="E852" s="66"/>
      <c r="F852" s="67"/>
      <c r="G852" s="64"/>
      <c r="H852" s="68"/>
      <c r="I852" s="69"/>
      <c r="J852" s="69"/>
      <c r="K852" s="32"/>
      <c r="L852" s="76">
        <v>852</v>
      </c>
      <c r="M852" s="76"/>
      <c r="N852" s="71"/>
      <c r="O852" s="87" t="s">
        <v>179</v>
      </c>
      <c r="P852" s="90">
        <v>45143.872916666667</v>
      </c>
      <c r="Q852" s="87" t="s">
        <v>2672</v>
      </c>
      <c r="R852" s="87">
        <v>0</v>
      </c>
      <c r="S852" s="87">
        <v>0</v>
      </c>
      <c r="T852" s="87">
        <v>0</v>
      </c>
      <c r="U852" s="87">
        <v>0</v>
      </c>
      <c r="V852" s="87">
        <v>1</v>
      </c>
      <c r="W852" s="93" t="s">
        <v>1737</v>
      </c>
      <c r="X852" s="92" t="str">
        <f>HYPERLINK("https://buff.ly/3OjrwGP")</f>
        <v>https://buff.ly/3OjrwGP</v>
      </c>
      <c r="Y852" s="87" t="s">
        <v>8429</v>
      </c>
      <c r="Z852" s="87"/>
      <c r="AA852" s="87"/>
      <c r="AB852" s="87"/>
      <c r="AC852" s="93" t="s">
        <v>11467</v>
      </c>
      <c r="AD852" s="87" t="s">
        <v>11519</v>
      </c>
      <c r="AE852" s="92" t="str">
        <f>HYPERLINK("https://twitter.com/freeclassific/status/1687930730263752705")</f>
        <v>https://twitter.com/freeclassific/status/1687930730263752705</v>
      </c>
      <c r="AF852" s="90">
        <v>45143.872916666667</v>
      </c>
      <c r="AG852" s="99">
        <v>45143</v>
      </c>
      <c r="AH852" s="93" t="s">
        <v>12326</v>
      </c>
      <c r="AI852" s="87" t="b">
        <v>0</v>
      </c>
      <c r="AJ852" s="87"/>
      <c r="AK852" s="87"/>
      <c r="AL852" s="87"/>
      <c r="AM852" s="87"/>
      <c r="AN852" s="87"/>
      <c r="AO852" s="87"/>
      <c r="AP852" s="87"/>
      <c r="AQ852" s="87"/>
      <c r="AR852" s="87"/>
      <c r="AS852" s="87"/>
      <c r="AT852" s="87"/>
      <c r="AU852" s="87"/>
      <c r="AV852" s="92" t="str">
        <f>HYPERLINK("https://pbs.twimg.com/profile_images/1431648743728852993/tLJ7F5Lu_normal.png")</f>
        <v>https://pbs.twimg.com/profile_images/1431648743728852993/tLJ7F5Lu_normal.png</v>
      </c>
      <c r="AW852" s="93" t="s">
        <v>19095</v>
      </c>
      <c r="AX852" s="93" t="s">
        <v>19095</v>
      </c>
      <c r="AY852" s="87"/>
      <c r="AZ852" s="93" t="s">
        <v>22668</v>
      </c>
      <c r="BA852" s="93" t="s">
        <v>22668</v>
      </c>
      <c r="BB852" s="93" t="s">
        <v>22668</v>
      </c>
      <c r="BC852" s="93" t="s">
        <v>19095</v>
      </c>
      <c r="BD852" s="87">
        <v>489723814</v>
      </c>
      <c r="BE852" s="87"/>
      <c r="BF852" s="87"/>
      <c r="BG852" s="87"/>
      <c r="BH852" s="87"/>
      <c r="BI852" s="87"/>
    </row>
    <row r="853" spans="1:61" x14ac:dyDescent="0.25">
      <c r="A853" s="63" t="s">
        <v>540</v>
      </c>
      <c r="B853" s="63" t="s">
        <v>540</v>
      </c>
      <c r="C853" s="64"/>
      <c r="D853" s="65"/>
      <c r="E853" s="66"/>
      <c r="F853" s="67"/>
      <c r="G853" s="64"/>
      <c r="H853" s="68"/>
      <c r="I853" s="69"/>
      <c r="J853" s="69"/>
      <c r="K853" s="32"/>
      <c r="L853" s="76">
        <v>853</v>
      </c>
      <c r="M853" s="76"/>
      <c r="N853" s="71"/>
      <c r="O853" s="87" t="s">
        <v>179</v>
      </c>
      <c r="P853" s="90">
        <v>45125.608495370368</v>
      </c>
      <c r="Q853" s="87" t="s">
        <v>2673</v>
      </c>
      <c r="R853" s="87">
        <v>0</v>
      </c>
      <c r="S853" s="87">
        <v>0</v>
      </c>
      <c r="T853" s="87">
        <v>0</v>
      </c>
      <c r="U853" s="87">
        <v>0</v>
      </c>
      <c r="V853" s="87">
        <v>4</v>
      </c>
      <c r="W853" s="93" t="s">
        <v>6460</v>
      </c>
      <c r="X853" s="87"/>
      <c r="Y853" s="87"/>
      <c r="Z853" s="87"/>
      <c r="AA853" s="87"/>
      <c r="AB853" s="87"/>
      <c r="AC853" s="93" t="s">
        <v>11457</v>
      </c>
      <c r="AD853" s="87" t="s">
        <v>11519</v>
      </c>
      <c r="AE853" s="92" t="str">
        <f>HYPERLINK("https://twitter.com/euhellenpereira/status/1681311925169434624")</f>
        <v>https://twitter.com/euhellenpereira/status/1681311925169434624</v>
      </c>
      <c r="AF853" s="90">
        <v>45125.608495370368</v>
      </c>
      <c r="AG853" s="99">
        <v>45125</v>
      </c>
      <c r="AH853" s="93" t="s">
        <v>12327</v>
      </c>
      <c r="AI853" s="87"/>
      <c r="AJ853" s="87"/>
      <c r="AK853" s="87"/>
      <c r="AL853" s="87"/>
      <c r="AM853" s="87"/>
      <c r="AN853" s="87"/>
      <c r="AO853" s="87"/>
      <c r="AP853" s="87"/>
      <c r="AQ853" s="87"/>
      <c r="AR853" s="87"/>
      <c r="AS853" s="87"/>
      <c r="AT853" s="87"/>
      <c r="AU853" s="87"/>
      <c r="AV853" s="92" t="str">
        <f>HYPERLINK("https://pbs.twimg.com/profile_images/1675805731671404545/v6zgwjFo_normal.jpg")</f>
        <v>https://pbs.twimg.com/profile_images/1675805731671404545/v6zgwjFo_normal.jpg</v>
      </c>
      <c r="AW853" s="93" t="s">
        <v>19096</v>
      </c>
      <c r="AX853" s="93" t="s">
        <v>19096</v>
      </c>
      <c r="AY853" s="87"/>
      <c r="AZ853" s="93" t="s">
        <v>22668</v>
      </c>
      <c r="BA853" s="93" t="s">
        <v>22668</v>
      </c>
      <c r="BB853" s="93" t="s">
        <v>22668</v>
      </c>
      <c r="BC853" s="93" t="s">
        <v>19096</v>
      </c>
      <c r="BD853" s="93" t="s">
        <v>22975</v>
      </c>
      <c r="BE853" s="87"/>
      <c r="BF853" s="87"/>
      <c r="BG853" s="87"/>
      <c r="BH853" s="87"/>
      <c r="BI853" s="87"/>
    </row>
    <row r="854" spans="1:61" x14ac:dyDescent="0.25">
      <c r="A854" s="63" t="s">
        <v>541</v>
      </c>
      <c r="B854" s="63" t="s">
        <v>541</v>
      </c>
      <c r="C854" s="64"/>
      <c r="D854" s="65"/>
      <c r="E854" s="66"/>
      <c r="F854" s="67"/>
      <c r="G854" s="64"/>
      <c r="H854" s="68"/>
      <c r="I854" s="69"/>
      <c r="J854" s="69"/>
      <c r="K854" s="32"/>
      <c r="L854" s="76">
        <v>854</v>
      </c>
      <c r="M854" s="76"/>
      <c r="N854" s="71"/>
      <c r="O854" s="87" t="s">
        <v>179</v>
      </c>
      <c r="P854" s="90">
        <v>45113.469375000001</v>
      </c>
      <c r="Q854" s="87" t="s">
        <v>2674</v>
      </c>
      <c r="R854" s="87">
        <v>0</v>
      </c>
      <c r="S854" s="87">
        <v>0</v>
      </c>
      <c r="T854" s="87">
        <v>0</v>
      </c>
      <c r="U854" s="87">
        <v>0</v>
      </c>
      <c r="V854" s="87">
        <v>6</v>
      </c>
      <c r="W854" s="93" t="s">
        <v>6461</v>
      </c>
      <c r="X854" s="87"/>
      <c r="Y854" s="87"/>
      <c r="Z854" s="87"/>
      <c r="AA854" s="87"/>
      <c r="AB854" s="87"/>
      <c r="AC854" s="93" t="s">
        <v>11458</v>
      </c>
      <c r="AD854" s="87" t="s">
        <v>11519</v>
      </c>
      <c r="AE854" s="92" t="str">
        <f>HYPERLINK("https://twitter.com/eudanielpena/status/1676912853880647680")</f>
        <v>https://twitter.com/eudanielpena/status/1676912853880647680</v>
      </c>
      <c r="AF854" s="90">
        <v>45113.469375000001</v>
      </c>
      <c r="AG854" s="99">
        <v>45113</v>
      </c>
      <c r="AH854" s="93" t="s">
        <v>12328</v>
      </c>
      <c r="AI854" s="87"/>
      <c r="AJ854" s="87"/>
      <c r="AK854" s="87"/>
      <c r="AL854" s="87"/>
      <c r="AM854" s="87"/>
      <c r="AN854" s="87"/>
      <c r="AO854" s="87"/>
      <c r="AP854" s="87"/>
      <c r="AQ854" s="87"/>
      <c r="AR854" s="87"/>
      <c r="AS854" s="87"/>
      <c r="AT854" s="87"/>
      <c r="AU854" s="87"/>
      <c r="AV854" s="92" t="str">
        <f>HYPERLINK("https://pbs.twimg.com/profile_images/1613152914171744256/7MYPxFkG_normal.jpg")</f>
        <v>https://pbs.twimg.com/profile_images/1613152914171744256/7MYPxFkG_normal.jpg</v>
      </c>
      <c r="AW854" s="93" t="s">
        <v>19097</v>
      </c>
      <c r="AX854" s="93" t="s">
        <v>19097</v>
      </c>
      <c r="AY854" s="87"/>
      <c r="AZ854" s="93" t="s">
        <v>22668</v>
      </c>
      <c r="BA854" s="93" t="s">
        <v>22668</v>
      </c>
      <c r="BB854" s="93" t="s">
        <v>22668</v>
      </c>
      <c r="BC854" s="93" t="s">
        <v>19097</v>
      </c>
      <c r="BD854" s="87">
        <v>14785591</v>
      </c>
      <c r="BE854" s="87"/>
      <c r="BF854" s="87"/>
      <c r="BG854" s="87"/>
      <c r="BH854" s="87"/>
      <c r="BI854" s="87"/>
    </row>
    <row r="855" spans="1:61" x14ac:dyDescent="0.25">
      <c r="A855" s="63" t="s">
        <v>541</v>
      </c>
      <c r="B855" s="63" t="s">
        <v>541</v>
      </c>
      <c r="C855" s="64"/>
      <c r="D855" s="65"/>
      <c r="E855" s="66"/>
      <c r="F855" s="67"/>
      <c r="G855" s="64"/>
      <c r="H855" s="68"/>
      <c r="I855" s="69"/>
      <c r="J855" s="69"/>
      <c r="K855" s="32"/>
      <c r="L855" s="76">
        <v>855</v>
      </c>
      <c r="M855" s="76"/>
      <c r="N855" s="71"/>
      <c r="O855" s="87" t="s">
        <v>179</v>
      </c>
      <c r="P855" s="90">
        <v>45112.981226851851</v>
      </c>
      <c r="Q855" s="87" t="s">
        <v>2675</v>
      </c>
      <c r="R855" s="87">
        <v>0</v>
      </c>
      <c r="S855" s="87">
        <v>2</v>
      </c>
      <c r="T855" s="87">
        <v>0</v>
      </c>
      <c r="U855" s="87">
        <v>0</v>
      </c>
      <c r="V855" s="87">
        <v>10</v>
      </c>
      <c r="W855" s="93" t="s">
        <v>6462</v>
      </c>
      <c r="X855" s="87"/>
      <c r="Y855" s="87"/>
      <c r="Z855" s="87"/>
      <c r="AA855" s="87"/>
      <c r="AB855" s="87"/>
      <c r="AC855" s="93" t="s">
        <v>11458</v>
      </c>
      <c r="AD855" s="87" t="s">
        <v>11519</v>
      </c>
      <c r="AE855" s="92" t="str">
        <f>HYPERLINK("https://twitter.com/eudanielpena/status/1676735954042642432")</f>
        <v>https://twitter.com/eudanielpena/status/1676735954042642432</v>
      </c>
      <c r="AF855" s="90">
        <v>45112.981226851851</v>
      </c>
      <c r="AG855" s="99">
        <v>45112</v>
      </c>
      <c r="AH855" s="93" t="s">
        <v>12329</v>
      </c>
      <c r="AI855" s="87"/>
      <c r="AJ855" s="87" t="s">
        <v>15186</v>
      </c>
      <c r="AK855" s="87" t="s">
        <v>15234</v>
      </c>
      <c r="AL855" s="87" t="s">
        <v>15237</v>
      </c>
      <c r="AM855" s="87" t="s">
        <v>15258</v>
      </c>
      <c r="AN855" s="87" t="s">
        <v>15324</v>
      </c>
      <c r="AO855" s="87" t="s">
        <v>15390</v>
      </c>
      <c r="AP855" s="87" t="s">
        <v>15438</v>
      </c>
      <c r="AQ855" s="87"/>
      <c r="AR855" s="87"/>
      <c r="AS855" s="87"/>
      <c r="AT855" s="87"/>
      <c r="AU855" s="87"/>
      <c r="AV855" s="92" t="str">
        <f>HYPERLINK("https://pbs.twimg.com/profile_images/1613152914171744256/7MYPxFkG_normal.jpg")</f>
        <v>https://pbs.twimg.com/profile_images/1613152914171744256/7MYPxFkG_normal.jpg</v>
      </c>
      <c r="AW855" s="93" t="s">
        <v>19098</v>
      </c>
      <c r="AX855" s="93" t="s">
        <v>19098</v>
      </c>
      <c r="AY855" s="87"/>
      <c r="AZ855" s="93" t="s">
        <v>22668</v>
      </c>
      <c r="BA855" s="93" t="s">
        <v>22668</v>
      </c>
      <c r="BB855" s="93" t="s">
        <v>22668</v>
      </c>
      <c r="BC855" s="93" t="s">
        <v>19098</v>
      </c>
      <c r="BD855" s="87">
        <v>14785591</v>
      </c>
      <c r="BE855" s="87"/>
      <c r="BF855" s="87"/>
      <c r="BG855" s="87"/>
      <c r="BH855" s="87"/>
      <c r="BI855" s="87"/>
    </row>
    <row r="856" spans="1:61" x14ac:dyDescent="0.25">
      <c r="A856" s="63" t="s">
        <v>542</v>
      </c>
      <c r="B856" s="63" t="s">
        <v>542</v>
      </c>
      <c r="C856" s="64"/>
      <c r="D856" s="65"/>
      <c r="E856" s="66"/>
      <c r="F856" s="67"/>
      <c r="G856" s="64"/>
      <c r="H856" s="68"/>
      <c r="I856" s="69"/>
      <c r="J856" s="69"/>
      <c r="K856" s="32"/>
      <c r="L856" s="76">
        <v>856</v>
      </c>
      <c r="M856" s="76"/>
      <c r="N856" s="71"/>
      <c r="O856" s="87" t="s">
        <v>179</v>
      </c>
      <c r="P856" s="90">
        <v>45185.368263888886</v>
      </c>
      <c r="Q856" s="87" t="s">
        <v>2676</v>
      </c>
      <c r="R856" s="87">
        <v>0</v>
      </c>
      <c r="S856" s="87">
        <v>0</v>
      </c>
      <c r="T856" s="87">
        <v>0</v>
      </c>
      <c r="U856" s="87">
        <v>0</v>
      </c>
      <c r="V856" s="87">
        <v>16</v>
      </c>
      <c r="W856" s="93" t="s">
        <v>6463</v>
      </c>
      <c r="X856" s="87"/>
      <c r="Y856" s="87"/>
      <c r="Z856" s="87"/>
      <c r="AA856" s="87" t="s">
        <v>9143</v>
      </c>
      <c r="AB856" s="87" t="s">
        <v>11448</v>
      </c>
      <c r="AC856" s="93" t="s">
        <v>11459</v>
      </c>
      <c r="AD856" s="87" t="s">
        <v>11519</v>
      </c>
      <c r="AE856" s="92" t="str">
        <f>HYPERLINK("https://twitter.com/yacov_mutombene/status/1702968137228943487")</f>
        <v>https://twitter.com/yacov_mutombene/status/1702968137228943487</v>
      </c>
      <c r="AF856" s="90">
        <v>45185.368263888886</v>
      </c>
      <c r="AG856" s="99">
        <v>45185</v>
      </c>
      <c r="AH856" s="93" t="s">
        <v>12330</v>
      </c>
      <c r="AI856" s="87" t="b">
        <v>1</v>
      </c>
      <c r="AJ856" s="87"/>
      <c r="AK856" s="87"/>
      <c r="AL856" s="87"/>
      <c r="AM856" s="87"/>
      <c r="AN856" s="87"/>
      <c r="AO856" s="87"/>
      <c r="AP856" s="87"/>
      <c r="AQ856" s="87" t="s">
        <v>15956</v>
      </c>
      <c r="AR856" s="87"/>
      <c r="AS856" s="87"/>
      <c r="AT856" s="87"/>
      <c r="AU856" s="87"/>
      <c r="AV856" s="92" t="str">
        <f>HYPERLINK("https://pbs.twimg.com/media/F6IofYNWcAAIxA-.jpg")</f>
        <v>https://pbs.twimg.com/media/F6IofYNWcAAIxA-.jpg</v>
      </c>
      <c r="AW856" s="93" t="s">
        <v>19099</v>
      </c>
      <c r="AX856" s="93" t="s">
        <v>19099</v>
      </c>
      <c r="AY856" s="87"/>
      <c r="AZ856" s="93" t="s">
        <v>22668</v>
      </c>
      <c r="BA856" s="93" t="s">
        <v>22668</v>
      </c>
      <c r="BB856" s="93" t="s">
        <v>22668</v>
      </c>
      <c r="BC856" s="93" t="s">
        <v>19099</v>
      </c>
      <c r="BD856" s="93" t="s">
        <v>22976</v>
      </c>
      <c r="BE856" s="87"/>
      <c r="BF856" s="87"/>
      <c r="BG856" s="87"/>
      <c r="BH856" s="87"/>
      <c r="BI856" s="87"/>
    </row>
    <row r="857" spans="1:61" x14ac:dyDescent="0.25">
      <c r="A857" s="63" t="s">
        <v>543</v>
      </c>
      <c r="B857" s="63" t="s">
        <v>543</v>
      </c>
      <c r="C857" s="64"/>
      <c r="D857" s="65"/>
      <c r="E857" s="66"/>
      <c r="F857" s="67"/>
      <c r="G857" s="64"/>
      <c r="H857" s="68"/>
      <c r="I857" s="69"/>
      <c r="J857" s="69"/>
      <c r="K857" s="32"/>
      <c r="L857" s="76">
        <v>857</v>
      </c>
      <c r="M857" s="76"/>
      <c r="N857" s="71"/>
      <c r="O857" s="87" t="s">
        <v>1840</v>
      </c>
      <c r="P857" s="90">
        <v>45145.773553240739</v>
      </c>
      <c r="Q857" s="87" t="s">
        <v>2677</v>
      </c>
      <c r="R857" s="87">
        <v>0</v>
      </c>
      <c r="S857" s="87">
        <v>0</v>
      </c>
      <c r="T857" s="87">
        <v>0</v>
      </c>
      <c r="U857" s="87">
        <v>0</v>
      </c>
      <c r="V857" s="87">
        <v>14</v>
      </c>
      <c r="W857" s="93" t="s">
        <v>6464</v>
      </c>
      <c r="X857" s="87"/>
      <c r="Y857" s="87"/>
      <c r="Z857" s="87"/>
      <c r="AA857" s="87" t="s">
        <v>9144</v>
      </c>
      <c r="AB857" s="87" t="s">
        <v>11451</v>
      </c>
      <c r="AC857" s="93" t="s">
        <v>11464</v>
      </c>
      <c r="AD857" s="87" t="s">
        <v>11519</v>
      </c>
      <c r="AE857" s="92" t="str">
        <f>HYPERLINK("https://twitter.com/sebraegoias/status/1688619497316311040")</f>
        <v>https://twitter.com/sebraegoias/status/1688619497316311040</v>
      </c>
      <c r="AF857" s="90">
        <v>45145.773553240739</v>
      </c>
      <c r="AG857" s="99">
        <v>45145</v>
      </c>
      <c r="AH857" s="93" t="s">
        <v>12331</v>
      </c>
      <c r="AI857" s="87" t="b">
        <v>0</v>
      </c>
      <c r="AJ857" s="87"/>
      <c r="AK857" s="87"/>
      <c r="AL857" s="87"/>
      <c r="AM857" s="87"/>
      <c r="AN857" s="87"/>
      <c r="AO857" s="87"/>
      <c r="AP857" s="87"/>
      <c r="AQ857" s="87" t="s">
        <v>15957</v>
      </c>
      <c r="AR857" s="87"/>
      <c r="AS857" s="87"/>
      <c r="AT857" s="87"/>
      <c r="AU857" s="87"/>
      <c r="AV857" s="92" t="str">
        <f>HYPERLINK("https://pbs.twimg.com/media/F28uUSgW4AEjtwO.png")</f>
        <v>https://pbs.twimg.com/media/F28uUSgW4AEjtwO.png</v>
      </c>
      <c r="AW857" s="93" t="s">
        <v>19100</v>
      </c>
      <c r="AX857" s="93" t="s">
        <v>22330</v>
      </c>
      <c r="AY857" s="93" t="s">
        <v>22540</v>
      </c>
      <c r="AZ857" s="93" t="s">
        <v>22691</v>
      </c>
      <c r="BA857" s="93" t="s">
        <v>22668</v>
      </c>
      <c r="BB857" s="93" t="s">
        <v>22668</v>
      </c>
      <c r="BC857" s="93" t="s">
        <v>22691</v>
      </c>
      <c r="BD857" s="87">
        <v>56697728</v>
      </c>
      <c r="BE857" s="87"/>
      <c r="BF857" s="87"/>
      <c r="BG857" s="87"/>
      <c r="BH857" s="87"/>
      <c r="BI857" s="87"/>
    </row>
    <row r="858" spans="1:61" x14ac:dyDescent="0.25">
      <c r="A858" s="63" t="s">
        <v>543</v>
      </c>
      <c r="B858" s="63" t="s">
        <v>543</v>
      </c>
      <c r="C858" s="64"/>
      <c r="D858" s="65"/>
      <c r="E858" s="66"/>
      <c r="F858" s="67"/>
      <c r="G858" s="64"/>
      <c r="H858" s="68"/>
      <c r="I858" s="69"/>
      <c r="J858" s="69"/>
      <c r="K858" s="32"/>
      <c r="L858" s="76">
        <v>858</v>
      </c>
      <c r="M858" s="76"/>
      <c r="N858" s="71"/>
      <c r="O858" s="87" t="s">
        <v>179</v>
      </c>
      <c r="P858" s="90">
        <v>45176.665509259263</v>
      </c>
      <c r="Q858" s="87" t="s">
        <v>2678</v>
      </c>
      <c r="R858" s="87">
        <v>0</v>
      </c>
      <c r="S858" s="87">
        <v>0</v>
      </c>
      <c r="T858" s="87">
        <v>0</v>
      </c>
      <c r="U858" s="87">
        <v>0</v>
      </c>
      <c r="V858" s="87">
        <v>26</v>
      </c>
      <c r="W858" s="93" t="s">
        <v>6465</v>
      </c>
      <c r="X858" s="92" t="str">
        <f>HYPERLINK("http://bit.ly/CursosONlineSebrae")</f>
        <v>http://bit.ly/CursosONlineSebrae</v>
      </c>
      <c r="Y858" s="87" t="s">
        <v>8374</v>
      </c>
      <c r="Z858" s="87"/>
      <c r="AA858" s="87" t="s">
        <v>9145</v>
      </c>
      <c r="AB858" s="87" t="s">
        <v>11449</v>
      </c>
      <c r="AC858" s="93" t="s">
        <v>11457</v>
      </c>
      <c r="AD858" s="87" t="s">
        <v>11519</v>
      </c>
      <c r="AE858" s="92" t="str">
        <f>HYPERLINK("https://twitter.com/sebraegoias/status/1699814366785278451")</f>
        <v>https://twitter.com/sebraegoias/status/1699814366785278451</v>
      </c>
      <c r="AF858" s="90">
        <v>45176.665509259263</v>
      </c>
      <c r="AG858" s="99">
        <v>45176</v>
      </c>
      <c r="AH858" s="93" t="s">
        <v>12332</v>
      </c>
      <c r="AI858" s="87" t="b">
        <v>0</v>
      </c>
      <c r="AJ858" s="87"/>
      <c r="AK858" s="87"/>
      <c r="AL858" s="87"/>
      <c r="AM858" s="87"/>
      <c r="AN858" s="87"/>
      <c r="AO858" s="87"/>
      <c r="AP858" s="87"/>
      <c r="AQ858" s="87" t="s">
        <v>15958</v>
      </c>
      <c r="AR858" s="87"/>
      <c r="AS858" s="87"/>
      <c r="AT858" s="87"/>
      <c r="AU858" s="87"/>
      <c r="AV858" s="92" t="str">
        <f>HYPERLINK("https://pbs.twimg.com/media/F5b0I4RWUAAbjxH.jpg")</f>
        <v>https://pbs.twimg.com/media/F5b0I4RWUAAbjxH.jpg</v>
      </c>
      <c r="AW858" s="93" t="s">
        <v>19101</v>
      </c>
      <c r="AX858" s="93" t="s">
        <v>19101</v>
      </c>
      <c r="AY858" s="87"/>
      <c r="AZ858" s="93" t="s">
        <v>22668</v>
      </c>
      <c r="BA858" s="93" t="s">
        <v>22668</v>
      </c>
      <c r="BB858" s="93" t="s">
        <v>22668</v>
      </c>
      <c r="BC858" s="93" t="s">
        <v>19101</v>
      </c>
      <c r="BD858" s="87">
        <v>56697728</v>
      </c>
      <c r="BE858" s="87"/>
      <c r="BF858" s="87"/>
      <c r="BG858" s="87"/>
      <c r="BH858" s="87"/>
      <c r="BI858" s="87"/>
    </row>
    <row r="859" spans="1:61" x14ac:dyDescent="0.25">
      <c r="A859" s="63" t="s">
        <v>543</v>
      </c>
      <c r="B859" s="63" t="s">
        <v>543</v>
      </c>
      <c r="C859" s="64"/>
      <c r="D859" s="65"/>
      <c r="E859" s="66"/>
      <c r="F859" s="67"/>
      <c r="G859" s="64"/>
      <c r="H859" s="68"/>
      <c r="I859" s="69"/>
      <c r="J859" s="69"/>
      <c r="K859" s="32"/>
      <c r="L859" s="76">
        <v>859</v>
      </c>
      <c r="M859" s="76"/>
      <c r="N859" s="71"/>
      <c r="O859" s="87" t="s">
        <v>179</v>
      </c>
      <c r="P859" s="90">
        <v>45170.114398148151</v>
      </c>
      <c r="Q859" s="87" t="s">
        <v>2679</v>
      </c>
      <c r="R859" s="87">
        <v>0</v>
      </c>
      <c r="S859" s="87">
        <v>1</v>
      </c>
      <c r="T859" s="87">
        <v>0</v>
      </c>
      <c r="U859" s="87">
        <v>0</v>
      </c>
      <c r="V859" s="87">
        <v>43</v>
      </c>
      <c r="W859" s="93" t="s">
        <v>6465</v>
      </c>
      <c r="X859" s="92" t="str">
        <f>HYPERLINK("http://bit.ly/CursosONlineSebrae")</f>
        <v>http://bit.ly/CursosONlineSebrae</v>
      </c>
      <c r="Y859" s="87" t="s">
        <v>8374</v>
      </c>
      <c r="Z859" s="87"/>
      <c r="AA859" s="87" t="s">
        <v>9146</v>
      </c>
      <c r="AB859" s="87" t="s">
        <v>11449</v>
      </c>
      <c r="AC859" s="93" t="s">
        <v>11457</v>
      </c>
      <c r="AD859" s="87" t="s">
        <v>11519</v>
      </c>
      <c r="AE859" s="92" t="str">
        <f>HYPERLINK("https://twitter.com/sebraegoias/status/1697440321183858697")</f>
        <v>https://twitter.com/sebraegoias/status/1697440321183858697</v>
      </c>
      <c r="AF859" s="90">
        <v>45170.114398148151</v>
      </c>
      <c r="AG859" s="99">
        <v>45170</v>
      </c>
      <c r="AH859" s="93" t="s">
        <v>12333</v>
      </c>
      <c r="AI859" s="87" t="b">
        <v>0</v>
      </c>
      <c r="AJ859" s="87"/>
      <c r="AK859" s="87"/>
      <c r="AL859" s="87"/>
      <c r="AM859" s="87"/>
      <c r="AN859" s="87"/>
      <c r="AO859" s="87"/>
      <c r="AP859" s="87"/>
      <c r="AQ859" s="87" t="s">
        <v>15959</v>
      </c>
      <c r="AR859" s="87"/>
      <c r="AS859" s="87"/>
      <c r="AT859" s="87"/>
      <c r="AU859" s="87"/>
      <c r="AV859" s="92" t="str">
        <f>HYPERLINK("https://pbs.twimg.com/media/F46E3bPXIAAlLKG.jpg")</f>
        <v>https://pbs.twimg.com/media/F46E3bPXIAAlLKG.jpg</v>
      </c>
      <c r="AW859" s="93" t="s">
        <v>19102</v>
      </c>
      <c r="AX859" s="93" t="s">
        <v>19102</v>
      </c>
      <c r="AY859" s="87"/>
      <c r="AZ859" s="93" t="s">
        <v>22668</v>
      </c>
      <c r="BA859" s="93" t="s">
        <v>22668</v>
      </c>
      <c r="BB859" s="93" t="s">
        <v>22668</v>
      </c>
      <c r="BC859" s="93" t="s">
        <v>19102</v>
      </c>
      <c r="BD859" s="87">
        <v>56697728</v>
      </c>
      <c r="BE859" s="87"/>
      <c r="BF859" s="87"/>
      <c r="BG859" s="87"/>
      <c r="BH859" s="87"/>
      <c r="BI859" s="87"/>
    </row>
    <row r="860" spans="1:61" x14ac:dyDescent="0.25">
      <c r="A860" s="63" t="s">
        <v>543</v>
      </c>
      <c r="B860" s="63" t="s">
        <v>543</v>
      </c>
      <c r="C860" s="64"/>
      <c r="D860" s="65"/>
      <c r="E860" s="66"/>
      <c r="F860" s="67"/>
      <c r="G860" s="64"/>
      <c r="H860" s="68"/>
      <c r="I860" s="69"/>
      <c r="J860" s="69"/>
      <c r="K860" s="32"/>
      <c r="L860" s="76">
        <v>860</v>
      </c>
      <c r="M860" s="76"/>
      <c r="N860" s="71"/>
      <c r="O860" s="87" t="s">
        <v>179</v>
      </c>
      <c r="P860" s="90">
        <v>45187.727939814817</v>
      </c>
      <c r="Q860" s="87" t="s">
        <v>2680</v>
      </c>
      <c r="R860" s="87">
        <v>1</v>
      </c>
      <c r="S860" s="87">
        <v>1</v>
      </c>
      <c r="T860" s="87">
        <v>0</v>
      </c>
      <c r="U860" s="87">
        <v>0</v>
      </c>
      <c r="V860" s="87">
        <v>86</v>
      </c>
      <c r="W860" s="93" t="s">
        <v>6464</v>
      </c>
      <c r="X860" s="87"/>
      <c r="Y860" s="87"/>
      <c r="Z860" s="87"/>
      <c r="AA860" s="87" t="s">
        <v>9147</v>
      </c>
      <c r="AB860" s="87" t="s">
        <v>11447</v>
      </c>
      <c r="AC860" s="93" t="s">
        <v>11457</v>
      </c>
      <c r="AD860" s="87" t="s">
        <v>11519</v>
      </c>
      <c r="AE860" s="92" t="str">
        <f>HYPERLINK("https://twitter.com/sebraegoias/status/1703823255432294479")</f>
        <v>https://twitter.com/sebraegoias/status/1703823255432294479</v>
      </c>
      <c r="AF860" s="90">
        <v>45187.727939814817</v>
      </c>
      <c r="AG860" s="99">
        <v>45187</v>
      </c>
      <c r="AH860" s="93" t="s">
        <v>12334</v>
      </c>
      <c r="AI860" s="87" t="b">
        <v>0</v>
      </c>
      <c r="AJ860" s="87"/>
      <c r="AK860" s="87"/>
      <c r="AL860" s="87"/>
      <c r="AM860" s="87"/>
      <c r="AN860" s="87"/>
      <c r="AO860" s="87"/>
      <c r="AP860" s="87"/>
      <c r="AQ860" s="87" t="s">
        <v>15960</v>
      </c>
      <c r="AR860" s="87">
        <v>15557</v>
      </c>
      <c r="AS860" s="87"/>
      <c r="AT860" s="87"/>
      <c r="AU860" s="87"/>
      <c r="AV860" s="92" t="str">
        <f>HYPERLINK("https://pbs.twimg.com/ext_tw_video_thumb/1703823091971829760/pu/img/yCVjLn4Sbe2Q9C3X.jpg")</f>
        <v>https://pbs.twimg.com/ext_tw_video_thumb/1703823091971829760/pu/img/yCVjLn4Sbe2Q9C3X.jpg</v>
      </c>
      <c r="AW860" s="93" t="s">
        <v>19103</v>
      </c>
      <c r="AX860" s="93" t="s">
        <v>19103</v>
      </c>
      <c r="AY860" s="87"/>
      <c r="AZ860" s="93" t="s">
        <v>22668</v>
      </c>
      <c r="BA860" s="93" t="s">
        <v>22668</v>
      </c>
      <c r="BB860" s="93" t="s">
        <v>22668</v>
      </c>
      <c r="BC860" s="93" t="s">
        <v>19103</v>
      </c>
      <c r="BD860" s="87">
        <v>56697728</v>
      </c>
      <c r="BE860" s="87"/>
      <c r="BF860" s="87"/>
      <c r="BG860" s="87"/>
      <c r="BH860" s="87"/>
      <c r="BI860" s="87"/>
    </row>
    <row r="861" spans="1:61" x14ac:dyDescent="0.25">
      <c r="A861" s="63" t="s">
        <v>543</v>
      </c>
      <c r="B861" s="63" t="s">
        <v>543</v>
      </c>
      <c r="C861" s="64"/>
      <c r="D861" s="65"/>
      <c r="E861" s="66"/>
      <c r="F861" s="67"/>
      <c r="G861" s="64"/>
      <c r="H861" s="68"/>
      <c r="I861" s="69"/>
      <c r="J861" s="69"/>
      <c r="K861" s="32"/>
      <c r="L861" s="76">
        <v>861</v>
      </c>
      <c r="M861" s="76"/>
      <c r="N861" s="71"/>
      <c r="O861" s="87" t="s">
        <v>179</v>
      </c>
      <c r="P861" s="90">
        <v>45130.500011574077</v>
      </c>
      <c r="Q861" s="87" t="s">
        <v>2681</v>
      </c>
      <c r="R861" s="87">
        <v>0</v>
      </c>
      <c r="S861" s="87">
        <v>0</v>
      </c>
      <c r="T861" s="87">
        <v>0</v>
      </c>
      <c r="U861" s="87">
        <v>0</v>
      </c>
      <c r="V861" s="87">
        <v>60</v>
      </c>
      <c r="W861" s="93" t="s">
        <v>6464</v>
      </c>
      <c r="X861" s="87"/>
      <c r="Y861" s="87"/>
      <c r="Z861" s="87"/>
      <c r="AA861" s="87" t="s">
        <v>9148</v>
      </c>
      <c r="AB861" s="87" t="s">
        <v>11447</v>
      </c>
      <c r="AC861" s="93" t="s">
        <v>11464</v>
      </c>
      <c r="AD861" s="87" t="s">
        <v>11519</v>
      </c>
      <c r="AE861" s="92" t="str">
        <f>HYPERLINK("https://twitter.com/sebraegoias/status/1683084550879031298")</f>
        <v>https://twitter.com/sebraegoias/status/1683084550879031298</v>
      </c>
      <c r="AF861" s="90">
        <v>45130.500011574077</v>
      </c>
      <c r="AG861" s="99">
        <v>45130</v>
      </c>
      <c r="AH861" s="93" t="s">
        <v>12091</v>
      </c>
      <c r="AI861" s="87" t="b">
        <v>0</v>
      </c>
      <c r="AJ861" s="87"/>
      <c r="AK861" s="87"/>
      <c r="AL861" s="87"/>
      <c r="AM861" s="87"/>
      <c r="AN861" s="87"/>
      <c r="AO861" s="87"/>
      <c r="AP861" s="87"/>
      <c r="AQ861" s="87" t="s">
        <v>15961</v>
      </c>
      <c r="AR861" s="87">
        <v>89280</v>
      </c>
      <c r="AS861" s="87"/>
      <c r="AT861" s="87"/>
      <c r="AU861" s="87"/>
      <c r="AV861" s="92" t="str">
        <f>HYPERLINK("https://pbs.twimg.com/ext_tw_video_thumb/1682556636743839744/pu/img/IcVluTg3g4DyAgIa.jpg")</f>
        <v>https://pbs.twimg.com/ext_tw_video_thumb/1682556636743839744/pu/img/IcVluTg3g4DyAgIa.jpg</v>
      </c>
      <c r="AW861" s="93" t="s">
        <v>19104</v>
      </c>
      <c r="AX861" s="93" t="s">
        <v>19104</v>
      </c>
      <c r="AY861" s="87"/>
      <c r="AZ861" s="93" t="s">
        <v>22668</v>
      </c>
      <c r="BA861" s="93" t="s">
        <v>22668</v>
      </c>
      <c r="BB861" s="93" t="s">
        <v>22668</v>
      </c>
      <c r="BC861" s="93" t="s">
        <v>19104</v>
      </c>
      <c r="BD861" s="87">
        <v>56697728</v>
      </c>
      <c r="BE861" s="87"/>
      <c r="BF861" s="87"/>
      <c r="BG861" s="87"/>
      <c r="BH861" s="87"/>
      <c r="BI861" s="87"/>
    </row>
    <row r="862" spans="1:61" x14ac:dyDescent="0.25">
      <c r="A862" s="63" t="s">
        <v>543</v>
      </c>
      <c r="B862" s="63" t="s">
        <v>543</v>
      </c>
      <c r="C862" s="64"/>
      <c r="D862" s="65"/>
      <c r="E862" s="66"/>
      <c r="F862" s="67"/>
      <c r="G862" s="64"/>
      <c r="H862" s="68"/>
      <c r="I862" s="69"/>
      <c r="J862" s="69"/>
      <c r="K862" s="32"/>
      <c r="L862" s="76">
        <v>862</v>
      </c>
      <c r="M862" s="76"/>
      <c r="N862" s="71"/>
      <c r="O862" s="87" t="s">
        <v>179</v>
      </c>
      <c r="P862" s="90">
        <v>45127.748576388891</v>
      </c>
      <c r="Q862" s="87" t="s">
        <v>2682</v>
      </c>
      <c r="R862" s="87">
        <v>0</v>
      </c>
      <c r="S862" s="87">
        <v>0</v>
      </c>
      <c r="T862" s="87">
        <v>0</v>
      </c>
      <c r="U862" s="87">
        <v>0</v>
      </c>
      <c r="V862" s="87">
        <v>24</v>
      </c>
      <c r="W862" s="93" t="s">
        <v>6465</v>
      </c>
      <c r="X862" s="92" t="str">
        <f>HYPERLINK("http://bit.ly/CursosONlineSebrae")</f>
        <v>http://bit.ly/CursosONlineSebrae</v>
      </c>
      <c r="Y862" s="87" t="s">
        <v>8374</v>
      </c>
      <c r="Z862" s="87"/>
      <c r="AA862" s="87" t="s">
        <v>9149</v>
      </c>
      <c r="AB862" s="87" t="s">
        <v>11449</v>
      </c>
      <c r="AC862" s="93" t="s">
        <v>11464</v>
      </c>
      <c r="AD862" s="87" t="s">
        <v>11519</v>
      </c>
      <c r="AE862" s="92" t="str">
        <f>HYPERLINK("https://twitter.com/sebraegoias/status/1682087463643127812")</f>
        <v>https://twitter.com/sebraegoias/status/1682087463643127812</v>
      </c>
      <c r="AF862" s="90">
        <v>45127.748576388891</v>
      </c>
      <c r="AG862" s="99">
        <v>45127</v>
      </c>
      <c r="AH862" s="93" t="s">
        <v>12335</v>
      </c>
      <c r="AI862" s="87" t="b">
        <v>0</v>
      </c>
      <c r="AJ862" s="87"/>
      <c r="AK862" s="87"/>
      <c r="AL862" s="87"/>
      <c r="AM862" s="87"/>
      <c r="AN862" s="87"/>
      <c r="AO862" s="87"/>
      <c r="AP862" s="87"/>
      <c r="AQ862" s="87" t="s">
        <v>15962</v>
      </c>
      <c r="AR862" s="87"/>
      <c r="AS862" s="87"/>
      <c r="AT862" s="87"/>
      <c r="AU862" s="87"/>
      <c r="AV862" s="92" t="str">
        <f>HYPERLINK("https://pbs.twimg.com/media/F1f5OgRXoAANIS1.jpg")</f>
        <v>https://pbs.twimg.com/media/F1f5OgRXoAANIS1.jpg</v>
      </c>
      <c r="AW862" s="93" t="s">
        <v>19105</v>
      </c>
      <c r="AX862" s="93" t="s">
        <v>19105</v>
      </c>
      <c r="AY862" s="87"/>
      <c r="AZ862" s="93" t="s">
        <v>22668</v>
      </c>
      <c r="BA862" s="93" t="s">
        <v>22668</v>
      </c>
      <c r="BB862" s="93" t="s">
        <v>22668</v>
      </c>
      <c r="BC862" s="93" t="s">
        <v>19105</v>
      </c>
      <c r="BD862" s="87">
        <v>56697728</v>
      </c>
      <c r="BE862" s="87"/>
      <c r="BF862" s="87"/>
      <c r="BG862" s="87"/>
      <c r="BH862" s="87"/>
      <c r="BI862" s="87"/>
    </row>
    <row r="863" spans="1:61" x14ac:dyDescent="0.25">
      <c r="A863" s="63" t="s">
        <v>543</v>
      </c>
      <c r="B863" s="63" t="s">
        <v>543</v>
      </c>
      <c r="C863" s="64"/>
      <c r="D863" s="65"/>
      <c r="E863" s="66"/>
      <c r="F863" s="67"/>
      <c r="G863" s="64"/>
      <c r="H863" s="68"/>
      <c r="I863" s="69"/>
      <c r="J863" s="69"/>
      <c r="K863" s="32"/>
      <c r="L863" s="76">
        <v>863</v>
      </c>
      <c r="M863" s="76"/>
      <c r="N863" s="71"/>
      <c r="O863" s="87" t="s">
        <v>179</v>
      </c>
      <c r="P863" s="90">
        <v>45184.000023148146</v>
      </c>
      <c r="Q863" s="87" t="s">
        <v>2683</v>
      </c>
      <c r="R863" s="87">
        <v>0</v>
      </c>
      <c r="S863" s="87">
        <v>0</v>
      </c>
      <c r="T863" s="87">
        <v>0</v>
      </c>
      <c r="U863" s="87">
        <v>0</v>
      </c>
      <c r="V863" s="87">
        <v>22</v>
      </c>
      <c r="W863" s="93" t="s">
        <v>6465</v>
      </c>
      <c r="X863" s="92" t="str">
        <f>HYPERLINK("http://bit.ly/CursosONlineSebrae")</f>
        <v>http://bit.ly/CursosONlineSebrae</v>
      </c>
      <c r="Y863" s="87" t="s">
        <v>8374</v>
      </c>
      <c r="Z863" s="87"/>
      <c r="AA863" s="87" t="s">
        <v>9150</v>
      </c>
      <c r="AB863" s="87" t="s">
        <v>11449</v>
      </c>
      <c r="AC863" s="93" t="s">
        <v>11457</v>
      </c>
      <c r="AD863" s="87" t="s">
        <v>11519</v>
      </c>
      <c r="AE863" s="92" t="str">
        <f>HYPERLINK("https://twitter.com/sebraegoias/status/1702472303890870673")</f>
        <v>https://twitter.com/sebraegoias/status/1702472303890870673</v>
      </c>
      <c r="AF863" s="90">
        <v>45184.000023148146</v>
      </c>
      <c r="AG863" s="99">
        <v>45184</v>
      </c>
      <c r="AH863" s="93" t="s">
        <v>12336</v>
      </c>
      <c r="AI863" s="87" t="b">
        <v>0</v>
      </c>
      <c r="AJ863" s="87"/>
      <c r="AK863" s="87"/>
      <c r="AL863" s="87"/>
      <c r="AM863" s="87"/>
      <c r="AN863" s="87"/>
      <c r="AO863" s="87"/>
      <c r="AP863" s="87"/>
      <c r="AQ863" s="87" t="s">
        <v>15963</v>
      </c>
      <c r="AR863" s="87"/>
      <c r="AS863" s="87"/>
      <c r="AT863" s="87"/>
      <c r="AU863" s="87"/>
      <c r="AV863" s="92" t="str">
        <f>HYPERLINK("https://pbs.twimg.com/media/F6BPc-lX0AAZhuD.jpg")</f>
        <v>https://pbs.twimg.com/media/F6BPc-lX0AAZhuD.jpg</v>
      </c>
      <c r="AW863" s="93" t="s">
        <v>19106</v>
      </c>
      <c r="AX863" s="93" t="s">
        <v>19106</v>
      </c>
      <c r="AY863" s="87"/>
      <c r="AZ863" s="93" t="s">
        <v>22668</v>
      </c>
      <c r="BA863" s="93" t="s">
        <v>22668</v>
      </c>
      <c r="BB863" s="93" t="s">
        <v>22668</v>
      </c>
      <c r="BC863" s="93" t="s">
        <v>19106</v>
      </c>
      <c r="BD863" s="87">
        <v>56697728</v>
      </c>
      <c r="BE863" s="87"/>
      <c r="BF863" s="87"/>
      <c r="BG863" s="87"/>
      <c r="BH863" s="87"/>
      <c r="BI863" s="87"/>
    </row>
    <row r="864" spans="1:61" x14ac:dyDescent="0.25">
      <c r="A864" s="63" t="s">
        <v>543</v>
      </c>
      <c r="B864" s="63" t="s">
        <v>543</v>
      </c>
      <c r="C864" s="64"/>
      <c r="D864" s="65"/>
      <c r="E864" s="66"/>
      <c r="F864" s="67"/>
      <c r="G864" s="64"/>
      <c r="H864" s="68"/>
      <c r="I864" s="69"/>
      <c r="J864" s="69"/>
      <c r="K864" s="32"/>
      <c r="L864" s="76">
        <v>864</v>
      </c>
      <c r="M864" s="76"/>
      <c r="N864" s="71"/>
      <c r="O864" s="87" t="s">
        <v>1840</v>
      </c>
      <c r="P864" s="90">
        <v>45187.554236111115</v>
      </c>
      <c r="Q864" s="87" t="s">
        <v>2684</v>
      </c>
      <c r="R864" s="87">
        <v>0</v>
      </c>
      <c r="S864" s="87">
        <v>0</v>
      </c>
      <c r="T864" s="87">
        <v>0</v>
      </c>
      <c r="U864" s="87">
        <v>0</v>
      </c>
      <c r="V864" s="87">
        <v>8</v>
      </c>
      <c r="W864" s="93" t="s">
        <v>6464</v>
      </c>
      <c r="X864" s="87"/>
      <c r="Y864" s="87"/>
      <c r="Z864" s="87"/>
      <c r="AA864" s="87" t="s">
        <v>9151</v>
      </c>
      <c r="AB864" s="87" t="s">
        <v>11448</v>
      </c>
      <c r="AC864" s="93" t="s">
        <v>11457</v>
      </c>
      <c r="AD864" s="87" t="s">
        <v>11519</v>
      </c>
      <c r="AE864" s="92" t="str">
        <f>HYPERLINK("https://twitter.com/sebraegoias/status/1703760307431014656")</f>
        <v>https://twitter.com/sebraegoias/status/1703760307431014656</v>
      </c>
      <c r="AF864" s="90">
        <v>45187.554236111115</v>
      </c>
      <c r="AG864" s="99">
        <v>45187</v>
      </c>
      <c r="AH864" s="93" t="s">
        <v>12337</v>
      </c>
      <c r="AI864" s="87" t="b">
        <v>0</v>
      </c>
      <c r="AJ864" s="87"/>
      <c r="AK864" s="87"/>
      <c r="AL864" s="87"/>
      <c r="AM864" s="87"/>
      <c r="AN864" s="87"/>
      <c r="AO864" s="87"/>
      <c r="AP864" s="87"/>
      <c r="AQ864" s="87" t="s">
        <v>15964</v>
      </c>
      <c r="AR864" s="87"/>
      <c r="AS864" s="87"/>
      <c r="AT864" s="87"/>
      <c r="AU864" s="87"/>
      <c r="AV864" s="92" t="str">
        <f>HYPERLINK("https://pbs.twimg.com/media/F6T47vlW0AAySyl.png")</f>
        <v>https://pbs.twimg.com/media/F6T47vlW0AAySyl.png</v>
      </c>
      <c r="AW864" s="93" t="s">
        <v>19107</v>
      </c>
      <c r="AX864" s="93" t="s">
        <v>22331</v>
      </c>
      <c r="AY864" s="93" t="s">
        <v>22540</v>
      </c>
      <c r="AZ864" s="93" t="s">
        <v>22692</v>
      </c>
      <c r="BA864" s="93" t="s">
        <v>22668</v>
      </c>
      <c r="BB864" s="93" t="s">
        <v>22668</v>
      </c>
      <c r="BC864" s="93" t="s">
        <v>22692</v>
      </c>
      <c r="BD864" s="87">
        <v>56697728</v>
      </c>
      <c r="BE864" s="87"/>
      <c r="BF864" s="87"/>
      <c r="BG864" s="87"/>
      <c r="BH864" s="87"/>
      <c r="BI864" s="87"/>
    </row>
    <row r="865" spans="1:61" x14ac:dyDescent="0.25">
      <c r="A865" s="63" t="s">
        <v>543</v>
      </c>
      <c r="B865" s="63" t="s">
        <v>543</v>
      </c>
      <c r="C865" s="64"/>
      <c r="D865" s="65"/>
      <c r="E865" s="66"/>
      <c r="F865" s="67"/>
      <c r="G865" s="64"/>
      <c r="H865" s="68"/>
      <c r="I865" s="69"/>
      <c r="J865" s="69"/>
      <c r="K865" s="32"/>
      <c r="L865" s="76">
        <v>865</v>
      </c>
      <c r="M865" s="76"/>
      <c r="N865" s="71"/>
      <c r="O865" s="87" t="s">
        <v>179</v>
      </c>
      <c r="P865" s="90">
        <v>45187.55232638889</v>
      </c>
      <c r="Q865" s="87" t="s">
        <v>2685</v>
      </c>
      <c r="R865" s="87">
        <v>0</v>
      </c>
      <c r="S865" s="87">
        <v>0</v>
      </c>
      <c r="T865" s="87">
        <v>0</v>
      </c>
      <c r="U865" s="87">
        <v>0</v>
      </c>
      <c r="V865" s="87">
        <v>17</v>
      </c>
      <c r="W865" s="93" t="s">
        <v>6464</v>
      </c>
      <c r="X865" s="87"/>
      <c r="Y865" s="87"/>
      <c r="Z865" s="87"/>
      <c r="AA865" s="87" t="s">
        <v>9152</v>
      </c>
      <c r="AB865" s="87" t="s">
        <v>11447</v>
      </c>
      <c r="AC865" s="93" t="s">
        <v>11457</v>
      </c>
      <c r="AD865" s="87" t="s">
        <v>11519</v>
      </c>
      <c r="AE865" s="92" t="str">
        <f>HYPERLINK("https://twitter.com/sebraegoias/status/1703759615962333659")</f>
        <v>https://twitter.com/sebraegoias/status/1703759615962333659</v>
      </c>
      <c r="AF865" s="90">
        <v>45187.55232638889</v>
      </c>
      <c r="AG865" s="99">
        <v>45187</v>
      </c>
      <c r="AH865" s="93" t="s">
        <v>12338</v>
      </c>
      <c r="AI865" s="87" t="b">
        <v>0</v>
      </c>
      <c r="AJ865" s="87"/>
      <c r="AK865" s="87"/>
      <c r="AL865" s="87"/>
      <c r="AM865" s="87"/>
      <c r="AN865" s="87"/>
      <c r="AO865" s="87"/>
      <c r="AP865" s="87"/>
      <c r="AQ865" s="87" t="s">
        <v>15965</v>
      </c>
      <c r="AR865" s="87">
        <v>113560</v>
      </c>
      <c r="AS865" s="87"/>
      <c r="AT865" s="87"/>
      <c r="AU865" s="87"/>
      <c r="AV865" s="92" t="str">
        <f>HYPERLINK("https://pbs.twimg.com/ext_tw_video_thumb/1703756002116481024/pu/img/5fWed2WSDgrqzzHv.jpg")</f>
        <v>https://pbs.twimg.com/ext_tw_video_thumb/1703756002116481024/pu/img/5fWed2WSDgrqzzHv.jpg</v>
      </c>
      <c r="AW865" s="93" t="s">
        <v>19108</v>
      </c>
      <c r="AX865" s="93" t="s">
        <v>19108</v>
      </c>
      <c r="AY865" s="87"/>
      <c r="AZ865" s="93" t="s">
        <v>22668</v>
      </c>
      <c r="BA865" s="93" t="s">
        <v>22668</v>
      </c>
      <c r="BB865" s="93" t="s">
        <v>22668</v>
      </c>
      <c r="BC865" s="93" t="s">
        <v>19108</v>
      </c>
      <c r="BD865" s="87">
        <v>56697728</v>
      </c>
      <c r="BE865" s="87"/>
      <c r="BF865" s="87"/>
      <c r="BG865" s="87"/>
      <c r="BH865" s="87"/>
      <c r="BI865" s="87"/>
    </row>
    <row r="866" spans="1:61" x14ac:dyDescent="0.25">
      <c r="A866" s="63" t="s">
        <v>543</v>
      </c>
      <c r="B866" s="63" t="s">
        <v>543</v>
      </c>
      <c r="C866" s="64"/>
      <c r="D866" s="65"/>
      <c r="E866" s="66"/>
      <c r="F866" s="67"/>
      <c r="G866" s="64"/>
      <c r="H866" s="68"/>
      <c r="I866" s="69"/>
      <c r="J866" s="69"/>
      <c r="K866" s="32"/>
      <c r="L866" s="76">
        <v>866</v>
      </c>
      <c r="M866" s="76"/>
      <c r="N866" s="71"/>
      <c r="O866" s="87" t="s">
        <v>179</v>
      </c>
      <c r="P866" s="90">
        <v>45191.886805555558</v>
      </c>
      <c r="Q866" s="87" t="s">
        <v>2686</v>
      </c>
      <c r="R866" s="87">
        <v>0</v>
      </c>
      <c r="S866" s="87">
        <v>0</v>
      </c>
      <c r="T866" s="87">
        <v>0</v>
      </c>
      <c r="U866" s="87">
        <v>0</v>
      </c>
      <c r="V866" s="87">
        <v>39</v>
      </c>
      <c r="W866" s="93" t="s">
        <v>6464</v>
      </c>
      <c r="X866" s="87"/>
      <c r="Y866" s="87"/>
      <c r="Z866" s="87"/>
      <c r="AA866" s="87" t="s">
        <v>9153</v>
      </c>
      <c r="AB866" s="87" t="s">
        <v>11447</v>
      </c>
      <c r="AC866" s="93" t="s">
        <v>11457</v>
      </c>
      <c r="AD866" s="87" t="s">
        <v>11519</v>
      </c>
      <c r="AE866" s="92" t="str">
        <f>HYPERLINK("https://twitter.com/sebraegoias/status/1705330377835921524")</f>
        <v>https://twitter.com/sebraegoias/status/1705330377835921524</v>
      </c>
      <c r="AF866" s="90">
        <v>45191.886805555558</v>
      </c>
      <c r="AG866" s="99">
        <v>45191</v>
      </c>
      <c r="AH866" s="93" t="s">
        <v>12339</v>
      </c>
      <c r="AI866" s="87" t="b">
        <v>0</v>
      </c>
      <c r="AJ866" s="87"/>
      <c r="AK866" s="87"/>
      <c r="AL866" s="87"/>
      <c r="AM866" s="87"/>
      <c r="AN866" s="87"/>
      <c r="AO866" s="87"/>
      <c r="AP866" s="87"/>
      <c r="AQ866" s="87" t="s">
        <v>15966</v>
      </c>
      <c r="AR866" s="87">
        <v>3866</v>
      </c>
      <c r="AS866" s="87"/>
      <c r="AT866" s="87"/>
      <c r="AU866" s="87"/>
      <c r="AV866" s="92" t="str">
        <f>HYPERLINK("https://pbs.twimg.com/ext_tw_video_thumb/1705300280600940544/pu/img/5btDo49rMfHphfPL.jpg")</f>
        <v>https://pbs.twimg.com/ext_tw_video_thumb/1705300280600940544/pu/img/5btDo49rMfHphfPL.jpg</v>
      </c>
      <c r="AW866" s="93" t="s">
        <v>19109</v>
      </c>
      <c r="AX866" s="93" t="s">
        <v>19109</v>
      </c>
      <c r="AY866" s="87"/>
      <c r="AZ866" s="93" t="s">
        <v>22668</v>
      </c>
      <c r="BA866" s="93" t="s">
        <v>22668</v>
      </c>
      <c r="BB866" s="93" t="s">
        <v>22668</v>
      </c>
      <c r="BC866" s="93" t="s">
        <v>19109</v>
      </c>
      <c r="BD866" s="87">
        <v>56697728</v>
      </c>
      <c r="BE866" s="87"/>
      <c r="BF866" s="87"/>
      <c r="BG866" s="87"/>
      <c r="BH866" s="87"/>
      <c r="BI866" s="87"/>
    </row>
    <row r="867" spans="1:61" x14ac:dyDescent="0.25">
      <c r="A867" s="63" t="s">
        <v>543</v>
      </c>
      <c r="B867" s="63" t="s">
        <v>543</v>
      </c>
      <c r="C867" s="64"/>
      <c r="D867" s="65"/>
      <c r="E867" s="66"/>
      <c r="F867" s="67"/>
      <c r="G867" s="64"/>
      <c r="H867" s="68"/>
      <c r="I867" s="69"/>
      <c r="J867" s="69"/>
      <c r="K867" s="32"/>
      <c r="L867" s="76">
        <v>867</v>
      </c>
      <c r="M867" s="76"/>
      <c r="N867" s="71"/>
      <c r="O867" s="87" t="s">
        <v>179</v>
      </c>
      <c r="P867" s="90">
        <v>45165.5</v>
      </c>
      <c r="Q867" s="87" t="s">
        <v>2687</v>
      </c>
      <c r="R867" s="87">
        <v>0</v>
      </c>
      <c r="S867" s="87">
        <v>0</v>
      </c>
      <c r="T867" s="87">
        <v>0</v>
      </c>
      <c r="U867" s="87">
        <v>0</v>
      </c>
      <c r="V867" s="87">
        <v>72</v>
      </c>
      <c r="W867" s="93" t="s">
        <v>6464</v>
      </c>
      <c r="X867" s="87"/>
      <c r="Y867" s="87"/>
      <c r="Z867" s="87"/>
      <c r="AA867" s="87" t="s">
        <v>9154</v>
      </c>
      <c r="AB867" s="87" t="s">
        <v>11447</v>
      </c>
      <c r="AC867" s="93" t="s">
        <v>11457</v>
      </c>
      <c r="AD867" s="87" t="s">
        <v>11519</v>
      </c>
      <c r="AE867" s="92" t="str">
        <f>HYPERLINK("https://twitter.com/sebraegoias/status/1695768119711866926")</f>
        <v>https://twitter.com/sebraegoias/status/1695768119711866926</v>
      </c>
      <c r="AF867" s="90">
        <v>45165.5</v>
      </c>
      <c r="AG867" s="99">
        <v>45165</v>
      </c>
      <c r="AH867" s="93" t="s">
        <v>12089</v>
      </c>
      <c r="AI867" s="87" t="b">
        <v>0</v>
      </c>
      <c r="AJ867" s="87"/>
      <c r="AK867" s="87"/>
      <c r="AL867" s="87"/>
      <c r="AM867" s="87"/>
      <c r="AN867" s="87"/>
      <c r="AO867" s="87"/>
      <c r="AP867" s="87"/>
      <c r="AQ867" s="87" t="s">
        <v>15967</v>
      </c>
      <c r="AR867" s="87">
        <v>84320</v>
      </c>
      <c r="AS867" s="87"/>
      <c r="AT867" s="87"/>
      <c r="AU867" s="87"/>
      <c r="AV867" s="92" t="str">
        <f>HYPERLINK("https://pbs.twimg.com/ext_tw_video_thumb/1695185602696691712/pu/img/oTU8Qk3VyBFKqwA2.jpg")</f>
        <v>https://pbs.twimg.com/ext_tw_video_thumb/1695185602696691712/pu/img/oTU8Qk3VyBFKqwA2.jpg</v>
      </c>
      <c r="AW867" s="93" t="s">
        <v>19110</v>
      </c>
      <c r="AX867" s="93" t="s">
        <v>19110</v>
      </c>
      <c r="AY867" s="87"/>
      <c r="AZ867" s="93" t="s">
        <v>22668</v>
      </c>
      <c r="BA867" s="93" t="s">
        <v>22668</v>
      </c>
      <c r="BB867" s="93" t="s">
        <v>22668</v>
      </c>
      <c r="BC867" s="93" t="s">
        <v>19110</v>
      </c>
      <c r="BD867" s="87">
        <v>56697728</v>
      </c>
      <c r="BE867" s="87"/>
      <c r="BF867" s="87"/>
      <c r="BG867" s="87"/>
      <c r="BH867" s="87"/>
      <c r="BI867" s="87"/>
    </row>
    <row r="868" spans="1:61" x14ac:dyDescent="0.25">
      <c r="A868" s="63" t="s">
        <v>543</v>
      </c>
      <c r="B868" s="63" t="s">
        <v>543</v>
      </c>
      <c r="C868" s="64"/>
      <c r="D868" s="65"/>
      <c r="E868" s="66"/>
      <c r="F868" s="67"/>
      <c r="G868" s="64"/>
      <c r="H868" s="68"/>
      <c r="I868" s="69"/>
      <c r="J868" s="69"/>
      <c r="K868" s="32"/>
      <c r="L868" s="76">
        <v>868</v>
      </c>
      <c r="M868" s="76"/>
      <c r="N868" s="71"/>
      <c r="O868" s="87" t="s">
        <v>179</v>
      </c>
      <c r="P868" s="90">
        <v>45151.625</v>
      </c>
      <c r="Q868" s="87" t="s">
        <v>2688</v>
      </c>
      <c r="R868" s="87">
        <v>0</v>
      </c>
      <c r="S868" s="87">
        <v>2</v>
      </c>
      <c r="T868" s="87">
        <v>0</v>
      </c>
      <c r="U868" s="87">
        <v>0</v>
      </c>
      <c r="V868" s="87">
        <v>75</v>
      </c>
      <c r="W868" s="93" t="s">
        <v>6464</v>
      </c>
      <c r="X868" s="87"/>
      <c r="Y868" s="87"/>
      <c r="Z868" s="87"/>
      <c r="AA868" s="87" t="s">
        <v>9155</v>
      </c>
      <c r="AB868" s="87" t="s">
        <v>11447</v>
      </c>
      <c r="AC868" s="93" t="s">
        <v>11464</v>
      </c>
      <c r="AD868" s="87" t="s">
        <v>11519</v>
      </c>
      <c r="AE868" s="92" t="str">
        <f>HYPERLINK("https://twitter.com/sebraegoias/status/1690739988013428736")</f>
        <v>https://twitter.com/sebraegoias/status/1690739988013428736</v>
      </c>
      <c r="AF868" s="90">
        <v>45151.625</v>
      </c>
      <c r="AG868" s="99">
        <v>45151</v>
      </c>
      <c r="AH868" s="93" t="s">
        <v>12340</v>
      </c>
      <c r="AI868" s="87" t="b">
        <v>0</v>
      </c>
      <c r="AJ868" s="87"/>
      <c r="AK868" s="87"/>
      <c r="AL868" s="87"/>
      <c r="AM868" s="87"/>
      <c r="AN868" s="87"/>
      <c r="AO868" s="87"/>
      <c r="AP868" s="87"/>
      <c r="AQ868" s="87" t="s">
        <v>15968</v>
      </c>
      <c r="AR868" s="87">
        <v>116800</v>
      </c>
      <c r="AS868" s="87"/>
      <c r="AT868" s="87"/>
      <c r="AU868" s="87"/>
      <c r="AV868" s="92" t="str">
        <f>HYPERLINK("https://pbs.twimg.com/ext_tw_video_thumb/1690120118670336000/pu/img/omQS7kQVcrwJ37Ww.jpg")</f>
        <v>https://pbs.twimg.com/ext_tw_video_thumb/1690120118670336000/pu/img/omQS7kQVcrwJ37Ww.jpg</v>
      </c>
      <c r="AW868" s="93" t="s">
        <v>19111</v>
      </c>
      <c r="AX868" s="93" t="s">
        <v>19111</v>
      </c>
      <c r="AY868" s="87"/>
      <c r="AZ868" s="93" t="s">
        <v>22668</v>
      </c>
      <c r="BA868" s="93" t="s">
        <v>22668</v>
      </c>
      <c r="BB868" s="93" t="s">
        <v>22668</v>
      </c>
      <c r="BC868" s="93" t="s">
        <v>19111</v>
      </c>
      <c r="BD868" s="87">
        <v>56697728</v>
      </c>
      <c r="BE868" s="87"/>
      <c r="BF868" s="87"/>
      <c r="BG868" s="87"/>
      <c r="BH868" s="87"/>
      <c r="BI868" s="87"/>
    </row>
    <row r="869" spans="1:61" x14ac:dyDescent="0.25">
      <c r="A869" s="63" t="s">
        <v>543</v>
      </c>
      <c r="B869" s="63" t="s">
        <v>543</v>
      </c>
      <c r="C869" s="64"/>
      <c r="D869" s="65"/>
      <c r="E869" s="66"/>
      <c r="F869" s="67"/>
      <c r="G869" s="64"/>
      <c r="H869" s="68"/>
      <c r="I869" s="69"/>
      <c r="J869" s="69"/>
      <c r="K869" s="32"/>
      <c r="L869" s="76">
        <v>869</v>
      </c>
      <c r="M869" s="76"/>
      <c r="N869" s="71"/>
      <c r="O869" s="87" t="s">
        <v>1840</v>
      </c>
      <c r="P869" s="90">
        <v>45196.777696759258</v>
      </c>
      <c r="Q869" s="87" t="s">
        <v>2689</v>
      </c>
      <c r="R869" s="87">
        <v>0</v>
      </c>
      <c r="S869" s="87">
        <v>0</v>
      </c>
      <c r="T869" s="87">
        <v>0</v>
      </c>
      <c r="U869" s="87">
        <v>0</v>
      </c>
      <c r="V869" s="87">
        <v>14</v>
      </c>
      <c r="W869" s="93" t="s">
        <v>6464</v>
      </c>
      <c r="X869" s="92" t="str">
        <f>HYPERLINK("https://www.regularize.pgfn.gov.br/")</f>
        <v>https://www.regularize.pgfn.gov.br/</v>
      </c>
      <c r="Y869" s="87" t="s">
        <v>8392</v>
      </c>
      <c r="Z869" s="87"/>
      <c r="AA869" s="87"/>
      <c r="AB869" s="87"/>
      <c r="AC869" s="93" t="s">
        <v>11457</v>
      </c>
      <c r="AD869" s="87" t="s">
        <v>11519</v>
      </c>
      <c r="AE869" s="92" t="str">
        <f>HYPERLINK("https://twitter.com/sebraegoias/status/1707102778428936691")</f>
        <v>https://twitter.com/sebraegoias/status/1707102778428936691</v>
      </c>
      <c r="AF869" s="90">
        <v>45196.777696759258</v>
      </c>
      <c r="AG869" s="99">
        <v>45196</v>
      </c>
      <c r="AH869" s="93" t="s">
        <v>12341</v>
      </c>
      <c r="AI869" s="87" t="b">
        <v>0</v>
      </c>
      <c r="AJ869" s="87"/>
      <c r="AK869" s="87"/>
      <c r="AL869" s="87"/>
      <c r="AM869" s="87"/>
      <c r="AN869" s="87"/>
      <c r="AO869" s="87"/>
      <c r="AP869" s="87"/>
      <c r="AQ869" s="87"/>
      <c r="AR869" s="87"/>
      <c r="AS869" s="87"/>
      <c r="AT869" s="87"/>
      <c r="AU869" s="87"/>
      <c r="AV869" s="92" t="str">
        <f>HYPERLINK("https://pbs.twimg.com/profile_images/1591069055007571968/PYF3n9ir_normal.jpg")</f>
        <v>https://pbs.twimg.com/profile_images/1591069055007571968/PYF3n9ir_normal.jpg</v>
      </c>
      <c r="AW869" s="93" t="s">
        <v>19112</v>
      </c>
      <c r="AX869" s="93" t="s">
        <v>22332</v>
      </c>
      <c r="AY869" s="93" t="s">
        <v>22540</v>
      </c>
      <c r="AZ869" s="93" t="s">
        <v>22332</v>
      </c>
      <c r="BA869" s="93" t="s">
        <v>22668</v>
      </c>
      <c r="BB869" s="93" t="s">
        <v>22668</v>
      </c>
      <c r="BC869" s="93" t="s">
        <v>22332</v>
      </c>
      <c r="BD869" s="87">
        <v>56697728</v>
      </c>
      <c r="BE869" s="87"/>
      <c r="BF869" s="87"/>
      <c r="BG869" s="87"/>
      <c r="BH869" s="87"/>
      <c r="BI869" s="87"/>
    </row>
    <row r="870" spans="1:61" x14ac:dyDescent="0.25">
      <c r="A870" s="63" t="s">
        <v>543</v>
      </c>
      <c r="B870" s="63" t="s">
        <v>543</v>
      </c>
      <c r="C870" s="64"/>
      <c r="D870" s="65"/>
      <c r="E870" s="66"/>
      <c r="F870" s="67"/>
      <c r="G870" s="64"/>
      <c r="H870" s="68"/>
      <c r="I870" s="69"/>
      <c r="J870" s="69"/>
      <c r="K870" s="32"/>
      <c r="L870" s="76">
        <v>870</v>
      </c>
      <c r="M870" s="76"/>
      <c r="N870" s="71"/>
      <c r="O870" s="87" t="s">
        <v>1840</v>
      </c>
      <c r="P870" s="90">
        <v>45195.626782407409</v>
      </c>
      <c r="Q870" s="87" t="s">
        <v>2690</v>
      </c>
      <c r="R870" s="87">
        <v>0</v>
      </c>
      <c r="S870" s="87">
        <v>0</v>
      </c>
      <c r="T870" s="87">
        <v>0</v>
      </c>
      <c r="U870" s="87">
        <v>0</v>
      </c>
      <c r="V870" s="87">
        <v>12</v>
      </c>
      <c r="W870" s="93" t="s">
        <v>6466</v>
      </c>
      <c r="X870" s="87"/>
      <c r="Y870" s="87"/>
      <c r="Z870" s="87"/>
      <c r="AA870" s="87"/>
      <c r="AB870" s="87"/>
      <c r="AC870" s="93" t="s">
        <v>11457</v>
      </c>
      <c r="AD870" s="87" t="s">
        <v>11519</v>
      </c>
      <c r="AE870" s="92" t="str">
        <f>HYPERLINK("https://twitter.com/sebraegoias/status/1706685702396641640")</f>
        <v>https://twitter.com/sebraegoias/status/1706685702396641640</v>
      </c>
      <c r="AF870" s="90">
        <v>45195.626782407409</v>
      </c>
      <c r="AG870" s="99">
        <v>45195</v>
      </c>
      <c r="AH870" s="93" t="s">
        <v>12342</v>
      </c>
      <c r="AI870" s="87"/>
      <c r="AJ870" s="87"/>
      <c r="AK870" s="87"/>
      <c r="AL870" s="87"/>
      <c r="AM870" s="87"/>
      <c r="AN870" s="87"/>
      <c r="AO870" s="87"/>
      <c r="AP870" s="87"/>
      <c r="AQ870" s="87"/>
      <c r="AR870" s="87"/>
      <c r="AS870" s="87"/>
      <c r="AT870" s="87"/>
      <c r="AU870" s="87"/>
      <c r="AV870" s="92" t="str">
        <f>HYPERLINK("https://pbs.twimg.com/profile_images/1591069055007571968/PYF3n9ir_normal.jpg")</f>
        <v>https://pbs.twimg.com/profile_images/1591069055007571968/PYF3n9ir_normal.jpg</v>
      </c>
      <c r="AW870" s="93" t="s">
        <v>19113</v>
      </c>
      <c r="AX870" s="93" t="s">
        <v>22333</v>
      </c>
      <c r="AY870" s="93" t="s">
        <v>22540</v>
      </c>
      <c r="AZ870" s="93" t="s">
        <v>22693</v>
      </c>
      <c r="BA870" s="93" t="s">
        <v>22668</v>
      </c>
      <c r="BB870" s="93" t="s">
        <v>22668</v>
      </c>
      <c r="BC870" s="93" t="s">
        <v>22693</v>
      </c>
      <c r="BD870" s="87">
        <v>56697728</v>
      </c>
      <c r="BE870" s="87"/>
      <c r="BF870" s="87"/>
      <c r="BG870" s="87"/>
      <c r="BH870" s="87"/>
      <c r="BI870" s="87"/>
    </row>
    <row r="871" spans="1:61" x14ac:dyDescent="0.25">
      <c r="A871" s="63" t="s">
        <v>543</v>
      </c>
      <c r="B871" s="63" t="s">
        <v>543</v>
      </c>
      <c r="C871" s="64"/>
      <c r="D871" s="65"/>
      <c r="E871" s="66"/>
      <c r="F871" s="67"/>
      <c r="G871" s="64"/>
      <c r="H871" s="68"/>
      <c r="I871" s="69"/>
      <c r="J871" s="69"/>
      <c r="K871" s="32"/>
      <c r="L871" s="76">
        <v>871</v>
      </c>
      <c r="M871" s="76"/>
      <c r="N871" s="71"/>
      <c r="O871" s="87" t="s">
        <v>179</v>
      </c>
      <c r="P871" s="90">
        <v>45162.75</v>
      </c>
      <c r="Q871" s="87" t="s">
        <v>2691</v>
      </c>
      <c r="R871" s="87">
        <v>0</v>
      </c>
      <c r="S871" s="87">
        <v>0</v>
      </c>
      <c r="T871" s="87">
        <v>0</v>
      </c>
      <c r="U871" s="87">
        <v>0</v>
      </c>
      <c r="V871" s="87">
        <v>26</v>
      </c>
      <c r="W871" s="93" t="s">
        <v>6465</v>
      </c>
      <c r="X871" s="92" t="str">
        <f>HYPERLINK("http://bit.ly/CursosONlineSebrae")</f>
        <v>http://bit.ly/CursosONlineSebrae</v>
      </c>
      <c r="Y871" s="87" t="s">
        <v>8374</v>
      </c>
      <c r="Z871" s="87"/>
      <c r="AA871" s="87" t="s">
        <v>9156</v>
      </c>
      <c r="AB871" s="87" t="s">
        <v>11449</v>
      </c>
      <c r="AC871" s="93" t="s">
        <v>11457</v>
      </c>
      <c r="AD871" s="87" t="s">
        <v>11519</v>
      </c>
      <c r="AE871" s="92" t="str">
        <f>HYPERLINK("https://twitter.com/sebraegoias/status/1694771554561970546")</f>
        <v>https://twitter.com/sebraegoias/status/1694771554561970546</v>
      </c>
      <c r="AF871" s="90">
        <v>45162.75</v>
      </c>
      <c r="AG871" s="99">
        <v>45162</v>
      </c>
      <c r="AH871" s="93" t="s">
        <v>12129</v>
      </c>
      <c r="AI871" s="87" t="b">
        <v>0</v>
      </c>
      <c r="AJ871" s="87"/>
      <c r="AK871" s="87"/>
      <c r="AL871" s="87"/>
      <c r="AM871" s="87"/>
      <c r="AN871" s="87"/>
      <c r="AO871" s="87"/>
      <c r="AP871" s="87"/>
      <c r="AQ871" s="87" t="s">
        <v>15969</v>
      </c>
      <c r="AR871" s="87"/>
      <c r="AS871" s="87"/>
      <c r="AT871" s="87"/>
      <c r="AU871" s="87"/>
      <c r="AV871" s="92" t="str">
        <f>HYPERLINK("https://pbs.twimg.com/media/F4TlE2bWIAIEbZI.jpg")</f>
        <v>https://pbs.twimg.com/media/F4TlE2bWIAIEbZI.jpg</v>
      </c>
      <c r="AW871" s="93" t="s">
        <v>19114</v>
      </c>
      <c r="AX871" s="93" t="s">
        <v>19114</v>
      </c>
      <c r="AY871" s="87"/>
      <c r="AZ871" s="93" t="s">
        <v>22668</v>
      </c>
      <c r="BA871" s="93" t="s">
        <v>22668</v>
      </c>
      <c r="BB871" s="93" t="s">
        <v>22668</v>
      </c>
      <c r="BC871" s="93" t="s">
        <v>19114</v>
      </c>
      <c r="BD871" s="87">
        <v>56697728</v>
      </c>
      <c r="BE871" s="87"/>
      <c r="BF871" s="87"/>
      <c r="BG871" s="87"/>
      <c r="BH871" s="87"/>
      <c r="BI871" s="87"/>
    </row>
    <row r="872" spans="1:61" x14ac:dyDescent="0.25">
      <c r="A872" s="63" t="s">
        <v>544</v>
      </c>
      <c r="B872" s="63" t="s">
        <v>544</v>
      </c>
      <c r="C872" s="64"/>
      <c r="D872" s="65"/>
      <c r="E872" s="66"/>
      <c r="F872" s="67"/>
      <c r="G872" s="64"/>
      <c r="H872" s="68"/>
      <c r="I872" s="69"/>
      <c r="J872" s="69"/>
      <c r="K872" s="32"/>
      <c r="L872" s="76">
        <v>872</v>
      </c>
      <c r="M872" s="76"/>
      <c r="N872" s="71"/>
      <c r="O872" s="87" t="s">
        <v>179</v>
      </c>
      <c r="P872" s="90">
        <v>45114.084664351853</v>
      </c>
      <c r="Q872" s="87" t="s">
        <v>2692</v>
      </c>
      <c r="R872" s="87">
        <v>0</v>
      </c>
      <c r="S872" s="87">
        <v>2</v>
      </c>
      <c r="T872" s="87">
        <v>0</v>
      </c>
      <c r="U872" s="87">
        <v>0</v>
      </c>
      <c r="V872" s="87">
        <v>19</v>
      </c>
      <c r="W872" s="93" t="s">
        <v>6467</v>
      </c>
      <c r="X872" s="87"/>
      <c r="Y872" s="87"/>
      <c r="Z872" s="87"/>
      <c r="AA872" s="87" t="s">
        <v>9157</v>
      </c>
      <c r="AB872" s="87" t="s">
        <v>11447</v>
      </c>
      <c r="AC872" s="93" t="s">
        <v>11459</v>
      </c>
      <c r="AD872" s="87" t="s">
        <v>11518</v>
      </c>
      <c r="AE872" s="92" t="str">
        <f>HYPERLINK("https://twitter.com/nelberezendevfa/status/1677135825270702080")</f>
        <v>https://twitter.com/nelberezendevfa/status/1677135825270702080</v>
      </c>
      <c r="AF872" s="90">
        <v>45114.084664351853</v>
      </c>
      <c r="AG872" s="99">
        <v>45114</v>
      </c>
      <c r="AH872" s="93" t="s">
        <v>12343</v>
      </c>
      <c r="AI872" s="87" t="b">
        <v>0</v>
      </c>
      <c r="AJ872" s="87"/>
      <c r="AK872" s="87"/>
      <c r="AL872" s="87"/>
      <c r="AM872" s="87"/>
      <c r="AN872" s="87"/>
      <c r="AO872" s="87"/>
      <c r="AP872" s="87"/>
      <c r="AQ872" s="87" t="s">
        <v>15970</v>
      </c>
      <c r="AR872" s="87">
        <v>16033</v>
      </c>
      <c r="AS872" s="87"/>
      <c r="AT872" s="87"/>
      <c r="AU872" s="87"/>
      <c r="AV872" s="92" t="str">
        <f>HYPERLINK("https://pbs.twimg.com/ext_tw_video_thumb/1677135799895089152/pu/img/i35qxqjMSDG3BOMl.jpg")</f>
        <v>https://pbs.twimg.com/ext_tw_video_thumb/1677135799895089152/pu/img/i35qxqjMSDG3BOMl.jpg</v>
      </c>
      <c r="AW872" s="93" t="s">
        <v>19115</v>
      </c>
      <c r="AX872" s="93" t="s">
        <v>19115</v>
      </c>
      <c r="AY872" s="87"/>
      <c r="AZ872" s="93" t="s">
        <v>22668</v>
      </c>
      <c r="BA872" s="93" t="s">
        <v>22668</v>
      </c>
      <c r="BB872" s="93" t="s">
        <v>22668</v>
      </c>
      <c r="BC872" s="93" t="s">
        <v>19115</v>
      </c>
      <c r="BD872" s="93" t="s">
        <v>22977</v>
      </c>
      <c r="BE872" s="87"/>
      <c r="BF872" s="87"/>
      <c r="BG872" s="87"/>
      <c r="BH872" s="87"/>
      <c r="BI872" s="87"/>
    </row>
    <row r="873" spans="1:61" x14ac:dyDescent="0.25">
      <c r="A873" s="63" t="s">
        <v>544</v>
      </c>
      <c r="B873" s="63" t="s">
        <v>544</v>
      </c>
      <c r="C873" s="64"/>
      <c r="D873" s="65"/>
      <c r="E873" s="66"/>
      <c r="F873" s="67"/>
      <c r="G873" s="64"/>
      <c r="H873" s="68"/>
      <c r="I873" s="69"/>
      <c r="J873" s="69"/>
      <c r="K873" s="32"/>
      <c r="L873" s="76">
        <v>873</v>
      </c>
      <c r="M873" s="76"/>
      <c r="N873" s="71"/>
      <c r="O873" s="87" t="s">
        <v>179</v>
      </c>
      <c r="P873" s="90">
        <v>45174.979409722226</v>
      </c>
      <c r="Q873" s="87" t="s">
        <v>2693</v>
      </c>
      <c r="R873" s="87">
        <v>0</v>
      </c>
      <c r="S873" s="87">
        <v>2</v>
      </c>
      <c r="T873" s="87">
        <v>0</v>
      </c>
      <c r="U873" s="87">
        <v>0</v>
      </c>
      <c r="V873" s="87">
        <v>6</v>
      </c>
      <c r="W873" s="93" t="s">
        <v>6468</v>
      </c>
      <c r="X873" s="87"/>
      <c r="Y873" s="87"/>
      <c r="Z873" s="87"/>
      <c r="AA873" s="87" t="s">
        <v>9158</v>
      </c>
      <c r="AB873" s="87" t="s">
        <v>11447</v>
      </c>
      <c r="AC873" s="93" t="s">
        <v>11459</v>
      </c>
      <c r="AD873" s="87" t="s">
        <v>11518</v>
      </c>
      <c r="AE873" s="92" t="str">
        <f>HYPERLINK("https://twitter.com/nelberezendevfa/status/1699203345913634891")</f>
        <v>https://twitter.com/nelberezendevfa/status/1699203345913634891</v>
      </c>
      <c r="AF873" s="90">
        <v>45174.979409722226</v>
      </c>
      <c r="AG873" s="99">
        <v>45174</v>
      </c>
      <c r="AH873" s="93" t="s">
        <v>12344</v>
      </c>
      <c r="AI873" s="87" t="b">
        <v>0</v>
      </c>
      <c r="AJ873" s="87"/>
      <c r="AK873" s="87"/>
      <c r="AL873" s="87"/>
      <c r="AM873" s="87"/>
      <c r="AN873" s="87"/>
      <c r="AO873" s="87"/>
      <c r="AP873" s="87"/>
      <c r="AQ873" s="87" t="s">
        <v>15971</v>
      </c>
      <c r="AR873" s="87">
        <v>45000</v>
      </c>
      <c r="AS873" s="87"/>
      <c r="AT873" s="87"/>
      <c r="AU873" s="87"/>
      <c r="AV873" s="92" t="str">
        <f>HYPERLINK("https://pbs.twimg.com/ext_tw_video_thumb/1699203269485019136/pu/img/JYZozYMhDdj6zYTk.jpg")</f>
        <v>https://pbs.twimg.com/ext_tw_video_thumb/1699203269485019136/pu/img/JYZozYMhDdj6zYTk.jpg</v>
      </c>
      <c r="AW873" s="93" t="s">
        <v>19116</v>
      </c>
      <c r="AX873" s="93" t="s">
        <v>19116</v>
      </c>
      <c r="AY873" s="87"/>
      <c r="AZ873" s="93" t="s">
        <v>22668</v>
      </c>
      <c r="BA873" s="93" t="s">
        <v>22668</v>
      </c>
      <c r="BB873" s="93" t="s">
        <v>22668</v>
      </c>
      <c r="BC873" s="93" t="s">
        <v>19116</v>
      </c>
      <c r="BD873" s="93" t="s">
        <v>22977</v>
      </c>
      <c r="BE873" s="87"/>
      <c r="BF873" s="87"/>
      <c r="BG873" s="87"/>
      <c r="BH873" s="87"/>
      <c r="BI873" s="87"/>
    </row>
    <row r="874" spans="1:61" x14ac:dyDescent="0.25">
      <c r="A874" s="63" t="s">
        <v>544</v>
      </c>
      <c r="B874" s="63" t="s">
        <v>544</v>
      </c>
      <c r="C874" s="64"/>
      <c r="D874" s="65"/>
      <c r="E874" s="66"/>
      <c r="F874" s="67"/>
      <c r="G874" s="64"/>
      <c r="H874" s="68"/>
      <c r="I874" s="69"/>
      <c r="J874" s="69"/>
      <c r="K874" s="32"/>
      <c r="L874" s="76">
        <v>874</v>
      </c>
      <c r="M874" s="76"/>
      <c r="N874" s="71"/>
      <c r="O874" s="87" t="s">
        <v>179</v>
      </c>
      <c r="P874" s="90">
        <v>45169.028761574074</v>
      </c>
      <c r="Q874" s="87" t="s">
        <v>2694</v>
      </c>
      <c r="R874" s="87">
        <v>0</v>
      </c>
      <c r="S874" s="87">
        <v>2</v>
      </c>
      <c r="T874" s="87">
        <v>0</v>
      </c>
      <c r="U874" s="87">
        <v>0</v>
      </c>
      <c r="V874" s="87">
        <v>7</v>
      </c>
      <c r="W874" s="93" t="s">
        <v>6469</v>
      </c>
      <c r="X874" s="87"/>
      <c r="Y874" s="87"/>
      <c r="Z874" s="87"/>
      <c r="AA874" s="87" t="s">
        <v>9159</v>
      </c>
      <c r="AB874" s="87" t="s">
        <v>11448</v>
      </c>
      <c r="AC874" s="93" t="s">
        <v>11459</v>
      </c>
      <c r="AD874" s="87" t="s">
        <v>11519</v>
      </c>
      <c r="AE874" s="92" t="str">
        <f>HYPERLINK("https://twitter.com/nelberezendevfa/status/1697046899943997467")</f>
        <v>https://twitter.com/nelberezendevfa/status/1697046899943997467</v>
      </c>
      <c r="AF874" s="90">
        <v>45169.028761574074</v>
      </c>
      <c r="AG874" s="99">
        <v>45169</v>
      </c>
      <c r="AH874" s="93" t="s">
        <v>12345</v>
      </c>
      <c r="AI874" s="87" t="b">
        <v>0</v>
      </c>
      <c r="AJ874" s="87"/>
      <c r="AK874" s="87"/>
      <c r="AL874" s="87"/>
      <c r="AM874" s="87"/>
      <c r="AN874" s="87"/>
      <c r="AO874" s="87"/>
      <c r="AP874" s="87"/>
      <c r="AQ874" s="87" t="s">
        <v>15972</v>
      </c>
      <c r="AR874" s="87"/>
      <c r="AS874" s="87"/>
      <c r="AT874" s="87"/>
      <c r="AU874" s="87"/>
      <c r="AV874" s="92" t="str">
        <f>HYPERLINK("https://pbs.twimg.com/media/F40fKYiWwAAsYys.jpg")</f>
        <v>https://pbs.twimg.com/media/F40fKYiWwAAsYys.jpg</v>
      </c>
      <c r="AW874" s="93" t="s">
        <v>19117</v>
      </c>
      <c r="AX874" s="93" t="s">
        <v>19117</v>
      </c>
      <c r="AY874" s="87"/>
      <c r="AZ874" s="93" t="s">
        <v>22668</v>
      </c>
      <c r="BA874" s="93" t="s">
        <v>22668</v>
      </c>
      <c r="BB874" s="93" t="s">
        <v>22668</v>
      </c>
      <c r="BC874" s="93" t="s">
        <v>19117</v>
      </c>
      <c r="BD874" s="93" t="s">
        <v>22977</v>
      </c>
      <c r="BE874" s="87"/>
      <c r="BF874" s="87"/>
      <c r="BG874" s="87"/>
      <c r="BH874" s="87"/>
      <c r="BI874" s="87"/>
    </row>
    <row r="875" spans="1:61" x14ac:dyDescent="0.25">
      <c r="A875" s="63" t="s">
        <v>544</v>
      </c>
      <c r="B875" s="63" t="s">
        <v>544</v>
      </c>
      <c r="C875" s="64"/>
      <c r="D875" s="65"/>
      <c r="E875" s="66"/>
      <c r="F875" s="67"/>
      <c r="G875" s="64"/>
      <c r="H875" s="68"/>
      <c r="I875" s="69"/>
      <c r="J875" s="69"/>
      <c r="K875" s="32"/>
      <c r="L875" s="76">
        <v>875</v>
      </c>
      <c r="M875" s="76"/>
      <c r="N875" s="71"/>
      <c r="O875" s="87" t="s">
        <v>179</v>
      </c>
      <c r="P875" s="90">
        <v>45127.160104166665</v>
      </c>
      <c r="Q875" s="87" t="s">
        <v>2695</v>
      </c>
      <c r="R875" s="87">
        <v>0</v>
      </c>
      <c r="S875" s="87">
        <v>2</v>
      </c>
      <c r="T875" s="87">
        <v>0</v>
      </c>
      <c r="U875" s="87">
        <v>0</v>
      </c>
      <c r="V875" s="87">
        <v>14</v>
      </c>
      <c r="W875" s="93" t="s">
        <v>6470</v>
      </c>
      <c r="X875" s="87"/>
      <c r="Y875" s="87"/>
      <c r="Z875" s="87"/>
      <c r="AA875" s="87" t="s">
        <v>9160</v>
      </c>
      <c r="AB875" s="87" t="s">
        <v>11448</v>
      </c>
      <c r="AC875" s="93" t="s">
        <v>11459</v>
      </c>
      <c r="AD875" s="87" t="s">
        <v>11519</v>
      </c>
      <c r="AE875" s="92" t="str">
        <f>HYPERLINK("https://twitter.com/nelberezendevfa/status/1681874208295354370")</f>
        <v>https://twitter.com/nelberezendevfa/status/1681874208295354370</v>
      </c>
      <c r="AF875" s="90">
        <v>45127.160104166665</v>
      </c>
      <c r="AG875" s="99">
        <v>45127</v>
      </c>
      <c r="AH875" s="93" t="s">
        <v>12346</v>
      </c>
      <c r="AI875" s="87" t="b">
        <v>0</v>
      </c>
      <c r="AJ875" s="87"/>
      <c r="AK875" s="87"/>
      <c r="AL875" s="87"/>
      <c r="AM875" s="87"/>
      <c r="AN875" s="87"/>
      <c r="AO875" s="87"/>
      <c r="AP875" s="87"/>
      <c r="AQ875" s="87" t="s">
        <v>15973</v>
      </c>
      <c r="AR875" s="87"/>
      <c r="AS875" s="87"/>
      <c r="AT875" s="87"/>
      <c r="AU875" s="87"/>
      <c r="AV875" s="92" t="str">
        <f>HYPERLINK("https://pbs.twimg.com/media/F1c3rcNWwAAXIJE.jpg")</f>
        <v>https://pbs.twimg.com/media/F1c3rcNWwAAXIJE.jpg</v>
      </c>
      <c r="AW875" s="93" t="s">
        <v>19118</v>
      </c>
      <c r="AX875" s="93" t="s">
        <v>19118</v>
      </c>
      <c r="AY875" s="87"/>
      <c r="AZ875" s="93" t="s">
        <v>22668</v>
      </c>
      <c r="BA875" s="93" t="s">
        <v>22668</v>
      </c>
      <c r="BB875" s="93" t="s">
        <v>22668</v>
      </c>
      <c r="BC875" s="93" t="s">
        <v>19118</v>
      </c>
      <c r="BD875" s="93" t="s">
        <v>22977</v>
      </c>
      <c r="BE875" s="87"/>
      <c r="BF875" s="87"/>
      <c r="BG875" s="87"/>
      <c r="BH875" s="87"/>
      <c r="BI875" s="87"/>
    </row>
    <row r="876" spans="1:61" x14ac:dyDescent="0.25">
      <c r="A876" s="63" t="s">
        <v>545</v>
      </c>
      <c r="B876" s="63" t="s">
        <v>1655</v>
      </c>
      <c r="C876" s="64"/>
      <c r="D876" s="65"/>
      <c r="E876" s="66"/>
      <c r="F876" s="67"/>
      <c r="G876" s="64"/>
      <c r="H876" s="68"/>
      <c r="I876" s="69"/>
      <c r="J876" s="69"/>
      <c r="K876" s="32"/>
      <c r="L876" s="76">
        <v>876</v>
      </c>
      <c r="M876" s="76"/>
      <c r="N876" s="71"/>
      <c r="O876" s="87" t="s">
        <v>1839</v>
      </c>
      <c r="P876" s="90">
        <v>45148.986111111109</v>
      </c>
      <c r="Q876" s="87" t="s">
        <v>2696</v>
      </c>
      <c r="R876" s="87">
        <v>1</v>
      </c>
      <c r="S876" s="87">
        <v>5</v>
      </c>
      <c r="T876" s="87">
        <v>1</v>
      </c>
      <c r="U876" s="87">
        <v>0</v>
      </c>
      <c r="V876" s="87">
        <v>1558</v>
      </c>
      <c r="W876" s="93" t="s">
        <v>6471</v>
      </c>
      <c r="X876" s="87"/>
      <c r="Y876" s="87"/>
      <c r="Z876" s="87" t="s">
        <v>1655</v>
      </c>
      <c r="AA876" s="87" t="s">
        <v>9161</v>
      </c>
      <c r="AB876" s="87" t="s">
        <v>11448</v>
      </c>
      <c r="AC876" s="93" t="s">
        <v>11464</v>
      </c>
      <c r="AD876" s="87" t="s">
        <v>11519</v>
      </c>
      <c r="AE876" s="92" t="str">
        <f>HYPERLINK("https://twitter.com/cbnoficial/status/1689783686525591552")</f>
        <v>https://twitter.com/cbnoficial/status/1689783686525591552</v>
      </c>
      <c r="AF876" s="90">
        <v>45148.986111111109</v>
      </c>
      <c r="AG876" s="99">
        <v>45148</v>
      </c>
      <c r="AH876" s="93" t="s">
        <v>12347</v>
      </c>
      <c r="AI876" s="87" t="b">
        <v>0</v>
      </c>
      <c r="AJ876" s="87"/>
      <c r="AK876" s="87"/>
      <c r="AL876" s="87"/>
      <c r="AM876" s="87"/>
      <c r="AN876" s="87"/>
      <c r="AO876" s="87"/>
      <c r="AP876" s="87"/>
      <c r="AQ876" s="87" t="s">
        <v>15974</v>
      </c>
      <c r="AR876" s="87"/>
      <c r="AS876" s="87"/>
      <c r="AT876" s="87"/>
      <c r="AU876" s="87"/>
      <c r="AV876" s="92" t="str">
        <f>HYPERLINK("https://pbs.twimg.com/media/F3NMa_mXEAAHEgz.jpg")</f>
        <v>https://pbs.twimg.com/media/F3NMa_mXEAAHEgz.jpg</v>
      </c>
      <c r="AW876" s="93" t="s">
        <v>19119</v>
      </c>
      <c r="AX876" s="93" t="s">
        <v>19119</v>
      </c>
      <c r="AY876" s="87"/>
      <c r="AZ876" s="93" t="s">
        <v>22668</v>
      </c>
      <c r="BA876" s="93" t="s">
        <v>22668</v>
      </c>
      <c r="BB876" s="93" t="s">
        <v>22668</v>
      </c>
      <c r="BC876" s="93" t="s">
        <v>19119</v>
      </c>
      <c r="BD876" s="87">
        <v>785833176</v>
      </c>
      <c r="BE876" s="87"/>
      <c r="BF876" s="87"/>
      <c r="BG876" s="87"/>
      <c r="BH876" s="87"/>
      <c r="BI876" s="87"/>
    </row>
    <row r="877" spans="1:61" x14ac:dyDescent="0.25">
      <c r="A877" s="63" t="s">
        <v>545</v>
      </c>
      <c r="B877" s="63" t="s">
        <v>1655</v>
      </c>
      <c r="C877" s="64"/>
      <c r="D877" s="65"/>
      <c r="E877" s="66"/>
      <c r="F877" s="67"/>
      <c r="G877" s="64"/>
      <c r="H877" s="68"/>
      <c r="I877" s="69"/>
      <c r="J877" s="69"/>
      <c r="K877" s="32"/>
      <c r="L877" s="76">
        <v>877</v>
      </c>
      <c r="M877" s="76"/>
      <c r="N877" s="71"/>
      <c r="O877" s="87" t="s">
        <v>1839</v>
      </c>
      <c r="P877" s="90">
        <v>45156.833344907405</v>
      </c>
      <c r="Q877" s="87" t="s">
        <v>2697</v>
      </c>
      <c r="R877" s="87">
        <v>0</v>
      </c>
      <c r="S877" s="87">
        <v>2</v>
      </c>
      <c r="T877" s="87">
        <v>0</v>
      </c>
      <c r="U877" s="87">
        <v>0</v>
      </c>
      <c r="V877" s="87">
        <v>1251</v>
      </c>
      <c r="W877" s="93" t="s">
        <v>6472</v>
      </c>
      <c r="X877" s="87"/>
      <c r="Y877" s="87"/>
      <c r="Z877" s="87" t="s">
        <v>1655</v>
      </c>
      <c r="AA877" s="87" t="s">
        <v>9162</v>
      </c>
      <c r="AB877" s="87" t="s">
        <v>11448</v>
      </c>
      <c r="AC877" s="93" t="s">
        <v>11457</v>
      </c>
      <c r="AD877" s="87" t="s">
        <v>11519</v>
      </c>
      <c r="AE877" s="92" t="str">
        <f>HYPERLINK("https://twitter.com/cbnoficial/status/1692627430786175045")</f>
        <v>https://twitter.com/cbnoficial/status/1692627430786175045</v>
      </c>
      <c r="AF877" s="90">
        <v>45156.833344907405</v>
      </c>
      <c r="AG877" s="99">
        <v>45156</v>
      </c>
      <c r="AH877" s="93" t="s">
        <v>12348</v>
      </c>
      <c r="AI877" s="87" t="b">
        <v>0</v>
      </c>
      <c r="AJ877" s="87"/>
      <c r="AK877" s="87"/>
      <c r="AL877" s="87"/>
      <c r="AM877" s="87"/>
      <c r="AN877" s="87"/>
      <c r="AO877" s="87"/>
      <c r="AP877" s="87"/>
      <c r="AQ877" s="87" t="s">
        <v>15975</v>
      </c>
      <c r="AR877" s="87"/>
      <c r="AS877" s="87"/>
      <c r="AT877" s="87"/>
      <c r="AU877" s="87"/>
      <c r="AV877" s="92" t="str">
        <f>HYPERLINK("https://pbs.twimg.com/media/F3v7U07XIAAgNdc.jpg")</f>
        <v>https://pbs.twimg.com/media/F3v7U07XIAAgNdc.jpg</v>
      </c>
      <c r="AW877" s="93" t="s">
        <v>19120</v>
      </c>
      <c r="AX877" s="93" t="s">
        <v>19120</v>
      </c>
      <c r="AY877" s="87"/>
      <c r="AZ877" s="93" t="s">
        <v>22668</v>
      </c>
      <c r="BA877" s="93" t="s">
        <v>22668</v>
      </c>
      <c r="BB877" s="93" t="s">
        <v>22668</v>
      </c>
      <c r="BC877" s="93" t="s">
        <v>19120</v>
      </c>
      <c r="BD877" s="87">
        <v>785833176</v>
      </c>
      <c r="BE877" s="87"/>
      <c r="BF877" s="87"/>
      <c r="BG877" s="87"/>
      <c r="BH877" s="87"/>
      <c r="BI877" s="87"/>
    </row>
    <row r="878" spans="1:61" x14ac:dyDescent="0.25">
      <c r="A878" s="63" t="s">
        <v>545</v>
      </c>
      <c r="B878" s="63" t="s">
        <v>1655</v>
      </c>
      <c r="C878" s="64"/>
      <c r="D878" s="65"/>
      <c r="E878" s="66"/>
      <c r="F878" s="67"/>
      <c r="G878" s="64"/>
      <c r="H878" s="68"/>
      <c r="I878" s="69"/>
      <c r="J878" s="69"/>
      <c r="K878" s="32"/>
      <c r="L878" s="76">
        <v>878</v>
      </c>
      <c r="M878" s="76"/>
      <c r="N878" s="71"/>
      <c r="O878" s="87" t="s">
        <v>1839</v>
      </c>
      <c r="P878" s="90">
        <v>45170.875</v>
      </c>
      <c r="Q878" s="87" t="s">
        <v>2698</v>
      </c>
      <c r="R878" s="87">
        <v>0</v>
      </c>
      <c r="S878" s="87">
        <v>0</v>
      </c>
      <c r="T878" s="87">
        <v>0</v>
      </c>
      <c r="U878" s="87">
        <v>0</v>
      </c>
      <c r="V878" s="87">
        <v>967</v>
      </c>
      <c r="W878" s="93" t="s">
        <v>6471</v>
      </c>
      <c r="X878" s="87"/>
      <c r="Y878" s="87"/>
      <c r="Z878" s="87" t="s">
        <v>1655</v>
      </c>
      <c r="AA878" s="87" t="s">
        <v>9163</v>
      </c>
      <c r="AB878" s="87" t="s">
        <v>11448</v>
      </c>
      <c r="AC878" s="93" t="s">
        <v>11464</v>
      </c>
      <c r="AD878" s="87" t="s">
        <v>11519</v>
      </c>
      <c r="AE878" s="92" t="str">
        <f>HYPERLINK("https://twitter.com/cbnoficial/status/1697715956867293590")</f>
        <v>https://twitter.com/cbnoficial/status/1697715956867293590</v>
      </c>
      <c r="AF878" s="90">
        <v>45170.875</v>
      </c>
      <c r="AG878" s="99">
        <v>45170</v>
      </c>
      <c r="AH878" s="93" t="s">
        <v>12349</v>
      </c>
      <c r="AI878" s="87" t="b">
        <v>0</v>
      </c>
      <c r="AJ878" s="87"/>
      <c r="AK878" s="87"/>
      <c r="AL878" s="87"/>
      <c r="AM878" s="87"/>
      <c r="AN878" s="87"/>
      <c r="AO878" s="87"/>
      <c r="AP878" s="87"/>
      <c r="AQ878" s="87" t="s">
        <v>15976</v>
      </c>
      <c r="AR878" s="87"/>
      <c r="AS878" s="87"/>
      <c r="AT878" s="87"/>
      <c r="AU878" s="87"/>
      <c r="AV878" s="92" t="str">
        <f>HYPERLINK("https://pbs.twimg.com/media/F49wvkkWwAAvYPJ.jpg")</f>
        <v>https://pbs.twimg.com/media/F49wvkkWwAAvYPJ.jpg</v>
      </c>
      <c r="AW878" s="93" t="s">
        <v>19121</v>
      </c>
      <c r="AX878" s="93" t="s">
        <v>19121</v>
      </c>
      <c r="AY878" s="87"/>
      <c r="AZ878" s="93" t="s">
        <v>22668</v>
      </c>
      <c r="BA878" s="93" t="s">
        <v>22668</v>
      </c>
      <c r="BB878" s="93" t="s">
        <v>22668</v>
      </c>
      <c r="BC878" s="93" t="s">
        <v>19121</v>
      </c>
      <c r="BD878" s="87">
        <v>785833176</v>
      </c>
      <c r="BE878" s="87"/>
      <c r="BF878" s="87"/>
      <c r="BG878" s="87"/>
      <c r="BH878" s="87"/>
      <c r="BI878" s="87"/>
    </row>
    <row r="879" spans="1:61" x14ac:dyDescent="0.25">
      <c r="A879" s="63" t="s">
        <v>546</v>
      </c>
      <c r="B879" s="63" t="s">
        <v>546</v>
      </c>
      <c r="C879" s="64"/>
      <c r="D879" s="65"/>
      <c r="E879" s="66"/>
      <c r="F879" s="67"/>
      <c r="G879" s="64"/>
      <c r="H879" s="68"/>
      <c r="I879" s="69"/>
      <c r="J879" s="69"/>
      <c r="K879" s="32"/>
      <c r="L879" s="76">
        <v>879</v>
      </c>
      <c r="M879" s="76"/>
      <c r="N879" s="71"/>
      <c r="O879" s="87" t="s">
        <v>179</v>
      </c>
      <c r="P879" s="90">
        <v>45131.584722222222</v>
      </c>
      <c r="Q879" s="87" t="s">
        <v>2699</v>
      </c>
      <c r="R879" s="87">
        <v>0</v>
      </c>
      <c r="S879" s="87">
        <v>0</v>
      </c>
      <c r="T879" s="87">
        <v>0</v>
      </c>
      <c r="U879" s="87">
        <v>0</v>
      </c>
      <c r="V879" s="87">
        <v>77</v>
      </c>
      <c r="W879" s="93" t="s">
        <v>6473</v>
      </c>
      <c r="X879" s="92" t="str">
        <f>HYPERLINK("https://administradores.com.br/artigos/inovacao-e-desenvolvimento")</f>
        <v>https://administradores.com.br/artigos/inovacao-e-desenvolvimento</v>
      </c>
      <c r="Y879" s="87" t="s">
        <v>8373</v>
      </c>
      <c r="Z879" s="87"/>
      <c r="AA879" s="87" t="s">
        <v>9164</v>
      </c>
      <c r="AB879" s="87" t="s">
        <v>11448</v>
      </c>
      <c r="AC879" s="93" t="s">
        <v>11458</v>
      </c>
      <c r="AD879" s="87" t="s">
        <v>11519</v>
      </c>
      <c r="AE879" s="92" t="str">
        <f>HYPERLINK("https://twitter.com/paulocbastos/status/1683477636079550464")</f>
        <v>https://twitter.com/paulocbastos/status/1683477636079550464</v>
      </c>
      <c r="AF879" s="90">
        <v>45131.584722222222</v>
      </c>
      <c r="AG879" s="99">
        <v>45131</v>
      </c>
      <c r="AH879" s="93" t="s">
        <v>12350</v>
      </c>
      <c r="AI879" s="87" t="b">
        <v>0</v>
      </c>
      <c r="AJ879" s="87"/>
      <c r="AK879" s="87"/>
      <c r="AL879" s="87"/>
      <c r="AM879" s="87"/>
      <c r="AN879" s="87"/>
      <c r="AO879" s="87"/>
      <c r="AP879" s="87"/>
      <c r="AQ879" s="87" t="s">
        <v>15977</v>
      </c>
      <c r="AR879" s="87"/>
      <c r="AS879" s="87"/>
      <c r="AT879" s="87"/>
      <c r="AU879" s="87"/>
      <c r="AV879" s="92" t="str">
        <f>HYPERLINK("https://pbs.twimg.com/media/F1zp99QWcAMlO6F.jpg")</f>
        <v>https://pbs.twimg.com/media/F1zp99QWcAMlO6F.jpg</v>
      </c>
      <c r="AW879" s="93" t="s">
        <v>19122</v>
      </c>
      <c r="AX879" s="93" t="s">
        <v>19122</v>
      </c>
      <c r="AY879" s="87"/>
      <c r="AZ879" s="93" t="s">
        <v>22668</v>
      </c>
      <c r="BA879" s="93" t="s">
        <v>22668</v>
      </c>
      <c r="BB879" s="93" t="s">
        <v>22668</v>
      </c>
      <c r="BC879" s="93" t="s">
        <v>19122</v>
      </c>
      <c r="BD879" s="87">
        <v>113128538</v>
      </c>
      <c r="BE879" s="87"/>
      <c r="BF879" s="87"/>
      <c r="BG879" s="87"/>
      <c r="BH879" s="87"/>
      <c r="BI879" s="87"/>
    </row>
    <row r="880" spans="1:61" x14ac:dyDescent="0.25">
      <c r="A880" s="63" t="s">
        <v>547</v>
      </c>
      <c r="B880" s="63" t="s">
        <v>547</v>
      </c>
      <c r="C880" s="64"/>
      <c r="D880" s="65"/>
      <c r="E880" s="66"/>
      <c r="F880" s="67"/>
      <c r="G880" s="64"/>
      <c r="H880" s="68"/>
      <c r="I880" s="69"/>
      <c r="J880" s="69"/>
      <c r="K880" s="32"/>
      <c r="L880" s="76">
        <v>880</v>
      </c>
      <c r="M880" s="76"/>
      <c r="N880" s="71"/>
      <c r="O880" s="87" t="s">
        <v>179</v>
      </c>
      <c r="P880" s="90">
        <v>45192.580127314817</v>
      </c>
      <c r="Q880" s="87" t="s">
        <v>2700</v>
      </c>
      <c r="R880" s="87">
        <v>0</v>
      </c>
      <c r="S880" s="87">
        <v>0</v>
      </c>
      <c r="T880" s="87">
        <v>0</v>
      </c>
      <c r="U880" s="87">
        <v>0</v>
      </c>
      <c r="V880" s="87">
        <v>2</v>
      </c>
      <c r="W880" s="93" t="s">
        <v>6474</v>
      </c>
      <c r="X880" s="87"/>
      <c r="Y880" s="87"/>
      <c r="Z880" s="87"/>
      <c r="AA880" s="87" t="s">
        <v>9165</v>
      </c>
      <c r="AB880" s="87" t="s">
        <v>11447</v>
      </c>
      <c r="AC880" s="93" t="s">
        <v>11459</v>
      </c>
      <c r="AD880" s="87" t="s">
        <v>11520</v>
      </c>
      <c r="AE880" s="92" t="str">
        <f>HYPERLINK("https://twitter.com/investindobem_/status/1705581630654423498")</f>
        <v>https://twitter.com/investindobem_/status/1705581630654423498</v>
      </c>
      <c r="AF880" s="90">
        <v>45192.580127314817</v>
      </c>
      <c r="AG880" s="99">
        <v>45192</v>
      </c>
      <c r="AH880" s="93" t="s">
        <v>12351</v>
      </c>
      <c r="AI880" s="87" t="b">
        <v>0</v>
      </c>
      <c r="AJ880" s="87"/>
      <c r="AK880" s="87"/>
      <c r="AL880" s="87"/>
      <c r="AM880" s="87"/>
      <c r="AN880" s="87"/>
      <c r="AO880" s="87"/>
      <c r="AP880" s="87"/>
      <c r="AQ880" s="87" t="s">
        <v>15978</v>
      </c>
      <c r="AR880" s="87">
        <v>44951</v>
      </c>
      <c r="AS880" s="87"/>
      <c r="AT880" s="87"/>
      <c r="AU880" s="87"/>
      <c r="AV880" s="92" t="str">
        <f>HYPERLINK("https://pbs.twimg.com/ext_tw_video_thumb/1705581488459153408/pu/img/JtPVzyc-QP8REnVK.jpg")</f>
        <v>https://pbs.twimg.com/ext_tw_video_thumb/1705581488459153408/pu/img/JtPVzyc-QP8REnVK.jpg</v>
      </c>
      <c r="AW880" s="93" t="s">
        <v>19123</v>
      </c>
      <c r="AX880" s="93" t="s">
        <v>19123</v>
      </c>
      <c r="AY880" s="87"/>
      <c r="AZ880" s="93" t="s">
        <v>22668</v>
      </c>
      <c r="BA880" s="93" t="s">
        <v>22668</v>
      </c>
      <c r="BB880" s="93" t="s">
        <v>22668</v>
      </c>
      <c r="BC880" s="93" t="s">
        <v>19123</v>
      </c>
      <c r="BD880" s="93" t="s">
        <v>22978</v>
      </c>
      <c r="BE880" s="87"/>
      <c r="BF880" s="87"/>
      <c r="BG880" s="87"/>
      <c r="BH880" s="87"/>
      <c r="BI880" s="87"/>
    </row>
    <row r="881" spans="1:61" x14ac:dyDescent="0.25">
      <c r="A881" s="63" t="s">
        <v>548</v>
      </c>
      <c r="B881" s="63" t="s">
        <v>548</v>
      </c>
      <c r="C881" s="64"/>
      <c r="D881" s="65"/>
      <c r="E881" s="66"/>
      <c r="F881" s="67"/>
      <c r="G881" s="64"/>
      <c r="H881" s="68"/>
      <c r="I881" s="69"/>
      <c r="J881" s="69"/>
      <c r="K881" s="32"/>
      <c r="L881" s="76">
        <v>881</v>
      </c>
      <c r="M881" s="76"/>
      <c r="N881" s="71"/>
      <c r="O881" s="87" t="s">
        <v>1840</v>
      </c>
      <c r="P881" s="90">
        <v>45114.718321759261</v>
      </c>
      <c r="Q881" s="87" t="s">
        <v>2701</v>
      </c>
      <c r="R881" s="87">
        <v>0</v>
      </c>
      <c r="S881" s="87">
        <v>0</v>
      </c>
      <c r="T881" s="87">
        <v>0</v>
      </c>
      <c r="U881" s="87">
        <v>0</v>
      </c>
      <c r="V881" s="87">
        <v>82</v>
      </c>
      <c r="W881" s="93" t="s">
        <v>6475</v>
      </c>
      <c r="X881" s="87"/>
      <c r="Y881" s="87"/>
      <c r="Z881" s="87"/>
      <c r="AA881" s="87"/>
      <c r="AB881" s="87"/>
      <c r="AC881" s="93" t="s">
        <v>11457</v>
      </c>
      <c r="AD881" s="87" t="s">
        <v>11519</v>
      </c>
      <c r="AE881" s="92" t="str">
        <f>HYPERLINK("https://twitter.com/raio_lima/status/1677365458037612552")</f>
        <v>https://twitter.com/raio_lima/status/1677365458037612552</v>
      </c>
      <c r="AF881" s="90">
        <v>45114.718321759261</v>
      </c>
      <c r="AG881" s="99">
        <v>45114</v>
      </c>
      <c r="AH881" s="93" t="s">
        <v>12352</v>
      </c>
      <c r="AI881" s="87"/>
      <c r="AJ881" s="87"/>
      <c r="AK881" s="87"/>
      <c r="AL881" s="87"/>
      <c r="AM881" s="87"/>
      <c r="AN881" s="87"/>
      <c r="AO881" s="87"/>
      <c r="AP881" s="87"/>
      <c r="AQ881" s="87"/>
      <c r="AR881" s="87"/>
      <c r="AS881" s="87"/>
      <c r="AT881" s="87"/>
      <c r="AU881" s="87"/>
      <c r="AV881" s="92" t="str">
        <f>HYPERLINK("https://pbs.twimg.com/profile_images/1667687274300026881/s3STYHoa_normal.jpg")</f>
        <v>https://pbs.twimg.com/profile_images/1667687274300026881/s3STYHoa_normal.jpg</v>
      </c>
      <c r="AW881" s="93" t="s">
        <v>19124</v>
      </c>
      <c r="AX881" s="93" t="s">
        <v>22334</v>
      </c>
      <c r="AY881" s="93" t="s">
        <v>22541</v>
      </c>
      <c r="AZ881" s="93" t="s">
        <v>22334</v>
      </c>
      <c r="BA881" s="93" t="s">
        <v>22668</v>
      </c>
      <c r="BB881" s="93" t="s">
        <v>22668</v>
      </c>
      <c r="BC881" s="93" t="s">
        <v>22334</v>
      </c>
      <c r="BD881" s="87">
        <v>3377635672</v>
      </c>
      <c r="BE881" s="87"/>
      <c r="BF881" s="87"/>
      <c r="BG881" s="87"/>
      <c r="BH881" s="87"/>
      <c r="BI881" s="87"/>
    </row>
    <row r="882" spans="1:61" x14ac:dyDescent="0.25">
      <c r="A882" s="63" t="s">
        <v>549</v>
      </c>
      <c r="B882" s="63" t="s">
        <v>549</v>
      </c>
      <c r="C882" s="64"/>
      <c r="D882" s="65"/>
      <c r="E882" s="66"/>
      <c r="F882" s="67"/>
      <c r="G882" s="64"/>
      <c r="H882" s="68"/>
      <c r="I882" s="69"/>
      <c r="J882" s="69"/>
      <c r="K882" s="32"/>
      <c r="L882" s="76">
        <v>882</v>
      </c>
      <c r="M882" s="76"/>
      <c r="N882" s="71"/>
      <c r="O882" s="87" t="s">
        <v>179</v>
      </c>
      <c r="P882" s="90">
        <v>45126.905555555553</v>
      </c>
      <c r="Q882" s="87" t="s">
        <v>2702</v>
      </c>
      <c r="R882" s="87">
        <v>0</v>
      </c>
      <c r="S882" s="87">
        <v>0</v>
      </c>
      <c r="T882" s="87">
        <v>0</v>
      </c>
      <c r="U882" s="87">
        <v>0</v>
      </c>
      <c r="V882" s="87">
        <v>20</v>
      </c>
      <c r="W882" s="93" t="s">
        <v>6476</v>
      </c>
      <c r="X882" s="87"/>
      <c r="Y882" s="87"/>
      <c r="Z882" s="87"/>
      <c r="AA882" s="87" t="s">
        <v>9166</v>
      </c>
      <c r="AB882" s="87" t="s">
        <v>11447</v>
      </c>
      <c r="AC882" s="93" t="s">
        <v>11457</v>
      </c>
      <c r="AD882" s="87" t="s">
        <v>11519</v>
      </c>
      <c r="AE882" s="92" t="str">
        <f>HYPERLINK("https://twitter.com/nitriomcti/status/1681781962493526016")</f>
        <v>https://twitter.com/nitriomcti/status/1681781962493526016</v>
      </c>
      <c r="AF882" s="90">
        <v>45126.905555555553</v>
      </c>
      <c r="AG882" s="99">
        <v>45126</v>
      </c>
      <c r="AH882" s="93" t="s">
        <v>12353</v>
      </c>
      <c r="AI882" s="87" t="b">
        <v>0</v>
      </c>
      <c r="AJ882" s="87"/>
      <c r="AK882" s="87"/>
      <c r="AL882" s="87"/>
      <c r="AM882" s="87"/>
      <c r="AN882" s="87"/>
      <c r="AO882" s="87"/>
      <c r="AP882" s="87"/>
      <c r="AQ882" s="87" t="s">
        <v>15979</v>
      </c>
      <c r="AR882" s="87">
        <v>66000</v>
      </c>
      <c r="AS882" s="87"/>
      <c r="AT882" s="87"/>
      <c r="AU882" s="87"/>
      <c r="AV882" s="92" t="str">
        <f>HYPERLINK("https://pbs.twimg.com/ext_tw_video_thumb/1681781878884278272/pu/img/ykRq7qoexRlcOzTk.jpg")</f>
        <v>https://pbs.twimg.com/ext_tw_video_thumb/1681781878884278272/pu/img/ykRq7qoexRlcOzTk.jpg</v>
      </c>
      <c r="AW882" s="93" t="s">
        <v>19125</v>
      </c>
      <c r="AX882" s="93" t="s">
        <v>19125</v>
      </c>
      <c r="AY882" s="87"/>
      <c r="AZ882" s="93" t="s">
        <v>22668</v>
      </c>
      <c r="BA882" s="93" t="s">
        <v>22668</v>
      </c>
      <c r="BB882" s="93" t="s">
        <v>22668</v>
      </c>
      <c r="BC882" s="93" t="s">
        <v>19125</v>
      </c>
      <c r="BD882" s="87">
        <v>171582176</v>
      </c>
      <c r="BE882" s="87"/>
      <c r="BF882" s="87"/>
      <c r="BG882" s="87"/>
      <c r="BH882" s="87"/>
      <c r="BI882" s="87"/>
    </row>
    <row r="883" spans="1:61" x14ac:dyDescent="0.25">
      <c r="A883" s="63" t="s">
        <v>550</v>
      </c>
      <c r="B883" s="63" t="s">
        <v>550</v>
      </c>
      <c r="C883" s="64"/>
      <c r="D883" s="65"/>
      <c r="E883" s="66"/>
      <c r="F883" s="67"/>
      <c r="G883" s="64"/>
      <c r="H883" s="68"/>
      <c r="I883" s="69"/>
      <c r="J883" s="69"/>
      <c r="K883" s="32"/>
      <c r="L883" s="76">
        <v>883</v>
      </c>
      <c r="M883" s="76"/>
      <c r="N883" s="71"/>
      <c r="O883" s="87" t="s">
        <v>1840</v>
      </c>
      <c r="P883" s="90">
        <v>45189.462754629632</v>
      </c>
      <c r="Q883" s="87" t="s">
        <v>2703</v>
      </c>
      <c r="R883" s="87">
        <v>0</v>
      </c>
      <c r="S883" s="87">
        <v>0</v>
      </c>
      <c r="T883" s="87">
        <v>0</v>
      </c>
      <c r="U883" s="87">
        <v>0</v>
      </c>
      <c r="V883" s="87">
        <v>31</v>
      </c>
      <c r="W883" s="93" t="s">
        <v>6477</v>
      </c>
      <c r="X883" s="87"/>
      <c r="Y883" s="87"/>
      <c r="Z883" s="87"/>
      <c r="AA883" s="87"/>
      <c r="AB883" s="87"/>
      <c r="AC883" s="93" t="s">
        <v>11459</v>
      </c>
      <c r="AD883" s="87" t="s">
        <v>11519</v>
      </c>
      <c r="AE883" s="92" t="str">
        <f>HYPERLINK("https://twitter.com/nilsonmarques22/status/1704451932700454933")</f>
        <v>https://twitter.com/nilsonmarques22/status/1704451932700454933</v>
      </c>
      <c r="AF883" s="90">
        <v>45189.462754629632</v>
      </c>
      <c r="AG883" s="99">
        <v>45189</v>
      </c>
      <c r="AH883" s="93" t="s">
        <v>12354</v>
      </c>
      <c r="AI883" s="87"/>
      <c r="AJ883" s="87"/>
      <c r="AK883" s="87"/>
      <c r="AL883" s="87"/>
      <c r="AM883" s="87"/>
      <c r="AN883" s="87"/>
      <c r="AO883" s="87"/>
      <c r="AP883" s="87"/>
      <c r="AQ883" s="87"/>
      <c r="AR883" s="87"/>
      <c r="AS883" s="87"/>
      <c r="AT883" s="87"/>
      <c r="AU883" s="87"/>
      <c r="AV883" s="92" t="str">
        <f>HYPERLINK("https://pbs.twimg.com/profile_images/1698515864734097408/rNNOfD3r_normal.jpg")</f>
        <v>https://pbs.twimg.com/profile_images/1698515864734097408/rNNOfD3r_normal.jpg</v>
      </c>
      <c r="AW883" s="93" t="s">
        <v>19126</v>
      </c>
      <c r="AX883" s="93" t="s">
        <v>22335</v>
      </c>
      <c r="AY883" s="93" t="s">
        <v>22542</v>
      </c>
      <c r="AZ883" s="93" t="s">
        <v>22694</v>
      </c>
      <c r="BA883" s="93" t="s">
        <v>22668</v>
      </c>
      <c r="BB883" s="93" t="s">
        <v>22668</v>
      </c>
      <c r="BC883" s="93" t="s">
        <v>22694</v>
      </c>
      <c r="BD883" s="87">
        <v>2959370493</v>
      </c>
      <c r="BE883" s="87"/>
      <c r="BF883" s="87"/>
      <c r="BG883" s="87"/>
      <c r="BH883" s="87"/>
      <c r="BI883" s="87"/>
    </row>
    <row r="884" spans="1:61" x14ac:dyDescent="0.25">
      <c r="A884" s="63" t="s">
        <v>550</v>
      </c>
      <c r="B884" s="63" t="s">
        <v>550</v>
      </c>
      <c r="C884" s="64"/>
      <c r="D884" s="65"/>
      <c r="E884" s="66"/>
      <c r="F884" s="67"/>
      <c r="G884" s="64"/>
      <c r="H884" s="68"/>
      <c r="I884" s="69"/>
      <c r="J884" s="69"/>
      <c r="K884" s="32"/>
      <c r="L884" s="76">
        <v>884</v>
      </c>
      <c r="M884" s="76"/>
      <c r="N884" s="71"/>
      <c r="O884" s="87" t="s">
        <v>179</v>
      </c>
      <c r="P884" s="90">
        <v>45166.674317129633</v>
      </c>
      <c r="Q884" s="87" t="s">
        <v>2704</v>
      </c>
      <c r="R884" s="87">
        <v>0</v>
      </c>
      <c r="S884" s="87">
        <v>1</v>
      </c>
      <c r="T884" s="87">
        <v>0</v>
      </c>
      <c r="U884" s="87">
        <v>0</v>
      </c>
      <c r="V884" s="87">
        <v>55</v>
      </c>
      <c r="W884" s="93" t="s">
        <v>6478</v>
      </c>
      <c r="X884" s="87"/>
      <c r="Y884" s="87"/>
      <c r="Z884" s="87"/>
      <c r="AA884" s="87"/>
      <c r="AB884" s="87"/>
      <c r="AC884" s="93" t="s">
        <v>11459</v>
      </c>
      <c r="AD884" s="87" t="s">
        <v>11519</v>
      </c>
      <c r="AE884" s="92" t="str">
        <f>HYPERLINK("https://twitter.com/nilsonmarques22/status/1696193677889036424")</f>
        <v>https://twitter.com/nilsonmarques22/status/1696193677889036424</v>
      </c>
      <c r="AF884" s="90">
        <v>45166.674317129633</v>
      </c>
      <c r="AG884" s="99">
        <v>45166</v>
      </c>
      <c r="AH884" s="93" t="s">
        <v>12355</v>
      </c>
      <c r="AI884" s="87"/>
      <c r="AJ884" s="87"/>
      <c r="AK884" s="87"/>
      <c r="AL884" s="87"/>
      <c r="AM884" s="87"/>
      <c r="AN884" s="87"/>
      <c r="AO884" s="87"/>
      <c r="AP884" s="87"/>
      <c r="AQ884" s="87"/>
      <c r="AR884" s="87"/>
      <c r="AS884" s="87"/>
      <c r="AT884" s="87"/>
      <c r="AU884" s="87"/>
      <c r="AV884" s="92" t="str">
        <f>HYPERLINK("https://pbs.twimg.com/profile_images/1698515864734097408/rNNOfD3r_normal.jpg")</f>
        <v>https://pbs.twimg.com/profile_images/1698515864734097408/rNNOfD3r_normal.jpg</v>
      </c>
      <c r="AW884" s="93" t="s">
        <v>19127</v>
      </c>
      <c r="AX884" s="93" t="s">
        <v>19127</v>
      </c>
      <c r="AY884" s="87"/>
      <c r="AZ884" s="93" t="s">
        <v>22668</v>
      </c>
      <c r="BA884" s="93" t="s">
        <v>22668</v>
      </c>
      <c r="BB884" s="93" t="s">
        <v>22668</v>
      </c>
      <c r="BC884" s="93" t="s">
        <v>19127</v>
      </c>
      <c r="BD884" s="87">
        <v>2959370493</v>
      </c>
      <c r="BE884" s="87"/>
      <c r="BF884" s="87"/>
      <c r="BG884" s="87"/>
      <c r="BH884" s="87"/>
      <c r="BI884" s="87"/>
    </row>
    <row r="885" spans="1:61" x14ac:dyDescent="0.25">
      <c r="A885" s="63" t="s">
        <v>550</v>
      </c>
      <c r="B885" s="63" t="s">
        <v>550</v>
      </c>
      <c r="C885" s="64"/>
      <c r="D885" s="65"/>
      <c r="E885" s="66"/>
      <c r="F885" s="67"/>
      <c r="G885" s="64"/>
      <c r="H885" s="68"/>
      <c r="I885" s="69"/>
      <c r="J885" s="69"/>
      <c r="K885" s="32"/>
      <c r="L885" s="76">
        <v>885</v>
      </c>
      <c r="M885" s="76"/>
      <c r="N885" s="71"/>
      <c r="O885" s="87" t="s">
        <v>179</v>
      </c>
      <c r="P885" s="90">
        <v>45139.541516203702</v>
      </c>
      <c r="Q885" s="87" t="s">
        <v>2705</v>
      </c>
      <c r="R885" s="87">
        <v>0</v>
      </c>
      <c r="S885" s="87">
        <v>0</v>
      </c>
      <c r="T885" s="87">
        <v>0</v>
      </c>
      <c r="U885" s="87">
        <v>0</v>
      </c>
      <c r="V885" s="87">
        <v>788</v>
      </c>
      <c r="W885" s="93" t="s">
        <v>6479</v>
      </c>
      <c r="X885" s="87"/>
      <c r="Y885" s="87"/>
      <c r="Z885" s="87"/>
      <c r="AA885" s="87"/>
      <c r="AB885" s="87"/>
      <c r="AC885" s="93" t="s">
        <v>11459</v>
      </c>
      <c r="AD885" s="87" t="s">
        <v>11519</v>
      </c>
      <c r="AE885" s="92" t="str">
        <f>HYPERLINK("https://twitter.com/nilsonmarques22/status/1686361082913329152")</f>
        <v>https://twitter.com/nilsonmarques22/status/1686361082913329152</v>
      </c>
      <c r="AF885" s="90">
        <v>45139.541516203702</v>
      </c>
      <c r="AG885" s="99">
        <v>45139</v>
      </c>
      <c r="AH885" s="93" t="s">
        <v>12356</v>
      </c>
      <c r="AI885" s="87"/>
      <c r="AJ885" s="87"/>
      <c r="AK885" s="87"/>
      <c r="AL885" s="87"/>
      <c r="AM885" s="87"/>
      <c r="AN885" s="87"/>
      <c r="AO885" s="87"/>
      <c r="AP885" s="87"/>
      <c r="AQ885" s="87"/>
      <c r="AR885" s="87"/>
      <c r="AS885" s="87"/>
      <c r="AT885" s="87"/>
      <c r="AU885" s="87"/>
      <c r="AV885" s="92" t="str">
        <f>HYPERLINK("https://pbs.twimg.com/profile_images/1698515864734097408/rNNOfD3r_normal.jpg")</f>
        <v>https://pbs.twimg.com/profile_images/1698515864734097408/rNNOfD3r_normal.jpg</v>
      </c>
      <c r="AW885" s="93" t="s">
        <v>19128</v>
      </c>
      <c r="AX885" s="93" t="s">
        <v>19128</v>
      </c>
      <c r="AY885" s="87"/>
      <c r="AZ885" s="93" t="s">
        <v>22668</v>
      </c>
      <c r="BA885" s="93" t="s">
        <v>22668</v>
      </c>
      <c r="BB885" s="93" t="s">
        <v>22668</v>
      </c>
      <c r="BC885" s="93" t="s">
        <v>19128</v>
      </c>
      <c r="BD885" s="87">
        <v>2959370493</v>
      </c>
      <c r="BE885" s="87"/>
      <c r="BF885" s="87"/>
      <c r="BG885" s="87"/>
      <c r="BH885" s="87"/>
      <c r="BI885" s="87"/>
    </row>
    <row r="886" spans="1:61" x14ac:dyDescent="0.25">
      <c r="A886" s="63" t="s">
        <v>550</v>
      </c>
      <c r="B886" s="63" t="s">
        <v>550</v>
      </c>
      <c r="C886" s="64"/>
      <c r="D886" s="65"/>
      <c r="E886" s="66"/>
      <c r="F886" s="67"/>
      <c r="G886" s="64"/>
      <c r="H886" s="68"/>
      <c r="I886" s="69"/>
      <c r="J886" s="69"/>
      <c r="K886" s="32"/>
      <c r="L886" s="76">
        <v>886</v>
      </c>
      <c r="M886" s="76"/>
      <c r="N886" s="71"/>
      <c r="O886" s="87" t="s">
        <v>179</v>
      </c>
      <c r="P886" s="90">
        <v>45193.48164351852</v>
      </c>
      <c r="Q886" s="87" t="s">
        <v>2706</v>
      </c>
      <c r="R886" s="87">
        <v>0</v>
      </c>
      <c r="S886" s="87">
        <v>0</v>
      </c>
      <c r="T886" s="87">
        <v>0</v>
      </c>
      <c r="U886" s="87">
        <v>0</v>
      </c>
      <c r="V886" s="87">
        <v>66</v>
      </c>
      <c r="W886" s="93" t="s">
        <v>6480</v>
      </c>
      <c r="X886" s="87"/>
      <c r="Y886" s="87"/>
      <c r="Z886" s="87"/>
      <c r="AA886" s="87" t="s">
        <v>9167</v>
      </c>
      <c r="AB886" s="87" t="s">
        <v>11448</v>
      </c>
      <c r="AC886" s="93" t="s">
        <v>11459</v>
      </c>
      <c r="AD886" s="87" t="s">
        <v>11519</v>
      </c>
      <c r="AE886" s="92" t="str">
        <f>HYPERLINK("https://twitter.com/nilsonmarques22/status/1705908330420449343")</f>
        <v>https://twitter.com/nilsonmarques22/status/1705908330420449343</v>
      </c>
      <c r="AF886" s="90">
        <v>45193.48164351852</v>
      </c>
      <c r="AG886" s="99">
        <v>45193</v>
      </c>
      <c r="AH886" s="93" t="s">
        <v>12357</v>
      </c>
      <c r="AI886" s="87" t="b">
        <v>0</v>
      </c>
      <c r="AJ886" s="87"/>
      <c r="AK886" s="87"/>
      <c r="AL886" s="87"/>
      <c r="AM886" s="87"/>
      <c r="AN886" s="87"/>
      <c r="AO886" s="87"/>
      <c r="AP886" s="87"/>
      <c r="AQ886" s="87" t="s">
        <v>15980</v>
      </c>
      <c r="AR886" s="87"/>
      <c r="AS886" s="87"/>
      <c r="AT886" s="87"/>
      <c r="AU886" s="87"/>
      <c r="AV886" s="92" t="str">
        <f>HYPERLINK("https://pbs.twimg.com/media/F6yalYGXkAADFoY.jpg")</f>
        <v>https://pbs.twimg.com/media/F6yalYGXkAADFoY.jpg</v>
      </c>
      <c r="AW886" s="93" t="s">
        <v>19129</v>
      </c>
      <c r="AX886" s="93" t="s">
        <v>19129</v>
      </c>
      <c r="AY886" s="87"/>
      <c r="AZ886" s="93" t="s">
        <v>22668</v>
      </c>
      <c r="BA886" s="93" t="s">
        <v>22668</v>
      </c>
      <c r="BB886" s="93" t="s">
        <v>22668</v>
      </c>
      <c r="BC886" s="93" t="s">
        <v>19129</v>
      </c>
      <c r="BD886" s="87">
        <v>2959370493</v>
      </c>
      <c r="BE886" s="87"/>
      <c r="BF886" s="87"/>
      <c r="BG886" s="87"/>
      <c r="BH886" s="87"/>
      <c r="BI886" s="87"/>
    </row>
    <row r="887" spans="1:61" x14ac:dyDescent="0.25">
      <c r="A887" s="63" t="s">
        <v>550</v>
      </c>
      <c r="B887" s="63" t="s">
        <v>550</v>
      </c>
      <c r="C887" s="64"/>
      <c r="D887" s="65"/>
      <c r="E887" s="66"/>
      <c r="F887" s="67"/>
      <c r="G887" s="64"/>
      <c r="H887" s="68"/>
      <c r="I887" s="69"/>
      <c r="J887" s="69"/>
      <c r="K887" s="32"/>
      <c r="L887" s="76">
        <v>887</v>
      </c>
      <c r="M887" s="76"/>
      <c r="N887" s="71"/>
      <c r="O887" s="87" t="s">
        <v>179</v>
      </c>
      <c r="P887" s="90">
        <v>45195.500856481478</v>
      </c>
      <c r="Q887" s="87" t="s">
        <v>2707</v>
      </c>
      <c r="R887" s="87">
        <v>0</v>
      </c>
      <c r="S887" s="87">
        <v>1</v>
      </c>
      <c r="T887" s="87">
        <v>0</v>
      </c>
      <c r="U887" s="87">
        <v>0</v>
      </c>
      <c r="V887" s="87">
        <v>94</v>
      </c>
      <c r="W887" s="93" t="s">
        <v>6481</v>
      </c>
      <c r="X887" s="87"/>
      <c r="Y887" s="87"/>
      <c r="Z887" s="87"/>
      <c r="AA887" s="87" t="s">
        <v>9168</v>
      </c>
      <c r="AB887" s="87" t="s">
        <v>11448</v>
      </c>
      <c r="AC887" s="93" t="s">
        <v>11459</v>
      </c>
      <c r="AD887" s="87" t="s">
        <v>11519</v>
      </c>
      <c r="AE887" s="92" t="str">
        <f>HYPERLINK("https://twitter.com/nilsonmarques22/status/1706640067240812748")</f>
        <v>https://twitter.com/nilsonmarques22/status/1706640067240812748</v>
      </c>
      <c r="AF887" s="90">
        <v>45195.500856481478</v>
      </c>
      <c r="AG887" s="99">
        <v>45195</v>
      </c>
      <c r="AH887" s="93" t="s">
        <v>12358</v>
      </c>
      <c r="AI887" s="87" t="b">
        <v>0</v>
      </c>
      <c r="AJ887" s="87"/>
      <c r="AK887" s="87"/>
      <c r="AL887" s="87"/>
      <c r="AM887" s="87"/>
      <c r="AN887" s="87"/>
      <c r="AO887" s="87"/>
      <c r="AP887" s="87"/>
      <c r="AQ887" s="87" t="s">
        <v>15981</v>
      </c>
      <c r="AR887" s="87"/>
      <c r="AS887" s="87"/>
      <c r="AT887" s="87"/>
      <c r="AU887" s="87"/>
      <c r="AV887" s="92" t="str">
        <f>HYPERLINK("https://pbs.twimg.com/media/F680GPCWsAAzCCG.jpg")</f>
        <v>https://pbs.twimg.com/media/F680GPCWsAAzCCG.jpg</v>
      </c>
      <c r="AW887" s="93" t="s">
        <v>19130</v>
      </c>
      <c r="AX887" s="93" t="s">
        <v>19130</v>
      </c>
      <c r="AY887" s="87"/>
      <c r="AZ887" s="93" t="s">
        <v>22668</v>
      </c>
      <c r="BA887" s="93" t="s">
        <v>22668</v>
      </c>
      <c r="BB887" s="93" t="s">
        <v>22668</v>
      </c>
      <c r="BC887" s="93" t="s">
        <v>19130</v>
      </c>
      <c r="BD887" s="87">
        <v>2959370493</v>
      </c>
      <c r="BE887" s="87"/>
      <c r="BF887" s="87"/>
      <c r="BG887" s="87"/>
      <c r="BH887" s="87"/>
      <c r="BI887" s="87"/>
    </row>
    <row r="888" spans="1:61" x14ac:dyDescent="0.25">
      <c r="A888" s="63" t="s">
        <v>551</v>
      </c>
      <c r="B888" s="63" t="s">
        <v>551</v>
      </c>
      <c r="C888" s="64"/>
      <c r="D888" s="65"/>
      <c r="E888" s="66"/>
      <c r="F888" s="67"/>
      <c r="G888" s="64"/>
      <c r="H888" s="68"/>
      <c r="I888" s="69"/>
      <c r="J888" s="69"/>
      <c r="K888" s="32"/>
      <c r="L888" s="76">
        <v>888</v>
      </c>
      <c r="M888" s="76"/>
      <c r="N888" s="71"/>
      <c r="O888" s="87" t="s">
        <v>179</v>
      </c>
      <c r="P888" s="90">
        <v>45132.93037037037</v>
      </c>
      <c r="Q888" s="87" t="s">
        <v>2708</v>
      </c>
      <c r="R888" s="87">
        <v>0</v>
      </c>
      <c r="S888" s="87">
        <v>0</v>
      </c>
      <c r="T888" s="87">
        <v>0</v>
      </c>
      <c r="U888" s="87">
        <v>0</v>
      </c>
      <c r="V888" s="87">
        <v>10</v>
      </c>
      <c r="W888" s="93" t="s">
        <v>6482</v>
      </c>
      <c r="X888" s="87"/>
      <c r="Y888" s="87"/>
      <c r="Z888" s="87"/>
      <c r="AA888" s="87" t="s">
        <v>9169</v>
      </c>
      <c r="AB888" s="87" t="s">
        <v>11447</v>
      </c>
      <c r="AC888" s="93" t="s">
        <v>11459</v>
      </c>
      <c r="AD888" s="87" t="s">
        <v>11519</v>
      </c>
      <c r="AE888" s="92" t="str">
        <f>HYPERLINK("https://twitter.com/rejannefranca/status/1683965282992132096")</f>
        <v>https://twitter.com/rejannefranca/status/1683965282992132096</v>
      </c>
      <c r="AF888" s="90">
        <v>45132.93037037037</v>
      </c>
      <c r="AG888" s="99">
        <v>45132</v>
      </c>
      <c r="AH888" s="93" t="s">
        <v>12359</v>
      </c>
      <c r="AI888" s="87" t="b">
        <v>0</v>
      </c>
      <c r="AJ888" s="87" t="s">
        <v>15187</v>
      </c>
      <c r="AK888" s="87" t="s">
        <v>15234</v>
      </c>
      <c r="AL888" s="87" t="s">
        <v>15237</v>
      </c>
      <c r="AM888" s="87" t="s">
        <v>15259</v>
      </c>
      <c r="AN888" s="87" t="s">
        <v>15325</v>
      </c>
      <c r="AO888" s="87" t="s">
        <v>15391</v>
      </c>
      <c r="AP888" s="87" t="s">
        <v>15438</v>
      </c>
      <c r="AQ888" s="87" t="s">
        <v>15982</v>
      </c>
      <c r="AR888" s="87">
        <v>20015</v>
      </c>
      <c r="AS888" s="87"/>
      <c r="AT888" s="87"/>
      <c r="AU888" s="87"/>
      <c r="AV888" s="92" t="str">
        <f>HYPERLINK("https://pbs.twimg.com/ext_tw_video_thumb/1683965252210241536/pu/img/173dFpyrrydTf5kg.jpg")</f>
        <v>https://pbs.twimg.com/ext_tw_video_thumb/1683965252210241536/pu/img/173dFpyrrydTf5kg.jpg</v>
      </c>
      <c r="AW888" s="93" t="s">
        <v>19131</v>
      </c>
      <c r="AX888" s="93" t="s">
        <v>19131</v>
      </c>
      <c r="AY888" s="87"/>
      <c r="AZ888" s="93" t="s">
        <v>22668</v>
      </c>
      <c r="BA888" s="93" t="s">
        <v>22668</v>
      </c>
      <c r="BB888" s="93" t="s">
        <v>22668</v>
      </c>
      <c r="BC888" s="93" t="s">
        <v>19131</v>
      </c>
      <c r="BD888" s="87">
        <v>53241038</v>
      </c>
      <c r="BE888" s="87"/>
      <c r="BF888" s="87"/>
      <c r="BG888" s="87"/>
      <c r="BH888" s="87"/>
      <c r="BI888" s="87"/>
    </row>
    <row r="889" spans="1:61" x14ac:dyDescent="0.25">
      <c r="A889" s="63" t="s">
        <v>552</v>
      </c>
      <c r="B889" s="63" t="s">
        <v>552</v>
      </c>
      <c r="C889" s="64"/>
      <c r="D889" s="65"/>
      <c r="E889" s="66"/>
      <c r="F889" s="67"/>
      <c r="G889" s="64"/>
      <c r="H889" s="68"/>
      <c r="I889" s="69"/>
      <c r="J889" s="69"/>
      <c r="K889" s="32"/>
      <c r="L889" s="76">
        <v>889</v>
      </c>
      <c r="M889" s="76"/>
      <c r="N889" s="71"/>
      <c r="O889" s="87" t="s">
        <v>1840</v>
      </c>
      <c r="P889" s="90">
        <v>45181.833124999997</v>
      </c>
      <c r="Q889" s="87" t="s">
        <v>2709</v>
      </c>
      <c r="R889" s="87">
        <v>0</v>
      </c>
      <c r="S889" s="87">
        <v>0</v>
      </c>
      <c r="T889" s="87">
        <v>0</v>
      </c>
      <c r="U889" s="87">
        <v>0</v>
      </c>
      <c r="V889" s="87">
        <v>4</v>
      </c>
      <c r="W889" s="93" t="s">
        <v>6483</v>
      </c>
      <c r="X889" s="87"/>
      <c r="Y889" s="87"/>
      <c r="Z889" s="87"/>
      <c r="AA889" s="87"/>
      <c r="AB889" s="87"/>
      <c r="AC889" s="93" t="s">
        <v>11459</v>
      </c>
      <c r="AD889" s="87" t="s">
        <v>11519</v>
      </c>
      <c r="AE889" s="92" t="str">
        <f>HYPERLINK("https://twitter.com/advicestreinam1/status/1701687046425718904")</f>
        <v>https://twitter.com/advicestreinam1/status/1701687046425718904</v>
      </c>
      <c r="AF889" s="90">
        <v>45181.833124999997</v>
      </c>
      <c r="AG889" s="99">
        <v>45181</v>
      </c>
      <c r="AH889" s="93" t="s">
        <v>12360</v>
      </c>
      <c r="AI889" s="87"/>
      <c r="AJ889" s="87" t="s">
        <v>15188</v>
      </c>
      <c r="AK889" s="87" t="s">
        <v>15234</v>
      </c>
      <c r="AL889" s="87" t="s">
        <v>15237</v>
      </c>
      <c r="AM889" s="87" t="s">
        <v>15260</v>
      </c>
      <c r="AN889" s="87" t="s">
        <v>15326</v>
      </c>
      <c r="AO889" s="87" t="s">
        <v>15392</v>
      </c>
      <c r="AP889" s="87" t="s">
        <v>15438</v>
      </c>
      <c r="AQ889" s="87"/>
      <c r="AR889" s="87"/>
      <c r="AS889" s="87"/>
      <c r="AT889" s="87"/>
      <c r="AU889" s="87"/>
      <c r="AV889" s="92" t="str">
        <f>HYPERLINK("https://pbs.twimg.com/profile_images/1505643925050212354/YgVCrz-P_normal.png")</f>
        <v>https://pbs.twimg.com/profile_images/1505643925050212354/YgVCrz-P_normal.png</v>
      </c>
      <c r="AW889" s="93" t="s">
        <v>19132</v>
      </c>
      <c r="AX889" s="93" t="s">
        <v>22336</v>
      </c>
      <c r="AY889" s="93" t="s">
        <v>22543</v>
      </c>
      <c r="AZ889" s="93" t="s">
        <v>22336</v>
      </c>
      <c r="BA889" s="93" t="s">
        <v>22668</v>
      </c>
      <c r="BB889" s="93" t="s">
        <v>22668</v>
      </c>
      <c r="BC889" s="93" t="s">
        <v>22336</v>
      </c>
      <c r="BD889" s="93" t="s">
        <v>22543</v>
      </c>
      <c r="BE889" s="87"/>
      <c r="BF889" s="87"/>
      <c r="BG889" s="87"/>
      <c r="BH889" s="87"/>
      <c r="BI889" s="87"/>
    </row>
    <row r="890" spans="1:61" x14ac:dyDescent="0.25">
      <c r="A890" s="63" t="s">
        <v>553</v>
      </c>
      <c r="B890" s="63" t="s">
        <v>553</v>
      </c>
      <c r="C890" s="64"/>
      <c r="D890" s="65"/>
      <c r="E890" s="66"/>
      <c r="F890" s="67"/>
      <c r="G890" s="64"/>
      <c r="H890" s="68"/>
      <c r="I890" s="69"/>
      <c r="J890" s="69"/>
      <c r="K890" s="32"/>
      <c r="L890" s="76">
        <v>890</v>
      </c>
      <c r="M890" s="76"/>
      <c r="N890" s="71"/>
      <c r="O890" s="87" t="s">
        <v>179</v>
      </c>
      <c r="P890" s="90">
        <v>45117.945601851854</v>
      </c>
      <c r="Q890" s="87" t="s">
        <v>2710</v>
      </c>
      <c r="R890" s="87">
        <v>0</v>
      </c>
      <c r="S890" s="87">
        <v>0</v>
      </c>
      <c r="T890" s="87">
        <v>0</v>
      </c>
      <c r="U890" s="87">
        <v>0</v>
      </c>
      <c r="V890" s="87">
        <v>5</v>
      </c>
      <c r="W890" s="93" t="s">
        <v>5897</v>
      </c>
      <c r="X890" s="87"/>
      <c r="Y890" s="87"/>
      <c r="Z890" s="87"/>
      <c r="AA890" s="87"/>
      <c r="AB890" s="87"/>
      <c r="AC890" s="93" t="s">
        <v>11459</v>
      </c>
      <c r="AD890" s="87" t="s">
        <v>11519</v>
      </c>
      <c r="AE890" s="92" t="str">
        <f>HYPERLINK("https://twitter.com/suruuuuyo/status/1678534982212505601")</f>
        <v>https://twitter.com/suruuuuyo/status/1678534982212505601</v>
      </c>
      <c r="AF890" s="90">
        <v>45117.945601851854</v>
      </c>
      <c r="AG890" s="99">
        <v>45117</v>
      </c>
      <c r="AH890" s="93" t="s">
        <v>12361</v>
      </c>
      <c r="AI890" s="87"/>
      <c r="AJ890" s="87"/>
      <c r="AK890" s="87"/>
      <c r="AL890" s="87"/>
      <c r="AM890" s="87"/>
      <c r="AN890" s="87"/>
      <c r="AO890" s="87"/>
      <c r="AP890" s="87"/>
      <c r="AQ890" s="87"/>
      <c r="AR890" s="87"/>
      <c r="AS890" s="87"/>
      <c r="AT890" s="87"/>
      <c r="AU890" s="87"/>
      <c r="AV890" s="92" t="str">
        <f>HYPERLINK("https://pbs.twimg.com/profile_images/1704484465127436288/bLZOvgt3_normal.jpg")</f>
        <v>https://pbs.twimg.com/profile_images/1704484465127436288/bLZOvgt3_normal.jpg</v>
      </c>
      <c r="AW890" s="93" t="s">
        <v>19133</v>
      </c>
      <c r="AX890" s="93" t="s">
        <v>19133</v>
      </c>
      <c r="AY890" s="87"/>
      <c r="AZ890" s="93" t="s">
        <v>22668</v>
      </c>
      <c r="BA890" s="93" t="s">
        <v>22668</v>
      </c>
      <c r="BB890" s="93" t="s">
        <v>22668</v>
      </c>
      <c r="BC890" s="93" t="s">
        <v>19133</v>
      </c>
      <c r="BD890" s="93" t="s">
        <v>22979</v>
      </c>
      <c r="BE890" s="87"/>
      <c r="BF890" s="87"/>
      <c r="BG890" s="87"/>
      <c r="BH890" s="87"/>
      <c r="BI890" s="87"/>
    </row>
    <row r="891" spans="1:61" x14ac:dyDescent="0.25">
      <c r="A891" s="63" t="s">
        <v>554</v>
      </c>
      <c r="B891" s="63" t="s">
        <v>554</v>
      </c>
      <c r="C891" s="64"/>
      <c r="D891" s="65"/>
      <c r="E891" s="66"/>
      <c r="F891" s="67"/>
      <c r="G891" s="64"/>
      <c r="H891" s="68"/>
      <c r="I891" s="69"/>
      <c r="J891" s="69"/>
      <c r="K891" s="32"/>
      <c r="L891" s="76">
        <v>891</v>
      </c>
      <c r="M891" s="76"/>
      <c r="N891" s="71"/>
      <c r="O891" s="87" t="s">
        <v>179</v>
      </c>
      <c r="P891" s="90">
        <v>45167.778981481482</v>
      </c>
      <c r="Q891" s="87" t="s">
        <v>2711</v>
      </c>
      <c r="R891" s="87">
        <v>0</v>
      </c>
      <c r="S891" s="87">
        <v>0</v>
      </c>
      <c r="T891" s="87">
        <v>0</v>
      </c>
      <c r="U891" s="87">
        <v>0</v>
      </c>
      <c r="V891" s="87">
        <v>10</v>
      </c>
      <c r="W891" s="93" t="s">
        <v>6484</v>
      </c>
      <c r="X891" s="92" t="str">
        <f>HYPERLINK("https://imoveis.estadao.com.br/noticias/um-em-cada-cinco-sindicos-de-sao-paulo-e-empresario-2/")</f>
        <v>https://imoveis.estadao.com.br/noticias/um-em-cada-cinco-sindicos-de-sao-paulo-e-empresario-2/</v>
      </c>
      <c r="Y891" s="87" t="s">
        <v>8373</v>
      </c>
      <c r="Z891" s="87"/>
      <c r="AA891" s="87"/>
      <c r="AB891" s="87"/>
      <c r="AC891" s="93" t="s">
        <v>11457</v>
      </c>
      <c r="AD891" s="87" t="s">
        <v>11519</v>
      </c>
      <c r="AE891" s="92" t="str">
        <f>HYPERLINK("https://twitter.com/estadaoimoveis/status/1696593994413654509")</f>
        <v>https://twitter.com/estadaoimoveis/status/1696593994413654509</v>
      </c>
      <c r="AF891" s="90">
        <v>45167.778981481482</v>
      </c>
      <c r="AG891" s="99">
        <v>45167</v>
      </c>
      <c r="AH891" s="93" t="s">
        <v>12362</v>
      </c>
      <c r="AI891" s="87" t="b">
        <v>0</v>
      </c>
      <c r="AJ891" s="87"/>
      <c r="AK891" s="87"/>
      <c r="AL891" s="87"/>
      <c r="AM891" s="87"/>
      <c r="AN891" s="87"/>
      <c r="AO891" s="87"/>
      <c r="AP891" s="87"/>
      <c r="AQ891" s="87"/>
      <c r="AR891" s="87"/>
      <c r="AS891" s="87"/>
      <c r="AT891" s="87"/>
      <c r="AU891" s="87"/>
      <c r="AV891" s="92" t="str">
        <f>HYPERLINK("https://pbs.twimg.com/profile_images/1525115744060579840/Aqg2lYGr_normal.jpg")</f>
        <v>https://pbs.twimg.com/profile_images/1525115744060579840/Aqg2lYGr_normal.jpg</v>
      </c>
      <c r="AW891" s="93" t="s">
        <v>19134</v>
      </c>
      <c r="AX891" s="93" t="s">
        <v>19134</v>
      </c>
      <c r="AY891" s="87"/>
      <c r="AZ891" s="93" t="s">
        <v>22668</v>
      </c>
      <c r="BA891" s="93" t="s">
        <v>22668</v>
      </c>
      <c r="BB891" s="93" t="s">
        <v>22668</v>
      </c>
      <c r="BC891" s="93" t="s">
        <v>19134</v>
      </c>
      <c r="BD891" s="93" t="s">
        <v>22980</v>
      </c>
      <c r="BE891" s="87"/>
      <c r="BF891" s="87"/>
      <c r="BG891" s="87"/>
      <c r="BH891" s="87"/>
      <c r="BI891" s="87"/>
    </row>
    <row r="892" spans="1:61" x14ac:dyDescent="0.25">
      <c r="A892" s="63" t="s">
        <v>555</v>
      </c>
      <c r="B892" s="63" t="s">
        <v>555</v>
      </c>
      <c r="C892" s="64"/>
      <c r="D892" s="65"/>
      <c r="E892" s="66"/>
      <c r="F892" s="67"/>
      <c r="G892" s="64"/>
      <c r="H892" s="68"/>
      <c r="I892" s="69"/>
      <c r="J892" s="69"/>
      <c r="K892" s="32"/>
      <c r="L892" s="76">
        <v>892</v>
      </c>
      <c r="M892" s="76"/>
      <c r="N892" s="71"/>
      <c r="O892" s="87" t="s">
        <v>179</v>
      </c>
      <c r="P892" s="90">
        <v>45152.430555555555</v>
      </c>
      <c r="Q892" s="87" t="s">
        <v>2712</v>
      </c>
      <c r="R892" s="87">
        <v>0</v>
      </c>
      <c r="S892" s="87">
        <v>2</v>
      </c>
      <c r="T892" s="87">
        <v>0</v>
      </c>
      <c r="U892" s="87">
        <v>0</v>
      </c>
      <c r="V892" s="87">
        <v>155</v>
      </c>
      <c r="W892" s="93" t="s">
        <v>6485</v>
      </c>
      <c r="X892" s="92" t="str">
        <f>HYPERLINK("https://ecbr.io/18og8hn")</f>
        <v>https://ecbr.io/18og8hn</v>
      </c>
      <c r="Y892" s="87" t="s">
        <v>8430</v>
      </c>
      <c r="Z892" s="87"/>
      <c r="AA892" s="87" t="s">
        <v>9170</v>
      </c>
      <c r="AB892" s="87" t="s">
        <v>11448</v>
      </c>
      <c r="AC892" s="93" t="s">
        <v>11457</v>
      </c>
      <c r="AD892" s="87" t="s">
        <v>11519</v>
      </c>
      <c r="AE892" s="92" t="str">
        <f>HYPERLINK("https://twitter.com/ecommerce_br/status/1691031911542489088")</f>
        <v>https://twitter.com/ecommerce_br/status/1691031911542489088</v>
      </c>
      <c r="AF892" s="90">
        <v>45152.430555555555</v>
      </c>
      <c r="AG892" s="99">
        <v>45152</v>
      </c>
      <c r="AH892" s="93" t="s">
        <v>12363</v>
      </c>
      <c r="AI892" s="87" t="b">
        <v>0</v>
      </c>
      <c r="AJ892" s="87"/>
      <c r="AK892" s="87"/>
      <c r="AL892" s="87"/>
      <c r="AM892" s="87"/>
      <c r="AN892" s="87"/>
      <c r="AO892" s="87"/>
      <c r="AP892" s="87"/>
      <c r="AQ892" s="87" t="s">
        <v>15983</v>
      </c>
      <c r="AR892" s="87"/>
      <c r="AS892" s="87"/>
      <c r="AT892" s="87"/>
      <c r="AU892" s="87"/>
      <c r="AV892" s="92" t="str">
        <f>HYPERLINK("https://pbs.twimg.com/media/F3RpHtBWIAESHcB.jpg")</f>
        <v>https://pbs.twimg.com/media/F3RpHtBWIAESHcB.jpg</v>
      </c>
      <c r="AW892" s="93" t="s">
        <v>19135</v>
      </c>
      <c r="AX892" s="93" t="s">
        <v>19135</v>
      </c>
      <c r="AY892" s="87"/>
      <c r="AZ892" s="93" t="s">
        <v>22668</v>
      </c>
      <c r="BA892" s="93" t="s">
        <v>22668</v>
      </c>
      <c r="BB892" s="93" t="s">
        <v>22668</v>
      </c>
      <c r="BC892" s="93" t="s">
        <v>19135</v>
      </c>
      <c r="BD892" s="87">
        <v>225006023</v>
      </c>
      <c r="BE892" s="87"/>
      <c r="BF892" s="87"/>
      <c r="BG892" s="87"/>
      <c r="BH892" s="87"/>
      <c r="BI892" s="87"/>
    </row>
    <row r="893" spans="1:61" x14ac:dyDescent="0.25">
      <c r="A893" s="63" t="s">
        <v>556</v>
      </c>
      <c r="B893" s="63" t="s">
        <v>556</v>
      </c>
      <c r="C893" s="64"/>
      <c r="D893" s="65"/>
      <c r="E893" s="66"/>
      <c r="F893" s="67"/>
      <c r="G893" s="64"/>
      <c r="H893" s="68"/>
      <c r="I893" s="69"/>
      <c r="J893" s="69"/>
      <c r="K893" s="32"/>
      <c r="L893" s="76">
        <v>893</v>
      </c>
      <c r="M893" s="76"/>
      <c r="N893" s="71"/>
      <c r="O893" s="87" t="s">
        <v>179</v>
      </c>
      <c r="P893" s="90">
        <v>45113.146724537037</v>
      </c>
      <c r="Q893" s="87" t="s">
        <v>2713</v>
      </c>
      <c r="R893" s="87">
        <v>0</v>
      </c>
      <c r="S893" s="87">
        <v>0</v>
      </c>
      <c r="T893" s="87">
        <v>0</v>
      </c>
      <c r="U893" s="87">
        <v>0</v>
      </c>
      <c r="V893" s="87">
        <v>35</v>
      </c>
      <c r="W893" s="93" t="s">
        <v>6486</v>
      </c>
      <c r="X893" s="92" t="str">
        <f>HYPERLINK("https://www.vakinha.com.br/vaquinha/me-ajude-a-montar-meu-primeiro-mini-curso")</f>
        <v>https://www.vakinha.com.br/vaquinha/me-ajude-a-montar-meu-primeiro-mini-curso</v>
      </c>
      <c r="Y893" s="87" t="s">
        <v>8373</v>
      </c>
      <c r="Z893" s="87"/>
      <c r="AA893" s="87"/>
      <c r="AB893" s="87"/>
      <c r="AC893" s="93" t="s">
        <v>11457</v>
      </c>
      <c r="AD893" s="87" t="s">
        <v>11519</v>
      </c>
      <c r="AE893" s="92" t="str">
        <f>HYPERLINK("https://twitter.com/aquarianae_etc/status/1676795928945065984")</f>
        <v>https://twitter.com/aquarianae_etc/status/1676795928945065984</v>
      </c>
      <c r="AF893" s="90">
        <v>45113.146724537037</v>
      </c>
      <c r="AG893" s="99">
        <v>45113</v>
      </c>
      <c r="AH893" s="93" t="s">
        <v>12364</v>
      </c>
      <c r="AI893" s="87" t="b">
        <v>0</v>
      </c>
      <c r="AJ893" s="87"/>
      <c r="AK893" s="87"/>
      <c r="AL893" s="87"/>
      <c r="AM893" s="87"/>
      <c r="AN893" s="87"/>
      <c r="AO893" s="87"/>
      <c r="AP893" s="87"/>
      <c r="AQ893" s="87"/>
      <c r="AR893" s="87"/>
      <c r="AS893" s="87"/>
      <c r="AT893" s="87"/>
      <c r="AU893" s="87"/>
      <c r="AV893" s="92" t="str">
        <f>HYPERLINK("https://pbs.twimg.com/profile_images/1601628531078959105/ARxtB0Jr_normal.jpg")</f>
        <v>https://pbs.twimg.com/profile_images/1601628531078959105/ARxtB0Jr_normal.jpg</v>
      </c>
      <c r="AW893" s="93" t="s">
        <v>19136</v>
      </c>
      <c r="AX893" s="93" t="s">
        <v>19136</v>
      </c>
      <c r="AY893" s="87"/>
      <c r="AZ893" s="93" t="s">
        <v>22668</v>
      </c>
      <c r="BA893" s="93" t="s">
        <v>22668</v>
      </c>
      <c r="BB893" s="93" t="s">
        <v>22668</v>
      </c>
      <c r="BC893" s="93" t="s">
        <v>19136</v>
      </c>
      <c r="BD893" s="93" t="s">
        <v>22981</v>
      </c>
      <c r="BE893" s="87"/>
      <c r="BF893" s="87"/>
      <c r="BG893" s="87"/>
      <c r="BH893" s="87"/>
      <c r="BI893" s="87"/>
    </row>
    <row r="894" spans="1:61" x14ac:dyDescent="0.25">
      <c r="A894" s="63" t="s">
        <v>557</v>
      </c>
      <c r="B894" s="63" t="s">
        <v>557</v>
      </c>
      <c r="C894" s="64"/>
      <c r="D894" s="65"/>
      <c r="E894" s="66"/>
      <c r="F894" s="67"/>
      <c r="G894" s="64"/>
      <c r="H894" s="68"/>
      <c r="I894" s="69"/>
      <c r="J894" s="69"/>
      <c r="K894" s="32"/>
      <c r="L894" s="76">
        <v>894</v>
      </c>
      <c r="M894" s="76"/>
      <c r="N894" s="71"/>
      <c r="O894" s="87" t="s">
        <v>179</v>
      </c>
      <c r="P894" s="90">
        <v>45113.500011574077</v>
      </c>
      <c r="Q894" s="87" t="s">
        <v>2714</v>
      </c>
      <c r="R894" s="87">
        <v>0</v>
      </c>
      <c r="S894" s="87">
        <v>0</v>
      </c>
      <c r="T894" s="87">
        <v>0</v>
      </c>
      <c r="U894" s="87">
        <v>0</v>
      </c>
      <c r="V894" s="87">
        <v>43</v>
      </c>
      <c r="W894" s="93" t="s">
        <v>6487</v>
      </c>
      <c r="X894" s="87"/>
      <c r="Y894" s="87"/>
      <c r="Z894" s="87"/>
      <c r="AA894" s="87" t="s">
        <v>9171</v>
      </c>
      <c r="AB894" s="87" t="s">
        <v>11447</v>
      </c>
      <c r="AC894" s="93" t="s">
        <v>11457</v>
      </c>
      <c r="AD894" s="87" t="s">
        <v>11519</v>
      </c>
      <c r="AE894" s="92" t="str">
        <f>HYPERLINK("https://twitter.com/venezianolopes/status/1676923956929126400")</f>
        <v>https://twitter.com/venezianolopes/status/1676923956929126400</v>
      </c>
      <c r="AF894" s="90">
        <v>45113.500011574077</v>
      </c>
      <c r="AG894" s="99">
        <v>45113</v>
      </c>
      <c r="AH894" s="93" t="s">
        <v>12091</v>
      </c>
      <c r="AI894" s="87" t="b">
        <v>0</v>
      </c>
      <c r="AJ894" s="87"/>
      <c r="AK894" s="87"/>
      <c r="AL894" s="87"/>
      <c r="AM894" s="87"/>
      <c r="AN894" s="87"/>
      <c r="AO894" s="87"/>
      <c r="AP894" s="87"/>
      <c r="AQ894" s="87" t="s">
        <v>15984</v>
      </c>
      <c r="AR894" s="87">
        <v>51252</v>
      </c>
      <c r="AS894" s="87"/>
      <c r="AT894" s="87"/>
      <c r="AU894" s="87"/>
      <c r="AV894" s="92" t="str">
        <f>HYPERLINK("https://pbs.twimg.com/ext_tw_video_thumb/1676699650131099650/pu/img/RVHzhM07LEd1WpQw.jpg")</f>
        <v>https://pbs.twimg.com/ext_tw_video_thumb/1676699650131099650/pu/img/RVHzhM07LEd1WpQw.jpg</v>
      </c>
      <c r="AW894" s="93" t="s">
        <v>19137</v>
      </c>
      <c r="AX894" s="93" t="s">
        <v>19137</v>
      </c>
      <c r="AY894" s="87"/>
      <c r="AZ894" s="93" t="s">
        <v>22668</v>
      </c>
      <c r="BA894" s="93" t="s">
        <v>22668</v>
      </c>
      <c r="BB894" s="93" t="s">
        <v>22668</v>
      </c>
      <c r="BC894" s="93" t="s">
        <v>19137</v>
      </c>
      <c r="BD894" s="93" t="s">
        <v>22982</v>
      </c>
      <c r="BE894" s="87"/>
      <c r="BF894" s="87"/>
      <c r="BG894" s="87"/>
      <c r="BH894" s="87"/>
      <c r="BI894" s="87"/>
    </row>
    <row r="895" spans="1:61" x14ac:dyDescent="0.25">
      <c r="A895" s="63" t="s">
        <v>557</v>
      </c>
      <c r="B895" s="63" t="s">
        <v>557</v>
      </c>
      <c r="C895" s="64"/>
      <c r="D895" s="65"/>
      <c r="E895" s="66"/>
      <c r="F895" s="67"/>
      <c r="G895" s="64"/>
      <c r="H895" s="68"/>
      <c r="I895" s="69"/>
      <c r="J895" s="69"/>
      <c r="K895" s="32"/>
      <c r="L895" s="76">
        <v>895</v>
      </c>
      <c r="M895" s="76"/>
      <c r="N895" s="71"/>
      <c r="O895" s="87" t="s">
        <v>179</v>
      </c>
      <c r="P895" s="90">
        <v>45112.879201388889</v>
      </c>
      <c r="Q895" s="87" t="s">
        <v>2715</v>
      </c>
      <c r="R895" s="87">
        <v>0</v>
      </c>
      <c r="S895" s="87">
        <v>0</v>
      </c>
      <c r="T895" s="87">
        <v>0</v>
      </c>
      <c r="U895" s="87">
        <v>0</v>
      </c>
      <c r="V895" s="87">
        <v>33</v>
      </c>
      <c r="W895" s="93" t="s">
        <v>6487</v>
      </c>
      <c r="X895" s="87"/>
      <c r="Y895" s="87"/>
      <c r="Z895" s="87"/>
      <c r="AA895" s="87" t="s">
        <v>9172</v>
      </c>
      <c r="AB895" s="87" t="s">
        <v>11447</v>
      </c>
      <c r="AC895" s="93" t="s">
        <v>11457</v>
      </c>
      <c r="AD895" s="87" t="s">
        <v>11519</v>
      </c>
      <c r="AE895" s="92" t="str">
        <f>HYPERLINK("https://twitter.com/venezianolopes/status/1676698982322405377")</f>
        <v>https://twitter.com/venezianolopes/status/1676698982322405377</v>
      </c>
      <c r="AF895" s="90">
        <v>45112.879201388889</v>
      </c>
      <c r="AG895" s="99">
        <v>45112</v>
      </c>
      <c r="AH895" s="93" t="s">
        <v>12365</v>
      </c>
      <c r="AI895" s="87" t="b">
        <v>0</v>
      </c>
      <c r="AJ895" s="87"/>
      <c r="AK895" s="87"/>
      <c r="AL895" s="87"/>
      <c r="AM895" s="87"/>
      <c r="AN895" s="87"/>
      <c r="AO895" s="87"/>
      <c r="AP895" s="87"/>
      <c r="AQ895" s="87" t="s">
        <v>15985</v>
      </c>
      <c r="AR895" s="87">
        <v>47047</v>
      </c>
      <c r="AS895" s="87"/>
      <c r="AT895" s="87"/>
      <c r="AU895" s="87"/>
      <c r="AV895" s="92" t="str">
        <f>HYPERLINK("https://pbs.twimg.com/ext_tw_video_thumb/1676698867197255682/pu/img/RNEtFLZcEjYCEB-V.jpg")</f>
        <v>https://pbs.twimg.com/ext_tw_video_thumb/1676698867197255682/pu/img/RNEtFLZcEjYCEB-V.jpg</v>
      </c>
      <c r="AW895" s="93" t="s">
        <v>19138</v>
      </c>
      <c r="AX895" s="93" t="s">
        <v>19138</v>
      </c>
      <c r="AY895" s="87"/>
      <c r="AZ895" s="93" t="s">
        <v>22668</v>
      </c>
      <c r="BA895" s="93" t="s">
        <v>22668</v>
      </c>
      <c r="BB895" s="93" t="s">
        <v>22668</v>
      </c>
      <c r="BC895" s="93" t="s">
        <v>19138</v>
      </c>
      <c r="BD895" s="93" t="s">
        <v>22982</v>
      </c>
      <c r="BE895" s="87"/>
      <c r="BF895" s="87"/>
      <c r="BG895" s="87"/>
      <c r="BH895" s="87"/>
      <c r="BI895" s="87"/>
    </row>
    <row r="896" spans="1:61" x14ac:dyDescent="0.25">
      <c r="A896" s="63" t="s">
        <v>557</v>
      </c>
      <c r="B896" s="63" t="s">
        <v>557</v>
      </c>
      <c r="C896" s="64"/>
      <c r="D896" s="65"/>
      <c r="E896" s="66"/>
      <c r="F896" s="67"/>
      <c r="G896" s="64"/>
      <c r="H896" s="68"/>
      <c r="I896" s="69"/>
      <c r="J896" s="69"/>
      <c r="K896" s="32"/>
      <c r="L896" s="76">
        <v>896</v>
      </c>
      <c r="M896" s="76"/>
      <c r="N896" s="71"/>
      <c r="O896" s="87" t="s">
        <v>179</v>
      </c>
      <c r="P896" s="90">
        <v>45137.500023148146</v>
      </c>
      <c r="Q896" s="87" t="s">
        <v>2716</v>
      </c>
      <c r="R896" s="87">
        <v>0</v>
      </c>
      <c r="S896" s="87">
        <v>0</v>
      </c>
      <c r="T896" s="87">
        <v>0</v>
      </c>
      <c r="U896" s="87">
        <v>0</v>
      </c>
      <c r="V896" s="87">
        <v>21</v>
      </c>
      <c r="W896" s="93" t="s">
        <v>6488</v>
      </c>
      <c r="X896" s="87"/>
      <c r="Y896" s="87"/>
      <c r="Z896" s="87"/>
      <c r="AA896" s="87" t="s">
        <v>9173</v>
      </c>
      <c r="AB896" s="87" t="s">
        <v>11447</v>
      </c>
      <c r="AC896" s="93" t="s">
        <v>11457</v>
      </c>
      <c r="AD896" s="87" t="s">
        <v>11519</v>
      </c>
      <c r="AE896" s="92" t="str">
        <f>HYPERLINK("https://twitter.com/venezianolopes/status/1685621268622524416")</f>
        <v>https://twitter.com/venezianolopes/status/1685621268622524416</v>
      </c>
      <c r="AF896" s="90">
        <v>45137.500023148146</v>
      </c>
      <c r="AG896" s="99">
        <v>45137</v>
      </c>
      <c r="AH896" s="93" t="s">
        <v>12090</v>
      </c>
      <c r="AI896" s="87" t="b">
        <v>0</v>
      </c>
      <c r="AJ896" s="87"/>
      <c r="AK896" s="87"/>
      <c r="AL896" s="87"/>
      <c r="AM896" s="87"/>
      <c r="AN896" s="87"/>
      <c r="AO896" s="87"/>
      <c r="AP896" s="87"/>
      <c r="AQ896" s="87" t="s">
        <v>15986</v>
      </c>
      <c r="AR896" s="87">
        <v>69397</v>
      </c>
      <c r="AS896" s="87"/>
      <c r="AT896" s="87"/>
      <c r="AU896" s="87"/>
      <c r="AV896" s="92" t="str">
        <f>HYPERLINK("https://pbs.twimg.com/ext_tw_video_thumb/1684974192872091648/pu/img/E2mPxpZd9tJxYzhe.jpg")</f>
        <v>https://pbs.twimg.com/ext_tw_video_thumb/1684974192872091648/pu/img/E2mPxpZd9tJxYzhe.jpg</v>
      </c>
      <c r="AW896" s="93" t="s">
        <v>19139</v>
      </c>
      <c r="AX896" s="93" t="s">
        <v>19139</v>
      </c>
      <c r="AY896" s="87"/>
      <c r="AZ896" s="93" t="s">
        <v>22668</v>
      </c>
      <c r="BA896" s="93" t="s">
        <v>22668</v>
      </c>
      <c r="BB896" s="93" t="s">
        <v>22668</v>
      </c>
      <c r="BC896" s="93" t="s">
        <v>19139</v>
      </c>
      <c r="BD896" s="93" t="s">
        <v>22982</v>
      </c>
      <c r="BE896" s="87"/>
      <c r="BF896" s="87"/>
      <c r="BG896" s="87"/>
      <c r="BH896" s="87"/>
      <c r="BI896" s="87"/>
    </row>
    <row r="897" spans="1:61" x14ac:dyDescent="0.25">
      <c r="A897" s="63" t="s">
        <v>558</v>
      </c>
      <c r="B897" s="63" t="s">
        <v>1656</v>
      </c>
      <c r="C897" s="64"/>
      <c r="D897" s="65"/>
      <c r="E897" s="66"/>
      <c r="F897" s="67"/>
      <c r="G897" s="64"/>
      <c r="H897" s="68"/>
      <c r="I897" s="69"/>
      <c r="J897" s="69"/>
      <c r="K897" s="32"/>
      <c r="L897" s="76">
        <v>897</v>
      </c>
      <c r="M897" s="76"/>
      <c r="N897" s="71"/>
      <c r="O897" s="87" t="s">
        <v>1839</v>
      </c>
      <c r="P897" s="90">
        <v>45124.622106481482</v>
      </c>
      <c r="Q897" s="87" t="s">
        <v>2717</v>
      </c>
      <c r="R897" s="87">
        <v>0</v>
      </c>
      <c r="S897" s="87">
        <v>0</v>
      </c>
      <c r="T897" s="87">
        <v>0</v>
      </c>
      <c r="U897" s="87">
        <v>0</v>
      </c>
      <c r="V897" s="87">
        <v>204</v>
      </c>
      <c r="W897" s="93" t="s">
        <v>6489</v>
      </c>
      <c r="X897" s="87"/>
      <c r="Y897" s="87"/>
      <c r="Z897" s="87" t="s">
        <v>1656</v>
      </c>
      <c r="AA897" s="87" t="s">
        <v>9174</v>
      </c>
      <c r="AB897" s="87" t="s">
        <v>11448</v>
      </c>
      <c r="AC897" s="93" t="s">
        <v>11458</v>
      </c>
      <c r="AD897" s="87" t="s">
        <v>11519</v>
      </c>
      <c r="AE897" s="92" t="str">
        <f>HYPERLINK("https://twitter.com/msiqueirarafael/status/1680954469301776386")</f>
        <v>https://twitter.com/msiqueirarafael/status/1680954469301776386</v>
      </c>
      <c r="AF897" s="90">
        <v>45124.622106481482</v>
      </c>
      <c r="AG897" s="99">
        <v>45124</v>
      </c>
      <c r="AH897" s="93" t="s">
        <v>12366</v>
      </c>
      <c r="AI897" s="87" t="b">
        <v>0</v>
      </c>
      <c r="AJ897" s="87"/>
      <c r="AK897" s="87"/>
      <c r="AL897" s="87"/>
      <c r="AM897" s="87"/>
      <c r="AN897" s="87"/>
      <c r="AO897" s="87"/>
      <c r="AP897" s="87"/>
      <c r="AQ897" s="87" t="s">
        <v>15987</v>
      </c>
      <c r="AR897" s="87"/>
      <c r="AS897" s="87"/>
      <c r="AT897" s="87"/>
      <c r="AU897" s="87"/>
      <c r="AV897" s="92" t="str">
        <f>HYPERLINK("https://pbs.twimg.com/media/F1PzLcGWYAEhwIl.jpg")</f>
        <v>https://pbs.twimg.com/media/F1PzLcGWYAEhwIl.jpg</v>
      </c>
      <c r="AW897" s="93" t="s">
        <v>19140</v>
      </c>
      <c r="AX897" s="93" t="s">
        <v>19140</v>
      </c>
      <c r="AY897" s="87"/>
      <c r="AZ897" s="93" t="s">
        <v>22668</v>
      </c>
      <c r="BA897" s="93" t="s">
        <v>22668</v>
      </c>
      <c r="BB897" s="93" t="s">
        <v>22668</v>
      </c>
      <c r="BC897" s="93" t="s">
        <v>19140</v>
      </c>
      <c r="BD897" s="93" t="s">
        <v>22983</v>
      </c>
      <c r="BE897" s="87"/>
      <c r="BF897" s="87"/>
      <c r="BG897" s="87"/>
      <c r="BH897" s="87"/>
      <c r="BI897" s="87"/>
    </row>
    <row r="898" spans="1:61" x14ac:dyDescent="0.25">
      <c r="A898" s="63" t="s">
        <v>558</v>
      </c>
      <c r="B898" s="63" t="s">
        <v>558</v>
      </c>
      <c r="C898" s="64"/>
      <c r="D898" s="65"/>
      <c r="E898" s="66"/>
      <c r="F898" s="67"/>
      <c r="G898" s="64"/>
      <c r="H898" s="68"/>
      <c r="I898" s="69"/>
      <c r="J898" s="69"/>
      <c r="K898" s="32"/>
      <c r="L898" s="76">
        <v>898</v>
      </c>
      <c r="M898" s="76"/>
      <c r="N898" s="71"/>
      <c r="O898" s="87" t="s">
        <v>179</v>
      </c>
      <c r="P898" s="90">
        <v>45182.782824074071</v>
      </c>
      <c r="Q898" s="87" t="s">
        <v>2718</v>
      </c>
      <c r="R898" s="87">
        <v>0</v>
      </c>
      <c r="S898" s="87">
        <v>0</v>
      </c>
      <c r="T898" s="87">
        <v>0</v>
      </c>
      <c r="U898" s="87">
        <v>0</v>
      </c>
      <c r="V898" s="87">
        <v>150</v>
      </c>
      <c r="W898" s="93" t="s">
        <v>6490</v>
      </c>
      <c r="X898" s="87"/>
      <c r="Y898" s="87"/>
      <c r="Z898" s="87"/>
      <c r="AA898" s="87" t="s">
        <v>9175</v>
      </c>
      <c r="AB898" s="87" t="s">
        <v>11448</v>
      </c>
      <c r="AC898" s="93" t="s">
        <v>11458</v>
      </c>
      <c r="AD898" s="87" t="s">
        <v>11519</v>
      </c>
      <c r="AE898" s="92" t="str">
        <f>HYPERLINK("https://twitter.com/msiqueirarafael/status/1702031206026522792")</f>
        <v>https://twitter.com/msiqueirarafael/status/1702031206026522792</v>
      </c>
      <c r="AF898" s="90">
        <v>45182.782824074071</v>
      </c>
      <c r="AG898" s="99">
        <v>45182</v>
      </c>
      <c r="AH898" s="93" t="s">
        <v>12367</v>
      </c>
      <c r="AI898" s="87" t="b">
        <v>0</v>
      </c>
      <c r="AJ898" s="87"/>
      <c r="AK898" s="87"/>
      <c r="AL898" s="87"/>
      <c r="AM898" s="87"/>
      <c r="AN898" s="87"/>
      <c r="AO898" s="87"/>
      <c r="AP898" s="87"/>
      <c r="AQ898" s="87" t="s">
        <v>15988</v>
      </c>
      <c r="AR898" s="87"/>
      <c r="AS898" s="87"/>
      <c r="AT898" s="87"/>
      <c r="AU898" s="87"/>
      <c r="AV898" s="92" t="str">
        <f>HYPERLINK("https://pbs.twimg.com/media/F57UW8DW0AA1ajq.jpg")</f>
        <v>https://pbs.twimg.com/media/F57UW8DW0AA1ajq.jpg</v>
      </c>
      <c r="AW898" s="93" t="s">
        <v>19141</v>
      </c>
      <c r="AX898" s="93" t="s">
        <v>19141</v>
      </c>
      <c r="AY898" s="87"/>
      <c r="AZ898" s="93" t="s">
        <v>22668</v>
      </c>
      <c r="BA898" s="93" t="s">
        <v>22668</v>
      </c>
      <c r="BB898" s="93" t="s">
        <v>22668</v>
      </c>
      <c r="BC898" s="93" t="s">
        <v>19141</v>
      </c>
      <c r="BD898" s="93" t="s">
        <v>22983</v>
      </c>
      <c r="BE898" s="87"/>
      <c r="BF898" s="87"/>
      <c r="BG898" s="87"/>
      <c r="BH898" s="87"/>
      <c r="BI898" s="87"/>
    </row>
    <row r="899" spans="1:61" x14ac:dyDescent="0.25">
      <c r="A899" s="63" t="s">
        <v>559</v>
      </c>
      <c r="B899" s="63" t="s">
        <v>559</v>
      </c>
      <c r="C899" s="64"/>
      <c r="D899" s="65"/>
      <c r="E899" s="66"/>
      <c r="F899" s="67"/>
      <c r="G899" s="64"/>
      <c r="H899" s="68"/>
      <c r="I899" s="69"/>
      <c r="J899" s="69"/>
      <c r="K899" s="32"/>
      <c r="L899" s="76">
        <v>899</v>
      </c>
      <c r="M899" s="76"/>
      <c r="N899" s="71"/>
      <c r="O899" s="87" t="s">
        <v>179</v>
      </c>
      <c r="P899" s="90">
        <v>45163.333333333336</v>
      </c>
      <c r="Q899" s="87" t="s">
        <v>2719</v>
      </c>
      <c r="R899" s="87">
        <v>0</v>
      </c>
      <c r="S899" s="87">
        <v>3</v>
      </c>
      <c r="T899" s="87">
        <v>1</v>
      </c>
      <c r="U899" s="87">
        <v>0</v>
      </c>
      <c r="V899" s="87">
        <v>965</v>
      </c>
      <c r="W899" s="93" t="s">
        <v>6491</v>
      </c>
      <c r="X899" s="87"/>
      <c r="Y899" s="87"/>
      <c r="Z899" s="87"/>
      <c r="AA899" s="87" t="s">
        <v>9176</v>
      </c>
      <c r="AB899" s="87" t="s">
        <v>11447</v>
      </c>
      <c r="AC899" s="93" t="s">
        <v>11468</v>
      </c>
      <c r="AD899" s="87" t="s">
        <v>11519</v>
      </c>
      <c r="AE899" s="92" t="str">
        <f>HYPERLINK("https://twitter.com/jovempanentrete/status/1694982948964208949")</f>
        <v>https://twitter.com/jovempanentrete/status/1694982948964208949</v>
      </c>
      <c r="AF899" s="90">
        <v>45163.333333333336</v>
      </c>
      <c r="AG899" s="99">
        <v>45163</v>
      </c>
      <c r="AH899" s="93" t="s">
        <v>12368</v>
      </c>
      <c r="AI899" s="87" t="b">
        <v>0</v>
      </c>
      <c r="AJ899" s="87"/>
      <c r="AK899" s="87"/>
      <c r="AL899" s="87"/>
      <c r="AM899" s="87"/>
      <c r="AN899" s="87"/>
      <c r="AO899" s="87"/>
      <c r="AP899" s="87"/>
      <c r="AQ899" s="87" t="s">
        <v>15989</v>
      </c>
      <c r="AR899" s="87">
        <v>262873</v>
      </c>
      <c r="AS899" s="87"/>
      <c r="AT899" s="87"/>
      <c r="AU899" s="87"/>
      <c r="AV899" s="92" t="str">
        <f>HYPERLINK("https://pbs.twimg.com/amplify_video_thumb/1694779980754964480/img/DHhEQ9dtD7ffFI1J.jpg")</f>
        <v>https://pbs.twimg.com/amplify_video_thumb/1694779980754964480/img/DHhEQ9dtD7ffFI1J.jpg</v>
      </c>
      <c r="AW899" s="93" t="s">
        <v>19142</v>
      </c>
      <c r="AX899" s="93" t="s">
        <v>19142</v>
      </c>
      <c r="AY899" s="87"/>
      <c r="AZ899" s="93" t="s">
        <v>22668</v>
      </c>
      <c r="BA899" s="93" t="s">
        <v>22668</v>
      </c>
      <c r="BB899" s="93" t="s">
        <v>22668</v>
      </c>
      <c r="BC899" s="93" t="s">
        <v>19142</v>
      </c>
      <c r="BD899" s="87">
        <v>27900594</v>
      </c>
      <c r="BE899" s="87"/>
      <c r="BF899" s="87"/>
      <c r="BG899" s="87"/>
      <c r="BH899" s="87"/>
      <c r="BI899" s="87"/>
    </row>
    <row r="900" spans="1:61" x14ac:dyDescent="0.25">
      <c r="A900" s="63" t="s">
        <v>559</v>
      </c>
      <c r="B900" s="63" t="s">
        <v>559</v>
      </c>
      <c r="C900" s="64"/>
      <c r="D900" s="65"/>
      <c r="E900" s="66"/>
      <c r="F900" s="67"/>
      <c r="G900" s="64"/>
      <c r="H900" s="68"/>
      <c r="I900" s="69"/>
      <c r="J900" s="69"/>
      <c r="K900" s="32"/>
      <c r="L900" s="76">
        <v>900</v>
      </c>
      <c r="M900" s="76"/>
      <c r="N900" s="71"/>
      <c r="O900" s="87" t="s">
        <v>179</v>
      </c>
      <c r="P900" s="90">
        <v>45182.333333333336</v>
      </c>
      <c r="Q900" s="87" t="s">
        <v>2720</v>
      </c>
      <c r="R900" s="87">
        <v>0</v>
      </c>
      <c r="S900" s="87">
        <v>1</v>
      </c>
      <c r="T900" s="87">
        <v>0</v>
      </c>
      <c r="U900" s="87">
        <v>0</v>
      </c>
      <c r="V900" s="87">
        <v>882</v>
      </c>
      <c r="W900" s="93" t="s">
        <v>6492</v>
      </c>
      <c r="X900" s="87"/>
      <c r="Y900" s="87"/>
      <c r="Z900" s="87"/>
      <c r="AA900" s="87" t="s">
        <v>9177</v>
      </c>
      <c r="AB900" s="87" t="s">
        <v>11447</v>
      </c>
      <c r="AC900" s="93" t="s">
        <v>11468</v>
      </c>
      <c r="AD900" s="87" t="s">
        <v>11519</v>
      </c>
      <c r="AE900" s="92" t="str">
        <f>HYPERLINK("https://twitter.com/jovempanentrete/status/1701868318427349477")</f>
        <v>https://twitter.com/jovempanentrete/status/1701868318427349477</v>
      </c>
      <c r="AF900" s="90">
        <v>45182.333333333336</v>
      </c>
      <c r="AG900" s="99">
        <v>45182</v>
      </c>
      <c r="AH900" s="93" t="s">
        <v>12368</v>
      </c>
      <c r="AI900" s="87" t="b">
        <v>0</v>
      </c>
      <c r="AJ900" s="87"/>
      <c r="AK900" s="87"/>
      <c r="AL900" s="87"/>
      <c r="AM900" s="87"/>
      <c r="AN900" s="87"/>
      <c r="AO900" s="87"/>
      <c r="AP900" s="87"/>
      <c r="AQ900" s="87" t="s">
        <v>15990</v>
      </c>
      <c r="AR900" s="87">
        <v>271466</v>
      </c>
      <c r="AS900" s="87"/>
      <c r="AT900" s="87"/>
      <c r="AU900" s="87"/>
      <c r="AV900" s="92" t="str">
        <f>HYPERLINK("https://pbs.twimg.com/amplify_video_thumb/1701688672779665408/img/38i71JbzK83_z1ME.jpg")</f>
        <v>https://pbs.twimg.com/amplify_video_thumb/1701688672779665408/img/38i71JbzK83_z1ME.jpg</v>
      </c>
      <c r="AW900" s="93" t="s">
        <v>19143</v>
      </c>
      <c r="AX900" s="93" t="s">
        <v>19143</v>
      </c>
      <c r="AY900" s="87"/>
      <c r="AZ900" s="93" t="s">
        <v>22668</v>
      </c>
      <c r="BA900" s="93" t="s">
        <v>22668</v>
      </c>
      <c r="BB900" s="93" t="s">
        <v>22668</v>
      </c>
      <c r="BC900" s="93" t="s">
        <v>19143</v>
      </c>
      <c r="BD900" s="87">
        <v>27900594</v>
      </c>
      <c r="BE900" s="87"/>
      <c r="BF900" s="87"/>
      <c r="BG900" s="87"/>
      <c r="BH900" s="87"/>
      <c r="BI900" s="87"/>
    </row>
    <row r="901" spans="1:61" x14ac:dyDescent="0.25">
      <c r="A901" s="63" t="s">
        <v>559</v>
      </c>
      <c r="B901" s="63" t="s">
        <v>559</v>
      </c>
      <c r="C901" s="64"/>
      <c r="D901" s="65"/>
      <c r="E901" s="66"/>
      <c r="F901" s="67"/>
      <c r="G901" s="64"/>
      <c r="H901" s="68"/>
      <c r="I901" s="69"/>
      <c r="J901" s="69"/>
      <c r="K901" s="32"/>
      <c r="L901" s="76">
        <v>901</v>
      </c>
      <c r="M901" s="76"/>
      <c r="N901" s="71"/>
      <c r="O901" s="87" t="s">
        <v>179</v>
      </c>
      <c r="P901" s="90">
        <v>45175.416666666664</v>
      </c>
      <c r="Q901" s="87" t="s">
        <v>2721</v>
      </c>
      <c r="R901" s="87">
        <v>0</v>
      </c>
      <c r="S901" s="87">
        <v>1</v>
      </c>
      <c r="T901" s="87">
        <v>0</v>
      </c>
      <c r="U901" s="87">
        <v>0</v>
      </c>
      <c r="V901" s="87">
        <v>781</v>
      </c>
      <c r="W901" s="93" t="s">
        <v>6493</v>
      </c>
      <c r="X901" s="87"/>
      <c r="Y901" s="87"/>
      <c r="Z901" s="87"/>
      <c r="AA901" s="87" t="s">
        <v>9178</v>
      </c>
      <c r="AB901" s="87" t="s">
        <v>11447</v>
      </c>
      <c r="AC901" s="93" t="s">
        <v>11468</v>
      </c>
      <c r="AD901" s="87" t="s">
        <v>11519</v>
      </c>
      <c r="AE901" s="92" t="str">
        <f>HYPERLINK("https://twitter.com/jovempanentrete/status/1699361801077403975")</f>
        <v>https://twitter.com/jovempanentrete/status/1699361801077403975</v>
      </c>
      <c r="AF901" s="90">
        <v>45175.416666666664</v>
      </c>
      <c r="AG901" s="99">
        <v>45175</v>
      </c>
      <c r="AH901" s="93" t="s">
        <v>12369</v>
      </c>
      <c r="AI901" s="87" t="b">
        <v>0</v>
      </c>
      <c r="AJ901" s="87"/>
      <c r="AK901" s="87"/>
      <c r="AL901" s="87"/>
      <c r="AM901" s="87"/>
      <c r="AN901" s="87"/>
      <c r="AO901" s="87"/>
      <c r="AP901" s="87"/>
      <c r="AQ901" s="87" t="s">
        <v>15991</v>
      </c>
      <c r="AR901" s="87">
        <v>165465</v>
      </c>
      <c r="AS901" s="87"/>
      <c r="AT901" s="87"/>
      <c r="AU901" s="87"/>
      <c r="AV901" s="92" t="str">
        <f>HYPERLINK("https://pbs.twimg.com/amplify_video_thumb/1699147249106780160/img/GNZ03LZjbxzRPLCk.jpg")</f>
        <v>https://pbs.twimg.com/amplify_video_thumb/1699147249106780160/img/GNZ03LZjbxzRPLCk.jpg</v>
      </c>
      <c r="AW901" s="93" t="s">
        <v>19144</v>
      </c>
      <c r="AX901" s="93" t="s">
        <v>19144</v>
      </c>
      <c r="AY901" s="87"/>
      <c r="AZ901" s="93" t="s">
        <v>22668</v>
      </c>
      <c r="BA901" s="93" t="s">
        <v>22668</v>
      </c>
      <c r="BB901" s="93" t="s">
        <v>22668</v>
      </c>
      <c r="BC901" s="93" t="s">
        <v>19144</v>
      </c>
      <c r="BD901" s="87">
        <v>27900594</v>
      </c>
      <c r="BE901" s="87"/>
      <c r="BF901" s="87"/>
      <c r="BG901" s="87"/>
      <c r="BH901" s="87"/>
      <c r="BI901" s="87"/>
    </row>
    <row r="902" spans="1:61" x14ac:dyDescent="0.25">
      <c r="A902" s="63" t="s">
        <v>559</v>
      </c>
      <c r="B902" s="63" t="s">
        <v>559</v>
      </c>
      <c r="C902" s="64"/>
      <c r="D902" s="65"/>
      <c r="E902" s="66"/>
      <c r="F902" s="67"/>
      <c r="G902" s="64"/>
      <c r="H902" s="68"/>
      <c r="I902" s="69"/>
      <c r="J902" s="69"/>
      <c r="K902" s="32"/>
      <c r="L902" s="76">
        <v>902</v>
      </c>
      <c r="M902" s="76"/>
      <c r="N902" s="71"/>
      <c r="O902" s="87" t="s">
        <v>179</v>
      </c>
      <c r="P902" s="90">
        <v>45181.333356481482</v>
      </c>
      <c r="Q902" s="87" t="s">
        <v>2722</v>
      </c>
      <c r="R902" s="87">
        <v>0</v>
      </c>
      <c r="S902" s="87">
        <v>1</v>
      </c>
      <c r="T902" s="87">
        <v>0</v>
      </c>
      <c r="U902" s="87">
        <v>0</v>
      </c>
      <c r="V902" s="87">
        <v>859</v>
      </c>
      <c r="W902" s="93" t="s">
        <v>6494</v>
      </c>
      <c r="X902" s="87"/>
      <c r="Y902" s="87"/>
      <c r="Z902" s="87"/>
      <c r="AA902" s="87" t="s">
        <v>9179</v>
      </c>
      <c r="AB902" s="87" t="s">
        <v>11447</v>
      </c>
      <c r="AC902" s="93" t="s">
        <v>11468</v>
      </c>
      <c r="AD902" s="87" t="s">
        <v>11519</v>
      </c>
      <c r="AE902" s="92" t="str">
        <f>HYPERLINK("https://twitter.com/jovempanentrete/status/1701505935728894411")</f>
        <v>https://twitter.com/jovempanentrete/status/1701505935728894411</v>
      </c>
      <c r="AF902" s="90">
        <v>45181.333356481482</v>
      </c>
      <c r="AG902" s="99">
        <v>45181</v>
      </c>
      <c r="AH902" s="93" t="s">
        <v>12370</v>
      </c>
      <c r="AI902" s="87" t="b">
        <v>0</v>
      </c>
      <c r="AJ902" s="87"/>
      <c r="AK902" s="87"/>
      <c r="AL902" s="87"/>
      <c r="AM902" s="87"/>
      <c r="AN902" s="87"/>
      <c r="AO902" s="87"/>
      <c r="AP902" s="87"/>
      <c r="AQ902" s="87" t="s">
        <v>15992</v>
      </c>
      <c r="AR902" s="87">
        <v>140062</v>
      </c>
      <c r="AS902" s="87"/>
      <c r="AT902" s="87"/>
      <c r="AU902" s="87"/>
      <c r="AV902" s="92" t="str">
        <f>HYPERLINK("https://pbs.twimg.com/amplify_video_thumb/1701322279056244737/img/GXwsdzyzXcTC0r4P.jpg")</f>
        <v>https://pbs.twimg.com/amplify_video_thumb/1701322279056244737/img/GXwsdzyzXcTC0r4P.jpg</v>
      </c>
      <c r="AW902" s="93" t="s">
        <v>19145</v>
      </c>
      <c r="AX902" s="93" t="s">
        <v>19145</v>
      </c>
      <c r="AY902" s="87"/>
      <c r="AZ902" s="93" t="s">
        <v>22668</v>
      </c>
      <c r="BA902" s="93" t="s">
        <v>22668</v>
      </c>
      <c r="BB902" s="93" t="s">
        <v>22668</v>
      </c>
      <c r="BC902" s="93" t="s">
        <v>19145</v>
      </c>
      <c r="BD902" s="87">
        <v>27900594</v>
      </c>
      <c r="BE902" s="87"/>
      <c r="BF902" s="87"/>
      <c r="BG902" s="87"/>
      <c r="BH902" s="87"/>
      <c r="BI902" s="87"/>
    </row>
    <row r="903" spans="1:61" x14ac:dyDescent="0.25">
      <c r="A903" s="63" t="s">
        <v>560</v>
      </c>
      <c r="B903" s="63" t="s">
        <v>560</v>
      </c>
      <c r="C903" s="64"/>
      <c r="D903" s="65"/>
      <c r="E903" s="66"/>
      <c r="F903" s="67"/>
      <c r="G903" s="64"/>
      <c r="H903" s="68"/>
      <c r="I903" s="69"/>
      <c r="J903" s="69"/>
      <c r="K903" s="32"/>
      <c r="L903" s="76">
        <v>903</v>
      </c>
      <c r="M903" s="76"/>
      <c r="N903" s="71"/>
      <c r="O903" s="87" t="s">
        <v>179</v>
      </c>
      <c r="P903" s="90">
        <v>45128.678368055553</v>
      </c>
      <c r="Q903" s="87" t="s">
        <v>2723</v>
      </c>
      <c r="R903" s="87">
        <v>0</v>
      </c>
      <c r="S903" s="87">
        <v>0</v>
      </c>
      <c r="T903" s="87">
        <v>0</v>
      </c>
      <c r="U903" s="87">
        <v>0</v>
      </c>
      <c r="V903" s="87">
        <v>7</v>
      </c>
      <c r="W903" s="93" t="s">
        <v>6495</v>
      </c>
      <c r="X903" s="87"/>
      <c r="Y903" s="87"/>
      <c r="Z903" s="87"/>
      <c r="AA903" s="87" t="s">
        <v>9180</v>
      </c>
      <c r="AB903" s="87" t="s">
        <v>11449</v>
      </c>
      <c r="AC903" s="93" t="s">
        <v>11457</v>
      </c>
      <c r="AD903" s="87" t="s">
        <v>11519</v>
      </c>
      <c r="AE903" s="92" t="str">
        <f>HYPERLINK("https://twitter.com/bastetmktbr/status/1682424409477337088")</f>
        <v>https://twitter.com/bastetmktbr/status/1682424409477337088</v>
      </c>
      <c r="AF903" s="90">
        <v>45128.678368055553</v>
      </c>
      <c r="AG903" s="99">
        <v>45128</v>
      </c>
      <c r="AH903" s="93" t="s">
        <v>12371</v>
      </c>
      <c r="AI903" s="87" t="b">
        <v>0</v>
      </c>
      <c r="AJ903" s="87"/>
      <c r="AK903" s="87"/>
      <c r="AL903" s="87"/>
      <c r="AM903" s="87"/>
      <c r="AN903" s="87"/>
      <c r="AO903" s="87"/>
      <c r="AP903" s="87"/>
      <c r="AQ903" s="87" t="s">
        <v>15993</v>
      </c>
      <c r="AR903" s="87"/>
      <c r="AS903" s="87"/>
      <c r="AT903" s="87"/>
      <c r="AU903" s="87"/>
      <c r="AV903" s="92" t="str">
        <f>HYPERLINK("https://pbs.twimg.com/media/F1ksEp9WcAIcpMC.jpg")</f>
        <v>https://pbs.twimg.com/media/F1ksEp9WcAIcpMC.jpg</v>
      </c>
      <c r="AW903" s="93" t="s">
        <v>19146</v>
      </c>
      <c r="AX903" s="93" t="s">
        <v>19146</v>
      </c>
      <c r="AY903" s="87"/>
      <c r="AZ903" s="93" t="s">
        <v>22668</v>
      </c>
      <c r="BA903" s="93" t="s">
        <v>22668</v>
      </c>
      <c r="BB903" s="93" t="s">
        <v>22668</v>
      </c>
      <c r="BC903" s="93" t="s">
        <v>19146</v>
      </c>
      <c r="BD903" s="93" t="s">
        <v>22544</v>
      </c>
      <c r="BE903" s="87"/>
      <c r="BF903" s="87"/>
      <c r="BG903" s="87"/>
      <c r="BH903" s="87"/>
      <c r="BI903" s="87"/>
    </row>
    <row r="904" spans="1:61" x14ac:dyDescent="0.25">
      <c r="A904" s="63" t="s">
        <v>560</v>
      </c>
      <c r="B904" s="63" t="s">
        <v>560</v>
      </c>
      <c r="C904" s="64"/>
      <c r="D904" s="65"/>
      <c r="E904" s="66"/>
      <c r="F904" s="67"/>
      <c r="G904" s="64"/>
      <c r="H904" s="68"/>
      <c r="I904" s="69"/>
      <c r="J904" s="69"/>
      <c r="K904" s="32"/>
      <c r="L904" s="76">
        <v>904</v>
      </c>
      <c r="M904" s="76"/>
      <c r="N904" s="71"/>
      <c r="O904" s="87" t="s">
        <v>1840</v>
      </c>
      <c r="P904" s="90">
        <v>45133.612592592595</v>
      </c>
      <c r="Q904" s="87" t="s">
        <v>2724</v>
      </c>
      <c r="R904" s="87">
        <v>0</v>
      </c>
      <c r="S904" s="87">
        <v>0</v>
      </c>
      <c r="T904" s="87">
        <v>0</v>
      </c>
      <c r="U904" s="87">
        <v>0</v>
      </c>
      <c r="V904" s="87">
        <v>2</v>
      </c>
      <c r="W904" s="93" t="s">
        <v>6496</v>
      </c>
      <c r="X904" s="87"/>
      <c r="Y904" s="87"/>
      <c r="Z904" s="87"/>
      <c r="AA904" s="87"/>
      <c r="AB904" s="87"/>
      <c r="AC904" s="93" t="s">
        <v>11457</v>
      </c>
      <c r="AD904" s="87" t="s">
        <v>11524</v>
      </c>
      <c r="AE904" s="92" t="str">
        <f>HYPERLINK("https://twitter.com/bastetmktbr/status/1684212511510351875")</f>
        <v>https://twitter.com/bastetmktbr/status/1684212511510351875</v>
      </c>
      <c r="AF904" s="90">
        <v>45133.612592592595</v>
      </c>
      <c r="AG904" s="99">
        <v>45133</v>
      </c>
      <c r="AH904" s="93" t="s">
        <v>12372</v>
      </c>
      <c r="AI904" s="87"/>
      <c r="AJ904" s="87"/>
      <c r="AK904" s="87"/>
      <c r="AL904" s="87"/>
      <c r="AM904" s="87"/>
      <c r="AN904" s="87"/>
      <c r="AO904" s="87"/>
      <c r="AP904" s="87"/>
      <c r="AQ904" s="87"/>
      <c r="AR904" s="87"/>
      <c r="AS904" s="87"/>
      <c r="AT904" s="87"/>
      <c r="AU904" s="87"/>
      <c r="AV904" s="92" t="str">
        <f>HYPERLINK("https://pbs.twimg.com/profile_images/1695464927132004353/fquqA7M3_normal.jpg")</f>
        <v>https://pbs.twimg.com/profile_images/1695464927132004353/fquqA7M3_normal.jpg</v>
      </c>
      <c r="AW904" s="93" t="s">
        <v>19147</v>
      </c>
      <c r="AX904" s="93" t="s">
        <v>22337</v>
      </c>
      <c r="AY904" s="93" t="s">
        <v>22544</v>
      </c>
      <c r="AZ904" s="93" t="s">
        <v>22337</v>
      </c>
      <c r="BA904" s="93" t="s">
        <v>22668</v>
      </c>
      <c r="BB904" s="93" t="s">
        <v>22668</v>
      </c>
      <c r="BC904" s="93" t="s">
        <v>22337</v>
      </c>
      <c r="BD904" s="93" t="s">
        <v>22544</v>
      </c>
      <c r="BE904" s="87"/>
      <c r="BF904" s="87"/>
      <c r="BG904" s="87"/>
      <c r="BH904" s="87"/>
      <c r="BI904" s="87"/>
    </row>
    <row r="905" spans="1:61" x14ac:dyDescent="0.25">
      <c r="A905" s="63" t="s">
        <v>560</v>
      </c>
      <c r="B905" s="63" t="s">
        <v>560</v>
      </c>
      <c r="C905" s="64"/>
      <c r="D905" s="65"/>
      <c r="E905" s="66"/>
      <c r="F905" s="67"/>
      <c r="G905" s="64"/>
      <c r="H905" s="68"/>
      <c r="I905" s="69"/>
      <c r="J905" s="69"/>
      <c r="K905" s="32"/>
      <c r="L905" s="76">
        <v>905</v>
      </c>
      <c r="M905" s="76"/>
      <c r="N905" s="71"/>
      <c r="O905" s="87" t="s">
        <v>179</v>
      </c>
      <c r="P905" s="90">
        <v>45124.622685185182</v>
      </c>
      <c r="Q905" s="87" t="s">
        <v>2725</v>
      </c>
      <c r="R905" s="87">
        <v>0</v>
      </c>
      <c r="S905" s="87">
        <v>0</v>
      </c>
      <c r="T905" s="87">
        <v>0</v>
      </c>
      <c r="U905" s="87">
        <v>0</v>
      </c>
      <c r="V905" s="87">
        <v>7</v>
      </c>
      <c r="W905" s="93" t="s">
        <v>6497</v>
      </c>
      <c r="X905" s="87"/>
      <c r="Y905" s="87"/>
      <c r="Z905" s="87"/>
      <c r="AA905" s="87"/>
      <c r="AB905" s="87"/>
      <c r="AC905" s="93" t="s">
        <v>11457</v>
      </c>
      <c r="AD905" s="87" t="s">
        <v>11519</v>
      </c>
      <c r="AE905" s="92" t="str">
        <f>HYPERLINK("https://twitter.com/bastetmktbr/status/1680954678157225985")</f>
        <v>https://twitter.com/bastetmktbr/status/1680954678157225985</v>
      </c>
      <c r="AF905" s="90">
        <v>45124.622685185182</v>
      </c>
      <c r="AG905" s="99">
        <v>45124</v>
      </c>
      <c r="AH905" s="93" t="s">
        <v>12373</v>
      </c>
      <c r="AI905" s="87"/>
      <c r="AJ905" s="87"/>
      <c r="AK905" s="87"/>
      <c r="AL905" s="87"/>
      <c r="AM905" s="87"/>
      <c r="AN905" s="87"/>
      <c r="AO905" s="87"/>
      <c r="AP905" s="87"/>
      <c r="AQ905" s="87"/>
      <c r="AR905" s="87"/>
      <c r="AS905" s="87"/>
      <c r="AT905" s="87"/>
      <c r="AU905" s="87"/>
      <c r="AV905" s="92" t="str">
        <f>HYPERLINK("https://pbs.twimg.com/profile_images/1695464927132004353/fquqA7M3_normal.jpg")</f>
        <v>https://pbs.twimg.com/profile_images/1695464927132004353/fquqA7M3_normal.jpg</v>
      </c>
      <c r="AW905" s="93" t="s">
        <v>19148</v>
      </c>
      <c r="AX905" s="93" t="s">
        <v>19148</v>
      </c>
      <c r="AY905" s="87"/>
      <c r="AZ905" s="93" t="s">
        <v>22668</v>
      </c>
      <c r="BA905" s="93" t="s">
        <v>22668</v>
      </c>
      <c r="BB905" s="93" t="s">
        <v>22668</v>
      </c>
      <c r="BC905" s="93" t="s">
        <v>19148</v>
      </c>
      <c r="BD905" s="93" t="s">
        <v>22544</v>
      </c>
      <c r="BE905" s="87"/>
      <c r="BF905" s="87"/>
      <c r="BG905" s="87"/>
      <c r="BH905" s="87"/>
      <c r="BI905" s="87"/>
    </row>
    <row r="906" spans="1:61" x14ac:dyDescent="0.25">
      <c r="A906" s="63" t="s">
        <v>560</v>
      </c>
      <c r="B906" s="63" t="s">
        <v>560</v>
      </c>
      <c r="C906" s="64"/>
      <c r="D906" s="65"/>
      <c r="E906" s="66"/>
      <c r="F906" s="67"/>
      <c r="G906" s="64"/>
      <c r="H906" s="68"/>
      <c r="I906" s="69"/>
      <c r="J906" s="69"/>
      <c r="K906" s="32"/>
      <c r="L906" s="76">
        <v>906</v>
      </c>
      <c r="M906" s="76"/>
      <c r="N906" s="71"/>
      <c r="O906" s="87" t="s">
        <v>1840</v>
      </c>
      <c r="P906" s="90">
        <v>45126.668344907404</v>
      </c>
      <c r="Q906" s="87" t="s">
        <v>2726</v>
      </c>
      <c r="R906" s="87">
        <v>0</v>
      </c>
      <c r="S906" s="87">
        <v>0</v>
      </c>
      <c r="T906" s="87">
        <v>0</v>
      </c>
      <c r="U906" s="87">
        <v>0</v>
      </c>
      <c r="V906" s="87">
        <v>3</v>
      </c>
      <c r="W906" s="93" t="s">
        <v>6496</v>
      </c>
      <c r="X906" s="87"/>
      <c r="Y906" s="87"/>
      <c r="Z906" s="87"/>
      <c r="AA906" s="87"/>
      <c r="AB906" s="87"/>
      <c r="AC906" s="93" t="s">
        <v>11457</v>
      </c>
      <c r="AD906" s="87" t="s">
        <v>11519</v>
      </c>
      <c r="AE906" s="92" t="str">
        <f>HYPERLINK("https://twitter.com/bastetmktbr/status/1681696001214541826")</f>
        <v>https://twitter.com/bastetmktbr/status/1681696001214541826</v>
      </c>
      <c r="AF906" s="90">
        <v>45126.668344907404</v>
      </c>
      <c r="AG906" s="99">
        <v>45126</v>
      </c>
      <c r="AH906" s="93" t="s">
        <v>12374</v>
      </c>
      <c r="AI906" s="87"/>
      <c r="AJ906" s="87"/>
      <c r="AK906" s="87"/>
      <c r="AL906" s="87"/>
      <c r="AM906" s="87"/>
      <c r="AN906" s="87"/>
      <c r="AO906" s="87"/>
      <c r="AP906" s="87"/>
      <c r="AQ906" s="87"/>
      <c r="AR906" s="87"/>
      <c r="AS906" s="87"/>
      <c r="AT906" s="87"/>
      <c r="AU906" s="87"/>
      <c r="AV906" s="92" t="str">
        <f>HYPERLINK("https://pbs.twimg.com/profile_images/1695464927132004353/fquqA7M3_normal.jpg")</f>
        <v>https://pbs.twimg.com/profile_images/1695464927132004353/fquqA7M3_normal.jpg</v>
      </c>
      <c r="AW906" s="93" t="s">
        <v>19149</v>
      </c>
      <c r="AX906" s="93" t="s">
        <v>22338</v>
      </c>
      <c r="AY906" s="93" t="s">
        <v>22544</v>
      </c>
      <c r="AZ906" s="93" t="s">
        <v>22338</v>
      </c>
      <c r="BA906" s="93" t="s">
        <v>22668</v>
      </c>
      <c r="BB906" s="93" t="s">
        <v>22668</v>
      </c>
      <c r="BC906" s="93" t="s">
        <v>22338</v>
      </c>
      <c r="BD906" s="93" t="s">
        <v>22544</v>
      </c>
      <c r="BE906" s="87"/>
      <c r="BF906" s="87"/>
      <c r="BG906" s="87"/>
      <c r="BH906" s="87"/>
      <c r="BI906" s="87"/>
    </row>
    <row r="907" spans="1:61" x14ac:dyDescent="0.25">
      <c r="A907" s="63" t="s">
        <v>560</v>
      </c>
      <c r="B907" s="63" t="s">
        <v>560</v>
      </c>
      <c r="C907" s="64"/>
      <c r="D907" s="65"/>
      <c r="E907" s="66"/>
      <c r="F907" s="67"/>
      <c r="G907" s="64"/>
      <c r="H907" s="68"/>
      <c r="I907" s="69"/>
      <c r="J907" s="69"/>
      <c r="K907" s="32"/>
      <c r="L907" s="76">
        <v>907</v>
      </c>
      <c r="M907" s="76"/>
      <c r="N907" s="71"/>
      <c r="O907" s="87" t="s">
        <v>1840</v>
      </c>
      <c r="P907" s="90">
        <v>45131.669814814813</v>
      </c>
      <c r="Q907" s="87" t="s">
        <v>2727</v>
      </c>
      <c r="R907" s="87">
        <v>0</v>
      </c>
      <c r="S907" s="87">
        <v>0</v>
      </c>
      <c r="T907" s="87">
        <v>0</v>
      </c>
      <c r="U907" s="87">
        <v>0</v>
      </c>
      <c r="V907" s="87">
        <v>27</v>
      </c>
      <c r="W907" s="93" t="s">
        <v>6498</v>
      </c>
      <c r="X907" s="87"/>
      <c r="Y907" s="87"/>
      <c r="Z907" s="87"/>
      <c r="AA907" s="87" t="s">
        <v>9181</v>
      </c>
      <c r="AB907" s="87" t="s">
        <v>11448</v>
      </c>
      <c r="AC907" s="93" t="s">
        <v>11457</v>
      </c>
      <c r="AD907" s="87" t="s">
        <v>11519</v>
      </c>
      <c r="AE907" s="92" t="str">
        <f>HYPERLINK("https://twitter.com/bastetmktbr/status/1683508471944171521")</f>
        <v>https://twitter.com/bastetmktbr/status/1683508471944171521</v>
      </c>
      <c r="AF907" s="90">
        <v>45131.669814814813</v>
      </c>
      <c r="AG907" s="99">
        <v>45131</v>
      </c>
      <c r="AH907" s="93" t="s">
        <v>12375</v>
      </c>
      <c r="AI907" s="87" t="b">
        <v>0</v>
      </c>
      <c r="AJ907" s="87"/>
      <c r="AK907" s="87"/>
      <c r="AL907" s="87"/>
      <c r="AM907" s="87"/>
      <c r="AN907" s="87"/>
      <c r="AO907" s="87"/>
      <c r="AP907" s="87"/>
      <c r="AQ907" s="87" t="s">
        <v>15994</v>
      </c>
      <c r="AR907" s="87"/>
      <c r="AS907" s="87"/>
      <c r="AT907" s="87"/>
      <c r="AU907" s="87"/>
      <c r="AV907" s="92" t="str">
        <f>HYPERLINK("https://pbs.twimg.com/media/F10GA_AWYAAnrXK.jpg")</f>
        <v>https://pbs.twimg.com/media/F10GA_AWYAAnrXK.jpg</v>
      </c>
      <c r="AW907" s="93" t="s">
        <v>19150</v>
      </c>
      <c r="AX907" s="93" t="s">
        <v>22339</v>
      </c>
      <c r="AY907" s="93" t="s">
        <v>22544</v>
      </c>
      <c r="AZ907" s="93" t="s">
        <v>22339</v>
      </c>
      <c r="BA907" s="93" t="s">
        <v>22668</v>
      </c>
      <c r="BB907" s="93" t="s">
        <v>22668</v>
      </c>
      <c r="BC907" s="93" t="s">
        <v>22339</v>
      </c>
      <c r="BD907" s="93" t="s">
        <v>22544</v>
      </c>
      <c r="BE907" s="87"/>
      <c r="BF907" s="87"/>
      <c r="BG907" s="87"/>
      <c r="BH907" s="87"/>
      <c r="BI907" s="87"/>
    </row>
    <row r="908" spans="1:61" x14ac:dyDescent="0.25">
      <c r="A908" s="63" t="s">
        <v>561</v>
      </c>
      <c r="B908" s="63" t="s">
        <v>1624</v>
      </c>
      <c r="C908" s="64"/>
      <c r="D908" s="65"/>
      <c r="E908" s="66"/>
      <c r="F908" s="67"/>
      <c r="G908" s="64"/>
      <c r="H908" s="68"/>
      <c r="I908" s="69"/>
      <c r="J908" s="69"/>
      <c r="K908" s="32"/>
      <c r="L908" s="76">
        <v>908</v>
      </c>
      <c r="M908" s="76"/>
      <c r="N908" s="71"/>
      <c r="O908" s="87" t="s">
        <v>1839</v>
      </c>
      <c r="P908" s="90">
        <v>45115.890925925924</v>
      </c>
      <c r="Q908" s="87" t="s">
        <v>2728</v>
      </c>
      <c r="R908" s="87">
        <v>0</v>
      </c>
      <c r="S908" s="87">
        <v>0</v>
      </c>
      <c r="T908" s="87">
        <v>0</v>
      </c>
      <c r="U908" s="87">
        <v>0</v>
      </c>
      <c r="V908" s="87">
        <v>6</v>
      </c>
      <c r="W908" s="93" t="s">
        <v>6499</v>
      </c>
      <c r="X908" s="92" t="str">
        <f>HYPERLINK("https://youtu.be/MuFPQh4laVY")</f>
        <v>https://youtu.be/MuFPQh4laVY</v>
      </c>
      <c r="Y908" s="87" t="s">
        <v>8372</v>
      </c>
      <c r="Z908" s="87" t="s">
        <v>1624</v>
      </c>
      <c r="AA908" s="87"/>
      <c r="AB908" s="87"/>
      <c r="AC908" s="93" t="s">
        <v>11457</v>
      </c>
      <c r="AD908" s="87" t="s">
        <v>11519</v>
      </c>
      <c r="AE908" s="92" t="str">
        <f>HYPERLINK("https://twitter.com/negocproflucrat/status/1677790394522693634")</f>
        <v>https://twitter.com/negocproflucrat/status/1677790394522693634</v>
      </c>
      <c r="AF908" s="90">
        <v>45115.890925925924</v>
      </c>
      <c r="AG908" s="99">
        <v>45115</v>
      </c>
      <c r="AH908" s="93" t="s">
        <v>12376</v>
      </c>
      <c r="AI908" s="87" t="b">
        <v>0</v>
      </c>
      <c r="AJ908" s="87"/>
      <c r="AK908" s="87"/>
      <c r="AL908" s="87"/>
      <c r="AM908" s="87"/>
      <c r="AN908" s="87"/>
      <c r="AO908" s="87"/>
      <c r="AP908" s="87"/>
      <c r="AQ908" s="87"/>
      <c r="AR908" s="87"/>
      <c r="AS908" s="87"/>
      <c r="AT908" s="87"/>
      <c r="AU908" s="87"/>
      <c r="AV908" s="92" t="str">
        <f>HYPERLINK("https://pbs.twimg.com/profile_images/1671575104055123969/n_1z7u4O_normal.jpg")</f>
        <v>https://pbs.twimg.com/profile_images/1671575104055123969/n_1z7u4O_normal.jpg</v>
      </c>
      <c r="AW908" s="93" t="s">
        <v>19151</v>
      </c>
      <c r="AX908" s="93" t="s">
        <v>19151</v>
      </c>
      <c r="AY908" s="87"/>
      <c r="AZ908" s="93" t="s">
        <v>22668</v>
      </c>
      <c r="BA908" s="93" t="s">
        <v>22668</v>
      </c>
      <c r="BB908" s="93" t="s">
        <v>22668</v>
      </c>
      <c r="BC908" s="93" t="s">
        <v>19151</v>
      </c>
      <c r="BD908" s="93" t="s">
        <v>22984</v>
      </c>
      <c r="BE908" s="87"/>
      <c r="BF908" s="87"/>
      <c r="BG908" s="87"/>
      <c r="BH908" s="87"/>
      <c r="BI908" s="87"/>
    </row>
    <row r="909" spans="1:61" x14ac:dyDescent="0.25">
      <c r="A909" s="63" t="s">
        <v>562</v>
      </c>
      <c r="B909" s="63" t="s">
        <v>1367</v>
      </c>
      <c r="C909" s="64"/>
      <c r="D909" s="65"/>
      <c r="E909" s="66"/>
      <c r="F909" s="67"/>
      <c r="G909" s="64"/>
      <c r="H909" s="68"/>
      <c r="I909" s="69"/>
      <c r="J909" s="69"/>
      <c r="K909" s="32"/>
      <c r="L909" s="76">
        <v>909</v>
      </c>
      <c r="M909" s="76"/>
      <c r="N909" s="71"/>
      <c r="O909" s="87" t="s">
        <v>1841</v>
      </c>
      <c r="P909" s="90">
        <v>45190.551226851851</v>
      </c>
      <c r="Q909" s="87" t="s">
        <v>2090</v>
      </c>
      <c r="R909" s="87">
        <v>14</v>
      </c>
      <c r="S909" s="87">
        <v>0</v>
      </c>
      <c r="T909" s="87">
        <v>0</v>
      </c>
      <c r="U909" s="87">
        <v>0</v>
      </c>
      <c r="V909" s="87"/>
      <c r="W909" s="93" t="s">
        <v>6034</v>
      </c>
      <c r="X909" s="87"/>
      <c r="Y909" s="87"/>
      <c r="Z909" s="87" t="s">
        <v>1367</v>
      </c>
      <c r="AA909" s="87"/>
      <c r="AB909" s="87"/>
      <c r="AC909" s="93" t="s">
        <v>11459</v>
      </c>
      <c r="AD909" s="87" t="s">
        <v>11519</v>
      </c>
      <c r="AE909" s="92" t="str">
        <f>HYPERLINK("https://twitter.com/nanaydeliz/status/1704846379523199141")</f>
        <v>https://twitter.com/nanaydeliz/status/1704846379523199141</v>
      </c>
      <c r="AF909" s="90">
        <v>45190.551226851851</v>
      </c>
      <c r="AG909" s="99">
        <v>45190</v>
      </c>
      <c r="AH909" s="93" t="s">
        <v>12377</v>
      </c>
      <c r="AI909" s="87"/>
      <c r="AJ909" s="87"/>
      <c r="AK909" s="87"/>
      <c r="AL909" s="87"/>
      <c r="AM909" s="87"/>
      <c r="AN909" s="87"/>
      <c r="AO909" s="87"/>
      <c r="AP909" s="87"/>
      <c r="AQ909" s="87"/>
      <c r="AR909" s="87"/>
      <c r="AS909" s="87"/>
      <c r="AT909" s="87"/>
      <c r="AU909" s="87"/>
      <c r="AV909" s="92" t="str">
        <f>HYPERLINK("https://pbs.twimg.com/profile_images/1461762649797140491/Ba4yEMTt_normal.jpg")</f>
        <v>https://pbs.twimg.com/profile_images/1461762649797140491/Ba4yEMTt_normal.jpg</v>
      </c>
      <c r="AW909" s="93" t="s">
        <v>19152</v>
      </c>
      <c r="AX909" s="93" t="s">
        <v>19152</v>
      </c>
      <c r="AY909" s="87"/>
      <c r="AZ909" s="93" t="s">
        <v>22668</v>
      </c>
      <c r="BA909" s="93" t="s">
        <v>22668</v>
      </c>
      <c r="BB909" s="93" t="s">
        <v>21717</v>
      </c>
      <c r="BC909" s="93" t="s">
        <v>21717</v>
      </c>
      <c r="BD909" s="87">
        <v>445443302</v>
      </c>
      <c r="BE909" s="87"/>
      <c r="BF909" s="87"/>
      <c r="BG909" s="87"/>
      <c r="BH909" s="87"/>
      <c r="BI909" s="87"/>
    </row>
    <row r="910" spans="1:61" x14ac:dyDescent="0.25">
      <c r="A910" s="63" t="s">
        <v>563</v>
      </c>
      <c r="B910" s="63" t="s">
        <v>1585</v>
      </c>
      <c r="C910" s="64"/>
      <c r="D910" s="65"/>
      <c r="E910" s="66"/>
      <c r="F910" s="67"/>
      <c r="G910" s="64"/>
      <c r="H910" s="68"/>
      <c r="I910" s="69"/>
      <c r="J910" s="69"/>
      <c r="K910" s="32"/>
      <c r="L910" s="76">
        <v>910</v>
      </c>
      <c r="M910" s="76"/>
      <c r="N910" s="71"/>
      <c r="O910" s="87" t="s">
        <v>1841</v>
      </c>
      <c r="P910" s="90">
        <v>45190.134328703702</v>
      </c>
      <c r="Q910" s="87" t="s">
        <v>2729</v>
      </c>
      <c r="R910" s="87">
        <v>3</v>
      </c>
      <c r="S910" s="87">
        <v>0</v>
      </c>
      <c r="T910" s="87">
        <v>0</v>
      </c>
      <c r="U910" s="87">
        <v>0</v>
      </c>
      <c r="V910" s="87"/>
      <c r="W910" s="93" t="s">
        <v>6500</v>
      </c>
      <c r="X910" s="87"/>
      <c r="Y910" s="87"/>
      <c r="Z910" s="87" t="s">
        <v>1585</v>
      </c>
      <c r="AA910" s="87"/>
      <c r="AB910" s="87"/>
      <c r="AC910" s="93" t="s">
        <v>11458</v>
      </c>
      <c r="AD910" s="87" t="s">
        <v>11519</v>
      </c>
      <c r="AE910" s="92" t="str">
        <f>HYPERLINK("https://twitter.com/mariade10544965/status/1704695304182743068")</f>
        <v>https://twitter.com/mariade10544965/status/1704695304182743068</v>
      </c>
      <c r="AF910" s="90">
        <v>45190.134328703702</v>
      </c>
      <c r="AG910" s="99">
        <v>45190</v>
      </c>
      <c r="AH910" s="93" t="s">
        <v>12378</v>
      </c>
      <c r="AI910" s="87"/>
      <c r="AJ910" s="87"/>
      <c r="AK910" s="87"/>
      <c r="AL910" s="87"/>
      <c r="AM910" s="87"/>
      <c r="AN910" s="87"/>
      <c r="AO910" s="87"/>
      <c r="AP910" s="87"/>
      <c r="AQ910" s="87"/>
      <c r="AR910" s="87"/>
      <c r="AS910" s="87"/>
      <c r="AT910" s="87"/>
      <c r="AU910" s="87"/>
      <c r="AV910" s="92" t="str">
        <f>HYPERLINK("https://pbs.twimg.com/profile_images/1563232951915069442/E8b_dW67_normal.jpg")</f>
        <v>https://pbs.twimg.com/profile_images/1563232951915069442/E8b_dW67_normal.jpg</v>
      </c>
      <c r="AW910" s="93" t="s">
        <v>19153</v>
      </c>
      <c r="AX910" s="93" t="s">
        <v>19153</v>
      </c>
      <c r="AY910" s="87"/>
      <c r="AZ910" s="93" t="s">
        <v>22668</v>
      </c>
      <c r="BA910" s="93" t="s">
        <v>22668</v>
      </c>
      <c r="BB910" s="93" t="s">
        <v>22219</v>
      </c>
      <c r="BC910" s="93" t="s">
        <v>22219</v>
      </c>
      <c r="BD910" s="93" t="s">
        <v>22985</v>
      </c>
      <c r="BE910" s="87"/>
      <c r="BF910" s="87"/>
      <c r="BG910" s="87"/>
      <c r="BH910" s="87"/>
      <c r="BI910" s="87"/>
    </row>
    <row r="911" spans="1:61" x14ac:dyDescent="0.25">
      <c r="A911" s="63" t="s">
        <v>564</v>
      </c>
      <c r="B911" s="63" t="s">
        <v>1657</v>
      </c>
      <c r="C911" s="64"/>
      <c r="D911" s="65"/>
      <c r="E911" s="66"/>
      <c r="F911" s="67"/>
      <c r="G911" s="64"/>
      <c r="H911" s="68"/>
      <c r="I911" s="69"/>
      <c r="J911" s="69"/>
      <c r="K911" s="32"/>
      <c r="L911" s="76">
        <v>911</v>
      </c>
      <c r="M911" s="76"/>
      <c r="N911" s="71"/>
      <c r="O911" s="87" t="s">
        <v>1839</v>
      </c>
      <c r="P911" s="90">
        <v>45163.674143518518</v>
      </c>
      <c r="Q911" s="87" t="s">
        <v>2730</v>
      </c>
      <c r="R911" s="87">
        <v>0</v>
      </c>
      <c r="S911" s="87">
        <v>1</v>
      </c>
      <c r="T911" s="87">
        <v>1</v>
      </c>
      <c r="U911" s="87">
        <v>0</v>
      </c>
      <c r="V911" s="87">
        <v>18</v>
      </c>
      <c r="W911" s="93" t="s">
        <v>6501</v>
      </c>
      <c r="X911" s="92" t="str">
        <f>HYPERLINK("https://www.linkedin.com/pulse/regime-financeiro-para-times-nos-esports-victor-juver")</f>
        <v>https://www.linkedin.com/pulse/regime-financeiro-para-times-nos-esports-victor-juver</v>
      </c>
      <c r="Y911" s="87" t="s">
        <v>8377</v>
      </c>
      <c r="Z911" s="87" t="s">
        <v>1657</v>
      </c>
      <c r="AA911" s="87"/>
      <c r="AB911" s="87"/>
      <c r="AC911" s="93" t="s">
        <v>11457</v>
      </c>
      <c r="AD911" s="87" t="s">
        <v>11519</v>
      </c>
      <c r="AE911" s="92" t="str">
        <f>HYPERLINK("https://twitter.com/juveradvesports/status/1695106454267576483")</f>
        <v>https://twitter.com/juveradvesports/status/1695106454267576483</v>
      </c>
      <c r="AF911" s="90">
        <v>45163.674143518518</v>
      </c>
      <c r="AG911" s="99">
        <v>45163</v>
      </c>
      <c r="AH911" s="93" t="s">
        <v>12379</v>
      </c>
      <c r="AI911" s="87" t="b">
        <v>0</v>
      </c>
      <c r="AJ911" s="87"/>
      <c r="AK911" s="87"/>
      <c r="AL911" s="87"/>
      <c r="AM911" s="87"/>
      <c r="AN911" s="87"/>
      <c r="AO911" s="87"/>
      <c r="AP911" s="87"/>
      <c r="AQ911" s="87"/>
      <c r="AR911" s="87"/>
      <c r="AS911" s="87"/>
      <c r="AT911" s="87"/>
      <c r="AU911" s="87"/>
      <c r="AV911" s="92" t="str">
        <f>HYPERLINK("https://pbs.twimg.com/profile_images/1622973251105263616/I1i-j1Q-_normal.jpg")</f>
        <v>https://pbs.twimg.com/profile_images/1622973251105263616/I1i-j1Q-_normal.jpg</v>
      </c>
      <c r="AW911" s="93" t="s">
        <v>19154</v>
      </c>
      <c r="AX911" s="93" t="s">
        <v>19154</v>
      </c>
      <c r="AY911" s="87"/>
      <c r="AZ911" s="93" t="s">
        <v>22668</v>
      </c>
      <c r="BA911" s="93" t="s">
        <v>22668</v>
      </c>
      <c r="BB911" s="93" t="s">
        <v>22668</v>
      </c>
      <c r="BC911" s="93" t="s">
        <v>19154</v>
      </c>
      <c r="BD911" s="93" t="s">
        <v>22986</v>
      </c>
      <c r="BE911" s="87"/>
      <c r="BF911" s="87"/>
      <c r="BG911" s="87"/>
      <c r="BH911" s="87"/>
      <c r="BI911" s="87"/>
    </row>
    <row r="912" spans="1:61" x14ac:dyDescent="0.25">
      <c r="A912" s="63" t="s">
        <v>565</v>
      </c>
      <c r="B912" s="63" t="s">
        <v>565</v>
      </c>
      <c r="C912" s="64"/>
      <c r="D912" s="65"/>
      <c r="E912" s="66"/>
      <c r="F912" s="67"/>
      <c r="G912" s="64"/>
      <c r="H912" s="68"/>
      <c r="I912" s="69"/>
      <c r="J912" s="69"/>
      <c r="K912" s="32"/>
      <c r="L912" s="76">
        <v>912</v>
      </c>
      <c r="M912" s="76"/>
      <c r="N912" s="71"/>
      <c r="O912" s="87" t="s">
        <v>1840</v>
      </c>
      <c r="P912" s="90">
        <v>45140.801226851851</v>
      </c>
      <c r="Q912" s="87" t="s">
        <v>2731</v>
      </c>
      <c r="R912" s="87">
        <v>0</v>
      </c>
      <c r="S912" s="87">
        <v>1</v>
      </c>
      <c r="T912" s="87">
        <v>0</v>
      </c>
      <c r="U912" s="87">
        <v>0</v>
      </c>
      <c r="V912" s="87">
        <v>29</v>
      </c>
      <c r="W912" s="93" t="s">
        <v>6502</v>
      </c>
      <c r="X912" s="87"/>
      <c r="Y912" s="87"/>
      <c r="Z912" s="87"/>
      <c r="AA912" s="87"/>
      <c r="AB912" s="87"/>
      <c r="AC912" s="93" t="s">
        <v>11457</v>
      </c>
      <c r="AD912" s="87" t="s">
        <v>11524</v>
      </c>
      <c r="AE912" s="92" t="str">
        <f>HYPERLINK("https://twitter.com/inpibrasil/status/1686817584748838918")</f>
        <v>https://twitter.com/inpibrasil/status/1686817584748838918</v>
      </c>
      <c r="AF912" s="90">
        <v>45140.801226851851</v>
      </c>
      <c r="AG912" s="99">
        <v>45140</v>
      </c>
      <c r="AH912" s="93" t="s">
        <v>12380</v>
      </c>
      <c r="AI912" s="87"/>
      <c r="AJ912" s="87"/>
      <c r="AK912" s="87"/>
      <c r="AL912" s="87"/>
      <c r="AM912" s="87"/>
      <c r="AN912" s="87"/>
      <c r="AO912" s="87"/>
      <c r="AP912" s="87"/>
      <c r="AQ912" s="87"/>
      <c r="AR912" s="87"/>
      <c r="AS912" s="87"/>
      <c r="AT912" s="87"/>
      <c r="AU912" s="87"/>
      <c r="AV912" s="92" t="str">
        <f>HYPERLINK("https://pbs.twimg.com/profile_images/1587539651304329218/IMjpu6Np_normal.png")</f>
        <v>https://pbs.twimg.com/profile_images/1587539651304329218/IMjpu6Np_normal.png</v>
      </c>
      <c r="AW912" s="93" t="s">
        <v>19155</v>
      </c>
      <c r="AX912" s="93" t="s">
        <v>22340</v>
      </c>
      <c r="AY912" s="93" t="s">
        <v>22545</v>
      </c>
      <c r="AZ912" s="93" t="s">
        <v>22340</v>
      </c>
      <c r="BA912" s="93" t="s">
        <v>22668</v>
      </c>
      <c r="BB912" s="93" t="s">
        <v>22668</v>
      </c>
      <c r="BC912" s="93" t="s">
        <v>22340</v>
      </c>
      <c r="BD912" s="93" t="s">
        <v>22545</v>
      </c>
      <c r="BE912" s="87"/>
      <c r="BF912" s="87"/>
      <c r="BG912" s="87"/>
      <c r="BH912" s="87"/>
      <c r="BI912" s="87"/>
    </row>
    <row r="913" spans="1:61" x14ac:dyDescent="0.25">
      <c r="A913" s="63" t="s">
        <v>565</v>
      </c>
      <c r="B913" s="63" t="s">
        <v>565</v>
      </c>
      <c r="C913" s="64"/>
      <c r="D913" s="65"/>
      <c r="E913" s="66"/>
      <c r="F913" s="67"/>
      <c r="G913" s="64"/>
      <c r="H913" s="68"/>
      <c r="I913" s="69"/>
      <c r="J913" s="69"/>
      <c r="K913" s="32"/>
      <c r="L913" s="76">
        <v>913</v>
      </c>
      <c r="M913" s="76"/>
      <c r="N913" s="71"/>
      <c r="O913" s="87" t="s">
        <v>1840</v>
      </c>
      <c r="P913" s="90">
        <v>45162.728495370371</v>
      </c>
      <c r="Q913" s="87" t="s">
        <v>2732</v>
      </c>
      <c r="R913" s="87">
        <v>0</v>
      </c>
      <c r="S913" s="87">
        <v>0</v>
      </c>
      <c r="T913" s="87">
        <v>0</v>
      </c>
      <c r="U913" s="87">
        <v>0</v>
      </c>
      <c r="V913" s="87">
        <v>33</v>
      </c>
      <c r="W913" s="93" t="s">
        <v>6503</v>
      </c>
      <c r="X913" s="87"/>
      <c r="Y913" s="87"/>
      <c r="Z913" s="87"/>
      <c r="AA913" s="87" t="s">
        <v>9182</v>
      </c>
      <c r="AB913" s="87" t="s">
        <v>11448</v>
      </c>
      <c r="AC913" s="93" t="s">
        <v>11457</v>
      </c>
      <c r="AD913" s="87" t="s">
        <v>11519</v>
      </c>
      <c r="AE913" s="92" t="str">
        <f>HYPERLINK("https://twitter.com/inpibrasil/status/1694763759732916288")</f>
        <v>https://twitter.com/inpibrasil/status/1694763759732916288</v>
      </c>
      <c r="AF913" s="90">
        <v>45162.728495370371</v>
      </c>
      <c r="AG913" s="99">
        <v>45162</v>
      </c>
      <c r="AH913" s="93" t="s">
        <v>12381</v>
      </c>
      <c r="AI913" s="87" t="b">
        <v>0</v>
      </c>
      <c r="AJ913" s="87"/>
      <c r="AK913" s="87"/>
      <c r="AL913" s="87"/>
      <c r="AM913" s="87"/>
      <c r="AN913" s="87"/>
      <c r="AO913" s="87"/>
      <c r="AP913" s="87"/>
      <c r="AQ913" s="87" t="s">
        <v>15995</v>
      </c>
      <c r="AR913" s="87"/>
      <c r="AS913" s="87"/>
      <c r="AT913" s="87"/>
      <c r="AU913" s="87"/>
      <c r="AV913" s="92" t="str">
        <f>HYPERLINK("https://pbs.twimg.com/media/F4UClUNWQAAwgk5.jpg")</f>
        <v>https://pbs.twimg.com/media/F4UClUNWQAAwgk5.jpg</v>
      </c>
      <c r="AW913" s="93" t="s">
        <v>19156</v>
      </c>
      <c r="AX913" s="93" t="s">
        <v>22341</v>
      </c>
      <c r="AY913" s="93" t="s">
        <v>22545</v>
      </c>
      <c r="AZ913" s="93" t="s">
        <v>22695</v>
      </c>
      <c r="BA913" s="93" t="s">
        <v>22668</v>
      </c>
      <c r="BB913" s="93" t="s">
        <v>22668</v>
      </c>
      <c r="BC913" s="93" t="s">
        <v>22695</v>
      </c>
      <c r="BD913" s="93" t="s">
        <v>22545</v>
      </c>
      <c r="BE913" s="87"/>
      <c r="BF913" s="87"/>
      <c r="BG913" s="87"/>
      <c r="BH913" s="87"/>
      <c r="BI913" s="87"/>
    </row>
    <row r="914" spans="1:61" x14ac:dyDescent="0.25">
      <c r="A914" s="63" t="s">
        <v>565</v>
      </c>
      <c r="B914" s="63" t="s">
        <v>565</v>
      </c>
      <c r="C914" s="64"/>
      <c r="D914" s="65"/>
      <c r="E914" s="66"/>
      <c r="F914" s="67"/>
      <c r="G914" s="64"/>
      <c r="H914" s="68"/>
      <c r="I914" s="69"/>
      <c r="J914" s="69"/>
      <c r="K914" s="32"/>
      <c r="L914" s="76">
        <v>914</v>
      </c>
      <c r="M914" s="76"/>
      <c r="N914" s="71"/>
      <c r="O914" s="87" t="s">
        <v>1840</v>
      </c>
      <c r="P914" s="90">
        <v>45183.523854166669</v>
      </c>
      <c r="Q914" s="87" t="s">
        <v>2733</v>
      </c>
      <c r="R914" s="87">
        <v>0</v>
      </c>
      <c r="S914" s="87">
        <v>0</v>
      </c>
      <c r="T914" s="87">
        <v>0</v>
      </c>
      <c r="U914" s="87">
        <v>0</v>
      </c>
      <c r="V914" s="87">
        <v>30</v>
      </c>
      <c r="W914" s="93" t="s">
        <v>6503</v>
      </c>
      <c r="X914" s="87"/>
      <c r="Y914" s="87"/>
      <c r="Z914" s="87"/>
      <c r="AA914" s="87" t="s">
        <v>9183</v>
      </c>
      <c r="AB914" s="87" t="s">
        <v>11448</v>
      </c>
      <c r="AC914" s="93" t="s">
        <v>11457</v>
      </c>
      <c r="AD914" s="87" t="s">
        <v>11520</v>
      </c>
      <c r="AE914" s="92" t="str">
        <f>HYPERLINK("https://twitter.com/inpibrasil/status/1702299746168107497")</f>
        <v>https://twitter.com/inpibrasil/status/1702299746168107497</v>
      </c>
      <c r="AF914" s="90">
        <v>45183.523854166669</v>
      </c>
      <c r="AG914" s="99">
        <v>45183</v>
      </c>
      <c r="AH914" s="93" t="s">
        <v>12382</v>
      </c>
      <c r="AI914" s="87" t="b">
        <v>0</v>
      </c>
      <c r="AJ914" s="87"/>
      <c r="AK914" s="87"/>
      <c r="AL914" s="87"/>
      <c r="AM914" s="87"/>
      <c r="AN914" s="87"/>
      <c r="AO914" s="87"/>
      <c r="AP914" s="87"/>
      <c r="AQ914" s="87" t="s">
        <v>15996</v>
      </c>
      <c r="AR914" s="87"/>
      <c r="AS914" s="87"/>
      <c r="AT914" s="87"/>
      <c r="AU914" s="87"/>
      <c r="AV914" s="92" t="str">
        <f>HYPERLINK("https://pbs.twimg.com/media/F5_IiyUWYAAdeu9.jpg")</f>
        <v>https://pbs.twimg.com/media/F5_IiyUWYAAdeu9.jpg</v>
      </c>
      <c r="AW914" s="93" t="s">
        <v>19157</v>
      </c>
      <c r="AX914" s="93" t="s">
        <v>22342</v>
      </c>
      <c r="AY914" s="93" t="s">
        <v>22545</v>
      </c>
      <c r="AZ914" s="93" t="s">
        <v>22696</v>
      </c>
      <c r="BA914" s="93" t="s">
        <v>22668</v>
      </c>
      <c r="BB914" s="93" t="s">
        <v>22668</v>
      </c>
      <c r="BC914" s="93" t="s">
        <v>22696</v>
      </c>
      <c r="BD914" s="93" t="s">
        <v>22545</v>
      </c>
      <c r="BE914" s="87"/>
      <c r="BF914" s="87"/>
      <c r="BG914" s="87"/>
      <c r="BH914" s="87"/>
      <c r="BI914" s="87"/>
    </row>
    <row r="915" spans="1:61" x14ac:dyDescent="0.25">
      <c r="A915" s="63" t="s">
        <v>565</v>
      </c>
      <c r="B915" s="63" t="s">
        <v>565</v>
      </c>
      <c r="C915" s="64"/>
      <c r="D915" s="65"/>
      <c r="E915" s="66"/>
      <c r="F915" s="67"/>
      <c r="G915" s="64"/>
      <c r="H915" s="68"/>
      <c r="I915" s="69"/>
      <c r="J915" s="69"/>
      <c r="K915" s="32"/>
      <c r="L915" s="76">
        <v>915</v>
      </c>
      <c r="M915" s="76"/>
      <c r="N915" s="71"/>
      <c r="O915" s="87" t="s">
        <v>1840</v>
      </c>
      <c r="P915" s="90">
        <v>45177.578402777777</v>
      </c>
      <c r="Q915" s="87" t="s">
        <v>2734</v>
      </c>
      <c r="R915" s="87">
        <v>0</v>
      </c>
      <c r="S915" s="87">
        <v>1</v>
      </c>
      <c r="T915" s="87">
        <v>0</v>
      </c>
      <c r="U915" s="87">
        <v>0</v>
      </c>
      <c r="V915" s="87">
        <v>34</v>
      </c>
      <c r="W915" s="93" t="s">
        <v>6503</v>
      </c>
      <c r="X915" s="87"/>
      <c r="Y915" s="87"/>
      <c r="Z915" s="87"/>
      <c r="AA915" s="87" t="s">
        <v>9184</v>
      </c>
      <c r="AB915" s="87" t="s">
        <v>11448</v>
      </c>
      <c r="AC915" s="93" t="s">
        <v>11457</v>
      </c>
      <c r="AD915" s="87" t="s">
        <v>11519</v>
      </c>
      <c r="AE915" s="92" t="str">
        <f>HYPERLINK("https://twitter.com/inpibrasil/status/1700145186645422111")</f>
        <v>https://twitter.com/inpibrasil/status/1700145186645422111</v>
      </c>
      <c r="AF915" s="90">
        <v>45177.578402777777</v>
      </c>
      <c r="AG915" s="99">
        <v>45177</v>
      </c>
      <c r="AH915" s="93" t="s">
        <v>12383</v>
      </c>
      <c r="AI915" s="87" t="b">
        <v>0</v>
      </c>
      <c r="AJ915" s="87"/>
      <c r="AK915" s="87"/>
      <c r="AL915" s="87"/>
      <c r="AM915" s="87"/>
      <c r="AN915" s="87"/>
      <c r="AO915" s="87"/>
      <c r="AP915" s="87"/>
      <c r="AQ915" s="87" t="s">
        <v>15997</v>
      </c>
      <c r="AR915" s="87"/>
      <c r="AS915" s="87"/>
      <c r="AT915" s="87"/>
      <c r="AU915" s="87"/>
      <c r="AV915" s="92" t="str">
        <f>HYPERLINK("https://pbs.twimg.com/media/F5gg8G-W8AAvMda.jpg")</f>
        <v>https://pbs.twimg.com/media/F5gg8G-W8AAvMda.jpg</v>
      </c>
      <c r="AW915" s="93" t="s">
        <v>19158</v>
      </c>
      <c r="AX915" s="93" t="s">
        <v>22343</v>
      </c>
      <c r="AY915" s="93" t="s">
        <v>22545</v>
      </c>
      <c r="AZ915" s="93" t="s">
        <v>22697</v>
      </c>
      <c r="BA915" s="93" t="s">
        <v>22668</v>
      </c>
      <c r="BB915" s="93" t="s">
        <v>22668</v>
      </c>
      <c r="BC915" s="93" t="s">
        <v>22697</v>
      </c>
      <c r="BD915" s="93" t="s">
        <v>22545</v>
      </c>
      <c r="BE915" s="87"/>
      <c r="BF915" s="87"/>
      <c r="BG915" s="87"/>
      <c r="BH915" s="87"/>
      <c r="BI915" s="87"/>
    </row>
    <row r="916" spans="1:61" x14ac:dyDescent="0.25">
      <c r="A916" s="63" t="s">
        <v>565</v>
      </c>
      <c r="B916" s="63" t="s">
        <v>565</v>
      </c>
      <c r="C916" s="64"/>
      <c r="D916" s="65"/>
      <c r="E916" s="66"/>
      <c r="F916" s="67"/>
      <c r="G916" s="64"/>
      <c r="H916" s="68"/>
      <c r="I916" s="69"/>
      <c r="J916" s="69"/>
      <c r="K916" s="32"/>
      <c r="L916" s="76">
        <v>916</v>
      </c>
      <c r="M916" s="76"/>
      <c r="N916" s="71"/>
      <c r="O916" s="87" t="s">
        <v>1840</v>
      </c>
      <c r="P916" s="90">
        <v>45155.561481481483</v>
      </c>
      <c r="Q916" s="87" t="s">
        <v>2735</v>
      </c>
      <c r="R916" s="87">
        <v>0</v>
      </c>
      <c r="S916" s="87">
        <v>0</v>
      </c>
      <c r="T916" s="87">
        <v>0</v>
      </c>
      <c r="U916" s="87">
        <v>0</v>
      </c>
      <c r="V916" s="87">
        <v>31</v>
      </c>
      <c r="W916" s="93" t="s">
        <v>6503</v>
      </c>
      <c r="X916" s="87"/>
      <c r="Y916" s="87"/>
      <c r="Z916" s="87"/>
      <c r="AA916" s="87"/>
      <c r="AB916" s="87"/>
      <c r="AC916" s="93" t="s">
        <v>11457</v>
      </c>
      <c r="AD916" s="87" t="s">
        <v>11524</v>
      </c>
      <c r="AE916" s="92" t="str">
        <f>HYPERLINK("https://twitter.com/inpibrasil/status/1692166522574369066")</f>
        <v>https://twitter.com/inpibrasil/status/1692166522574369066</v>
      </c>
      <c r="AF916" s="90">
        <v>45155.561481481483</v>
      </c>
      <c r="AG916" s="99">
        <v>45155</v>
      </c>
      <c r="AH916" s="93" t="s">
        <v>12384</v>
      </c>
      <c r="AI916" s="87"/>
      <c r="AJ916" s="87"/>
      <c r="AK916" s="87"/>
      <c r="AL916" s="87"/>
      <c r="AM916" s="87"/>
      <c r="AN916" s="87"/>
      <c r="AO916" s="87"/>
      <c r="AP916" s="87"/>
      <c r="AQ916" s="87"/>
      <c r="AR916" s="87"/>
      <c r="AS916" s="87"/>
      <c r="AT916" s="87"/>
      <c r="AU916" s="87"/>
      <c r="AV916" s="92" t="str">
        <f>HYPERLINK("https://pbs.twimg.com/profile_images/1587539651304329218/IMjpu6Np_normal.png")</f>
        <v>https://pbs.twimg.com/profile_images/1587539651304329218/IMjpu6Np_normal.png</v>
      </c>
      <c r="AW916" s="93" t="s">
        <v>19159</v>
      </c>
      <c r="AX916" s="93" t="s">
        <v>22344</v>
      </c>
      <c r="AY916" s="93" t="s">
        <v>22545</v>
      </c>
      <c r="AZ916" s="93" t="s">
        <v>22698</v>
      </c>
      <c r="BA916" s="93" t="s">
        <v>22668</v>
      </c>
      <c r="BB916" s="93" t="s">
        <v>22668</v>
      </c>
      <c r="BC916" s="93" t="s">
        <v>22698</v>
      </c>
      <c r="BD916" s="93" t="s">
        <v>22545</v>
      </c>
      <c r="BE916" s="87"/>
      <c r="BF916" s="87"/>
      <c r="BG916" s="87"/>
      <c r="BH916" s="87"/>
      <c r="BI916" s="87"/>
    </row>
    <row r="917" spans="1:61" x14ac:dyDescent="0.25">
      <c r="A917" s="63" t="s">
        <v>566</v>
      </c>
      <c r="B917" s="63" t="s">
        <v>1658</v>
      </c>
      <c r="C917" s="64"/>
      <c r="D917" s="65"/>
      <c r="E917" s="66"/>
      <c r="F917" s="67"/>
      <c r="G917" s="64"/>
      <c r="H917" s="68"/>
      <c r="I917" s="69"/>
      <c r="J917" s="69"/>
      <c r="K917" s="32"/>
      <c r="L917" s="76">
        <v>917</v>
      </c>
      <c r="M917" s="76"/>
      <c r="N917" s="71"/>
      <c r="O917" s="87" t="s">
        <v>1839</v>
      </c>
      <c r="P917" s="90">
        <v>45134.969421296293</v>
      </c>
      <c r="Q917" s="87" t="s">
        <v>2736</v>
      </c>
      <c r="R917" s="87">
        <v>0</v>
      </c>
      <c r="S917" s="87">
        <v>0</v>
      </c>
      <c r="T917" s="87">
        <v>0</v>
      </c>
      <c r="U917" s="87">
        <v>0</v>
      </c>
      <c r="V917" s="87">
        <v>24</v>
      </c>
      <c r="W917" s="93" t="s">
        <v>6504</v>
      </c>
      <c r="X917" s="92" t="str">
        <f>HYPERLINK("https://lnkd.in/dmyA5tme")</f>
        <v>https://lnkd.in/dmyA5tme</v>
      </c>
      <c r="Y917" s="87" t="s">
        <v>8408</v>
      </c>
      <c r="Z917" s="87" t="s">
        <v>1658</v>
      </c>
      <c r="AA917" s="87" t="s">
        <v>9185</v>
      </c>
      <c r="AB917" s="87" t="s">
        <v>11448</v>
      </c>
      <c r="AC917" s="93" t="s">
        <v>11458</v>
      </c>
      <c r="AD917" s="87" t="s">
        <v>11519</v>
      </c>
      <c r="AE917" s="92" t="str">
        <f>HYPERLINK("https://twitter.com/wescleygarcia/status/1684704211076804611")</f>
        <v>https://twitter.com/wescleygarcia/status/1684704211076804611</v>
      </c>
      <c r="AF917" s="90">
        <v>45134.969421296293</v>
      </c>
      <c r="AG917" s="99">
        <v>45134</v>
      </c>
      <c r="AH917" s="93" t="s">
        <v>12385</v>
      </c>
      <c r="AI917" s="87" t="b">
        <v>0</v>
      </c>
      <c r="AJ917" s="87"/>
      <c r="AK917" s="87"/>
      <c r="AL917" s="87"/>
      <c r="AM917" s="87"/>
      <c r="AN917" s="87"/>
      <c r="AO917" s="87"/>
      <c r="AP917" s="87"/>
      <c r="AQ917" s="87" t="s">
        <v>15998</v>
      </c>
      <c r="AR917" s="87"/>
      <c r="AS917" s="87"/>
      <c r="AT917" s="87"/>
      <c r="AU917" s="87"/>
      <c r="AV917" s="92" t="str">
        <f>HYPERLINK("https://pbs.twimg.com/media/F2FFjHRXoAA3FI4.jpg")</f>
        <v>https://pbs.twimg.com/media/F2FFjHRXoAA3FI4.jpg</v>
      </c>
      <c r="AW917" s="93" t="s">
        <v>19160</v>
      </c>
      <c r="AX917" s="93" t="s">
        <v>19160</v>
      </c>
      <c r="AY917" s="87"/>
      <c r="AZ917" s="93" t="s">
        <v>22668</v>
      </c>
      <c r="BA917" s="93" t="s">
        <v>22668</v>
      </c>
      <c r="BB917" s="93" t="s">
        <v>22668</v>
      </c>
      <c r="BC917" s="93" t="s">
        <v>19160</v>
      </c>
      <c r="BD917" s="93" t="s">
        <v>22987</v>
      </c>
      <c r="BE917" s="87"/>
      <c r="BF917" s="87"/>
      <c r="BG917" s="87"/>
      <c r="BH917" s="87"/>
      <c r="BI917" s="87"/>
    </row>
    <row r="918" spans="1:61" x14ac:dyDescent="0.25">
      <c r="A918" s="63" t="s">
        <v>567</v>
      </c>
      <c r="B918" s="63" t="s">
        <v>567</v>
      </c>
      <c r="C918" s="64"/>
      <c r="D918" s="65"/>
      <c r="E918" s="66"/>
      <c r="F918" s="67"/>
      <c r="G918" s="64"/>
      <c r="H918" s="68"/>
      <c r="I918" s="69"/>
      <c r="J918" s="69"/>
      <c r="K918" s="32"/>
      <c r="L918" s="76">
        <v>918</v>
      </c>
      <c r="M918" s="76"/>
      <c r="N918" s="71"/>
      <c r="O918" s="87" t="s">
        <v>179</v>
      </c>
      <c r="P918" s="90">
        <v>45160.636979166666</v>
      </c>
      <c r="Q918" s="87" t="s">
        <v>2737</v>
      </c>
      <c r="R918" s="87">
        <v>0</v>
      </c>
      <c r="S918" s="87">
        <v>0</v>
      </c>
      <c r="T918" s="87">
        <v>0</v>
      </c>
      <c r="U918" s="87">
        <v>0</v>
      </c>
      <c r="V918" s="87">
        <v>18</v>
      </c>
      <c r="W918" s="93" t="s">
        <v>5897</v>
      </c>
      <c r="X918" s="87"/>
      <c r="Y918" s="87"/>
      <c r="Z918" s="87"/>
      <c r="AA918" s="87" t="s">
        <v>9186</v>
      </c>
      <c r="AB918" s="87" t="s">
        <v>11447</v>
      </c>
      <c r="AC918" s="93" t="s">
        <v>11459</v>
      </c>
      <c r="AD918" s="87" t="s">
        <v>11519</v>
      </c>
      <c r="AE918" s="92" t="str">
        <f>HYPERLINK("https://twitter.com/williambcunha/status/1694005819929686221")</f>
        <v>https://twitter.com/williambcunha/status/1694005819929686221</v>
      </c>
      <c r="AF918" s="90">
        <v>45160.636979166666</v>
      </c>
      <c r="AG918" s="99">
        <v>45160</v>
      </c>
      <c r="AH918" s="93" t="s">
        <v>12386</v>
      </c>
      <c r="AI918" s="87" t="b">
        <v>0</v>
      </c>
      <c r="AJ918" s="87"/>
      <c r="AK918" s="87"/>
      <c r="AL918" s="87"/>
      <c r="AM918" s="87"/>
      <c r="AN918" s="87"/>
      <c r="AO918" s="87"/>
      <c r="AP918" s="87"/>
      <c r="AQ918" s="87" t="s">
        <v>15999</v>
      </c>
      <c r="AR918" s="87">
        <v>45028</v>
      </c>
      <c r="AS918" s="87"/>
      <c r="AT918" s="87"/>
      <c r="AU918" s="87"/>
      <c r="AV918" s="92" t="str">
        <f>HYPERLINK("https://pbs.twimg.com/ext_tw_video_thumb/1694005756293746688/pu/img/nYB4p8toXcGRAnXr.jpg")</f>
        <v>https://pbs.twimg.com/ext_tw_video_thumb/1694005756293746688/pu/img/nYB4p8toXcGRAnXr.jpg</v>
      </c>
      <c r="AW918" s="93" t="s">
        <v>19161</v>
      </c>
      <c r="AX918" s="93" t="s">
        <v>19161</v>
      </c>
      <c r="AY918" s="87"/>
      <c r="AZ918" s="93" t="s">
        <v>22668</v>
      </c>
      <c r="BA918" s="93" t="s">
        <v>22668</v>
      </c>
      <c r="BB918" s="93" t="s">
        <v>22668</v>
      </c>
      <c r="BC918" s="93" t="s">
        <v>19161</v>
      </c>
      <c r="BD918" s="87">
        <v>162564683</v>
      </c>
      <c r="BE918" s="87"/>
      <c r="BF918" s="87"/>
      <c r="BG918" s="87"/>
      <c r="BH918" s="87"/>
      <c r="BI918" s="87"/>
    </row>
    <row r="919" spans="1:61" x14ac:dyDescent="0.25">
      <c r="A919" s="63" t="s">
        <v>568</v>
      </c>
      <c r="B919" s="63" t="s">
        <v>1659</v>
      </c>
      <c r="C919" s="64"/>
      <c r="D919" s="65"/>
      <c r="E919" s="66"/>
      <c r="F919" s="67"/>
      <c r="G919" s="64"/>
      <c r="H919" s="68"/>
      <c r="I919" s="69"/>
      <c r="J919" s="69"/>
      <c r="K919" s="32"/>
      <c r="L919" s="76">
        <v>919</v>
      </c>
      <c r="M919" s="76"/>
      <c r="N919" s="71"/>
      <c r="O919" s="87" t="s">
        <v>1840</v>
      </c>
      <c r="P919" s="90">
        <v>45184.680960648147</v>
      </c>
      <c r="Q919" s="87" t="s">
        <v>2738</v>
      </c>
      <c r="R919" s="87">
        <v>0</v>
      </c>
      <c r="S919" s="87">
        <v>0</v>
      </c>
      <c r="T919" s="87">
        <v>0</v>
      </c>
      <c r="U919" s="87">
        <v>0</v>
      </c>
      <c r="V919" s="87">
        <v>6</v>
      </c>
      <c r="W919" s="93" t="s">
        <v>5897</v>
      </c>
      <c r="X919" s="87"/>
      <c r="Y919" s="87"/>
      <c r="Z919" s="87" t="s">
        <v>1659</v>
      </c>
      <c r="AA919" s="87"/>
      <c r="AB919" s="87"/>
      <c r="AC919" s="93" t="s">
        <v>11457</v>
      </c>
      <c r="AD919" s="87" t="s">
        <v>11519</v>
      </c>
      <c r="AE919" s="92" t="str">
        <f>HYPERLINK("https://twitter.com/odisseiaalfa/status/1702719069936353663")</f>
        <v>https://twitter.com/odisseiaalfa/status/1702719069936353663</v>
      </c>
      <c r="AF919" s="90">
        <v>45184.680960648147</v>
      </c>
      <c r="AG919" s="99">
        <v>45184</v>
      </c>
      <c r="AH919" s="93" t="s">
        <v>12387</v>
      </c>
      <c r="AI919" s="87"/>
      <c r="AJ919" s="87"/>
      <c r="AK919" s="87"/>
      <c r="AL919" s="87"/>
      <c r="AM919" s="87"/>
      <c r="AN919" s="87"/>
      <c r="AO919" s="87"/>
      <c r="AP919" s="87"/>
      <c r="AQ919" s="87"/>
      <c r="AR919" s="87"/>
      <c r="AS919" s="87"/>
      <c r="AT919" s="87"/>
      <c r="AU919" s="87"/>
      <c r="AV919" s="92" t="str">
        <f>HYPERLINK("https://pbs.twimg.com/profile_images/1695042386001326081/SCdOk9O9_normal.jpg")</f>
        <v>https://pbs.twimg.com/profile_images/1695042386001326081/SCdOk9O9_normal.jpg</v>
      </c>
      <c r="AW919" s="93" t="s">
        <v>19162</v>
      </c>
      <c r="AX919" s="93" t="s">
        <v>22345</v>
      </c>
      <c r="AY919" s="93" t="s">
        <v>22546</v>
      </c>
      <c r="AZ919" s="93" t="s">
        <v>22345</v>
      </c>
      <c r="BA919" s="93" t="s">
        <v>22668</v>
      </c>
      <c r="BB919" s="93" t="s">
        <v>22668</v>
      </c>
      <c r="BC919" s="93" t="s">
        <v>22345</v>
      </c>
      <c r="BD919" s="93" t="s">
        <v>22988</v>
      </c>
      <c r="BE919" s="87"/>
      <c r="BF919" s="87"/>
      <c r="BG919" s="87"/>
      <c r="BH919" s="87"/>
      <c r="BI919" s="87"/>
    </row>
    <row r="920" spans="1:61" x14ac:dyDescent="0.25">
      <c r="A920" s="63" t="s">
        <v>568</v>
      </c>
      <c r="B920" s="63" t="s">
        <v>1660</v>
      </c>
      <c r="C920" s="64"/>
      <c r="D920" s="65"/>
      <c r="E920" s="66"/>
      <c r="F920" s="67"/>
      <c r="G920" s="64"/>
      <c r="H920" s="68"/>
      <c r="I920" s="69"/>
      <c r="J920" s="69"/>
      <c r="K920" s="32"/>
      <c r="L920" s="76">
        <v>920</v>
      </c>
      <c r="M920" s="76"/>
      <c r="N920" s="71"/>
      <c r="O920" s="87" t="s">
        <v>1840</v>
      </c>
      <c r="P920" s="90">
        <v>45185.778252314813</v>
      </c>
      <c r="Q920" s="87" t="s">
        <v>2739</v>
      </c>
      <c r="R920" s="87">
        <v>0</v>
      </c>
      <c r="S920" s="87">
        <v>0</v>
      </c>
      <c r="T920" s="87">
        <v>1</v>
      </c>
      <c r="U920" s="87">
        <v>0</v>
      </c>
      <c r="V920" s="87">
        <v>51</v>
      </c>
      <c r="W920" s="93" t="s">
        <v>5897</v>
      </c>
      <c r="X920" s="87"/>
      <c r="Y920" s="87"/>
      <c r="Z920" s="87" t="s">
        <v>1660</v>
      </c>
      <c r="AA920" s="87"/>
      <c r="AB920" s="87"/>
      <c r="AC920" s="93" t="s">
        <v>11457</v>
      </c>
      <c r="AD920" s="87" t="s">
        <v>11519</v>
      </c>
      <c r="AE920" s="92" t="str">
        <f>HYPERLINK("https://twitter.com/odisseiaalfa/status/1703116713292685382")</f>
        <v>https://twitter.com/odisseiaalfa/status/1703116713292685382</v>
      </c>
      <c r="AF920" s="90">
        <v>45185.778252314813</v>
      </c>
      <c r="AG920" s="99">
        <v>45185</v>
      </c>
      <c r="AH920" s="93" t="s">
        <v>12388</v>
      </c>
      <c r="AI920" s="87"/>
      <c r="AJ920" s="87"/>
      <c r="AK920" s="87"/>
      <c r="AL920" s="87"/>
      <c r="AM920" s="87"/>
      <c r="AN920" s="87"/>
      <c r="AO920" s="87"/>
      <c r="AP920" s="87"/>
      <c r="AQ920" s="87"/>
      <c r="AR920" s="87"/>
      <c r="AS920" s="87"/>
      <c r="AT920" s="87"/>
      <c r="AU920" s="87"/>
      <c r="AV920" s="92" t="str">
        <f>HYPERLINK("https://pbs.twimg.com/profile_images/1695042386001326081/SCdOk9O9_normal.jpg")</f>
        <v>https://pbs.twimg.com/profile_images/1695042386001326081/SCdOk9O9_normal.jpg</v>
      </c>
      <c r="AW920" s="93" t="s">
        <v>19163</v>
      </c>
      <c r="AX920" s="93" t="s">
        <v>22346</v>
      </c>
      <c r="AY920" s="93" t="s">
        <v>22547</v>
      </c>
      <c r="AZ920" s="93" t="s">
        <v>22346</v>
      </c>
      <c r="BA920" s="93" t="s">
        <v>22668</v>
      </c>
      <c r="BB920" s="93" t="s">
        <v>22668</v>
      </c>
      <c r="BC920" s="93" t="s">
        <v>22346</v>
      </c>
      <c r="BD920" s="93" t="s">
        <v>22988</v>
      </c>
      <c r="BE920" s="87"/>
      <c r="BF920" s="87"/>
      <c r="BG920" s="87"/>
      <c r="BH920" s="87"/>
      <c r="BI920" s="87"/>
    </row>
    <row r="921" spans="1:61" x14ac:dyDescent="0.25">
      <c r="A921" s="63" t="s">
        <v>568</v>
      </c>
      <c r="B921" s="63" t="s">
        <v>1661</v>
      </c>
      <c r="C921" s="64"/>
      <c r="D921" s="65"/>
      <c r="E921" s="66"/>
      <c r="F921" s="67"/>
      <c r="G921" s="64"/>
      <c r="H921" s="68"/>
      <c r="I921" s="69"/>
      <c r="J921" s="69"/>
      <c r="K921" s="32"/>
      <c r="L921" s="76">
        <v>921</v>
      </c>
      <c r="M921" s="76"/>
      <c r="N921" s="71"/>
      <c r="O921" s="87" t="s">
        <v>1840</v>
      </c>
      <c r="P921" s="90">
        <v>45194.681030092594</v>
      </c>
      <c r="Q921" s="87" t="s">
        <v>2740</v>
      </c>
      <c r="R921" s="87">
        <v>0</v>
      </c>
      <c r="S921" s="87">
        <v>0</v>
      </c>
      <c r="T921" s="87">
        <v>0</v>
      </c>
      <c r="U921" s="87">
        <v>0</v>
      </c>
      <c r="V921" s="87">
        <v>10</v>
      </c>
      <c r="W921" s="93" t="s">
        <v>6505</v>
      </c>
      <c r="X921" s="87"/>
      <c r="Y921" s="87"/>
      <c r="Z921" s="87" t="s">
        <v>1661</v>
      </c>
      <c r="AA921" s="87"/>
      <c r="AB921" s="87"/>
      <c r="AC921" s="93" t="s">
        <v>11457</v>
      </c>
      <c r="AD921" s="87" t="s">
        <v>11519</v>
      </c>
      <c r="AE921" s="92" t="str">
        <f>HYPERLINK("https://twitter.com/odisseiaalfa/status/1706342971531030985")</f>
        <v>https://twitter.com/odisseiaalfa/status/1706342971531030985</v>
      </c>
      <c r="AF921" s="90">
        <v>45194.681030092594</v>
      </c>
      <c r="AG921" s="99">
        <v>45194</v>
      </c>
      <c r="AH921" s="93" t="s">
        <v>12389</v>
      </c>
      <c r="AI921" s="87"/>
      <c r="AJ921" s="87"/>
      <c r="AK921" s="87"/>
      <c r="AL921" s="87"/>
      <c r="AM921" s="87"/>
      <c r="AN921" s="87"/>
      <c r="AO921" s="87"/>
      <c r="AP921" s="87"/>
      <c r="AQ921" s="87"/>
      <c r="AR921" s="87"/>
      <c r="AS921" s="87"/>
      <c r="AT921" s="87"/>
      <c r="AU921" s="87"/>
      <c r="AV921" s="92" t="str">
        <f>HYPERLINK("https://pbs.twimg.com/profile_images/1695042386001326081/SCdOk9O9_normal.jpg")</f>
        <v>https://pbs.twimg.com/profile_images/1695042386001326081/SCdOk9O9_normal.jpg</v>
      </c>
      <c r="AW921" s="93" t="s">
        <v>19164</v>
      </c>
      <c r="AX921" s="93" t="s">
        <v>22347</v>
      </c>
      <c r="AY921" s="93" t="s">
        <v>22548</v>
      </c>
      <c r="AZ921" s="93" t="s">
        <v>22347</v>
      </c>
      <c r="BA921" s="93" t="s">
        <v>22668</v>
      </c>
      <c r="BB921" s="93" t="s">
        <v>22668</v>
      </c>
      <c r="BC921" s="93" t="s">
        <v>22347</v>
      </c>
      <c r="BD921" s="93" t="s">
        <v>22988</v>
      </c>
      <c r="BE921" s="87"/>
      <c r="BF921" s="87"/>
      <c r="BG921" s="87"/>
      <c r="BH921" s="87"/>
      <c r="BI921" s="87"/>
    </row>
    <row r="922" spans="1:61" x14ac:dyDescent="0.25">
      <c r="A922" s="63" t="s">
        <v>569</v>
      </c>
      <c r="B922" s="63" t="s">
        <v>569</v>
      </c>
      <c r="C922" s="64"/>
      <c r="D922" s="65"/>
      <c r="E922" s="66"/>
      <c r="F922" s="67"/>
      <c r="G922" s="64"/>
      <c r="H922" s="68"/>
      <c r="I922" s="69"/>
      <c r="J922" s="69"/>
      <c r="K922" s="32"/>
      <c r="L922" s="76">
        <v>922</v>
      </c>
      <c r="M922" s="76"/>
      <c r="N922" s="71"/>
      <c r="O922" s="87" t="s">
        <v>179</v>
      </c>
      <c r="P922" s="90">
        <v>45110.666585648149</v>
      </c>
      <c r="Q922" s="93" t="s">
        <v>2741</v>
      </c>
      <c r="R922" s="87">
        <v>0</v>
      </c>
      <c r="S922" s="87">
        <v>0</v>
      </c>
      <c r="T922" s="87">
        <v>0</v>
      </c>
      <c r="U922" s="87">
        <v>0</v>
      </c>
      <c r="V922" s="87">
        <v>223</v>
      </c>
      <c r="W922" s="93" t="s">
        <v>6506</v>
      </c>
      <c r="X922" s="92" t="str">
        <f>HYPERLINK("https://mwl.press/IB297459")</f>
        <v>https://mwl.press/IB297459</v>
      </c>
      <c r="Y922" s="87" t="s">
        <v>8431</v>
      </c>
      <c r="Z922" s="87"/>
      <c r="AA922" s="87"/>
      <c r="AB922" s="87"/>
      <c r="AC922" s="93" t="s">
        <v>11478</v>
      </c>
      <c r="AD922" s="87" t="s">
        <v>11519</v>
      </c>
      <c r="AE922" s="92" t="str">
        <f>HYPERLINK("https://twitter.com/ibahia/status/1675897157990113281")</f>
        <v>https://twitter.com/ibahia/status/1675897157990113281</v>
      </c>
      <c r="AF922" s="90">
        <v>45110.666585648149</v>
      </c>
      <c r="AG922" s="99">
        <v>45110</v>
      </c>
      <c r="AH922" s="93" t="s">
        <v>12390</v>
      </c>
      <c r="AI922" s="87" t="b">
        <v>0</v>
      </c>
      <c r="AJ922" s="87"/>
      <c r="AK922" s="87"/>
      <c r="AL922" s="87"/>
      <c r="AM922" s="87"/>
      <c r="AN922" s="87"/>
      <c r="AO922" s="87"/>
      <c r="AP922" s="87"/>
      <c r="AQ922" s="87"/>
      <c r="AR922" s="87"/>
      <c r="AS922" s="87"/>
      <c r="AT922" s="87"/>
      <c r="AU922" s="87"/>
      <c r="AV922" s="92" t="str">
        <f>HYPERLINK("https://pbs.twimg.com/profile_images/1524490174071246849/Ts-pJmFi_normal.jpg")</f>
        <v>https://pbs.twimg.com/profile_images/1524490174071246849/Ts-pJmFi_normal.jpg</v>
      </c>
      <c r="AW922" s="93" t="s">
        <v>19165</v>
      </c>
      <c r="AX922" s="93" t="s">
        <v>19165</v>
      </c>
      <c r="AY922" s="87"/>
      <c r="AZ922" s="93" t="s">
        <v>22668</v>
      </c>
      <c r="BA922" s="93" t="s">
        <v>22668</v>
      </c>
      <c r="BB922" s="93" t="s">
        <v>22668</v>
      </c>
      <c r="BC922" s="93" t="s">
        <v>19165</v>
      </c>
      <c r="BD922" s="87">
        <v>15850306</v>
      </c>
      <c r="BE922" s="87"/>
      <c r="BF922" s="87"/>
      <c r="BG922" s="87"/>
      <c r="BH922" s="87"/>
      <c r="BI922" s="87"/>
    </row>
    <row r="923" spans="1:61" x14ac:dyDescent="0.25">
      <c r="A923" s="63" t="s">
        <v>569</v>
      </c>
      <c r="B923" s="63" t="s">
        <v>569</v>
      </c>
      <c r="C923" s="64"/>
      <c r="D923" s="65"/>
      <c r="E923" s="66"/>
      <c r="F923" s="67"/>
      <c r="G923" s="64"/>
      <c r="H923" s="68"/>
      <c r="I923" s="69"/>
      <c r="J923" s="69"/>
      <c r="K923" s="32"/>
      <c r="L923" s="76">
        <v>923</v>
      </c>
      <c r="M923" s="76"/>
      <c r="N923" s="71"/>
      <c r="O923" s="87" t="s">
        <v>179</v>
      </c>
      <c r="P923" s="90">
        <v>45114.64570601852</v>
      </c>
      <c r="Q923" s="87" t="s">
        <v>2742</v>
      </c>
      <c r="R923" s="87">
        <v>0</v>
      </c>
      <c r="S923" s="87">
        <v>1</v>
      </c>
      <c r="T923" s="87">
        <v>0</v>
      </c>
      <c r="U923" s="87">
        <v>0</v>
      </c>
      <c r="V923" s="87">
        <v>232</v>
      </c>
      <c r="W923" s="93" t="s">
        <v>6507</v>
      </c>
      <c r="X923" s="92" t="str">
        <f>HYPERLINK("https://mwl.press/IB297860")</f>
        <v>https://mwl.press/IB297860</v>
      </c>
      <c r="Y923" s="87" t="s">
        <v>8431</v>
      </c>
      <c r="Z923" s="87"/>
      <c r="AA923" s="87"/>
      <c r="AB923" s="87"/>
      <c r="AC923" s="93" t="s">
        <v>11478</v>
      </c>
      <c r="AD923" s="87" t="s">
        <v>11519</v>
      </c>
      <c r="AE923" s="92" t="str">
        <f>HYPERLINK("https://twitter.com/ibahia/status/1677339140294168576")</f>
        <v>https://twitter.com/ibahia/status/1677339140294168576</v>
      </c>
      <c r="AF923" s="90">
        <v>45114.64570601852</v>
      </c>
      <c r="AG923" s="99">
        <v>45114</v>
      </c>
      <c r="AH923" s="93" t="s">
        <v>12391</v>
      </c>
      <c r="AI923" s="87" t="b">
        <v>0</v>
      </c>
      <c r="AJ923" s="87"/>
      <c r="AK923" s="87"/>
      <c r="AL923" s="87"/>
      <c r="AM923" s="87"/>
      <c r="AN923" s="87"/>
      <c r="AO923" s="87"/>
      <c r="AP923" s="87"/>
      <c r="AQ923" s="87"/>
      <c r="AR923" s="87"/>
      <c r="AS923" s="87"/>
      <c r="AT923" s="87"/>
      <c r="AU923" s="87"/>
      <c r="AV923" s="92" t="str">
        <f>HYPERLINK("https://pbs.twimg.com/profile_images/1524490174071246849/Ts-pJmFi_normal.jpg")</f>
        <v>https://pbs.twimg.com/profile_images/1524490174071246849/Ts-pJmFi_normal.jpg</v>
      </c>
      <c r="AW923" s="93" t="s">
        <v>19166</v>
      </c>
      <c r="AX923" s="93" t="s">
        <v>19166</v>
      </c>
      <c r="AY923" s="87"/>
      <c r="AZ923" s="93" t="s">
        <v>22668</v>
      </c>
      <c r="BA923" s="93" t="s">
        <v>22668</v>
      </c>
      <c r="BB923" s="93" t="s">
        <v>22668</v>
      </c>
      <c r="BC923" s="93" t="s">
        <v>19166</v>
      </c>
      <c r="BD923" s="87">
        <v>15850306</v>
      </c>
      <c r="BE923" s="87"/>
      <c r="BF923" s="87"/>
      <c r="BG923" s="87"/>
      <c r="BH923" s="87"/>
      <c r="BI923" s="87"/>
    </row>
    <row r="924" spans="1:61" x14ac:dyDescent="0.25">
      <c r="A924" s="63" t="s">
        <v>569</v>
      </c>
      <c r="B924" s="63" t="s">
        <v>569</v>
      </c>
      <c r="C924" s="64"/>
      <c r="D924" s="65"/>
      <c r="E924" s="66"/>
      <c r="F924" s="67"/>
      <c r="G924" s="64"/>
      <c r="H924" s="68"/>
      <c r="I924" s="69"/>
      <c r="J924" s="69"/>
      <c r="K924" s="32"/>
      <c r="L924" s="76">
        <v>924</v>
      </c>
      <c r="M924" s="76"/>
      <c r="N924" s="71"/>
      <c r="O924" s="87" t="s">
        <v>179</v>
      </c>
      <c r="P924" s="90">
        <v>45163.604699074072</v>
      </c>
      <c r="Q924" s="87" t="s">
        <v>2743</v>
      </c>
      <c r="R924" s="87">
        <v>0</v>
      </c>
      <c r="S924" s="87">
        <v>1</v>
      </c>
      <c r="T924" s="87">
        <v>0</v>
      </c>
      <c r="U924" s="87">
        <v>0</v>
      </c>
      <c r="V924" s="87">
        <v>297</v>
      </c>
      <c r="W924" s="93" t="s">
        <v>6508</v>
      </c>
      <c r="X924" s="92" t="str">
        <f>HYPERLINK("https://mwl.press/IB302626")</f>
        <v>https://mwl.press/IB302626</v>
      </c>
      <c r="Y924" s="87" t="s">
        <v>8431</v>
      </c>
      <c r="Z924" s="87"/>
      <c r="AA924" s="87"/>
      <c r="AB924" s="87"/>
      <c r="AC924" s="93" t="s">
        <v>11479</v>
      </c>
      <c r="AD924" s="87" t="s">
        <v>11519</v>
      </c>
      <c r="AE924" s="92" t="str">
        <f>HYPERLINK("https://twitter.com/ibahia/status/1695081288414236815")</f>
        <v>https://twitter.com/ibahia/status/1695081288414236815</v>
      </c>
      <c r="AF924" s="90">
        <v>45163.604699074072</v>
      </c>
      <c r="AG924" s="99">
        <v>45163</v>
      </c>
      <c r="AH924" s="93" t="s">
        <v>12392</v>
      </c>
      <c r="AI924" s="87" t="b">
        <v>0</v>
      </c>
      <c r="AJ924" s="87"/>
      <c r="AK924" s="87"/>
      <c r="AL924" s="87"/>
      <c r="AM924" s="87"/>
      <c r="AN924" s="87"/>
      <c r="AO924" s="87"/>
      <c r="AP924" s="87"/>
      <c r="AQ924" s="87"/>
      <c r="AR924" s="87"/>
      <c r="AS924" s="87"/>
      <c r="AT924" s="87"/>
      <c r="AU924" s="87"/>
      <c r="AV924" s="92" t="str">
        <f>HYPERLINK("https://pbs.twimg.com/profile_images/1524490174071246849/Ts-pJmFi_normal.jpg")</f>
        <v>https://pbs.twimg.com/profile_images/1524490174071246849/Ts-pJmFi_normal.jpg</v>
      </c>
      <c r="AW924" s="93" t="s">
        <v>19167</v>
      </c>
      <c r="AX924" s="93" t="s">
        <v>19167</v>
      </c>
      <c r="AY924" s="87"/>
      <c r="AZ924" s="93" t="s">
        <v>22668</v>
      </c>
      <c r="BA924" s="93" t="s">
        <v>22668</v>
      </c>
      <c r="BB924" s="93" t="s">
        <v>22668</v>
      </c>
      <c r="BC924" s="93" t="s">
        <v>19167</v>
      </c>
      <c r="BD924" s="87">
        <v>15850306</v>
      </c>
      <c r="BE924" s="87"/>
      <c r="BF924" s="87"/>
      <c r="BG924" s="87"/>
      <c r="BH924" s="87"/>
      <c r="BI924" s="87"/>
    </row>
    <row r="925" spans="1:61" x14ac:dyDescent="0.25">
      <c r="A925" s="63" t="s">
        <v>569</v>
      </c>
      <c r="B925" s="63" t="s">
        <v>569</v>
      </c>
      <c r="C925" s="64"/>
      <c r="D925" s="65"/>
      <c r="E925" s="66"/>
      <c r="F925" s="67"/>
      <c r="G925" s="64"/>
      <c r="H925" s="68"/>
      <c r="I925" s="69"/>
      <c r="J925" s="69"/>
      <c r="K925" s="32"/>
      <c r="L925" s="76">
        <v>925</v>
      </c>
      <c r="M925" s="76"/>
      <c r="N925" s="71"/>
      <c r="O925" s="87" t="s">
        <v>179</v>
      </c>
      <c r="P925" s="90">
        <v>45121.719293981485</v>
      </c>
      <c r="Q925" s="87" t="s">
        <v>2744</v>
      </c>
      <c r="R925" s="87">
        <v>0</v>
      </c>
      <c r="S925" s="87">
        <v>0</v>
      </c>
      <c r="T925" s="87">
        <v>0</v>
      </c>
      <c r="U925" s="87">
        <v>0</v>
      </c>
      <c r="V925" s="87">
        <v>290</v>
      </c>
      <c r="W925" s="93" t="s">
        <v>6509</v>
      </c>
      <c r="X925" s="92" t="str">
        <f>HYPERLINK("https://mwl.press/IB298473")</f>
        <v>https://mwl.press/IB298473</v>
      </c>
      <c r="Y925" s="87" t="s">
        <v>8431</v>
      </c>
      <c r="Z925" s="87"/>
      <c r="AA925" s="87"/>
      <c r="AB925" s="87"/>
      <c r="AC925" s="93" t="s">
        <v>11478</v>
      </c>
      <c r="AD925" s="87" t="s">
        <v>11519</v>
      </c>
      <c r="AE925" s="92" t="str">
        <f>HYPERLINK("https://twitter.com/ibahia/status/1679902522641723430")</f>
        <v>https://twitter.com/ibahia/status/1679902522641723430</v>
      </c>
      <c r="AF925" s="90">
        <v>45121.719293981485</v>
      </c>
      <c r="AG925" s="99">
        <v>45121</v>
      </c>
      <c r="AH925" s="93" t="s">
        <v>12393</v>
      </c>
      <c r="AI925" s="87" t="b">
        <v>0</v>
      </c>
      <c r="AJ925" s="87"/>
      <c r="AK925" s="87"/>
      <c r="AL925" s="87"/>
      <c r="AM925" s="87"/>
      <c r="AN925" s="87"/>
      <c r="AO925" s="87"/>
      <c r="AP925" s="87"/>
      <c r="AQ925" s="87"/>
      <c r="AR925" s="87"/>
      <c r="AS925" s="87"/>
      <c r="AT925" s="87"/>
      <c r="AU925" s="87"/>
      <c r="AV925" s="92" t="str">
        <f>HYPERLINK("https://pbs.twimg.com/profile_images/1524490174071246849/Ts-pJmFi_normal.jpg")</f>
        <v>https://pbs.twimg.com/profile_images/1524490174071246849/Ts-pJmFi_normal.jpg</v>
      </c>
      <c r="AW925" s="93" t="s">
        <v>19168</v>
      </c>
      <c r="AX925" s="93" t="s">
        <v>19168</v>
      </c>
      <c r="AY925" s="87"/>
      <c r="AZ925" s="93" t="s">
        <v>22668</v>
      </c>
      <c r="BA925" s="93" t="s">
        <v>22668</v>
      </c>
      <c r="BB925" s="93" t="s">
        <v>22668</v>
      </c>
      <c r="BC925" s="93" t="s">
        <v>19168</v>
      </c>
      <c r="BD925" s="87">
        <v>15850306</v>
      </c>
      <c r="BE925" s="87"/>
      <c r="BF925" s="87"/>
      <c r="BG925" s="87"/>
      <c r="BH925" s="87"/>
      <c r="BI925" s="87"/>
    </row>
    <row r="926" spans="1:61" x14ac:dyDescent="0.25">
      <c r="A926" s="63" t="s">
        <v>569</v>
      </c>
      <c r="B926" s="63" t="s">
        <v>569</v>
      </c>
      <c r="C926" s="64"/>
      <c r="D926" s="65"/>
      <c r="E926" s="66"/>
      <c r="F926" s="67"/>
      <c r="G926" s="64"/>
      <c r="H926" s="68"/>
      <c r="I926" s="69"/>
      <c r="J926" s="69"/>
      <c r="K926" s="32"/>
      <c r="L926" s="76">
        <v>926</v>
      </c>
      <c r="M926" s="76"/>
      <c r="N926" s="71"/>
      <c r="O926" s="87" t="s">
        <v>179</v>
      </c>
      <c r="P926" s="90">
        <v>45120.870613425926</v>
      </c>
      <c r="Q926" s="87" t="s">
        <v>2745</v>
      </c>
      <c r="R926" s="87">
        <v>0</v>
      </c>
      <c r="S926" s="87">
        <v>0</v>
      </c>
      <c r="T926" s="87">
        <v>0</v>
      </c>
      <c r="U926" s="87">
        <v>0</v>
      </c>
      <c r="V926" s="87">
        <v>226</v>
      </c>
      <c r="W926" s="93" t="s">
        <v>6510</v>
      </c>
      <c r="X926" s="92" t="str">
        <f>HYPERLINK("https://mwl.press/IB298392")</f>
        <v>https://mwl.press/IB298392</v>
      </c>
      <c r="Y926" s="87" t="s">
        <v>8431</v>
      </c>
      <c r="Z926" s="87"/>
      <c r="AA926" s="87"/>
      <c r="AB926" s="87"/>
      <c r="AC926" s="93" t="s">
        <v>11478</v>
      </c>
      <c r="AD926" s="87" t="s">
        <v>11519</v>
      </c>
      <c r="AE926" s="92" t="str">
        <f>HYPERLINK("https://twitter.com/ibahia/status/1679594971937005568")</f>
        <v>https://twitter.com/ibahia/status/1679594971937005568</v>
      </c>
      <c r="AF926" s="90">
        <v>45120.870613425926</v>
      </c>
      <c r="AG926" s="99">
        <v>45120</v>
      </c>
      <c r="AH926" s="93" t="s">
        <v>12394</v>
      </c>
      <c r="AI926" s="87" t="b">
        <v>0</v>
      </c>
      <c r="AJ926" s="87"/>
      <c r="AK926" s="87"/>
      <c r="AL926" s="87"/>
      <c r="AM926" s="87"/>
      <c r="AN926" s="87"/>
      <c r="AO926" s="87"/>
      <c r="AP926" s="87"/>
      <c r="AQ926" s="87"/>
      <c r="AR926" s="87"/>
      <c r="AS926" s="87"/>
      <c r="AT926" s="87"/>
      <c r="AU926" s="87"/>
      <c r="AV926" s="92" t="str">
        <f>HYPERLINK("https://pbs.twimg.com/profile_images/1524490174071246849/Ts-pJmFi_normal.jpg")</f>
        <v>https://pbs.twimg.com/profile_images/1524490174071246849/Ts-pJmFi_normal.jpg</v>
      </c>
      <c r="AW926" s="93" t="s">
        <v>19169</v>
      </c>
      <c r="AX926" s="93" t="s">
        <v>19169</v>
      </c>
      <c r="AY926" s="87"/>
      <c r="AZ926" s="93" t="s">
        <v>22668</v>
      </c>
      <c r="BA926" s="93" t="s">
        <v>22668</v>
      </c>
      <c r="BB926" s="93" t="s">
        <v>22668</v>
      </c>
      <c r="BC926" s="93" t="s">
        <v>19169</v>
      </c>
      <c r="BD926" s="87">
        <v>15850306</v>
      </c>
      <c r="BE926" s="87"/>
      <c r="BF926" s="87"/>
      <c r="BG926" s="87"/>
      <c r="BH926" s="87"/>
      <c r="BI926" s="87"/>
    </row>
    <row r="927" spans="1:61" x14ac:dyDescent="0.25">
      <c r="A927" s="63" t="s">
        <v>569</v>
      </c>
      <c r="B927" s="63" t="s">
        <v>569</v>
      </c>
      <c r="C927" s="64"/>
      <c r="D927" s="65"/>
      <c r="E927" s="66"/>
      <c r="F927" s="67"/>
      <c r="G927" s="64"/>
      <c r="H927" s="68"/>
      <c r="I927" s="69"/>
      <c r="J927" s="69"/>
      <c r="K927" s="32"/>
      <c r="L927" s="76">
        <v>927</v>
      </c>
      <c r="M927" s="76"/>
      <c r="N927" s="71"/>
      <c r="O927" s="87" t="s">
        <v>179</v>
      </c>
      <c r="P927" s="90">
        <v>45187.562928240739</v>
      </c>
      <c r="Q927" s="87" t="s">
        <v>2746</v>
      </c>
      <c r="R927" s="87">
        <v>0</v>
      </c>
      <c r="S927" s="87">
        <v>0</v>
      </c>
      <c r="T927" s="87">
        <v>0</v>
      </c>
      <c r="U927" s="87">
        <v>0</v>
      </c>
      <c r="V927" s="87">
        <v>227</v>
      </c>
      <c r="W927" s="93" t="s">
        <v>6511</v>
      </c>
      <c r="X927" s="92" t="str">
        <f>HYPERLINK("https://mwl.press/IB304690")</f>
        <v>https://mwl.press/IB304690</v>
      </c>
      <c r="Y927" s="87" t="s">
        <v>8431</v>
      </c>
      <c r="Z927" s="87"/>
      <c r="AA927" s="87"/>
      <c r="AB927" s="87"/>
      <c r="AC927" s="93" t="s">
        <v>11479</v>
      </c>
      <c r="AD927" s="87" t="s">
        <v>11519</v>
      </c>
      <c r="AE927" s="92" t="str">
        <f>HYPERLINK("https://twitter.com/ibahia/status/1703763457894474218")</f>
        <v>https://twitter.com/ibahia/status/1703763457894474218</v>
      </c>
      <c r="AF927" s="90">
        <v>45187.562928240739</v>
      </c>
      <c r="AG927" s="99">
        <v>45187</v>
      </c>
      <c r="AH927" s="93" t="s">
        <v>12395</v>
      </c>
      <c r="AI927" s="87" t="b">
        <v>0</v>
      </c>
      <c r="AJ927" s="87"/>
      <c r="AK927" s="87"/>
      <c r="AL927" s="87"/>
      <c r="AM927" s="87"/>
      <c r="AN927" s="87"/>
      <c r="AO927" s="87"/>
      <c r="AP927" s="87"/>
      <c r="AQ927" s="87"/>
      <c r="AR927" s="87"/>
      <c r="AS927" s="87"/>
      <c r="AT927" s="87"/>
      <c r="AU927" s="87"/>
      <c r="AV927" s="92" t="str">
        <f>HYPERLINK("https://pbs.twimg.com/profile_images/1524490174071246849/Ts-pJmFi_normal.jpg")</f>
        <v>https://pbs.twimg.com/profile_images/1524490174071246849/Ts-pJmFi_normal.jpg</v>
      </c>
      <c r="AW927" s="93" t="s">
        <v>19170</v>
      </c>
      <c r="AX927" s="93" t="s">
        <v>19170</v>
      </c>
      <c r="AY927" s="87"/>
      <c r="AZ927" s="93" t="s">
        <v>22668</v>
      </c>
      <c r="BA927" s="93" t="s">
        <v>22668</v>
      </c>
      <c r="BB927" s="93" t="s">
        <v>22668</v>
      </c>
      <c r="BC927" s="93" t="s">
        <v>19170</v>
      </c>
      <c r="BD927" s="87">
        <v>15850306</v>
      </c>
      <c r="BE927" s="87"/>
      <c r="BF927" s="87"/>
      <c r="BG927" s="87"/>
      <c r="BH927" s="87"/>
      <c r="BI927" s="87"/>
    </row>
    <row r="928" spans="1:61" x14ac:dyDescent="0.25">
      <c r="A928" s="63" t="s">
        <v>569</v>
      </c>
      <c r="B928" s="63" t="s">
        <v>569</v>
      </c>
      <c r="C928" s="64"/>
      <c r="D928" s="65"/>
      <c r="E928" s="66"/>
      <c r="F928" s="67"/>
      <c r="G928" s="64"/>
      <c r="H928" s="68"/>
      <c r="I928" s="69"/>
      <c r="J928" s="69"/>
      <c r="K928" s="32"/>
      <c r="L928" s="76">
        <v>928</v>
      </c>
      <c r="M928" s="76"/>
      <c r="N928" s="71"/>
      <c r="O928" s="87" t="s">
        <v>179</v>
      </c>
      <c r="P928" s="90">
        <v>45152.961875000001</v>
      </c>
      <c r="Q928" s="87" t="s">
        <v>2747</v>
      </c>
      <c r="R928" s="87">
        <v>0</v>
      </c>
      <c r="S928" s="87">
        <v>3</v>
      </c>
      <c r="T928" s="87">
        <v>0</v>
      </c>
      <c r="U928" s="87">
        <v>0</v>
      </c>
      <c r="V928" s="87">
        <v>388</v>
      </c>
      <c r="W928" s="93" t="s">
        <v>6512</v>
      </c>
      <c r="X928" s="92" t="str">
        <f>HYPERLINK("https://mwl.press/IB301476")</f>
        <v>https://mwl.press/IB301476</v>
      </c>
      <c r="Y928" s="87" t="s">
        <v>8431</v>
      </c>
      <c r="Z928" s="87"/>
      <c r="AA928" s="87"/>
      <c r="AB928" s="87"/>
      <c r="AC928" s="93" t="s">
        <v>11479</v>
      </c>
      <c r="AD928" s="87" t="s">
        <v>11519</v>
      </c>
      <c r="AE928" s="92" t="str">
        <f>HYPERLINK("https://twitter.com/ibahia/status/1691224455849111552")</f>
        <v>https://twitter.com/ibahia/status/1691224455849111552</v>
      </c>
      <c r="AF928" s="90">
        <v>45152.961875000001</v>
      </c>
      <c r="AG928" s="99">
        <v>45152</v>
      </c>
      <c r="AH928" s="93" t="s">
        <v>12396</v>
      </c>
      <c r="AI928" s="87" t="b">
        <v>0</v>
      </c>
      <c r="AJ928" s="87"/>
      <c r="AK928" s="87"/>
      <c r="AL928" s="87"/>
      <c r="AM928" s="87"/>
      <c r="AN928" s="87"/>
      <c r="AO928" s="87"/>
      <c r="AP928" s="87"/>
      <c r="AQ928" s="87"/>
      <c r="AR928" s="87"/>
      <c r="AS928" s="87"/>
      <c r="AT928" s="87"/>
      <c r="AU928" s="87"/>
      <c r="AV928" s="92" t="str">
        <f>HYPERLINK("https://pbs.twimg.com/profile_images/1524490174071246849/Ts-pJmFi_normal.jpg")</f>
        <v>https://pbs.twimg.com/profile_images/1524490174071246849/Ts-pJmFi_normal.jpg</v>
      </c>
      <c r="AW928" s="93" t="s">
        <v>19171</v>
      </c>
      <c r="AX928" s="93" t="s">
        <v>19171</v>
      </c>
      <c r="AY928" s="87"/>
      <c r="AZ928" s="93" t="s">
        <v>22668</v>
      </c>
      <c r="BA928" s="93" t="s">
        <v>22668</v>
      </c>
      <c r="BB928" s="93" t="s">
        <v>22668</v>
      </c>
      <c r="BC928" s="93" t="s">
        <v>19171</v>
      </c>
      <c r="BD928" s="87">
        <v>15850306</v>
      </c>
      <c r="BE928" s="87"/>
      <c r="BF928" s="87"/>
      <c r="BG928" s="87"/>
      <c r="BH928" s="87"/>
      <c r="BI928" s="87"/>
    </row>
    <row r="929" spans="1:61" x14ac:dyDescent="0.25">
      <c r="A929" s="63" t="s">
        <v>569</v>
      </c>
      <c r="B929" s="63" t="s">
        <v>569</v>
      </c>
      <c r="C929" s="64"/>
      <c r="D929" s="65"/>
      <c r="E929" s="66"/>
      <c r="F929" s="67"/>
      <c r="G929" s="64"/>
      <c r="H929" s="68"/>
      <c r="I929" s="69"/>
      <c r="J929" s="69"/>
      <c r="K929" s="32"/>
      <c r="L929" s="76">
        <v>929</v>
      </c>
      <c r="M929" s="76"/>
      <c r="N929" s="71"/>
      <c r="O929" s="87" t="s">
        <v>179</v>
      </c>
      <c r="P929" s="90">
        <v>45186.458564814813</v>
      </c>
      <c r="Q929" s="87" t="s">
        <v>2748</v>
      </c>
      <c r="R929" s="87">
        <v>1</v>
      </c>
      <c r="S929" s="87">
        <v>1</v>
      </c>
      <c r="T929" s="87">
        <v>0</v>
      </c>
      <c r="U929" s="87">
        <v>0</v>
      </c>
      <c r="V929" s="87">
        <v>625</v>
      </c>
      <c r="W929" s="93" t="s">
        <v>6513</v>
      </c>
      <c r="X929" s="92" t="str">
        <f>HYPERLINK("https://mwl.press/IB304695")</f>
        <v>https://mwl.press/IB304695</v>
      </c>
      <c r="Y929" s="87" t="s">
        <v>8431</v>
      </c>
      <c r="Z929" s="87"/>
      <c r="AA929" s="87"/>
      <c r="AB929" s="87"/>
      <c r="AC929" s="93" t="s">
        <v>11479</v>
      </c>
      <c r="AD929" s="87" t="s">
        <v>11519</v>
      </c>
      <c r="AE929" s="92" t="str">
        <f>HYPERLINK("https://twitter.com/ibahia/status/1703363249767378994")</f>
        <v>https://twitter.com/ibahia/status/1703363249767378994</v>
      </c>
      <c r="AF929" s="90">
        <v>45186.458564814813</v>
      </c>
      <c r="AG929" s="99">
        <v>45186</v>
      </c>
      <c r="AH929" s="93" t="s">
        <v>12397</v>
      </c>
      <c r="AI929" s="87" t="b">
        <v>0</v>
      </c>
      <c r="AJ929" s="87"/>
      <c r="AK929" s="87"/>
      <c r="AL929" s="87"/>
      <c r="AM929" s="87"/>
      <c r="AN929" s="87"/>
      <c r="AO929" s="87"/>
      <c r="AP929" s="87"/>
      <c r="AQ929" s="87"/>
      <c r="AR929" s="87"/>
      <c r="AS929" s="87"/>
      <c r="AT929" s="87"/>
      <c r="AU929" s="87"/>
      <c r="AV929" s="92" t="str">
        <f>HYPERLINK("https://pbs.twimg.com/profile_images/1524490174071246849/Ts-pJmFi_normal.jpg")</f>
        <v>https://pbs.twimg.com/profile_images/1524490174071246849/Ts-pJmFi_normal.jpg</v>
      </c>
      <c r="AW929" s="93" t="s">
        <v>19172</v>
      </c>
      <c r="AX929" s="93" t="s">
        <v>19172</v>
      </c>
      <c r="AY929" s="87"/>
      <c r="AZ929" s="93" t="s">
        <v>22668</v>
      </c>
      <c r="BA929" s="93" t="s">
        <v>22668</v>
      </c>
      <c r="BB929" s="93" t="s">
        <v>22668</v>
      </c>
      <c r="BC929" s="93" t="s">
        <v>19172</v>
      </c>
      <c r="BD929" s="87">
        <v>15850306</v>
      </c>
      <c r="BE929" s="87"/>
      <c r="BF929" s="87"/>
      <c r="BG929" s="87"/>
      <c r="BH929" s="87"/>
      <c r="BI929" s="87"/>
    </row>
    <row r="930" spans="1:61" x14ac:dyDescent="0.25">
      <c r="A930" s="63" t="s">
        <v>569</v>
      </c>
      <c r="B930" s="63" t="s">
        <v>569</v>
      </c>
      <c r="C930" s="64"/>
      <c r="D930" s="65"/>
      <c r="E930" s="66"/>
      <c r="F930" s="67"/>
      <c r="G930" s="64"/>
      <c r="H930" s="68"/>
      <c r="I930" s="69"/>
      <c r="J930" s="69"/>
      <c r="K930" s="32"/>
      <c r="L930" s="76">
        <v>930</v>
      </c>
      <c r="M930" s="76"/>
      <c r="N930" s="71"/>
      <c r="O930" s="87" t="s">
        <v>179</v>
      </c>
      <c r="P930" s="90">
        <v>45169.563680555555</v>
      </c>
      <c r="Q930" s="87" t="s">
        <v>2749</v>
      </c>
      <c r="R930" s="87">
        <v>0</v>
      </c>
      <c r="S930" s="87">
        <v>0</v>
      </c>
      <c r="T930" s="87">
        <v>0</v>
      </c>
      <c r="U930" s="87">
        <v>0</v>
      </c>
      <c r="V930" s="87">
        <v>334</v>
      </c>
      <c r="W930" s="93" t="s">
        <v>6514</v>
      </c>
      <c r="X930" s="92" t="str">
        <f>HYPERLINK("https://mwl.press/IB303172")</f>
        <v>https://mwl.press/IB303172</v>
      </c>
      <c r="Y930" s="87" t="s">
        <v>8431</v>
      </c>
      <c r="Z930" s="87"/>
      <c r="AA930" s="87"/>
      <c r="AB930" s="87"/>
      <c r="AC930" s="93" t="s">
        <v>11479</v>
      </c>
      <c r="AD930" s="87" t="s">
        <v>11519</v>
      </c>
      <c r="AE930" s="92" t="str">
        <f>HYPERLINK("https://twitter.com/ibahia/status/1697240749312786568")</f>
        <v>https://twitter.com/ibahia/status/1697240749312786568</v>
      </c>
      <c r="AF930" s="90">
        <v>45169.563680555555</v>
      </c>
      <c r="AG930" s="99">
        <v>45169</v>
      </c>
      <c r="AH930" s="93" t="s">
        <v>12398</v>
      </c>
      <c r="AI930" s="87" t="b">
        <v>0</v>
      </c>
      <c r="AJ930" s="87"/>
      <c r="AK930" s="87"/>
      <c r="AL930" s="87"/>
      <c r="AM930" s="87"/>
      <c r="AN930" s="87"/>
      <c r="AO930" s="87"/>
      <c r="AP930" s="87"/>
      <c r="AQ930" s="87"/>
      <c r="AR930" s="87"/>
      <c r="AS930" s="87"/>
      <c r="AT930" s="87"/>
      <c r="AU930" s="87"/>
      <c r="AV930" s="92" t="str">
        <f>HYPERLINK("https://pbs.twimg.com/profile_images/1524490174071246849/Ts-pJmFi_normal.jpg")</f>
        <v>https://pbs.twimg.com/profile_images/1524490174071246849/Ts-pJmFi_normal.jpg</v>
      </c>
      <c r="AW930" s="93" t="s">
        <v>19173</v>
      </c>
      <c r="AX930" s="93" t="s">
        <v>19173</v>
      </c>
      <c r="AY930" s="87"/>
      <c r="AZ930" s="93" t="s">
        <v>22668</v>
      </c>
      <c r="BA930" s="93" t="s">
        <v>22668</v>
      </c>
      <c r="BB930" s="93" t="s">
        <v>22668</v>
      </c>
      <c r="BC930" s="93" t="s">
        <v>19173</v>
      </c>
      <c r="BD930" s="87">
        <v>15850306</v>
      </c>
      <c r="BE930" s="87"/>
      <c r="BF930" s="87"/>
      <c r="BG930" s="87"/>
      <c r="BH930" s="87"/>
      <c r="BI930" s="87"/>
    </row>
    <row r="931" spans="1:61" x14ac:dyDescent="0.25">
      <c r="A931" s="63" t="s">
        <v>569</v>
      </c>
      <c r="B931" s="63" t="s">
        <v>569</v>
      </c>
      <c r="C931" s="64"/>
      <c r="D931" s="65"/>
      <c r="E931" s="66"/>
      <c r="F931" s="67"/>
      <c r="G931" s="64"/>
      <c r="H931" s="68"/>
      <c r="I931" s="69"/>
      <c r="J931" s="69"/>
      <c r="K931" s="32"/>
      <c r="L931" s="76">
        <v>931</v>
      </c>
      <c r="M931" s="76"/>
      <c r="N931" s="71"/>
      <c r="O931" s="87" t="s">
        <v>179</v>
      </c>
      <c r="P931" s="90">
        <v>45156.562986111108</v>
      </c>
      <c r="Q931" s="87" t="s">
        <v>2750</v>
      </c>
      <c r="R931" s="87">
        <v>0</v>
      </c>
      <c r="S931" s="87">
        <v>0</v>
      </c>
      <c r="T931" s="87">
        <v>0</v>
      </c>
      <c r="U931" s="87">
        <v>0</v>
      </c>
      <c r="V931" s="87">
        <v>272</v>
      </c>
      <c r="W931" s="93" t="s">
        <v>6515</v>
      </c>
      <c r="X931" s="92" t="str">
        <f>HYPERLINK("https://mwl.press/IB301855")</f>
        <v>https://mwl.press/IB301855</v>
      </c>
      <c r="Y931" s="87" t="s">
        <v>8431</v>
      </c>
      <c r="Z931" s="87"/>
      <c r="AA931" s="87"/>
      <c r="AB931" s="87"/>
      <c r="AC931" s="93" t="s">
        <v>11479</v>
      </c>
      <c r="AD931" s="87" t="s">
        <v>11519</v>
      </c>
      <c r="AE931" s="92" t="str">
        <f>HYPERLINK("https://twitter.com/ibahia/status/1692529456676483113")</f>
        <v>https://twitter.com/ibahia/status/1692529456676483113</v>
      </c>
      <c r="AF931" s="90">
        <v>45156.562986111108</v>
      </c>
      <c r="AG931" s="99">
        <v>45156</v>
      </c>
      <c r="AH931" s="93" t="s">
        <v>12399</v>
      </c>
      <c r="AI931" s="87" t="b">
        <v>0</v>
      </c>
      <c r="AJ931" s="87"/>
      <c r="AK931" s="87"/>
      <c r="AL931" s="87"/>
      <c r="AM931" s="87"/>
      <c r="AN931" s="87"/>
      <c r="AO931" s="87"/>
      <c r="AP931" s="87"/>
      <c r="AQ931" s="87"/>
      <c r="AR931" s="87"/>
      <c r="AS931" s="87"/>
      <c r="AT931" s="87"/>
      <c r="AU931" s="87"/>
      <c r="AV931" s="92" t="str">
        <f>HYPERLINK("https://pbs.twimg.com/profile_images/1524490174071246849/Ts-pJmFi_normal.jpg")</f>
        <v>https://pbs.twimg.com/profile_images/1524490174071246849/Ts-pJmFi_normal.jpg</v>
      </c>
      <c r="AW931" s="93" t="s">
        <v>19174</v>
      </c>
      <c r="AX931" s="93" t="s">
        <v>19174</v>
      </c>
      <c r="AY931" s="87"/>
      <c r="AZ931" s="93" t="s">
        <v>22668</v>
      </c>
      <c r="BA931" s="93" t="s">
        <v>22668</v>
      </c>
      <c r="BB931" s="93" t="s">
        <v>22668</v>
      </c>
      <c r="BC931" s="93" t="s">
        <v>19174</v>
      </c>
      <c r="BD931" s="87">
        <v>15850306</v>
      </c>
      <c r="BE931" s="87"/>
      <c r="BF931" s="87"/>
      <c r="BG931" s="87"/>
      <c r="BH931" s="87"/>
      <c r="BI931" s="87"/>
    </row>
    <row r="932" spans="1:61" x14ac:dyDescent="0.25">
      <c r="A932" s="63" t="s">
        <v>569</v>
      </c>
      <c r="B932" s="63" t="s">
        <v>569</v>
      </c>
      <c r="C932" s="64"/>
      <c r="D932" s="65"/>
      <c r="E932" s="66"/>
      <c r="F932" s="67"/>
      <c r="G932" s="64"/>
      <c r="H932" s="68"/>
      <c r="I932" s="69"/>
      <c r="J932" s="69"/>
      <c r="K932" s="32"/>
      <c r="L932" s="76">
        <v>932</v>
      </c>
      <c r="M932" s="76"/>
      <c r="N932" s="71"/>
      <c r="O932" s="87" t="s">
        <v>179</v>
      </c>
      <c r="P932" s="90">
        <v>45194.562731481485</v>
      </c>
      <c r="Q932" s="87" t="s">
        <v>2751</v>
      </c>
      <c r="R932" s="87">
        <v>0</v>
      </c>
      <c r="S932" s="87">
        <v>0</v>
      </c>
      <c r="T932" s="87">
        <v>0</v>
      </c>
      <c r="U932" s="87">
        <v>0</v>
      </c>
      <c r="V932" s="87">
        <v>233</v>
      </c>
      <c r="W932" s="93" t="s">
        <v>6516</v>
      </c>
      <c r="X932" s="92" t="str">
        <f>HYPERLINK("https://mwl.press/IB305353")</f>
        <v>https://mwl.press/IB305353</v>
      </c>
      <c r="Y932" s="87" t="s">
        <v>8431</v>
      </c>
      <c r="Z932" s="87"/>
      <c r="AA932" s="87"/>
      <c r="AB932" s="87"/>
      <c r="AC932" s="93" t="s">
        <v>11479</v>
      </c>
      <c r="AD932" s="87" t="s">
        <v>11519</v>
      </c>
      <c r="AE932" s="92" t="str">
        <f>HYPERLINK("https://twitter.com/ibahia/status/1706300102321549632")</f>
        <v>https://twitter.com/ibahia/status/1706300102321549632</v>
      </c>
      <c r="AF932" s="90">
        <v>45194.562731481485</v>
      </c>
      <c r="AG932" s="99">
        <v>45194</v>
      </c>
      <c r="AH932" s="93" t="s">
        <v>12400</v>
      </c>
      <c r="AI932" s="87" t="b">
        <v>0</v>
      </c>
      <c r="AJ932" s="87"/>
      <c r="AK932" s="87"/>
      <c r="AL932" s="87"/>
      <c r="AM932" s="87"/>
      <c r="AN932" s="87"/>
      <c r="AO932" s="87"/>
      <c r="AP932" s="87"/>
      <c r="AQ932" s="87"/>
      <c r="AR932" s="87"/>
      <c r="AS932" s="87"/>
      <c r="AT932" s="87"/>
      <c r="AU932" s="87"/>
      <c r="AV932" s="92" t="str">
        <f>HYPERLINK("https://pbs.twimg.com/profile_images/1524490174071246849/Ts-pJmFi_normal.jpg")</f>
        <v>https://pbs.twimg.com/profile_images/1524490174071246849/Ts-pJmFi_normal.jpg</v>
      </c>
      <c r="AW932" s="93" t="s">
        <v>19175</v>
      </c>
      <c r="AX932" s="93" t="s">
        <v>19175</v>
      </c>
      <c r="AY932" s="87"/>
      <c r="AZ932" s="93" t="s">
        <v>22668</v>
      </c>
      <c r="BA932" s="93" t="s">
        <v>22668</v>
      </c>
      <c r="BB932" s="93" t="s">
        <v>22668</v>
      </c>
      <c r="BC932" s="93" t="s">
        <v>19175</v>
      </c>
      <c r="BD932" s="87">
        <v>15850306</v>
      </c>
      <c r="BE932" s="87"/>
      <c r="BF932" s="87"/>
      <c r="BG932" s="87"/>
      <c r="BH932" s="87"/>
      <c r="BI932" s="87"/>
    </row>
    <row r="933" spans="1:61" x14ac:dyDescent="0.25">
      <c r="A933" s="63" t="s">
        <v>569</v>
      </c>
      <c r="B933" s="63" t="s">
        <v>569</v>
      </c>
      <c r="C933" s="64"/>
      <c r="D933" s="65"/>
      <c r="E933" s="66"/>
      <c r="F933" s="67"/>
      <c r="G933" s="64"/>
      <c r="H933" s="68"/>
      <c r="I933" s="69"/>
      <c r="J933" s="69"/>
      <c r="K933" s="32"/>
      <c r="L933" s="76">
        <v>933</v>
      </c>
      <c r="M933" s="76"/>
      <c r="N933" s="71"/>
      <c r="O933" s="87" t="s">
        <v>179</v>
      </c>
      <c r="P933" s="90">
        <v>45127.496805555558</v>
      </c>
      <c r="Q933" s="87" t="s">
        <v>2752</v>
      </c>
      <c r="R933" s="87">
        <v>0</v>
      </c>
      <c r="S933" s="87">
        <v>1</v>
      </c>
      <c r="T933" s="87">
        <v>0</v>
      </c>
      <c r="U933" s="87">
        <v>0</v>
      </c>
      <c r="V933" s="87">
        <v>314</v>
      </c>
      <c r="W933" s="93" t="s">
        <v>6517</v>
      </c>
      <c r="X933" s="92" t="str">
        <f>HYPERLINK("https://mwl.press/IB298956")</f>
        <v>https://mwl.press/IB298956</v>
      </c>
      <c r="Y933" s="87" t="s">
        <v>8431</v>
      </c>
      <c r="Z933" s="87"/>
      <c r="AA933" s="87"/>
      <c r="AB933" s="87"/>
      <c r="AC933" s="93" t="s">
        <v>11479</v>
      </c>
      <c r="AD933" s="87" t="s">
        <v>11519</v>
      </c>
      <c r="AE933" s="92" t="str">
        <f>HYPERLINK("https://twitter.com/ibahia/status/1681996225522876424")</f>
        <v>https://twitter.com/ibahia/status/1681996225522876424</v>
      </c>
      <c r="AF933" s="90">
        <v>45127.496805555558</v>
      </c>
      <c r="AG933" s="99">
        <v>45127</v>
      </c>
      <c r="AH933" s="93" t="s">
        <v>12401</v>
      </c>
      <c r="AI933" s="87" t="b">
        <v>0</v>
      </c>
      <c r="AJ933" s="87"/>
      <c r="AK933" s="87"/>
      <c r="AL933" s="87"/>
      <c r="AM933" s="87"/>
      <c r="AN933" s="87"/>
      <c r="AO933" s="87"/>
      <c r="AP933" s="87"/>
      <c r="AQ933" s="87"/>
      <c r="AR933" s="87"/>
      <c r="AS933" s="87"/>
      <c r="AT933" s="87"/>
      <c r="AU933" s="87"/>
      <c r="AV933" s="92" t="str">
        <f>HYPERLINK("https://pbs.twimg.com/profile_images/1524490174071246849/Ts-pJmFi_normal.jpg")</f>
        <v>https://pbs.twimg.com/profile_images/1524490174071246849/Ts-pJmFi_normal.jpg</v>
      </c>
      <c r="AW933" s="93" t="s">
        <v>19176</v>
      </c>
      <c r="AX933" s="93" t="s">
        <v>19176</v>
      </c>
      <c r="AY933" s="87"/>
      <c r="AZ933" s="93" t="s">
        <v>22668</v>
      </c>
      <c r="BA933" s="93" t="s">
        <v>22668</v>
      </c>
      <c r="BB933" s="93" t="s">
        <v>22668</v>
      </c>
      <c r="BC933" s="93" t="s">
        <v>19176</v>
      </c>
      <c r="BD933" s="87">
        <v>15850306</v>
      </c>
      <c r="BE933" s="87"/>
      <c r="BF933" s="87"/>
      <c r="BG933" s="87"/>
      <c r="BH933" s="87"/>
      <c r="BI933" s="87"/>
    </row>
    <row r="934" spans="1:61" x14ac:dyDescent="0.25">
      <c r="A934" s="63" t="s">
        <v>570</v>
      </c>
      <c r="B934" s="63" t="s">
        <v>570</v>
      </c>
      <c r="C934" s="64"/>
      <c r="D934" s="65"/>
      <c r="E934" s="66"/>
      <c r="F934" s="67"/>
      <c r="G934" s="64"/>
      <c r="H934" s="68"/>
      <c r="I934" s="69"/>
      <c r="J934" s="69"/>
      <c r="K934" s="32"/>
      <c r="L934" s="76">
        <v>934</v>
      </c>
      <c r="M934" s="76"/>
      <c r="N934" s="71"/>
      <c r="O934" s="87" t="s">
        <v>179</v>
      </c>
      <c r="P934" s="90">
        <v>45185.0627662037</v>
      </c>
      <c r="Q934" s="87" t="s">
        <v>2753</v>
      </c>
      <c r="R934" s="87">
        <v>0</v>
      </c>
      <c r="S934" s="87">
        <v>0</v>
      </c>
      <c r="T934" s="87">
        <v>0</v>
      </c>
      <c r="U934" s="87">
        <v>0</v>
      </c>
      <c r="V934" s="87">
        <v>1</v>
      </c>
      <c r="W934" s="93" t="s">
        <v>6518</v>
      </c>
      <c r="X934" s="87"/>
      <c r="Y934" s="87"/>
      <c r="Z934" s="87"/>
      <c r="AA934" s="87"/>
      <c r="AB934" s="87"/>
      <c r="AC934" s="93" t="s">
        <v>11458</v>
      </c>
      <c r="AD934" s="87" t="s">
        <v>11519</v>
      </c>
      <c r="AE934" s="92" t="str">
        <f>HYPERLINK("https://twitter.com/aryyandrade/status/1702857431359873037")</f>
        <v>https://twitter.com/aryyandrade/status/1702857431359873037</v>
      </c>
      <c r="AF934" s="90">
        <v>45185.0627662037</v>
      </c>
      <c r="AG934" s="99">
        <v>45185</v>
      </c>
      <c r="AH934" s="93" t="s">
        <v>12402</v>
      </c>
      <c r="AI934" s="87"/>
      <c r="AJ934" s="87"/>
      <c r="AK934" s="87"/>
      <c r="AL934" s="87"/>
      <c r="AM934" s="87"/>
      <c r="AN934" s="87"/>
      <c r="AO934" s="87"/>
      <c r="AP934" s="87"/>
      <c r="AQ934" s="87"/>
      <c r="AR934" s="87"/>
      <c r="AS934" s="87"/>
      <c r="AT934" s="87"/>
      <c r="AU934" s="87"/>
      <c r="AV934" s="92" t="str">
        <f>HYPERLINK("https://pbs.twimg.com/profile_images/1658190843730092057/syQCdqeH_normal.jpg")</f>
        <v>https://pbs.twimg.com/profile_images/1658190843730092057/syQCdqeH_normal.jpg</v>
      </c>
      <c r="AW934" s="93" t="s">
        <v>19177</v>
      </c>
      <c r="AX934" s="93" t="s">
        <v>19177</v>
      </c>
      <c r="AY934" s="87"/>
      <c r="AZ934" s="93" t="s">
        <v>22668</v>
      </c>
      <c r="BA934" s="93" t="s">
        <v>22668</v>
      </c>
      <c r="BB934" s="93" t="s">
        <v>22668</v>
      </c>
      <c r="BC934" s="93" t="s">
        <v>19177</v>
      </c>
      <c r="BD934" s="87">
        <v>394703500</v>
      </c>
      <c r="BE934" s="87"/>
      <c r="BF934" s="87"/>
      <c r="BG934" s="87"/>
      <c r="BH934" s="87"/>
      <c r="BI934" s="87"/>
    </row>
    <row r="935" spans="1:61" x14ac:dyDescent="0.25">
      <c r="A935" s="63" t="s">
        <v>571</v>
      </c>
      <c r="B935" s="63" t="s">
        <v>571</v>
      </c>
      <c r="C935" s="64"/>
      <c r="D935" s="65"/>
      <c r="E935" s="66"/>
      <c r="F935" s="67"/>
      <c r="G935" s="64"/>
      <c r="H935" s="68"/>
      <c r="I935" s="69"/>
      <c r="J935" s="69"/>
      <c r="K935" s="32"/>
      <c r="L935" s="76">
        <v>935</v>
      </c>
      <c r="M935" s="76"/>
      <c r="N935" s="71"/>
      <c r="O935" s="87" t="s">
        <v>179</v>
      </c>
      <c r="P935" s="90">
        <v>45125.070208333331</v>
      </c>
      <c r="Q935" s="87" t="s">
        <v>2754</v>
      </c>
      <c r="R935" s="87">
        <v>0</v>
      </c>
      <c r="S935" s="87">
        <v>0</v>
      </c>
      <c r="T935" s="87">
        <v>0</v>
      </c>
      <c r="U935" s="87">
        <v>0</v>
      </c>
      <c r="V935" s="87">
        <v>10</v>
      </c>
      <c r="W935" s="93" t="s">
        <v>6519</v>
      </c>
      <c r="X935" s="92" t="str">
        <f>HYPERLINK("https://brasiltrabalhador.com.br/geral/1a-expo-empregabilidade-cajamar-oportunidades-de-emprego-e-dicas-de-empreendedorismo-para-voce/")</f>
        <v>https://brasiltrabalhador.com.br/geral/1a-expo-empregabilidade-cajamar-oportunidades-de-emprego-e-dicas-de-empreendedorismo-para-voce/</v>
      </c>
      <c r="Y935" s="87" t="s">
        <v>8373</v>
      </c>
      <c r="Z935" s="87"/>
      <c r="AA935" s="87" t="s">
        <v>9187</v>
      </c>
      <c r="AB935" s="87" t="s">
        <v>11448</v>
      </c>
      <c r="AC935" s="93" t="s">
        <v>11457</v>
      </c>
      <c r="AD935" s="87" t="s">
        <v>11519</v>
      </c>
      <c r="AE935" s="92" t="str">
        <f>HYPERLINK("https://twitter.com/brltrabalhador/status/1681116855421812737")</f>
        <v>https://twitter.com/brltrabalhador/status/1681116855421812737</v>
      </c>
      <c r="AF935" s="90">
        <v>45125.070208333331</v>
      </c>
      <c r="AG935" s="99">
        <v>45125</v>
      </c>
      <c r="AH935" s="93" t="s">
        <v>12403</v>
      </c>
      <c r="AI935" s="87" t="b">
        <v>0</v>
      </c>
      <c r="AJ935" s="87"/>
      <c r="AK935" s="87"/>
      <c r="AL935" s="87"/>
      <c r="AM935" s="87"/>
      <c r="AN935" s="87"/>
      <c r="AO935" s="87"/>
      <c r="AP935" s="87"/>
      <c r="AQ935" s="87" t="s">
        <v>16000</v>
      </c>
      <c r="AR935" s="87"/>
      <c r="AS935" s="87"/>
      <c r="AT935" s="87"/>
      <c r="AU935" s="87"/>
      <c r="AV935" s="92" t="str">
        <f>HYPERLINK("https://pbs.twimg.com/media/F1SG1W7XsAA5kPE.png")</f>
        <v>https://pbs.twimg.com/media/F1SG1W7XsAA5kPE.png</v>
      </c>
      <c r="AW935" s="93" t="s">
        <v>19178</v>
      </c>
      <c r="AX935" s="93" t="s">
        <v>19178</v>
      </c>
      <c r="AY935" s="87"/>
      <c r="AZ935" s="93" t="s">
        <v>22668</v>
      </c>
      <c r="BA935" s="93" t="s">
        <v>22668</v>
      </c>
      <c r="BB935" s="93" t="s">
        <v>22668</v>
      </c>
      <c r="BC935" s="93" t="s">
        <v>19178</v>
      </c>
      <c r="BD935" s="93" t="s">
        <v>22989</v>
      </c>
      <c r="BE935" s="87"/>
      <c r="BF935" s="87"/>
      <c r="BG935" s="87"/>
      <c r="BH935" s="87"/>
      <c r="BI935" s="87"/>
    </row>
    <row r="936" spans="1:61" x14ac:dyDescent="0.25">
      <c r="A936" s="63" t="s">
        <v>572</v>
      </c>
      <c r="B936" s="63" t="s">
        <v>572</v>
      </c>
      <c r="C936" s="64"/>
      <c r="D936" s="65"/>
      <c r="E936" s="66"/>
      <c r="F936" s="67"/>
      <c r="G936" s="64"/>
      <c r="H936" s="68"/>
      <c r="I936" s="69"/>
      <c r="J936" s="69"/>
      <c r="K936" s="32"/>
      <c r="L936" s="76">
        <v>936</v>
      </c>
      <c r="M936" s="76"/>
      <c r="N936" s="71"/>
      <c r="O936" s="87" t="s">
        <v>179</v>
      </c>
      <c r="P936" s="90">
        <v>45188.583333333336</v>
      </c>
      <c r="Q936" s="87" t="s">
        <v>2755</v>
      </c>
      <c r="R936" s="87">
        <v>0</v>
      </c>
      <c r="S936" s="87">
        <v>0</v>
      </c>
      <c r="T936" s="87">
        <v>0</v>
      </c>
      <c r="U936" s="87">
        <v>0</v>
      </c>
      <c r="V936" s="87">
        <v>6</v>
      </c>
      <c r="W936" s="93" t="s">
        <v>6520</v>
      </c>
      <c r="X936" s="92" t="str">
        <f>HYPERLINK("https://bit.ly/45RelUR")</f>
        <v>https://bit.ly/45RelUR</v>
      </c>
      <c r="Y936" s="87" t="s">
        <v>8374</v>
      </c>
      <c r="Z936" s="87"/>
      <c r="AA936" s="87"/>
      <c r="AB936" s="87"/>
      <c r="AC936" s="93" t="s">
        <v>11480</v>
      </c>
      <c r="AD936" s="87" t="s">
        <v>11519</v>
      </c>
      <c r="AE936" s="92" t="str">
        <f>HYPERLINK("https://twitter.com/gomalga/status/1704133241375224119")</f>
        <v>https://twitter.com/gomalga/status/1704133241375224119</v>
      </c>
      <c r="AF936" s="90">
        <v>45188.583333333336</v>
      </c>
      <c r="AG936" s="99">
        <v>45188</v>
      </c>
      <c r="AH936" s="93" t="s">
        <v>12404</v>
      </c>
      <c r="AI936" s="87" t="b">
        <v>0</v>
      </c>
      <c r="AJ936" s="87"/>
      <c r="AK936" s="87"/>
      <c r="AL936" s="87"/>
      <c r="AM936" s="87"/>
      <c r="AN936" s="87"/>
      <c r="AO936" s="87"/>
      <c r="AP936" s="87"/>
      <c r="AQ936" s="87"/>
      <c r="AR936" s="87"/>
      <c r="AS936" s="87"/>
      <c r="AT936" s="87"/>
      <c r="AU936" s="87"/>
      <c r="AV936" s="92" t="str">
        <f>HYPERLINK("https://pbs.twimg.com/profile_images/1607805036033200129/EK6T3J1p_normal.png")</f>
        <v>https://pbs.twimg.com/profile_images/1607805036033200129/EK6T3J1p_normal.png</v>
      </c>
      <c r="AW936" s="93" t="s">
        <v>19179</v>
      </c>
      <c r="AX936" s="93" t="s">
        <v>19179</v>
      </c>
      <c r="AY936" s="87"/>
      <c r="AZ936" s="93" t="s">
        <v>22668</v>
      </c>
      <c r="BA936" s="93" t="s">
        <v>22668</v>
      </c>
      <c r="BB936" s="93" t="s">
        <v>22668</v>
      </c>
      <c r="BC936" s="93" t="s">
        <v>19179</v>
      </c>
      <c r="BD936" s="93" t="s">
        <v>22990</v>
      </c>
      <c r="BE936" s="87"/>
      <c r="BF936" s="87"/>
      <c r="BG936" s="87"/>
      <c r="BH936" s="87"/>
      <c r="BI936" s="87"/>
    </row>
    <row r="937" spans="1:61" x14ac:dyDescent="0.25">
      <c r="A937" s="63" t="s">
        <v>573</v>
      </c>
      <c r="B937" s="63" t="s">
        <v>573</v>
      </c>
      <c r="C937" s="64"/>
      <c r="D937" s="65"/>
      <c r="E937" s="66"/>
      <c r="F937" s="67"/>
      <c r="G937" s="64"/>
      <c r="H937" s="68"/>
      <c r="I937" s="69"/>
      <c r="J937" s="69"/>
      <c r="K937" s="32"/>
      <c r="L937" s="76">
        <v>937</v>
      </c>
      <c r="M937" s="76"/>
      <c r="N937" s="71"/>
      <c r="O937" s="87" t="s">
        <v>179</v>
      </c>
      <c r="P937" s="90">
        <v>45164.950706018521</v>
      </c>
      <c r="Q937" s="87" t="s">
        <v>2756</v>
      </c>
      <c r="R937" s="87">
        <v>0</v>
      </c>
      <c r="S937" s="87">
        <v>0</v>
      </c>
      <c r="T937" s="87">
        <v>0</v>
      </c>
      <c r="U937" s="87">
        <v>0</v>
      </c>
      <c r="V937" s="87">
        <v>20</v>
      </c>
      <c r="W937" s="93" t="s">
        <v>6521</v>
      </c>
      <c r="X937" s="87"/>
      <c r="Y937" s="87"/>
      <c r="Z937" s="87"/>
      <c r="AA937" s="87" t="s">
        <v>9188</v>
      </c>
      <c r="AB937" s="87" t="s">
        <v>11448</v>
      </c>
      <c r="AC937" s="93" t="s">
        <v>11458</v>
      </c>
      <c r="AD937" s="87" t="s">
        <v>11519</v>
      </c>
      <c r="AE937" s="92" t="str">
        <f>HYPERLINK("https://twitter.com/arnaldopoggi/status/1695569063437615528")</f>
        <v>https://twitter.com/arnaldopoggi/status/1695569063437615528</v>
      </c>
      <c r="AF937" s="90">
        <v>45164.950706018521</v>
      </c>
      <c r="AG937" s="99">
        <v>45164</v>
      </c>
      <c r="AH937" s="93" t="s">
        <v>12405</v>
      </c>
      <c r="AI937" s="87" t="b">
        <v>0</v>
      </c>
      <c r="AJ937" s="87"/>
      <c r="AK937" s="87"/>
      <c r="AL937" s="87"/>
      <c r="AM937" s="87"/>
      <c r="AN937" s="87"/>
      <c r="AO937" s="87"/>
      <c r="AP937" s="87"/>
      <c r="AQ937" s="87" t="s">
        <v>16001</v>
      </c>
      <c r="AR937" s="87"/>
      <c r="AS937" s="87"/>
      <c r="AT937" s="87"/>
      <c r="AU937" s="87"/>
      <c r="AV937" s="92" t="str">
        <f>HYPERLINK("https://pbs.twimg.com/media/F4ffEt1XAAAtOEw.jpg")</f>
        <v>https://pbs.twimg.com/media/F4ffEt1XAAAtOEw.jpg</v>
      </c>
      <c r="AW937" s="93" t="s">
        <v>19180</v>
      </c>
      <c r="AX937" s="93" t="s">
        <v>19180</v>
      </c>
      <c r="AY937" s="87"/>
      <c r="AZ937" s="93" t="s">
        <v>22668</v>
      </c>
      <c r="BA937" s="93" t="s">
        <v>22668</v>
      </c>
      <c r="BB937" s="93" t="s">
        <v>22668</v>
      </c>
      <c r="BC937" s="93" t="s">
        <v>19180</v>
      </c>
      <c r="BD937" s="87">
        <v>48390416</v>
      </c>
      <c r="BE937" s="87"/>
      <c r="BF937" s="87"/>
      <c r="BG937" s="87"/>
      <c r="BH937" s="87"/>
      <c r="BI937" s="87"/>
    </row>
    <row r="938" spans="1:61" x14ac:dyDescent="0.25">
      <c r="A938" s="63" t="s">
        <v>574</v>
      </c>
      <c r="B938" s="63" t="s">
        <v>1662</v>
      </c>
      <c r="C938" s="64"/>
      <c r="D938" s="65"/>
      <c r="E938" s="66"/>
      <c r="F938" s="67"/>
      <c r="G938" s="64"/>
      <c r="H938" s="68"/>
      <c r="I938" s="69"/>
      <c r="J938" s="69"/>
      <c r="K938" s="32"/>
      <c r="L938" s="76">
        <v>938</v>
      </c>
      <c r="M938" s="76"/>
      <c r="N938" s="71"/>
      <c r="O938" s="87" t="s">
        <v>1839</v>
      </c>
      <c r="P938" s="90">
        <v>45150.029178240744</v>
      </c>
      <c r="Q938" s="87" t="s">
        <v>2757</v>
      </c>
      <c r="R938" s="87">
        <v>0</v>
      </c>
      <c r="S938" s="87">
        <v>0</v>
      </c>
      <c r="T938" s="87">
        <v>1</v>
      </c>
      <c r="U938" s="87">
        <v>0</v>
      </c>
      <c r="V938" s="87">
        <v>103</v>
      </c>
      <c r="W938" s="93" t="s">
        <v>6522</v>
      </c>
      <c r="X938" s="92" t="str">
        <f>HYPERLINK("https://fb.watch/mmzz__j7IW/")</f>
        <v>https://fb.watch/mmzz__j7IW/</v>
      </c>
      <c r="Y938" s="87" t="s">
        <v>8432</v>
      </c>
      <c r="Z938" s="87" t="s">
        <v>8574</v>
      </c>
      <c r="AA938" s="87"/>
      <c r="AB938" s="87"/>
      <c r="AC938" s="93" t="s">
        <v>11458</v>
      </c>
      <c r="AD938" s="87" t="s">
        <v>11519</v>
      </c>
      <c r="AE938" s="92" t="str">
        <f>HYPERLINK("https://twitter.com/queijodalagoamg/status/1690161681962319872")</f>
        <v>https://twitter.com/queijodalagoamg/status/1690161681962319872</v>
      </c>
      <c r="AF938" s="90">
        <v>45150.029178240744</v>
      </c>
      <c r="AG938" s="99">
        <v>45150</v>
      </c>
      <c r="AH938" s="93" t="s">
        <v>12406</v>
      </c>
      <c r="AI938" s="87" t="b">
        <v>0</v>
      </c>
      <c r="AJ938" s="87"/>
      <c r="AK938" s="87"/>
      <c r="AL938" s="87"/>
      <c r="AM938" s="87"/>
      <c r="AN938" s="87"/>
      <c r="AO938" s="87"/>
      <c r="AP938" s="87"/>
      <c r="AQ938" s="87"/>
      <c r="AR938" s="87"/>
      <c r="AS938" s="87"/>
      <c r="AT938" s="87"/>
      <c r="AU938" s="87"/>
      <c r="AV938" s="92" t="str">
        <f>HYPERLINK("https://pbs.twimg.com/profile_images/1068160900438376448/duN3uBBj_normal.jpg")</f>
        <v>https://pbs.twimg.com/profile_images/1068160900438376448/duN3uBBj_normal.jpg</v>
      </c>
      <c r="AW938" s="93" t="s">
        <v>19181</v>
      </c>
      <c r="AX938" s="93" t="s">
        <v>19181</v>
      </c>
      <c r="AY938" s="87"/>
      <c r="AZ938" s="93" t="s">
        <v>22668</v>
      </c>
      <c r="BA938" s="93" t="s">
        <v>22668</v>
      </c>
      <c r="BB938" s="93" t="s">
        <v>22668</v>
      </c>
      <c r="BC938" s="93" t="s">
        <v>19181</v>
      </c>
      <c r="BD938" s="87">
        <v>257796376</v>
      </c>
      <c r="BE938" s="87"/>
      <c r="BF938" s="87"/>
      <c r="BG938" s="87"/>
      <c r="BH938" s="87"/>
      <c r="BI938" s="87"/>
    </row>
    <row r="939" spans="1:61" x14ac:dyDescent="0.25">
      <c r="A939" s="63" t="s">
        <v>574</v>
      </c>
      <c r="B939" s="63" t="s">
        <v>1663</v>
      </c>
      <c r="C939" s="64"/>
      <c r="D939" s="65"/>
      <c r="E939" s="66"/>
      <c r="F939" s="67"/>
      <c r="G939" s="64"/>
      <c r="H939" s="68"/>
      <c r="I939" s="69"/>
      <c r="J939" s="69"/>
      <c r="K939" s="32"/>
      <c r="L939" s="76">
        <v>939</v>
      </c>
      <c r="M939" s="76"/>
      <c r="N939" s="71"/>
      <c r="O939" s="87" t="s">
        <v>1839</v>
      </c>
      <c r="P939" s="90">
        <v>45150.029178240744</v>
      </c>
      <c r="Q939" s="87" t="s">
        <v>2757</v>
      </c>
      <c r="R939" s="87">
        <v>0</v>
      </c>
      <c r="S939" s="87">
        <v>0</v>
      </c>
      <c r="T939" s="87">
        <v>1</v>
      </c>
      <c r="U939" s="87">
        <v>0</v>
      </c>
      <c r="V939" s="87">
        <v>103</v>
      </c>
      <c r="W939" s="93" t="s">
        <v>6522</v>
      </c>
      <c r="X939" s="92" t="str">
        <f>HYPERLINK("https://fb.watch/mmzz__j7IW/")</f>
        <v>https://fb.watch/mmzz__j7IW/</v>
      </c>
      <c r="Y939" s="87" t="s">
        <v>8432</v>
      </c>
      <c r="Z939" s="87" t="s">
        <v>8574</v>
      </c>
      <c r="AA939" s="87"/>
      <c r="AB939" s="87"/>
      <c r="AC939" s="93" t="s">
        <v>11458</v>
      </c>
      <c r="AD939" s="87" t="s">
        <v>11519</v>
      </c>
      <c r="AE939" s="92" t="str">
        <f>HYPERLINK("https://twitter.com/queijodalagoamg/status/1690161681962319872")</f>
        <v>https://twitter.com/queijodalagoamg/status/1690161681962319872</v>
      </c>
      <c r="AF939" s="90">
        <v>45150.029178240744</v>
      </c>
      <c r="AG939" s="99">
        <v>45150</v>
      </c>
      <c r="AH939" s="93" t="s">
        <v>12406</v>
      </c>
      <c r="AI939" s="87" t="b">
        <v>0</v>
      </c>
      <c r="AJ939" s="87"/>
      <c r="AK939" s="87"/>
      <c r="AL939" s="87"/>
      <c r="AM939" s="87"/>
      <c r="AN939" s="87"/>
      <c r="AO939" s="87"/>
      <c r="AP939" s="87"/>
      <c r="AQ939" s="87"/>
      <c r="AR939" s="87"/>
      <c r="AS939" s="87"/>
      <c r="AT939" s="87"/>
      <c r="AU939" s="87"/>
      <c r="AV939" s="92" t="str">
        <f>HYPERLINK("https://pbs.twimg.com/profile_images/1068160900438376448/duN3uBBj_normal.jpg")</f>
        <v>https://pbs.twimg.com/profile_images/1068160900438376448/duN3uBBj_normal.jpg</v>
      </c>
      <c r="AW939" s="93" t="s">
        <v>19181</v>
      </c>
      <c r="AX939" s="93" t="s">
        <v>19181</v>
      </c>
      <c r="AY939" s="87"/>
      <c r="AZ939" s="93" t="s">
        <v>22668</v>
      </c>
      <c r="BA939" s="93" t="s">
        <v>22668</v>
      </c>
      <c r="BB939" s="93" t="s">
        <v>22668</v>
      </c>
      <c r="BC939" s="93" t="s">
        <v>19181</v>
      </c>
      <c r="BD939" s="87">
        <v>257796376</v>
      </c>
      <c r="BE939" s="87"/>
      <c r="BF939" s="87"/>
      <c r="BG939" s="87"/>
      <c r="BH939" s="87"/>
      <c r="BI939" s="87"/>
    </row>
    <row r="940" spans="1:61" x14ac:dyDescent="0.25">
      <c r="A940" s="63" t="s">
        <v>574</v>
      </c>
      <c r="B940" s="63" t="s">
        <v>1664</v>
      </c>
      <c r="C940" s="64"/>
      <c r="D940" s="65"/>
      <c r="E940" s="66"/>
      <c r="F940" s="67"/>
      <c r="G940" s="64"/>
      <c r="H940" s="68"/>
      <c r="I940" s="69"/>
      <c r="J940" s="69"/>
      <c r="K940" s="32"/>
      <c r="L940" s="76">
        <v>940</v>
      </c>
      <c r="M940" s="76"/>
      <c r="N940" s="71"/>
      <c r="O940" s="87" t="s">
        <v>1839</v>
      </c>
      <c r="P940" s="90">
        <v>45150.029178240744</v>
      </c>
      <c r="Q940" s="87" t="s">
        <v>2757</v>
      </c>
      <c r="R940" s="87">
        <v>0</v>
      </c>
      <c r="S940" s="87">
        <v>0</v>
      </c>
      <c r="T940" s="87">
        <v>1</v>
      </c>
      <c r="U940" s="87">
        <v>0</v>
      </c>
      <c r="V940" s="87">
        <v>103</v>
      </c>
      <c r="W940" s="93" t="s">
        <v>6522</v>
      </c>
      <c r="X940" s="92" t="str">
        <f>HYPERLINK("https://fb.watch/mmzz__j7IW/")</f>
        <v>https://fb.watch/mmzz__j7IW/</v>
      </c>
      <c r="Y940" s="87" t="s">
        <v>8432</v>
      </c>
      <c r="Z940" s="87" t="s">
        <v>8574</v>
      </c>
      <c r="AA940" s="87"/>
      <c r="AB940" s="87"/>
      <c r="AC940" s="93" t="s">
        <v>11458</v>
      </c>
      <c r="AD940" s="87" t="s">
        <v>11519</v>
      </c>
      <c r="AE940" s="92" t="str">
        <f>HYPERLINK("https://twitter.com/queijodalagoamg/status/1690161681962319872")</f>
        <v>https://twitter.com/queijodalagoamg/status/1690161681962319872</v>
      </c>
      <c r="AF940" s="90">
        <v>45150.029178240744</v>
      </c>
      <c r="AG940" s="99">
        <v>45150</v>
      </c>
      <c r="AH940" s="93" t="s">
        <v>12406</v>
      </c>
      <c r="AI940" s="87" t="b">
        <v>0</v>
      </c>
      <c r="AJ940" s="87"/>
      <c r="AK940" s="87"/>
      <c r="AL940" s="87"/>
      <c r="AM940" s="87"/>
      <c r="AN940" s="87"/>
      <c r="AO940" s="87"/>
      <c r="AP940" s="87"/>
      <c r="AQ940" s="87"/>
      <c r="AR940" s="87"/>
      <c r="AS940" s="87"/>
      <c r="AT940" s="87"/>
      <c r="AU940" s="87"/>
      <c r="AV940" s="92" t="str">
        <f>HYPERLINK("https://pbs.twimg.com/profile_images/1068160900438376448/duN3uBBj_normal.jpg")</f>
        <v>https://pbs.twimg.com/profile_images/1068160900438376448/duN3uBBj_normal.jpg</v>
      </c>
      <c r="AW940" s="93" t="s">
        <v>19181</v>
      </c>
      <c r="AX940" s="93" t="s">
        <v>19181</v>
      </c>
      <c r="AY940" s="87"/>
      <c r="AZ940" s="93" t="s">
        <v>22668</v>
      </c>
      <c r="BA940" s="93" t="s">
        <v>22668</v>
      </c>
      <c r="BB940" s="93" t="s">
        <v>22668</v>
      </c>
      <c r="BC940" s="93" t="s">
        <v>19181</v>
      </c>
      <c r="BD940" s="87">
        <v>257796376</v>
      </c>
      <c r="BE940" s="87"/>
      <c r="BF940" s="87"/>
      <c r="BG940" s="87"/>
      <c r="BH940" s="87"/>
      <c r="BI940" s="87"/>
    </row>
    <row r="941" spans="1:61" x14ac:dyDescent="0.25">
      <c r="A941" s="63" t="s">
        <v>574</v>
      </c>
      <c r="B941" s="63" t="s">
        <v>1665</v>
      </c>
      <c r="C941" s="64"/>
      <c r="D941" s="65"/>
      <c r="E941" s="66"/>
      <c r="F941" s="67"/>
      <c r="G941" s="64"/>
      <c r="H941" s="68"/>
      <c r="I941" s="69"/>
      <c r="J941" s="69"/>
      <c r="K941" s="32"/>
      <c r="L941" s="76">
        <v>941</v>
      </c>
      <c r="M941" s="76"/>
      <c r="N941" s="71"/>
      <c r="O941" s="87" t="s">
        <v>1839</v>
      </c>
      <c r="P941" s="90">
        <v>45150.029178240744</v>
      </c>
      <c r="Q941" s="87" t="s">
        <v>2757</v>
      </c>
      <c r="R941" s="87">
        <v>0</v>
      </c>
      <c r="S941" s="87">
        <v>0</v>
      </c>
      <c r="T941" s="87">
        <v>1</v>
      </c>
      <c r="U941" s="87">
        <v>0</v>
      </c>
      <c r="V941" s="87">
        <v>103</v>
      </c>
      <c r="W941" s="93" t="s">
        <v>6522</v>
      </c>
      <c r="X941" s="92" t="str">
        <f>HYPERLINK("https://fb.watch/mmzz__j7IW/")</f>
        <v>https://fb.watch/mmzz__j7IW/</v>
      </c>
      <c r="Y941" s="87" t="s">
        <v>8432</v>
      </c>
      <c r="Z941" s="87" t="s">
        <v>8574</v>
      </c>
      <c r="AA941" s="87"/>
      <c r="AB941" s="87"/>
      <c r="AC941" s="93" t="s">
        <v>11458</v>
      </c>
      <c r="AD941" s="87" t="s">
        <v>11519</v>
      </c>
      <c r="AE941" s="92" t="str">
        <f>HYPERLINK("https://twitter.com/queijodalagoamg/status/1690161681962319872")</f>
        <v>https://twitter.com/queijodalagoamg/status/1690161681962319872</v>
      </c>
      <c r="AF941" s="90">
        <v>45150.029178240744</v>
      </c>
      <c r="AG941" s="99">
        <v>45150</v>
      </c>
      <c r="AH941" s="93" t="s">
        <v>12406</v>
      </c>
      <c r="AI941" s="87" t="b">
        <v>0</v>
      </c>
      <c r="AJ941" s="87"/>
      <c r="AK941" s="87"/>
      <c r="AL941" s="87"/>
      <c r="AM941" s="87"/>
      <c r="AN941" s="87"/>
      <c r="AO941" s="87"/>
      <c r="AP941" s="87"/>
      <c r="AQ941" s="87"/>
      <c r="AR941" s="87"/>
      <c r="AS941" s="87"/>
      <c r="AT941" s="87"/>
      <c r="AU941" s="87"/>
      <c r="AV941" s="92" t="str">
        <f>HYPERLINK("https://pbs.twimg.com/profile_images/1068160900438376448/duN3uBBj_normal.jpg")</f>
        <v>https://pbs.twimg.com/profile_images/1068160900438376448/duN3uBBj_normal.jpg</v>
      </c>
      <c r="AW941" s="93" t="s">
        <v>19181</v>
      </c>
      <c r="AX941" s="93" t="s">
        <v>19181</v>
      </c>
      <c r="AY941" s="87"/>
      <c r="AZ941" s="93" t="s">
        <v>22668</v>
      </c>
      <c r="BA941" s="93" t="s">
        <v>22668</v>
      </c>
      <c r="BB941" s="93" t="s">
        <v>22668</v>
      </c>
      <c r="BC941" s="93" t="s">
        <v>19181</v>
      </c>
      <c r="BD941" s="87">
        <v>257796376</v>
      </c>
      <c r="BE941" s="87"/>
      <c r="BF941" s="87"/>
      <c r="BG941" s="87"/>
      <c r="BH941" s="87"/>
      <c r="BI941" s="87"/>
    </row>
    <row r="942" spans="1:61" x14ac:dyDescent="0.25">
      <c r="A942" s="63" t="s">
        <v>574</v>
      </c>
      <c r="B942" s="63" t="s">
        <v>1666</v>
      </c>
      <c r="C942" s="64"/>
      <c r="D942" s="65"/>
      <c r="E942" s="66"/>
      <c r="F942" s="67"/>
      <c r="G942" s="64"/>
      <c r="H942" s="68"/>
      <c r="I942" s="69"/>
      <c r="J942" s="69"/>
      <c r="K942" s="32"/>
      <c r="L942" s="76">
        <v>942</v>
      </c>
      <c r="M942" s="76"/>
      <c r="N942" s="71"/>
      <c r="O942" s="87" t="s">
        <v>1839</v>
      </c>
      <c r="P942" s="90">
        <v>45150.029178240744</v>
      </c>
      <c r="Q942" s="87" t="s">
        <v>2757</v>
      </c>
      <c r="R942" s="87">
        <v>0</v>
      </c>
      <c r="S942" s="87">
        <v>0</v>
      </c>
      <c r="T942" s="87">
        <v>1</v>
      </c>
      <c r="U942" s="87">
        <v>0</v>
      </c>
      <c r="V942" s="87">
        <v>103</v>
      </c>
      <c r="W942" s="93" t="s">
        <v>6522</v>
      </c>
      <c r="X942" s="92" t="str">
        <f>HYPERLINK("https://fb.watch/mmzz__j7IW/")</f>
        <v>https://fb.watch/mmzz__j7IW/</v>
      </c>
      <c r="Y942" s="87" t="s">
        <v>8432</v>
      </c>
      <c r="Z942" s="87" t="s">
        <v>8574</v>
      </c>
      <c r="AA942" s="87"/>
      <c r="AB942" s="87"/>
      <c r="AC942" s="93" t="s">
        <v>11458</v>
      </c>
      <c r="AD942" s="87" t="s">
        <v>11519</v>
      </c>
      <c r="AE942" s="92" t="str">
        <f>HYPERLINK("https://twitter.com/queijodalagoamg/status/1690161681962319872")</f>
        <v>https://twitter.com/queijodalagoamg/status/1690161681962319872</v>
      </c>
      <c r="AF942" s="90">
        <v>45150.029178240744</v>
      </c>
      <c r="AG942" s="99">
        <v>45150</v>
      </c>
      <c r="AH942" s="93" t="s">
        <v>12406</v>
      </c>
      <c r="AI942" s="87" t="b">
        <v>0</v>
      </c>
      <c r="AJ942" s="87"/>
      <c r="AK942" s="87"/>
      <c r="AL942" s="87"/>
      <c r="AM942" s="87"/>
      <c r="AN942" s="87"/>
      <c r="AO942" s="87"/>
      <c r="AP942" s="87"/>
      <c r="AQ942" s="87"/>
      <c r="AR942" s="87"/>
      <c r="AS942" s="87"/>
      <c r="AT942" s="87"/>
      <c r="AU942" s="87"/>
      <c r="AV942" s="92" t="str">
        <f>HYPERLINK("https://pbs.twimg.com/profile_images/1068160900438376448/duN3uBBj_normal.jpg")</f>
        <v>https://pbs.twimg.com/profile_images/1068160900438376448/duN3uBBj_normal.jpg</v>
      </c>
      <c r="AW942" s="93" t="s">
        <v>19181</v>
      </c>
      <c r="AX942" s="93" t="s">
        <v>19181</v>
      </c>
      <c r="AY942" s="87"/>
      <c r="AZ942" s="93" t="s">
        <v>22668</v>
      </c>
      <c r="BA942" s="93" t="s">
        <v>22668</v>
      </c>
      <c r="BB942" s="93" t="s">
        <v>22668</v>
      </c>
      <c r="BC942" s="93" t="s">
        <v>19181</v>
      </c>
      <c r="BD942" s="87">
        <v>257796376</v>
      </c>
      <c r="BE942" s="87"/>
      <c r="BF942" s="87"/>
      <c r="BG942" s="87"/>
      <c r="BH942" s="87"/>
      <c r="BI942" s="87"/>
    </row>
    <row r="943" spans="1:61" x14ac:dyDescent="0.25">
      <c r="A943" s="63" t="s">
        <v>574</v>
      </c>
      <c r="B943" s="63" t="s">
        <v>1044</v>
      </c>
      <c r="C943" s="64"/>
      <c r="D943" s="65"/>
      <c r="E943" s="66"/>
      <c r="F943" s="67"/>
      <c r="G943" s="64"/>
      <c r="H943" s="68"/>
      <c r="I943" s="69"/>
      <c r="J943" s="69"/>
      <c r="K943" s="32"/>
      <c r="L943" s="76">
        <v>943</v>
      </c>
      <c r="M943" s="76"/>
      <c r="N943" s="71"/>
      <c r="O943" s="87" t="s">
        <v>1839</v>
      </c>
      <c r="P943" s="90">
        <v>45150.029178240744</v>
      </c>
      <c r="Q943" s="87" t="s">
        <v>2757</v>
      </c>
      <c r="R943" s="87">
        <v>0</v>
      </c>
      <c r="S943" s="87">
        <v>0</v>
      </c>
      <c r="T943" s="87">
        <v>1</v>
      </c>
      <c r="U943" s="87">
        <v>0</v>
      </c>
      <c r="V943" s="87">
        <v>103</v>
      </c>
      <c r="W943" s="93" t="s">
        <v>6522</v>
      </c>
      <c r="X943" s="92" t="str">
        <f>HYPERLINK("https://fb.watch/mmzz__j7IW/")</f>
        <v>https://fb.watch/mmzz__j7IW/</v>
      </c>
      <c r="Y943" s="87" t="s">
        <v>8432</v>
      </c>
      <c r="Z943" s="87" t="s">
        <v>8574</v>
      </c>
      <c r="AA943" s="87"/>
      <c r="AB943" s="87"/>
      <c r="AC943" s="93" t="s">
        <v>11458</v>
      </c>
      <c r="AD943" s="87" t="s">
        <v>11519</v>
      </c>
      <c r="AE943" s="92" t="str">
        <f>HYPERLINK("https://twitter.com/queijodalagoamg/status/1690161681962319872")</f>
        <v>https://twitter.com/queijodalagoamg/status/1690161681962319872</v>
      </c>
      <c r="AF943" s="90">
        <v>45150.029178240744</v>
      </c>
      <c r="AG943" s="99">
        <v>45150</v>
      </c>
      <c r="AH943" s="93" t="s">
        <v>12406</v>
      </c>
      <c r="AI943" s="87" t="b">
        <v>0</v>
      </c>
      <c r="AJ943" s="87"/>
      <c r="AK943" s="87"/>
      <c r="AL943" s="87"/>
      <c r="AM943" s="87"/>
      <c r="AN943" s="87"/>
      <c r="AO943" s="87"/>
      <c r="AP943" s="87"/>
      <c r="AQ943" s="87"/>
      <c r="AR943" s="87"/>
      <c r="AS943" s="87"/>
      <c r="AT943" s="87"/>
      <c r="AU943" s="87"/>
      <c r="AV943" s="92" t="str">
        <f>HYPERLINK("https://pbs.twimg.com/profile_images/1068160900438376448/duN3uBBj_normal.jpg")</f>
        <v>https://pbs.twimg.com/profile_images/1068160900438376448/duN3uBBj_normal.jpg</v>
      </c>
      <c r="AW943" s="93" t="s">
        <v>19181</v>
      </c>
      <c r="AX943" s="93" t="s">
        <v>19181</v>
      </c>
      <c r="AY943" s="87"/>
      <c r="AZ943" s="93" t="s">
        <v>22668</v>
      </c>
      <c r="BA943" s="93" t="s">
        <v>22668</v>
      </c>
      <c r="BB943" s="93" t="s">
        <v>22668</v>
      </c>
      <c r="BC943" s="93" t="s">
        <v>19181</v>
      </c>
      <c r="BD943" s="87">
        <v>257796376</v>
      </c>
      <c r="BE943" s="87"/>
      <c r="BF943" s="87"/>
      <c r="BG943" s="87"/>
      <c r="BH943" s="87"/>
      <c r="BI943" s="87"/>
    </row>
    <row r="944" spans="1:61" x14ac:dyDescent="0.25">
      <c r="A944" s="63" t="s">
        <v>574</v>
      </c>
      <c r="B944" s="63" t="s">
        <v>254</v>
      </c>
      <c r="C944" s="64"/>
      <c r="D944" s="65"/>
      <c r="E944" s="66"/>
      <c r="F944" s="67"/>
      <c r="G944" s="64"/>
      <c r="H944" s="68"/>
      <c r="I944" s="69"/>
      <c r="J944" s="69"/>
      <c r="K944" s="32"/>
      <c r="L944" s="76">
        <v>944</v>
      </c>
      <c r="M944" s="76"/>
      <c r="N944" s="71"/>
      <c r="O944" s="87" t="s">
        <v>1839</v>
      </c>
      <c r="P944" s="90">
        <v>45150.029178240744</v>
      </c>
      <c r="Q944" s="87" t="s">
        <v>2757</v>
      </c>
      <c r="R944" s="87">
        <v>0</v>
      </c>
      <c r="S944" s="87">
        <v>0</v>
      </c>
      <c r="T944" s="87">
        <v>1</v>
      </c>
      <c r="U944" s="87">
        <v>0</v>
      </c>
      <c r="V944" s="87">
        <v>103</v>
      </c>
      <c r="W944" s="93" t="s">
        <v>6522</v>
      </c>
      <c r="X944" s="92" t="str">
        <f>HYPERLINK("https://fb.watch/mmzz__j7IW/")</f>
        <v>https://fb.watch/mmzz__j7IW/</v>
      </c>
      <c r="Y944" s="87" t="s">
        <v>8432</v>
      </c>
      <c r="Z944" s="87" t="s">
        <v>8574</v>
      </c>
      <c r="AA944" s="87"/>
      <c r="AB944" s="87"/>
      <c r="AC944" s="93" t="s">
        <v>11458</v>
      </c>
      <c r="AD944" s="87" t="s">
        <v>11519</v>
      </c>
      <c r="AE944" s="92" t="str">
        <f>HYPERLINK("https://twitter.com/queijodalagoamg/status/1690161681962319872")</f>
        <v>https://twitter.com/queijodalagoamg/status/1690161681962319872</v>
      </c>
      <c r="AF944" s="90">
        <v>45150.029178240744</v>
      </c>
      <c r="AG944" s="99">
        <v>45150</v>
      </c>
      <c r="AH944" s="93" t="s">
        <v>12406</v>
      </c>
      <c r="AI944" s="87" t="b">
        <v>0</v>
      </c>
      <c r="AJ944" s="87"/>
      <c r="AK944" s="87"/>
      <c r="AL944" s="87"/>
      <c r="AM944" s="87"/>
      <c r="AN944" s="87"/>
      <c r="AO944" s="87"/>
      <c r="AP944" s="87"/>
      <c r="AQ944" s="87"/>
      <c r="AR944" s="87"/>
      <c r="AS944" s="87"/>
      <c r="AT944" s="87"/>
      <c r="AU944" s="87"/>
      <c r="AV944" s="92" t="str">
        <f>HYPERLINK("https://pbs.twimg.com/profile_images/1068160900438376448/duN3uBBj_normal.jpg")</f>
        <v>https://pbs.twimg.com/profile_images/1068160900438376448/duN3uBBj_normal.jpg</v>
      </c>
      <c r="AW944" s="93" t="s">
        <v>19181</v>
      </c>
      <c r="AX944" s="93" t="s">
        <v>19181</v>
      </c>
      <c r="AY944" s="87"/>
      <c r="AZ944" s="93" t="s">
        <v>22668</v>
      </c>
      <c r="BA944" s="93" t="s">
        <v>22668</v>
      </c>
      <c r="BB944" s="93" t="s">
        <v>22668</v>
      </c>
      <c r="BC944" s="93" t="s">
        <v>19181</v>
      </c>
      <c r="BD944" s="87">
        <v>257796376</v>
      </c>
      <c r="BE944" s="87"/>
      <c r="BF944" s="87"/>
      <c r="BG944" s="87"/>
      <c r="BH944" s="87"/>
      <c r="BI944" s="87"/>
    </row>
    <row r="945" spans="1:61" x14ac:dyDescent="0.25">
      <c r="A945" s="63" t="s">
        <v>574</v>
      </c>
      <c r="B945" s="63" t="s">
        <v>574</v>
      </c>
      <c r="C945" s="64"/>
      <c r="D945" s="65"/>
      <c r="E945" s="66"/>
      <c r="F945" s="67"/>
      <c r="G945" s="64"/>
      <c r="H945" s="68"/>
      <c r="I945" s="69"/>
      <c r="J945" s="69"/>
      <c r="K945" s="32"/>
      <c r="L945" s="76">
        <v>945</v>
      </c>
      <c r="M945" s="76"/>
      <c r="N945" s="71"/>
      <c r="O945" s="87" t="s">
        <v>179</v>
      </c>
      <c r="P945" s="90">
        <v>45174.525150462963</v>
      </c>
      <c r="Q945" s="87" t="s">
        <v>2758</v>
      </c>
      <c r="R945" s="87">
        <v>0</v>
      </c>
      <c r="S945" s="87">
        <v>1</v>
      </c>
      <c r="T945" s="87">
        <v>0</v>
      </c>
      <c r="U945" s="87">
        <v>0</v>
      </c>
      <c r="V945" s="87">
        <v>115</v>
      </c>
      <c r="W945" s="93" t="s">
        <v>6523</v>
      </c>
      <c r="X945" s="92" t="str">
        <f>HYPERLINK("https://www.youtube.com/watch?time_continue=50&amp;v=vzAcIOqAsH8")</f>
        <v>https://www.youtube.com/watch?time_continue=50&amp;v=vzAcIOqAsH8</v>
      </c>
      <c r="Y945" s="87" t="s">
        <v>8380</v>
      </c>
      <c r="Z945" s="87"/>
      <c r="AA945" s="87"/>
      <c r="AB945" s="87"/>
      <c r="AC945" s="93" t="s">
        <v>11457</v>
      </c>
      <c r="AD945" s="87" t="s">
        <v>11519</v>
      </c>
      <c r="AE945" s="92" t="str">
        <f>HYPERLINK("https://twitter.com/queijodalagoamg/status/1699038726293250164")</f>
        <v>https://twitter.com/queijodalagoamg/status/1699038726293250164</v>
      </c>
      <c r="AF945" s="90">
        <v>45174.525150462963</v>
      </c>
      <c r="AG945" s="99">
        <v>45174</v>
      </c>
      <c r="AH945" s="93" t="s">
        <v>12407</v>
      </c>
      <c r="AI945" s="87" t="b">
        <v>0</v>
      </c>
      <c r="AJ945" s="87"/>
      <c r="AK945" s="87"/>
      <c r="AL945" s="87"/>
      <c r="AM945" s="87"/>
      <c r="AN945" s="87"/>
      <c r="AO945" s="87"/>
      <c r="AP945" s="87"/>
      <c r="AQ945" s="87"/>
      <c r="AR945" s="87"/>
      <c r="AS945" s="87"/>
      <c r="AT945" s="87"/>
      <c r="AU945" s="87"/>
      <c r="AV945" s="92" t="str">
        <f>HYPERLINK("https://pbs.twimg.com/profile_images/1068160900438376448/duN3uBBj_normal.jpg")</f>
        <v>https://pbs.twimg.com/profile_images/1068160900438376448/duN3uBBj_normal.jpg</v>
      </c>
      <c r="AW945" s="93" t="s">
        <v>19182</v>
      </c>
      <c r="AX945" s="93" t="s">
        <v>19182</v>
      </c>
      <c r="AY945" s="87"/>
      <c r="AZ945" s="93" t="s">
        <v>22668</v>
      </c>
      <c r="BA945" s="93" t="s">
        <v>22668</v>
      </c>
      <c r="BB945" s="93" t="s">
        <v>22668</v>
      </c>
      <c r="BC945" s="93" t="s">
        <v>19182</v>
      </c>
      <c r="BD945" s="87">
        <v>257796376</v>
      </c>
      <c r="BE945" s="87"/>
      <c r="BF945" s="87"/>
      <c r="BG945" s="87"/>
      <c r="BH945" s="87"/>
      <c r="BI945" s="87"/>
    </row>
    <row r="946" spans="1:61" x14ac:dyDescent="0.25">
      <c r="A946" s="63" t="s">
        <v>575</v>
      </c>
      <c r="B946" s="63" t="s">
        <v>575</v>
      </c>
      <c r="C946" s="64"/>
      <c r="D946" s="65"/>
      <c r="E946" s="66"/>
      <c r="F946" s="67"/>
      <c r="G946" s="64"/>
      <c r="H946" s="68"/>
      <c r="I946" s="69"/>
      <c r="J946" s="69"/>
      <c r="K946" s="32"/>
      <c r="L946" s="76">
        <v>946</v>
      </c>
      <c r="M946" s="76"/>
      <c r="N946" s="71"/>
      <c r="O946" s="87" t="s">
        <v>179</v>
      </c>
      <c r="P946" s="90">
        <v>45112.781261574077</v>
      </c>
      <c r="Q946" s="87" t="s">
        <v>2759</v>
      </c>
      <c r="R946" s="87">
        <v>0</v>
      </c>
      <c r="S946" s="87">
        <v>0</v>
      </c>
      <c r="T946" s="87">
        <v>0</v>
      </c>
      <c r="U946" s="87">
        <v>0</v>
      </c>
      <c r="V946" s="87">
        <v>38</v>
      </c>
      <c r="W946" s="93" t="s">
        <v>5897</v>
      </c>
      <c r="X946" s="87"/>
      <c r="Y946" s="87"/>
      <c r="Z946" s="87"/>
      <c r="AA946" s="87"/>
      <c r="AB946" s="87"/>
      <c r="AC946" s="93" t="s">
        <v>11462</v>
      </c>
      <c r="AD946" s="87" t="s">
        <v>11519</v>
      </c>
      <c r="AE946" s="92" t="str">
        <f>HYPERLINK("https://twitter.com/denvermoura/status/1676663491548139541")</f>
        <v>https://twitter.com/denvermoura/status/1676663491548139541</v>
      </c>
      <c r="AF946" s="90">
        <v>45112.781261574077</v>
      </c>
      <c r="AG946" s="99">
        <v>45112</v>
      </c>
      <c r="AH946" s="93" t="s">
        <v>12408</v>
      </c>
      <c r="AI946" s="87"/>
      <c r="AJ946" s="87"/>
      <c r="AK946" s="87"/>
      <c r="AL946" s="87"/>
      <c r="AM946" s="87"/>
      <c r="AN946" s="87"/>
      <c r="AO946" s="87"/>
      <c r="AP946" s="87"/>
      <c r="AQ946" s="87"/>
      <c r="AR946" s="87"/>
      <c r="AS946" s="87"/>
      <c r="AT946" s="87"/>
      <c r="AU946" s="87"/>
      <c r="AV946" s="92" t="str">
        <f>HYPERLINK("https://pbs.twimg.com/profile_images/1642309801416835073/GhiUYNvc_normal.jpg")</f>
        <v>https://pbs.twimg.com/profile_images/1642309801416835073/GhiUYNvc_normal.jpg</v>
      </c>
      <c r="AW946" s="93" t="s">
        <v>19183</v>
      </c>
      <c r="AX946" s="93" t="s">
        <v>19183</v>
      </c>
      <c r="AY946" s="87"/>
      <c r="AZ946" s="93" t="s">
        <v>22668</v>
      </c>
      <c r="BA946" s="93" t="s">
        <v>22668</v>
      </c>
      <c r="BB946" s="93" t="s">
        <v>22668</v>
      </c>
      <c r="BC946" s="93" t="s">
        <v>19183</v>
      </c>
      <c r="BD946" s="93" t="s">
        <v>22991</v>
      </c>
      <c r="BE946" s="87"/>
      <c r="BF946" s="87"/>
      <c r="BG946" s="87"/>
      <c r="BH946" s="87"/>
      <c r="BI946" s="87"/>
    </row>
    <row r="947" spans="1:61" x14ac:dyDescent="0.25">
      <c r="A947" s="63" t="s">
        <v>576</v>
      </c>
      <c r="B947" s="63" t="s">
        <v>576</v>
      </c>
      <c r="C947" s="64"/>
      <c r="D947" s="65"/>
      <c r="E947" s="66"/>
      <c r="F947" s="67"/>
      <c r="G947" s="64"/>
      <c r="H947" s="68"/>
      <c r="I947" s="69"/>
      <c r="J947" s="69"/>
      <c r="K947" s="32"/>
      <c r="L947" s="76">
        <v>947</v>
      </c>
      <c r="M947" s="76"/>
      <c r="N947" s="71"/>
      <c r="O947" s="87" t="s">
        <v>179</v>
      </c>
      <c r="P947" s="90">
        <v>45169.92324074074</v>
      </c>
      <c r="Q947" s="87" t="s">
        <v>2760</v>
      </c>
      <c r="R947" s="87">
        <v>0</v>
      </c>
      <c r="S947" s="87">
        <v>0</v>
      </c>
      <c r="T947" s="87">
        <v>0</v>
      </c>
      <c r="U947" s="87">
        <v>0</v>
      </c>
      <c r="V947" s="87">
        <v>21</v>
      </c>
      <c r="W947" s="93" t="s">
        <v>6524</v>
      </c>
      <c r="X947" s="92" t="str">
        <f>HYPERLINK("http://www.top1.pt")</f>
        <v>http://www.top1.pt</v>
      </c>
      <c r="Y947" s="87" t="s">
        <v>8433</v>
      </c>
      <c r="Z947" s="87"/>
      <c r="AA947" s="87" t="s">
        <v>9189</v>
      </c>
      <c r="AB947" s="87" t="s">
        <v>11447</v>
      </c>
      <c r="AC947" s="93" t="s">
        <v>11458</v>
      </c>
      <c r="AD947" s="87" t="s">
        <v>11519</v>
      </c>
      <c r="AE947" s="92" t="str">
        <f>HYPERLINK("https://twitter.com/top1mktdigital/status/1697371049996800051")</f>
        <v>https://twitter.com/top1mktdigital/status/1697371049996800051</v>
      </c>
      <c r="AF947" s="90">
        <v>45169.92324074074</v>
      </c>
      <c r="AG947" s="99">
        <v>45169</v>
      </c>
      <c r="AH947" s="93" t="s">
        <v>12409</v>
      </c>
      <c r="AI947" s="87" t="b">
        <v>0</v>
      </c>
      <c r="AJ947" s="87"/>
      <c r="AK947" s="87"/>
      <c r="AL947" s="87"/>
      <c r="AM947" s="87"/>
      <c r="AN947" s="87"/>
      <c r="AO947" s="87"/>
      <c r="AP947" s="87"/>
      <c r="AQ947" s="87" t="s">
        <v>16002</v>
      </c>
      <c r="AR947" s="87">
        <v>11940</v>
      </c>
      <c r="AS947" s="87"/>
      <c r="AT947" s="87"/>
      <c r="AU947" s="87"/>
      <c r="AV947" s="92" t="str">
        <f>HYPERLINK("https://pbs.twimg.com/ext_tw_video_thumb/1697370999606398976/pu/img/9bE7R95-vao6pL9r.jpg")</f>
        <v>https://pbs.twimg.com/ext_tw_video_thumb/1697370999606398976/pu/img/9bE7R95-vao6pL9r.jpg</v>
      </c>
      <c r="AW947" s="93" t="s">
        <v>19184</v>
      </c>
      <c r="AX947" s="93" t="s">
        <v>19184</v>
      </c>
      <c r="AY947" s="87"/>
      <c r="AZ947" s="93" t="s">
        <v>22668</v>
      </c>
      <c r="BA947" s="93" t="s">
        <v>22668</v>
      </c>
      <c r="BB947" s="93" t="s">
        <v>22668</v>
      </c>
      <c r="BC947" s="93" t="s">
        <v>19184</v>
      </c>
      <c r="BD947" s="93" t="s">
        <v>22992</v>
      </c>
      <c r="BE947" s="87"/>
      <c r="BF947" s="87"/>
      <c r="BG947" s="87"/>
      <c r="BH947" s="87"/>
      <c r="BI947" s="87"/>
    </row>
    <row r="948" spans="1:61" x14ac:dyDescent="0.25">
      <c r="A948" s="63" t="s">
        <v>577</v>
      </c>
      <c r="B948" s="63" t="s">
        <v>577</v>
      </c>
      <c r="C948" s="64"/>
      <c r="D948" s="65"/>
      <c r="E948" s="66"/>
      <c r="F948" s="67"/>
      <c r="G948" s="64"/>
      <c r="H948" s="68"/>
      <c r="I948" s="69"/>
      <c r="J948" s="69"/>
      <c r="K948" s="32"/>
      <c r="L948" s="76">
        <v>948</v>
      </c>
      <c r="M948" s="76"/>
      <c r="N948" s="71"/>
      <c r="O948" s="87" t="s">
        <v>179</v>
      </c>
      <c r="P948" s="90">
        <v>45187.628229166665</v>
      </c>
      <c r="Q948" s="87" t="s">
        <v>2761</v>
      </c>
      <c r="R948" s="87">
        <v>0</v>
      </c>
      <c r="S948" s="87">
        <v>1</v>
      </c>
      <c r="T948" s="87">
        <v>0</v>
      </c>
      <c r="U948" s="87">
        <v>0</v>
      </c>
      <c r="V948" s="87">
        <v>42</v>
      </c>
      <c r="W948" s="93" t="s">
        <v>6525</v>
      </c>
      <c r="X948" s="92" t="str">
        <f>HYPERLINK("http://semanadeinovacao.enap.gov.br")</f>
        <v>http://semanadeinovacao.enap.gov.br</v>
      </c>
      <c r="Y948" s="87" t="s">
        <v>8392</v>
      </c>
      <c r="Z948" s="87"/>
      <c r="AA948" s="87" t="s">
        <v>9190</v>
      </c>
      <c r="AB948" s="87" t="s">
        <v>11448</v>
      </c>
      <c r="AC948" s="93" t="s">
        <v>11457</v>
      </c>
      <c r="AD948" s="87" t="s">
        <v>11519</v>
      </c>
      <c r="AE948" s="92" t="str">
        <f>HYPERLINK("https://twitter.com/semana_inovacao/status/1703787122744758602")</f>
        <v>https://twitter.com/semana_inovacao/status/1703787122744758602</v>
      </c>
      <c r="AF948" s="90">
        <v>45187.628229166665</v>
      </c>
      <c r="AG948" s="99">
        <v>45187</v>
      </c>
      <c r="AH948" s="93" t="s">
        <v>12410</v>
      </c>
      <c r="AI948" s="87" t="b">
        <v>0</v>
      </c>
      <c r="AJ948" s="87"/>
      <c r="AK948" s="87"/>
      <c r="AL948" s="87"/>
      <c r="AM948" s="87"/>
      <c r="AN948" s="87"/>
      <c r="AO948" s="87"/>
      <c r="AP948" s="87"/>
      <c r="AQ948" s="87" t="s">
        <v>16003</v>
      </c>
      <c r="AR948" s="87"/>
      <c r="AS948" s="87"/>
      <c r="AT948" s="87"/>
      <c r="AU948" s="87"/>
      <c r="AV948" s="92" t="str">
        <f>HYPERLINK("https://pbs.twimg.com/media/F6URVMgWsAAkHT-.jpg")</f>
        <v>https://pbs.twimg.com/media/F6URVMgWsAAkHT-.jpg</v>
      </c>
      <c r="AW948" s="93" t="s">
        <v>19185</v>
      </c>
      <c r="AX948" s="93" t="s">
        <v>19185</v>
      </c>
      <c r="AY948" s="87"/>
      <c r="AZ948" s="93" t="s">
        <v>22668</v>
      </c>
      <c r="BA948" s="93" t="s">
        <v>22668</v>
      </c>
      <c r="BB948" s="93" t="s">
        <v>22668</v>
      </c>
      <c r="BC948" s="93" t="s">
        <v>19185</v>
      </c>
      <c r="BD948" s="93" t="s">
        <v>22993</v>
      </c>
      <c r="BE948" s="87"/>
      <c r="BF948" s="87"/>
      <c r="BG948" s="87"/>
      <c r="BH948" s="87"/>
      <c r="BI948" s="87"/>
    </row>
    <row r="949" spans="1:61" x14ac:dyDescent="0.25">
      <c r="A949" s="63" t="s">
        <v>578</v>
      </c>
      <c r="B949" s="63" t="s">
        <v>578</v>
      </c>
      <c r="C949" s="64"/>
      <c r="D949" s="65"/>
      <c r="E949" s="66"/>
      <c r="F949" s="67"/>
      <c r="G949" s="64"/>
      <c r="H949" s="68"/>
      <c r="I949" s="69"/>
      <c r="J949" s="69"/>
      <c r="K949" s="32"/>
      <c r="L949" s="76">
        <v>949</v>
      </c>
      <c r="M949" s="76"/>
      <c r="N949" s="71"/>
      <c r="O949" s="87" t="s">
        <v>179</v>
      </c>
      <c r="P949" s="90">
        <v>45129.459583333337</v>
      </c>
      <c r="Q949" s="87" t="s">
        <v>2762</v>
      </c>
      <c r="R949" s="87">
        <v>0</v>
      </c>
      <c r="S949" s="87">
        <v>0</v>
      </c>
      <c r="T949" s="87">
        <v>0</v>
      </c>
      <c r="U949" s="87">
        <v>0</v>
      </c>
      <c r="V949" s="87">
        <v>12</v>
      </c>
      <c r="W949" s="93" t="s">
        <v>6526</v>
      </c>
      <c r="X949" s="92" t="str">
        <f>HYPERLINK("https://ift.tt/iJj2ITd")</f>
        <v>https://ift.tt/iJj2ITd</v>
      </c>
      <c r="Y949" s="87" t="s">
        <v>8434</v>
      </c>
      <c r="Z949" s="87"/>
      <c r="AA949" s="87" t="s">
        <v>9191</v>
      </c>
      <c r="AB949" s="87" t="s">
        <v>11448</v>
      </c>
      <c r="AC949" s="93" t="s">
        <v>11481</v>
      </c>
      <c r="AD949" s="87" t="s">
        <v>11519</v>
      </c>
      <c r="AE949" s="92" t="str">
        <f>HYPERLINK("https://twitter.com/trendnuggetcom/status/1682707509637795840")</f>
        <v>https://twitter.com/trendnuggetcom/status/1682707509637795840</v>
      </c>
      <c r="AF949" s="90">
        <v>45129.459583333337</v>
      </c>
      <c r="AG949" s="99">
        <v>45129</v>
      </c>
      <c r="AH949" s="93" t="s">
        <v>12411</v>
      </c>
      <c r="AI949" s="87" t="b">
        <v>0</v>
      </c>
      <c r="AJ949" s="87"/>
      <c r="AK949" s="87"/>
      <c r="AL949" s="87"/>
      <c r="AM949" s="87"/>
      <c r="AN949" s="87"/>
      <c r="AO949" s="87"/>
      <c r="AP949" s="87"/>
      <c r="AQ949" s="87" t="s">
        <v>16004</v>
      </c>
      <c r="AR949" s="87"/>
      <c r="AS949" s="87"/>
      <c r="AT949" s="87"/>
      <c r="AU949" s="87"/>
      <c r="AV949" s="92" t="str">
        <f>HYPERLINK("https://pbs.twimg.com/media/F1otkBMXwAIc2F9.jpg")</f>
        <v>https://pbs.twimg.com/media/F1otkBMXwAIc2F9.jpg</v>
      </c>
      <c r="AW949" s="93" t="s">
        <v>19186</v>
      </c>
      <c r="AX949" s="93" t="s">
        <v>19186</v>
      </c>
      <c r="AY949" s="87"/>
      <c r="AZ949" s="93" t="s">
        <v>22668</v>
      </c>
      <c r="BA949" s="93" t="s">
        <v>22668</v>
      </c>
      <c r="BB949" s="93" t="s">
        <v>22668</v>
      </c>
      <c r="BC949" s="93" t="s">
        <v>19186</v>
      </c>
      <c r="BD949" s="93" t="s">
        <v>22994</v>
      </c>
      <c r="BE949" s="87"/>
      <c r="BF949" s="87"/>
      <c r="BG949" s="87"/>
      <c r="BH949" s="87"/>
      <c r="BI949" s="87"/>
    </row>
    <row r="950" spans="1:61" x14ac:dyDescent="0.25">
      <c r="A950" s="63" t="s">
        <v>579</v>
      </c>
      <c r="B950" s="63" t="s">
        <v>579</v>
      </c>
      <c r="C950" s="64"/>
      <c r="D950" s="65"/>
      <c r="E950" s="66"/>
      <c r="F950" s="67"/>
      <c r="G950" s="64"/>
      <c r="H950" s="68"/>
      <c r="I950" s="69"/>
      <c r="J950" s="69"/>
      <c r="K950" s="32"/>
      <c r="L950" s="76">
        <v>950</v>
      </c>
      <c r="M950" s="76"/>
      <c r="N950" s="71"/>
      <c r="O950" s="87" t="s">
        <v>179</v>
      </c>
      <c r="P950" s="90">
        <v>45170.687615740739</v>
      </c>
      <c r="Q950" s="87" t="s">
        <v>2763</v>
      </c>
      <c r="R950" s="87">
        <v>0</v>
      </c>
      <c r="S950" s="87">
        <v>0</v>
      </c>
      <c r="T950" s="87">
        <v>1</v>
      </c>
      <c r="U950" s="87">
        <v>0</v>
      </c>
      <c r="V950" s="87">
        <v>19</v>
      </c>
      <c r="W950" s="93" t="s">
        <v>6527</v>
      </c>
      <c r="X950" s="87"/>
      <c r="Y950" s="87"/>
      <c r="Z950" s="87"/>
      <c r="AA950" s="87"/>
      <c r="AB950" s="87"/>
      <c r="AC950" s="93" t="s">
        <v>11458</v>
      </c>
      <c r="AD950" s="87" t="s">
        <v>11519</v>
      </c>
      <c r="AE950" s="92" t="str">
        <f>HYPERLINK("https://twitter.com/vinioescritor/status/1697648048141217827")</f>
        <v>https://twitter.com/vinioescritor/status/1697648048141217827</v>
      </c>
      <c r="AF950" s="90">
        <v>45170.687615740739</v>
      </c>
      <c r="AG950" s="99">
        <v>45170</v>
      </c>
      <c r="AH950" s="93" t="s">
        <v>12412</v>
      </c>
      <c r="AI950" s="87"/>
      <c r="AJ950" s="87"/>
      <c r="AK950" s="87"/>
      <c r="AL950" s="87"/>
      <c r="AM950" s="87"/>
      <c r="AN950" s="87"/>
      <c r="AO950" s="87"/>
      <c r="AP950" s="87"/>
      <c r="AQ950" s="87"/>
      <c r="AR950" s="87"/>
      <c r="AS950" s="87"/>
      <c r="AT950" s="87"/>
      <c r="AU950" s="87"/>
      <c r="AV950" s="92" t="str">
        <f>HYPERLINK("https://pbs.twimg.com/profile_images/1687835690866782208/FFJj-4ze_normal.jpg")</f>
        <v>https://pbs.twimg.com/profile_images/1687835690866782208/FFJj-4ze_normal.jpg</v>
      </c>
      <c r="AW950" s="93" t="s">
        <v>19187</v>
      </c>
      <c r="AX950" s="93" t="s">
        <v>19187</v>
      </c>
      <c r="AY950" s="87"/>
      <c r="AZ950" s="93" t="s">
        <v>22668</v>
      </c>
      <c r="BA950" s="93" t="s">
        <v>22668</v>
      </c>
      <c r="BB950" s="93" t="s">
        <v>22668</v>
      </c>
      <c r="BC950" s="93" t="s">
        <v>19187</v>
      </c>
      <c r="BD950" s="93" t="s">
        <v>22995</v>
      </c>
      <c r="BE950" s="87"/>
      <c r="BF950" s="87"/>
      <c r="BG950" s="87"/>
      <c r="BH950" s="87"/>
      <c r="BI950" s="87"/>
    </row>
    <row r="951" spans="1:61" x14ac:dyDescent="0.25">
      <c r="A951" s="63" t="s">
        <v>579</v>
      </c>
      <c r="B951" s="63" t="s">
        <v>579</v>
      </c>
      <c r="C951" s="64"/>
      <c r="D951" s="65"/>
      <c r="E951" s="66"/>
      <c r="F951" s="67"/>
      <c r="G951" s="64"/>
      <c r="H951" s="68"/>
      <c r="I951" s="69"/>
      <c r="J951" s="69"/>
      <c r="K951" s="32"/>
      <c r="L951" s="76">
        <v>951</v>
      </c>
      <c r="M951" s="76"/>
      <c r="N951" s="71"/>
      <c r="O951" s="87" t="s">
        <v>179</v>
      </c>
      <c r="P951" s="90">
        <v>45181.846550925926</v>
      </c>
      <c r="Q951" s="87" t="s">
        <v>2764</v>
      </c>
      <c r="R951" s="87">
        <v>0</v>
      </c>
      <c r="S951" s="87">
        <v>0</v>
      </c>
      <c r="T951" s="87">
        <v>0</v>
      </c>
      <c r="U951" s="87">
        <v>0</v>
      </c>
      <c r="V951" s="87">
        <v>15</v>
      </c>
      <c r="W951" s="93" t="s">
        <v>6528</v>
      </c>
      <c r="X951" s="87"/>
      <c r="Y951" s="87"/>
      <c r="Z951" s="87"/>
      <c r="AA951" s="87"/>
      <c r="AB951" s="87"/>
      <c r="AC951" s="93" t="s">
        <v>11458</v>
      </c>
      <c r="AD951" s="87" t="s">
        <v>11519</v>
      </c>
      <c r="AE951" s="92" t="str">
        <f>HYPERLINK("https://twitter.com/vinioescritor/status/1701691912036524414")</f>
        <v>https://twitter.com/vinioescritor/status/1701691912036524414</v>
      </c>
      <c r="AF951" s="90">
        <v>45181.846550925926</v>
      </c>
      <c r="AG951" s="99">
        <v>45181</v>
      </c>
      <c r="AH951" s="93" t="s">
        <v>12413</v>
      </c>
      <c r="AI951" s="87"/>
      <c r="AJ951" s="87"/>
      <c r="AK951" s="87"/>
      <c r="AL951" s="87"/>
      <c r="AM951" s="87"/>
      <c r="AN951" s="87"/>
      <c r="AO951" s="87"/>
      <c r="AP951" s="87"/>
      <c r="AQ951" s="87"/>
      <c r="AR951" s="87"/>
      <c r="AS951" s="87"/>
      <c r="AT951" s="87"/>
      <c r="AU951" s="87"/>
      <c r="AV951" s="92" t="str">
        <f>HYPERLINK("https://pbs.twimg.com/profile_images/1687835690866782208/FFJj-4ze_normal.jpg")</f>
        <v>https://pbs.twimg.com/profile_images/1687835690866782208/FFJj-4ze_normal.jpg</v>
      </c>
      <c r="AW951" s="93" t="s">
        <v>19188</v>
      </c>
      <c r="AX951" s="93" t="s">
        <v>19188</v>
      </c>
      <c r="AY951" s="87"/>
      <c r="AZ951" s="93" t="s">
        <v>22668</v>
      </c>
      <c r="BA951" s="93" t="s">
        <v>22668</v>
      </c>
      <c r="BB951" s="93" t="s">
        <v>22668</v>
      </c>
      <c r="BC951" s="93" t="s">
        <v>19188</v>
      </c>
      <c r="BD951" s="93" t="s">
        <v>22995</v>
      </c>
      <c r="BE951" s="87"/>
      <c r="BF951" s="87"/>
      <c r="BG951" s="87"/>
      <c r="BH951" s="87"/>
      <c r="BI951" s="87"/>
    </row>
    <row r="952" spans="1:61" x14ac:dyDescent="0.25">
      <c r="A952" s="63" t="s">
        <v>580</v>
      </c>
      <c r="B952" s="63" t="s">
        <v>580</v>
      </c>
      <c r="C952" s="64"/>
      <c r="D952" s="65"/>
      <c r="E952" s="66"/>
      <c r="F952" s="67"/>
      <c r="G952" s="64"/>
      <c r="H952" s="68"/>
      <c r="I952" s="69"/>
      <c r="J952" s="69"/>
      <c r="K952" s="32"/>
      <c r="L952" s="76">
        <v>952</v>
      </c>
      <c r="M952" s="76"/>
      <c r="N952" s="71"/>
      <c r="O952" s="87" t="s">
        <v>179</v>
      </c>
      <c r="P952" s="90">
        <v>45136.993773148148</v>
      </c>
      <c r="Q952" s="87" t="s">
        <v>2765</v>
      </c>
      <c r="R952" s="87">
        <v>0</v>
      </c>
      <c r="S952" s="87">
        <v>0</v>
      </c>
      <c r="T952" s="87">
        <v>1</v>
      </c>
      <c r="U952" s="87">
        <v>0</v>
      </c>
      <c r="V952" s="87">
        <v>17</v>
      </c>
      <c r="W952" s="93" t="s">
        <v>6529</v>
      </c>
      <c r="X952" s="92" t="str">
        <f>HYPERLINK("http://WebDesignMogi.com.br")</f>
        <v>http://WebDesignMogi.com.br</v>
      </c>
      <c r="Y952" s="87" t="s">
        <v>8373</v>
      </c>
      <c r="Z952" s="87"/>
      <c r="AA952" s="87" t="s">
        <v>9192</v>
      </c>
      <c r="AB952" s="87" t="s">
        <v>11448</v>
      </c>
      <c r="AC952" s="93" t="s">
        <v>11457</v>
      </c>
      <c r="AD952" s="87" t="s">
        <v>11519</v>
      </c>
      <c r="AE952" s="92" t="str">
        <f>HYPERLINK("https://twitter.com/web_design_mogi/status/1685437810004688897")</f>
        <v>https://twitter.com/web_design_mogi/status/1685437810004688897</v>
      </c>
      <c r="AF952" s="90">
        <v>45136.993773148148</v>
      </c>
      <c r="AG952" s="99">
        <v>45136</v>
      </c>
      <c r="AH952" s="93" t="s">
        <v>12414</v>
      </c>
      <c r="AI952" s="87" t="b">
        <v>0</v>
      </c>
      <c r="AJ952" s="87"/>
      <c r="AK952" s="87"/>
      <c r="AL952" s="87"/>
      <c r="AM952" s="87"/>
      <c r="AN952" s="87"/>
      <c r="AO952" s="87"/>
      <c r="AP952" s="87"/>
      <c r="AQ952" s="87" t="s">
        <v>16005</v>
      </c>
      <c r="AR952" s="87"/>
      <c r="AS952" s="87"/>
      <c r="AT952" s="87"/>
      <c r="AU952" s="87"/>
      <c r="AV952" s="92" t="str">
        <f>HYPERLINK("https://pbs.twimg.com/media/F2PgTdZW0AA_Cf7.jpg")</f>
        <v>https://pbs.twimg.com/media/F2PgTdZW0AA_Cf7.jpg</v>
      </c>
      <c r="AW952" s="93" t="s">
        <v>19189</v>
      </c>
      <c r="AX952" s="93" t="s">
        <v>19189</v>
      </c>
      <c r="AY952" s="87"/>
      <c r="AZ952" s="93" t="s">
        <v>22668</v>
      </c>
      <c r="BA952" s="93" t="s">
        <v>22668</v>
      </c>
      <c r="BB952" s="93" t="s">
        <v>22668</v>
      </c>
      <c r="BC952" s="93" t="s">
        <v>19189</v>
      </c>
      <c r="BD952" s="93" t="s">
        <v>22996</v>
      </c>
      <c r="BE952" s="87"/>
      <c r="BF952" s="87"/>
      <c r="BG952" s="87"/>
      <c r="BH952" s="87"/>
      <c r="BI952" s="87"/>
    </row>
    <row r="953" spans="1:61" x14ac:dyDescent="0.25">
      <c r="A953" s="63" t="s">
        <v>581</v>
      </c>
      <c r="B953" s="63" t="s">
        <v>617</v>
      </c>
      <c r="C953" s="64"/>
      <c r="D953" s="65"/>
      <c r="E953" s="66"/>
      <c r="F953" s="67"/>
      <c r="G953" s="64"/>
      <c r="H953" s="68"/>
      <c r="I953" s="69"/>
      <c r="J953" s="69"/>
      <c r="K953" s="32"/>
      <c r="L953" s="76">
        <v>953</v>
      </c>
      <c r="M953" s="76"/>
      <c r="N953" s="71"/>
      <c r="O953" s="87" t="s">
        <v>1841</v>
      </c>
      <c r="P953" s="90">
        <v>45190.077777777777</v>
      </c>
      <c r="Q953" s="87" t="s">
        <v>2766</v>
      </c>
      <c r="R953" s="87">
        <v>2</v>
      </c>
      <c r="S953" s="87">
        <v>0</v>
      </c>
      <c r="T953" s="87">
        <v>0</v>
      </c>
      <c r="U953" s="87">
        <v>0</v>
      </c>
      <c r="V953" s="87"/>
      <c r="W953" s="93" t="s">
        <v>5976</v>
      </c>
      <c r="X953" s="87"/>
      <c r="Y953" s="87"/>
      <c r="Z953" s="87" t="s">
        <v>617</v>
      </c>
      <c r="AA953" s="87"/>
      <c r="AB953" s="87"/>
      <c r="AC953" s="93" t="s">
        <v>11459</v>
      </c>
      <c r="AD953" s="87" t="s">
        <v>11525</v>
      </c>
      <c r="AE953" s="92" t="str">
        <f>HYPERLINK("https://twitter.com/liindaoss/status/1704674809655824664")</f>
        <v>https://twitter.com/liindaoss/status/1704674809655824664</v>
      </c>
      <c r="AF953" s="90">
        <v>45190.077777777777</v>
      </c>
      <c r="AG953" s="99">
        <v>45190</v>
      </c>
      <c r="AH953" s="93" t="s">
        <v>12415</v>
      </c>
      <c r="AI953" s="87"/>
      <c r="AJ953" s="87"/>
      <c r="AK953" s="87"/>
      <c r="AL953" s="87"/>
      <c r="AM953" s="87"/>
      <c r="AN953" s="87"/>
      <c r="AO953" s="87"/>
      <c r="AP953" s="87"/>
      <c r="AQ953" s="87"/>
      <c r="AR953" s="87"/>
      <c r="AS953" s="87"/>
      <c r="AT953" s="87"/>
      <c r="AU953" s="87"/>
      <c r="AV953" s="92" t="str">
        <f>HYPERLINK("https://pbs.twimg.com/profile_images/1689050467190337536/H1FvQ9VG_normal.jpg")</f>
        <v>https://pbs.twimg.com/profile_images/1689050467190337536/H1FvQ9VG_normal.jpg</v>
      </c>
      <c r="AW953" s="93" t="s">
        <v>19190</v>
      </c>
      <c r="AX953" s="93" t="s">
        <v>19190</v>
      </c>
      <c r="AY953" s="87"/>
      <c r="AZ953" s="93" t="s">
        <v>22668</v>
      </c>
      <c r="BA953" s="93" t="s">
        <v>22668</v>
      </c>
      <c r="BB953" s="93" t="s">
        <v>19381</v>
      </c>
      <c r="BC953" s="93" t="s">
        <v>19381</v>
      </c>
      <c r="BD953" s="87">
        <v>2648393404</v>
      </c>
      <c r="BE953" s="87"/>
      <c r="BF953" s="87"/>
      <c r="BG953" s="87"/>
      <c r="BH953" s="87"/>
      <c r="BI953" s="87"/>
    </row>
    <row r="954" spans="1:61" x14ac:dyDescent="0.25">
      <c r="A954" s="63" t="s">
        <v>581</v>
      </c>
      <c r="B954" s="63" t="s">
        <v>617</v>
      </c>
      <c r="C954" s="64"/>
      <c r="D954" s="65"/>
      <c r="E954" s="66"/>
      <c r="F954" s="67"/>
      <c r="G954" s="64"/>
      <c r="H954" s="68"/>
      <c r="I954" s="69"/>
      <c r="J954" s="69"/>
      <c r="K954" s="32"/>
      <c r="L954" s="76">
        <v>954</v>
      </c>
      <c r="M954" s="76"/>
      <c r="N954" s="71"/>
      <c r="O954" s="87" t="s">
        <v>1841</v>
      </c>
      <c r="P954" s="90">
        <v>45190.076793981483</v>
      </c>
      <c r="Q954" s="87" t="s">
        <v>2025</v>
      </c>
      <c r="R954" s="87">
        <v>3</v>
      </c>
      <c r="S954" s="87">
        <v>0</v>
      </c>
      <c r="T954" s="87">
        <v>0</v>
      </c>
      <c r="U954" s="87">
        <v>0</v>
      </c>
      <c r="V954" s="87"/>
      <c r="W954" s="93" t="s">
        <v>5967</v>
      </c>
      <c r="X954" s="87"/>
      <c r="Y954" s="87"/>
      <c r="Z954" s="87" t="s">
        <v>617</v>
      </c>
      <c r="AA954" s="87"/>
      <c r="AB954" s="87"/>
      <c r="AC954" s="93" t="s">
        <v>11459</v>
      </c>
      <c r="AD954" s="87" t="s">
        <v>11519</v>
      </c>
      <c r="AE954" s="92" t="str">
        <f>HYPERLINK("https://twitter.com/liindaoss/status/1704674451772641357")</f>
        <v>https://twitter.com/liindaoss/status/1704674451772641357</v>
      </c>
      <c r="AF954" s="90">
        <v>45190.076793981483</v>
      </c>
      <c r="AG954" s="99">
        <v>45190</v>
      </c>
      <c r="AH954" s="93" t="s">
        <v>12416</v>
      </c>
      <c r="AI954" s="87"/>
      <c r="AJ954" s="87"/>
      <c r="AK954" s="87"/>
      <c r="AL954" s="87"/>
      <c r="AM954" s="87"/>
      <c r="AN954" s="87"/>
      <c r="AO954" s="87"/>
      <c r="AP954" s="87"/>
      <c r="AQ954" s="87"/>
      <c r="AR954" s="87"/>
      <c r="AS954" s="87"/>
      <c r="AT954" s="87"/>
      <c r="AU954" s="87"/>
      <c r="AV954" s="92" t="str">
        <f>HYPERLINK("https://pbs.twimg.com/profile_images/1689050467190337536/H1FvQ9VG_normal.jpg")</f>
        <v>https://pbs.twimg.com/profile_images/1689050467190337536/H1FvQ9VG_normal.jpg</v>
      </c>
      <c r="AW954" s="93" t="s">
        <v>19191</v>
      </c>
      <c r="AX954" s="93" t="s">
        <v>19191</v>
      </c>
      <c r="AY954" s="87"/>
      <c r="AZ954" s="93" t="s">
        <v>22668</v>
      </c>
      <c r="BA954" s="93" t="s">
        <v>22668</v>
      </c>
      <c r="BB954" s="93" t="s">
        <v>19382</v>
      </c>
      <c r="BC954" s="93" t="s">
        <v>19382</v>
      </c>
      <c r="BD954" s="87">
        <v>2648393404</v>
      </c>
      <c r="BE954" s="87"/>
      <c r="BF954" s="87"/>
      <c r="BG954" s="87"/>
      <c r="BH954" s="87"/>
      <c r="BI954" s="87"/>
    </row>
    <row r="955" spans="1:61" x14ac:dyDescent="0.25">
      <c r="A955" s="63" t="s">
        <v>581</v>
      </c>
      <c r="B955" s="63" t="s">
        <v>617</v>
      </c>
      <c r="C955" s="64"/>
      <c r="D955" s="65"/>
      <c r="E955" s="66"/>
      <c r="F955" s="67"/>
      <c r="G955" s="64"/>
      <c r="H955" s="68"/>
      <c r="I955" s="69"/>
      <c r="J955" s="69"/>
      <c r="K955" s="32"/>
      <c r="L955" s="76">
        <v>955</v>
      </c>
      <c r="M955" s="76"/>
      <c r="N955" s="71"/>
      <c r="O955" s="87" t="s">
        <v>1841</v>
      </c>
      <c r="P955" s="90">
        <v>45190.075266203705</v>
      </c>
      <c r="Q955" s="87" t="s">
        <v>2027</v>
      </c>
      <c r="R955" s="87">
        <v>3</v>
      </c>
      <c r="S955" s="87">
        <v>0</v>
      </c>
      <c r="T955" s="87">
        <v>0</v>
      </c>
      <c r="U955" s="87">
        <v>0</v>
      </c>
      <c r="V955" s="87"/>
      <c r="W955" s="93" t="s">
        <v>5967</v>
      </c>
      <c r="X955" s="87"/>
      <c r="Y955" s="87"/>
      <c r="Z955" s="87" t="s">
        <v>617</v>
      </c>
      <c r="AA955" s="87"/>
      <c r="AB955" s="87"/>
      <c r="AC955" s="93" t="s">
        <v>11459</v>
      </c>
      <c r="AD955" s="87" t="s">
        <v>11526</v>
      </c>
      <c r="AE955" s="92" t="str">
        <f>HYPERLINK("https://twitter.com/liindaoss/status/1704673900318076942")</f>
        <v>https://twitter.com/liindaoss/status/1704673900318076942</v>
      </c>
      <c r="AF955" s="90">
        <v>45190.075266203705</v>
      </c>
      <c r="AG955" s="99">
        <v>45190</v>
      </c>
      <c r="AH955" s="93" t="s">
        <v>12417</v>
      </c>
      <c r="AI955" s="87"/>
      <c r="AJ955" s="87"/>
      <c r="AK955" s="87"/>
      <c r="AL955" s="87"/>
      <c r="AM955" s="87"/>
      <c r="AN955" s="87"/>
      <c r="AO955" s="87"/>
      <c r="AP955" s="87"/>
      <c r="AQ955" s="87"/>
      <c r="AR955" s="87"/>
      <c r="AS955" s="87"/>
      <c r="AT955" s="87"/>
      <c r="AU955" s="87"/>
      <c r="AV955" s="92" t="str">
        <f>HYPERLINK("https://pbs.twimg.com/profile_images/1689050467190337536/H1FvQ9VG_normal.jpg")</f>
        <v>https://pbs.twimg.com/profile_images/1689050467190337536/H1FvQ9VG_normal.jpg</v>
      </c>
      <c r="AW955" s="93" t="s">
        <v>19192</v>
      </c>
      <c r="AX955" s="93" t="s">
        <v>19192</v>
      </c>
      <c r="AY955" s="87"/>
      <c r="AZ955" s="93" t="s">
        <v>22668</v>
      </c>
      <c r="BA955" s="93" t="s">
        <v>22668</v>
      </c>
      <c r="BB955" s="93" t="s">
        <v>19383</v>
      </c>
      <c r="BC955" s="93" t="s">
        <v>19383</v>
      </c>
      <c r="BD955" s="87">
        <v>2648393404</v>
      </c>
      <c r="BE955" s="87"/>
      <c r="BF955" s="87"/>
      <c r="BG955" s="87"/>
      <c r="BH955" s="87"/>
      <c r="BI955" s="87"/>
    </row>
    <row r="956" spans="1:61" x14ac:dyDescent="0.25">
      <c r="A956" s="63" t="s">
        <v>581</v>
      </c>
      <c r="B956" s="63" t="s">
        <v>617</v>
      </c>
      <c r="C956" s="64"/>
      <c r="D956" s="65"/>
      <c r="E956" s="66"/>
      <c r="F956" s="67"/>
      <c r="G956" s="64"/>
      <c r="H956" s="68"/>
      <c r="I956" s="69"/>
      <c r="J956" s="69"/>
      <c r="K956" s="32"/>
      <c r="L956" s="76">
        <v>956</v>
      </c>
      <c r="M956" s="76"/>
      <c r="N956" s="71"/>
      <c r="O956" s="87" t="s">
        <v>1841</v>
      </c>
      <c r="P956" s="90">
        <v>45190.484513888892</v>
      </c>
      <c r="Q956" s="87" t="s">
        <v>2015</v>
      </c>
      <c r="R956" s="87">
        <v>4</v>
      </c>
      <c r="S956" s="87">
        <v>0</v>
      </c>
      <c r="T956" s="87">
        <v>0</v>
      </c>
      <c r="U956" s="87">
        <v>0</v>
      </c>
      <c r="V956" s="87"/>
      <c r="W956" s="93" t="s">
        <v>5967</v>
      </c>
      <c r="X956" s="87"/>
      <c r="Y956" s="87"/>
      <c r="Z956" s="87" t="s">
        <v>617</v>
      </c>
      <c r="AA956" s="87"/>
      <c r="AB956" s="87"/>
      <c r="AC956" s="93" t="s">
        <v>11459</v>
      </c>
      <c r="AD956" s="87" t="s">
        <v>11519</v>
      </c>
      <c r="AE956" s="92" t="str">
        <f>HYPERLINK("https://twitter.com/liindaoss/status/1704822203588489716")</f>
        <v>https://twitter.com/liindaoss/status/1704822203588489716</v>
      </c>
      <c r="AF956" s="90">
        <v>45190.484513888892</v>
      </c>
      <c r="AG956" s="99">
        <v>45190</v>
      </c>
      <c r="AH956" s="93" t="s">
        <v>12418</v>
      </c>
      <c r="AI956" s="87"/>
      <c r="AJ956" s="87"/>
      <c r="AK956" s="87"/>
      <c r="AL956" s="87"/>
      <c r="AM956" s="87"/>
      <c r="AN956" s="87"/>
      <c r="AO956" s="87"/>
      <c r="AP956" s="87"/>
      <c r="AQ956" s="87"/>
      <c r="AR956" s="87"/>
      <c r="AS956" s="87"/>
      <c r="AT956" s="87"/>
      <c r="AU956" s="87"/>
      <c r="AV956" s="92" t="str">
        <f>HYPERLINK("https://pbs.twimg.com/profile_images/1689050467190337536/H1FvQ9VG_normal.jpg")</f>
        <v>https://pbs.twimg.com/profile_images/1689050467190337536/H1FvQ9VG_normal.jpg</v>
      </c>
      <c r="AW956" s="93" t="s">
        <v>19193</v>
      </c>
      <c r="AX956" s="93" t="s">
        <v>19193</v>
      </c>
      <c r="AY956" s="87"/>
      <c r="AZ956" s="93" t="s">
        <v>22668</v>
      </c>
      <c r="BA956" s="93" t="s">
        <v>22668</v>
      </c>
      <c r="BB956" s="93" t="s">
        <v>19388</v>
      </c>
      <c r="BC956" s="93" t="s">
        <v>19388</v>
      </c>
      <c r="BD956" s="87">
        <v>2648393404</v>
      </c>
      <c r="BE956" s="87"/>
      <c r="BF956" s="87"/>
      <c r="BG956" s="87"/>
      <c r="BH956" s="87"/>
      <c r="BI956" s="87"/>
    </row>
    <row r="957" spans="1:61" x14ac:dyDescent="0.25">
      <c r="A957" s="63" t="s">
        <v>582</v>
      </c>
      <c r="B957" s="63" t="s">
        <v>582</v>
      </c>
      <c r="C957" s="64"/>
      <c r="D957" s="65"/>
      <c r="E957" s="66"/>
      <c r="F957" s="67"/>
      <c r="G957" s="64"/>
      <c r="H957" s="68"/>
      <c r="I957" s="69"/>
      <c r="J957" s="69"/>
      <c r="K957" s="32"/>
      <c r="L957" s="76">
        <v>957</v>
      </c>
      <c r="M957" s="76"/>
      <c r="N957" s="71"/>
      <c r="O957" s="87" t="s">
        <v>179</v>
      </c>
      <c r="P957" s="90">
        <v>45184.511296296296</v>
      </c>
      <c r="Q957" s="87" t="s">
        <v>2767</v>
      </c>
      <c r="R957" s="87">
        <v>1</v>
      </c>
      <c r="S957" s="87">
        <v>0</v>
      </c>
      <c r="T957" s="87">
        <v>0</v>
      </c>
      <c r="U957" s="87">
        <v>0</v>
      </c>
      <c r="V957" s="87">
        <v>34</v>
      </c>
      <c r="W957" s="93" t="s">
        <v>6530</v>
      </c>
      <c r="X957" s="92" t="str">
        <f>HYPERLINK("https://subackup.online")</f>
        <v>https://subackup.online</v>
      </c>
      <c r="Y957" s="87" t="s">
        <v>8435</v>
      </c>
      <c r="Z957" s="87"/>
      <c r="AA957" s="87" t="s">
        <v>9193</v>
      </c>
      <c r="AB957" s="87" t="s">
        <v>11448</v>
      </c>
      <c r="AC957" s="93" t="s">
        <v>11459</v>
      </c>
      <c r="AD957" s="87" t="s">
        <v>11521</v>
      </c>
      <c r="AE957" s="92" t="str">
        <f>HYPERLINK("https://twitter.com/subackuponline/status/1702657585445232794")</f>
        <v>https://twitter.com/subackuponline/status/1702657585445232794</v>
      </c>
      <c r="AF957" s="90">
        <v>45184.511296296296</v>
      </c>
      <c r="AG957" s="99">
        <v>45184</v>
      </c>
      <c r="AH957" s="93" t="s">
        <v>12419</v>
      </c>
      <c r="AI957" s="87" t="b">
        <v>0</v>
      </c>
      <c r="AJ957" s="87"/>
      <c r="AK957" s="87"/>
      <c r="AL957" s="87"/>
      <c r="AM957" s="87"/>
      <c r="AN957" s="87"/>
      <c r="AO957" s="87"/>
      <c r="AP957" s="87"/>
      <c r="AQ957" s="87" t="s">
        <v>16006</v>
      </c>
      <c r="AR957" s="87"/>
      <c r="AS957" s="87"/>
      <c r="AT957" s="87"/>
      <c r="AU957" s="87"/>
      <c r="AV957" s="92" t="str">
        <f>HYPERLINK("https://pbs.twimg.com/media/F6EODN7XQAAImcF.jpg")</f>
        <v>https://pbs.twimg.com/media/F6EODN7XQAAImcF.jpg</v>
      </c>
      <c r="AW957" s="93" t="s">
        <v>19194</v>
      </c>
      <c r="AX957" s="93" t="s">
        <v>19194</v>
      </c>
      <c r="AY957" s="87"/>
      <c r="AZ957" s="93" t="s">
        <v>22668</v>
      </c>
      <c r="BA957" s="93" t="s">
        <v>22668</v>
      </c>
      <c r="BB957" s="93" t="s">
        <v>22668</v>
      </c>
      <c r="BC957" s="93" t="s">
        <v>19194</v>
      </c>
      <c r="BD957" s="87">
        <v>127628950</v>
      </c>
      <c r="BE957" s="87"/>
      <c r="BF957" s="87"/>
      <c r="BG957" s="87"/>
      <c r="BH957" s="87"/>
      <c r="BI957" s="87"/>
    </row>
    <row r="958" spans="1:61" x14ac:dyDescent="0.25">
      <c r="A958" s="63" t="s">
        <v>583</v>
      </c>
      <c r="B958" s="63" t="s">
        <v>583</v>
      </c>
      <c r="C958" s="64"/>
      <c r="D958" s="65"/>
      <c r="E958" s="66"/>
      <c r="F958" s="67"/>
      <c r="G958" s="64"/>
      <c r="H958" s="68"/>
      <c r="I958" s="69"/>
      <c r="J958" s="69"/>
      <c r="K958" s="32"/>
      <c r="L958" s="76">
        <v>958</v>
      </c>
      <c r="M958" s="76"/>
      <c r="N958" s="71"/>
      <c r="O958" s="87" t="s">
        <v>179</v>
      </c>
      <c r="P958" s="90">
        <v>45182.875011574077</v>
      </c>
      <c r="Q958" s="87" t="s">
        <v>2768</v>
      </c>
      <c r="R958" s="87">
        <v>0</v>
      </c>
      <c r="S958" s="87">
        <v>0</v>
      </c>
      <c r="T958" s="87">
        <v>0</v>
      </c>
      <c r="U958" s="87">
        <v>0</v>
      </c>
      <c r="V958" s="87">
        <v>5</v>
      </c>
      <c r="W958" s="93" t="s">
        <v>6531</v>
      </c>
      <c r="X958" s="87"/>
      <c r="Y958" s="87"/>
      <c r="Z958" s="87"/>
      <c r="AA958" s="87" t="s">
        <v>9194</v>
      </c>
      <c r="AB958" s="87" t="s">
        <v>11448</v>
      </c>
      <c r="AC958" s="93" t="s">
        <v>11457</v>
      </c>
      <c r="AD958" s="87" t="s">
        <v>11519</v>
      </c>
      <c r="AE958" s="92" t="str">
        <f>HYPERLINK("https://twitter.com/goncalvesadvs/status/1702064613699797357")</f>
        <v>https://twitter.com/goncalvesadvs/status/1702064613699797357</v>
      </c>
      <c r="AF958" s="90">
        <v>45182.875011574077</v>
      </c>
      <c r="AG958" s="99">
        <v>45182</v>
      </c>
      <c r="AH958" s="93" t="s">
        <v>11667</v>
      </c>
      <c r="AI958" s="87" t="b">
        <v>0</v>
      </c>
      <c r="AJ958" s="87"/>
      <c r="AK958" s="87"/>
      <c r="AL958" s="87"/>
      <c r="AM958" s="87"/>
      <c r="AN958" s="87"/>
      <c r="AO958" s="87"/>
      <c r="AP958" s="87"/>
      <c r="AQ958" s="87" t="s">
        <v>16007</v>
      </c>
      <c r="AR958" s="87"/>
      <c r="AS958" s="87"/>
      <c r="AT958" s="87"/>
      <c r="AU958" s="87"/>
      <c r="AV958" s="92" t="str">
        <f>HYPERLINK("https://pbs.twimg.com/media/F5rPp5YWsAAlE67.jpg")</f>
        <v>https://pbs.twimg.com/media/F5rPp5YWsAAlE67.jpg</v>
      </c>
      <c r="AW958" s="93" t="s">
        <v>19195</v>
      </c>
      <c r="AX958" s="93" t="s">
        <v>19195</v>
      </c>
      <c r="AY958" s="87"/>
      <c r="AZ958" s="93" t="s">
        <v>22668</v>
      </c>
      <c r="BA958" s="93" t="s">
        <v>22668</v>
      </c>
      <c r="BB958" s="93" t="s">
        <v>22668</v>
      </c>
      <c r="BC958" s="93" t="s">
        <v>19195</v>
      </c>
      <c r="BD958" s="93" t="s">
        <v>22997</v>
      </c>
      <c r="BE958" s="87"/>
      <c r="BF958" s="87"/>
      <c r="BG958" s="87"/>
      <c r="BH958" s="87"/>
      <c r="BI958" s="87"/>
    </row>
    <row r="959" spans="1:61" x14ac:dyDescent="0.25">
      <c r="A959" s="63" t="s">
        <v>583</v>
      </c>
      <c r="B959" s="63" t="s">
        <v>583</v>
      </c>
      <c r="C959" s="64"/>
      <c r="D959" s="65"/>
      <c r="E959" s="66"/>
      <c r="F959" s="67"/>
      <c r="G959" s="64"/>
      <c r="H959" s="68"/>
      <c r="I959" s="69"/>
      <c r="J959" s="69"/>
      <c r="K959" s="32"/>
      <c r="L959" s="76">
        <v>959</v>
      </c>
      <c r="M959" s="76"/>
      <c r="N959" s="71"/>
      <c r="O959" s="87" t="s">
        <v>179</v>
      </c>
      <c r="P959" s="90">
        <v>45165.875011574077</v>
      </c>
      <c r="Q959" s="87" t="s">
        <v>2769</v>
      </c>
      <c r="R959" s="87">
        <v>0</v>
      </c>
      <c r="S959" s="87">
        <v>0</v>
      </c>
      <c r="T959" s="87">
        <v>0</v>
      </c>
      <c r="U959" s="87">
        <v>0</v>
      </c>
      <c r="V959" s="87">
        <v>17</v>
      </c>
      <c r="W959" s="93" t="s">
        <v>6532</v>
      </c>
      <c r="X959" s="87"/>
      <c r="Y959" s="87"/>
      <c r="Z959" s="87"/>
      <c r="AA959" s="87" t="s">
        <v>9195</v>
      </c>
      <c r="AB959" s="87" t="s">
        <v>11448</v>
      </c>
      <c r="AC959" s="93" t="s">
        <v>11457</v>
      </c>
      <c r="AD959" s="87" t="s">
        <v>11519</v>
      </c>
      <c r="AE959" s="92" t="str">
        <f>HYPERLINK("https://twitter.com/goncalvesadvs/status/1695904021301580003")</f>
        <v>https://twitter.com/goncalvesadvs/status/1695904021301580003</v>
      </c>
      <c r="AF959" s="90">
        <v>45165.875011574077</v>
      </c>
      <c r="AG959" s="99">
        <v>45165</v>
      </c>
      <c r="AH959" s="93" t="s">
        <v>11667</v>
      </c>
      <c r="AI959" s="87" t="b">
        <v>0</v>
      </c>
      <c r="AJ959" s="87"/>
      <c r="AK959" s="87"/>
      <c r="AL959" s="87"/>
      <c r="AM959" s="87"/>
      <c r="AN959" s="87"/>
      <c r="AO959" s="87"/>
      <c r="AP959" s="87"/>
      <c r="AQ959" s="87" t="s">
        <v>16008</v>
      </c>
      <c r="AR959" s="87"/>
      <c r="AS959" s="87"/>
      <c r="AT959" s="87"/>
      <c r="AU959" s="87"/>
      <c r="AV959" s="92" t="str">
        <f>HYPERLINK("https://pbs.twimg.com/media/F4FbyofWkAAzlls.jpg")</f>
        <v>https://pbs.twimg.com/media/F4FbyofWkAAzlls.jpg</v>
      </c>
      <c r="AW959" s="93" t="s">
        <v>19196</v>
      </c>
      <c r="AX959" s="93" t="s">
        <v>19196</v>
      </c>
      <c r="AY959" s="87"/>
      <c r="AZ959" s="93" t="s">
        <v>22668</v>
      </c>
      <c r="BA959" s="93" t="s">
        <v>22668</v>
      </c>
      <c r="BB959" s="93" t="s">
        <v>22668</v>
      </c>
      <c r="BC959" s="93" t="s">
        <v>19196</v>
      </c>
      <c r="BD959" s="93" t="s">
        <v>22997</v>
      </c>
      <c r="BE959" s="87"/>
      <c r="BF959" s="87"/>
      <c r="BG959" s="87"/>
      <c r="BH959" s="87"/>
      <c r="BI959" s="87"/>
    </row>
    <row r="960" spans="1:61" x14ac:dyDescent="0.25">
      <c r="A960" s="63" t="s">
        <v>583</v>
      </c>
      <c r="B960" s="63" t="s">
        <v>583</v>
      </c>
      <c r="C960" s="64"/>
      <c r="D960" s="65"/>
      <c r="E960" s="66"/>
      <c r="F960" s="67"/>
      <c r="G960" s="64"/>
      <c r="H960" s="68"/>
      <c r="I960" s="69"/>
      <c r="J960" s="69"/>
      <c r="K960" s="32"/>
      <c r="L960" s="76">
        <v>960</v>
      </c>
      <c r="M960" s="76"/>
      <c r="N960" s="71"/>
      <c r="O960" s="87" t="s">
        <v>179</v>
      </c>
      <c r="P960" s="90">
        <v>45158.875</v>
      </c>
      <c r="Q960" s="87" t="s">
        <v>2770</v>
      </c>
      <c r="R960" s="87">
        <v>0</v>
      </c>
      <c r="S960" s="87">
        <v>0</v>
      </c>
      <c r="T960" s="87">
        <v>0</v>
      </c>
      <c r="U960" s="87">
        <v>0</v>
      </c>
      <c r="V960" s="87">
        <v>4</v>
      </c>
      <c r="W960" s="93" t="s">
        <v>6532</v>
      </c>
      <c r="X960" s="87"/>
      <c r="Y960" s="87"/>
      <c r="Z960" s="87"/>
      <c r="AA960" s="87" t="s">
        <v>9196</v>
      </c>
      <c r="AB960" s="87" t="s">
        <v>11448</v>
      </c>
      <c r="AC960" s="93" t="s">
        <v>11457</v>
      </c>
      <c r="AD960" s="87" t="s">
        <v>11519</v>
      </c>
      <c r="AE960" s="92" t="str">
        <f>HYPERLINK("https://twitter.com/goncalvesadvs/status/1693367299925741728")</f>
        <v>https://twitter.com/goncalvesadvs/status/1693367299925741728</v>
      </c>
      <c r="AF960" s="90">
        <v>45158.875</v>
      </c>
      <c r="AG960" s="99">
        <v>45158</v>
      </c>
      <c r="AH960" s="93" t="s">
        <v>12349</v>
      </c>
      <c r="AI960" s="87" t="b">
        <v>0</v>
      </c>
      <c r="AJ960" s="87"/>
      <c r="AK960" s="87"/>
      <c r="AL960" s="87"/>
      <c r="AM960" s="87"/>
      <c r="AN960" s="87"/>
      <c r="AO960" s="87"/>
      <c r="AP960" s="87"/>
      <c r="AQ960" s="87" t="s">
        <v>16009</v>
      </c>
      <c r="AR960" s="87"/>
      <c r="AS960" s="87"/>
      <c r="AT960" s="87"/>
      <c r="AU960" s="87"/>
      <c r="AV960" s="92" t="str">
        <f>HYPERLINK("https://pbs.twimg.com/media/F3hhe49WgAA-ILZ.jpg")</f>
        <v>https://pbs.twimg.com/media/F3hhe49WgAA-ILZ.jpg</v>
      </c>
      <c r="AW960" s="93" t="s">
        <v>19197</v>
      </c>
      <c r="AX960" s="93" t="s">
        <v>19197</v>
      </c>
      <c r="AY960" s="87"/>
      <c r="AZ960" s="93" t="s">
        <v>22668</v>
      </c>
      <c r="BA960" s="93" t="s">
        <v>22668</v>
      </c>
      <c r="BB960" s="93" t="s">
        <v>22668</v>
      </c>
      <c r="BC960" s="93" t="s">
        <v>19197</v>
      </c>
      <c r="BD960" s="93" t="s">
        <v>22997</v>
      </c>
      <c r="BE960" s="87"/>
      <c r="BF960" s="87"/>
      <c r="BG960" s="87"/>
      <c r="BH960" s="87"/>
      <c r="BI960" s="87"/>
    </row>
    <row r="961" spans="1:61" x14ac:dyDescent="0.25">
      <c r="A961" s="63" t="s">
        <v>583</v>
      </c>
      <c r="B961" s="63" t="s">
        <v>583</v>
      </c>
      <c r="C961" s="64"/>
      <c r="D961" s="65"/>
      <c r="E961" s="66"/>
      <c r="F961" s="67"/>
      <c r="G961" s="64"/>
      <c r="H961" s="68"/>
      <c r="I961" s="69"/>
      <c r="J961" s="69"/>
      <c r="K961" s="32"/>
      <c r="L961" s="76">
        <v>961</v>
      </c>
      <c r="M961" s="76"/>
      <c r="N961" s="71"/>
      <c r="O961" s="87" t="s">
        <v>179</v>
      </c>
      <c r="P961" s="90">
        <v>45191.875011574077</v>
      </c>
      <c r="Q961" s="87" t="s">
        <v>2771</v>
      </c>
      <c r="R961" s="87">
        <v>0</v>
      </c>
      <c r="S961" s="87">
        <v>0</v>
      </c>
      <c r="T961" s="87">
        <v>0</v>
      </c>
      <c r="U961" s="87">
        <v>0</v>
      </c>
      <c r="V961" s="87">
        <v>4</v>
      </c>
      <c r="W961" s="93" t="s">
        <v>6533</v>
      </c>
      <c r="X961" s="87"/>
      <c r="Y961" s="87"/>
      <c r="Z961" s="87"/>
      <c r="AA961" s="87" t="s">
        <v>9197</v>
      </c>
      <c r="AB961" s="87" t="s">
        <v>11448</v>
      </c>
      <c r="AC961" s="93" t="s">
        <v>11457</v>
      </c>
      <c r="AD961" s="87" t="s">
        <v>11519</v>
      </c>
      <c r="AE961" s="92" t="str">
        <f>HYPERLINK("https://twitter.com/goncalvesadvs/status/1705326105123537026")</f>
        <v>https://twitter.com/goncalvesadvs/status/1705326105123537026</v>
      </c>
      <c r="AF961" s="90">
        <v>45191.875011574077</v>
      </c>
      <c r="AG961" s="99">
        <v>45191</v>
      </c>
      <c r="AH961" s="93" t="s">
        <v>11667</v>
      </c>
      <c r="AI961" s="87" t="b">
        <v>0</v>
      </c>
      <c r="AJ961" s="87"/>
      <c r="AK961" s="87"/>
      <c r="AL961" s="87"/>
      <c r="AM961" s="87"/>
      <c r="AN961" s="87"/>
      <c r="AO961" s="87"/>
      <c r="AP961" s="87"/>
      <c r="AQ961" s="87" t="s">
        <v>16010</v>
      </c>
      <c r="AR961" s="87"/>
      <c r="AS961" s="87"/>
      <c r="AT961" s="87"/>
      <c r="AU961" s="87"/>
      <c r="AV961" s="92" t="str">
        <f>HYPERLINK("https://pbs.twimg.com/media/F6pELG_XAAAFonz.jpg")</f>
        <v>https://pbs.twimg.com/media/F6pELG_XAAAFonz.jpg</v>
      </c>
      <c r="AW961" s="93" t="s">
        <v>19198</v>
      </c>
      <c r="AX961" s="93" t="s">
        <v>19198</v>
      </c>
      <c r="AY961" s="87"/>
      <c r="AZ961" s="93" t="s">
        <v>22668</v>
      </c>
      <c r="BA961" s="93" t="s">
        <v>22668</v>
      </c>
      <c r="BB961" s="93" t="s">
        <v>22668</v>
      </c>
      <c r="BC961" s="93" t="s">
        <v>19198</v>
      </c>
      <c r="BD961" s="93" t="s">
        <v>22997</v>
      </c>
      <c r="BE961" s="87"/>
      <c r="BF961" s="87"/>
      <c r="BG961" s="87"/>
      <c r="BH961" s="87"/>
      <c r="BI961" s="87"/>
    </row>
    <row r="962" spans="1:61" x14ac:dyDescent="0.25">
      <c r="A962" s="63" t="s">
        <v>583</v>
      </c>
      <c r="B962" s="63" t="s">
        <v>583</v>
      </c>
      <c r="C962" s="64"/>
      <c r="D962" s="65"/>
      <c r="E962" s="66"/>
      <c r="F962" s="67"/>
      <c r="G962" s="64"/>
      <c r="H962" s="68"/>
      <c r="I962" s="69"/>
      <c r="J962" s="69"/>
      <c r="K962" s="32"/>
      <c r="L962" s="76">
        <v>962</v>
      </c>
      <c r="M962" s="76"/>
      <c r="N962" s="71"/>
      <c r="O962" s="87" t="s">
        <v>179</v>
      </c>
      <c r="P962" s="90">
        <v>45196.875011574077</v>
      </c>
      <c r="Q962" s="87" t="s">
        <v>2772</v>
      </c>
      <c r="R962" s="87">
        <v>0</v>
      </c>
      <c r="S962" s="87">
        <v>0</v>
      </c>
      <c r="T962" s="87">
        <v>0</v>
      </c>
      <c r="U962" s="87">
        <v>0</v>
      </c>
      <c r="V962" s="87">
        <v>1</v>
      </c>
      <c r="W962" s="93" t="s">
        <v>6534</v>
      </c>
      <c r="X962" s="87"/>
      <c r="Y962" s="87"/>
      <c r="Z962" s="87"/>
      <c r="AA962" s="87" t="s">
        <v>9198</v>
      </c>
      <c r="AB962" s="87" t="s">
        <v>11448</v>
      </c>
      <c r="AC962" s="93" t="s">
        <v>11457</v>
      </c>
      <c r="AD962" s="87" t="s">
        <v>11519</v>
      </c>
      <c r="AE962" s="92" t="str">
        <f>HYPERLINK("https://twitter.com/goncalvesadvs/status/1707138043457708476")</f>
        <v>https://twitter.com/goncalvesadvs/status/1707138043457708476</v>
      </c>
      <c r="AF962" s="90">
        <v>45196.875011574077</v>
      </c>
      <c r="AG962" s="99">
        <v>45196</v>
      </c>
      <c r="AH962" s="93" t="s">
        <v>11667</v>
      </c>
      <c r="AI962" s="87" t="b">
        <v>0</v>
      </c>
      <c r="AJ962" s="87"/>
      <c r="AK962" s="87"/>
      <c r="AL962" s="87"/>
      <c r="AM962" s="87"/>
      <c r="AN962" s="87"/>
      <c r="AO962" s="87"/>
      <c r="AP962" s="87"/>
      <c r="AQ962" s="87" t="s">
        <v>16011</v>
      </c>
      <c r="AR962" s="87"/>
      <c r="AS962" s="87"/>
      <c r="AT962" s="87"/>
      <c r="AU962" s="87"/>
      <c r="AV962" s="92" t="str">
        <f>HYPERLINK("https://pbs.twimg.com/media/F65cPW3XgAAdUB5.jpg")</f>
        <v>https://pbs.twimg.com/media/F65cPW3XgAAdUB5.jpg</v>
      </c>
      <c r="AW962" s="93" t="s">
        <v>19199</v>
      </c>
      <c r="AX962" s="93" t="s">
        <v>19199</v>
      </c>
      <c r="AY962" s="87"/>
      <c r="AZ962" s="93" t="s">
        <v>22668</v>
      </c>
      <c r="BA962" s="93" t="s">
        <v>22668</v>
      </c>
      <c r="BB962" s="93" t="s">
        <v>22668</v>
      </c>
      <c r="BC962" s="93" t="s">
        <v>19199</v>
      </c>
      <c r="BD962" s="93" t="s">
        <v>22997</v>
      </c>
      <c r="BE962" s="87"/>
      <c r="BF962" s="87"/>
      <c r="BG962" s="87"/>
      <c r="BH962" s="87"/>
      <c r="BI962" s="87"/>
    </row>
    <row r="963" spans="1:61" x14ac:dyDescent="0.25">
      <c r="A963" s="63" t="s">
        <v>583</v>
      </c>
      <c r="B963" s="63" t="s">
        <v>583</v>
      </c>
      <c r="C963" s="64"/>
      <c r="D963" s="65"/>
      <c r="E963" s="66"/>
      <c r="F963" s="67"/>
      <c r="G963" s="64"/>
      <c r="H963" s="68"/>
      <c r="I963" s="69"/>
      <c r="J963" s="69"/>
      <c r="K963" s="32"/>
      <c r="L963" s="76">
        <v>963</v>
      </c>
      <c r="M963" s="76"/>
      <c r="N963" s="71"/>
      <c r="O963" s="87" t="s">
        <v>179</v>
      </c>
      <c r="P963" s="90">
        <v>45193.875</v>
      </c>
      <c r="Q963" s="87" t="s">
        <v>2773</v>
      </c>
      <c r="R963" s="87">
        <v>0</v>
      </c>
      <c r="S963" s="87">
        <v>0</v>
      </c>
      <c r="T963" s="87">
        <v>0</v>
      </c>
      <c r="U963" s="87">
        <v>0</v>
      </c>
      <c r="V963" s="87">
        <v>3</v>
      </c>
      <c r="W963" s="93" t="s">
        <v>6535</v>
      </c>
      <c r="X963" s="87"/>
      <c r="Y963" s="87"/>
      <c r="Z963" s="87"/>
      <c r="AA963" s="87" t="s">
        <v>9199</v>
      </c>
      <c r="AB963" s="87" t="s">
        <v>11448</v>
      </c>
      <c r="AC963" s="93" t="s">
        <v>11457</v>
      </c>
      <c r="AD963" s="87" t="s">
        <v>11519</v>
      </c>
      <c r="AE963" s="92" t="str">
        <f>HYPERLINK("https://twitter.com/goncalvesadvs/status/1706050876039672046")</f>
        <v>https://twitter.com/goncalvesadvs/status/1706050876039672046</v>
      </c>
      <c r="AF963" s="90">
        <v>45193.875</v>
      </c>
      <c r="AG963" s="99">
        <v>45193</v>
      </c>
      <c r="AH963" s="93" t="s">
        <v>12349</v>
      </c>
      <c r="AI963" s="87" t="b">
        <v>0</v>
      </c>
      <c r="AJ963" s="87"/>
      <c r="AK963" s="87"/>
      <c r="AL963" s="87"/>
      <c r="AM963" s="87"/>
      <c r="AN963" s="87"/>
      <c r="AO963" s="87"/>
      <c r="AP963" s="87"/>
      <c r="AQ963" s="87" t="s">
        <v>16012</v>
      </c>
      <c r="AR963" s="87"/>
      <c r="AS963" s="87"/>
      <c r="AT963" s="87"/>
      <c r="AU963" s="87"/>
      <c r="AV963" s="92" t="str">
        <f>HYPERLINK("https://pbs.twimg.com/media/F6pEoLVX0AALWMl.jpg")</f>
        <v>https://pbs.twimg.com/media/F6pEoLVX0AALWMl.jpg</v>
      </c>
      <c r="AW963" s="93" t="s">
        <v>19200</v>
      </c>
      <c r="AX963" s="93" t="s">
        <v>19200</v>
      </c>
      <c r="AY963" s="87"/>
      <c r="AZ963" s="93" t="s">
        <v>22668</v>
      </c>
      <c r="BA963" s="93" t="s">
        <v>22668</v>
      </c>
      <c r="BB963" s="93" t="s">
        <v>22668</v>
      </c>
      <c r="BC963" s="93" t="s">
        <v>19200</v>
      </c>
      <c r="BD963" s="93" t="s">
        <v>22997</v>
      </c>
      <c r="BE963" s="87"/>
      <c r="BF963" s="87"/>
      <c r="BG963" s="87"/>
      <c r="BH963" s="87"/>
      <c r="BI963" s="87"/>
    </row>
    <row r="964" spans="1:61" x14ac:dyDescent="0.25">
      <c r="A964" s="63" t="s">
        <v>583</v>
      </c>
      <c r="B964" s="63" t="s">
        <v>583</v>
      </c>
      <c r="C964" s="64"/>
      <c r="D964" s="65"/>
      <c r="E964" s="66"/>
      <c r="F964" s="67"/>
      <c r="G964" s="64"/>
      <c r="H964" s="68"/>
      <c r="I964" s="69"/>
      <c r="J964" s="69"/>
      <c r="K964" s="32"/>
      <c r="L964" s="76">
        <v>964</v>
      </c>
      <c r="M964" s="76"/>
      <c r="N964" s="71"/>
      <c r="O964" s="87" t="s">
        <v>179</v>
      </c>
      <c r="P964" s="90">
        <v>45184.875</v>
      </c>
      <c r="Q964" s="87" t="s">
        <v>2774</v>
      </c>
      <c r="R964" s="87">
        <v>0</v>
      </c>
      <c r="S964" s="87">
        <v>1</v>
      </c>
      <c r="T964" s="87">
        <v>2</v>
      </c>
      <c r="U964" s="87">
        <v>0</v>
      </c>
      <c r="V964" s="87">
        <v>20</v>
      </c>
      <c r="W964" s="93" t="s">
        <v>6532</v>
      </c>
      <c r="X964" s="87"/>
      <c r="Y964" s="87"/>
      <c r="Z964" s="87"/>
      <c r="AA964" s="87" t="s">
        <v>9200</v>
      </c>
      <c r="AB964" s="87" t="s">
        <v>11448</v>
      </c>
      <c r="AC964" s="93" t="s">
        <v>11457</v>
      </c>
      <c r="AD964" s="87" t="s">
        <v>11519</v>
      </c>
      <c r="AE964" s="92" t="str">
        <f>HYPERLINK("https://twitter.com/goncalvesadvs/status/1702789386277097783")</f>
        <v>https://twitter.com/goncalvesadvs/status/1702789386277097783</v>
      </c>
      <c r="AF964" s="90">
        <v>45184.875</v>
      </c>
      <c r="AG964" s="99">
        <v>45184</v>
      </c>
      <c r="AH964" s="93" t="s">
        <v>12349</v>
      </c>
      <c r="AI964" s="87" t="b">
        <v>0</v>
      </c>
      <c r="AJ964" s="87"/>
      <c r="AK964" s="87"/>
      <c r="AL964" s="87"/>
      <c r="AM964" s="87"/>
      <c r="AN964" s="87"/>
      <c r="AO964" s="87"/>
      <c r="AP964" s="87"/>
      <c r="AQ964" s="87" t="s">
        <v>16013</v>
      </c>
      <c r="AR964" s="87"/>
      <c r="AS964" s="87"/>
      <c r="AT964" s="87"/>
      <c r="AU964" s="87"/>
      <c r="AV964" s="92" t="str">
        <f>HYPERLINK("https://pbs.twimg.com/media/F5rPd6xWwAA3PSU.jpg")</f>
        <v>https://pbs.twimg.com/media/F5rPd6xWwAA3PSU.jpg</v>
      </c>
      <c r="AW964" s="93" t="s">
        <v>19201</v>
      </c>
      <c r="AX964" s="93" t="s">
        <v>19201</v>
      </c>
      <c r="AY964" s="87"/>
      <c r="AZ964" s="93" t="s">
        <v>22668</v>
      </c>
      <c r="BA964" s="93" t="s">
        <v>22668</v>
      </c>
      <c r="BB964" s="93" t="s">
        <v>22668</v>
      </c>
      <c r="BC964" s="93" t="s">
        <v>19201</v>
      </c>
      <c r="BD964" s="93" t="s">
        <v>22997</v>
      </c>
      <c r="BE964" s="87"/>
      <c r="BF964" s="87"/>
      <c r="BG964" s="87"/>
      <c r="BH964" s="87"/>
      <c r="BI964" s="87"/>
    </row>
    <row r="965" spans="1:61" x14ac:dyDescent="0.25">
      <c r="A965" s="63" t="s">
        <v>584</v>
      </c>
      <c r="B965" s="63" t="s">
        <v>584</v>
      </c>
      <c r="C965" s="64"/>
      <c r="D965" s="65"/>
      <c r="E965" s="66"/>
      <c r="F965" s="67"/>
      <c r="G965" s="64"/>
      <c r="H965" s="68"/>
      <c r="I965" s="69"/>
      <c r="J965" s="69"/>
      <c r="K965" s="32"/>
      <c r="L965" s="76">
        <v>965</v>
      </c>
      <c r="M965" s="76"/>
      <c r="N965" s="71"/>
      <c r="O965" s="87" t="s">
        <v>179</v>
      </c>
      <c r="P965" s="90">
        <v>45112.779062499998</v>
      </c>
      <c r="Q965" s="87" t="s">
        <v>2775</v>
      </c>
      <c r="R965" s="87">
        <v>7</v>
      </c>
      <c r="S965" s="87">
        <v>45</v>
      </c>
      <c r="T965" s="87">
        <v>3</v>
      </c>
      <c r="U965" s="87">
        <v>0</v>
      </c>
      <c r="V965" s="87">
        <v>12200</v>
      </c>
      <c r="W965" s="93" t="s">
        <v>6536</v>
      </c>
      <c r="X965" s="87"/>
      <c r="Y965" s="87"/>
      <c r="Z965" s="87"/>
      <c r="AA965" s="87" t="s">
        <v>9201</v>
      </c>
      <c r="AB965" s="87" t="s">
        <v>11447</v>
      </c>
      <c r="AC965" s="93" t="s">
        <v>11457</v>
      </c>
      <c r="AD965" s="87" t="s">
        <v>11519</v>
      </c>
      <c r="AE965" s="92" t="str">
        <f>HYPERLINK("https://twitter.com/ricamconsult/status/1676662693044932611")</f>
        <v>https://twitter.com/ricamconsult/status/1676662693044932611</v>
      </c>
      <c r="AF965" s="90">
        <v>45112.779062499998</v>
      </c>
      <c r="AG965" s="99">
        <v>45112</v>
      </c>
      <c r="AH965" s="93" t="s">
        <v>12420</v>
      </c>
      <c r="AI965" s="87" t="b">
        <v>0</v>
      </c>
      <c r="AJ965" s="87"/>
      <c r="AK965" s="87"/>
      <c r="AL965" s="87"/>
      <c r="AM965" s="87"/>
      <c r="AN965" s="87"/>
      <c r="AO965" s="87"/>
      <c r="AP965" s="87"/>
      <c r="AQ965" s="87" t="s">
        <v>16014</v>
      </c>
      <c r="AR965" s="87">
        <v>69938</v>
      </c>
      <c r="AS965" s="87"/>
      <c r="AT965" s="87"/>
      <c r="AU965" s="87"/>
      <c r="AV965" s="92" t="str">
        <f>HYPERLINK("https://pbs.twimg.com/ext_tw_video_thumb/1676662529404162048/pu/img/pV7-gOlxJFFcDyGL.jpg")</f>
        <v>https://pbs.twimg.com/ext_tw_video_thumb/1676662529404162048/pu/img/pV7-gOlxJFFcDyGL.jpg</v>
      </c>
      <c r="AW965" s="93" t="s">
        <v>19202</v>
      </c>
      <c r="AX965" s="93" t="s">
        <v>19202</v>
      </c>
      <c r="AY965" s="87"/>
      <c r="AZ965" s="93" t="s">
        <v>22668</v>
      </c>
      <c r="BA965" s="93" t="s">
        <v>22668</v>
      </c>
      <c r="BB965" s="93" t="s">
        <v>22668</v>
      </c>
      <c r="BC965" s="93" t="s">
        <v>19202</v>
      </c>
      <c r="BD965" s="87">
        <v>160910872</v>
      </c>
      <c r="BE965" s="87"/>
      <c r="BF965" s="87"/>
      <c r="BG965" s="87"/>
      <c r="BH965" s="87"/>
      <c r="BI965" s="87"/>
    </row>
    <row r="966" spans="1:61" x14ac:dyDescent="0.25">
      <c r="A966" s="63" t="s">
        <v>585</v>
      </c>
      <c r="B966" s="63" t="s">
        <v>585</v>
      </c>
      <c r="C966" s="64"/>
      <c r="D966" s="65"/>
      <c r="E966" s="66"/>
      <c r="F966" s="67"/>
      <c r="G966" s="64"/>
      <c r="H966" s="68"/>
      <c r="I966" s="69"/>
      <c r="J966" s="69"/>
      <c r="K966" s="32"/>
      <c r="L966" s="76">
        <v>966</v>
      </c>
      <c r="M966" s="76"/>
      <c r="N966" s="71"/>
      <c r="O966" s="87" t="s">
        <v>179</v>
      </c>
      <c r="P966" s="90">
        <v>45149.418912037036</v>
      </c>
      <c r="Q966" s="87" t="s">
        <v>2776</v>
      </c>
      <c r="R966" s="87">
        <v>0</v>
      </c>
      <c r="S966" s="87">
        <v>0</v>
      </c>
      <c r="T966" s="87">
        <v>0</v>
      </c>
      <c r="U966" s="87">
        <v>0</v>
      </c>
      <c r="V966" s="87">
        <v>166</v>
      </c>
      <c r="W966" s="93" t="s">
        <v>6537</v>
      </c>
      <c r="X966" s="92" t="str">
        <f>HYPERLINK("https://bit.ly/Manual-do-milionário")</f>
        <v>https://bit.ly/Manual-do-milionário</v>
      </c>
      <c r="Y966" s="87" t="s">
        <v>8374</v>
      </c>
      <c r="Z966" s="87"/>
      <c r="AA966" s="87" t="s">
        <v>9202</v>
      </c>
      <c r="AB966" s="87" t="s">
        <v>11448</v>
      </c>
      <c r="AC966" s="93" t="s">
        <v>11459</v>
      </c>
      <c r="AD966" s="87" t="s">
        <v>11519</v>
      </c>
      <c r="AE966" s="92" t="str">
        <f>HYPERLINK("https://twitter.com/darkin_lf/status/1689940529134387200")</f>
        <v>https://twitter.com/darkin_lf/status/1689940529134387200</v>
      </c>
      <c r="AF966" s="90">
        <v>45149.418912037036</v>
      </c>
      <c r="AG966" s="99">
        <v>45149</v>
      </c>
      <c r="AH966" s="93" t="s">
        <v>12421</v>
      </c>
      <c r="AI966" s="87" t="b">
        <v>0</v>
      </c>
      <c r="AJ966" s="87"/>
      <c r="AK966" s="87"/>
      <c r="AL966" s="87"/>
      <c r="AM966" s="87"/>
      <c r="AN966" s="87"/>
      <c r="AO966" s="87"/>
      <c r="AP966" s="87"/>
      <c r="AQ966" s="87" t="s">
        <v>16015</v>
      </c>
      <c r="AR966" s="87"/>
      <c r="AS966" s="87"/>
      <c r="AT966" s="87"/>
      <c r="AU966" s="87"/>
      <c r="AV966" s="92" t="str">
        <f>HYPERLINK("https://pbs.twimg.com/media/F3Pf9HsWcAIlBam.jpg")</f>
        <v>https://pbs.twimg.com/media/F3Pf9HsWcAIlBam.jpg</v>
      </c>
      <c r="AW966" s="93" t="s">
        <v>19203</v>
      </c>
      <c r="AX966" s="93" t="s">
        <v>19203</v>
      </c>
      <c r="AY966" s="87"/>
      <c r="AZ966" s="93" t="s">
        <v>22668</v>
      </c>
      <c r="BA966" s="93" t="s">
        <v>22668</v>
      </c>
      <c r="BB966" s="93" t="s">
        <v>22668</v>
      </c>
      <c r="BC966" s="93" t="s">
        <v>19203</v>
      </c>
      <c r="BD966" s="93" t="s">
        <v>22998</v>
      </c>
      <c r="BE966" s="87"/>
      <c r="BF966" s="87"/>
      <c r="BG966" s="87"/>
      <c r="BH966" s="87"/>
      <c r="BI966" s="87"/>
    </row>
    <row r="967" spans="1:61" x14ac:dyDescent="0.25">
      <c r="A967" s="63" t="s">
        <v>585</v>
      </c>
      <c r="B967" s="63" t="s">
        <v>585</v>
      </c>
      <c r="C967" s="64"/>
      <c r="D967" s="65"/>
      <c r="E967" s="66"/>
      <c r="F967" s="67"/>
      <c r="G967" s="64"/>
      <c r="H967" s="68"/>
      <c r="I967" s="69"/>
      <c r="J967" s="69"/>
      <c r="K967" s="32"/>
      <c r="L967" s="76">
        <v>967</v>
      </c>
      <c r="M967" s="76"/>
      <c r="N967" s="71"/>
      <c r="O967" s="87" t="s">
        <v>179</v>
      </c>
      <c r="P967" s="90">
        <v>45137.757291666669</v>
      </c>
      <c r="Q967" s="87" t="s">
        <v>2777</v>
      </c>
      <c r="R967" s="87">
        <v>0</v>
      </c>
      <c r="S967" s="87">
        <v>0</v>
      </c>
      <c r="T967" s="87">
        <v>0</v>
      </c>
      <c r="U967" s="87">
        <v>0</v>
      </c>
      <c r="V967" s="87">
        <v>154</v>
      </c>
      <c r="W967" s="93" t="s">
        <v>6538</v>
      </c>
      <c r="X967" s="87"/>
      <c r="Y967" s="87"/>
      <c r="Z967" s="87"/>
      <c r="AA967" s="87" t="s">
        <v>9203</v>
      </c>
      <c r="AB967" s="87" t="s">
        <v>11447</v>
      </c>
      <c r="AC967" s="93" t="s">
        <v>11459</v>
      </c>
      <c r="AD967" s="87" t="s">
        <v>11519</v>
      </c>
      <c r="AE967" s="92" t="str">
        <f>HYPERLINK("https://twitter.com/darkin_lf/status/1685714501125931008")</f>
        <v>https://twitter.com/darkin_lf/status/1685714501125931008</v>
      </c>
      <c r="AF967" s="90">
        <v>45137.757291666669</v>
      </c>
      <c r="AG967" s="99">
        <v>45137</v>
      </c>
      <c r="AH967" s="93" t="s">
        <v>12422</v>
      </c>
      <c r="AI967" s="87" t="b">
        <v>0</v>
      </c>
      <c r="AJ967" s="87"/>
      <c r="AK967" s="87"/>
      <c r="AL967" s="87"/>
      <c r="AM967" s="87"/>
      <c r="AN967" s="87"/>
      <c r="AO967" s="87"/>
      <c r="AP967" s="87"/>
      <c r="AQ967" s="87" t="s">
        <v>16016</v>
      </c>
      <c r="AR967" s="87">
        <v>16934</v>
      </c>
      <c r="AS967" s="87"/>
      <c r="AT967" s="87"/>
      <c r="AU967" s="87"/>
      <c r="AV967" s="92" t="str">
        <f>HYPERLINK("https://pbs.twimg.com/ext_tw_video_thumb/1685714458750976001/pu/img/pSSxOPj6Z1STGttS.jpg")</f>
        <v>https://pbs.twimg.com/ext_tw_video_thumb/1685714458750976001/pu/img/pSSxOPj6Z1STGttS.jpg</v>
      </c>
      <c r="AW967" s="93" t="s">
        <v>19204</v>
      </c>
      <c r="AX967" s="93" t="s">
        <v>19204</v>
      </c>
      <c r="AY967" s="87"/>
      <c r="AZ967" s="93" t="s">
        <v>22668</v>
      </c>
      <c r="BA967" s="93" t="s">
        <v>22668</v>
      </c>
      <c r="BB967" s="93" t="s">
        <v>22668</v>
      </c>
      <c r="BC967" s="93" t="s">
        <v>19204</v>
      </c>
      <c r="BD967" s="93" t="s">
        <v>22998</v>
      </c>
      <c r="BE967" s="87"/>
      <c r="BF967" s="87"/>
      <c r="BG967" s="87"/>
      <c r="BH967" s="87"/>
      <c r="BI967" s="87"/>
    </row>
    <row r="968" spans="1:61" x14ac:dyDescent="0.25">
      <c r="A968" s="63" t="s">
        <v>586</v>
      </c>
      <c r="B968" s="63" t="s">
        <v>586</v>
      </c>
      <c r="C968" s="64"/>
      <c r="D968" s="65"/>
      <c r="E968" s="66"/>
      <c r="F968" s="67"/>
      <c r="G968" s="64"/>
      <c r="H968" s="68"/>
      <c r="I968" s="69"/>
      <c r="J968" s="69"/>
      <c r="K968" s="32"/>
      <c r="L968" s="76">
        <v>968</v>
      </c>
      <c r="M968" s="76"/>
      <c r="N968" s="71"/>
      <c r="O968" s="87" t="s">
        <v>179</v>
      </c>
      <c r="P968" s="90">
        <v>45161.872245370374</v>
      </c>
      <c r="Q968" s="87" t="s">
        <v>2778</v>
      </c>
      <c r="R968" s="87">
        <v>0</v>
      </c>
      <c r="S968" s="87">
        <v>0</v>
      </c>
      <c r="T968" s="87">
        <v>0</v>
      </c>
      <c r="U968" s="87">
        <v>0</v>
      </c>
      <c r="V968" s="87">
        <v>30</v>
      </c>
      <c r="W968" s="93" t="s">
        <v>6539</v>
      </c>
      <c r="X968" s="92" t="str">
        <f>HYPERLINK("http://dlvr.it/Sv4nFb")</f>
        <v>http://dlvr.it/Sv4nFb</v>
      </c>
      <c r="Y968" s="87" t="s">
        <v>8436</v>
      </c>
      <c r="Z968" s="87"/>
      <c r="AA968" s="87" t="s">
        <v>9204</v>
      </c>
      <c r="AB968" s="87" t="s">
        <v>11448</v>
      </c>
      <c r="AC968" s="93" t="s">
        <v>8436</v>
      </c>
      <c r="AD968" s="87" t="s">
        <v>11519</v>
      </c>
      <c r="AE968" s="92" t="str">
        <f>HYPERLINK("https://twitter.com/agenciasertao_/status/1694453468520710186")</f>
        <v>https://twitter.com/agenciasertao_/status/1694453468520710186</v>
      </c>
      <c r="AF968" s="90">
        <v>45161.872245370374</v>
      </c>
      <c r="AG968" s="99">
        <v>45161</v>
      </c>
      <c r="AH968" s="93" t="s">
        <v>12423</v>
      </c>
      <c r="AI968" s="87" t="b">
        <v>0</v>
      </c>
      <c r="AJ968" s="87"/>
      <c r="AK968" s="87"/>
      <c r="AL968" s="87"/>
      <c r="AM968" s="87"/>
      <c r="AN968" s="87"/>
      <c r="AO968" s="87"/>
      <c r="AP968" s="87"/>
      <c r="AQ968" s="87" t="s">
        <v>16017</v>
      </c>
      <c r="AR968" s="87"/>
      <c r="AS968" s="87"/>
      <c r="AT968" s="87"/>
      <c r="AU968" s="87"/>
      <c r="AV968" s="92" t="str">
        <f>HYPERLINK("https://pbs.twimg.com/media/F4Poc0AaIAASM6v.jpg")</f>
        <v>https://pbs.twimg.com/media/F4Poc0AaIAASM6v.jpg</v>
      </c>
      <c r="AW968" s="93" t="s">
        <v>19205</v>
      </c>
      <c r="AX968" s="93" t="s">
        <v>19205</v>
      </c>
      <c r="AY968" s="87"/>
      <c r="AZ968" s="93" t="s">
        <v>22668</v>
      </c>
      <c r="BA968" s="93" t="s">
        <v>22668</v>
      </c>
      <c r="BB968" s="93" t="s">
        <v>22668</v>
      </c>
      <c r="BC968" s="93" t="s">
        <v>19205</v>
      </c>
      <c r="BD968" s="93" t="s">
        <v>22999</v>
      </c>
      <c r="BE968" s="87"/>
      <c r="BF968" s="87"/>
      <c r="BG968" s="87"/>
      <c r="BH968" s="87"/>
      <c r="BI968" s="87"/>
    </row>
    <row r="969" spans="1:61" x14ac:dyDescent="0.25">
      <c r="A969" s="63" t="s">
        <v>587</v>
      </c>
      <c r="B969" s="63" t="s">
        <v>1667</v>
      </c>
      <c r="C969" s="64"/>
      <c r="D969" s="65"/>
      <c r="E969" s="66"/>
      <c r="F969" s="67"/>
      <c r="G969" s="64"/>
      <c r="H969" s="68"/>
      <c r="I969" s="69"/>
      <c r="J969" s="69"/>
      <c r="K969" s="32"/>
      <c r="L969" s="76">
        <v>969</v>
      </c>
      <c r="M969" s="76"/>
      <c r="N969" s="71"/>
      <c r="O969" s="87" t="s">
        <v>1840</v>
      </c>
      <c r="P969" s="90">
        <v>45181.758668981478</v>
      </c>
      <c r="Q969" s="87" t="s">
        <v>2779</v>
      </c>
      <c r="R969" s="87">
        <v>0</v>
      </c>
      <c r="S969" s="87">
        <v>0</v>
      </c>
      <c r="T969" s="87">
        <v>0</v>
      </c>
      <c r="U969" s="87">
        <v>0</v>
      </c>
      <c r="V969" s="87">
        <v>27</v>
      </c>
      <c r="W969" s="93" t="s">
        <v>5897</v>
      </c>
      <c r="X969" s="87"/>
      <c r="Y969" s="87"/>
      <c r="Z969" s="87" t="s">
        <v>1667</v>
      </c>
      <c r="AA969" s="87"/>
      <c r="AB969" s="87"/>
      <c r="AC969" s="93" t="s">
        <v>11457</v>
      </c>
      <c r="AD969" s="87" t="s">
        <v>11519</v>
      </c>
      <c r="AE969" s="92" t="str">
        <f>HYPERLINK("https://twitter.com/q20anon30/status/1701660066061930969")</f>
        <v>https://twitter.com/q20anon30/status/1701660066061930969</v>
      </c>
      <c r="AF969" s="90">
        <v>45181.758668981478</v>
      </c>
      <c r="AG969" s="99">
        <v>45181</v>
      </c>
      <c r="AH969" s="93" t="s">
        <v>12424</v>
      </c>
      <c r="AI969" s="87"/>
      <c r="AJ969" s="87"/>
      <c r="AK969" s="87"/>
      <c r="AL969" s="87"/>
      <c r="AM969" s="87"/>
      <c r="AN969" s="87"/>
      <c r="AO969" s="87"/>
      <c r="AP969" s="87"/>
      <c r="AQ969" s="87"/>
      <c r="AR969" s="87"/>
      <c r="AS969" s="87"/>
      <c r="AT969" s="87"/>
      <c r="AU969" s="87"/>
      <c r="AV969" s="92" t="str">
        <f>HYPERLINK("https://pbs.twimg.com/profile_images/1681792656685277184/bK4lJ1lr_normal.jpg")</f>
        <v>https://pbs.twimg.com/profile_images/1681792656685277184/bK4lJ1lr_normal.jpg</v>
      </c>
      <c r="AW969" s="93" t="s">
        <v>19206</v>
      </c>
      <c r="AX969" s="93" t="s">
        <v>22348</v>
      </c>
      <c r="AY969" s="93" t="s">
        <v>22549</v>
      </c>
      <c r="AZ969" s="93" t="s">
        <v>22348</v>
      </c>
      <c r="BA969" s="93" t="s">
        <v>22668</v>
      </c>
      <c r="BB969" s="93" t="s">
        <v>22668</v>
      </c>
      <c r="BC969" s="93" t="s">
        <v>22348</v>
      </c>
      <c r="BD969" s="87">
        <v>261313176</v>
      </c>
      <c r="BE969" s="87"/>
      <c r="BF969" s="87"/>
      <c r="BG969" s="87"/>
      <c r="BH969" s="87"/>
      <c r="BI969" s="87"/>
    </row>
    <row r="970" spans="1:61" x14ac:dyDescent="0.25">
      <c r="A970" s="63" t="s">
        <v>588</v>
      </c>
      <c r="B970" s="63" t="s">
        <v>588</v>
      </c>
      <c r="C970" s="64"/>
      <c r="D970" s="65"/>
      <c r="E970" s="66"/>
      <c r="F970" s="67"/>
      <c r="G970" s="64"/>
      <c r="H970" s="68"/>
      <c r="I970" s="69"/>
      <c r="J970" s="69"/>
      <c r="K970" s="32"/>
      <c r="L970" s="76">
        <v>970</v>
      </c>
      <c r="M970" s="76"/>
      <c r="N970" s="71"/>
      <c r="O970" s="87" t="s">
        <v>179</v>
      </c>
      <c r="P970" s="90">
        <v>45173.694444444445</v>
      </c>
      <c r="Q970" s="87" t="s">
        <v>2780</v>
      </c>
      <c r="R970" s="87">
        <v>12</v>
      </c>
      <c r="S970" s="87">
        <v>62</v>
      </c>
      <c r="T970" s="87">
        <v>8</v>
      </c>
      <c r="U970" s="87">
        <v>1</v>
      </c>
      <c r="V970" s="87">
        <v>8849</v>
      </c>
      <c r="W970" s="93" t="s">
        <v>6540</v>
      </c>
      <c r="X970" s="87"/>
      <c r="Y970" s="87"/>
      <c r="Z970" s="87"/>
      <c r="AA970" s="87" t="s">
        <v>9205</v>
      </c>
      <c r="AB970" s="87" t="s">
        <v>11447</v>
      </c>
      <c r="AC970" s="93" t="s">
        <v>11468</v>
      </c>
      <c r="AD970" s="87" t="s">
        <v>11519</v>
      </c>
      <c r="AE970" s="92" t="str">
        <f>HYPERLINK("https://twitter.com/programapanico/status/1698737686729961856")</f>
        <v>https://twitter.com/programapanico/status/1698737686729961856</v>
      </c>
      <c r="AF970" s="90">
        <v>45173.694444444445</v>
      </c>
      <c r="AG970" s="99">
        <v>45173</v>
      </c>
      <c r="AH970" s="93" t="s">
        <v>12425</v>
      </c>
      <c r="AI970" s="87" t="b">
        <v>0</v>
      </c>
      <c r="AJ970" s="87"/>
      <c r="AK970" s="87"/>
      <c r="AL970" s="87"/>
      <c r="AM970" s="87"/>
      <c r="AN970" s="87"/>
      <c r="AO970" s="87"/>
      <c r="AP970" s="87"/>
      <c r="AQ970" s="87" t="s">
        <v>16018</v>
      </c>
      <c r="AR970" s="87">
        <v>236331</v>
      </c>
      <c r="AS970" s="87"/>
      <c r="AT970" s="87"/>
      <c r="AU970" s="87"/>
      <c r="AV970" s="92" t="str">
        <f>HYPERLINK("https://pbs.twimg.com/amplify_video_thumb/1698728847879868416/img/yplfukqFarj9vXGs.jpg")</f>
        <v>https://pbs.twimg.com/amplify_video_thumb/1698728847879868416/img/yplfukqFarj9vXGs.jpg</v>
      </c>
      <c r="AW970" s="93" t="s">
        <v>19207</v>
      </c>
      <c r="AX970" s="93" t="s">
        <v>19207</v>
      </c>
      <c r="AY970" s="87"/>
      <c r="AZ970" s="93" t="s">
        <v>22668</v>
      </c>
      <c r="BA970" s="93" t="s">
        <v>22668</v>
      </c>
      <c r="BB970" s="93" t="s">
        <v>22668</v>
      </c>
      <c r="BC970" s="93" t="s">
        <v>19207</v>
      </c>
      <c r="BD970" s="87">
        <v>35765232</v>
      </c>
      <c r="BE970" s="87"/>
      <c r="BF970" s="87"/>
      <c r="BG970" s="87"/>
      <c r="BH970" s="87"/>
      <c r="BI970" s="87"/>
    </row>
    <row r="971" spans="1:61" x14ac:dyDescent="0.25">
      <c r="A971" s="63" t="s">
        <v>589</v>
      </c>
      <c r="B971" s="63" t="s">
        <v>589</v>
      </c>
      <c r="C971" s="64"/>
      <c r="D971" s="65"/>
      <c r="E971" s="66"/>
      <c r="F971" s="67"/>
      <c r="G971" s="64"/>
      <c r="H971" s="68"/>
      <c r="I971" s="69"/>
      <c r="J971" s="69"/>
      <c r="K971" s="32"/>
      <c r="L971" s="76">
        <v>971</v>
      </c>
      <c r="M971" s="76"/>
      <c r="N971" s="71"/>
      <c r="O971" s="87" t="s">
        <v>179</v>
      </c>
      <c r="P971" s="90">
        <v>45157.644305555557</v>
      </c>
      <c r="Q971" s="87" t="s">
        <v>2781</v>
      </c>
      <c r="R971" s="87">
        <v>0</v>
      </c>
      <c r="S971" s="87">
        <v>0</v>
      </c>
      <c r="T971" s="87">
        <v>0</v>
      </c>
      <c r="U971" s="87">
        <v>0</v>
      </c>
      <c r="V971" s="87">
        <v>7</v>
      </c>
      <c r="W971" s="93" t="s">
        <v>6541</v>
      </c>
      <c r="X971" s="87"/>
      <c r="Y971" s="87"/>
      <c r="Z971" s="87"/>
      <c r="AA971" s="87" t="s">
        <v>9206</v>
      </c>
      <c r="AB971" s="87" t="s">
        <v>11447</v>
      </c>
      <c r="AC971" s="93" t="s">
        <v>11458</v>
      </c>
      <c r="AD971" s="87" t="s">
        <v>11519</v>
      </c>
      <c r="AE971" s="92" t="str">
        <f>HYPERLINK("https://twitter.com/pauloyossimi/status/1692921311486513338")</f>
        <v>https://twitter.com/pauloyossimi/status/1692921311486513338</v>
      </c>
      <c r="AF971" s="90">
        <v>45157.644305555557</v>
      </c>
      <c r="AG971" s="99">
        <v>45157</v>
      </c>
      <c r="AH971" s="93" t="s">
        <v>12426</v>
      </c>
      <c r="AI971" s="87" t="b">
        <v>0</v>
      </c>
      <c r="AJ971" s="87" t="s">
        <v>15171</v>
      </c>
      <c r="AK971" s="87" t="s">
        <v>15234</v>
      </c>
      <c r="AL971" s="87" t="s">
        <v>15237</v>
      </c>
      <c r="AM971" s="87" t="s">
        <v>15243</v>
      </c>
      <c r="AN971" s="87" t="s">
        <v>15308</v>
      </c>
      <c r="AO971" s="87" t="s">
        <v>15375</v>
      </c>
      <c r="AP971" s="87" t="s">
        <v>15438</v>
      </c>
      <c r="AQ971" s="87" t="s">
        <v>16019</v>
      </c>
      <c r="AR971" s="87">
        <v>128166</v>
      </c>
      <c r="AS971" s="87"/>
      <c r="AT971" s="87"/>
      <c r="AU971" s="87"/>
      <c r="AV971" s="92" t="str">
        <f>HYPERLINK("https://pbs.twimg.com/ext_tw_video_thumb/1692921201671229440/pu/img/vUAz2ZLB4wKeY-7y.jpg")</f>
        <v>https://pbs.twimg.com/ext_tw_video_thumb/1692921201671229440/pu/img/vUAz2ZLB4wKeY-7y.jpg</v>
      </c>
      <c r="AW971" s="93" t="s">
        <v>19208</v>
      </c>
      <c r="AX971" s="93" t="s">
        <v>19208</v>
      </c>
      <c r="AY971" s="87"/>
      <c r="AZ971" s="93" t="s">
        <v>22668</v>
      </c>
      <c r="BA971" s="93" t="s">
        <v>22668</v>
      </c>
      <c r="BB971" s="93" t="s">
        <v>22668</v>
      </c>
      <c r="BC971" s="93" t="s">
        <v>19208</v>
      </c>
      <c r="BD971" s="87">
        <v>234045173</v>
      </c>
      <c r="BE971" s="87"/>
      <c r="BF971" s="87"/>
      <c r="BG971" s="87"/>
      <c r="BH971" s="87"/>
      <c r="BI971" s="87"/>
    </row>
    <row r="972" spans="1:61" x14ac:dyDescent="0.25">
      <c r="A972" s="63" t="s">
        <v>589</v>
      </c>
      <c r="B972" s="63" t="s">
        <v>589</v>
      </c>
      <c r="C972" s="64"/>
      <c r="D972" s="65"/>
      <c r="E972" s="66"/>
      <c r="F972" s="67"/>
      <c r="G972" s="64"/>
      <c r="H972" s="68"/>
      <c r="I972" s="69"/>
      <c r="J972" s="69"/>
      <c r="K972" s="32"/>
      <c r="L972" s="76">
        <v>972</v>
      </c>
      <c r="M972" s="76"/>
      <c r="N972" s="71"/>
      <c r="O972" s="87" t="s">
        <v>179</v>
      </c>
      <c r="P972" s="90">
        <v>45172.662847222222</v>
      </c>
      <c r="Q972" s="87" t="s">
        <v>2782</v>
      </c>
      <c r="R972" s="87">
        <v>0</v>
      </c>
      <c r="S972" s="87">
        <v>0</v>
      </c>
      <c r="T972" s="87">
        <v>0</v>
      </c>
      <c r="U972" s="87">
        <v>0</v>
      </c>
      <c r="V972" s="87">
        <v>29</v>
      </c>
      <c r="W972" s="93" t="s">
        <v>6542</v>
      </c>
      <c r="X972" s="87"/>
      <c r="Y972" s="87"/>
      <c r="Z972" s="87"/>
      <c r="AA972" s="87" t="s">
        <v>9207</v>
      </c>
      <c r="AB972" s="87" t="s">
        <v>11447</v>
      </c>
      <c r="AC972" s="93" t="s">
        <v>11458</v>
      </c>
      <c r="AD972" s="87" t="s">
        <v>11519</v>
      </c>
      <c r="AE972" s="92" t="str">
        <f>HYPERLINK("https://twitter.com/pauloyossimi/status/1698363850385494131")</f>
        <v>https://twitter.com/pauloyossimi/status/1698363850385494131</v>
      </c>
      <c r="AF972" s="90">
        <v>45172.662847222222</v>
      </c>
      <c r="AG972" s="99">
        <v>45172</v>
      </c>
      <c r="AH972" s="93" t="s">
        <v>12427</v>
      </c>
      <c r="AI972" s="87" t="b">
        <v>0</v>
      </c>
      <c r="AJ972" s="87" t="s">
        <v>15171</v>
      </c>
      <c r="AK972" s="87" t="s">
        <v>15234</v>
      </c>
      <c r="AL972" s="87" t="s">
        <v>15237</v>
      </c>
      <c r="AM972" s="87" t="s">
        <v>15243</v>
      </c>
      <c r="AN972" s="87" t="s">
        <v>15308</v>
      </c>
      <c r="AO972" s="87" t="s">
        <v>15375</v>
      </c>
      <c r="AP972" s="87" t="s">
        <v>15438</v>
      </c>
      <c r="AQ972" s="87" t="s">
        <v>16020</v>
      </c>
      <c r="AR972" s="87">
        <v>118185</v>
      </c>
      <c r="AS972" s="87"/>
      <c r="AT972" s="87"/>
      <c r="AU972" s="87"/>
      <c r="AV972" s="92" t="str">
        <f>HYPERLINK("https://pbs.twimg.com/ext_tw_video_thumb/1698363688820822016/pu/img/bVCqBvIIA6FxFyAS.jpg")</f>
        <v>https://pbs.twimg.com/ext_tw_video_thumb/1698363688820822016/pu/img/bVCqBvIIA6FxFyAS.jpg</v>
      </c>
      <c r="AW972" s="93" t="s">
        <v>19209</v>
      </c>
      <c r="AX972" s="93" t="s">
        <v>19209</v>
      </c>
      <c r="AY972" s="87"/>
      <c r="AZ972" s="93" t="s">
        <v>22668</v>
      </c>
      <c r="BA972" s="93" t="s">
        <v>22668</v>
      </c>
      <c r="BB972" s="93" t="s">
        <v>22668</v>
      </c>
      <c r="BC972" s="93" t="s">
        <v>19209</v>
      </c>
      <c r="BD972" s="87">
        <v>234045173</v>
      </c>
      <c r="BE972" s="87"/>
      <c r="BF972" s="87"/>
      <c r="BG972" s="87"/>
      <c r="BH972" s="87"/>
      <c r="BI972" s="87"/>
    </row>
    <row r="973" spans="1:61" x14ac:dyDescent="0.25">
      <c r="A973" s="63" t="s">
        <v>589</v>
      </c>
      <c r="B973" s="63" t="s">
        <v>589</v>
      </c>
      <c r="C973" s="64"/>
      <c r="D973" s="65"/>
      <c r="E973" s="66"/>
      <c r="F973" s="67"/>
      <c r="G973" s="64"/>
      <c r="H973" s="68"/>
      <c r="I973" s="69"/>
      <c r="J973" s="69"/>
      <c r="K973" s="32"/>
      <c r="L973" s="76">
        <v>973</v>
      </c>
      <c r="M973" s="76"/>
      <c r="N973" s="71"/>
      <c r="O973" s="87" t="s">
        <v>179</v>
      </c>
      <c r="P973" s="90">
        <v>45175.607754629629</v>
      </c>
      <c r="Q973" s="87" t="s">
        <v>2783</v>
      </c>
      <c r="R973" s="87">
        <v>0</v>
      </c>
      <c r="S973" s="87">
        <v>0</v>
      </c>
      <c r="T973" s="87">
        <v>0</v>
      </c>
      <c r="U973" s="87">
        <v>0</v>
      </c>
      <c r="V973" s="87">
        <v>13</v>
      </c>
      <c r="W973" s="93" t="s">
        <v>6543</v>
      </c>
      <c r="X973" s="87"/>
      <c r="Y973" s="87"/>
      <c r="Z973" s="87"/>
      <c r="AA973" s="87" t="s">
        <v>9208</v>
      </c>
      <c r="AB973" s="87" t="s">
        <v>11447</v>
      </c>
      <c r="AC973" s="93" t="s">
        <v>11458</v>
      </c>
      <c r="AD973" s="87" t="s">
        <v>11519</v>
      </c>
      <c r="AE973" s="92" t="str">
        <f>HYPERLINK("https://twitter.com/pauloyossimi/status/1699431049023881472")</f>
        <v>https://twitter.com/pauloyossimi/status/1699431049023881472</v>
      </c>
      <c r="AF973" s="90">
        <v>45175.607754629629</v>
      </c>
      <c r="AG973" s="99">
        <v>45175</v>
      </c>
      <c r="AH973" s="93" t="s">
        <v>12428</v>
      </c>
      <c r="AI973" s="87" t="b">
        <v>0</v>
      </c>
      <c r="AJ973" s="87"/>
      <c r="AK973" s="87"/>
      <c r="AL973" s="87"/>
      <c r="AM973" s="87"/>
      <c r="AN973" s="87"/>
      <c r="AO973" s="87"/>
      <c r="AP973" s="87"/>
      <c r="AQ973" s="87" t="s">
        <v>16021</v>
      </c>
      <c r="AR973" s="87">
        <v>81681</v>
      </c>
      <c r="AS973" s="87"/>
      <c r="AT973" s="87"/>
      <c r="AU973" s="87"/>
      <c r="AV973" s="92" t="str">
        <f>HYPERLINK("https://pbs.twimg.com/ext_tw_video_thumb/1699430737131274240/pu/img/SQQOHaPT_TukxjU4.jpg")</f>
        <v>https://pbs.twimg.com/ext_tw_video_thumb/1699430737131274240/pu/img/SQQOHaPT_TukxjU4.jpg</v>
      </c>
      <c r="AW973" s="93" t="s">
        <v>19210</v>
      </c>
      <c r="AX973" s="93" t="s">
        <v>19210</v>
      </c>
      <c r="AY973" s="87"/>
      <c r="AZ973" s="93" t="s">
        <v>22668</v>
      </c>
      <c r="BA973" s="93" t="s">
        <v>22668</v>
      </c>
      <c r="BB973" s="93" t="s">
        <v>22668</v>
      </c>
      <c r="BC973" s="93" t="s">
        <v>19210</v>
      </c>
      <c r="BD973" s="87">
        <v>234045173</v>
      </c>
      <c r="BE973" s="87"/>
      <c r="BF973" s="87"/>
      <c r="BG973" s="87"/>
      <c r="BH973" s="87"/>
      <c r="BI973" s="87"/>
    </row>
    <row r="974" spans="1:61" x14ac:dyDescent="0.25">
      <c r="A974" s="63" t="s">
        <v>589</v>
      </c>
      <c r="B974" s="63" t="s">
        <v>589</v>
      </c>
      <c r="C974" s="64"/>
      <c r="D974" s="65"/>
      <c r="E974" s="66"/>
      <c r="F974" s="67"/>
      <c r="G974" s="64"/>
      <c r="H974" s="68"/>
      <c r="I974" s="69"/>
      <c r="J974" s="69"/>
      <c r="K974" s="32"/>
      <c r="L974" s="76">
        <v>974</v>
      </c>
      <c r="M974" s="76"/>
      <c r="N974" s="71"/>
      <c r="O974" s="87" t="s">
        <v>179</v>
      </c>
      <c r="P974" s="90">
        <v>45174.144560185188</v>
      </c>
      <c r="Q974" s="87" t="s">
        <v>2784</v>
      </c>
      <c r="R974" s="87">
        <v>0</v>
      </c>
      <c r="S974" s="87">
        <v>0</v>
      </c>
      <c r="T974" s="87">
        <v>0</v>
      </c>
      <c r="U974" s="87">
        <v>0</v>
      </c>
      <c r="V974" s="87">
        <v>20</v>
      </c>
      <c r="W974" s="93" t="s">
        <v>6544</v>
      </c>
      <c r="X974" s="87"/>
      <c r="Y974" s="87"/>
      <c r="Z974" s="87"/>
      <c r="AA974" s="87" t="s">
        <v>9209</v>
      </c>
      <c r="AB974" s="87" t="s">
        <v>11447</v>
      </c>
      <c r="AC974" s="93" t="s">
        <v>11458</v>
      </c>
      <c r="AD974" s="87" t="s">
        <v>11519</v>
      </c>
      <c r="AE974" s="92" t="str">
        <f>HYPERLINK("https://twitter.com/pauloyossimi/status/1698900806123032959")</f>
        <v>https://twitter.com/pauloyossimi/status/1698900806123032959</v>
      </c>
      <c r="AF974" s="90">
        <v>45174.144560185188</v>
      </c>
      <c r="AG974" s="99">
        <v>45174</v>
      </c>
      <c r="AH974" s="93" t="s">
        <v>12429</v>
      </c>
      <c r="AI974" s="87" t="b">
        <v>0</v>
      </c>
      <c r="AJ974" s="87"/>
      <c r="AK974" s="87"/>
      <c r="AL974" s="87"/>
      <c r="AM974" s="87"/>
      <c r="AN974" s="87"/>
      <c r="AO974" s="87"/>
      <c r="AP974" s="87"/>
      <c r="AQ974" s="87" t="s">
        <v>16022</v>
      </c>
      <c r="AR974" s="87">
        <v>78000</v>
      </c>
      <c r="AS974" s="87"/>
      <c r="AT974" s="87"/>
      <c r="AU974" s="87"/>
      <c r="AV974" s="92" t="str">
        <f>HYPERLINK("https://pbs.twimg.com/ext_tw_video_thumb/1698900726720692224/pu/img/d1YrGxP5zHML0nBA.jpg")</f>
        <v>https://pbs.twimg.com/ext_tw_video_thumb/1698900726720692224/pu/img/d1YrGxP5zHML0nBA.jpg</v>
      </c>
      <c r="AW974" s="93" t="s">
        <v>19211</v>
      </c>
      <c r="AX974" s="93" t="s">
        <v>19211</v>
      </c>
      <c r="AY974" s="87"/>
      <c r="AZ974" s="93" t="s">
        <v>22668</v>
      </c>
      <c r="BA974" s="93" t="s">
        <v>22668</v>
      </c>
      <c r="BB974" s="93" t="s">
        <v>22668</v>
      </c>
      <c r="BC974" s="93" t="s">
        <v>19211</v>
      </c>
      <c r="BD974" s="87">
        <v>234045173</v>
      </c>
      <c r="BE974" s="87"/>
      <c r="BF974" s="87"/>
      <c r="BG974" s="87"/>
      <c r="BH974" s="87"/>
      <c r="BI974" s="87"/>
    </row>
    <row r="975" spans="1:61" x14ac:dyDescent="0.25">
      <c r="A975" s="63" t="s">
        <v>589</v>
      </c>
      <c r="B975" s="63" t="s">
        <v>589</v>
      </c>
      <c r="C975" s="64"/>
      <c r="D975" s="65"/>
      <c r="E975" s="66"/>
      <c r="F975" s="67"/>
      <c r="G975" s="64"/>
      <c r="H975" s="68"/>
      <c r="I975" s="69"/>
      <c r="J975" s="69"/>
      <c r="K975" s="32"/>
      <c r="L975" s="76">
        <v>975</v>
      </c>
      <c r="M975" s="76"/>
      <c r="N975" s="71"/>
      <c r="O975" s="87" t="s">
        <v>179</v>
      </c>
      <c r="P975" s="90">
        <v>45184.468819444446</v>
      </c>
      <c r="Q975" s="87" t="s">
        <v>2785</v>
      </c>
      <c r="R975" s="87">
        <v>0</v>
      </c>
      <c r="S975" s="87">
        <v>0</v>
      </c>
      <c r="T975" s="87">
        <v>0</v>
      </c>
      <c r="U975" s="87">
        <v>0</v>
      </c>
      <c r="V975" s="87">
        <v>7</v>
      </c>
      <c r="W975" s="93" t="s">
        <v>6545</v>
      </c>
      <c r="X975" s="87"/>
      <c r="Y975" s="87"/>
      <c r="Z975" s="87"/>
      <c r="AA975" s="87" t="s">
        <v>9210</v>
      </c>
      <c r="AB975" s="87" t="s">
        <v>11448</v>
      </c>
      <c r="AC975" s="93" t="s">
        <v>11458</v>
      </c>
      <c r="AD975" s="87" t="s">
        <v>11519</v>
      </c>
      <c r="AE975" s="92" t="str">
        <f>HYPERLINK("https://twitter.com/pauloyossimi/status/1702642189379960936")</f>
        <v>https://twitter.com/pauloyossimi/status/1702642189379960936</v>
      </c>
      <c r="AF975" s="90">
        <v>45184.468819444446</v>
      </c>
      <c r="AG975" s="99">
        <v>45184</v>
      </c>
      <c r="AH975" s="93" t="s">
        <v>12430</v>
      </c>
      <c r="AI975" s="87" t="b">
        <v>0</v>
      </c>
      <c r="AJ975" s="87"/>
      <c r="AK975" s="87"/>
      <c r="AL975" s="87"/>
      <c r="AM975" s="87"/>
      <c r="AN975" s="87"/>
      <c r="AO975" s="87"/>
      <c r="AP975" s="87"/>
      <c r="AQ975" s="87" t="s">
        <v>16023</v>
      </c>
      <c r="AR975" s="87"/>
      <c r="AS975" s="87"/>
      <c r="AT975" s="87"/>
      <c r="AU975" s="87"/>
      <c r="AV975" s="92" t="str">
        <f>HYPERLINK("https://pbs.twimg.com/media/F6EAC_oXoAEm1s9.jpg")</f>
        <v>https://pbs.twimg.com/media/F6EAC_oXoAEm1s9.jpg</v>
      </c>
      <c r="AW975" s="93" t="s">
        <v>19212</v>
      </c>
      <c r="AX975" s="93" t="s">
        <v>19212</v>
      </c>
      <c r="AY975" s="87"/>
      <c r="AZ975" s="93" t="s">
        <v>22668</v>
      </c>
      <c r="BA975" s="93" t="s">
        <v>22668</v>
      </c>
      <c r="BB975" s="93" t="s">
        <v>22668</v>
      </c>
      <c r="BC975" s="93" t="s">
        <v>19212</v>
      </c>
      <c r="BD975" s="87">
        <v>234045173</v>
      </c>
      <c r="BE975" s="87"/>
      <c r="BF975" s="87"/>
      <c r="BG975" s="87"/>
      <c r="BH975" s="87"/>
      <c r="BI975" s="87"/>
    </row>
    <row r="976" spans="1:61" x14ac:dyDescent="0.25">
      <c r="A976" s="63" t="s">
        <v>590</v>
      </c>
      <c r="B976" s="63" t="s">
        <v>1668</v>
      </c>
      <c r="C976" s="64"/>
      <c r="D976" s="65"/>
      <c r="E976" s="66"/>
      <c r="F976" s="67"/>
      <c r="G976" s="64"/>
      <c r="H976" s="68"/>
      <c r="I976" s="69"/>
      <c r="J976" s="69"/>
      <c r="K976" s="32"/>
      <c r="L976" s="76">
        <v>976</v>
      </c>
      <c r="M976" s="76"/>
      <c r="N976" s="71"/>
      <c r="O976" s="87" t="s">
        <v>1840</v>
      </c>
      <c r="P976" s="90">
        <v>45191.842164351852</v>
      </c>
      <c r="Q976" s="87" t="s">
        <v>2786</v>
      </c>
      <c r="R976" s="87">
        <v>0</v>
      </c>
      <c r="S976" s="87">
        <v>0</v>
      </c>
      <c r="T976" s="87">
        <v>1</v>
      </c>
      <c r="U976" s="87">
        <v>0</v>
      </c>
      <c r="V976" s="87">
        <v>57</v>
      </c>
      <c r="W976" s="93" t="s">
        <v>5897</v>
      </c>
      <c r="X976" s="87"/>
      <c r="Y976" s="87"/>
      <c r="Z976" s="87" t="s">
        <v>1668</v>
      </c>
      <c r="AA976" s="87"/>
      <c r="AB976" s="87"/>
      <c r="AC976" s="93" t="s">
        <v>11459</v>
      </c>
      <c r="AD976" s="87" t="s">
        <v>11519</v>
      </c>
      <c r="AE976" s="92" t="str">
        <f>HYPERLINK("https://twitter.com/9s_fora/status/1705314200153653577")</f>
        <v>https://twitter.com/9s_fora/status/1705314200153653577</v>
      </c>
      <c r="AF976" s="90">
        <v>45191.842164351852</v>
      </c>
      <c r="AG976" s="99">
        <v>45191</v>
      </c>
      <c r="AH976" s="93" t="s">
        <v>12431</v>
      </c>
      <c r="AI976" s="87"/>
      <c r="AJ976" s="87"/>
      <c r="AK976" s="87"/>
      <c r="AL976" s="87"/>
      <c r="AM976" s="87"/>
      <c r="AN976" s="87"/>
      <c r="AO976" s="87"/>
      <c r="AP976" s="87"/>
      <c r="AQ976" s="87"/>
      <c r="AR976" s="87"/>
      <c r="AS976" s="87"/>
      <c r="AT976" s="87"/>
      <c r="AU976" s="87"/>
      <c r="AV976" s="92" t="str">
        <f>HYPERLINK("https://pbs.twimg.com/profile_images/1703111972294713344/AChtcpbq_normal.jpg")</f>
        <v>https://pbs.twimg.com/profile_images/1703111972294713344/AChtcpbq_normal.jpg</v>
      </c>
      <c r="AW976" s="93" t="s">
        <v>19213</v>
      </c>
      <c r="AX976" s="93" t="s">
        <v>22349</v>
      </c>
      <c r="AY976" s="93" t="s">
        <v>22550</v>
      </c>
      <c r="AZ976" s="93" t="s">
        <v>22349</v>
      </c>
      <c r="BA976" s="93" t="s">
        <v>22668</v>
      </c>
      <c r="BB976" s="93" t="s">
        <v>22668</v>
      </c>
      <c r="BC976" s="93" t="s">
        <v>22349</v>
      </c>
      <c r="BD976" s="93" t="s">
        <v>23000</v>
      </c>
      <c r="BE976" s="87"/>
      <c r="BF976" s="87"/>
      <c r="BG976" s="87"/>
      <c r="BH976" s="87"/>
      <c r="BI976" s="87"/>
    </row>
    <row r="977" spans="1:61" x14ac:dyDescent="0.25">
      <c r="A977" s="63" t="s">
        <v>591</v>
      </c>
      <c r="B977" s="63" t="s">
        <v>591</v>
      </c>
      <c r="C977" s="64"/>
      <c r="D977" s="65"/>
      <c r="E977" s="66"/>
      <c r="F977" s="67"/>
      <c r="G977" s="64"/>
      <c r="H977" s="68"/>
      <c r="I977" s="69"/>
      <c r="J977" s="69"/>
      <c r="K977" s="32"/>
      <c r="L977" s="76">
        <v>977</v>
      </c>
      <c r="M977" s="76"/>
      <c r="N977" s="71"/>
      <c r="O977" s="87" t="s">
        <v>179</v>
      </c>
      <c r="P977" s="90">
        <v>45169.416666666664</v>
      </c>
      <c r="Q977" s="87" t="s">
        <v>2787</v>
      </c>
      <c r="R977" s="87">
        <v>0</v>
      </c>
      <c r="S977" s="87">
        <v>0</v>
      </c>
      <c r="T977" s="87">
        <v>0</v>
      </c>
      <c r="U977" s="87">
        <v>0</v>
      </c>
      <c r="V977" s="87">
        <v>8</v>
      </c>
      <c r="W977" s="93" t="s">
        <v>6546</v>
      </c>
      <c r="X977" s="87"/>
      <c r="Y977" s="87"/>
      <c r="Z977" s="87"/>
      <c r="AA977" s="87" t="s">
        <v>9211</v>
      </c>
      <c r="AB977" s="87" t="s">
        <v>11448</v>
      </c>
      <c r="AC977" s="93" t="s">
        <v>11470</v>
      </c>
      <c r="AD977" s="87" t="s">
        <v>11519</v>
      </c>
      <c r="AE977" s="92" t="str">
        <f>HYPERLINK("https://twitter.com/minumenergia/status/1697187471883141423")</f>
        <v>https://twitter.com/minumenergia/status/1697187471883141423</v>
      </c>
      <c r="AF977" s="90">
        <v>45169.416666666664</v>
      </c>
      <c r="AG977" s="99">
        <v>45169</v>
      </c>
      <c r="AH977" s="93" t="s">
        <v>12369</v>
      </c>
      <c r="AI977" s="87" t="b">
        <v>0</v>
      </c>
      <c r="AJ977" s="87"/>
      <c r="AK977" s="87"/>
      <c r="AL977" s="87"/>
      <c r="AM977" s="87"/>
      <c r="AN977" s="87"/>
      <c r="AO977" s="87"/>
      <c r="AP977" s="87"/>
      <c r="AQ977" s="87" t="s">
        <v>16024</v>
      </c>
      <c r="AR977" s="87"/>
      <c r="AS977" s="87"/>
      <c r="AT977" s="87"/>
      <c r="AU977" s="87"/>
      <c r="AV977" s="92" t="str">
        <f>HYPERLINK("https://pbs.twimg.com/media/F42RR-iWcAAMYP4.jpg")</f>
        <v>https://pbs.twimg.com/media/F42RR-iWcAAMYP4.jpg</v>
      </c>
      <c r="AW977" s="93" t="s">
        <v>19214</v>
      </c>
      <c r="AX977" s="93" t="s">
        <v>19214</v>
      </c>
      <c r="AY977" s="87"/>
      <c r="AZ977" s="93" t="s">
        <v>22668</v>
      </c>
      <c r="BA977" s="93" t="s">
        <v>22668</v>
      </c>
      <c r="BB977" s="93" t="s">
        <v>22668</v>
      </c>
      <c r="BC977" s="93" t="s">
        <v>19214</v>
      </c>
      <c r="BD977" s="93" t="s">
        <v>23001</v>
      </c>
      <c r="BE977" s="87"/>
      <c r="BF977" s="87"/>
      <c r="BG977" s="87"/>
      <c r="BH977" s="87"/>
      <c r="BI977" s="87"/>
    </row>
    <row r="978" spans="1:61" x14ac:dyDescent="0.25">
      <c r="A978" s="63" t="s">
        <v>591</v>
      </c>
      <c r="B978" s="63" t="s">
        <v>591</v>
      </c>
      <c r="C978" s="64"/>
      <c r="D978" s="65"/>
      <c r="E978" s="66"/>
      <c r="F978" s="67"/>
      <c r="G978" s="64"/>
      <c r="H978" s="68"/>
      <c r="I978" s="69"/>
      <c r="J978" s="69"/>
      <c r="K978" s="32"/>
      <c r="L978" s="76">
        <v>978</v>
      </c>
      <c r="M978" s="76"/>
      <c r="N978" s="71"/>
      <c r="O978" s="87" t="s">
        <v>179</v>
      </c>
      <c r="P978" s="90">
        <v>45192.875</v>
      </c>
      <c r="Q978" s="87" t="s">
        <v>2788</v>
      </c>
      <c r="R978" s="87">
        <v>0</v>
      </c>
      <c r="S978" s="87">
        <v>0</v>
      </c>
      <c r="T978" s="87">
        <v>0</v>
      </c>
      <c r="U978" s="87">
        <v>0</v>
      </c>
      <c r="V978" s="87">
        <v>3</v>
      </c>
      <c r="W978" s="93" t="s">
        <v>6547</v>
      </c>
      <c r="X978" s="87"/>
      <c r="Y978" s="87"/>
      <c r="Z978" s="87"/>
      <c r="AA978" s="87" t="s">
        <v>9212</v>
      </c>
      <c r="AB978" s="87" t="s">
        <v>11449</v>
      </c>
      <c r="AC978" s="93" t="s">
        <v>11470</v>
      </c>
      <c r="AD978" s="87" t="s">
        <v>11519</v>
      </c>
      <c r="AE978" s="92" t="str">
        <f>HYPERLINK("https://twitter.com/minumenergia/status/1705688487238766857")</f>
        <v>https://twitter.com/minumenergia/status/1705688487238766857</v>
      </c>
      <c r="AF978" s="90">
        <v>45192.875</v>
      </c>
      <c r="AG978" s="99">
        <v>45192</v>
      </c>
      <c r="AH978" s="93" t="s">
        <v>12349</v>
      </c>
      <c r="AI978" s="87" t="b">
        <v>0</v>
      </c>
      <c r="AJ978" s="87"/>
      <c r="AK978" s="87"/>
      <c r="AL978" s="87"/>
      <c r="AM978" s="87"/>
      <c r="AN978" s="87"/>
      <c r="AO978" s="87"/>
      <c r="AP978" s="87"/>
      <c r="AQ978" s="87" t="s">
        <v>16025</v>
      </c>
      <c r="AR978" s="87"/>
      <c r="AS978" s="87"/>
      <c r="AT978" s="87"/>
      <c r="AU978" s="87"/>
      <c r="AV978" s="92" t="str">
        <f>HYPERLINK("https://pbs.twimg.com/media/F6vE6MHWEAApfAN.png")</f>
        <v>https://pbs.twimg.com/media/F6vE6MHWEAApfAN.png</v>
      </c>
      <c r="AW978" s="93" t="s">
        <v>19215</v>
      </c>
      <c r="AX978" s="93" t="s">
        <v>19215</v>
      </c>
      <c r="AY978" s="87"/>
      <c r="AZ978" s="93" t="s">
        <v>22668</v>
      </c>
      <c r="BA978" s="93" t="s">
        <v>22668</v>
      </c>
      <c r="BB978" s="93" t="s">
        <v>22668</v>
      </c>
      <c r="BC978" s="93" t="s">
        <v>19215</v>
      </c>
      <c r="BD978" s="93" t="s">
        <v>23001</v>
      </c>
      <c r="BE978" s="87"/>
      <c r="BF978" s="87"/>
      <c r="BG978" s="87"/>
      <c r="BH978" s="87"/>
      <c r="BI978" s="87"/>
    </row>
    <row r="979" spans="1:61" x14ac:dyDescent="0.25">
      <c r="A979" s="63" t="s">
        <v>591</v>
      </c>
      <c r="B979" s="63" t="s">
        <v>591</v>
      </c>
      <c r="C979" s="64"/>
      <c r="D979" s="65"/>
      <c r="E979" s="66"/>
      <c r="F979" s="67"/>
      <c r="G979" s="64"/>
      <c r="H979" s="68"/>
      <c r="I979" s="69"/>
      <c r="J979" s="69"/>
      <c r="K979" s="32"/>
      <c r="L979" s="76">
        <v>979</v>
      </c>
      <c r="M979" s="76"/>
      <c r="N979" s="71"/>
      <c r="O979" s="87" t="s">
        <v>179</v>
      </c>
      <c r="P979" s="90">
        <v>45187.5</v>
      </c>
      <c r="Q979" s="87" t="s">
        <v>2789</v>
      </c>
      <c r="R979" s="87">
        <v>0</v>
      </c>
      <c r="S979" s="87">
        <v>0</v>
      </c>
      <c r="T979" s="87">
        <v>0</v>
      </c>
      <c r="U979" s="87">
        <v>0</v>
      </c>
      <c r="V979" s="87">
        <v>9</v>
      </c>
      <c r="W979" s="93" t="s">
        <v>6548</v>
      </c>
      <c r="X979" s="87"/>
      <c r="Y979" s="87"/>
      <c r="Z979" s="87"/>
      <c r="AA979" s="87" t="s">
        <v>9213</v>
      </c>
      <c r="AB979" s="87" t="s">
        <v>11448</v>
      </c>
      <c r="AC979" s="93" t="s">
        <v>11470</v>
      </c>
      <c r="AD979" s="87" t="s">
        <v>11519</v>
      </c>
      <c r="AE979" s="92" t="str">
        <f>HYPERLINK("https://twitter.com/minumenergia/status/1703740652410769677")</f>
        <v>https://twitter.com/minumenergia/status/1703740652410769677</v>
      </c>
      <c r="AF979" s="90">
        <v>45187.5</v>
      </c>
      <c r="AG979" s="99">
        <v>45187</v>
      </c>
      <c r="AH979" s="93" t="s">
        <v>12089</v>
      </c>
      <c r="AI979" s="87" t="b">
        <v>0</v>
      </c>
      <c r="AJ979" s="87"/>
      <c r="AK979" s="87"/>
      <c r="AL979" s="87"/>
      <c r="AM979" s="87"/>
      <c r="AN979" s="87"/>
      <c r="AO979" s="87"/>
      <c r="AP979" s="87"/>
      <c r="AQ979" s="87" t="s">
        <v>16026</v>
      </c>
      <c r="AR979" s="87"/>
      <c r="AS979" s="87"/>
      <c r="AT979" s="87"/>
      <c r="AU979" s="87"/>
      <c r="AV979" s="92" t="str">
        <f>HYPERLINK("https://pbs.twimg.com/media/F6TZXR9WAAAE7z6.jpg")</f>
        <v>https://pbs.twimg.com/media/F6TZXR9WAAAE7z6.jpg</v>
      </c>
      <c r="AW979" s="93" t="s">
        <v>19216</v>
      </c>
      <c r="AX979" s="93" t="s">
        <v>19216</v>
      </c>
      <c r="AY979" s="87"/>
      <c r="AZ979" s="93" t="s">
        <v>22668</v>
      </c>
      <c r="BA979" s="93" t="s">
        <v>22668</v>
      </c>
      <c r="BB979" s="93" t="s">
        <v>22668</v>
      </c>
      <c r="BC979" s="93" t="s">
        <v>19216</v>
      </c>
      <c r="BD979" s="93" t="s">
        <v>23001</v>
      </c>
      <c r="BE979" s="87"/>
      <c r="BF979" s="87"/>
      <c r="BG979" s="87"/>
      <c r="BH979" s="87"/>
      <c r="BI979" s="87"/>
    </row>
    <row r="980" spans="1:61" x14ac:dyDescent="0.25">
      <c r="A980" s="63" t="s">
        <v>591</v>
      </c>
      <c r="B980" s="63" t="s">
        <v>591</v>
      </c>
      <c r="C980" s="64"/>
      <c r="D980" s="65"/>
      <c r="E980" s="66"/>
      <c r="F980" s="67"/>
      <c r="G980" s="64"/>
      <c r="H980" s="68"/>
      <c r="I980" s="69"/>
      <c r="J980" s="69"/>
      <c r="K980" s="32"/>
      <c r="L980" s="76">
        <v>980</v>
      </c>
      <c r="M980" s="76"/>
      <c r="N980" s="71"/>
      <c r="O980" s="87" t="s">
        <v>179</v>
      </c>
      <c r="P980" s="90">
        <v>45194.416666666664</v>
      </c>
      <c r="Q980" s="87" t="s">
        <v>2790</v>
      </c>
      <c r="R980" s="87">
        <v>0</v>
      </c>
      <c r="S980" s="87">
        <v>0</v>
      </c>
      <c r="T980" s="87">
        <v>0</v>
      </c>
      <c r="U980" s="87">
        <v>0</v>
      </c>
      <c r="V980" s="87">
        <v>8</v>
      </c>
      <c r="W980" s="93" t="s">
        <v>6549</v>
      </c>
      <c r="X980" s="87"/>
      <c r="Y980" s="87"/>
      <c r="Z980" s="87"/>
      <c r="AA980" s="87" t="s">
        <v>9214</v>
      </c>
      <c r="AB980" s="87" t="s">
        <v>11448</v>
      </c>
      <c r="AC980" s="93" t="s">
        <v>11470</v>
      </c>
      <c r="AD980" s="87" t="s">
        <v>11519</v>
      </c>
      <c r="AE980" s="92" t="str">
        <f>HYPERLINK("https://twitter.com/minumenergia/status/1706247168913211807")</f>
        <v>https://twitter.com/minumenergia/status/1706247168913211807</v>
      </c>
      <c r="AF980" s="90">
        <v>45194.416666666664</v>
      </c>
      <c r="AG980" s="99">
        <v>45194</v>
      </c>
      <c r="AH980" s="93" t="s">
        <v>12369</v>
      </c>
      <c r="AI980" s="87" t="b">
        <v>0</v>
      </c>
      <c r="AJ980" s="87"/>
      <c r="AK980" s="87"/>
      <c r="AL980" s="87"/>
      <c r="AM980" s="87"/>
      <c r="AN980" s="87"/>
      <c r="AO980" s="87"/>
      <c r="AP980" s="87"/>
      <c r="AQ980" s="87" t="s">
        <v>16027</v>
      </c>
      <c r="AR980" s="87"/>
      <c r="AS980" s="87"/>
      <c r="AT980" s="87"/>
      <c r="AU980" s="87"/>
      <c r="AV980" s="92" t="str">
        <f>HYPERLINK("https://pbs.twimg.com/media/F63BBuJXYAAQBT2.jpg")</f>
        <v>https://pbs.twimg.com/media/F63BBuJXYAAQBT2.jpg</v>
      </c>
      <c r="AW980" s="93" t="s">
        <v>19217</v>
      </c>
      <c r="AX980" s="93" t="s">
        <v>19217</v>
      </c>
      <c r="AY980" s="87"/>
      <c r="AZ980" s="93" t="s">
        <v>22668</v>
      </c>
      <c r="BA980" s="93" t="s">
        <v>22668</v>
      </c>
      <c r="BB980" s="93" t="s">
        <v>22668</v>
      </c>
      <c r="BC980" s="93" t="s">
        <v>19217</v>
      </c>
      <c r="BD980" s="93" t="s">
        <v>23001</v>
      </c>
      <c r="BE980" s="87"/>
      <c r="BF980" s="87"/>
      <c r="BG980" s="87"/>
      <c r="BH980" s="87"/>
      <c r="BI980" s="87"/>
    </row>
    <row r="981" spans="1:61" x14ac:dyDescent="0.25">
      <c r="A981" s="63" t="s">
        <v>592</v>
      </c>
      <c r="B981" s="63" t="s">
        <v>592</v>
      </c>
      <c r="C981" s="64"/>
      <c r="D981" s="65"/>
      <c r="E981" s="66"/>
      <c r="F981" s="67"/>
      <c r="G981" s="64"/>
      <c r="H981" s="68"/>
      <c r="I981" s="69"/>
      <c r="J981" s="69"/>
      <c r="K981" s="32"/>
      <c r="L981" s="76">
        <v>981</v>
      </c>
      <c r="M981" s="76"/>
      <c r="N981" s="71"/>
      <c r="O981" s="87" t="s">
        <v>179</v>
      </c>
      <c r="P981" s="90">
        <v>45148.138078703705</v>
      </c>
      <c r="Q981" s="87" t="s">
        <v>2791</v>
      </c>
      <c r="R981" s="87">
        <v>0</v>
      </c>
      <c r="S981" s="87">
        <v>0</v>
      </c>
      <c r="T981" s="87">
        <v>0</v>
      </c>
      <c r="U981" s="87">
        <v>0</v>
      </c>
      <c r="V981" s="87">
        <v>38</v>
      </c>
      <c r="W981" s="93" t="s">
        <v>6550</v>
      </c>
      <c r="X981" s="87"/>
      <c r="Y981" s="87"/>
      <c r="Z981" s="87"/>
      <c r="AA981" s="87" t="s">
        <v>9215</v>
      </c>
      <c r="AB981" s="87" t="s">
        <v>11447</v>
      </c>
      <c r="AC981" s="93" t="s">
        <v>11459</v>
      </c>
      <c r="AD981" s="87" t="s">
        <v>11519</v>
      </c>
      <c r="AE981" s="92" t="str">
        <f>HYPERLINK("https://twitter.com/ferininja/status/1689476372031234049")</f>
        <v>https://twitter.com/ferininja/status/1689476372031234049</v>
      </c>
      <c r="AF981" s="90">
        <v>45148.138078703705</v>
      </c>
      <c r="AG981" s="99">
        <v>45148</v>
      </c>
      <c r="AH981" s="93" t="s">
        <v>12432</v>
      </c>
      <c r="AI981" s="87" t="b">
        <v>0</v>
      </c>
      <c r="AJ981" s="87"/>
      <c r="AK981" s="87"/>
      <c r="AL981" s="87"/>
      <c r="AM981" s="87"/>
      <c r="AN981" s="87"/>
      <c r="AO981" s="87"/>
      <c r="AP981" s="87"/>
      <c r="AQ981" s="87" t="s">
        <v>16028</v>
      </c>
      <c r="AR981" s="87">
        <v>44975</v>
      </c>
      <c r="AS981" s="87"/>
      <c r="AT981" s="87"/>
      <c r="AU981" s="87"/>
      <c r="AV981" s="92" t="str">
        <f>HYPERLINK("https://pbs.twimg.com/ext_tw_video_thumb/1689476294394675201/pu/img/80JSPQae9NILz3Kf.jpg")</f>
        <v>https://pbs.twimg.com/ext_tw_video_thumb/1689476294394675201/pu/img/80JSPQae9NILz3Kf.jpg</v>
      </c>
      <c r="AW981" s="93" t="s">
        <v>19218</v>
      </c>
      <c r="AX981" s="93" t="s">
        <v>19218</v>
      </c>
      <c r="AY981" s="87"/>
      <c r="AZ981" s="93" t="s">
        <v>22668</v>
      </c>
      <c r="BA981" s="93" t="s">
        <v>22668</v>
      </c>
      <c r="BB981" s="93" t="s">
        <v>22668</v>
      </c>
      <c r="BC981" s="93" t="s">
        <v>19218</v>
      </c>
      <c r="BD981" s="93" t="s">
        <v>23002</v>
      </c>
      <c r="BE981" s="87"/>
      <c r="BF981" s="87"/>
      <c r="BG981" s="87"/>
      <c r="BH981" s="87"/>
      <c r="BI981" s="87"/>
    </row>
    <row r="982" spans="1:61" x14ac:dyDescent="0.25">
      <c r="A982" s="63" t="s">
        <v>592</v>
      </c>
      <c r="B982" s="63" t="s">
        <v>592</v>
      </c>
      <c r="C982" s="64"/>
      <c r="D982" s="65"/>
      <c r="E982" s="66"/>
      <c r="F982" s="67"/>
      <c r="G982" s="64"/>
      <c r="H982" s="68"/>
      <c r="I982" s="69"/>
      <c r="J982" s="69"/>
      <c r="K982" s="32"/>
      <c r="L982" s="76">
        <v>982</v>
      </c>
      <c r="M982" s="76"/>
      <c r="N982" s="71"/>
      <c r="O982" s="87" t="s">
        <v>179</v>
      </c>
      <c r="P982" s="90">
        <v>45148.125439814816</v>
      </c>
      <c r="Q982" s="87" t="s">
        <v>2792</v>
      </c>
      <c r="R982" s="87">
        <v>0</v>
      </c>
      <c r="S982" s="87">
        <v>0</v>
      </c>
      <c r="T982" s="87">
        <v>0</v>
      </c>
      <c r="U982" s="87">
        <v>0</v>
      </c>
      <c r="V982" s="87">
        <v>27</v>
      </c>
      <c r="W982" s="93" t="s">
        <v>6550</v>
      </c>
      <c r="X982" s="87"/>
      <c r="Y982" s="87"/>
      <c r="Z982" s="87"/>
      <c r="AA982" s="87" t="s">
        <v>9216</v>
      </c>
      <c r="AB982" s="87" t="s">
        <v>11447</v>
      </c>
      <c r="AC982" s="93" t="s">
        <v>11459</v>
      </c>
      <c r="AD982" s="87" t="s">
        <v>11519</v>
      </c>
      <c r="AE982" s="92" t="str">
        <f>HYPERLINK("https://twitter.com/ferininja/status/1689471788948881408")</f>
        <v>https://twitter.com/ferininja/status/1689471788948881408</v>
      </c>
      <c r="AF982" s="90">
        <v>45148.125439814816</v>
      </c>
      <c r="AG982" s="99">
        <v>45148</v>
      </c>
      <c r="AH982" s="93" t="s">
        <v>12433</v>
      </c>
      <c r="AI982" s="87" t="b">
        <v>0</v>
      </c>
      <c r="AJ982" s="87"/>
      <c r="AK982" s="87"/>
      <c r="AL982" s="87"/>
      <c r="AM982" s="87"/>
      <c r="AN982" s="87"/>
      <c r="AO982" s="87"/>
      <c r="AP982" s="87"/>
      <c r="AQ982" s="87" t="s">
        <v>16029</v>
      </c>
      <c r="AR982" s="87">
        <v>38589</v>
      </c>
      <c r="AS982" s="87"/>
      <c r="AT982" s="87"/>
      <c r="AU982" s="87"/>
      <c r="AV982" s="92" t="str">
        <f>HYPERLINK("https://pbs.twimg.com/ext_tw_video_thumb/1689471713875013632/pu/img/kuD1d7_KlbuSf7RN.jpg")</f>
        <v>https://pbs.twimg.com/ext_tw_video_thumb/1689471713875013632/pu/img/kuD1d7_KlbuSf7RN.jpg</v>
      </c>
      <c r="AW982" s="93" t="s">
        <v>19219</v>
      </c>
      <c r="AX982" s="93" t="s">
        <v>19219</v>
      </c>
      <c r="AY982" s="87"/>
      <c r="AZ982" s="93" t="s">
        <v>22668</v>
      </c>
      <c r="BA982" s="93" t="s">
        <v>22668</v>
      </c>
      <c r="BB982" s="93" t="s">
        <v>22668</v>
      </c>
      <c r="BC982" s="93" t="s">
        <v>19219</v>
      </c>
      <c r="BD982" s="93" t="s">
        <v>23002</v>
      </c>
      <c r="BE982" s="87"/>
      <c r="BF982" s="87"/>
      <c r="BG982" s="87"/>
      <c r="BH982" s="87"/>
      <c r="BI982" s="87"/>
    </row>
    <row r="983" spans="1:61" x14ac:dyDescent="0.25">
      <c r="A983" s="63" t="s">
        <v>593</v>
      </c>
      <c r="B983" s="63" t="s">
        <v>593</v>
      </c>
      <c r="C983" s="64"/>
      <c r="D983" s="65"/>
      <c r="E983" s="66"/>
      <c r="F983" s="67"/>
      <c r="G983" s="64"/>
      <c r="H983" s="68"/>
      <c r="I983" s="69"/>
      <c r="J983" s="69"/>
      <c r="K983" s="32"/>
      <c r="L983" s="76">
        <v>983</v>
      </c>
      <c r="M983" s="76"/>
      <c r="N983" s="71"/>
      <c r="O983" s="87" t="s">
        <v>179</v>
      </c>
      <c r="P983" s="90">
        <v>45142.820138888892</v>
      </c>
      <c r="Q983" s="87" t="s">
        <v>2793</v>
      </c>
      <c r="R983" s="87">
        <v>0</v>
      </c>
      <c r="S983" s="87">
        <v>0</v>
      </c>
      <c r="T983" s="87">
        <v>0</v>
      </c>
      <c r="U983" s="87">
        <v>0</v>
      </c>
      <c r="V983" s="87">
        <v>5</v>
      </c>
      <c r="W983" s="93" t="s">
        <v>5897</v>
      </c>
      <c r="X983" s="87"/>
      <c r="Y983" s="87"/>
      <c r="Z983" s="87"/>
      <c r="AA983" s="87"/>
      <c r="AB983" s="87"/>
      <c r="AC983" s="93" t="s">
        <v>11457</v>
      </c>
      <c r="AD983" s="87" t="s">
        <v>11519</v>
      </c>
      <c r="AE983" s="92" t="str">
        <f>HYPERLINK("https://twitter.com/businessopb/status/1687549213029322752")</f>
        <v>https://twitter.com/businessopb/status/1687549213029322752</v>
      </c>
      <c r="AF983" s="90">
        <v>45142.820138888892</v>
      </c>
      <c r="AG983" s="99">
        <v>45142</v>
      </c>
      <c r="AH983" s="93" t="s">
        <v>12434</v>
      </c>
      <c r="AI983" s="87"/>
      <c r="AJ983" s="87"/>
      <c r="AK983" s="87"/>
      <c r="AL983" s="87"/>
      <c r="AM983" s="87"/>
      <c r="AN983" s="87"/>
      <c r="AO983" s="87"/>
      <c r="AP983" s="87"/>
      <c r="AQ983" s="87"/>
      <c r="AR983" s="87"/>
      <c r="AS983" s="87"/>
      <c r="AT983" s="87"/>
      <c r="AU983" s="87"/>
      <c r="AV983" s="92" t="str">
        <f>HYPERLINK("https://pbs.twimg.com/profile_images/1637240469905199104/IKcG3ADl_normal.jpg")</f>
        <v>https://pbs.twimg.com/profile_images/1637240469905199104/IKcG3ADl_normal.jpg</v>
      </c>
      <c r="AW983" s="93" t="s">
        <v>19220</v>
      </c>
      <c r="AX983" s="93" t="s">
        <v>19220</v>
      </c>
      <c r="AY983" s="87"/>
      <c r="AZ983" s="93" t="s">
        <v>22668</v>
      </c>
      <c r="BA983" s="93" t="s">
        <v>22668</v>
      </c>
      <c r="BB983" s="93" t="s">
        <v>22668</v>
      </c>
      <c r="BC983" s="93" t="s">
        <v>19220</v>
      </c>
      <c r="BD983" s="93" t="s">
        <v>23003</v>
      </c>
      <c r="BE983" s="87"/>
      <c r="BF983" s="87"/>
      <c r="BG983" s="87"/>
      <c r="BH983" s="87"/>
      <c r="BI983" s="87"/>
    </row>
    <row r="984" spans="1:61" x14ac:dyDescent="0.25">
      <c r="A984" s="63" t="s">
        <v>593</v>
      </c>
      <c r="B984" s="63" t="s">
        <v>593</v>
      </c>
      <c r="C984" s="64"/>
      <c r="D984" s="65"/>
      <c r="E984" s="66"/>
      <c r="F984" s="67"/>
      <c r="G984" s="64"/>
      <c r="H984" s="68"/>
      <c r="I984" s="69"/>
      <c r="J984" s="69"/>
      <c r="K984" s="32"/>
      <c r="L984" s="76">
        <v>984</v>
      </c>
      <c r="M984" s="76"/>
      <c r="N984" s="71"/>
      <c r="O984" s="87" t="s">
        <v>179</v>
      </c>
      <c r="P984" s="90">
        <v>45132.258333333331</v>
      </c>
      <c r="Q984" s="87" t="s">
        <v>2794</v>
      </c>
      <c r="R984" s="87">
        <v>0</v>
      </c>
      <c r="S984" s="87">
        <v>0</v>
      </c>
      <c r="T984" s="87">
        <v>0</v>
      </c>
      <c r="U984" s="87">
        <v>0</v>
      </c>
      <c r="V984" s="87">
        <v>7</v>
      </c>
      <c r="W984" s="93" t="s">
        <v>5897</v>
      </c>
      <c r="X984" s="87"/>
      <c r="Y984" s="87"/>
      <c r="Z984" s="87"/>
      <c r="AA984" s="87"/>
      <c r="AB984" s="87"/>
      <c r="AC984" s="93" t="s">
        <v>11457</v>
      </c>
      <c r="AD984" s="87" t="s">
        <v>11519</v>
      </c>
      <c r="AE984" s="92" t="str">
        <f>HYPERLINK("https://twitter.com/businessopb/status/1683721743100420096")</f>
        <v>https://twitter.com/businessopb/status/1683721743100420096</v>
      </c>
      <c r="AF984" s="90">
        <v>45132.258333333331</v>
      </c>
      <c r="AG984" s="99">
        <v>45132</v>
      </c>
      <c r="AH984" s="93" t="s">
        <v>12435</v>
      </c>
      <c r="AI984" s="87"/>
      <c r="AJ984" s="87"/>
      <c r="AK984" s="87"/>
      <c r="AL984" s="87"/>
      <c r="AM984" s="87"/>
      <c r="AN984" s="87"/>
      <c r="AO984" s="87"/>
      <c r="AP984" s="87"/>
      <c r="AQ984" s="87"/>
      <c r="AR984" s="87"/>
      <c r="AS984" s="87"/>
      <c r="AT984" s="87"/>
      <c r="AU984" s="87"/>
      <c r="AV984" s="92" t="str">
        <f>HYPERLINK("https://pbs.twimg.com/profile_images/1637240469905199104/IKcG3ADl_normal.jpg")</f>
        <v>https://pbs.twimg.com/profile_images/1637240469905199104/IKcG3ADl_normal.jpg</v>
      </c>
      <c r="AW984" s="93" t="s">
        <v>19221</v>
      </c>
      <c r="AX984" s="93" t="s">
        <v>19221</v>
      </c>
      <c r="AY984" s="87"/>
      <c r="AZ984" s="93" t="s">
        <v>22668</v>
      </c>
      <c r="BA984" s="93" t="s">
        <v>22668</v>
      </c>
      <c r="BB984" s="93" t="s">
        <v>22668</v>
      </c>
      <c r="BC984" s="93" t="s">
        <v>19221</v>
      </c>
      <c r="BD984" s="93" t="s">
        <v>23003</v>
      </c>
      <c r="BE984" s="87"/>
      <c r="BF984" s="87"/>
      <c r="BG984" s="87"/>
      <c r="BH984" s="87"/>
      <c r="BI984" s="87"/>
    </row>
    <row r="985" spans="1:61" x14ac:dyDescent="0.25">
      <c r="A985" s="63" t="s">
        <v>593</v>
      </c>
      <c r="B985" s="63" t="s">
        <v>593</v>
      </c>
      <c r="C985" s="64"/>
      <c r="D985" s="65"/>
      <c r="E985" s="66"/>
      <c r="F985" s="67"/>
      <c r="G985" s="64"/>
      <c r="H985" s="68"/>
      <c r="I985" s="69"/>
      <c r="J985" s="69"/>
      <c r="K985" s="32"/>
      <c r="L985" s="76">
        <v>985</v>
      </c>
      <c r="M985" s="76"/>
      <c r="N985" s="71"/>
      <c r="O985" s="87" t="s">
        <v>179</v>
      </c>
      <c r="P985" s="90">
        <v>45152.572222222225</v>
      </c>
      <c r="Q985" s="87" t="s">
        <v>2795</v>
      </c>
      <c r="R985" s="87">
        <v>0</v>
      </c>
      <c r="S985" s="87">
        <v>0</v>
      </c>
      <c r="T985" s="87">
        <v>0</v>
      </c>
      <c r="U985" s="87">
        <v>0</v>
      </c>
      <c r="V985" s="87">
        <v>5</v>
      </c>
      <c r="W985" s="93" t="s">
        <v>6551</v>
      </c>
      <c r="X985" s="87"/>
      <c r="Y985" s="87"/>
      <c r="Z985" s="87"/>
      <c r="AA985" s="87"/>
      <c r="AB985" s="87"/>
      <c r="AC985" s="93" t="s">
        <v>11457</v>
      </c>
      <c r="AD985" s="87" t="s">
        <v>11519</v>
      </c>
      <c r="AE985" s="92" t="str">
        <f>HYPERLINK("https://twitter.com/businessopb/status/1691083250268020736")</f>
        <v>https://twitter.com/businessopb/status/1691083250268020736</v>
      </c>
      <c r="AF985" s="90">
        <v>45152.572222222225</v>
      </c>
      <c r="AG985" s="99">
        <v>45152</v>
      </c>
      <c r="AH985" s="93" t="s">
        <v>12436</v>
      </c>
      <c r="AI985" s="87"/>
      <c r="AJ985" s="87"/>
      <c r="AK985" s="87"/>
      <c r="AL985" s="87"/>
      <c r="AM985" s="87"/>
      <c r="AN985" s="87"/>
      <c r="AO985" s="87"/>
      <c r="AP985" s="87"/>
      <c r="AQ985" s="87"/>
      <c r="AR985" s="87"/>
      <c r="AS985" s="87"/>
      <c r="AT985" s="87"/>
      <c r="AU985" s="87"/>
      <c r="AV985" s="92" t="str">
        <f>HYPERLINK("https://pbs.twimg.com/profile_images/1637240469905199104/IKcG3ADl_normal.jpg")</f>
        <v>https://pbs.twimg.com/profile_images/1637240469905199104/IKcG3ADl_normal.jpg</v>
      </c>
      <c r="AW985" s="93" t="s">
        <v>19222</v>
      </c>
      <c r="AX985" s="93" t="s">
        <v>19222</v>
      </c>
      <c r="AY985" s="87"/>
      <c r="AZ985" s="93" t="s">
        <v>22668</v>
      </c>
      <c r="BA985" s="93" t="s">
        <v>22668</v>
      </c>
      <c r="BB985" s="93" t="s">
        <v>22668</v>
      </c>
      <c r="BC985" s="93" t="s">
        <v>19222</v>
      </c>
      <c r="BD985" s="93" t="s">
        <v>23003</v>
      </c>
      <c r="BE985" s="87"/>
      <c r="BF985" s="87"/>
      <c r="BG985" s="87"/>
      <c r="BH985" s="87"/>
      <c r="BI985" s="87"/>
    </row>
    <row r="986" spans="1:61" x14ac:dyDescent="0.25">
      <c r="A986" s="63" t="s">
        <v>593</v>
      </c>
      <c r="B986" s="63" t="s">
        <v>593</v>
      </c>
      <c r="C986" s="64"/>
      <c r="D986" s="65"/>
      <c r="E986" s="66"/>
      <c r="F986" s="67"/>
      <c r="G986" s="64"/>
      <c r="H986" s="68"/>
      <c r="I986" s="69"/>
      <c r="J986" s="69"/>
      <c r="K986" s="32"/>
      <c r="L986" s="76">
        <v>986</v>
      </c>
      <c r="M986" s="76"/>
      <c r="N986" s="71"/>
      <c r="O986" s="87" t="s">
        <v>179</v>
      </c>
      <c r="P986" s="90">
        <v>45140.277083333334</v>
      </c>
      <c r="Q986" s="87" t="s">
        <v>2796</v>
      </c>
      <c r="R986" s="87">
        <v>0</v>
      </c>
      <c r="S986" s="87">
        <v>0</v>
      </c>
      <c r="T986" s="87">
        <v>0</v>
      </c>
      <c r="U986" s="87">
        <v>0</v>
      </c>
      <c r="V986" s="87">
        <v>4</v>
      </c>
      <c r="W986" s="93" t="s">
        <v>5897</v>
      </c>
      <c r="X986" s="87"/>
      <c r="Y986" s="87"/>
      <c r="Z986" s="87"/>
      <c r="AA986" s="87"/>
      <c r="AB986" s="87"/>
      <c r="AC986" s="93" t="s">
        <v>11457</v>
      </c>
      <c r="AD986" s="87" t="s">
        <v>11519</v>
      </c>
      <c r="AE986" s="92" t="str">
        <f>HYPERLINK("https://twitter.com/businessopb/status/1686627640579375105")</f>
        <v>https://twitter.com/businessopb/status/1686627640579375105</v>
      </c>
      <c r="AF986" s="90">
        <v>45140.277083333334</v>
      </c>
      <c r="AG986" s="99">
        <v>45140</v>
      </c>
      <c r="AH986" s="93" t="s">
        <v>12437</v>
      </c>
      <c r="AI986" s="87"/>
      <c r="AJ986" s="87"/>
      <c r="AK986" s="87"/>
      <c r="AL986" s="87"/>
      <c r="AM986" s="87"/>
      <c r="AN986" s="87"/>
      <c r="AO986" s="87"/>
      <c r="AP986" s="87"/>
      <c r="AQ986" s="87"/>
      <c r="AR986" s="87"/>
      <c r="AS986" s="87"/>
      <c r="AT986" s="87"/>
      <c r="AU986" s="87"/>
      <c r="AV986" s="92" t="str">
        <f>HYPERLINK("https://pbs.twimg.com/profile_images/1637240469905199104/IKcG3ADl_normal.jpg")</f>
        <v>https://pbs.twimg.com/profile_images/1637240469905199104/IKcG3ADl_normal.jpg</v>
      </c>
      <c r="AW986" s="93" t="s">
        <v>19223</v>
      </c>
      <c r="AX986" s="93" t="s">
        <v>19223</v>
      </c>
      <c r="AY986" s="87"/>
      <c r="AZ986" s="93" t="s">
        <v>22668</v>
      </c>
      <c r="BA986" s="93" t="s">
        <v>22668</v>
      </c>
      <c r="BB986" s="93" t="s">
        <v>22668</v>
      </c>
      <c r="BC986" s="93" t="s">
        <v>19223</v>
      </c>
      <c r="BD986" s="93" t="s">
        <v>23003</v>
      </c>
      <c r="BE986" s="87"/>
      <c r="BF986" s="87"/>
      <c r="BG986" s="87"/>
      <c r="BH986" s="87"/>
      <c r="BI986" s="87"/>
    </row>
    <row r="987" spans="1:61" x14ac:dyDescent="0.25">
      <c r="A987" s="63" t="s">
        <v>593</v>
      </c>
      <c r="B987" s="63" t="s">
        <v>758</v>
      </c>
      <c r="C987" s="64"/>
      <c r="D987" s="65"/>
      <c r="E987" s="66"/>
      <c r="F987" s="67"/>
      <c r="G987" s="64"/>
      <c r="H987" s="68"/>
      <c r="I987" s="69"/>
      <c r="J987" s="69"/>
      <c r="K987" s="32"/>
      <c r="L987" s="76">
        <v>987</v>
      </c>
      <c r="M987" s="76"/>
      <c r="N987" s="71"/>
      <c r="O987" s="87" t="s">
        <v>1842</v>
      </c>
      <c r="P987" s="90">
        <v>45147.544189814813</v>
      </c>
      <c r="Q987" s="87" t="s">
        <v>2797</v>
      </c>
      <c r="R987" s="87">
        <v>0</v>
      </c>
      <c r="S987" s="87">
        <v>0</v>
      </c>
      <c r="T987" s="87">
        <v>0</v>
      </c>
      <c r="U987" s="87">
        <v>0</v>
      </c>
      <c r="V987" s="87">
        <v>10</v>
      </c>
      <c r="W987" s="93" t="s">
        <v>6552</v>
      </c>
      <c r="X987" s="87"/>
      <c r="Y987" s="87"/>
      <c r="Z987" s="87"/>
      <c r="AA987" s="87"/>
      <c r="AB987" s="87"/>
      <c r="AC987" s="93" t="s">
        <v>11457</v>
      </c>
      <c r="AD987" s="87" t="s">
        <v>11519</v>
      </c>
      <c r="AE987" s="92" t="str">
        <f>HYPERLINK("https://twitter.com/businessopb/status/1689261151085858816")</f>
        <v>https://twitter.com/businessopb/status/1689261151085858816</v>
      </c>
      <c r="AF987" s="90">
        <v>45147.544189814813</v>
      </c>
      <c r="AG987" s="99">
        <v>45147</v>
      </c>
      <c r="AH987" s="93" t="s">
        <v>12438</v>
      </c>
      <c r="AI987" s="87"/>
      <c r="AJ987" s="87"/>
      <c r="AK987" s="87"/>
      <c r="AL987" s="87"/>
      <c r="AM987" s="87"/>
      <c r="AN987" s="87"/>
      <c r="AO987" s="87"/>
      <c r="AP987" s="87"/>
      <c r="AQ987" s="87"/>
      <c r="AR987" s="87"/>
      <c r="AS987" s="87"/>
      <c r="AT987" s="87"/>
      <c r="AU987" s="87"/>
      <c r="AV987" s="92" t="str">
        <f>HYPERLINK("https://pbs.twimg.com/profile_images/1637240469905199104/IKcG3ADl_normal.jpg")</f>
        <v>https://pbs.twimg.com/profile_images/1637240469905199104/IKcG3ADl_normal.jpg</v>
      </c>
      <c r="AW987" s="93" t="s">
        <v>19224</v>
      </c>
      <c r="AX987" s="93" t="s">
        <v>19224</v>
      </c>
      <c r="AY987" s="87"/>
      <c r="AZ987" s="93" t="s">
        <v>22668</v>
      </c>
      <c r="BA987" s="93" t="s">
        <v>19786</v>
      </c>
      <c r="BB987" s="93" t="s">
        <v>22668</v>
      </c>
      <c r="BC987" s="93" t="s">
        <v>19786</v>
      </c>
      <c r="BD987" s="93" t="s">
        <v>23003</v>
      </c>
      <c r="BE987" s="87"/>
      <c r="BF987" s="87"/>
      <c r="BG987" s="87"/>
      <c r="BH987" s="87"/>
      <c r="BI987" s="87"/>
    </row>
    <row r="988" spans="1:61" x14ac:dyDescent="0.25">
      <c r="A988" s="63" t="s">
        <v>593</v>
      </c>
      <c r="B988" s="63" t="s">
        <v>593</v>
      </c>
      <c r="C988" s="64"/>
      <c r="D988" s="65"/>
      <c r="E988" s="66"/>
      <c r="F988" s="67"/>
      <c r="G988" s="64"/>
      <c r="H988" s="68"/>
      <c r="I988" s="69"/>
      <c r="J988" s="69"/>
      <c r="K988" s="32"/>
      <c r="L988" s="76">
        <v>988</v>
      </c>
      <c r="M988" s="76"/>
      <c r="N988" s="71"/>
      <c r="O988" s="87" t="s">
        <v>179</v>
      </c>
      <c r="P988" s="90">
        <v>45164.374305555553</v>
      </c>
      <c r="Q988" s="87" t="s">
        <v>2798</v>
      </c>
      <c r="R988" s="87">
        <v>0</v>
      </c>
      <c r="S988" s="87">
        <v>0</v>
      </c>
      <c r="T988" s="87">
        <v>0</v>
      </c>
      <c r="U988" s="87">
        <v>0</v>
      </c>
      <c r="V988" s="87">
        <v>4</v>
      </c>
      <c r="W988" s="93" t="s">
        <v>6553</v>
      </c>
      <c r="X988" s="87"/>
      <c r="Y988" s="87"/>
      <c r="Z988" s="87"/>
      <c r="AA988" s="87"/>
      <c r="AB988" s="87"/>
      <c r="AC988" s="93" t="s">
        <v>11457</v>
      </c>
      <c r="AD988" s="87" t="s">
        <v>11519</v>
      </c>
      <c r="AE988" s="92" t="str">
        <f>HYPERLINK("https://twitter.com/businessopb/status/1695360181582930004")</f>
        <v>https://twitter.com/businessopb/status/1695360181582930004</v>
      </c>
      <c r="AF988" s="90">
        <v>45164.374305555553</v>
      </c>
      <c r="AG988" s="99">
        <v>45164</v>
      </c>
      <c r="AH988" s="93" t="s">
        <v>12439</v>
      </c>
      <c r="AI988" s="87"/>
      <c r="AJ988" s="87"/>
      <c r="AK988" s="87"/>
      <c r="AL988" s="87"/>
      <c r="AM988" s="87"/>
      <c r="AN988" s="87"/>
      <c r="AO988" s="87"/>
      <c r="AP988" s="87"/>
      <c r="AQ988" s="87"/>
      <c r="AR988" s="87"/>
      <c r="AS988" s="87"/>
      <c r="AT988" s="87"/>
      <c r="AU988" s="87"/>
      <c r="AV988" s="92" t="str">
        <f>HYPERLINK("https://pbs.twimg.com/profile_images/1637240469905199104/IKcG3ADl_normal.jpg")</f>
        <v>https://pbs.twimg.com/profile_images/1637240469905199104/IKcG3ADl_normal.jpg</v>
      </c>
      <c r="AW988" s="93" t="s">
        <v>19225</v>
      </c>
      <c r="AX988" s="93" t="s">
        <v>19225</v>
      </c>
      <c r="AY988" s="87"/>
      <c r="AZ988" s="93" t="s">
        <v>22668</v>
      </c>
      <c r="BA988" s="93" t="s">
        <v>22668</v>
      </c>
      <c r="BB988" s="93" t="s">
        <v>22668</v>
      </c>
      <c r="BC988" s="93" t="s">
        <v>19225</v>
      </c>
      <c r="BD988" s="93" t="s">
        <v>23003</v>
      </c>
      <c r="BE988" s="87"/>
      <c r="BF988" s="87"/>
      <c r="BG988" s="87"/>
      <c r="BH988" s="87"/>
      <c r="BI988" s="87"/>
    </row>
    <row r="989" spans="1:61" x14ac:dyDescent="0.25">
      <c r="A989" s="63" t="s">
        <v>593</v>
      </c>
      <c r="B989" s="63" t="s">
        <v>593</v>
      </c>
      <c r="C989" s="64"/>
      <c r="D989" s="65"/>
      <c r="E989" s="66"/>
      <c r="F989" s="67"/>
      <c r="G989" s="64"/>
      <c r="H989" s="68"/>
      <c r="I989" s="69"/>
      <c r="J989" s="69"/>
      <c r="K989" s="32"/>
      <c r="L989" s="76">
        <v>989</v>
      </c>
      <c r="M989" s="76"/>
      <c r="N989" s="71"/>
      <c r="O989" s="87" t="s">
        <v>179</v>
      </c>
      <c r="P989" s="90">
        <v>45151.552777777775</v>
      </c>
      <c r="Q989" s="87" t="s">
        <v>2799</v>
      </c>
      <c r="R989" s="87">
        <v>0</v>
      </c>
      <c r="S989" s="87">
        <v>1</v>
      </c>
      <c r="T989" s="87">
        <v>0</v>
      </c>
      <c r="U989" s="87">
        <v>0</v>
      </c>
      <c r="V989" s="87">
        <v>4</v>
      </c>
      <c r="W989" s="93" t="s">
        <v>1737</v>
      </c>
      <c r="X989" s="87"/>
      <c r="Y989" s="87"/>
      <c r="Z989" s="87"/>
      <c r="AA989" s="87"/>
      <c r="AB989" s="87"/>
      <c r="AC989" s="93" t="s">
        <v>11457</v>
      </c>
      <c r="AD989" s="87" t="s">
        <v>11519</v>
      </c>
      <c r="AE989" s="92" t="str">
        <f>HYPERLINK("https://twitter.com/businessopb/status/1690713815615508481")</f>
        <v>https://twitter.com/businessopb/status/1690713815615508481</v>
      </c>
      <c r="AF989" s="90">
        <v>45151.552777777775</v>
      </c>
      <c r="AG989" s="99">
        <v>45151</v>
      </c>
      <c r="AH989" s="93" t="s">
        <v>12440</v>
      </c>
      <c r="AI989" s="87"/>
      <c r="AJ989" s="87"/>
      <c r="AK989" s="87"/>
      <c r="AL989" s="87"/>
      <c r="AM989" s="87"/>
      <c r="AN989" s="87"/>
      <c r="AO989" s="87"/>
      <c r="AP989" s="87"/>
      <c r="AQ989" s="87"/>
      <c r="AR989" s="87"/>
      <c r="AS989" s="87"/>
      <c r="AT989" s="87"/>
      <c r="AU989" s="87"/>
      <c r="AV989" s="92" t="str">
        <f>HYPERLINK("https://pbs.twimg.com/profile_images/1637240469905199104/IKcG3ADl_normal.jpg")</f>
        <v>https://pbs.twimg.com/profile_images/1637240469905199104/IKcG3ADl_normal.jpg</v>
      </c>
      <c r="AW989" s="93" t="s">
        <v>19226</v>
      </c>
      <c r="AX989" s="93" t="s">
        <v>19226</v>
      </c>
      <c r="AY989" s="87"/>
      <c r="AZ989" s="93" t="s">
        <v>22668</v>
      </c>
      <c r="BA989" s="93" t="s">
        <v>22668</v>
      </c>
      <c r="BB989" s="93" t="s">
        <v>22668</v>
      </c>
      <c r="BC989" s="93" t="s">
        <v>19226</v>
      </c>
      <c r="BD989" s="93" t="s">
        <v>23003</v>
      </c>
      <c r="BE989" s="87"/>
      <c r="BF989" s="87"/>
      <c r="BG989" s="87"/>
      <c r="BH989" s="87"/>
      <c r="BI989" s="87"/>
    </row>
    <row r="990" spans="1:61" x14ac:dyDescent="0.25">
      <c r="A990" s="63" t="s">
        <v>593</v>
      </c>
      <c r="B990" s="63" t="s">
        <v>593</v>
      </c>
      <c r="C990" s="64"/>
      <c r="D990" s="65"/>
      <c r="E990" s="66"/>
      <c r="F990" s="67"/>
      <c r="G990" s="64"/>
      <c r="H990" s="68"/>
      <c r="I990" s="69"/>
      <c r="J990" s="69"/>
      <c r="K990" s="32"/>
      <c r="L990" s="76">
        <v>990</v>
      </c>
      <c r="M990" s="76"/>
      <c r="N990" s="71"/>
      <c r="O990" s="87" t="s">
        <v>179</v>
      </c>
      <c r="P990" s="90">
        <v>45150.299305555556</v>
      </c>
      <c r="Q990" s="87" t="s">
        <v>2800</v>
      </c>
      <c r="R990" s="87">
        <v>0</v>
      </c>
      <c r="S990" s="87">
        <v>0</v>
      </c>
      <c r="T990" s="87">
        <v>0</v>
      </c>
      <c r="U990" s="87">
        <v>0</v>
      </c>
      <c r="V990" s="87">
        <v>4</v>
      </c>
      <c r="W990" s="93" t="s">
        <v>6554</v>
      </c>
      <c r="X990" s="87"/>
      <c r="Y990" s="87"/>
      <c r="Z990" s="87"/>
      <c r="AA990" s="87"/>
      <c r="AB990" s="87"/>
      <c r="AC990" s="93" t="s">
        <v>11457</v>
      </c>
      <c r="AD990" s="87" t="s">
        <v>11519</v>
      </c>
      <c r="AE990" s="92" t="str">
        <f>HYPERLINK("https://twitter.com/businessopb/status/1690259572366233600")</f>
        <v>https://twitter.com/businessopb/status/1690259572366233600</v>
      </c>
      <c r="AF990" s="90">
        <v>45150.299305555556</v>
      </c>
      <c r="AG990" s="99">
        <v>45150</v>
      </c>
      <c r="AH990" s="93" t="s">
        <v>12441</v>
      </c>
      <c r="AI990" s="87"/>
      <c r="AJ990" s="87"/>
      <c r="AK990" s="87"/>
      <c r="AL990" s="87"/>
      <c r="AM990" s="87"/>
      <c r="AN990" s="87"/>
      <c r="AO990" s="87"/>
      <c r="AP990" s="87"/>
      <c r="AQ990" s="87"/>
      <c r="AR990" s="87"/>
      <c r="AS990" s="87"/>
      <c r="AT990" s="87"/>
      <c r="AU990" s="87"/>
      <c r="AV990" s="92" t="str">
        <f>HYPERLINK("https://pbs.twimg.com/profile_images/1637240469905199104/IKcG3ADl_normal.jpg")</f>
        <v>https://pbs.twimg.com/profile_images/1637240469905199104/IKcG3ADl_normal.jpg</v>
      </c>
      <c r="AW990" s="93" t="s">
        <v>19227</v>
      </c>
      <c r="AX990" s="93" t="s">
        <v>19227</v>
      </c>
      <c r="AY990" s="87"/>
      <c r="AZ990" s="93" t="s">
        <v>22668</v>
      </c>
      <c r="BA990" s="93" t="s">
        <v>22668</v>
      </c>
      <c r="BB990" s="93" t="s">
        <v>22668</v>
      </c>
      <c r="BC990" s="93" t="s">
        <v>19227</v>
      </c>
      <c r="BD990" s="93" t="s">
        <v>23003</v>
      </c>
      <c r="BE990" s="87"/>
      <c r="BF990" s="87"/>
      <c r="BG990" s="87"/>
      <c r="BH990" s="87"/>
      <c r="BI990" s="87"/>
    </row>
    <row r="991" spans="1:61" x14ac:dyDescent="0.25">
      <c r="A991" s="63" t="s">
        <v>593</v>
      </c>
      <c r="B991" s="63" t="s">
        <v>593</v>
      </c>
      <c r="C991" s="64"/>
      <c r="D991" s="65"/>
      <c r="E991" s="66"/>
      <c r="F991" s="67"/>
      <c r="G991" s="64"/>
      <c r="H991" s="68"/>
      <c r="I991" s="69"/>
      <c r="J991" s="69"/>
      <c r="K991" s="32"/>
      <c r="L991" s="76">
        <v>991</v>
      </c>
      <c r="M991" s="76"/>
      <c r="N991" s="71"/>
      <c r="O991" s="87" t="s">
        <v>179</v>
      </c>
      <c r="P991" s="90">
        <v>45138.693055555559</v>
      </c>
      <c r="Q991" s="87" t="s">
        <v>2801</v>
      </c>
      <c r="R991" s="87">
        <v>0</v>
      </c>
      <c r="S991" s="87">
        <v>0</v>
      </c>
      <c r="T991" s="87">
        <v>0</v>
      </c>
      <c r="U991" s="87">
        <v>0</v>
      </c>
      <c r="V991" s="87">
        <v>5</v>
      </c>
      <c r="W991" s="93" t="s">
        <v>5897</v>
      </c>
      <c r="X991" s="87"/>
      <c r="Y991" s="87"/>
      <c r="Z991" s="87"/>
      <c r="AA991" s="87"/>
      <c r="AB991" s="87"/>
      <c r="AC991" s="93" t="s">
        <v>11457</v>
      </c>
      <c r="AD991" s="87" t="s">
        <v>11519</v>
      </c>
      <c r="AE991" s="92" t="str">
        <f>HYPERLINK("https://twitter.com/businessopb/status/1686053608125513728")</f>
        <v>https://twitter.com/businessopb/status/1686053608125513728</v>
      </c>
      <c r="AF991" s="90">
        <v>45138.693055555559</v>
      </c>
      <c r="AG991" s="99">
        <v>45138</v>
      </c>
      <c r="AH991" s="93" t="s">
        <v>12442</v>
      </c>
      <c r="AI991" s="87"/>
      <c r="AJ991" s="87"/>
      <c r="AK991" s="87"/>
      <c r="AL991" s="87"/>
      <c r="AM991" s="87"/>
      <c r="AN991" s="87"/>
      <c r="AO991" s="87"/>
      <c r="AP991" s="87"/>
      <c r="AQ991" s="87"/>
      <c r="AR991" s="87"/>
      <c r="AS991" s="87"/>
      <c r="AT991" s="87"/>
      <c r="AU991" s="87"/>
      <c r="AV991" s="92" t="str">
        <f>HYPERLINK("https://pbs.twimg.com/profile_images/1637240469905199104/IKcG3ADl_normal.jpg")</f>
        <v>https://pbs.twimg.com/profile_images/1637240469905199104/IKcG3ADl_normal.jpg</v>
      </c>
      <c r="AW991" s="93" t="s">
        <v>19228</v>
      </c>
      <c r="AX991" s="93" t="s">
        <v>19228</v>
      </c>
      <c r="AY991" s="87"/>
      <c r="AZ991" s="93" t="s">
        <v>22668</v>
      </c>
      <c r="BA991" s="93" t="s">
        <v>22668</v>
      </c>
      <c r="BB991" s="93" t="s">
        <v>22668</v>
      </c>
      <c r="BC991" s="93" t="s">
        <v>19228</v>
      </c>
      <c r="BD991" s="93" t="s">
        <v>23003</v>
      </c>
      <c r="BE991" s="87"/>
      <c r="BF991" s="87"/>
      <c r="BG991" s="87"/>
      <c r="BH991" s="87"/>
      <c r="BI991" s="87"/>
    </row>
    <row r="992" spans="1:61" x14ac:dyDescent="0.25">
      <c r="A992" s="63" t="s">
        <v>593</v>
      </c>
      <c r="B992" s="63" t="s">
        <v>593</v>
      </c>
      <c r="C992" s="64"/>
      <c r="D992" s="65"/>
      <c r="E992" s="66"/>
      <c r="F992" s="67"/>
      <c r="G992" s="64"/>
      <c r="H992" s="68"/>
      <c r="I992" s="69"/>
      <c r="J992" s="69"/>
      <c r="K992" s="32"/>
      <c r="L992" s="76">
        <v>992</v>
      </c>
      <c r="M992" s="76"/>
      <c r="N992" s="71"/>
      <c r="O992" s="87" t="s">
        <v>179</v>
      </c>
      <c r="P992" s="90">
        <v>45124.616828703707</v>
      </c>
      <c r="Q992" s="87" t="s">
        <v>2802</v>
      </c>
      <c r="R992" s="87">
        <v>0</v>
      </c>
      <c r="S992" s="87">
        <v>0</v>
      </c>
      <c r="T992" s="87">
        <v>0</v>
      </c>
      <c r="U992" s="87">
        <v>0</v>
      </c>
      <c r="V992" s="87">
        <v>22</v>
      </c>
      <c r="W992" s="93" t="s">
        <v>6555</v>
      </c>
      <c r="X992" s="87"/>
      <c r="Y992" s="87"/>
      <c r="Z992" s="87"/>
      <c r="AA992" s="87"/>
      <c r="AB992" s="87"/>
      <c r="AC992" s="93" t="s">
        <v>11457</v>
      </c>
      <c r="AD992" s="87" t="s">
        <v>11519</v>
      </c>
      <c r="AE992" s="92" t="str">
        <f>HYPERLINK("https://twitter.com/businessopb/status/1680952557038870529")</f>
        <v>https://twitter.com/businessopb/status/1680952557038870529</v>
      </c>
      <c r="AF992" s="90">
        <v>45124.616828703707</v>
      </c>
      <c r="AG992" s="99">
        <v>45124</v>
      </c>
      <c r="AH992" s="93" t="s">
        <v>12443</v>
      </c>
      <c r="AI992" s="87"/>
      <c r="AJ992" s="87"/>
      <c r="AK992" s="87"/>
      <c r="AL992" s="87"/>
      <c r="AM992" s="87"/>
      <c r="AN992" s="87"/>
      <c r="AO992" s="87"/>
      <c r="AP992" s="87"/>
      <c r="AQ992" s="87"/>
      <c r="AR992" s="87"/>
      <c r="AS992" s="87"/>
      <c r="AT992" s="87"/>
      <c r="AU992" s="87"/>
      <c r="AV992" s="92" t="str">
        <f>HYPERLINK("https://pbs.twimg.com/profile_images/1637240469905199104/IKcG3ADl_normal.jpg")</f>
        <v>https://pbs.twimg.com/profile_images/1637240469905199104/IKcG3ADl_normal.jpg</v>
      </c>
      <c r="AW992" s="93" t="s">
        <v>19229</v>
      </c>
      <c r="AX992" s="93" t="s">
        <v>19229</v>
      </c>
      <c r="AY992" s="87"/>
      <c r="AZ992" s="93" t="s">
        <v>22668</v>
      </c>
      <c r="BA992" s="93" t="s">
        <v>22668</v>
      </c>
      <c r="BB992" s="93" t="s">
        <v>22668</v>
      </c>
      <c r="BC992" s="93" t="s">
        <v>19229</v>
      </c>
      <c r="BD992" s="93" t="s">
        <v>23003</v>
      </c>
      <c r="BE992" s="87"/>
      <c r="BF992" s="87"/>
      <c r="BG992" s="87"/>
      <c r="BH992" s="87"/>
      <c r="BI992" s="87"/>
    </row>
    <row r="993" spans="1:61" x14ac:dyDescent="0.25">
      <c r="A993" s="63" t="s">
        <v>593</v>
      </c>
      <c r="B993" s="63" t="s">
        <v>593</v>
      </c>
      <c r="C993" s="64"/>
      <c r="D993" s="65"/>
      <c r="E993" s="66"/>
      <c r="F993" s="67"/>
      <c r="G993" s="64"/>
      <c r="H993" s="68"/>
      <c r="I993" s="69"/>
      <c r="J993" s="69"/>
      <c r="K993" s="32"/>
      <c r="L993" s="76">
        <v>993</v>
      </c>
      <c r="M993" s="76"/>
      <c r="N993" s="71"/>
      <c r="O993" s="87" t="s">
        <v>179</v>
      </c>
      <c r="P993" s="90">
        <v>45124.518750000003</v>
      </c>
      <c r="Q993" s="87" t="s">
        <v>2803</v>
      </c>
      <c r="R993" s="87">
        <v>0</v>
      </c>
      <c r="S993" s="87">
        <v>0</v>
      </c>
      <c r="T993" s="87">
        <v>0</v>
      </c>
      <c r="U993" s="87">
        <v>0</v>
      </c>
      <c r="V993" s="87">
        <v>53</v>
      </c>
      <c r="W993" s="93" t="s">
        <v>6556</v>
      </c>
      <c r="X993" s="92" t="str">
        <f>HYPERLINK("http://onepersonbusiness.pt/landing")</f>
        <v>http://onepersonbusiness.pt/landing</v>
      </c>
      <c r="Y993" s="87" t="s">
        <v>8437</v>
      </c>
      <c r="Z993" s="87"/>
      <c r="AA993" s="87" t="s">
        <v>9217</v>
      </c>
      <c r="AB993" s="87" t="s">
        <v>11448</v>
      </c>
      <c r="AC993" s="93" t="s">
        <v>11457</v>
      </c>
      <c r="AD993" s="87" t="s">
        <v>11519</v>
      </c>
      <c r="AE993" s="92" t="str">
        <f>HYPERLINK("https://twitter.com/businessopb/status/1680917011780493312")</f>
        <v>https://twitter.com/businessopb/status/1680917011780493312</v>
      </c>
      <c r="AF993" s="90">
        <v>45124.518750000003</v>
      </c>
      <c r="AG993" s="99">
        <v>45124</v>
      </c>
      <c r="AH993" s="93" t="s">
        <v>12444</v>
      </c>
      <c r="AI993" s="87" t="b">
        <v>0</v>
      </c>
      <c r="AJ993" s="87"/>
      <c r="AK993" s="87"/>
      <c r="AL993" s="87"/>
      <c r="AM993" s="87"/>
      <c r="AN993" s="87"/>
      <c r="AO993" s="87"/>
      <c r="AP993" s="87"/>
      <c r="AQ993" s="87" t="s">
        <v>16030</v>
      </c>
      <c r="AR993" s="87"/>
      <c r="AS993" s="87"/>
      <c r="AT993" s="87"/>
      <c r="AU993" s="87"/>
      <c r="AV993" s="92" t="str">
        <f>HYPERLINK("https://pbs.twimg.com/media/F1JX_AAX0AEugeX.jpg")</f>
        <v>https://pbs.twimg.com/media/F1JX_AAX0AEugeX.jpg</v>
      </c>
      <c r="AW993" s="93" t="s">
        <v>19230</v>
      </c>
      <c r="AX993" s="93" t="s">
        <v>19230</v>
      </c>
      <c r="AY993" s="87"/>
      <c r="AZ993" s="93" t="s">
        <v>22668</v>
      </c>
      <c r="BA993" s="93" t="s">
        <v>22668</v>
      </c>
      <c r="BB993" s="93" t="s">
        <v>22668</v>
      </c>
      <c r="BC993" s="93" t="s">
        <v>19230</v>
      </c>
      <c r="BD993" s="93" t="s">
        <v>23003</v>
      </c>
      <c r="BE993" s="87"/>
      <c r="BF993" s="87"/>
      <c r="BG993" s="87"/>
      <c r="BH993" s="87"/>
      <c r="BI993" s="87"/>
    </row>
    <row r="994" spans="1:61" x14ac:dyDescent="0.25">
      <c r="A994" s="63" t="s">
        <v>593</v>
      </c>
      <c r="B994" s="63" t="s">
        <v>593</v>
      </c>
      <c r="C994" s="64"/>
      <c r="D994" s="65"/>
      <c r="E994" s="66"/>
      <c r="F994" s="67"/>
      <c r="G994" s="64"/>
      <c r="H994" s="68"/>
      <c r="I994" s="69"/>
      <c r="J994" s="69"/>
      <c r="K994" s="32"/>
      <c r="L994" s="76">
        <v>994</v>
      </c>
      <c r="M994" s="76"/>
      <c r="N994" s="71"/>
      <c r="O994" s="87" t="s">
        <v>179</v>
      </c>
      <c r="P994" s="90">
        <v>45123.363171296296</v>
      </c>
      <c r="Q994" s="87" t="s">
        <v>2804</v>
      </c>
      <c r="R994" s="87">
        <v>0</v>
      </c>
      <c r="S994" s="87">
        <v>0</v>
      </c>
      <c r="T994" s="87">
        <v>1</v>
      </c>
      <c r="U994" s="87">
        <v>0</v>
      </c>
      <c r="V994" s="87">
        <v>23</v>
      </c>
      <c r="W994" s="93" t="s">
        <v>6557</v>
      </c>
      <c r="X994" s="87"/>
      <c r="Y994" s="87"/>
      <c r="Z994" s="87"/>
      <c r="AA994" s="87"/>
      <c r="AB994" s="87"/>
      <c r="AC994" s="93" t="s">
        <v>11457</v>
      </c>
      <c r="AD994" s="87" t="s">
        <v>11519</v>
      </c>
      <c r="AE994" s="92" t="str">
        <f>HYPERLINK("https://twitter.com/businessopb/status/1680498244734926849")</f>
        <v>https://twitter.com/businessopb/status/1680498244734926849</v>
      </c>
      <c r="AF994" s="90">
        <v>45123.363171296296</v>
      </c>
      <c r="AG994" s="99">
        <v>45123</v>
      </c>
      <c r="AH994" s="93" t="s">
        <v>12445</v>
      </c>
      <c r="AI994" s="87"/>
      <c r="AJ994" s="87"/>
      <c r="AK994" s="87"/>
      <c r="AL994" s="87"/>
      <c r="AM994" s="87"/>
      <c r="AN994" s="87"/>
      <c r="AO994" s="87"/>
      <c r="AP994" s="87"/>
      <c r="AQ994" s="87"/>
      <c r="AR994" s="87"/>
      <c r="AS994" s="87"/>
      <c r="AT994" s="87"/>
      <c r="AU994" s="87"/>
      <c r="AV994" s="92" t="str">
        <f>HYPERLINK("https://pbs.twimg.com/profile_images/1637240469905199104/IKcG3ADl_normal.jpg")</f>
        <v>https://pbs.twimg.com/profile_images/1637240469905199104/IKcG3ADl_normal.jpg</v>
      </c>
      <c r="AW994" s="93" t="s">
        <v>19231</v>
      </c>
      <c r="AX994" s="93" t="s">
        <v>19231</v>
      </c>
      <c r="AY994" s="87"/>
      <c r="AZ994" s="93" t="s">
        <v>22668</v>
      </c>
      <c r="BA994" s="93" t="s">
        <v>22668</v>
      </c>
      <c r="BB994" s="93" t="s">
        <v>22668</v>
      </c>
      <c r="BC994" s="93" t="s">
        <v>19231</v>
      </c>
      <c r="BD994" s="93" t="s">
        <v>23003</v>
      </c>
      <c r="BE994" s="87"/>
      <c r="BF994" s="87"/>
      <c r="BG994" s="87"/>
      <c r="BH994" s="87"/>
      <c r="BI994" s="87"/>
    </row>
    <row r="995" spans="1:61" x14ac:dyDescent="0.25">
      <c r="A995" s="63" t="s">
        <v>593</v>
      </c>
      <c r="B995" s="63" t="s">
        <v>593</v>
      </c>
      <c r="C995" s="64"/>
      <c r="D995" s="65"/>
      <c r="E995" s="66"/>
      <c r="F995" s="67"/>
      <c r="G995" s="64"/>
      <c r="H995" s="68"/>
      <c r="I995" s="69"/>
      <c r="J995" s="69"/>
      <c r="K995" s="32"/>
      <c r="L995" s="76">
        <v>995</v>
      </c>
      <c r="M995" s="76"/>
      <c r="N995" s="71"/>
      <c r="O995" s="87" t="s">
        <v>179</v>
      </c>
      <c r="P995" s="90">
        <v>45168.709027777775</v>
      </c>
      <c r="Q995" s="87" t="s">
        <v>2805</v>
      </c>
      <c r="R995" s="87">
        <v>0</v>
      </c>
      <c r="S995" s="87">
        <v>0</v>
      </c>
      <c r="T995" s="87">
        <v>0</v>
      </c>
      <c r="U995" s="87">
        <v>0</v>
      </c>
      <c r="V995" s="87">
        <v>6</v>
      </c>
      <c r="W995" s="93" t="s">
        <v>6553</v>
      </c>
      <c r="X995" s="87"/>
      <c r="Y995" s="87"/>
      <c r="Z995" s="87"/>
      <c r="AA995" s="87"/>
      <c r="AB995" s="87"/>
      <c r="AC995" s="93" t="s">
        <v>11457</v>
      </c>
      <c r="AD995" s="87" t="s">
        <v>11519</v>
      </c>
      <c r="AE995" s="92" t="str">
        <f>HYPERLINK("https://twitter.com/businessopb/status/1696931032526946444")</f>
        <v>https://twitter.com/businessopb/status/1696931032526946444</v>
      </c>
      <c r="AF995" s="90">
        <v>45168.709027777775</v>
      </c>
      <c r="AG995" s="99">
        <v>45168</v>
      </c>
      <c r="AH995" s="93" t="s">
        <v>12324</v>
      </c>
      <c r="AI995" s="87"/>
      <c r="AJ995" s="87"/>
      <c r="AK995" s="87"/>
      <c r="AL995" s="87"/>
      <c r="AM995" s="87"/>
      <c r="AN995" s="87"/>
      <c r="AO995" s="87"/>
      <c r="AP995" s="87"/>
      <c r="AQ995" s="87"/>
      <c r="AR995" s="87"/>
      <c r="AS995" s="87"/>
      <c r="AT995" s="87"/>
      <c r="AU995" s="87"/>
      <c r="AV995" s="92" t="str">
        <f>HYPERLINK("https://pbs.twimg.com/profile_images/1637240469905199104/IKcG3ADl_normal.jpg")</f>
        <v>https://pbs.twimg.com/profile_images/1637240469905199104/IKcG3ADl_normal.jpg</v>
      </c>
      <c r="AW995" s="93" t="s">
        <v>19232</v>
      </c>
      <c r="AX995" s="93" t="s">
        <v>19232</v>
      </c>
      <c r="AY995" s="87"/>
      <c r="AZ995" s="93" t="s">
        <v>22668</v>
      </c>
      <c r="BA995" s="93" t="s">
        <v>22668</v>
      </c>
      <c r="BB995" s="93" t="s">
        <v>22668</v>
      </c>
      <c r="BC995" s="93" t="s">
        <v>19232</v>
      </c>
      <c r="BD995" s="93" t="s">
        <v>23003</v>
      </c>
      <c r="BE995" s="87"/>
      <c r="BF995" s="87"/>
      <c r="BG995" s="87"/>
      <c r="BH995" s="87"/>
      <c r="BI995" s="87"/>
    </row>
    <row r="996" spans="1:61" x14ac:dyDescent="0.25">
      <c r="A996" s="63" t="s">
        <v>593</v>
      </c>
      <c r="B996" s="63" t="s">
        <v>593</v>
      </c>
      <c r="C996" s="64"/>
      <c r="D996" s="65"/>
      <c r="E996" s="66"/>
      <c r="F996" s="67"/>
      <c r="G996" s="64"/>
      <c r="H996" s="68"/>
      <c r="I996" s="69"/>
      <c r="J996" s="69"/>
      <c r="K996" s="32"/>
      <c r="L996" s="76">
        <v>996</v>
      </c>
      <c r="M996" s="76"/>
      <c r="N996" s="71"/>
      <c r="O996" s="87" t="s">
        <v>179</v>
      </c>
      <c r="P996" s="90">
        <v>45154.405555555553</v>
      </c>
      <c r="Q996" s="87" t="s">
        <v>2806</v>
      </c>
      <c r="R996" s="87">
        <v>0</v>
      </c>
      <c r="S996" s="87">
        <v>0</v>
      </c>
      <c r="T996" s="87">
        <v>0</v>
      </c>
      <c r="U996" s="87">
        <v>0</v>
      </c>
      <c r="V996" s="87">
        <v>5</v>
      </c>
      <c r="W996" s="93" t="s">
        <v>6558</v>
      </c>
      <c r="X996" s="87"/>
      <c r="Y996" s="87"/>
      <c r="Z996" s="87"/>
      <c r="AA996" s="87"/>
      <c r="AB996" s="87"/>
      <c r="AC996" s="93" t="s">
        <v>11457</v>
      </c>
      <c r="AD996" s="87" t="s">
        <v>11519</v>
      </c>
      <c r="AE996" s="92" t="str">
        <f>HYPERLINK("https://twitter.com/businessopb/status/1691747627485012037")</f>
        <v>https://twitter.com/businessopb/status/1691747627485012037</v>
      </c>
      <c r="AF996" s="90">
        <v>45154.405555555553</v>
      </c>
      <c r="AG996" s="99">
        <v>45154</v>
      </c>
      <c r="AH996" s="93" t="s">
        <v>12446</v>
      </c>
      <c r="AI996" s="87"/>
      <c r="AJ996" s="87"/>
      <c r="AK996" s="87"/>
      <c r="AL996" s="87"/>
      <c r="AM996" s="87"/>
      <c r="AN996" s="87"/>
      <c r="AO996" s="87"/>
      <c r="AP996" s="87"/>
      <c r="AQ996" s="87"/>
      <c r="AR996" s="87"/>
      <c r="AS996" s="87"/>
      <c r="AT996" s="87"/>
      <c r="AU996" s="87"/>
      <c r="AV996" s="92" t="str">
        <f>HYPERLINK("https://pbs.twimg.com/profile_images/1637240469905199104/IKcG3ADl_normal.jpg")</f>
        <v>https://pbs.twimg.com/profile_images/1637240469905199104/IKcG3ADl_normal.jpg</v>
      </c>
      <c r="AW996" s="93" t="s">
        <v>19233</v>
      </c>
      <c r="AX996" s="93" t="s">
        <v>19233</v>
      </c>
      <c r="AY996" s="87"/>
      <c r="AZ996" s="93" t="s">
        <v>22668</v>
      </c>
      <c r="BA996" s="93" t="s">
        <v>22668</v>
      </c>
      <c r="BB996" s="93" t="s">
        <v>22668</v>
      </c>
      <c r="BC996" s="93" t="s">
        <v>19233</v>
      </c>
      <c r="BD996" s="93" t="s">
        <v>23003</v>
      </c>
      <c r="BE996" s="87"/>
      <c r="BF996" s="87"/>
      <c r="BG996" s="87"/>
      <c r="BH996" s="87"/>
      <c r="BI996" s="87"/>
    </row>
    <row r="997" spans="1:61" x14ac:dyDescent="0.25">
      <c r="A997" s="63" t="s">
        <v>593</v>
      </c>
      <c r="B997" s="63" t="s">
        <v>593</v>
      </c>
      <c r="C997" s="64"/>
      <c r="D997" s="65"/>
      <c r="E997" s="66"/>
      <c r="F997" s="67"/>
      <c r="G997" s="64"/>
      <c r="H997" s="68"/>
      <c r="I997" s="69"/>
      <c r="J997" s="69"/>
      <c r="K997" s="32"/>
      <c r="L997" s="76">
        <v>997</v>
      </c>
      <c r="M997" s="76"/>
      <c r="N997" s="71"/>
      <c r="O997" s="87" t="s">
        <v>179</v>
      </c>
      <c r="P997" s="90">
        <v>45166.375</v>
      </c>
      <c r="Q997" s="87" t="s">
        <v>2807</v>
      </c>
      <c r="R997" s="87">
        <v>0</v>
      </c>
      <c r="S997" s="87">
        <v>0</v>
      </c>
      <c r="T997" s="87">
        <v>0</v>
      </c>
      <c r="U997" s="87">
        <v>0</v>
      </c>
      <c r="V997" s="87"/>
      <c r="W997" s="93" t="s">
        <v>6553</v>
      </c>
      <c r="X997" s="87"/>
      <c r="Y997" s="87"/>
      <c r="Z997" s="87"/>
      <c r="AA997" s="87"/>
      <c r="AB997" s="87"/>
      <c r="AC997" s="93" t="s">
        <v>11457</v>
      </c>
      <c r="AD997" s="87" t="s">
        <v>11519</v>
      </c>
      <c r="AE997" s="92" t="str">
        <f>HYPERLINK("https://twitter.com/businessopb/status/1696085211199545818")</f>
        <v>https://twitter.com/businessopb/status/1696085211199545818</v>
      </c>
      <c r="AF997" s="90">
        <v>45166.375</v>
      </c>
      <c r="AG997" s="99">
        <v>45166</v>
      </c>
      <c r="AH997" s="93" t="s">
        <v>12447</v>
      </c>
      <c r="AI997" s="87"/>
      <c r="AJ997" s="87"/>
      <c r="AK997" s="87"/>
      <c r="AL997" s="87"/>
      <c r="AM997" s="87"/>
      <c r="AN997" s="87"/>
      <c r="AO997" s="87"/>
      <c r="AP997" s="87"/>
      <c r="AQ997" s="87"/>
      <c r="AR997" s="87"/>
      <c r="AS997" s="87"/>
      <c r="AT997" s="87"/>
      <c r="AU997" s="87"/>
      <c r="AV997" s="92" t="str">
        <f>HYPERLINK("https://pbs.twimg.com/profile_images/1637240469905199104/IKcG3ADl_normal.jpg")</f>
        <v>https://pbs.twimg.com/profile_images/1637240469905199104/IKcG3ADl_normal.jpg</v>
      </c>
      <c r="AW997" s="93" t="s">
        <v>19234</v>
      </c>
      <c r="AX997" s="93" t="s">
        <v>19234</v>
      </c>
      <c r="AY997" s="87"/>
      <c r="AZ997" s="93" t="s">
        <v>22668</v>
      </c>
      <c r="BA997" s="93" t="s">
        <v>22668</v>
      </c>
      <c r="BB997" s="93" t="s">
        <v>22668</v>
      </c>
      <c r="BC997" s="93" t="s">
        <v>19234</v>
      </c>
      <c r="BD997" s="93" t="s">
        <v>23003</v>
      </c>
      <c r="BE997" s="87"/>
      <c r="BF997" s="87"/>
      <c r="BG997" s="87"/>
      <c r="BH997" s="87"/>
      <c r="BI997" s="87"/>
    </row>
    <row r="998" spans="1:61" x14ac:dyDescent="0.25">
      <c r="A998" s="63" t="s">
        <v>593</v>
      </c>
      <c r="B998" s="63" t="s">
        <v>593</v>
      </c>
      <c r="C998" s="64"/>
      <c r="D998" s="65"/>
      <c r="E998" s="66"/>
      <c r="F998" s="67"/>
      <c r="G998" s="64"/>
      <c r="H998" s="68"/>
      <c r="I998" s="69"/>
      <c r="J998" s="69"/>
      <c r="K998" s="32"/>
      <c r="L998" s="76">
        <v>998</v>
      </c>
      <c r="M998" s="76"/>
      <c r="N998" s="71"/>
      <c r="O998" s="87" t="s">
        <v>179</v>
      </c>
      <c r="P998" s="90">
        <v>45158.241666666669</v>
      </c>
      <c r="Q998" s="87" t="s">
        <v>2808</v>
      </c>
      <c r="R998" s="87">
        <v>0</v>
      </c>
      <c r="S998" s="87">
        <v>0</v>
      </c>
      <c r="T998" s="87">
        <v>0</v>
      </c>
      <c r="U998" s="87">
        <v>0</v>
      </c>
      <c r="V998" s="87">
        <v>6</v>
      </c>
      <c r="W998" s="93" t="s">
        <v>6558</v>
      </c>
      <c r="X998" s="87"/>
      <c r="Y998" s="87"/>
      <c r="Z998" s="87"/>
      <c r="AA998" s="87"/>
      <c r="AB998" s="87"/>
      <c r="AC998" s="93" t="s">
        <v>11457</v>
      </c>
      <c r="AD998" s="87" t="s">
        <v>11519</v>
      </c>
      <c r="AE998" s="92" t="str">
        <f>HYPERLINK("https://twitter.com/businessopb/status/1693137787589910570")</f>
        <v>https://twitter.com/businessopb/status/1693137787589910570</v>
      </c>
      <c r="AF998" s="90">
        <v>45158.241666666669</v>
      </c>
      <c r="AG998" s="99">
        <v>45158</v>
      </c>
      <c r="AH998" s="93" t="s">
        <v>12448</v>
      </c>
      <c r="AI998" s="87"/>
      <c r="AJ998" s="87"/>
      <c r="AK998" s="87"/>
      <c r="AL998" s="87"/>
      <c r="AM998" s="87"/>
      <c r="AN998" s="87"/>
      <c r="AO998" s="87"/>
      <c r="AP998" s="87"/>
      <c r="AQ998" s="87"/>
      <c r="AR998" s="87"/>
      <c r="AS998" s="87"/>
      <c r="AT998" s="87"/>
      <c r="AU998" s="87"/>
      <c r="AV998" s="92" t="str">
        <f>HYPERLINK("https://pbs.twimg.com/profile_images/1637240469905199104/IKcG3ADl_normal.jpg")</f>
        <v>https://pbs.twimg.com/profile_images/1637240469905199104/IKcG3ADl_normal.jpg</v>
      </c>
      <c r="AW998" s="93" t="s">
        <v>19235</v>
      </c>
      <c r="AX998" s="93" t="s">
        <v>19235</v>
      </c>
      <c r="AY998" s="87"/>
      <c r="AZ998" s="93" t="s">
        <v>22668</v>
      </c>
      <c r="BA998" s="93" t="s">
        <v>22668</v>
      </c>
      <c r="BB998" s="93" t="s">
        <v>22668</v>
      </c>
      <c r="BC998" s="93" t="s">
        <v>19235</v>
      </c>
      <c r="BD998" s="93" t="s">
        <v>23003</v>
      </c>
      <c r="BE998" s="87"/>
      <c r="BF998" s="87"/>
      <c r="BG998" s="87"/>
      <c r="BH998" s="87"/>
      <c r="BI998" s="87"/>
    </row>
    <row r="999" spans="1:61" x14ac:dyDescent="0.25">
      <c r="A999" s="63" t="s">
        <v>593</v>
      </c>
      <c r="B999" s="63" t="s">
        <v>593</v>
      </c>
      <c r="C999" s="64"/>
      <c r="D999" s="65"/>
      <c r="E999" s="66"/>
      <c r="F999" s="67"/>
      <c r="G999" s="64"/>
      <c r="H999" s="68"/>
      <c r="I999" s="69"/>
      <c r="J999" s="69"/>
      <c r="K999" s="32"/>
      <c r="L999" s="76">
        <v>999</v>
      </c>
      <c r="M999" s="76"/>
      <c r="N999" s="71"/>
      <c r="O999" s="87" t="s">
        <v>179</v>
      </c>
      <c r="P999" s="90">
        <v>45148.257638888892</v>
      </c>
      <c r="Q999" s="87" t="s">
        <v>2809</v>
      </c>
      <c r="R999" s="87">
        <v>0</v>
      </c>
      <c r="S999" s="87">
        <v>0</v>
      </c>
      <c r="T999" s="87">
        <v>0</v>
      </c>
      <c r="U999" s="87">
        <v>0</v>
      </c>
      <c r="V999" s="87">
        <v>4</v>
      </c>
      <c r="W999" s="93" t="s">
        <v>6559</v>
      </c>
      <c r="X999" s="87"/>
      <c r="Y999" s="87"/>
      <c r="Z999" s="87"/>
      <c r="AA999" s="87"/>
      <c r="AB999" s="87"/>
      <c r="AC999" s="93" t="s">
        <v>11457</v>
      </c>
      <c r="AD999" s="87" t="s">
        <v>11519</v>
      </c>
      <c r="AE999" s="92" t="str">
        <f>HYPERLINK("https://twitter.com/businessopb/status/1689519697174413312")</f>
        <v>https://twitter.com/businessopb/status/1689519697174413312</v>
      </c>
      <c r="AF999" s="90">
        <v>45148.257638888892</v>
      </c>
      <c r="AG999" s="99">
        <v>45148</v>
      </c>
      <c r="AH999" s="93" t="s">
        <v>12449</v>
      </c>
      <c r="AI999" s="87"/>
      <c r="AJ999" s="87"/>
      <c r="AK999" s="87"/>
      <c r="AL999" s="87"/>
      <c r="AM999" s="87"/>
      <c r="AN999" s="87"/>
      <c r="AO999" s="87"/>
      <c r="AP999" s="87"/>
      <c r="AQ999" s="87"/>
      <c r="AR999" s="87"/>
      <c r="AS999" s="87"/>
      <c r="AT999" s="87"/>
      <c r="AU999" s="87"/>
      <c r="AV999" s="92" t="str">
        <f>HYPERLINK("https://pbs.twimg.com/profile_images/1637240469905199104/IKcG3ADl_normal.jpg")</f>
        <v>https://pbs.twimg.com/profile_images/1637240469905199104/IKcG3ADl_normal.jpg</v>
      </c>
      <c r="AW999" s="93" t="s">
        <v>19236</v>
      </c>
      <c r="AX999" s="93" t="s">
        <v>19236</v>
      </c>
      <c r="AY999" s="87"/>
      <c r="AZ999" s="93" t="s">
        <v>22668</v>
      </c>
      <c r="BA999" s="93" t="s">
        <v>22668</v>
      </c>
      <c r="BB999" s="93" t="s">
        <v>22668</v>
      </c>
      <c r="BC999" s="93" t="s">
        <v>19236</v>
      </c>
      <c r="BD999" s="93" t="s">
        <v>23003</v>
      </c>
      <c r="BE999" s="87"/>
      <c r="BF999" s="87"/>
      <c r="BG999" s="87"/>
      <c r="BH999" s="87"/>
      <c r="BI999" s="87"/>
    </row>
    <row r="1000" spans="1:61" x14ac:dyDescent="0.25">
      <c r="A1000" s="63" t="s">
        <v>593</v>
      </c>
      <c r="B1000" s="63" t="s">
        <v>593</v>
      </c>
      <c r="C1000" s="64"/>
      <c r="D1000" s="65"/>
      <c r="E1000" s="66"/>
      <c r="F1000" s="67"/>
      <c r="G1000" s="64"/>
      <c r="H1000" s="68"/>
      <c r="I1000" s="69"/>
      <c r="J1000" s="69"/>
      <c r="K1000" s="32"/>
      <c r="L1000" s="76">
        <v>1000</v>
      </c>
      <c r="M1000" s="76"/>
      <c r="N1000" s="71"/>
      <c r="O1000" s="87" t="s">
        <v>179</v>
      </c>
      <c r="P1000" s="90">
        <v>45134.384722222225</v>
      </c>
      <c r="Q1000" s="87" t="s">
        <v>2810</v>
      </c>
      <c r="R1000" s="87">
        <v>0</v>
      </c>
      <c r="S1000" s="87">
        <v>0</v>
      </c>
      <c r="T1000" s="87">
        <v>0</v>
      </c>
      <c r="U1000" s="87">
        <v>0</v>
      </c>
      <c r="V1000" s="87">
        <v>7</v>
      </c>
      <c r="W1000" s="93" t="s">
        <v>6094</v>
      </c>
      <c r="X1000" s="87"/>
      <c r="Y1000" s="87"/>
      <c r="Z1000" s="87"/>
      <c r="AA1000" s="87"/>
      <c r="AB1000" s="87"/>
      <c r="AC1000" s="93" t="s">
        <v>11457</v>
      </c>
      <c r="AD1000" s="87" t="s">
        <v>11519</v>
      </c>
      <c r="AE1000" s="92" t="str">
        <f>HYPERLINK("https://twitter.com/businessopb/status/1684492320778121217")</f>
        <v>https://twitter.com/businessopb/status/1684492320778121217</v>
      </c>
      <c r="AF1000" s="90">
        <v>45134.384722222225</v>
      </c>
      <c r="AG1000" s="99">
        <v>45134</v>
      </c>
      <c r="AH1000" s="93" t="s">
        <v>12450</v>
      </c>
      <c r="AI1000" s="87"/>
      <c r="AJ1000" s="87"/>
      <c r="AK1000" s="87"/>
      <c r="AL1000" s="87"/>
      <c r="AM1000" s="87"/>
      <c r="AN1000" s="87"/>
      <c r="AO1000" s="87"/>
      <c r="AP1000" s="87"/>
      <c r="AQ1000" s="87"/>
      <c r="AR1000" s="87"/>
      <c r="AS1000" s="87"/>
      <c r="AT1000" s="87"/>
      <c r="AU1000" s="87"/>
      <c r="AV1000" s="92" t="str">
        <f>HYPERLINK("https://pbs.twimg.com/profile_images/1637240469905199104/IKcG3ADl_normal.jpg")</f>
        <v>https://pbs.twimg.com/profile_images/1637240469905199104/IKcG3ADl_normal.jpg</v>
      </c>
      <c r="AW1000" s="93" t="s">
        <v>19237</v>
      </c>
      <c r="AX1000" s="93" t="s">
        <v>19237</v>
      </c>
      <c r="AY1000" s="87"/>
      <c r="AZ1000" s="93" t="s">
        <v>22668</v>
      </c>
      <c r="BA1000" s="93" t="s">
        <v>22668</v>
      </c>
      <c r="BB1000" s="93" t="s">
        <v>22668</v>
      </c>
      <c r="BC1000" s="93" t="s">
        <v>19237</v>
      </c>
      <c r="BD1000" s="93" t="s">
        <v>23003</v>
      </c>
      <c r="BE1000" s="87"/>
      <c r="BF1000" s="87"/>
      <c r="BG1000" s="87"/>
      <c r="BH1000" s="87"/>
      <c r="BI1000" s="87"/>
    </row>
    <row r="1001" spans="1:61" x14ac:dyDescent="0.25">
      <c r="A1001" s="63" t="s">
        <v>593</v>
      </c>
      <c r="B1001" s="63" t="s">
        <v>593</v>
      </c>
      <c r="C1001" s="64"/>
      <c r="D1001" s="65"/>
      <c r="E1001" s="66"/>
      <c r="F1001" s="67"/>
      <c r="G1001" s="64"/>
      <c r="H1001" s="68"/>
      <c r="I1001" s="69"/>
      <c r="J1001" s="69"/>
      <c r="K1001" s="32"/>
      <c r="L1001" s="76">
        <v>1001</v>
      </c>
      <c r="M1001" s="76"/>
      <c r="N1001" s="71"/>
      <c r="O1001" s="87" t="s">
        <v>179</v>
      </c>
      <c r="P1001" s="90">
        <v>45170.586805555555</v>
      </c>
      <c r="Q1001" s="87" t="s">
        <v>2811</v>
      </c>
      <c r="R1001" s="87">
        <v>0</v>
      </c>
      <c r="S1001" s="87">
        <v>0</v>
      </c>
      <c r="T1001" s="87">
        <v>0</v>
      </c>
      <c r="U1001" s="87">
        <v>0</v>
      </c>
      <c r="V1001" s="87"/>
      <c r="W1001" s="93" t="s">
        <v>6553</v>
      </c>
      <c r="X1001" s="87"/>
      <c r="Y1001" s="87"/>
      <c r="Z1001" s="87"/>
      <c r="AA1001" s="87"/>
      <c r="AB1001" s="87"/>
      <c r="AC1001" s="93" t="s">
        <v>11457</v>
      </c>
      <c r="AD1001" s="87" t="s">
        <v>11519</v>
      </c>
      <c r="AE1001" s="92" t="str">
        <f>HYPERLINK("https://twitter.com/businessopb/status/1697611516592390364")</f>
        <v>https://twitter.com/businessopb/status/1697611516592390364</v>
      </c>
      <c r="AF1001" s="90">
        <v>45170.586805555555</v>
      </c>
      <c r="AG1001" s="99">
        <v>45170</v>
      </c>
      <c r="AH1001" s="93" t="s">
        <v>12451</v>
      </c>
      <c r="AI1001" s="87"/>
      <c r="AJ1001" s="87"/>
      <c r="AK1001" s="87"/>
      <c r="AL1001" s="87"/>
      <c r="AM1001" s="87"/>
      <c r="AN1001" s="87"/>
      <c r="AO1001" s="87"/>
      <c r="AP1001" s="87"/>
      <c r="AQ1001" s="87"/>
      <c r="AR1001" s="87"/>
      <c r="AS1001" s="87"/>
      <c r="AT1001" s="87"/>
      <c r="AU1001" s="87"/>
      <c r="AV1001" s="92" t="str">
        <f>HYPERLINK("https://pbs.twimg.com/profile_images/1637240469905199104/IKcG3ADl_normal.jpg")</f>
        <v>https://pbs.twimg.com/profile_images/1637240469905199104/IKcG3ADl_normal.jpg</v>
      </c>
      <c r="AW1001" s="93" t="s">
        <v>19238</v>
      </c>
      <c r="AX1001" s="93" t="s">
        <v>19238</v>
      </c>
      <c r="AY1001" s="87"/>
      <c r="AZ1001" s="93" t="s">
        <v>22668</v>
      </c>
      <c r="BA1001" s="93" t="s">
        <v>22668</v>
      </c>
      <c r="BB1001" s="93" t="s">
        <v>22668</v>
      </c>
      <c r="BC1001" s="93" t="s">
        <v>19238</v>
      </c>
      <c r="BD1001" s="93" t="s">
        <v>23003</v>
      </c>
      <c r="BE1001" s="87"/>
      <c r="BF1001" s="87"/>
      <c r="BG1001" s="87"/>
      <c r="BH1001" s="87"/>
      <c r="BI1001" s="87"/>
    </row>
    <row r="1002" spans="1:61" x14ac:dyDescent="0.25">
      <c r="A1002" s="63" t="s">
        <v>593</v>
      </c>
      <c r="B1002" s="63" t="s">
        <v>593</v>
      </c>
      <c r="C1002" s="64"/>
      <c r="D1002" s="65"/>
      <c r="E1002" s="66"/>
      <c r="F1002" s="67"/>
      <c r="G1002" s="64"/>
      <c r="H1002" s="68"/>
      <c r="I1002" s="69"/>
      <c r="J1002" s="69"/>
      <c r="K1002" s="32"/>
      <c r="L1002" s="76">
        <v>1002</v>
      </c>
      <c r="M1002" s="76"/>
      <c r="N1002" s="71"/>
      <c r="O1002" s="87" t="s">
        <v>179</v>
      </c>
      <c r="P1002" s="90">
        <v>45156.323611111111</v>
      </c>
      <c r="Q1002" s="87" t="s">
        <v>2812</v>
      </c>
      <c r="R1002" s="87">
        <v>0</v>
      </c>
      <c r="S1002" s="87">
        <v>0</v>
      </c>
      <c r="T1002" s="87">
        <v>0</v>
      </c>
      <c r="U1002" s="87">
        <v>0</v>
      </c>
      <c r="V1002" s="87">
        <v>2</v>
      </c>
      <c r="W1002" s="93" t="s">
        <v>6558</v>
      </c>
      <c r="X1002" s="87"/>
      <c r="Y1002" s="87"/>
      <c r="Z1002" s="87"/>
      <c r="AA1002" s="87"/>
      <c r="AB1002" s="87"/>
      <c r="AC1002" s="93" t="s">
        <v>11457</v>
      </c>
      <c r="AD1002" s="87" t="s">
        <v>11519</v>
      </c>
      <c r="AE1002" s="92" t="str">
        <f>HYPERLINK("https://twitter.com/businessopb/status/1692442707547811877")</f>
        <v>https://twitter.com/businessopb/status/1692442707547811877</v>
      </c>
      <c r="AF1002" s="90">
        <v>45156.323611111111</v>
      </c>
      <c r="AG1002" s="99">
        <v>45156</v>
      </c>
      <c r="AH1002" s="93" t="s">
        <v>12452</v>
      </c>
      <c r="AI1002" s="87"/>
      <c r="AJ1002" s="87"/>
      <c r="AK1002" s="87"/>
      <c r="AL1002" s="87"/>
      <c r="AM1002" s="87"/>
      <c r="AN1002" s="87"/>
      <c r="AO1002" s="87"/>
      <c r="AP1002" s="87"/>
      <c r="AQ1002" s="87"/>
      <c r="AR1002" s="87"/>
      <c r="AS1002" s="87"/>
      <c r="AT1002" s="87"/>
      <c r="AU1002" s="87"/>
      <c r="AV1002" s="92" t="str">
        <f>HYPERLINK("https://pbs.twimg.com/profile_images/1637240469905199104/IKcG3ADl_normal.jpg")</f>
        <v>https://pbs.twimg.com/profile_images/1637240469905199104/IKcG3ADl_normal.jpg</v>
      </c>
      <c r="AW1002" s="93" t="s">
        <v>19239</v>
      </c>
      <c r="AX1002" s="93" t="s">
        <v>19239</v>
      </c>
      <c r="AY1002" s="87"/>
      <c r="AZ1002" s="93" t="s">
        <v>22668</v>
      </c>
      <c r="BA1002" s="93" t="s">
        <v>22668</v>
      </c>
      <c r="BB1002" s="93" t="s">
        <v>22668</v>
      </c>
      <c r="BC1002" s="93" t="s">
        <v>19239</v>
      </c>
      <c r="BD1002" s="93" t="s">
        <v>23003</v>
      </c>
      <c r="BE1002" s="87"/>
      <c r="BF1002" s="87"/>
      <c r="BG1002" s="87"/>
      <c r="BH1002" s="87"/>
      <c r="BI1002" s="87"/>
    </row>
    <row r="1003" spans="1:61" x14ac:dyDescent="0.25">
      <c r="A1003" s="63" t="s">
        <v>593</v>
      </c>
      <c r="B1003" s="63" t="s">
        <v>593</v>
      </c>
      <c r="C1003" s="64"/>
      <c r="D1003" s="65"/>
      <c r="E1003" s="66"/>
      <c r="F1003" s="67"/>
      <c r="G1003" s="64"/>
      <c r="H1003" s="68"/>
      <c r="I1003" s="69"/>
      <c r="J1003" s="69"/>
      <c r="K1003" s="32"/>
      <c r="L1003" s="76">
        <v>1003</v>
      </c>
      <c r="M1003" s="76"/>
      <c r="N1003" s="71"/>
      <c r="O1003" s="87" t="s">
        <v>179</v>
      </c>
      <c r="P1003" s="90">
        <v>45131.664803240739</v>
      </c>
      <c r="Q1003" s="87" t="s">
        <v>2813</v>
      </c>
      <c r="R1003" s="87">
        <v>0</v>
      </c>
      <c r="S1003" s="87">
        <v>0</v>
      </c>
      <c r="T1003" s="87">
        <v>0</v>
      </c>
      <c r="U1003" s="87">
        <v>0</v>
      </c>
      <c r="V1003" s="87">
        <v>4</v>
      </c>
      <c r="W1003" s="93" t="s">
        <v>6555</v>
      </c>
      <c r="X1003" s="87"/>
      <c r="Y1003" s="87"/>
      <c r="Z1003" s="87"/>
      <c r="AA1003" s="87"/>
      <c r="AB1003" s="87"/>
      <c r="AC1003" s="93" t="s">
        <v>11457</v>
      </c>
      <c r="AD1003" s="87" t="s">
        <v>11519</v>
      </c>
      <c r="AE1003" s="92" t="str">
        <f>HYPERLINK("https://twitter.com/businessopb/status/1683506656896794630")</f>
        <v>https://twitter.com/businessopb/status/1683506656896794630</v>
      </c>
      <c r="AF1003" s="90">
        <v>45131.664803240739</v>
      </c>
      <c r="AG1003" s="99">
        <v>45131</v>
      </c>
      <c r="AH1003" s="93" t="s">
        <v>12453</v>
      </c>
      <c r="AI1003" s="87"/>
      <c r="AJ1003" s="87"/>
      <c r="AK1003" s="87"/>
      <c r="AL1003" s="87"/>
      <c r="AM1003" s="87"/>
      <c r="AN1003" s="87"/>
      <c r="AO1003" s="87"/>
      <c r="AP1003" s="87"/>
      <c r="AQ1003" s="87"/>
      <c r="AR1003" s="87"/>
      <c r="AS1003" s="87"/>
      <c r="AT1003" s="87"/>
      <c r="AU1003" s="87"/>
      <c r="AV1003" s="92" t="str">
        <f>HYPERLINK("https://pbs.twimg.com/profile_images/1637240469905199104/IKcG3ADl_normal.jpg")</f>
        <v>https://pbs.twimg.com/profile_images/1637240469905199104/IKcG3ADl_normal.jpg</v>
      </c>
      <c r="AW1003" s="93" t="s">
        <v>19240</v>
      </c>
      <c r="AX1003" s="93" t="s">
        <v>19240</v>
      </c>
      <c r="AY1003" s="87"/>
      <c r="AZ1003" s="93" t="s">
        <v>22668</v>
      </c>
      <c r="BA1003" s="93" t="s">
        <v>22668</v>
      </c>
      <c r="BB1003" s="93" t="s">
        <v>22668</v>
      </c>
      <c r="BC1003" s="93" t="s">
        <v>19240</v>
      </c>
      <c r="BD1003" s="93" t="s">
        <v>23003</v>
      </c>
      <c r="BE1003" s="87"/>
      <c r="BF1003" s="87"/>
      <c r="BG1003" s="87"/>
      <c r="BH1003" s="87"/>
      <c r="BI1003" s="87"/>
    </row>
    <row r="1004" spans="1:61" x14ac:dyDescent="0.25">
      <c r="A1004" s="63" t="s">
        <v>593</v>
      </c>
      <c r="B1004" s="63" t="s">
        <v>593</v>
      </c>
      <c r="C1004" s="64"/>
      <c r="D1004" s="65"/>
      <c r="E1004" s="66"/>
      <c r="F1004" s="67"/>
      <c r="G1004" s="64"/>
      <c r="H1004" s="68"/>
      <c r="I1004" s="69"/>
      <c r="J1004" s="69"/>
      <c r="K1004" s="32"/>
      <c r="L1004" s="76">
        <v>1004</v>
      </c>
      <c r="M1004" s="76"/>
      <c r="N1004" s="71"/>
      <c r="O1004" s="87" t="s">
        <v>179</v>
      </c>
      <c r="P1004" s="90">
        <v>45172.25277777778</v>
      </c>
      <c r="Q1004" s="87" t="s">
        <v>2814</v>
      </c>
      <c r="R1004" s="87">
        <v>0</v>
      </c>
      <c r="S1004" s="87">
        <v>0</v>
      </c>
      <c r="T1004" s="87">
        <v>0</v>
      </c>
      <c r="U1004" s="87">
        <v>0</v>
      </c>
      <c r="V1004" s="87">
        <v>1</v>
      </c>
      <c r="W1004" s="93" t="s">
        <v>6553</v>
      </c>
      <c r="X1004" s="87"/>
      <c r="Y1004" s="87"/>
      <c r="Z1004" s="87"/>
      <c r="AA1004" s="87"/>
      <c r="AB1004" s="87"/>
      <c r="AC1004" s="93" t="s">
        <v>11457</v>
      </c>
      <c r="AD1004" s="87" t="s">
        <v>11519</v>
      </c>
      <c r="AE1004" s="92" t="str">
        <f>HYPERLINK("https://twitter.com/businessopb/status/1698215244412129286")</f>
        <v>https://twitter.com/businessopb/status/1698215244412129286</v>
      </c>
      <c r="AF1004" s="90">
        <v>45172.25277777778</v>
      </c>
      <c r="AG1004" s="99">
        <v>45172</v>
      </c>
      <c r="AH1004" s="93" t="s">
        <v>12454</v>
      </c>
      <c r="AI1004" s="87"/>
      <c r="AJ1004" s="87"/>
      <c r="AK1004" s="87"/>
      <c r="AL1004" s="87"/>
      <c r="AM1004" s="87"/>
      <c r="AN1004" s="87"/>
      <c r="AO1004" s="87"/>
      <c r="AP1004" s="87"/>
      <c r="AQ1004" s="87"/>
      <c r="AR1004" s="87"/>
      <c r="AS1004" s="87"/>
      <c r="AT1004" s="87"/>
      <c r="AU1004" s="87"/>
      <c r="AV1004" s="92" t="str">
        <f>HYPERLINK("https://pbs.twimg.com/profile_images/1637240469905199104/IKcG3ADl_normal.jpg")</f>
        <v>https://pbs.twimg.com/profile_images/1637240469905199104/IKcG3ADl_normal.jpg</v>
      </c>
      <c r="AW1004" s="93" t="s">
        <v>19241</v>
      </c>
      <c r="AX1004" s="93" t="s">
        <v>19241</v>
      </c>
      <c r="AY1004" s="87"/>
      <c r="AZ1004" s="93" t="s">
        <v>22668</v>
      </c>
      <c r="BA1004" s="93" t="s">
        <v>22668</v>
      </c>
      <c r="BB1004" s="93" t="s">
        <v>22668</v>
      </c>
      <c r="BC1004" s="93" t="s">
        <v>19241</v>
      </c>
      <c r="BD1004" s="93" t="s">
        <v>23003</v>
      </c>
      <c r="BE1004" s="87"/>
      <c r="BF1004" s="87"/>
      <c r="BG1004" s="87"/>
      <c r="BH1004" s="87"/>
      <c r="BI1004" s="87"/>
    </row>
    <row r="1005" spans="1:61" x14ac:dyDescent="0.25">
      <c r="A1005" s="63" t="s">
        <v>593</v>
      </c>
      <c r="B1005" s="63" t="s">
        <v>593</v>
      </c>
      <c r="C1005" s="64"/>
      <c r="D1005" s="65"/>
      <c r="E1005" s="66"/>
      <c r="F1005" s="67"/>
      <c r="G1005" s="64"/>
      <c r="H1005" s="68"/>
      <c r="I1005" s="69"/>
      <c r="J1005" s="69"/>
      <c r="K1005" s="32"/>
      <c r="L1005" s="76">
        <v>1005</v>
      </c>
      <c r="M1005" s="76"/>
      <c r="N1005" s="71"/>
      <c r="O1005" s="87" t="s">
        <v>179</v>
      </c>
      <c r="P1005" s="90">
        <v>45162.618055555555</v>
      </c>
      <c r="Q1005" s="87" t="s">
        <v>2815</v>
      </c>
      <c r="R1005" s="87">
        <v>0</v>
      </c>
      <c r="S1005" s="87">
        <v>0</v>
      </c>
      <c r="T1005" s="87">
        <v>0</v>
      </c>
      <c r="U1005" s="87">
        <v>0</v>
      </c>
      <c r="V1005" s="87">
        <v>2</v>
      </c>
      <c r="W1005" s="93" t="s">
        <v>6553</v>
      </c>
      <c r="X1005" s="87"/>
      <c r="Y1005" s="87"/>
      <c r="Z1005" s="87"/>
      <c r="AA1005" s="87"/>
      <c r="AB1005" s="87"/>
      <c r="AC1005" s="93" t="s">
        <v>11457</v>
      </c>
      <c r="AD1005" s="87" t="s">
        <v>11519</v>
      </c>
      <c r="AE1005" s="92" t="str">
        <f>HYPERLINK("https://twitter.com/businessopb/status/1694723737793290596")</f>
        <v>https://twitter.com/businessopb/status/1694723737793290596</v>
      </c>
      <c r="AF1005" s="90">
        <v>45162.618055555555</v>
      </c>
      <c r="AG1005" s="99">
        <v>45162</v>
      </c>
      <c r="AH1005" s="93" t="s">
        <v>12455</v>
      </c>
      <c r="AI1005" s="87"/>
      <c r="AJ1005" s="87"/>
      <c r="AK1005" s="87"/>
      <c r="AL1005" s="87"/>
      <c r="AM1005" s="87"/>
      <c r="AN1005" s="87"/>
      <c r="AO1005" s="87"/>
      <c r="AP1005" s="87"/>
      <c r="AQ1005" s="87"/>
      <c r="AR1005" s="87"/>
      <c r="AS1005" s="87"/>
      <c r="AT1005" s="87"/>
      <c r="AU1005" s="87"/>
      <c r="AV1005" s="92" t="str">
        <f>HYPERLINK("https://pbs.twimg.com/profile_images/1637240469905199104/IKcG3ADl_normal.jpg")</f>
        <v>https://pbs.twimg.com/profile_images/1637240469905199104/IKcG3ADl_normal.jpg</v>
      </c>
      <c r="AW1005" s="93" t="s">
        <v>19242</v>
      </c>
      <c r="AX1005" s="93" t="s">
        <v>19242</v>
      </c>
      <c r="AY1005" s="87"/>
      <c r="AZ1005" s="93" t="s">
        <v>22668</v>
      </c>
      <c r="BA1005" s="93" t="s">
        <v>22668</v>
      </c>
      <c r="BB1005" s="93" t="s">
        <v>22668</v>
      </c>
      <c r="BC1005" s="93" t="s">
        <v>19242</v>
      </c>
      <c r="BD1005" s="93" t="s">
        <v>23003</v>
      </c>
      <c r="BE1005" s="87"/>
      <c r="BF1005" s="87"/>
      <c r="BG1005" s="87"/>
      <c r="BH1005" s="87"/>
      <c r="BI1005" s="87"/>
    </row>
    <row r="1006" spans="1:61" x14ac:dyDescent="0.25">
      <c r="A1006" s="63" t="s">
        <v>593</v>
      </c>
      <c r="B1006" s="63" t="s">
        <v>593</v>
      </c>
      <c r="C1006" s="64"/>
      <c r="D1006" s="65"/>
      <c r="E1006" s="66"/>
      <c r="F1006" s="67"/>
      <c r="G1006" s="64"/>
      <c r="H1006" s="68"/>
      <c r="I1006" s="69"/>
      <c r="J1006" s="69"/>
      <c r="K1006" s="32"/>
      <c r="L1006" s="76">
        <v>1006</v>
      </c>
      <c r="M1006" s="76"/>
      <c r="N1006" s="71"/>
      <c r="O1006" s="87" t="s">
        <v>179</v>
      </c>
      <c r="P1006" s="90">
        <v>45149.336805555555</v>
      </c>
      <c r="Q1006" s="87" t="s">
        <v>2816</v>
      </c>
      <c r="R1006" s="87">
        <v>0</v>
      </c>
      <c r="S1006" s="87">
        <v>1</v>
      </c>
      <c r="T1006" s="87">
        <v>0</v>
      </c>
      <c r="U1006" s="87">
        <v>0</v>
      </c>
      <c r="V1006" s="87">
        <v>17</v>
      </c>
      <c r="W1006" s="93" t="s">
        <v>6094</v>
      </c>
      <c r="X1006" s="92" t="str">
        <f>HYPERLINK("http://onepersonbusiness.pt/landing")</f>
        <v>http://onepersonbusiness.pt/landing</v>
      </c>
      <c r="Y1006" s="87" t="s">
        <v>8437</v>
      </c>
      <c r="Z1006" s="87"/>
      <c r="AA1006" s="87" t="s">
        <v>9218</v>
      </c>
      <c r="AB1006" s="87" t="s">
        <v>11448</v>
      </c>
      <c r="AC1006" s="93" t="s">
        <v>11457</v>
      </c>
      <c r="AD1006" s="87" t="s">
        <v>11519</v>
      </c>
      <c r="AE1006" s="92" t="str">
        <f>HYPERLINK("https://twitter.com/businessopb/status/1689910774418833410")</f>
        <v>https://twitter.com/businessopb/status/1689910774418833410</v>
      </c>
      <c r="AF1006" s="90">
        <v>45149.336805555555</v>
      </c>
      <c r="AG1006" s="99">
        <v>45149</v>
      </c>
      <c r="AH1006" s="93" t="s">
        <v>12456</v>
      </c>
      <c r="AI1006" s="87" t="b">
        <v>0</v>
      </c>
      <c r="AJ1006" s="87"/>
      <c r="AK1006" s="87"/>
      <c r="AL1006" s="87"/>
      <c r="AM1006" s="87"/>
      <c r="AN1006" s="87"/>
      <c r="AO1006" s="87"/>
      <c r="AP1006" s="87"/>
      <c r="AQ1006" s="87" t="s">
        <v>16031</v>
      </c>
      <c r="AR1006" s="87"/>
      <c r="AS1006" s="87"/>
      <c r="AT1006" s="87"/>
      <c r="AU1006" s="87"/>
      <c r="AV1006" s="92" t="str">
        <f>HYPERLINK("https://pbs.twimg.com/media/F3KoICZXQAAe81D.jpg")</f>
        <v>https://pbs.twimg.com/media/F3KoICZXQAAe81D.jpg</v>
      </c>
      <c r="AW1006" s="93" t="s">
        <v>19243</v>
      </c>
      <c r="AX1006" s="93" t="s">
        <v>19243</v>
      </c>
      <c r="AY1006" s="87"/>
      <c r="AZ1006" s="93" t="s">
        <v>22668</v>
      </c>
      <c r="BA1006" s="93" t="s">
        <v>22668</v>
      </c>
      <c r="BB1006" s="93" t="s">
        <v>22668</v>
      </c>
      <c r="BC1006" s="93" t="s">
        <v>19243</v>
      </c>
      <c r="BD1006" s="93" t="s">
        <v>23003</v>
      </c>
      <c r="BE1006" s="87"/>
      <c r="BF1006" s="87"/>
      <c r="BG1006" s="87"/>
      <c r="BH1006" s="87"/>
      <c r="BI1006" s="87"/>
    </row>
    <row r="1007" spans="1:61" x14ac:dyDescent="0.25">
      <c r="A1007" s="63" t="s">
        <v>593</v>
      </c>
      <c r="B1007" s="63" t="s">
        <v>593</v>
      </c>
      <c r="C1007" s="64"/>
      <c r="D1007" s="65"/>
      <c r="E1007" s="66"/>
      <c r="F1007" s="67"/>
      <c r="G1007" s="64"/>
      <c r="H1007" s="68"/>
      <c r="I1007" s="69"/>
      <c r="J1007" s="69"/>
      <c r="K1007" s="32"/>
      <c r="L1007" s="76">
        <v>1007</v>
      </c>
      <c r="M1007" s="76"/>
      <c r="N1007" s="71"/>
      <c r="O1007" s="87" t="s">
        <v>179</v>
      </c>
      <c r="P1007" s="90">
        <v>45136.400694444441</v>
      </c>
      <c r="Q1007" s="87" t="s">
        <v>2817</v>
      </c>
      <c r="R1007" s="87">
        <v>0</v>
      </c>
      <c r="S1007" s="87">
        <v>0</v>
      </c>
      <c r="T1007" s="87">
        <v>0</v>
      </c>
      <c r="U1007" s="87">
        <v>0</v>
      </c>
      <c r="V1007" s="87">
        <v>6</v>
      </c>
      <c r="W1007" s="93" t="s">
        <v>5897</v>
      </c>
      <c r="X1007" s="87"/>
      <c r="Y1007" s="87"/>
      <c r="Z1007" s="87"/>
      <c r="AA1007" s="87"/>
      <c r="AB1007" s="87"/>
      <c r="AC1007" s="93" t="s">
        <v>11457</v>
      </c>
      <c r="AD1007" s="87" t="s">
        <v>11519</v>
      </c>
      <c r="AE1007" s="92" t="str">
        <f>HYPERLINK("https://twitter.com/businessopb/status/1685222884518883328")</f>
        <v>https://twitter.com/businessopb/status/1685222884518883328</v>
      </c>
      <c r="AF1007" s="90">
        <v>45136.400694444441</v>
      </c>
      <c r="AG1007" s="99">
        <v>45136</v>
      </c>
      <c r="AH1007" s="93" t="s">
        <v>12457</v>
      </c>
      <c r="AI1007" s="87"/>
      <c r="AJ1007" s="87"/>
      <c r="AK1007" s="87"/>
      <c r="AL1007" s="87"/>
      <c r="AM1007" s="87"/>
      <c r="AN1007" s="87"/>
      <c r="AO1007" s="87"/>
      <c r="AP1007" s="87"/>
      <c r="AQ1007" s="87"/>
      <c r="AR1007" s="87"/>
      <c r="AS1007" s="87"/>
      <c r="AT1007" s="87"/>
      <c r="AU1007" s="87"/>
      <c r="AV1007" s="92" t="str">
        <f>HYPERLINK("https://pbs.twimg.com/profile_images/1637240469905199104/IKcG3ADl_normal.jpg")</f>
        <v>https://pbs.twimg.com/profile_images/1637240469905199104/IKcG3ADl_normal.jpg</v>
      </c>
      <c r="AW1007" s="93" t="s">
        <v>19244</v>
      </c>
      <c r="AX1007" s="93" t="s">
        <v>19244</v>
      </c>
      <c r="AY1007" s="87"/>
      <c r="AZ1007" s="93" t="s">
        <v>22668</v>
      </c>
      <c r="BA1007" s="93" t="s">
        <v>22668</v>
      </c>
      <c r="BB1007" s="93" t="s">
        <v>22668</v>
      </c>
      <c r="BC1007" s="93" t="s">
        <v>19244</v>
      </c>
      <c r="BD1007" s="93" t="s">
        <v>23003</v>
      </c>
      <c r="BE1007" s="87"/>
      <c r="BF1007" s="87"/>
      <c r="BG1007" s="87"/>
      <c r="BH1007" s="87"/>
      <c r="BI1007" s="87"/>
    </row>
    <row r="1008" spans="1:61" x14ac:dyDescent="0.25">
      <c r="A1008" s="63" t="s">
        <v>594</v>
      </c>
      <c r="B1008" s="63" t="s">
        <v>594</v>
      </c>
      <c r="C1008" s="64"/>
      <c r="D1008" s="65"/>
      <c r="E1008" s="66"/>
      <c r="F1008" s="67"/>
      <c r="G1008" s="64"/>
      <c r="H1008" s="68"/>
      <c r="I1008" s="69"/>
      <c r="J1008" s="69"/>
      <c r="K1008" s="32"/>
      <c r="L1008" s="76">
        <v>1008</v>
      </c>
      <c r="M1008" s="76"/>
      <c r="N1008" s="71"/>
      <c r="O1008" s="87" t="s">
        <v>179</v>
      </c>
      <c r="P1008" s="90">
        <v>45161.766423611109</v>
      </c>
      <c r="Q1008" s="87" t="s">
        <v>2818</v>
      </c>
      <c r="R1008" s="87">
        <v>0</v>
      </c>
      <c r="S1008" s="87">
        <v>0</v>
      </c>
      <c r="T1008" s="87">
        <v>0</v>
      </c>
      <c r="U1008" s="87">
        <v>0</v>
      </c>
      <c r="V1008" s="87">
        <v>11</v>
      </c>
      <c r="W1008" s="93" t="s">
        <v>6560</v>
      </c>
      <c r="X1008" s="87"/>
      <c r="Y1008" s="87"/>
      <c r="Z1008" s="87"/>
      <c r="AA1008" s="87" t="s">
        <v>9219</v>
      </c>
      <c r="AB1008" s="87" t="s">
        <v>11447</v>
      </c>
      <c r="AC1008" s="93" t="s">
        <v>11458</v>
      </c>
      <c r="AD1008" s="87" t="s">
        <v>11526</v>
      </c>
      <c r="AE1008" s="92" t="str">
        <f>HYPERLINK("https://twitter.com/mdofranchising/status/1694415117851533616")</f>
        <v>https://twitter.com/mdofranchising/status/1694415117851533616</v>
      </c>
      <c r="AF1008" s="90">
        <v>45161.766423611109</v>
      </c>
      <c r="AG1008" s="99">
        <v>45161</v>
      </c>
      <c r="AH1008" s="93" t="s">
        <v>12458</v>
      </c>
      <c r="AI1008" s="87" t="b">
        <v>0</v>
      </c>
      <c r="AJ1008" s="87"/>
      <c r="AK1008" s="87"/>
      <c r="AL1008" s="87"/>
      <c r="AM1008" s="87"/>
      <c r="AN1008" s="87"/>
      <c r="AO1008" s="87"/>
      <c r="AP1008" s="87"/>
      <c r="AQ1008" s="87" t="s">
        <v>16032</v>
      </c>
      <c r="AR1008" s="87">
        <v>12833</v>
      </c>
      <c r="AS1008" s="87"/>
      <c r="AT1008" s="87"/>
      <c r="AU1008" s="87"/>
      <c r="AV1008" s="92" t="str">
        <f>HYPERLINK("https://pbs.twimg.com/ext_tw_video_thumb/1694415073190567938/pu/img/SGmb1xrhc_WqFTKR.jpg")</f>
        <v>https://pbs.twimg.com/ext_tw_video_thumb/1694415073190567938/pu/img/SGmb1xrhc_WqFTKR.jpg</v>
      </c>
      <c r="AW1008" s="93" t="s">
        <v>19245</v>
      </c>
      <c r="AX1008" s="93" t="s">
        <v>19245</v>
      </c>
      <c r="AY1008" s="87"/>
      <c r="AZ1008" s="93" t="s">
        <v>22668</v>
      </c>
      <c r="BA1008" s="93" t="s">
        <v>22668</v>
      </c>
      <c r="BB1008" s="93" t="s">
        <v>22668</v>
      </c>
      <c r="BC1008" s="93" t="s">
        <v>19245</v>
      </c>
      <c r="BD1008" s="93" t="s">
        <v>23004</v>
      </c>
      <c r="BE1008" s="87"/>
      <c r="BF1008" s="87"/>
      <c r="BG1008" s="87"/>
      <c r="BH1008" s="87"/>
      <c r="BI1008" s="87"/>
    </row>
    <row r="1009" spans="1:61" x14ac:dyDescent="0.25">
      <c r="A1009" s="63" t="s">
        <v>594</v>
      </c>
      <c r="B1009" s="63" t="s">
        <v>594</v>
      </c>
      <c r="C1009" s="64"/>
      <c r="D1009" s="65"/>
      <c r="E1009" s="66"/>
      <c r="F1009" s="67"/>
      <c r="G1009" s="64"/>
      <c r="H1009" s="68"/>
      <c r="I1009" s="69"/>
      <c r="J1009" s="69"/>
      <c r="K1009" s="32"/>
      <c r="L1009" s="76">
        <v>1009</v>
      </c>
      <c r="M1009" s="76"/>
      <c r="N1009" s="71"/>
      <c r="O1009" s="87" t="s">
        <v>179</v>
      </c>
      <c r="P1009" s="90">
        <v>45181.909756944442</v>
      </c>
      <c r="Q1009" s="87" t="s">
        <v>2819</v>
      </c>
      <c r="R1009" s="87">
        <v>0</v>
      </c>
      <c r="S1009" s="87">
        <v>2</v>
      </c>
      <c r="T1009" s="87">
        <v>0</v>
      </c>
      <c r="U1009" s="87">
        <v>0</v>
      </c>
      <c r="V1009" s="87">
        <v>73</v>
      </c>
      <c r="W1009" s="93" t="s">
        <v>6561</v>
      </c>
      <c r="X1009" s="87"/>
      <c r="Y1009" s="87"/>
      <c r="Z1009" s="87"/>
      <c r="AA1009" s="87" t="s">
        <v>9220</v>
      </c>
      <c r="AB1009" s="87" t="s">
        <v>11448</v>
      </c>
      <c r="AC1009" s="93" t="s">
        <v>11458</v>
      </c>
      <c r="AD1009" s="87" t="s">
        <v>11519</v>
      </c>
      <c r="AE1009" s="92" t="str">
        <f>HYPERLINK("https://twitter.com/mdofranchising/status/1701714818967724337")</f>
        <v>https://twitter.com/mdofranchising/status/1701714818967724337</v>
      </c>
      <c r="AF1009" s="90">
        <v>45181.909756944442</v>
      </c>
      <c r="AG1009" s="99">
        <v>45181</v>
      </c>
      <c r="AH1009" s="93" t="s">
        <v>12459</v>
      </c>
      <c r="AI1009" s="87" t="b">
        <v>0</v>
      </c>
      <c r="AJ1009" s="87"/>
      <c r="AK1009" s="87"/>
      <c r="AL1009" s="87"/>
      <c r="AM1009" s="87"/>
      <c r="AN1009" s="87"/>
      <c r="AO1009" s="87"/>
      <c r="AP1009" s="87"/>
      <c r="AQ1009" s="87" t="s">
        <v>16033</v>
      </c>
      <c r="AR1009" s="87"/>
      <c r="AS1009" s="87"/>
      <c r="AT1009" s="87"/>
      <c r="AU1009" s="87"/>
      <c r="AV1009" s="92" t="str">
        <f>HYPERLINK("https://pbs.twimg.com/media/F520l3bXoAAz9sO.jpg")</f>
        <v>https://pbs.twimg.com/media/F520l3bXoAAz9sO.jpg</v>
      </c>
      <c r="AW1009" s="93" t="s">
        <v>19246</v>
      </c>
      <c r="AX1009" s="93" t="s">
        <v>19246</v>
      </c>
      <c r="AY1009" s="87"/>
      <c r="AZ1009" s="93" t="s">
        <v>22668</v>
      </c>
      <c r="BA1009" s="93" t="s">
        <v>22668</v>
      </c>
      <c r="BB1009" s="93" t="s">
        <v>22668</v>
      </c>
      <c r="BC1009" s="93" t="s">
        <v>19246</v>
      </c>
      <c r="BD1009" s="93" t="s">
        <v>23004</v>
      </c>
      <c r="BE1009" s="87"/>
      <c r="BF1009" s="87"/>
      <c r="BG1009" s="87"/>
      <c r="BH1009" s="87"/>
      <c r="BI1009" s="87"/>
    </row>
    <row r="1010" spans="1:61" x14ac:dyDescent="0.25">
      <c r="A1010" s="63" t="s">
        <v>595</v>
      </c>
      <c r="B1010" s="63" t="s">
        <v>595</v>
      </c>
      <c r="C1010" s="64"/>
      <c r="D1010" s="65"/>
      <c r="E1010" s="66"/>
      <c r="F1010" s="67"/>
      <c r="G1010" s="64"/>
      <c r="H1010" s="68"/>
      <c r="I1010" s="69"/>
      <c r="J1010" s="69"/>
      <c r="K1010" s="32"/>
      <c r="L1010" s="76">
        <v>1010</v>
      </c>
      <c r="M1010" s="76"/>
      <c r="N1010" s="71"/>
      <c r="O1010" s="87" t="s">
        <v>179</v>
      </c>
      <c r="P1010" s="90">
        <v>45177.702337962961</v>
      </c>
      <c r="Q1010" s="87" t="s">
        <v>2820</v>
      </c>
      <c r="R1010" s="87">
        <v>0</v>
      </c>
      <c r="S1010" s="87">
        <v>2</v>
      </c>
      <c r="T1010" s="87">
        <v>0</v>
      </c>
      <c r="U1010" s="87">
        <v>0</v>
      </c>
      <c r="V1010" s="87">
        <v>6</v>
      </c>
      <c r="W1010" s="93" t="s">
        <v>6562</v>
      </c>
      <c r="X1010" s="87"/>
      <c r="Y1010" s="87"/>
      <c r="Z1010" s="87"/>
      <c r="AA1010" s="87" t="s">
        <v>9221</v>
      </c>
      <c r="AB1010" s="87" t="s">
        <v>11447</v>
      </c>
      <c r="AC1010" s="93" t="s">
        <v>11459</v>
      </c>
      <c r="AD1010" s="87" t="s">
        <v>11519</v>
      </c>
      <c r="AE1010" s="92" t="str">
        <f>HYPERLINK("https://twitter.com/sinco_brasil/status/1700190099563028912")</f>
        <v>https://twitter.com/sinco_brasil/status/1700190099563028912</v>
      </c>
      <c r="AF1010" s="90">
        <v>45177.702337962961</v>
      </c>
      <c r="AG1010" s="99">
        <v>45177</v>
      </c>
      <c r="AH1010" s="93" t="s">
        <v>12460</v>
      </c>
      <c r="AI1010" s="87" t="b">
        <v>0</v>
      </c>
      <c r="AJ1010" s="87"/>
      <c r="AK1010" s="87"/>
      <c r="AL1010" s="87"/>
      <c r="AM1010" s="87"/>
      <c r="AN1010" s="87"/>
      <c r="AO1010" s="87"/>
      <c r="AP1010" s="87"/>
      <c r="AQ1010" s="87" t="s">
        <v>16034</v>
      </c>
      <c r="AR1010" s="87">
        <v>44603</v>
      </c>
      <c r="AS1010" s="87"/>
      <c r="AT1010" s="87"/>
      <c r="AU1010" s="87"/>
      <c r="AV1010" s="92" t="str">
        <f>HYPERLINK("https://pbs.twimg.com/ext_tw_video_thumb/1700190044831481856/pu/img/ueB6s4IoQmoeU6E2.jpg")</f>
        <v>https://pbs.twimg.com/ext_tw_video_thumb/1700190044831481856/pu/img/ueB6s4IoQmoeU6E2.jpg</v>
      </c>
      <c r="AW1010" s="93" t="s">
        <v>19247</v>
      </c>
      <c r="AX1010" s="93" t="s">
        <v>19247</v>
      </c>
      <c r="AY1010" s="87"/>
      <c r="AZ1010" s="93" t="s">
        <v>22668</v>
      </c>
      <c r="BA1010" s="93" t="s">
        <v>22668</v>
      </c>
      <c r="BB1010" s="93" t="s">
        <v>22668</v>
      </c>
      <c r="BC1010" s="93" t="s">
        <v>19247</v>
      </c>
      <c r="BD1010" s="87">
        <v>84619559</v>
      </c>
      <c r="BE1010" s="87"/>
      <c r="BF1010" s="87"/>
      <c r="BG1010" s="87"/>
      <c r="BH1010" s="87"/>
      <c r="BI1010" s="87"/>
    </row>
    <row r="1011" spans="1:61" x14ac:dyDescent="0.25">
      <c r="A1011" s="63" t="s">
        <v>595</v>
      </c>
      <c r="B1011" s="63" t="s">
        <v>595</v>
      </c>
      <c r="C1011" s="64"/>
      <c r="D1011" s="65"/>
      <c r="E1011" s="66"/>
      <c r="F1011" s="67"/>
      <c r="G1011" s="64"/>
      <c r="H1011" s="68"/>
      <c r="I1011" s="69"/>
      <c r="J1011" s="69"/>
      <c r="K1011" s="32"/>
      <c r="L1011" s="76">
        <v>1011</v>
      </c>
      <c r="M1011" s="76"/>
      <c r="N1011" s="71"/>
      <c r="O1011" s="87" t="s">
        <v>179</v>
      </c>
      <c r="P1011" s="90">
        <v>45175.730358796296</v>
      </c>
      <c r="Q1011" s="87" t="s">
        <v>2821</v>
      </c>
      <c r="R1011" s="87">
        <v>0</v>
      </c>
      <c r="S1011" s="87">
        <v>2</v>
      </c>
      <c r="T1011" s="87">
        <v>0</v>
      </c>
      <c r="U1011" s="87">
        <v>0</v>
      </c>
      <c r="V1011" s="87">
        <v>8</v>
      </c>
      <c r="W1011" s="93" t="s">
        <v>6563</v>
      </c>
      <c r="X1011" s="87"/>
      <c r="Y1011" s="87"/>
      <c r="Z1011" s="87"/>
      <c r="AA1011" s="87" t="s">
        <v>9222</v>
      </c>
      <c r="AB1011" s="87" t="s">
        <v>11447</v>
      </c>
      <c r="AC1011" s="93" t="s">
        <v>11459</v>
      </c>
      <c r="AD1011" s="87" t="s">
        <v>11519</v>
      </c>
      <c r="AE1011" s="92" t="str">
        <f>HYPERLINK("https://twitter.com/sinco_brasil/status/1699475479953072353")</f>
        <v>https://twitter.com/sinco_brasil/status/1699475479953072353</v>
      </c>
      <c r="AF1011" s="90">
        <v>45175.730358796296</v>
      </c>
      <c r="AG1011" s="99">
        <v>45175</v>
      </c>
      <c r="AH1011" s="93" t="s">
        <v>12461</v>
      </c>
      <c r="AI1011" s="87" t="b">
        <v>0</v>
      </c>
      <c r="AJ1011" s="87"/>
      <c r="AK1011" s="87"/>
      <c r="AL1011" s="87"/>
      <c r="AM1011" s="87"/>
      <c r="AN1011" s="87"/>
      <c r="AO1011" s="87"/>
      <c r="AP1011" s="87"/>
      <c r="AQ1011" s="87" t="s">
        <v>16035</v>
      </c>
      <c r="AR1011" s="87">
        <v>36991</v>
      </c>
      <c r="AS1011" s="87"/>
      <c r="AT1011" s="87"/>
      <c r="AU1011" s="87"/>
      <c r="AV1011" s="92" t="str">
        <f>HYPERLINK("https://pbs.twimg.com/ext_tw_video_thumb/1699475428832886784/pu/img/rfRjYRHkooVB1rM4.jpg")</f>
        <v>https://pbs.twimg.com/ext_tw_video_thumb/1699475428832886784/pu/img/rfRjYRHkooVB1rM4.jpg</v>
      </c>
      <c r="AW1011" s="93" t="s">
        <v>19248</v>
      </c>
      <c r="AX1011" s="93" t="s">
        <v>19248</v>
      </c>
      <c r="AY1011" s="87"/>
      <c r="AZ1011" s="93" t="s">
        <v>22668</v>
      </c>
      <c r="BA1011" s="93" t="s">
        <v>22668</v>
      </c>
      <c r="BB1011" s="93" t="s">
        <v>22668</v>
      </c>
      <c r="BC1011" s="93" t="s">
        <v>19248</v>
      </c>
      <c r="BD1011" s="87">
        <v>84619559</v>
      </c>
      <c r="BE1011" s="87"/>
      <c r="BF1011" s="87"/>
      <c r="BG1011" s="87"/>
      <c r="BH1011" s="87"/>
      <c r="BI1011" s="87"/>
    </row>
    <row r="1012" spans="1:61" x14ac:dyDescent="0.25">
      <c r="A1012" s="63" t="s">
        <v>595</v>
      </c>
      <c r="B1012" s="63" t="s">
        <v>595</v>
      </c>
      <c r="C1012" s="64"/>
      <c r="D1012" s="65"/>
      <c r="E1012" s="66"/>
      <c r="F1012" s="67"/>
      <c r="G1012" s="64"/>
      <c r="H1012" s="68"/>
      <c r="I1012" s="69"/>
      <c r="J1012" s="69"/>
      <c r="K1012" s="32"/>
      <c r="L1012" s="76">
        <v>1012</v>
      </c>
      <c r="M1012" s="76"/>
      <c r="N1012" s="71"/>
      <c r="O1012" s="87" t="s">
        <v>179</v>
      </c>
      <c r="P1012" s="90">
        <v>45166.475555555553</v>
      </c>
      <c r="Q1012" s="87" t="s">
        <v>2822</v>
      </c>
      <c r="R1012" s="87">
        <v>0</v>
      </c>
      <c r="S1012" s="87">
        <v>2</v>
      </c>
      <c r="T1012" s="87">
        <v>0</v>
      </c>
      <c r="U1012" s="87">
        <v>0</v>
      </c>
      <c r="V1012" s="87">
        <v>7</v>
      </c>
      <c r="W1012" s="93" t="s">
        <v>6564</v>
      </c>
      <c r="X1012" s="87"/>
      <c r="Y1012" s="87"/>
      <c r="Z1012" s="87"/>
      <c r="AA1012" s="87" t="s">
        <v>9223</v>
      </c>
      <c r="AB1012" s="87" t="s">
        <v>11448</v>
      </c>
      <c r="AC1012" s="93" t="s">
        <v>11459</v>
      </c>
      <c r="AD1012" s="87" t="s">
        <v>11519</v>
      </c>
      <c r="AE1012" s="92" t="str">
        <f>HYPERLINK("https://twitter.com/sinco_brasil/status/1696121649739776253")</f>
        <v>https://twitter.com/sinco_brasil/status/1696121649739776253</v>
      </c>
      <c r="AF1012" s="90">
        <v>45166.475555555553</v>
      </c>
      <c r="AG1012" s="99">
        <v>45166</v>
      </c>
      <c r="AH1012" s="93" t="s">
        <v>12462</v>
      </c>
      <c r="AI1012" s="87" t="b">
        <v>0</v>
      </c>
      <c r="AJ1012" s="87"/>
      <c r="AK1012" s="87"/>
      <c r="AL1012" s="87"/>
      <c r="AM1012" s="87"/>
      <c r="AN1012" s="87"/>
      <c r="AO1012" s="87"/>
      <c r="AP1012" s="87"/>
      <c r="AQ1012" s="87" t="s">
        <v>16036</v>
      </c>
      <c r="AR1012" s="87"/>
      <c r="AS1012" s="87"/>
      <c r="AT1012" s="87"/>
      <c r="AU1012" s="87"/>
      <c r="AV1012" s="92" t="str">
        <f>HYPERLINK("https://pbs.twimg.com/media/F4nVpv5XkAEFfY2.jpg")</f>
        <v>https://pbs.twimg.com/media/F4nVpv5XkAEFfY2.jpg</v>
      </c>
      <c r="AW1012" s="93" t="s">
        <v>19249</v>
      </c>
      <c r="AX1012" s="93" t="s">
        <v>19249</v>
      </c>
      <c r="AY1012" s="87"/>
      <c r="AZ1012" s="93" t="s">
        <v>22668</v>
      </c>
      <c r="BA1012" s="93" t="s">
        <v>22668</v>
      </c>
      <c r="BB1012" s="93" t="s">
        <v>22668</v>
      </c>
      <c r="BC1012" s="93" t="s">
        <v>19249</v>
      </c>
      <c r="BD1012" s="87">
        <v>84619559</v>
      </c>
      <c r="BE1012" s="87"/>
      <c r="BF1012" s="87"/>
      <c r="BG1012" s="87"/>
      <c r="BH1012" s="87"/>
      <c r="BI1012" s="87"/>
    </row>
    <row r="1013" spans="1:61" x14ac:dyDescent="0.25">
      <c r="A1013" s="63" t="s">
        <v>595</v>
      </c>
      <c r="B1013" s="63" t="s">
        <v>595</v>
      </c>
      <c r="C1013" s="64"/>
      <c r="D1013" s="65"/>
      <c r="E1013" s="66"/>
      <c r="F1013" s="67"/>
      <c r="G1013" s="64"/>
      <c r="H1013" s="68"/>
      <c r="I1013" s="69"/>
      <c r="J1013" s="69"/>
      <c r="K1013" s="32"/>
      <c r="L1013" s="76">
        <v>1013</v>
      </c>
      <c r="M1013" s="76"/>
      <c r="N1013" s="71"/>
      <c r="O1013" s="87" t="s">
        <v>179</v>
      </c>
      <c r="P1013" s="90">
        <v>45161.409490740742</v>
      </c>
      <c r="Q1013" s="87" t="s">
        <v>2823</v>
      </c>
      <c r="R1013" s="87">
        <v>0</v>
      </c>
      <c r="S1013" s="87">
        <v>2</v>
      </c>
      <c r="T1013" s="87">
        <v>0</v>
      </c>
      <c r="U1013" s="87">
        <v>0</v>
      </c>
      <c r="V1013" s="87">
        <v>11</v>
      </c>
      <c r="W1013" s="93" t="s">
        <v>6565</v>
      </c>
      <c r="X1013" s="87"/>
      <c r="Y1013" s="87"/>
      <c r="Z1013" s="87"/>
      <c r="AA1013" s="87" t="s">
        <v>9224</v>
      </c>
      <c r="AB1013" s="87" t="s">
        <v>11448</v>
      </c>
      <c r="AC1013" s="93" t="s">
        <v>11459</v>
      </c>
      <c r="AD1013" s="87" t="s">
        <v>11519</v>
      </c>
      <c r="AE1013" s="92" t="str">
        <f>HYPERLINK("https://twitter.com/sinco_brasil/status/1694285771652403232")</f>
        <v>https://twitter.com/sinco_brasil/status/1694285771652403232</v>
      </c>
      <c r="AF1013" s="90">
        <v>45161.409490740742</v>
      </c>
      <c r="AG1013" s="99">
        <v>45161</v>
      </c>
      <c r="AH1013" s="93" t="s">
        <v>12463</v>
      </c>
      <c r="AI1013" s="87" t="b">
        <v>0</v>
      </c>
      <c r="AJ1013" s="87"/>
      <c r="AK1013" s="87"/>
      <c r="AL1013" s="87"/>
      <c r="AM1013" s="87"/>
      <c r="AN1013" s="87"/>
      <c r="AO1013" s="87"/>
      <c r="AP1013" s="87"/>
      <c r="AQ1013" s="87" t="s">
        <v>16037</v>
      </c>
      <c r="AR1013" s="87"/>
      <c r="AS1013" s="87"/>
      <c r="AT1013" s="87"/>
      <c r="AU1013" s="87"/>
      <c r="AV1013" s="92" t="str">
        <f>HYPERLINK("https://pbs.twimg.com/media/F4NP7lVWkAA81Sf.jpg")</f>
        <v>https://pbs.twimg.com/media/F4NP7lVWkAA81Sf.jpg</v>
      </c>
      <c r="AW1013" s="93" t="s">
        <v>19250</v>
      </c>
      <c r="AX1013" s="93" t="s">
        <v>19250</v>
      </c>
      <c r="AY1013" s="87"/>
      <c r="AZ1013" s="93" t="s">
        <v>22668</v>
      </c>
      <c r="BA1013" s="93" t="s">
        <v>22668</v>
      </c>
      <c r="BB1013" s="93" t="s">
        <v>22668</v>
      </c>
      <c r="BC1013" s="93" t="s">
        <v>19250</v>
      </c>
      <c r="BD1013" s="87">
        <v>84619559</v>
      </c>
      <c r="BE1013" s="87"/>
      <c r="BF1013" s="87"/>
      <c r="BG1013" s="87"/>
      <c r="BH1013" s="87"/>
      <c r="BI1013" s="87"/>
    </row>
    <row r="1014" spans="1:61" x14ac:dyDescent="0.25">
      <c r="A1014" s="63" t="s">
        <v>595</v>
      </c>
      <c r="B1014" s="63" t="s">
        <v>595</v>
      </c>
      <c r="C1014" s="64"/>
      <c r="D1014" s="65"/>
      <c r="E1014" s="66"/>
      <c r="F1014" s="67"/>
      <c r="G1014" s="64"/>
      <c r="H1014" s="68"/>
      <c r="I1014" s="69"/>
      <c r="J1014" s="69"/>
      <c r="K1014" s="32"/>
      <c r="L1014" s="76">
        <v>1014</v>
      </c>
      <c r="M1014" s="76"/>
      <c r="N1014" s="71"/>
      <c r="O1014" s="87" t="s">
        <v>179</v>
      </c>
      <c r="P1014" s="90">
        <v>45159.403587962966</v>
      </c>
      <c r="Q1014" s="87" t="s">
        <v>2824</v>
      </c>
      <c r="R1014" s="87">
        <v>0</v>
      </c>
      <c r="S1014" s="87">
        <v>2</v>
      </c>
      <c r="T1014" s="87">
        <v>0</v>
      </c>
      <c r="U1014" s="87">
        <v>0</v>
      </c>
      <c r="V1014" s="87">
        <v>10</v>
      </c>
      <c r="W1014" s="93" t="s">
        <v>6566</v>
      </c>
      <c r="X1014" s="87"/>
      <c r="Y1014" s="87"/>
      <c r="Z1014" s="87"/>
      <c r="AA1014" s="87" t="s">
        <v>9225</v>
      </c>
      <c r="AB1014" s="87" t="s">
        <v>11448</v>
      </c>
      <c r="AC1014" s="93" t="s">
        <v>11459</v>
      </c>
      <c r="AD1014" s="87" t="s">
        <v>11519</v>
      </c>
      <c r="AE1014" s="92" t="str">
        <f>HYPERLINK("https://twitter.com/sinco_brasil/status/1693558853013516385")</f>
        <v>https://twitter.com/sinco_brasil/status/1693558853013516385</v>
      </c>
      <c r="AF1014" s="90">
        <v>45159.403587962966</v>
      </c>
      <c r="AG1014" s="99">
        <v>45159</v>
      </c>
      <c r="AH1014" s="93" t="s">
        <v>12464</v>
      </c>
      <c r="AI1014" s="87" t="b">
        <v>0</v>
      </c>
      <c r="AJ1014" s="87"/>
      <c r="AK1014" s="87"/>
      <c r="AL1014" s="87"/>
      <c r="AM1014" s="87"/>
      <c r="AN1014" s="87"/>
      <c r="AO1014" s="87"/>
      <c r="AP1014" s="87"/>
      <c r="AQ1014" s="87" t="s">
        <v>16038</v>
      </c>
      <c r="AR1014" s="87"/>
      <c r="AS1014" s="87"/>
      <c r="AT1014" s="87"/>
      <c r="AU1014" s="87"/>
      <c r="AV1014" s="92" t="str">
        <f>HYPERLINK("https://pbs.twimg.com/media/F4C6zVMWEAAZdL6.jpg")</f>
        <v>https://pbs.twimg.com/media/F4C6zVMWEAAZdL6.jpg</v>
      </c>
      <c r="AW1014" s="93" t="s">
        <v>19251</v>
      </c>
      <c r="AX1014" s="93" t="s">
        <v>19251</v>
      </c>
      <c r="AY1014" s="87"/>
      <c r="AZ1014" s="93" t="s">
        <v>22668</v>
      </c>
      <c r="BA1014" s="93" t="s">
        <v>22668</v>
      </c>
      <c r="BB1014" s="93" t="s">
        <v>22668</v>
      </c>
      <c r="BC1014" s="93" t="s">
        <v>19251</v>
      </c>
      <c r="BD1014" s="87">
        <v>84619559</v>
      </c>
      <c r="BE1014" s="87"/>
      <c r="BF1014" s="87"/>
      <c r="BG1014" s="87"/>
      <c r="BH1014" s="87"/>
      <c r="BI1014" s="87"/>
    </row>
    <row r="1015" spans="1:61" x14ac:dyDescent="0.25">
      <c r="A1015" s="63" t="s">
        <v>595</v>
      </c>
      <c r="B1015" s="63" t="s">
        <v>595</v>
      </c>
      <c r="C1015" s="64"/>
      <c r="D1015" s="65"/>
      <c r="E1015" s="66"/>
      <c r="F1015" s="67"/>
      <c r="G1015" s="64"/>
      <c r="H1015" s="68"/>
      <c r="I1015" s="69"/>
      <c r="J1015" s="69"/>
      <c r="K1015" s="32"/>
      <c r="L1015" s="76">
        <v>1015</v>
      </c>
      <c r="M1015" s="76"/>
      <c r="N1015" s="71"/>
      <c r="O1015" s="87" t="s">
        <v>179</v>
      </c>
      <c r="P1015" s="90">
        <v>45145.459363425929</v>
      </c>
      <c r="Q1015" s="87" t="s">
        <v>2825</v>
      </c>
      <c r="R1015" s="87">
        <v>0</v>
      </c>
      <c r="S1015" s="87">
        <v>2</v>
      </c>
      <c r="T1015" s="87">
        <v>0</v>
      </c>
      <c r="U1015" s="87">
        <v>0</v>
      </c>
      <c r="V1015" s="87">
        <v>11</v>
      </c>
      <c r="W1015" s="93" t="s">
        <v>6567</v>
      </c>
      <c r="X1015" s="87"/>
      <c r="Y1015" s="87"/>
      <c r="Z1015" s="87"/>
      <c r="AA1015" s="87" t="s">
        <v>9226</v>
      </c>
      <c r="AB1015" s="87" t="s">
        <v>11447</v>
      </c>
      <c r="AC1015" s="93" t="s">
        <v>11459</v>
      </c>
      <c r="AD1015" s="87" t="s">
        <v>11519</v>
      </c>
      <c r="AE1015" s="92" t="str">
        <f>HYPERLINK("https://twitter.com/sinco_brasil/status/1688505637854986240")</f>
        <v>https://twitter.com/sinco_brasil/status/1688505637854986240</v>
      </c>
      <c r="AF1015" s="90">
        <v>45145.459363425929</v>
      </c>
      <c r="AG1015" s="99">
        <v>45145</v>
      </c>
      <c r="AH1015" s="93" t="s">
        <v>12465</v>
      </c>
      <c r="AI1015" s="87" t="b">
        <v>0</v>
      </c>
      <c r="AJ1015" s="87"/>
      <c r="AK1015" s="87"/>
      <c r="AL1015" s="87"/>
      <c r="AM1015" s="87"/>
      <c r="AN1015" s="87"/>
      <c r="AO1015" s="87"/>
      <c r="AP1015" s="87"/>
      <c r="AQ1015" s="87" t="s">
        <v>16039</v>
      </c>
      <c r="AR1015" s="87">
        <v>8916</v>
      </c>
      <c r="AS1015" s="87"/>
      <c r="AT1015" s="87"/>
      <c r="AU1015" s="87"/>
      <c r="AV1015" s="92" t="str">
        <f>HYPERLINK("https://pbs.twimg.com/ext_tw_video_thumb/1688505616023597056/pu/img/o0bzfeo0orLEr7lc.jpg")</f>
        <v>https://pbs.twimg.com/ext_tw_video_thumb/1688505616023597056/pu/img/o0bzfeo0orLEr7lc.jpg</v>
      </c>
      <c r="AW1015" s="93" t="s">
        <v>19252</v>
      </c>
      <c r="AX1015" s="93" t="s">
        <v>19252</v>
      </c>
      <c r="AY1015" s="87"/>
      <c r="AZ1015" s="93" t="s">
        <v>22668</v>
      </c>
      <c r="BA1015" s="93" t="s">
        <v>22668</v>
      </c>
      <c r="BB1015" s="93" t="s">
        <v>22668</v>
      </c>
      <c r="BC1015" s="93" t="s">
        <v>19252</v>
      </c>
      <c r="BD1015" s="87">
        <v>84619559</v>
      </c>
      <c r="BE1015" s="87"/>
      <c r="BF1015" s="87"/>
      <c r="BG1015" s="87"/>
      <c r="BH1015" s="87"/>
      <c r="BI1015" s="87"/>
    </row>
    <row r="1016" spans="1:61" x14ac:dyDescent="0.25">
      <c r="A1016" s="63" t="s">
        <v>595</v>
      </c>
      <c r="B1016" s="63" t="s">
        <v>595</v>
      </c>
      <c r="C1016" s="64"/>
      <c r="D1016" s="65"/>
      <c r="E1016" s="66"/>
      <c r="F1016" s="67"/>
      <c r="G1016" s="64"/>
      <c r="H1016" s="68"/>
      <c r="I1016" s="69"/>
      <c r="J1016" s="69"/>
      <c r="K1016" s="32"/>
      <c r="L1016" s="76">
        <v>1016</v>
      </c>
      <c r="M1016" s="76"/>
      <c r="N1016" s="71"/>
      <c r="O1016" s="87" t="s">
        <v>179</v>
      </c>
      <c r="P1016" s="90">
        <v>45145.424398148149</v>
      </c>
      <c r="Q1016" s="87" t="s">
        <v>2826</v>
      </c>
      <c r="R1016" s="87">
        <v>0</v>
      </c>
      <c r="S1016" s="87">
        <v>2</v>
      </c>
      <c r="T1016" s="87">
        <v>0</v>
      </c>
      <c r="U1016" s="87">
        <v>0</v>
      </c>
      <c r="V1016" s="87">
        <v>9</v>
      </c>
      <c r="W1016" s="93" t="s">
        <v>6568</v>
      </c>
      <c r="X1016" s="87"/>
      <c r="Y1016" s="87"/>
      <c r="Z1016" s="87"/>
      <c r="AA1016" s="87" t="s">
        <v>9227</v>
      </c>
      <c r="AB1016" s="87" t="s">
        <v>11448</v>
      </c>
      <c r="AC1016" s="93" t="s">
        <v>11459</v>
      </c>
      <c r="AD1016" s="87" t="s">
        <v>11519</v>
      </c>
      <c r="AE1016" s="92" t="str">
        <f>HYPERLINK("https://twitter.com/sinco_brasil/status/1688492964761210881")</f>
        <v>https://twitter.com/sinco_brasil/status/1688492964761210881</v>
      </c>
      <c r="AF1016" s="90">
        <v>45145.424398148149</v>
      </c>
      <c r="AG1016" s="99">
        <v>45145</v>
      </c>
      <c r="AH1016" s="93" t="s">
        <v>12466</v>
      </c>
      <c r="AI1016" s="87" t="b">
        <v>0</v>
      </c>
      <c r="AJ1016" s="87"/>
      <c r="AK1016" s="87"/>
      <c r="AL1016" s="87"/>
      <c r="AM1016" s="87"/>
      <c r="AN1016" s="87"/>
      <c r="AO1016" s="87"/>
      <c r="AP1016" s="87"/>
      <c r="AQ1016" s="87" t="s">
        <v>16040</v>
      </c>
      <c r="AR1016" s="87"/>
      <c r="AS1016" s="87"/>
      <c r="AT1016" s="87"/>
      <c r="AU1016" s="87"/>
      <c r="AV1016" s="92" t="str">
        <f>HYPERLINK("https://pbs.twimg.com/media/F267ZzKXsAAVYII.jpg")</f>
        <v>https://pbs.twimg.com/media/F267ZzKXsAAVYII.jpg</v>
      </c>
      <c r="AW1016" s="93" t="s">
        <v>19253</v>
      </c>
      <c r="AX1016" s="93" t="s">
        <v>19253</v>
      </c>
      <c r="AY1016" s="87"/>
      <c r="AZ1016" s="93" t="s">
        <v>22668</v>
      </c>
      <c r="BA1016" s="93" t="s">
        <v>22668</v>
      </c>
      <c r="BB1016" s="93" t="s">
        <v>22668</v>
      </c>
      <c r="BC1016" s="93" t="s">
        <v>19253</v>
      </c>
      <c r="BD1016" s="87">
        <v>84619559</v>
      </c>
      <c r="BE1016" s="87"/>
      <c r="BF1016" s="87"/>
      <c r="BG1016" s="87"/>
      <c r="BH1016" s="87"/>
      <c r="BI1016" s="87"/>
    </row>
    <row r="1017" spans="1:61" x14ac:dyDescent="0.25">
      <c r="A1017" s="63" t="s">
        <v>595</v>
      </c>
      <c r="B1017" s="63" t="s">
        <v>595</v>
      </c>
      <c r="C1017" s="64"/>
      <c r="D1017" s="65"/>
      <c r="E1017" s="66"/>
      <c r="F1017" s="67"/>
      <c r="G1017" s="64"/>
      <c r="H1017" s="68"/>
      <c r="I1017" s="69"/>
      <c r="J1017" s="69"/>
      <c r="K1017" s="32"/>
      <c r="L1017" s="76">
        <v>1017</v>
      </c>
      <c r="M1017" s="76"/>
      <c r="N1017" s="71"/>
      <c r="O1017" s="87" t="s">
        <v>179</v>
      </c>
      <c r="P1017" s="90">
        <v>45134.445937500001</v>
      </c>
      <c r="Q1017" s="87" t="s">
        <v>2827</v>
      </c>
      <c r="R1017" s="87">
        <v>0</v>
      </c>
      <c r="S1017" s="87">
        <v>2</v>
      </c>
      <c r="T1017" s="87">
        <v>0</v>
      </c>
      <c r="U1017" s="87">
        <v>0</v>
      </c>
      <c r="V1017" s="87">
        <v>10</v>
      </c>
      <c r="W1017" s="93" t="s">
        <v>6569</v>
      </c>
      <c r="X1017" s="87"/>
      <c r="Y1017" s="87"/>
      <c r="Z1017" s="87"/>
      <c r="AA1017" s="87" t="s">
        <v>9228</v>
      </c>
      <c r="AB1017" s="87" t="s">
        <v>11448</v>
      </c>
      <c r="AC1017" s="93" t="s">
        <v>11459</v>
      </c>
      <c r="AD1017" s="87" t="s">
        <v>11519</v>
      </c>
      <c r="AE1017" s="92" t="str">
        <f>HYPERLINK("https://twitter.com/sinco_brasil/status/1684514505185718272")</f>
        <v>https://twitter.com/sinco_brasil/status/1684514505185718272</v>
      </c>
      <c r="AF1017" s="90">
        <v>45134.445937500001</v>
      </c>
      <c r="AG1017" s="99">
        <v>45134</v>
      </c>
      <c r="AH1017" s="93" t="s">
        <v>12467</v>
      </c>
      <c r="AI1017" s="87" t="b">
        <v>0</v>
      </c>
      <c r="AJ1017" s="87"/>
      <c r="AK1017" s="87"/>
      <c r="AL1017" s="87"/>
      <c r="AM1017" s="87"/>
      <c r="AN1017" s="87"/>
      <c r="AO1017" s="87"/>
      <c r="AP1017" s="87"/>
      <c r="AQ1017" s="87" t="s">
        <v>16041</v>
      </c>
      <c r="AR1017" s="87"/>
      <c r="AS1017" s="87"/>
      <c r="AT1017" s="87"/>
      <c r="AU1017" s="87"/>
      <c r="AV1017" s="92" t="str">
        <f>HYPERLINK("https://pbs.twimg.com/media/F2CZBAYXwAAglCE.jpg")</f>
        <v>https://pbs.twimg.com/media/F2CZBAYXwAAglCE.jpg</v>
      </c>
      <c r="AW1017" s="93" t="s">
        <v>19254</v>
      </c>
      <c r="AX1017" s="93" t="s">
        <v>19254</v>
      </c>
      <c r="AY1017" s="87"/>
      <c r="AZ1017" s="93" t="s">
        <v>22668</v>
      </c>
      <c r="BA1017" s="93" t="s">
        <v>22668</v>
      </c>
      <c r="BB1017" s="93" t="s">
        <v>22668</v>
      </c>
      <c r="BC1017" s="93" t="s">
        <v>19254</v>
      </c>
      <c r="BD1017" s="87">
        <v>84619559</v>
      </c>
      <c r="BE1017" s="87"/>
      <c r="BF1017" s="87"/>
      <c r="BG1017" s="87"/>
      <c r="BH1017" s="87"/>
      <c r="BI1017" s="87"/>
    </row>
    <row r="1018" spans="1:61" x14ac:dyDescent="0.25">
      <c r="A1018" s="63" t="s">
        <v>595</v>
      </c>
      <c r="B1018" s="63" t="s">
        <v>595</v>
      </c>
      <c r="C1018" s="64"/>
      <c r="D1018" s="65"/>
      <c r="E1018" s="66"/>
      <c r="F1018" s="67"/>
      <c r="G1018" s="64"/>
      <c r="H1018" s="68"/>
      <c r="I1018" s="69"/>
      <c r="J1018" s="69"/>
      <c r="K1018" s="32"/>
      <c r="L1018" s="76">
        <v>1018</v>
      </c>
      <c r="M1018" s="76"/>
      <c r="N1018" s="71"/>
      <c r="O1018" s="87" t="s">
        <v>179</v>
      </c>
      <c r="P1018" s="90">
        <v>45119.397800925923</v>
      </c>
      <c r="Q1018" s="87" t="s">
        <v>2828</v>
      </c>
      <c r="R1018" s="87">
        <v>0</v>
      </c>
      <c r="S1018" s="87">
        <v>2</v>
      </c>
      <c r="T1018" s="87">
        <v>0</v>
      </c>
      <c r="U1018" s="87">
        <v>0</v>
      </c>
      <c r="V1018" s="87">
        <v>12</v>
      </c>
      <c r="W1018" s="93" t="s">
        <v>6570</v>
      </c>
      <c r="X1018" s="87"/>
      <c r="Y1018" s="87"/>
      <c r="Z1018" s="87"/>
      <c r="AA1018" s="87" t="s">
        <v>9229</v>
      </c>
      <c r="AB1018" s="87" t="s">
        <v>11448</v>
      </c>
      <c r="AC1018" s="93" t="s">
        <v>11459</v>
      </c>
      <c r="AD1018" s="87" t="s">
        <v>11519</v>
      </c>
      <c r="AE1018" s="92" t="str">
        <f>HYPERLINK("https://twitter.com/sinco_brasil/status/1679061244316119040")</f>
        <v>https://twitter.com/sinco_brasil/status/1679061244316119040</v>
      </c>
      <c r="AF1018" s="90">
        <v>45119.397800925923</v>
      </c>
      <c r="AG1018" s="99">
        <v>45119</v>
      </c>
      <c r="AH1018" s="93" t="s">
        <v>12468</v>
      </c>
      <c r="AI1018" s="87" t="b">
        <v>0</v>
      </c>
      <c r="AJ1018" s="87"/>
      <c r="AK1018" s="87"/>
      <c r="AL1018" s="87"/>
      <c r="AM1018" s="87"/>
      <c r="AN1018" s="87"/>
      <c r="AO1018" s="87"/>
      <c r="AP1018" s="87"/>
      <c r="AQ1018" s="87" t="s">
        <v>16042</v>
      </c>
      <c r="AR1018" s="87"/>
      <c r="AS1018" s="87"/>
      <c r="AT1018" s="87"/>
      <c r="AU1018" s="87"/>
      <c r="AV1018" s="92" t="str">
        <f>HYPERLINK("https://pbs.twimg.com/media/F005TZoXgAAKfA8.jpg")</f>
        <v>https://pbs.twimg.com/media/F005TZoXgAAKfA8.jpg</v>
      </c>
      <c r="AW1018" s="93" t="s">
        <v>19255</v>
      </c>
      <c r="AX1018" s="93" t="s">
        <v>19255</v>
      </c>
      <c r="AY1018" s="87"/>
      <c r="AZ1018" s="93" t="s">
        <v>22668</v>
      </c>
      <c r="BA1018" s="93" t="s">
        <v>22668</v>
      </c>
      <c r="BB1018" s="93" t="s">
        <v>22668</v>
      </c>
      <c r="BC1018" s="93" t="s">
        <v>19255</v>
      </c>
      <c r="BD1018" s="87">
        <v>84619559</v>
      </c>
      <c r="BE1018" s="87"/>
      <c r="BF1018" s="87"/>
      <c r="BG1018" s="87"/>
      <c r="BH1018" s="87"/>
      <c r="BI1018" s="87"/>
    </row>
    <row r="1019" spans="1:61" x14ac:dyDescent="0.25">
      <c r="A1019" s="63" t="s">
        <v>595</v>
      </c>
      <c r="B1019" s="63" t="s">
        <v>595</v>
      </c>
      <c r="C1019" s="64"/>
      <c r="D1019" s="65"/>
      <c r="E1019" s="66"/>
      <c r="F1019" s="67"/>
      <c r="G1019" s="64"/>
      <c r="H1019" s="68"/>
      <c r="I1019" s="69"/>
      <c r="J1019" s="69"/>
      <c r="K1019" s="32"/>
      <c r="L1019" s="76">
        <v>1019</v>
      </c>
      <c r="M1019" s="76"/>
      <c r="N1019" s="71"/>
      <c r="O1019" s="87" t="s">
        <v>179</v>
      </c>
      <c r="P1019" s="90">
        <v>45113.410833333335</v>
      </c>
      <c r="Q1019" s="87" t="s">
        <v>2829</v>
      </c>
      <c r="R1019" s="87">
        <v>0</v>
      </c>
      <c r="S1019" s="87">
        <v>2</v>
      </c>
      <c r="T1019" s="87">
        <v>0</v>
      </c>
      <c r="U1019" s="87">
        <v>0</v>
      </c>
      <c r="V1019" s="87">
        <v>16</v>
      </c>
      <c r="W1019" s="93" t="s">
        <v>6571</v>
      </c>
      <c r="X1019" s="87"/>
      <c r="Y1019" s="87"/>
      <c r="Z1019" s="87"/>
      <c r="AA1019" s="87" t="s">
        <v>9230</v>
      </c>
      <c r="AB1019" s="87" t="s">
        <v>11448</v>
      </c>
      <c r="AC1019" s="93" t="s">
        <v>11459</v>
      </c>
      <c r="AD1019" s="87" t="s">
        <v>11519</v>
      </c>
      <c r="AE1019" s="92" t="str">
        <f>HYPERLINK("https://twitter.com/sinco_brasil/status/1676891637547429888")</f>
        <v>https://twitter.com/sinco_brasil/status/1676891637547429888</v>
      </c>
      <c r="AF1019" s="90">
        <v>45113.410833333335</v>
      </c>
      <c r="AG1019" s="99">
        <v>45113</v>
      </c>
      <c r="AH1019" s="93" t="s">
        <v>12469</v>
      </c>
      <c r="AI1019" s="87" t="b">
        <v>0</v>
      </c>
      <c r="AJ1019" s="87"/>
      <c r="AK1019" s="87"/>
      <c r="AL1019" s="87"/>
      <c r="AM1019" s="87"/>
      <c r="AN1019" s="87"/>
      <c r="AO1019" s="87"/>
      <c r="AP1019" s="87"/>
      <c r="AQ1019" s="87" t="s">
        <v>16043</v>
      </c>
      <c r="AR1019" s="87"/>
      <c r="AS1019" s="87"/>
      <c r="AT1019" s="87"/>
      <c r="AU1019" s="87"/>
      <c r="AV1019" s="92" t="str">
        <f>HYPERLINK("https://pbs.twimg.com/media/F0WEDp9XsAMaHDx.jpg")</f>
        <v>https://pbs.twimg.com/media/F0WEDp9XsAMaHDx.jpg</v>
      </c>
      <c r="AW1019" s="93" t="s">
        <v>19256</v>
      </c>
      <c r="AX1019" s="93" t="s">
        <v>19256</v>
      </c>
      <c r="AY1019" s="87"/>
      <c r="AZ1019" s="93" t="s">
        <v>22668</v>
      </c>
      <c r="BA1019" s="93" t="s">
        <v>22668</v>
      </c>
      <c r="BB1019" s="93" t="s">
        <v>22668</v>
      </c>
      <c r="BC1019" s="93" t="s">
        <v>19256</v>
      </c>
      <c r="BD1019" s="87">
        <v>84619559</v>
      </c>
      <c r="BE1019" s="87"/>
      <c r="BF1019" s="87"/>
      <c r="BG1019" s="87"/>
      <c r="BH1019" s="87"/>
      <c r="BI1019" s="87"/>
    </row>
    <row r="1020" spans="1:61" x14ac:dyDescent="0.25">
      <c r="A1020" s="63" t="s">
        <v>595</v>
      </c>
      <c r="B1020" s="63" t="s">
        <v>595</v>
      </c>
      <c r="C1020" s="64"/>
      <c r="D1020" s="65"/>
      <c r="E1020" s="66"/>
      <c r="F1020" s="67"/>
      <c r="G1020" s="64"/>
      <c r="H1020" s="68"/>
      <c r="I1020" s="69"/>
      <c r="J1020" s="69"/>
      <c r="K1020" s="32"/>
      <c r="L1020" s="76">
        <v>1020</v>
      </c>
      <c r="M1020" s="76"/>
      <c r="N1020" s="71"/>
      <c r="O1020" s="87" t="s">
        <v>179</v>
      </c>
      <c r="P1020" s="90">
        <v>45112.412141203706</v>
      </c>
      <c r="Q1020" s="87" t="s">
        <v>2830</v>
      </c>
      <c r="R1020" s="87">
        <v>0</v>
      </c>
      <c r="S1020" s="87">
        <v>2</v>
      </c>
      <c r="T1020" s="87">
        <v>0</v>
      </c>
      <c r="U1020" s="87">
        <v>0</v>
      </c>
      <c r="V1020" s="87">
        <v>21</v>
      </c>
      <c r="W1020" s="93" t="s">
        <v>6572</v>
      </c>
      <c r="X1020" s="87"/>
      <c r="Y1020" s="87"/>
      <c r="Z1020" s="87"/>
      <c r="AA1020" s="87" t="s">
        <v>9231</v>
      </c>
      <c r="AB1020" s="87" t="s">
        <v>11448</v>
      </c>
      <c r="AC1020" s="93" t="s">
        <v>11459</v>
      </c>
      <c r="AD1020" s="87" t="s">
        <v>11519</v>
      </c>
      <c r="AE1020" s="92" t="str">
        <f>HYPERLINK("https://twitter.com/sinco_brasil/status/1676529723558461440")</f>
        <v>https://twitter.com/sinco_brasil/status/1676529723558461440</v>
      </c>
      <c r="AF1020" s="90">
        <v>45112.412141203706</v>
      </c>
      <c r="AG1020" s="99">
        <v>45112</v>
      </c>
      <c r="AH1020" s="93" t="s">
        <v>12470</v>
      </c>
      <c r="AI1020" s="87" t="b">
        <v>0</v>
      </c>
      <c r="AJ1020" s="87"/>
      <c r="AK1020" s="87"/>
      <c r="AL1020" s="87"/>
      <c r="AM1020" s="87"/>
      <c r="AN1020" s="87"/>
      <c r="AO1020" s="87"/>
      <c r="AP1020" s="87"/>
      <c r="AQ1020" s="87" t="s">
        <v>16044</v>
      </c>
      <c r="AR1020" s="87"/>
      <c r="AS1020" s="87"/>
      <c r="AT1020" s="87"/>
      <c r="AU1020" s="87"/>
      <c r="AV1020" s="92" t="str">
        <f>HYPERLINK("https://pbs.twimg.com/media/F0Q65jFX0AIqe7R.jpg")</f>
        <v>https://pbs.twimg.com/media/F0Q65jFX0AIqe7R.jpg</v>
      </c>
      <c r="AW1020" s="93" t="s">
        <v>19257</v>
      </c>
      <c r="AX1020" s="93" t="s">
        <v>19257</v>
      </c>
      <c r="AY1020" s="87"/>
      <c r="AZ1020" s="93" t="s">
        <v>22668</v>
      </c>
      <c r="BA1020" s="93" t="s">
        <v>22668</v>
      </c>
      <c r="BB1020" s="93" t="s">
        <v>22668</v>
      </c>
      <c r="BC1020" s="93" t="s">
        <v>19257</v>
      </c>
      <c r="BD1020" s="87">
        <v>84619559</v>
      </c>
      <c r="BE1020" s="87"/>
      <c r="BF1020" s="87"/>
      <c r="BG1020" s="87"/>
      <c r="BH1020" s="87"/>
      <c r="BI1020" s="87"/>
    </row>
    <row r="1021" spans="1:61" x14ac:dyDescent="0.25">
      <c r="A1021" s="63" t="s">
        <v>595</v>
      </c>
      <c r="B1021" s="63" t="s">
        <v>595</v>
      </c>
      <c r="C1021" s="64"/>
      <c r="D1021" s="65"/>
      <c r="E1021" s="66"/>
      <c r="F1021" s="67"/>
      <c r="G1021" s="64"/>
      <c r="H1021" s="68"/>
      <c r="I1021" s="69"/>
      <c r="J1021" s="69"/>
      <c r="K1021" s="32"/>
      <c r="L1021" s="76">
        <v>1021</v>
      </c>
      <c r="M1021" s="76"/>
      <c r="N1021" s="71"/>
      <c r="O1021" s="87" t="s">
        <v>179</v>
      </c>
      <c r="P1021" s="90">
        <v>45180.421712962961</v>
      </c>
      <c r="Q1021" s="87" t="s">
        <v>2831</v>
      </c>
      <c r="R1021" s="87">
        <v>0</v>
      </c>
      <c r="S1021" s="87">
        <v>2</v>
      </c>
      <c r="T1021" s="87">
        <v>0</v>
      </c>
      <c r="U1021" s="87">
        <v>0</v>
      </c>
      <c r="V1021" s="87">
        <v>9</v>
      </c>
      <c r="W1021" s="93" t="s">
        <v>6573</v>
      </c>
      <c r="X1021" s="87"/>
      <c r="Y1021" s="87"/>
      <c r="Z1021" s="87"/>
      <c r="AA1021" s="87" t="s">
        <v>9232</v>
      </c>
      <c r="AB1021" s="87" t="s">
        <v>11448</v>
      </c>
      <c r="AC1021" s="93" t="s">
        <v>11459</v>
      </c>
      <c r="AD1021" s="87" t="s">
        <v>11519</v>
      </c>
      <c r="AE1021" s="92" t="str">
        <f>HYPERLINK("https://twitter.com/sinco_brasil/status/1701175568182411277")</f>
        <v>https://twitter.com/sinco_brasil/status/1701175568182411277</v>
      </c>
      <c r="AF1021" s="90">
        <v>45180.421712962961</v>
      </c>
      <c r="AG1021" s="99">
        <v>45180</v>
      </c>
      <c r="AH1021" s="93" t="s">
        <v>12471</v>
      </c>
      <c r="AI1021" s="87" t="b">
        <v>0</v>
      </c>
      <c r="AJ1021" s="87"/>
      <c r="AK1021" s="87"/>
      <c r="AL1021" s="87"/>
      <c r="AM1021" s="87"/>
      <c r="AN1021" s="87"/>
      <c r="AO1021" s="87"/>
      <c r="AP1021" s="87"/>
      <c r="AQ1021" s="87" t="s">
        <v>16045</v>
      </c>
      <c r="AR1021" s="87"/>
      <c r="AS1021" s="87"/>
      <c r="AT1021" s="87"/>
      <c r="AU1021" s="87"/>
      <c r="AV1021" s="92" t="str">
        <f>HYPERLINK("https://pbs.twimg.com/media/F5vKKfWW8AALu84.jpg")</f>
        <v>https://pbs.twimg.com/media/F5vKKfWW8AALu84.jpg</v>
      </c>
      <c r="AW1021" s="93" t="s">
        <v>19258</v>
      </c>
      <c r="AX1021" s="93" t="s">
        <v>19258</v>
      </c>
      <c r="AY1021" s="87"/>
      <c r="AZ1021" s="93" t="s">
        <v>22668</v>
      </c>
      <c r="BA1021" s="93" t="s">
        <v>22668</v>
      </c>
      <c r="BB1021" s="93" t="s">
        <v>22668</v>
      </c>
      <c r="BC1021" s="93" t="s">
        <v>19258</v>
      </c>
      <c r="BD1021" s="87">
        <v>84619559</v>
      </c>
      <c r="BE1021" s="87"/>
      <c r="BF1021" s="87"/>
      <c r="BG1021" s="87"/>
      <c r="BH1021" s="87"/>
      <c r="BI1021" s="87"/>
    </row>
    <row r="1022" spans="1:61" x14ac:dyDescent="0.25">
      <c r="A1022" s="63" t="s">
        <v>595</v>
      </c>
      <c r="B1022" s="63" t="s">
        <v>595</v>
      </c>
      <c r="C1022" s="64"/>
      <c r="D1022" s="65"/>
      <c r="E1022" s="66"/>
      <c r="F1022" s="67"/>
      <c r="G1022" s="64"/>
      <c r="H1022" s="68"/>
      <c r="I1022" s="69"/>
      <c r="J1022" s="69"/>
      <c r="K1022" s="32"/>
      <c r="L1022" s="76">
        <v>1022</v>
      </c>
      <c r="M1022" s="76"/>
      <c r="N1022" s="71"/>
      <c r="O1022" s="87" t="s">
        <v>179</v>
      </c>
      <c r="P1022" s="90">
        <v>45171.420983796299</v>
      </c>
      <c r="Q1022" s="87" t="s">
        <v>2832</v>
      </c>
      <c r="R1022" s="87">
        <v>0</v>
      </c>
      <c r="S1022" s="87">
        <v>2</v>
      </c>
      <c r="T1022" s="87">
        <v>0</v>
      </c>
      <c r="U1022" s="87">
        <v>0</v>
      </c>
      <c r="V1022" s="87">
        <v>9</v>
      </c>
      <c r="W1022" s="93" t="s">
        <v>6569</v>
      </c>
      <c r="X1022" s="87"/>
      <c r="Y1022" s="87"/>
      <c r="Z1022" s="87"/>
      <c r="AA1022" s="87" t="s">
        <v>9233</v>
      </c>
      <c r="AB1022" s="87" t="s">
        <v>11448</v>
      </c>
      <c r="AC1022" s="93" t="s">
        <v>11459</v>
      </c>
      <c r="AD1022" s="87" t="s">
        <v>11519</v>
      </c>
      <c r="AE1022" s="92" t="str">
        <f>HYPERLINK("https://twitter.com/sinco_brasil/status/1697913814363132161")</f>
        <v>https://twitter.com/sinco_brasil/status/1697913814363132161</v>
      </c>
      <c r="AF1022" s="90">
        <v>45171.420983796299</v>
      </c>
      <c r="AG1022" s="99">
        <v>45171</v>
      </c>
      <c r="AH1022" s="93" t="s">
        <v>12472</v>
      </c>
      <c r="AI1022" s="87" t="b">
        <v>0</v>
      </c>
      <c r="AJ1022" s="87"/>
      <c r="AK1022" s="87"/>
      <c r="AL1022" s="87"/>
      <c r="AM1022" s="87"/>
      <c r="AN1022" s="87"/>
      <c r="AO1022" s="87"/>
      <c r="AP1022" s="87"/>
      <c r="AQ1022" s="87" t="s">
        <v>16046</v>
      </c>
      <c r="AR1022" s="87"/>
      <c r="AS1022" s="87"/>
      <c r="AT1022" s="87"/>
      <c r="AU1022" s="87"/>
      <c r="AV1022" s="92" t="str">
        <f>HYPERLINK("https://pbs.twimg.com/media/F5AznbxW0AAN6Q9.jpg")</f>
        <v>https://pbs.twimg.com/media/F5AznbxW0AAN6Q9.jpg</v>
      </c>
      <c r="AW1022" s="93" t="s">
        <v>19259</v>
      </c>
      <c r="AX1022" s="93" t="s">
        <v>19259</v>
      </c>
      <c r="AY1022" s="87"/>
      <c r="AZ1022" s="93" t="s">
        <v>22668</v>
      </c>
      <c r="BA1022" s="93" t="s">
        <v>22668</v>
      </c>
      <c r="BB1022" s="93" t="s">
        <v>22668</v>
      </c>
      <c r="BC1022" s="93" t="s">
        <v>19259</v>
      </c>
      <c r="BD1022" s="87">
        <v>84619559</v>
      </c>
      <c r="BE1022" s="87"/>
      <c r="BF1022" s="87"/>
      <c r="BG1022" s="87"/>
      <c r="BH1022" s="87"/>
      <c r="BI1022" s="87"/>
    </row>
    <row r="1023" spans="1:61" x14ac:dyDescent="0.25">
      <c r="A1023" s="63" t="s">
        <v>595</v>
      </c>
      <c r="B1023" s="63" t="s">
        <v>595</v>
      </c>
      <c r="C1023" s="64"/>
      <c r="D1023" s="65"/>
      <c r="E1023" s="66"/>
      <c r="F1023" s="67"/>
      <c r="G1023" s="64"/>
      <c r="H1023" s="68"/>
      <c r="I1023" s="69"/>
      <c r="J1023" s="69"/>
      <c r="K1023" s="32"/>
      <c r="L1023" s="76">
        <v>1023</v>
      </c>
      <c r="M1023" s="76"/>
      <c r="N1023" s="71"/>
      <c r="O1023" s="87" t="s">
        <v>179</v>
      </c>
      <c r="P1023" s="90">
        <v>45162.40861111111</v>
      </c>
      <c r="Q1023" s="87" t="s">
        <v>2833</v>
      </c>
      <c r="R1023" s="87">
        <v>0</v>
      </c>
      <c r="S1023" s="87">
        <v>2</v>
      </c>
      <c r="T1023" s="87">
        <v>0</v>
      </c>
      <c r="U1023" s="87">
        <v>0</v>
      </c>
      <c r="V1023" s="87">
        <v>10</v>
      </c>
      <c r="W1023" s="93" t="s">
        <v>6574</v>
      </c>
      <c r="X1023" s="87"/>
      <c r="Y1023" s="87"/>
      <c r="Z1023" s="87"/>
      <c r="AA1023" s="87" t="s">
        <v>9234</v>
      </c>
      <c r="AB1023" s="87" t="s">
        <v>11448</v>
      </c>
      <c r="AC1023" s="93" t="s">
        <v>11459</v>
      </c>
      <c r="AD1023" s="87" t="s">
        <v>11519</v>
      </c>
      <c r="AE1023" s="92" t="str">
        <f>HYPERLINK("https://twitter.com/sinco_brasil/status/1694647840797000146")</f>
        <v>https://twitter.com/sinco_brasil/status/1694647840797000146</v>
      </c>
      <c r="AF1023" s="90">
        <v>45162.40861111111</v>
      </c>
      <c r="AG1023" s="99">
        <v>45162</v>
      </c>
      <c r="AH1023" s="93" t="s">
        <v>12473</v>
      </c>
      <c r="AI1023" s="87" t="b">
        <v>0</v>
      </c>
      <c r="AJ1023" s="87"/>
      <c r="AK1023" s="87"/>
      <c r="AL1023" s="87"/>
      <c r="AM1023" s="87"/>
      <c r="AN1023" s="87"/>
      <c r="AO1023" s="87"/>
      <c r="AP1023" s="87"/>
      <c r="AQ1023" s="87" t="s">
        <v>16047</v>
      </c>
      <c r="AR1023" s="87"/>
      <c r="AS1023" s="87"/>
      <c r="AT1023" s="87"/>
      <c r="AU1023" s="87"/>
      <c r="AV1023" s="92" t="str">
        <f>HYPERLINK("https://pbs.twimg.com/media/F4SZOuxWkAAzcI2.jpg")</f>
        <v>https://pbs.twimg.com/media/F4SZOuxWkAAzcI2.jpg</v>
      </c>
      <c r="AW1023" s="93" t="s">
        <v>19260</v>
      </c>
      <c r="AX1023" s="93" t="s">
        <v>19260</v>
      </c>
      <c r="AY1023" s="87"/>
      <c r="AZ1023" s="93" t="s">
        <v>22668</v>
      </c>
      <c r="BA1023" s="93" t="s">
        <v>22668</v>
      </c>
      <c r="BB1023" s="93" t="s">
        <v>22668</v>
      </c>
      <c r="BC1023" s="93" t="s">
        <v>19260</v>
      </c>
      <c r="BD1023" s="87">
        <v>84619559</v>
      </c>
      <c r="BE1023" s="87"/>
      <c r="BF1023" s="87"/>
      <c r="BG1023" s="87"/>
      <c r="BH1023" s="87"/>
      <c r="BI1023" s="87"/>
    </row>
    <row r="1024" spans="1:61" x14ac:dyDescent="0.25">
      <c r="A1024" s="63" t="s">
        <v>595</v>
      </c>
      <c r="B1024" s="63" t="s">
        <v>595</v>
      </c>
      <c r="C1024" s="64"/>
      <c r="D1024" s="65"/>
      <c r="E1024" s="66"/>
      <c r="F1024" s="67"/>
      <c r="G1024" s="64"/>
      <c r="H1024" s="68"/>
      <c r="I1024" s="69"/>
      <c r="J1024" s="69"/>
      <c r="K1024" s="32"/>
      <c r="L1024" s="76">
        <v>1024</v>
      </c>
      <c r="M1024" s="76"/>
      <c r="N1024" s="71"/>
      <c r="O1024" s="87" t="s">
        <v>179</v>
      </c>
      <c r="P1024" s="90">
        <v>45148.407638888886</v>
      </c>
      <c r="Q1024" s="87" t="s">
        <v>2834</v>
      </c>
      <c r="R1024" s="87">
        <v>0</v>
      </c>
      <c r="S1024" s="87">
        <v>2</v>
      </c>
      <c r="T1024" s="87">
        <v>0</v>
      </c>
      <c r="U1024" s="87">
        <v>0</v>
      </c>
      <c r="V1024" s="87">
        <v>9</v>
      </c>
      <c r="W1024" s="93" t="s">
        <v>6575</v>
      </c>
      <c r="X1024" s="87"/>
      <c r="Y1024" s="87"/>
      <c r="Z1024" s="87"/>
      <c r="AA1024" s="87" t="s">
        <v>9235</v>
      </c>
      <c r="AB1024" s="87" t="s">
        <v>11448</v>
      </c>
      <c r="AC1024" s="93" t="s">
        <v>11459</v>
      </c>
      <c r="AD1024" s="87" t="s">
        <v>11519</v>
      </c>
      <c r="AE1024" s="92" t="str">
        <f>HYPERLINK("https://twitter.com/sinco_brasil/status/1689574057434300416")</f>
        <v>https://twitter.com/sinco_brasil/status/1689574057434300416</v>
      </c>
      <c r="AF1024" s="90">
        <v>45148.407638888886</v>
      </c>
      <c r="AG1024" s="99">
        <v>45148</v>
      </c>
      <c r="AH1024" s="93" t="s">
        <v>12474</v>
      </c>
      <c r="AI1024" s="87" t="b">
        <v>0</v>
      </c>
      <c r="AJ1024" s="87"/>
      <c r="AK1024" s="87"/>
      <c r="AL1024" s="87"/>
      <c r="AM1024" s="87"/>
      <c r="AN1024" s="87"/>
      <c r="AO1024" s="87"/>
      <c r="AP1024" s="87"/>
      <c r="AQ1024" s="87" t="s">
        <v>16048</v>
      </c>
      <c r="AR1024" s="87"/>
      <c r="AS1024" s="87"/>
      <c r="AT1024" s="87"/>
      <c r="AU1024" s="87"/>
      <c r="AV1024" s="92" t="str">
        <f>HYPERLINK("https://pbs.twimg.com/media/F3KSpuUWsAAWzgn.jpg")</f>
        <v>https://pbs.twimg.com/media/F3KSpuUWsAAWzgn.jpg</v>
      </c>
      <c r="AW1024" s="93" t="s">
        <v>19261</v>
      </c>
      <c r="AX1024" s="93" t="s">
        <v>19261</v>
      </c>
      <c r="AY1024" s="87"/>
      <c r="AZ1024" s="93" t="s">
        <v>22668</v>
      </c>
      <c r="BA1024" s="93" t="s">
        <v>22668</v>
      </c>
      <c r="BB1024" s="93" t="s">
        <v>22668</v>
      </c>
      <c r="BC1024" s="93" t="s">
        <v>19261</v>
      </c>
      <c r="BD1024" s="87">
        <v>84619559</v>
      </c>
      <c r="BE1024" s="87"/>
      <c r="BF1024" s="87"/>
      <c r="BG1024" s="87"/>
      <c r="BH1024" s="87"/>
      <c r="BI1024" s="87"/>
    </row>
    <row r="1025" spans="1:61" x14ac:dyDescent="0.25">
      <c r="A1025" s="63" t="s">
        <v>595</v>
      </c>
      <c r="B1025" s="63" t="s">
        <v>595</v>
      </c>
      <c r="C1025" s="64"/>
      <c r="D1025" s="65"/>
      <c r="E1025" s="66"/>
      <c r="F1025" s="67"/>
      <c r="G1025" s="64"/>
      <c r="H1025" s="68"/>
      <c r="I1025" s="69"/>
      <c r="J1025" s="69"/>
      <c r="K1025" s="32"/>
      <c r="L1025" s="76">
        <v>1025</v>
      </c>
      <c r="M1025" s="76"/>
      <c r="N1025" s="71"/>
      <c r="O1025" s="87" t="s">
        <v>179</v>
      </c>
      <c r="P1025" s="90">
        <v>45147.407337962963</v>
      </c>
      <c r="Q1025" s="87" t="s">
        <v>2835</v>
      </c>
      <c r="R1025" s="87">
        <v>0</v>
      </c>
      <c r="S1025" s="87">
        <v>2</v>
      </c>
      <c r="T1025" s="87">
        <v>0</v>
      </c>
      <c r="U1025" s="87">
        <v>0</v>
      </c>
      <c r="V1025" s="87">
        <v>5</v>
      </c>
      <c r="W1025" s="93" t="s">
        <v>6576</v>
      </c>
      <c r="X1025" s="87"/>
      <c r="Y1025" s="87"/>
      <c r="Z1025" s="87"/>
      <c r="AA1025" s="87" t="s">
        <v>9236</v>
      </c>
      <c r="AB1025" s="87" t="s">
        <v>11448</v>
      </c>
      <c r="AC1025" s="93" t="s">
        <v>11459</v>
      </c>
      <c r="AD1025" s="87" t="s">
        <v>11519</v>
      </c>
      <c r="AE1025" s="92" t="str">
        <f>HYPERLINK("https://twitter.com/sinco_brasil/status/1689211558084132864")</f>
        <v>https://twitter.com/sinco_brasil/status/1689211558084132864</v>
      </c>
      <c r="AF1025" s="90">
        <v>45147.407337962963</v>
      </c>
      <c r="AG1025" s="99">
        <v>45147</v>
      </c>
      <c r="AH1025" s="93" t="s">
        <v>12475</v>
      </c>
      <c r="AI1025" s="87" t="b">
        <v>0</v>
      </c>
      <c r="AJ1025" s="87"/>
      <c r="AK1025" s="87"/>
      <c r="AL1025" s="87"/>
      <c r="AM1025" s="87"/>
      <c r="AN1025" s="87"/>
      <c r="AO1025" s="87"/>
      <c r="AP1025" s="87"/>
      <c r="AQ1025" s="87" t="s">
        <v>16049</v>
      </c>
      <c r="AR1025" s="87"/>
      <c r="AS1025" s="87"/>
      <c r="AT1025" s="87"/>
      <c r="AU1025" s="87"/>
      <c r="AV1025" s="92" t="str">
        <f>HYPERLINK("https://pbs.twimg.com/media/F3FI9cOWUAA8a5n.jpg")</f>
        <v>https://pbs.twimg.com/media/F3FI9cOWUAA8a5n.jpg</v>
      </c>
      <c r="AW1025" s="93" t="s">
        <v>19262</v>
      </c>
      <c r="AX1025" s="93" t="s">
        <v>19262</v>
      </c>
      <c r="AY1025" s="87"/>
      <c r="AZ1025" s="93" t="s">
        <v>22668</v>
      </c>
      <c r="BA1025" s="93" t="s">
        <v>22668</v>
      </c>
      <c r="BB1025" s="93" t="s">
        <v>22668</v>
      </c>
      <c r="BC1025" s="93" t="s">
        <v>19262</v>
      </c>
      <c r="BD1025" s="87">
        <v>84619559</v>
      </c>
      <c r="BE1025" s="87"/>
      <c r="BF1025" s="87"/>
      <c r="BG1025" s="87"/>
      <c r="BH1025" s="87"/>
      <c r="BI1025" s="87"/>
    </row>
    <row r="1026" spans="1:61" x14ac:dyDescent="0.25">
      <c r="A1026" s="63" t="s">
        <v>595</v>
      </c>
      <c r="B1026" s="63" t="s">
        <v>595</v>
      </c>
      <c r="C1026" s="64"/>
      <c r="D1026" s="65"/>
      <c r="E1026" s="66"/>
      <c r="F1026" s="67"/>
      <c r="G1026" s="64"/>
      <c r="H1026" s="68"/>
      <c r="I1026" s="69"/>
      <c r="J1026" s="69"/>
      <c r="K1026" s="32"/>
      <c r="L1026" s="76">
        <v>1026</v>
      </c>
      <c r="M1026" s="76"/>
      <c r="N1026" s="71"/>
      <c r="O1026" s="87" t="s">
        <v>179</v>
      </c>
      <c r="P1026" s="90">
        <v>45146.412141203706</v>
      </c>
      <c r="Q1026" s="87" t="s">
        <v>2836</v>
      </c>
      <c r="R1026" s="87">
        <v>0</v>
      </c>
      <c r="S1026" s="87">
        <v>2</v>
      </c>
      <c r="T1026" s="87">
        <v>0</v>
      </c>
      <c r="U1026" s="87">
        <v>0</v>
      </c>
      <c r="V1026" s="87">
        <v>5</v>
      </c>
      <c r="W1026" s="93" t="s">
        <v>6577</v>
      </c>
      <c r="X1026" s="87"/>
      <c r="Y1026" s="87"/>
      <c r="Z1026" s="87"/>
      <c r="AA1026" s="87" t="s">
        <v>9237</v>
      </c>
      <c r="AB1026" s="87" t="s">
        <v>11448</v>
      </c>
      <c r="AC1026" s="93" t="s">
        <v>11459</v>
      </c>
      <c r="AD1026" s="87" t="s">
        <v>11519</v>
      </c>
      <c r="AE1026" s="92" t="str">
        <f>HYPERLINK("https://twitter.com/sinco_brasil/status/1688850911953633280")</f>
        <v>https://twitter.com/sinco_brasil/status/1688850911953633280</v>
      </c>
      <c r="AF1026" s="90">
        <v>45146.412141203706</v>
      </c>
      <c r="AG1026" s="99">
        <v>45146</v>
      </c>
      <c r="AH1026" s="93" t="s">
        <v>12470</v>
      </c>
      <c r="AI1026" s="87" t="b">
        <v>0</v>
      </c>
      <c r="AJ1026" s="87"/>
      <c r="AK1026" s="87"/>
      <c r="AL1026" s="87"/>
      <c r="AM1026" s="87"/>
      <c r="AN1026" s="87"/>
      <c r="AO1026" s="87"/>
      <c r="AP1026" s="87"/>
      <c r="AQ1026" s="87" t="s">
        <v>16050</v>
      </c>
      <c r="AR1026" s="87"/>
      <c r="AS1026" s="87"/>
      <c r="AT1026" s="87"/>
      <c r="AU1026" s="87"/>
      <c r="AV1026" s="92" t="str">
        <f>HYPERLINK("https://pbs.twimg.com/media/F3AA9DrWwAACkKC.jpg")</f>
        <v>https://pbs.twimg.com/media/F3AA9DrWwAACkKC.jpg</v>
      </c>
      <c r="AW1026" s="93" t="s">
        <v>19263</v>
      </c>
      <c r="AX1026" s="93" t="s">
        <v>19263</v>
      </c>
      <c r="AY1026" s="87"/>
      <c r="AZ1026" s="93" t="s">
        <v>22668</v>
      </c>
      <c r="BA1026" s="93" t="s">
        <v>22668</v>
      </c>
      <c r="BB1026" s="93" t="s">
        <v>22668</v>
      </c>
      <c r="BC1026" s="93" t="s">
        <v>19263</v>
      </c>
      <c r="BD1026" s="87">
        <v>84619559</v>
      </c>
      <c r="BE1026" s="87"/>
      <c r="BF1026" s="87"/>
      <c r="BG1026" s="87"/>
      <c r="BH1026" s="87"/>
      <c r="BI1026" s="87"/>
    </row>
    <row r="1027" spans="1:61" x14ac:dyDescent="0.25">
      <c r="A1027" s="63" t="s">
        <v>595</v>
      </c>
      <c r="B1027" s="63" t="s">
        <v>595</v>
      </c>
      <c r="C1027" s="64"/>
      <c r="D1027" s="65"/>
      <c r="E1027" s="66"/>
      <c r="F1027" s="67"/>
      <c r="G1027" s="64"/>
      <c r="H1027" s="68"/>
      <c r="I1027" s="69"/>
      <c r="J1027" s="69"/>
      <c r="K1027" s="32"/>
      <c r="L1027" s="76">
        <v>1027</v>
      </c>
      <c r="M1027" s="76"/>
      <c r="N1027" s="71"/>
      <c r="O1027" s="87" t="s">
        <v>179</v>
      </c>
      <c r="P1027" s="90">
        <v>45135.399236111109</v>
      </c>
      <c r="Q1027" s="87" t="s">
        <v>2837</v>
      </c>
      <c r="R1027" s="87">
        <v>0</v>
      </c>
      <c r="S1027" s="87">
        <v>2</v>
      </c>
      <c r="T1027" s="87">
        <v>0</v>
      </c>
      <c r="U1027" s="87">
        <v>0</v>
      </c>
      <c r="V1027" s="87">
        <v>6</v>
      </c>
      <c r="W1027" s="93" t="s">
        <v>6578</v>
      </c>
      <c r="X1027" s="87"/>
      <c r="Y1027" s="87"/>
      <c r="Z1027" s="87"/>
      <c r="AA1027" s="87" t="s">
        <v>9238</v>
      </c>
      <c r="AB1027" s="87" t="s">
        <v>11448</v>
      </c>
      <c r="AC1027" s="93" t="s">
        <v>11459</v>
      </c>
      <c r="AD1027" s="87" t="s">
        <v>11519</v>
      </c>
      <c r="AE1027" s="92" t="str">
        <f>HYPERLINK("https://twitter.com/sinco_brasil/status/1684859970141949952")</f>
        <v>https://twitter.com/sinco_brasil/status/1684859970141949952</v>
      </c>
      <c r="AF1027" s="90">
        <v>45135.399236111109</v>
      </c>
      <c r="AG1027" s="99">
        <v>45135</v>
      </c>
      <c r="AH1027" s="93" t="s">
        <v>12476</v>
      </c>
      <c r="AI1027" s="87" t="b">
        <v>0</v>
      </c>
      <c r="AJ1027" s="87"/>
      <c r="AK1027" s="87"/>
      <c r="AL1027" s="87"/>
      <c r="AM1027" s="87"/>
      <c r="AN1027" s="87"/>
      <c r="AO1027" s="87"/>
      <c r="AP1027" s="87"/>
      <c r="AQ1027" s="87" t="s">
        <v>16051</v>
      </c>
      <c r="AR1027" s="87"/>
      <c r="AS1027" s="87"/>
      <c r="AT1027" s="87"/>
      <c r="AU1027" s="87"/>
      <c r="AV1027" s="92" t="str">
        <f>HYPERLINK("https://pbs.twimg.com/media/F2HTNsrXoAAFPEW.jpg")</f>
        <v>https://pbs.twimg.com/media/F2HTNsrXoAAFPEW.jpg</v>
      </c>
      <c r="AW1027" s="93" t="s">
        <v>19264</v>
      </c>
      <c r="AX1027" s="93" t="s">
        <v>19264</v>
      </c>
      <c r="AY1027" s="87"/>
      <c r="AZ1027" s="93" t="s">
        <v>22668</v>
      </c>
      <c r="BA1027" s="93" t="s">
        <v>22668</v>
      </c>
      <c r="BB1027" s="93" t="s">
        <v>22668</v>
      </c>
      <c r="BC1027" s="93" t="s">
        <v>19264</v>
      </c>
      <c r="BD1027" s="87">
        <v>84619559</v>
      </c>
      <c r="BE1027" s="87"/>
      <c r="BF1027" s="87"/>
      <c r="BG1027" s="87"/>
      <c r="BH1027" s="87"/>
      <c r="BI1027" s="87"/>
    </row>
    <row r="1028" spans="1:61" x14ac:dyDescent="0.25">
      <c r="A1028" s="63" t="s">
        <v>595</v>
      </c>
      <c r="B1028" s="63" t="s">
        <v>595</v>
      </c>
      <c r="C1028" s="64"/>
      <c r="D1028" s="65"/>
      <c r="E1028" s="66"/>
      <c r="F1028" s="67"/>
      <c r="G1028" s="64"/>
      <c r="H1028" s="68"/>
      <c r="I1028" s="69"/>
      <c r="J1028" s="69"/>
      <c r="K1028" s="32"/>
      <c r="L1028" s="76">
        <v>1028</v>
      </c>
      <c r="M1028" s="76"/>
      <c r="N1028" s="71"/>
      <c r="O1028" s="87" t="s">
        <v>179</v>
      </c>
      <c r="P1028" s="90">
        <v>45118.396539351852</v>
      </c>
      <c r="Q1028" s="87" t="s">
        <v>2838</v>
      </c>
      <c r="R1028" s="87">
        <v>0</v>
      </c>
      <c r="S1028" s="87">
        <v>2</v>
      </c>
      <c r="T1028" s="87">
        <v>0</v>
      </c>
      <c r="U1028" s="87">
        <v>0</v>
      </c>
      <c r="V1028" s="87">
        <v>18</v>
      </c>
      <c r="W1028" s="93" t="s">
        <v>6579</v>
      </c>
      <c r="X1028" s="87"/>
      <c r="Y1028" s="87"/>
      <c r="Z1028" s="87"/>
      <c r="AA1028" s="87" t="s">
        <v>9239</v>
      </c>
      <c r="AB1028" s="87" t="s">
        <v>11448</v>
      </c>
      <c r="AC1028" s="93" t="s">
        <v>11459</v>
      </c>
      <c r="AD1028" s="87" t="s">
        <v>11519</v>
      </c>
      <c r="AE1028" s="92" t="str">
        <f>HYPERLINK("https://twitter.com/sinco_brasil/status/1678698398566711296")</f>
        <v>https://twitter.com/sinco_brasil/status/1678698398566711296</v>
      </c>
      <c r="AF1028" s="90">
        <v>45118.396539351852</v>
      </c>
      <c r="AG1028" s="99">
        <v>45118</v>
      </c>
      <c r="AH1028" s="93" t="s">
        <v>12477</v>
      </c>
      <c r="AI1028" s="87" t="b">
        <v>0</v>
      </c>
      <c r="AJ1028" s="87"/>
      <c r="AK1028" s="87"/>
      <c r="AL1028" s="87"/>
      <c r="AM1028" s="87"/>
      <c r="AN1028" s="87"/>
      <c r="AO1028" s="87"/>
      <c r="AP1028" s="87"/>
      <c r="AQ1028" s="87" t="s">
        <v>16052</v>
      </c>
      <c r="AR1028" s="87"/>
      <c r="AS1028" s="87"/>
      <c r="AT1028" s="87"/>
      <c r="AU1028" s="87"/>
      <c r="AV1028" s="92" t="str">
        <f>HYPERLINK("https://pbs.twimg.com/media/F0vvTALXwAAyBXu.jpg")</f>
        <v>https://pbs.twimg.com/media/F0vvTALXwAAyBXu.jpg</v>
      </c>
      <c r="AW1028" s="93" t="s">
        <v>19265</v>
      </c>
      <c r="AX1028" s="93" t="s">
        <v>19265</v>
      </c>
      <c r="AY1028" s="87"/>
      <c r="AZ1028" s="93" t="s">
        <v>22668</v>
      </c>
      <c r="BA1028" s="93" t="s">
        <v>22668</v>
      </c>
      <c r="BB1028" s="93" t="s">
        <v>22668</v>
      </c>
      <c r="BC1028" s="93" t="s">
        <v>19265</v>
      </c>
      <c r="BD1028" s="87">
        <v>84619559</v>
      </c>
      <c r="BE1028" s="87"/>
      <c r="BF1028" s="87"/>
      <c r="BG1028" s="87"/>
      <c r="BH1028" s="87"/>
      <c r="BI1028" s="87"/>
    </row>
    <row r="1029" spans="1:61" x14ac:dyDescent="0.25">
      <c r="A1029" s="63" t="s">
        <v>595</v>
      </c>
      <c r="B1029" s="63" t="s">
        <v>595</v>
      </c>
      <c r="C1029" s="64"/>
      <c r="D1029" s="65"/>
      <c r="E1029" s="66"/>
      <c r="F1029" s="67"/>
      <c r="G1029" s="64"/>
      <c r="H1029" s="68"/>
      <c r="I1029" s="69"/>
      <c r="J1029" s="69"/>
      <c r="K1029" s="32"/>
      <c r="L1029" s="76">
        <v>1029</v>
      </c>
      <c r="M1029" s="76"/>
      <c r="N1029" s="71"/>
      <c r="O1029" s="87" t="s">
        <v>179</v>
      </c>
      <c r="P1029" s="90">
        <v>45111.405543981484</v>
      </c>
      <c r="Q1029" s="87" t="s">
        <v>2839</v>
      </c>
      <c r="R1029" s="87">
        <v>0</v>
      </c>
      <c r="S1029" s="87">
        <v>2</v>
      </c>
      <c r="T1029" s="87">
        <v>0</v>
      </c>
      <c r="U1029" s="87">
        <v>0</v>
      </c>
      <c r="V1029" s="87">
        <v>19</v>
      </c>
      <c r="W1029" s="93" t="s">
        <v>6580</v>
      </c>
      <c r="X1029" s="87"/>
      <c r="Y1029" s="87"/>
      <c r="Z1029" s="87"/>
      <c r="AA1029" s="87" t="s">
        <v>9240</v>
      </c>
      <c r="AB1029" s="87" t="s">
        <v>11448</v>
      </c>
      <c r="AC1029" s="93" t="s">
        <v>11459</v>
      </c>
      <c r="AD1029" s="87" t="s">
        <v>11519</v>
      </c>
      <c r="AE1029" s="92" t="str">
        <f>HYPERLINK("https://twitter.com/sinco_brasil/status/1676164945224818688")</f>
        <v>https://twitter.com/sinco_brasil/status/1676164945224818688</v>
      </c>
      <c r="AF1029" s="90">
        <v>45111.405543981484</v>
      </c>
      <c r="AG1029" s="99">
        <v>45111</v>
      </c>
      <c r="AH1029" s="93" t="s">
        <v>12478</v>
      </c>
      <c r="AI1029" s="87" t="b">
        <v>0</v>
      </c>
      <c r="AJ1029" s="87"/>
      <c r="AK1029" s="87"/>
      <c r="AL1029" s="87"/>
      <c r="AM1029" s="87"/>
      <c r="AN1029" s="87"/>
      <c r="AO1029" s="87"/>
      <c r="AP1029" s="87"/>
      <c r="AQ1029" s="87" t="s">
        <v>16053</v>
      </c>
      <c r="AR1029" s="87"/>
      <c r="AS1029" s="87"/>
      <c r="AT1029" s="87"/>
      <c r="AU1029" s="87"/>
      <c r="AV1029" s="92" t="str">
        <f>HYPERLINK("https://pbs.twimg.com/media/F0LvIq0X0AAN6ST.jpg")</f>
        <v>https://pbs.twimg.com/media/F0LvIq0X0AAN6ST.jpg</v>
      </c>
      <c r="AW1029" s="93" t="s">
        <v>19266</v>
      </c>
      <c r="AX1029" s="93" t="s">
        <v>19266</v>
      </c>
      <c r="AY1029" s="87"/>
      <c r="AZ1029" s="93" t="s">
        <v>22668</v>
      </c>
      <c r="BA1029" s="93" t="s">
        <v>22668</v>
      </c>
      <c r="BB1029" s="93" t="s">
        <v>22668</v>
      </c>
      <c r="BC1029" s="93" t="s">
        <v>19266</v>
      </c>
      <c r="BD1029" s="87">
        <v>84619559</v>
      </c>
      <c r="BE1029" s="87"/>
      <c r="BF1029" s="87"/>
      <c r="BG1029" s="87"/>
      <c r="BH1029" s="87"/>
      <c r="BI1029" s="87"/>
    </row>
    <row r="1030" spans="1:61" x14ac:dyDescent="0.25">
      <c r="A1030" s="63" t="s">
        <v>595</v>
      </c>
      <c r="B1030" s="63" t="s">
        <v>595</v>
      </c>
      <c r="C1030" s="64"/>
      <c r="D1030" s="65"/>
      <c r="E1030" s="66"/>
      <c r="F1030" s="67"/>
      <c r="G1030" s="64"/>
      <c r="H1030" s="68"/>
      <c r="I1030" s="69"/>
      <c r="J1030" s="69"/>
      <c r="K1030" s="32"/>
      <c r="L1030" s="76">
        <v>1030</v>
      </c>
      <c r="M1030" s="76"/>
      <c r="N1030" s="71"/>
      <c r="O1030" s="87" t="s">
        <v>179</v>
      </c>
      <c r="P1030" s="90">
        <v>45185.494212962964</v>
      </c>
      <c r="Q1030" s="87" t="s">
        <v>2840</v>
      </c>
      <c r="R1030" s="87">
        <v>0</v>
      </c>
      <c r="S1030" s="87">
        <v>2</v>
      </c>
      <c r="T1030" s="87">
        <v>0</v>
      </c>
      <c r="U1030" s="87">
        <v>0</v>
      </c>
      <c r="V1030" s="87">
        <v>13</v>
      </c>
      <c r="W1030" s="93" t="s">
        <v>6581</v>
      </c>
      <c r="X1030" s="87"/>
      <c r="Y1030" s="87"/>
      <c r="Z1030" s="87"/>
      <c r="AA1030" s="87" t="s">
        <v>9241</v>
      </c>
      <c r="AB1030" s="87" t="s">
        <v>11448</v>
      </c>
      <c r="AC1030" s="93" t="s">
        <v>11459</v>
      </c>
      <c r="AD1030" s="87" t="s">
        <v>11519</v>
      </c>
      <c r="AE1030" s="92" t="str">
        <f>HYPERLINK("https://twitter.com/sinco_brasil/status/1703013779091476968")</f>
        <v>https://twitter.com/sinco_brasil/status/1703013779091476968</v>
      </c>
      <c r="AF1030" s="90">
        <v>45185.494212962964</v>
      </c>
      <c r="AG1030" s="99">
        <v>45185</v>
      </c>
      <c r="AH1030" s="93" t="s">
        <v>12479</v>
      </c>
      <c r="AI1030" s="87" t="b">
        <v>0</v>
      </c>
      <c r="AJ1030" s="87"/>
      <c r="AK1030" s="87"/>
      <c r="AL1030" s="87"/>
      <c r="AM1030" s="87"/>
      <c r="AN1030" s="87"/>
      <c r="AO1030" s="87"/>
      <c r="AP1030" s="87"/>
      <c r="AQ1030" s="87" t="s">
        <v>16054</v>
      </c>
      <c r="AR1030" s="87"/>
      <c r="AS1030" s="87"/>
      <c r="AT1030" s="87"/>
      <c r="AU1030" s="87"/>
      <c r="AV1030" s="92" t="str">
        <f>HYPERLINK("https://pbs.twimg.com/media/F6JSAbsXoAE6Dn_.jpg")</f>
        <v>https://pbs.twimg.com/media/F6JSAbsXoAE6Dn_.jpg</v>
      </c>
      <c r="AW1030" s="93" t="s">
        <v>19267</v>
      </c>
      <c r="AX1030" s="93" t="s">
        <v>19267</v>
      </c>
      <c r="AY1030" s="87"/>
      <c r="AZ1030" s="93" t="s">
        <v>22668</v>
      </c>
      <c r="BA1030" s="93" t="s">
        <v>22668</v>
      </c>
      <c r="BB1030" s="93" t="s">
        <v>22668</v>
      </c>
      <c r="BC1030" s="93" t="s">
        <v>19267</v>
      </c>
      <c r="BD1030" s="87">
        <v>84619559</v>
      </c>
      <c r="BE1030" s="87"/>
      <c r="BF1030" s="87"/>
      <c r="BG1030" s="87"/>
      <c r="BH1030" s="87"/>
      <c r="BI1030" s="87"/>
    </row>
    <row r="1031" spans="1:61" x14ac:dyDescent="0.25">
      <c r="A1031" s="63" t="s">
        <v>595</v>
      </c>
      <c r="B1031" s="63" t="s">
        <v>595</v>
      </c>
      <c r="C1031" s="64"/>
      <c r="D1031" s="65"/>
      <c r="E1031" s="66"/>
      <c r="F1031" s="67"/>
      <c r="G1031" s="64"/>
      <c r="H1031" s="68"/>
      <c r="I1031" s="69"/>
      <c r="J1031" s="69"/>
      <c r="K1031" s="32"/>
      <c r="L1031" s="76">
        <v>1031</v>
      </c>
      <c r="M1031" s="76"/>
      <c r="N1031" s="71"/>
      <c r="O1031" s="87" t="s">
        <v>179</v>
      </c>
      <c r="P1031" s="90">
        <v>45181.390057870369</v>
      </c>
      <c r="Q1031" s="87" t="s">
        <v>2841</v>
      </c>
      <c r="R1031" s="87">
        <v>0</v>
      </c>
      <c r="S1031" s="87">
        <v>2</v>
      </c>
      <c r="T1031" s="87">
        <v>0</v>
      </c>
      <c r="U1031" s="87">
        <v>0</v>
      </c>
      <c r="V1031" s="87">
        <v>7</v>
      </c>
      <c r="W1031" s="93" t="s">
        <v>6582</v>
      </c>
      <c r="X1031" s="87"/>
      <c r="Y1031" s="87"/>
      <c r="Z1031" s="87"/>
      <c r="AA1031" s="87" t="s">
        <v>9242</v>
      </c>
      <c r="AB1031" s="87" t="s">
        <v>11448</v>
      </c>
      <c r="AC1031" s="93" t="s">
        <v>11459</v>
      </c>
      <c r="AD1031" s="87" t="s">
        <v>11519</v>
      </c>
      <c r="AE1031" s="92" t="str">
        <f>HYPERLINK("https://twitter.com/sinco_brasil/status/1701526485457084893")</f>
        <v>https://twitter.com/sinco_brasil/status/1701526485457084893</v>
      </c>
      <c r="AF1031" s="90">
        <v>45181.390057870369</v>
      </c>
      <c r="AG1031" s="99">
        <v>45181</v>
      </c>
      <c r="AH1031" s="93" t="s">
        <v>12480</v>
      </c>
      <c r="AI1031" s="87" t="b">
        <v>0</v>
      </c>
      <c r="AJ1031" s="87"/>
      <c r="AK1031" s="87"/>
      <c r="AL1031" s="87"/>
      <c r="AM1031" s="87"/>
      <c r="AN1031" s="87"/>
      <c r="AO1031" s="87"/>
      <c r="AP1031" s="87"/>
      <c r="AQ1031" s="87" t="s">
        <v>16055</v>
      </c>
      <c r="AR1031" s="87"/>
      <c r="AS1031" s="87"/>
      <c r="AT1031" s="87"/>
      <c r="AU1031" s="87"/>
      <c r="AV1031" s="92" t="str">
        <f>HYPERLINK("https://pbs.twimg.com/media/F50JUkuXsAEiUr4.jpg")</f>
        <v>https://pbs.twimg.com/media/F50JUkuXsAEiUr4.jpg</v>
      </c>
      <c r="AW1031" s="93" t="s">
        <v>19268</v>
      </c>
      <c r="AX1031" s="93" t="s">
        <v>19268</v>
      </c>
      <c r="AY1031" s="87"/>
      <c r="AZ1031" s="93" t="s">
        <v>22668</v>
      </c>
      <c r="BA1031" s="93" t="s">
        <v>22668</v>
      </c>
      <c r="BB1031" s="93" t="s">
        <v>22668</v>
      </c>
      <c r="BC1031" s="93" t="s">
        <v>19268</v>
      </c>
      <c r="BD1031" s="87">
        <v>84619559</v>
      </c>
      <c r="BE1031" s="87"/>
      <c r="BF1031" s="87"/>
      <c r="BG1031" s="87"/>
      <c r="BH1031" s="87"/>
      <c r="BI1031" s="87"/>
    </row>
    <row r="1032" spans="1:61" x14ac:dyDescent="0.25">
      <c r="A1032" s="63" t="s">
        <v>595</v>
      </c>
      <c r="B1032" s="63" t="s">
        <v>595</v>
      </c>
      <c r="C1032" s="64"/>
      <c r="D1032" s="65"/>
      <c r="E1032" s="66"/>
      <c r="F1032" s="67"/>
      <c r="G1032" s="64"/>
      <c r="H1032" s="68"/>
      <c r="I1032" s="69"/>
      <c r="J1032" s="69"/>
      <c r="K1032" s="32"/>
      <c r="L1032" s="76">
        <v>1032</v>
      </c>
      <c r="M1032" s="76"/>
      <c r="N1032" s="71"/>
      <c r="O1032" s="87" t="s">
        <v>179</v>
      </c>
      <c r="P1032" s="90">
        <v>45173.442199074074</v>
      </c>
      <c r="Q1032" s="87" t="s">
        <v>2842</v>
      </c>
      <c r="R1032" s="87">
        <v>0</v>
      </c>
      <c r="S1032" s="87">
        <v>2</v>
      </c>
      <c r="T1032" s="87">
        <v>0</v>
      </c>
      <c r="U1032" s="87">
        <v>0</v>
      </c>
      <c r="V1032" s="87">
        <v>8</v>
      </c>
      <c r="W1032" s="93" t="s">
        <v>6583</v>
      </c>
      <c r="X1032" s="87"/>
      <c r="Y1032" s="87"/>
      <c r="Z1032" s="87"/>
      <c r="AA1032" s="87" t="s">
        <v>9243</v>
      </c>
      <c r="AB1032" s="87" t="s">
        <v>11448</v>
      </c>
      <c r="AC1032" s="93" t="s">
        <v>11459</v>
      </c>
      <c r="AD1032" s="87" t="s">
        <v>11519</v>
      </c>
      <c r="AE1032" s="92" t="str">
        <f>HYPERLINK("https://twitter.com/sinco_brasil/status/1698646276735197443")</f>
        <v>https://twitter.com/sinco_brasil/status/1698646276735197443</v>
      </c>
      <c r="AF1032" s="90">
        <v>45173.442199074074</v>
      </c>
      <c r="AG1032" s="99">
        <v>45173</v>
      </c>
      <c r="AH1032" s="93" t="s">
        <v>12481</v>
      </c>
      <c r="AI1032" s="87" t="b">
        <v>0</v>
      </c>
      <c r="AJ1032" s="87"/>
      <c r="AK1032" s="87"/>
      <c r="AL1032" s="87"/>
      <c r="AM1032" s="87"/>
      <c r="AN1032" s="87"/>
      <c r="AO1032" s="87"/>
      <c r="AP1032" s="87"/>
      <c r="AQ1032" s="87" t="s">
        <v>16056</v>
      </c>
      <c r="AR1032" s="87"/>
      <c r="AS1032" s="87"/>
      <c r="AT1032" s="87"/>
      <c r="AU1032" s="87"/>
      <c r="AV1032" s="92" t="str">
        <f>HYPERLINK("https://pbs.twimg.com/media/F5LNyYrW4AA4WRK.jpg")</f>
        <v>https://pbs.twimg.com/media/F5LNyYrW4AA4WRK.jpg</v>
      </c>
      <c r="AW1032" s="93" t="s">
        <v>19269</v>
      </c>
      <c r="AX1032" s="93" t="s">
        <v>19269</v>
      </c>
      <c r="AY1032" s="87"/>
      <c r="AZ1032" s="93" t="s">
        <v>22668</v>
      </c>
      <c r="BA1032" s="93" t="s">
        <v>22668</v>
      </c>
      <c r="BB1032" s="93" t="s">
        <v>22668</v>
      </c>
      <c r="BC1032" s="93" t="s">
        <v>19269</v>
      </c>
      <c r="BD1032" s="87">
        <v>84619559</v>
      </c>
      <c r="BE1032" s="87"/>
      <c r="BF1032" s="87"/>
      <c r="BG1032" s="87"/>
      <c r="BH1032" s="87"/>
      <c r="BI1032" s="87"/>
    </row>
    <row r="1033" spans="1:61" x14ac:dyDescent="0.25">
      <c r="A1033" s="63" t="s">
        <v>595</v>
      </c>
      <c r="B1033" s="63" t="s">
        <v>595</v>
      </c>
      <c r="C1033" s="64"/>
      <c r="D1033" s="65"/>
      <c r="E1033" s="66"/>
      <c r="F1033" s="67"/>
      <c r="G1033" s="64"/>
      <c r="H1033" s="68"/>
      <c r="I1033" s="69"/>
      <c r="J1033" s="69"/>
      <c r="K1033" s="32"/>
      <c r="L1033" s="76">
        <v>1033</v>
      </c>
      <c r="M1033" s="76"/>
      <c r="N1033" s="71"/>
      <c r="O1033" s="87" t="s">
        <v>179</v>
      </c>
      <c r="P1033" s="90">
        <v>45165.594039351854</v>
      </c>
      <c r="Q1033" s="87" t="s">
        <v>2843</v>
      </c>
      <c r="R1033" s="87">
        <v>0</v>
      </c>
      <c r="S1033" s="87">
        <v>2</v>
      </c>
      <c r="T1033" s="87">
        <v>0</v>
      </c>
      <c r="U1033" s="87">
        <v>0</v>
      </c>
      <c r="V1033" s="87">
        <v>10</v>
      </c>
      <c r="W1033" s="93" t="s">
        <v>6584</v>
      </c>
      <c r="X1033" s="87"/>
      <c r="Y1033" s="87"/>
      <c r="Z1033" s="87"/>
      <c r="AA1033" s="87" t="s">
        <v>9244</v>
      </c>
      <c r="AB1033" s="87" t="s">
        <v>11447</v>
      </c>
      <c r="AC1033" s="93" t="s">
        <v>11459</v>
      </c>
      <c r="AD1033" s="87" t="s">
        <v>11519</v>
      </c>
      <c r="AE1033" s="92" t="str">
        <f>HYPERLINK("https://twitter.com/sinco_brasil/status/1695802198054052172")</f>
        <v>https://twitter.com/sinco_brasil/status/1695802198054052172</v>
      </c>
      <c r="AF1033" s="90">
        <v>45165.594039351854</v>
      </c>
      <c r="AG1033" s="99">
        <v>45165</v>
      </c>
      <c r="AH1033" s="93" t="s">
        <v>12482</v>
      </c>
      <c r="AI1033" s="87" t="b">
        <v>0</v>
      </c>
      <c r="AJ1033" s="87"/>
      <c r="AK1033" s="87"/>
      <c r="AL1033" s="87"/>
      <c r="AM1033" s="87"/>
      <c r="AN1033" s="87"/>
      <c r="AO1033" s="87"/>
      <c r="AP1033" s="87"/>
      <c r="AQ1033" s="87" t="s">
        <v>16057</v>
      </c>
      <c r="AR1033" s="87">
        <v>20618</v>
      </c>
      <c r="AS1033" s="87"/>
      <c r="AT1033" s="87"/>
      <c r="AU1033" s="87"/>
      <c r="AV1033" s="92" t="str">
        <f>HYPERLINK("https://pbs.twimg.com/ext_tw_video_thumb/1695802131796692992/pu/img/pyhk4UoZkNTReXPx.jpg")</f>
        <v>https://pbs.twimg.com/ext_tw_video_thumb/1695802131796692992/pu/img/pyhk4UoZkNTReXPx.jpg</v>
      </c>
      <c r="AW1033" s="93" t="s">
        <v>19270</v>
      </c>
      <c r="AX1033" s="93" t="s">
        <v>19270</v>
      </c>
      <c r="AY1033" s="87"/>
      <c r="AZ1033" s="93" t="s">
        <v>22668</v>
      </c>
      <c r="BA1033" s="93" t="s">
        <v>22668</v>
      </c>
      <c r="BB1033" s="93" t="s">
        <v>22668</v>
      </c>
      <c r="BC1033" s="93" t="s">
        <v>19270</v>
      </c>
      <c r="BD1033" s="87">
        <v>84619559</v>
      </c>
      <c r="BE1033" s="87"/>
      <c r="BF1033" s="87"/>
      <c r="BG1033" s="87"/>
      <c r="BH1033" s="87"/>
      <c r="BI1033" s="87"/>
    </row>
    <row r="1034" spans="1:61" x14ac:dyDescent="0.25">
      <c r="A1034" s="63" t="s">
        <v>595</v>
      </c>
      <c r="B1034" s="63" t="s">
        <v>595</v>
      </c>
      <c r="C1034" s="64"/>
      <c r="D1034" s="65"/>
      <c r="E1034" s="66"/>
      <c r="F1034" s="67"/>
      <c r="G1034" s="64"/>
      <c r="H1034" s="68"/>
      <c r="I1034" s="69"/>
      <c r="J1034" s="69"/>
      <c r="K1034" s="32"/>
      <c r="L1034" s="76">
        <v>1034</v>
      </c>
      <c r="M1034" s="76"/>
      <c r="N1034" s="71"/>
      <c r="O1034" s="87" t="s">
        <v>179</v>
      </c>
      <c r="P1034" s="90">
        <v>45164.56490740741</v>
      </c>
      <c r="Q1034" s="87" t="s">
        <v>2844</v>
      </c>
      <c r="R1034" s="87">
        <v>0</v>
      </c>
      <c r="S1034" s="87">
        <v>2</v>
      </c>
      <c r="T1034" s="87">
        <v>0</v>
      </c>
      <c r="U1034" s="87">
        <v>0</v>
      </c>
      <c r="V1034" s="87">
        <v>7</v>
      </c>
      <c r="W1034" s="93" t="s">
        <v>6585</v>
      </c>
      <c r="X1034" s="87"/>
      <c r="Y1034" s="87"/>
      <c r="Z1034" s="87"/>
      <c r="AA1034" s="87" t="s">
        <v>9245</v>
      </c>
      <c r="AB1034" s="87" t="s">
        <v>11447</v>
      </c>
      <c r="AC1034" s="93" t="s">
        <v>11459</v>
      </c>
      <c r="AD1034" s="87" t="s">
        <v>11519</v>
      </c>
      <c r="AE1034" s="92" t="str">
        <f>HYPERLINK("https://twitter.com/sinco_brasil/status/1695429256619102441")</f>
        <v>https://twitter.com/sinco_brasil/status/1695429256619102441</v>
      </c>
      <c r="AF1034" s="90">
        <v>45164.56490740741</v>
      </c>
      <c r="AG1034" s="99">
        <v>45164</v>
      </c>
      <c r="AH1034" s="93" t="s">
        <v>12483</v>
      </c>
      <c r="AI1034" s="87" t="b">
        <v>0</v>
      </c>
      <c r="AJ1034" s="87"/>
      <c r="AK1034" s="87"/>
      <c r="AL1034" s="87"/>
      <c r="AM1034" s="87"/>
      <c r="AN1034" s="87"/>
      <c r="AO1034" s="87"/>
      <c r="AP1034" s="87"/>
      <c r="AQ1034" s="87" t="s">
        <v>16058</v>
      </c>
      <c r="AR1034" s="87">
        <v>88580</v>
      </c>
      <c r="AS1034" s="87"/>
      <c r="AT1034" s="87"/>
      <c r="AU1034" s="87"/>
      <c r="AV1034" s="92" t="str">
        <f>HYPERLINK("https://pbs.twimg.com/ext_tw_video_thumb/1695429218316828672/pu/img/2cgoH6VrO0JLJquq.jpg")</f>
        <v>https://pbs.twimg.com/ext_tw_video_thumb/1695429218316828672/pu/img/2cgoH6VrO0JLJquq.jpg</v>
      </c>
      <c r="AW1034" s="93" t="s">
        <v>19271</v>
      </c>
      <c r="AX1034" s="93" t="s">
        <v>19271</v>
      </c>
      <c r="AY1034" s="87"/>
      <c r="AZ1034" s="93" t="s">
        <v>22668</v>
      </c>
      <c r="BA1034" s="93" t="s">
        <v>22668</v>
      </c>
      <c r="BB1034" s="93" t="s">
        <v>22668</v>
      </c>
      <c r="BC1034" s="93" t="s">
        <v>19271</v>
      </c>
      <c r="BD1034" s="87">
        <v>84619559</v>
      </c>
      <c r="BE1034" s="87"/>
      <c r="BF1034" s="87"/>
      <c r="BG1034" s="87"/>
      <c r="BH1034" s="87"/>
      <c r="BI1034" s="87"/>
    </row>
    <row r="1035" spans="1:61" x14ac:dyDescent="0.25">
      <c r="A1035" s="63" t="s">
        <v>595</v>
      </c>
      <c r="B1035" s="63" t="s">
        <v>595</v>
      </c>
      <c r="C1035" s="64"/>
      <c r="D1035" s="65"/>
      <c r="E1035" s="66"/>
      <c r="F1035" s="67"/>
      <c r="G1035" s="64"/>
      <c r="H1035" s="68"/>
      <c r="I1035" s="69"/>
      <c r="J1035" s="69"/>
      <c r="K1035" s="32"/>
      <c r="L1035" s="76">
        <v>1035</v>
      </c>
      <c r="M1035" s="76"/>
      <c r="N1035" s="71"/>
      <c r="O1035" s="87" t="s">
        <v>179</v>
      </c>
      <c r="P1035" s="90">
        <v>45164.501504629632</v>
      </c>
      <c r="Q1035" s="87" t="s">
        <v>2845</v>
      </c>
      <c r="R1035" s="87">
        <v>0</v>
      </c>
      <c r="S1035" s="87">
        <v>2</v>
      </c>
      <c r="T1035" s="87">
        <v>0</v>
      </c>
      <c r="U1035" s="87">
        <v>0</v>
      </c>
      <c r="V1035" s="87">
        <v>10</v>
      </c>
      <c r="W1035" s="93" t="s">
        <v>6586</v>
      </c>
      <c r="X1035" s="87"/>
      <c r="Y1035" s="87"/>
      <c r="Z1035" s="87"/>
      <c r="AA1035" s="87" t="s">
        <v>9246</v>
      </c>
      <c r="AB1035" s="87" t="s">
        <v>11448</v>
      </c>
      <c r="AC1035" s="93" t="s">
        <v>11459</v>
      </c>
      <c r="AD1035" s="87" t="s">
        <v>11519</v>
      </c>
      <c r="AE1035" s="92" t="str">
        <f>HYPERLINK("https://twitter.com/sinco_brasil/status/1695406276627374328")</f>
        <v>https://twitter.com/sinco_brasil/status/1695406276627374328</v>
      </c>
      <c r="AF1035" s="90">
        <v>45164.501504629632</v>
      </c>
      <c r="AG1035" s="99">
        <v>45164</v>
      </c>
      <c r="AH1035" s="93" t="s">
        <v>12484</v>
      </c>
      <c r="AI1035" s="87" t="b">
        <v>0</v>
      </c>
      <c r="AJ1035" s="87"/>
      <c r="AK1035" s="87"/>
      <c r="AL1035" s="87"/>
      <c r="AM1035" s="87"/>
      <c r="AN1035" s="87"/>
      <c r="AO1035" s="87"/>
      <c r="AP1035" s="87"/>
      <c r="AQ1035" s="87" t="s">
        <v>16059</v>
      </c>
      <c r="AR1035" s="87"/>
      <c r="AS1035" s="87"/>
      <c r="AT1035" s="87"/>
      <c r="AU1035" s="87"/>
      <c r="AV1035" s="92" t="str">
        <f>HYPERLINK("https://pbs.twimg.com/media/F4dLBgbXwAAytJM.jpg")</f>
        <v>https://pbs.twimg.com/media/F4dLBgbXwAAytJM.jpg</v>
      </c>
      <c r="AW1035" s="93" t="s">
        <v>19272</v>
      </c>
      <c r="AX1035" s="93" t="s">
        <v>19272</v>
      </c>
      <c r="AY1035" s="87"/>
      <c r="AZ1035" s="93" t="s">
        <v>22668</v>
      </c>
      <c r="BA1035" s="93" t="s">
        <v>22668</v>
      </c>
      <c r="BB1035" s="93" t="s">
        <v>22668</v>
      </c>
      <c r="BC1035" s="93" t="s">
        <v>19272</v>
      </c>
      <c r="BD1035" s="87">
        <v>84619559</v>
      </c>
      <c r="BE1035" s="87"/>
      <c r="BF1035" s="87"/>
      <c r="BG1035" s="87"/>
      <c r="BH1035" s="87"/>
      <c r="BI1035" s="87"/>
    </row>
    <row r="1036" spans="1:61" x14ac:dyDescent="0.25">
      <c r="A1036" s="63" t="s">
        <v>595</v>
      </c>
      <c r="B1036" s="63" t="s">
        <v>595</v>
      </c>
      <c r="C1036" s="64"/>
      <c r="D1036" s="65"/>
      <c r="E1036" s="66"/>
      <c r="F1036" s="67"/>
      <c r="G1036" s="64"/>
      <c r="H1036" s="68"/>
      <c r="I1036" s="69"/>
      <c r="J1036" s="69"/>
      <c r="K1036" s="32"/>
      <c r="L1036" s="76">
        <v>1036</v>
      </c>
      <c r="M1036" s="76"/>
      <c r="N1036" s="71"/>
      <c r="O1036" s="87" t="s">
        <v>179</v>
      </c>
      <c r="P1036" s="90">
        <v>45150.421655092592</v>
      </c>
      <c r="Q1036" s="87" t="s">
        <v>2846</v>
      </c>
      <c r="R1036" s="87">
        <v>0</v>
      </c>
      <c r="S1036" s="87">
        <v>2</v>
      </c>
      <c r="T1036" s="87">
        <v>0</v>
      </c>
      <c r="U1036" s="87">
        <v>0</v>
      </c>
      <c r="V1036" s="87">
        <v>7</v>
      </c>
      <c r="W1036" s="93" t="s">
        <v>6569</v>
      </c>
      <c r="X1036" s="87"/>
      <c r="Y1036" s="87"/>
      <c r="Z1036" s="87"/>
      <c r="AA1036" s="87" t="s">
        <v>9247</v>
      </c>
      <c r="AB1036" s="87" t="s">
        <v>11448</v>
      </c>
      <c r="AC1036" s="93" t="s">
        <v>11459</v>
      </c>
      <c r="AD1036" s="87" t="s">
        <v>11519</v>
      </c>
      <c r="AE1036" s="92" t="str">
        <f>HYPERLINK("https://twitter.com/sinco_brasil/status/1690303910500605952")</f>
        <v>https://twitter.com/sinco_brasil/status/1690303910500605952</v>
      </c>
      <c r="AF1036" s="90">
        <v>45150.421655092592</v>
      </c>
      <c r="AG1036" s="99">
        <v>45150</v>
      </c>
      <c r="AH1036" s="93" t="s">
        <v>12485</v>
      </c>
      <c r="AI1036" s="87" t="b">
        <v>0</v>
      </c>
      <c r="AJ1036" s="87"/>
      <c r="AK1036" s="87"/>
      <c r="AL1036" s="87"/>
      <c r="AM1036" s="87"/>
      <c r="AN1036" s="87"/>
      <c r="AO1036" s="87"/>
      <c r="AP1036" s="87"/>
      <c r="AQ1036" s="87" t="s">
        <v>16060</v>
      </c>
      <c r="AR1036" s="87"/>
      <c r="AS1036" s="87"/>
      <c r="AT1036" s="87"/>
      <c r="AU1036" s="87"/>
      <c r="AV1036" s="92" t="str">
        <f>HYPERLINK("https://pbs.twimg.com/media/F3UqcuWW0AECUYg.jpg")</f>
        <v>https://pbs.twimg.com/media/F3UqcuWW0AECUYg.jpg</v>
      </c>
      <c r="AW1036" s="93" t="s">
        <v>19273</v>
      </c>
      <c r="AX1036" s="93" t="s">
        <v>19273</v>
      </c>
      <c r="AY1036" s="87"/>
      <c r="AZ1036" s="93" t="s">
        <v>22668</v>
      </c>
      <c r="BA1036" s="93" t="s">
        <v>22668</v>
      </c>
      <c r="BB1036" s="93" t="s">
        <v>22668</v>
      </c>
      <c r="BC1036" s="93" t="s">
        <v>19273</v>
      </c>
      <c r="BD1036" s="87">
        <v>84619559</v>
      </c>
      <c r="BE1036" s="87"/>
      <c r="BF1036" s="87"/>
      <c r="BG1036" s="87"/>
      <c r="BH1036" s="87"/>
      <c r="BI1036" s="87"/>
    </row>
    <row r="1037" spans="1:61" x14ac:dyDescent="0.25">
      <c r="A1037" s="63" t="s">
        <v>595</v>
      </c>
      <c r="B1037" s="63" t="s">
        <v>595</v>
      </c>
      <c r="C1037" s="64"/>
      <c r="D1037" s="65"/>
      <c r="E1037" s="66"/>
      <c r="F1037" s="67"/>
      <c r="G1037" s="64"/>
      <c r="H1037" s="68"/>
      <c r="I1037" s="69"/>
      <c r="J1037" s="69"/>
      <c r="K1037" s="32"/>
      <c r="L1037" s="76">
        <v>1037</v>
      </c>
      <c r="M1037" s="76"/>
      <c r="N1037" s="71"/>
      <c r="O1037" s="87" t="s">
        <v>179</v>
      </c>
      <c r="P1037" s="90">
        <v>45139.416631944441</v>
      </c>
      <c r="Q1037" s="87" t="s">
        <v>2847</v>
      </c>
      <c r="R1037" s="87">
        <v>0</v>
      </c>
      <c r="S1037" s="87">
        <v>2</v>
      </c>
      <c r="T1037" s="87">
        <v>0</v>
      </c>
      <c r="U1037" s="87">
        <v>0</v>
      </c>
      <c r="V1037" s="87">
        <v>14</v>
      </c>
      <c r="W1037" s="93" t="s">
        <v>6587</v>
      </c>
      <c r="X1037" s="87"/>
      <c r="Y1037" s="87"/>
      <c r="Z1037" s="87"/>
      <c r="AA1037" s="87" t="s">
        <v>9248</v>
      </c>
      <c r="AB1037" s="87" t="s">
        <v>11448</v>
      </c>
      <c r="AC1037" s="93" t="s">
        <v>11459</v>
      </c>
      <c r="AD1037" s="87" t="s">
        <v>11519</v>
      </c>
      <c r="AE1037" s="92" t="str">
        <f>HYPERLINK("https://twitter.com/sinco_brasil/status/1686315826402717696")</f>
        <v>https://twitter.com/sinco_brasil/status/1686315826402717696</v>
      </c>
      <c r="AF1037" s="90">
        <v>45139.416631944441</v>
      </c>
      <c r="AG1037" s="99">
        <v>45139</v>
      </c>
      <c r="AH1037" s="93" t="s">
        <v>12486</v>
      </c>
      <c r="AI1037" s="87" t="b">
        <v>0</v>
      </c>
      <c r="AJ1037" s="87"/>
      <c r="AK1037" s="87"/>
      <c r="AL1037" s="87"/>
      <c r="AM1037" s="87"/>
      <c r="AN1037" s="87"/>
      <c r="AO1037" s="87"/>
      <c r="AP1037" s="87"/>
      <c r="AQ1037" s="87" t="s">
        <v>16061</v>
      </c>
      <c r="AR1037" s="87"/>
      <c r="AS1037" s="87"/>
      <c r="AT1037" s="87"/>
      <c r="AU1037" s="87"/>
      <c r="AV1037" s="92" t="str">
        <f>HYPERLINK("https://pbs.twimg.com/media/F2b_To4XoAAoH07.jpg")</f>
        <v>https://pbs.twimg.com/media/F2b_To4XoAAoH07.jpg</v>
      </c>
      <c r="AW1037" s="93" t="s">
        <v>19274</v>
      </c>
      <c r="AX1037" s="93" t="s">
        <v>19274</v>
      </c>
      <c r="AY1037" s="87"/>
      <c r="AZ1037" s="93" t="s">
        <v>22668</v>
      </c>
      <c r="BA1037" s="93" t="s">
        <v>22668</v>
      </c>
      <c r="BB1037" s="93" t="s">
        <v>22668</v>
      </c>
      <c r="BC1037" s="93" t="s">
        <v>19274</v>
      </c>
      <c r="BD1037" s="87">
        <v>84619559</v>
      </c>
      <c r="BE1037" s="87"/>
      <c r="BF1037" s="87"/>
      <c r="BG1037" s="87"/>
      <c r="BH1037" s="87"/>
      <c r="BI1037" s="87"/>
    </row>
    <row r="1038" spans="1:61" x14ac:dyDescent="0.25">
      <c r="A1038" s="63" t="s">
        <v>595</v>
      </c>
      <c r="B1038" s="63" t="s">
        <v>595</v>
      </c>
      <c r="C1038" s="64"/>
      <c r="D1038" s="65"/>
      <c r="E1038" s="66"/>
      <c r="F1038" s="67"/>
      <c r="G1038" s="64"/>
      <c r="H1038" s="68"/>
      <c r="I1038" s="69"/>
      <c r="J1038" s="69"/>
      <c r="K1038" s="32"/>
      <c r="L1038" s="76">
        <v>1038</v>
      </c>
      <c r="M1038" s="76"/>
      <c r="N1038" s="71"/>
      <c r="O1038" s="87" t="s">
        <v>179</v>
      </c>
      <c r="P1038" s="90">
        <v>45138.453321759262</v>
      </c>
      <c r="Q1038" s="87" t="s">
        <v>2848</v>
      </c>
      <c r="R1038" s="87">
        <v>0</v>
      </c>
      <c r="S1038" s="87">
        <v>2</v>
      </c>
      <c r="T1038" s="87">
        <v>0</v>
      </c>
      <c r="U1038" s="87">
        <v>0</v>
      </c>
      <c r="V1038" s="87">
        <v>19</v>
      </c>
      <c r="W1038" s="93" t="s">
        <v>6588</v>
      </c>
      <c r="X1038" s="87"/>
      <c r="Y1038" s="87"/>
      <c r="Z1038" s="87"/>
      <c r="AA1038" s="87" t="s">
        <v>9249</v>
      </c>
      <c r="AB1038" s="87" t="s">
        <v>11448</v>
      </c>
      <c r="AC1038" s="93" t="s">
        <v>11459</v>
      </c>
      <c r="AD1038" s="87" t="s">
        <v>11519</v>
      </c>
      <c r="AE1038" s="92" t="str">
        <f>HYPERLINK("https://twitter.com/sinco_brasil/status/1685966733381664771")</f>
        <v>https://twitter.com/sinco_brasil/status/1685966733381664771</v>
      </c>
      <c r="AF1038" s="90">
        <v>45138.453321759262</v>
      </c>
      <c r="AG1038" s="99">
        <v>45138</v>
      </c>
      <c r="AH1038" s="93" t="s">
        <v>12487</v>
      </c>
      <c r="AI1038" s="87" t="b">
        <v>0</v>
      </c>
      <c r="AJ1038" s="87"/>
      <c r="AK1038" s="87"/>
      <c r="AL1038" s="87"/>
      <c r="AM1038" s="87"/>
      <c r="AN1038" s="87"/>
      <c r="AO1038" s="87"/>
      <c r="AP1038" s="87"/>
      <c r="AQ1038" s="87" t="s">
        <v>16062</v>
      </c>
      <c r="AR1038" s="87"/>
      <c r="AS1038" s="87"/>
      <c r="AT1038" s="87"/>
      <c r="AU1038" s="87"/>
      <c r="AV1038" s="92" t="str">
        <f>HYPERLINK("https://pbs.twimg.com/media/F2XBz0lW0AMz0yd.jpg")</f>
        <v>https://pbs.twimg.com/media/F2XBz0lW0AMz0yd.jpg</v>
      </c>
      <c r="AW1038" s="93" t="s">
        <v>19275</v>
      </c>
      <c r="AX1038" s="93" t="s">
        <v>19275</v>
      </c>
      <c r="AY1038" s="87"/>
      <c r="AZ1038" s="93" t="s">
        <v>22668</v>
      </c>
      <c r="BA1038" s="93" t="s">
        <v>22668</v>
      </c>
      <c r="BB1038" s="93" t="s">
        <v>22668</v>
      </c>
      <c r="BC1038" s="93" t="s">
        <v>19275</v>
      </c>
      <c r="BD1038" s="87">
        <v>84619559</v>
      </c>
      <c r="BE1038" s="87"/>
      <c r="BF1038" s="87"/>
      <c r="BG1038" s="87"/>
      <c r="BH1038" s="87"/>
      <c r="BI1038" s="87"/>
    </row>
    <row r="1039" spans="1:61" x14ac:dyDescent="0.25">
      <c r="A1039" s="63" t="s">
        <v>595</v>
      </c>
      <c r="B1039" s="63" t="s">
        <v>595</v>
      </c>
      <c r="C1039" s="64"/>
      <c r="D1039" s="65"/>
      <c r="E1039" s="66"/>
      <c r="F1039" s="67"/>
      <c r="G1039" s="64"/>
      <c r="H1039" s="68"/>
      <c r="I1039" s="69"/>
      <c r="J1039" s="69"/>
      <c r="K1039" s="32"/>
      <c r="L1039" s="76">
        <v>1039</v>
      </c>
      <c r="M1039" s="76"/>
      <c r="N1039" s="71"/>
      <c r="O1039" s="87" t="s">
        <v>179</v>
      </c>
      <c r="P1039" s="90">
        <v>45124.455046296294</v>
      </c>
      <c r="Q1039" s="87" t="s">
        <v>2849</v>
      </c>
      <c r="R1039" s="87">
        <v>0</v>
      </c>
      <c r="S1039" s="87">
        <v>2</v>
      </c>
      <c r="T1039" s="87">
        <v>0</v>
      </c>
      <c r="U1039" s="87">
        <v>0</v>
      </c>
      <c r="V1039" s="87">
        <v>12</v>
      </c>
      <c r="W1039" s="93" t="s">
        <v>6589</v>
      </c>
      <c r="X1039" s="87"/>
      <c r="Y1039" s="87"/>
      <c r="Z1039" s="87"/>
      <c r="AA1039" s="87" t="s">
        <v>9250</v>
      </c>
      <c r="AB1039" s="87" t="s">
        <v>11448</v>
      </c>
      <c r="AC1039" s="93" t="s">
        <v>11459</v>
      </c>
      <c r="AD1039" s="87" t="s">
        <v>11519</v>
      </c>
      <c r="AE1039" s="92" t="str">
        <f>HYPERLINK("https://twitter.com/sinco_brasil/status/1680893926431924225")</f>
        <v>https://twitter.com/sinco_brasil/status/1680893926431924225</v>
      </c>
      <c r="AF1039" s="90">
        <v>45124.455046296294</v>
      </c>
      <c r="AG1039" s="99">
        <v>45124</v>
      </c>
      <c r="AH1039" s="93" t="s">
        <v>12488</v>
      </c>
      <c r="AI1039" s="87" t="b">
        <v>0</v>
      </c>
      <c r="AJ1039" s="87"/>
      <c r="AK1039" s="87"/>
      <c r="AL1039" s="87"/>
      <c r="AM1039" s="87"/>
      <c r="AN1039" s="87"/>
      <c r="AO1039" s="87"/>
      <c r="AP1039" s="87"/>
      <c r="AQ1039" s="87" t="s">
        <v>16063</v>
      </c>
      <c r="AR1039" s="87"/>
      <c r="AS1039" s="87"/>
      <c r="AT1039" s="87"/>
      <c r="AU1039" s="87"/>
      <c r="AV1039" s="92" t="str">
        <f>HYPERLINK("https://pbs.twimg.com/media/F1O8HjVWYAAy6Bl.jpg")</f>
        <v>https://pbs.twimg.com/media/F1O8HjVWYAAy6Bl.jpg</v>
      </c>
      <c r="AW1039" s="93" t="s">
        <v>19276</v>
      </c>
      <c r="AX1039" s="93" t="s">
        <v>19276</v>
      </c>
      <c r="AY1039" s="87"/>
      <c r="AZ1039" s="93" t="s">
        <v>22668</v>
      </c>
      <c r="BA1039" s="93" t="s">
        <v>22668</v>
      </c>
      <c r="BB1039" s="93" t="s">
        <v>22668</v>
      </c>
      <c r="BC1039" s="93" t="s">
        <v>19276</v>
      </c>
      <c r="BD1039" s="87">
        <v>84619559</v>
      </c>
      <c r="BE1039" s="87"/>
      <c r="BF1039" s="87"/>
      <c r="BG1039" s="87"/>
      <c r="BH1039" s="87"/>
      <c r="BI1039" s="87"/>
    </row>
    <row r="1040" spans="1:61" x14ac:dyDescent="0.25">
      <c r="A1040" s="63" t="s">
        <v>595</v>
      </c>
      <c r="B1040" s="63" t="s">
        <v>595</v>
      </c>
      <c r="C1040" s="64"/>
      <c r="D1040" s="65"/>
      <c r="E1040" s="66"/>
      <c r="F1040" s="67"/>
      <c r="G1040" s="64"/>
      <c r="H1040" s="68"/>
      <c r="I1040" s="69"/>
      <c r="J1040" s="69"/>
      <c r="K1040" s="32"/>
      <c r="L1040" s="76">
        <v>1040</v>
      </c>
      <c r="M1040" s="76"/>
      <c r="N1040" s="71"/>
      <c r="O1040" s="87" t="s">
        <v>179</v>
      </c>
      <c r="P1040" s="90">
        <v>45122.406365740739</v>
      </c>
      <c r="Q1040" s="87" t="s">
        <v>2850</v>
      </c>
      <c r="R1040" s="87">
        <v>0</v>
      </c>
      <c r="S1040" s="87">
        <v>2</v>
      </c>
      <c r="T1040" s="87">
        <v>0</v>
      </c>
      <c r="U1040" s="87">
        <v>0</v>
      </c>
      <c r="V1040" s="87">
        <v>17</v>
      </c>
      <c r="W1040" s="93" t="s">
        <v>6590</v>
      </c>
      <c r="X1040" s="87"/>
      <c r="Y1040" s="87"/>
      <c r="Z1040" s="87"/>
      <c r="AA1040" s="87" t="s">
        <v>9251</v>
      </c>
      <c r="AB1040" s="87" t="s">
        <v>11448</v>
      </c>
      <c r="AC1040" s="93" t="s">
        <v>11459</v>
      </c>
      <c r="AD1040" s="87" t="s">
        <v>11519</v>
      </c>
      <c r="AE1040" s="92" t="str">
        <f>HYPERLINK("https://twitter.com/sinco_brasil/status/1680151509294620672")</f>
        <v>https://twitter.com/sinco_brasil/status/1680151509294620672</v>
      </c>
      <c r="AF1040" s="90">
        <v>45122.406365740739</v>
      </c>
      <c r="AG1040" s="99">
        <v>45122</v>
      </c>
      <c r="AH1040" s="93" t="s">
        <v>12489</v>
      </c>
      <c r="AI1040" s="87" t="b">
        <v>0</v>
      </c>
      <c r="AJ1040" s="87"/>
      <c r="AK1040" s="87"/>
      <c r="AL1040" s="87"/>
      <c r="AM1040" s="87"/>
      <c r="AN1040" s="87"/>
      <c r="AO1040" s="87"/>
      <c r="AP1040" s="87"/>
      <c r="AQ1040" s="87" t="s">
        <v>16064</v>
      </c>
      <c r="AR1040" s="87"/>
      <c r="AS1040" s="87"/>
      <c r="AT1040" s="87"/>
      <c r="AU1040" s="87"/>
      <c r="AV1040" s="92" t="str">
        <f>HYPERLINK("https://pbs.twimg.com/media/F1EY5LOWYAA-FSX.jpg")</f>
        <v>https://pbs.twimg.com/media/F1EY5LOWYAA-FSX.jpg</v>
      </c>
      <c r="AW1040" s="93" t="s">
        <v>19277</v>
      </c>
      <c r="AX1040" s="93" t="s">
        <v>19277</v>
      </c>
      <c r="AY1040" s="87"/>
      <c r="AZ1040" s="93" t="s">
        <v>22668</v>
      </c>
      <c r="BA1040" s="93" t="s">
        <v>22668</v>
      </c>
      <c r="BB1040" s="93" t="s">
        <v>22668</v>
      </c>
      <c r="BC1040" s="93" t="s">
        <v>19277</v>
      </c>
      <c r="BD1040" s="87">
        <v>84619559</v>
      </c>
      <c r="BE1040" s="87"/>
      <c r="BF1040" s="87"/>
      <c r="BG1040" s="87"/>
      <c r="BH1040" s="87"/>
      <c r="BI1040" s="87"/>
    </row>
    <row r="1041" spans="1:61" x14ac:dyDescent="0.25">
      <c r="A1041" s="63" t="s">
        <v>595</v>
      </c>
      <c r="B1041" s="63" t="s">
        <v>595</v>
      </c>
      <c r="C1041" s="64"/>
      <c r="D1041" s="65"/>
      <c r="E1041" s="66"/>
      <c r="F1041" s="67"/>
      <c r="G1041" s="64"/>
      <c r="H1041" s="68"/>
      <c r="I1041" s="69"/>
      <c r="J1041" s="69"/>
      <c r="K1041" s="32"/>
      <c r="L1041" s="76">
        <v>1041</v>
      </c>
      <c r="M1041" s="76"/>
      <c r="N1041" s="71"/>
      <c r="O1041" s="87" t="s">
        <v>179</v>
      </c>
      <c r="P1041" s="90">
        <v>45188.377812500003</v>
      </c>
      <c r="Q1041" s="87" t="s">
        <v>2851</v>
      </c>
      <c r="R1041" s="87">
        <v>0</v>
      </c>
      <c r="S1041" s="87">
        <v>2</v>
      </c>
      <c r="T1041" s="87">
        <v>0</v>
      </c>
      <c r="U1041" s="87">
        <v>0</v>
      </c>
      <c r="V1041" s="87">
        <v>12</v>
      </c>
      <c r="W1041" s="93" t="s">
        <v>6591</v>
      </c>
      <c r="X1041" s="87"/>
      <c r="Y1041" s="87"/>
      <c r="Z1041" s="87"/>
      <c r="AA1041" s="87" t="s">
        <v>9252</v>
      </c>
      <c r="AB1041" s="87" t="s">
        <v>11448</v>
      </c>
      <c r="AC1041" s="93" t="s">
        <v>11459</v>
      </c>
      <c r="AD1041" s="87" t="s">
        <v>11523</v>
      </c>
      <c r="AE1041" s="92" t="str">
        <f>HYPERLINK("https://twitter.com/sinco_brasil/status/1704058764058415460")</f>
        <v>https://twitter.com/sinco_brasil/status/1704058764058415460</v>
      </c>
      <c r="AF1041" s="90">
        <v>45188.377812500003</v>
      </c>
      <c r="AG1041" s="99">
        <v>45188</v>
      </c>
      <c r="AH1041" s="93" t="s">
        <v>12490</v>
      </c>
      <c r="AI1041" s="87" t="b">
        <v>0</v>
      </c>
      <c r="AJ1041" s="87"/>
      <c r="AK1041" s="87"/>
      <c r="AL1041" s="87"/>
      <c r="AM1041" s="87"/>
      <c r="AN1041" s="87"/>
      <c r="AO1041" s="87"/>
      <c r="AP1041" s="87"/>
      <c r="AQ1041" s="87" t="s">
        <v>16065</v>
      </c>
      <c r="AR1041" s="87"/>
      <c r="AS1041" s="87"/>
      <c r="AT1041" s="87"/>
      <c r="AU1041" s="87"/>
      <c r="AV1041" s="92" t="str">
        <f>HYPERLINK("https://pbs.twimg.com/media/F6YIakTXMAAgzhR.jpg")</f>
        <v>https://pbs.twimg.com/media/F6YIakTXMAAgzhR.jpg</v>
      </c>
      <c r="AW1041" s="93" t="s">
        <v>19278</v>
      </c>
      <c r="AX1041" s="93" t="s">
        <v>19278</v>
      </c>
      <c r="AY1041" s="87"/>
      <c r="AZ1041" s="93" t="s">
        <v>22668</v>
      </c>
      <c r="BA1041" s="93" t="s">
        <v>22668</v>
      </c>
      <c r="BB1041" s="93" t="s">
        <v>22668</v>
      </c>
      <c r="BC1041" s="93" t="s">
        <v>19278</v>
      </c>
      <c r="BD1041" s="87">
        <v>84619559</v>
      </c>
      <c r="BE1041" s="87"/>
      <c r="BF1041" s="87"/>
      <c r="BG1041" s="87"/>
      <c r="BH1041" s="87"/>
      <c r="BI1041" s="87"/>
    </row>
    <row r="1042" spans="1:61" x14ac:dyDescent="0.25">
      <c r="A1042" s="63" t="s">
        <v>595</v>
      </c>
      <c r="B1042" s="63" t="s">
        <v>595</v>
      </c>
      <c r="C1042" s="64"/>
      <c r="D1042" s="65"/>
      <c r="E1042" s="66"/>
      <c r="F1042" s="67"/>
      <c r="G1042" s="64"/>
      <c r="H1042" s="68"/>
      <c r="I1042" s="69"/>
      <c r="J1042" s="69"/>
      <c r="K1042" s="32"/>
      <c r="L1042" s="76">
        <v>1042</v>
      </c>
      <c r="M1042" s="76"/>
      <c r="N1042" s="71"/>
      <c r="O1042" s="87" t="s">
        <v>179</v>
      </c>
      <c r="P1042" s="90">
        <v>45183.387662037036</v>
      </c>
      <c r="Q1042" s="87" t="s">
        <v>2852</v>
      </c>
      <c r="R1042" s="87">
        <v>0</v>
      </c>
      <c r="S1042" s="87">
        <v>2</v>
      </c>
      <c r="T1042" s="87">
        <v>0</v>
      </c>
      <c r="U1042" s="87">
        <v>0</v>
      </c>
      <c r="V1042" s="87">
        <v>15</v>
      </c>
      <c r="W1042" s="93" t="s">
        <v>6592</v>
      </c>
      <c r="X1042" s="87"/>
      <c r="Y1042" s="87"/>
      <c r="Z1042" s="87"/>
      <c r="AA1042" s="87" t="s">
        <v>9253</v>
      </c>
      <c r="AB1042" s="87" t="s">
        <v>11448</v>
      </c>
      <c r="AC1042" s="93" t="s">
        <v>11459</v>
      </c>
      <c r="AD1042" s="87" t="s">
        <v>11519</v>
      </c>
      <c r="AE1042" s="92" t="str">
        <f>HYPERLINK("https://twitter.com/sinco_brasil/status/1702250394468970747")</f>
        <v>https://twitter.com/sinco_brasil/status/1702250394468970747</v>
      </c>
      <c r="AF1042" s="90">
        <v>45183.387662037036</v>
      </c>
      <c r="AG1042" s="99">
        <v>45183</v>
      </c>
      <c r="AH1042" s="93" t="s">
        <v>12491</v>
      </c>
      <c r="AI1042" s="87" t="b">
        <v>0</v>
      </c>
      <c r="AJ1042" s="87"/>
      <c r="AK1042" s="87"/>
      <c r="AL1042" s="87"/>
      <c r="AM1042" s="87"/>
      <c r="AN1042" s="87"/>
      <c r="AO1042" s="87"/>
      <c r="AP1042" s="87"/>
      <c r="AQ1042" s="87" t="s">
        <v>16066</v>
      </c>
      <c r="AR1042" s="87"/>
      <c r="AS1042" s="87"/>
      <c r="AT1042" s="87"/>
      <c r="AU1042" s="87"/>
      <c r="AV1042" s="92" t="str">
        <f>HYPERLINK("https://pbs.twimg.com/media/F5-btlZWIAAhm2G.jpg")</f>
        <v>https://pbs.twimg.com/media/F5-btlZWIAAhm2G.jpg</v>
      </c>
      <c r="AW1042" s="93" t="s">
        <v>19279</v>
      </c>
      <c r="AX1042" s="93" t="s">
        <v>19279</v>
      </c>
      <c r="AY1042" s="87"/>
      <c r="AZ1042" s="93" t="s">
        <v>22668</v>
      </c>
      <c r="BA1042" s="93" t="s">
        <v>22668</v>
      </c>
      <c r="BB1042" s="93" t="s">
        <v>22668</v>
      </c>
      <c r="BC1042" s="93" t="s">
        <v>19279</v>
      </c>
      <c r="BD1042" s="87">
        <v>84619559</v>
      </c>
      <c r="BE1042" s="87"/>
      <c r="BF1042" s="87"/>
      <c r="BG1042" s="87"/>
      <c r="BH1042" s="87"/>
      <c r="BI1042" s="87"/>
    </row>
    <row r="1043" spans="1:61" x14ac:dyDescent="0.25">
      <c r="A1043" s="63" t="s">
        <v>595</v>
      </c>
      <c r="B1043" s="63" t="s">
        <v>595</v>
      </c>
      <c r="C1043" s="64"/>
      <c r="D1043" s="65"/>
      <c r="E1043" s="66"/>
      <c r="F1043" s="67"/>
      <c r="G1043" s="64"/>
      <c r="H1043" s="68"/>
      <c r="I1043" s="69"/>
      <c r="J1043" s="69"/>
      <c r="K1043" s="32"/>
      <c r="L1043" s="76">
        <v>1043</v>
      </c>
      <c r="M1043" s="76"/>
      <c r="N1043" s="71"/>
      <c r="O1043" s="87" t="s">
        <v>179</v>
      </c>
      <c r="P1043" s="90">
        <v>45169.377002314817</v>
      </c>
      <c r="Q1043" s="87" t="s">
        <v>2853</v>
      </c>
      <c r="R1043" s="87">
        <v>0</v>
      </c>
      <c r="S1043" s="87">
        <v>2</v>
      </c>
      <c r="T1043" s="87">
        <v>0</v>
      </c>
      <c r="U1043" s="87">
        <v>0</v>
      </c>
      <c r="V1043" s="87">
        <v>15</v>
      </c>
      <c r="W1043" s="93" t="s">
        <v>6593</v>
      </c>
      <c r="X1043" s="87"/>
      <c r="Y1043" s="87"/>
      <c r="Z1043" s="87"/>
      <c r="AA1043" s="87" t="s">
        <v>9254</v>
      </c>
      <c r="AB1043" s="87" t="s">
        <v>11448</v>
      </c>
      <c r="AC1043" s="93" t="s">
        <v>11459</v>
      </c>
      <c r="AD1043" s="87" t="s">
        <v>11519</v>
      </c>
      <c r="AE1043" s="92" t="str">
        <f>HYPERLINK("https://twitter.com/sinco_brasil/status/1697173099974742286")</f>
        <v>https://twitter.com/sinco_brasil/status/1697173099974742286</v>
      </c>
      <c r="AF1043" s="90">
        <v>45169.377002314817</v>
      </c>
      <c r="AG1043" s="99">
        <v>45169</v>
      </c>
      <c r="AH1043" s="93" t="s">
        <v>12492</v>
      </c>
      <c r="AI1043" s="87" t="b">
        <v>0</v>
      </c>
      <c r="AJ1043" s="87"/>
      <c r="AK1043" s="87"/>
      <c r="AL1043" s="87"/>
      <c r="AM1043" s="87"/>
      <c r="AN1043" s="87"/>
      <c r="AO1043" s="87"/>
      <c r="AP1043" s="87"/>
      <c r="AQ1043" s="87" t="s">
        <v>16067</v>
      </c>
      <c r="AR1043" s="87"/>
      <c r="AS1043" s="87"/>
      <c r="AT1043" s="87"/>
      <c r="AU1043" s="87"/>
      <c r="AV1043" s="92" t="str">
        <f>HYPERLINK("https://pbs.twimg.com/media/F42R8NCXkAAyj0Q.jpg")</f>
        <v>https://pbs.twimg.com/media/F42R8NCXkAAyj0Q.jpg</v>
      </c>
      <c r="AW1043" s="93" t="s">
        <v>19280</v>
      </c>
      <c r="AX1043" s="93" t="s">
        <v>19280</v>
      </c>
      <c r="AY1043" s="87"/>
      <c r="AZ1043" s="93" t="s">
        <v>22668</v>
      </c>
      <c r="BA1043" s="93" t="s">
        <v>22668</v>
      </c>
      <c r="BB1043" s="93" t="s">
        <v>22668</v>
      </c>
      <c r="BC1043" s="93" t="s">
        <v>19280</v>
      </c>
      <c r="BD1043" s="87">
        <v>84619559</v>
      </c>
      <c r="BE1043" s="87"/>
      <c r="BF1043" s="87"/>
      <c r="BG1043" s="87"/>
      <c r="BH1043" s="87"/>
      <c r="BI1043" s="87"/>
    </row>
    <row r="1044" spans="1:61" x14ac:dyDescent="0.25">
      <c r="A1044" s="63" t="s">
        <v>595</v>
      </c>
      <c r="B1044" s="63" t="s">
        <v>595</v>
      </c>
      <c r="C1044" s="64"/>
      <c r="D1044" s="65"/>
      <c r="E1044" s="66"/>
      <c r="F1044" s="67"/>
      <c r="G1044" s="64"/>
      <c r="H1044" s="68"/>
      <c r="I1044" s="69"/>
      <c r="J1044" s="69"/>
      <c r="K1044" s="32"/>
      <c r="L1044" s="76">
        <v>1044</v>
      </c>
      <c r="M1044" s="76"/>
      <c r="N1044" s="71"/>
      <c r="O1044" s="87" t="s">
        <v>179</v>
      </c>
      <c r="P1044" s="90">
        <v>45157.58625</v>
      </c>
      <c r="Q1044" s="87" t="s">
        <v>2854</v>
      </c>
      <c r="R1044" s="87">
        <v>0</v>
      </c>
      <c r="S1044" s="87">
        <v>2</v>
      </c>
      <c r="T1044" s="87">
        <v>0</v>
      </c>
      <c r="U1044" s="87">
        <v>0</v>
      </c>
      <c r="V1044" s="87">
        <v>6</v>
      </c>
      <c r="W1044" s="93" t="s">
        <v>6594</v>
      </c>
      <c r="X1044" s="87"/>
      <c r="Y1044" s="87"/>
      <c r="Z1044" s="87"/>
      <c r="AA1044" s="87" t="s">
        <v>9255</v>
      </c>
      <c r="AB1044" s="87" t="s">
        <v>11448</v>
      </c>
      <c r="AC1044" s="93" t="s">
        <v>11459</v>
      </c>
      <c r="AD1044" s="87" t="s">
        <v>11519</v>
      </c>
      <c r="AE1044" s="92" t="str">
        <f>HYPERLINK("https://twitter.com/sinco_brasil/status/1692900273239257212")</f>
        <v>https://twitter.com/sinco_brasil/status/1692900273239257212</v>
      </c>
      <c r="AF1044" s="90">
        <v>45157.58625</v>
      </c>
      <c r="AG1044" s="99">
        <v>45157</v>
      </c>
      <c r="AH1044" s="93" t="s">
        <v>12493</v>
      </c>
      <c r="AI1044" s="87" t="b">
        <v>0</v>
      </c>
      <c r="AJ1044" s="87"/>
      <c r="AK1044" s="87"/>
      <c r="AL1044" s="87"/>
      <c r="AM1044" s="87"/>
      <c r="AN1044" s="87"/>
      <c r="AO1044" s="87"/>
      <c r="AP1044" s="87"/>
      <c r="AQ1044" s="87" t="s">
        <v>16068</v>
      </c>
      <c r="AR1044" s="87"/>
      <c r="AS1044" s="87"/>
      <c r="AT1044" s="87"/>
      <c r="AU1044" s="87"/>
      <c r="AV1044" s="92" t="str">
        <f>HYPERLINK("https://pbs.twimg.com/media/F35j08uWQAE6TI2.jpg")</f>
        <v>https://pbs.twimg.com/media/F35j08uWQAE6TI2.jpg</v>
      </c>
      <c r="AW1044" s="93" t="s">
        <v>19281</v>
      </c>
      <c r="AX1044" s="93" t="s">
        <v>19281</v>
      </c>
      <c r="AY1044" s="87"/>
      <c r="AZ1044" s="93" t="s">
        <v>22668</v>
      </c>
      <c r="BA1044" s="93" t="s">
        <v>22668</v>
      </c>
      <c r="BB1044" s="93" t="s">
        <v>22668</v>
      </c>
      <c r="BC1044" s="93" t="s">
        <v>19281</v>
      </c>
      <c r="BD1044" s="87">
        <v>84619559</v>
      </c>
      <c r="BE1044" s="87"/>
      <c r="BF1044" s="87"/>
      <c r="BG1044" s="87"/>
      <c r="BH1044" s="87"/>
      <c r="BI1044" s="87"/>
    </row>
    <row r="1045" spans="1:61" x14ac:dyDescent="0.25">
      <c r="A1045" s="63" t="s">
        <v>595</v>
      </c>
      <c r="B1045" s="63" t="s">
        <v>595</v>
      </c>
      <c r="C1045" s="64"/>
      <c r="D1045" s="65"/>
      <c r="E1045" s="66"/>
      <c r="F1045" s="67"/>
      <c r="G1045" s="64"/>
      <c r="H1045" s="68"/>
      <c r="I1045" s="69"/>
      <c r="J1045" s="69"/>
      <c r="K1045" s="32"/>
      <c r="L1045" s="76">
        <v>1045</v>
      </c>
      <c r="M1045" s="76"/>
      <c r="N1045" s="71"/>
      <c r="O1045" s="87" t="s">
        <v>179</v>
      </c>
      <c r="P1045" s="90">
        <v>45143.612511574072</v>
      </c>
      <c r="Q1045" s="87" t="s">
        <v>2855</v>
      </c>
      <c r="R1045" s="87">
        <v>0</v>
      </c>
      <c r="S1045" s="87">
        <v>2</v>
      </c>
      <c r="T1045" s="87">
        <v>0</v>
      </c>
      <c r="U1045" s="87">
        <v>0</v>
      </c>
      <c r="V1045" s="87">
        <v>7</v>
      </c>
      <c r="W1045" s="93" t="s">
        <v>6595</v>
      </c>
      <c r="X1045" s="87"/>
      <c r="Y1045" s="87"/>
      <c r="Z1045" s="87"/>
      <c r="AA1045" s="87" t="s">
        <v>9256</v>
      </c>
      <c r="AB1045" s="87" t="s">
        <v>11447</v>
      </c>
      <c r="AC1045" s="93" t="s">
        <v>11459</v>
      </c>
      <c r="AD1045" s="87" t="s">
        <v>11519</v>
      </c>
      <c r="AE1045" s="92" t="str">
        <f>HYPERLINK("https://twitter.com/sinco_brasil/status/1687836359392653312")</f>
        <v>https://twitter.com/sinco_brasil/status/1687836359392653312</v>
      </c>
      <c r="AF1045" s="90">
        <v>45143.612511574072</v>
      </c>
      <c r="AG1045" s="99">
        <v>45143</v>
      </c>
      <c r="AH1045" s="93" t="s">
        <v>12494</v>
      </c>
      <c r="AI1045" s="87" t="b">
        <v>0</v>
      </c>
      <c r="AJ1045" s="87"/>
      <c r="AK1045" s="87"/>
      <c r="AL1045" s="87"/>
      <c r="AM1045" s="87"/>
      <c r="AN1045" s="87"/>
      <c r="AO1045" s="87"/>
      <c r="AP1045" s="87"/>
      <c r="AQ1045" s="87" t="s">
        <v>16069</v>
      </c>
      <c r="AR1045" s="87">
        <v>44975</v>
      </c>
      <c r="AS1045" s="87"/>
      <c r="AT1045" s="87"/>
      <c r="AU1045" s="87"/>
      <c r="AV1045" s="92" t="str">
        <f>HYPERLINK("https://pbs.twimg.com/ext_tw_video_thumb/1687836311569190912/pu/img/vQjla5_CpkEx4rdp.jpg")</f>
        <v>https://pbs.twimg.com/ext_tw_video_thumb/1687836311569190912/pu/img/vQjla5_CpkEx4rdp.jpg</v>
      </c>
      <c r="AW1045" s="93" t="s">
        <v>19282</v>
      </c>
      <c r="AX1045" s="93" t="s">
        <v>19282</v>
      </c>
      <c r="AY1045" s="87"/>
      <c r="AZ1045" s="93" t="s">
        <v>22668</v>
      </c>
      <c r="BA1045" s="93" t="s">
        <v>22668</v>
      </c>
      <c r="BB1045" s="93" t="s">
        <v>22668</v>
      </c>
      <c r="BC1045" s="93" t="s">
        <v>19282</v>
      </c>
      <c r="BD1045" s="87">
        <v>84619559</v>
      </c>
      <c r="BE1045" s="87"/>
      <c r="BF1045" s="87"/>
      <c r="BG1045" s="87"/>
      <c r="BH1045" s="87"/>
      <c r="BI1045" s="87"/>
    </row>
    <row r="1046" spans="1:61" x14ac:dyDescent="0.25">
      <c r="A1046" s="63" t="s">
        <v>595</v>
      </c>
      <c r="B1046" s="63" t="s">
        <v>595</v>
      </c>
      <c r="C1046" s="64"/>
      <c r="D1046" s="65"/>
      <c r="E1046" s="66"/>
      <c r="F1046" s="67"/>
      <c r="G1046" s="64"/>
      <c r="H1046" s="68"/>
      <c r="I1046" s="69"/>
      <c r="J1046" s="69"/>
      <c r="K1046" s="32"/>
      <c r="L1046" s="76">
        <v>1046</v>
      </c>
      <c r="M1046" s="76"/>
      <c r="N1046" s="71"/>
      <c r="O1046" s="87" t="s">
        <v>179</v>
      </c>
      <c r="P1046" s="90">
        <v>45143.491099537037</v>
      </c>
      <c r="Q1046" s="87" t="s">
        <v>2856</v>
      </c>
      <c r="R1046" s="87">
        <v>0</v>
      </c>
      <c r="S1046" s="87">
        <v>2</v>
      </c>
      <c r="T1046" s="87">
        <v>0</v>
      </c>
      <c r="U1046" s="87">
        <v>0</v>
      </c>
      <c r="V1046" s="87">
        <v>12</v>
      </c>
      <c r="W1046" s="93" t="s">
        <v>6596</v>
      </c>
      <c r="X1046" s="87"/>
      <c r="Y1046" s="87"/>
      <c r="Z1046" s="87"/>
      <c r="AA1046" s="87" t="s">
        <v>9257</v>
      </c>
      <c r="AB1046" s="87" t="s">
        <v>11447</v>
      </c>
      <c r="AC1046" s="93" t="s">
        <v>11459</v>
      </c>
      <c r="AD1046" s="87" t="s">
        <v>11519</v>
      </c>
      <c r="AE1046" s="92" t="str">
        <f>HYPERLINK("https://twitter.com/sinco_brasil/status/1687792363219927040")</f>
        <v>https://twitter.com/sinco_brasil/status/1687792363219927040</v>
      </c>
      <c r="AF1046" s="90">
        <v>45143.491099537037</v>
      </c>
      <c r="AG1046" s="99">
        <v>45143</v>
      </c>
      <c r="AH1046" s="93" t="s">
        <v>12495</v>
      </c>
      <c r="AI1046" s="87" t="b">
        <v>0</v>
      </c>
      <c r="AJ1046" s="87"/>
      <c r="AK1046" s="87"/>
      <c r="AL1046" s="87"/>
      <c r="AM1046" s="87"/>
      <c r="AN1046" s="87"/>
      <c r="AO1046" s="87"/>
      <c r="AP1046" s="87"/>
      <c r="AQ1046" s="87" t="s">
        <v>16070</v>
      </c>
      <c r="AR1046" s="87">
        <v>65200</v>
      </c>
      <c r="AS1046" s="87"/>
      <c r="AT1046" s="87"/>
      <c r="AU1046" s="87"/>
      <c r="AV1046" s="92" t="str">
        <f>HYPERLINK("https://pbs.twimg.com/ext_tw_video_thumb/1687792278016839680/pu/img/p4LRuuF_8en6x64q.jpg")</f>
        <v>https://pbs.twimg.com/ext_tw_video_thumb/1687792278016839680/pu/img/p4LRuuF_8en6x64q.jpg</v>
      </c>
      <c r="AW1046" s="93" t="s">
        <v>19283</v>
      </c>
      <c r="AX1046" s="93" t="s">
        <v>19283</v>
      </c>
      <c r="AY1046" s="87"/>
      <c r="AZ1046" s="93" t="s">
        <v>22668</v>
      </c>
      <c r="BA1046" s="93" t="s">
        <v>22668</v>
      </c>
      <c r="BB1046" s="93" t="s">
        <v>22668</v>
      </c>
      <c r="BC1046" s="93" t="s">
        <v>19283</v>
      </c>
      <c r="BD1046" s="87">
        <v>84619559</v>
      </c>
      <c r="BE1046" s="87"/>
      <c r="BF1046" s="87"/>
      <c r="BG1046" s="87"/>
      <c r="BH1046" s="87"/>
      <c r="BI1046" s="87"/>
    </row>
    <row r="1047" spans="1:61" x14ac:dyDescent="0.25">
      <c r="A1047" s="63" t="s">
        <v>595</v>
      </c>
      <c r="B1047" s="63" t="s">
        <v>595</v>
      </c>
      <c r="C1047" s="64"/>
      <c r="D1047" s="65"/>
      <c r="E1047" s="66"/>
      <c r="F1047" s="67"/>
      <c r="G1047" s="64"/>
      <c r="H1047" s="68"/>
      <c r="I1047" s="69"/>
      <c r="J1047" s="69"/>
      <c r="K1047" s="32"/>
      <c r="L1047" s="76">
        <v>1047</v>
      </c>
      <c r="M1047" s="76"/>
      <c r="N1047" s="71"/>
      <c r="O1047" s="87" t="s">
        <v>179</v>
      </c>
      <c r="P1047" s="90">
        <v>45143.4533912037</v>
      </c>
      <c r="Q1047" s="87" t="s">
        <v>2857</v>
      </c>
      <c r="R1047" s="87">
        <v>0</v>
      </c>
      <c r="S1047" s="87">
        <v>2</v>
      </c>
      <c r="T1047" s="87">
        <v>0</v>
      </c>
      <c r="U1047" s="87">
        <v>0</v>
      </c>
      <c r="V1047" s="87">
        <v>11</v>
      </c>
      <c r="W1047" s="93" t="s">
        <v>6597</v>
      </c>
      <c r="X1047" s="87"/>
      <c r="Y1047" s="87"/>
      <c r="Z1047" s="87"/>
      <c r="AA1047" s="87" t="s">
        <v>9258</v>
      </c>
      <c r="AB1047" s="87" t="s">
        <v>11448</v>
      </c>
      <c r="AC1047" s="93" t="s">
        <v>11459</v>
      </c>
      <c r="AD1047" s="87" t="s">
        <v>11519</v>
      </c>
      <c r="AE1047" s="92" t="str">
        <f>HYPERLINK("https://twitter.com/sinco_brasil/status/1687778697397346304")</f>
        <v>https://twitter.com/sinco_brasil/status/1687778697397346304</v>
      </c>
      <c r="AF1047" s="90">
        <v>45143.4533912037</v>
      </c>
      <c r="AG1047" s="99">
        <v>45143</v>
      </c>
      <c r="AH1047" s="93" t="s">
        <v>12496</v>
      </c>
      <c r="AI1047" s="87" t="b">
        <v>0</v>
      </c>
      <c r="AJ1047" s="87"/>
      <c r="AK1047" s="87"/>
      <c r="AL1047" s="87"/>
      <c r="AM1047" s="87"/>
      <c r="AN1047" s="87"/>
      <c r="AO1047" s="87"/>
      <c r="AP1047" s="87"/>
      <c r="AQ1047" s="87" t="s">
        <v>16071</v>
      </c>
      <c r="AR1047" s="87"/>
      <c r="AS1047" s="87"/>
      <c r="AT1047" s="87"/>
      <c r="AU1047" s="87"/>
      <c r="AV1047" s="92" t="str">
        <f>HYPERLINK("https://pbs.twimg.com/media/F2wxx-nXIAATExw.jpg")</f>
        <v>https://pbs.twimg.com/media/F2wxx-nXIAATExw.jpg</v>
      </c>
      <c r="AW1047" s="93" t="s">
        <v>19284</v>
      </c>
      <c r="AX1047" s="93" t="s">
        <v>19284</v>
      </c>
      <c r="AY1047" s="87"/>
      <c r="AZ1047" s="93" t="s">
        <v>22668</v>
      </c>
      <c r="BA1047" s="93" t="s">
        <v>22668</v>
      </c>
      <c r="BB1047" s="93" t="s">
        <v>22668</v>
      </c>
      <c r="BC1047" s="93" t="s">
        <v>19284</v>
      </c>
      <c r="BD1047" s="87">
        <v>84619559</v>
      </c>
      <c r="BE1047" s="87"/>
      <c r="BF1047" s="87"/>
      <c r="BG1047" s="87"/>
      <c r="BH1047" s="87"/>
      <c r="BI1047" s="87"/>
    </row>
    <row r="1048" spans="1:61" x14ac:dyDescent="0.25">
      <c r="A1048" s="63" t="s">
        <v>595</v>
      </c>
      <c r="B1048" s="63" t="s">
        <v>595</v>
      </c>
      <c r="C1048" s="64"/>
      <c r="D1048" s="65"/>
      <c r="E1048" s="66"/>
      <c r="F1048" s="67"/>
      <c r="G1048" s="64"/>
      <c r="H1048" s="68"/>
      <c r="I1048" s="69"/>
      <c r="J1048" s="69"/>
      <c r="K1048" s="32"/>
      <c r="L1048" s="76">
        <v>1048</v>
      </c>
      <c r="M1048" s="76"/>
      <c r="N1048" s="71"/>
      <c r="O1048" s="87" t="s">
        <v>179</v>
      </c>
      <c r="P1048" s="90">
        <v>45117.403587962966</v>
      </c>
      <c r="Q1048" s="87" t="s">
        <v>2858</v>
      </c>
      <c r="R1048" s="87">
        <v>0</v>
      </c>
      <c r="S1048" s="87">
        <v>2</v>
      </c>
      <c r="T1048" s="87">
        <v>0</v>
      </c>
      <c r="U1048" s="87">
        <v>0</v>
      </c>
      <c r="V1048" s="87">
        <v>17</v>
      </c>
      <c r="W1048" s="93" t="s">
        <v>6598</v>
      </c>
      <c r="X1048" s="87"/>
      <c r="Y1048" s="87"/>
      <c r="Z1048" s="87"/>
      <c r="AA1048" s="87" t="s">
        <v>9259</v>
      </c>
      <c r="AB1048" s="87" t="s">
        <v>11448</v>
      </c>
      <c r="AC1048" s="93" t="s">
        <v>11459</v>
      </c>
      <c r="AD1048" s="87" t="s">
        <v>11519</v>
      </c>
      <c r="AE1048" s="92" t="str">
        <f>HYPERLINK("https://twitter.com/sinco_brasil/status/1678338563992178688")</f>
        <v>https://twitter.com/sinco_brasil/status/1678338563992178688</v>
      </c>
      <c r="AF1048" s="90">
        <v>45117.403587962966</v>
      </c>
      <c r="AG1048" s="99">
        <v>45117</v>
      </c>
      <c r="AH1048" s="93" t="s">
        <v>12464</v>
      </c>
      <c r="AI1048" s="87" t="b">
        <v>0</v>
      </c>
      <c r="AJ1048" s="87"/>
      <c r="AK1048" s="87"/>
      <c r="AL1048" s="87"/>
      <c r="AM1048" s="87"/>
      <c r="AN1048" s="87"/>
      <c r="AO1048" s="87"/>
      <c r="AP1048" s="87"/>
      <c r="AQ1048" s="87" t="s">
        <v>16072</v>
      </c>
      <c r="AR1048" s="87"/>
      <c r="AS1048" s="87"/>
      <c r="AT1048" s="87"/>
      <c r="AU1048" s="87"/>
      <c r="AV1048" s="92" t="str">
        <f>HYPERLINK("https://pbs.twimg.com/media/F0qoB6tX0AAkKS8.jpg")</f>
        <v>https://pbs.twimg.com/media/F0qoB6tX0AAkKS8.jpg</v>
      </c>
      <c r="AW1048" s="93" t="s">
        <v>19285</v>
      </c>
      <c r="AX1048" s="93" t="s">
        <v>19285</v>
      </c>
      <c r="AY1048" s="87"/>
      <c r="AZ1048" s="93" t="s">
        <v>22668</v>
      </c>
      <c r="BA1048" s="93" t="s">
        <v>22668</v>
      </c>
      <c r="BB1048" s="93" t="s">
        <v>22668</v>
      </c>
      <c r="BC1048" s="93" t="s">
        <v>19285</v>
      </c>
      <c r="BD1048" s="87">
        <v>84619559</v>
      </c>
      <c r="BE1048" s="87"/>
      <c r="BF1048" s="87"/>
      <c r="BG1048" s="87"/>
      <c r="BH1048" s="87"/>
      <c r="BI1048" s="87"/>
    </row>
    <row r="1049" spans="1:61" x14ac:dyDescent="0.25">
      <c r="A1049" s="63" t="s">
        <v>595</v>
      </c>
      <c r="B1049" s="63" t="s">
        <v>595</v>
      </c>
      <c r="C1049" s="64"/>
      <c r="D1049" s="65"/>
      <c r="E1049" s="66"/>
      <c r="F1049" s="67"/>
      <c r="G1049" s="64"/>
      <c r="H1049" s="68"/>
      <c r="I1049" s="69"/>
      <c r="J1049" s="69"/>
      <c r="K1049" s="32"/>
      <c r="L1049" s="76">
        <v>1049</v>
      </c>
      <c r="M1049" s="76"/>
      <c r="N1049" s="71"/>
      <c r="O1049" s="87" t="s">
        <v>179</v>
      </c>
      <c r="P1049" s="90">
        <v>45189.39340277778</v>
      </c>
      <c r="Q1049" s="87" t="s">
        <v>2859</v>
      </c>
      <c r="R1049" s="87">
        <v>0</v>
      </c>
      <c r="S1049" s="87">
        <v>2</v>
      </c>
      <c r="T1049" s="87">
        <v>0</v>
      </c>
      <c r="U1049" s="87">
        <v>0</v>
      </c>
      <c r="V1049" s="87">
        <v>24</v>
      </c>
      <c r="W1049" s="93" t="s">
        <v>6599</v>
      </c>
      <c r="X1049" s="87"/>
      <c r="Y1049" s="87"/>
      <c r="Z1049" s="87"/>
      <c r="AA1049" s="87" t="s">
        <v>9260</v>
      </c>
      <c r="AB1049" s="87" t="s">
        <v>11448</v>
      </c>
      <c r="AC1049" s="93" t="s">
        <v>11459</v>
      </c>
      <c r="AD1049" s="87" t="s">
        <v>11519</v>
      </c>
      <c r="AE1049" s="92" t="str">
        <f>HYPERLINK("https://twitter.com/sinco_brasil/status/1704426798224650490")</f>
        <v>https://twitter.com/sinco_brasil/status/1704426798224650490</v>
      </c>
      <c r="AF1049" s="90">
        <v>45189.39340277778</v>
      </c>
      <c r="AG1049" s="99">
        <v>45189</v>
      </c>
      <c r="AH1049" s="93" t="s">
        <v>12497</v>
      </c>
      <c r="AI1049" s="87" t="b">
        <v>0</v>
      </c>
      <c r="AJ1049" s="87"/>
      <c r="AK1049" s="87"/>
      <c r="AL1049" s="87"/>
      <c r="AM1049" s="87"/>
      <c r="AN1049" s="87"/>
      <c r="AO1049" s="87"/>
      <c r="AP1049" s="87"/>
      <c r="AQ1049" s="87" t="s">
        <v>16073</v>
      </c>
      <c r="AR1049" s="87"/>
      <c r="AS1049" s="87"/>
      <c r="AT1049" s="87"/>
      <c r="AU1049" s="87"/>
      <c r="AV1049" s="92" t="str">
        <f>HYPERLINK("https://pbs.twimg.com/media/F6dXI-nXoAAOk75.jpg")</f>
        <v>https://pbs.twimg.com/media/F6dXI-nXoAAOk75.jpg</v>
      </c>
      <c r="AW1049" s="93" t="s">
        <v>19286</v>
      </c>
      <c r="AX1049" s="93" t="s">
        <v>19286</v>
      </c>
      <c r="AY1049" s="87"/>
      <c r="AZ1049" s="93" t="s">
        <v>22668</v>
      </c>
      <c r="BA1049" s="93" t="s">
        <v>22668</v>
      </c>
      <c r="BB1049" s="93" t="s">
        <v>22668</v>
      </c>
      <c r="BC1049" s="93" t="s">
        <v>19286</v>
      </c>
      <c r="BD1049" s="87">
        <v>84619559</v>
      </c>
      <c r="BE1049" s="87"/>
      <c r="BF1049" s="87"/>
      <c r="BG1049" s="87"/>
      <c r="BH1049" s="87"/>
      <c r="BI1049" s="87"/>
    </row>
    <row r="1050" spans="1:61" x14ac:dyDescent="0.25">
      <c r="A1050" s="63" t="s">
        <v>595</v>
      </c>
      <c r="B1050" s="63" t="s">
        <v>595</v>
      </c>
      <c r="C1050" s="64"/>
      <c r="D1050" s="65"/>
      <c r="E1050" s="66"/>
      <c r="F1050" s="67"/>
      <c r="G1050" s="64"/>
      <c r="H1050" s="68"/>
      <c r="I1050" s="69"/>
      <c r="J1050" s="69"/>
      <c r="K1050" s="32"/>
      <c r="L1050" s="76">
        <v>1050</v>
      </c>
      <c r="M1050" s="76"/>
      <c r="N1050" s="71"/>
      <c r="O1050" s="87" t="s">
        <v>179</v>
      </c>
      <c r="P1050" s="90">
        <v>45184.421377314815</v>
      </c>
      <c r="Q1050" s="87" t="s">
        <v>2860</v>
      </c>
      <c r="R1050" s="87">
        <v>0</v>
      </c>
      <c r="S1050" s="87">
        <v>2</v>
      </c>
      <c r="T1050" s="87">
        <v>0</v>
      </c>
      <c r="U1050" s="87">
        <v>0</v>
      </c>
      <c r="V1050" s="87">
        <v>10</v>
      </c>
      <c r="W1050" s="93" t="s">
        <v>6600</v>
      </c>
      <c r="X1050" s="92" t="str">
        <f>HYPERLINK("https://www.blog.sinco.net/2023/09/dia-cliente-referencias-comerciais.html")</f>
        <v>https://www.blog.sinco.net/2023/09/dia-cliente-referencias-comerciais.html</v>
      </c>
      <c r="Y1050" s="87" t="s">
        <v>8438</v>
      </c>
      <c r="Z1050" s="87"/>
      <c r="AA1050" s="87" t="s">
        <v>9261</v>
      </c>
      <c r="AB1050" s="87" t="s">
        <v>11448</v>
      </c>
      <c r="AC1050" s="93" t="s">
        <v>11459</v>
      </c>
      <c r="AD1050" s="87" t="s">
        <v>11519</v>
      </c>
      <c r="AE1050" s="92" t="str">
        <f>HYPERLINK("https://twitter.com/sinco_brasil/status/1702624997938811240")</f>
        <v>https://twitter.com/sinco_brasil/status/1702624997938811240</v>
      </c>
      <c r="AF1050" s="90">
        <v>45184.421377314815</v>
      </c>
      <c r="AG1050" s="99">
        <v>45184</v>
      </c>
      <c r="AH1050" s="93" t="s">
        <v>12498</v>
      </c>
      <c r="AI1050" s="87" t="b">
        <v>0</v>
      </c>
      <c r="AJ1050" s="87"/>
      <c r="AK1050" s="87"/>
      <c r="AL1050" s="87"/>
      <c r="AM1050" s="87"/>
      <c r="AN1050" s="87"/>
      <c r="AO1050" s="87"/>
      <c r="AP1050" s="87"/>
      <c r="AQ1050" s="87" t="s">
        <v>16074</v>
      </c>
      <c r="AR1050" s="87"/>
      <c r="AS1050" s="87"/>
      <c r="AT1050" s="87"/>
      <c r="AU1050" s="87"/>
      <c r="AV1050" s="92" t="str">
        <f>HYPERLINK("https://pbs.twimg.com/media/F6DwaZiXsAA9trt.jpg")</f>
        <v>https://pbs.twimg.com/media/F6DwaZiXsAA9trt.jpg</v>
      </c>
      <c r="AW1050" s="93" t="s">
        <v>19287</v>
      </c>
      <c r="AX1050" s="93" t="s">
        <v>19287</v>
      </c>
      <c r="AY1050" s="87"/>
      <c r="AZ1050" s="93" t="s">
        <v>22668</v>
      </c>
      <c r="BA1050" s="93" t="s">
        <v>22668</v>
      </c>
      <c r="BB1050" s="93" t="s">
        <v>22668</v>
      </c>
      <c r="BC1050" s="93" t="s">
        <v>19287</v>
      </c>
      <c r="BD1050" s="87">
        <v>84619559</v>
      </c>
      <c r="BE1050" s="87"/>
      <c r="BF1050" s="87"/>
      <c r="BG1050" s="87"/>
      <c r="BH1050" s="87"/>
      <c r="BI1050" s="87"/>
    </row>
    <row r="1051" spans="1:61" x14ac:dyDescent="0.25">
      <c r="A1051" s="63" t="s">
        <v>595</v>
      </c>
      <c r="B1051" s="63" t="s">
        <v>595</v>
      </c>
      <c r="C1051" s="64"/>
      <c r="D1051" s="65"/>
      <c r="E1051" s="66"/>
      <c r="F1051" s="67"/>
      <c r="G1051" s="64"/>
      <c r="H1051" s="68"/>
      <c r="I1051" s="69"/>
      <c r="J1051" s="69"/>
      <c r="K1051" s="32"/>
      <c r="L1051" s="76">
        <v>1051</v>
      </c>
      <c r="M1051" s="76"/>
      <c r="N1051" s="71"/>
      <c r="O1051" s="87" t="s">
        <v>179</v>
      </c>
      <c r="P1051" s="90">
        <v>45184.377233796295</v>
      </c>
      <c r="Q1051" s="87" t="s">
        <v>2861</v>
      </c>
      <c r="R1051" s="87">
        <v>0</v>
      </c>
      <c r="S1051" s="87">
        <v>2</v>
      </c>
      <c r="T1051" s="87">
        <v>0</v>
      </c>
      <c r="U1051" s="87">
        <v>0</v>
      </c>
      <c r="V1051" s="87">
        <v>11</v>
      </c>
      <c r="W1051" s="93" t="s">
        <v>6601</v>
      </c>
      <c r="X1051" s="87"/>
      <c r="Y1051" s="87"/>
      <c r="Z1051" s="87"/>
      <c r="AA1051" s="87" t="s">
        <v>9262</v>
      </c>
      <c r="AB1051" s="87" t="s">
        <v>11448</v>
      </c>
      <c r="AC1051" s="93" t="s">
        <v>11459</v>
      </c>
      <c r="AD1051" s="87" t="s">
        <v>11519</v>
      </c>
      <c r="AE1051" s="92" t="str">
        <f>HYPERLINK("https://twitter.com/sinco_brasil/status/1702609001710522642")</f>
        <v>https://twitter.com/sinco_brasil/status/1702609001710522642</v>
      </c>
      <c r="AF1051" s="90">
        <v>45184.377233796295</v>
      </c>
      <c r="AG1051" s="99">
        <v>45184</v>
      </c>
      <c r="AH1051" s="93" t="s">
        <v>12499</v>
      </c>
      <c r="AI1051" s="87" t="b">
        <v>0</v>
      </c>
      <c r="AJ1051" s="87"/>
      <c r="AK1051" s="87"/>
      <c r="AL1051" s="87"/>
      <c r="AM1051" s="87"/>
      <c r="AN1051" s="87"/>
      <c r="AO1051" s="87"/>
      <c r="AP1051" s="87"/>
      <c r="AQ1051" s="87" t="s">
        <v>16075</v>
      </c>
      <c r="AR1051" s="87"/>
      <c r="AS1051" s="87"/>
      <c r="AT1051" s="87"/>
      <c r="AU1051" s="87"/>
      <c r="AV1051" s="92" t="str">
        <f>HYPERLINK("https://pbs.twimg.com/media/F6Dh3TcWEAALkZ4.jpg")</f>
        <v>https://pbs.twimg.com/media/F6Dh3TcWEAALkZ4.jpg</v>
      </c>
      <c r="AW1051" s="93" t="s">
        <v>19288</v>
      </c>
      <c r="AX1051" s="93" t="s">
        <v>19288</v>
      </c>
      <c r="AY1051" s="87"/>
      <c r="AZ1051" s="93" t="s">
        <v>22668</v>
      </c>
      <c r="BA1051" s="93" t="s">
        <v>22668</v>
      </c>
      <c r="BB1051" s="93" t="s">
        <v>22668</v>
      </c>
      <c r="BC1051" s="93" t="s">
        <v>19288</v>
      </c>
      <c r="BD1051" s="87">
        <v>84619559</v>
      </c>
      <c r="BE1051" s="87"/>
      <c r="BF1051" s="87"/>
      <c r="BG1051" s="87"/>
      <c r="BH1051" s="87"/>
      <c r="BI1051" s="87"/>
    </row>
    <row r="1052" spans="1:61" x14ac:dyDescent="0.25">
      <c r="A1052" s="63" t="s">
        <v>595</v>
      </c>
      <c r="B1052" s="63" t="s">
        <v>595</v>
      </c>
      <c r="C1052" s="64"/>
      <c r="D1052" s="65"/>
      <c r="E1052" s="66"/>
      <c r="F1052" s="67"/>
      <c r="G1052" s="64"/>
      <c r="H1052" s="68"/>
      <c r="I1052" s="69"/>
      <c r="J1052" s="69"/>
      <c r="K1052" s="32"/>
      <c r="L1052" s="76">
        <v>1052</v>
      </c>
      <c r="M1052" s="76"/>
      <c r="N1052" s="71"/>
      <c r="O1052" s="87" t="s">
        <v>179</v>
      </c>
      <c r="P1052" s="90">
        <v>45180.564155092594</v>
      </c>
      <c r="Q1052" s="87" t="s">
        <v>2862</v>
      </c>
      <c r="R1052" s="87">
        <v>0</v>
      </c>
      <c r="S1052" s="87">
        <v>2</v>
      </c>
      <c r="T1052" s="87">
        <v>0</v>
      </c>
      <c r="U1052" s="87">
        <v>0</v>
      </c>
      <c r="V1052" s="87">
        <v>9</v>
      </c>
      <c r="W1052" s="93" t="s">
        <v>6602</v>
      </c>
      <c r="X1052" s="87"/>
      <c r="Y1052" s="87"/>
      <c r="Z1052" s="87"/>
      <c r="AA1052" s="87" t="s">
        <v>9263</v>
      </c>
      <c r="AB1052" s="87" t="s">
        <v>11447</v>
      </c>
      <c r="AC1052" s="93" t="s">
        <v>11459</v>
      </c>
      <c r="AD1052" s="87" t="s">
        <v>11519</v>
      </c>
      <c r="AE1052" s="92" t="str">
        <f>HYPERLINK("https://twitter.com/sinco_brasil/status/1701227188337471945")</f>
        <v>https://twitter.com/sinco_brasil/status/1701227188337471945</v>
      </c>
      <c r="AF1052" s="90">
        <v>45180.564155092594</v>
      </c>
      <c r="AG1052" s="99">
        <v>45180</v>
      </c>
      <c r="AH1052" s="93" t="s">
        <v>12500</v>
      </c>
      <c r="AI1052" s="87" t="b">
        <v>0</v>
      </c>
      <c r="AJ1052" s="87"/>
      <c r="AK1052" s="87"/>
      <c r="AL1052" s="87"/>
      <c r="AM1052" s="87"/>
      <c r="AN1052" s="87"/>
      <c r="AO1052" s="87"/>
      <c r="AP1052" s="87"/>
      <c r="AQ1052" s="87" t="s">
        <v>16076</v>
      </c>
      <c r="AR1052" s="87">
        <v>42235</v>
      </c>
      <c r="AS1052" s="87"/>
      <c r="AT1052" s="87"/>
      <c r="AU1052" s="87"/>
      <c r="AV1052" s="92" t="str">
        <f>HYPERLINK("https://pbs.twimg.com/ext_tw_video_thumb/1701227052517482496/pu/img/tETPCwPj6blT51IK.jpg")</f>
        <v>https://pbs.twimg.com/ext_tw_video_thumb/1701227052517482496/pu/img/tETPCwPj6blT51IK.jpg</v>
      </c>
      <c r="AW1052" s="93" t="s">
        <v>19289</v>
      </c>
      <c r="AX1052" s="93" t="s">
        <v>19289</v>
      </c>
      <c r="AY1052" s="87"/>
      <c r="AZ1052" s="93" t="s">
        <v>22668</v>
      </c>
      <c r="BA1052" s="93" t="s">
        <v>22668</v>
      </c>
      <c r="BB1052" s="93" t="s">
        <v>22668</v>
      </c>
      <c r="BC1052" s="93" t="s">
        <v>19289</v>
      </c>
      <c r="BD1052" s="87">
        <v>84619559</v>
      </c>
      <c r="BE1052" s="87"/>
      <c r="BF1052" s="87"/>
      <c r="BG1052" s="87"/>
      <c r="BH1052" s="87"/>
      <c r="BI1052" s="87"/>
    </row>
    <row r="1053" spans="1:61" x14ac:dyDescent="0.25">
      <c r="A1053" s="63" t="s">
        <v>595</v>
      </c>
      <c r="B1053" s="63" t="s">
        <v>595</v>
      </c>
      <c r="C1053" s="64"/>
      <c r="D1053" s="65"/>
      <c r="E1053" s="66"/>
      <c r="F1053" s="67"/>
      <c r="G1053" s="64"/>
      <c r="H1053" s="68"/>
      <c r="I1053" s="69"/>
      <c r="J1053" s="69"/>
      <c r="K1053" s="32"/>
      <c r="L1053" s="76">
        <v>1053</v>
      </c>
      <c r="M1053" s="76"/>
      <c r="N1053" s="71"/>
      <c r="O1053" s="87" t="s">
        <v>179</v>
      </c>
      <c r="P1053" s="90">
        <v>45177.48196759259</v>
      </c>
      <c r="Q1053" s="87" t="s">
        <v>2863</v>
      </c>
      <c r="R1053" s="87">
        <v>0</v>
      </c>
      <c r="S1053" s="87">
        <v>2</v>
      </c>
      <c r="T1053" s="87">
        <v>0</v>
      </c>
      <c r="U1053" s="87">
        <v>0</v>
      </c>
      <c r="V1053" s="87">
        <v>6</v>
      </c>
      <c r="W1053" s="93" t="s">
        <v>6603</v>
      </c>
      <c r="X1053" s="87"/>
      <c r="Y1053" s="87"/>
      <c r="Z1053" s="87"/>
      <c r="AA1053" s="87" t="s">
        <v>9264</v>
      </c>
      <c r="AB1053" s="87" t="s">
        <v>11448</v>
      </c>
      <c r="AC1053" s="93" t="s">
        <v>11459</v>
      </c>
      <c r="AD1053" s="87" t="s">
        <v>11519</v>
      </c>
      <c r="AE1053" s="92" t="str">
        <f>HYPERLINK("https://twitter.com/sinco_brasil/status/1700110238379077987")</f>
        <v>https://twitter.com/sinco_brasil/status/1700110238379077987</v>
      </c>
      <c r="AF1053" s="90">
        <v>45177.48196759259</v>
      </c>
      <c r="AG1053" s="99">
        <v>45177</v>
      </c>
      <c r="AH1053" s="93" t="s">
        <v>12501</v>
      </c>
      <c r="AI1053" s="87" t="b">
        <v>0</v>
      </c>
      <c r="AJ1053" s="87"/>
      <c r="AK1053" s="87"/>
      <c r="AL1053" s="87"/>
      <c r="AM1053" s="87"/>
      <c r="AN1053" s="87"/>
      <c r="AO1053" s="87"/>
      <c r="AP1053" s="87"/>
      <c r="AQ1053" s="87" t="s">
        <v>16077</v>
      </c>
      <c r="AR1053" s="87"/>
      <c r="AS1053" s="87"/>
      <c r="AT1053" s="87"/>
      <c r="AU1053" s="87"/>
      <c r="AV1053" s="92" t="str">
        <f>HYPERLINK("https://pbs.twimg.com/media/F5gBQJWWwAALXJx.jpg")</f>
        <v>https://pbs.twimg.com/media/F5gBQJWWwAALXJx.jpg</v>
      </c>
      <c r="AW1053" s="93" t="s">
        <v>19290</v>
      </c>
      <c r="AX1053" s="93" t="s">
        <v>19290</v>
      </c>
      <c r="AY1053" s="87"/>
      <c r="AZ1053" s="93" t="s">
        <v>22668</v>
      </c>
      <c r="BA1053" s="93" t="s">
        <v>22668</v>
      </c>
      <c r="BB1053" s="93" t="s">
        <v>22668</v>
      </c>
      <c r="BC1053" s="93" t="s">
        <v>19290</v>
      </c>
      <c r="BD1053" s="87">
        <v>84619559</v>
      </c>
      <c r="BE1053" s="87"/>
      <c r="BF1053" s="87"/>
      <c r="BG1053" s="87"/>
      <c r="BH1053" s="87"/>
      <c r="BI1053" s="87"/>
    </row>
    <row r="1054" spans="1:61" x14ac:dyDescent="0.25">
      <c r="A1054" s="63" t="s">
        <v>595</v>
      </c>
      <c r="B1054" s="63" t="s">
        <v>595</v>
      </c>
      <c r="C1054" s="64"/>
      <c r="D1054" s="65"/>
      <c r="E1054" s="66"/>
      <c r="F1054" s="67"/>
      <c r="G1054" s="64"/>
      <c r="H1054" s="68"/>
      <c r="I1054" s="69"/>
      <c r="J1054" s="69"/>
      <c r="K1054" s="32"/>
      <c r="L1054" s="76">
        <v>1054</v>
      </c>
      <c r="M1054" s="76"/>
      <c r="N1054" s="71"/>
      <c r="O1054" s="87" t="s">
        <v>179</v>
      </c>
      <c r="P1054" s="90">
        <v>45170.5859375</v>
      </c>
      <c r="Q1054" s="87" t="s">
        <v>2864</v>
      </c>
      <c r="R1054" s="87">
        <v>0</v>
      </c>
      <c r="S1054" s="87">
        <v>2</v>
      </c>
      <c r="T1054" s="87">
        <v>0</v>
      </c>
      <c r="U1054" s="87">
        <v>0</v>
      </c>
      <c r="V1054" s="87">
        <v>9</v>
      </c>
      <c r="W1054" s="93" t="s">
        <v>6604</v>
      </c>
      <c r="X1054" s="87"/>
      <c r="Y1054" s="87"/>
      <c r="Z1054" s="87"/>
      <c r="AA1054" s="87" t="s">
        <v>9265</v>
      </c>
      <c r="AB1054" s="87" t="s">
        <v>11447</v>
      </c>
      <c r="AC1054" s="93" t="s">
        <v>11459</v>
      </c>
      <c r="AD1054" s="87" t="s">
        <v>11519</v>
      </c>
      <c r="AE1054" s="92" t="str">
        <f>HYPERLINK("https://twitter.com/sinco_brasil/status/1697611203999089126")</f>
        <v>https://twitter.com/sinco_brasil/status/1697611203999089126</v>
      </c>
      <c r="AF1054" s="90">
        <v>45170.5859375</v>
      </c>
      <c r="AG1054" s="99">
        <v>45170</v>
      </c>
      <c r="AH1054" s="93" t="s">
        <v>12502</v>
      </c>
      <c r="AI1054" s="87" t="b">
        <v>0</v>
      </c>
      <c r="AJ1054" s="87"/>
      <c r="AK1054" s="87"/>
      <c r="AL1054" s="87"/>
      <c r="AM1054" s="87"/>
      <c r="AN1054" s="87"/>
      <c r="AO1054" s="87"/>
      <c r="AP1054" s="87"/>
      <c r="AQ1054" s="87" t="s">
        <v>16078</v>
      </c>
      <c r="AR1054" s="87">
        <v>58790</v>
      </c>
      <c r="AS1054" s="87"/>
      <c r="AT1054" s="87"/>
      <c r="AU1054" s="87"/>
      <c r="AV1054" s="92" t="str">
        <f>HYPERLINK("https://pbs.twimg.com/ext_tw_video_thumb/1697611146314788865/pu/img/ZZqUZyCxPn-lCc3u.jpg")</f>
        <v>https://pbs.twimg.com/ext_tw_video_thumb/1697611146314788865/pu/img/ZZqUZyCxPn-lCc3u.jpg</v>
      </c>
      <c r="AW1054" s="93" t="s">
        <v>19291</v>
      </c>
      <c r="AX1054" s="93" t="s">
        <v>19291</v>
      </c>
      <c r="AY1054" s="87"/>
      <c r="AZ1054" s="93" t="s">
        <v>22668</v>
      </c>
      <c r="BA1054" s="93" t="s">
        <v>22668</v>
      </c>
      <c r="BB1054" s="93" t="s">
        <v>22668</v>
      </c>
      <c r="BC1054" s="93" t="s">
        <v>19291</v>
      </c>
      <c r="BD1054" s="87">
        <v>84619559</v>
      </c>
      <c r="BE1054" s="87"/>
      <c r="BF1054" s="87"/>
      <c r="BG1054" s="87"/>
      <c r="BH1054" s="87"/>
      <c r="BI1054" s="87"/>
    </row>
    <row r="1055" spans="1:61" x14ac:dyDescent="0.25">
      <c r="A1055" s="63" t="s">
        <v>595</v>
      </c>
      <c r="B1055" s="63" t="s">
        <v>595</v>
      </c>
      <c r="C1055" s="64"/>
      <c r="D1055" s="65"/>
      <c r="E1055" s="66"/>
      <c r="F1055" s="67"/>
      <c r="G1055" s="64"/>
      <c r="H1055" s="68"/>
      <c r="I1055" s="69"/>
      <c r="J1055" s="69"/>
      <c r="K1055" s="32"/>
      <c r="L1055" s="76">
        <v>1055</v>
      </c>
      <c r="M1055" s="76"/>
      <c r="N1055" s="71"/>
      <c r="O1055" s="87" t="s">
        <v>179</v>
      </c>
      <c r="P1055" s="90">
        <v>45170.394861111112</v>
      </c>
      <c r="Q1055" s="87" t="s">
        <v>2865</v>
      </c>
      <c r="R1055" s="87">
        <v>0</v>
      </c>
      <c r="S1055" s="87">
        <v>2</v>
      </c>
      <c r="T1055" s="87">
        <v>0</v>
      </c>
      <c r="U1055" s="87">
        <v>0</v>
      </c>
      <c r="V1055" s="87">
        <v>13</v>
      </c>
      <c r="W1055" s="93" t="s">
        <v>6605</v>
      </c>
      <c r="X1055" s="87"/>
      <c r="Y1055" s="87"/>
      <c r="Z1055" s="87"/>
      <c r="AA1055" s="87" t="s">
        <v>9266</v>
      </c>
      <c r="AB1055" s="87" t="s">
        <v>11448</v>
      </c>
      <c r="AC1055" s="93" t="s">
        <v>11459</v>
      </c>
      <c r="AD1055" s="87" t="s">
        <v>11519</v>
      </c>
      <c r="AE1055" s="92" t="str">
        <f>HYPERLINK("https://twitter.com/sinco_brasil/status/1697541957126373773")</f>
        <v>https://twitter.com/sinco_brasil/status/1697541957126373773</v>
      </c>
      <c r="AF1055" s="90">
        <v>45170.394861111112</v>
      </c>
      <c r="AG1055" s="99">
        <v>45170</v>
      </c>
      <c r="AH1055" s="93" t="s">
        <v>12503</v>
      </c>
      <c r="AI1055" s="87" t="b">
        <v>0</v>
      </c>
      <c r="AJ1055" s="87"/>
      <c r="AK1055" s="87"/>
      <c r="AL1055" s="87"/>
      <c r="AM1055" s="87"/>
      <c r="AN1055" s="87"/>
      <c r="AO1055" s="87"/>
      <c r="AP1055" s="87"/>
      <c r="AQ1055" s="87" t="s">
        <v>16079</v>
      </c>
      <c r="AR1055" s="87"/>
      <c r="AS1055" s="87"/>
      <c r="AT1055" s="87"/>
      <c r="AU1055" s="87"/>
      <c r="AV1055" s="92" t="str">
        <f>HYPERLINK("https://pbs.twimg.com/media/F47hafOXYAAg4hl.jpg")</f>
        <v>https://pbs.twimg.com/media/F47hafOXYAAg4hl.jpg</v>
      </c>
      <c r="AW1055" s="93" t="s">
        <v>19292</v>
      </c>
      <c r="AX1055" s="93" t="s">
        <v>19292</v>
      </c>
      <c r="AY1055" s="87"/>
      <c r="AZ1055" s="93" t="s">
        <v>22668</v>
      </c>
      <c r="BA1055" s="93" t="s">
        <v>22668</v>
      </c>
      <c r="BB1055" s="93" t="s">
        <v>22668</v>
      </c>
      <c r="BC1055" s="93" t="s">
        <v>19292</v>
      </c>
      <c r="BD1055" s="87">
        <v>84619559</v>
      </c>
      <c r="BE1055" s="87"/>
      <c r="BF1055" s="87"/>
      <c r="BG1055" s="87"/>
      <c r="BH1055" s="87"/>
      <c r="BI1055" s="87"/>
    </row>
    <row r="1056" spans="1:61" x14ac:dyDescent="0.25">
      <c r="A1056" s="63" t="s">
        <v>595</v>
      </c>
      <c r="B1056" s="63" t="s">
        <v>595</v>
      </c>
      <c r="C1056" s="64"/>
      <c r="D1056" s="65"/>
      <c r="E1056" s="66"/>
      <c r="F1056" s="67"/>
      <c r="G1056" s="64"/>
      <c r="H1056" s="68"/>
      <c r="I1056" s="69"/>
      <c r="J1056" s="69"/>
      <c r="K1056" s="32"/>
      <c r="L1056" s="76">
        <v>1056</v>
      </c>
      <c r="M1056" s="76"/>
      <c r="N1056" s="71"/>
      <c r="O1056" s="87" t="s">
        <v>179</v>
      </c>
      <c r="P1056" s="90">
        <v>45160.415856481479</v>
      </c>
      <c r="Q1056" s="87" t="s">
        <v>2866</v>
      </c>
      <c r="R1056" s="87">
        <v>0</v>
      </c>
      <c r="S1056" s="87">
        <v>2</v>
      </c>
      <c r="T1056" s="87">
        <v>0</v>
      </c>
      <c r="U1056" s="87">
        <v>0</v>
      </c>
      <c r="V1056" s="87">
        <v>14</v>
      </c>
      <c r="W1056" s="93" t="s">
        <v>6606</v>
      </c>
      <c r="X1056" s="87"/>
      <c r="Y1056" s="87"/>
      <c r="Z1056" s="87"/>
      <c r="AA1056" s="87" t="s">
        <v>9267</v>
      </c>
      <c r="AB1056" s="87" t="s">
        <v>11448</v>
      </c>
      <c r="AC1056" s="93" t="s">
        <v>11459</v>
      </c>
      <c r="AD1056" s="87" t="s">
        <v>11519</v>
      </c>
      <c r="AE1056" s="92" t="str">
        <f>HYPERLINK("https://twitter.com/sinco_brasil/status/1693925689580310838")</f>
        <v>https://twitter.com/sinco_brasil/status/1693925689580310838</v>
      </c>
      <c r="AF1056" s="90">
        <v>45160.415856481479</v>
      </c>
      <c r="AG1056" s="99">
        <v>45160</v>
      </c>
      <c r="AH1056" s="93" t="s">
        <v>12504</v>
      </c>
      <c r="AI1056" s="87" t="b">
        <v>0</v>
      </c>
      <c r="AJ1056" s="87"/>
      <c r="AK1056" s="87"/>
      <c r="AL1056" s="87"/>
      <c r="AM1056" s="87"/>
      <c r="AN1056" s="87"/>
      <c r="AO1056" s="87"/>
      <c r="AP1056" s="87"/>
      <c r="AQ1056" s="87" t="s">
        <v>16080</v>
      </c>
      <c r="AR1056" s="87"/>
      <c r="AS1056" s="87"/>
      <c r="AT1056" s="87"/>
      <c r="AU1056" s="87"/>
      <c r="AV1056" s="92" t="str">
        <f>HYPERLINK("https://pbs.twimg.com/media/F4IIcCaWYAA9GRt.jpg")</f>
        <v>https://pbs.twimg.com/media/F4IIcCaWYAA9GRt.jpg</v>
      </c>
      <c r="AW1056" s="93" t="s">
        <v>19293</v>
      </c>
      <c r="AX1056" s="93" t="s">
        <v>19293</v>
      </c>
      <c r="AY1056" s="87"/>
      <c r="AZ1056" s="93" t="s">
        <v>22668</v>
      </c>
      <c r="BA1056" s="93" t="s">
        <v>22668</v>
      </c>
      <c r="BB1056" s="93" t="s">
        <v>22668</v>
      </c>
      <c r="BC1056" s="93" t="s">
        <v>19293</v>
      </c>
      <c r="BD1056" s="87">
        <v>84619559</v>
      </c>
      <c r="BE1056" s="87"/>
      <c r="BF1056" s="87"/>
      <c r="BG1056" s="87"/>
      <c r="BH1056" s="87"/>
      <c r="BI1056" s="87"/>
    </row>
    <row r="1057" spans="1:61" x14ac:dyDescent="0.25">
      <c r="A1057" s="63" t="s">
        <v>595</v>
      </c>
      <c r="B1057" s="63" t="s">
        <v>595</v>
      </c>
      <c r="C1057" s="64"/>
      <c r="D1057" s="65"/>
      <c r="E1057" s="66"/>
      <c r="F1057" s="67"/>
      <c r="G1057" s="64"/>
      <c r="H1057" s="68"/>
      <c r="I1057" s="69"/>
      <c r="J1057" s="69"/>
      <c r="K1057" s="32"/>
      <c r="L1057" s="76">
        <v>1057</v>
      </c>
      <c r="M1057" s="76"/>
      <c r="N1057" s="71"/>
      <c r="O1057" s="87" t="s">
        <v>179</v>
      </c>
      <c r="P1057" s="90">
        <v>45156.407314814816</v>
      </c>
      <c r="Q1057" s="87" t="s">
        <v>2867</v>
      </c>
      <c r="R1057" s="87">
        <v>0</v>
      </c>
      <c r="S1057" s="87">
        <v>2</v>
      </c>
      <c r="T1057" s="87">
        <v>0</v>
      </c>
      <c r="U1057" s="87">
        <v>0</v>
      </c>
      <c r="V1057" s="87">
        <v>9</v>
      </c>
      <c r="W1057" s="93" t="s">
        <v>6569</v>
      </c>
      <c r="X1057" s="87"/>
      <c r="Y1057" s="87"/>
      <c r="Z1057" s="87"/>
      <c r="AA1057" s="87" t="s">
        <v>9268</v>
      </c>
      <c r="AB1057" s="87" t="s">
        <v>11448</v>
      </c>
      <c r="AC1057" s="93" t="s">
        <v>11459</v>
      </c>
      <c r="AD1057" s="87" t="s">
        <v>11519</v>
      </c>
      <c r="AE1057" s="92" t="str">
        <f>HYPERLINK("https://twitter.com/sinco_brasil/status/1692473041706520701")</f>
        <v>https://twitter.com/sinco_brasil/status/1692473041706520701</v>
      </c>
      <c r="AF1057" s="90">
        <v>45156.407314814816</v>
      </c>
      <c r="AG1057" s="99">
        <v>45156</v>
      </c>
      <c r="AH1057" s="93" t="s">
        <v>12505</v>
      </c>
      <c r="AI1057" s="87" t="b">
        <v>0</v>
      </c>
      <c r="AJ1057" s="87"/>
      <c r="AK1057" s="87"/>
      <c r="AL1057" s="87"/>
      <c r="AM1057" s="87"/>
      <c r="AN1057" s="87"/>
      <c r="AO1057" s="87"/>
      <c r="AP1057" s="87"/>
      <c r="AQ1057" s="87" t="s">
        <v>16081</v>
      </c>
      <c r="AR1057" s="87"/>
      <c r="AS1057" s="87"/>
      <c r="AT1057" s="87"/>
      <c r="AU1057" s="87"/>
      <c r="AV1057" s="92" t="str">
        <f>HYPERLINK("https://pbs.twimg.com/media/F3zfQxqXUAAvCSc.jpg")</f>
        <v>https://pbs.twimg.com/media/F3zfQxqXUAAvCSc.jpg</v>
      </c>
      <c r="AW1057" s="93" t="s">
        <v>19294</v>
      </c>
      <c r="AX1057" s="93" t="s">
        <v>19294</v>
      </c>
      <c r="AY1057" s="87"/>
      <c r="AZ1057" s="93" t="s">
        <v>22668</v>
      </c>
      <c r="BA1057" s="93" t="s">
        <v>22668</v>
      </c>
      <c r="BB1057" s="93" t="s">
        <v>22668</v>
      </c>
      <c r="BC1057" s="93" t="s">
        <v>19294</v>
      </c>
      <c r="BD1057" s="87">
        <v>84619559</v>
      </c>
      <c r="BE1057" s="87"/>
      <c r="BF1057" s="87"/>
      <c r="BG1057" s="87"/>
      <c r="BH1057" s="87"/>
      <c r="BI1057" s="87"/>
    </row>
    <row r="1058" spans="1:61" x14ac:dyDescent="0.25">
      <c r="A1058" s="63" t="s">
        <v>595</v>
      </c>
      <c r="B1058" s="63" t="s">
        <v>595</v>
      </c>
      <c r="C1058" s="64"/>
      <c r="D1058" s="65"/>
      <c r="E1058" s="66"/>
      <c r="F1058" s="67"/>
      <c r="G1058" s="64"/>
      <c r="H1058" s="68"/>
      <c r="I1058" s="69"/>
      <c r="J1058" s="69"/>
      <c r="K1058" s="32"/>
      <c r="L1058" s="76">
        <v>1058</v>
      </c>
      <c r="M1058" s="76"/>
      <c r="N1058" s="71"/>
      <c r="O1058" s="87" t="s">
        <v>179</v>
      </c>
      <c r="P1058" s="90">
        <v>45155.404050925928</v>
      </c>
      <c r="Q1058" s="87" t="s">
        <v>2868</v>
      </c>
      <c r="R1058" s="87">
        <v>0</v>
      </c>
      <c r="S1058" s="87">
        <v>2</v>
      </c>
      <c r="T1058" s="87">
        <v>0</v>
      </c>
      <c r="U1058" s="87">
        <v>0</v>
      </c>
      <c r="V1058" s="87">
        <v>10</v>
      </c>
      <c r="W1058" s="93" t="s">
        <v>6607</v>
      </c>
      <c r="X1058" s="87"/>
      <c r="Y1058" s="87"/>
      <c r="Z1058" s="87"/>
      <c r="AA1058" s="87" t="s">
        <v>9269</v>
      </c>
      <c r="AB1058" s="87" t="s">
        <v>11448</v>
      </c>
      <c r="AC1058" s="93" t="s">
        <v>11459</v>
      </c>
      <c r="AD1058" s="87" t="s">
        <v>11519</v>
      </c>
      <c r="AE1058" s="92" t="str">
        <f>HYPERLINK("https://twitter.com/sinco_brasil/status/1692109471487508776")</f>
        <v>https://twitter.com/sinco_brasil/status/1692109471487508776</v>
      </c>
      <c r="AF1058" s="90">
        <v>45155.404050925928</v>
      </c>
      <c r="AG1058" s="99">
        <v>45155</v>
      </c>
      <c r="AH1058" s="93" t="s">
        <v>12506</v>
      </c>
      <c r="AI1058" s="87" t="b">
        <v>0</v>
      </c>
      <c r="AJ1058" s="87"/>
      <c r="AK1058" s="87"/>
      <c r="AL1058" s="87"/>
      <c r="AM1058" s="87"/>
      <c r="AN1058" s="87"/>
      <c r="AO1058" s="87"/>
      <c r="AP1058" s="87"/>
      <c r="AQ1058" s="87" t="s">
        <v>16082</v>
      </c>
      <c r="AR1058" s="87"/>
      <c r="AS1058" s="87"/>
      <c r="AT1058" s="87"/>
      <c r="AU1058" s="87"/>
      <c r="AV1058" s="92" t="str">
        <f>HYPERLINK("https://pbs.twimg.com/media/F3uUmNZWAAA0Fz4.jpg")</f>
        <v>https://pbs.twimg.com/media/F3uUmNZWAAA0Fz4.jpg</v>
      </c>
      <c r="AW1058" s="93" t="s">
        <v>19295</v>
      </c>
      <c r="AX1058" s="93" t="s">
        <v>19295</v>
      </c>
      <c r="AY1058" s="87"/>
      <c r="AZ1058" s="93" t="s">
        <v>22668</v>
      </c>
      <c r="BA1058" s="93" t="s">
        <v>22668</v>
      </c>
      <c r="BB1058" s="93" t="s">
        <v>22668</v>
      </c>
      <c r="BC1058" s="93" t="s">
        <v>19295</v>
      </c>
      <c r="BD1058" s="87">
        <v>84619559</v>
      </c>
      <c r="BE1058" s="87"/>
      <c r="BF1058" s="87"/>
      <c r="BG1058" s="87"/>
      <c r="BH1058" s="87"/>
      <c r="BI1058" s="87"/>
    </row>
    <row r="1059" spans="1:61" x14ac:dyDescent="0.25">
      <c r="A1059" s="63" t="s">
        <v>595</v>
      </c>
      <c r="B1059" s="63" t="s">
        <v>595</v>
      </c>
      <c r="C1059" s="64"/>
      <c r="D1059" s="65"/>
      <c r="E1059" s="66"/>
      <c r="F1059" s="67"/>
      <c r="G1059" s="64"/>
      <c r="H1059" s="68"/>
      <c r="I1059" s="69"/>
      <c r="J1059" s="69"/>
      <c r="K1059" s="32"/>
      <c r="L1059" s="76">
        <v>1059</v>
      </c>
      <c r="M1059" s="76"/>
      <c r="N1059" s="71"/>
      <c r="O1059" s="87" t="s">
        <v>179</v>
      </c>
      <c r="P1059" s="90">
        <v>45131.467233796298</v>
      </c>
      <c r="Q1059" s="87" t="s">
        <v>2869</v>
      </c>
      <c r="R1059" s="87">
        <v>0</v>
      </c>
      <c r="S1059" s="87">
        <v>2</v>
      </c>
      <c r="T1059" s="87">
        <v>0</v>
      </c>
      <c r="U1059" s="87">
        <v>0</v>
      </c>
      <c r="V1059" s="87">
        <v>7</v>
      </c>
      <c r="W1059" s="93" t="s">
        <v>6608</v>
      </c>
      <c r="X1059" s="87"/>
      <c r="Y1059" s="87"/>
      <c r="Z1059" s="87"/>
      <c r="AA1059" s="87" t="s">
        <v>9270</v>
      </c>
      <c r="AB1059" s="87" t="s">
        <v>11448</v>
      </c>
      <c r="AC1059" s="93" t="s">
        <v>11459</v>
      </c>
      <c r="AD1059" s="87" t="s">
        <v>11519</v>
      </c>
      <c r="AE1059" s="92" t="str">
        <f>HYPERLINK("https://twitter.com/sinco_brasil/status/1683435060815446017")</f>
        <v>https://twitter.com/sinco_brasil/status/1683435060815446017</v>
      </c>
      <c r="AF1059" s="90">
        <v>45131.467233796298</v>
      </c>
      <c r="AG1059" s="99">
        <v>45131</v>
      </c>
      <c r="AH1059" s="93" t="s">
        <v>12507</v>
      </c>
      <c r="AI1059" s="87" t="b">
        <v>0</v>
      </c>
      <c r="AJ1059" s="87"/>
      <c r="AK1059" s="87"/>
      <c r="AL1059" s="87"/>
      <c r="AM1059" s="87"/>
      <c r="AN1059" s="87"/>
      <c r="AO1059" s="87"/>
      <c r="AP1059" s="87"/>
      <c r="AQ1059" s="87" t="s">
        <v>16083</v>
      </c>
      <c r="AR1059" s="87"/>
      <c r="AS1059" s="87"/>
      <c r="AT1059" s="87"/>
      <c r="AU1059" s="87"/>
      <c r="AV1059" s="92" t="str">
        <f>HYPERLINK("https://pbs.twimg.com/media/F1zDREvWAAUlUHS.jpg")</f>
        <v>https://pbs.twimg.com/media/F1zDREvWAAUlUHS.jpg</v>
      </c>
      <c r="AW1059" s="93" t="s">
        <v>19296</v>
      </c>
      <c r="AX1059" s="93" t="s">
        <v>19296</v>
      </c>
      <c r="AY1059" s="87"/>
      <c r="AZ1059" s="93" t="s">
        <v>22668</v>
      </c>
      <c r="BA1059" s="93" t="s">
        <v>22668</v>
      </c>
      <c r="BB1059" s="93" t="s">
        <v>22668</v>
      </c>
      <c r="BC1059" s="93" t="s">
        <v>19296</v>
      </c>
      <c r="BD1059" s="87">
        <v>84619559</v>
      </c>
      <c r="BE1059" s="87"/>
      <c r="BF1059" s="87"/>
      <c r="BG1059" s="87"/>
      <c r="BH1059" s="87"/>
      <c r="BI1059" s="87"/>
    </row>
    <row r="1060" spans="1:61" x14ac:dyDescent="0.25">
      <c r="A1060" s="63" t="s">
        <v>595</v>
      </c>
      <c r="B1060" s="63" t="s">
        <v>595</v>
      </c>
      <c r="C1060" s="64"/>
      <c r="D1060" s="65"/>
      <c r="E1060" s="66"/>
      <c r="F1060" s="67"/>
      <c r="G1060" s="64"/>
      <c r="H1060" s="68"/>
      <c r="I1060" s="69"/>
      <c r="J1060" s="69"/>
      <c r="K1060" s="32"/>
      <c r="L1060" s="76">
        <v>1060</v>
      </c>
      <c r="M1060" s="76"/>
      <c r="N1060" s="71"/>
      <c r="O1060" s="87" t="s">
        <v>179</v>
      </c>
      <c r="P1060" s="90">
        <v>45115.490543981483</v>
      </c>
      <c r="Q1060" s="87" t="s">
        <v>2870</v>
      </c>
      <c r="R1060" s="87">
        <v>0</v>
      </c>
      <c r="S1060" s="87">
        <v>2</v>
      </c>
      <c r="T1060" s="87">
        <v>0</v>
      </c>
      <c r="U1060" s="87">
        <v>0</v>
      </c>
      <c r="V1060" s="87">
        <v>10</v>
      </c>
      <c r="W1060" s="93" t="s">
        <v>6609</v>
      </c>
      <c r="X1060" s="87"/>
      <c r="Y1060" s="87"/>
      <c r="Z1060" s="87"/>
      <c r="AA1060" s="87" t="s">
        <v>9271</v>
      </c>
      <c r="AB1060" s="87" t="s">
        <v>11448</v>
      </c>
      <c r="AC1060" s="93" t="s">
        <v>11459</v>
      </c>
      <c r="AD1060" s="87" t="s">
        <v>11519</v>
      </c>
      <c r="AE1060" s="92" t="str">
        <f>HYPERLINK("https://twitter.com/sinco_brasil/status/1677645301815951360")</f>
        <v>https://twitter.com/sinco_brasil/status/1677645301815951360</v>
      </c>
      <c r="AF1060" s="90">
        <v>45115.490543981483</v>
      </c>
      <c r="AG1060" s="99">
        <v>45115</v>
      </c>
      <c r="AH1060" s="93" t="s">
        <v>12508</v>
      </c>
      <c r="AI1060" s="87" t="b">
        <v>0</v>
      </c>
      <c r="AJ1060" s="87"/>
      <c r="AK1060" s="87"/>
      <c r="AL1060" s="87"/>
      <c r="AM1060" s="87"/>
      <c r="AN1060" s="87"/>
      <c r="AO1060" s="87"/>
      <c r="AP1060" s="87"/>
      <c r="AQ1060" s="87" t="s">
        <v>16084</v>
      </c>
      <c r="AR1060" s="87"/>
      <c r="AS1060" s="87"/>
      <c r="AT1060" s="87"/>
      <c r="AU1060" s="87"/>
      <c r="AV1060" s="92" t="str">
        <f>HYPERLINK("https://pbs.twimg.com/media/F0gxgtpWcAAmTm5.jpg")</f>
        <v>https://pbs.twimg.com/media/F0gxgtpWcAAmTm5.jpg</v>
      </c>
      <c r="AW1060" s="93" t="s">
        <v>19297</v>
      </c>
      <c r="AX1060" s="93" t="s">
        <v>19297</v>
      </c>
      <c r="AY1060" s="87"/>
      <c r="AZ1060" s="93" t="s">
        <v>22668</v>
      </c>
      <c r="BA1060" s="93" t="s">
        <v>22668</v>
      </c>
      <c r="BB1060" s="93" t="s">
        <v>22668</v>
      </c>
      <c r="BC1060" s="93" t="s">
        <v>19297</v>
      </c>
      <c r="BD1060" s="87">
        <v>84619559</v>
      </c>
      <c r="BE1060" s="87"/>
      <c r="BF1060" s="87"/>
      <c r="BG1060" s="87"/>
      <c r="BH1060" s="87"/>
      <c r="BI1060" s="87"/>
    </row>
    <row r="1061" spans="1:61" x14ac:dyDescent="0.25">
      <c r="A1061" s="63" t="s">
        <v>595</v>
      </c>
      <c r="B1061" s="63" t="s">
        <v>595</v>
      </c>
      <c r="C1061" s="64"/>
      <c r="D1061" s="65"/>
      <c r="E1061" s="66"/>
      <c r="F1061" s="67"/>
      <c r="G1061" s="64"/>
      <c r="H1061" s="68"/>
      <c r="I1061" s="69"/>
      <c r="J1061" s="69"/>
      <c r="K1061" s="32"/>
      <c r="L1061" s="76">
        <v>1061</v>
      </c>
      <c r="M1061" s="76"/>
      <c r="N1061" s="71"/>
      <c r="O1061" s="87" t="s">
        <v>179</v>
      </c>
      <c r="P1061" s="90">
        <v>45114.408449074072</v>
      </c>
      <c r="Q1061" s="87" t="s">
        <v>2871</v>
      </c>
      <c r="R1061" s="87">
        <v>0</v>
      </c>
      <c r="S1061" s="87">
        <v>2</v>
      </c>
      <c r="T1061" s="87">
        <v>0</v>
      </c>
      <c r="U1061" s="87">
        <v>0</v>
      </c>
      <c r="V1061" s="87">
        <v>20</v>
      </c>
      <c r="W1061" s="93" t="s">
        <v>6610</v>
      </c>
      <c r="X1061" s="87"/>
      <c r="Y1061" s="87"/>
      <c r="Z1061" s="87"/>
      <c r="AA1061" s="87" t="s">
        <v>9272</v>
      </c>
      <c r="AB1061" s="87" t="s">
        <v>11448</v>
      </c>
      <c r="AC1061" s="93" t="s">
        <v>11459</v>
      </c>
      <c r="AD1061" s="87" t="s">
        <v>11519</v>
      </c>
      <c r="AE1061" s="92" t="str">
        <f>HYPERLINK("https://twitter.com/sinco_brasil/status/1677253164473499649")</f>
        <v>https://twitter.com/sinco_brasil/status/1677253164473499649</v>
      </c>
      <c r="AF1061" s="90">
        <v>45114.408449074072</v>
      </c>
      <c r="AG1061" s="99">
        <v>45114</v>
      </c>
      <c r="AH1061" s="93" t="s">
        <v>12509</v>
      </c>
      <c r="AI1061" s="87" t="b">
        <v>0</v>
      </c>
      <c r="AJ1061" s="87"/>
      <c r="AK1061" s="87"/>
      <c r="AL1061" s="87"/>
      <c r="AM1061" s="87"/>
      <c r="AN1061" s="87"/>
      <c r="AO1061" s="87"/>
      <c r="AP1061" s="87"/>
      <c r="AQ1061" s="87" t="s">
        <v>16085</v>
      </c>
      <c r="AR1061" s="87"/>
      <c r="AS1061" s="87"/>
      <c r="AT1061" s="87"/>
      <c r="AU1061" s="87"/>
      <c r="AV1061" s="92" t="str">
        <f>HYPERLINK("https://pbs.twimg.com/media/F0bM3V6X0AEOKSe.jpg")</f>
        <v>https://pbs.twimg.com/media/F0bM3V6X0AEOKSe.jpg</v>
      </c>
      <c r="AW1061" s="93" t="s">
        <v>19298</v>
      </c>
      <c r="AX1061" s="93" t="s">
        <v>19298</v>
      </c>
      <c r="AY1061" s="87"/>
      <c r="AZ1061" s="93" t="s">
        <v>22668</v>
      </c>
      <c r="BA1061" s="93" t="s">
        <v>22668</v>
      </c>
      <c r="BB1061" s="93" t="s">
        <v>22668</v>
      </c>
      <c r="BC1061" s="93" t="s">
        <v>19298</v>
      </c>
      <c r="BD1061" s="87">
        <v>84619559</v>
      </c>
      <c r="BE1061" s="87"/>
      <c r="BF1061" s="87"/>
      <c r="BG1061" s="87"/>
      <c r="BH1061" s="87"/>
      <c r="BI1061" s="87"/>
    </row>
    <row r="1062" spans="1:61" x14ac:dyDescent="0.25">
      <c r="A1062" s="63" t="s">
        <v>595</v>
      </c>
      <c r="B1062" s="63" t="s">
        <v>595</v>
      </c>
      <c r="C1062" s="64"/>
      <c r="D1062" s="65"/>
      <c r="E1062" s="66"/>
      <c r="F1062" s="67"/>
      <c r="G1062" s="64"/>
      <c r="H1062" s="68"/>
      <c r="I1062" s="69"/>
      <c r="J1062" s="69"/>
      <c r="K1062" s="32"/>
      <c r="L1062" s="76">
        <v>1062</v>
      </c>
      <c r="M1062" s="76"/>
      <c r="N1062" s="71"/>
      <c r="O1062" s="87" t="s">
        <v>179</v>
      </c>
      <c r="P1062" s="90">
        <v>45192.490891203706</v>
      </c>
      <c r="Q1062" s="87" t="s">
        <v>2872</v>
      </c>
      <c r="R1062" s="87">
        <v>0</v>
      </c>
      <c r="S1062" s="87">
        <v>2</v>
      </c>
      <c r="T1062" s="87">
        <v>0</v>
      </c>
      <c r="U1062" s="87">
        <v>0</v>
      </c>
      <c r="V1062" s="87">
        <v>40</v>
      </c>
      <c r="W1062" s="93" t="s">
        <v>6611</v>
      </c>
      <c r="X1062" s="87"/>
      <c r="Y1062" s="87"/>
      <c r="Z1062" s="87"/>
      <c r="AA1062" s="87" t="s">
        <v>9273</v>
      </c>
      <c r="AB1062" s="87" t="s">
        <v>11447</v>
      </c>
      <c r="AC1062" s="93" t="s">
        <v>11459</v>
      </c>
      <c r="AD1062" s="87" t="s">
        <v>11519</v>
      </c>
      <c r="AE1062" s="92" t="str">
        <f>HYPERLINK("https://twitter.com/sinco_brasil/status/1705549291035492770")</f>
        <v>https://twitter.com/sinco_brasil/status/1705549291035492770</v>
      </c>
      <c r="AF1062" s="90">
        <v>45192.490891203706</v>
      </c>
      <c r="AG1062" s="99">
        <v>45192</v>
      </c>
      <c r="AH1062" s="93" t="s">
        <v>12510</v>
      </c>
      <c r="AI1062" s="87" t="b">
        <v>0</v>
      </c>
      <c r="AJ1062" s="87"/>
      <c r="AK1062" s="87"/>
      <c r="AL1062" s="87"/>
      <c r="AM1062" s="87"/>
      <c r="AN1062" s="87"/>
      <c r="AO1062" s="87"/>
      <c r="AP1062" s="87"/>
      <c r="AQ1062" s="87" t="s">
        <v>16086</v>
      </c>
      <c r="AR1062" s="87">
        <v>57188</v>
      </c>
      <c r="AS1062" s="87"/>
      <c r="AT1062" s="87"/>
      <c r="AU1062" s="87"/>
      <c r="AV1062" s="92" t="str">
        <f>HYPERLINK("https://pbs.twimg.com/ext_tw_video_thumb/1705549231975456768/pu/img/FKlxKcr_uTNifOK9.jpg")</f>
        <v>https://pbs.twimg.com/ext_tw_video_thumb/1705549231975456768/pu/img/FKlxKcr_uTNifOK9.jpg</v>
      </c>
      <c r="AW1062" s="93" t="s">
        <v>19299</v>
      </c>
      <c r="AX1062" s="93" t="s">
        <v>19299</v>
      </c>
      <c r="AY1062" s="87"/>
      <c r="AZ1062" s="93" t="s">
        <v>22668</v>
      </c>
      <c r="BA1062" s="93" t="s">
        <v>22668</v>
      </c>
      <c r="BB1062" s="93" t="s">
        <v>22668</v>
      </c>
      <c r="BC1062" s="93" t="s">
        <v>19299</v>
      </c>
      <c r="BD1062" s="87">
        <v>84619559</v>
      </c>
      <c r="BE1062" s="87"/>
      <c r="BF1062" s="87"/>
      <c r="BG1062" s="87"/>
      <c r="BH1062" s="87"/>
      <c r="BI1062" s="87"/>
    </row>
    <row r="1063" spans="1:61" x14ac:dyDescent="0.25">
      <c r="A1063" s="63" t="s">
        <v>595</v>
      </c>
      <c r="B1063" s="63" t="s">
        <v>595</v>
      </c>
      <c r="C1063" s="64"/>
      <c r="D1063" s="65"/>
      <c r="E1063" s="66"/>
      <c r="F1063" s="67"/>
      <c r="G1063" s="64"/>
      <c r="H1063" s="68"/>
      <c r="I1063" s="69"/>
      <c r="J1063" s="69"/>
      <c r="K1063" s="32"/>
      <c r="L1063" s="76">
        <v>1063</v>
      </c>
      <c r="M1063" s="76"/>
      <c r="N1063" s="71"/>
      <c r="O1063" s="87" t="s">
        <v>179</v>
      </c>
      <c r="P1063" s="90">
        <v>45192.444872685184</v>
      </c>
      <c r="Q1063" s="87" t="s">
        <v>2873</v>
      </c>
      <c r="R1063" s="87">
        <v>0</v>
      </c>
      <c r="S1063" s="87">
        <v>2</v>
      </c>
      <c r="T1063" s="87">
        <v>0</v>
      </c>
      <c r="U1063" s="87">
        <v>0</v>
      </c>
      <c r="V1063" s="87">
        <v>12</v>
      </c>
      <c r="W1063" s="93" t="s">
        <v>6612</v>
      </c>
      <c r="X1063" s="87"/>
      <c r="Y1063" s="87"/>
      <c r="Z1063" s="87"/>
      <c r="AA1063" s="87" t="s">
        <v>9274</v>
      </c>
      <c r="AB1063" s="87" t="s">
        <v>11448</v>
      </c>
      <c r="AC1063" s="93" t="s">
        <v>11459</v>
      </c>
      <c r="AD1063" s="87" t="s">
        <v>11519</v>
      </c>
      <c r="AE1063" s="92" t="str">
        <f>HYPERLINK("https://twitter.com/sinco_brasil/status/1705532614239535548")</f>
        <v>https://twitter.com/sinco_brasil/status/1705532614239535548</v>
      </c>
      <c r="AF1063" s="90">
        <v>45192.444872685184</v>
      </c>
      <c r="AG1063" s="99">
        <v>45192</v>
      </c>
      <c r="AH1063" s="93" t="s">
        <v>12511</v>
      </c>
      <c r="AI1063" s="87" t="b">
        <v>0</v>
      </c>
      <c r="AJ1063" s="87"/>
      <c r="AK1063" s="87"/>
      <c r="AL1063" s="87"/>
      <c r="AM1063" s="87"/>
      <c r="AN1063" s="87"/>
      <c r="AO1063" s="87"/>
      <c r="AP1063" s="87"/>
      <c r="AQ1063" s="87" t="s">
        <v>16087</v>
      </c>
      <c r="AR1063" s="87"/>
      <c r="AS1063" s="87"/>
      <c r="AT1063" s="87"/>
      <c r="AU1063" s="87"/>
      <c r="AV1063" s="92" t="str">
        <f>HYPERLINK("https://pbs.twimg.com/media/F6tE37WXQAAhTo1.jpg")</f>
        <v>https://pbs.twimg.com/media/F6tE37WXQAAhTo1.jpg</v>
      </c>
      <c r="AW1063" s="93" t="s">
        <v>19300</v>
      </c>
      <c r="AX1063" s="93" t="s">
        <v>19300</v>
      </c>
      <c r="AY1063" s="87"/>
      <c r="AZ1063" s="93" t="s">
        <v>22668</v>
      </c>
      <c r="BA1063" s="93" t="s">
        <v>22668</v>
      </c>
      <c r="BB1063" s="93" t="s">
        <v>22668</v>
      </c>
      <c r="BC1063" s="93" t="s">
        <v>19300</v>
      </c>
      <c r="BD1063" s="87">
        <v>84619559</v>
      </c>
      <c r="BE1063" s="87"/>
      <c r="BF1063" s="87"/>
      <c r="BG1063" s="87"/>
      <c r="BH1063" s="87"/>
      <c r="BI1063" s="87"/>
    </row>
    <row r="1064" spans="1:61" x14ac:dyDescent="0.25">
      <c r="A1064" s="63" t="s">
        <v>595</v>
      </c>
      <c r="B1064" s="63" t="s">
        <v>595</v>
      </c>
      <c r="C1064" s="64"/>
      <c r="D1064" s="65"/>
      <c r="E1064" s="66"/>
      <c r="F1064" s="67"/>
      <c r="G1064" s="64"/>
      <c r="H1064" s="68"/>
      <c r="I1064" s="69"/>
      <c r="J1064" s="69"/>
      <c r="K1064" s="32"/>
      <c r="L1064" s="76">
        <v>1064</v>
      </c>
      <c r="M1064" s="76"/>
      <c r="N1064" s="71"/>
      <c r="O1064" s="87" t="s">
        <v>179</v>
      </c>
      <c r="P1064" s="90">
        <v>45190.406666666669</v>
      </c>
      <c r="Q1064" s="87" t="s">
        <v>2874</v>
      </c>
      <c r="R1064" s="87">
        <v>0</v>
      </c>
      <c r="S1064" s="87">
        <v>2</v>
      </c>
      <c r="T1064" s="87">
        <v>0</v>
      </c>
      <c r="U1064" s="87">
        <v>0</v>
      </c>
      <c r="V1064" s="87">
        <v>15</v>
      </c>
      <c r="W1064" s="93" t="s">
        <v>6613</v>
      </c>
      <c r="X1064" s="87"/>
      <c r="Y1064" s="87"/>
      <c r="Z1064" s="87"/>
      <c r="AA1064" s="87" t="s">
        <v>9275</v>
      </c>
      <c r="AB1064" s="87" t="s">
        <v>11448</v>
      </c>
      <c r="AC1064" s="93" t="s">
        <v>11459</v>
      </c>
      <c r="AD1064" s="87" t="s">
        <v>11519</v>
      </c>
      <c r="AE1064" s="92" t="str">
        <f>HYPERLINK("https://twitter.com/sinco_brasil/status/1704793995933520052")</f>
        <v>https://twitter.com/sinco_brasil/status/1704793995933520052</v>
      </c>
      <c r="AF1064" s="90">
        <v>45190.406666666669</v>
      </c>
      <c r="AG1064" s="99">
        <v>45190</v>
      </c>
      <c r="AH1064" s="93" t="s">
        <v>12512</v>
      </c>
      <c r="AI1064" s="87" t="b">
        <v>0</v>
      </c>
      <c r="AJ1064" s="87"/>
      <c r="AK1064" s="87"/>
      <c r="AL1064" s="87"/>
      <c r="AM1064" s="87"/>
      <c r="AN1064" s="87"/>
      <c r="AO1064" s="87"/>
      <c r="AP1064" s="87"/>
      <c r="AQ1064" s="87" t="s">
        <v>16088</v>
      </c>
      <c r="AR1064" s="87"/>
      <c r="AS1064" s="87"/>
      <c r="AT1064" s="87"/>
      <c r="AU1064" s="87"/>
      <c r="AV1064" s="92" t="str">
        <f>HYPERLINK("https://pbs.twimg.com/media/F6ilGquW0AAmchh.jpg")</f>
        <v>https://pbs.twimg.com/media/F6ilGquW0AAmchh.jpg</v>
      </c>
      <c r="AW1064" s="93" t="s">
        <v>19301</v>
      </c>
      <c r="AX1064" s="93" t="s">
        <v>19301</v>
      </c>
      <c r="AY1064" s="87"/>
      <c r="AZ1064" s="93" t="s">
        <v>22668</v>
      </c>
      <c r="BA1064" s="93" t="s">
        <v>22668</v>
      </c>
      <c r="BB1064" s="93" t="s">
        <v>22668</v>
      </c>
      <c r="BC1064" s="93" t="s">
        <v>19301</v>
      </c>
      <c r="BD1064" s="87">
        <v>84619559</v>
      </c>
      <c r="BE1064" s="87"/>
      <c r="BF1064" s="87"/>
      <c r="BG1064" s="87"/>
      <c r="BH1064" s="87"/>
      <c r="BI1064" s="87"/>
    </row>
    <row r="1065" spans="1:61" x14ac:dyDescent="0.25">
      <c r="A1065" s="63" t="s">
        <v>595</v>
      </c>
      <c r="B1065" s="63" t="s">
        <v>595</v>
      </c>
      <c r="C1065" s="64"/>
      <c r="D1065" s="65"/>
      <c r="E1065" s="66"/>
      <c r="F1065" s="67"/>
      <c r="G1065" s="64"/>
      <c r="H1065" s="68"/>
      <c r="I1065" s="69"/>
      <c r="J1065" s="69"/>
      <c r="K1065" s="32"/>
      <c r="L1065" s="76">
        <v>1065</v>
      </c>
      <c r="M1065" s="76"/>
      <c r="N1065" s="71"/>
      <c r="O1065" s="87" t="s">
        <v>179</v>
      </c>
      <c r="P1065" s="90">
        <v>45178.615613425929</v>
      </c>
      <c r="Q1065" s="87" t="s">
        <v>2875</v>
      </c>
      <c r="R1065" s="87">
        <v>0</v>
      </c>
      <c r="S1065" s="87">
        <v>2</v>
      </c>
      <c r="T1065" s="87">
        <v>0</v>
      </c>
      <c r="U1065" s="87">
        <v>0</v>
      </c>
      <c r="V1065" s="87">
        <v>10</v>
      </c>
      <c r="W1065" s="93" t="s">
        <v>6614</v>
      </c>
      <c r="X1065" s="87"/>
      <c r="Y1065" s="87"/>
      <c r="Z1065" s="87"/>
      <c r="AA1065" s="87" t="s">
        <v>9276</v>
      </c>
      <c r="AB1065" s="87" t="s">
        <v>11448</v>
      </c>
      <c r="AC1065" s="93" t="s">
        <v>11459</v>
      </c>
      <c r="AD1065" s="87" t="s">
        <v>11519</v>
      </c>
      <c r="AE1065" s="92" t="str">
        <f>HYPERLINK("https://twitter.com/sinco_brasil/status/1700521061287162193")</f>
        <v>https://twitter.com/sinco_brasil/status/1700521061287162193</v>
      </c>
      <c r="AF1065" s="90">
        <v>45178.615613425929</v>
      </c>
      <c r="AG1065" s="99">
        <v>45178</v>
      </c>
      <c r="AH1065" s="93" t="s">
        <v>12513</v>
      </c>
      <c r="AI1065" s="87" t="b">
        <v>0</v>
      </c>
      <c r="AJ1065" s="87"/>
      <c r="AK1065" s="87"/>
      <c r="AL1065" s="87"/>
      <c r="AM1065" s="87"/>
      <c r="AN1065" s="87"/>
      <c r="AO1065" s="87"/>
      <c r="AP1065" s="87"/>
      <c r="AQ1065" s="87" t="s">
        <v>16089</v>
      </c>
      <c r="AR1065" s="87"/>
      <c r="AS1065" s="87"/>
      <c r="AT1065" s="87"/>
      <c r="AU1065" s="87"/>
      <c r="AV1065" s="92" t="str">
        <f>HYPERLINK("https://pbs.twimg.com/media/F5l25MUXkAAHNyX.jpg")</f>
        <v>https://pbs.twimg.com/media/F5l25MUXkAAHNyX.jpg</v>
      </c>
      <c r="AW1065" s="93" t="s">
        <v>19302</v>
      </c>
      <c r="AX1065" s="93" t="s">
        <v>19302</v>
      </c>
      <c r="AY1065" s="87"/>
      <c r="AZ1065" s="93" t="s">
        <v>22668</v>
      </c>
      <c r="BA1065" s="93" t="s">
        <v>22668</v>
      </c>
      <c r="BB1065" s="93" t="s">
        <v>22668</v>
      </c>
      <c r="BC1065" s="93" t="s">
        <v>19302</v>
      </c>
      <c r="BD1065" s="87">
        <v>84619559</v>
      </c>
      <c r="BE1065" s="87"/>
      <c r="BF1065" s="87"/>
      <c r="BG1065" s="87"/>
      <c r="BH1065" s="87"/>
      <c r="BI1065" s="87"/>
    </row>
    <row r="1066" spans="1:61" x14ac:dyDescent="0.25">
      <c r="A1066" s="63" t="s">
        <v>595</v>
      </c>
      <c r="B1066" s="63" t="s">
        <v>595</v>
      </c>
      <c r="C1066" s="64"/>
      <c r="D1066" s="65"/>
      <c r="E1066" s="66"/>
      <c r="F1066" s="67"/>
      <c r="G1066" s="64"/>
      <c r="H1066" s="68"/>
      <c r="I1066" s="69"/>
      <c r="J1066" s="69"/>
      <c r="K1066" s="32"/>
      <c r="L1066" s="76">
        <v>1066</v>
      </c>
      <c r="M1066" s="76"/>
      <c r="N1066" s="71"/>
      <c r="O1066" s="87" t="s">
        <v>179</v>
      </c>
      <c r="P1066" s="90">
        <v>45172.677303240744</v>
      </c>
      <c r="Q1066" s="87" t="s">
        <v>2876</v>
      </c>
      <c r="R1066" s="87">
        <v>0</v>
      </c>
      <c r="S1066" s="87">
        <v>2</v>
      </c>
      <c r="T1066" s="87">
        <v>0</v>
      </c>
      <c r="U1066" s="87">
        <v>0</v>
      </c>
      <c r="V1066" s="87">
        <v>11</v>
      </c>
      <c r="W1066" s="93" t="s">
        <v>6615</v>
      </c>
      <c r="X1066" s="87"/>
      <c r="Y1066" s="87"/>
      <c r="Z1066" s="87"/>
      <c r="AA1066" s="87" t="s">
        <v>9277</v>
      </c>
      <c r="AB1066" s="87" t="s">
        <v>11447</v>
      </c>
      <c r="AC1066" s="93" t="s">
        <v>11459</v>
      </c>
      <c r="AD1066" s="87" t="s">
        <v>11519</v>
      </c>
      <c r="AE1066" s="92" t="str">
        <f>HYPERLINK("https://twitter.com/sinco_brasil/status/1698369089327055113")</f>
        <v>https://twitter.com/sinco_brasil/status/1698369089327055113</v>
      </c>
      <c r="AF1066" s="90">
        <v>45172.677303240744</v>
      </c>
      <c r="AG1066" s="99">
        <v>45172</v>
      </c>
      <c r="AH1066" s="93" t="s">
        <v>12514</v>
      </c>
      <c r="AI1066" s="87" t="b">
        <v>0</v>
      </c>
      <c r="AJ1066" s="87"/>
      <c r="AK1066" s="87"/>
      <c r="AL1066" s="87"/>
      <c r="AM1066" s="87"/>
      <c r="AN1066" s="87"/>
      <c r="AO1066" s="87"/>
      <c r="AP1066" s="87"/>
      <c r="AQ1066" s="87" t="s">
        <v>16090</v>
      </c>
      <c r="AR1066" s="87">
        <v>57662</v>
      </c>
      <c r="AS1066" s="87"/>
      <c r="AT1066" s="87"/>
      <c r="AU1066" s="87"/>
      <c r="AV1066" s="92" t="str">
        <f>HYPERLINK("https://pbs.twimg.com/ext_tw_video_thumb/1698369008855056384/pu/img/UitgneBV4U9XkhrU.jpg")</f>
        <v>https://pbs.twimg.com/ext_tw_video_thumb/1698369008855056384/pu/img/UitgneBV4U9XkhrU.jpg</v>
      </c>
      <c r="AW1066" s="93" t="s">
        <v>19303</v>
      </c>
      <c r="AX1066" s="93" t="s">
        <v>19303</v>
      </c>
      <c r="AY1066" s="87"/>
      <c r="AZ1066" s="93" t="s">
        <v>22668</v>
      </c>
      <c r="BA1066" s="93" t="s">
        <v>22668</v>
      </c>
      <c r="BB1066" s="93" t="s">
        <v>22668</v>
      </c>
      <c r="BC1066" s="93" t="s">
        <v>19303</v>
      </c>
      <c r="BD1066" s="87">
        <v>84619559</v>
      </c>
      <c r="BE1066" s="87"/>
      <c r="BF1066" s="87"/>
      <c r="BG1066" s="87"/>
      <c r="BH1066" s="87"/>
      <c r="BI1066" s="87"/>
    </row>
    <row r="1067" spans="1:61" x14ac:dyDescent="0.25">
      <c r="A1067" s="63" t="s">
        <v>595</v>
      </c>
      <c r="B1067" s="63" t="s">
        <v>595</v>
      </c>
      <c r="C1067" s="64"/>
      <c r="D1067" s="65"/>
      <c r="E1067" s="66"/>
      <c r="F1067" s="67"/>
      <c r="G1067" s="64"/>
      <c r="H1067" s="68"/>
      <c r="I1067" s="69"/>
      <c r="J1067" s="69"/>
      <c r="K1067" s="32"/>
      <c r="L1067" s="76">
        <v>1067</v>
      </c>
      <c r="M1067" s="76"/>
      <c r="N1067" s="71"/>
      <c r="O1067" s="87" t="s">
        <v>179</v>
      </c>
      <c r="P1067" s="90">
        <v>45163.416550925926</v>
      </c>
      <c r="Q1067" s="87" t="s">
        <v>2877</v>
      </c>
      <c r="R1067" s="87">
        <v>0</v>
      </c>
      <c r="S1067" s="87">
        <v>2</v>
      </c>
      <c r="T1067" s="87">
        <v>0</v>
      </c>
      <c r="U1067" s="87">
        <v>0</v>
      </c>
      <c r="V1067" s="87">
        <v>8</v>
      </c>
      <c r="W1067" s="93" t="s">
        <v>6569</v>
      </c>
      <c r="X1067" s="87"/>
      <c r="Y1067" s="87"/>
      <c r="Z1067" s="87"/>
      <c r="AA1067" s="87" t="s">
        <v>9278</v>
      </c>
      <c r="AB1067" s="87" t="s">
        <v>11448</v>
      </c>
      <c r="AC1067" s="93" t="s">
        <v>11459</v>
      </c>
      <c r="AD1067" s="87" t="s">
        <v>11519</v>
      </c>
      <c r="AE1067" s="92" t="str">
        <f>HYPERLINK("https://twitter.com/sinco_brasil/status/1695013103170187369")</f>
        <v>https://twitter.com/sinco_brasil/status/1695013103170187369</v>
      </c>
      <c r="AF1067" s="90">
        <v>45163.416550925926</v>
      </c>
      <c r="AG1067" s="99">
        <v>45163</v>
      </c>
      <c r="AH1067" s="93" t="s">
        <v>12515</v>
      </c>
      <c r="AI1067" s="87" t="b">
        <v>0</v>
      </c>
      <c r="AJ1067" s="87"/>
      <c r="AK1067" s="87"/>
      <c r="AL1067" s="87"/>
      <c r="AM1067" s="87"/>
      <c r="AN1067" s="87"/>
      <c r="AO1067" s="87"/>
      <c r="AP1067" s="87"/>
      <c r="AQ1067" s="87" t="s">
        <v>16091</v>
      </c>
      <c r="AR1067" s="87"/>
      <c r="AS1067" s="87"/>
      <c r="AT1067" s="87"/>
      <c r="AU1067" s="87"/>
      <c r="AV1067" s="92" t="str">
        <f>HYPERLINK("https://pbs.twimg.com/media/F4Xlb0HWAAAz1KH.jpg")</f>
        <v>https://pbs.twimg.com/media/F4Xlb0HWAAAz1KH.jpg</v>
      </c>
      <c r="AW1067" s="93" t="s">
        <v>19304</v>
      </c>
      <c r="AX1067" s="93" t="s">
        <v>19304</v>
      </c>
      <c r="AY1067" s="87"/>
      <c r="AZ1067" s="93" t="s">
        <v>22668</v>
      </c>
      <c r="BA1067" s="93" t="s">
        <v>22668</v>
      </c>
      <c r="BB1067" s="93" t="s">
        <v>22668</v>
      </c>
      <c r="BC1067" s="93" t="s">
        <v>19304</v>
      </c>
      <c r="BD1067" s="87">
        <v>84619559</v>
      </c>
      <c r="BE1067" s="87"/>
      <c r="BF1067" s="87"/>
      <c r="BG1067" s="87"/>
      <c r="BH1067" s="87"/>
      <c r="BI1067" s="87"/>
    </row>
    <row r="1068" spans="1:61" x14ac:dyDescent="0.25">
      <c r="A1068" s="63" t="s">
        <v>595</v>
      </c>
      <c r="B1068" s="63" t="s">
        <v>595</v>
      </c>
      <c r="C1068" s="64"/>
      <c r="D1068" s="65"/>
      <c r="E1068" s="66"/>
      <c r="F1068" s="67"/>
      <c r="G1068" s="64"/>
      <c r="H1068" s="68"/>
      <c r="I1068" s="69"/>
      <c r="J1068" s="69"/>
      <c r="K1068" s="32"/>
      <c r="L1068" s="76">
        <v>1068</v>
      </c>
      <c r="M1068" s="76"/>
      <c r="N1068" s="71"/>
      <c r="O1068" s="87" t="s">
        <v>179</v>
      </c>
      <c r="P1068" s="90">
        <v>45149.425567129627</v>
      </c>
      <c r="Q1068" s="87" t="s">
        <v>2878</v>
      </c>
      <c r="R1068" s="87">
        <v>0</v>
      </c>
      <c r="S1068" s="87">
        <v>2</v>
      </c>
      <c r="T1068" s="87">
        <v>0</v>
      </c>
      <c r="U1068" s="87">
        <v>0</v>
      </c>
      <c r="V1068" s="87">
        <v>9</v>
      </c>
      <c r="W1068" s="93" t="s">
        <v>6616</v>
      </c>
      <c r="X1068" s="87"/>
      <c r="Y1068" s="87"/>
      <c r="Z1068" s="87"/>
      <c r="AA1068" s="87" t="s">
        <v>9279</v>
      </c>
      <c r="AB1068" s="87" t="s">
        <v>11448</v>
      </c>
      <c r="AC1068" s="93" t="s">
        <v>11459</v>
      </c>
      <c r="AD1068" s="87" t="s">
        <v>11519</v>
      </c>
      <c r="AE1068" s="92" t="str">
        <f>HYPERLINK("https://twitter.com/sinco_brasil/status/1689942939374428160")</f>
        <v>https://twitter.com/sinco_brasil/status/1689942939374428160</v>
      </c>
      <c r="AF1068" s="90">
        <v>45149.425567129627</v>
      </c>
      <c r="AG1068" s="99">
        <v>45149</v>
      </c>
      <c r="AH1068" s="93" t="s">
        <v>12516</v>
      </c>
      <c r="AI1068" s="87" t="b">
        <v>0</v>
      </c>
      <c r="AJ1068" s="87"/>
      <c r="AK1068" s="87"/>
      <c r="AL1068" s="87"/>
      <c r="AM1068" s="87"/>
      <c r="AN1068" s="87"/>
      <c r="AO1068" s="87"/>
      <c r="AP1068" s="87"/>
      <c r="AQ1068" s="87" t="s">
        <v>16092</v>
      </c>
      <c r="AR1068" s="87"/>
      <c r="AS1068" s="87"/>
      <c r="AT1068" s="87"/>
      <c r="AU1068" s="87"/>
      <c r="AV1068" s="92" t="str">
        <f>HYPERLINK("https://pbs.twimg.com/media/F3PiJchWUAA_qV0.jpg")</f>
        <v>https://pbs.twimg.com/media/F3PiJchWUAA_qV0.jpg</v>
      </c>
      <c r="AW1068" s="93" t="s">
        <v>19305</v>
      </c>
      <c r="AX1068" s="93" t="s">
        <v>19305</v>
      </c>
      <c r="AY1068" s="87"/>
      <c r="AZ1068" s="93" t="s">
        <v>22668</v>
      </c>
      <c r="BA1068" s="93" t="s">
        <v>22668</v>
      </c>
      <c r="BB1068" s="93" t="s">
        <v>22668</v>
      </c>
      <c r="BC1068" s="93" t="s">
        <v>19305</v>
      </c>
      <c r="BD1068" s="87">
        <v>84619559</v>
      </c>
      <c r="BE1068" s="87"/>
      <c r="BF1068" s="87"/>
      <c r="BG1068" s="87"/>
      <c r="BH1068" s="87"/>
      <c r="BI1068" s="87"/>
    </row>
    <row r="1069" spans="1:61" x14ac:dyDescent="0.25">
      <c r="A1069" s="63" t="s">
        <v>595</v>
      </c>
      <c r="B1069" s="63" t="s">
        <v>595</v>
      </c>
      <c r="C1069" s="64"/>
      <c r="D1069" s="65"/>
      <c r="E1069" s="66"/>
      <c r="F1069" s="67"/>
      <c r="G1069" s="64"/>
      <c r="H1069" s="68"/>
      <c r="I1069" s="69"/>
      <c r="J1069" s="69"/>
      <c r="K1069" s="32"/>
      <c r="L1069" s="76">
        <v>1069</v>
      </c>
      <c r="M1069" s="76"/>
      <c r="N1069" s="71"/>
      <c r="O1069" s="87" t="s">
        <v>179</v>
      </c>
      <c r="P1069" s="90">
        <v>45136.557905092595</v>
      </c>
      <c r="Q1069" s="87" t="s">
        <v>2879</v>
      </c>
      <c r="R1069" s="87">
        <v>0</v>
      </c>
      <c r="S1069" s="87">
        <v>2</v>
      </c>
      <c r="T1069" s="87">
        <v>0</v>
      </c>
      <c r="U1069" s="87">
        <v>0</v>
      </c>
      <c r="V1069" s="87">
        <v>9</v>
      </c>
      <c r="W1069" s="93" t="s">
        <v>6569</v>
      </c>
      <c r="X1069" s="87"/>
      <c r="Y1069" s="87"/>
      <c r="Z1069" s="87"/>
      <c r="AA1069" s="87" t="s">
        <v>9280</v>
      </c>
      <c r="AB1069" s="87" t="s">
        <v>11448</v>
      </c>
      <c r="AC1069" s="93" t="s">
        <v>11459</v>
      </c>
      <c r="AD1069" s="87" t="s">
        <v>11519</v>
      </c>
      <c r="AE1069" s="92" t="str">
        <f>HYPERLINK("https://twitter.com/sinco_brasil/status/1685279856118947840")</f>
        <v>https://twitter.com/sinco_brasil/status/1685279856118947840</v>
      </c>
      <c r="AF1069" s="90">
        <v>45136.557905092595</v>
      </c>
      <c r="AG1069" s="99">
        <v>45136</v>
      </c>
      <c r="AH1069" s="93" t="s">
        <v>12517</v>
      </c>
      <c r="AI1069" s="87" t="b">
        <v>0</v>
      </c>
      <c r="AJ1069" s="87"/>
      <c r="AK1069" s="87"/>
      <c r="AL1069" s="87"/>
      <c r="AM1069" s="87"/>
      <c r="AN1069" s="87"/>
      <c r="AO1069" s="87"/>
      <c r="AP1069" s="87"/>
      <c r="AQ1069" s="87" t="s">
        <v>16093</v>
      </c>
      <c r="AR1069" s="87"/>
      <c r="AS1069" s="87"/>
      <c r="AT1069" s="87"/>
      <c r="AU1069" s="87"/>
      <c r="AV1069" s="92" t="str">
        <f>HYPERLINK("https://pbs.twimg.com/media/F2NRGPXXcAAwSlH.jpg")</f>
        <v>https://pbs.twimg.com/media/F2NRGPXXcAAwSlH.jpg</v>
      </c>
      <c r="AW1069" s="93" t="s">
        <v>19306</v>
      </c>
      <c r="AX1069" s="93" t="s">
        <v>19306</v>
      </c>
      <c r="AY1069" s="87"/>
      <c r="AZ1069" s="93" t="s">
        <v>22668</v>
      </c>
      <c r="BA1069" s="93" t="s">
        <v>22668</v>
      </c>
      <c r="BB1069" s="93" t="s">
        <v>22668</v>
      </c>
      <c r="BC1069" s="93" t="s">
        <v>19306</v>
      </c>
      <c r="BD1069" s="87">
        <v>84619559</v>
      </c>
      <c r="BE1069" s="87"/>
      <c r="BF1069" s="87"/>
      <c r="BG1069" s="87"/>
      <c r="BH1069" s="87"/>
      <c r="BI1069" s="87"/>
    </row>
    <row r="1070" spans="1:61" x14ac:dyDescent="0.25">
      <c r="A1070" s="63" t="s">
        <v>595</v>
      </c>
      <c r="B1070" s="63" t="s">
        <v>595</v>
      </c>
      <c r="C1070" s="64"/>
      <c r="D1070" s="65"/>
      <c r="E1070" s="66"/>
      <c r="F1070" s="67"/>
      <c r="G1070" s="64"/>
      <c r="H1070" s="68"/>
      <c r="I1070" s="69"/>
      <c r="J1070" s="69"/>
      <c r="K1070" s="32"/>
      <c r="L1070" s="76">
        <v>1070</v>
      </c>
      <c r="M1070" s="76"/>
      <c r="N1070" s="71"/>
      <c r="O1070" s="87" t="s">
        <v>179</v>
      </c>
      <c r="P1070" s="90">
        <v>45121.398587962962</v>
      </c>
      <c r="Q1070" s="87" t="s">
        <v>2880</v>
      </c>
      <c r="R1070" s="87">
        <v>0</v>
      </c>
      <c r="S1070" s="87">
        <v>2</v>
      </c>
      <c r="T1070" s="87">
        <v>0</v>
      </c>
      <c r="U1070" s="87">
        <v>0</v>
      </c>
      <c r="V1070" s="87">
        <v>19</v>
      </c>
      <c r="W1070" s="93" t="s">
        <v>6617</v>
      </c>
      <c r="X1070" s="87"/>
      <c r="Y1070" s="87"/>
      <c r="Z1070" s="87"/>
      <c r="AA1070" s="87" t="s">
        <v>9281</v>
      </c>
      <c r="AB1070" s="87" t="s">
        <v>11448</v>
      </c>
      <c r="AC1070" s="93" t="s">
        <v>11459</v>
      </c>
      <c r="AD1070" s="87" t="s">
        <v>11519</v>
      </c>
      <c r="AE1070" s="92" t="str">
        <f>HYPERLINK("https://twitter.com/sinco_brasil/status/1679786304148586496")</f>
        <v>https://twitter.com/sinco_brasil/status/1679786304148586496</v>
      </c>
      <c r="AF1070" s="90">
        <v>45121.398587962962</v>
      </c>
      <c r="AG1070" s="99">
        <v>45121</v>
      </c>
      <c r="AH1070" s="93" t="s">
        <v>12518</v>
      </c>
      <c r="AI1070" s="87" t="b">
        <v>0</v>
      </c>
      <c r="AJ1070" s="87"/>
      <c r="AK1070" s="87"/>
      <c r="AL1070" s="87"/>
      <c r="AM1070" s="87"/>
      <c r="AN1070" s="87"/>
      <c r="AO1070" s="87"/>
      <c r="AP1070" s="87"/>
      <c r="AQ1070" s="87" t="s">
        <v>16094</v>
      </c>
      <c r="AR1070" s="87"/>
      <c r="AS1070" s="87"/>
      <c r="AT1070" s="87"/>
      <c r="AU1070" s="87"/>
      <c r="AV1070" s="92" t="str">
        <f>HYPERLINK("https://pbs.twimg.com/media/F0_Mvd6XwAAS3lc.jpg")</f>
        <v>https://pbs.twimg.com/media/F0_Mvd6XwAAS3lc.jpg</v>
      </c>
      <c r="AW1070" s="93" t="s">
        <v>19307</v>
      </c>
      <c r="AX1070" s="93" t="s">
        <v>19307</v>
      </c>
      <c r="AY1070" s="87"/>
      <c r="AZ1070" s="93" t="s">
        <v>22668</v>
      </c>
      <c r="BA1070" s="93" t="s">
        <v>22668</v>
      </c>
      <c r="BB1070" s="93" t="s">
        <v>22668</v>
      </c>
      <c r="BC1070" s="93" t="s">
        <v>19307</v>
      </c>
      <c r="BD1070" s="87">
        <v>84619559</v>
      </c>
      <c r="BE1070" s="87"/>
      <c r="BF1070" s="87"/>
      <c r="BG1070" s="87"/>
      <c r="BH1070" s="87"/>
      <c r="BI1070" s="87"/>
    </row>
    <row r="1071" spans="1:61" x14ac:dyDescent="0.25">
      <c r="A1071" s="63" t="s">
        <v>595</v>
      </c>
      <c r="B1071" s="63" t="s">
        <v>595</v>
      </c>
      <c r="C1071" s="64"/>
      <c r="D1071" s="65"/>
      <c r="E1071" s="66"/>
      <c r="F1071" s="67"/>
      <c r="G1071" s="64"/>
      <c r="H1071" s="68"/>
      <c r="I1071" s="69"/>
      <c r="J1071" s="69"/>
      <c r="K1071" s="32"/>
      <c r="L1071" s="76">
        <v>1071</v>
      </c>
      <c r="M1071" s="76"/>
      <c r="N1071" s="71"/>
      <c r="O1071" s="87" t="s">
        <v>179</v>
      </c>
      <c r="P1071" s="90">
        <v>45120.405162037037</v>
      </c>
      <c r="Q1071" s="87" t="s">
        <v>2881</v>
      </c>
      <c r="R1071" s="87">
        <v>0</v>
      </c>
      <c r="S1071" s="87">
        <v>2</v>
      </c>
      <c r="T1071" s="87">
        <v>0</v>
      </c>
      <c r="U1071" s="87">
        <v>0</v>
      </c>
      <c r="V1071" s="87">
        <v>20</v>
      </c>
      <c r="W1071" s="93" t="s">
        <v>6618</v>
      </c>
      <c r="X1071" s="87"/>
      <c r="Y1071" s="87"/>
      <c r="Z1071" s="87"/>
      <c r="AA1071" s="87" t="s">
        <v>9282</v>
      </c>
      <c r="AB1071" s="87" t="s">
        <v>11448</v>
      </c>
      <c r="AC1071" s="93" t="s">
        <v>11459</v>
      </c>
      <c r="AD1071" s="87" t="s">
        <v>11519</v>
      </c>
      <c r="AE1071" s="92" t="str">
        <f>HYPERLINK("https://twitter.com/sinco_brasil/status/1679426300178563074")</f>
        <v>https://twitter.com/sinco_brasil/status/1679426300178563074</v>
      </c>
      <c r="AF1071" s="90">
        <v>45120.405162037037</v>
      </c>
      <c r="AG1071" s="99">
        <v>45120</v>
      </c>
      <c r="AH1071" s="93" t="s">
        <v>12519</v>
      </c>
      <c r="AI1071" s="87" t="b">
        <v>0</v>
      </c>
      <c r="AJ1071" s="87"/>
      <c r="AK1071" s="87"/>
      <c r="AL1071" s="87"/>
      <c r="AM1071" s="87"/>
      <c r="AN1071" s="87"/>
      <c r="AO1071" s="87"/>
      <c r="AP1071" s="87"/>
      <c r="AQ1071" s="87" t="s">
        <v>16095</v>
      </c>
      <c r="AR1071" s="87"/>
      <c r="AS1071" s="87"/>
      <c r="AT1071" s="87"/>
      <c r="AU1071" s="87"/>
      <c r="AV1071" s="92" t="str">
        <f>HYPERLINK("https://pbs.twimg.com/media/F06FUdpXsAUEzeX.jpg")</f>
        <v>https://pbs.twimg.com/media/F06FUdpXsAUEzeX.jpg</v>
      </c>
      <c r="AW1071" s="93" t="s">
        <v>19308</v>
      </c>
      <c r="AX1071" s="93" t="s">
        <v>19308</v>
      </c>
      <c r="AY1071" s="87"/>
      <c r="AZ1071" s="93" t="s">
        <v>22668</v>
      </c>
      <c r="BA1071" s="93" t="s">
        <v>22668</v>
      </c>
      <c r="BB1071" s="93" t="s">
        <v>22668</v>
      </c>
      <c r="BC1071" s="93" t="s">
        <v>19308</v>
      </c>
      <c r="BD1071" s="87">
        <v>84619559</v>
      </c>
      <c r="BE1071" s="87"/>
      <c r="BF1071" s="87"/>
      <c r="BG1071" s="87"/>
      <c r="BH1071" s="87"/>
      <c r="BI1071" s="87"/>
    </row>
    <row r="1072" spans="1:61" x14ac:dyDescent="0.25">
      <c r="A1072" s="63" t="s">
        <v>595</v>
      </c>
      <c r="B1072" s="63" t="s">
        <v>595</v>
      </c>
      <c r="C1072" s="64"/>
      <c r="D1072" s="65"/>
      <c r="E1072" s="66"/>
      <c r="F1072" s="67"/>
      <c r="G1072" s="64"/>
      <c r="H1072" s="68"/>
      <c r="I1072" s="69"/>
      <c r="J1072" s="69"/>
      <c r="K1072" s="32"/>
      <c r="L1072" s="76">
        <v>1072</v>
      </c>
      <c r="M1072" s="76"/>
      <c r="N1072" s="71"/>
      <c r="O1072" s="87" t="s">
        <v>179</v>
      </c>
      <c r="P1072" s="90">
        <v>45195.379803240743</v>
      </c>
      <c r="Q1072" s="87" t="s">
        <v>2882</v>
      </c>
      <c r="R1072" s="87">
        <v>0</v>
      </c>
      <c r="S1072" s="87">
        <v>2</v>
      </c>
      <c r="T1072" s="87">
        <v>0</v>
      </c>
      <c r="U1072" s="87">
        <v>0</v>
      </c>
      <c r="V1072" s="87">
        <v>20</v>
      </c>
      <c r="W1072" s="93" t="s">
        <v>6619</v>
      </c>
      <c r="X1072" s="87"/>
      <c r="Y1072" s="87"/>
      <c r="Z1072" s="87"/>
      <c r="AA1072" s="87" t="s">
        <v>9283</v>
      </c>
      <c r="AB1072" s="87" t="s">
        <v>11448</v>
      </c>
      <c r="AC1072" s="93" t="s">
        <v>11459</v>
      </c>
      <c r="AD1072" s="87" t="s">
        <v>11519</v>
      </c>
      <c r="AE1072" s="92" t="str">
        <f>HYPERLINK("https://twitter.com/sinco_brasil/status/1706596198042272094")</f>
        <v>https://twitter.com/sinco_brasil/status/1706596198042272094</v>
      </c>
      <c r="AF1072" s="90">
        <v>45195.379803240743</v>
      </c>
      <c r="AG1072" s="99">
        <v>45195</v>
      </c>
      <c r="AH1072" s="93" t="s">
        <v>12520</v>
      </c>
      <c r="AI1072" s="87" t="b">
        <v>0</v>
      </c>
      <c r="AJ1072" s="87"/>
      <c r="AK1072" s="87"/>
      <c r="AL1072" s="87"/>
      <c r="AM1072" s="87"/>
      <c r="AN1072" s="87"/>
      <c r="AO1072" s="87"/>
      <c r="AP1072" s="87"/>
      <c r="AQ1072" s="87" t="s">
        <v>16096</v>
      </c>
      <c r="AR1072" s="87"/>
      <c r="AS1072" s="87"/>
      <c r="AT1072" s="87"/>
      <c r="AU1072" s="87"/>
      <c r="AV1072" s="92" t="str">
        <f>HYPERLINK("https://pbs.twimg.com/media/F68MMrUXEAArNAm.jpg")</f>
        <v>https://pbs.twimg.com/media/F68MMrUXEAArNAm.jpg</v>
      </c>
      <c r="AW1072" s="93" t="s">
        <v>19309</v>
      </c>
      <c r="AX1072" s="93" t="s">
        <v>19309</v>
      </c>
      <c r="AY1072" s="87"/>
      <c r="AZ1072" s="93" t="s">
        <v>22668</v>
      </c>
      <c r="BA1072" s="93" t="s">
        <v>22668</v>
      </c>
      <c r="BB1072" s="93" t="s">
        <v>22668</v>
      </c>
      <c r="BC1072" s="93" t="s">
        <v>19309</v>
      </c>
      <c r="BD1072" s="87">
        <v>84619559</v>
      </c>
      <c r="BE1072" s="87"/>
      <c r="BF1072" s="87"/>
      <c r="BG1072" s="87"/>
      <c r="BH1072" s="87"/>
      <c r="BI1072" s="87"/>
    </row>
    <row r="1073" spans="1:61" x14ac:dyDescent="0.25">
      <c r="A1073" s="63" t="s">
        <v>595</v>
      </c>
      <c r="B1073" s="63" t="s">
        <v>595</v>
      </c>
      <c r="C1073" s="64"/>
      <c r="D1073" s="65"/>
      <c r="E1073" s="66"/>
      <c r="F1073" s="67"/>
      <c r="G1073" s="64"/>
      <c r="H1073" s="68"/>
      <c r="I1073" s="69"/>
      <c r="J1073" s="69"/>
      <c r="K1073" s="32"/>
      <c r="L1073" s="76">
        <v>1073</v>
      </c>
      <c r="M1073" s="76"/>
      <c r="N1073" s="71"/>
      <c r="O1073" s="87" t="s">
        <v>179</v>
      </c>
      <c r="P1073" s="90">
        <v>45194.392395833333</v>
      </c>
      <c r="Q1073" s="87" t="s">
        <v>2883</v>
      </c>
      <c r="R1073" s="87">
        <v>0</v>
      </c>
      <c r="S1073" s="87">
        <v>2</v>
      </c>
      <c r="T1073" s="87">
        <v>0</v>
      </c>
      <c r="U1073" s="87">
        <v>0</v>
      </c>
      <c r="V1073" s="87">
        <v>9</v>
      </c>
      <c r="W1073" s="93" t="s">
        <v>6569</v>
      </c>
      <c r="X1073" s="87"/>
      <c r="Y1073" s="87"/>
      <c r="Z1073" s="87"/>
      <c r="AA1073" s="87" t="s">
        <v>9284</v>
      </c>
      <c r="AB1073" s="87" t="s">
        <v>11448</v>
      </c>
      <c r="AC1073" s="93" t="s">
        <v>11459</v>
      </c>
      <c r="AD1073" s="87" t="s">
        <v>11519</v>
      </c>
      <c r="AE1073" s="92" t="str">
        <f>HYPERLINK("https://twitter.com/sinco_brasil/status/1706238374414049304")</f>
        <v>https://twitter.com/sinco_brasil/status/1706238374414049304</v>
      </c>
      <c r="AF1073" s="90">
        <v>45194.392395833333</v>
      </c>
      <c r="AG1073" s="99">
        <v>45194</v>
      </c>
      <c r="AH1073" s="93" t="s">
        <v>12521</v>
      </c>
      <c r="AI1073" s="87" t="b">
        <v>0</v>
      </c>
      <c r="AJ1073" s="87"/>
      <c r="AK1073" s="87"/>
      <c r="AL1073" s="87"/>
      <c r="AM1073" s="87"/>
      <c r="AN1073" s="87"/>
      <c r="AO1073" s="87"/>
      <c r="AP1073" s="87"/>
      <c r="AQ1073" s="87" t="s">
        <v>16097</v>
      </c>
      <c r="AR1073" s="87"/>
      <c r="AS1073" s="87"/>
      <c r="AT1073" s="87"/>
      <c r="AU1073" s="87"/>
      <c r="AV1073" s="92" t="str">
        <f>HYPERLINK("https://pbs.twimg.com/media/F63GwlsWYAAaKHv.jpg")</f>
        <v>https://pbs.twimg.com/media/F63GwlsWYAAaKHv.jpg</v>
      </c>
      <c r="AW1073" s="93" t="s">
        <v>19310</v>
      </c>
      <c r="AX1073" s="93" t="s">
        <v>19310</v>
      </c>
      <c r="AY1073" s="87"/>
      <c r="AZ1073" s="93" t="s">
        <v>22668</v>
      </c>
      <c r="BA1073" s="93" t="s">
        <v>22668</v>
      </c>
      <c r="BB1073" s="93" t="s">
        <v>22668</v>
      </c>
      <c r="BC1073" s="93" t="s">
        <v>19310</v>
      </c>
      <c r="BD1073" s="87">
        <v>84619559</v>
      </c>
      <c r="BE1073" s="87"/>
      <c r="BF1073" s="87"/>
      <c r="BG1073" s="87"/>
      <c r="BH1073" s="87"/>
      <c r="BI1073" s="87"/>
    </row>
    <row r="1074" spans="1:61" x14ac:dyDescent="0.25">
      <c r="A1074" s="63" t="s">
        <v>595</v>
      </c>
      <c r="B1074" s="63" t="s">
        <v>595</v>
      </c>
      <c r="C1074" s="64"/>
      <c r="D1074" s="65"/>
      <c r="E1074" s="66"/>
      <c r="F1074" s="67"/>
      <c r="G1074" s="64"/>
      <c r="H1074" s="68"/>
      <c r="I1074" s="69"/>
      <c r="J1074" s="69"/>
      <c r="K1074" s="32"/>
      <c r="L1074" s="76">
        <v>1074</v>
      </c>
      <c r="M1074" s="76"/>
      <c r="N1074" s="71"/>
      <c r="O1074" s="87" t="s">
        <v>179</v>
      </c>
      <c r="P1074" s="90">
        <v>45187.391215277778</v>
      </c>
      <c r="Q1074" s="87" t="s">
        <v>2884</v>
      </c>
      <c r="R1074" s="87">
        <v>0</v>
      </c>
      <c r="S1074" s="87">
        <v>2</v>
      </c>
      <c r="T1074" s="87">
        <v>0</v>
      </c>
      <c r="U1074" s="87">
        <v>0</v>
      </c>
      <c r="V1074" s="87">
        <v>16</v>
      </c>
      <c r="W1074" s="93" t="s">
        <v>6620</v>
      </c>
      <c r="X1074" s="87"/>
      <c r="Y1074" s="87"/>
      <c r="Z1074" s="87"/>
      <c r="AA1074" s="87" t="s">
        <v>9285</v>
      </c>
      <c r="AB1074" s="87" t="s">
        <v>11448</v>
      </c>
      <c r="AC1074" s="93" t="s">
        <v>11459</v>
      </c>
      <c r="AD1074" s="87" t="s">
        <v>11519</v>
      </c>
      <c r="AE1074" s="92" t="str">
        <f>HYPERLINK("https://twitter.com/sinco_brasil/status/1703701230655049840")</f>
        <v>https://twitter.com/sinco_brasil/status/1703701230655049840</v>
      </c>
      <c r="AF1074" s="90">
        <v>45187.391215277778</v>
      </c>
      <c r="AG1074" s="99">
        <v>45187</v>
      </c>
      <c r="AH1074" s="93" t="s">
        <v>12522</v>
      </c>
      <c r="AI1074" s="87" t="b">
        <v>0</v>
      </c>
      <c r="AJ1074" s="87"/>
      <c r="AK1074" s="87"/>
      <c r="AL1074" s="87"/>
      <c r="AM1074" s="87"/>
      <c r="AN1074" s="87"/>
      <c r="AO1074" s="87"/>
      <c r="AP1074" s="87"/>
      <c r="AQ1074" s="87" t="s">
        <v>16098</v>
      </c>
      <c r="AR1074" s="87"/>
      <c r="AS1074" s="87"/>
      <c r="AT1074" s="87"/>
      <c r="AU1074" s="87"/>
      <c r="AV1074" s="92" t="str">
        <f>HYPERLINK("https://pbs.twimg.com/media/F6TDPZ6X0AADt9_.jpg")</f>
        <v>https://pbs.twimg.com/media/F6TDPZ6X0AADt9_.jpg</v>
      </c>
      <c r="AW1074" s="93" t="s">
        <v>19311</v>
      </c>
      <c r="AX1074" s="93" t="s">
        <v>19311</v>
      </c>
      <c r="AY1074" s="87"/>
      <c r="AZ1074" s="93" t="s">
        <v>22668</v>
      </c>
      <c r="BA1074" s="93" t="s">
        <v>22668</v>
      </c>
      <c r="BB1074" s="93" t="s">
        <v>22668</v>
      </c>
      <c r="BC1074" s="93" t="s">
        <v>19311</v>
      </c>
      <c r="BD1074" s="87">
        <v>84619559</v>
      </c>
      <c r="BE1074" s="87"/>
      <c r="BF1074" s="87"/>
      <c r="BG1074" s="87"/>
      <c r="BH1074" s="87"/>
      <c r="BI1074" s="87"/>
    </row>
    <row r="1075" spans="1:61" x14ac:dyDescent="0.25">
      <c r="A1075" s="63" t="s">
        <v>595</v>
      </c>
      <c r="B1075" s="63" t="s">
        <v>595</v>
      </c>
      <c r="C1075" s="64"/>
      <c r="D1075" s="65"/>
      <c r="E1075" s="66"/>
      <c r="F1075" s="67"/>
      <c r="G1075" s="64"/>
      <c r="H1075" s="68"/>
      <c r="I1075" s="69"/>
      <c r="J1075" s="69"/>
      <c r="K1075" s="32"/>
      <c r="L1075" s="76">
        <v>1075</v>
      </c>
      <c r="M1075" s="76"/>
      <c r="N1075" s="71"/>
      <c r="O1075" s="87" t="s">
        <v>179</v>
      </c>
      <c r="P1075" s="90">
        <v>45174.444814814815</v>
      </c>
      <c r="Q1075" s="87" t="s">
        <v>2885</v>
      </c>
      <c r="R1075" s="87">
        <v>0</v>
      </c>
      <c r="S1075" s="87">
        <v>2</v>
      </c>
      <c r="T1075" s="87">
        <v>0</v>
      </c>
      <c r="U1075" s="87">
        <v>0</v>
      </c>
      <c r="V1075" s="87">
        <v>10</v>
      </c>
      <c r="W1075" s="93" t="s">
        <v>6621</v>
      </c>
      <c r="X1075" s="87"/>
      <c r="Y1075" s="87"/>
      <c r="Z1075" s="87"/>
      <c r="AA1075" s="87" t="s">
        <v>9286</v>
      </c>
      <c r="AB1075" s="87" t="s">
        <v>11448</v>
      </c>
      <c r="AC1075" s="93" t="s">
        <v>11459</v>
      </c>
      <c r="AD1075" s="87" t="s">
        <v>11519</v>
      </c>
      <c r="AE1075" s="92" t="str">
        <f>HYPERLINK("https://twitter.com/sinco_brasil/status/1699009613482373161")</f>
        <v>https://twitter.com/sinco_brasil/status/1699009613482373161</v>
      </c>
      <c r="AF1075" s="90">
        <v>45174.444814814815</v>
      </c>
      <c r="AG1075" s="99">
        <v>45174</v>
      </c>
      <c r="AH1075" s="93" t="s">
        <v>12523</v>
      </c>
      <c r="AI1075" s="87" t="b">
        <v>0</v>
      </c>
      <c r="AJ1075" s="87"/>
      <c r="AK1075" s="87"/>
      <c r="AL1075" s="87"/>
      <c r="AM1075" s="87"/>
      <c r="AN1075" s="87"/>
      <c r="AO1075" s="87"/>
      <c r="AP1075" s="87"/>
      <c r="AQ1075" s="87" t="s">
        <v>16099</v>
      </c>
      <c r="AR1075" s="87"/>
      <c r="AS1075" s="87"/>
      <c r="AT1075" s="87"/>
      <c r="AU1075" s="87"/>
      <c r="AV1075" s="92" t="str">
        <f>HYPERLINK("https://pbs.twimg.com/media/F5QYPWRWEAAxIro.jpg")</f>
        <v>https://pbs.twimg.com/media/F5QYPWRWEAAxIro.jpg</v>
      </c>
      <c r="AW1075" s="93" t="s">
        <v>19312</v>
      </c>
      <c r="AX1075" s="93" t="s">
        <v>19312</v>
      </c>
      <c r="AY1075" s="87"/>
      <c r="AZ1075" s="93" t="s">
        <v>22668</v>
      </c>
      <c r="BA1075" s="93" t="s">
        <v>22668</v>
      </c>
      <c r="BB1075" s="93" t="s">
        <v>22668</v>
      </c>
      <c r="BC1075" s="93" t="s">
        <v>19312</v>
      </c>
      <c r="BD1075" s="87">
        <v>84619559</v>
      </c>
      <c r="BE1075" s="87"/>
      <c r="BF1075" s="87"/>
      <c r="BG1075" s="87"/>
      <c r="BH1075" s="87"/>
      <c r="BI1075" s="87"/>
    </row>
    <row r="1076" spans="1:61" x14ac:dyDescent="0.25">
      <c r="A1076" s="63" t="s">
        <v>595</v>
      </c>
      <c r="B1076" s="63" t="s">
        <v>595</v>
      </c>
      <c r="C1076" s="64"/>
      <c r="D1076" s="65"/>
      <c r="E1076" s="66"/>
      <c r="F1076" s="67"/>
      <c r="G1076" s="64"/>
      <c r="H1076" s="68"/>
      <c r="I1076" s="69"/>
      <c r="J1076" s="69"/>
      <c r="K1076" s="32"/>
      <c r="L1076" s="76">
        <v>1076</v>
      </c>
      <c r="M1076" s="76"/>
      <c r="N1076" s="71"/>
      <c r="O1076" s="87" t="s">
        <v>179</v>
      </c>
      <c r="P1076" s="90">
        <v>45167.427175925928</v>
      </c>
      <c r="Q1076" s="87" t="s">
        <v>2886</v>
      </c>
      <c r="R1076" s="87">
        <v>0</v>
      </c>
      <c r="S1076" s="87">
        <v>2</v>
      </c>
      <c r="T1076" s="87">
        <v>0</v>
      </c>
      <c r="U1076" s="87">
        <v>0</v>
      </c>
      <c r="V1076" s="87">
        <v>13</v>
      </c>
      <c r="W1076" s="93" t="s">
        <v>6622</v>
      </c>
      <c r="X1076" s="87"/>
      <c r="Y1076" s="87"/>
      <c r="Z1076" s="87"/>
      <c r="AA1076" s="87" t="s">
        <v>9287</v>
      </c>
      <c r="AB1076" s="87" t="s">
        <v>11448</v>
      </c>
      <c r="AC1076" s="93" t="s">
        <v>11459</v>
      </c>
      <c r="AD1076" s="87" t="s">
        <v>11519</v>
      </c>
      <c r="AE1076" s="92" t="str">
        <f>HYPERLINK("https://twitter.com/sinco_brasil/status/1696466507276914953")</f>
        <v>https://twitter.com/sinco_brasil/status/1696466507276914953</v>
      </c>
      <c r="AF1076" s="90">
        <v>45167.427175925928</v>
      </c>
      <c r="AG1076" s="99">
        <v>45167</v>
      </c>
      <c r="AH1076" s="93" t="s">
        <v>12524</v>
      </c>
      <c r="AI1076" s="87" t="b">
        <v>0</v>
      </c>
      <c r="AJ1076" s="87"/>
      <c r="AK1076" s="87"/>
      <c r="AL1076" s="87"/>
      <c r="AM1076" s="87"/>
      <c r="AN1076" s="87"/>
      <c r="AO1076" s="87"/>
      <c r="AP1076" s="87"/>
      <c r="AQ1076" s="87" t="s">
        <v>16100</v>
      </c>
      <c r="AR1076" s="87"/>
      <c r="AS1076" s="87"/>
      <c r="AT1076" s="87"/>
      <c r="AU1076" s="87"/>
      <c r="AV1076" s="92" t="str">
        <f>HYPERLINK("https://pbs.twimg.com/media/F4sPTEEWUAApicP.jpg")</f>
        <v>https://pbs.twimg.com/media/F4sPTEEWUAApicP.jpg</v>
      </c>
      <c r="AW1076" s="93" t="s">
        <v>19313</v>
      </c>
      <c r="AX1076" s="93" t="s">
        <v>19313</v>
      </c>
      <c r="AY1076" s="87"/>
      <c r="AZ1076" s="93" t="s">
        <v>22668</v>
      </c>
      <c r="BA1076" s="93" t="s">
        <v>22668</v>
      </c>
      <c r="BB1076" s="93" t="s">
        <v>22668</v>
      </c>
      <c r="BC1076" s="93" t="s">
        <v>19313</v>
      </c>
      <c r="BD1076" s="87">
        <v>84619559</v>
      </c>
      <c r="BE1076" s="87"/>
      <c r="BF1076" s="87"/>
      <c r="BG1076" s="87"/>
      <c r="BH1076" s="87"/>
      <c r="BI1076" s="87"/>
    </row>
    <row r="1077" spans="1:61" x14ac:dyDescent="0.25">
      <c r="A1077" s="63" t="s">
        <v>595</v>
      </c>
      <c r="B1077" s="63" t="s">
        <v>595</v>
      </c>
      <c r="C1077" s="64"/>
      <c r="D1077" s="65"/>
      <c r="E1077" s="66"/>
      <c r="F1077" s="67"/>
      <c r="G1077" s="64"/>
      <c r="H1077" s="68"/>
      <c r="I1077" s="69"/>
      <c r="J1077" s="69"/>
      <c r="K1077" s="32"/>
      <c r="L1077" s="76">
        <v>1077</v>
      </c>
      <c r="M1077" s="76"/>
      <c r="N1077" s="71"/>
      <c r="O1077" s="87" t="s">
        <v>179</v>
      </c>
      <c r="P1077" s="90">
        <v>45153.395069444443</v>
      </c>
      <c r="Q1077" s="87" t="s">
        <v>2887</v>
      </c>
      <c r="R1077" s="87">
        <v>0</v>
      </c>
      <c r="S1077" s="87">
        <v>2</v>
      </c>
      <c r="T1077" s="87">
        <v>0</v>
      </c>
      <c r="U1077" s="87">
        <v>0</v>
      </c>
      <c r="V1077" s="87">
        <v>8</v>
      </c>
      <c r="W1077" s="93" t="s">
        <v>6623</v>
      </c>
      <c r="X1077" s="87"/>
      <c r="Y1077" s="87"/>
      <c r="Z1077" s="87"/>
      <c r="AA1077" s="87" t="s">
        <v>9288</v>
      </c>
      <c r="AB1077" s="87" t="s">
        <v>11448</v>
      </c>
      <c r="AC1077" s="93" t="s">
        <v>11459</v>
      </c>
      <c r="AD1077" s="87" t="s">
        <v>11519</v>
      </c>
      <c r="AE1077" s="92" t="str">
        <f>HYPERLINK("https://twitter.com/sinco_brasil/status/1691381441249128448")</f>
        <v>https://twitter.com/sinco_brasil/status/1691381441249128448</v>
      </c>
      <c r="AF1077" s="90">
        <v>45153.395069444443</v>
      </c>
      <c r="AG1077" s="99">
        <v>45153</v>
      </c>
      <c r="AH1077" s="93" t="s">
        <v>12525</v>
      </c>
      <c r="AI1077" s="87" t="b">
        <v>0</v>
      </c>
      <c r="AJ1077" s="87"/>
      <c r="AK1077" s="87"/>
      <c r="AL1077" s="87"/>
      <c r="AM1077" s="87"/>
      <c r="AN1077" s="87"/>
      <c r="AO1077" s="87"/>
      <c r="AP1077" s="87"/>
      <c r="AQ1077" s="87" t="s">
        <v>16101</v>
      </c>
      <c r="AR1077" s="87"/>
      <c r="AS1077" s="87"/>
      <c r="AT1077" s="87"/>
      <c r="AU1077" s="87"/>
      <c r="AV1077" s="92" t="str">
        <f>HYPERLINK("https://pbs.twimg.com/media/F3j-dS4W8AA3jU8.jpg")</f>
        <v>https://pbs.twimg.com/media/F3j-dS4W8AA3jU8.jpg</v>
      </c>
      <c r="AW1077" s="93" t="s">
        <v>19314</v>
      </c>
      <c r="AX1077" s="93" t="s">
        <v>19314</v>
      </c>
      <c r="AY1077" s="87"/>
      <c r="AZ1077" s="93" t="s">
        <v>22668</v>
      </c>
      <c r="BA1077" s="93" t="s">
        <v>22668</v>
      </c>
      <c r="BB1077" s="93" t="s">
        <v>22668</v>
      </c>
      <c r="BC1077" s="93" t="s">
        <v>19314</v>
      </c>
      <c r="BD1077" s="87">
        <v>84619559</v>
      </c>
      <c r="BE1077" s="87"/>
      <c r="BF1077" s="87"/>
      <c r="BG1077" s="87"/>
      <c r="BH1077" s="87"/>
      <c r="BI1077" s="87"/>
    </row>
    <row r="1078" spans="1:61" x14ac:dyDescent="0.25">
      <c r="A1078" s="63" t="s">
        <v>595</v>
      </c>
      <c r="B1078" s="63" t="s">
        <v>595</v>
      </c>
      <c r="C1078" s="64"/>
      <c r="D1078" s="65"/>
      <c r="E1078" s="66"/>
      <c r="F1078" s="67"/>
      <c r="G1078" s="64"/>
      <c r="H1078" s="68"/>
      <c r="I1078" s="69"/>
      <c r="J1078" s="69"/>
      <c r="K1078" s="32"/>
      <c r="L1078" s="76">
        <v>1078</v>
      </c>
      <c r="M1078" s="76"/>
      <c r="N1078" s="71"/>
      <c r="O1078" s="87" t="s">
        <v>179</v>
      </c>
      <c r="P1078" s="90">
        <v>45126.82199074074</v>
      </c>
      <c r="Q1078" s="87" t="s">
        <v>2888</v>
      </c>
      <c r="R1078" s="87">
        <v>0</v>
      </c>
      <c r="S1078" s="87">
        <v>2</v>
      </c>
      <c r="T1078" s="87">
        <v>0</v>
      </c>
      <c r="U1078" s="87">
        <v>0</v>
      </c>
      <c r="V1078" s="87">
        <v>5</v>
      </c>
      <c r="W1078" s="93" t="s">
        <v>6624</v>
      </c>
      <c r="X1078" s="87"/>
      <c r="Y1078" s="87"/>
      <c r="Z1078" s="87"/>
      <c r="AA1078" s="87" t="s">
        <v>9289</v>
      </c>
      <c r="AB1078" s="87" t="s">
        <v>11447</v>
      </c>
      <c r="AC1078" s="93" t="s">
        <v>11459</v>
      </c>
      <c r="AD1078" s="87" t="s">
        <v>11519</v>
      </c>
      <c r="AE1078" s="92" t="str">
        <f>HYPERLINK("https://twitter.com/sinco_brasil/status/1681751678897225728")</f>
        <v>https://twitter.com/sinco_brasil/status/1681751678897225728</v>
      </c>
      <c r="AF1078" s="90">
        <v>45126.82199074074</v>
      </c>
      <c r="AG1078" s="99">
        <v>45126</v>
      </c>
      <c r="AH1078" s="93" t="s">
        <v>12526</v>
      </c>
      <c r="AI1078" s="87" t="b">
        <v>0</v>
      </c>
      <c r="AJ1078" s="87"/>
      <c r="AK1078" s="87"/>
      <c r="AL1078" s="87"/>
      <c r="AM1078" s="87"/>
      <c r="AN1078" s="87"/>
      <c r="AO1078" s="87"/>
      <c r="AP1078" s="87"/>
      <c r="AQ1078" s="87" t="s">
        <v>16102</v>
      </c>
      <c r="AR1078" s="87">
        <v>18714</v>
      </c>
      <c r="AS1078" s="87"/>
      <c r="AT1078" s="87"/>
      <c r="AU1078" s="87"/>
      <c r="AV1078" s="92" t="str">
        <f>HYPERLINK("https://pbs.twimg.com/ext_tw_video_thumb/1681751640154537984/pu/img/n1NbSbBVZwtD5Rq-.jpg")</f>
        <v>https://pbs.twimg.com/ext_tw_video_thumb/1681751640154537984/pu/img/n1NbSbBVZwtD5Rq-.jpg</v>
      </c>
      <c r="AW1078" s="93" t="s">
        <v>19315</v>
      </c>
      <c r="AX1078" s="93" t="s">
        <v>19315</v>
      </c>
      <c r="AY1078" s="87"/>
      <c r="AZ1078" s="93" t="s">
        <v>22668</v>
      </c>
      <c r="BA1078" s="93" t="s">
        <v>22668</v>
      </c>
      <c r="BB1078" s="93" t="s">
        <v>22668</v>
      </c>
      <c r="BC1078" s="93" t="s">
        <v>19315</v>
      </c>
      <c r="BD1078" s="87">
        <v>84619559</v>
      </c>
      <c r="BE1078" s="87"/>
      <c r="BF1078" s="87"/>
      <c r="BG1078" s="87"/>
      <c r="BH1078" s="87"/>
      <c r="BI1078" s="87"/>
    </row>
    <row r="1079" spans="1:61" x14ac:dyDescent="0.25">
      <c r="A1079" s="63" t="s">
        <v>595</v>
      </c>
      <c r="B1079" s="63" t="s">
        <v>595</v>
      </c>
      <c r="C1079" s="64"/>
      <c r="D1079" s="65"/>
      <c r="E1079" s="66"/>
      <c r="F1079" s="67"/>
      <c r="G1079" s="64"/>
      <c r="H1079" s="68"/>
      <c r="I1079" s="69"/>
      <c r="J1079" s="69"/>
      <c r="K1079" s="32"/>
      <c r="L1079" s="76">
        <v>1079</v>
      </c>
      <c r="M1079" s="76"/>
      <c r="N1079" s="71"/>
      <c r="O1079" s="87" t="s">
        <v>179</v>
      </c>
      <c r="P1079" s="90">
        <v>45126.764918981484</v>
      </c>
      <c r="Q1079" s="87" t="s">
        <v>2889</v>
      </c>
      <c r="R1079" s="87">
        <v>0</v>
      </c>
      <c r="S1079" s="87">
        <v>2</v>
      </c>
      <c r="T1079" s="87">
        <v>0</v>
      </c>
      <c r="U1079" s="87">
        <v>0</v>
      </c>
      <c r="V1079" s="87">
        <v>11</v>
      </c>
      <c r="W1079" s="93" t="s">
        <v>6625</v>
      </c>
      <c r="X1079" s="87"/>
      <c r="Y1079" s="87"/>
      <c r="Z1079" s="87"/>
      <c r="AA1079" s="87" t="s">
        <v>9290</v>
      </c>
      <c r="AB1079" s="87" t="s">
        <v>11447</v>
      </c>
      <c r="AC1079" s="93" t="s">
        <v>11459</v>
      </c>
      <c r="AD1079" s="87" t="s">
        <v>11519</v>
      </c>
      <c r="AE1079" s="92" t="str">
        <f>HYPERLINK("https://twitter.com/sinco_brasil/status/1681730996738113536")</f>
        <v>https://twitter.com/sinco_brasil/status/1681730996738113536</v>
      </c>
      <c r="AF1079" s="90">
        <v>45126.764918981484</v>
      </c>
      <c r="AG1079" s="99">
        <v>45126</v>
      </c>
      <c r="AH1079" s="93" t="s">
        <v>11739</v>
      </c>
      <c r="AI1079" s="87" t="b">
        <v>0</v>
      </c>
      <c r="AJ1079" s="87"/>
      <c r="AK1079" s="87"/>
      <c r="AL1079" s="87"/>
      <c r="AM1079" s="87"/>
      <c r="AN1079" s="87"/>
      <c r="AO1079" s="87"/>
      <c r="AP1079" s="87"/>
      <c r="AQ1079" s="87" t="s">
        <v>16103</v>
      </c>
      <c r="AR1079" s="87">
        <v>60033</v>
      </c>
      <c r="AS1079" s="87"/>
      <c r="AT1079" s="87"/>
      <c r="AU1079" s="87"/>
      <c r="AV1079" s="92" t="str">
        <f>HYPERLINK("https://pbs.twimg.com/ext_tw_video_thumb/1681730958393765888/pu/img/krUrbdqmcOImKbOa.jpg")</f>
        <v>https://pbs.twimg.com/ext_tw_video_thumb/1681730958393765888/pu/img/krUrbdqmcOImKbOa.jpg</v>
      </c>
      <c r="AW1079" s="93" t="s">
        <v>19316</v>
      </c>
      <c r="AX1079" s="93" t="s">
        <v>19316</v>
      </c>
      <c r="AY1079" s="87"/>
      <c r="AZ1079" s="93" t="s">
        <v>22668</v>
      </c>
      <c r="BA1079" s="93" t="s">
        <v>22668</v>
      </c>
      <c r="BB1079" s="93" t="s">
        <v>22668</v>
      </c>
      <c r="BC1079" s="93" t="s">
        <v>19316</v>
      </c>
      <c r="BD1079" s="87">
        <v>84619559</v>
      </c>
      <c r="BE1079" s="87"/>
      <c r="BF1079" s="87"/>
      <c r="BG1079" s="87"/>
      <c r="BH1079" s="87"/>
      <c r="BI1079" s="87"/>
    </row>
    <row r="1080" spans="1:61" x14ac:dyDescent="0.25">
      <c r="A1080" s="63" t="s">
        <v>595</v>
      </c>
      <c r="B1080" s="63" t="s">
        <v>595</v>
      </c>
      <c r="C1080" s="64"/>
      <c r="D1080" s="65"/>
      <c r="E1080" s="66"/>
      <c r="F1080" s="67"/>
      <c r="G1080" s="64"/>
      <c r="H1080" s="68"/>
      <c r="I1080" s="69"/>
      <c r="J1080" s="69"/>
      <c r="K1080" s="32"/>
      <c r="L1080" s="76">
        <v>1080</v>
      </c>
      <c r="M1080" s="76"/>
      <c r="N1080" s="71"/>
      <c r="O1080" s="87" t="s">
        <v>179</v>
      </c>
      <c r="P1080" s="90">
        <v>45126.440185185187</v>
      </c>
      <c r="Q1080" s="87" t="s">
        <v>2890</v>
      </c>
      <c r="R1080" s="87">
        <v>0</v>
      </c>
      <c r="S1080" s="87">
        <v>2</v>
      </c>
      <c r="T1080" s="87">
        <v>0</v>
      </c>
      <c r="U1080" s="87">
        <v>0</v>
      </c>
      <c r="V1080" s="87">
        <v>13</v>
      </c>
      <c r="W1080" s="93" t="s">
        <v>6626</v>
      </c>
      <c r="X1080" s="87"/>
      <c r="Y1080" s="87"/>
      <c r="Z1080" s="87"/>
      <c r="AA1080" s="87" t="s">
        <v>9291</v>
      </c>
      <c r="AB1080" s="87" t="s">
        <v>11448</v>
      </c>
      <c r="AC1080" s="93" t="s">
        <v>11459</v>
      </c>
      <c r="AD1080" s="87" t="s">
        <v>11519</v>
      </c>
      <c r="AE1080" s="92" t="str">
        <f>HYPERLINK("https://twitter.com/sinco_brasil/status/1681613317436059653")</f>
        <v>https://twitter.com/sinco_brasil/status/1681613317436059653</v>
      </c>
      <c r="AF1080" s="90">
        <v>45126.440185185187</v>
      </c>
      <c r="AG1080" s="99">
        <v>45126</v>
      </c>
      <c r="AH1080" s="93" t="s">
        <v>12527</v>
      </c>
      <c r="AI1080" s="87" t="b">
        <v>0</v>
      </c>
      <c r="AJ1080" s="87"/>
      <c r="AK1080" s="87"/>
      <c r="AL1080" s="87"/>
      <c r="AM1080" s="87"/>
      <c r="AN1080" s="87"/>
      <c r="AO1080" s="87"/>
      <c r="AP1080" s="87"/>
      <c r="AQ1080" s="87" t="s">
        <v>16104</v>
      </c>
      <c r="AR1080" s="87"/>
      <c r="AS1080" s="87"/>
      <c r="AT1080" s="87"/>
      <c r="AU1080" s="87"/>
      <c r="AV1080" s="92" t="str">
        <f>HYPERLINK("https://pbs.twimg.com/media/F1ZKZqTWYAAod4y.jpg")</f>
        <v>https://pbs.twimg.com/media/F1ZKZqTWYAAod4y.jpg</v>
      </c>
      <c r="AW1080" s="93" t="s">
        <v>19317</v>
      </c>
      <c r="AX1080" s="93" t="s">
        <v>19317</v>
      </c>
      <c r="AY1080" s="87"/>
      <c r="AZ1080" s="93" t="s">
        <v>22668</v>
      </c>
      <c r="BA1080" s="93" t="s">
        <v>22668</v>
      </c>
      <c r="BB1080" s="93" t="s">
        <v>22668</v>
      </c>
      <c r="BC1080" s="93" t="s">
        <v>19317</v>
      </c>
      <c r="BD1080" s="87">
        <v>84619559</v>
      </c>
      <c r="BE1080" s="87"/>
      <c r="BF1080" s="87"/>
      <c r="BG1080" s="87"/>
      <c r="BH1080" s="87"/>
      <c r="BI1080" s="87"/>
    </row>
    <row r="1081" spans="1:61" x14ac:dyDescent="0.25">
      <c r="A1081" s="63" t="s">
        <v>595</v>
      </c>
      <c r="B1081" s="63" t="s">
        <v>595</v>
      </c>
      <c r="C1081" s="64"/>
      <c r="D1081" s="65"/>
      <c r="E1081" s="66"/>
      <c r="F1081" s="67"/>
      <c r="G1081" s="64"/>
      <c r="H1081" s="68"/>
      <c r="I1081" s="69"/>
      <c r="J1081" s="69"/>
      <c r="K1081" s="32"/>
      <c r="L1081" s="76">
        <v>1081</v>
      </c>
      <c r="M1081" s="76"/>
      <c r="N1081" s="71"/>
      <c r="O1081" s="87" t="s">
        <v>179</v>
      </c>
      <c r="P1081" s="90">
        <v>45125.418495370373</v>
      </c>
      <c r="Q1081" s="87" t="s">
        <v>2891</v>
      </c>
      <c r="R1081" s="87">
        <v>0</v>
      </c>
      <c r="S1081" s="87">
        <v>2</v>
      </c>
      <c r="T1081" s="87">
        <v>0</v>
      </c>
      <c r="U1081" s="87">
        <v>0</v>
      </c>
      <c r="V1081" s="87">
        <v>12</v>
      </c>
      <c r="W1081" s="93" t="s">
        <v>6627</v>
      </c>
      <c r="X1081" s="87"/>
      <c r="Y1081" s="87"/>
      <c r="Z1081" s="87"/>
      <c r="AA1081" s="87" t="s">
        <v>9292</v>
      </c>
      <c r="AB1081" s="87" t="s">
        <v>11448</v>
      </c>
      <c r="AC1081" s="93" t="s">
        <v>11459</v>
      </c>
      <c r="AD1081" s="87" t="s">
        <v>11519</v>
      </c>
      <c r="AE1081" s="92" t="str">
        <f>HYPERLINK("https://twitter.com/sinco_brasil/status/1681243070308728834")</f>
        <v>https://twitter.com/sinco_brasil/status/1681243070308728834</v>
      </c>
      <c r="AF1081" s="90">
        <v>45125.418495370373</v>
      </c>
      <c r="AG1081" s="99">
        <v>45125</v>
      </c>
      <c r="AH1081" s="93" t="s">
        <v>12528</v>
      </c>
      <c r="AI1081" s="87" t="b">
        <v>0</v>
      </c>
      <c r="AJ1081" s="87"/>
      <c r="AK1081" s="87"/>
      <c r="AL1081" s="87"/>
      <c r="AM1081" s="87"/>
      <c r="AN1081" s="87"/>
      <c r="AO1081" s="87"/>
      <c r="AP1081" s="87"/>
      <c r="AQ1081" s="87" t="s">
        <v>16105</v>
      </c>
      <c r="AR1081" s="87"/>
      <c r="AS1081" s="87"/>
      <c r="AT1081" s="87"/>
      <c r="AU1081" s="87"/>
      <c r="AV1081" s="92" t="str">
        <f>HYPERLINK("https://pbs.twimg.com/media/F1T5qZNWIAAhP8P.jpg")</f>
        <v>https://pbs.twimg.com/media/F1T5qZNWIAAhP8P.jpg</v>
      </c>
      <c r="AW1081" s="93" t="s">
        <v>19318</v>
      </c>
      <c r="AX1081" s="93" t="s">
        <v>19318</v>
      </c>
      <c r="AY1081" s="87"/>
      <c r="AZ1081" s="93" t="s">
        <v>22668</v>
      </c>
      <c r="BA1081" s="93" t="s">
        <v>22668</v>
      </c>
      <c r="BB1081" s="93" t="s">
        <v>22668</v>
      </c>
      <c r="BC1081" s="93" t="s">
        <v>19318</v>
      </c>
      <c r="BD1081" s="87">
        <v>84619559</v>
      </c>
      <c r="BE1081" s="87"/>
      <c r="BF1081" s="87"/>
      <c r="BG1081" s="87"/>
      <c r="BH1081" s="87"/>
      <c r="BI1081" s="87"/>
    </row>
    <row r="1082" spans="1:61" x14ac:dyDescent="0.25">
      <c r="A1082" s="63" t="s">
        <v>595</v>
      </c>
      <c r="B1082" s="63" t="s">
        <v>595</v>
      </c>
      <c r="C1082" s="64"/>
      <c r="D1082" s="65"/>
      <c r="E1082" s="66"/>
      <c r="F1082" s="67"/>
      <c r="G1082" s="64"/>
      <c r="H1082" s="68"/>
      <c r="I1082" s="69"/>
      <c r="J1082" s="69"/>
      <c r="K1082" s="32"/>
      <c r="L1082" s="76">
        <v>1082</v>
      </c>
      <c r="M1082" s="76"/>
      <c r="N1082" s="71"/>
      <c r="O1082" s="87" t="s">
        <v>179</v>
      </c>
      <c r="P1082" s="90">
        <v>45196.379745370374</v>
      </c>
      <c r="Q1082" s="87" t="s">
        <v>2892</v>
      </c>
      <c r="R1082" s="87">
        <v>0</v>
      </c>
      <c r="S1082" s="87">
        <v>2</v>
      </c>
      <c r="T1082" s="87">
        <v>0</v>
      </c>
      <c r="U1082" s="87">
        <v>0</v>
      </c>
      <c r="V1082" s="87">
        <v>14</v>
      </c>
      <c r="W1082" s="93" t="s">
        <v>6628</v>
      </c>
      <c r="X1082" s="87"/>
      <c r="Y1082" s="87"/>
      <c r="Z1082" s="87"/>
      <c r="AA1082" s="87" t="s">
        <v>9293</v>
      </c>
      <c r="AB1082" s="87" t="s">
        <v>11448</v>
      </c>
      <c r="AC1082" s="93" t="s">
        <v>11459</v>
      </c>
      <c r="AD1082" s="87" t="s">
        <v>11519</v>
      </c>
      <c r="AE1082" s="92" t="str">
        <f>HYPERLINK("https://twitter.com/sinco_brasil/status/1706958565326397917")</f>
        <v>https://twitter.com/sinco_brasil/status/1706958565326397917</v>
      </c>
      <c r="AF1082" s="90">
        <v>45196.379745370374</v>
      </c>
      <c r="AG1082" s="99">
        <v>45196</v>
      </c>
      <c r="AH1082" s="93" t="s">
        <v>12529</v>
      </c>
      <c r="AI1082" s="87" t="b">
        <v>0</v>
      </c>
      <c r="AJ1082" s="87"/>
      <c r="AK1082" s="87"/>
      <c r="AL1082" s="87"/>
      <c r="AM1082" s="87"/>
      <c r="AN1082" s="87"/>
      <c r="AO1082" s="87"/>
      <c r="AP1082" s="87"/>
      <c r="AQ1082" s="87" t="s">
        <v>16106</v>
      </c>
      <c r="AR1082" s="87"/>
      <c r="AS1082" s="87"/>
      <c r="AT1082" s="87"/>
      <c r="AU1082" s="87"/>
      <c r="AV1082" s="92" t="str">
        <f>HYPERLINK("https://pbs.twimg.com/media/F7BVxPAXQAA1P_c.jpg")</f>
        <v>https://pbs.twimg.com/media/F7BVxPAXQAA1P_c.jpg</v>
      </c>
      <c r="AW1082" s="93" t="s">
        <v>19319</v>
      </c>
      <c r="AX1082" s="93" t="s">
        <v>19319</v>
      </c>
      <c r="AY1082" s="87"/>
      <c r="AZ1082" s="93" t="s">
        <v>22668</v>
      </c>
      <c r="BA1082" s="93" t="s">
        <v>22668</v>
      </c>
      <c r="BB1082" s="93" t="s">
        <v>22668</v>
      </c>
      <c r="BC1082" s="93" t="s">
        <v>19319</v>
      </c>
      <c r="BD1082" s="87">
        <v>84619559</v>
      </c>
      <c r="BE1082" s="87"/>
      <c r="BF1082" s="87"/>
      <c r="BG1082" s="87"/>
      <c r="BH1082" s="87"/>
      <c r="BI1082" s="87"/>
    </row>
    <row r="1083" spans="1:61" x14ac:dyDescent="0.25">
      <c r="A1083" s="63" t="s">
        <v>595</v>
      </c>
      <c r="B1083" s="63" t="s">
        <v>595</v>
      </c>
      <c r="C1083" s="64"/>
      <c r="D1083" s="65"/>
      <c r="E1083" s="66"/>
      <c r="F1083" s="67"/>
      <c r="G1083" s="64"/>
      <c r="H1083" s="68"/>
      <c r="I1083" s="69"/>
      <c r="J1083" s="69"/>
      <c r="K1083" s="32"/>
      <c r="L1083" s="76">
        <v>1083</v>
      </c>
      <c r="M1083" s="76"/>
      <c r="N1083" s="71"/>
      <c r="O1083" s="87" t="s">
        <v>179</v>
      </c>
      <c r="P1083" s="90">
        <v>45182.384942129633</v>
      </c>
      <c r="Q1083" s="87" t="s">
        <v>2893</v>
      </c>
      <c r="R1083" s="87">
        <v>0</v>
      </c>
      <c r="S1083" s="87">
        <v>2</v>
      </c>
      <c r="T1083" s="87">
        <v>0</v>
      </c>
      <c r="U1083" s="87">
        <v>0</v>
      </c>
      <c r="V1083" s="87">
        <v>10</v>
      </c>
      <c r="W1083" s="93" t="s">
        <v>6629</v>
      </c>
      <c r="X1083" s="87"/>
      <c r="Y1083" s="87"/>
      <c r="Z1083" s="87"/>
      <c r="AA1083" s="87" t="s">
        <v>9294</v>
      </c>
      <c r="AB1083" s="87" t="s">
        <v>11448</v>
      </c>
      <c r="AC1083" s="93" t="s">
        <v>11459</v>
      </c>
      <c r="AD1083" s="87" t="s">
        <v>11519</v>
      </c>
      <c r="AE1083" s="92" t="str">
        <f>HYPERLINK("https://twitter.com/sinco_brasil/status/1701887018958311497")</f>
        <v>https://twitter.com/sinco_brasil/status/1701887018958311497</v>
      </c>
      <c r="AF1083" s="90">
        <v>45182.384942129633</v>
      </c>
      <c r="AG1083" s="99">
        <v>45182</v>
      </c>
      <c r="AH1083" s="93" t="s">
        <v>12530</v>
      </c>
      <c r="AI1083" s="87" t="b">
        <v>0</v>
      </c>
      <c r="AJ1083" s="87"/>
      <c r="AK1083" s="87"/>
      <c r="AL1083" s="87"/>
      <c r="AM1083" s="87"/>
      <c r="AN1083" s="87"/>
      <c r="AO1083" s="87"/>
      <c r="AP1083" s="87"/>
      <c r="AQ1083" s="87" t="s">
        <v>16107</v>
      </c>
      <c r="AR1083" s="87"/>
      <c r="AS1083" s="87"/>
      <c r="AT1083" s="87"/>
      <c r="AU1083" s="87"/>
      <c r="AV1083" s="92" t="str">
        <f>HYPERLINK("https://pbs.twimg.com/media/F55ROSbWUAA58ZF.jpg")</f>
        <v>https://pbs.twimg.com/media/F55ROSbWUAA58ZF.jpg</v>
      </c>
      <c r="AW1083" s="93" t="s">
        <v>19320</v>
      </c>
      <c r="AX1083" s="93" t="s">
        <v>19320</v>
      </c>
      <c r="AY1083" s="87"/>
      <c r="AZ1083" s="93" t="s">
        <v>22668</v>
      </c>
      <c r="BA1083" s="93" t="s">
        <v>22668</v>
      </c>
      <c r="BB1083" s="93" t="s">
        <v>22668</v>
      </c>
      <c r="BC1083" s="93" t="s">
        <v>19320</v>
      </c>
      <c r="BD1083" s="87">
        <v>84619559</v>
      </c>
      <c r="BE1083" s="87"/>
      <c r="BF1083" s="87"/>
      <c r="BG1083" s="87"/>
      <c r="BH1083" s="87"/>
      <c r="BI1083" s="87"/>
    </row>
    <row r="1084" spans="1:61" x14ac:dyDescent="0.25">
      <c r="A1084" s="63" t="s">
        <v>595</v>
      </c>
      <c r="B1084" s="63" t="s">
        <v>595</v>
      </c>
      <c r="C1084" s="64"/>
      <c r="D1084" s="65"/>
      <c r="E1084" s="66"/>
      <c r="F1084" s="67"/>
      <c r="G1084" s="64"/>
      <c r="H1084" s="68"/>
      <c r="I1084" s="69"/>
      <c r="J1084" s="69"/>
      <c r="K1084" s="32"/>
      <c r="L1084" s="76">
        <v>1084</v>
      </c>
      <c r="M1084" s="76"/>
      <c r="N1084" s="71"/>
      <c r="O1084" s="87" t="s">
        <v>179</v>
      </c>
      <c r="P1084" s="90">
        <v>45175.408993055556</v>
      </c>
      <c r="Q1084" s="87" t="s">
        <v>2894</v>
      </c>
      <c r="R1084" s="87">
        <v>0</v>
      </c>
      <c r="S1084" s="87">
        <v>2</v>
      </c>
      <c r="T1084" s="87">
        <v>0</v>
      </c>
      <c r="U1084" s="87">
        <v>0</v>
      </c>
      <c r="V1084" s="87">
        <v>11</v>
      </c>
      <c r="W1084" s="93" t="s">
        <v>6630</v>
      </c>
      <c r="X1084" s="87"/>
      <c r="Y1084" s="87"/>
      <c r="Z1084" s="87"/>
      <c r="AA1084" s="87" t="s">
        <v>9295</v>
      </c>
      <c r="AB1084" s="87" t="s">
        <v>11448</v>
      </c>
      <c r="AC1084" s="93" t="s">
        <v>11459</v>
      </c>
      <c r="AD1084" s="87" t="s">
        <v>11519</v>
      </c>
      <c r="AE1084" s="92" t="str">
        <f>HYPERLINK("https://twitter.com/sinco_brasil/status/1699359017544347680")</f>
        <v>https://twitter.com/sinco_brasil/status/1699359017544347680</v>
      </c>
      <c r="AF1084" s="90">
        <v>45175.408993055556</v>
      </c>
      <c r="AG1084" s="99">
        <v>45175</v>
      </c>
      <c r="AH1084" s="93" t="s">
        <v>12531</v>
      </c>
      <c r="AI1084" s="87" t="b">
        <v>0</v>
      </c>
      <c r="AJ1084" s="87"/>
      <c r="AK1084" s="87"/>
      <c r="AL1084" s="87"/>
      <c r="AM1084" s="87"/>
      <c r="AN1084" s="87"/>
      <c r="AO1084" s="87"/>
      <c r="AP1084" s="87"/>
      <c r="AQ1084" s="87" t="s">
        <v>16108</v>
      </c>
      <c r="AR1084" s="87"/>
      <c r="AS1084" s="87"/>
      <c r="AT1084" s="87"/>
      <c r="AU1084" s="87"/>
      <c r="AV1084" s="92" t="str">
        <f>HYPERLINK("https://pbs.twimg.com/media/F5VWBUSXoAA0_La.jpg")</f>
        <v>https://pbs.twimg.com/media/F5VWBUSXoAA0_La.jpg</v>
      </c>
      <c r="AW1084" s="93" t="s">
        <v>19321</v>
      </c>
      <c r="AX1084" s="93" t="s">
        <v>19321</v>
      </c>
      <c r="AY1084" s="87"/>
      <c r="AZ1084" s="93" t="s">
        <v>22668</v>
      </c>
      <c r="BA1084" s="93" t="s">
        <v>22668</v>
      </c>
      <c r="BB1084" s="93" t="s">
        <v>22668</v>
      </c>
      <c r="BC1084" s="93" t="s">
        <v>19321</v>
      </c>
      <c r="BD1084" s="87">
        <v>84619559</v>
      </c>
      <c r="BE1084" s="87"/>
      <c r="BF1084" s="87"/>
      <c r="BG1084" s="87"/>
      <c r="BH1084" s="87"/>
      <c r="BI1084" s="87"/>
    </row>
    <row r="1085" spans="1:61" x14ac:dyDescent="0.25">
      <c r="A1085" s="63" t="s">
        <v>595</v>
      </c>
      <c r="B1085" s="63" t="s">
        <v>595</v>
      </c>
      <c r="C1085" s="64"/>
      <c r="D1085" s="65"/>
      <c r="E1085" s="66"/>
      <c r="F1085" s="67"/>
      <c r="G1085" s="64"/>
      <c r="H1085" s="68"/>
      <c r="I1085" s="69"/>
      <c r="J1085" s="69"/>
      <c r="K1085" s="32"/>
      <c r="L1085" s="76">
        <v>1085</v>
      </c>
      <c r="M1085" s="76"/>
      <c r="N1085" s="71"/>
      <c r="O1085" s="87" t="s">
        <v>179</v>
      </c>
      <c r="P1085" s="90">
        <v>45168.395416666666</v>
      </c>
      <c r="Q1085" s="87" t="s">
        <v>2895</v>
      </c>
      <c r="R1085" s="87">
        <v>0</v>
      </c>
      <c r="S1085" s="87">
        <v>2</v>
      </c>
      <c r="T1085" s="87">
        <v>0</v>
      </c>
      <c r="U1085" s="87">
        <v>0</v>
      </c>
      <c r="V1085" s="87">
        <v>15</v>
      </c>
      <c r="W1085" s="93" t="s">
        <v>6631</v>
      </c>
      <c r="X1085" s="87"/>
      <c r="Y1085" s="87"/>
      <c r="Z1085" s="87"/>
      <c r="AA1085" s="87" t="s">
        <v>9296</v>
      </c>
      <c r="AB1085" s="87" t="s">
        <v>11448</v>
      </c>
      <c r="AC1085" s="93" t="s">
        <v>11459</v>
      </c>
      <c r="AD1085" s="87" t="s">
        <v>11519</v>
      </c>
      <c r="AE1085" s="92" t="str">
        <f>HYPERLINK("https://twitter.com/sinco_brasil/status/1696817384281997701")</f>
        <v>https://twitter.com/sinco_brasil/status/1696817384281997701</v>
      </c>
      <c r="AF1085" s="90">
        <v>45168.395416666666</v>
      </c>
      <c r="AG1085" s="99">
        <v>45168</v>
      </c>
      <c r="AH1085" s="93" t="s">
        <v>12532</v>
      </c>
      <c r="AI1085" s="87" t="b">
        <v>0</v>
      </c>
      <c r="AJ1085" s="87"/>
      <c r="AK1085" s="87"/>
      <c r="AL1085" s="87"/>
      <c r="AM1085" s="87"/>
      <c r="AN1085" s="87"/>
      <c r="AO1085" s="87"/>
      <c r="AP1085" s="87"/>
      <c r="AQ1085" s="87" t="s">
        <v>16109</v>
      </c>
      <c r="AR1085" s="87"/>
      <c r="AS1085" s="87"/>
      <c r="AT1085" s="87"/>
      <c r="AU1085" s="87"/>
      <c r="AV1085" s="92" t="str">
        <f>HYPERLINK("https://pbs.twimg.com/media/F4xOa1PXcAAxx0v.jpg")</f>
        <v>https://pbs.twimg.com/media/F4xOa1PXcAAxx0v.jpg</v>
      </c>
      <c r="AW1085" s="93" t="s">
        <v>19322</v>
      </c>
      <c r="AX1085" s="93" t="s">
        <v>19322</v>
      </c>
      <c r="AY1085" s="87"/>
      <c r="AZ1085" s="93" t="s">
        <v>22668</v>
      </c>
      <c r="BA1085" s="93" t="s">
        <v>22668</v>
      </c>
      <c r="BB1085" s="93" t="s">
        <v>22668</v>
      </c>
      <c r="BC1085" s="93" t="s">
        <v>19322</v>
      </c>
      <c r="BD1085" s="87">
        <v>84619559</v>
      </c>
      <c r="BE1085" s="87"/>
      <c r="BF1085" s="87"/>
      <c r="BG1085" s="87"/>
      <c r="BH1085" s="87"/>
      <c r="BI1085" s="87"/>
    </row>
    <row r="1086" spans="1:61" x14ac:dyDescent="0.25">
      <c r="A1086" s="63" t="s">
        <v>595</v>
      </c>
      <c r="B1086" s="63" t="s">
        <v>595</v>
      </c>
      <c r="C1086" s="64"/>
      <c r="D1086" s="65"/>
      <c r="E1086" s="66"/>
      <c r="F1086" s="67"/>
      <c r="G1086" s="64"/>
      <c r="H1086" s="68"/>
      <c r="I1086" s="69"/>
      <c r="J1086" s="69"/>
      <c r="K1086" s="32"/>
      <c r="L1086" s="76">
        <v>1086</v>
      </c>
      <c r="M1086" s="76"/>
      <c r="N1086" s="71"/>
      <c r="O1086" s="87" t="s">
        <v>179</v>
      </c>
      <c r="P1086" s="90">
        <v>45154.426504629628</v>
      </c>
      <c r="Q1086" s="87" t="s">
        <v>2896</v>
      </c>
      <c r="R1086" s="87">
        <v>0</v>
      </c>
      <c r="S1086" s="87">
        <v>2</v>
      </c>
      <c r="T1086" s="87">
        <v>0</v>
      </c>
      <c r="U1086" s="87">
        <v>0</v>
      </c>
      <c r="V1086" s="87">
        <v>6</v>
      </c>
      <c r="W1086" s="93" t="s">
        <v>6632</v>
      </c>
      <c r="X1086" s="87"/>
      <c r="Y1086" s="87"/>
      <c r="Z1086" s="87"/>
      <c r="AA1086" s="87" t="s">
        <v>9297</v>
      </c>
      <c r="AB1086" s="87" t="s">
        <v>11448</v>
      </c>
      <c r="AC1086" s="93" t="s">
        <v>11459</v>
      </c>
      <c r="AD1086" s="87" t="s">
        <v>11519</v>
      </c>
      <c r="AE1086" s="92" t="str">
        <f>HYPERLINK("https://twitter.com/sinco_brasil/status/1691755221414809862")</f>
        <v>https://twitter.com/sinco_brasil/status/1691755221414809862</v>
      </c>
      <c r="AF1086" s="90">
        <v>45154.426504629628</v>
      </c>
      <c r="AG1086" s="99">
        <v>45154</v>
      </c>
      <c r="AH1086" s="93" t="s">
        <v>12533</v>
      </c>
      <c r="AI1086" s="87" t="b">
        <v>0</v>
      </c>
      <c r="AJ1086" s="87"/>
      <c r="AK1086" s="87"/>
      <c r="AL1086" s="87"/>
      <c r="AM1086" s="87"/>
      <c r="AN1086" s="87"/>
      <c r="AO1086" s="87"/>
      <c r="AP1086" s="87"/>
      <c r="AQ1086" s="87" t="s">
        <v>16110</v>
      </c>
      <c r="AR1086" s="87"/>
      <c r="AS1086" s="87"/>
      <c r="AT1086" s="87"/>
      <c r="AU1086" s="87"/>
      <c r="AV1086" s="92" t="str">
        <f>HYPERLINK("https://pbs.twimg.com/media/F3pSaKhXQAAoEwU.jpg")</f>
        <v>https://pbs.twimg.com/media/F3pSaKhXQAAoEwU.jpg</v>
      </c>
      <c r="AW1086" s="93" t="s">
        <v>19323</v>
      </c>
      <c r="AX1086" s="93" t="s">
        <v>19323</v>
      </c>
      <c r="AY1086" s="87"/>
      <c r="AZ1086" s="93" t="s">
        <v>22668</v>
      </c>
      <c r="BA1086" s="93" t="s">
        <v>22668</v>
      </c>
      <c r="BB1086" s="93" t="s">
        <v>22668</v>
      </c>
      <c r="BC1086" s="93" t="s">
        <v>19323</v>
      </c>
      <c r="BD1086" s="87">
        <v>84619559</v>
      </c>
      <c r="BE1086" s="87"/>
      <c r="BF1086" s="87"/>
      <c r="BG1086" s="87"/>
      <c r="BH1086" s="87"/>
      <c r="BI1086" s="87"/>
    </row>
    <row r="1087" spans="1:61" x14ac:dyDescent="0.25">
      <c r="A1087" s="63" t="s">
        <v>595</v>
      </c>
      <c r="B1087" s="63" t="s">
        <v>595</v>
      </c>
      <c r="C1087" s="64"/>
      <c r="D1087" s="65"/>
      <c r="E1087" s="66"/>
      <c r="F1087" s="67"/>
      <c r="G1087" s="64"/>
      <c r="H1087" s="68"/>
      <c r="I1087" s="69"/>
      <c r="J1087" s="69"/>
      <c r="K1087" s="32"/>
      <c r="L1087" s="76">
        <v>1087</v>
      </c>
      <c r="M1087" s="76"/>
      <c r="N1087" s="71"/>
      <c r="O1087" s="87" t="s">
        <v>179</v>
      </c>
      <c r="P1087" s="90">
        <v>45153.643136574072</v>
      </c>
      <c r="Q1087" s="87" t="s">
        <v>2897</v>
      </c>
      <c r="R1087" s="87">
        <v>0</v>
      </c>
      <c r="S1087" s="87">
        <v>2</v>
      </c>
      <c r="T1087" s="87">
        <v>0</v>
      </c>
      <c r="U1087" s="87">
        <v>0</v>
      </c>
      <c r="V1087" s="87">
        <v>8</v>
      </c>
      <c r="W1087" s="93" t="s">
        <v>6633</v>
      </c>
      <c r="X1087" s="92" t="str">
        <f>HYPERLINK("https://www.Sinco.net/ZAP")</f>
        <v>https://www.Sinco.net/ZAP</v>
      </c>
      <c r="Y1087" s="87" t="s">
        <v>8438</v>
      </c>
      <c r="Z1087" s="87"/>
      <c r="AA1087" s="87" t="s">
        <v>9298</v>
      </c>
      <c r="AB1087" s="87" t="s">
        <v>11447</v>
      </c>
      <c r="AC1087" s="93" t="s">
        <v>11459</v>
      </c>
      <c r="AD1087" s="87" t="s">
        <v>11519</v>
      </c>
      <c r="AE1087" s="92" t="str">
        <f>HYPERLINK("https://twitter.com/sinco_brasil/status/1691471336382648320")</f>
        <v>https://twitter.com/sinco_brasil/status/1691471336382648320</v>
      </c>
      <c r="AF1087" s="90">
        <v>45153.643136574072</v>
      </c>
      <c r="AG1087" s="99">
        <v>45153</v>
      </c>
      <c r="AH1087" s="93" t="s">
        <v>12534</v>
      </c>
      <c r="AI1087" s="87" t="b">
        <v>0</v>
      </c>
      <c r="AJ1087" s="87"/>
      <c r="AK1087" s="87"/>
      <c r="AL1087" s="87"/>
      <c r="AM1087" s="87"/>
      <c r="AN1087" s="87"/>
      <c r="AO1087" s="87"/>
      <c r="AP1087" s="87"/>
      <c r="AQ1087" s="87" t="s">
        <v>16111</v>
      </c>
      <c r="AR1087" s="87">
        <v>36546</v>
      </c>
      <c r="AS1087" s="87"/>
      <c r="AT1087" s="87"/>
      <c r="AU1087" s="87"/>
      <c r="AV1087" s="92" t="str">
        <f>HYPERLINK("https://pbs.twimg.com/ext_tw_video_thumb/1691471298025738240/pu/img/-8FNvsWc0RssG34Z.jpg")</f>
        <v>https://pbs.twimg.com/ext_tw_video_thumb/1691471298025738240/pu/img/-8FNvsWc0RssG34Z.jpg</v>
      </c>
      <c r="AW1087" s="93" t="s">
        <v>19324</v>
      </c>
      <c r="AX1087" s="93" t="s">
        <v>19324</v>
      </c>
      <c r="AY1087" s="87"/>
      <c r="AZ1087" s="93" t="s">
        <v>22668</v>
      </c>
      <c r="BA1087" s="93" t="s">
        <v>22668</v>
      </c>
      <c r="BB1087" s="93" t="s">
        <v>22668</v>
      </c>
      <c r="BC1087" s="93" t="s">
        <v>19324</v>
      </c>
      <c r="BD1087" s="87">
        <v>84619559</v>
      </c>
      <c r="BE1087" s="87"/>
      <c r="BF1087" s="87"/>
      <c r="BG1087" s="87"/>
      <c r="BH1087" s="87"/>
      <c r="BI1087" s="87"/>
    </row>
    <row r="1088" spans="1:61" x14ac:dyDescent="0.25">
      <c r="A1088" s="63" t="s">
        <v>595</v>
      </c>
      <c r="B1088" s="63" t="s">
        <v>595</v>
      </c>
      <c r="C1088" s="64"/>
      <c r="D1088" s="65"/>
      <c r="E1088" s="66"/>
      <c r="F1088" s="67"/>
      <c r="G1088" s="64"/>
      <c r="H1088" s="68"/>
      <c r="I1088" s="69"/>
      <c r="J1088" s="69"/>
      <c r="K1088" s="32"/>
      <c r="L1088" s="76">
        <v>1088</v>
      </c>
      <c r="M1088" s="76"/>
      <c r="N1088" s="71"/>
      <c r="O1088" s="87" t="s">
        <v>179</v>
      </c>
      <c r="P1088" s="90">
        <v>45141.626203703701</v>
      </c>
      <c r="Q1088" s="87" t="s">
        <v>2898</v>
      </c>
      <c r="R1088" s="87">
        <v>0</v>
      </c>
      <c r="S1088" s="87">
        <v>1</v>
      </c>
      <c r="T1088" s="87">
        <v>0</v>
      </c>
      <c r="U1088" s="87">
        <v>0</v>
      </c>
      <c r="V1088" s="87">
        <v>7</v>
      </c>
      <c r="W1088" s="93" t="s">
        <v>6634</v>
      </c>
      <c r="X1088" s="87"/>
      <c r="Y1088" s="87"/>
      <c r="Z1088" s="87"/>
      <c r="AA1088" s="87" t="s">
        <v>9299</v>
      </c>
      <c r="AB1088" s="87" t="s">
        <v>11447</v>
      </c>
      <c r="AC1088" s="93" t="s">
        <v>11459</v>
      </c>
      <c r="AD1088" s="87" t="s">
        <v>11519</v>
      </c>
      <c r="AE1088" s="92" t="str">
        <f>HYPERLINK("https://twitter.com/sinco_brasil/status/1687116548530716672")</f>
        <v>https://twitter.com/sinco_brasil/status/1687116548530716672</v>
      </c>
      <c r="AF1088" s="90">
        <v>45141.626203703701</v>
      </c>
      <c r="AG1088" s="99">
        <v>45141</v>
      </c>
      <c r="AH1088" s="93" t="s">
        <v>12535</v>
      </c>
      <c r="AI1088" s="87" t="b">
        <v>0</v>
      </c>
      <c r="AJ1088" s="87"/>
      <c r="AK1088" s="87"/>
      <c r="AL1088" s="87"/>
      <c r="AM1088" s="87"/>
      <c r="AN1088" s="87"/>
      <c r="AO1088" s="87"/>
      <c r="AP1088" s="87"/>
      <c r="AQ1088" s="87" t="s">
        <v>16112</v>
      </c>
      <c r="AR1088" s="87">
        <v>49457</v>
      </c>
      <c r="AS1088" s="87"/>
      <c r="AT1088" s="87"/>
      <c r="AU1088" s="87"/>
      <c r="AV1088" s="92" t="str">
        <f>HYPERLINK("https://pbs.twimg.com/ext_tw_video_thumb/1687116432394653697/pu/img/5srpgYFDYO4PZ0lr.jpg")</f>
        <v>https://pbs.twimg.com/ext_tw_video_thumb/1687116432394653697/pu/img/5srpgYFDYO4PZ0lr.jpg</v>
      </c>
      <c r="AW1088" s="93" t="s">
        <v>19325</v>
      </c>
      <c r="AX1088" s="93" t="s">
        <v>19325</v>
      </c>
      <c r="AY1088" s="87"/>
      <c r="AZ1088" s="93" t="s">
        <v>22668</v>
      </c>
      <c r="BA1088" s="93" t="s">
        <v>22668</v>
      </c>
      <c r="BB1088" s="93" t="s">
        <v>22668</v>
      </c>
      <c r="BC1088" s="93" t="s">
        <v>19325</v>
      </c>
      <c r="BD1088" s="87">
        <v>84619559</v>
      </c>
      <c r="BE1088" s="87"/>
      <c r="BF1088" s="87"/>
      <c r="BG1088" s="87"/>
      <c r="BH1088" s="87"/>
      <c r="BI1088" s="87"/>
    </row>
    <row r="1089" spans="1:61" x14ac:dyDescent="0.25">
      <c r="A1089" s="63" t="s">
        <v>595</v>
      </c>
      <c r="B1089" s="63" t="s">
        <v>595</v>
      </c>
      <c r="C1089" s="64"/>
      <c r="D1089" s="65"/>
      <c r="E1089" s="66"/>
      <c r="F1089" s="67"/>
      <c r="G1089" s="64"/>
      <c r="H1089" s="68"/>
      <c r="I1089" s="69"/>
      <c r="J1089" s="69"/>
      <c r="K1089" s="32"/>
      <c r="L1089" s="76">
        <v>1089</v>
      </c>
      <c r="M1089" s="76"/>
      <c r="N1089" s="71"/>
      <c r="O1089" s="87" t="s">
        <v>179</v>
      </c>
      <c r="P1089" s="90">
        <v>45129.657395833332</v>
      </c>
      <c r="Q1089" s="87" t="s">
        <v>2899</v>
      </c>
      <c r="R1089" s="87">
        <v>0</v>
      </c>
      <c r="S1089" s="87">
        <v>2</v>
      </c>
      <c r="T1089" s="87">
        <v>0</v>
      </c>
      <c r="U1089" s="87">
        <v>0</v>
      </c>
      <c r="V1089" s="87">
        <v>7</v>
      </c>
      <c r="W1089" s="93" t="s">
        <v>6635</v>
      </c>
      <c r="X1089" s="87"/>
      <c r="Y1089" s="87"/>
      <c r="Z1089" s="87"/>
      <c r="AA1089" s="87" t="s">
        <v>9300</v>
      </c>
      <c r="AB1089" s="87" t="s">
        <v>11447</v>
      </c>
      <c r="AC1089" s="93" t="s">
        <v>11459</v>
      </c>
      <c r="AD1089" s="87" t="s">
        <v>11519</v>
      </c>
      <c r="AE1089" s="92" t="str">
        <f>HYPERLINK("https://twitter.com/sinco_brasil/status/1682779194214830080")</f>
        <v>https://twitter.com/sinco_brasil/status/1682779194214830080</v>
      </c>
      <c r="AF1089" s="90">
        <v>45129.657395833332</v>
      </c>
      <c r="AG1089" s="99">
        <v>45129</v>
      </c>
      <c r="AH1089" s="93" t="s">
        <v>12536</v>
      </c>
      <c r="AI1089" s="87" t="b">
        <v>0</v>
      </c>
      <c r="AJ1089" s="87"/>
      <c r="AK1089" s="87"/>
      <c r="AL1089" s="87"/>
      <c r="AM1089" s="87"/>
      <c r="AN1089" s="87"/>
      <c r="AO1089" s="87"/>
      <c r="AP1089" s="87"/>
      <c r="AQ1089" s="87" t="s">
        <v>16113</v>
      </c>
      <c r="AR1089" s="87">
        <v>15445</v>
      </c>
      <c r="AS1089" s="87"/>
      <c r="AT1089" s="87"/>
      <c r="AU1089" s="87"/>
      <c r="AV1089" s="92" t="str">
        <f>HYPERLINK("https://pbs.twimg.com/ext_tw_video_thumb/1682779149750902786/pu/img/rKvuFWD5_QSCIyfO.jpg")</f>
        <v>https://pbs.twimg.com/ext_tw_video_thumb/1682779149750902786/pu/img/rKvuFWD5_QSCIyfO.jpg</v>
      </c>
      <c r="AW1089" s="93" t="s">
        <v>19326</v>
      </c>
      <c r="AX1089" s="93" t="s">
        <v>19326</v>
      </c>
      <c r="AY1089" s="87"/>
      <c r="AZ1089" s="93" t="s">
        <v>22668</v>
      </c>
      <c r="BA1089" s="93" t="s">
        <v>22668</v>
      </c>
      <c r="BB1089" s="93" t="s">
        <v>22668</v>
      </c>
      <c r="BC1089" s="93" t="s">
        <v>19326</v>
      </c>
      <c r="BD1089" s="87">
        <v>84619559</v>
      </c>
      <c r="BE1089" s="87"/>
      <c r="BF1089" s="87"/>
      <c r="BG1089" s="87"/>
      <c r="BH1089" s="87"/>
      <c r="BI1089" s="87"/>
    </row>
    <row r="1090" spans="1:61" x14ac:dyDescent="0.25">
      <c r="A1090" s="63" t="s">
        <v>595</v>
      </c>
      <c r="B1090" s="63" t="s">
        <v>595</v>
      </c>
      <c r="C1090" s="64"/>
      <c r="D1090" s="65"/>
      <c r="E1090" s="66"/>
      <c r="F1090" s="67"/>
      <c r="G1090" s="64"/>
      <c r="H1090" s="68"/>
      <c r="I1090" s="69"/>
      <c r="J1090" s="69"/>
      <c r="K1090" s="32"/>
      <c r="L1090" s="76">
        <v>1090</v>
      </c>
      <c r="M1090" s="76"/>
      <c r="N1090" s="71"/>
      <c r="O1090" s="87" t="s">
        <v>179</v>
      </c>
      <c r="P1090" s="90">
        <v>45129.482557870368</v>
      </c>
      <c r="Q1090" s="87" t="s">
        <v>2900</v>
      </c>
      <c r="R1090" s="87">
        <v>0</v>
      </c>
      <c r="S1090" s="87">
        <v>2</v>
      </c>
      <c r="T1090" s="87">
        <v>0</v>
      </c>
      <c r="U1090" s="87">
        <v>0</v>
      </c>
      <c r="V1090" s="87">
        <v>11</v>
      </c>
      <c r="W1090" s="93" t="s">
        <v>6569</v>
      </c>
      <c r="X1090" s="87"/>
      <c r="Y1090" s="87"/>
      <c r="Z1090" s="87"/>
      <c r="AA1090" s="87" t="s">
        <v>9301</v>
      </c>
      <c r="AB1090" s="87" t="s">
        <v>11448</v>
      </c>
      <c r="AC1090" s="93" t="s">
        <v>11459</v>
      </c>
      <c r="AD1090" s="87" t="s">
        <v>11519</v>
      </c>
      <c r="AE1090" s="92" t="str">
        <f>HYPERLINK("https://twitter.com/sinco_brasil/status/1682715837495406592")</f>
        <v>https://twitter.com/sinco_brasil/status/1682715837495406592</v>
      </c>
      <c r="AF1090" s="90">
        <v>45129.482557870368</v>
      </c>
      <c r="AG1090" s="99">
        <v>45129</v>
      </c>
      <c r="AH1090" s="93" t="s">
        <v>12537</v>
      </c>
      <c r="AI1090" s="87" t="b">
        <v>0</v>
      </c>
      <c r="AJ1090" s="87"/>
      <c r="AK1090" s="87"/>
      <c r="AL1090" s="87"/>
      <c r="AM1090" s="87"/>
      <c r="AN1090" s="87"/>
      <c r="AO1090" s="87"/>
      <c r="AP1090" s="87"/>
      <c r="AQ1090" s="87" t="s">
        <v>16114</v>
      </c>
      <c r="AR1090" s="87"/>
      <c r="AS1090" s="87"/>
      <c r="AT1090" s="87"/>
      <c r="AU1090" s="87"/>
      <c r="AV1090" s="92" t="str">
        <f>HYPERLINK("https://pbs.twimg.com/media/F1o1Ix4WwAAivzB.jpg")</f>
        <v>https://pbs.twimg.com/media/F1o1Ix4WwAAivzB.jpg</v>
      </c>
      <c r="AW1090" s="93" t="s">
        <v>19327</v>
      </c>
      <c r="AX1090" s="93" t="s">
        <v>19327</v>
      </c>
      <c r="AY1090" s="87"/>
      <c r="AZ1090" s="93" t="s">
        <v>22668</v>
      </c>
      <c r="BA1090" s="93" t="s">
        <v>22668</v>
      </c>
      <c r="BB1090" s="93" t="s">
        <v>22668</v>
      </c>
      <c r="BC1090" s="93" t="s">
        <v>19327</v>
      </c>
      <c r="BD1090" s="87">
        <v>84619559</v>
      </c>
      <c r="BE1090" s="87"/>
      <c r="BF1090" s="87"/>
      <c r="BG1090" s="87"/>
      <c r="BH1090" s="87"/>
      <c r="BI1090" s="87"/>
    </row>
    <row r="1091" spans="1:61" x14ac:dyDescent="0.25">
      <c r="A1091" s="63" t="s">
        <v>595</v>
      </c>
      <c r="B1091" s="63" t="s">
        <v>595</v>
      </c>
      <c r="C1091" s="64"/>
      <c r="D1091" s="65"/>
      <c r="E1091" s="66"/>
      <c r="F1091" s="67"/>
      <c r="G1091" s="64"/>
      <c r="H1091" s="68"/>
      <c r="I1091" s="69"/>
      <c r="J1091" s="69"/>
      <c r="K1091" s="32"/>
      <c r="L1091" s="76">
        <v>1091</v>
      </c>
      <c r="M1091" s="76"/>
      <c r="N1091" s="71"/>
      <c r="O1091" s="87" t="s">
        <v>179</v>
      </c>
      <c r="P1091" s="90">
        <v>45128.437303240738</v>
      </c>
      <c r="Q1091" s="87" t="s">
        <v>2901</v>
      </c>
      <c r="R1091" s="87">
        <v>0</v>
      </c>
      <c r="S1091" s="87">
        <v>2</v>
      </c>
      <c r="T1091" s="87">
        <v>0</v>
      </c>
      <c r="U1091" s="87">
        <v>0</v>
      </c>
      <c r="V1091" s="87">
        <v>11</v>
      </c>
      <c r="W1091" s="93" t="s">
        <v>6636</v>
      </c>
      <c r="X1091" s="87"/>
      <c r="Y1091" s="87"/>
      <c r="Z1091" s="87"/>
      <c r="AA1091" s="87" t="s">
        <v>9302</v>
      </c>
      <c r="AB1091" s="87" t="s">
        <v>11448</v>
      </c>
      <c r="AC1091" s="93" t="s">
        <v>11459</v>
      </c>
      <c r="AD1091" s="87" t="s">
        <v>11519</v>
      </c>
      <c r="AE1091" s="92" t="str">
        <f>HYPERLINK("https://twitter.com/sinco_brasil/status/1682337049385353216")</f>
        <v>https://twitter.com/sinco_brasil/status/1682337049385353216</v>
      </c>
      <c r="AF1091" s="90">
        <v>45128.437303240738</v>
      </c>
      <c r="AG1091" s="99">
        <v>45128</v>
      </c>
      <c r="AH1091" s="93" t="s">
        <v>12538</v>
      </c>
      <c r="AI1091" s="87" t="b">
        <v>0</v>
      </c>
      <c r="AJ1091" s="87"/>
      <c r="AK1091" s="87"/>
      <c r="AL1091" s="87"/>
      <c r="AM1091" s="87"/>
      <c r="AN1091" s="87"/>
      <c r="AO1091" s="87"/>
      <c r="AP1091" s="87"/>
      <c r="AQ1091" s="87" t="s">
        <v>16115</v>
      </c>
      <c r="AR1091" s="87"/>
      <c r="AS1091" s="87"/>
      <c r="AT1091" s="87"/>
      <c r="AU1091" s="87"/>
      <c r="AV1091" s="92" t="str">
        <f>HYPERLINK("https://pbs.twimg.com/media/F1jcoZ9WAAIAhbo.jpg")</f>
        <v>https://pbs.twimg.com/media/F1jcoZ9WAAIAhbo.jpg</v>
      </c>
      <c r="AW1091" s="93" t="s">
        <v>19328</v>
      </c>
      <c r="AX1091" s="93" t="s">
        <v>19328</v>
      </c>
      <c r="AY1091" s="87"/>
      <c r="AZ1091" s="93" t="s">
        <v>22668</v>
      </c>
      <c r="BA1091" s="93" t="s">
        <v>22668</v>
      </c>
      <c r="BB1091" s="93" t="s">
        <v>22668</v>
      </c>
      <c r="BC1091" s="93" t="s">
        <v>19328</v>
      </c>
      <c r="BD1091" s="87">
        <v>84619559</v>
      </c>
      <c r="BE1091" s="87"/>
      <c r="BF1091" s="87"/>
      <c r="BG1091" s="87"/>
      <c r="BH1091" s="87"/>
      <c r="BI1091" s="87"/>
    </row>
    <row r="1092" spans="1:61" x14ac:dyDescent="0.25">
      <c r="A1092" s="63" t="s">
        <v>595</v>
      </c>
      <c r="B1092" s="63" t="s">
        <v>595</v>
      </c>
      <c r="C1092" s="64"/>
      <c r="D1092" s="65"/>
      <c r="E1092" s="66"/>
      <c r="F1092" s="67"/>
      <c r="G1092" s="64"/>
      <c r="H1092" s="68"/>
      <c r="I1092" s="69"/>
      <c r="J1092" s="69"/>
      <c r="K1092" s="32"/>
      <c r="L1092" s="76">
        <v>1092</v>
      </c>
      <c r="M1092" s="76"/>
      <c r="N1092" s="71"/>
      <c r="O1092" s="87" t="s">
        <v>179</v>
      </c>
      <c r="P1092" s="90">
        <v>45127.403692129628</v>
      </c>
      <c r="Q1092" s="87" t="s">
        <v>2902</v>
      </c>
      <c r="R1092" s="87">
        <v>0</v>
      </c>
      <c r="S1092" s="87">
        <v>2</v>
      </c>
      <c r="T1092" s="87">
        <v>0</v>
      </c>
      <c r="U1092" s="87">
        <v>0</v>
      </c>
      <c r="V1092" s="87">
        <v>8</v>
      </c>
      <c r="W1092" s="93" t="s">
        <v>6637</v>
      </c>
      <c r="X1092" s="87"/>
      <c r="Y1092" s="87"/>
      <c r="Z1092" s="87"/>
      <c r="AA1092" s="87" t="s">
        <v>9303</v>
      </c>
      <c r="AB1092" s="87" t="s">
        <v>11448</v>
      </c>
      <c r="AC1092" s="93" t="s">
        <v>11459</v>
      </c>
      <c r="AD1092" s="87" t="s">
        <v>11519</v>
      </c>
      <c r="AE1092" s="92" t="str">
        <f>HYPERLINK("https://twitter.com/sinco_brasil/status/1681962480866676736")</f>
        <v>https://twitter.com/sinco_brasil/status/1681962480866676736</v>
      </c>
      <c r="AF1092" s="90">
        <v>45127.403692129628</v>
      </c>
      <c r="AG1092" s="99">
        <v>45127</v>
      </c>
      <c r="AH1092" s="93" t="s">
        <v>12539</v>
      </c>
      <c r="AI1092" s="87" t="b">
        <v>0</v>
      </c>
      <c r="AJ1092" s="87"/>
      <c r="AK1092" s="87"/>
      <c r="AL1092" s="87"/>
      <c r="AM1092" s="87"/>
      <c r="AN1092" s="87"/>
      <c r="AO1092" s="87"/>
      <c r="AP1092" s="87"/>
      <c r="AQ1092" s="87" t="s">
        <v>16116</v>
      </c>
      <c r="AR1092" s="87"/>
      <c r="AS1092" s="87"/>
      <c r="AT1092" s="87"/>
      <c r="AU1092" s="87"/>
      <c r="AV1092" s="92" t="str">
        <f>HYPERLINK("https://pbs.twimg.com/media/F1eH9nxX0AAyYop.jpg")</f>
        <v>https://pbs.twimg.com/media/F1eH9nxX0AAyYop.jpg</v>
      </c>
      <c r="AW1092" s="93" t="s">
        <v>19329</v>
      </c>
      <c r="AX1092" s="93" t="s">
        <v>19329</v>
      </c>
      <c r="AY1092" s="87"/>
      <c r="AZ1092" s="93" t="s">
        <v>22668</v>
      </c>
      <c r="BA1092" s="93" t="s">
        <v>22668</v>
      </c>
      <c r="BB1092" s="93" t="s">
        <v>22668</v>
      </c>
      <c r="BC1092" s="93" t="s">
        <v>19329</v>
      </c>
      <c r="BD1092" s="87">
        <v>84619559</v>
      </c>
      <c r="BE1092" s="87"/>
      <c r="BF1092" s="87"/>
      <c r="BG1092" s="87"/>
      <c r="BH1092" s="87"/>
      <c r="BI1092" s="87"/>
    </row>
    <row r="1093" spans="1:61" x14ac:dyDescent="0.25">
      <c r="A1093" s="63" t="s">
        <v>596</v>
      </c>
      <c r="B1093" s="63" t="s">
        <v>596</v>
      </c>
      <c r="C1093" s="64"/>
      <c r="D1093" s="65"/>
      <c r="E1093" s="66"/>
      <c r="F1093" s="67"/>
      <c r="G1093" s="64"/>
      <c r="H1093" s="68"/>
      <c r="I1093" s="69"/>
      <c r="J1093" s="69"/>
      <c r="K1093" s="32"/>
      <c r="L1093" s="76">
        <v>1093</v>
      </c>
      <c r="M1093" s="76"/>
      <c r="N1093" s="71"/>
      <c r="O1093" s="87" t="s">
        <v>179</v>
      </c>
      <c r="P1093" s="90">
        <v>45171.916678240741</v>
      </c>
      <c r="Q1093" s="87" t="s">
        <v>2903</v>
      </c>
      <c r="R1093" s="87">
        <v>0</v>
      </c>
      <c r="S1093" s="87">
        <v>0</v>
      </c>
      <c r="T1093" s="87">
        <v>1</v>
      </c>
      <c r="U1093" s="87">
        <v>0</v>
      </c>
      <c r="V1093" s="87">
        <v>25</v>
      </c>
      <c r="W1093" s="93" t="s">
        <v>6638</v>
      </c>
      <c r="X1093" s="87"/>
      <c r="Y1093" s="87"/>
      <c r="Z1093" s="87"/>
      <c r="AA1093" s="87"/>
      <c r="AB1093" s="87"/>
      <c r="AC1093" s="93" t="s">
        <v>11457</v>
      </c>
      <c r="AD1093" s="87" t="s">
        <v>11519</v>
      </c>
      <c r="AE1093" s="92" t="str">
        <f>HYPERLINK("https://twitter.com/rataoclipes/status/1698093445402005872")</f>
        <v>https://twitter.com/rataoclipes/status/1698093445402005872</v>
      </c>
      <c r="AF1093" s="90">
        <v>45171.916678240741</v>
      </c>
      <c r="AG1093" s="99">
        <v>45171</v>
      </c>
      <c r="AH1093" s="93" t="s">
        <v>12143</v>
      </c>
      <c r="AI1093" s="87"/>
      <c r="AJ1093" s="87"/>
      <c r="AK1093" s="87"/>
      <c r="AL1093" s="87"/>
      <c r="AM1093" s="87"/>
      <c r="AN1093" s="87"/>
      <c r="AO1093" s="87"/>
      <c r="AP1093" s="87"/>
      <c r="AQ1093" s="87"/>
      <c r="AR1093" s="87"/>
      <c r="AS1093" s="87"/>
      <c r="AT1093" s="87"/>
      <c r="AU1093" s="87"/>
      <c r="AV1093" s="92" t="str">
        <f>HYPERLINK("https://pbs.twimg.com/profile_images/1686541301901111296/XzwCk8I5_normal.jpg")</f>
        <v>https://pbs.twimg.com/profile_images/1686541301901111296/XzwCk8I5_normal.jpg</v>
      </c>
      <c r="AW1093" s="93" t="s">
        <v>19330</v>
      </c>
      <c r="AX1093" s="93" t="s">
        <v>19330</v>
      </c>
      <c r="AY1093" s="87"/>
      <c r="AZ1093" s="93" t="s">
        <v>22668</v>
      </c>
      <c r="BA1093" s="93" t="s">
        <v>22668</v>
      </c>
      <c r="BB1093" s="93" t="s">
        <v>22668</v>
      </c>
      <c r="BC1093" s="93" t="s">
        <v>19330</v>
      </c>
      <c r="BD1093" s="93" t="s">
        <v>23005</v>
      </c>
      <c r="BE1093" s="87"/>
      <c r="BF1093" s="87"/>
      <c r="BG1093" s="87"/>
      <c r="BH1093" s="87"/>
      <c r="BI1093" s="87"/>
    </row>
    <row r="1094" spans="1:61" x14ac:dyDescent="0.25">
      <c r="A1094" s="63" t="s">
        <v>596</v>
      </c>
      <c r="B1094" s="63" t="s">
        <v>596</v>
      </c>
      <c r="C1094" s="64"/>
      <c r="D1094" s="65"/>
      <c r="E1094" s="66"/>
      <c r="F1094" s="67"/>
      <c r="G1094" s="64"/>
      <c r="H1094" s="68"/>
      <c r="I1094" s="69"/>
      <c r="J1094" s="69"/>
      <c r="K1094" s="32"/>
      <c r="L1094" s="76">
        <v>1094</v>
      </c>
      <c r="M1094" s="76"/>
      <c r="N1094" s="71"/>
      <c r="O1094" s="87" t="s">
        <v>179</v>
      </c>
      <c r="P1094" s="90">
        <v>45174.875011574077</v>
      </c>
      <c r="Q1094" s="87" t="s">
        <v>2904</v>
      </c>
      <c r="R1094" s="87">
        <v>0</v>
      </c>
      <c r="S1094" s="87">
        <v>0</v>
      </c>
      <c r="T1094" s="87">
        <v>0</v>
      </c>
      <c r="U1094" s="87">
        <v>0</v>
      </c>
      <c r="V1094" s="87">
        <v>31</v>
      </c>
      <c r="W1094" s="93" t="s">
        <v>6639</v>
      </c>
      <c r="X1094" s="87"/>
      <c r="Y1094" s="87"/>
      <c r="Z1094" s="87"/>
      <c r="AA1094" s="87" t="s">
        <v>9304</v>
      </c>
      <c r="AB1094" s="87" t="s">
        <v>11447</v>
      </c>
      <c r="AC1094" s="93" t="s">
        <v>11457</v>
      </c>
      <c r="AD1094" s="87" t="s">
        <v>11518</v>
      </c>
      <c r="AE1094" s="92" t="str">
        <f>HYPERLINK("https://twitter.com/rataoclipes/status/1699165512499188021")</f>
        <v>https://twitter.com/rataoclipes/status/1699165512499188021</v>
      </c>
      <c r="AF1094" s="90">
        <v>45174.875011574077</v>
      </c>
      <c r="AG1094" s="99">
        <v>45174</v>
      </c>
      <c r="AH1094" s="93" t="s">
        <v>11667</v>
      </c>
      <c r="AI1094" s="87" t="b">
        <v>0</v>
      </c>
      <c r="AJ1094" s="87"/>
      <c r="AK1094" s="87"/>
      <c r="AL1094" s="87"/>
      <c r="AM1094" s="87"/>
      <c r="AN1094" s="87"/>
      <c r="AO1094" s="87"/>
      <c r="AP1094" s="87"/>
      <c r="AQ1094" s="87" t="s">
        <v>16117</v>
      </c>
      <c r="AR1094" s="87">
        <v>24288</v>
      </c>
      <c r="AS1094" s="87"/>
      <c r="AT1094" s="87"/>
      <c r="AU1094" s="87"/>
      <c r="AV1094" s="92" t="str">
        <f>HYPERLINK("https://pbs.twimg.com/ext_tw_video_thumb/1699026946196168705/pu/img/elqwI19O-1VDpJqI.jpg")</f>
        <v>https://pbs.twimg.com/ext_tw_video_thumb/1699026946196168705/pu/img/elqwI19O-1VDpJqI.jpg</v>
      </c>
      <c r="AW1094" s="93" t="s">
        <v>19331</v>
      </c>
      <c r="AX1094" s="93" t="s">
        <v>19331</v>
      </c>
      <c r="AY1094" s="87"/>
      <c r="AZ1094" s="93" t="s">
        <v>22668</v>
      </c>
      <c r="BA1094" s="93" t="s">
        <v>22668</v>
      </c>
      <c r="BB1094" s="93" t="s">
        <v>22668</v>
      </c>
      <c r="BC1094" s="93" t="s">
        <v>19331</v>
      </c>
      <c r="BD1094" s="93" t="s">
        <v>23005</v>
      </c>
      <c r="BE1094" s="87"/>
      <c r="BF1094" s="87"/>
      <c r="BG1094" s="87"/>
      <c r="BH1094" s="87"/>
      <c r="BI1094" s="87"/>
    </row>
    <row r="1095" spans="1:61" x14ac:dyDescent="0.25">
      <c r="A1095" s="63" t="s">
        <v>596</v>
      </c>
      <c r="B1095" s="63" t="s">
        <v>596</v>
      </c>
      <c r="C1095" s="64"/>
      <c r="D1095" s="65"/>
      <c r="E1095" s="66"/>
      <c r="F1095" s="67"/>
      <c r="G1095" s="64"/>
      <c r="H1095" s="68"/>
      <c r="I1095" s="69"/>
      <c r="J1095" s="69"/>
      <c r="K1095" s="32"/>
      <c r="L1095" s="76">
        <v>1095</v>
      </c>
      <c r="M1095" s="76"/>
      <c r="N1095" s="71"/>
      <c r="O1095" s="87" t="s">
        <v>179</v>
      </c>
      <c r="P1095" s="90">
        <v>45174.500023148146</v>
      </c>
      <c r="Q1095" s="87" t="s">
        <v>2905</v>
      </c>
      <c r="R1095" s="87">
        <v>0</v>
      </c>
      <c r="S1095" s="87">
        <v>0</v>
      </c>
      <c r="T1095" s="87">
        <v>0</v>
      </c>
      <c r="U1095" s="87">
        <v>0</v>
      </c>
      <c r="V1095" s="87">
        <v>93</v>
      </c>
      <c r="W1095" s="93" t="s">
        <v>6640</v>
      </c>
      <c r="X1095" s="87"/>
      <c r="Y1095" s="87"/>
      <c r="Z1095" s="87"/>
      <c r="AA1095" s="87" t="s">
        <v>9305</v>
      </c>
      <c r="AB1095" s="87" t="s">
        <v>11447</v>
      </c>
      <c r="AC1095" s="93" t="s">
        <v>11457</v>
      </c>
      <c r="AD1095" s="87" t="s">
        <v>11519</v>
      </c>
      <c r="AE1095" s="92" t="str">
        <f>HYPERLINK("https://twitter.com/rataoclipes/status/1699029621654618383")</f>
        <v>https://twitter.com/rataoclipes/status/1699029621654618383</v>
      </c>
      <c r="AF1095" s="90">
        <v>45174.500023148146</v>
      </c>
      <c r="AG1095" s="99">
        <v>45174</v>
      </c>
      <c r="AH1095" s="93" t="s">
        <v>12090</v>
      </c>
      <c r="AI1095" s="87" t="b">
        <v>0</v>
      </c>
      <c r="AJ1095" s="87"/>
      <c r="AK1095" s="87"/>
      <c r="AL1095" s="87"/>
      <c r="AM1095" s="87"/>
      <c r="AN1095" s="87"/>
      <c r="AO1095" s="87"/>
      <c r="AP1095" s="87"/>
      <c r="AQ1095" s="87" t="s">
        <v>16118</v>
      </c>
      <c r="AR1095" s="87">
        <v>28281</v>
      </c>
      <c r="AS1095" s="87"/>
      <c r="AT1095" s="87"/>
      <c r="AU1095" s="87"/>
      <c r="AV1095" s="92" t="str">
        <f>HYPERLINK("https://pbs.twimg.com/ext_tw_video_thumb/1699024601353711616/pu/img/vln_Y9unDKy0l6OI.jpg")</f>
        <v>https://pbs.twimg.com/ext_tw_video_thumb/1699024601353711616/pu/img/vln_Y9unDKy0l6OI.jpg</v>
      </c>
      <c r="AW1095" s="93" t="s">
        <v>19332</v>
      </c>
      <c r="AX1095" s="93" t="s">
        <v>19332</v>
      </c>
      <c r="AY1095" s="87"/>
      <c r="AZ1095" s="93" t="s">
        <v>22668</v>
      </c>
      <c r="BA1095" s="93" t="s">
        <v>22668</v>
      </c>
      <c r="BB1095" s="93" t="s">
        <v>22668</v>
      </c>
      <c r="BC1095" s="93" t="s">
        <v>19332</v>
      </c>
      <c r="BD1095" s="93" t="s">
        <v>23005</v>
      </c>
      <c r="BE1095" s="87"/>
      <c r="BF1095" s="87"/>
      <c r="BG1095" s="87"/>
      <c r="BH1095" s="87"/>
      <c r="BI1095" s="87"/>
    </row>
    <row r="1096" spans="1:61" x14ac:dyDescent="0.25">
      <c r="A1096" s="63" t="s">
        <v>597</v>
      </c>
      <c r="B1096" s="63" t="s">
        <v>597</v>
      </c>
      <c r="C1096" s="64"/>
      <c r="D1096" s="65"/>
      <c r="E1096" s="66"/>
      <c r="F1096" s="67"/>
      <c r="G1096" s="64"/>
      <c r="H1096" s="68"/>
      <c r="I1096" s="69"/>
      <c r="J1096" s="69"/>
      <c r="K1096" s="32"/>
      <c r="L1096" s="76">
        <v>1096</v>
      </c>
      <c r="M1096" s="76"/>
      <c r="N1096" s="71"/>
      <c r="O1096" s="87" t="s">
        <v>179</v>
      </c>
      <c r="P1096" s="90">
        <v>45116.72042824074</v>
      </c>
      <c r="Q1096" s="87" t="s">
        <v>2906</v>
      </c>
      <c r="R1096" s="87">
        <v>0</v>
      </c>
      <c r="S1096" s="87">
        <v>0</v>
      </c>
      <c r="T1096" s="87">
        <v>0</v>
      </c>
      <c r="U1096" s="87">
        <v>0</v>
      </c>
      <c r="V1096" s="87">
        <v>131</v>
      </c>
      <c r="W1096" s="93" t="s">
        <v>6641</v>
      </c>
      <c r="X1096" s="87"/>
      <c r="Y1096" s="87"/>
      <c r="Z1096" s="87"/>
      <c r="AA1096" s="87" t="s">
        <v>9306</v>
      </c>
      <c r="AB1096" s="87" t="s">
        <v>11449</v>
      </c>
      <c r="AC1096" s="93" t="s">
        <v>11459</v>
      </c>
      <c r="AD1096" s="87" t="s">
        <v>11519</v>
      </c>
      <c r="AE1096" s="92" t="str">
        <f>HYPERLINK("https://twitter.com/gnadipeh/status/1678090997077606401")</f>
        <v>https://twitter.com/gnadipeh/status/1678090997077606401</v>
      </c>
      <c r="AF1096" s="90">
        <v>45116.72042824074</v>
      </c>
      <c r="AG1096" s="99">
        <v>45116</v>
      </c>
      <c r="AH1096" s="93" t="s">
        <v>12540</v>
      </c>
      <c r="AI1096" s="87" t="b">
        <v>0</v>
      </c>
      <c r="AJ1096" s="87" t="s">
        <v>15189</v>
      </c>
      <c r="AK1096" s="87" t="s">
        <v>15234</v>
      </c>
      <c r="AL1096" s="87" t="s">
        <v>15237</v>
      </c>
      <c r="AM1096" s="87" t="s">
        <v>15261</v>
      </c>
      <c r="AN1096" s="87" t="s">
        <v>15327</v>
      </c>
      <c r="AO1096" s="87" t="s">
        <v>15393</v>
      </c>
      <c r="AP1096" s="87" t="s">
        <v>15438</v>
      </c>
      <c r="AQ1096" s="87" t="s">
        <v>16119</v>
      </c>
      <c r="AR1096" s="87"/>
      <c r="AS1096" s="87"/>
      <c r="AT1096" s="87"/>
      <c r="AU1096" s="87"/>
      <c r="AV1096" s="92" t="str">
        <f>HYPERLINK("https://pbs.twimg.com/media/F0nG2HeWAAIFkcj.jpg")</f>
        <v>https://pbs.twimg.com/media/F0nG2HeWAAIFkcj.jpg</v>
      </c>
      <c r="AW1096" s="93" t="s">
        <v>19333</v>
      </c>
      <c r="AX1096" s="93" t="s">
        <v>19333</v>
      </c>
      <c r="AY1096" s="87"/>
      <c r="AZ1096" s="93" t="s">
        <v>22668</v>
      </c>
      <c r="BA1096" s="93" t="s">
        <v>22668</v>
      </c>
      <c r="BB1096" s="93" t="s">
        <v>22668</v>
      </c>
      <c r="BC1096" s="93" t="s">
        <v>19333</v>
      </c>
      <c r="BD1096" s="93" t="s">
        <v>23006</v>
      </c>
      <c r="BE1096" s="87"/>
      <c r="BF1096" s="87"/>
      <c r="BG1096" s="87"/>
      <c r="BH1096" s="87"/>
      <c r="BI1096" s="87"/>
    </row>
    <row r="1097" spans="1:61" x14ac:dyDescent="0.25">
      <c r="A1097" s="63" t="s">
        <v>598</v>
      </c>
      <c r="B1097" s="63" t="s">
        <v>598</v>
      </c>
      <c r="C1097" s="64"/>
      <c r="D1097" s="65"/>
      <c r="E1097" s="66"/>
      <c r="F1097" s="67"/>
      <c r="G1097" s="64"/>
      <c r="H1097" s="68"/>
      <c r="I1097" s="69"/>
      <c r="J1097" s="69"/>
      <c r="K1097" s="32"/>
      <c r="L1097" s="76">
        <v>1097</v>
      </c>
      <c r="M1097" s="76"/>
      <c r="N1097" s="71"/>
      <c r="O1097" s="87" t="s">
        <v>179</v>
      </c>
      <c r="P1097" s="90">
        <v>45147.854398148149</v>
      </c>
      <c r="Q1097" s="87" t="s">
        <v>2907</v>
      </c>
      <c r="R1097" s="87">
        <v>0</v>
      </c>
      <c r="S1097" s="87">
        <v>0</v>
      </c>
      <c r="T1097" s="87">
        <v>0</v>
      </c>
      <c r="U1097" s="87">
        <v>0</v>
      </c>
      <c r="V1097" s="87">
        <v>36</v>
      </c>
      <c r="W1097" s="93" t="s">
        <v>6642</v>
      </c>
      <c r="X1097" s="87"/>
      <c r="Y1097" s="87"/>
      <c r="Z1097" s="87"/>
      <c r="AA1097" s="87" t="s">
        <v>9307</v>
      </c>
      <c r="AB1097" s="87" t="s">
        <v>11447</v>
      </c>
      <c r="AC1097" s="93" t="s">
        <v>11457</v>
      </c>
      <c r="AD1097" s="87" t="s">
        <v>11519</v>
      </c>
      <c r="AE1097" s="92" t="str">
        <f>HYPERLINK("https://twitter.com/papobiz/status/1689373567601745921")</f>
        <v>https://twitter.com/papobiz/status/1689373567601745921</v>
      </c>
      <c r="AF1097" s="90">
        <v>45147.854398148149</v>
      </c>
      <c r="AG1097" s="99">
        <v>45147</v>
      </c>
      <c r="AH1097" s="93" t="s">
        <v>12541</v>
      </c>
      <c r="AI1097" s="87" t="b">
        <v>0</v>
      </c>
      <c r="AJ1097" s="87"/>
      <c r="AK1097" s="87"/>
      <c r="AL1097" s="87"/>
      <c r="AM1097" s="87"/>
      <c r="AN1097" s="87"/>
      <c r="AO1097" s="87"/>
      <c r="AP1097" s="87"/>
      <c r="AQ1097" s="87" t="s">
        <v>16120</v>
      </c>
      <c r="AR1097" s="87">
        <v>56156</v>
      </c>
      <c r="AS1097" s="87"/>
      <c r="AT1097" s="87"/>
      <c r="AU1097" s="87"/>
      <c r="AV1097" s="92" t="str">
        <f>HYPERLINK("https://pbs.twimg.com/ext_tw_video_thumb/1689373348646600704/pu/img/-NVy1KAG53AluV2T.jpg")</f>
        <v>https://pbs.twimg.com/ext_tw_video_thumb/1689373348646600704/pu/img/-NVy1KAG53AluV2T.jpg</v>
      </c>
      <c r="AW1097" s="93" t="s">
        <v>19334</v>
      </c>
      <c r="AX1097" s="93" t="s">
        <v>19334</v>
      </c>
      <c r="AY1097" s="87"/>
      <c r="AZ1097" s="93" t="s">
        <v>22668</v>
      </c>
      <c r="BA1097" s="93" t="s">
        <v>22668</v>
      </c>
      <c r="BB1097" s="93" t="s">
        <v>22668</v>
      </c>
      <c r="BC1097" s="93" t="s">
        <v>19334</v>
      </c>
      <c r="BD1097" s="93" t="s">
        <v>23007</v>
      </c>
      <c r="BE1097" s="87"/>
      <c r="BF1097" s="87"/>
      <c r="BG1097" s="87"/>
      <c r="BH1097" s="87"/>
      <c r="BI1097" s="87"/>
    </row>
    <row r="1098" spans="1:61" x14ac:dyDescent="0.25">
      <c r="A1098" s="63" t="s">
        <v>599</v>
      </c>
      <c r="B1098" s="63" t="s">
        <v>599</v>
      </c>
      <c r="C1098" s="64"/>
      <c r="D1098" s="65"/>
      <c r="E1098" s="66"/>
      <c r="F1098" s="67"/>
      <c r="G1098" s="64"/>
      <c r="H1098" s="68"/>
      <c r="I1098" s="69"/>
      <c r="J1098" s="69"/>
      <c r="K1098" s="32"/>
      <c r="L1098" s="76">
        <v>1098</v>
      </c>
      <c r="M1098" s="76"/>
      <c r="N1098" s="71"/>
      <c r="O1098" s="87" t="s">
        <v>179</v>
      </c>
      <c r="P1098" s="90">
        <v>45133.085347222222</v>
      </c>
      <c r="Q1098" s="87" t="s">
        <v>2908</v>
      </c>
      <c r="R1098" s="87">
        <v>0</v>
      </c>
      <c r="S1098" s="87">
        <v>0</v>
      </c>
      <c r="T1098" s="87">
        <v>0</v>
      </c>
      <c r="U1098" s="87">
        <v>0</v>
      </c>
      <c r="V1098" s="87">
        <v>6</v>
      </c>
      <c r="W1098" s="93" t="s">
        <v>6643</v>
      </c>
      <c r="X1098" s="92" t="str">
        <f>HYPERLINK("https://www.instagram.com/reel/CvF1D5ARedf/?igshid=MzRlODBiNWFlZA==")</f>
        <v>https://www.instagram.com/reel/CvF1D5ARedf/?igshid=MzRlODBiNWFlZA==</v>
      </c>
      <c r="Y1098" s="87" t="s">
        <v>8383</v>
      </c>
      <c r="Z1098" s="87"/>
      <c r="AA1098" s="87"/>
      <c r="AB1098" s="87"/>
      <c r="AC1098" s="93" t="s">
        <v>11458</v>
      </c>
      <c r="AD1098" s="87" t="s">
        <v>11520</v>
      </c>
      <c r="AE1098" s="92" t="str">
        <f>HYPERLINK("https://twitter.com/dudumesquita/status/1684021445477662721")</f>
        <v>https://twitter.com/dudumesquita/status/1684021445477662721</v>
      </c>
      <c r="AF1098" s="90">
        <v>45133.085347222222</v>
      </c>
      <c r="AG1098" s="99">
        <v>45133</v>
      </c>
      <c r="AH1098" s="93" t="s">
        <v>12542</v>
      </c>
      <c r="AI1098" s="87" t="b">
        <v>0</v>
      </c>
      <c r="AJ1098" s="87"/>
      <c r="AK1098" s="87"/>
      <c r="AL1098" s="87"/>
      <c r="AM1098" s="87"/>
      <c r="AN1098" s="87"/>
      <c r="AO1098" s="87"/>
      <c r="AP1098" s="87"/>
      <c r="AQ1098" s="87"/>
      <c r="AR1098" s="87"/>
      <c r="AS1098" s="87"/>
      <c r="AT1098" s="87"/>
      <c r="AU1098" s="87"/>
      <c r="AV1098" s="92" t="str">
        <f>HYPERLINK("https://pbs.twimg.com/profile_images/876879649460162560/ObZRbBmO_normal.jpg")</f>
        <v>https://pbs.twimg.com/profile_images/876879649460162560/ObZRbBmO_normal.jpg</v>
      </c>
      <c r="AW1098" s="93" t="s">
        <v>19335</v>
      </c>
      <c r="AX1098" s="93" t="s">
        <v>19335</v>
      </c>
      <c r="AY1098" s="87"/>
      <c r="AZ1098" s="93" t="s">
        <v>22668</v>
      </c>
      <c r="BA1098" s="93" t="s">
        <v>22668</v>
      </c>
      <c r="BB1098" s="93" t="s">
        <v>22668</v>
      </c>
      <c r="BC1098" s="93" t="s">
        <v>19335</v>
      </c>
      <c r="BD1098" s="87">
        <v>51871251</v>
      </c>
      <c r="BE1098" s="87"/>
      <c r="BF1098" s="87"/>
      <c r="BG1098" s="87"/>
      <c r="BH1098" s="87"/>
      <c r="BI1098" s="87"/>
    </row>
    <row r="1099" spans="1:61" x14ac:dyDescent="0.25">
      <c r="A1099" s="63" t="s">
        <v>600</v>
      </c>
      <c r="B1099" s="63" t="s">
        <v>600</v>
      </c>
      <c r="C1099" s="64"/>
      <c r="D1099" s="65"/>
      <c r="E1099" s="66"/>
      <c r="F1099" s="67"/>
      <c r="G1099" s="64"/>
      <c r="H1099" s="68"/>
      <c r="I1099" s="69"/>
      <c r="J1099" s="69"/>
      <c r="K1099" s="32"/>
      <c r="L1099" s="76">
        <v>1099</v>
      </c>
      <c r="M1099" s="76"/>
      <c r="N1099" s="71"/>
      <c r="O1099" s="87" t="s">
        <v>1840</v>
      </c>
      <c r="P1099" s="90">
        <v>45196.655856481484</v>
      </c>
      <c r="Q1099" s="87" t="s">
        <v>2909</v>
      </c>
      <c r="R1099" s="87">
        <v>0</v>
      </c>
      <c r="S1099" s="87">
        <v>0</v>
      </c>
      <c r="T1099" s="87">
        <v>0</v>
      </c>
      <c r="U1099" s="87">
        <v>0</v>
      </c>
      <c r="V1099" s="87">
        <v>37</v>
      </c>
      <c r="W1099" s="93" t="s">
        <v>6644</v>
      </c>
      <c r="X1099" s="87"/>
      <c r="Y1099" s="87"/>
      <c r="Z1099" s="87"/>
      <c r="AA1099" s="87" t="s">
        <v>9308</v>
      </c>
      <c r="AB1099" s="87" t="s">
        <v>11451</v>
      </c>
      <c r="AC1099" s="93" t="s">
        <v>11457</v>
      </c>
      <c r="AD1099" s="87" t="s">
        <v>11519</v>
      </c>
      <c r="AE1099" s="92" t="str">
        <f>HYPERLINK("https://twitter.com/abcgovbr/status/1707058624676212906")</f>
        <v>https://twitter.com/abcgovbr/status/1707058624676212906</v>
      </c>
      <c r="AF1099" s="90">
        <v>45196.655856481484</v>
      </c>
      <c r="AG1099" s="99">
        <v>45196</v>
      </c>
      <c r="AH1099" s="93" t="s">
        <v>12543</v>
      </c>
      <c r="AI1099" s="87" t="b">
        <v>0</v>
      </c>
      <c r="AJ1099" s="87"/>
      <c r="AK1099" s="87"/>
      <c r="AL1099" s="87"/>
      <c r="AM1099" s="87"/>
      <c r="AN1099" s="87"/>
      <c r="AO1099" s="87"/>
      <c r="AP1099" s="87"/>
      <c r="AQ1099" s="87" t="s">
        <v>16121</v>
      </c>
      <c r="AR1099" s="87"/>
      <c r="AS1099" s="87"/>
      <c r="AT1099" s="87"/>
      <c r="AU1099" s="87"/>
      <c r="AV1099" s="92" t="str">
        <f>HYPERLINK("https://pbs.twimg.com/media/F7CrfieXcAAnU8U.jpg")</f>
        <v>https://pbs.twimg.com/media/F7CrfieXcAAnU8U.jpg</v>
      </c>
      <c r="AW1099" s="93" t="s">
        <v>19336</v>
      </c>
      <c r="AX1099" s="93" t="s">
        <v>22350</v>
      </c>
      <c r="AY1099" s="93" t="s">
        <v>22551</v>
      </c>
      <c r="AZ1099" s="93" t="s">
        <v>22699</v>
      </c>
      <c r="BA1099" s="93" t="s">
        <v>22668</v>
      </c>
      <c r="BB1099" s="93" t="s">
        <v>22668</v>
      </c>
      <c r="BC1099" s="93" t="s">
        <v>22699</v>
      </c>
      <c r="BD1099" s="93" t="s">
        <v>22551</v>
      </c>
      <c r="BE1099" s="87"/>
      <c r="BF1099" s="87"/>
      <c r="BG1099" s="87"/>
      <c r="BH1099" s="87"/>
      <c r="BI1099" s="87"/>
    </row>
    <row r="1100" spans="1:61" x14ac:dyDescent="0.25">
      <c r="A1100" s="63" t="s">
        <v>601</v>
      </c>
      <c r="B1100" s="63" t="s">
        <v>1669</v>
      </c>
      <c r="C1100" s="64"/>
      <c r="D1100" s="65"/>
      <c r="E1100" s="66"/>
      <c r="F1100" s="67"/>
      <c r="G1100" s="64"/>
      <c r="H1100" s="68"/>
      <c r="I1100" s="69"/>
      <c r="J1100" s="69"/>
      <c r="K1100" s="32"/>
      <c r="L1100" s="76">
        <v>1100</v>
      </c>
      <c r="M1100" s="76"/>
      <c r="N1100" s="71"/>
      <c r="O1100" s="87" t="s">
        <v>1840</v>
      </c>
      <c r="P1100" s="90">
        <v>45117.641388888886</v>
      </c>
      <c r="Q1100" s="87" t="s">
        <v>2910</v>
      </c>
      <c r="R1100" s="87">
        <v>0</v>
      </c>
      <c r="S1100" s="87">
        <v>0</v>
      </c>
      <c r="T1100" s="87">
        <v>1</v>
      </c>
      <c r="U1100" s="87">
        <v>0</v>
      </c>
      <c r="V1100" s="87">
        <v>21</v>
      </c>
      <c r="W1100" s="93" t="s">
        <v>5897</v>
      </c>
      <c r="X1100" s="87"/>
      <c r="Y1100" s="87"/>
      <c r="Z1100" s="87" t="s">
        <v>1669</v>
      </c>
      <c r="AA1100" s="87"/>
      <c r="AB1100" s="87"/>
      <c r="AC1100" s="93" t="s">
        <v>11459</v>
      </c>
      <c r="AD1100" s="87" t="s">
        <v>11519</v>
      </c>
      <c r="AE1100" s="92" t="str">
        <f>HYPERLINK("https://twitter.com/makifalida/status/1678424739692396546")</f>
        <v>https://twitter.com/makifalida/status/1678424739692396546</v>
      </c>
      <c r="AF1100" s="90">
        <v>45117.641388888886</v>
      </c>
      <c r="AG1100" s="99">
        <v>45117</v>
      </c>
      <c r="AH1100" s="93" t="s">
        <v>12544</v>
      </c>
      <c r="AI1100" s="87"/>
      <c r="AJ1100" s="87"/>
      <c r="AK1100" s="87"/>
      <c r="AL1100" s="87"/>
      <c r="AM1100" s="87"/>
      <c r="AN1100" s="87"/>
      <c r="AO1100" s="87"/>
      <c r="AP1100" s="87"/>
      <c r="AQ1100" s="87"/>
      <c r="AR1100" s="87"/>
      <c r="AS1100" s="87"/>
      <c r="AT1100" s="87"/>
      <c r="AU1100" s="87"/>
      <c r="AV1100" s="92" t="str">
        <f>HYPERLINK("https://pbs.twimg.com/profile_images/1685305333994983425/-UldpLb0_normal.jpg")</f>
        <v>https://pbs.twimg.com/profile_images/1685305333994983425/-UldpLb0_normal.jpg</v>
      </c>
      <c r="AW1100" s="93" t="s">
        <v>19337</v>
      </c>
      <c r="AX1100" s="93" t="s">
        <v>22351</v>
      </c>
      <c r="AY1100" s="93" t="s">
        <v>22552</v>
      </c>
      <c r="AZ1100" s="93" t="s">
        <v>22351</v>
      </c>
      <c r="BA1100" s="93" t="s">
        <v>22668</v>
      </c>
      <c r="BB1100" s="93" t="s">
        <v>22668</v>
      </c>
      <c r="BC1100" s="93" t="s">
        <v>22351</v>
      </c>
      <c r="BD1100" s="93" t="s">
        <v>23008</v>
      </c>
      <c r="BE1100" s="87"/>
      <c r="BF1100" s="87"/>
      <c r="BG1100" s="87"/>
      <c r="BH1100" s="87"/>
      <c r="BI1100" s="87"/>
    </row>
    <row r="1101" spans="1:61" x14ac:dyDescent="0.25">
      <c r="A1101" s="63" t="s">
        <v>602</v>
      </c>
      <c r="B1101" s="63" t="s">
        <v>602</v>
      </c>
      <c r="C1101" s="64"/>
      <c r="D1101" s="65"/>
      <c r="E1101" s="66"/>
      <c r="F1101" s="67"/>
      <c r="G1101" s="64"/>
      <c r="H1101" s="68"/>
      <c r="I1101" s="69"/>
      <c r="J1101" s="69"/>
      <c r="K1101" s="32"/>
      <c r="L1101" s="76">
        <v>1101</v>
      </c>
      <c r="M1101" s="76"/>
      <c r="N1101" s="71"/>
      <c r="O1101" s="87" t="s">
        <v>179</v>
      </c>
      <c r="P1101" s="90">
        <v>45141.5937962963</v>
      </c>
      <c r="Q1101" s="87" t="s">
        <v>2911</v>
      </c>
      <c r="R1101" s="87">
        <v>0</v>
      </c>
      <c r="S1101" s="87">
        <v>1</v>
      </c>
      <c r="T1101" s="87">
        <v>0</v>
      </c>
      <c r="U1101" s="87">
        <v>0</v>
      </c>
      <c r="V1101" s="87">
        <v>3</v>
      </c>
      <c r="W1101" s="93" t="s">
        <v>6645</v>
      </c>
      <c r="X1101" s="87"/>
      <c r="Y1101" s="87"/>
      <c r="Z1101" s="87"/>
      <c r="AA1101" s="87" t="s">
        <v>9309</v>
      </c>
      <c r="AB1101" s="87" t="s">
        <v>11448</v>
      </c>
      <c r="AC1101" s="93" t="s">
        <v>11459</v>
      </c>
      <c r="AD1101" s="87" t="s">
        <v>11520</v>
      </c>
      <c r="AE1101" s="92" t="str">
        <f>HYPERLINK("https://twitter.com/cristia37011713/status/1687104801925189633")</f>
        <v>https://twitter.com/cristia37011713/status/1687104801925189633</v>
      </c>
      <c r="AF1101" s="90">
        <v>45141.5937962963</v>
      </c>
      <c r="AG1101" s="99">
        <v>45141</v>
      </c>
      <c r="AH1101" s="93" t="s">
        <v>12545</v>
      </c>
      <c r="AI1101" s="87" t="b">
        <v>0</v>
      </c>
      <c r="AJ1101" s="87" t="s">
        <v>15190</v>
      </c>
      <c r="AK1101" s="87" t="s">
        <v>15234</v>
      </c>
      <c r="AL1101" s="87" t="s">
        <v>15237</v>
      </c>
      <c r="AM1101" s="87" t="s">
        <v>15262</v>
      </c>
      <c r="AN1101" s="87" t="s">
        <v>15328</v>
      </c>
      <c r="AO1101" s="87" t="s">
        <v>15394</v>
      </c>
      <c r="AP1101" s="87" t="s">
        <v>15438</v>
      </c>
      <c r="AQ1101" s="87" t="s">
        <v>16122</v>
      </c>
      <c r="AR1101" s="87"/>
      <c r="AS1101" s="87"/>
      <c r="AT1101" s="87"/>
      <c r="AU1101" s="87"/>
      <c r="AV1101" s="92" t="str">
        <f>HYPERLINK("https://pbs.twimg.com/media/F2nM4GSaQAACOhf.jpg")</f>
        <v>https://pbs.twimg.com/media/F2nM4GSaQAACOhf.jpg</v>
      </c>
      <c r="AW1101" s="93" t="s">
        <v>19338</v>
      </c>
      <c r="AX1101" s="93" t="s">
        <v>19338</v>
      </c>
      <c r="AY1101" s="87"/>
      <c r="AZ1101" s="93" t="s">
        <v>22668</v>
      </c>
      <c r="BA1101" s="93" t="s">
        <v>22668</v>
      </c>
      <c r="BB1101" s="93" t="s">
        <v>22668</v>
      </c>
      <c r="BC1101" s="93" t="s">
        <v>19338</v>
      </c>
      <c r="BD1101" s="93" t="s">
        <v>23009</v>
      </c>
      <c r="BE1101" s="87"/>
      <c r="BF1101" s="87"/>
      <c r="BG1101" s="87"/>
      <c r="BH1101" s="87"/>
      <c r="BI1101" s="87"/>
    </row>
    <row r="1102" spans="1:61" x14ac:dyDescent="0.25">
      <c r="A1102" s="63" t="s">
        <v>602</v>
      </c>
      <c r="B1102" s="63" t="s">
        <v>602</v>
      </c>
      <c r="C1102" s="64"/>
      <c r="D1102" s="65"/>
      <c r="E1102" s="66"/>
      <c r="F1102" s="67"/>
      <c r="G1102" s="64"/>
      <c r="H1102" s="68"/>
      <c r="I1102" s="69"/>
      <c r="J1102" s="69"/>
      <c r="K1102" s="32"/>
      <c r="L1102" s="76">
        <v>1102</v>
      </c>
      <c r="M1102" s="76"/>
      <c r="N1102" s="71"/>
      <c r="O1102" s="87" t="s">
        <v>179</v>
      </c>
      <c r="P1102" s="90">
        <v>45140.595972222225</v>
      </c>
      <c r="Q1102" s="87" t="s">
        <v>2912</v>
      </c>
      <c r="R1102" s="87">
        <v>0</v>
      </c>
      <c r="S1102" s="87">
        <v>1</v>
      </c>
      <c r="T1102" s="87">
        <v>0</v>
      </c>
      <c r="U1102" s="87">
        <v>0</v>
      </c>
      <c r="V1102" s="87">
        <v>17</v>
      </c>
      <c r="W1102" s="93" t="s">
        <v>6646</v>
      </c>
      <c r="X1102" s="87"/>
      <c r="Y1102" s="87"/>
      <c r="Z1102" s="87"/>
      <c r="AA1102" s="87" t="s">
        <v>9310</v>
      </c>
      <c r="AB1102" s="87" t="s">
        <v>11448</v>
      </c>
      <c r="AC1102" s="93" t="s">
        <v>11459</v>
      </c>
      <c r="AD1102" s="87" t="s">
        <v>11528</v>
      </c>
      <c r="AE1102" s="92" t="str">
        <f>HYPERLINK("https://twitter.com/cristia37011713/status/1686743201468538880")</f>
        <v>https://twitter.com/cristia37011713/status/1686743201468538880</v>
      </c>
      <c r="AF1102" s="90">
        <v>45140.595972222225</v>
      </c>
      <c r="AG1102" s="99">
        <v>45140</v>
      </c>
      <c r="AH1102" s="93" t="s">
        <v>12546</v>
      </c>
      <c r="AI1102" s="87" t="b">
        <v>0</v>
      </c>
      <c r="AJ1102" s="87" t="s">
        <v>15191</v>
      </c>
      <c r="AK1102" s="87" t="s">
        <v>15234</v>
      </c>
      <c r="AL1102" s="87" t="s">
        <v>15237</v>
      </c>
      <c r="AM1102" s="87" t="s">
        <v>15263</v>
      </c>
      <c r="AN1102" s="87" t="s">
        <v>15329</v>
      </c>
      <c r="AO1102" s="87" t="s">
        <v>15395</v>
      </c>
      <c r="AP1102" s="87" t="s">
        <v>15439</v>
      </c>
      <c r="AQ1102" s="87" t="s">
        <v>16123</v>
      </c>
      <c r="AR1102" s="87"/>
      <c r="AS1102" s="87"/>
      <c r="AT1102" s="87"/>
      <c r="AU1102" s="87"/>
      <c r="AV1102" s="92" t="str">
        <f>HYPERLINK("https://pbs.twimg.com/media/F2iEAHRWIAAsrRq.jpg")</f>
        <v>https://pbs.twimg.com/media/F2iEAHRWIAAsrRq.jpg</v>
      </c>
      <c r="AW1102" s="93" t="s">
        <v>19339</v>
      </c>
      <c r="AX1102" s="93" t="s">
        <v>19339</v>
      </c>
      <c r="AY1102" s="87"/>
      <c r="AZ1102" s="93" t="s">
        <v>22668</v>
      </c>
      <c r="BA1102" s="93" t="s">
        <v>22668</v>
      </c>
      <c r="BB1102" s="93" t="s">
        <v>22668</v>
      </c>
      <c r="BC1102" s="93" t="s">
        <v>19339</v>
      </c>
      <c r="BD1102" s="93" t="s">
        <v>23009</v>
      </c>
      <c r="BE1102" s="87"/>
      <c r="BF1102" s="87"/>
      <c r="BG1102" s="87"/>
      <c r="BH1102" s="87"/>
      <c r="BI1102" s="87"/>
    </row>
    <row r="1103" spans="1:61" x14ac:dyDescent="0.25">
      <c r="A1103" s="63" t="s">
        <v>602</v>
      </c>
      <c r="B1103" s="63" t="s">
        <v>602</v>
      </c>
      <c r="C1103" s="64"/>
      <c r="D1103" s="65"/>
      <c r="E1103" s="66"/>
      <c r="F1103" s="67"/>
      <c r="G1103" s="64"/>
      <c r="H1103" s="68"/>
      <c r="I1103" s="69"/>
      <c r="J1103" s="69"/>
      <c r="K1103" s="32"/>
      <c r="L1103" s="76">
        <v>1103</v>
      </c>
      <c r="M1103" s="76"/>
      <c r="N1103" s="71"/>
      <c r="O1103" s="87" t="s">
        <v>179</v>
      </c>
      <c r="P1103" s="90">
        <v>45194.954872685186</v>
      </c>
      <c r="Q1103" s="87" t="s">
        <v>2913</v>
      </c>
      <c r="R1103" s="87">
        <v>0</v>
      </c>
      <c r="S1103" s="87">
        <v>1</v>
      </c>
      <c r="T1103" s="87">
        <v>1</v>
      </c>
      <c r="U1103" s="87">
        <v>0</v>
      </c>
      <c r="V1103" s="87">
        <v>7</v>
      </c>
      <c r="W1103" s="93" t="s">
        <v>6647</v>
      </c>
      <c r="X1103" s="87"/>
      <c r="Y1103" s="87"/>
      <c r="Z1103" s="87"/>
      <c r="AA1103" s="87" t="s">
        <v>9311</v>
      </c>
      <c r="AB1103" s="87" t="s">
        <v>11448</v>
      </c>
      <c r="AC1103" s="93" t="s">
        <v>11459</v>
      </c>
      <c r="AD1103" s="87" t="s">
        <v>11519</v>
      </c>
      <c r="AE1103" s="92" t="str">
        <f>HYPERLINK("https://twitter.com/cristia37011713/status/1706442210789507307")</f>
        <v>https://twitter.com/cristia37011713/status/1706442210789507307</v>
      </c>
      <c r="AF1103" s="90">
        <v>45194.954872685186</v>
      </c>
      <c r="AG1103" s="99">
        <v>45194</v>
      </c>
      <c r="AH1103" s="93" t="s">
        <v>12547</v>
      </c>
      <c r="AI1103" s="87" t="b">
        <v>0</v>
      </c>
      <c r="AJ1103" s="87" t="s">
        <v>15191</v>
      </c>
      <c r="AK1103" s="87" t="s">
        <v>15234</v>
      </c>
      <c r="AL1103" s="87" t="s">
        <v>15237</v>
      </c>
      <c r="AM1103" s="87" t="s">
        <v>15263</v>
      </c>
      <c r="AN1103" s="87" t="s">
        <v>15329</v>
      </c>
      <c r="AO1103" s="87" t="s">
        <v>15395</v>
      </c>
      <c r="AP1103" s="87" t="s">
        <v>15439</v>
      </c>
      <c r="AQ1103" s="87" t="s">
        <v>16124</v>
      </c>
      <c r="AR1103" s="87"/>
      <c r="AS1103" s="87"/>
      <c r="AT1103" s="87"/>
      <c r="AU1103" s="87"/>
      <c r="AV1103" s="92" t="str">
        <f>HYPERLINK("https://pbs.twimg.com/media/F66AJcaXUAA76nP.jpg")</f>
        <v>https://pbs.twimg.com/media/F66AJcaXUAA76nP.jpg</v>
      </c>
      <c r="AW1103" s="93" t="s">
        <v>19340</v>
      </c>
      <c r="AX1103" s="93" t="s">
        <v>19340</v>
      </c>
      <c r="AY1103" s="87"/>
      <c r="AZ1103" s="93" t="s">
        <v>22668</v>
      </c>
      <c r="BA1103" s="93" t="s">
        <v>22668</v>
      </c>
      <c r="BB1103" s="93" t="s">
        <v>22668</v>
      </c>
      <c r="BC1103" s="93" t="s">
        <v>19340</v>
      </c>
      <c r="BD1103" s="93" t="s">
        <v>23009</v>
      </c>
      <c r="BE1103" s="87"/>
      <c r="BF1103" s="87"/>
      <c r="BG1103" s="87"/>
      <c r="BH1103" s="87"/>
      <c r="BI1103" s="87"/>
    </row>
    <row r="1104" spans="1:61" x14ac:dyDescent="0.25">
      <c r="A1104" s="63" t="s">
        <v>603</v>
      </c>
      <c r="B1104" s="63" t="s">
        <v>603</v>
      </c>
      <c r="C1104" s="64"/>
      <c r="D1104" s="65"/>
      <c r="E1104" s="66"/>
      <c r="F1104" s="67"/>
      <c r="G1104" s="64"/>
      <c r="H1104" s="68"/>
      <c r="I1104" s="69"/>
      <c r="J1104" s="69"/>
      <c r="K1104" s="32"/>
      <c r="L1104" s="76">
        <v>1104</v>
      </c>
      <c r="M1104" s="76"/>
      <c r="N1104" s="71"/>
      <c r="O1104" s="87" t="s">
        <v>179</v>
      </c>
      <c r="P1104" s="90">
        <v>45152.94059027778</v>
      </c>
      <c r="Q1104" s="87" t="s">
        <v>2914</v>
      </c>
      <c r="R1104" s="87">
        <v>0</v>
      </c>
      <c r="S1104" s="87">
        <v>0</v>
      </c>
      <c r="T1104" s="87">
        <v>0</v>
      </c>
      <c r="U1104" s="87">
        <v>0</v>
      </c>
      <c r="V1104" s="87">
        <v>37</v>
      </c>
      <c r="W1104" s="93" t="s">
        <v>6049</v>
      </c>
      <c r="X1104" s="87"/>
      <c r="Y1104" s="87"/>
      <c r="Z1104" s="87"/>
      <c r="AA1104" s="87" t="s">
        <v>9312</v>
      </c>
      <c r="AB1104" s="87" t="s">
        <v>11447</v>
      </c>
      <c r="AC1104" s="93" t="s">
        <v>11459</v>
      </c>
      <c r="AD1104" s="87" t="s">
        <v>11519</v>
      </c>
      <c r="AE1104" s="92" t="str">
        <f>HYPERLINK("https://twitter.com/lucianogal14001/status/1691216741760737281")</f>
        <v>https://twitter.com/lucianogal14001/status/1691216741760737281</v>
      </c>
      <c r="AF1104" s="90">
        <v>45152.94059027778</v>
      </c>
      <c r="AG1104" s="99">
        <v>45152</v>
      </c>
      <c r="AH1104" s="93" t="s">
        <v>12548</v>
      </c>
      <c r="AI1104" s="87" t="b">
        <v>0</v>
      </c>
      <c r="AJ1104" s="87"/>
      <c r="AK1104" s="87"/>
      <c r="AL1104" s="87"/>
      <c r="AM1104" s="87"/>
      <c r="AN1104" s="87"/>
      <c r="AO1104" s="87"/>
      <c r="AP1104" s="87"/>
      <c r="AQ1104" s="87" t="s">
        <v>16125</v>
      </c>
      <c r="AR1104" s="87">
        <v>40100</v>
      </c>
      <c r="AS1104" s="87"/>
      <c r="AT1104" s="87"/>
      <c r="AU1104" s="87"/>
      <c r="AV1104" s="92" t="str">
        <f>HYPERLINK("https://pbs.twimg.com/ext_tw_video_thumb/1691216682298019840/pu/img/_NRwnc-kerjydV_1.jpg")</f>
        <v>https://pbs.twimg.com/ext_tw_video_thumb/1691216682298019840/pu/img/_NRwnc-kerjydV_1.jpg</v>
      </c>
      <c r="AW1104" s="93" t="s">
        <v>19341</v>
      </c>
      <c r="AX1104" s="93" t="s">
        <v>19341</v>
      </c>
      <c r="AY1104" s="87"/>
      <c r="AZ1104" s="93" t="s">
        <v>22668</v>
      </c>
      <c r="BA1104" s="93" t="s">
        <v>22668</v>
      </c>
      <c r="BB1104" s="93" t="s">
        <v>22668</v>
      </c>
      <c r="BC1104" s="93" t="s">
        <v>19341</v>
      </c>
      <c r="BD1104" s="93" t="s">
        <v>23010</v>
      </c>
      <c r="BE1104" s="87"/>
      <c r="BF1104" s="87"/>
      <c r="BG1104" s="87"/>
      <c r="BH1104" s="87"/>
      <c r="BI1104" s="87"/>
    </row>
    <row r="1105" spans="1:61" x14ac:dyDescent="0.25">
      <c r="A1105" s="63" t="s">
        <v>603</v>
      </c>
      <c r="B1105" s="63" t="s">
        <v>603</v>
      </c>
      <c r="C1105" s="64"/>
      <c r="D1105" s="65"/>
      <c r="E1105" s="66"/>
      <c r="F1105" s="67"/>
      <c r="G1105" s="64"/>
      <c r="H1105" s="68"/>
      <c r="I1105" s="69"/>
      <c r="J1105" s="69"/>
      <c r="K1105" s="32"/>
      <c r="L1105" s="76">
        <v>1105</v>
      </c>
      <c r="M1105" s="76"/>
      <c r="N1105" s="71"/>
      <c r="O1105" s="87" t="s">
        <v>179</v>
      </c>
      <c r="P1105" s="90">
        <v>45169.922152777777</v>
      </c>
      <c r="Q1105" s="87" t="s">
        <v>2915</v>
      </c>
      <c r="R1105" s="87">
        <v>0</v>
      </c>
      <c r="S1105" s="87">
        <v>0</v>
      </c>
      <c r="T1105" s="87">
        <v>0</v>
      </c>
      <c r="U1105" s="87">
        <v>0</v>
      </c>
      <c r="V1105" s="87">
        <v>5</v>
      </c>
      <c r="W1105" s="93" t="s">
        <v>6049</v>
      </c>
      <c r="X1105" s="87"/>
      <c r="Y1105" s="87"/>
      <c r="Z1105" s="87"/>
      <c r="AA1105" s="87" t="s">
        <v>9313</v>
      </c>
      <c r="AB1105" s="87" t="s">
        <v>11447</v>
      </c>
      <c r="AC1105" s="93" t="s">
        <v>11459</v>
      </c>
      <c r="AD1105" s="87" t="s">
        <v>11519</v>
      </c>
      <c r="AE1105" s="92" t="str">
        <f>HYPERLINK("https://twitter.com/lucianogal14001/status/1697370656864678020")</f>
        <v>https://twitter.com/lucianogal14001/status/1697370656864678020</v>
      </c>
      <c r="AF1105" s="90">
        <v>45169.922152777777</v>
      </c>
      <c r="AG1105" s="99">
        <v>45169</v>
      </c>
      <c r="AH1105" s="93" t="s">
        <v>12549</v>
      </c>
      <c r="AI1105" s="87" t="b">
        <v>0</v>
      </c>
      <c r="AJ1105" s="87"/>
      <c r="AK1105" s="87"/>
      <c r="AL1105" s="87"/>
      <c r="AM1105" s="87"/>
      <c r="AN1105" s="87"/>
      <c r="AO1105" s="87"/>
      <c r="AP1105" s="87"/>
      <c r="AQ1105" s="87" t="s">
        <v>16126</v>
      </c>
      <c r="AR1105" s="87">
        <v>47134</v>
      </c>
      <c r="AS1105" s="87"/>
      <c r="AT1105" s="87"/>
      <c r="AU1105" s="87"/>
      <c r="AV1105" s="92" t="str">
        <f>HYPERLINK("https://pbs.twimg.com/ext_tw_video_thumb/1697370578406027264/pu/img/yQAkPZH7VS4CIc3H.jpg")</f>
        <v>https://pbs.twimg.com/ext_tw_video_thumb/1697370578406027264/pu/img/yQAkPZH7VS4CIc3H.jpg</v>
      </c>
      <c r="AW1105" s="93" t="s">
        <v>19342</v>
      </c>
      <c r="AX1105" s="93" t="s">
        <v>19342</v>
      </c>
      <c r="AY1105" s="87"/>
      <c r="AZ1105" s="93" t="s">
        <v>22668</v>
      </c>
      <c r="BA1105" s="93" t="s">
        <v>22668</v>
      </c>
      <c r="BB1105" s="93" t="s">
        <v>22668</v>
      </c>
      <c r="BC1105" s="93" t="s">
        <v>19342</v>
      </c>
      <c r="BD1105" s="93" t="s">
        <v>23010</v>
      </c>
      <c r="BE1105" s="87"/>
      <c r="BF1105" s="87"/>
      <c r="BG1105" s="87"/>
      <c r="BH1105" s="87"/>
      <c r="BI1105" s="87"/>
    </row>
    <row r="1106" spans="1:61" x14ac:dyDescent="0.25">
      <c r="A1106" s="63" t="s">
        <v>603</v>
      </c>
      <c r="B1106" s="63" t="s">
        <v>603</v>
      </c>
      <c r="C1106" s="64"/>
      <c r="D1106" s="65"/>
      <c r="E1106" s="66"/>
      <c r="F1106" s="67"/>
      <c r="G1106" s="64"/>
      <c r="H1106" s="68"/>
      <c r="I1106" s="69"/>
      <c r="J1106" s="69"/>
      <c r="K1106" s="32"/>
      <c r="L1106" s="76">
        <v>1106</v>
      </c>
      <c r="M1106" s="76"/>
      <c r="N1106" s="71"/>
      <c r="O1106" s="87" t="s">
        <v>179</v>
      </c>
      <c r="P1106" s="90">
        <v>45168.924305555556</v>
      </c>
      <c r="Q1106" s="87" t="s">
        <v>2916</v>
      </c>
      <c r="R1106" s="87">
        <v>0</v>
      </c>
      <c r="S1106" s="87">
        <v>0</v>
      </c>
      <c r="T1106" s="87">
        <v>0</v>
      </c>
      <c r="U1106" s="87">
        <v>0</v>
      </c>
      <c r="V1106" s="87">
        <v>5</v>
      </c>
      <c r="W1106" s="93" t="s">
        <v>6049</v>
      </c>
      <c r="X1106" s="87"/>
      <c r="Y1106" s="87"/>
      <c r="Z1106" s="87"/>
      <c r="AA1106" s="87" t="s">
        <v>9314</v>
      </c>
      <c r="AB1106" s="87" t="s">
        <v>11447</v>
      </c>
      <c r="AC1106" s="93" t="s">
        <v>11459</v>
      </c>
      <c r="AD1106" s="87" t="s">
        <v>11519</v>
      </c>
      <c r="AE1106" s="92" t="str">
        <f>HYPERLINK("https://twitter.com/lucianogal14001/status/1697009048338477529")</f>
        <v>https://twitter.com/lucianogal14001/status/1697009048338477529</v>
      </c>
      <c r="AF1106" s="90">
        <v>45168.924305555556</v>
      </c>
      <c r="AG1106" s="99">
        <v>45168</v>
      </c>
      <c r="AH1106" s="93" t="s">
        <v>12550</v>
      </c>
      <c r="AI1106" s="87" t="b">
        <v>0</v>
      </c>
      <c r="AJ1106" s="87"/>
      <c r="AK1106" s="87"/>
      <c r="AL1106" s="87"/>
      <c r="AM1106" s="87"/>
      <c r="AN1106" s="87"/>
      <c r="AO1106" s="87"/>
      <c r="AP1106" s="87"/>
      <c r="AQ1106" s="87" t="s">
        <v>16127</v>
      </c>
      <c r="AR1106" s="87">
        <v>44069</v>
      </c>
      <c r="AS1106" s="87"/>
      <c r="AT1106" s="87"/>
      <c r="AU1106" s="87"/>
      <c r="AV1106" s="92" t="str">
        <f>HYPERLINK("https://pbs.twimg.com/ext_tw_video_thumb/1697008867689783296/pu/img/icuI07l7KuhzH7TP.jpg")</f>
        <v>https://pbs.twimg.com/ext_tw_video_thumb/1697008867689783296/pu/img/icuI07l7KuhzH7TP.jpg</v>
      </c>
      <c r="AW1106" s="93" t="s">
        <v>19343</v>
      </c>
      <c r="AX1106" s="93" t="s">
        <v>19343</v>
      </c>
      <c r="AY1106" s="87"/>
      <c r="AZ1106" s="93" t="s">
        <v>22668</v>
      </c>
      <c r="BA1106" s="93" t="s">
        <v>22668</v>
      </c>
      <c r="BB1106" s="93" t="s">
        <v>22668</v>
      </c>
      <c r="BC1106" s="93" t="s">
        <v>19343</v>
      </c>
      <c r="BD1106" s="93" t="s">
        <v>23010</v>
      </c>
      <c r="BE1106" s="87"/>
      <c r="BF1106" s="87"/>
      <c r="BG1106" s="87"/>
      <c r="BH1106" s="87"/>
      <c r="BI1106" s="87"/>
    </row>
    <row r="1107" spans="1:61" x14ac:dyDescent="0.25">
      <c r="A1107" s="63" t="s">
        <v>603</v>
      </c>
      <c r="B1107" s="63" t="s">
        <v>603</v>
      </c>
      <c r="C1107" s="64"/>
      <c r="D1107" s="65"/>
      <c r="E1107" s="66"/>
      <c r="F1107" s="67"/>
      <c r="G1107" s="64"/>
      <c r="H1107" s="68"/>
      <c r="I1107" s="69"/>
      <c r="J1107" s="69"/>
      <c r="K1107" s="32"/>
      <c r="L1107" s="76">
        <v>1107</v>
      </c>
      <c r="M1107" s="76"/>
      <c r="N1107" s="71"/>
      <c r="O1107" s="87" t="s">
        <v>179</v>
      </c>
      <c r="P1107" s="90">
        <v>45168.92423611111</v>
      </c>
      <c r="Q1107" s="87" t="s">
        <v>2917</v>
      </c>
      <c r="R1107" s="87">
        <v>0</v>
      </c>
      <c r="S1107" s="87">
        <v>0</v>
      </c>
      <c r="T1107" s="87">
        <v>0</v>
      </c>
      <c r="U1107" s="87">
        <v>0</v>
      </c>
      <c r="V1107" s="87">
        <v>7</v>
      </c>
      <c r="W1107" s="93" t="s">
        <v>6049</v>
      </c>
      <c r="X1107" s="87"/>
      <c r="Y1107" s="87"/>
      <c r="Z1107" s="87"/>
      <c r="AA1107" s="87" t="s">
        <v>9315</v>
      </c>
      <c r="AB1107" s="87" t="s">
        <v>11447</v>
      </c>
      <c r="AC1107" s="93" t="s">
        <v>11459</v>
      </c>
      <c r="AD1107" s="87" t="s">
        <v>11519</v>
      </c>
      <c r="AE1107" s="92" t="str">
        <f>HYPERLINK("https://twitter.com/lucianogal14001/status/1697009024309273003")</f>
        <v>https://twitter.com/lucianogal14001/status/1697009024309273003</v>
      </c>
      <c r="AF1107" s="90">
        <v>45168.92423611111</v>
      </c>
      <c r="AG1107" s="99">
        <v>45168</v>
      </c>
      <c r="AH1107" s="93" t="s">
        <v>12551</v>
      </c>
      <c r="AI1107" s="87" t="b">
        <v>0</v>
      </c>
      <c r="AJ1107" s="87"/>
      <c r="AK1107" s="87"/>
      <c r="AL1107" s="87"/>
      <c r="AM1107" s="87"/>
      <c r="AN1107" s="87"/>
      <c r="AO1107" s="87"/>
      <c r="AP1107" s="87"/>
      <c r="AQ1107" s="87" t="s">
        <v>16128</v>
      </c>
      <c r="AR1107" s="87">
        <v>44069</v>
      </c>
      <c r="AS1107" s="87"/>
      <c r="AT1107" s="87"/>
      <c r="AU1107" s="87"/>
      <c r="AV1107" s="92" t="str">
        <f>HYPERLINK("https://pbs.twimg.com/ext_tw_video_thumb/1697008867551404033/pu/img/UWqoJkv1iP0v3ZbZ.jpg")</f>
        <v>https://pbs.twimg.com/ext_tw_video_thumb/1697008867551404033/pu/img/UWqoJkv1iP0v3ZbZ.jpg</v>
      </c>
      <c r="AW1107" s="93" t="s">
        <v>19344</v>
      </c>
      <c r="AX1107" s="93" t="s">
        <v>19344</v>
      </c>
      <c r="AY1107" s="87"/>
      <c r="AZ1107" s="93" t="s">
        <v>22668</v>
      </c>
      <c r="BA1107" s="93" t="s">
        <v>22668</v>
      </c>
      <c r="BB1107" s="93" t="s">
        <v>22668</v>
      </c>
      <c r="BC1107" s="93" t="s">
        <v>19344</v>
      </c>
      <c r="BD1107" s="93" t="s">
        <v>23010</v>
      </c>
      <c r="BE1107" s="87"/>
      <c r="BF1107" s="87"/>
      <c r="BG1107" s="87"/>
      <c r="BH1107" s="87"/>
      <c r="BI1107" s="87"/>
    </row>
    <row r="1108" spans="1:61" x14ac:dyDescent="0.25">
      <c r="A1108" s="63" t="s">
        <v>603</v>
      </c>
      <c r="B1108" s="63" t="s">
        <v>603</v>
      </c>
      <c r="C1108" s="64"/>
      <c r="D1108" s="65"/>
      <c r="E1108" s="66"/>
      <c r="F1108" s="67"/>
      <c r="G1108" s="64"/>
      <c r="H1108" s="68"/>
      <c r="I1108" s="69"/>
      <c r="J1108" s="69"/>
      <c r="K1108" s="32"/>
      <c r="L1108" s="76">
        <v>1108</v>
      </c>
      <c r="M1108" s="76"/>
      <c r="N1108" s="71"/>
      <c r="O1108" s="87" t="s">
        <v>179</v>
      </c>
      <c r="P1108" s="90">
        <v>45167.88894675926</v>
      </c>
      <c r="Q1108" s="87" t="s">
        <v>2918</v>
      </c>
      <c r="R1108" s="87">
        <v>0</v>
      </c>
      <c r="S1108" s="87">
        <v>0</v>
      </c>
      <c r="T1108" s="87">
        <v>0</v>
      </c>
      <c r="U1108" s="87">
        <v>0</v>
      </c>
      <c r="V1108" s="87">
        <v>21</v>
      </c>
      <c r="W1108" s="93" t="s">
        <v>6050</v>
      </c>
      <c r="X1108" s="87"/>
      <c r="Y1108" s="87"/>
      <c r="Z1108" s="87"/>
      <c r="AA1108" s="87" t="s">
        <v>9316</v>
      </c>
      <c r="AB1108" s="87" t="s">
        <v>11447</v>
      </c>
      <c r="AC1108" s="93" t="s">
        <v>11459</v>
      </c>
      <c r="AD1108" s="87" t="s">
        <v>11519</v>
      </c>
      <c r="AE1108" s="92" t="str">
        <f>HYPERLINK("https://twitter.com/lucianogal14001/status/1696633844768846299")</f>
        <v>https://twitter.com/lucianogal14001/status/1696633844768846299</v>
      </c>
      <c r="AF1108" s="90">
        <v>45167.88894675926</v>
      </c>
      <c r="AG1108" s="99">
        <v>45167</v>
      </c>
      <c r="AH1108" s="93" t="s">
        <v>12552</v>
      </c>
      <c r="AI1108" s="87" t="b">
        <v>0</v>
      </c>
      <c r="AJ1108" s="87"/>
      <c r="AK1108" s="87"/>
      <c r="AL1108" s="87"/>
      <c r="AM1108" s="87"/>
      <c r="AN1108" s="87"/>
      <c r="AO1108" s="87"/>
      <c r="AP1108" s="87"/>
      <c r="AQ1108" s="87" t="s">
        <v>16129</v>
      </c>
      <c r="AR1108" s="87">
        <v>59863</v>
      </c>
      <c r="AS1108" s="87"/>
      <c r="AT1108" s="87"/>
      <c r="AU1108" s="87"/>
      <c r="AV1108" s="92" t="str">
        <f>HYPERLINK("https://pbs.twimg.com/ext_tw_video_thumb/1696633750216421377/pu/img/9wbkc8ds-ZfjojvJ.jpg")</f>
        <v>https://pbs.twimg.com/ext_tw_video_thumb/1696633750216421377/pu/img/9wbkc8ds-ZfjojvJ.jpg</v>
      </c>
      <c r="AW1108" s="93" t="s">
        <v>19345</v>
      </c>
      <c r="AX1108" s="93" t="s">
        <v>19345</v>
      </c>
      <c r="AY1108" s="87"/>
      <c r="AZ1108" s="93" t="s">
        <v>22668</v>
      </c>
      <c r="BA1108" s="93" t="s">
        <v>22668</v>
      </c>
      <c r="BB1108" s="93" t="s">
        <v>22668</v>
      </c>
      <c r="BC1108" s="93" t="s">
        <v>19345</v>
      </c>
      <c r="BD1108" s="93" t="s">
        <v>23010</v>
      </c>
      <c r="BE1108" s="87"/>
      <c r="BF1108" s="87"/>
      <c r="BG1108" s="87"/>
      <c r="BH1108" s="87"/>
      <c r="BI1108" s="87"/>
    </row>
    <row r="1109" spans="1:61" x14ac:dyDescent="0.25">
      <c r="A1109" s="63" t="s">
        <v>603</v>
      </c>
      <c r="B1109" s="63" t="s">
        <v>603</v>
      </c>
      <c r="C1109" s="64"/>
      <c r="D1109" s="65"/>
      <c r="E1109" s="66"/>
      <c r="F1109" s="67"/>
      <c r="G1109" s="64"/>
      <c r="H1109" s="68"/>
      <c r="I1109" s="69"/>
      <c r="J1109" s="69"/>
      <c r="K1109" s="32"/>
      <c r="L1109" s="76">
        <v>1109</v>
      </c>
      <c r="M1109" s="76"/>
      <c r="N1109" s="71"/>
      <c r="O1109" s="87" t="s">
        <v>179</v>
      </c>
      <c r="P1109" s="90">
        <v>45153.911678240744</v>
      </c>
      <c r="Q1109" s="87" t="s">
        <v>2919</v>
      </c>
      <c r="R1109" s="87">
        <v>0</v>
      </c>
      <c r="S1109" s="87">
        <v>0</v>
      </c>
      <c r="T1109" s="87">
        <v>0</v>
      </c>
      <c r="U1109" s="87">
        <v>0</v>
      </c>
      <c r="V1109" s="87">
        <v>17</v>
      </c>
      <c r="W1109" s="93" t="s">
        <v>6049</v>
      </c>
      <c r="X1109" s="87"/>
      <c r="Y1109" s="87"/>
      <c r="Z1109" s="87"/>
      <c r="AA1109" s="87" t="s">
        <v>9317</v>
      </c>
      <c r="AB1109" s="87" t="s">
        <v>11447</v>
      </c>
      <c r="AC1109" s="93" t="s">
        <v>11459</v>
      </c>
      <c r="AD1109" s="87" t="s">
        <v>11519</v>
      </c>
      <c r="AE1109" s="92" t="str">
        <f>HYPERLINK("https://twitter.com/lucianogal14001/status/1691568653878149305")</f>
        <v>https://twitter.com/lucianogal14001/status/1691568653878149305</v>
      </c>
      <c r="AF1109" s="90">
        <v>45153.911678240744</v>
      </c>
      <c r="AG1109" s="99">
        <v>45153</v>
      </c>
      <c r="AH1109" s="93" t="s">
        <v>12553</v>
      </c>
      <c r="AI1109" s="87" t="b">
        <v>0</v>
      </c>
      <c r="AJ1109" s="87"/>
      <c r="AK1109" s="87"/>
      <c r="AL1109" s="87"/>
      <c r="AM1109" s="87"/>
      <c r="AN1109" s="87"/>
      <c r="AO1109" s="87"/>
      <c r="AP1109" s="87"/>
      <c r="AQ1109" s="87" t="s">
        <v>16130</v>
      </c>
      <c r="AR1109" s="87">
        <v>46507</v>
      </c>
      <c r="AS1109" s="87"/>
      <c r="AT1109" s="87"/>
      <c r="AU1109" s="87"/>
      <c r="AV1109" s="92" t="str">
        <f>HYPERLINK("https://pbs.twimg.com/ext_tw_video_thumb/1691568580645601280/pu/img/_agMkWFtiqrPx5t2.jpg")</f>
        <v>https://pbs.twimg.com/ext_tw_video_thumb/1691568580645601280/pu/img/_agMkWFtiqrPx5t2.jpg</v>
      </c>
      <c r="AW1109" s="93" t="s">
        <v>19346</v>
      </c>
      <c r="AX1109" s="93" t="s">
        <v>19346</v>
      </c>
      <c r="AY1109" s="87"/>
      <c r="AZ1109" s="93" t="s">
        <v>22668</v>
      </c>
      <c r="BA1109" s="93" t="s">
        <v>22668</v>
      </c>
      <c r="BB1109" s="93" t="s">
        <v>22668</v>
      </c>
      <c r="BC1109" s="93" t="s">
        <v>19346</v>
      </c>
      <c r="BD1109" s="93" t="s">
        <v>23010</v>
      </c>
      <c r="BE1109" s="87"/>
      <c r="BF1109" s="87"/>
      <c r="BG1109" s="87"/>
      <c r="BH1109" s="87"/>
      <c r="BI1109" s="87"/>
    </row>
    <row r="1110" spans="1:61" x14ac:dyDescent="0.25">
      <c r="A1110" s="63" t="s">
        <v>603</v>
      </c>
      <c r="B1110" s="63" t="s">
        <v>603</v>
      </c>
      <c r="C1110" s="64"/>
      <c r="D1110" s="65"/>
      <c r="E1110" s="66"/>
      <c r="F1110" s="67"/>
      <c r="G1110" s="64"/>
      <c r="H1110" s="68"/>
      <c r="I1110" s="69"/>
      <c r="J1110" s="69"/>
      <c r="K1110" s="32"/>
      <c r="L1110" s="76">
        <v>1110</v>
      </c>
      <c r="M1110" s="76"/>
      <c r="N1110" s="71"/>
      <c r="O1110" s="87" t="s">
        <v>179</v>
      </c>
      <c r="P1110" s="90">
        <v>45175.94127314815</v>
      </c>
      <c r="Q1110" s="87" t="s">
        <v>2920</v>
      </c>
      <c r="R1110" s="87">
        <v>0</v>
      </c>
      <c r="S1110" s="87">
        <v>0</v>
      </c>
      <c r="T1110" s="87">
        <v>0</v>
      </c>
      <c r="U1110" s="87">
        <v>0</v>
      </c>
      <c r="V1110" s="87">
        <v>4</v>
      </c>
      <c r="W1110" s="93" t="s">
        <v>6053</v>
      </c>
      <c r="X1110" s="87"/>
      <c r="Y1110" s="87"/>
      <c r="Z1110" s="87"/>
      <c r="AA1110" s="87" t="s">
        <v>9318</v>
      </c>
      <c r="AB1110" s="87" t="s">
        <v>11447</v>
      </c>
      <c r="AC1110" s="93" t="s">
        <v>11459</v>
      </c>
      <c r="AD1110" s="87" t="s">
        <v>11519</v>
      </c>
      <c r="AE1110" s="92" t="str">
        <f>HYPERLINK("https://twitter.com/lucianogal14001/status/1699551911282647368")</f>
        <v>https://twitter.com/lucianogal14001/status/1699551911282647368</v>
      </c>
      <c r="AF1110" s="90">
        <v>45175.94127314815</v>
      </c>
      <c r="AG1110" s="99">
        <v>45175</v>
      </c>
      <c r="AH1110" s="93" t="s">
        <v>12554</v>
      </c>
      <c r="AI1110" s="87" t="b">
        <v>0</v>
      </c>
      <c r="AJ1110" s="87"/>
      <c r="AK1110" s="87"/>
      <c r="AL1110" s="87"/>
      <c r="AM1110" s="87"/>
      <c r="AN1110" s="87"/>
      <c r="AO1110" s="87"/>
      <c r="AP1110" s="87"/>
      <c r="AQ1110" s="87" t="s">
        <v>16131</v>
      </c>
      <c r="AR1110" s="87">
        <v>41144</v>
      </c>
      <c r="AS1110" s="87"/>
      <c r="AT1110" s="87"/>
      <c r="AU1110" s="87"/>
      <c r="AV1110" s="92" t="str">
        <f>HYPERLINK("https://pbs.twimg.com/ext_tw_video_thumb/1699551843221716992/pu/img/A2M-KdVomcWgZFu1.jpg")</f>
        <v>https://pbs.twimg.com/ext_tw_video_thumb/1699551843221716992/pu/img/A2M-KdVomcWgZFu1.jpg</v>
      </c>
      <c r="AW1110" s="93" t="s">
        <v>19347</v>
      </c>
      <c r="AX1110" s="93" t="s">
        <v>19347</v>
      </c>
      <c r="AY1110" s="87"/>
      <c r="AZ1110" s="93" t="s">
        <v>22668</v>
      </c>
      <c r="BA1110" s="93" t="s">
        <v>22668</v>
      </c>
      <c r="BB1110" s="93" t="s">
        <v>22668</v>
      </c>
      <c r="BC1110" s="93" t="s">
        <v>19347</v>
      </c>
      <c r="BD1110" s="93" t="s">
        <v>23010</v>
      </c>
      <c r="BE1110" s="87"/>
      <c r="BF1110" s="87"/>
      <c r="BG1110" s="87"/>
      <c r="BH1110" s="87"/>
      <c r="BI1110" s="87"/>
    </row>
    <row r="1111" spans="1:61" x14ac:dyDescent="0.25">
      <c r="A1111" s="63" t="s">
        <v>603</v>
      </c>
      <c r="B1111" s="63" t="s">
        <v>603</v>
      </c>
      <c r="C1111" s="64"/>
      <c r="D1111" s="65"/>
      <c r="E1111" s="66"/>
      <c r="F1111" s="67"/>
      <c r="G1111" s="64"/>
      <c r="H1111" s="68"/>
      <c r="I1111" s="69"/>
      <c r="J1111" s="69"/>
      <c r="K1111" s="32"/>
      <c r="L1111" s="76">
        <v>1111</v>
      </c>
      <c r="M1111" s="76"/>
      <c r="N1111" s="71"/>
      <c r="O1111" s="87" t="s">
        <v>179</v>
      </c>
      <c r="P1111" s="90">
        <v>45169.502824074072</v>
      </c>
      <c r="Q1111" s="87" t="s">
        <v>2921</v>
      </c>
      <c r="R1111" s="87">
        <v>0</v>
      </c>
      <c r="S1111" s="87">
        <v>0</v>
      </c>
      <c r="T1111" s="87">
        <v>0</v>
      </c>
      <c r="U1111" s="87">
        <v>0</v>
      </c>
      <c r="V1111" s="87">
        <v>4</v>
      </c>
      <c r="W1111" s="93" t="s">
        <v>6049</v>
      </c>
      <c r="X1111" s="87"/>
      <c r="Y1111" s="87"/>
      <c r="Z1111" s="87"/>
      <c r="AA1111" s="87" t="s">
        <v>9319</v>
      </c>
      <c r="AB1111" s="87" t="s">
        <v>11447</v>
      </c>
      <c r="AC1111" s="93" t="s">
        <v>11459</v>
      </c>
      <c r="AD1111" s="87" t="s">
        <v>11519</v>
      </c>
      <c r="AE1111" s="92" t="str">
        <f>HYPERLINK("https://twitter.com/lucianogal14001/status/1697218694768689283")</f>
        <v>https://twitter.com/lucianogal14001/status/1697218694768689283</v>
      </c>
      <c r="AF1111" s="90">
        <v>45169.502824074072</v>
      </c>
      <c r="AG1111" s="99">
        <v>45169</v>
      </c>
      <c r="AH1111" s="93" t="s">
        <v>12555</v>
      </c>
      <c r="AI1111" s="87" t="b">
        <v>0</v>
      </c>
      <c r="AJ1111" s="87"/>
      <c r="AK1111" s="87"/>
      <c r="AL1111" s="87"/>
      <c r="AM1111" s="87"/>
      <c r="AN1111" s="87"/>
      <c r="AO1111" s="87"/>
      <c r="AP1111" s="87"/>
      <c r="AQ1111" s="87" t="s">
        <v>16132</v>
      </c>
      <c r="AR1111" s="87">
        <v>56166</v>
      </c>
      <c r="AS1111" s="87"/>
      <c r="AT1111" s="87"/>
      <c r="AU1111" s="87"/>
      <c r="AV1111" s="92" t="str">
        <f>HYPERLINK("https://pbs.twimg.com/ext_tw_video_thumb/1697218607845896192/pu/img/YP16A8usJ-31yI65.jpg")</f>
        <v>https://pbs.twimg.com/ext_tw_video_thumb/1697218607845896192/pu/img/YP16A8usJ-31yI65.jpg</v>
      </c>
      <c r="AW1111" s="93" t="s">
        <v>19348</v>
      </c>
      <c r="AX1111" s="93" t="s">
        <v>19348</v>
      </c>
      <c r="AY1111" s="87"/>
      <c r="AZ1111" s="93" t="s">
        <v>22668</v>
      </c>
      <c r="BA1111" s="93" t="s">
        <v>22668</v>
      </c>
      <c r="BB1111" s="93" t="s">
        <v>22668</v>
      </c>
      <c r="BC1111" s="93" t="s">
        <v>19348</v>
      </c>
      <c r="BD1111" s="93" t="s">
        <v>23010</v>
      </c>
      <c r="BE1111" s="87"/>
      <c r="BF1111" s="87"/>
      <c r="BG1111" s="87"/>
      <c r="BH1111" s="87"/>
      <c r="BI1111" s="87"/>
    </row>
    <row r="1112" spans="1:61" x14ac:dyDescent="0.25">
      <c r="A1112" s="63" t="s">
        <v>603</v>
      </c>
      <c r="B1112" s="63" t="s">
        <v>603</v>
      </c>
      <c r="C1112" s="64"/>
      <c r="D1112" s="65"/>
      <c r="E1112" s="66"/>
      <c r="F1112" s="67"/>
      <c r="G1112" s="64"/>
      <c r="H1112" s="68"/>
      <c r="I1112" s="69"/>
      <c r="J1112" s="69"/>
      <c r="K1112" s="32"/>
      <c r="L1112" s="76">
        <v>1112</v>
      </c>
      <c r="M1112" s="76"/>
      <c r="N1112" s="71"/>
      <c r="O1112" s="87" t="s">
        <v>179</v>
      </c>
      <c r="P1112" s="90">
        <v>45160.896469907406</v>
      </c>
      <c r="Q1112" s="87" t="s">
        <v>2922</v>
      </c>
      <c r="R1112" s="87">
        <v>0</v>
      </c>
      <c r="S1112" s="87">
        <v>1</v>
      </c>
      <c r="T1112" s="87">
        <v>0</v>
      </c>
      <c r="U1112" s="87">
        <v>0</v>
      </c>
      <c r="V1112" s="87">
        <v>30</v>
      </c>
      <c r="W1112" s="93" t="s">
        <v>6050</v>
      </c>
      <c r="X1112" s="87"/>
      <c r="Y1112" s="87"/>
      <c r="Z1112" s="87"/>
      <c r="AA1112" s="87" t="s">
        <v>9320</v>
      </c>
      <c r="AB1112" s="87" t="s">
        <v>11447</v>
      </c>
      <c r="AC1112" s="93" t="s">
        <v>11459</v>
      </c>
      <c r="AD1112" s="87" t="s">
        <v>11519</v>
      </c>
      <c r="AE1112" s="92" t="str">
        <f>HYPERLINK("https://twitter.com/lucianogal14001/status/1694099858531967103")</f>
        <v>https://twitter.com/lucianogal14001/status/1694099858531967103</v>
      </c>
      <c r="AF1112" s="90">
        <v>45160.896469907406</v>
      </c>
      <c r="AG1112" s="99">
        <v>45160</v>
      </c>
      <c r="AH1112" s="93" t="s">
        <v>12556</v>
      </c>
      <c r="AI1112" s="87" t="b">
        <v>0</v>
      </c>
      <c r="AJ1112" s="87"/>
      <c r="AK1112" s="87"/>
      <c r="AL1112" s="87"/>
      <c r="AM1112" s="87"/>
      <c r="AN1112" s="87"/>
      <c r="AO1112" s="87"/>
      <c r="AP1112" s="87"/>
      <c r="AQ1112" s="87" t="s">
        <v>16133</v>
      </c>
      <c r="AR1112" s="87">
        <v>34410</v>
      </c>
      <c r="AS1112" s="87"/>
      <c r="AT1112" s="87"/>
      <c r="AU1112" s="87"/>
      <c r="AV1112" s="92" t="str">
        <f>HYPERLINK("https://pbs.twimg.com/ext_tw_video_thumb/1694099775795146752/pu/img/zcGc95Mrl_B4phal.jpg")</f>
        <v>https://pbs.twimg.com/ext_tw_video_thumb/1694099775795146752/pu/img/zcGc95Mrl_B4phal.jpg</v>
      </c>
      <c r="AW1112" s="93" t="s">
        <v>19349</v>
      </c>
      <c r="AX1112" s="93" t="s">
        <v>19349</v>
      </c>
      <c r="AY1112" s="87"/>
      <c r="AZ1112" s="93" t="s">
        <v>22668</v>
      </c>
      <c r="BA1112" s="93" t="s">
        <v>22668</v>
      </c>
      <c r="BB1112" s="93" t="s">
        <v>22668</v>
      </c>
      <c r="BC1112" s="93" t="s">
        <v>19349</v>
      </c>
      <c r="BD1112" s="93" t="s">
        <v>23010</v>
      </c>
      <c r="BE1112" s="87"/>
      <c r="BF1112" s="87"/>
      <c r="BG1112" s="87"/>
      <c r="BH1112" s="87"/>
      <c r="BI1112" s="87"/>
    </row>
    <row r="1113" spans="1:61" x14ac:dyDescent="0.25">
      <c r="A1113" s="63" t="s">
        <v>603</v>
      </c>
      <c r="B1113" s="63" t="s">
        <v>603</v>
      </c>
      <c r="C1113" s="64"/>
      <c r="D1113" s="65"/>
      <c r="E1113" s="66"/>
      <c r="F1113" s="67"/>
      <c r="G1113" s="64"/>
      <c r="H1113" s="68"/>
      <c r="I1113" s="69"/>
      <c r="J1113" s="69"/>
      <c r="K1113" s="32"/>
      <c r="L1113" s="76">
        <v>1113</v>
      </c>
      <c r="M1113" s="76"/>
      <c r="N1113" s="71"/>
      <c r="O1113" s="87" t="s">
        <v>179</v>
      </c>
      <c r="P1113" s="90">
        <v>45172.896932870368</v>
      </c>
      <c r="Q1113" s="87" t="s">
        <v>2923</v>
      </c>
      <c r="R1113" s="87">
        <v>0</v>
      </c>
      <c r="S1113" s="87">
        <v>0</v>
      </c>
      <c r="T1113" s="87">
        <v>0</v>
      </c>
      <c r="U1113" s="87">
        <v>0</v>
      </c>
      <c r="V1113" s="87">
        <v>6</v>
      </c>
      <c r="W1113" s="93" t="s">
        <v>6648</v>
      </c>
      <c r="X1113" s="87"/>
      <c r="Y1113" s="87"/>
      <c r="Z1113" s="87"/>
      <c r="AA1113" s="87" t="s">
        <v>9321</v>
      </c>
      <c r="AB1113" s="87" t="s">
        <v>11447</v>
      </c>
      <c r="AC1113" s="93" t="s">
        <v>11459</v>
      </c>
      <c r="AD1113" s="87" t="s">
        <v>11519</v>
      </c>
      <c r="AE1113" s="92" t="str">
        <f>HYPERLINK("https://twitter.com/lucianogal14001/status/1698448681043640481")</f>
        <v>https://twitter.com/lucianogal14001/status/1698448681043640481</v>
      </c>
      <c r="AF1113" s="90">
        <v>45172.896932870368</v>
      </c>
      <c r="AG1113" s="99">
        <v>45172</v>
      </c>
      <c r="AH1113" s="93" t="s">
        <v>12557</v>
      </c>
      <c r="AI1113" s="87" t="b">
        <v>0</v>
      </c>
      <c r="AJ1113" s="87"/>
      <c r="AK1113" s="87"/>
      <c r="AL1113" s="87"/>
      <c r="AM1113" s="87"/>
      <c r="AN1113" s="87"/>
      <c r="AO1113" s="87"/>
      <c r="AP1113" s="87"/>
      <c r="AQ1113" s="87" t="s">
        <v>16134</v>
      </c>
      <c r="AR1113" s="87">
        <v>47807</v>
      </c>
      <c r="AS1113" s="87"/>
      <c r="AT1113" s="87"/>
      <c r="AU1113" s="87"/>
      <c r="AV1113" s="92" t="str">
        <f>HYPERLINK("https://pbs.twimg.com/ext_tw_video_thumb/1698448603432226817/pu/img/IxjiOqhJebjoA7yb.jpg")</f>
        <v>https://pbs.twimg.com/ext_tw_video_thumb/1698448603432226817/pu/img/IxjiOqhJebjoA7yb.jpg</v>
      </c>
      <c r="AW1113" s="93" t="s">
        <v>19350</v>
      </c>
      <c r="AX1113" s="93" t="s">
        <v>19350</v>
      </c>
      <c r="AY1113" s="87"/>
      <c r="AZ1113" s="93" t="s">
        <v>22668</v>
      </c>
      <c r="BA1113" s="93" t="s">
        <v>22668</v>
      </c>
      <c r="BB1113" s="93" t="s">
        <v>22668</v>
      </c>
      <c r="BC1113" s="93" t="s">
        <v>19350</v>
      </c>
      <c r="BD1113" s="93" t="s">
        <v>23010</v>
      </c>
      <c r="BE1113" s="87"/>
      <c r="BF1113" s="87"/>
      <c r="BG1113" s="87"/>
      <c r="BH1113" s="87"/>
      <c r="BI1113" s="87"/>
    </row>
    <row r="1114" spans="1:61" x14ac:dyDescent="0.25">
      <c r="A1114" s="63" t="s">
        <v>603</v>
      </c>
      <c r="B1114" s="63" t="s">
        <v>603</v>
      </c>
      <c r="C1114" s="64"/>
      <c r="D1114" s="65"/>
      <c r="E1114" s="66"/>
      <c r="F1114" s="67"/>
      <c r="G1114" s="64"/>
      <c r="H1114" s="68"/>
      <c r="I1114" s="69"/>
      <c r="J1114" s="69"/>
      <c r="K1114" s="32"/>
      <c r="L1114" s="76">
        <v>1114</v>
      </c>
      <c r="M1114" s="76"/>
      <c r="N1114" s="71"/>
      <c r="O1114" s="87" t="s">
        <v>179</v>
      </c>
      <c r="P1114" s="90">
        <v>45172.037951388891</v>
      </c>
      <c r="Q1114" s="87" t="s">
        <v>2924</v>
      </c>
      <c r="R1114" s="87">
        <v>0</v>
      </c>
      <c r="S1114" s="87">
        <v>0</v>
      </c>
      <c r="T1114" s="87">
        <v>0</v>
      </c>
      <c r="U1114" s="87">
        <v>0</v>
      </c>
      <c r="V1114" s="87">
        <v>14</v>
      </c>
      <c r="W1114" s="93" t="s">
        <v>6649</v>
      </c>
      <c r="X1114" s="87"/>
      <c r="Y1114" s="87"/>
      <c r="Z1114" s="87"/>
      <c r="AA1114" s="87" t="s">
        <v>9322</v>
      </c>
      <c r="AB1114" s="87" t="s">
        <v>11447</v>
      </c>
      <c r="AC1114" s="93" t="s">
        <v>11459</v>
      </c>
      <c r="AD1114" s="87" t="s">
        <v>11519</v>
      </c>
      <c r="AE1114" s="92" t="str">
        <f>HYPERLINK("https://twitter.com/lucianogal14001/status/1698137393042182314")</f>
        <v>https://twitter.com/lucianogal14001/status/1698137393042182314</v>
      </c>
      <c r="AF1114" s="90">
        <v>45172.037951388891</v>
      </c>
      <c r="AG1114" s="99">
        <v>45172</v>
      </c>
      <c r="AH1114" s="93" t="s">
        <v>12558</v>
      </c>
      <c r="AI1114" s="87" t="b">
        <v>0</v>
      </c>
      <c r="AJ1114" s="87"/>
      <c r="AK1114" s="87"/>
      <c r="AL1114" s="87"/>
      <c r="AM1114" s="87"/>
      <c r="AN1114" s="87"/>
      <c r="AO1114" s="87"/>
      <c r="AP1114" s="87"/>
      <c r="AQ1114" s="87" t="s">
        <v>16135</v>
      </c>
      <c r="AR1114" s="87">
        <v>60671</v>
      </c>
      <c r="AS1114" s="87"/>
      <c r="AT1114" s="87"/>
      <c r="AU1114" s="87"/>
      <c r="AV1114" s="92" t="str">
        <f>HYPERLINK("https://pbs.twimg.com/ext_tw_video_thumb/1698137250674921472/pu/img/BqYndpbYj9ZuIOGM.jpg")</f>
        <v>https://pbs.twimg.com/ext_tw_video_thumb/1698137250674921472/pu/img/BqYndpbYj9ZuIOGM.jpg</v>
      </c>
      <c r="AW1114" s="93" t="s">
        <v>19351</v>
      </c>
      <c r="AX1114" s="93" t="s">
        <v>19351</v>
      </c>
      <c r="AY1114" s="87"/>
      <c r="AZ1114" s="93" t="s">
        <v>22668</v>
      </c>
      <c r="BA1114" s="93" t="s">
        <v>22668</v>
      </c>
      <c r="BB1114" s="93" t="s">
        <v>22668</v>
      </c>
      <c r="BC1114" s="93" t="s">
        <v>19351</v>
      </c>
      <c r="BD1114" s="93" t="s">
        <v>23010</v>
      </c>
      <c r="BE1114" s="87"/>
      <c r="BF1114" s="87"/>
      <c r="BG1114" s="87"/>
      <c r="BH1114" s="87"/>
      <c r="BI1114" s="87"/>
    </row>
    <row r="1115" spans="1:61" x14ac:dyDescent="0.25">
      <c r="A1115" s="63" t="s">
        <v>603</v>
      </c>
      <c r="B1115" s="63" t="s">
        <v>603</v>
      </c>
      <c r="C1115" s="64"/>
      <c r="D1115" s="65"/>
      <c r="E1115" s="66"/>
      <c r="F1115" s="67"/>
      <c r="G1115" s="64"/>
      <c r="H1115" s="68"/>
      <c r="I1115" s="69"/>
      <c r="J1115" s="69"/>
      <c r="K1115" s="32"/>
      <c r="L1115" s="76">
        <v>1115</v>
      </c>
      <c r="M1115" s="76"/>
      <c r="N1115" s="71"/>
      <c r="O1115" s="87" t="s">
        <v>179</v>
      </c>
      <c r="P1115" s="90">
        <v>45171.646909722222</v>
      </c>
      <c r="Q1115" s="87" t="s">
        <v>2925</v>
      </c>
      <c r="R1115" s="87">
        <v>0</v>
      </c>
      <c r="S1115" s="87">
        <v>0</v>
      </c>
      <c r="T1115" s="87">
        <v>0</v>
      </c>
      <c r="U1115" s="87">
        <v>0</v>
      </c>
      <c r="V1115" s="87">
        <v>14</v>
      </c>
      <c r="W1115" s="93" t="s">
        <v>6050</v>
      </c>
      <c r="X1115" s="87"/>
      <c r="Y1115" s="87"/>
      <c r="Z1115" s="87"/>
      <c r="AA1115" s="87" t="s">
        <v>9323</v>
      </c>
      <c r="AB1115" s="87" t="s">
        <v>11447</v>
      </c>
      <c r="AC1115" s="93" t="s">
        <v>11459</v>
      </c>
      <c r="AD1115" s="87" t="s">
        <v>11519</v>
      </c>
      <c r="AE1115" s="92" t="str">
        <f>HYPERLINK("https://twitter.com/lucianogal14001/status/1697995687483388392")</f>
        <v>https://twitter.com/lucianogal14001/status/1697995687483388392</v>
      </c>
      <c r="AF1115" s="90">
        <v>45171.646909722222</v>
      </c>
      <c r="AG1115" s="99">
        <v>45171</v>
      </c>
      <c r="AH1115" s="93" t="s">
        <v>12559</v>
      </c>
      <c r="AI1115" s="87" t="b">
        <v>0</v>
      </c>
      <c r="AJ1115" s="87"/>
      <c r="AK1115" s="87"/>
      <c r="AL1115" s="87"/>
      <c r="AM1115" s="87"/>
      <c r="AN1115" s="87"/>
      <c r="AO1115" s="87"/>
      <c r="AP1115" s="87"/>
      <c r="AQ1115" s="87" t="s">
        <v>16136</v>
      </c>
      <c r="AR1115" s="87">
        <v>56468</v>
      </c>
      <c r="AS1115" s="87"/>
      <c r="AT1115" s="87"/>
      <c r="AU1115" s="87"/>
      <c r="AV1115" s="92" t="str">
        <f>HYPERLINK("https://pbs.twimg.com/ext_tw_video_thumb/1697995309639413760/pu/img/pQeTWQCegj53FlKd.jpg")</f>
        <v>https://pbs.twimg.com/ext_tw_video_thumb/1697995309639413760/pu/img/pQeTWQCegj53FlKd.jpg</v>
      </c>
      <c r="AW1115" s="93" t="s">
        <v>19352</v>
      </c>
      <c r="AX1115" s="93" t="s">
        <v>19352</v>
      </c>
      <c r="AY1115" s="87"/>
      <c r="AZ1115" s="93" t="s">
        <v>22668</v>
      </c>
      <c r="BA1115" s="93" t="s">
        <v>22668</v>
      </c>
      <c r="BB1115" s="93" t="s">
        <v>22668</v>
      </c>
      <c r="BC1115" s="93" t="s">
        <v>19352</v>
      </c>
      <c r="BD1115" s="93" t="s">
        <v>23010</v>
      </c>
      <c r="BE1115" s="87"/>
      <c r="BF1115" s="87"/>
      <c r="BG1115" s="87"/>
      <c r="BH1115" s="87"/>
      <c r="BI1115" s="87"/>
    </row>
    <row r="1116" spans="1:61" x14ac:dyDescent="0.25">
      <c r="A1116" s="63" t="s">
        <v>603</v>
      </c>
      <c r="B1116" s="63" t="s">
        <v>603</v>
      </c>
      <c r="C1116" s="64"/>
      <c r="D1116" s="65"/>
      <c r="E1116" s="66"/>
      <c r="F1116" s="67"/>
      <c r="G1116" s="64"/>
      <c r="H1116" s="68"/>
      <c r="I1116" s="69"/>
      <c r="J1116" s="69"/>
      <c r="K1116" s="32"/>
      <c r="L1116" s="76">
        <v>1116</v>
      </c>
      <c r="M1116" s="76"/>
      <c r="N1116" s="71"/>
      <c r="O1116" s="87" t="s">
        <v>179</v>
      </c>
      <c r="P1116" s="90">
        <v>45173.977210648147</v>
      </c>
      <c r="Q1116" s="87" t="s">
        <v>2926</v>
      </c>
      <c r="R1116" s="87">
        <v>0</v>
      </c>
      <c r="S1116" s="87">
        <v>0</v>
      </c>
      <c r="T1116" s="87">
        <v>0</v>
      </c>
      <c r="U1116" s="87">
        <v>0</v>
      </c>
      <c r="V1116" s="87">
        <v>16</v>
      </c>
      <c r="W1116" s="93" t="s">
        <v>6053</v>
      </c>
      <c r="X1116" s="87"/>
      <c r="Y1116" s="87"/>
      <c r="Z1116" s="87"/>
      <c r="AA1116" s="87" t="s">
        <v>9324</v>
      </c>
      <c r="AB1116" s="87" t="s">
        <v>11447</v>
      </c>
      <c r="AC1116" s="93" t="s">
        <v>11459</v>
      </c>
      <c r="AD1116" s="87" t="s">
        <v>11519</v>
      </c>
      <c r="AE1116" s="92" t="str">
        <f>HYPERLINK("https://twitter.com/lucianogal14001/status/1698840161109365099")</f>
        <v>https://twitter.com/lucianogal14001/status/1698840161109365099</v>
      </c>
      <c r="AF1116" s="90">
        <v>45173.977210648147</v>
      </c>
      <c r="AG1116" s="99">
        <v>45173</v>
      </c>
      <c r="AH1116" s="93" t="s">
        <v>12560</v>
      </c>
      <c r="AI1116" s="87" t="b">
        <v>0</v>
      </c>
      <c r="AJ1116" s="87"/>
      <c r="AK1116" s="87"/>
      <c r="AL1116" s="87"/>
      <c r="AM1116" s="87"/>
      <c r="AN1116" s="87"/>
      <c r="AO1116" s="87"/>
      <c r="AP1116" s="87"/>
      <c r="AQ1116" s="87" t="s">
        <v>16137</v>
      </c>
      <c r="AR1116" s="87">
        <v>41770</v>
      </c>
      <c r="AS1116" s="87"/>
      <c r="AT1116" s="87"/>
      <c r="AU1116" s="87"/>
      <c r="AV1116" s="92" t="str">
        <f>HYPERLINK("https://pbs.twimg.com/ext_tw_video_thumb/1698840093161656320/pu/img/kzxSWy9g1TvhyzIp.jpg")</f>
        <v>https://pbs.twimg.com/ext_tw_video_thumb/1698840093161656320/pu/img/kzxSWy9g1TvhyzIp.jpg</v>
      </c>
      <c r="AW1116" s="93" t="s">
        <v>19353</v>
      </c>
      <c r="AX1116" s="93" t="s">
        <v>19353</v>
      </c>
      <c r="AY1116" s="87"/>
      <c r="AZ1116" s="93" t="s">
        <v>22668</v>
      </c>
      <c r="BA1116" s="93" t="s">
        <v>22668</v>
      </c>
      <c r="BB1116" s="93" t="s">
        <v>22668</v>
      </c>
      <c r="BC1116" s="93" t="s">
        <v>19353</v>
      </c>
      <c r="BD1116" s="93" t="s">
        <v>23010</v>
      </c>
      <c r="BE1116" s="87"/>
      <c r="BF1116" s="87"/>
      <c r="BG1116" s="87"/>
      <c r="BH1116" s="87"/>
      <c r="BI1116" s="87"/>
    </row>
    <row r="1117" spans="1:61" x14ac:dyDescent="0.25">
      <c r="A1117" s="63" t="s">
        <v>603</v>
      </c>
      <c r="B1117" s="63" t="s">
        <v>603</v>
      </c>
      <c r="C1117" s="64"/>
      <c r="D1117" s="65"/>
      <c r="E1117" s="66"/>
      <c r="F1117" s="67"/>
      <c r="G1117" s="64"/>
      <c r="H1117" s="68"/>
      <c r="I1117" s="69"/>
      <c r="J1117" s="69"/>
      <c r="K1117" s="32"/>
      <c r="L1117" s="76">
        <v>1117</v>
      </c>
      <c r="M1117" s="76"/>
      <c r="N1117" s="71"/>
      <c r="O1117" s="87" t="s">
        <v>179</v>
      </c>
      <c r="P1117" s="90">
        <v>45177.697534722225</v>
      </c>
      <c r="Q1117" s="87" t="s">
        <v>2927</v>
      </c>
      <c r="R1117" s="87">
        <v>0</v>
      </c>
      <c r="S1117" s="87">
        <v>0</v>
      </c>
      <c r="T1117" s="87">
        <v>0</v>
      </c>
      <c r="U1117" s="87">
        <v>0</v>
      </c>
      <c r="V1117" s="87">
        <v>5</v>
      </c>
      <c r="W1117" s="93" t="s">
        <v>6053</v>
      </c>
      <c r="X1117" s="87"/>
      <c r="Y1117" s="87"/>
      <c r="Z1117" s="87"/>
      <c r="AA1117" s="87" t="s">
        <v>9325</v>
      </c>
      <c r="AB1117" s="87" t="s">
        <v>11447</v>
      </c>
      <c r="AC1117" s="93" t="s">
        <v>11459</v>
      </c>
      <c r="AD1117" s="87" t="s">
        <v>11519</v>
      </c>
      <c r="AE1117" s="92" t="str">
        <f>HYPERLINK("https://twitter.com/lucianogal14001/status/1700188358704513024")</f>
        <v>https://twitter.com/lucianogal14001/status/1700188358704513024</v>
      </c>
      <c r="AF1117" s="90">
        <v>45177.697534722225</v>
      </c>
      <c r="AG1117" s="99">
        <v>45177</v>
      </c>
      <c r="AH1117" s="93" t="s">
        <v>12561</v>
      </c>
      <c r="AI1117" s="87" t="b">
        <v>0</v>
      </c>
      <c r="AJ1117" s="87"/>
      <c r="AK1117" s="87"/>
      <c r="AL1117" s="87"/>
      <c r="AM1117" s="87"/>
      <c r="AN1117" s="87"/>
      <c r="AO1117" s="87"/>
      <c r="AP1117" s="87"/>
      <c r="AQ1117" s="87" t="s">
        <v>16138</v>
      </c>
      <c r="AR1117" s="87">
        <v>44000</v>
      </c>
      <c r="AS1117" s="87"/>
      <c r="AT1117" s="87"/>
      <c r="AU1117" s="87"/>
      <c r="AV1117" s="92" t="str">
        <f>HYPERLINK("https://pbs.twimg.com/ext_tw_video_thumb/1700188300923867136/pu/img/krPtc_gklzMe7Mnk.jpg")</f>
        <v>https://pbs.twimg.com/ext_tw_video_thumb/1700188300923867136/pu/img/krPtc_gklzMe7Mnk.jpg</v>
      </c>
      <c r="AW1117" s="93" t="s">
        <v>19354</v>
      </c>
      <c r="AX1117" s="93" t="s">
        <v>19354</v>
      </c>
      <c r="AY1117" s="87"/>
      <c r="AZ1117" s="93" t="s">
        <v>22668</v>
      </c>
      <c r="BA1117" s="93" t="s">
        <v>22668</v>
      </c>
      <c r="BB1117" s="93" t="s">
        <v>22668</v>
      </c>
      <c r="BC1117" s="93" t="s">
        <v>19354</v>
      </c>
      <c r="BD1117" s="93" t="s">
        <v>23010</v>
      </c>
      <c r="BE1117" s="87"/>
      <c r="BF1117" s="87"/>
      <c r="BG1117" s="87"/>
      <c r="BH1117" s="87"/>
      <c r="BI1117" s="87"/>
    </row>
    <row r="1118" spans="1:61" x14ac:dyDescent="0.25">
      <c r="A1118" s="63" t="s">
        <v>603</v>
      </c>
      <c r="B1118" s="63" t="s">
        <v>603</v>
      </c>
      <c r="C1118" s="64"/>
      <c r="D1118" s="65"/>
      <c r="E1118" s="66"/>
      <c r="F1118" s="67"/>
      <c r="G1118" s="64"/>
      <c r="H1118" s="68"/>
      <c r="I1118" s="69"/>
      <c r="J1118" s="69"/>
      <c r="K1118" s="32"/>
      <c r="L1118" s="76">
        <v>1118</v>
      </c>
      <c r="M1118" s="76"/>
      <c r="N1118" s="71"/>
      <c r="O1118" s="87" t="s">
        <v>179</v>
      </c>
      <c r="P1118" s="90">
        <v>45170.665590277778</v>
      </c>
      <c r="Q1118" s="87" t="s">
        <v>2928</v>
      </c>
      <c r="R1118" s="87">
        <v>0</v>
      </c>
      <c r="S1118" s="87">
        <v>0</v>
      </c>
      <c r="T1118" s="87">
        <v>0</v>
      </c>
      <c r="U1118" s="87">
        <v>0</v>
      </c>
      <c r="V1118" s="87">
        <v>13</v>
      </c>
      <c r="W1118" s="93" t="s">
        <v>6650</v>
      </c>
      <c r="X1118" s="87"/>
      <c r="Y1118" s="87"/>
      <c r="Z1118" s="87"/>
      <c r="AA1118" s="87" t="s">
        <v>9326</v>
      </c>
      <c r="AB1118" s="87" t="s">
        <v>11447</v>
      </c>
      <c r="AC1118" s="93" t="s">
        <v>11459</v>
      </c>
      <c r="AD1118" s="87" t="s">
        <v>11519</v>
      </c>
      <c r="AE1118" s="92" t="str">
        <f>HYPERLINK("https://twitter.com/lucianogal14001/status/1697640066917564707")</f>
        <v>https://twitter.com/lucianogal14001/status/1697640066917564707</v>
      </c>
      <c r="AF1118" s="90">
        <v>45170.665590277778</v>
      </c>
      <c r="AG1118" s="99">
        <v>45170</v>
      </c>
      <c r="AH1118" s="93" t="s">
        <v>12562</v>
      </c>
      <c r="AI1118" s="87" t="b">
        <v>0</v>
      </c>
      <c r="AJ1118" s="87"/>
      <c r="AK1118" s="87"/>
      <c r="AL1118" s="87"/>
      <c r="AM1118" s="87"/>
      <c r="AN1118" s="87"/>
      <c r="AO1118" s="87"/>
      <c r="AP1118" s="87"/>
      <c r="AQ1118" s="87" t="s">
        <v>16139</v>
      </c>
      <c r="AR1118" s="87">
        <v>49711</v>
      </c>
      <c r="AS1118" s="87"/>
      <c r="AT1118" s="87"/>
      <c r="AU1118" s="87"/>
      <c r="AV1118" s="92" t="str">
        <f>HYPERLINK("https://pbs.twimg.com/ext_tw_video_thumb/1697639992523124736/pu/img/cKc0Tnoa1j_B0RKz.jpg")</f>
        <v>https://pbs.twimg.com/ext_tw_video_thumb/1697639992523124736/pu/img/cKc0Tnoa1j_B0RKz.jpg</v>
      </c>
      <c r="AW1118" s="93" t="s">
        <v>19355</v>
      </c>
      <c r="AX1118" s="93" t="s">
        <v>19355</v>
      </c>
      <c r="AY1118" s="87"/>
      <c r="AZ1118" s="93" t="s">
        <v>22668</v>
      </c>
      <c r="BA1118" s="93" t="s">
        <v>22668</v>
      </c>
      <c r="BB1118" s="93" t="s">
        <v>22668</v>
      </c>
      <c r="BC1118" s="93" t="s">
        <v>19355</v>
      </c>
      <c r="BD1118" s="93" t="s">
        <v>23010</v>
      </c>
      <c r="BE1118" s="87"/>
      <c r="BF1118" s="87"/>
      <c r="BG1118" s="87"/>
      <c r="BH1118" s="87"/>
      <c r="BI1118" s="87"/>
    </row>
    <row r="1119" spans="1:61" x14ac:dyDescent="0.25">
      <c r="A1119" s="63" t="s">
        <v>604</v>
      </c>
      <c r="B1119" s="63" t="s">
        <v>604</v>
      </c>
      <c r="C1119" s="64"/>
      <c r="D1119" s="65"/>
      <c r="E1119" s="66"/>
      <c r="F1119" s="67"/>
      <c r="G1119" s="64"/>
      <c r="H1119" s="68"/>
      <c r="I1119" s="69"/>
      <c r="J1119" s="69"/>
      <c r="K1119" s="32"/>
      <c r="L1119" s="76">
        <v>1119</v>
      </c>
      <c r="M1119" s="76"/>
      <c r="N1119" s="71"/>
      <c r="O1119" s="87" t="s">
        <v>179</v>
      </c>
      <c r="P1119" s="90">
        <v>45116.16642361111</v>
      </c>
      <c r="Q1119" s="87" t="s">
        <v>2929</v>
      </c>
      <c r="R1119" s="87">
        <v>0</v>
      </c>
      <c r="S1119" s="87">
        <v>0</v>
      </c>
      <c r="T1119" s="87">
        <v>0</v>
      </c>
      <c r="U1119" s="87">
        <v>0</v>
      </c>
      <c r="V1119" s="87">
        <v>8</v>
      </c>
      <c r="W1119" s="93" t="s">
        <v>6651</v>
      </c>
      <c r="X1119" s="87"/>
      <c r="Y1119" s="87"/>
      <c r="Z1119" s="87"/>
      <c r="AA1119" s="87"/>
      <c r="AB1119" s="87"/>
      <c r="AC1119" s="93" t="s">
        <v>11457</v>
      </c>
      <c r="AD1119" s="87" t="s">
        <v>11519</v>
      </c>
      <c r="AE1119" s="92" t="str">
        <f>HYPERLINK("https://twitter.com/zanettijeff/status/1677890232681738242")</f>
        <v>https://twitter.com/zanettijeff/status/1677890232681738242</v>
      </c>
      <c r="AF1119" s="90">
        <v>45116.16642361111</v>
      </c>
      <c r="AG1119" s="99">
        <v>45116</v>
      </c>
      <c r="AH1119" s="93" t="s">
        <v>12563</v>
      </c>
      <c r="AI1119" s="87"/>
      <c r="AJ1119" s="87"/>
      <c r="AK1119" s="87"/>
      <c r="AL1119" s="87"/>
      <c r="AM1119" s="87"/>
      <c r="AN1119" s="87"/>
      <c r="AO1119" s="87"/>
      <c r="AP1119" s="87"/>
      <c r="AQ1119" s="87"/>
      <c r="AR1119" s="87"/>
      <c r="AS1119" s="87"/>
      <c r="AT1119" s="87"/>
      <c r="AU1119" s="87"/>
      <c r="AV1119" s="92" t="str">
        <f>HYPERLINK("https://pbs.twimg.com/profile_images/1426399737230548992/1ZC_M2BK_normal.jpg")</f>
        <v>https://pbs.twimg.com/profile_images/1426399737230548992/1ZC_M2BK_normal.jpg</v>
      </c>
      <c r="AW1119" s="93" t="s">
        <v>19356</v>
      </c>
      <c r="AX1119" s="93" t="s">
        <v>19356</v>
      </c>
      <c r="AY1119" s="87"/>
      <c r="AZ1119" s="93" t="s">
        <v>22668</v>
      </c>
      <c r="BA1119" s="93" t="s">
        <v>22668</v>
      </c>
      <c r="BB1119" s="93" t="s">
        <v>22668</v>
      </c>
      <c r="BC1119" s="93" t="s">
        <v>19356</v>
      </c>
      <c r="BD1119" s="93" t="s">
        <v>23011</v>
      </c>
      <c r="BE1119" s="87"/>
      <c r="BF1119" s="87"/>
      <c r="BG1119" s="87"/>
      <c r="BH1119" s="87"/>
      <c r="BI1119" s="87"/>
    </row>
    <row r="1120" spans="1:61" x14ac:dyDescent="0.25">
      <c r="A1120" s="63" t="s">
        <v>604</v>
      </c>
      <c r="B1120" s="63" t="s">
        <v>604</v>
      </c>
      <c r="C1120" s="64"/>
      <c r="D1120" s="65"/>
      <c r="E1120" s="66"/>
      <c r="F1120" s="67"/>
      <c r="G1120" s="64"/>
      <c r="H1120" s="68"/>
      <c r="I1120" s="69"/>
      <c r="J1120" s="69"/>
      <c r="K1120" s="32"/>
      <c r="L1120" s="76">
        <v>1120</v>
      </c>
      <c r="M1120" s="76"/>
      <c r="N1120" s="71"/>
      <c r="O1120" s="87" t="s">
        <v>179</v>
      </c>
      <c r="P1120" s="90">
        <v>45116.164456018516</v>
      </c>
      <c r="Q1120" s="87" t="s">
        <v>2930</v>
      </c>
      <c r="R1120" s="87">
        <v>0</v>
      </c>
      <c r="S1120" s="87">
        <v>0</v>
      </c>
      <c r="T1120" s="87">
        <v>0</v>
      </c>
      <c r="U1120" s="87">
        <v>0</v>
      </c>
      <c r="V1120" s="87">
        <v>6</v>
      </c>
      <c r="W1120" s="93" t="s">
        <v>6652</v>
      </c>
      <c r="X1120" s="87"/>
      <c r="Y1120" s="87"/>
      <c r="Z1120" s="87"/>
      <c r="AA1120" s="87"/>
      <c r="AB1120" s="87"/>
      <c r="AC1120" s="93" t="s">
        <v>11457</v>
      </c>
      <c r="AD1120" s="87" t="s">
        <v>11519</v>
      </c>
      <c r="AE1120" s="92" t="str">
        <f>HYPERLINK("https://twitter.com/zanettijeff/status/1677889517838118912")</f>
        <v>https://twitter.com/zanettijeff/status/1677889517838118912</v>
      </c>
      <c r="AF1120" s="90">
        <v>45116.164456018516</v>
      </c>
      <c r="AG1120" s="99">
        <v>45116</v>
      </c>
      <c r="AH1120" s="93" t="s">
        <v>12564</v>
      </c>
      <c r="AI1120" s="87"/>
      <c r="AJ1120" s="87"/>
      <c r="AK1120" s="87"/>
      <c r="AL1120" s="87"/>
      <c r="AM1120" s="87"/>
      <c r="AN1120" s="87"/>
      <c r="AO1120" s="87"/>
      <c r="AP1120" s="87"/>
      <c r="AQ1120" s="87"/>
      <c r="AR1120" s="87"/>
      <c r="AS1120" s="87"/>
      <c r="AT1120" s="87"/>
      <c r="AU1120" s="87"/>
      <c r="AV1120" s="92" t="str">
        <f>HYPERLINK("https://pbs.twimg.com/profile_images/1426399737230548992/1ZC_M2BK_normal.jpg")</f>
        <v>https://pbs.twimg.com/profile_images/1426399737230548992/1ZC_M2BK_normal.jpg</v>
      </c>
      <c r="AW1120" s="93" t="s">
        <v>19357</v>
      </c>
      <c r="AX1120" s="93" t="s">
        <v>19357</v>
      </c>
      <c r="AY1120" s="87"/>
      <c r="AZ1120" s="93" t="s">
        <v>22668</v>
      </c>
      <c r="BA1120" s="93" t="s">
        <v>22668</v>
      </c>
      <c r="BB1120" s="93" t="s">
        <v>22668</v>
      </c>
      <c r="BC1120" s="93" t="s">
        <v>19357</v>
      </c>
      <c r="BD1120" s="93" t="s">
        <v>23011</v>
      </c>
      <c r="BE1120" s="87"/>
      <c r="BF1120" s="87"/>
      <c r="BG1120" s="87"/>
      <c r="BH1120" s="87"/>
      <c r="BI1120" s="87"/>
    </row>
    <row r="1121" spans="1:61" x14ac:dyDescent="0.25">
      <c r="A1121" s="63" t="s">
        <v>604</v>
      </c>
      <c r="B1121" s="63" t="s">
        <v>817</v>
      </c>
      <c r="C1121" s="64"/>
      <c r="D1121" s="65"/>
      <c r="E1121" s="66"/>
      <c r="F1121" s="67"/>
      <c r="G1121" s="64"/>
      <c r="H1121" s="68"/>
      <c r="I1121" s="69"/>
      <c r="J1121" s="69"/>
      <c r="K1121" s="32"/>
      <c r="L1121" s="76">
        <v>1121</v>
      </c>
      <c r="M1121" s="76"/>
      <c r="N1121" s="71"/>
      <c r="O1121" s="87" t="s">
        <v>1840</v>
      </c>
      <c r="P1121" s="90">
        <v>45118.607777777775</v>
      </c>
      <c r="Q1121" s="87" t="s">
        <v>2931</v>
      </c>
      <c r="R1121" s="87">
        <v>0</v>
      </c>
      <c r="S1121" s="87">
        <v>1</v>
      </c>
      <c r="T1121" s="87">
        <v>0</v>
      </c>
      <c r="U1121" s="87">
        <v>0</v>
      </c>
      <c r="V1121" s="87">
        <v>13</v>
      </c>
      <c r="W1121" s="93" t="s">
        <v>6653</v>
      </c>
      <c r="X1121" s="87"/>
      <c r="Y1121" s="87"/>
      <c r="Z1121" s="87" t="s">
        <v>817</v>
      </c>
      <c r="AA1121" s="87"/>
      <c r="AB1121" s="87"/>
      <c r="AC1121" s="93" t="s">
        <v>11457</v>
      </c>
      <c r="AD1121" s="87" t="s">
        <v>11519</v>
      </c>
      <c r="AE1121" s="92" t="str">
        <f>HYPERLINK("https://twitter.com/zanettijeff/status/1678774946783449092")</f>
        <v>https://twitter.com/zanettijeff/status/1678774946783449092</v>
      </c>
      <c r="AF1121" s="90">
        <v>45118.607777777775</v>
      </c>
      <c r="AG1121" s="99">
        <v>45118</v>
      </c>
      <c r="AH1121" s="93" t="s">
        <v>12565</v>
      </c>
      <c r="AI1121" s="87"/>
      <c r="AJ1121" s="87"/>
      <c r="AK1121" s="87"/>
      <c r="AL1121" s="87"/>
      <c r="AM1121" s="87"/>
      <c r="AN1121" s="87"/>
      <c r="AO1121" s="87"/>
      <c r="AP1121" s="87"/>
      <c r="AQ1121" s="87"/>
      <c r="AR1121" s="87"/>
      <c r="AS1121" s="87"/>
      <c r="AT1121" s="87"/>
      <c r="AU1121" s="87"/>
      <c r="AV1121" s="92" t="str">
        <f>HYPERLINK("https://pbs.twimg.com/profile_images/1426399737230548992/1ZC_M2BK_normal.jpg")</f>
        <v>https://pbs.twimg.com/profile_images/1426399737230548992/1ZC_M2BK_normal.jpg</v>
      </c>
      <c r="AW1121" s="93" t="s">
        <v>19358</v>
      </c>
      <c r="AX1121" s="93" t="s">
        <v>22352</v>
      </c>
      <c r="AY1121" s="93" t="s">
        <v>22553</v>
      </c>
      <c r="AZ1121" s="93" t="s">
        <v>22352</v>
      </c>
      <c r="BA1121" s="93" t="s">
        <v>22668</v>
      </c>
      <c r="BB1121" s="93" t="s">
        <v>22668</v>
      </c>
      <c r="BC1121" s="93" t="s">
        <v>22352</v>
      </c>
      <c r="BD1121" s="93" t="s">
        <v>23011</v>
      </c>
      <c r="BE1121" s="87"/>
      <c r="BF1121" s="87"/>
      <c r="BG1121" s="87"/>
      <c r="BH1121" s="87"/>
      <c r="BI1121" s="87"/>
    </row>
    <row r="1122" spans="1:61" x14ac:dyDescent="0.25">
      <c r="A1122" s="63" t="s">
        <v>604</v>
      </c>
      <c r="B1122" s="63" t="s">
        <v>604</v>
      </c>
      <c r="C1122" s="64"/>
      <c r="D1122" s="65"/>
      <c r="E1122" s="66"/>
      <c r="F1122" s="67"/>
      <c r="G1122" s="64"/>
      <c r="H1122" s="68"/>
      <c r="I1122" s="69"/>
      <c r="J1122" s="69"/>
      <c r="K1122" s="32"/>
      <c r="L1122" s="76">
        <v>1122</v>
      </c>
      <c r="M1122" s="76"/>
      <c r="N1122" s="71"/>
      <c r="O1122" s="87" t="s">
        <v>179</v>
      </c>
      <c r="P1122" s="90">
        <v>45114.788217592592</v>
      </c>
      <c r="Q1122" s="87" t="s">
        <v>2932</v>
      </c>
      <c r="R1122" s="87">
        <v>0</v>
      </c>
      <c r="S1122" s="87">
        <v>0</v>
      </c>
      <c r="T1122" s="87">
        <v>0</v>
      </c>
      <c r="U1122" s="87">
        <v>0</v>
      </c>
      <c r="V1122" s="87">
        <v>2</v>
      </c>
      <c r="W1122" s="93" t="s">
        <v>6654</v>
      </c>
      <c r="X1122" s="87"/>
      <c r="Y1122" s="87"/>
      <c r="Z1122" s="87"/>
      <c r="AA1122" s="87"/>
      <c r="AB1122" s="87"/>
      <c r="AC1122" s="93" t="s">
        <v>11457</v>
      </c>
      <c r="AD1122" s="87" t="s">
        <v>11519</v>
      </c>
      <c r="AE1122" s="92" t="str">
        <f>HYPERLINK("https://twitter.com/zanettijeff/status/1677390787103825927")</f>
        <v>https://twitter.com/zanettijeff/status/1677390787103825927</v>
      </c>
      <c r="AF1122" s="90">
        <v>45114.788217592592</v>
      </c>
      <c r="AG1122" s="99">
        <v>45114</v>
      </c>
      <c r="AH1122" s="93" t="s">
        <v>12566</v>
      </c>
      <c r="AI1122" s="87"/>
      <c r="AJ1122" s="87"/>
      <c r="AK1122" s="87"/>
      <c r="AL1122" s="87"/>
      <c r="AM1122" s="87"/>
      <c r="AN1122" s="87"/>
      <c r="AO1122" s="87"/>
      <c r="AP1122" s="87"/>
      <c r="AQ1122" s="87"/>
      <c r="AR1122" s="87"/>
      <c r="AS1122" s="87"/>
      <c r="AT1122" s="87"/>
      <c r="AU1122" s="87"/>
      <c r="AV1122" s="92" t="str">
        <f>HYPERLINK("https://pbs.twimg.com/profile_images/1426399737230548992/1ZC_M2BK_normal.jpg")</f>
        <v>https://pbs.twimg.com/profile_images/1426399737230548992/1ZC_M2BK_normal.jpg</v>
      </c>
      <c r="AW1122" s="93" t="s">
        <v>19359</v>
      </c>
      <c r="AX1122" s="93" t="s">
        <v>19359</v>
      </c>
      <c r="AY1122" s="87"/>
      <c r="AZ1122" s="93" t="s">
        <v>22668</v>
      </c>
      <c r="BA1122" s="93" t="s">
        <v>22668</v>
      </c>
      <c r="BB1122" s="93" t="s">
        <v>22668</v>
      </c>
      <c r="BC1122" s="93" t="s">
        <v>19359</v>
      </c>
      <c r="BD1122" s="93" t="s">
        <v>23011</v>
      </c>
      <c r="BE1122" s="87"/>
      <c r="BF1122" s="87"/>
      <c r="BG1122" s="87"/>
      <c r="BH1122" s="87"/>
      <c r="BI1122" s="87"/>
    </row>
    <row r="1123" spans="1:61" x14ac:dyDescent="0.25">
      <c r="A1123" s="63" t="s">
        <v>604</v>
      </c>
      <c r="B1123" s="63" t="s">
        <v>604</v>
      </c>
      <c r="C1123" s="64"/>
      <c r="D1123" s="65"/>
      <c r="E1123" s="66"/>
      <c r="F1123" s="67"/>
      <c r="G1123" s="64"/>
      <c r="H1123" s="68"/>
      <c r="I1123" s="69"/>
      <c r="J1123" s="69"/>
      <c r="K1123" s="32"/>
      <c r="L1123" s="76">
        <v>1123</v>
      </c>
      <c r="M1123" s="76"/>
      <c r="N1123" s="71"/>
      <c r="O1123" s="87" t="s">
        <v>179</v>
      </c>
      <c r="P1123" s="90">
        <v>45114.787326388891</v>
      </c>
      <c r="Q1123" s="87" t="s">
        <v>2933</v>
      </c>
      <c r="R1123" s="87">
        <v>0</v>
      </c>
      <c r="S1123" s="87">
        <v>0</v>
      </c>
      <c r="T1123" s="87">
        <v>0</v>
      </c>
      <c r="U1123" s="87">
        <v>0</v>
      </c>
      <c r="V1123" s="87">
        <v>13</v>
      </c>
      <c r="W1123" s="93" t="s">
        <v>6655</v>
      </c>
      <c r="X1123" s="87"/>
      <c r="Y1123" s="87"/>
      <c r="Z1123" s="87"/>
      <c r="AA1123" s="87"/>
      <c r="AB1123" s="87"/>
      <c r="AC1123" s="93" t="s">
        <v>11457</v>
      </c>
      <c r="AD1123" s="87" t="s">
        <v>11519</v>
      </c>
      <c r="AE1123" s="92" t="str">
        <f>HYPERLINK("https://twitter.com/zanettijeff/status/1677390464066920459")</f>
        <v>https://twitter.com/zanettijeff/status/1677390464066920459</v>
      </c>
      <c r="AF1123" s="90">
        <v>45114.787326388891</v>
      </c>
      <c r="AG1123" s="99">
        <v>45114</v>
      </c>
      <c r="AH1123" s="93" t="s">
        <v>12567</v>
      </c>
      <c r="AI1123" s="87"/>
      <c r="AJ1123" s="87"/>
      <c r="AK1123" s="87"/>
      <c r="AL1123" s="87"/>
      <c r="AM1123" s="87"/>
      <c r="AN1123" s="87"/>
      <c r="AO1123" s="87"/>
      <c r="AP1123" s="87"/>
      <c r="AQ1123" s="87"/>
      <c r="AR1123" s="87"/>
      <c r="AS1123" s="87"/>
      <c r="AT1123" s="87"/>
      <c r="AU1123" s="87"/>
      <c r="AV1123" s="92" t="str">
        <f>HYPERLINK("https://pbs.twimg.com/profile_images/1426399737230548992/1ZC_M2BK_normal.jpg")</f>
        <v>https://pbs.twimg.com/profile_images/1426399737230548992/1ZC_M2BK_normal.jpg</v>
      </c>
      <c r="AW1123" s="93" t="s">
        <v>19360</v>
      </c>
      <c r="AX1123" s="93" t="s">
        <v>19360</v>
      </c>
      <c r="AY1123" s="87"/>
      <c r="AZ1123" s="93" t="s">
        <v>22668</v>
      </c>
      <c r="BA1123" s="93" t="s">
        <v>22668</v>
      </c>
      <c r="BB1123" s="93" t="s">
        <v>22668</v>
      </c>
      <c r="BC1123" s="93" t="s">
        <v>19360</v>
      </c>
      <c r="BD1123" s="93" t="s">
        <v>23011</v>
      </c>
      <c r="BE1123" s="87"/>
      <c r="BF1123" s="87"/>
      <c r="BG1123" s="87"/>
      <c r="BH1123" s="87"/>
      <c r="BI1123" s="87"/>
    </row>
    <row r="1124" spans="1:61" x14ac:dyDescent="0.25">
      <c r="A1124" s="63" t="s">
        <v>604</v>
      </c>
      <c r="B1124" s="63" t="s">
        <v>604</v>
      </c>
      <c r="C1124" s="64"/>
      <c r="D1124" s="65"/>
      <c r="E1124" s="66"/>
      <c r="F1124" s="67"/>
      <c r="G1124" s="64"/>
      <c r="H1124" s="68"/>
      <c r="I1124" s="69"/>
      <c r="J1124" s="69"/>
      <c r="K1124" s="32"/>
      <c r="L1124" s="76">
        <v>1124</v>
      </c>
      <c r="M1124" s="76"/>
      <c r="N1124" s="71"/>
      <c r="O1124" s="87" t="s">
        <v>179</v>
      </c>
      <c r="P1124" s="90">
        <v>45114.773136574076</v>
      </c>
      <c r="Q1124" s="87" t="s">
        <v>2934</v>
      </c>
      <c r="R1124" s="87">
        <v>0</v>
      </c>
      <c r="S1124" s="87">
        <v>0</v>
      </c>
      <c r="T1124" s="87">
        <v>0</v>
      </c>
      <c r="U1124" s="87">
        <v>0</v>
      </c>
      <c r="V1124" s="87">
        <v>4</v>
      </c>
      <c r="W1124" s="93" t="s">
        <v>6656</v>
      </c>
      <c r="X1124" s="87"/>
      <c r="Y1124" s="87"/>
      <c r="Z1124" s="87"/>
      <c r="AA1124" s="87"/>
      <c r="AB1124" s="87"/>
      <c r="AC1124" s="93" t="s">
        <v>11457</v>
      </c>
      <c r="AD1124" s="87" t="s">
        <v>11519</v>
      </c>
      <c r="AE1124" s="92" t="str">
        <f>HYPERLINK("https://twitter.com/zanettijeff/status/1677385322122846228")</f>
        <v>https://twitter.com/zanettijeff/status/1677385322122846228</v>
      </c>
      <c r="AF1124" s="90">
        <v>45114.773136574076</v>
      </c>
      <c r="AG1124" s="99">
        <v>45114</v>
      </c>
      <c r="AH1124" s="93" t="s">
        <v>12568</v>
      </c>
      <c r="AI1124" s="87"/>
      <c r="AJ1124" s="87"/>
      <c r="AK1124" s="87"/>
      <c r="AL1124" s="87"/>
      <c r="AM1124" s="87"/>
      <c r="AN1124" s="87"/>
      <c r="AO1124" s="87"/>
      <c r="AP1124" s="87"/>
      <c r="AQ1124" s="87"/>
      <c r="AR1124" s="87"/>
      <c r="AS1124" s="87"/>
      <c r="AT1124" s="87"/>
      <c r="AU1124" s="87"/>
      <c r="AV1124" s="92" t="str">
        <f>HYPERLINK("https://pbs.twimg.com/profile_images/1426399737230548992/1ZC_M2BK_normal.jpg")</f>
        <v>https://pbs.twimg.com/profile_images/1426399737230548992/1ZC_M2BK_normal.jpg</v>
      </c>
      <c r="AW1124" s="93" t="s">
        <v>19361</v>
      </c>
      <c r="AX1124" s="93" t="s">
        <v>19361</v>
      </c>
      <c r="AY1124" s="87"/>
      <c r="AZ1124" s="93" t="s">
        <v>22668</v>
      </c>
      <c r="BA1124" s="93" t="s">
        <v>22668</v>
      </c>
      <c r="BB1124" s="93" t="s">
        <v>22668</v>
      </c>
      <c r="BC1124" s="93" t="s">
        <v>19361</v>
      </c>
      <c r="BD1124" s="93" t="s">
        <v>23011</v>
      </c>
      <c r="BE1124" s="87"/>
      <c r="BF1124" s="87"/>
      <c r="BG1124" s="87"/>
      <c r="BH1124" s="87"/>
      <c r="BI1124" s="87"/>
    </row>
    <row r="1125" spans="1:61" x14ac:dyDescent="0.25">
      <c r="A1125" s="63" t="s">
        <v>604</v>
      </c>
      <c r="B1125" s="63" t="s">
        <v>604</v>
      </c>
      <c r="C1125" s="64"/>
      <c r="D1125" s="65"/>
      <c r="E1125" s="66"/>
      <c r="F1125" s="67"/>
      <c r="G1125" s="64"/>
      <c r="H1125" s="68"/>
      <c r="I1125" s="69"/>
      <c r="J1125" s="69"/>
      <c r="K1125" s="32"/>
      <c r="L1125" s="76">
        <v>1125</v>
      </c>
      <c r="M1125" s="76"/>
      <c r="N1125" s="71"/>
      <c r="O1125" s="87" t="s">
        <v>179</v>
      </c>
      <c r="P1125" s="90">
        <v>45114.772615740738</v>
      </c>
      <c r="Q1125" s="87" t="s">
        <v>2935</v>
      </c>
      <c r="R1125" s="87">
        <v>0</v>
      </c>
      <c r="S1125" s="87">
        <v>0</v>
      </c>
      <c r="T1125" s="87">
        <v>0</v>
      </c>
      <c r="U1125" s="87">
        <v>0</v>
      </c>
      <c r="V1125" s="87">
        <v>12</v>
      </c>
      <c r="W1125" s="93" t="s">
        <v>6656</v>
      </c>
      <c r="X1125" s="87"/>
      <c r="Y1125" s="87"/>
      <c r="Z1125" s="87"/>
      <c r="AA1125" s="87"/>
      <c r="AB1125" s="87"/>
      <c r="AC1125" s="93" t="s">
        <v>11457</v>
      </c>
      <c r="AD1125" s="87" t="s">
        <v>11519</v>
      </c>
      <c r="AE1125" s="92" t="str">
        <f>HYPERLINK("https://twitter.com/zanettijeff/status/1677385132271968256")</f>
        <v>https://twitter.com/zanettijeff/status/1677385132271968256</v>
      </c>
      <c r="AF1125" s="90">
        <v>45114.772615740738</v>
      </c>
      <c r="AG1125" s="99">
        <v>45114</v>
      </c>
      <c r="AH1125" s="93" t="s">
        <v>12569</v>
      </c>
      <c r="AI1125" s="87"/>
      <c r="AJ1125" s="87"/>
      <c r="AK1125" s="87"/>
      <c r="AL1125" s="87"/>
      <c r="AM1125" s="87"/>
      <c r="AN1125" s="87"/>
      <c r="AO1125" s="87"/>
      <c r="AP1125" s="87"/>
      <c r="AQ1125" s="87"/>
      <c r="AR1125" s="87"/>
      <c r="AS1125" s="87"/>
      <c r="AT1125" s="87"/>
      <c r="AU1125" s="87"/>
      <c r="AV1125" s="92" t="str">
        <f>HYPERLINK("https://pbs.twimg.com/profile_images/1426399737230548992/1ZC_M2BK_normal.jpg")</f>
        <v>https://pbs.twimg.com/profile_images/1426399737230548992/1ZC_M2BK_normal.jpg</v>
      </c>
      <c r="AW1125" s="93" t="s">
        <v>19362</v>
      </c>
      <c r="AX1125" s="93" t="s">
        <v>19362</v>
      </c>
      <c r="AY1125" s="87"/>
      <c r="AZ1125" s="93" t="s">
        <v>22668</v>
      </c>
      <c r="BA1125" s="93" t="s">
        <v>22668</v>
      </c>
      <c r="BB1125" s="93" t="s">
        <v>22668</v>
      </c>
      <c r="BC1125" s="93" t="s">
        <v>19362</v>
      </c>
      <c r="BD1125" s="93" t="s">
        <v>23011</v>
      </c>
      <c r="BE1125" s="87"/>
      <c r="BF1125" s="87"/>
      <c r="BG1125" s="87"/>
      <c r="BH1125" s="87"/>
      <c r="BI1125" s="87"/>
    </row>
    <row r="1126" spans="1:61" x14ac:dyDescent="0.25">
      <c r="A1126" s="63" t="s">
        <v>604</v>
      </c>
      <c r="B1126" s="63" t="s">
        <v>604</v>
      </c>
      <c r="C1126" s="64"/>
      <c r="D1126" s="65"/>
      <c r="E1126" s="66"/>
      <c r="F1126" s="67"/>
      <c r="G1126" s="64"/>
      <c r="H1126" s="68"/>
      <c r="I1126" s="69"/>
      <c r="J1126" s="69"/>
      <c r="K1126" s="32"/>
      <c r="L1126" s="76">
        <v>1126</v>
      </c>
      <c r="M1126" s="76"/>
      <c r="N1126" s="71"/>
      <c r="O1126" s="87" t="s">
        <v>179</v>
      </c>
      <c r="P1126" s="90">
        <v>45114.771817129629</v>
      </c>
      <c r="Q1126" s="87" t="s">
        <v>2936</v>
      </c>
      <c r="R1126" s="87">
        <v>0</v>
      </c>
      <c r="S1126" s="87">
        <v>0</v>
      </c>
      <c r="T1126" s="87">
        <v>0</v>
      </c>
      <c r="U1126" s="87">
        <v>0</v>
      </c>
      <c r="V1126" s="87">
        <v>10</v>
      </c>
      <c r="W1126" s="93" t="s">
        <v>6656</v>
      </c>
      <c r="X1126" s="87"/>
      <c r="Y1126" s="87"/>
      <c r="Z1126" s="87"/>
      <c r="AA1126" s="87"/>
      <c r="AB1126" s="87"/>
      <c r="AC1126" s="93" t="s">
        <v>11457</v>
      </c>
      <c r="AD1126" s="87" t="s">
        <v>11519</v>
      </c>
      <c r="AE1126" s="92" t="str">
        <f>HYPERLINK("https://twitter.com/zanettijeff/status/1677384843452362752")</f>
        <v>https://twitter.com/zanettijeff/status/1677384843452362752</v>
      </c>
      <c r="AF1126" s="90">
        <v>45114.771817129629</v>
      </c>
      <c r="AG1126" s="99">
        <v>45114</v>
      </c>
      <c r="AH1126" s="93" t="s">
        <v>12570</v>
      </c>
      <c r="AI1126" s="87"/>
      <c r="AJ1126" s="87"/>
      <c r="AK1126" s="87"/>
      <c r="AL1126" s="87"/>
      <c r="AM1126" s="87"/>
      <c r="AN1126" s="87"/>
      <c r="AO1126" s="87"/>
      <c r="AP1126" s="87"/>
      <c r="AQ1126" s="87"/>
      <c r="AR1126" s="87"/>
      <c r="AS1126" s="87"/>
      <c r="AT1126" s="87"/>
      <c r="AU1126" s="87"/>
      <c r="AV1126" s="92" t="str">
        <f>HYPERLINK("https://pbs.twimg.com/profile_images/1426399737230548992/1ZC_M2BK_normal.jpg")</f>
        <v>https://pbs.twimg.com/profile_images/1426399737230548992/1ZC_M2BK_normal.jpg</v>
      </c>
      <c r="AW1126" s="93" t="s">
        <v>19363</v>
      </c>
      <c r="AX1126" s="93" t="s">
        <v>19363</v>
      </c>
      <c r="AY1126" s="87"/>
      <c r="AZ1126" s="93" t="s">
        <v>22668</v>
      </c>
      <c r="BA1126" s="93" t="s">
        <v>22668</v>
      </c>
      <c r="BB1126" s="93" t="s">
        <v>22668</v>
      </c>
      <c r="BC1126" s="93" t="s">
        <v>19363</v>
      </c>
      <c r="BD1126" s="93" t="s">
        <v>23011</v>
      </c>
      <c r="BE1126" s="87"/>
      <c r="BF1126" s="87"/>
      <c r="BG1126" s="87"/>
      <c r="BH1126" s="87"/>
      <c r="BI1126" s="87"/>
    </row>
    <row r="1127" spans="1:61" x14ac:dyDescent="0.25">
      <c r="A1127" s="63" t="s">
        <v>604</v>
      </c>
      <c r="B1127" s="63" t="s">
        <v>604</v>
      </c>
      <c r="C1127" s="64"/>
      <c r="D1127" s="65"/>
      <c r="E1127" s="66"/>
      <c r="F1127" s="67"/>
      <c r="G1127" s="64"/>
      <c r="H1127" s="68"/>
      <c r="I1127" s="69"/>
      <c r="J1127" s="69"/>
      <c r="K1127" s="32"/>
      <c r="L1127" s="76">
        <v>1127</v>
      </c>
      <c r="M1127" s="76"/>
      <c r="N1127" s="71"/>
      <c r="O1127" s="87" t="s">
        <v>179</v>
      </c>
      <c r="P1127" s="90">
        <v>45114.770312499997</v>
      </c>
      <c r="Q1127" s="87" t="s">
        <v>2937</v>
      </c>
      <c r="R1127" s="87">
        <v>0</v>
      </c>
      <c r="S1127" s="87">
        <v>0</v>
      </c>
      <c r="T1127" s="87">
        <v>0</v>
      </c>
      <c r="U1127" s="87">
        <v>0</v>
      </c>
      <c r="V1127" s="87">
        <v>12</v>
      </c>
      <c r="W1127" s="93" t="s">
        <v>6657</v>
      </c>
      <c r="X1127" s="87"/>
      <c r="Y1127" s="87"/>
      <c r="Z1127" s="87"/>
      <c r="AA1127" s="87"/>
      <c r="AB1127" s="87"/>
      <c r="AC1127" s="93" t="s">
        <v>11457</v>
      </c>
      <c r="AD1127" s="87" t="s">
        <v>11519</v>
      </c>
      <c r="AE1127" s="92" t="str">
        <f>HYPERLINK("https://twitter.com/zanettijeff/status/1677384298431938560")</f>
        <v>https://twitter.com/zanettijeff/status/1677384298431938560</v>
      </c>
      <c r="AF1127" s="90">
        <v>45114.770312499997</v>
      </c>
      <c r="AG1127" s="99">
        <v>45114</v>
      </c>
      <c r="AH1127" s="93" t="s">
        <v>12571</v>
      </c>
      <c r="AI1127" s="87"/>
      <c r="AJ1127" s="87"/>
      <c r="AK1127" s="87"/>
      <c r="AL1127" s="87"/>
      <c r="AM1127" s="87"/>
      <c r="AN1127" s="87"/>
      <c r="AO1127" s="87"/>
      <c r="AP1127" s="87"/>
      <c r="AQ1127" s="87"/>
      <c r="AR1127" s="87"/>
      <c r="AS1127" s="87"/>
      <c r="AT1127" s="87"/>
      <c r="AU1127" s="87"/>
      <c r="AV1127" s="92" t="str">
        <f>HYPERLINK("https://pbs.twimg.com/profile_images/1426399737230548992/1ZC_M2BK_normal.jpg")</f>
        <v>https://pbs.twimg.com/profile_images/1426399737230548992/1ZC_M2BK_normal.jpg</v>
      </c>
      <c r="AW1127" s="93" t="s">
        <v>19364</v>
      </c>
      <c r="AX1127" s="93" t="s">
        <v>19364</v>
      </c>
      <c r="AY1127" s="87"/>
      <c r="AZ1127" s="93" t="s">
        <v>22668</v>
      </c>
      <c r="BA1127" s="93" t="s">
        <v>22668</v>
      </c>
      <c r="BB1127" s="93" t="s">
        <v>22668</v>
      </c>
      <c r="BC1127" s="93" t="s">
        <v>19364</v>
      </c>
      <c r="BD1127" s="93" t="s">
        <v>23011</v>
      </c>
      <c r="BE1127" s="87"/>
      <c r="BF1127" s="87"/>
      <c r="BG1127" s="87"/>
      <c r="BH1127" s="87"/>
      <c r="BI1127" s="87"/>
    </row>
    <row r="1128" spans="1:61" x14ac:dyDescent="0.25">
      <c r="A1128" s="63" t="s">
        <v>604</v>
      </c>
      <c r="B1128" s="63" t="s">
        <v>604</v>
      </c>
      <c r="C1128" s="64"/>
      <c r="D1128" s="65"/>
      <c r="E1128" s="66"/>
      <c r="F1128" s="67"/>
      <c r="G1128" s="64"/>
      <c r="H1128" s="68"/>
      <c r="I1128" s="69"/>
      <c r="J1128" s="69"/>
      <c r="K1128" s="32"/>
      <c r="L1128" s="76">
        <v>1128</v>
      </c>
      <c r="M1128" s="76"/>
      <c r="N1128" s="71"/>
      <c r="O1128" s="87" t="s">
        <v>179</v>
      </c>
      <c r="P1128" s="90">
        <v>45136.579004629632</v>
      </c>
      <c r="Q1128" s="87" t="s">
        <v>2938</v>
      </c>
      <c r="R1128" s="87">
        <v>0</v>
      </c>
      <c r="S1128" s="87">
        <v>0</v>
      </c>
      <c r="T1128" s="87">
        <v>1</v>
      </c>
      <c r="U1128" s="87">
        <v>0</v>
      </c>
      <c r="V1128" s="87">
        <v>5</v>
      </c>
      <c r="W1128" s="93" t="s">
        <v>6658</v>
      </c>
      <c r="X1128" s="87"/>
      <c r="Y1128" s="87"/>
      <c r="Z1128" s="87"/>
      <c r="AA1128" s="87"/>
      <c r="AB1128" s="87"/>
      <c r="AC1128" s="93" t="s">
        <v>11457</v>
      </c>
      <c r="AD1128" s="87" t="s">
        <v>11519</v>
      </c>
      <c r="AE1128" s="92" t="str">
        <f>HYPERLINK("https://twitter.com/zanettijeff/status/1685287502465343488")</f>
        <v>https://twitter.com/zanettijeff/status/1685287502465343488</v>
      </c>
      <c r="AF1128" s="90">
        <v>45136.579004629632</v>
      </c>
      <c r="AG1128" s="99">
        <v>45136</v>
      </c>
      <c r="AH1128" s="93" t="s">
        <v>12572</v>
      </c>
      <c r="AI1128" s="87"/>
      <c r="AJ1128" s="87"/>
      <c r="AK1128" s="87"/>
      <c r="AL1128" s="87"/>
      <c r="AM1128" s="87"/>
      <c r="AN1128" s="87"/>
      <c r="AO1128" s="87"/>
      <c r="AP1128" s="87"/>
      <c r="AQ1128" s="87"/>
      <c r="AR1128" s="87"/>
      <c r="AS1128" s="87"/>
      <c r="AT1128" s="87"/>
      <c r="AU1128" s="87"/>
      <c r="AV1128" s="92" t="str">
        <f>HYPERLINK("https://pbs.twimg.com/profile_images/1426399737230548992/1ZC_M2BK_normal.jpg")</f>
        <v>https://pbs.twimg.com/profile_images/1426399737230548992/1ZC_M2BK_normal.jpg</v>
      </c>
      <c r="AW1128" s="93" t="s">
        <v>19365</v>
      </c>
      <c r="AX1128" s="93" t="s">
        <v>19365</v>
      </c>
      <c r="AY1128" s="87"/>
      <c r="AZ1128" s="93" t="s">
        <v>22668</v>
      </c>
      <c r="BA1128" s="93" t="s">
        <v>22668</v>
      </c>
      <c r="BB1128" s="93" t="s">
        <v>22668</v>
      </c>
      <c r="BC1128" s="93" t="s">
        <v>19365</v>
      </c>
      <c r="BD1128" s="93" t="s">
        <v>23011</v>
      </c>
      <c r="BE1128" s="87"/>
      <c r="BF1128" s="87"/>
      <c r="BG1128" s="87"/>
      <c r="BH1128" s="87"/>
      <c r="BI1128" s="87"/>
    </row>
    <row r="1129" spans="1:61" x14ac:dyDescent="0.25">
      <c r="A1129" s="63" t="s">
        <v>604</v>
      </c>
      <c r="B1129" s="63" t="s">
        <v>604</v>
      </c>
      <c r="C1129" s="64"/>
      <c r="D1129" s="65"/>
      <c r="E1129" s="66"/>
      <c r="F1129" s="67"/>
      <c r="G1129" s="64"/>
      <c r="H1129" s="68"/>
      <c r="I1129" s="69"/>
      <c r="J1129" s="69"/>
      <c r="K1129" s="32"/>
      <c r="L1129" s="76">
        <v>1129</v>
      </c>
      <c r="M1129" s="76"/>
      <c r="N1129" s="71"/>
      <c r="O1129" s="87" t="s">
        <v>179</v>
      </c>
      <c r="P1129" s="90">
        <v>45121.522858796299</v>
      </c>
      <c r="Q1129" s="87" t="s">
        <v>2939</v>
      </c>
      <c r="R1129" s="87">
        <v>0</v>
      </c>
      <c r="S1129" s="87">
        <v>0</v>
      </c>
      <c r="T1129" s="87">
        <v>0</v>
      </c>
      <c r="U1129" s="87">
        <v>0</v>
      </c>
      <c r="V1129" s="87">
        <v>4</v>
      </c>
      <c r="W1129" s="93" t="s">
        <v>6659</v>
      </c>
      <c r="X1129" s="87"/>
      <c r="Y1129" s="87"/>
      <c r="Z1129" s="87"/>
      <c r="AA1129" s="87"/>
      <c r="AB1129" s="87"/>
      <c r="AC1129" s="93" t="s">
        <v>11457</v>
      </c>
      <c r="AD1129" s="87" t="s">
        <v>11519</v>
      </c>
      <c r="AE1129" s="92" t="str">
        <f>HYPERLINK("https://twitter.com/zanettijeff/status/1679831337765593089")</f>
        <v>https://twitter.com/zanettijeff/status/1679831337765593089</v>
      </c>
      <c r="AF1129" s="90">
        <v>45121.522858796299</v>
      </c>
      <c r="AG1129" s="99">
        <v>45121</v>
      </c>
      <c r="AH1129" s="93" t="s">
        <v>12573</v>
      </c>
      <c r="AI1129" s="87"/>
      <c r="AJ1129" s="87"/>
      <c r="AK1129" s="87"/>
      <c r="AL1129" s="87"/>
      <c r="AM1129" s="87"/>
      <c r="AN1129" s="87"/>
      <c r="AO1129" s="87"/>
      <c r="AP1129" s="87"/>
      <c r="AQ1129" s="87"/>
      <c r="AR1129" s="87"/>
      <c r="AS1129" s="87"/>
      <c r="AT1129" s="87"/>
      <c r="AU1129" s="87"/>
      <c r="AV1129" s="92" t="str">
        <f>HYPERLINK("https://pbs.twimg.com/profile_images/1426399737230548992/1ZC_M2BK_normal.jpg")</f>
        <v>https://pbs.twimg.com/profile_images/1426399737230548992/1ZC_M2BK_normal.jpg</v>
      </c>
      <c r="AW1129" s="93" t="s">
        <v>19366</v>
      </c>
      <c r="AX1129" s="93" t="s">
        <v>19366</v>
      </c>
      <c r="AY1129" s="87"/>
      <c r="AZ1129" s="93" t="s">
        <v>22668</v>
      </c>
      <c r="BA1129" s="93" t="s">
        <v>22668</v>
      </c>
      <c r="BB1129" s="93" t="s">
        <v>22668</v>
      </c>
      <c r="BC1129" s="93" t="s">
        <v>19366</v>
      </c>
      <c r="BD1129" s="93" t="s">
        <v>23011</v>
      </c>
      <c r="BE1129" s="87"/>
      <c r="BF1129" s="87"/>
      <c r="BG1129" s="87"/>
      <c r="BH1129" s="87"/>
      <c r="BI1129" s="87"/>
    </row>
    <row r="1130" spans="1:61" x14ac:dyDescent="0.25">
      <c r="A1130" s="63" t="s">
        <v>604</v>
      </c>
      <c r="B1130" s="63" t="s">
        <v>604</v>
      </c>
      <c r="C1130" s="64"/>
      <c r="D1130" s="65"/>
      <c r="E1130" s="66"/>
      <c r="F1130" s="67"/>
      <c r="G1130" s="64"/>
      <c r="H1130" s="68"/>
      <c r="I1130" s="69"/>
      <c r="J1130" s="69"/>
      <c r="K1130" s="32"/>
      <c r="L1130" s="76">
        <v>1130</v>
      </c>
      <c r="M1130" s="76"/>
      <c r="N1130" s="71"/>
      <c r="O1130" s="87" t="s">
        <v>179</v>
      </c>
      <c r="P1130" s="90">
        <v>45138.863657407404</v>
      </c>
      <c r="Q1130" s="87" t="s">
        <v>2940</v>
      </c>
      <c r="R1130" s="87">
        <v>0</v>
      </c>
      <c r="S1130" s="87">
        <v>0</v>
      </c>
      <c r="T1130" s="87">
        <v>0</v>
      </c>
      <c r="U1130" s="87">
        <v>0</v>
      </c>
      <c r="V1130" s="87">
        <v>2</v>
      </c>
      <c r="W1130" s="93" t="s">
        <v>6660</v>
      </c>
      <c r="X1130" s="87"/>
      <c r="Y1130" s="87"/>
      <c r="Z1130" s="87"/>
      <c r="AA1130" s="87"/>
      <c r="AB1130" s="87"/>
      <c r="AC1130" s="93" t="s">
        <v>11457</v>
      </c>
      <c r="AD1130" s="87" t="s">
        <v>11519</v>
      </c>
      <c r="AE1130" s="92" t="str">
        <f>HYPERLINK("https://twitter.com/zanettijeff/status/1686115432879521792")</f>
        <v>https://twitter.com/zanettijeff/status/1686115432879521792</v>
      </c>
      <c r="AF1130" s="90">
        <v>45138.863657407404</v>
      </c>
      <c r="AG1130" s="99">
        <v>45138</v>
      </c>
      <c r="AH1130" s="93" t="s">
        <v>12574</v>
      </c>
      <c r="AI1130" s="87"/>
      <c r="AJ1130" s="87"/>
      <c r="AK1130" s="87"/>
      <c r="AL1130" s="87"/>
      <c r="AM1130" s="87"/>
      <c r="AN1130" s="87"/>
      <c r="AO1130" s="87"/>
      <c r="AP1130" s="87"/>
      <c r="AQ1130" s="87"/>
      <c r="AR1130" s="87"/>
      <c r="AS1130" s="87"/>
      <c r="AT1130" s="87"/>
      <c r="AU1130" s="87"/>
      <c r="AV1130" s="92" t="str">
        <f>HYPERLINK("https://pbs.twimg.com/profile_images/1426399737230548992/1ZC_M2BK_normal.jpg")</f>
        <v>https://pbs.twimg.com/profile_images/1426399737230548992/1ZC_M2BK_normal.jpg</v>
      </c>
      <c r="AW1130" s="93" t="s">
        <v>19367</v>
      </c>
      <c r="AX1130" s="93" t="s">
        <v>19367</v>
      </c>
      <c r="AY1130" s="87"/>
      <c r="AZ1130" s="93" t="s">
        <v>22668</v>
      </c>
      <c r="BA1130" s="93" t="s">
        <v>22668</v>
      </c>
      <c r="BB1130" s="93" t="s">
        <v>22668</v>
      </c>
      <c r="BC1130" s="93" t="s">
        <v>19367</v>
      </c>
      <c r="BD1130" s="93" t="s">
        <v>23011</v>
      </c>
      <c r="BE1130" s="87"/>
      <c r="BF1130" s="87"/>
      <c r="BG1130" s="87"/>
      <c r="BH1130" s="87"/>
      <c r="BI1130" s="87"/>
    </row>
    <row r="1131" spans="1:61" x14ac:dyDescent="0.25">
      <c r="A1131" s="63" t="s">
        <v>605</v>
      </c>
      <c r="B1131" s="63" t="s">
        <v>605</v>
      </c>
      <c r="C1131" s="64"/>
      <c r="D1131" s="65"/>
      <c r="E1131" s="66"/>
      <c r="F1131" s="67"/>
      <c r="G1131" s="64"/>
      <c r="H1131" s="68"/>
      <c r="I1131" s="69"/>
      <c r="J1131" s="69"/>
      <c r="K1131" s="32"/>
      <c r="L1131" s="76">
        <v>1131</v>
      </c>
      <c r="M1131" s="76"/>
      <c r="N1131" s="71"/>
      <c r="O1131" s="87" t="s">
        <v>179</v>
      </c>
      <c r="P1131" s="90">
        <v>45161.460092592592</v>
      </c>
      <c r="Q1131" s="87" t="s">
        <v>2941</v>
      </c>
      <c r="R1131" s="87">
        <v>0</v>
      </c>
      <c r="S1131" s="87">
        <v>1</v>
      </c>
      <c r="T1131" s="87">
        <v>0</v>
      </c>
      <c r="U1131" s="87">
        <v>0</v>
      </c>
      <c r="V1131" s="87">
        <v>12</v>
      </c>
      <c r="W1131" s="93" t="s">
        <v>6661</v>
      </c>
      <c r="X1131" s="92" t="str">
        <f>HYPERLINK("https://indianitexpert.com/why-digital-marketing-is-important/")</f>
        <v>https://indianitexpert.com/why-digital-marketing-is-important/</v>
      </c>
      <c r="Y1131" s="87" t="s">
        <v>8439</v>
      </c>
      <c r="Z1131" s="87"/>
      <c r="AA1131" s="87" t="s">
        <v>9327</v>
      </c>
      <c r="AB1131" s="87" t="s">
        <v>11448</v>
      </c>
      <c r="AC1131" s="93" t="s">
        <v>11457</v>
      </c>
      <c r="AD1131" s="87" t="s">
        <v>11518</v>
      </c>
      <c r="AE1131" s="92" t="str">
        <f>HYPERLINK("https://twitter.com/dotnetinstitute/status/1694304107451072529")</f>
        <v>https://twitter.com/dotnetinstitute/status/1694304107451072529</v>
      </c>
      <c r="AF1131" s="90">
        <v>45161.460092592592</v>
      </c>
      <c r="AG1131" s="99">
        <v>45161</v>
      </c>
      <c r="AH1131" s="93" t="s">
        <v>12575</v>
      </c>
      <c r="AI1131" s="87" t="b">
        <v>0</v>
      </c>
      <c r="AJ1131" s="87"/>
      <c r="AK1131" s="87"/>
      <c r="AL1131" s="87"/>
      <c r="AM1131" s="87"/>
      <c r="AN1131" s="87"/>
      <c r="AO1131" s="87"/>
      <c r="AP1131" s="87"/>
      <c r="AQ1131" s="87" t="s">
        <v>16140</v>
      </c>
      <c r="AR1131" s="87"/>
      <c r="AS1131" s="87"/>
      <c r="AT1131" s="87"/>
      <c r="AU1131" s="87"/>
      <c r="AV1131" s="92" t="str">
        <f>HYPERLINK("https://pbs.twimg.com/media/F4NgcVEaYAAwZCe.jpg")</f>
        <v>https://pbs.twimg.com/media/F4NgcVEaYAAwZCe.jpg</v>
      </c>
      <c r="AW1131" s="93" t="s">
        <v>19368</v>
      </c>
      <c r="AX1131" s="93" t="s">
        <v>19368</v>
      </c>
      <c r="AY1131" s="87"/>
      <c r="AZ1131" s="93" t="s">
        <v>22668</v>
      </c>
      <c r="BA1131" s="93" t="s">
        <v>22668</v>
      </c>
      <c r="BB1131" s="93" t="s">
        <v>22668</v>
      </c>
      <c r="BC1131" s="93" t="s">
        <v>19368</v>
      </c>
      <c r="BD1131" s="93" t="s">
        <v>23012</v>
      </c>
      <c r="BE1131" s="87"/>
      <c r="BF1131" s="87"/>
      <c r="BG1131" s="87"/>
      <c r="BH1131" s="87"/>
      <c r="BI1131" s="87"/>
    </row>
    <row r="1132" spans="1:61" x14ac:dyDescent="0.25">
      <c r="A1132" s="63" t="s">
        <v>606</v>
      </c>
      <c r="B1132" s="63" t="s">
        <v>1670</v>
      </c>
      <c r="C1132" s="64"/>
      <c r="D1132" s="65"/>
      <c r="E1132" s="66"/>
      <c r="F1132" s="67"/>
      <c r="G1132" s="64"/>
      <c r="H1132" s="68"/>
      <c r="I1132" s="69"/>
      <c r="J1132" s="69"/>
      <c r="K1132" s="32"/>
      <c r="L1132" s="76">
        <v>1132</v>
      </c>
      <c r="M1132" s="76"/>
      <c r="N1132" s="71"/>
      <c r="O1132" s="87" t="s">
        <v>1839</v>
      </c>
      <c r="P1132" s="90">
        <v>45184.881458333337</v>
      </c>
      <c r="Q1132" s="87" t="s">
        <v>2942</v>
      </c>
      <c r="R1132" s="87">
        <v>0</v>
      </c>
      <c r="S1132" s="87">
        <v>0</v>
      </c>
      <c r="T1132" s="87">
        <v>0</v>
      </c>
      <c r="U1132" s="87">
        <v>0</v>
      </c>
      <c r="V1132" s="87">
        <v>11</v>
      </c>
      <c r="W1132" s="93" t="s">
        <v>6662</v>
      </c>
      <c r="X1132" s="87"/>
      <c r="Y1132" s="87"/>
      <c r="Z1132" s="87" t="s">
        <v>1670</v>
      </c>
      <c r="AA1132" s="87"/>
      <c r="AB1132" s="87"/>
      <c r="AC1132" s="93" t="s">
        <v>11459</v>
      </c>
      <c r="AD1132" s="87" t="s">
        <v>11519</v>
      </c>
      <c r="AE1132" s="92" t="str">
        <f>HYPERLINK("https://twitter.com/marcelostrama_/status/1702791726279049253")</f>
        <v>https://twitter.com/marcelostrama_/status/1702791726279049253</v>
      </c>
      <c r="AF1132" s="90">
        <v>45184.881458333337</v>
      </c>
      <c r="AG1132" s="99">
        <v>45184</v>
      </c>
      <c r="AH1132" s="93" t="s">
        <v>12576</v>
      </c>
      <c r="AI1132" s="87"/>
      <c r="AJ1132" s="87" t="s">
        <v>15192</v>
      </c>
      <c r="AK1132" s="87" t="s">
        <v>15234</v>
      </c>
      <c r="AL1132" s="87" t="s">
        <v>15237</v>
      </c>
      <c r="AM1132" s="87" t="s">
        <v>15264</v>
      </c>
      <c r="AN1132" s="87" t="s">
        <v>15330</v>
      </c>
      <c r="AO1132" s="87" t="s">
        <v>15396</v>
      </c>
      <c r="AP1132" s="87" t="s">
        <v>15438</v>
      </c>
      <c r="AQ1132" s="87"/>
      <c r="AR1132" s="87"/>
      <c r="AS1132" s="87"/>
      <c r="AT1132" s="87"/>
      <c r="AU1132" s="87"/>
      <c r="AV1132" s="92" t="str">
        <f>HYPERLINK("https://pbs.twimg.com/profile_images/1654858602157424641/_px2QY4I_normal.jpg")</f>
        <v>https://pbs.twimg.com/profile_images/1654858602157424641/_px2QY4I_normal.jpg</v>
      </c>
      <c r="AW1132" s="93" t="s">
        <v>19369</v>
      </c>
      <c r="AX1132" s="93" t="s">
        <v>19369</v>
      </c>
      <c r="AY1132" s="87"/>
      <c r="AZ1132" s="93" t="s">
        <v>22668</v>
      </c>
      <c r="BA1132" s="93" t="s">
        <v>22668</v>
      </c>
      <c r="BB1132" s="93" t="s">
        <v>22668</v>
      </c>
      <c r="BC1132" s="93" t="s">
        <v>19369</v>
      </c>
      <c r="BD1132" s="87">
        <v>42301397</v>
      </c>
      <c r="BE1132" s="87"/>
      <c r="BF1132" s="87"/>
      <c r="BG1132" s="87"/>
      <c r="BH1132" s="87"/>
      <c r="BI1132" s="87"/>
    </row>
    <row r="1133" spans="1:61" x14ac:dyDescent="0.25">
      <c r="A1133" s="63" t="s">
        <v>607</v>
      </c>
      <c r="B1133" s="63" t="s">
        <v>607</v>
      </c>
      <c r="C1133" s="64"/>
      <c r="D1133" s="65"/>
      <c r="E1133" s="66"/>
      <c r="F1133" s="67"/>
      <c r="G1133" s="64"/>
      <c r="H1133" s="68"/>
      <c r="I1133" s="69"/>
      <c r="J1133" s="69"/>
      <c r="K1133" s="32"/>
      <c r="L1133" s="76">
        <v>1133</v>
      </c>
      <c r="M1133" s="76"/>
      <c r="N1133" s="71"/>
      <c r="O1133" s="87" t="s">
        <v>179</v>
      </c>
      <c r="P1133" s="90">
        <v>45132.905671296299</v>
      </c>
      <c r="Q1133" s="87" t="s">
        <v>2943</v>
      </c>
      <c r="R1133" s="87">
        <v>0</v>
      </c>
      <c r="S1133" s="87">
        <v>0</v>
      </c>
      <c r="T1133" s="87">
        <v>0</v>
      </c>
      <c r="U1133" s="87">
        <v>0</v>
      </c>
      <c r="V1133" s="87">
        <v>6</v>
      </c>
      <c r="W1133" s="93" t="s">
        <v>1737</v>
      </c>
      <c r="X1133" s="92" t="str">
        <f>HYPERLINK("https://youtube.com/shorts/neAJiqeximM?feature=share")</f>
        <v>https://youtube.com/shorts/neAJiqeximM?feature=share</v>
      </c>
      <c r="Y1133" s="87" t="s">
        <v>8380</v>
      </c>
      <c r="Z1133" s="87"/>
      <c r="AA1133" s="87"/>
      <c r="AB1133" s="87"/>
      <c r="AC1133" s="93" t="s">
        <v>11459</v>
      </c>
      <c r="AD1133" s="87" t="s">
        <v>11519</v>
      </c>
      <c r="AE1133" s="92" t="str">
        <f>HYPERLINK("https://twitter.com/alexpintor_foz/status/1683956332775211009")</f>
        <v>https://twitter.com/alexpintor_foz/status/1683956332775211009</v>
      </c>
      <c r="AF1133" s="90">
        <v>45132.905671296299</v>
      </c>
      <c r="AG1133" s="99">
        <v>45132</v>
      </c>
      <c r="AH1133" s="93" t="s">
        <v>12577</v>
      </c>
      <c r="AI1133" s="87" t="b">
        <v>0</v>
      </c>
      <c r="AJ1133" s="87" t="s">
        <v>15193</v>
      </c>
      <c r="AK1133" s="87" t="s">
        <v>15234</v>
      </c>
      <c r="AL1133" s="87" t="s">
        <v>15237</v>
      </c>
      <c r="AM1133" s="87" t="s">
        <v>15265</v>
      </c>
      <c r="AN1133" s="87" t="s">
        <v>15331</v>
      </c>
      <c r="AO1133" s="87" t="s">
        <v>15397</v>
      </c>
      <c r="AP1133" s="87" t="s">
        <v>15437</v>
      </c>
      <c r="AQ1133" s="87"/>
      <c r="AR1133" s="87"/>
      <c r="AS1133" s="87"/>
      <c r="AT1133" s="87"/>
      <c r="AU1133" s="87"/>
      <c r="AV1133" s="92" t="str">
        <f>HYPERLINK("https://pbs.twimg.com/profile_images/1639572381978046464/KrEMCXeJ_normal.jpg")</f>
        <v>https://pbs.twimg.com/profile_images/1639572381978046464/KrEMCXeJ_normal.jpg</v>
      </c>
      <c r="AW1133" s="93" t="s">
        <v>19370</v>
      </c>
      <c r="AX1133" s="93" t="s">
        <v>19370</v>
      </c>
      <c r="AY1133" s="87"/>
      <c r="AZ1133" s="93" t="s">
        <v>22668</v>
      </c>
      <c r="BA1133" s="93" t="s">
        <v>22668</v>
      </c>
      <c r="BB1133" s="93" t="s">
        <v>22668</v>
      </c>
      <c r="BC1133" s="93" t="s">
        <v>19370</v>
      </c>
      <c r="BD1133" s="93" t="s">
        <v>23013</v>
      </c>
      <c r="BE1133" s="87"/>
      <c r="BF1133" s="87"/>
      <c r="BG1133" s="87"/>
      <c r="BH1133" s="87"/>
      <c r="BI1133" s="87"/>
    </row>
    <row r="1134" spans="1:61" x14ac:dyDescent="0.25">
      <c r="A1134" s="63" t="s">
        <v>608</v>
      </c>
      <c r="B1134" s="63" t="s">
        <v>608</v>
      </c>
      <c r="C1134" s="64"/>
      <c r="D1134" s="65"/>
      <c r="E1134" s="66"/>
      <c r="F1134" s="67"/>
      <c r="G1134" s="64"/>
      <c r="H1134" s="68"/>
      <c r="I1134" s="69"/>
      <c r="J1134" s="69"/>
      <c r="K1134" s="32"/>
      <c r="L1134" s="76">
        <v>1134</v>
      </c>
      <c r="M1134" s="76"/>
      <c r="N1134" s="71"/>
      <c r="O1134" s="87" t="s">
        <v>1840</v>
      </c>
      <c r="P1134" s="90">
        <v>45168.909270833334</v>
      </c>
      <c r="Q1134" s="87" t="s">
        <v>2944</v>
      </c>
      <c r="R1134" s="87">
        <v>0</v>
      </c>
      <c r="S1134" s="87">
        <v>0</v>
      </c>
      <c r="T1134" s="87">
        <v>0</v>
      </c>
      <c r="U1134" s="87">
        <v>0</v>
      </c>
      <c r="V1134" s="87">
        <v>15</v>
      </c>
      <c r="W1134" s="93" t="s">
        <v>6663</v>
      </c>
      <c r="X1134" s="87"/>
      <c r="Y1134" s="87"/>
      <c r="Z1134" s="87" t="s">
        <v>1820</v>
      </c>
      <c r="AA1134" s="87"/>
      <c r="AB1134" s="87"/>
      <c r="AC1134" s="93" t="s">
        <v>11459</v>
      </c>
      <c r="AD1134" s="87" t="s">
        <v>11519</v>
      </c>
      <c r="AE1134" s="92" t="str">
        <f>HYPERLINK("https://twitter.com/ootimistajornal/status/1697003598478012896")</f>
        <v>https://twitter.com/ootimistajornal/status/1697003598478012896</v>
      </c>
      <c r="AF1134" s="90">
        <v>45168.909270833334</v>
      </c>
      <c r="AG1134" s="99">
        <v>45168</v>
      </c>
      <c r="AH1134" s="93" t="s">
        <v>12578</v>
      </c>
      <c r="AI1134" s="87"/>
      <c r="AJ1134" s="87"/>
      <c r="AK1134" s="87"/>
      <c r="AL1134" s="87"/>
      <c r="AM1134" s="87"/>
      <c r="AN1134" s="87"/>
      <c r="AO1134" s="87"/>
      <c r="AP1134" s="87"/>
      <c r="AQ1134" s="87"/>
      <c r="AR1134" s="87"/>
      <c r="AS1134" s="87"/>
      <c r="AT1134" s="87"/>
      <c r="AU1134" s="87"/>
      <c r="AV1134" s="92" t="str">
        <f>HYPERLINK("https://pbs.twimg.com/profile_images/1222209999734296576/9RmKOGH7_normal.png")</f>
        <v>https://pbs.twimg.com/profile_images/1222209999734296576/9RmKOGH7_normal.png</v>
      </c>
      <c r="AW1134" s="93" t="s">
        <v>19371</v>
      </c>
      <c r="AX1134" s="93" t="s">
        <v>22353</v>
      </c>
      <c r="AY1134" s="93" t="s">
        <v>22554</v>
      </c>
      <c r="AZ1134" s="93" t="s">
        <v>22700</v>
      </c>
      <c r="BA1134" s="93" t="s">
        <v>22668</v>
      </c>
      <c r="BB1134" s="93" t="s">
        <v>22668</v>
      </c>
      <c r="BC1134" s="93" t="s">
        <v>22700</v>
      </c>
      <c r="BD1134" s="93" t="s">
        <v>22554</v>
      </c>
      <c r="BE1134" s="87"/>
      <c r="BF1134" s="87"/>
      <c r="BG1134" s="87"/>
      <c r="BH1134" s="87"/>
      <c r="BI1134" s="87"/>
    </row>
    <row r="1135" spans="1:61" x14ac:dyDescent="0.25">
      <c r="A1135" s="63" t="s">
        <v>609</v>
      </c>
      <c r="B1135" s="63" t="s">
        <v>609</v>
      </c>
      <c r="C1135" s="64"/>
      <c r="D1135" s="65"/>
      <c r="E1135" s="66"/>
      <c r="F1135" s="67"/>
      <c r="G1135" s="64"/>
      <c r="H1135" s="68"/>
      <c r="I1135" s="69"/>
      <c r="J1135" s="69"/>
      <c r="K1135" s="32"/>
      <c r="L1135" s="76">
        <v>1135</v>
      </c>
      <c r="M1135" s="76"/>
      <c r="N1135" s="71"/>
      <c r="O1135" s="87" t="s">
        <v>179</v>
      </c>
      <c r="P1135" s="90">
        <v>45136.547407407408</v>
      </c>
      <c r="Q1135" s="87" t="s">
        <v>2945</v>
      </c>
      <c r="R1135" s="87">
        <v>0</v>
      </c>
      <c r="S1135" s="87">
        <v>0</v>
      </c>
      <c r="T1135" s="87">
        <v>1</v>
      </c>
      <c r="U1135" s="87">
        <v>0</v>
      </c>
      <c r="V1135" s="87">
        <v>5</v>
      </c>
      <c r="W1135" s="93" t="s">
        <v>6664</v>
      </c>
      <c r="X1135" s="87"/>
      <c r="Y1135" s="87"/>
      <c r="Z1135" s="87"/>
      <c r="AA1135" s="87" t="s">
        <v>9328</v>
      </c>
      <c r="AB1135" s="87" t="s">
        <v>11451</v>
      </c>
      <c r="AC1135" s="93" t="s">
        <v>11457</v>
      </c>
      <c r="AD1135" s="87" t="s">
        <v>11519</v>
      </c>
      <c r="AE1135" s="92" t="str">
        <f>HYPERLINK("https://twitter.com/felipelegado/status/1685276052212371456")</f>
        <v>https://twitter.com/felipelegado/status/1685276052212371456</v>
      </c>
      <c r="AF1135" s="90">
        <v>45136.547407407408</v>
      </c>
      <c r="AG1135" s="99">
        <v>45136</v>
      </c>
      <c r="AH1135" s="93" t="s">
        <v>12579</v>
      </c>
      <c r="AI1135" s="87" t="b">
        <v>0</v>
      </c>
      <c r="AJ1135" s="87"/>
      <c r="AK1135" s="87"/>
      <c r="AL1135" s="87"/>
      <c r="AM1135" s="87"/>
      <c r="AN1135" s="87"/>
      <c r="AO1135" s="87"/>
      <c r="AP1135" s="87"/>
      <c r="AQ1135" s="87" t="s">
        <v>16141</v>
      </c>
      <c r="AR1135" s="87"/>
      <c r="AS1135" s="87"/>
      <c r="AT1135" s="87"/>
      <c r="AU1135" s="87"/>
      <c r="AV1135" s="92" t="str">
        <f>HYPERLINK("https://pbs.twimg.com/media/F2NNihPWcAE7qx8.jpg")</f>
        <v>https://pbs.twimg.com/media/F2NNihPWcAE7qx8.jpg</v>
      </c>
      <c r="AW1135" s="93" t="s">
        <v>19372</v>
      </c>
      <c r="AX1135" s="93" t="s">
        <v>19372</v>
      </c>
      <c r="AY1135" s="87"/>
      <c r="AZ1135" s="93" t="s">
        <v>22668</v>
      </c>
      <c r="BA1135" s="93" t="s">
        <v>22668</v>
      </c>
      <c r="BB1135" s="93" t="s">
        <v>22668</v>
      </c>
      <c r="BC1135" s="93" t="s">
        <v>19372</v>
      </c>
      <c r="BD1135" s="93" t="s">
        <v>23014</v>
      </c>
      <c r="BE1135" s="87"/>
      <c r="BF1135" s="87"/>
      <c r="BG1135" s="87"/>
      <c r="BH1135" s="87"/>
      <c r="BI1135" s="87"/>
    </row>
    <row r="1136" spans="1:61" x14ac:dyDescent="0.25">
      <c r="A1136" s="63" t="s">
        <v>610</v>
      </c>
      <c r="B1136" s="63" t="s">
        <v>610</v>
      </c>
      <c r="C1136" s="64"/>
      <c r="D1136" s="65"/>
      <c r="E1136" s="66"/>
      <c r="F1136" s="67"/>
      <c r="G1136" s="64"/>
      <c r="H1136" s="68"/>
      <c r="I1136" s="69"/>
      <c r="J1136" s="69"/>
      <c r="K1136" s="32"/>
      <c r="L1136" s="76">
        <v>1136</v>
      </c>
      <c r="M1136" s="76"/>
      <c r="N1136" s="71"/>
      <c r="O1136" s="87" t="s">
        <v>179</v>
      </c>
      <c r="P1136" s="90">
        <v>45162.341909722221</v>
      </c>
      <c r="Q1136" s="87" t="s">
        <v>2946</v>
      </c>
      <c r="R1136" s="87">
        <v>0</v>
      </c>
      <c r="S1136" s="87">
        <v>0</v>
      </c>
      <c r="T1136" s="87">
        <v>0</v>
      </c>
      <c r="U1136" s="87">
        <v>0</v>
      </c>
      <c r="V1136" s="87">
        <v>35</v>
      </c>
      <c r="W1136" s="93" t="s">
        <v>6665</v>
      </c>
      <c r="X1136" s="87"/>
      <c r="Y1136" s="87"/>
      <c r="Z1136" s="87"/>
      <c r="AA1136" s="87"/>
      <c r="AB1136" s="87"/>
      <c r="AC1136" s="93" t="s">
        <v>11482</v>
      </c>
      <c r="AD1136" s="87" t="s">
        <v>11519</v>
      </c>
      <c r="AE1136" s="92" t="str">
        <f>HYPERLINK("https://twitter.com/theinfoveritas/status/1694623667215282546")</f>
        <v>https://twitter.com/theinfoveritas/status/1694623667215282546</v>
      </c>
      <c r="AF1136" s="90">
        <v>45162.341909722221</v>
      </c>
      <c r="AG1136" s="99">
        <v>45162</v>
      </c>
      <c r="AH1136" s="93" t="s">
        <v>12580</v>
      </c>
      <c r="AI1136" s="87"/>
      <c r="AJ1136" s="87"/>
      <c r="AK1136" s="87"/>
      <c r="AL1136" s="87"/>
      <c r="AM1136" s="87"/>
      <c r="AN1136" s="87"/>
      <c r="AO1136" s="87"/>
      <c r="AP1136" s="87"/>
      <c r="AQ1136" s="87"/>
      <c r="AR1136" s="87"/>
      <c r="AS1136" s="87"/>
      <c r="AT1136" s="87"/>
      <c r="AU1136" s="87"/>
      <c r="AV1136" s="92" t="str">
        <f>HYPERLINK("https://pbs.twimg.com/profile_images/1664096165070028801/PSJeAwx__normal.jpg")</f>
        <v>https://pbs.twimg.com/profile_images/1664096165070028801/PSJeAwx__normal.jpg</v>
      </c>
      <c r="AW1136" s="93" t="s">
        <v>19373</v>
      </c>
      <c r="AX1136" s="93" t="s">
        <v>19373</v>
      </c>
      <c r="AY1136" s="87"/>
      <c r="AZ1136" s="93" t="s">
        <v>22668</v>
      </c>
      <c r="BA1136" s="93" t="s">
        <v>22668</v>
      </c>
      <c r="BB1136" s="93" t="s">
        <v>22668</v>
      </c>
      <c r="BC1136" s="93" t="s">
        <v>19373</v>
      </c>
      <c r="BD1136" s="93" t="s">
        <v>23015</v>
      </c>
      <c r="BE1136" s="87"/>
      <c r="BF1136" s="87"/>
      <c r="BG1136" s="87"/>
      <c r="BH1136" s="87"/>
      <c r="BI1136" s="87"/>
    </row>
    <row r="1137" spans="1:61" x14ac:dyDescent="0.25">
      <c r="A1137" s="63" t="s">
        <v>610</v>
      </c>
      <c r="B1137" s="63" t="s">
        <v>610</v>
      </c>
      <c r="C1137" s="64"/>
      <c r="D1137" s="65"/>
      <c r="E1137" s="66"/>
      <c r="F1137" s="67"/>
      <c r="G1137" s="64"/>
      <c r="H1137" s="68"/>
      <c r="I1137" s="69"/>
      <c r="J1137" s="69"/>
      <c r="K1137" s="32"/>
      <c r="L1137" s="76">
        <v>1137</v>
      </c>
      <c r="M1137" s="76"/>
      <c r="N1137" s="71"/>
      <c r="O1137" s="87" t="s">
        <v>179</v>
      </c>
      <c r="P1137" s="90">
        <v>45170.508564814816</v>
      </c>
      <c r="Q1137" s="87" t="s">
        <v>2947</v>
      </c>
      <c r="R1137" s="87">
        <v>0</v>
      </c>
      <c r="S1137" s="87">
        <v>0</v>
      </c>
      <c r="T1137" s="87">
        <v>0</v>
      </c>
      <c r="U1137" s="87">
        <v>0</v>
      </c>
      <c r="V1137" s="87">
        <v>34</v>
      </c>
      <c r="W1137" s="93" t="s">
        <v>6666</v>
      </c>
      <c r="X1137" s="87"/>
      <c r="Y1137" s="87"/>
      <c r="Z1137" s="87"/>
      <c r="AA1137" s="87"/>
      <c r="AB1137" s="87"/>
      <c r="AC1137" s="93" t="s">
        <v>11482</v>
      </c>
      <c r="AD1137" s="87" t="s">
        <v>11519</v>
      </c>
      <c r="AE1137" s="92" t="str">
        <f>HYPERLINK("https://twitter.com/theinfoveritas/status/1697583163441025328")</f>
        <v>https://twitter.com/theinfoveritas/status/1697583163441025328</v>
      </c>
      <c r="AF1137" s="90">
        <v>45170.508564814816</v>
      </c>
      <c r="AG1137" s="99">
        <v>45170</v>
      </c>
      <c r="AH1137" s="93" t="s">
        <v>12581</v>
      </c>
      <c r="AI1137" s="87"/>
      <c r="AJ1137" s="87"/>
      <c r="AK1137" s="87"/>
      <c r="AL1137" s="87"/>
      <c r="AM1137" s="87"/>
      <c r="AN1137" s="87"/>
      <c r="AO1137" s="87"/>
      <c r="AP1137" s="87"/>
      <c r="AQ1137" s="87"/>
      <c r="AR1137" s="87"/>
      <c r="AS1137" s="87"/>
      <c r="AT1137" s="87"/>
      <c r="AU1137" s="87"/>
      <c r="AV1137" s="92" t="str">
        <f>HYPERLINK("https://pbs.twimg.com/profile_images/1664096165070028801/PSJeAwx__normal.jpg")</f>
        <v>https://pbs.twimg.com/profile_images/1664096165070028801/PSJeAwx__normal.jpg</v>
      </c>
      <c r="AW1137" s="93" t="s">
        <v>19374</v>
      </c>
      <c r="AX1137" s="93" t="s">
        <v>19374</v>
      </c>
      <c r="AY1137" s="87"/>
      <c r="AZ1137" s="93" t="s">
        <v>22668</v>
      </c>
      <c r="BA1137" s="93" t="s">
        <v>22668</v>
      </c>
      <c r="BB1137" s="93" t="s">
        <v>22668</v>
      </c>
      <c r="BC1137" s="93" t="s">
        <v>19374</v>
      </c>
      <c r="BD1137" s="93" t="s">
        <v>23015</v>
      </c>
      <c r="BE1137" s="87"/>
      <c r="BF1137" s="87"/>
      <c r="BG1137" s="87"/>
      <c r="BH1137" s="87"/>
      <c r="BI1137" s="87"/>
    </row>
    <row r="1138" spans="1:61" x14ac:dyDescent="0.25">
      <c r="A1138" s="63" t="s">
        <v>611</v>
      </c>
      <c r="B1138" s="63" t="s">
        <v>611</v>
      </c>
      <c r="C1138" s="64"/>
      <c r="D1138" s="65"/>
      <c r="E1138" s="66"/>
      <c r="F1138" s="67"/>
      <c r="G1138" s="64"/>
      <c r="H1138" s="68"/>
      <c r="I1138" s="69"/>
      <c r="J1138" s="69"/>
      <c r="K1138" s="32"/>
      <c r="L1138" s="76">
        <v>1138</v>
      </c>
      <c r="M1138" s="76"/>
      <c r="N1138" s="71"/>
      <c r="O1138" s="87" t="s">
        <v>179</v>
      </c>
      <c r="P1138" s="90">
        <v>45133.775949074072</v>
      </c>
      <c r="Q1138" s="87" t="s">
        <v>2948</v>
      </c>
      <c r="R1138" s="87">
        <v>0</v>
      </c>
      <c r="S1138" s="87">
        <v>0</v>
      </c>
      <c r="T1138" s="87">
        <v>0</v>
      </c>
      <c r="U1138" s="87">
        <v>0</v>
      </c>
      <c r="V1138" s="87">
        <v>10</v>
      </c>
      <c r="W1138" s="93" t="s">
        <v>6667</v>
      </c>
      <c r="X1138" s="92" t="str">
        <f>HYPERLINK("https://bomperfil.com/eliasleal")</f>
        <v>https://bomperfil.com/eliasleal</v>
      </c>
      <c r="Y1138" s="87" t="s">
        <v>8440</v>
      </c>
      <c r="Z1138" s="87"/>
      <c r="AA1138" s="87"/>
      <c r="AB1138" s="87"/>
      <c r="AC1138" s="93" t="s">
        <v>11459</v>
      </c>
      <c r="AD1138" s="87" t="s">
        <v>11519</v>
      </c>
      <c r="AE1138" s="92" t="str">
        <f>HYPERLINK("https://twitter.com/eliaslealmkt/status/1684271711020019713")</f>
        <v>https://twitter.com/eliaslealmkt/status/1684271711020019713</v>
      </c>
      <c r="AF1138" s="90">
        <v>45133.775949074072</v>
      </c>
      <c r="AG1138" s="99">
        <v>45133</v>
      </c>
      <c r="AH1138" s="93" t="s">
        <v>12582</v>
      </c>
      <c r="AI1138" s="87" t="b">
        <v>0</v>
      </c>
      <c r="AJ1138" s="87"/>
      <c r="AK1138" s="87"/>
      <c r="AL1138" s="87"/>
      <c r="AM1138" s="87"/>
      <c r="AN1138" s="87"/>
      <c r="AO1138" s="87"/>
      <c r="AP1138" s="87"/>
      <c r="AQ1138" s="87"/>
      <c r="AR1138" s="87"/>
      <c r="AS1138" s="87"/>
      <c r="AT1138" s="87"/>
      <c r="AU1138" s="87"/>
      <c r="AV1138" s="92" t="str">
        <f>HYPERLINK("https://pbs.twimg.com/profile_images/1666633258665226242/fhkJY9Mb_normal.jpg")</f>
        <v>https://pbs.twimg.com/profile_images/1666633258665226242/fhkJY9Mb_normal.jpg</v>
      </c>
      <c r="AW1138" s="93" t="s">
        <v>19375</v>
      </c>
      <c r="AX1138" s="93" t="s">
        <v>19375</v>
      </c>
      <c r="AY1138" s="87"/>
      <c r="AZ1138" s="93" t="s">
        <v>22668</v>
      </c>
      <c r="BA1138" s="93" t="s">
        <v>22668</v>
      </c>
      <c r="BB1138" s="93" t="s">
        <v>22668</v>
      </c>
      <c r="BC1138" s="93" t="s">
        <v>19375</v>
      </c>
      <c r="BD1138" s="93" t="s">
        <v>23016</v>
      </c>
      <c r="BE1138" s="87"/>
      <c r="BF1138" s="87"/>
      <c r="BG1138" s="87"/>
      <c r="BH1138" s="87"/>
      <c r="BI1138" s="87"/>
    </row>
    <row r="1139" spans="1:61" x14ac:dyDescent="0.25">
      <c r="A1139" s="63" t="s">
        <v>612</v>
      </c>
      <c r="B1139" s="63" t="s">
        <v>1201</v>
      </c>
      <c r="C1139" s="64"/>
      <c r="D1139" s="65"/>
      <c r="E1139" s="66"/>
      <c r="F1139" s="67"/>
      <c r="G1139" s="64"/>
      <c r="H1139" s="68"/>
      <c r="I1139" s="69"/>
      <c r="J1139" s="69"/>
      <c r="K1139" s="32"/>
      <c r="L1139" s="76">
        <v>1139</v>
      </c>
      <c r="M1139" s="76"/>
      <c r="N1139" s="71"/>
      <c r="O1139" s="87" t="s">
        <v>1841</v>
      </c>
      <c r="P1139" s="90">
        <v>45187.476712962962</v>
      </c>
      <c r="Q1139" s="87" t="s">
        <v>2949</v>
      </c>
      <c r="R1139" s="87">
        <v>1</v>
      </c>
      <c r="S1139" s="87">
        <v>0</v>
      </c>
      <c r="T1139" s="87">
        <v>0</v>
      </c>
      <c r="U1139" s="87">
        <v>0</v>
      </c>
      <c r="V1139" s="87"/>
      <c r="W1139" s="87"/>
      <c r="X1139" s="87"/>
      <c r="Y1139" s="87"/>
      <c r="Z1139" s="87" t="s">
        <v>1201</v>
      </c>
      <c r="AA1139" s="87"/>
      <c r="AB1139" s="87"/>
      <c r="AC1139" s="93" t="s">
        <v>11457</v>
      </c>
      <c r="AD1139" s="87" t="s">
        <v>11519</v>
      </c>
      <c r="AE1139" s="92" t="str">
        <f>HYPERLINK("https://twitter.com/tavorecife/status/1703732215580868906")</f>
        <v>https://twitter.com/tavorecife/status/1703732215580868906</v>
      </c>
      <c r="AF1139" s="90">
        <v>45187.476712962962</v>
      </c>
      <c r="AG1139" s="99">
        <v>45187</v>
      </c>
      <c r="AH1139" s="93" t="s">
        <v>12583</v>
      </c>
      <c r="AI1139" s="87"/>
      <c r="AJ1139" s="87"/>
      <c r="AK1139" s="87"/>
      <c r="AL1139" s="87"/>
      <c r="AM1139" s="87"/>
      <c r="AN1139" s="87"/>
      <c r="AO1139" s="87"/>
      <c r="AP1139" s="87"/>
      <c r="AQ1139" s="87"/>
      <c r="AR1139" s="87"/>
      <c r="AS1139" s="87"/>
      <c r="AT1139" s="87"/>
      <c r="AU1139" s="87"/>
      <c r="AV1139" s="92" t="str">
        <f>HYPERLINK("https://pbs.twimg.com/profile_images/1664070012313714689/elUrffA0_normal.jpg")</f>
        <v>https://pbs.twimg.com/profile_images/1664070012313714689/elUrffA0_normal.jpg</v>
      </c>
      <c r="AW1139" s="93" t="s">
        <v>19376</v>
      </c>
      <c r="AX1139" s="93" t="s">
        <v>19376</v>
      </c>
      <c r="AY1139" s="87"/>
      <c r="AZ1139" s="93" t="s">
        <v>22668</v>
      </c>
      <c r="BA1139" s="93" t="s">
        <v>22668</v>
      </c>
      <c r="BB1139" s="93" t="s">
        <v>21322</v>
      </c>
      <c r="BC1139" s="93" t="s">
        <v>21322</v>
      </c>
      <c r="BD1139" s="87">
        <v>156803318</v>
      </c>
      <c r="BE1139" s="87"/>
      <c r="BF1139" s="87"/>
      <c r="BG1139" s="87"/>
      <c r="BH1139" s="87"/>
      <c r="BI1139" s="87"/>
    </row>
    <row r="1140" spans="1:61" x14ac:dyDescent="0.25">
      <c r="A1140" s="63" t="s">
        <v>613</v>
      </c>
      <c r="B1140" s="63" t="s">
        <v>613</v>
      </c>
      <c r="C1140" s="64"/>
      <c r="D1140" s="65"/>
      <c r="E1140" s="66"/>
      <c r="F1140" s="67"/>
      <c r="G1140" s="64"/>
      <c r="H1140" s="68"/>
      <c r="I1140" s="69"/>
      <c r="J1140" s="69"/>
      <c r="K1140" s="32"/>
      <c r="L1140" s="76">
        <v>1140</v>
      </c>
      <c r="M1140" s="76"/>
      <c r="N1140" s="71"/>
      <c r="O1140" s="87" t="s">
        <v>179</v>
      </c>
      <c r="P1140" s="90">
        <v>45113.709467592591</v>
      </c>
      <c r="Q1140" s="87" t="s">
        <v>2950</v>
      </c>
      <c r="R1140" s="87">
        <v>0</v>
      </c>
      <c r="S1140" s="87">
        <v>0</v>
      </c>
      <c r="T1140" s="87">
        <v>0</v>
      </c>
      <c r="U1140" s="87">
        <v>0</v>
      </c>
      <c r="V1140" s="87">
        <v>7</v>
      </c>
      <c r="W1140" s="93" t="s">
        <v>6668</v>
      </c>
      <c r="X1140" s="87"/>
      <c r="Y1140" s="87"/>
      <c r="Z1140" s="87"/>
      <c r="AA1140" s="87" t="s">
        <v>9329</v>
      </c>
      <c r="AB1140" s="87" t="s">
        <v>11451</v>
      </c>
      <c r="AC1140" s="93" t="s">
        <v>11459</v>
      </c>
      <c r="AD1140" s="87" t="s">
        <v>11519</v>
      </c>
      <c r="AE1140" s="92" t="str">
        <f>HYPERLINK("https://twitter.com/danielsmcontab/status/1676999861520965632")</f>
        <v>https://twitter.com/danielsmcontab/status/1676999861520965632</v>
      </c>
      <c r="AF1140" s="90">
        <v>45113.709467592591</v>
      </c>
      <c r="AG1140" s="99">
        <v>45113</v>
      </c>
      <c r="AH1140" s="93" t="s">
        <v>12584</v>
      </c>
      <c r="AI1140" s="87" t="b">
        <v>0</v>
      </c>
      <c r="AJ1140" s="87"/>
      <c r="AK1140" s="87"/>
      <c r="AL1140" s="87"/>
      <c r="AM1140" s="87"/>
      <c r="AN1140" s="87"/>
      <c r="AO1140" s="87"/>
      <c r="AP1140" s="87"/>
      <c r="AQ1140" s="87" t="s">
        <v>16142</v>
      </c>
      <c r="AR1140" s="87"/>
      <c r="AS1140" s="87"/>
      <c r="AT1140" s="87"/>
      <c r="AU1140" s="87"/>
      <c r="AV1140" s="92" t="str">
        <f>HYPERLINK("https://pbs.twimg.com/media/F0Xme5CWABIz0r6.jpg")</f>
        <v>https://pbs.twimg.com/media/F0Xme5CWABIz0r6.jpg</v>
      </c>
      <c r="AW1140" s="93" t="s">
        <v>19377</v>
      </c>
      <c r="AX1140" s="93" t="s">
        <v>19377</v>
      </c>
      <c r="AY1140" s="87"/>
      <c r="AZ1140" s="93" t="s">
        <v>22668</v>
      </c>
      <c r="BA1140" s="93" t="s">
        <v>22668</v>
      </c>
      <c r="BB1140" s="93" t="s">
        <v>22668</v>
      </c>
      <c r="BC1140" s="93" t="s">
        <v>19377</v>
      </c>
      <c r="BD1140" s="93" t="s">
        <v>23017</v>
      </c>
      <c r="BE1140" s="87"/>
      <c r="BF1140" s="87"/>
      <c r="BG1140" s="87"/>
      <c r="BH1140" s="87"/>
      <c r="BI1140" s="87"/>
    </row>
    <row r="1141" spans="1:61" x14ac:dyDescent="0.25">
      <c r="A1141" s="63" t="s">
        <v>614</v>
      </c>
      <c r="B1141" s="63" t="s">
        <v>614</v>
      </c>
      <c r="C1141" s="64"/>
      <c r="D1141" s="65"/>
      <c r="E1141" s="66"/>
      <c r="F1141" s="67"/>
      <c r="G1141" s="64"/>
      <c r="H1141" s="68"/>
      <c r="I1141" s="69"/>
      <c r="J1141" s="69"/>
      <c r="K1141" s="32"/>
      <c r="L1141" s="76">
        <v>1141</v>
      </c>
      <c r="M1141" s="76"/>
      <c r="N1141" s="71"/>
      <c r="O1141" s="87" t="s">
        <v>179</v>
      </c>
      <c r="P1141" s="90">
        <v>45173.133009259262</v>
      </c>
      <c r="Q1141" s="87" t="s">
        <v>2951</v>
      </c>
      <c r="R1141" s="87">
        <v>0</v>
      </c>
      <c r="S1141" s="87">
        <v>0</v>
      </c>
      <c r="T1141" s="87">
        <v>0</v>
      </c>
      <c r="U1141" s="87">
        <v>0</v>
      </c>
      <c r="V1141" s="87">
        <v>20</v>
      </c>
      <c r="W1141" s="93" t="s">
        <v>6669</v>
      </c>
      <c r="X1141" s="87"/>
      <c r="Y1141" s="87"/>
      <c r="Z1141" s="87"/>
      <c r="AA1141" s="87" t="s">
        <v>9330</v>
      </c>
      <c r="AB1141" s="87" t="s">
        <v>11448</v>
      </c>
      <c r="AC1141" s="93" t="s">
        <v>11459</v>
      </c>
      <c r="AD1141" s="87" t="s">
        <v>11519</v>
      </c>
      <c r="AE1141" s="92" t="str">
        <f>HYPERLINK("https://twitter.com/murilo_business/status/1698534230735610239")</f>
        <v>https://twitter.com/murilo_business/status/1698534230735610239</v>
      </c>
      <c r="AF1141" s="90">
        <v>45173.133009259262</v>
      </c>
      <c r="AG1141" s="99">
        <v>45173</v>
      </c>
      <c r="AH1141" s="93" t="s">
        <v>12585</v>
      </c>
      <c r="AI1141" s="87" t="b">
        <v>0</v>
      </c>
      <c r="AJ1141" s="87"/>
      <c r="AK1141" s="87"/>
      <c r="AL1141" s="87"/>
      <c r="AM1141" s="87"/>
      <c r="AN1141" s="87"/>
      <c r="AO1141" s="87"/>
      <c r="AP1141" s="87"/>
      <c r="AQ1141" s="87" t="s">
        <v>16143</v>
      </c>
      <c r="AR1141" s="87"/>
      <c r="AS1141" s="87"/>
      <c r="AT1141" s="87"/>
      <c r="AU1141" s="87"/>
      <c r="AV1141" s="92" t="str">
        <f>HYPERLINK("https://pbs.twimg.com/media/F5Jn4b_WQAArhDo.jpg")</f>
        <v>https://pbs.twimg.com/media/F5Jn4b_WQAArhDo.jpg</v>
      </c>
      <c r="AW1141" s="93" t="s">
        <v>19378</v>
      </c>
      <c r="AX1141" s="93" t="s">
        <v>19378</v>
      </c>
      <c r="AY1141" s="87"/>
      <c r="AZ1141" s="93" t="s">
        <v>22668</v>
      </c>
      <c r="BA1141" s="93" t="s">
        <v>22668</v>
      </c>
      <c r="BB1141" s="93" t="s">
        <v>22668</v>
      </c>
      <c r="BC1141" s="93" t="s">
        <v>19378</v>
      </c>
      <c r="BD1141" s="93" t="s">
        <v>23018</v>
      </c>
      <c r="BE1141" s="87"/>
      <c r="BF1141" s="87"/>
      <c r="BG1141" s="87"/>
      <c r="BH1141" s="87"/>
      <c r="BI1141" s="87"/>
    </row>
    <row r="1142" spans="1:61" x14ac:dyDescent="0.25">
      <c r="A1142" s="63" t="s">
        <v>615</v>
      </c>
      <c r="B1142" s="63" t="s">
        <v>615</v>
      </c>
      <c r="C1142" s="64"/>
      <c r="D1142" s="65"/>
      <c r="E1142" s="66"/>
      <c r="F1142" s="67"/>
      <c r="G1142" s="64"/>
      <c r="H1142" s="68"/>
      <c r="I1142" s="69"/>
      <c r="J1142" s="69"/>
      <c r="K1142" s="32"/>
      <c r="L1142" s="76">
        <v>1142</v>
      </c>
      <c r="M1142" s="76"/>
      <c r="N1142" s="71"/>
      <c r="O1142" s="87" t="s">
        <v>179</v>
      </c>
      <c r="P1142" s="90">
        <v>45135.988645833335</v>
      </c>
      <c r="Q1142" s="87" t="s">
        <v>2952</v>
      </c>
      <c r="R1142" s="87">
        <v>0</v>
      </c>
      <c r="S1142" s="87">
        <v>0</v>
      </c>
      <c r="T1142" s="87">
        <v>0</v>
      </c>
      <c r="U1142" s="87">
        <v>0</v>
      </c>
      <c r="V1142" s="87">
        <v>5</v>
      </c>
      <c r="W1142" s="93" t="s">
        <v>6670</v>
      </c>
      <c r="X1142" s="87"/>
      <c r="Y1142" s="87"/>
      <c r="Z1142" s="87"/>
      <c r="AA1142" s="87"/>
      <c r="AB1142" s="87"/>
      <c r="AC1142" s="93" t="s">
        <v>11458</v>
      </c>
      <c r="AD1142" s="87" t="s">
        <v>11519</v>
      </c>
      <c r="AE1142" s="92" t="str">
        <f>HYPERLINK("https://twitter.com/samuelvcjunior/status/1685073563332534272")</f>
        <v>https://twitter.com/samuelvcjunior/status/1685073563332534272</v>
      </c>
      <c r="AF1142" s="90">
        <v>45135.988645833335</v>
      </c>
      <c r="AG1142" s="99">
        <v>45135</v>
      </c>
      <c r="AH1142" s="93" t="s">
        <v>12586</v>
      </c>
      <c r="AI1142" s="87"/>
      <c r="AJ1142" s="87"/>
      <c r="AK1142" s="87"/>
      <c r="AL1142" s="87"/>
      <c r="AM1142" s="87"/>
      <c r="AN1142" s="87"/>
      <c r="AO1142" s="87"/>
      <c r="AP1142" s="87"/>
      <c r="AQ1142" s="87"/>
      <c r="AR1142" s="87"/>
      <c r="AS1142" s="87"/>
      <c r="AT1142" s="87"/>
      <c r="AU1142" s="87"/>
      <c r="AV1142" s="92" t="str">
        <f>HYPERLINK("https://pbs.twimg.com/profile_images/1675219168071647233/jrTcbpBW_normal.jpg")</f>
        <v>https://pbs.twimg.com/profile_images/1675219168071647233/jrTcbpBW_normal.jpg</v>
      </c>
      <c r="AW1142" s="93" t="s">
        <v>19379</v>
      </c>
      <c r="AX1142" s="93" t="s">
        <v>19379</v>
      </c>
      <c r="AY1142" s="87"/>
      <c r="AZ1142" s="93" t="s">
        <v>22668</v>
      </c>
      <c r="BA1142" s="93" t="s">
        <v>22668</v>
      </c>
      <c r="BB1142" s="93" t="s">
        <v>22668</v>
      </c>
      <c r="BC1142" s="93" t="s">
        <v>19379</v>
      </c>
      <c r="BD1142" s="87">
        <v>322939689</v>
      </c>
      <c r="BE1142" s="87"/>
      <c r="BF1142" s="87"/>
      <c r="BG1142" s="87"/>
      <c r="BH1142" s="87"/>
      <c r="BI1142" s="87"/>
    </row>
    <row r="1143" spans="1:61" x14ac:dyDescent="0.25">
      <c r="A1143" s="63" t="s">
        <v>616</v>
      </c>
      <c r="B1143" s="63" t="s">
        <v>1671</v>
      </c>
      <c r="C1143" s="64"/>
      <c r="D1143" s="65"/>
      <c r="E1143" s="66"/>
      <c r="F1143" s="67"/>
      <c r="G1143" s="64"/>
      <c r="H1143" s="68"/>
      <c r="I1143" s="69"/>
      <c r="J1143" s="69"/>
      <c r="K1143" s="32"/>
      <c r="L1143" s="76">
        <v>1143</v>
      </c>
      <c r="M1143" s="76"/>
      <c r="N1143" s="71"/>
      <c r="O1143" s="87" t="s">
        <v>1839</v>
      </c>
      <c r="P1143" s="90">
        <v>45111.682824074072</v>
      </c>
      <c r="Q1143" s="87" t="s">
        <v>2953</v>
      </c>
      <c r="R1143" s="87">
        <v>0</v>
      </c>
      <c r="S1143" s="87">
        <v>0</v>
      </c>
      <c r="T1143" s="87">
        <v>0</v>
      </c>
      <c r="U1143" s="87">
        <v>0</v>
      </c>
      <c r="V1143" s="87">
        <v>97</v>
      </c>
      <c r="W1143" s="93" t="s">
        <v>6671</v>
      </c>
      <c r="X1143" s="92" t="str">
        <f>HYPERLINK("https://www.instagram.com/reel/CuSA6rxM2w3/?igshid=NjFiZTE0ZDQ0ZQ==")</f>
        <v>https://www.instagram.com/reel/CuSA6rxM2w3/?igshid=NjFiZTE0ZDQ0ZQ==</v>
      </c>
      <c r="Y1143" s="87" t="s">
        <v>8383</v>
      </c>
      <c r="Z1143" s="87" t="s">
        <v>1671</v>
      </c>
      <c r="AA1143" s="87"/>
      <c r="AB1143" s="87"/>
      <c r="AC1143" s="93" t="s">
        <v>11459</v>
      </c>
      <c r="AD1143" s="87" t="s">
        <v>11519</v>
      </c>
      <c r="AE1143" s="92" t="str">
        <f>HYPERLINK("https://twitter.com/antoniodisouza/status/1676265429348622338")</f>
        <v>https://twitter.com/antoniodisouza/status/1676265429348622338</v>
      </c>
      <c r="AF1143" s="90">
        <v>45111.682824074072</v>
      </c>
      <c r="AG1143" s="99">
        <v>45111</v>
      </c>
      <c r="AH1143" s="93" t="s">
        <v>12587</v>
      </c>
      <c r="AI1143" s="87" t="b">
        <v>0</v>
      </c>
      <c r="AJ1143" s="87" t="s">
        <v>15194</v>
      </c>
      <c r="AK1143" s="87" t="s">
        <v>15234</v>
      </c>
      <c r="AL1143" s="87" t="s">
        <v>15237</v>
      </c>
      <c r="AM1143" s="87" t="s">
        <v>15266</v>
      </c>
      <c r="AN1143" s="87" t="s">
        <v>15332</v>
      </c>
      <c r="AO1143" s="87" t="s">
        <v>15398</v>
      </c>
      <c r="AP1143" s="87" t="s">
        <v>15438</v>
      </c>
      <c r="AQ1143" s="87"/>
      <c r="AR1143" s="87"/>
      <c r="AS1143" s="87"/>
      <c r="AT1143" s="87"/>
      <c r="AU1143" s="87"/>
      <c r="AV1143" s="92" t="str">
        <f>HYPERLINK("https://pbs.twimg.com/profile_images/1702169213085913088/1Fw1wp1b_normal.jpg")</f>
        <v>https://pbs.twimg.com/profile_images/1702169213085913088/1Fw1wp1b_normal.jpg</v>
      </c>
      <c r="AW1143" s="93" t="s">
        <v>19380</v>
      </c>
      <c r="AX1143" s="93" t="s">
        <v>19380</v>
      </c>
      <c r="AY1143" s="87"/>
      <c r="AZ1143" s="93" t="s">
        <v>22668</v>
      </c>
      <c r="BA1143" s="93" t="s">
        <v>22668</v>
      </c>
      <c r="BB1143" s="93" t="s">
        <v>22668</v>
      </c>
      <c r="BC1143" s="93" t="s">
        <v>19380</v>
      </c>
      <c r="BD1143" s="87">
        <v>238088921</v>
      </c>
      <c r="BE1143" s="87"/>
      <c r="BF1143" s="87"/>
      <c r="BG1143" s="87"/>
      <c r="BH1143" s="87"/>
      <c r="BI1143" s="87"/>
    </row>
    <row r="1144" spans="1:61" x14ac:dyDescent="0.25">
      <c r="A1144" s="63" t="s">
        <v>617</v>
      </c>
      <c r="B1144" s="63" t="s">
        <v>617</v>
      </c>
      <c r="C1144" s="64"/>
      <c r="D1144" s="65"/>
      <c r="E1144" s="66"/>
      <c r="F1144" s="67"/>
      <c r="G1144" s="64"/>
      <c r="H1144" s="68"/>
      <c r="I1144" s="69"/>
      <c r="J1144" s="69"/>
      <c r="K1144" s="32"/>
      <c r="L1144" s="76">
        <v>1144</v>
      </c>
      <c r="M1144" s="76"/>
      <c r="N1144" s="71"/>
      <c r="O1144" s="87" t="s">
        <v>179</v>
      </c>
      <c r="P1144" s="90">
        <v>45189.849849537037</v>
      </c>
      <c r="Q1144" s="87" t="s">
        <v>2954</v>
      </c>
      <c r="R1144" s="87">
        <v>2</v>
      </c>
      <c r="S1144" s="87">
        <v>1</v>
      </c>
      <c r="T1144" s="87">
        <v>0</v>
      </c>
      <c r="U1144" s="87">
        <v>0</v>
      </c>
      <c r="V1144" s="87">
        <v>131</v>
      </c>
      <c r="W1144" s="93" t="s">
        <v>6672</v>
      </c>
      <c r="X1144" s="87"/>
      <c r="Y1144" s="87"/>
      <c r="Z1144" s="87"/>
      <c r="AA1144" s="87" t="s">
        <v>9331</v>
      </c>
      <c r="AB1144" s="87" t="s">
        <v>11448</v>
      </c>
      <c r="AC1144" s="93" t="s">
        <v>11459</v>
      </c>
      <c r="AD1144" s="87" t="s">
        <v>11525</v>
      </c>
      <c r="AE1144" s="92" t="str">
        <f>HYPERLINK("https://twitter.com/mere_lani/status/1704592210874736685")</f>
        <v>https://twitter.com/mere_lani/status/1704592210874736685</v>
      </c>
      <c r="AF1144" s="90">
        <v>45189.849849537037</v>
      </c>
      <c r="AG1144" s="99">
        <v>45189</v>
      </c>
      <c r="AH1144" s="93" t="s">
        <v>12588</v>
      </c>
      <c r="AI1144" s="87" t="b">
        <v>0</v>
      </c>
      <c r="AJ1144" s="87"/>
      <c r="AK1144" s="87"/>
      <c r="AL1144" s="87"/>
      <c r="AM1144" s="87"/>
      <c r="AN1144" s="87"/>
      <c r="AO1144" s="87"/>
      <c r="AP1144" s="87"/>
      <c r="AQ1144" s="87" t="s">
        <v>16144</v>
      </c>
      <c r="AR1144" s="87"/>
      <c r="AS1144" s="87"/>
      <c r="AT1144" s="87"/>
      <c r="AU1144" s="87"/>
      <c r="AV1144" s="92" t="str">
        <f>HYPERLINK("https://pbs.twimg.com/media/F6ftlLzWcAEv81F.jpg")</f>
        <v>https://pbs.twimg.com/media/F6ftlLzWcAEv81F.jpg</v>
      </c>
      <c r="AW1144" s="93" t="s">
        <v>19381</v>
      </c>
      <c r="AX1144" s="93" t="s">
        <v>19381</v>
      </c>
      <c r="AY1144" s="87"/>
      <c r="AZ1144" s="93" t="s">
        <v>22668</v>
      </c>
      <c r="BA1144" s="93" t="s">
        <v>22668</v>
      </c>
      <c r="BB1144" s="93" t="s">
        <v>22668</v>
      </c>
      <c r="BC1144" s="93" t="s">
        <v>19381</v>
      </c>
      <c r="BD1144" s="93" t="s">
        <v>23019</v>
      </c>
      <c r="BE1144" s="87"/>
      <c r="BF1144" s="87"/>
      <c r="BG1144" s="87"/>
      <c r="BH1144" s="87"/>
      <c r="BI1144" s="87"/>
    </row>
    <row r="1145" spans="1:61" x14ac:dyDescent="0.25">
      <c r="A1145" s="63" t="s">
        <v>617</v>
      </c>
      <c r="B1145" s="63" t="s">
        <v>617</v>
      </c>
      <c r="C1145" s="64"/>
      <c r="D1145" s="65"/>
      <c r="E1145" s="66"/>
      <c r="F1145" s="67"/>
      <c r="G1145" s="64"/>
      <c r="H1145" s="68"/>
      <c r="I1145" s="69"/>
      <c r="J1145" s="69"/>
      <c r="K1145" s="32"/>
      <c r="L1145" s="76">
        <v>1145</v>
      </c>
      <c r="M1145" s="76"/>
      <c r="N1145" s="71"/>
      <c r="O1145" s="87" t="s">
        <v>179</v>
      </c>
      <c r="P1145" s="90">
        <v>45189.805</v>
      </c>
      <c r="Q1145" s="87" t="s">
        <v>2955</v>
      </c>
      <c r="R1145" s="87">
        <v>3</v>
      </c>
      <c r="S1145" s="87">
        <v>3</v>
      </c>
      <c r="T1145" s="87">
        <v>0</v>
      </c>
      <c r="U1145" s="87">
        <v>0</v>
      </c>
      <c r="V1145" s="87">
        <v>278</v>
      </c>
      <c r="W1145" s="93" t="s">
        <v>6673</v>
      </c>
      <c r="X1145" s="87"/>
      <c r="Y1145" s="87"/>
      <c r="Z1145" s="87"/>
      <c r="AA1145" s="87" t="s">
        <v>9332</v>
      </c>
      <c r="AB1145" s="87" t="s">
        <v>11447</v>
      </c>
      <c r="AC1145" s="93" t="s">
        <v>11459</v>
      </c>
      <c r="AD1145" s="87" t="s">
        <v>11519</v>
      </c>
      <c r="AE1145" s="92" t="str">
        <f>HYPERLINK("https://twitter.com/mere_lani/status/1704575956730401064")</f>
        <v>https://twitter.com/mere_lani/status/1704575956730401064</v>
      </c>
      <c r="AF1145" s="90">
        <v>45189.805</v>
      </c>
      <c r="AG1145" s="99">
        <v>45189</v>
      </c>
      <c r="AH1145" s="93" t="s">
        <v>12589</v>
      </c>
      <c r="AI1145" s="87" t="b">
        <v>0</v>
      </c>
      <c r="AJ1145" s="87"/>
      <c r="AK1145" s="87"/>
      <c r="AL1145" s="87"/>
      <c r="AM1145" s="87"/>
      <c r="AN1145" s="87"/>
      <c r="AO1145" s="87"/>
      <c r="AP1145" s="87"/>
      <c r="AQ1145" s="87" t="s">
        <v>16145</v>
      </c>
      <c r="AR1145" s="87">
        <v>11133</v>
      </c>
      <c r="AS1145" s="87"/>
      <c r="AT1145" s="87"/>
      <c r="AU1145" s="87"/>
      <c r="AV1145" s="92" t="str">
        <f>HYPERLINK("https://pbs.twimg.com/ext_tw_video_thumb/1704575888694661120/pu/img/RAOt9urrLF7gO6QB.jpg")</f>
        <v>https://pbs.twimg.com/ext_tw_video_thumb/1704575888694661120/pu/img/RAOt9urrLF7gO6QB.jpg</v>
      </c>
      <c r="AW1145" s="93" t="s">
        <v>19382</v>
      </c>
      <c r="AX1145" s="93" t="s">
        <v>19382</v>
      </c>
      <c r="AY1145" s="87"/>
      <c r="AZ1145" s="93" t="s">
        <v>22668</v>
      </c>
      <c r="BA1145" s="93" t="s">
        <v>22668</v>
      </c>
      <c r="BB1145" s="93" t="s">
        <v>22668</v>
      </c>
      <c r="BC1145" s="93" t="s">
        <v>19382</v>
      </c>
      <c r="BD1145" s="93" t="s">
        <v>23019</v>
      </c>
      <c r="BE1145" s="87"/>
      <c r="BF1145" s="87"/>
      <c r="BG1145" s="87"/>
      <c r="BH1145" s="87"/>
      <c r="BI1145" s="87"/>
    </row>
    <row r="1146" spans="1:61" x14ac:dyDescent="0.25">
      <c r="A1146" s="63" t="s">
        <v>617</v>
      </c>
      <c r="B1146" s="63" t="s">
        <v>617</v>
      </c>
      <c r="C1146" s="64"/>
      <c r="D1146" s="65"/>
      <c r="E1146" s="66"/>
      <c r="F1146" s="67"/>
      <c r="G1146" s="64"/>
      <c r="H1146" s="68"/>
      <c r="I1146" s="69"/>
      <c r="J1146" s="69"/>
      <c r="K1146" s="32"/>
      <c r="L1146" s="76">
        <v>1146</v>
      </c>
      <c r="M1146" s="76"/>
      <c r="N1146" s="71"/>
      <c r="O1146" s="87" t="s">
        <v>179</v>
      </c>
      <c r="P1146" s="90">
        <v>45189.850636574076</v>
      </c>
      <c r="Q1146" s="87" t="s">
        <v>2956</v>
      </c>
      <c r="R1146" s="87">
        <v>3</v>
      </c>
      <c r="S1146" s="87">
        <v>2</v>
      </c>
      <c r="T1146" s="87">
        <v>0</v>
      </c>
      <c r="U1146" s="87">
        <v>0</v>
      </c>
      <c r="V1146" s="87">
        <v>162</v>
      </c>
      <c r="W1146" s="93" t="s">
        <v>6672</v>
      </c>
      <c r="X1146" s="87"/>
      <c r="Y1146" s="87"/>
      <c r="Z1146" s="87"/>
      <c r="AA1146" s="87" t="s">
        <v>9333</v>
      </c>
      <c r="AB1146" s="87" t="s">
        <v>11448</v>
      </c>
      <c r="AC1146" s="93" t="s">
        <v>11459</v>
      </c>
      <c r="AD1146" s="87" t="s">
        <v>11526</v>
      </c>
      <c r="AE1146" s="92" t="str">
        <f>HYPERLINK("https://twitter.com/mere_lani/status/1704592495680602548")</f>
        <v>https://twitter.com/mere_lani/status/1704592495680602548</v>
      </c>
      <c r="AF1146" s="90">
        <v>45189.850636574076</v>
      </c>
      <c r="AG1146" s="99">
        <v>45189</v>
      </c>
      <c r="AH1146" s="93" t="s">
        <v>12590</v>
      </c>
      <c r="AI1146" s="87" t="b">
        <v>0</v>
      </c>
      <c r="AJ1146" s="87"/>
      <c r="AK1146" s="87"/>
      <c r="AL1146" s="87"/>
      <c r="AM1146" s="87"/>
      <c r="AN1146" s="87"/>
      <c r="AO1146" s="87"/>
      <c r="AP1146" s="87"/>
      <c r="AQ1146" s="87" t="s">
        <v>16146</v>
      </c>
      <c r="AR1146" s="87"/>
      <c r="AS1146" s="87"/>
      <c r="AT1146" s="87"/>
      <c r="AU1146" s="87"/>
      <c r="AV1146" s="92" t="str">
        <f>HYPERLINK("https://pbs.twimg.com/media/F6ft1yhXIAAlH3D.jpg")</f>
        <v>https://pbs.twimg.com/media/F6ft1yhXIAAlH3D.jpg</v>
      </c>
      <c r="AW1146" s="93" t="s">
        <v>19383</v>
      </c>
      <c r="AX1146" s="93" t="s">
        <v>19383</v>
      </c>
      <c r="AY1146" s="87"/>
      <c r="AZ1146" s="93" t="s">
        <v>22668</v>
      </c>
      <c r="BA1146" s="93" t="s">
        <v>22668</v>
      </c>
      <c r="BB1146" s="93" t="s">
        <v>22668</v>
      </c>
      <c r="BC1146" s="93" t="s">
        <v>19383</v>
      </c>
      <c r="BD1146" s="93" t="s">
        <v>23019</v>
      </c>
      <c r="BE1146" s="87"/>
      <c r="BF1146" s="87"/>
      <c r="BG1146" s="87"/>
      <c r="BH1146" s="87"/>
      <c r="BI1146" s="87"/>
    </row>
    <row r="1147" spans="1:61" x14ac:dyDescent="0.25">
      <c r="A1147" s="63" t="s">
        <v>617</v>
      </c>
      <c r="B1147" s="63" t="s">
        <v>617</v>
      </c>
      <c r="C1147" s="64"/>
      <c r="D1147" s="65"/>
      <c r="E1147" s="66"/>
      <c r="F1147" s="67"/>
      <c r="G1147" s="64"/>
      <c r="H1147" s="68"/>
      <c r="I1147" s="69"/>
      <c r="J1147" s="69"/>
      <c r="K1147" s="32"/>
      <c r="L1147" s="76">
        <v>1147</v>
      </c>
      <c r="M1147" s="76"/>
      <c r="N1147" s="71"/>
      <c r="O1147" s="87" t="s">
        <v>179</v>
      </c>
      <c r="P1147" s="90">
        <v>45189.850914351853</v>
      </c>
      <c r="Q1147" s="87" t="s">
        <v>2957</v>
      </c>
      <c r="R1147" s="87">
        <v>0</v>
      </c>
      <c r="S1147" s="87">
        <v>0</v>
      </c>
      <c r="T1147" s="87">
        <v>0</v>
      </c>
      <c r="U1147" s="87">
        <v>0</v>
      </c>
      <c r="V1147" s="87">
        <v>47</v>
      </c>
      <c r="W1147" s="93" t="s">
        <v>6672</v>
      </c>
      <c r="X1147" s="87"/>
      <c r="Y1147" s="87"/>
      <c r="Z1147" s="87"/>
      <c r="AA1147" s="87" t="s">
        <v>9334</v>
      </c>
      <c r="AB1147" s="87" t="s">
        <v>11448</v>
      </c>
      <c r="AC1147" s="93" t="s">
        <v>11459</v>
      </c>
      <c r="AD1147" s="87" t="s">
        <v>11519</v>
      </c>
      <c r="AE1147" s="92" t="str">
        <f>HYPERLINK("https://twitter.com/mere_lani/status/1704592598462005392")</f>
        <v>https://twitter.com/mere_lani/status/1704592598462005392</v>
      </c>
      <c r="AF1147" s="90">
        <v>45189.850914351853</v>
      </c>
      <c r="AG1147" s="99">
        <v>45189</v>
      </c>
      <c r="AH1147" s="93" t="s">
        <v>12591</v>
      </c>
      <c r="AI1147" s="87" t="b">
        <v>0</v>
      </c>
      <c r="AJ1147" s="87"/>
      <c r="AK1147" s="87"/>
      <c r="AL1147" s="87"/>
      <c r="AM1147" s="87"/>
      <c r="AN1147" s="87"/>
      <c r="AO1147" s="87"/>
      <c r="AP1147" s="87"/>
      <c r="AQ1147" s="87" t="s">
        <v>16147</v>
      </c>
      <c r="AR1147" s="87"/>
      <c r="AS1147" s="87"/>
      <c r="AT1147" s="87"/>
      <c r="AU1147" s="87"/>
      <c r="AV1147" s="92" t="str">
        <f>HYPERLINK("https://pbs.twimg.com/media/F6ft7wgWAAE86l9.jpg")</f>
        <v>https://pbs.twimg.com/media/F6ft7wgWAAE86l9.jpg</v>
      </c>
      <c r="AW1147" s="93" t="s">
        <v>19384</v>
      </c>
      <c r="AX1147" s="93" t="s">
        <v>19384</v>
      </c>
      <c r="AY1147" s="87"/>
      <c r="AZ1147" s="93" t="s">
        <v>22668</v>
      </c>
      <c r="BA1147" s="93" t="s">
        <v>22668</v>
      </c>
      <c r="BB1147" s="93" t="s">
        <v>22668</v>
      </c>
      <c r="BC1147" s="93" t="s">
        <v>19384</v>
      </c>
      <c r="BD1147" s="93" t="s">
        <v>23019</v>
      </c>
      <c r="BE1147" s="87"/>
      <c r="BF1147" s="87"/>
      <c r="BG1147" s="87"/>
      <c r="BH1147" s="87"/>
      <c r="BI1147" s="87"/>
    </row>
    <row r="1148" spans="1:61" x14ac:dyDescent="0.25">
      <c r="A1148" s="63" t="s">
        <v>617</v>
      </c>
      <c r="B1148" s="63" t="s">
        <v>617</v>
      </c>
      <c r="C1148" s="64"/>
      <c r="D1148" s="65"/>
      <c r="E1148" s="66"/>
      <c r="F1148" s="67"/>
      <c r="G1148" s="64"/>
      <c r="H1148" s="68"/>
      <c r="I1148" s="69"/>
      <c r="J1148" s="69"/>
      <c r="K1148" s="32"/>
      <c r="L1148" s="76">
        <v>1148</v>
      </c>
      <c r="M1148" s="76"/>
      <c r="N1148" s="71"/>
      <c r="O1148" s="87" t="s">
        <v>179</v>
      </c>
      <c r="P1148" s="90">
        <v>45189.850451388891</v>
      </c>
      <c r="Q1148" s="87" t="s">
        <v>2958</v>
      </c>
      <c r="R1148" s="87">
        <v>0</v>
      </c>
      <c r="S1148" s="87">
        <v>0</v>
      </c>
      <c r="T1148" s="87">
        <v>0</v>
      </c>
      <c r="U1148" s="87">
        <v>0</v>
      </c>
      <c r="V1148" s="87">
        <v>30</v>
      </c>
      <c r="W1148" s="93" t="s">
        <v>6672</v>
      </c>
      <c r="X1148" s="87"/>
      <c r="Y1148" s="87"/>
      <c r="Z1148" s="87"/>
      <c r="AA1148" s="87" t="s">
        <v>9335</v>
      </c>
      <c r="AB1148" s="87" t="s">
        <v>11448</v>
      </c>
      <c r="AC1148" s="93" t="s">
        <v>11459</v>
      </c>
      <c r="AD1148" s="87" t="s">
        <v>11525</v>
      </c>
      <c r="AE1148" s="92" t="str">
        <f>HYPERLINK("https://twitter.com/mere_lani/status/1704592428550791606")</f>
        <v>https://twitter.com/mere_lani/status/1704592428550791606</v>
      </c>
      <c r="AF1148" s="90">
        <v>45189.850451388891</v>
      </c>
      <c r="AG1148" s="99">
        <v>45189</v>
      </c>
      <c r="AH1148" s="93" t="s">
        <v>12592</v>
      </c>
      <c r="AI1148" s="87" t="b">
        <v>0</v>
      </c>
      <c r="AJ1148" s="87"/>
      <c r="AK1148" s="87"/>
      <c r="AL1148" s="87"/>
      <c r="AM1148" s="87"/>
      <c r="AN1148" s="87"/>
      <c r="AO1148" s="87"/>
      <c r="AP1148" s="87"/>
      <c r="AQ1148" s="87" t="s">
        <v>16148</v>
      </c>
      <c r="AR1148" s="87"/>
      <c r="AS1148" s="87"/>
      <c r="AT1148" s="87"/>
      <c r="AU1148" s="87"/>
      <c r="AV1148" s="92" t="str">
        <f>HYPERLINK("https://pbs.twimg.com/media/F6ftx4KW4AAjMEm.jpg")</f>
        <v>https://pbs.twimg.com/media/F6ftx4KW4AAjMEm.jpg</v>
      </c>
      <c r="AW1148" s="93" t="s">
        <v>19385</v>
      </c>
      <c r="AX1148" s="93" t="s">
        <v>19385</v>
      </c>
      <c r="AY1148" s="87"/>
      <c r="AZ1148" s="93" t="s">
        <v>22668</v>
      </c>
      <c r="BA1148" s="93" t="s">
        <v>22668</v>
      </c>
      <c r="BB1148" s="93" t="s">
        <v>22668</v>
      </c>
      <c r="BC1148" s="93" t="s">
        <v>19385</v>
      </c>
      <c r="BD1148" s="93" t="s">
        <v>23019</v>
      </c>
      <c r="BE1148" s="87"/>
      <c r="BF1148" s="87"/>
      <c r="BG1148" s="87"/>
      <c r="BH1148" s="87"/>
      <c r="BI1148" s="87"/>
    </row>
    <row r="1149" spans="1:61" x14ac:dyDescent="0.25">
      <c r="A1149" s="63" t="s">
        <v>617</v>
      </c>
      <c r="B1149" s="63" t="s">
        <v>617</v>
      </c>
      <c r="C1149" s="64"/>
      <c r="D1149" s="65"/>
      <c r="E1149" s="66"/>
      <c r="F1149" s="67"/>
      <c r="G1149" s="64"/>
      <c r="H1149" s="68"/>
      <c r="I1149" s="69"/>
      <c r="J1149" s="69"/>
      <c r="K1149" s="32"/>
      <c r="L1149" s="76">
        <v>1149</v>
      </c>
      <c r="M1149" s="76"/>
      <c r="N1149" s="71"/>
      <c r="O1149" s="87" t="s">
        <v>179</v>
      </c>
      <c r="P1149" s="90">
        <v>45189.850057870368</v>
      </c>
      <c r="Q1149" s="87" t="s">
        <v>2959</v>
      </c>
      <c r="R1149" s="87">
        <v>0</v>
      </c>
      <c r="S1149" s="87">
        <v>0</v>
      </c>
      <c r="T1149" s="87">
        <v>0</v>
      </c>
      <c r="U1149" s="87">
        <v>0</v>
      </c>
      <c r="V1149" s="87">
        <v>46</v>
      </c>
      <c r="W1149" s="93" t="s">
        <v>6672</v>
      </c>
      <c r="X1149" s="87"/>
      <c r="Y1149" s="87"/>
      <c r="Z1149" s="87"/>
      <c r="AA1149" s="87" t="s">
        <v>9336</v>
      </c>
      <c r="AB1149" s="87" t="s">
        <v>11448</v>
      </c>
      <c r="AC1149" s="93" t="s">
        <v>11459</v>
      </c>
      <c r="AD1149" s="87" t="s">
        <v>11519</v>
      </c>
      <c r="AE1149" s="92" t="str">
        <f>HYPERLINK("https://twitter.com/mere_lani/status/1704592286032552193")</f>
        <v>https://twitter.com/mere_lani/status/1704592286032552193</v>
      </c>
      <c r="AF1149" s="90">
        <v>45189.850057870368</v>
      </c>
      <c r="AG1149" s="99">
        <v>45189</v>
      </c>
      <c r="AH1149" s="93" t="s">
        <v>12593</v>
      </c>
      <c r="AI1149" s="87" t="b">
        <v>0</v>
      </c>
      <c r="AJ1149" s="87"/>
      <c r="AK1149" s="87"/>
      <c r="AL1149" s="87"/>
      <c r="AM1149" s="87"/>
      <c r="AN1149" s="87"/>
      <c r="AO1149" s="87"/>
      <c r="AP1149" s="87"/>
      <c r="AQ1149" s="87" t="s">
        <v>16149</v>
      </c>
      <c r="AR1149" s="87"/>
      <c r="AS1149" s="87"/>
      <c r="AT1149" s="87"/>
      <c r="AU1149" s="87"/>
      <c r="AV1149" s="92" t="str">
        <f>HYPERLINK("https://pbs.twimg.com/media/F6ftpmYWwAEvRxA.jpg")</f>
        <v>https://pbs.twimg.com/media/F6ftpmYWwAEvRxA.jpg</v>
      </c>
      <c r="AW1149" s="93" t="s">
        <v>19386</v>
      </c>
      <c r="AX1149" s="93" t="s">
        <v>19386</v>
      </c>
      <c r="AY1149" s="87"/>
      <c r="AZ1149" s="93" t="s">
        <v>22668</v>
      </c>
      <c r="BA1149" s="93" t="s">
        <v>22668</v>
      </c>
      <c r="BB1149" s="93" t="s">
        <v>22668</v>
      </c>
      <c r="BC1149" s="93" t="s">
        <v>19386</v>
      </c>
      <c r="BD1149" s="93" t="s">
        <v>23019</v>
      </c>
      <c r="BE1149" s="87"/>
      <c r="BF1149" s="87"/>
      <c r="BG1149" s="87"/>
      <c r="BH1149" s="87"/>
      <c r="BI1149" s="87"/>
    </row>
    <row r="1150" spans="1:61" x14ac:dyDescent="0.25">
      <c r="A1150" s="63" t="s">
        <v>617</v>
      </c>
      <c r="B1150" s="63" t="s">
        <v>617</v>
      </c>
      <c r="C1150" s="64"/>
      <c r="D1150" s="65"/>
      <c r="E1150" s="66"/>
      <c r="F1150" s="67"/>
      <c r="G1150" s="64"/>
      <c r="H1150" s="68"/>
      <c r="I1150" s="69"/>
      <c r="J1150" s="69"/>
      <c r="K1150" s="32"/>
      <c r="L1150" s="76">
        <v>1150</v>
      </c>
      <c r="M1150" s="76"/>
      <c r="N1150" s="71"/>
      <c r="O1150" s="87" t="s">
        <v>179</v>
      </c>
      <c r="P1150" s="90">
        <v>45189.849212962959</v>
      </c>
      <c r="Q1150" s="87" t="s">
        <v>2960</v>
      </c>
      <c r="R1150" s="87">
        <v>1</v>
      </c>
      <c r="S1150" s="87">
        <v>1</v>
      </c>
      <c r="T1150" s="87">
        <v>0</v>
      </c>
      <c r="U1150" s="87">
        <v>0</v>
      </c>
      <c r="V1150" s="87">
        <v>112</v>
      </c>
      <c r="W1150" s="93" t="s">
        <v>6672</v>
      </c>
      <c r="X1150" s="87"/>
      <c r="Y1150" s="87"/>
      <c r="Z1150" s="87"/>
      <c r="AA1150" s="87" t="s">
        <v>9337</v>
      </c>
      <c r="AB1150" s="87" t="s">
        <v>11448</v>
      </c>
      <c r="AC1150" s="93" t="s">
        <v>11459</v>
      </c>
      <c r="AD1150" s="87" t="s">
        <v>11525</v>
      </c>
      <c r="AE1150" s="92" t="str">
        <f>HYPERLINK("https://twitter.com/mere_lani/status/1704591982067126758")</f>
        <v>https://twitter.com/mere_lani/status/1704591982067126758</v>
      </c>
      <c r="AF1150" s="90">
        <v>45189.849212962959</v>
      </c>
      <c r="AG1150" s="99">
        <v>45189</v>
      </c>
      <c r="AH1150" s="93" t="s">
        <v>12594</v>
      </c>
      <c r="AI1150" s="87" t="b">
        <v>0</v>
      </c>
      <c r="AJ1150" s="87"/>
      <c r="AK1150" s="87"/>
      <c r="AL1150" s="87"/>
      <c r="AM1150" s="87"/>
      <c r="AN1150" s="87"/>
      <c r="AO1150" s="87"/>
      <c r="AP1150" s="87"/>
      <c r="AQ1150" s="87" t="s">
        <v>16150</v>
      </c>
      <c r="AR1150" s="87"/>
      <c r="AS1150" s="87"/>
      <c r="AT1150" s="87"/>
      <c r="AU1150" s="87"/>
      <c r="AV1150" s="92" t="str">
        <f>HYPERLINK("https://pbs.twimg.com/media/F6ftX6MX0AEW9O1.jpg")</f>
        <v>https://pbs.twimg.com/media/F6ftX6MX0AEW9O1.jpg</v>
      </c>
      <c r="AW1150" s="93" t="s">
        <v>19387</v>
      </c>
      <c r="AX1150" s="93" t="s">
        <v>19387</v>
      </c>
      <c r="AY1150" s="87"/>
      <c r="AZ1150" s="93" t="s">
        <v>22668</v>
      </c>
      <c r="BA1150" s="93" t="s">
        <v>22668</v>
      </c>
      <c r="BB1150" s="93" t="s">
        <v>22668</v>
      </c>
      <c r="BC1150" s="93" t="s">
        <v>19387</v>
      </c>
      <c r="BD1150" s="93" t="s">
        <v>23019</v>
      </c>
      <c r="BE1150" s="87"/>
      <c r="BF1150" s="87"/>
      <c r="BG1150" s="87"/>
      <c r="BH1150" s="87"/>
      <c r="BI1150" s="87"/>
    </row>
    <row r="1151" spans="1:61" x14ac:dyDescent="0.25">
      <c r="A1151" s="63" t="s">
        <v>617</v>
      </c>
      <c r="B1151" s="63" t="s">
        <v>617</v>
      </c>
      <c r="C1151" s="64"/>
      <c r="D1151" s="65"/>
      <c r="E1151" s="66"/>
      <c r="F1151" s="67"/>
      <c r="G1151" s="64"/>
      <c r="H1151" s="68"/>
      <c r="I1151" s="69"/>
      <c r="J1151" s="69"/>
      <c r="K1151" s="32"/>
      <c r="L1151" s="76">
        <v>1151</v>
      </c>
      <c r="M1151" s="76"/>
      <c r="N1151" s="71"/>
      <c r="O1151" s="87" t="s">
        <v>179</v>
      </c>
      <c r="P1151" s="90">
        <v>45189.850277777776</v>
      </c>
      <c r="Q1151" s="87" t="s">
        <v>2961</v>
      </c>
      <c r="R1151" s="87">
        <v>4</v>
      </c>
      <c r="S1151" s="87">
        <v>4</v>
      </c>
      <c r="T1151" s="87">
        <v>0</v>
      </c>
      <c r="U1151" s="87">
        <v>0</v>
      </c>
      <c r="V1151" s="87">
        <v>320</v>
      </c>
      <c r="W1151" s="93" t="s">
        <v>6672</v>
      </c>
      <c r="X1151" s="87"/>
      <c r="Y1151" s="87"/>
      <c r="Z1151" s="87"/>
      <c r="AA1151" s="87" t="s">
        <v>9338</v>
      </c>
      <c r="AB1151" s="87" t="s">
        <v>11448</v>
      </c>
      <c r="AC1151" s="93" t="s">
        <v>11459</v>
      </c>
      <c r="AD1151" s="87" t="s">
        <v>11519</v>
      </c>
      <c r="AE1151" s="92" t="str">
        <f>HYPERLINK("https://twitter.com/mere_lani/status/1704592366823154053")</f>
        <v>https://twitter.com/mere_lani/status/1704592366823154053</v>
      </c>
      <c r="AF1151" s="90">
        <v>45189.850277777776</v>
      </c>
      <c r="AG1151" s="99">
        <v>45189</v>
      </c>
      <c r="AH1151" s="93" t="s">
        <v>12595</v>
      </c>
      <c r="AI1151" s="87" t="b">
        <v>0</v>
      </c>
      <c r="AJ1151" s="87"/>
      <c r="AK1151" s="87"/>
      <c r="AL1151" s="87"/>
      <c r="AM1151" s="87"/>
      <c r="AN1151" s="87"/>
      <c r="AO1151" s="87"/>
      <c r="AP1151" s="87"/>
      <c r="AQ1151" s="87" t="s">
        <v>16151</v>
      </c>
      <c r="AR1151" s="87"/>
      <c r="AS1151" s="87"/>
      <c r="AT1151" s="87"/>
      <c r="AU1151" s="87"/>
      <c r="AV1151" s="92" t="str">
        <f>HYPERLINK("https://pbs.twimg.com/media/F6ftuSPXMAABvUN.jpg")</f>
        <v>https://pbs.twimg.com/media/F6ftuSPXMAABvUN.jpg</v>
      </c>
      <c r="AW1151" s="93" t="s">
        <v>19388</v>
      </c>
      <c r="AX1151" s="93" t="s">
        <v>19388</v>
      </c>
      <c r="AY1151" s="87"/>
      <c r="AZ1151" s="93" t="s">
        <v>22668</v>
      </c>
      <c r="BA1151" s="93" t="s">
        <v>22668</v>
      </c>
      <c r="BB1151" s="93" t="s">
        <v>22668</v>
      </c>
      <c r="BC1151" s="93" t="s">
        <v>19388</v>
      </c>
      <c r="BD1151" s="93" t="s">
        <v>23019</v>
      </c>
      <c r="BE1151" s="87"/>
      <c r="BF1151" s="87"/>
      <c r="BG1151" s="87"/>
      <c r="BH1151" s="87"/>
      <c r="BI1151" s="87"/>
    </row>
    <row r="1152" spans="1:61" x14ac:dyDescent="0.25">
      <c r="A1152" s="63" t="s">
        <v>618</v>
      </c>
      <c r="B1152" s="63" t="s">
        <v>617</v>
      </c>
      <c r="C1152" s="64"/>
      <c r="D1152" s="65"/>
      <c r="E1152" s="66"/>
      <c r="F1152" s="67"/>
      <c r="G1152" s="64"/>
      <c r="H1152" s="68"/>
      <c r="I1152" s="69"/>
      <c r="J1152" s="69"/>
      <c r="K1152" s="32"/>
      <c r="L1152" s="76">
        <v>1152</v>
      </c>
      <c r="M1152" s="76"/>
      <c r="N1152" s="71"/>
      <c r="O1152" s="87" t="s">
        <v>1841</v>
      </c>
      <c r="P1152" s="90">
        <v>45189.813391203701</v>
      </c>
      <c r="Q1152" s="87" t="s">
        <v>2025</v>
      </c>
      <c r="R1152" s="87">
        <v>3</v>
      </c>
      <c r="S1152" s="87">
        <v>0</v>
      </c>
      <c r="T1152" s="87">
        <v>0</v>
      </c>
      <c r="U1152" s="87">
        <v>0</v>
      </c>
      <c r="V1152" s="87"/>
      <c r="W1152" s="93" t="s">
        <v>5967</v>
      </c>
      <c r="X1152" s="87"/>
      <c r="Y1152" s="87"/>
      <c r="Z1152" s="87" t="s">
        <v>617</v>
      </c>
      <c r="AA1152" s="87"/>
      <c r="AB1152" s="87"/>
      <c r="AC1152" s="93" t="s">
        <v>11458</v>
      </c>
      <c r="AD1152" s="87" t="s">
        <v>11519</v>
      </c>
      <c r="AE1152" s="92" t="str">
        <f>HYPERLINK("https://twitter.com/thaylajasmim1/status/1704578997927940264")</f>
        <v>https://twitter.com/thaylajasmim1/status/1704578997927940264</v>
      </c>
      <c r="AF1152" s="90">
        <v>45189.813391203701</v>
      </c>
      <c r="AG1152" s="99">
        <v>45189</v>
      </c>
      <c r="AH1152" s="93" t="s">
        <v>12596</v>
      </c>
      <c r="AI1152" s="87"/>
      <c r="AJ1152" s="87"/>
      <c r="AK1152" s="87"/>
      <c r="AL1152" s="87"/>
      <c r="AM1152" s="87"/>
      <c r="AN1152" s="87"/>
      <c r="AO1152" s="87"/>
      <c r="AP1152" s="87"/>
      <c r="AQ1152" s="87"/>
      <c r="AR1152" s="87"/>
      <c r="AS1152" s="87"/>
      <c r="AT1152" s="87"/>
      <c r="AU1152" s="87"/>
      <c r="AV1152" s="92" t="str">
        <f>HYPERLINK("https://pbs.twimg.com/profile_images/1492362380159897609/E42NNOaF_normal.jpg")</f>
        <v>https://pbs.twimg.com/profile_images/1492362380159897609/E42NNOaF_normal.jpg</v>
      </c>
      <c r="AW1152" s="93" t="s">
        <v>19389</v>
      </c>
      <c r="AX1152" s="93" t="s">
        <v>19389</v>
      </c>
      <c r="AY1152" s="87"/>
      <c r="AZ1152" s="93" t="s">
        <v>22668</v>
      </c>
      <c r="BA1152" s="93" t="s">
        <v>22668</v>
      </c>
      <c r="BB1152" s="93" t="s">
        <v>19382</v>
      </c>
      <c r="BC1152" s="93" t="s">
        <v>19382</v>
      </c>
      <c r="BD1152" s="87">
        <v>4131404427</v>
      </c>
      <c r="BE1152" s="87"/>
      <c r="BF1152" s="87"/>
      <c r="BG1152" s="87"/>
      <c r="BH1152" s="87"/>
      <c r="BI1152" s="87"/>
    </row>
    <row r="1153" spans="1:61" x14ac:dyDescent="0.25">
      <c r="A1153" s="63" t="s">
        <v>618</v>
      </c>
      <c r="B1153" s="63" t="s">
        <v>617</v>
      </c>
      <c r="C1153" s="64"/>
      <c r="D1153" s="65"/>
      <c r="E1153" s="66"/>
      <c r="F1153" s="67"/>
      <c r="G1153" s="64"/>
      <c r="H1153" s="68"/>
      <c r="I1153" s="69"/>
      <c r="J1153" s="69"/>
      <c r="K1153" s="32"/>
      <c r="L1153" s="76">
        <v>1153</v>
      </c>
      <c r="M1153" s="76"/>
      <c r="N1153" s="71"/>
      <c r="O1153" s="87" t="s">
        <v>1841</v>
      </c>
      <c r="P1153" s="90">
        <v>45189.90934027778</v>
      </c>
      <c r="Q1153" s="87" t="s">
        <v>2027</v>
      </c>
      <c r="R1153" s="87">
        <v>3</v>
      </c>
      <c r="S1153" s="87">
        <v>0</v>
      </c>
      <c r="T1153" s="87">
        <v>0</v>
      </c>
      <c r="U1153" s="87">
        <v>0</v>
      </c>
      <c r="V1153" s="87"/>
      <c r="W1153" s="93" t="s">
        <v>5967</v>
      </c>
      <c r="X1153" s="87"/>
      <c r="Y1153" s="87"/>
      <c r="Z1153" s="87" t="s">
        <v>617</v>
      </c>
      <c r="AA1153" s="87"/>
      <c r="AB1153" s="87"/>
      <c r="AC1153" s="93" t="s">
        <v>11458</v>
      </c>
      <c r="AD1153" s="87" t="s">
        <v>11526</v>
      </c>
      <c r="AE1153" s="92" t="str">
        <f>HYPERLINK("https://twitter.com/thaylajasmim1/status/1704613769136029833")</f>
        <v>https://twitter.com/thaylajasmim1/status/1704613769136029833</v>
      </c>
      <c r="AF1153" s="90">
        <v>45189.90934027778</v>
      </c>
      <c r="AG1153" s="99">
        <v>45189</v>
      </c>
      <c r="AH1153" s="93" t="s">
        <v>12597</v>
      </c>
      <c r="AI1153" s="87"/>
      <c r="AJ1153" s="87"/>
      <c r="AK1153" s="87"/>
      <c r="AL1153" s="87"/>
      <c r="AM1153" s="87"/>
      <c r="AN1153" s="87"/>
      <c r="AO1153" s="87"/>
      <c r="AP1153" s="87"/>
      <c r="AQ1153" s="87"/>
      <c r="AR1153" s="87"/>
      <c r="AS1153" s="87"/>
      <c r="AT1153" s="87"/>
      <c r="AU1153" s="87"/>
      <c r="AV1153" s="92" t="str">
        <f>HYPERLINK("https://pbs.twimg.com/profile_images/1492362380159897609/E42NNOaF_normal.jpg")</f>
        <v>https://pbs.twimg.com/profile_images/1492362380159897609/E42NNOaF_normal.jpg</v>
      </c>
      <c r="AW1153" s="93" t="s">
        <v>19390</v>
      </c>
      <c r="AX1153" s="93" t="s">
        <v>19390</v>
      </c>
      <c r="AY1153" s="87"/>
      <c r="AZ1153" s="93" t="s">
        <v>22668</v>
      </c>
      <c r="BA1153" s="93" t="s">
        <v>22668</v>
      </c>
      <c r="BB1153" s="93" t="s">
        <v>19383</v>
      </c>
      <c r="BC1153" s="93" t="s">
        <v>19383</v>
      </c>
      <c r="BD1153" s="87">
        <v>4131404427</v>
      </c>
      <c r="BE1153" s="87"/>
      <c r="BF1153" s="87"/>
      <c r="BG1153" s="87"/>
      <c r="BH1153" s="87"/>
      <c r="BI1153" s="87"/>
    </row>
    <row r="1154" spans="1:61" x14ac:dyDescent="0.25">
      <c r="A1154" s="63" t="s">
        <v>618</v>
      </c>
      <c r="B1154" s="63" t="s">
        <v>617</v>
      </c>
      <c r="C1154" s="64"/>
      <c r="D1154" s="65"/>
      <c r="E1154" s="66"/>
      <c r="F1154" s="67"/>
      <c r="G1154" s="64"/>
      <c r="H1154" s="68"/>
      <c r="I1154" s="69"/>
      <c r="J1154" s="69"/>
      <c r="K1154" s="32"/>
      <c r="L1154" s="76">
        <v>1154</v>
      </c>
      <c r="M1154" s="76"/>
      <c r="N1154" s="71"/>
      <c r="O1154" s="87" t="s">
        <v>1841</v>
      </c>
      <c r="P1154" s="90">
        <v>45189.908379629633</v>
      </c>
      <c r="Q1154" s="87" t="s">
        <v>2015</v>
      </c>
      <c r="R1154" s="87">
        <v>4</v>
      </c>
      <c r="S1154" s="87">
        <v>0</v>
      </c>
      <c r="T1154" s="87">
        <v>0</v>
      </c>
      <c r="U1154" s="87">
        <v>0</v>
      </c>
      <c r="V1154" s="87"/>
      <c r="W1154" s="93" t="s">
        <v>5967</v>
      </c>
      <c r="X1154" s="87"/>
      <c r="Y1154" s="87"/>
      <c r="Z1154" s="87" t="s">
        <v>617</v>
      </c>
      <c r="AA1154" s="87"/>
      <c r="AB1154" s="87"/>
      <c r="AC1154" s="93" t="s">
        <v>11458</v>
      </c>
      <c r="AD1154" s="87" t="s">
        <v>11519</v>
      </c>
      <c r="AE1154" s="92" t="str">
        <f>HYPERLINK("https://twitter.com/thaylajasmim1/status/1704613421402996973")</f>
        <v>https://twitter.com/thaylajasmim1/status/1704613421402996973</v>
      </c>
      <c r="AF1154" s="90">
        <v>45189.908379629633</v>
      </c>
      <c r="AG1154" s="99">
        <v>45189</v>
      </c>
      <c r="AH1154" s="93" t="s">
        <v>12598</v>
      </c>
      <c r="AI1154" s="87"/>
      <c r="AJ1154" s="87"/>
      <c r="AK1154" s="87"/>
      <c r="AL1154" s="87"/>
      <c r="AM1154" s="87"/>
      <c r="AN1154" s="87"/>
      <c r="AO1154" s="87"/>
      <c r="AP1154" s="87"/>
      <c r="AQ1154" s="87"/>
      <c r="AR1154" s="87"/>
      <c r="AS1154" s="87"/>
      <c r="AT1154" s="87"/>
      <c r="AU1154" s="87"/>
      <c r="AV1154" s="92" t="str">
        <f>HYPERLINK("https://pbs.twimg.com/profile_images/1492362380159897609/E42NNOaF_normal.jpg")</f>
        <v>https://pbs.twimg.com/profile_images/1492362380159897609/E42NNOaF_normal.jpg</v>
      </c>
      <c r="AW1154" s="93" t="s">
        <v>19391</v>
      </c>
      <c r="AX1154" s="93" t="s">
        <v>19391</v>
      </c>
      <c r="AY1154" s="87"/>
      <c r="AZ1154" s="93" t="s">
        <v>22668</v>
      </c>
      <c r="BA1154" s="93" t="s">
        <v>22668</v>
      </c>
      <c r="BB1154" s="93" t="s">
        <v>19388</v>
      </c>
      <c r="BC1154" s="93" t="s">
        <v>19388</v>
      </c>
      <c r="BD1154" s="87">
        <v>4131404427</v>
      </c>
      <c r="BE1154" s="87"/>
      <c r="BF1154" s="87"/>
      <c r="BG1154" s="87"/>
      <c r="BH1154" s="87"/>
      <c r="BI1154" s="87"/>
    </row>
    <row r="1155" spans="1:61" x14ac:dyDescent="0.25">
      <c r="A1155" s="63" t="s">
        <v>619</v>
      </c>
      <c r="B1155" s="63" t="s">
        <v>619</v>
      </c>
      <c r="C1155" s="64"/>
      <c r="D1155" s="65"/>
      <c r="E1155" s="66"/>
      <c r="F1155" s="67"/>
      <c r="G1155" s="64"/>
      <c r="H1155" s="68"/>
      <c r="I1155" s="69"/>
      <c r="J1155" s="69"/>
      <c r="K1155" s="32"/>
      <c r="L1155" s="76">
        <v>1155</v>
      </c>
      <c r="M1155" s="76"/>
      <c r="N1155" s="71"/>
      <c r="O1155" s="87" t="s">
        <v>179</v>
      </c>
      <c r="P1155" s="90">
        <v>45162.489131944443</v>
      </c>
      <c r="Q1155" s="87" t="s">
        <v>2962</v>
      </c>
      <c r="R1155" s="87">
        <v>0</v>
      </c>
      <c r="S1155" s="87">
        <v>0</v>
      </c>
      <c r="T1155" s="87">
        <v>0</v>
      </c>
      <c r="U1155" s="87">
        <v>0</v>
      </c>
      <c r="V1155" s="87">
        <v>3</v>
      </c>
      <c r="W1155" s="93" t="s">
        <v>6674</v>
      </c>
      <c r="X1155" s="92" t="str">
        <f>HYPERLINK("https://www.youtube.com/watch?v=0HhslQCZuRw")</f>
        <v>https://www.youtube.com/watch?v=0HhslQCZuRw</v>
      </c>
      <c r="Y1155" s="87" t="s">
        <v>8380</v>
      </c>
      <c r="Z1155" s="87"/>
      <c r="AA1155" s="87"/>
      <c r="AB1155" s="87"/>
      <c r="AC1155" s="93" t="s">
        <v>11457</v>
      </c>
      <c r="AD1155" s="87" t="s">
        <v>11519</v>
      </c>
      <c r="AE1155" s="92" t="str">
        <f>HYPERLINK("https://twitter.com/desk_coworking/status/1694677018284093943")</f>
        <v>https://twitter.com/desk_coworking/status/1694677018284093943</v>
      </c>
      <c r="AF1155" s="90">
        <v>45162.489131944443</v>
      </c>
      <c r="AG1155" s="99">
        <v>45162</v>
      </c>
      <c r="AH1155" s="93" t="s">
        <v>12599</v>
      </c>
      <c r="AI1155" s="87" t="b">
        <v>0</v>
      </c>
      <c r="AJ1155" s="87"/>
      <c r="AK1155" s="87"/>
      <c r="AL1155" s="87"/>
      <c r="AM1155" s="87"/>
      <c r="AN1155" s="87"/>
      <c r="AO1155" s="87"/>
      <c r="AP1155" s="87"/>
      <c r="AQ1155" s="87"/>
      <c r="AR1155" s="87"/>
      <c r="AS1155" s="87"/>
      <c r="AT1155" s="87"/>
      <c r="AU1155" s="87"/>
      <c r="AV1155" s="92" t="str">
        <f>HYPERLINK("https://pbs.twimg.com/profile_images/1612835963486494721/Wpp8Li6i_normal.jpg")</f>
        <v>https://pbs.twimg.com/profile_images/1612835963486494721/Wpp8Li6i_normal.jpg</v>
      </c>
      <c r="AW1155" s="93" t="s">
        <v>19392</v>
      </c>
      <c r="AX1155" s="93" t="s">
        <v>19392</v>
      </c>
      <c r="AY1155" s="87"/>
      <c r="AZ1155" s="93" t="s">
        <v>22668</v>
      </c>
      <c r="BA1155" s="93" t="s">
        <v>22668</v>
      </c>
      <c r="BB1155" s="93" t="s">
        <v>22668</v>
      </c>
      <c r="BC1155" s="93" t="s">
        <v>19392</v>
      </c>
      <c r="BD1155" s="87">
        <v>743311687</v>
      </c>
      <c r="BE1155" s="87"/>
      <c r="BF1155" s="87"/>
      <c r="BG1155" s="87"/>
      <c r="BH1155" s="87"/>
      <c r="BI1155" s="87"/>
    </row>
    <row r="1156" spans="1:61" x14ac:dyDescent="0.25">
      <c r="A1156" s="63" t="s">
        <v>620</v>
      </c>
      <c r="B1156" s="63" t="s">
        <v>620</v>
      </c>
      <c r="C1156" s="64"/>
      <c r="D1156" s="65"/>
      <c r="E1156" s="66"/>
      <c r="F1156" s="67"/>
      <c r="G1156" s="64"/>
      <c r="H1156" s="68"/>
      <c r="I1156" s="69"/>
      <c r="J1156" s="69"/>
      <c r="K1156" s="32"/>
      <c r="L1156" s="76">
        <v>1156</v>
      </c>
      <c r="M1156" s="76"/>
      <c r="N1156" s="71"/>
      <c r="O1156" s="87" t="s">
        <v>179</v>
      </c>
      <c r="P1156" s="90">
        <v>45194.522222222222</v>
      </c>
      <c r="Q1156" s="87" t="s">
        <v>2963</v>
      </c>
      <c r="R1156" s="87">
        <v>0</v>
      </c>
      <c r="S1156" s="87">
        <v>0</v>
      </c>
      <c r="T1156" s="87">
        <v>0</v>
      </c>
      <c r="U1156" s="87">
        <v>0</v>
      </c>
      <c r="V1156" s="87">
        <v>12</v>
      </c>
      <c r="W1156" s="93" t="s">
        <v>6675</v>
      </c>
      <c r="X1156" s="87"/>
      <c r="Y1156" s="87"/>
      <c r="Z1156" s="87"/>
      <c r="AA1156" s="87" t="s">
        <v>9339</v>
      </c>
      <c r="AB1156" s="87" t="s">
        <v>11449</v>
      </c>
      <c r="AC1156" s="93" t="s">
        <v>11457</v>
      </c>
      <c r="AD1156" s="87" t="s">
        <v>11519</v>
      </c>
      <c r="AE1156" s="92" t="str">
        <f>HYPERLINK("https://twitter.com/ghostwebdigital/status/1706285421020246145")</f>
        <v>https://twitter.com/ghostwebdigital/status/1706285421020246145</v>
      </c>
      <c r="AF1156" s="90">
        <v>45194.522222222222</v>
      </c>
      <c r="AG1156" s="99">
        <v>45194</v>
      </c>
      <c r="AH1156" s="93" t="s">
        <v>12600</v>
      </c>
      <c r="AI1156" s="87" t="b">
        <v>0</v>
      </c>
      <c r="AJ1156" s="87"/>
      <c r="AK1156" s="87"/>
      <c r="AL1156" s="87"/>
      <c r="AM1156" s="87"/>
      <c r="AN1156" s="87"/>
      <c r="AO1156" s="87"/>
      <c r="AP1156" s="87"/>
      <c r="AQ1156" s="87" t="s">
        <v>16152</v>
      </c>
      <c r="AR1156" s="87"/>
      <c r="AS1156" s="87"/>
      <c r="AT1156" s="87"/>
      <c r="AU1156" s="87"/>
      <c r="AV1156" s="92" t="str">
        <f>HYPERLINK("https://pbs.twimg.com/media/F6VA6pqWQAAi7_I.jpg")</f>
        <v>https://pbs.twimg.com/media/F6VA6pqWQAAi7_I.jpg</v>
      </c>
      <c r="AW1156" s="93" t="s">
        <v>19393</v>
      </c>
      <c r="AX1156" s="93" t="s">
        <v>19393</v>
      </c>
      <c r="AY1156" s="87"/>
      <c r="AZ1156" s="93" t="s">
        <v>22668</v>
      </c>
      <c r="BA1156" s="93" t="s">
        <v>22668</v>
      </c>
      <c r="BB1156" s="93" t="s">
        <v>22668</v>
      </c>
      <c r="BC1156" s="93" t="s">
        <v>19393</v>
      </c>
      <c r="BD1156" s="93" t="s">
        <v>23020</v>
      </c>
      <c r="BE1156" s="87"/>
      <c r="BF1156" s="87"/>
      <c r="BG1156" s="87"/>
      <c r="BH1156" s="87"/>
      <c r="BI1156" s="87"/>
    </row>
    <row r="1157" spans="1:61" x14ac:dyDescent="0.25">
      <c r="A1157" s="63" t="s">
        <v>620</v>
      </c>
      <c r="B1157" s="63" t="s">
        <v>620</v>
      </c>
      <c r="C1157" s="64"/>
      <c r="D1157" s="65"/>
      <c r="E1157" s="66"/>
      <c r="F1157" s="67"/>
      <c r="G1157" s="64"/>
      <c r="H1157" s="68"/>
      <c r="I1157" s="69"/>
      <c r="J1157" s="69"/>
      <c r="K1157" s="32"/>
      <c r="L1157" s="76">
        <v>1157</v>
      </c>
      <c r="M1157" s="76"/>
      <c r="N1157" s="71"/>
      <c r="O1157" s="87" t="s">
        <v>179</v>
      </c>
      <c r="P1157" s="90">
        <v>45187.764791666668</v>
      </c>
      <c r="Q1157" s="87" t="s">
        <v>2964</v>
      </c>
      <c r="R1157" s="87">
        <v>0</v>
      </c>
      <c r="S1157" s="87">
        <v>0</v>
      </c>
      <c r="T1157" s="87">
        <v>0</v>
      </c>
      <c r="U1157" s="87">
        <v>0</v>
      </c>
      <c r="V1157" s="87">
        <v>58</v>
      </c>
      <c r="W1157" s="93" t="s">
        <v>6676</v>
      </c>
      <c r="X1157" s="87"/>
      <c r="Y1157" s="87"/>
      <c r="Z1157" s="87"/>
      <c r="AA1157" s="87" t="s">
        <v>9340</v>
      </c>
      <c r="AB1157" s="87" t="s">
        <v>11449</v>
      </c>
      <c r="AC1157" s="93" t="s">
        <v>11457</v>
      </c>
      <c r="AD1157" s="87" t="s">
        <v>11519</v>
      </c>
      <c r="AE1157" s="92" t="str">
        <f>HYPERLINK("https://twitter.com/ghostwebdigital/status/1703836609647390820")</f>
        <v>https://twitter.com/ghostwebdigital/status/1703836609647390820</v>
      </c>
      <c r="AF1157" s="90">
        <v>45187.764791666668</v>
      </c>
      <c r="AG1157" s="99">
        <v>45187</v>
      </c>
      <c r="AH1157" s="93" t="s">
        <v>12601</v>
      </c>
      <c r="AI1157" s="87" t="b">
        <v>0</v>
      </c>
      <c r="AJ1157" s="87"/>
      <c r="AK1157" s="87"/>
      <c r="AL1157" s="87"/>
      <c r="AM1157" s="87"/>
      <c r="AN1157" s="87"/>
      <c r="AO1157" s="87"/>
      <c r="AP1157" s="87"/>
      <c r="AQ1157" s="87" t="s">
        <v>16153</v>
      </c>
      <c r="AR1157" s="87"/>
      <c r="AS1157" s="87"/>
      <c r="AT1157" s="87"/>
      <c r="AU1157" s="87"/>
      <c r="AV1157" s="92" t="str">
        <f>HYPERLINK("https://pbs.twimg.com/media/F6U-W91WcAAztJ8.jpg")</f>
        <v>https://pbs.twimg.com/media/F6U-W91WcAAztJ8.jpg</v>
      </c>
      <c r="AW1157" s="93" t="s">
        <v>19394</v>
      </c>
      <c r="AX1157" s="93" t="s">
        <v>19394</v>
      </c>
      <c r="AY1157" s="87"/>
      <c r="AZ1157" s="93" t="s">
        <v>22668</v>
      </c>
      <c r="BA1157" s="93" t="s">
        <v>22668</v>
      </c>
      <c r="BB1157" s="93" t="s">
        <v>22668</v>
      </c>
      <c r="BC1157" s="93" t="s">
        <v>19394</v>
      </c>
      <c r="BD1157" s="93" t="s">
        <v>23020</v>
      </c>
      <c r="BE1157" s="87"/>
      <c r="BF1157" s="87"/>
      <c r="BG1157" s="87"/>
      <c r="BH1157" s="87"/>
      <c r="BI1157" s="87"/>
    </row>
    <row r="1158" spans="1:61" x14ac:dyDescent="0.25">
      <c r="A1158" s="63" t="s">
        <v>621</v>
      </c>
      <c r="B1158" s="63" t="s">
        <v>1672</v>
      </c>
      <c r="C1158" s="64"/>
      <c r="D1158" s="65"/>
      <c r="E1158" s="66"/>
      <c r="F1158" s="67"/>
      <c r="G1158" s="64"/>
      <c r="H1158" s="68"/>
      <c r="I1158" s="69"/>
      <c r="J1158" s="69"/>
      <c r="K1158" s="32"/>
      <c r="L1158" s="76">
        <v>1158</v>
      </c>
      <c r="M1158" s="76"/>
      <c r="N1158" s="71"/>
      <c r="O1158" s="87" t="s">
        <v>1839</v>
      </c>
      <c r="P1158" s="90">
        <v>45127.639340277776</v>
      </c>
      <c r="Q1158" s="87" t="s">
        <v>2965</v>
      </c>
      <c r="R1158" s="87">
        <v>0</v>
      </c>
      <c r="S1158" s="87">
        <v>0</v>
      </c>
      <c r="T1158" s="87">
        <v>0</v>
      </c>
      <c r="U1158" s="87">
        <v>0</v>
      </c>
      <c r="V1158" s="87">
        <v>25</v>
      </c>
      <c r="W1158" s="93" t="s">
        <v>6677</v>
      </c>
      <c r="X1158" s="87"/>
      <c r="Y1158" s="87"/>
      <c r="Z1158" s="87" t="s">
        <v>1672</v>
      </c>
      <c r="AA1158" s="87" t="s">
        <v>9341</v>
      </c>
      <c r="AB1158" s="87" t="s">
        <v>11447</v>
      </c>
      <c r="AC1158" s="93" t="s">
        <v>11459</v>
      </c>
      <c r="AD1158" s="87" t="s">
        <v>11523</v>
      </c>
      <c r="AE1158" s="92" t="str">
        <f>HYPERLINK("https://twitter.com/mujeresswfl/status/1682047876094996480")</f>
        <v>https://twitter.com/mujeresswfl/status/1682047876094996480</v>
      </c>
      <c r="AF1158" s="90">
        <v>45127.639340277776</v>
      </c>
      <c r="AG1158" s="99">
        <v>45127</v>
      </c>
      <c r="AH1158" s="93" t="s">
        <v>12602</v>
      </c>
      <c r="AI1158" s="87" t="b">
        <v>0</v>
      </c>
      <c r="AJ1158" s="87"/>
      <c r="AK1158" s="87"/>
      <c r="AL1158" s="87"/>
      <c r="AM1158" s="87"/>
      <c r="AN1158" s="87"/>
      <c r="AO1158" s="87"/>
      <c r="AP1158" s="87"/>
      <c r="AQ1158" s="87" t="s">
        <v>16154</v>
      </c>
      <c r="AR1158" s="87">
        <v>22893</v>
      </c>
      <c r="AS1158" s="87"/>
      <c r="AT1158" s="87"/>
      <c r="AU1158" s="87"/>
      <c r="AV1158" s="92" t="str">
        <f>HYPERLINK("https://pbs.twimg.com/ext_tw_video_thumb/1682047793211244544/pu/img/BAnQRcRP3I3_4RUl.jpg")</f>
        <v>https://pbs.twimg.com/ext_tw_video_thumb/1682047793211244544/pu/img/BAnQRcRP3I3_4RUl.jpg</v>
      </c>
      <c r="AW1158" s="93" t="s">
        <v>19395</v>
      </c>
      <c r="AX1158" s="93" t="s">
        <v>19395</v>
      </c>
      <c r="AY1158" s="87"/>
      <c r="AZ1158" s="93" t="s">
        <v>22668</v>
      </c>
      <c r="BA1158" s="93" t="s">
        <v>22668</v>
      </c>
      <c r="BB1158" s="93" t="s">
        <v>22668</v>
      </c>
      <c r="BC1158" s="93" t="s">
        <v>19395</v>
      </c>
      <c r="BD1158" s="93" t="s">
        <v>23021</v>
      </c>
      <c r="BE1158" s="87"/>
      <c r="BF1158" s="87"/>
      <c r="BG1158" s="87"/>
      <c r="BH1158" s="87"/>
      <c r="BI1158" s="87"/>
    </row>
    <row r="1159" spans="1:61" x14ac:dyDescent="0.25">
      <c r="A1159" s="63" t="s">
        <v>622</v>
      </c>
      <c r="B1159" s="63" t="s">
        <v>622</v>
      </c>
      <c r="C1159" s="64"/>
      <c r="D1159" s="65"/>
      <c r="E1159" s="66"/>
      <c r="F1159" s="67"/>
      <c r="G1159" s="64"/>
      <c r="H1159" s="68"/>
      <c r="I1159" s="69"/>
      <c r="J1159" s="69"/>
      <c r="K1159" s="32"/>
      <c r="L1159" s="76">
        <v>1159</v>
      </c>
      <c r="M1159" s="76"/>
      <c r="N1159" s="71"/>
      <c r="O1159" s="87" t="s">
        <v>179</v>
      </c>
      <c r="P1159" s="90">
        <v>45193.829340277778</v>
      </c>
      <c r="Q1159" s="87" t="s">
        <v>2966</v>
      </c>
      <c r="R1159" s="87">
        <v>0</v>
      </c>
      <c r="S1159" s="87">
        <v>0</v>
      </c>
      <c r="T1159" s="87">
        <v>0</v>
      </c>
      <c r="U1159" s="87">
        <v>0</v>
      </c>
      <c r="V1159" s="87">
        <v>20</v>
      </c>
      <c r="W1159" s="93" t="s">
        <v>6678</v>
      </c>
      <c r="X1159" s="87"/>
      <c r="Y1159" s="87"/>
      <c r="Z1159" s="87"/>
      <c r="AA1159" s="87"/>
      <c r="AB1159" s="87"/>
      <c r="AC1159" s="93" t="s">
        <v>11458</v>
      </c>
      <c r="AD1159" s="87" t="s">
        <v>11519</v>
      </c>
      <c r="AE1159" s="92" t="str">
        <f>HYPERLINK("https://twitter.com/aguiaestrategia/status/1706034331536220603")</f>
        <v>https://twitter.com/aguiaestrategia/status/1706034331536220603</v>
      </c>
      <c r="AF1159" s="90">
        <v>45193.829340277778</v>
      </c>
      <c r="AG1159" s="99">
        <v>45193</v>
      </c>
      <c r="AH1159" s="93" t="s">
        <v>12603</v>
      </c>
      <c r="AI1159" s="87"/>
      <c r="AJ1159" s="87"/>
      <c r="AK1159" s="87"/>
      <c r="AL1159" s="87"/>
      <c r="AM1159" s="87"/>
      <c r="AN1159" s="87"/>
      <c r="AO1159" s="87"/>
      <c r="AP1159" s="87"/>
      <c r="AQ1159" s="87"/>
      <c r="AR1159" s="87"/>
      <c r="AS1159" s="87"/>
      <c r="AT1159" s="87"/>
      <c r="AU1159" s="87"/>
      <c r="AV1159" s="92" t="str">
        <f>HYPERLINK("https://pbs.twimg.com/profile_images/1706461697362268160/ldR8kig2_normal.jpg")</f>
        <v>https://pbs.twimg.com/profile_images/1706461697362268160/ldR8kig2_normal.jpg</v>
      </c>
      <c r="AW1159" s="93" t="s">
        <v>19396</v>
      </c>
      <c r="AX1159" s="93" t="s">
        <v>19396</v>
      </c>
      <c r="AY1159" s="87"/>
      <c r="AZ1159" s="93" t="s">
        <v>22668</v>
      </c>
      <c r="BA1159" s="93" t="s">
        <v>22668</v>
      </c>
      <c r="BB1159" s="93" t="s">
        <v>22668</v>
      </c>
      <c r="BC1159" s="93" t="s">
        <v>19396</v>
      </c>
      <c r="BD1159" s="93" t="s">
        <v>23022</v>
      </c>
      <c r="BE1159" s="87"/>
      <c r="BF1159" s="87"/>
      <c r="BG1159" s="87"/>
      <c r="BH1159" s="87"/>
      <c r="BI1159" s="87"/>
    </row>
    <row r="1160" spans="1:61" x14ac:dyDescent="0.25">
      <c r="A1160" s="63" t="s">
        <v>623</v>
      </c>
      <c r="B1160" s="63" t="s">
        <v>623</v>
      </c>
      <c r="C1160" s="64"/>
      <c r="D1160" s="65"/>
      <c r="E1160" s="66"/>
      <c r="F1160" s="67"/>
      <c r="G1160" s="64"/>
      <c r="H1160" s="68"/>
      <c r="I1160" s="69"/>
      <c r="J1160" s="69"/>
      <c r="K1160" s="32"/>
      <c r="L1160" s="76">
        <v>1160</v>
      </c>
      <c r="M1160" s="76"/>
      <c r="N1160" s="71"/>
      <c r="O1160" s="87" t="s">
        <v>179</v>
      </c>
      <c r="P1160" s="90">
        <v>45154.731909722221</v>
      </c>
      <c r="Q1160" s="87" t="s">
        <v>2967</v>
      </c>
      <c r="R1160" s="87">
        <v>0</v>
      </c>
      <c r="S1160" s="87">
        <v>0</v>
      </c>
      <c r="T1160" s="87">
        <v>0</v>
      </c>
      <c r="U1160" s="87">
        <v>0</v>
      </c>
      <c r="V1160" s="87">
        <v>22</v>
      </c>
      <c r="W1160" s="93" t="s">
        <v>6679</v>
      </c>
      <c r="X1160" s="87"/>
      <c r="Y1160" s="87"/>
      <c r="Z1160" s="87"/>
      <c r="AA1160" s="87"/>
      <c r="AB1160" s="87"/>
      <c r="AC1160" s="93" t="s">
        <v>11459</v>
      </c>
      <c r="AD1160" s="87" t="s">
        <v>11519</v>
      </c>
      <c r="AE1160" s="92" t="str">
        <f>HYPERLINK("https://twitter.com/gleydsonfdutra/status/1691865893444448750")</f>
        <v>https://twitter.com/gleydsonfdutra/status/1691865893444448750</v>
      </c>
      <c r="AF1160" s="90">
        <v>45154.731909722221</v>
      </c>
      <c r="AG1160" s="99">
        <v>45154</v>
      </c>
      <c r="AH1160" s="93" t="s">
        <v>12604</v>
      </c>
      <c r="AI1160" s="87"/>
      <c r="AJ1160" s="87"/>
      <c r="AK1160" s="87"/>
      <c r="AL1160" s="87"/>
      <c r="AM1160" s="87"/>
      <c r="AN1160" s="87"/>
      <c r="AO1160" s="87"/>
      <c r="AP1160" s="87"/>
      <c r="AQ1160" s="87"/>
      <c r="AR1160" s="87"/>
      <c r="AS1160" s="87"/>
      <c r="AT1160" s="87"/>
      <c r="AU1160" s="87"/>
      <c r="AV1160" s="92" t="str">
        <f>HYPERLINK("https://pbs.twimg.com/profile_images/1691854167919263747/tI1pJ1jh_normal.jpg")</f>
        <v>https://pbs.twimg.com/profile_images/1691854167919263747/tI1pJ1jh_normal.jpg</v>
      </c>
      <c r="AW1160" s="93" t="s">
        <v>19397</v>
      </c>
      <c r="AX1160" s="93" t="s">
        <v>19397</v>
      </c>
      <c r="AY1160" s="87"/>
      <c r="AZ1160" s="93" t="s">
        <v>22668</v>
      </c>
      <c r="BA1160" s="93" t="s">
        <v>22668</v>
      </c>
      <c r="BB1160" s="93" t="s">
        <v>22668</v>
      </c>
      <c r="BC1160" s="93" t="s">
        <v>19397</v>
      </c>
      <c r="BD1160" s="93" t="s">
        <v>23023</v>
      </c>
      <c r="BE1160" s="87"/>
      <c r="BF1160" s="87"/>
      <c r="BG1160" s="87"/>
      <c r="BH1160" s="87"/>
      <c r="BI1160" s="87"/>
    </row>
    <row r="1161" spans="1:61" x14ac:dyDescent="0.25">
      <c r="A1161" s="63" t="s">
        <v>624</v>
      </c>
      <c r="B1161" s="63" t="s">
        <v>1673</v>
      </c>
      <c r="C1161" s="64"/>
      <c r="D1161" s="65"/>
      <c r="E1161" s="66"/>
      <c r="F1161" s="67"/>
      <c r="G1161" s="64"/>
      <c r="H1161" s="68"/>
      <c r="I1161" s="69"/>
      <c r="J1161" s="69"/>
      <c r="K1161" s="32"/>
      <c r="L1161" s="76">
        <v>1161</v>
      </c>
      <c r="M1161" s="76"/>
      <c r="N1161" s="71"/>
      <c r="O1161" s="87" t="s">
        <v>1839</v>
      </c>
      <c r="P1161" s="90">
        <v>45190.017129629632</v>
      </c>
      <c r="Q1161" s="87" t="s">
        <v>2968</v>
      </c>
      <c r="R1161" s="87">
        <v>0</v>
      </c>
      <c r="S1161" s="87">
        <v>1</v>
      </c>
      <c r="T1161" s="87">
        <v>1</v>
      </c>
      <c r="U1161" s="87">
        <v>0</v>
      </c>
      <c r="V1161" s="87">
        <v>76</v>
      </c>
      <c r="W1161" s="93" t="s">
        <v>6680</v>
      </c>
      <c r="X1161" s="87"/>
      <c r="Y1161" s="87"/>
      <c r="Z1161" s="87" t="s">
        <v>8575</v>
      </c>
      <c r="AA1161" s="87" t="s">
        <v>9342</v>
      </c>
      <c r="AB1161" s="87" t="s">
        <v>11448</v>
      </c>
      <c r="AC1161" s="93" t="s">
        <v>11457</v>
      </c>
      <c r="AD1161" s="87" t="s">
        <v>11519</v>
      </c>
      <c r="AE1161" s="92" t="str">
        <f>HYPERLINK("https://twitter.com/guto_sales1/status/1704652832664699250")</f>
        <v>https://twitter.com/guto_sales1/status/1704652832664699250</v>
      </c>
      <c r="AF1161" s="90">
        <v>45190.017129629632</v>
      </c>
      <c r="AG1161" s="99">
        <v>45190</v>
      </c>
      <c r="AH1161" s="93" t="s">
        <v>12605</v>
      </c>
      <c r="AI1161" s="87" t="b">
        <v>0</v>
      </c>
      <c r="AJ1161" s="87"/>
      <c r="AK1161" s="87"/>
      <c r="AL1161" s="87"/>
      <c r="AM1161" s="87"/>
      <c r="AN1161" s="87"/>
      <c r="AO1161" s="87"/>
      <c r="AP1161" s="87"/>
      <c r="AQ1161" s="87" t="s">
        <v>16155</v>
      </c>
      <c r="AR1161" s="87"/>
      <c r="AS1161" s="87"/>
      <c r="AT1161" s="87"/>
      <c r="AU1161" s="87"/>
      <c r="AV1161" s="92" t="str">
        <f>HYPERLINK("https://pbs.twimg.com/media/F6gkQ75XQAAvY5k.jpg")</f>
        <v>https://pbs.twimg.com/media/F6gkQ75XQAAvY5k.jpg</v>
      </c>
      <c r="AW1161" s="93" t="s">
        <v>19398</v>
      </c>
      <c r="AX1161" s="93" t="s">
        <v>19398</v>
      </c>
      <c r="AY1161" s="87"/>
      <c r="AZ1161" s="93" t="s">
        <v>22668</v>
      </c>
      <c r="BA1161" s="93" t="s">
        <v>22668</v>
      </c>
      <c r="BB1161" s="93" t="s">
        <v>22668</v>
      </c>
      <c r="BC1161" s="93" t="s">
        <v>19398</v>
      </c>
      <c r="BD1161" s="87">
        <v>317191725</v>
      </c>
      <c r="BE1161" s="87"/>
      <c r="BF1161" s="87"/>
      <c r="BG1161" s="87"/>
      <c r="BH1161" s="87"/>
      <c r="BI1161" s="87"/>
    </row>
    <row r="1162" spans="1:61" x14ac:dyDescent="0.25">
      <c r="A1162" s="63" t="s">
        <v>624</v>
      </c>
      <c r="B1162" s="63" t="s">
        <v>1674</v>
      </c>
      <c r="C1162" s="64"/>
      <c r="D1162" s="65"/>
      <c r="E1162" s="66"/>
      <c r="F1162" s="67"/>
      <c r="G1162" s="64"/>
      <c r="H1162" s="68"/>
      <c r="I1162" s="69"/>
      <c r="J1162" s="69"/>
      <c r="K1162" s="32"/>
      <c r="L1162" s="76">
        <v>1162</v>
      </c>
      <c r="M1162" s="76"/>
      <c r="N1162" s="71"/>
      <c r="O1162" s="87" t="s">
        <v>1839</v>
      </c>
      <c r="P1162" s="90">
        <v>45190.017129629632</v>
      </c>
      <c r="Q1162" s="87" t="s">
        <v>2968</v>
      </c>
      <c r="R1162" s="87">
        <v>0</v>
      </c>
      <c r="S1162" s="87">
        <v>1</v>
      </c>
      <c r="T1162" s="87">
        <v>1</v>
      </c>
      <c r="U1162" s="87">
        <v>0</v>
      </c>
      <c r="V1162" s="87">
        <v>76</v>
      </c>
      <c r="W1162" s="93" t="s">
        <v>6680</v>
      </c>
      <c r="X1162" s="87"/>
      <c r="Y1162" s="87"/>
      <c r="Z1162" s="87" t="s">
        <v>8575</v>
      </c>
      <c r="AA1162" s="87" t="s">
        <v>9342</v>
      </c>
      <c r="AB1162" s="87" t="s">
        <v>11448</v>
      </c>
      <c r="AC1162" s="93" t="s">
        <v>11457</v>
      </c>
      <c r="AD1162" s="87" t="s">
        <v>11519</v>
      </c>
      <c r="AE1162" s="92" t="str">
        <f>HYPERLINK("https://twitter.com/guto_sales1/status/1704652832664699250")</f>
        <v>https://twitter.com/guto_sales1/status/1704652832664699250</v>
      </c>
      <c r="AF1162" s="90">
        <v>45190.017129629632</v>
      </c>
      <c r="AG1162" s="99">
        <v>45190</v>
      </c>
      <c r="AH1162" s="93" t="s">
        <v>12605</v>
      </c>
      <c r="AI1162" s="87" t="b">
        <v>0</v>
      </c>
      <c r="AJ1162" s="87"/>
      <c r="AK1162" s="87"/>
      <c r="AL1162" s="87"/>
      <c r="AM1162" s="87"/>
      <c r="AN1162" s="87"/>
      <c r="AO1162" s="87"/>
      <c r="AP1162" s="87"/>
      <c r="AQ1162" s="87" t="s">
        <v>16155</v>
      </c>
      <c r="AR1162" s="87"/>
      <c r="AS1162" s="87"/>
      <c r="AT1162" s="87"/>
      <c r="AU1162" s="87"/>
      <c r="AV1162" s="92" t="str">
        <f>HYPERLINK("https://pbs.twimg.com/media/F6gkQ75XQAAvY5k.jpg")</f>
        <v>https://pbs.twimg.com/media/F6gkQ75XQAAvY5k.jpg</v>
      </c>
      <c r="AW1162" s="93" t="s">
        <v>19398</v>
      </c>
      <c r="AX1162" s="93" t="s">
        <v>19398</v>
      </c>
      <c r="AY1162" s="87"/>
      <c r="AZ1162" s="93" t="s">
        <v>22668</v>
      </c>
      <c r="BA1162" s="93" t="s">
        <v>22668</v>
      </c>
      <c r="BB1162" s="93" t="s">
        <v>22668</v>
      </c>
      <c r="BC1162" s="93" t="s">
        <v>19398</v>
      </c>
      <c r="BD1162" s="87">
        <v>317191725</v>
      </c>
      <c r="BE1162" s="87"/>
      <c r="BF1162" s="87"/>
      <c r="BG1162" s="87"/>
      <c r="BH1162" s="87"/>
      <c r="BI1162" s="87"/>
    </row>
    <row r="1163" spans="1:61" x14ac:dyDescent="0.25">
      <c r="A1163" s="63" t="s">
        <v>625</v>
      </c>
      <c r="B1163" s="63" t="s">
        <v>625</v>
      </c>
      <c r="C1163" s="64"/>
      <c r="D1163" s="65"/>
      <c r="E1163" s="66"/>
      <c r="F1163" s="67"/>
      <c r="G1163" s="64"/>
      <c r="H1163" s="68"/>
      <c r="I1163" s="69"/>
      <c r="J1163" s="69"/>
      <c r="K1163" s="32"/>
      <c r="L1163" s="76">
        <v>1163</v>
      </c>
      <c r="M1163" s="76"/>
      <c r="N1163" s="71"/>
      <c r="O1163" s="87" t="s">
        <v>179</v>
      </c>
      <c r="P1163" s="90">
        <v>45124.766898148147</v>
      </c>
      <c r="Q1163" s="87" t="s">
        <v>2969</v>
      </c>
      <c r="R1163" s="87">
        <v>0</v>
      </c>
      <c r="S1163" s="87">
        <v>1</v>
      </c>
      <c r="T1163" s="87">
        <v>0</v>
      </c>
      <c r="U1163" s="87">
        <v>0</v>
      </c>
      <c r="V1163" s="87">
        <v>238</v>
      </c>
      <c r="W1163" s="93" t="s">
        <v>5897</v>
      </c>
      <c r="X1163" s="92" t="str">
        <f>HYPERLINK("https://www.santos.sp.gov.br/?q=noticia/casa-do-artesao-de-santos-ensina-criancas-e-adultos-a-fazer-boneca-de-pano")</f>
        <v>https://www.santos.sp.gov.br/?q=noticia/casa-do-artesao-de-santos-ensina-criancas-e-adultos-a-fazer-boneca-de-pano</v>
      </c>
      <c r="Y1163" s="87" t="s">
        <v>8392</v>
      </c>
      <c r="Z1163" s="87"/>
      <c r="AA1163" s="87"/>
      <c r="AB1163" s="87"/>
      <c r="AC1163" s="93" t="s">
        <v>11457</v>
      </c>
      <c r="AD1163" s="87" t="s">
        <v>11519</v>
      </c>
      <c r="AE1163" s="92" t="str">
        <f>HYPERLINK("https://twitter.com/santos_agora/status/1681006937570177025")</f>
        <v>https://twitter.com/santos_agora/status/1681006937570177025</v>
      </c>
      <c r="AF1163" s="90">
        <v>45124.766898148147</v>
      </c>
      <c r="AG1163" s="99">
        <v>45124</v>
      </c>
      <c r="AH1163" s="93" t="s">
        <v>12606</v>
      </c>
      <c r="AI1163" s="87" t="b">
        <v>0</v>
      </c>
      <c r="AJ1163" s="87"/>
      <c r="AK1163" s="87"/>
      <c r="AL1163" s="87"/>
      <c r="AM1163" s="87"/>
      <c r="AN1163" s="87"/>
      <c r="AO1163" s="87"/>
      <c r="AP1163" s="87"/>
      <c r="AQ1163" s="87"/>
      <c r="AR1163" s="87"/>
      <c r="AS1163" s="87"/>
      <c r="AT1163" s="87"/>
      <c r="AU1163" s="87"/>
      <c r="AV1163" s="92" t="str">
        <f>HYPERLINK("https://pbs.twimg.com/profile_images/1704173010008023040/aDytPGxT_normal.jpg")</f>
        <v>https://pbs.twimg.com/profile_images/1704173010008023040/aDytPGxT_normal.jpg</v>
      </c>
      <c r="AW1163" s="93" t="s">
        <v>19399</v>
      </c>
      <c r="AX1163" s="93" t="s">
        <v>19399</v>
      </c>
      <c r="AY1163" s="87"/>
      <c r="AZ1163" s="93" t="s">
        <v>22668</v>
      </c>
      <c r="BA1163" s="93" t="s">
        <v>22668</v>
      </c>
      <c r="BB1163" s="93" t="s">
        <v>22668</v>
      </c>
      <c r="BC1163" s="93" t="s">
        <v>19399</v>
      </c>
      <c r="BD1163" s="87">
        <v>329392010</v>
      </c>
      <c r="BE1163" s="87"/>
      <c r="BF1163" s="87"/>
      <c r="BG1163" s="87"/>
      <c r="BH1163" s="87"/>
      <c r="BI1163" s="87"/>
    </row>
    <row r="1164" spans="1:61" x14ac:dyDescent="0.25">
      <c r="A1164" s="63" t="s">
        <v>625</v>
      </c>
      <c r="B1164" s="63" t="s">
        <v>625</v>
      </c>
      <c r="C1164" s="64"/>
      <c r="D1164" s="65"/>
      <c r="E1164" s="66"/>
      <c r="F1164" s="67"/>
      <c r="G1164" s="64"/>
      <c r="H1164" s="68"/>
      <c r="I1164" s="69"/>
      <c r="J1164" s="69"/>
      <c r="K1164" s="32"/>
      <c r="L1164" s="76">
        <v>1164</v>
      </c>
      <c r="M1164" s="76"/>
      <c r="N1164" s="71"/>
      <c r="O1164" s="87" t="s">
        <v>179</v>
      </c>
      <c r="P1164" s="90">
        <v>45152.854166666664</v>
      </c>
      <c r="Q1164" s="87" t="s">
        <v>2970</v>
      </c>
      <c r="R1164" s="87">
        <v>0</v>
      </c>
      <c r="S1164" s="87">
        <v>2</v>
      </c>
      <c r="T1164" s="87">
        <v>0</v>
      </c>
      <c r="U1164" s="87">
        <v>0</v>
      </c>
      <c r="V1164" s="87">
        <v>274</v>
      </c>
      <c r="W1164" s="93" t="s">
        <v>5897</v>
      </c>
      <c r="X1164" s="87"/>
      <c r="Y1164" s="87"/>
      <c r="Z1164" s="87"/>
      <c r="AA1164" s="87"/>
      <c r="AB1164" s="87"/>
      <c r="AC1164" s="93" t="s">
        <v>11483</v>
      </c>
      <c r="AD1164" s="87" t="s">
        <v>11519</v>
      </c>
      <c r="AE1164" s="92" t="str">
        <f>HYPERLINK("https://twitter.com/santos_agora/status/1691185424457228288")</f>
        <v>https://twitter.com/santos_agora/status/1691185424457228288</v>
      </c>
      <c r="AF1164" s="90">
        <v>45152.854166666664</v>
      </c>
      <c r="AG1164" s="99">
        <v>45152</v>
      </c>
      <c r="AH1164" s="93" t="s">
        <v>12307</v>
      </c>
      <c r="AI1164" s="87"/>
      <c r="AJ1164" s="87"/>
      <c r="AK1164" s="87"/>
      <c r="AL1164" s="87"/>
      <c r="AM1164" s="87"/>
      <c r="AN1164" s="87"/>
      <c r="AO1164" s="87"/>
      <c r="AP1164" s="87"/>
      <c r="AQ1164" s="87"/>
      <c r="AR1164" s="87"/>
      <c r="AS1164" s="87"/>
      <c r="AT1164" s="87"/>
      <c r="AU1164" s="87"/>
      <c r="AV1164" s="92" t="str">
        <f>HYPERLINK("https://pbs.twimg.com/profile_images/1704173010008023040/aDytPGxT_normal.jpg")</f>
        <v>https://pbs.twimg.com/profile_images/1704173010008023040/aDytPGxT_normal.jpg</v>
      </c>
      <c r="AW1164" s="93" t="s">
        <v>19400</v>
      </c>
      <c r="AX1164" s="93" t="s">
        <v>19400</v>
      </c>
      <c r="AY1164" s="87"/>
      <c r="AZ1164" s="93" t="s">
        <v>22668</v>
      </c>
      <c r="BA1164" s="93" t="s">
        <v>22668</v>
      </c>
      <c r="BB1164" s="93" t="s">
        <v>22668</v>
      </c>
      <c r="BC1164" s="93" t="s">
        <v>19400</v>
      </c>
      <c r="BD1164" s="87">
        <v>329392010</v>
      </c>
      <c r="BE1164" s="87"/>
      <c r="BF1164" s="87"/>
      <c r="BG1164" s="87"/>
      <c r="BH1164" s="87"/>
      <c r="BI1164" s="87"/>
    </row>
    <row r="1165" spans="1:61" x14ac:dyDescent="0.25">
      <c r="A1165" s="63" t="s">
        <v>625</v>
      </c>
      <c r="B1165" s="63" t="s">
        <v>625</v>
      </c>
      <c r="C1165" s="64"/>
      <c r="D1165" s="65"/>
      <c r="E1165" s="66"/>
      <c r="F1165" s="67"/>
      <c r="G1165" s="64"/>
      <c r="H1165" s="68"/>
      <c r="I1165" s="69"/>
      <c r="J1165" s="69"/>
      <c r="K1165" s="32"/>
      <c r="L1165" s="76">
        <v>1165</v>
      </c>
      <c r="M1165" s="76"/>
      <c r="N1165" s="71"/>
      <c r="O1165" s="87" t="s">
        <v>179</v>
      </c>
      <c r="P1165" s="90">
        <v>45154.750497685185</v>
      </c>
      <c r="Q1165" s="87" t="s">
        <v>2971</v>
      </c>
      <c r="R1165" s="87">
        <v>0</v>
      </c>
      <c r="S1165" s="87">
        <v>1</v>
      </c>
      <c r="T1165" s="87">
        <v>0</v>
      </c>
      <c r="U1165" s="87">
        <v>0</v>
      </c>
      <c r="V1165" s="87">
        <v>212</v>
      </c>
      <c r="W1165" s="93" t="s">
        <v>5897</v>
      </c>
      <c r="X1165" s="92" t="str">
        <f>HYPERLINK("https://www.santos.sp.gov.br/?q=noticia/mei-tem-novas-regras-para-emissao-de-nota-em-santos")</f>
        <v>https://www.santos.sp.gov.br/?q=noticia/mei-tem-novas-regras-para-emissao-de-nota-em-santos</v>
      </c>
      <c r="Y1165" s="87" t="s">
        <v>8392</v>
      </c>
      <c r="Z1165" s="87"/>
      <c r="AA1165" s="87"/>
      <c r="AB1165" s="87"/>
      <c r="AC1165" s="93" t="s">
        <v>11457</v>
      </c>
      <c r="AD1165" s="87" t="s">
        <v>11519</v>
      </c>
      <c r="AE1165" s="92" t="str">
        <f>HYPERLINK("https://twitter.com/santos_agora/status/1691872632763732232")</f>
        <v>https://twitter.com/santos_agora/status/1691872632763732232</v>
      </c>
      <c r="AF1165" s="90">
        <v>45154.750497685185</v>
      </c>
      <c r="AG1165" s="99">
        <v>45154</v>
      </c>
      <c r="AH1165" s="93" t="s">
        <v>12607</v>
      </c>
      <c r="AI1165" s="87" t="b">
        <v>0</v>
      </c>
      <c r="AJ1165" s="87"/>
      <c r="AK1165" s="87"/>
      <c r="AL1165" s="87"/>
      <c r="AM1165" s="87"/>
      <c r="AN1165" s="87"/>
      <c r="AO1165" s="87"/>
      <c r="AP1165" s="87"/>
      <c r="AQ1165" s="87"/>
      <c r="AR1165" s="87"/>
      <c r="AS1165" s="87"/>
      <c r="AT1165" s="87"/>
      <c r="AU1165" s="87"/>
      <c r="AV1165" s="92" t="str">
        <f>HYPERLINK("https://pbs.twimg.com/profile_images/1704173010008023040/aDytPGxT_normal.jpg")</f>
        <v>https://pbs.twimg.com/profile_images/1704173010008023040/aDytPGxT_normal.jpg</v>
      </c>
      <c r="AW1165" s="93" t="s">
        <v>19401</v>
      </c>
      <c r="AX1165" s="93" t="s">
        <v>19401</v>
      </c>
      <c r="AY1165" s="87"/>
      <c r="AZ1165" s="93" t="s">
        <v>22668</v>
      </c>
      <c r="BA1165" s="93" t="s">
        <v>22668</v>
      </c>
      <c r="BB1165" s="93" t="s">
        <v>22668</v>
      </c>
      <c r="BC1165" s="93" t="s">
        <v>19401</v>
      </c>
      <c r="BD1165" s="87">
        <v>329392010</v>
      </c>
      <c r="BE1165" s="87"/>
      <c r="BF1165" s="87"/>
      <c r="BG1165" s="87"/>
      <c r="BH1165" s="87"/>
      <c r="BI1165" s="87"/>
    </row>
    <row r="1166" spans="1:61" x14ac:dyDescent="0.25">
      <c r="A1166" s="63" t="s">
        <v>625</v>
      </c>
      <c r="B1166" s="63" t="s">
        <v>625</v>
      </c>
      <c r="C1166" s="64"/>
      <c r="D1166" s="65"/>
      <c r="E1166" s="66"/>
      <c r="F1166" s="67"/>
      <c r="G1166" s="64"/>
      <c r="H1166" s="68"/>
      <c r="I1166" s="69"/>
      <c r="J1166" s="69"/>
      <c r="K1166" s="32"/>
      <c r="L1166" s="76">
        <v>1166</v>
      </c>
      <c r="M1166" s="76"/>
      <c r="N1166" s="71"/>
      <c r="O1166" s="87" t="s">
        <v>179</v>
      </c>
      <c r="P1166" s="90">
        <v>45169.777303240742</v>
      </c>
      <c r="Q1166" s="87" t="s">
        <v>2972</v>
      </c>
      <c r="R1166" s="87">
        <v>0</v>
      </c>
      <c r="S1166" s="87">
        <v>1</v>
      </c>
      <c r="T1166" s="87">
        <v>0</v>
      </c>
      <c r="U1166" s="87">
        <v>0</v>
      </c>
      <c r="V1166" s="87">
        <v>278</v>
      </c>
      <c r="W1166" s="93" t="s">
        <v>5897</v>
      </c>
      <c r="X1166" s="92" t="str">
        <f>HYPERLINK("https://www.santos.sp.gov.br/?q=noticia/santistas-podem-se-inscrever-para-18-mil-vagas-de-cursos-de-divulgacao-em-redes-sociais")</f>
        <v>https://www.santos.sp.gov.br/?q=noticia/santistas-podem-se-inscrever-para-18-mil-vagas-de-cursos-de-divulgacao-em-redes-sociais</v>
      </c>
      <c r="Y1166" s="87" t="s">
        <v>8392</v>
      </c>
      <c r="Z1166" s="87"/>
      <c r="AA1166" s="87"/>
      <c r="AB1166" s="87"/>
      <c r="AC1166" s="93" t="s">
        <v>11457</v>
      </c>
      <c r="AD1166" s="87" t="s">
        <v>11519</v>
      </c>
      <c r="AE1166" s="92" t="str">
        <f>HYPERLINK("https://twitter.com/santos_agora/status/1697318163896017178")</f>
        <v>https://twitter.com/santos_agora/status/1697318163896017178</v>
      </c>
      <c r="AF1166" s="90">
        <v>45169.777303240742</v>
      </c>
      <c r="AG1166" s="99">
        <v>45169</v>
      </c>
      <c r="AH1166" s="93" t="s">
        <v>12608</v>
      </c>
      <c r="AI1166" s="87" t="b">
        <v>0</v>
      </c>
      <c r="AJ1166" s="87"/>
      <c r="AK1166" s="87"/>
      <c r="AL1166" s="87"/>
      <c r="AM1166" s="87"/>
      <c r="AN1166" s="87"/>
      <c r="AO1166" s="87"/>
      <c r="AP1166" s="87"/>
      <c r="AQ1166" s="87"/>
      <c r="AR1166" s="87"/>
      <c r="AS1166" s="87"/>
      <c r="AT1166" s="87"/>
      <c r="AU1166" s="87"/>
      <c r="AV1166" s="92" t="str">
        <f>HYPERLINK("https://pbs.twimg.com/profile_images/1704173010008023040/aDytPGxT_normal.jpg")</f>
        <v>https://pbs.twimg.com/profile_images/1704173010008023040/aDytPGxT_normal.jpg</v>
      </c>
      <c r="AW1166" s="93" t="s">
        <v>19402</v>
      </c>
      <c r="AX1166" s="93" t="s">
        <v>19402</v>
      </c>
      <c r="AY1166" s="87"/>
      <c r="AZ1166" s="93" t="s">
        <v>22668</v>
      </c>
      <c r="BA1166" s="93" t="s">
        <v>22668</v>
      </c>
      <c r="BB1166" s="93" t="s">
        <v>22668</v>
      </c>
      <c r="BC1166" s="93" t="s">
        <v>19402</v>
      </c>
      <c r="BD1166" s="87">
        <v>329392010</v>
      </c>
      <c r="BE1166" s="87"/>
      <c r="BF1166" s="87"/>
      <c r="BG1166" s="87"/>
      <c r="BH1166" s="87"/>
      <c r="BI1166" s="87"/>
    </row>
    <row r="1167" spans="1:61" x14ac:dyDescent="0.25">
      <c r="A1167" s="63" t="s">
        <v>625</v>
      </c>
      <c r="B1167" s="63" t="s">
        <v>625</v>
      </c>
      <c r="C1167" s="64"/>
      <c r="D1167" s="65"/>
      <c r="E1167" s="66"/>
      <c r="F1167" s="67"/>
      <c r="G1167" s="64"/>
      <c r="H1167" s="68"/>
      <c r="I1167" s="69"/>
      <c r="J1167" s="69"/>
      <c r="K1167" s="32"/>
      <c r="L1167" s="76">
        <v>1167</v>
      </c>
      <c r="M1167" s="76"/>
      <c r="N1167" s="71"/>
      <c r="O1167" s="87" t="s">
        <v>179</v>
      </c>
      <c r="P1167" s="90">
        <v>45132.722326388888</v>
      </c>
      <c r="Q1167" s="87" t="s">
        <v>2973</v>
      </c>
      <c r="R1167" s="87">
        <v>0</v>
      </c>
      <c r="S1167" s="87">
        <v>2</v>
      </c>
      <c r="T1167" s="87">
        <v>1</v>
      </c>
      <c r="U1167" s="87">
        <v>0</v>
      </c>
      <c r="V1167" s="87">
        <v>222</v>
      </c>
      <c r="W1167" s="93" t="s">
        <v>5897</v>
      </c>
      <c r="X1167" s="92" t="str">
        <f>HYPERLINK("https://www.santos.sp.gov.br/?q=noticia/feito-em-santos-e-sebrae-inscrevem-para-curso-sobre-fluxo-de-caixa-e-controle-financeiro")</f>
        <v>https://www.santos.sp.gov.br/?q=noticia/feito-em-santos-e-sebrae-inscrevem-para-curso-sobre-fluxo-de-caixa-e-controle-financeiro</v>
      </c>
      <c r="Y1167" s="87" t="s">
        <v>8392</v>
      </c>
      <c r="Z1167" s="87"/>
      <c r="AA1167" s="87"/>
      <c r="AB1167" s="87"/>
      <c r="AC1167" s="93" t="s">
        <v>11457</v>
      </c>
      <c r="AD1167" s="87" t="s">
        <v>11519</v>
      </c>
      <c r="AE1167" s="92" t="str">
        <f>HYPERLINK("https://twitter.com/santos_agora/status/1683889890465918991")</f>
        <v>https://twitter.com/santos_agora/status/1683889890465918991</v>
      </c>
      <c r="AF1167" s="90">
        <v>45132.722326388888</v>
      </c>
      <c r="AG1167" s="99">
        <v>45132</v>
      </c>
      <c r="AH1167" s="93" t="s">
        <v>12609</v>
      </c>
      <c r="AI1167" s="87" t="b">
        <v>0</v>
      </c>
      <c r="AJ1167" s="87"/>
      <c r="AK1167" s="87"/>
      <c r="AL1167" s="87"/>
      <c r="AM1167" s="87"/>
      <c r="AN1167" s="87"/>
      <c r="AO1167" s="87"/>
      <c r="AP1167" s="87"/>
      <c r="AQ1167" s="87"/>
      <c r="AR1167" s="87"/>
      <c r="AS1167" s="87"/>
      <c r="AT1167" s="87"/>
      <c r="AU1167" s="87"/>
      <c r="AV1167" s="92" t="str">
        <f>HYPERLINK("https://pbs.twimg.com/profile_images/1704173010008023040/aDytPGxT_normal.jpg")</f>
        <v>https://pbs.twimg.com/profile_images/1704173010008023040/aDytPGxT_normal.jpg</v>
      </c>
      <c r="AW1167" s="93" t="s">
        <v>19403</v>
      </c>
      <c r="AX1167" s="93" t="s">
        <v>19403</v>
      </c>
      <c r="AY1167" s="87"/>
      <c r="AZ1167" s="93" t="s">
        <v>22668</v>
      </c>
      <c r="BA1167" s="93" t="s">
        <v>22668</v>
      </c>
      <c r="BB1167" s="93" t="s">
        <v>22668</v>
      </c>
      <c r="BC1167" s="93" t="s">
        <v>19403</v>
      </c>
      <c r="BD1167" s="87">
        <v>329392010</v>
      </c>
      <c r="BE1167" s="87"/>
      <c r="BF1167" s="87"/>
      <c r="BG1167" s="87"/>
      <c r="BH1167" s="87"/>
      <c r="BI1167" s="87"/>
    </row>
    <row r="1168" spans="1:61" x14ac:dyDescent="0.25">
      <c r="A1168" s="63" t="s">
        <v>625</v>
      </c>
      <c r="B1168" s="63" t="s">
        <v>625</v>
      </c>
      <c r="C1168" s="64"/>
      <c r="D1168" s="65"/>
      <c r="E1168" s="66"/>
      <c r="F1168" s="67"/>
      <c r="G1168" s="64"/>
      <c r="H1168" s="68"/>
      <c r="I1168" s="69"/>
      <c r="J1168" s="69"/>
      <c r="K1168" s="32"/>
      <c r="L1168" s="76">
        <v>1168</v>
      </c>
      <c r="M1168" s="76"/>
      <c r="N1168" s="71"/>
      <c r="O1168" s="87" t="s">
        <v>179</v>
      </c>
      <c r="P1168" s="90">
        <v>45117.835127314815</v>
      </c>
      <c r="Q1168" s="87" t="s">
        <v>2974</v>
      </c>
      <c r="R1168" s="87">
        <v>0</v>
      </c>
      <c r="S1168" s="87">
        <v>0</v>
      </c>
      <c r="T1168" s="87">
        <v>0</v>
      </c>
      <c r="U1168" s="87">
        <v>0</v>
      </c>
      <c r="V1168" s="87">
        <v>232</v>
      </c>
      <c r="W1168" s="93" t="s">
        <v>5897</v>
      </c>
      <c r="X1168" s="92" t="str">
        <f>HYPERLINK("https://www.santos.sp.gov.br/?q=noticia/casa-do-artesao-de-santos-ensina-a-fazer-miniaturas-em-resina")</f>
        <v>https://www.santos.sp.gov.br/?q=noticia/casa-do-artesao-de-santos-ensina-a-fazer-miniaturas-em-resina</v>
      </c>
      <c r="Y1168" s="87" t="s">
        <v>8392</v>
      </c>
      <c r="Z1168" s="87"/>
      <c r="AA1168" s="87"/>
      <c r="AB1168" s="87"/>
      <c r="AC1168" s="93" t="s">
        <v>11457</v>
      </c>
      <c r="AD1168" s="87" t="s">
        <v>11519</v>
      </c>
      <c r="AE1168" s="92" t="str">
        <f>HYPERLINK("https://twitter.com/santos_agora/status/1678494948897746963")</f>
        <v>https://twitter.com/santos_agora/status/1678494948897746963</v>
      </c>
      <c r="AF1168" s="90">
        <v>45117.835127314815</v>
      </c>
      <c r="AG1168" s="99">
        <v>45117</v>
      </c>
      <c r="AH1168" s="93" t="s">
        <v>12610</v>
      </c>
      <c r="AI1168" s="87" t="b">
        <v>0</v>
      </c>
      <c r="AJ1168" s="87"/>
      <c r="AK1168" s="87"/>
      <c r="AL1168" s="87"/>
      <c r="AM1168" s="87"/>
      <c r="AN1168" s="87"/>
      <c r="AO1168" s="87"/>
      <c r="AP1168" s="87"/>
      <c r="AQ1168" s="87"/>
      <c r="AR1168" s="87"/>
      <c r="AS1168" s="87"/>
      <c r="AT1168" s="87"/>
      <c r="AU1168" s="87"/>
      <c r="AV1168" s="92" t="str">
        <f>HYPERLINK("https://pbs.twimg.com/profile_images/1704173010008023040/aDytPGxT_normal.jpg")</f>
        <v>https://pbs.twimg.com/profile_images/1704173010008023040/aDytPGxT_normal.jpg</v>
      </c>
      <c r="AW1168" s="93" t="s">
        <v>19404</v>
      </c>
      <c r="AX1168" s="93" t="s">
        <v>19404</v>
      </c>
      <c r="AY1168" s="87"/>
      <c r="AZ1168" s="93" t="s">
        <v>22668</v>
      </c>
      <c r="BA1168" s="93" t="s">
        <v>22668</v>
      </c>
      <c r="BB1168" s="93" t="s">
        <v>22668</v>
      </c>
      <c r="BC1168" s="93" t="s">
        <v>19404</v>
      </c>
      <c r="BD1168" s="87">
        <v>329392010</v>
      </c>
      <c r="BE1168" s="87"/>
      <c r="BF1168" s="87"/>
      <c r="BG1168" s="87"/>
      <c r="BH1168" s="87"/>
      <c r="BI1168" s="87"/>
    </row>
    <row r="1169" spans="1:61" x14ac:dyDescent="0.25">
      <c r="A1169" s="63" t="s">
        <v>625</v>
      </c>
      <c r="B1169" s="63" t="s">
        <v>625</v>
      </c>
      <c r="C1169" s="64"/>
      <c r="D1169" s="65"/>
      <c r="E1169" s="66"/>
      <c r="F1169" s="67"/>
      <c r="G1169" s="64"/>
      <c r="H1169" s="68"/>
      <c r="I1169" s="69"/>
      <c r="J1169" s="69"/>
      <c r="K1169" s="32"/>
      <c r="L1169" s="76">
        <v>1169</v>
      </c>
      <c r="M1169" s="76"/>
      <c r="N1169" s="71"/>
      <c r="O1169" s="87" t="s">
        <v>179</v>
      </c>
      <c r="P1169" s="90">
        <v>45175.707407407404</v>
      </c>
      <c r="Q1169" s="87" t="s">
        <v>2975</v>
      </c>
      <c r="R1169" s="87">
        <v>0</v>
      </c>
      <c r="S1169" s="87">
        <v>2</v>
      </c>
      <c r="T1169" s="87">
        <v>1</v>
      </c>
      <c r="U1169" s="87">
        <v>0</v>
      </c>
      <c r="V1169" s="87">
        <v>219</v>
      </c>
      <c r="W1169" s="93" t="s">
        <v>5897</v>
      </c>
      <c r="X1169" s="87"/>
      <c r="Y1169" s="87"/>
      <c r="Z1169" s="87"/>
      <c r="AA1169" s="87"/>
      <c r="AB1169" s="87"/>
      <c r="AC1169" s="93" t="s">
        <v>11457</v>
      </c>
      <c r="AD1169" s="87" t="s">
        <v>11519</v>
      </c>
      <c r="AE1169" s="92" t="str">
        <f>HYPERLINK("https://twitter.com/santos_agora/status/1699467162035929191")</f>
        <v>https://twitter.com/santos_agora/status/1699467162035929191</v>
      </c>
      <c r="AF1169" s="90">
        <v>45175.707407407404</v>
      </c>
      <c r="AG1169" s="99">
        <v>45175</v>
      </c>
      <c r="AH1169" s="93" t="s">
        <v>12611</v>
      </c>
      <c r="AI1169" s="87"/>
      <c r="AJ1169" s="87"/>
      <c r="AK1169" s="87"/>
      <c r="AL1169" s="87"/>
      <c r="AM1169" s="87"/>
      <c r="AN1169" s="87"/>
      <c r="AO1169" s="87"/>
      <c r="AP1169" s="87"/>
      <c r="AQ1169" s="87"/>
      <c r="AR1169" s="87"/>
      <c r="AS1169" s="87"/>
      <c r="AT1169" s="87"/>
      <c r="AU1169" s="87"/>
      <c r="AV1169" s="92" t="str">
        <f>HYPERLINK("https://pbs.twimg.com/profile_images/1704173010008023040/aDytPGxT_normal.jpg")</f>
        <v>https://pbs.twimg.com/profile_images/1704173010008023040/aDytPGxT_normal.jpg</v>
      </c>
      <c r="AW1169" s="93" t="s">
        <v>19405</v>
      </c>
      <c r="AX1169" s="93" t="s">
        <v>19405</v>
      </c>
      <c r="AY1169" s="87"/>
      <c r="AZ1169" s="93" t="s">
        <v>22668</v>
      </c>
      <c r="BA1169" s="93" t="s">
        <v>22668</v>
      </c>
      <c r="BB1169" s="93" t="s">
        <v>22668</v>
      </c>
      <c r="BC1169" s="93" t="s">
        <v>19405</v>
      </c>
      <c r="BD1169" s="87">
        <v>329392010</v>
      </c>
      <c r="BE1169" s="87"/>
      <c r="BF1169" s="87"/>
      <c r="BG1169" s="87"/>
      <c r="BH1169" s="87"/>
      <c r="BI1169" s="87"/>
    </row>
    <row r="1170" spans="1:61" x14ac:dyDescent="0.25">
      <c r="A1170" s="63" t="s">
        <v>625</v>
      </c>
      <c r="B1170" s="63" t="s">
        <v>625</v>
      </c>
      <c r="C1170" s="64"/>
      <c r="D1170" s="65"/>
      <c r="E1170" s="66"/>
      <c r="F1170" s="67"/>
      <c r="G1170" s="64"/>
      <c r="H1170" s="68"/>
      <c r="I1170" s="69"/>
      <c r="J1170" s="69"/>
      <c r="K1170" s="32"/>
      <c r="L1170" s="76">
        <v>1170</v>
      </c>
      <c r="M1170" s="76"/>
      <c r="N1170" s="71"/>
      <c r="O1170" s="87" t="s">
        <v>179</v>
      </c>
      <c r="P1170" s="90">
        <v>45173.827951388892</v>
      </c>
      <c r="Q1170" s="87" t="s">
        <v>2976</v>
      </c>
      <c r="R1170" s="87">
        <v>0</v>
      </c>
      <c r="S1170" s="87">
        <v>2</v>
      </c>
      <c r="T1170" s="87">
        <v>0</v>
      </c>
      <c r="U1170" s="87">
        <v>0</v>
      </c>
      <c r="V1170" s="87">
        <v>233</v>
      </c>
      <c r="W1170" s="93" t="s">
        <v>5897</v>
      </c>
      <c r="X1170" s="92" t="str">
        <f>HYPERLINK("https://www.santos.sp.gov.br/?q=noticia/tecnologia-para-microempreendedores-sera-tema-de-evento-na-zona-noroeste-de-santos")</f>
        <v>https://www.santos.sp.gov.br/?q=noticia/tecnologia-para-microempreendedores-sera-tema-de-evento-na-zona-noroeste-de-santos</v>
      </c>
      <c r="Y1170" s="87" t="s">
        <v>8392</v>
      </c>
      <c r="Z1170" s="87"/>
      <c r="AA1170" s="87"/>
      <c r="AB1170" s="87"/>
      <c r="AC1170" s="93" t="s">
        <v>11457</v>
      </c>
      <c r="AD1170" s="87" t="s">
        <v>11519</v>
      </c>
      <c r="AE1170" s="92" t="str">
        <f>HYPERLINK("https://twitter.com/santos_agora/status/1698786070899437626")</f>
        <v>https://twitter.com/santos_agora/status/1698786070899437626</v>
      </c>
      <c r="AF1170" s="90">
        <v>45173.827951388892</v>
      </c>
      <c r="AG1170" s="99">
        <v>45173</v>
      </c>
      <c r="AH1170" s="93" t="s">
        <v>12612</v>
      </c>
      <c r="AI1170" s="87" t="b">
        <v>0</v>
      </c>
      <c r="AJ1170" s="87"/>
      <c r="AK1170" s="87"/>
      <c r="AL1170" s="87"/>
      <c r="AM1170" s="87"/>
      <c r="AN1170" s="87"/>
      <c r="AO1170" s="87"/>
      <c r="AP1170" s="87"/>
      <c r="AQ1170" s="87"/>
      <c r="AR1170" s="87"/>
      <c r="AS1170" s="87"/>
      <c r="AT1170" s="87"/>
      <c r="AU1170" s="87"/>
      <c r="AV1170" s="92" t="str">
        <f>HYPERLINK("https://pbs.twimg.com/profile_images/1704173010008023040/aDytPGxT_normal.jpg")</f>
        <v>https://pbs.twimg.com/profile_images/1704173010008023040/aDytPGxT_normal.jpg</v>
      </c>
      <c r="AW1170" s="93" t="s">
        <v>19406</v>
      </c>
      <c r="AX1170" s="93" t="s">
        <v>19406</v>
      </c>
      <c r="AY1170" s="87"/>
      <c r="AZ1170" s="93" t="s">
        <v>22668</v>
      </c>
      <c r="BA1170" s="93" t="s">
        <v>22668</v>
      </c>
      <c r="BB1170" s="93" t="s">
        <v>22668</v>
      </c>
      <c r="BC1170" s="93" t="s">
        <v>19406</v>
      </c>
      <c r="BD1170" s="87">
        <v>329392010</v>
      </c>
      <c r="BE1170" s="87"/>
      <c r="BF1170" s="87"/>
      <c r="BG1170" s="87"/>
      <c r="BH1170" s="87"/>
      <c r="BI1170" s="87"/>
    </row>
    <row r="1171" spans="1:61" x14ac:dyDescent="0.25">
      <c r="A1171" s="63" t="s">
        <v>625</v>
      </c>
      <c r="B1171" s="63" t="s">
        <v>625</v>
      </c>
      <c r="C1171" s="64"/>
      <c r="D1171" s="65"/>
      <c r="E1171" s="66"/>
      <c r="F1171" s="67"/>
      <c r="G1171" s="64"/>
      <c r="H1171" s="68"/>
      <c r="I1171" s="69"/>
      <c r="J1171" s="69"/>
      <c r="K1171" s="32"/>
      <c r="L1171" s="76">
        <v>1171</v>
      </c>
      <c r="M1171" s="76"/>
      <c r="N1171" s="71"/>
      <c r="O1171" s="87" t="s">
        <v>179</v>
      </c>
      <c r="P1171" s="90">
        <v>45191.702187499999</v>
      </c>
      <c r="Q1171" s="87" t="s">
        <v>2977</v>
      </c>
      <c r="R1171" s="87">
        <v>0</v>
      </c>
      <c r="S1171" s="87">
        <v>1</v>
      </c>
      <c r="T1171" s="87">
        <v>1</v>
      </c>
      <c r="U1171" s="87">
        <v>0</v>
      </c>
      <c r="V1171" s="87">
        <v>180</v>
      </c>
      <c r="W1171" s="93" t="s">
        <v>5897</v>
      </c>
      <c r="X1171" s="87"/>
      <c r="Y1171" s="87"/>
      <c r="Z1171" s="87"/>
      <c r="AA1171" s="87"/>
      <c r="AB1171" s="87"/>
      <c r="AC1171" s="93" t="s">
        <v>11457</v>
      </c>
      <c r="AD1171" s="87" t="s">
        <v>11519</v>
      </c>
      <c r="AE1171" s="92" t="str">
        <f>HYPERLINK("https://twitter.com/santos_agora/status/1705263474874478672")</f>
        <v>https://twitter.com/santos_agora/status/1705263474874478672</v>
      </c>
      <c r="AF1171" s="90">
        <v>45191.702187499999</v>
      </c>
      <c r="AG1171" s="99">
        <v>45191</v>
      </c>
      <c r="AH1171" s="93" t="s">
        <v>12613</v>
      </c>
      <c r="AI1171" s="87"/>
      <c r="AJ1171" s="87"/>
      <c r="AK1171" s="87"/>
      <c r="AL1171" s="87"/>
      <c r="AM1171" s="87"/>
      <c r="AN1171" s="87"/>
      <c r="AO1171" s="87"/>
      <c r="AP1171" s="87"/>
      <c r="AQ1171" s="87"/>
      <c r="AR1171" s="87"/>
      <c r="AS1171" s="87"/>
      <c r="AT1171" s="87"/>
      <c r="AU1171" s="87"/>
      <c r="AV1171" s="92" t="str">
        <f>HYPERLINK("https://pbs.twimg.com/profile_images/1704173010008023040/aDytPGxT_normal.jpg")</f>
        <v>https://pbs.twimg.com/profile_images/1704173010008023040/aDytPGxT_normal.jpg</v>
      </c>
      <c r="AW1171" s="93" t="s">
        <v>19407</v>
      </c>
      <c r="AX1171" s="93" t="s">
        <v>19407</v>
      </c>
      <c r="AY1171" s="87"/>
      <c r="AZ1171" s="93" t="s">
        <v>22668</v>
      </c>
      <c r="BA1171" s="93" t="s">
        <v>22668</v>
      </c>
      <c r="BB1171" s="93" t="s">
        <v>22668</v>
      </c>
      <c r="BC1171" s="93" t="s">
        <v>19407</v>
      </c>
      <c r="BD1171" s="87">
        <v>329392010</v>
      </c>
      <c r="BE1171" s="87"/>
      <c r="BF1171" s="87"/>
      <c r="BG1171" s="87"/>
      <c r="BH1171" s="87"/>
      <c r="BI1171" s="87"/>
    </row>
    <row r="1172" spans="1:61" x14ac:dyDescent="0.25">
      <c r="A1172" s="63" t="s">
        <v>626</v>
      </c>
      <c r="B1172" s="63" t="s">
        <v>626</v>
      </c>
      <c r="C1172" s="64"/>
      <c r="D1172" s="65"/>
      <c r="E1172" s="66"/>
      <c r="F1172" s="67"/>
      <c r="G1172" s="64"/>
      <c r="H1172" s="68"/>
      <c r="I1172" s="69"/>
      <c r="J1172" s="69"/>
      <c r="K1172" s="32"/>
      <c r="L1172" s="76">
        <v>1172</v>
      </c>
      <c r="M1172" s="76"/>
      <c r="N1172" s="71"/>
      <c r="O1172" s="87" t="s">
        <v>1840</v>
      </c>
      <c r="P1172" s="90">
        <v>45158.850451388891</v>
      </c>
      <c r="Q1172" s="87" t="s">
        <v>2978</v>
      </c>
      <c r="R1172" s="87">
        <v>0</v>
      </c>
      <c r="S1172" s="87">
        <v>1</v>
      </c>
      <c r="T1172" s="87">
        <v>0</v>
      </c>
      <c r="U1172" s="87">
        <v>0</v>
      </c>
      <c r="V1172" s="87">
        <v>12</v>
      </c>
      <c r="W1172" s="93" t="s">
        <v>6681</v>
      </c>
      <c r="X1172" s="87"/>
      <c r="Y1172" s="87"/>
      <c r="Z1172" s="87"/>
      <c r="AA1172" s="87"/>
      <c r="AB1172" s="87"/>
      <c r="AC1172" s="93" t="s">
        <v>11457</v>
      </c>
      <c r="AD1172" s="87" t="s">
        <v>11520</v>
      </c>
      <c r="AE1172" s="92" t="str">
        <f>HYPERLINK("https://twitter.com/morgado996/status/1693358406617420286")</f>
        <v>https://twitter.com/morgado996/status/1693358406617420286</v>
      </c>
      <c r="AF1172" s="90">
        <v>45158.850451388891</v>
      </c>
      <c r="AG1172" s="99">
        <v>45158</v>
      </c>
      <c r="AH1172" s="93" t="s">
        <v>12592</v>
      </c>
      <c r="AI1172" s="87"/>
      <c r="AJ1172" s="87"/>
      <c r="AK1172" s="87"/>
      <c r="AL1172" s="87"/>
      <c r="AM1172" s="87"/>
      <c r="AN1172" s="87"/>
      <c r="AO1172" s="87"/>
      <c r="AP1172" s="87"/>
      <c r="AQ1172" s="87"/>
      <c r="AR1172" s="87"/>
      <c r="AS1172" s="87"/>
      <c r="AT1172" s="87"/>
      <c r="AU1172" s="87"/>
      <c r="AV1172" s="92" t="str">
        <f>HYPERLINK("https://pbs.twimg.com/profile_images/1266928800778072064/PArXTEKO_normal.jpg")</f>
        <v>https://pbs.twimg.com/profile_images/1266928800778072064/PArXTEKO_normal.jpg</v>
      </c>
      <c r="AW1172" s="93" t="s">
        <v>19408</v>
      </c>
      <c r="AX1172" s="93" t="s">
        <v>22354</v>
      </c>
      <c r="AY1172" s="93" t="s">
        <v>22555</v>
      </c>
      <c r="AZ1172" s="93" t="s">
        <v>22354</v>
      </c>
      <c r="BA1172" s="93" t="s">
        <v>22668</v>
      </c>
      <c r="BB1172" s="93" t="s">
        <v>22668</v>
      </c>
      <c r="BC1172" s="93" t="s">
        <v>22354</v>
      </c>
      <c r="BD1172" s="87">
        <v>126678900</v>
      </c>
      <c r="BE1172" s="87"/>
      <c r="BF1172" s="87"/>
      <c r="BG1172" s="87"/>
      <c r="BH1172" s="87"/>
      <c r="BI1172" s="87"/>
    </row>
    <row r="1173" spans="1:61" x14ac:dyDescent="0.25">
      <c r="A1173" s="63" t="s">
        <v>626</v>
      </c>
      <c r="B1173" s="63" t="s">
        <v>626</v>
      </c>
      <c r="C1173" s="64"/>
      <c r="D1173" s="65"/>
      <c r="E1173" s="66"/>
      <c r="F1173" s="67"/>
      <c r="G1173" s="64"/>
      <c r="H1173" s="68"/>
      <c r="I1173" s="69"/>
      <c r="J1173" s="69"/>
      <c r="K1173" s="32"/>
      <c r="L1173" s="76">
        <v>1173</v>
      </c>
      <c r="M1173" s="76"/>
      <c r="N1173" s="71"/>
      <c r="O1173" s="87" t="s">
        <v>179</v>
      </c>
      <c r="P1173" s="90">
        <v>45113.034814814811</v>
      </c>
      <c r="Q1173" s="87" t="s">
        <v>2979</v>
      </c>
      <c r="R1173" s="87">
        <v>0</v>
      </c>
      <c r="S1173" s="87">
        <v>1</v>
      </c>
      <c r="T1173" s="87">
        <v>1</v>
      </c>
      <c r="U1173" s="87">
        <v>0</v>
      </c>
      <c r="V1173" s="87">
        <v>121</v>
      </c>
      <c r="W1173" s="93" t="s">
        <v>6682</v>
      </c>
      <c r="X1173" s="87"/>
      <c r="Y1173" s="87"/>
      <c r="Z1173" s="87"/>
      <c r="AA1173" s="87" t="s">
        <v>9343</v>
      </c>
      <c r="AB1173" s="87" t="s">
        <v>11448</v>
      </c>
      <c r="AC1173" s="93" t="s">
        <v>11457</v>
      </c>
      <c r="AD1173" s="87" t="s">
        <v>11519</v>
      </c>
      <c r="AE1173" s="92" t="str">
        <f>HYPERLINK("https://twitter.com/morgado996/status/1676755375775727617")</f>
        <v>https://twitter.com/morgado996/status/1676755375775727617</v>
      </c>
      <c r="AF1173" s="90">
        <v>45113.034814814811</v>
      </c>
      <c r="AG1173" s="99">
        <v>45113</v>
      </c>
      <c r="AH1173" s="93" t="s">
        <v>12614</v>
      </c>
      <c r="AI1173" s="87" t="b">
        <v>0</v>
      </c>
      <c r="AJ1173" s="87"/>
      <c r="AK1173" s="87"/>
      <c r="AL1173" s="87"/>
      <c r="AM1173" s="87"/>
      <c r="AN1173" s="87"/>
      <c r="AO1173" s="87"/>
      <c r="AP1173" s="87"/>
      <c r="AQ1173" s="87" t="s">
        <v>16156</v>
      </c>
      <c r="AR1173" s="87"/>
      <c r="AS1173" s="87"/>
      <c r="AT1173" s="87"/>
      <c r="AU1173" s="87"/>
      <c r="AV1173" s="92" t="str">
        <f>HYPERLINK("https://pbs.twimg.com/media/F0UHuWHWAAEhuk-.jpg")</f>
        <v>https://pbs.twimg.com/media/F0UHuWHWAAEhuk-.jpg</v>
      </c>
      <c r="AW1173" s="93" t="s">
        <v>19409</v>
      </c>
      <c r="AX1173" s="93" t="s">
        <v>19409</v>
      </c>
      <c r="AY1173" s="87"/>
      <c r="AZ1173" s="93" t="s">
        <v>22668</v>
      </c>
      <c r="BA1173" s="93" t="s">
        <v>22668</v>
      </c>
      <c r="BB1173" s="93" t="s">
        <v>22668</v>
      </c>
      <c r="BC1173" s="93" t="s">
        <v>19409</v>
      </c>
      <c r="BD1173" s="87">
        <v>126678900</v>
      </c>
      <c r="BE1173" s="87"/>
      <c r="BF1173" s="87"/>
      <c r="BG1173" s="87"/>
      <c r="BH1173" s="87"/>
      <c r="BI1173" s="87"/>
    </row>
    <row r="1174" spans="1:61" x14ac:dyDescent="0.25">
      <c r="A1174" s="63" t="s">
        <v>626</v>
      </c>
      <c r="B1174" s="63" t="s">
        <v>626</v>
      </c>
      <c r="C1174" s="64"/>
      <c r="D1174" s="65"/>
      <c r="E1174" s="66"/>
      <c r="F1174" s="67"/>
      <c r="G1174" s="64"/>
      <c r="H1174" s="68"/>
      <c r="I1174" s="69"/>
      <c r="J1174" s="69"/>
      <c r="K1174" s="32"/>
      <c r="L1174" s="76">
        <v>1174</v>
      </c>
      <c r="M1174" s="76"/>
      <c r="N1174" s="71"/>
      <c r="O1174" s="87" t="s">
        <v>179</v>
      </c>
      <c r="P1174" s="90">
        <v>45113.032453703701</v>
      </c>
      <c r="Q1174" s="87" t="s">
        <v>2980</v>
      </c>
      <c r="R1174" s="87">
        <v>0</v>
      </c>
      <c r="S1174" s="87">
        <v>1</v>
      </c>
      <c r="T1174" s="87">
        <v>1</v>
      </c>
      <c r="U1174" s="87">
        <v>0</v>
      </c>
      <c r="V1174" s="87">
        <v>39</v>
      </c>
      <c r="W1174" s="93" t="s">
        <v>6683</v>
      </c>
      <c r="X1174" s="87"/>
      <c r="Y1174" s="87"/>
      <c r="Z1174" s="87"/>
      <c r="AA1174" s="87" t="s">
        <v>9344</v>
      </c>
      <c r="AB1174" s="87" t="s">
        <v>11448</v>
      </c>
      <c r="AC1174" s="93" t="s">
        <v>11457</v>
      </c>
      <c r="AD1174" s="87" t="s">
        <v>11519</v>
      </c>
      <c r="AE1174" s="92" t="str">
        <f>HYPERLINK("https://twitter.com/morgado996/status/1676754516601978881")</f>
        <v>https://twitter.com/morgado996/status/1676754516601978881</v>
      </c>
      <c r="AF1174" s="90">
        <v>45113.032453703701</v>
      </c>
      <c r="AG1174" s="99">
        <v>45113</v>
      </c>
      <c r="AH1174" s="93" t="s">
        <v>12615</v>
      </c>
      <c r="AI1174" s="87" t="b">
        <v>0</v>
      </c>
      <c r="AJ1174" s="87"/>
      <c r="AK1174" s="87"/>
      <c r="AL1174" s="87"/>
      <c r="AM1174" s="87"/>
      <c r="AN1174" s="87"/>
      <c r="AO1174" s="87"/>
      <c r="AP1174" s="87"/>
      <c r="AQ1174" s="87" t="s">
        <v>16157</v>
      </c>
      <c r="AR1174" s="87"/>
      <c r="AS1174" s="87"/>
      <c r="AT1174" s="87"/>
      <c r="AU1174" s="87"/>
      <c r="AV1174" s="92" t="str">
        <f>HYPERLINK("https://pbs.twimg.com/media/F0UG6UtWIAIpLL3.jpg")</f>
        <v>https://pbs.twimg.com/media/F0UG6UtWIAIpLL3.jpg</v>
      </c>
      <c r="AW1174" s="93" t="s">
        <v>19410</v>
      </c>
      <c r="AX1174" s="93" t="s">
        <v>19410</v>
      </c>
      <c r="AY1174" s="87"/>
      <c r="AZ1174" s="93" t="s">
        <v>22668</v>
      </c>
      <c r="BA1174" s="93" t="s">
        <v>22668</v>
      </c>
      <c r="BB1174" s="93" t="s">
        <v>22668</v>
      </c>
      <c r="BC1174" s="93" t="s">
        <v>19410</v>
      </c>
      <c r="BD1174" s="87">
        <v>126678900</v>
      </c>
      <c r="BE1174" s="87"/>
      <c r="BF1174" s="87"/>
      <c r="BG1174" s="87"/>
      <c r="BH1174" s="87"/>
      <c r="BI1174" s="87"/>
    </row>
    <row r="1175" spans="1:61" x14ac:dyDescent="0.25">
      <c r="A1175" s="63" t="s">
        <v>626</v>
      </c>
      <c r="B1175" s="63" t="s">
        <v>626</v>
      </c>
      <c r="C1175" s="64"/>
      <c r="D1175" s="65"/>
      <c r="E1175" s="66"/>
      <c r="F1175" s="67"/>
      <c r="G1175" s="64"/>
      <c r="H1175" s="68"/>
      <c r="I1175" s="69"/>
      <c r="J1175" s="69"/>
      <c r="K1175" s="32"/>
      <c r="L1175" s="76">
        <v>1175</v>
      </c>
      <c r="M1175" s="76"/>
      <c r="N1175" s="71"/>
      <c r="O1175" s="87" t="s">
        <v>1840</v>
      </c>
      <c r="P1175" s="90">
        <v>45177.027488425927</v>
      </c>
      <c r="Q1175" s="87" t="s">
        <v>2981</v>
      </c>
      <c r="R1175" s="87">
        <v>0</v>
      </c>
      <c r="S1175" s="87">
        <v>1</v>
      </c>
      <c r="T1175" s="87">
        <v>0</v>
      </c>
      <c r="U1175" s="87">
        <v>0</v>
      </c>
      <c r="V1175" s="87">
        <v>7</v>
      </c>
      <c r="W1175" s="93" t="s">
        <v>6684</v>
      </c>
      <c r="X1175" s="87"/>
      <c r="Y1175" s="87"/>
      <c r="Z1175" s="87"/>
      <c r="AA1175" s="87"/>
      <c r="AB1175" s="87"/>
      <c r="AC1175" s="93" t="s">
        <v>11457</v>
      </c>
      <c r="AD1175" s="87" t="s">
        <v>11521</v>
      </c>
      <c r="AE1175" s="92" t="str">
        <f>HYPERLINK("https://twitter.com/morgado996/status/1699945541273076199")</f>
        <v>https://twitter.com/morgado996/status/1699945541273076199</v>
      </c>
      <c r="AF1175" s="90">
        <v>45177.027488425927</v>
      </c>
      <c r="AG1175" s="99">
        <v>45177</v>
      </c>
      <c r="AH1175" s="93" t="s">
        <v>12616</v>
      </c>
      <c r="AI1175" s="87"/>
      <c r="AJ1175" s="87"/>
      <c r="AK1175" s="87"/>
      <c r="AL1175" s="87"/>
      <c r="AM1175" s="87"/>
      <c r="AN1175" s="87"/>
      <c r="AO1175" s="87"/>
      <c r="AP1175" s="87"/>
      <c r="AQ1175" s="87"/>
      <c r="AR1175" s="87"/>
      <c r="AS1175" s="87"/>
      <c r="AT1175" s="87"/>
      <c r="AU1175" s="87"/>
      <c r="AV1175" s="92" t="str">
        <f>HYPERLINK("https://pbs.twimg.com/profile_images/1266928800778072064/PArXTEKO_normal.jpg")</f>
        <v>https://pbs.twimg.com/profile_images/1266928800778072064/PArXTEKO_normal.jpg</v>
      </c>
      <c r="AW1175" s="93" t="s">
        <v>19411</v>
      </c>
      <c r="AX1175" s="93" t="s">
        <v>22355</v>
      </c>
      <c r="AY1175" s="93" t="s">
        <v>22555</v>
      </c>
      <c r="AZ1175" s="93" t="s">
        <v>22355</v>
      </c>
      <c r="BA1175" s="93" t="s">
        <v>22668</v>
      </c>
      <c r="BB1175" s="93" t="s">
        <v>22668</v>
      </c>
      <c r="BC1175" s="93" t="s">
        <v>22355</v>
      </c>
      <c r="BD1175" s="87">
        <v>126678900</v>
      </c>
      <c r="BE1175" s="87"/>
      <c r="BF1175" s="87"/>
      <c r="BG1175" s="87"/>
      <c r="BH1175" s="87"/>
      <c r="BI1175" s="87"/>
    </row>
    <row r="1176" spans="1:61" x14ac:dyDescent="0.25">
      <c r="A1176" s="63" t="s">
        <v>626</v>
      </c>
      <c r="B1176" s="63" t="s">
        <v>626</v>
      </c>
      <c r="C1176" s="64"/>
      <c r="D1176" s="65"/>
      <c r="E1176" s="66"/>
      <c r="F1176" s="67"/>
      <c r="G1176" s="64"/>
      <c r="H1176" s="68"/>
      <c r="I1176" s="69"/>
      <c r="J1176" s="69"/>
      <c r="K1176" s="32"/>
      <c r="L1176" s="76">
        <v>1176</v>
      </c>
      <c r="M1176" s="76"/>
      <c r="N1176" s="71"/>
      <c r="O1176" s="87" t="s">
        <v>179</v>
      </c>
      <c r="P1176" s="90">
        <v>45178.819884259261</v>
      </c>
      <c r="Q1176" s="87" t="s">
        <v>2982</v>
      </c>
      <c r="R1176" s="87">
        <v>0</v>
      </c>
      <c r="S1176" s="87">
        <v>1</v>
      </c>
      <c r="T1176" s="87">
        <v>1</v>
      </c>
      <c r="U1176" s="87">
        <v>0</v>
      </c>
      <c r="V1176" s="87">
        <v>13</v>
      </c>
      <c r="W1176" s="93" t="s">
        <v>6685</v>
      </c>
      <c r="X1176" s="87"/>
      <c r="Y1176" s="87"/>
      <c r="Z1176" s="87"/>
      <c r="AA1176" s="87" t="s">
        <v>9345</v>
      </c>
      <c r="AB1176" s="87" t="s">
        <v>11448</v>
      </c>
      <c r="AC1176" s="93" t="s">
        <v>11457</v>
      </c>
      <c r="AD1176" s="87" t="s">
        <v>11519</v>
      </c>
      <c r="AE1176" s="92" t="str">
        <f>HYPERLINK("https://twitter.com/morgado996/status/1700595086042464703")</f>
        <v>https://twitter.com/morgado996/status/1700595086042464703</v>
      </c>
      <c r="AF1176" s="90">
        <v>45178.819884259261</v>
      </c>
      <c r="AG1176" s="99">
        <v>45178</v>
      </c>
      <c r="AH1176" s="93" t="s">
        <v>12617</v>
      </c>
      <c r="AI1176" s="87" t="b">
        <v>0</v>
      </c>
      <c r="AJ1176" s="87"/>
      <c r="AK1176" s="87"/>
      <c r="AL1176" s="87"/>
      <c r="AM1176" s="87"/>
      <c r="AN1176" s="87"/>
      <c r="AO1176" s="87"/>
      <c r="AP1176" s="87"/>
      <c r="AQ1176" s="87" t="s">
        <v>16158</v>
      </c>
      <c r="AR1176" s="87"/>
      <c r="AS1176" s="87"/>
      <c r="AT1176" s="87"/>
      <c r="AU1176" s="87"/>
      <c r="AV1176" s="92" t="str">
        <f>HYPERLINK("https://pbs.twimg.com/media/F5m6HZ0WIAA7DGO.jpg")</f>
        <v>https://pbs.twimg.com/media/F5m6HZ0WIAA7DGO.jpg</v>
      </c>
      <c r="AW1176" s="93" t="s">
        <v>19412</v>
      </c>
      <c r="AX1176" s="93" t="s">
        <v>19412</v>
      </c>
      <c r="AY1176" s="87"/>
      <c r="AZ1176" s="93" t="s">
        <v>22668</v>
      </c>
      <c r="BA1176" s="93" t="s">
        <v>22668</v>
      </c>
      <c r="BB1176" s="93" t="s">
        <v>22668</v>
      </c>
      <c r="BC1176" s="93" t="s">
        <v>19412</v>
      </c>
      <c r="BD1176" s="87">
        <v>126678900</v>
      </c>
      <c r="BE1176" s="87"/>
      <c r="BF1176" s="87"/>
      <c r="BG1176" s="87"/>
      <c r="BH1176" s="87"/>
      <c r="BI1176" s="87"/>
    </row>
    <row r="1177" spans="1:61" x14ac:dyDescent="0.25">
      <c r="A1177" s="63" t="s">
        <v>627</v>
      </c>
      <c r="B1177" s="63" t="s">
        <v>627</v>
      </c>
      <c r="C1177" s="64"/>
      <c r="D1177" s="65"/>
      <c r="E1177" s="66"/>
      <c r="F1177" s="67"/>
      <c r="G1177" s="64"/>
      <c r="H1177" s="68"/>
      <c r="I1177" s="69"/>
      <c r="J1177" s="69"/>
      <c r="K1177" s="32"/>
      <c r="L1177" s="76">
        <v>1177</v>
      </c>
      <c r="M1177" s="76"/>
      <c r="N1177" s="71"/>
      <c r="O1177" s="87" t="s">
        <v>179</v>
      </c>
      <c r="P1177" s="90">
        <v>45114.479803240742</v>
      </c>
      <c r="Q1177" s="87" t="s">
        <v>2983</v>
      </c>
      <c r="R1177" s="87">
        <v>0</v>
      </c>
      <c r="S1177" s="87">
        <v>0</v>
      </c>
      <c r="T1177" s="87">
        <v>0</v>
      </c>
      <c r="U1177" s="87">
        <v>0</v>
      </c>
      <c r="V1177" s="87">
        <v>9</v>
      </c>
      <c r="W1177" s="93" t="s">
        <v>6686</v>
      </c>
      <c r="X1177" s="87"/>
      <c r="Y1177" s="87"/>
      <c r="Z1177" s="87"/>
      <c r="AA1177" s="87" t="s">
        <v>9346</v>
      </c>
      <c r="AB1177" s="87" t="s">
        <v>11447</v>
      </c>
      <c r="AC1177" s="93" t="s">
        <v>11460</v>
      </c>
      <c r="AD1177" s="87" t="s">
        <v>11519</v>
      </c>
      <c r="AE1177" s="92" t="str">
        <f>HYPERLINK("https://twitter.com/edbrindes/status/1677279019509710848")</f>
        <v>https://twitter.com/edbrindes/status/1677279019509710848</v>
      </c>
      <c r="AF1177" s="90">
        <v>45114.479803240742</v>
      </c>
      <c r="AG1177" s="99">
        <v>45114</v>
      </c>
      <c r="AH1177" s="93" t="s">
        <v>12618</v>
      </c>
      <c r="AI1177" s="87" t="b">
        <v>0</v>
      </c>
      <c r="AJ1177" s="87"/>
      <c r="AK1177" s="87"/>
      <c r="AL1177" s="87"/>
      <c r="AM1177" s="87"/>
      <c r="AN1177" s="87"/>
      <c r="AO1177" s="87"/>
      <c r="AP1177" s="87"/>
      <c r="AQ1177" s="87" t="s">
        <v>16159</v>
      </c>
      <c r="AR1177" s="87">
        <v>31698</v>
      </c>
      <c r="AS1177" s="87"/>
      <c r="AT1177" s="87"/>
      <c r="AU1177" s="87"/>
      <c r="AV1177" s="92" t="str">
        <f>HYPERLINK("https://pbs.twimg.com/ext_tw_video_thumb/1677278937280331781/pu/img/riopQZ9gkl3YmV2w.jpg")</f>
        <v>https://pbs.twimg.com/ext_tw_video_thumb/1677278937280331781/pu/img/riopQZ9gkl3YmV2w.jpg</v>
      </c>
      <c r="AW1177" s="93" t="s">
        <v>19413</v>
      </c>
      <c r="AX1177" s="93" t="s">
        <v>19413</v>
      </c>
      <c r="AY1177" s="87"/>
      <c r="AZ1177" s="93" t="s">
        <v>22668</v>
      </c>
      <c r="BA1177" s="93" t="s">
        <v>22668</v>
      </c>
      <c r="BB1177" s="93" t="s">
        <v>22668</v>
      </c>
      <c r="BC1177" s="93" t="s">
        <v>19413</v>
      </c>
      <c r="BD1177" s="93" t="s">
        <v>23024</v>
      </c>
      <c r="BE1177" s="87"/>
      <c r="BF1177" s="87"/>
      <c r="BG1177" s="87"/>
      <c r="BH1177" s="87"/>
      <c r="BI1177" s="87"/>
    </row>
    <row r="1178" spans="1:61" x14ac:dyDescent="0.25">
      <c r="A1178" s="63" t="s">
        <v>627</v>
      </c>
      <c r="B1178" s="63" t="s">
        <v>627</v>
      </c>
      <c r="C1178" s="64"/>
      <c r="D1178" s="65"/>
      <c r="E1178" s="66"/>
      <c r="F1178" s="67"/>
      <c r="G1178" s="64"/>
      <c r="H1178" s="68"/>
      <c r="I1178" s="69"/>
      <c r="J1178" s="69"/>
      <c r="K1178" s="32"/>
      <c r="L1178" s="76">
        <v>1178</v>
      </c>
      <c r="M1178" s="76"/>
      <c r="N1178" s="71"/>
      <c r="O1178" s="87" t="s">
        <v>179</v>
      </c>
      <c r="P1178" s="90">
        <v>45117.535138888888</v>
      </c>
      <c r="Q1178" s="87" t="s">
        <v>2984</v>
      </c>
      <c r="R1178" s="87">
        <v>0</v>
      </c>
      <c r="S1178" s="87">
        <v>0</v>
      </c>
      <c r="T1178" s="87">
        <v>0</v>
      </c>
      <c r="U1178" s="87">
        <v>0</v>
      </c>
      <c r="V1178" s="87">
        <v>37</v>
      </c>
      <c r="W1178" s="93" t="s">
        <v>6687</v>
      </c>
      <c r="X1178" s="87"/>
      <c r="Y1178" s="87"/>
      <c r="Z1178" s="87"/>
      <c r="AA1178" s="87" t="s">
        <v>9347</v>
      </c>
      <c r="AB1178" s="87" t="s">
        <v>11447</v>
      </c>
      <c r="AC1178" s="93" t="s">
        <v>11460</v>
      </c>
      <c r="AD1178" s="87" t="s">
        <v>11519</v>
      </c>
      <c r="AE1178" s="92" t="str">
        <f>HYPERLINK("https://twitter.com/edbrindes/status/1678386237114130433")</f>
        <v>https://twitter.com/edbrindes/status/1678386237114130433</v>
      </c>
      <c r="AF1178" s="90">
        <v>45117.535138888888</v>
      </c>
      <c r="AG1178" s="99">
        <v>45117</v>
      </c>
      <c r="AH1178" s="93" t="s">
        <v>12619</v>
      </c>
      <c r="AI1178" s="87" t="b">
        <v>0</v>
      </c>
      <c r="AJ1178" s="87"/>
      <c r="AK1178" s="87"/>
      <c r="AL1178" s="87"/>
      <c r="AM1178" s="87"/>
      <c r="AN1178" s="87"/>
      <c r="AO1178" s="87"/>
      <c r="AP1178" s="87"/>
      <c r="AQ1178" s="87" t="s">
        <v>16160</v>
      </c>
      <c r="AR1178" s="87">
        <v>17917</v>
      </c>
      <c r="AS1178" s="87"/>
      <c r="AT1178" s="87"/>
      <c r="AU1178" s="87"/>
      <c r="AV1178" s="92" t="str">
        <f>HYPERLINK("https://pbs.twimg.com/ext_tw_video_thumb/1678386179408789506/pu/img/3GF6qCHc-JwuBhcc.jpg")</f>
        <v>https://pbs.twimg.com/ext_tw_video_thumb/1678386179408789506/pu/img/3GF6qCHc-JwuBhcc.jpg</v>
      </c>
      <c r="AW1178" s="93" t="s">
        <v>19414</v>
      </c>
      <c r="AX1178" s="93" t="s">
        <v>19414</v>
      </c>
      <c r="AY1178" s="87"/>
      <c r="AZ1178" s="93" t="s">
        <v>22668</v>
      </c>
      <c r="BA1178" s="93" t="s">
        <v>22668</v>
      </c>
      <c r="BB1178" s="93" t="s">
        <v>22668</v>
      </c>
      <c r="BC1178" s="93" t="s">
        <v>19414</v>
      </c>
      <c r="BD1178" s="93" t="s">
        <v>23024</v>
      </c>
      <c r="BE1178" s="87"/>
      <c r="BF1178" s="87"/>
      <c r="BG1178" s="87"/>
      <c r="BH1178" s="87"/>
      <c r="BI1178" s="87"/>
    </row>
    <row r="1179" spans="1:61" x14ac:dyDescent="0.25">
      <c r="A1179" s="63" t="s">
        <v>627</v>
      </c>
      <c r="B1179" s="63" t="s">
        <v>627</v>
      </c>
      <c r="C1179" s="64"/>
      <c r="D1179" s="65"/>
      <c r="E1179" s="66"/>
      <c r="F1179" s="67"/>
      <c r="G1179" s="64"/>
      <c r="H1179" s="68"/>
      <c r="I1179" s="69"/>
      <c r="J1179" s="69"/>
      <c r="K1179" s="32"/>
      <c r="L1179" s="76">
        <v>1179</v>
      </c>
      <c r="M1179" s="76"/>
      <c r="N1179" s="71"/>
      <c r="O1179" s="87" t="s">
        <v>179</v>
      </c>
      <c r="P1179" s="90">
        <v>45122.590439814812</v>
      </c>
      <c r="Q1179" s="87" t="s">
        <v>2985</v>
      </c>
      <c r="R1179" s="87">
        <v>0</v>
      </c>
      <c r="S1179" s="87">
        <v>0</v>
      </c>
      <c r="T1179" s="87">
        <v>0</v>
      </c>
      <c r="U1179" s="87">
        <v>0</v>
      </c>
      <c r="V1179" s="87">
        <v>12</v>
      </c>
      <c r="W1179" s="93" t="s">
        <v>6688</v>
      </c>
      <c r="X1179" s="87"/>
      <c r="Y1179" s="87"/>
      <c r="Z1179" s="87"/>
      <c r="AA1179" s="87" t="s">
        <v>9348</v>
      </c>
      <c r="AB1179" s="87" t="s">
        <v>11447</v>
      </c>
      <c r="AC1179" s="93" t="s">
        <v>11460</v>
      </c>
      <c r="AD1179" s="87" t="s">
        <v>11519</v>
      </c>
      <c r="AE1179" s="92" t="str">
        <f>HYPERLINK("https://twitter.com/edbrindes/status/1680218218923794434")</f>
        <v>https://twitter.com/edbrindes/status/1680218218923794434</v>
      </c>
      <c r="AF1179" s="90">
        <v>45122.590439814812</v>
      </c>
      <c r="AG1179" s="99">
        <v>45122</v>
      </c>
      <c r="AH1179" s="93" t="s">
        <v>12620</v>
      </c>
      <c r="AI1179" s="87" t="b">
        <v>0</v>
      </c>
      <c r="AJ1179" s="87"/>
      <c r="AK1179" s="87"/>
      <c r="AL1179" s="87"/>
      <c r="AM1179" s="87"/>
      <c r="AN1179" s="87"/>
      <c r="AO1179" s="87"/>
      <c r="AP1179" s="87"/>
      <c r="AQ1179" s="87" t="s">
        <v>16161</v>
      </c>
      <c r="AR1179" s="87">
        <v>35805</v>
      </c>
      <c r="AS1179" s="87"/>
      <c r="AT1179" s="87"/>
      <c r="AU1179" s="87"/>
      <c r="AV1179" s="92" t="str">
        <f>HYPERLINK("https://pbs.twimg.com/ext_tw_video_thumb/1680218192642179072/pu/img/pihJe2sPE_NkL26_.jpg")</f>
        <v>https://pbs.twimg.com/ext_tw_video_thumb/1680218192642179072/pu/img/pihJe2sPE_NkL26_.jpg</v>
      </c>
      <c r="AW1179" s="93" t="s">
        <v>19415</v>
      </c>
      <c r="AX1179" s="93" t="s">
        <v>19415</v>
      </c>
      <c r="AY1179" s="87"/>
      <c r="AZ1179" s="93" t="s">
        <v>22668</v>
      </c>
      <c r="BA1179" s="93" t="s">
        <v>22668</v>
      </c>
      <c r="BB1179" s="93" t="s">
        <v>22668</v>
      </c>
      <c r="BC1179" s="93" t="s">
        <v>19415</v>
      </c>
      <c r="BD1179" s="93" t="s">
        <v>23024</v>
      </c>
      <c r="BE1179" s="87"/>
      <c r="BF1179" s="87"/>
      <c r="BG1179" s="87"/>
      <c r="BH1179" s="87"/>
      <c r="BI1179" s="87"/>
    </row>
    <row r="1180" spans="1:61" x14ac:dyDescent="0.25">
      <c r="A1180" s="63" t="s">
        <v>628</v>
      </c>
      <c r="B1180" s="63" t="s">
        <v>628</v>
      </c>
      <c r="C1180" s="64"/>
      <c r="D1180" s="65"/>
      <c r="E1180" s="66"/>
      <c r="F1180" s="67"/>
      <c r="G1180" s="64"/>
      <c r="H1180" s="68"/>
      <c r="I1180" s="69"/>
      <c r="J1180" s="69"/>
      <c r="K1180" s="32"/>
      <c r="L1180" s="76">
        <v>1180</v>
      </c>
      <c r="M1180" s="76"/>
      <c r="N1180" s="71"/>
      <c r="O1180" s="87" t="s">
        <v>179</v>
      </c>
      <c r="P1180" s="90">
        <v>45110.720358796294</v>
      </c>
      <c r="Q1180" s="87" t="s">
        <v>2986</v>
      </c>
      <c r="R1180" s="87">
        <v>0</v>
      </c>
      <c r="S1180" s="87">
        <v>0</v>
      </c>
      <c r="T1180" s="87">
        <v>0</v>
      </c>
      <c r="U1180" s="87">
        <v>0</v>
      </c>
      <c r="V1180" s="87">
        <v>7</v>
      </c>
      <c r="W1180" s="93" t="s">
        <v>6689</v>
      </c>
      <c r="X1180" s="92" t="str">
        <f>HYPERLINK("https://www.instagram.com/p/CuPjiBUOUO3/")</f>
        <v>https://www.instagram.com/p/CuPjiBUOUO3/</v>
      </c>
      <c r="Y1180" s="87" t="s">
        <v>8383</v>
      </c>
      <c r="Z1180" s="87"/>
      <c r="AA1180" s="87" t="s">
        <v>9349</v>
      </c>
      <c r="AB1180" s="87" t="s">
        <v>11448</v>
      </c>
      <c r="AC1180" s="93" t="s">
        <v>11457</v>
      </c>
      <c r="AD1180" s="87" t="s">
        <v>11519</v>
      </c>
      <c r="AE1180" s="92" t="str">
        <f>HYPERLINK("https://twitter.com/gopage_/status/1675916644458045461")</f>
        <v>https://twitter.com/gopage_/status/1675916644458045461</v>
      </c>
      <c r="AF1180" s="90">
        <v>45110.720358796294</v>
      </c>
      <c r="AG1180" s="99">
        <v>45110</v>
      </c>
      <c r="AH1180" s="93" t="s">
        <v>12621</v>
      </c>
      <c r="AI1180" s="87" t="b">
        <v>0</v>
      </c>
      <c r="AJ1180" s="87"/>
      <c r="AK1180" s="87"/>
      <c r="AL1180" s="87"/>
      <c r="AM1180" s="87"/>
      <c r="AN1180" s="87"/>
      <c r="AO1180" s="87"/>
      <c r="AP1180" s="87"/>
      <c r="AQ1180" s="87" t="s">
        <v>16162</v>
      </c>
      <c r="AR1180" s="87"/>
      <c r="AS1180" s="87"/>
      <c r="AT1180" s="87"/>
      <c r="AU1180" s="87"/>
      <c r="AV1180" s="92" t="str">
        <f>HYPERLINK("https://pbs.twimg.com/media/F0INTcMWIBEi4ZF.jpg")</f>
        <v>https://pbs.twimg.com/media/F0INTcMWIBEi4ZF.jpg</v>
      </c>
      <c r="AW1180" s="93" t="s">
        <v>19416</v>
      </c>
      <c r="AX1180" s="93" t="s">
        <v>19416</v>
      </c>
      <c r="AY1180" s="87"/>
      <c r="AZ1180" s="93" t="s">
        <v>22668</v>
      </c>
      <c r="BA1180" s="93" t="s">
        <v>22668</v>
      </c>
      <c r="BB1180" s="93" t="s">
        <v>22668</v>
      </c>
      <c r="BC1180" s="93" t="s">
        <v>19416</v>
      </c>
      <c r="BD1180" s="93" t="s">
        <v>23025</v>
      </c>
      <c r="BE1180" s="87"/>
      <c r="BF1180" s="87"/>
      <c r="BG1180" s="87"/>
      <c r="BH1180" s="87"/>
      <c r="BI1180" s="87"/>
    </row>
    <row r="1181" spans="1:61" x14ac:dyDescent="0.25">
      <c r="A1181" s="63" t="s">
        <v>628</v>
      </c>
      <c r="B1181" s="63" t="s">
        <v>628</v>
      </c>
      <c r="C1181" s="64"/>
      <c r="D1181" s="65"/>
      <c r="E1181" s="66"/>
      <c r="F1181" s="67"/>
      <c r="G1181" s="64"/>
      <c r="H1181" s="68"/>
      <c r="I1181" s="69"/>
      <c r="J1181" s="69"/>
      <c r="K1181" s="32"/>
      <c r="L1181" s="76">
        <v>1181</v>
      </c>
      <c r="M1181" s="76"/>
      <c r="N1181" s="71"/>
      <c r="O1181" s="87" t="s">
        <v>179</v>
      </c>
      <c r="P1181" s="90">
        <v>45112.594756944447</v>
      </c>
      <c r="Q1181" s="87" t="s">
        <v>2987</v>
      </c>
      <c r="R1181" s="87">
        <v>0</v>
      </c>
      <c r="S1181" s="87">
        <v>1</v>
      </c>
      <c r="T1181" s="87">
        <v>0</v>
      </c>
      <c r="U1181" s="87">
        <v>0</v>
      </c>
      <c r="V1181" s="87">
        <v>10</v>
      </c>
      <c r="W1181" s="93" t="s">
        <v>6690</v>
      </c>
      <c r="X1181" s="92" t="str">
        <f>HYPERLINK("https://www.instagram.com/p/CuUXVQ8rRQ2/")</f>
        <v>https://www.instagram.com/p/CuUXVQ8rRQ2/</v>
      </c>
      <c r="Y1181" s="87" t="s">
        <v>8383</v>
      </c>
      <c r="Z1181" s="87"/>
      <c r="AA1181" s="87"/>
      <c r="AB1181" s="87"/>
      <c r="AC1181" s="93" t="s">
        <v>11457</v>
      </c>
      <c r="AD1181" s="87" t="s">
        <v>11519</v>
      </c>
      <c r="AE1181" s="92" t="str">
        <f>HYPERLINK("https://twitter.com/gopage_/status/1676595901421289478")</f>
        <v>https://twitter.com/gopage_/status/1676595901421289478</v>
      </c>
      <c r="AF1181" s="90">
        <v>45112.594756944447</v>
      </c>
      <c r="AG1181" s="99">
        <v>45112</v>
      </c>
      <c r="AH1181" s="93" t="s">
        <v>12622</v>
      </c>
      <c r="AI1181" s="87" t="b">
        <v>0</v>
      </c>
      <c r="AJ1181" s="87"/>
      <c r="AK1181" s="87"/>
      <c r="AL1181" s="87"/>
      <c r="AM1181" s="87"/>
      <c r="AN1181" s="87"/>
      <c r="AO1181" s="87"/>
      <c r="AP1181" s="87"/>
      <c r="AQ1181" s="87"/>
      <c r="AR1181" s="87"/>
      <c r="AS1181" s="87"/>
      <c r="AT1181" s="87"/>
      <c r="AU1181" s="87"/>
      <c r="AV1181" s="92" t="str">
        <f>HYPERLINK("https://pbs.twimg.com/profile_images/1602714453669191683/pCUMvW2r_normal.jpg")</f>
        <v>https://pbs.twimg.com/profile_images/1602714453669191683/pCUMvW2r_normal.jpg</v>
      </c>
      <c r="AW1181" s="93" t="s">
        <v>19417</v>
      </c>
      <c r="AX1181" s="93" t="s">
        <v>19417</v>
      </c>
      <c r="AY1181" s="87"/>
      <c r="AZ1181" s="93" t="s">
        <v>22668</v>
      </c>
      <c r="BA1181" s="93" t="s">
        <v>22668</v>
      </c>
      <c r="BB1181" s="93" t="s">
        <v>22668</v>
      </c>
      <c r="BC1181" s="93" t="s">
        <v>19417</v>
      </c>
      <c r="BD1181" s="93" t="s">
        <v>23025</v>
      </c>
      <c r="BE1181" s="87"/>
      <c r="BF1181" s="87"/>
      <c r="BG1181" s="87"/>
      <c r="BH1181" s="87"/>
      <c r="BI1181" s="87"/>
    </row>
    <row r="1182" spans="1:61" x14ac:dyDescent="0.25">
      <c r="A1182" s="63" t="s">
        <v>629</v>
      </c>
      <c r="B1182" s="63" t="s">
        <v>629</v>
      </c>
      <c r="C1182" s="64"/>
      <c r="D1182" s="65"/>
      <c r="E1182" s="66"/>
      <c r="F1182" s="67"/>
      <c r="G1182" s="64"/>
      <c r="H1182" s="68"/>
      <c r="I1182" s="69"/>
      <c r="J1182" s="69"/>
      <c r="K1182" s="32"/>
      <c r="L1182" s="76">
        <v>1182</v>
      </c>
      <c r="M1182" s="76"/>
      <c r="N1182" s="71"/>
      <c r="O1182" s="87" t="s">
        <v>179</v>
      </c>
      <c r="P1182" s="90">
        <v>45142.660011574073</v>
      </c>
      <c r="Q1182" s="87" t="s">
        <v>2988</v>
      </c>
      <c r="R1182" s="87">
        <v>0</v>
      </c>
      <c r="S1182" s="87">
        <v>1</v>
      </c>
      <c r="T1182" s="87">
        <v>0</v>
      </c>
      <c r="U1182" s="87">
        <v>0</v>
      </c>
      <c r="V1182" s="87">
        <v>6</v>
      </c>
      <c r="W1182" s="93" t="s">
        <v>6691</v>
      </c>
      <c r="X1182" s="87"/>
      <c r="Y1182" s="87"/>
      <c r="Z1182" s="87"/>
      <c r="AA1182" s="87" t="s">
        <v>9350</v>
      </c>
      <c r="AB1182" s="87" t="s">
        <v>11448</v>
      </c>
      <c r="AC1182" s="93" t="s">
        <v>11457</v>
      </c>
      <c r="AD1182" s="87" t="s">
        <v>11519</v>
      </c>
      <c r="AE1182" s="92" t="str">
        <f>HYPERLINK("https://twitter.com/redepiubr/status/1687491187265900544")</f>
        <v>https://twitter.com/redepiubr/status/1687491187265900544</v>
      </c>
      <c r="AF1182" s="90">
        <v>45142.660011574073</v>
      </c>
      <c r="AG1182" s="99">
        <v>45142</v>
      </c>
      <c r="AH1182" s="93" t="s">
        <v>12623</v>
      </c>
      <c r="AI1182" s="87" t="b">
        <v>0</v>
      </c>
      <c r="AJ1182" s="87"/>
      <c r="AK1182" s="87"/>
      <c r="AL1182" s="87"/>
      <c r="AM1182" s="87"/>
      <c r="AN1182" s="87"/>
      <c r="AO1182" s="87"/>
      <c r="AP1182" s="87"/>
      <c r="AQ1182" s="87" t="s">
        <v>16163</v>
      </c>
      <c r="AR1182" s="87"/>
      <c r="AS1182" s="87"/>
      <c r="AT1182" s="87"/>
      <c r="AU1182" s="87"/>
      <c r="AV1182" s="92" t="str">
        <f>HYPERLINK("https://pbs.twimg.com/media/F2ssSb4WIAALm_R.jpg")</f>
        <v>https://pbs.twimg.com/media/F2ssSb4WIAALm_R.jpg</v>
      </c>
      <c r="AW1182" s="93" t="s">
        <v>19418</v>
      </c>
      <c r="AX1182" s="93" t="s">
        <v>19418</v>
      </c>
      <c r="AY1182" s="87"/>
      <c r="AZ1182" s="93" t="s">
        <v>22668</v>
      </c>
      <c r="BA1182" s="93" t="s">
        <v>22668</v>
      </c>
      <c r="BB1182" s="93" t="s">
        <v>22668</v>
      </c>
      <c r="BC1182" s="93" t="s">
        <v>19418</v>
      </c>
      <c r="BD1182" s="93" t="s">
        <v>23026</v>
      </c>
      <c r="BE1182" s="87"/>
      <c r="BF1182" s="87"/>
      <c r="BG1182" s="87"/>
      <c r="BH1182" s="87"/>
      <c r="BI1182" s="87"/>
    </row>
    <row r="1183" spans="1:61" x14ac:dyDescent="0.25">
      <c r="A1183" s="63" t="s">
        <v>630</v>
      </c>
      <c r="B1183" s="63" t="s">
        <v>1675</v>
      </c>
      <c r="C1183" s="64"/>
      <c r="D1183" s="65"/>
      <c r="E1183" s="66"/>
      <c r="F1183" s="67"/>
      <c r="G1183" s="64"/>
      <c r="H1183" s="68"/>
      <c r="I1183" s="69"/>
      <c r="J1183" s="69"/>
      <c r="K1183" s="32"/>
      <c r="L1183" s="76">
        <v>1183</v>
      </c>
      <c r="M1183" s="76"/>
      <c r="N1183" s="71"/>
      <c r="O1183" s="87" t="s">
        <v>1839</v>
      </c>
      <c r="P1183" s="90">
        <v>45126.680925925924</v>
      </c>
      <c r="Q1183" s="87" t="s">
        <v>2989</v>
      </c>
      <c r="R1183" s="87">
        <v>1</v>
      </c>
      <c r="S1183" s="87">
        <v>1</v>
      </c>
      <c r="T1183" s="87">
        <v>1</v>
      </c>
      <c r="U1183" s="87">
        <v>0</v>
      </c>
      <c r="V1183" s="87">
        <v>18</v>
      </c>
      <c r="W1183" s="93" t="s">
        <v>6692</v>
      </c>
      <c r="X1183" s="92" t="str">
        <f>HYPERLINK("https://www.forbespt.com/diogo-e-tiago-retalho-e-ecommerce-nesta-fase-mais-vale-pedir-desculpa-do-que-pedir-autorizacao/")</f>
        <v>https://www.forbespt.com/diogo-e-tiago-retalho-e-ecommerce-nesta-fase-mais-vale-pedir-desculpa-do-que-pedir-autorizacao/</v>
      </c>
      <c r="Y1183" s="87" t="s">
        <v>8441</v>
      </c>
      <c r="Z1183" s="87" t="s">
        <v>1675</v>
      </c>
      <c r="AA1183" s="87"/>
      <c r="AB1183" s="87"/>
      <c r="AC1183" s="93" t="s">
        <v>11458</v>
      </c>
      <c r="AD1183" s="87" t="s">
        <v>11519</v>
      </c>
      <c r="AE1183" s="92" t="str">
        <f>HYPERLINK("https://twitter.com/hiperretail/status/1681700559307325441")</f>
        <v>https://twitter.com/hiperretail/status/1681700559307325441</v>
      </c>
      <c r="AF1183" s="90">
        <v>45126.680925925924</v>
      </c>
      <c r="AG1183" s="99">
        <v>45126</v>
      </c>
      <c r="AH1183" s="93" t="s">
        <v>12624</v>
      </c>
      <c r="AI1183" s="87" t="b">
        <v>0</v>
      </c>
      <c r="AJ1183" s="87"/>
      <c r="AK1183" s="87"/>
      <c r="AL1183" s="87"/>
      <c r="AM1183" s="87"/>
      <c r="AN1183" s="87"/>
      <c r="AO1183" s="87"/>
      <c r="AP1183" s="87"/>
      <c r="AQ1183" s="87"/>
      <c r="AR1183" s="87"/>
      <c r="AS1183" s="87"/>
      <c r="AT1183" s="87"/>
      <c r="AU1183" s="87"/>
      <c r="AV1183" s="92" t="str">
        <f>HYPERLINK("https://pbs.twimg.com/profile_images/1603811987070353408/Dd1crDT9_normal.jpg")</f>
        <v>https://pbs.twimg.com/profile_images/1603811987070353408/Dd1crDT9_normal.jpg</v>
      </c>
      <c r="AW1183" s="93" t="s">
        <v>19419</v>
      </c>
      <c r="AX1183" s="93" t="s">
        <v>19419</v>
      </c>
      <c r="AY1183" s="87"/>
      <c r="AZ1183" s="93" t="s">
        <v>22668</v>
      </c>
      <c r="BA1183" s="93" t="s">
        <v>22668</v>
      </c>
      <c r="BB1183" s="93" t="s">
        <v>22668</v>
      </c>
      <c r="BC1183" s="93" t="s">
        <v>19419</v>
      </c>
      <c r="BD1183" s="93" t="s">
        <v>23027</v>
      </c>
      <c r="BE1183" s="87"/>
      <c r="BF1183" s="87"/>
      <c r="BG1183" s="87"/>
      <c r="BH1183" s="87"/>
      <c r="BI1183" s="87"/>
    </row>
    <row r="1184" spans="1:61" x14ac:dyDescent="0.25">
      <c r="A1184" s="63" t="s">
        <v>630</v>
      </c>
      <c r="B1184" s="63" t="s">
        <v>630</v>
      </c>
      <c r="C1184" s="64"/>
      <c r="D1184" s="65"/>
      <c r="E1184" s="66"/>
      <c r="F1184" s="67"/>
      <c r="G1184" s="64"/>
      <c r="H1184" s="68"/>
      <c r="I1184" s="69"/>
      <c r="J1184" s="69"/>
      <c r="K1184" s="32"/>
      <c r="L1184" s="76">
        <v>1184</v>
      </c>
      <c r="M1184" s="76"/>
      <c r="N1184" s="71"/>
      <c r="O1184" s="87" t="s">
        <v>179</v>
      </c>
      <c r="P1184" s="90">
        <v>45118.51730324074</v>
      </c>
      <c r="Q1184" s="87" t="s">
        <v>2990</v>
      </c>
      <c r="R1184" s="87">
        <v>1</v>
      </c>
      <c r="S1184" s="87">
        <v>3</v>
      </c>
      <c r="T1184" s="87">
        <v>0</v>
      </c>
      <c r="U1184" s="87">
        <v>0</v>
      </c>
      <c r="V1184" s="87">
        <v>27</v>
      </c>
      <c r="W1184" s="93" t="s">
        <v>6693</v>
      </c>
      <c r="X1184" s="87"/>
      <c r="Y1184" s="87"/>
      <c r="Z1184" s="87"/>
      <c r="AA1184" s="87" t="s">
        <v>9351</v>
      </c>
      <c r="AB1184" s="87" t="s">
        <v>11447</v>
      </c>
      <c r="AC1184" s="93" t="s">
        <v>11458</v>
      </c>
      <c r="AD1184" s="87" t="s">
        <v>11519</v>
      </c>
      <c r="AE1184" s="92" t="str">
        <f>HYPERLINK("https://twitter.com/hiperretail/status/1678742161230118913")</f>
        <v>https://twitter.com/hiperretail/status/1678742161230118913</v>
      </c>
      <c r="AF1184" s="90">
        <v>45118.51730324074</v>
      </c>
      <c r="AG1184" s="99">
        <v>45118</v>
      </c>
      <c r="AH1184" s="93" t="s">
        <v>12625</v>
      </c>
      <c r="AI1184" s="87" t="b">
        <v>0</v>
      </c>
      <c r="AJ1184" s="87" t="s">
        <v>15195</v>
      </c>
      <c r="AK1184" s="87" t="s">
        <v>15235</v>
      </c>
      <c r="AL1184" s="87" t="s">
        <v>15238</v>
      </c>
      <c r="AM1184" s="87" t="s">
        <v>15267</v>
      </c>
      <c r="AN1184" s="87" t="s">
        <v>15333</v>
      </c>
      <c r="AO1184" s="87" t="s">
        <v>15399</v>
      </c>
      <c r="AP1184" s="87" t="s">
        <v>15438</v>
      </c>
      <c r="AQ1184" s="87" t="s">
        <v>16164</v>
      </c>
      <c r="AR1184" s="87">
        <v>21083</v>
      </c>
      <c r="AS1184" s="87"/>
      <c r="AT1184" s="87"/>
      <c r="AU1184" s="87"/>
      <c r="AV1184" s="92" t="str">
        <f>HYPERLINK("https://pbs.twimg.com/ext_tw_video_thumb/1678742081257209856/pu/img/apcQAJ-EeNeOrksE.jpg")</f>
        <v>https://pbs.twimg.com/ext_tw_video_thumb/1678742081257209856/pu/img/apcQAJ-EeNeOrksE.jpg</v>
      </c>
      <c r="AW1184" s="93" t="s">
        <v>19420</v>
      </c>
      <c r="AX1184" s="93" t="s">
        <v>19420</v>
      </c>
      <c r="AY1184" s="87"/>
      <c r="AZ1184" s="93" t="s">
        <v>22668</v>
      </c>
      <c r="BA1184" s="93" t="s">
        <v>22668</v>
      </c>
      <c r="BB1184" s="93" t="s">
        <v>22668</v>
      </c>
      <c r="BC1184" s="93" t="s">
        <v>19420</v>
      </c>
      <c r="BD1184" s="93" t="s">
        <v>23027</v>
      </c>
      <c r="BE1184" s="87"/>
      <c r="BF1184" s="87"/>
      <c r="BG1184" s="87"/>
      <c r="BH1184" s="87"/>
      <c r="BI1184" s="87"/>
    </row>
    <row r="1185" spans="1:61" x14ac:dyDescent="0.25">
      <c r="A1185" s="63" t="s">
        <v>631</v>
      </c>
      <c r="B1185" s="63" t="s">
        <v>631</v>
      </c>
      <c r="C1185" s="64"/>
      <c r="D1185" s="65"/>
      <c r="E1185" s="66"/>
      <c r="F1185" s="67"/>
      <c r="G1185" s="64"/>
      <c r="H1185" s="68"/>
      <c r="I1185" s="69"/>
      <c r="J1185" s="69"/>
      <c r="K1185" s="32"/>
      <c r="L1185" s="76">
        <v>1185</v>
      </c>
      <c r="M1185" s="76"/>
      <c r="N1185" s="71"/>
      <c r="O1185" s="87" t="s">
        <v>179</v>
      </c>
      <c r="P1185" s="90">
        <v>45122.948784722219</v>
      </c>
      <c r="Q1185" s="87" t="s">
        <v>2991</v>
      </c>
      <c r="R1185" s="87">
        <v>0</v>
      </c>
      <c r="S1185" s="87">
        <v>0</v>
      </c>
      <c r="T1185" s="87">
        <v>0</v>
      </c>
      <c r="U1185" s="87">
        <v>0</v>
      </c>
      <c r="V1185" s="87">
        <v>7</v>
      </c>
      <c r="W1185" s="93" t="s">
        <v>6694</v>
      </c>
      <c r="X1185" s="87"/>
      <c r="Y1185" s="87"/>
      <c r="Z1185" s="87"/>
      <c r="AA1185" s="87"/>
      <c r="AB1185" s="87"/>
      <c r="AC1185" s="93" t="s">
        <v>11457</v>
      </c>
      <c r="AD1185" s="87" t="s">
        <v>11519</v>
      </c>
      <c r="AE1185" s="92" t="str">
        <f>HYPERLINK("https://twitter.com/percycamilo034/status/1680348078321156096")</f>
        <v>https://twitter.com/percycamilo034/status/1680348078321156096</v>
      </c>
      <c r="AF1185" s="90">
        <v>45122.948784722219</v>
      </c>
      <c r="AG1185" s="99">
        <v>45122</v>
      </c>
      <c r="AH1185" s="93" t="s">
        <v>12626</v>
      </c>
      <c r="AI1185" s="87"/>
      <c r="AJ1185" s="87"/>
      <c r="AK1185" s="87"/>
      <c r="AL1185" s="87"/>
      <c r="AM1185" s="87"/>
      <c r="AN1185" s="87"/>
      <c r="AO1185" s="87"/>
      <c r="AP1185" s="87"/>
      <c r="AQ1185" s="87"/>
      <c r="AR1185" s="87"/>
      <c r="AS1185" s="87"/>
      <c r="AT1185" s="87"/>
      <c r="AU1185" s="87"/>
      <c r="AV1185" s="92" t="str">
        <f>HYPERLINK("https://pbs.twimg.com/profile_images/1677503802860003328/Kd2iAXM2_normal.jpg")</f>
        <v>https://pbs.twimg.com/profile_images/1677503802860003328/Kd2iAXM2_normal.jpg</v>
      </c>
      <c r="AW1185" s="93" t="s">
        <v>19421</v>
      </c>
      <c r="AX1185" s="93" t="s">
        <v>19421</v>
      </c>
      <c r="AY1185" s="87"/>
      <c r="AZ1185" s="93" t="s">
        <v>22668</v>
      </c>
      <c r="BA1185" s="93" t="s">
        <v>22668</v>
      </c>
      <c r="BB1185" s="93" t="s">
        <v>22668</v>
      </c>
      <c r="BC1185" s="93" t="s">
        <v>19421</v>
      </c>
      <c r="BD1185" s="93" t="s">
        <v>23028</v>
      </c>
      <c r="BE1185" s="87"/>
      <c r="BF1185" s="87"/>
      <c r="BG1185" s="87"/>
      <c r="BH1185" s="87"/>
      <c r="BI1185" s="87"/>
    </row>
    <row r="1186" spans="1:61" x14ac:dyDescent="0.25">
      <c r="A1186" s="63" t="s">
        <v>632</v>
      </c>
      <c r="B1186" s="63" t="s">
        <v>632</v>
      </c>
      <c r="C1186" s="64"/>
      <c r="D1186" s="65"/>
      <c r="E1186" s="66"/>
      <c r="F1186" s="67"/>
      <c r="G1186" s="64"/>
      <c r="H1186" s="68"/>
      <c r="I1186" s="69"/>
      <c r="J1186" s="69"/>
      <c r="K1186" s="32"/>
      <c r="L1186" s="76">
        <v>1186</v>
      </c>
      <c r="M1186" s="76"/>
      <c r="N1186" s="71"/>
      <c r="O1186" s="87" t="s">
        <v>179</v>
      </c>
      <c r="P1186" s="90">
        <v>45131.573240740741</v>
      </c>
      <c r="Q1186" s="87" t="s">
        <v>2992</v>
      </c>
      <c r="R1186" s="87">
        <v>0</v>
      </c>
      <c r="S1186" s="87">
        <v>4</v>
      </c>
      <c r="T1186" s="87">
        <v>0</v>
      </c>
      <c r="U1186" s="87">
        <v>0</v>
      </c>
      <c r="V1186" s="87">
        <v>12</v>
      </c>
      <c r="W1186" s="93" t="s">
        <v>6346</v>
      </c>
      <c r="X1186" s="92" t="str">
        <f>HYPERLINK("https://conteudo.digitalista.com.br/curso-online-empreender-como-jornalista")</f>
        <v>https://conteudo.digitalista.com.br/curso-online-empreender-como-jornalista</v>
      </c>
      <c r="Y1186" s="87" t="s">
        <v>8373</v>
      </c>
      <c r="Z1186" s="87"/>
      <c r="AA1186" s="87" t="s">
        <v>9352</v>
      </c>
      <c r="AB1186" s="87" t="s">
        <v>11448</v>
      </c>
      <c r="AC1186" s="93" t="s">
        <v>11460</v>
      </c>
      <c r="AD1186" s="87" t="s">
        <v>11519</v>
      </c>
      <c r="AE1186" s="92" t="str">
        <f>HYPERLINK("https://twitter.com/digitalistaofic/status/1683473475380342784")</f>
        <v>https://twitter.com/digitalistaofic/status/1683473475380342784</v>
      </c>
      <c r="AF1186" s="90">
        <v>45131.573240740741</v>
      </c>
      <c r="AG1186" s="99">
        <v>45131</v>
      </c>
      <c r="AH1186" s="93" t="s">
        <v>12205</v>
      </c>
      <c r="AI1186" s="87" t="b">
        <v>0</v>
      </c>
      <c r="AJ1186" s="87"/>
      <c r="AK1186" s="87"/>
      <c r="AL1186" s="87"/>
      <c r="AM1186" s="87"/>
      <c r="AN1186" s="87"/>
      <c r="AO1186" s="87"/>
      <c r="AP1186" s="87"/>
      <c r="AQ1186" s="87" t="s">
        <v>16165</v>
      </c>
      <c r="AR1186" s="87"/>
      <c r="AS1186" s="87"/>
      <c r="AT1186" s="87"/>
      <c r="AU1186" s="87"/>
      <c r="AV1186" s="92" t="str">
        <f>HYPERLINK("https://pbs.twimg.com/media/F1zmNAtWwAQcyqm.jpg")</f>
        <v>https://pbs.twimg.com/media/F1zmNAtWwAQcyqm.jpg</v>
      </c>
      <c r="AW1186" s="93" t="s">
        <v>19422</v>
      </c>
      <c r="AX1186" s="93" t="s">
        <v>19422</v>
      </c>
      <c r="AY1186" s="87"/>
      <c r="AZ1186" s="93" t="s">
        <v>22668</v>
      </c>
      <c r="BA1186" s="93" t="s">
        <v>22668</v>
      </c>
      <c r="BB1186" s="93" t="s">
        <v>22668</v>
      </c>
      <c r="BC1186" s="93" t="s">
        <v>19422</v>
      </c>
      <c r="BD1186" s="93" t="s">
        <v>23029</v>
      </c>
      <c r="BE1186" s="87"/>
      <c r="BF1186" s="87"/>
      <c r="BG1186" s="87"/>
      <c r="BH1186" s="87"/>
      <c r="BI1186" s="87"/>
    </row>
    <row r="1187" spans="1:61" x14ac:dyDescent="0.25">
      <c r="A1187" s="63" t="s">
        <v>632</v>
      </c>
      <c r="B1187" s="63" t="s">
        <v>632</v>
      </c>
      <c r="C1187" s="64"/>
      <c r="D1187" s="65"/>
      <c r="E1187" s="66"/>
      <c r="F1187" s="67"/>
      <c r="G1187" s="64"/>
      <c r="H1187" s="68"/>
      <c r="I1187" s="69"/>
      <c r="J1187" s="69"/>
      <c r="K1187" s="32"/>
      <c r="L1187" s="76">
        <v>1187</v>
      </c>
      <c r="M1187" s="76"/>
      <c r="N1187" s="71"/>
      <c r="O1187" s="87" t="s">
        <v>179</v>
      </c>
      <c r="P1187" s="90">
        <v>45131.565960648149</v>
      </c>
      <c r="Q1187" s="87" t="s">
        <v>2993</v>
      </c>
      <c r="R1187" s="87">
        <v>0</v>
      </c>
      <c r="S1187" s="87">
        <v>4</v>
      </c>
      <c r="T1187" s="87">
        <v>0</v>
      </c>
      <c r="U1187" s="87">
        <v>0</v>
      </c>
      <c r="V1187" s="87">
        <v>15</v>
      </c>
      <c r="W1187" s="93" t="s">
        <v>6346</v>
      </c>
      <c r="X1187" s="92" t="str">
        <f>HYPERLINK("https://conteudo.digitalista.com.br/curso-online-empreender-como-jornalista")</f>
        <v>https://conteudo.digitalista.com.br/curso-online-empreender-como-jornalista</v>
      </c>
      <c r="Y1187" s="87" t="s">
        <v>8373</v>
      </c>
      <c r="Z1187" s="87"/>
      <c r="AA1187" s="87" t="s">
        <v>9353</v>
      </c>
      <c r="AB1187" s="87" t="s">
        <v>11448</v>
      </c>
      <c r="AC1187" s="93" t="s">
        <v>11457</v>
      </c>
      <c r="AD1187" s="87" t="s">
        <v>11519</v>
      </c>
      <c r="AE1187" s="92" t="str">
        <f>HYPERLINK("https://twitter.com/digitalistaofic/status/1683470836961800192")</f>
        <v>https://twitter.com/digitalistaofic/status/1683470836961800192</v>
      </c>
      <c r="AF1187" s="90">
        <v>45131.565960648149</v>
      </c>
      <c r="AG1187" s="99">
        <v>45131</v>
      </c>
      <c r="AH1187" s="93" t="s">
        <v>12627</v>
      </c>
      <c r="AI1187" s="87" t="b">
        <v>0</v>
      </c>
      <c r="AJ1187" s="87"/>
      <c r="AK1187" s="87"/>
      <c r="AL1187" s="87"/>
      <c r="AM1187" s="87"/>
      <c r="AN1187" s="87"/>
      <c r="AO1187" s="87"/>
      <c r="AP1187" s="87"/>
      <c r="AQ1187" s="87" t="s">
        <v>16166</v>
      </c>
      <c r="AR1187" s="87"/>
      <c r="AS1187" s="87"/>
      <c r="AT1187" s="87"/>
      <c r="AU1187" s="87"/>
      <c r="AV1187" s="92" t="str">
        <f>HYPERLINK("https://pbs.twimg.com/media/F1zjyYTWYAIGFuH.jpg")</f>
        <v>https://pbs.twimg.com/media/F1zjyYTWYAIGFuH.jpg</v>
      </c>
      <c r="AW1187" s="93" t="s">
        <v>19423</v>
      </c>
      <c r="AX1187" s="93" t="s">
        <v>19423</v>
      </c>
      <c r="AY1187" s="87"/>
      <c r="AZ1187" s="93" t="s">
        <v>22668</v>
      </c>
      <c r="BA1187" s="93" t="s">
        <v>22668</v>
      </c>
      <c r="BB1187" s="93" t="s">
        <v>22668</v>
      </c>
      <c r="BC1187" s="93" t="s">
        <v>19423</v>
      </c>
      <c r="BD1187" s="93" t="s">
        <v>23029</v>
      </c>
      <c r="BE1187" s="87"/>
      <c r="BF1187" s="87"/>
      <c r="BG1187" s="87"/>
      <c r="BH1187" s="87"/>
      <c r="BI1187" s="87"/>
    </row>
    <row r="1188" spans="1:61" x14ac:dyDescent="0.25">
      <c r="A1188" s="63" t="s">
        <v>633</v>
      </c>
      <c r="B1188" s="63" t="s">
        <v>633</v>
      </c>
      <c r="C1188" s="64"/>
      <c r="D1188" s="65"/>
      <c r="E1188" s="66"/>
      <c r="F1188" s="67"/>
      <c r="G1188" s="64"/>
      <c r="H1188" s="68"/>
      <c r="I1188" s="69"/>
      <c r="J1188" s="69"/>
      <c r="K1188" s="32"/>
      <c r="L1188" s="76">
        <v>1188</v>
      </c>
      <c r="M1188" s="76"/>
      <c r="N1188" s="71"/>
      <c r="O1188" s="87" t="s">
        <v>179</v>
      </c>
      <c r="P1188" s="90">
        <v>45186.843993055554</v>
      </c>
      <c r="Q1188" s="87" t="s">
        <v>2994</v>
      </c>
      <c r="R1188" s="87">
        <v>0</v>
      </c>
      <c r="S1188" s="87">
        <v>0</v>
      </c>
      <c r="T1188" s="87">
        <v>0</v>
      </c>
      <c r="U1188" s="87">
        <v>0</v>
      </c>
      <c r="V1188" s="87">
        <v>6</v>
      </c>
      <c r="W1188" s="93" t="s">
        <v>6695</v>
      </c>
      <c r="X1188" s="87"/>
      <c r="Y1188" s="87"/>
      <c r="Z1188" s="87"/>
      <c r="AA1188" s="87" t="s">
        <v>9354</v>
      </c>
      <c r="AB1188" s="87" t="s">
        <v>11448</v>
      </c>
      <c r="AC1188" s="93" t="s">
        <v>11459</v>
      </c>
      <c r="AD1188" s="87" t="s">
        <v>11519</v>
      </c>
      <c r="AE1188" s="92" t="str">
        <f>HYPERLINK("https://twitter.com/sheron_goveia/status/1703502925249556793")</f>
        <v>https://twitter.com/sheron_goveia/status/1703502925249556793</v>
      </c>
      <c r="AF1188" s="90">
        <v>45186.843993055554</v>
      </c>
      <c r="AG1188" s="99">
        <v>45186</v>
      </c>
      <c r="AH1188" s="93" t="s">
        <v>12628</v>
      </c>
      <c r="AI1188" s="87" t="b">
        <v>0</v>
      </c>
      <c r="AJ1188" s="87"/>
      <c r="AK1188" s="87"/>
      <c r="AL1188" s="87"/>
      <c r="AM1188" s="87"/>
      <c r="AN1188" s="87"/>
      <c r="AO1188" s="87"/>
      <c r="AP1188" s="87"/>
      <c r="AQ1188" s="87" t="s">
        <v>16167</v>
      </c>
      <c r="AR1188" s="87"/>
      <c r="AS1188" s="87"/>
      <c r="AT1188" s="87"/>
      <c r="AU1188" s="87"/>
      <c r="AV1188" s="92" t="str">
        <f>HYPERLINK("https://pbs.twimg.com/media/F6QO4V9XgAAsSeJ.jpg")</f>
        <v>https://pbs.twimg.com/media/F6QO4V9XgAAsSeJ.jpg</v>
      </c>
      <c r="AW1188" s="93" t="s">
        <v>19424</v>
      </c>
      <c r="AX1188" s="93" t="s">
        <v>19424</v>
      </c>
      <c r="AY1188" s="87"/>
      <c r="AZ1188" s="93" t="s">
        <v>22668</v>
      </c>
      <c r="BA1188" s="93" t="s">
        <v>22668</v>
      </c>
      <c r="BB1188" s="93" t="s">
        <v>22668</v>
      </c>
      <c r="BC1188" s="93" t="s">
        <v>19424</v>
      </c>
      <c r="BD1188" s="93" t="s">
        <v>23030</v>
      </c>
      <c r="BE1188" s="87"/>
      <c r="BF1188" s="87"/>
      <c r="BG1188" s="87"/>
      <c r="BH1188" s="87"/>
      <c r="BI1188" s="87"/>
    </row>
    <row r="1189" spans="1:61" x14ac:dyDescent="0.25">
      <c r="A1189" s="63" t="s">
        <v>633</v>
      </c>
      <c r="B1189" s="63" t="s">
        <v>633</v>
      </c>
      <c r="C1189" s="64"/>
      <c r="D1189" s="65"/>
      <c r="E1189" s="66"/>
      <c r="F1189" s="67"/>
      <c r="G1189" s="64"/>
      <c r="H1189" s="68"/>
      <c r="I1189" s="69"/>
      <c r="J1189" s="69"/>
      <c r="K1189" s="32"/>
      <c r="L1189" s="76">
        <v>1189</v>
      </c>
      <c r="M1189" s="76"/>
      <c r="N1189" s="71"/>
      <c r="O1189" s="87" t="s">
        <v>179</v>
      </c>
      <c r="P1189" s="90">
        <v>45191.993587962963</v>
      </c>
      <c r="Q1189" s="87" t="s">
        <v>2995</v>
      </c>
      <c r="R1189" s="87">
        <v>0</v>
      </c>
      <c r="S1189" s="87">
        <v>0</v>
      </c>
      <c r="T1189" s="87">
        <v>0</v>
      </c>
      <c r="U1189" s="87">
        <v>0</v>
      </c>
      <c r="V1189" s="87">
        <v>2</v>
      </c>
      <c r="W1189" s="93" t="s">
        <v>6696</v>
      </c>
      <c r="X1189" s="87"/>
      <c r="Y1189" s="87"/>
      <c r="Z1189" s="87"/>
      <c r="AA1189" s="87" t="s">
        <v>9355</v>
      </c>
      <c r="AB1189" s="87" t="s">
        <v>11447</v>
      </c>
      <c r="AC1189" s="93" t="s">
        <v>11459</v>
      </c>
      <c r="AD1189" s="87" t="s">
        <v>11520</v>
      </c>
      <c r="AE1189" s="92" t="str">
        <f>HYPERLINK("https://twitter.com/sheron_goveia/status/1705369075575308491")</f>
        <v>https://twitter.com/sheron_goveia/status/1705369075575308491</v>
      </c>
      <c r="AF1189" s="90">
        <v>45191.993587962963</v>
      </c>
      <c r="AG1189" s="99">
        <v>45191</v>
      </c>
      <c r="AH1189" s="93" t="s">
        <v>12629</v>
      </c>
      <c r="AI1189" s="87" t="b">
        <v>0</v>
      </c>
      <c r="AJ1189" s="87"/>
      <c r="AK1189" s="87"/>
      <c r="AL1189" s="87"/>
      <c r="AM1189" s="87"/>
      <c r="AN1189" s="87"/>
      <c r="AO1189" s="87"/>
      <c r="AP1189" s="87"/>
      <c r="AQ1189" s="87" t="s">
        <v>16168</v>
      </c>
      <c r="AR1189" s="87">
        <v>35247</v>
      </c>
      <c r="AS1189" s="87"/>
      <c r="AT1189" s="87"/>
      <c r="AU1189" s="87"/>
      <c r="AV1189" s="92" t="str">
        <f>HYPERLINK("https://pbs.twimg.com/ext_tw_video_thumb/1705368981819768832/pu/img/VdUWPgK-dDyV7TKh.jpg")</f>
        <v>https://pbs.twimg.com/ext_tw_video_thumb/1705368981819768832/pu/img/VdUWPgK-dDyV7TKh.jpg</v>
      </c>
      <c r="AW1189" s="93" t="s">
        <v>19425</v>
      </c>
      <c r="AX1189" s="93" t="s">
        <v>19425</v>
      </c>
      <c r="AY1189" s="87"/>
      <c r="AZ1189" s="93" t="s">
        <v>22668</v>
      </c>
      <c r="BA1189" s="93" t="s">
        <v>22668</v>
      </c>
      <c r="BB1189" s="93" t="s">
        <v>22668</v>
      </c>
      <c r="BC1189" s="93" t="s">
        <v>19425</v>
      </c>
      <c r="BD1189" s="93" t="s">
        <v>23030</v>
      </c>
      <c r="BE1189" s="87"/>
      <c r="BF1189" s="87"/>
      <c r="BG1189" s="87"/>
      <c r="BH1189" s="87"/>
      <c r="BI1189" s="87"/>
    </row>
    <row r="1190" spans="1:61" x14ac:dyDescent="0.25">
      <c r="A1190" s="63" t="s">
        <v>633</v>
      </c>
      <c r="B1190" s="63" t="s">
        <v>633</v>
      </c>
      <c r="C1190" s="64"/>
      <c r="D1190" s="65"/>
      <c r="E1190" s="66"/>
      <c r="F1190" s="67"/>
      <c r="G1190" s="64"/>
      <c r="H1190" s="68"/>
      <c r="I1190" s="69"/>
      <c r="J1190" s="69"/>
      <c r="K1190" s="32"/>
      <c r="L1190" s="76">
        <v>1190</v>
      </c>
      <c r="M1190" s="76"/>
      <c r="N1190" s="71"/>
      <c r="O1190" s="87" t="s">
        <v>179</v>
      </c>
      <c r="P1190" s="90">
        <v>45192.490555555552</v>
      </c>
      <c r="Q1190" s="87" t="s">
        <v>2996</v>
      </c>
      <c r="R1190" s="87">
        <v>0</v>
      </c>
      <c r="S1190" s="87">
        <v>0</v>
      </c>
      <c r="T1190" s="87">
        <v>0</v>
      </c>
      <c r="U1190" s="87">
        <v>0</v>
      </c>
      <c r="V1190" s="87">
        <v>4</v>
      </c>
      <c r="W1190" s="93" t="s">
        <v>6697</v>
      </c>
      <c r="X1190" s="87"/>
      <c r="Y1190" s="87"/>
      <c r="Z1190" s="87"/>
      <c r="AA1190" s="87" t="s">
        <v>9356</v>
      </c>
      <c r="AB1190" s="87" t="s">
        <v>11447</v>
      </c>
      <c r="AC1190" s="93" t="s">
        <v>11459</v>
      </c>
      <c r="AD1190" s="87" t="s">
        <v>11520</v>
      </c>
      <c r="AE1190" s="92" t="str">
        <f>HYPERLINK("https://twitter.com/sheron_goveia/status/1705549169094459697")</f>
        <v>https://twitter.com/sheron_goveia/status/1705549169094459697</v>
      </c>
      <c r="AF1190" s="90">
        <v>45192.490555555552</v>
      </c>
      <c r="AG1190" s="99">
        <v>45192</v>
      </c>
      <c r="AH1190" s="93" t="s">
        <v>12630</v>
      </c>
      <c r="AI1190" s="87" t="b">
        <v>0</v>
      </c>
      <c r="AJ1190" s="87"/>
      <c r="AK1190" s="87"/>
      <c r="AL1190" s="87"/>
      <c r="AM1190" s="87"/>
      <c r="AN1190" s="87"/>
      <c r="AO1190" s="87"/>
      <c r="AP1190" s="87"/>
      <c r="AQ1190" s="87" t="s">
        <v>16169</v>
      </c>
      <c r="AR1190" s="87">
        <v>56098</v>
      </c>
      <c r="AS1190" s="87"/>
      <c r="AT1190" s="87"/>
      <c r="AU1190" s="87"/>
      <c r="AV1190" s="92" t="str">
        <f>HYPERLINK("https://pbs.twimg.com/ext_tw_video_thumb/1705549050961911808/pu/img/-5XOCIB23_Vy2mkG.jpg")</f>
        <v>https://pbs.twimg.com/ext_tw_video_thumb/1705549050961911808/pu/img/-5XOCIB23_Vy2mkG.jpg</v>
      </c>
      <c r="AW1190" s="93" t="s">
        <v>19426</v>
      </c>
      <c r="AX1190" s="93" t="s">
        <v>19426</v>
      </c>
      <c r="AY1190" s="87"/>
      <c r="AZ1190" s="93" t="s">
        <v>22668</v>
      </c>
      <c r="BA1190" s="93" t="s">
        <v>22668</v>
      </c>
      <c r="BB1190" s="93" t="s">
        <v>22668</v>
      </c>
      <c r="BC1190" s="93" t="s">
        <v>19426</v>
      </c>
      <c r="BD1190" s="93" t="s">
        <v>23030</v>
      </c>
      <c r="BE1190" s="87"/>
      <c r="BF1190" s="87"/>
      <c r="BG1190" s="87"/>
      <c r="BH1190" s="87"/>
      <c r="BI1190" s="87"/>
    </row>
    <row r="1191" spans="1:61" x14ac:dyDescent="0.25">
      <c r="A1191" s="63" t="s">
        <v>633</v>
      </c>
      <c r="B1191" s="63" t="s">
        <v>633</v>
      </c>
      <c r="C1191" s="64"/>
      <c r="D1191" s="65"/>
      <c r="E1191" s="66"/>
      <c r="F1191" s="67"/>
      <c r="G1191" s="64"/>
      <c r="H1191" s="68"/>
      <c r="I1191" s="69"/>
      <c r="J1191" s="69"/>
      <c r="K1191" s="32"/>
      <c r="L1191" s="76">
        <v>1191</v>
      </c>
      <c r="M1191" s="76"/>
      <c r="N1191" s="71"/>
      <c r="O1191" s="87" t="s">
        <v>179</v>
      </c>
      <c r="P1191" s="90">
        <v>45193.662222222221</v>
      </c>
      <c r="Q1191" s="87" t="s">
        <v>2997</v>
      </c>
      <c r="R1191" s="87">
        <v>0</v>
      </c>
      <c r="S1191" s="87">
        <v>0</v>
      </c>
      <c r="T1191" s="87">
        <v>0</v>
      </c>
      <c r="U1191" s="87">
        <v>0</v>
      </c>
      <c r="V1191" s="87">
        <v>3</v>
      </c>
      <c r="W1191" s="93" t="s">
        <v>6695</v>
      </c>
      <c r="X1191" s="87"/>
      <c r="Y1191" s="87"/>
      <c r="Z1191" s="87"/>
      <c r="AA1191" s="87" t="s">
        <v>9357</v>
      </c>
      <c r="AB1191" s="87" t="s">
        <v>11447</v>
      </c>
      <c r="AC1191" s="93" t="s">
        <v>11459</v>
      </c>
      <c r="AD1191" s="87" t="s">
        <v>11520</v>
      </c>
      <c r="AE1191" s="92" t="str">
        <f>HYPERLINK("https://twitter.com/sheron_goveia/status/1705973767267025173")</f>
        <v>https://twitter.com/sheron_goveia/status/1705973767267025173</v>
      </c>
      <c r="AF1191" s="90">
        <v>45193.662222222221</v>
      </c>
      <c r="AG1191" s="99">
        <v>45193</v>
      </c>
      <c r="AH1191" s="93" t="s">
        <v>12631</v>
      </c>
      <c r="AI1191" s="87" t="b">
        <v>0</v>
      </c>
      <c r="AJ1191" s="87"/>
      <c r="AK1191" s="87"/>
      <c r="AL1191" s="87"/>
      <c r="AM1191" s="87"/>
      <c r="AN1191" s="87"/>
      <c r="AO1191" s="87"/>
      <c r="AP1191" s="87"/>
      <c r="AQ1191" s="87" t="s">
        <v>16170</v>
      </c>
      <c r="AR1191" s="87">
        <v>73838</v>
      </c>
      <c r="AS1191" s="87"/>
      <c r="AT1191" s="87"/>
      <c r="AU1191" s="87"/>
      <c r="AV1191" s="92" t="str">
        <f>HYPERLINK("https://pbs.twimg.com/ext_tw_video_thumb/1705973605954101248/pu/img/43W9d-6b-JNk_Ygj.jpg")</f>
        <v>https://pbs.twimg.com/ext_tw_video_thumb/1705973605954101248/pu/img/43W9d-6b-JNk_Ygj.jpg</v>
      </c>
      <c r="AW1191" s="93" t="s">
        <v>19427</v>
      </c>
      <c r="AX1191" s="93" t="s">
        <v>19427</v>
      </c>
      <c r="AY1191" s="87"/>
      <c r="AZ1191" s="93" t="s">
        <v>22668</v>
      </c>
      <c r="BA1191" s="93" t="s">
        <v>22668</v>
      </c>
      <c r="BB1191" s="93" t="s">
        <v>22668</v>
      </c>
      <c r="BC1191" s="93" t="s">
        <v>19427</v>
      </c>
      <c r="BD1191" s="93" t="s">
        <v>23030</v>
      </c>
      <c r="BE1191" s="87"/>
      <c r="BF1191" s="87"/>
      <c r="BG1191" s="87"/>
      <c r="BH1191" s="87"/>
      <c r="BI1191" s="87"/>
    </row>
    <row r="1192" spans="1:61" x14ac:dyDescent="0.25">
      <c r="A1192" s="63" t="s">
        <v>634</v>
      </c>
      <c r="B1192" s="63" t="s">
        <v>634</v>
      </c>
      <c r="C1192" s="64"/>
      <c r="D1192" s="65"/>
      <c r="E1192" s="66"/>
      <c r="F1192" s="67"/>
      <c r="G1192" s="64"/>
      <c r="H1192" s="68"/>
      <c r="I1192" s="69"/>
      <c r="J1192" s="69"/>
      <c r="K1192" s="32"/>
      <c r="L1192" s="76">
        <v>1192</v>
      </c>
      <c r="M1192" s="76"/>
      <c r="N1192" s="71"/>
      <c r="O1192" s="87" t="s">
        <v>179</v>
      </c>
      <c r="P1192" s="90">
        <v>45153.079525462963</v>
      </c>
      <c r="Q1192" s="87" t="s">
        <v>2998</v>
      </c>
      <c r="R1192" s="87">
        <v>0</v>
      </c>
      <c r="S1192" s="87">
        <v>0</v>
      </c>
      <c r="T1192" s="87">
        <v>0</v>
      </c>
      <c r="U1192" s="87">
        <v>0</v>
      </c>
      <c r="V1192" s="87">
        <v>17</v>
      </c>
      <c r="W1192" s="93" t="s">
        <v>6698</v>
      </c>
      <c r="X1192" s="92" t="str">
        <f>HYPERLINK("https://www.instagram.com/p/Cv8UdD4Rxo-/?igshid=MzRlODBiNWFlZA==")</f>
        <v>https://www.instagram.com/p/Cv8UdD4Rxo-/?igshid=MzRlODBiNWFlZA==</v>
      </c>
      <c r="Y1192" s="87" t="s">
        <v>8383</v>
      </c>
      <c r="Z1192" s="87"/>
      <c r="AA1192" s="87"/>
      <c r="AB1192" s="87"/>
      <c r="AC1192" s="93" t="s">
        <v>11459</v>
      </c>
      <c r="AD1192" s="87" t="s">
        <v>11519</v>
      </c>
      <c r="AE1192" s="92" t="str">
        <f>HYPERLINK("https://twitter.com/rafael_opreis/status/1691267090961846272")</f>
        <v>https://twitter.com/rafael_opreis/status/1691267090961846272</v>
      </c>
      <c r="AF1192" s="90">
        <v>45153.079525462963</v>
      </c>
      <c r="AG1192" s="99">
        <v>45153</v>
      </c>
      <c r="AH1192" s="93" t="s">
        <v>12632</v>
      </c>
      <c r="AI1192" s="87" t="b">
        <v>0</v>
      </c>
      <c r="AJ1192" s="87"/>
      <c r="AK1192" s="87"/>
      <c r="AL1192" s="87"/>
      <c r="AM1192" s="87"/>
      <c r="AN1192" s="87"/>
      <c r="AO1192" s="87"/>
      <c r="AP1192" s="87"/>
      <c r="AQ1192" s="87"/>
      <c r="AR1192" s="87"/>
      <c r="AS1192" s="87"/>
      <c r="AT1192" s="87"/>
      <c r="AU1192" s="87"/>
      <c r="AV1192" s="92" t="str">
        <f>HYPERLINK("https://pbs.twimg.com/profile_images/1435819723359404032/35blFrqD_normal.jpg")</f>
        <v>https://pbs.twimg.com/profile_images/1435819723359404032/35blFrqD_normal.jpg</v>
      </c>
      <c r="AW1192" s="93" t="s">
        <v>19428</v>
      </c>
      <c r="AX1192" s="93" t="s">
        <v>19428</v>
      </c>
      <c r="AY1192" s="87"/>
      <c r="AZ1192" s="93" t="s">
        <v>22668</v>
      </c>
      <c r="BA1192" s="93" t="s">
        <v>22668</v>
      </c>
      <c r="BB1192" s="93" t="s">
        <v>22668</v>
      </c>
      <c r="BC1192" s="93" t="s">
        <v>19428</v>
      </c>
      <c r="BD1192" s="93" t="s">
        <v>23031</v>
      </c>
      <c r="BE1192" s="87"/>
      <c r="BF1192" s="87"/>
      <c r="BG1192" s="87"/>
      <c r="BH1192" s="87"/>
      <c r="BI1192" s="87"/>
    </row>
    <row r="1193" spans="1:61" x14ac:dyDescent="0.25">
      <c r="A1193" s="63" t="s">
        <v>635</v>
      </c>
      <c r="B1193" s="63" t="s">
        <v>635</v>
      </c>
      <c r="C1193" s="64"/>
      <c r="D1193" s="65"/>
      <c r="E1193" s="66"/>
      <c r="F1193" s="67"/>
      <c r="G1193" s="64"/>
      <c r="H1193" s="68"/>
      <c r="I1193" s="69"/>
      <c r="J1193" s="69"/>
      <c r="K1193" s="32"/>
      <c r="L1193" s="76">
        <v>1193</v>
      </c>
      <c r="M1193" s="76"/>
      <c r="N1193" s="71"/>
      <c r="O1193" s="87" t="s">
        <v>179</v>
      </c>
      <c r="P1193" s="90">
        <v>45131.952662037038</v>
      </c>
      <c r="Q1193" s="87" t="s">
        <v>2999</v>
      </c>
      <c r="R1193" s="87">
        <v>0</v>
      </c>
      <c r="S1193" s="87">
        <v>0</v>
      </c>
      <c r="T1193" s="87">
        <v>0</v>
      </c>
      <c r="U1193" s="87">
        <v>0</v>
      </c>
      <c r="V1193" s="87">
        <v>21</v>
      </c>
      <c r="W1193" s="93" t="s">
        <v>6699</v>
      </c>
      <c r="X1193" s="87"/>
      <c r="Y1193" s="87"/>
      <c r="Z1193" s="87"/>
      <c r="AA1193" s="87"/>
      <c r="AB1193" s="87"/>
      <c r="AC1193" s="93" t="s">
        <v>11458</v>
      </c>
      <c r="AD1193" s="87" t="s">
        <v>11519</v>
      </c>
      <c r="AE1193" s="92" t="str">
        <f>HYPERLINK("https://twitter.com/desafio75dias/status/1683610973850959872")</f>
        <v>https://twitter.com/desafio75dias/status/1683610973850959872</v>
      </c>
      <c r="AF1193" s="90">
        <v>45131.952662037038</v>
      </c>
      <c r="AG1193" s="99">
        <v>45131</v>
      </c>
      <c r="AH1193" s="93" t="s">
        <v>12633</v>
      </c>
      <c r="AI1193" s="87"/>
      <c r="AJ1193" s="87"/>
      <c r="AK1193" s="87"/>
      <c r="AL1193" s="87"/>
      <c r="AM1193" s="87"/>
      <c r="AN1193" s="87"/>
      <c r="AO1193" s="87"/>
      <c r="AP1193" s="87"/>
      <c r="AQ1193" s="87"/>
      <c r="AR1193" s="87"/>
      <c r="AS1193" s="87"/>
      <c r="AT1193" s="87"/>
      <c r="AU1193" s="87"/>
      <c r="AV1193" s="92" t="str">
        <f>HYPERLINK("https://pbs.twimg.com/profile_images/1682164291200245760/aJLX2kSC_normal.jpg")</f>
        <v>https://pbs.twimg.com/profile_images/1682164291200245760/aJLX2kSC_normal.jpg</v>
      </c>
      <c r="AW1193" s="93" t="s">
        <v>19429</v>
      </c>
      <c r="AX1193" s="93" t="s">
        <v>19429</v>
      </c>
      <c r="AY1193" s="87"/>
      <c r="AZ1193" s="93" t="s">
        <v>22668</v>
      </c>
      <c r="BA1193" s="93" t="s">
        <v>22668</v>
      </c>
      <c r="BB1193" s="93" t="s">
        <v>22668</v>
      </c>
      <c r="BC1193" s="93" t="s">
        <v>19429</v>
      </c>
      <c r="BD1193" s="93" t="s">
        <v>23032</v>
      </c>
      <c r="BE1193" s="87"/>
      <c r="BF1193" s="87"/>
      <c r="BG1193" s="87"/>
      <c r="BH1193" s="87"/>
      <c r="BI1193" s="87"/>
    </row>
    <row r="1194" spans="1:61" x14ac:dyDescent="0.25">
      <c r="A1194" s="63" t="s">
        <v>636</v>
      </c>
      <c r="B1194" s="63" t="s">
        <v>636</v>
      </c>
      <c r="C1194" s="64"/>
      <c r="D1194" s="65"/>
      <c r="E1194" s="66"/>
      <c r="F1194" s="67"/>
      <c r="G1194" s="64"/>
      <c r="H1194" s="68"/>
      <c r="I1194" s="69"/>
      <c r="J1194" s="69"/>
      <c r="K1194" s="32"/>
      <c r="L1194" s="76">
        <v>1194</v>
      </c>
      <c r="M1194" s="76"/>
      <c r="N1194" s="71"/>
      <c r="O1194" s="87" t="s">
        <v>179</v>
      </c>
      <c r="P1194" s="90">
        <v>45174.894282407404</v>
      </c>
      <c r="Q1194" s="87" t="s">
        <v>3000</v>
      </c>
      <c r="R1194" s="87">
        <v>0</v>
      </c>
      <c r="S1194" s="87">
        <v>0</v>
      </c>
      <c r="T1194" s="87">
        <v>0</v>
      </c>
      <c r="U1194" s="87">
        <v>0</v>
      </c>
      <c r="V1194" s="87">
        <v>15</v>
      </c>
      <c r="W1194" s="93" t="s">
        <v>6700</v>
      </c>
      <c r="X1194" s="92" t="str">
        <f>HYPERLINK("http://red.edenred.com/dbdYADVSv8Vg")</f>
        <v>http://red.edenred.com/dbdYADVSv8Vg</v>
      </c>
      <c r="Y1194" s="87" t="s">
        <v>8442</v>
      </c>
      <c r="Z1194" s="87"/>
      <c r="AA1194" s="87"/>
      <c r="AB1194" s="87"/>
      <c r="AC1194" s="93" t="s">
        <v>11484</v>
      </c>
      <c r="AD1194" s="87" t="s">
        <v>11520</v>
      </c>
      <c r="AE1194" s="92" t="str">
        <f>HYPERLINK("https://twitter.com/guedesia/status/1699172494869979484")</f>
        <v>https://twitter.com/guedesia/status/1699172494869979484</v>
      </c>
      <c r="AF1194" s="90">
        <v>45174.894282407404</v>
      </c>
      <c r="AG1194" s="99">
        <v>45174</v>
      </c>
      <c r="AH1194" s="93" t="s">
        <v>12634</v>
      </c>
      <c r="AI1194" s="87" t="b">
        <v>0</v>
      </c>
      <c r="AJ1194" s="87"/>
      <c r="AK1194" s="87"/>
      <c r="AL1194" s="87"/>
      <c r="AM1194" s="87"/>
      <c r="AN1194" s="87"/>
      <c r="AO1194" s="87"/>
      <c r="AP1194" s="87"/>
      <c r="AQ1194" s="87"/>
      <c r="AR1194" s="87"/>
      <c r="AS1194" s="87"/>
      <c r="AT1194" s="87"/>
      <c r="AU1194" s="87"/>
      <c r="AV1194" s="92" t="str">
        <f>HYPERLINK("https://pbs.twimg.com/profile_images/1697617809147129856/RtZQmZuG_normal.jpg")</f>
        <v>https://pbs.twimg.com/profile_images/1697617809147129856/RtZQmZuG_normal.jpg</v>
      </c>
      <c r="AW1194" s="93" t="s">
        <v>19430</v>
      </c>
      <c r="AX1194" s="93" t="s">
        <v>19430</v>
      </c>
      <c r="AY1194" s="87"/>
      <c r="AZ1194" s="93" t="s">
        <v>22668</v>
      </c>
      <c r="BA1194" s="93" t="s">
        <v>22668</v>
      </c>
      <c r="BB1194" s="93" t="s">
        <v>22668</v>
      </c>
      <c r="BC1194" s="93" t="s">
        <v>19430</v>
      </c>
      <c r="BD1194" s="93" t="s">
        <v>23033</v>
      </c>
      <c r="BE1194" s="87"/>
      <c r="BF1194" s="87"/>
      <c r="BG1194" s="87"/>
      <c r="BH1194" s="87"/>
      <c r="BI1194" s="87"/>
    </row>
    <row r="1195" spans="1:61" x14ac:dyDescent="0.25">
      <c r="A1195" s="63" t="s">
        <v>637</v>
      </c>
      <c r="B1195" s="63" t="s">
        <v>637</v>
      </c>
      <c r="C1195" s="64"/>
      <c r="D1195" s="65"/>
      <c r="E1195" s="66"/>
      <c r="F1195" s="67"/>
      <c r="G1195" s="64"/>
      <c r="H1195" s="68"/>
      <c r="I1195" s="69"/>
      <c r="J1195" s="69"/>
      <c r="K1195" s="32"/>
      <c r="L1195" s="76">
        <v>1195</v>
      </c>
      <c r="M1195" s="76"/>
      <c r="N1195" s="71"/>
      <c r="O1195" s="87" t="s">
        <v>179</v>
      </c>
      <c r="P1195" s="90">
        <v>45116.840462962966</v>
      </c>
      <c r="Q1195" s="87" t="s">
        <v>3001</v>
      </c>
      <c r="R1195" s="87">
        <v>0</v>
      </c>
      <c r="S1195" s="87">
        <v>1</v>
      </c>
      <c r="T1195" s="87">
        <v>1</v>
      </c>
      <c r="U1195" s="87">
        <v>0</v>
      </c>
      <c r="V1195" s="87">
        <v>170</v>
      </c>
      <c r="W1195" s="93" t="s">
        <v>6701</v>
      </c>
      <c r="X1195" s="87"/>
      <c r="Y1195" s="87"/>
      <c r="Z1195" s="87"/>
      <c r="AA1195" s="87" t="s">
        <v>9358</v>
      </c>
      <c r="AB1195" s="87" t="s">
        <v>11447</v>
      </c>
      <c r="AC1195" s="93" t="s">
        <v>11459</v>
      </c>
      <c r="AD1195" s="87" t="s">
        <v>11519</v>
      </c>
      <c r="AE1195" s="92" t="str">
        <f>HYPERLINK("https://twitter.com/julyano_ma51484/status/1678134494799298562")</f>
        <v>https://twitter.com/julyano_ma51484/status/1678134494799298562</v>
      </c>
      <c r="AF1195" s="90">
        <v>45116.840462962966</v>
      </c>
      <c r="AG1195" s="99">
        <v>45116</v>
      </c>
      <c r="AH1195" s="93" t="s">
        <v>12635</v>
      </c>
      <c r="AI1195" s="87" t="b">
        <v>0</v>
      </c>
      <c r="AJ1195" s="87"/>
      <c r="AK1195" s="87"/>
      <c r="AL1195" s="87"/>
      <c r="AM1195" s="87"/>
      <c r="AN1195" s="87"/>
      <c r="AO1195" s="87"/>
      <c r="AP1195" s="87"/>
      <c r="AQ1195" s="87" t="s">
        <v>16171</v>
      </c>
      <c r="AR1195" s="87">
        <v>9099</v>
      </c>
      <c r="AS1195" s="87"/>
      <c r="AT1195" s="87"/>
      <c r="AU1195" s="87"/>
      <c r="AV1195" s="92" t="str">
        <f>HYPERLINK("https://pbs.twimg.com/ext_tw_video_thumb/1678134443389616131/pu/img/78OXxggj1qsskNw8.jpg")</f>
        <v>https://pbs.twimg.com/ext_tw_video_thumb/1678134443389616131/pu/img/78OXxggj1qsskNw8.jpg</v>
      </c>
      <c r="AW1195" s="93" t="s">
        <v>19431</v>
      </c>
      <c r="AX1195" s="93" t="s">
        <v>19431</v>
      </c>
      <c r="AY1195" s="87"/>
      <c r="AZ1195" s="93" t="s">
        <v>22668</v>
      </c>
      <c r="BA1195" s="93" t="s">
        <v>22668</v>
      </c>
      <c r="BB1195" s="93" t="s">
        <v>22668</v>
      </c>
      <c r="BC1195" s="93" t="s">
        <v>19431</v>
      </c>
      <c r="BD1195" s="93" t="s">
        <v>23034</v>
      </c>
      <c r="BE1195" s="87"/>
      <c r="BF1195" s="87"/>
      <c r="BG1195" s="87"/>
      <c r="BH1195" s="87"/>
      <c r="BI1195" s="87"/>
    </row>
    <row r="1196" spans="1:61" x14ac:dyDescent="0.25">
      <c r="A1196" s="63" t="s">
        <v>638</v>
      </c>
      <c r="B1196" s="63" t="s">
        <v>638</v>
      </c>
      <c r="C1196" s="64"/>
      <c r="D1196" s="65"/>
      <c r="E1196" s="66"/>
      <c r="F1196" s="67"/>
      <c r="G1196" s="64"/>
      <c r="H1196" s="68"/>
      <c r="I1196" s="69"/>
      <c r="J1196" s="69"/>
      <c r="K1196" s="32"/>
      <c r="L1196" s="76">
        <v>1196</v>
      </c>
      <c r="M1196" s="76"/>
      <c r="N1196" s="71"/>
      <c r="O1196" s="87" t="s">
        <v>179</v>
      </c>
      <c r="P1196" s="90">
        <v>45119.838078703702</v>
      </c>
      <c r="Q1196" s="87" t="s">
        <v>3002</v>
      </c>
      <c r="R1196" s="87">
        <v>0</v>
      </c>
      <c r="S1196" s="87">
        <v>0</v>
      </c>
      <c r="T1196" s="87">
        <v>1</v>
      </c>
      <c r="U1196" s="87">
        <v>0</v>
      </c>
      <c r="V1196" s="87">
        <v>33</v>
      </c>
      <c r="W1196" s="93" t="s">
        <v>6702</v>
      </c>
      <c r="X1196" s="87"/>
      <c r="Y1196" s="87"/>
      <c r="Z1196" s="87"/>
      <c r="AA1196" s="87" t="s">
        <v>9359</v>
      </c>
      <c r="AB1196" s="87" t="s">
        <v>11448</v>
      </c>
      <c r="AC1196" s="93" t="s">
        <v>11469</v>
      </c>
      <c r="AD1196" s="87" t="s">
        <v>11523</v>
      </c>
      <c r="AE1196" s="92" t="str">
        <f>HYPERLINK("https://twitter.com/marclopezweb/status/1679220796479229952")</f>
        <v>https://twitter.com/marclopezweb/status/1679220796479229952</v>
      </c>
      <c r="AF1196" s="90">
        <v>45119.838078703702</v>
      </c>
      <c r="AG1196" s="99">
        <v>45119</v>
      </c>
      <c r="AH1196" s="93" t="s">
        <v>12636</v>
      </c>
      <c r="AI1196" s="87" t="b">
        <v>0</v>
      </c>
      <c r="AJ1196" s="87"/>
      <c r="AK1196" s="87"/>
      <c r="AL1196" s="87"/>
      <c r="AM1196" s="87"/>
      <c r="AN1196" s="87"/>
      <c r="AO1196" s="87"/>
      <c r="AP1196" s="87"/>
      <c r="AQ1196" s="87" t="s">
        <v>16172</v>
      </c>
      <c r="AR1196" s="87"/>
      <c r="AS1196" s="87"/>
      <c r="AT1196" s="87"/>
      <c r="AU1196" s="87"/>
      <c r="AV1196" s="92" t="str">
        <f>HYPERLINK("https://pbs.twimg.com/media/F03KalPXsAAl2Zs.jpg")</f>
        <v>https://pbs.twimg.com/media/F03KalPXsAAl2Zs.jpg</v>
      </c>
      <c r="AW1196" s="93" t="s">
        <v>19432</v>
      </c>
      <c r="AX1196" s="93" t="s">
        <v>19432</v>
      </c>
      <c r="AY1196" s="87"/>
      <c r="AZ1196" s="93" t="s">
        <v>22668</v>
      </c>
      <c r="BA1196" s="93" t="s">
        <v>22668</v>
      </c>
      <c r="BB1196" s="93" t="s">
        <v>22668</v>
      </c>
      <c r="BC1196" s="93" t="s">
        <v>19432</v>
      </c>
      <c r="BD1196" s="87">
        <v>2297961</v>
      </c>
      <c r="BE1196" s="87"/>
      <c r="BF1196" s="87"/>
      <c r="BG1196" s="87"/>
      <c r="BH1196" s="87"/>
      <c r="BI1196" s="87"/>
    </row>
    <row r="1197" spans="1:61" x14ac:dyDescent="0.25">
      <c r="A1197" s="63" t="s">
        <v>639</v>
      </c>
      <c r="B1197" s="63" t="s">
        <v>639</v>
      </c>
      <c r="C1197" s="64"/>
      <c r="D1197" s="65"/>
      <c r="E1197" s="66"/>
      <c r="F1197" s="67"/>
      <c r="G1197" s="64"/>
      <c r="H1197" s="68"/>
      <c r="I1197" s="69"/>
      <c r="J1197" s="69"/>
      <c r="K1197" s="32"/>
      <c r="L1197" s="76">
        <v>1197</v>
      </c>
      <c r="M1197" s="76"/>
      <c r="N1197" s="71"/>
      <c r="O1197" s="87" t="s">
        <v>1840</v>
      </c>
      <c r="P1197" s="90">
        <v>45118.500520833331</v>
      </c>
      <c r="Q1197" s="87" t="s">
        <v>3003</v>
      </c>
      <c r="R1197" s="87">
        <v>0</v>
      </c>
      <c r="S1197" s="87">
        <v>0</v>
      </c>
      <c r="T1197" s="87">
        <v>0</v>
      </c>
      <c r="U1197" s="87">
        <v>0</v>
      </c>
      <c r="V1197" s="87">
        <v>11</v>
      </c>
      <c r="W1197" s="93" t="s">
        <v>6703</v>
      </c>
      <c r="X1197" s="87"/>
      <c r="Y1197" s="87"/>
      <c r="Z1197" s="87"/>
      <c r="AA1197" s="87"/>
      <c r="AB1197" s="87"/>
      <c r="AC1197" s="93" t="s">
        <v>11458</v>
      </c>
      <c r="AD1197" s="87" t="s">
        <v>11524</v>
      </c>
      <c r="AE1197" s="92" t="str">
        <f>HYPERLINK("https://twitter.com/hilucasprado/status/1678736080533610506")</f>
        <v>https://twitter.com/hilucasprado/status/1678736080533610506</v>
      </c>
      <c r="AF1197" s="90">
        <v>45118.500520833331</v>
      </c>
      <c r="AG1197" s="99">
        <v>45118</v>
      </c>
      <c r="AH1197" s="93" t="s">
        <v>12637</v>
      </c>
      <c r="AI1197" s="87"/>
      <c r="AJ1197" s="87"/>
      <c r="AK1197" s="87"/>
      <c r="AL1197" s="87"/>
      <c r="AM1197" s="87"/>
      <c r="AN1197" s="87"/>
      <c r="AO1197" s="87"/>
      <c r="AP1197" s="87"/>
      <c r="AQ1197" s="87"/>
      <c r="AR1197" s="87"/>
      <c r="AS1197" s="87"/>
      <c r="AT1197" s="87"/>
      <c r="AU1197" s="87"/>
      <c r="AV1197" s="92" t="str">
        <f>HYPERLINK("https://pbs.twimg.com/profile_images/1611423648262328320/4D2iUWnk_normal.jpg")</f>
        <v>https://pbs.twimg.com/profile_images/1611423648262328320/4D2iUWnk_normal.jpg</v>
      </c>
      <c r="AW1197" s="93" t="s">
        <v>19433</v>
      </c>
      <c r="AX1197" s="93" t="s">
        <v>22356</v>
      </c>
      <c r="AY1197" s="93" t="s">
        <v>22556</v>
      </c>
      <c r="AZ1197" s="93" t="s">
        <v>22701</v>
      </c>
      <c r="BA1197" s="93" t="s">
        <v>22668</v>
      </c>
      <c r="BB1197" s="93" t="s">
        <v>22668</v>
      </c>
      <c r="BC1197" s="93" t="s">
        <v>22701</v>
      </c>
      <c r="BD1197" s="93" t="s">
        <v>22556</v>
      </c>
      <c r="BE1197" s="87"/>
      <c r="BF1197" s="87"/>
      <c r="BG1197" s="87"/>
      <c r="BH1197" s="87"/>
      <c r="BI1197" s="87"/>
    </row>
    <row r="1198" spans="1:61" x14ac:dyDescent="0.25">
      <c r="A1198" s="63" t="s">
        <v>640</v>
      </c>
      <c r="B1198" s="63" t="s">
        <v>640</v>
      </c>
      <c r="C1198" s="64"/>
      <c r="D1198" s="65"/>
      <c r="E1198" s="66"/>
      <c r="F1198" s="67"/>
      <c r="G1198" s="64"/>
      <c r="H1198" s="68"/>
      <c r="I1198" s="69"/>
      <c r="J1198" s="69"/>
      <c r="K1198" s="32"/>
      <c r="L1198" s="76">
        <v>1198</v>
      </c>
      <c r="M1198" s="76"/>
      <c r="N1198" s="71"/>
      <c r="O1198" s="87" t="s">
        <v>179</v>
      </c>
      <c r="P1198" s="90">
        <v>45141.607858796298</v>
      </c>
      <c r="Q1198" s="87" t="s">
        <v>3004</v>
      </c>
      <c r="R1198" s="87">
        <v>0</v>
      </c>
      <c r="S1198" s="87">
        <v>0</v>
      </c>
      <c r="T1198" s="87">
        <v>0</v>
      </c>
      <c r="U1198" s="87">
        <v>0</v>
      </c>
      <c r="V1198" s="87">
        <v>30</v>
      </c>
      <c r="W1198" s="93" t="s">
        <v>6704</v>
      </c>
      <c r="X1198" s="87"/>
      <c r="Y1198" s="87"/>
      <c r="Z1198" s="87"/>
      <c r="AA1198" s="87" t="s">
        <v>9360</v>
      </c>
      <c r="AB1198" s="87" t="s">
        <v>11450</v>
      </c>
      <c r="AC1198" s="93" t="s">
        <v>11460</v>
      </c>
      <c r="AD1198" s="87" t="s">
        <v>11519</v>
      </c>
      <c r="AE1198" s="92" t="str">
        <f>HYPERLINK("https://twitter.com/allbatrozcont/status/1687109899933900807")</f>
        <v>https://twitter.com/allbatrozcont/status/1687109899933900807</v>
      </c>
      <c r="AF1198" s="90">
        <v>45141.607858796298</v>
      </c>
      <c r="AG1198" s="99">
        <v>45141</v>
      </c>
      <c r="AH1198" s="93" t="s">
        <v>12638</v>
      </c>
      <c r="AI1198" s="87" t="b">
        <v>0</v>
      </c>
      <c r="AJ1198" s="87"/>
      <c r="AK1198" s="87"/>
      <c r="AL1198" s="87"/>
      <c r="AM1198" s="87"/>
      <c r="AN1198" s="87"/>
      <c r="AO1198" s="87"/>
      <c r="AP1198" s="87"/>
      <c r="AQ1198" s="87" t="s">
        <v>16173</v>
      </c>
      <c r="AR1198" s="87"/>
      <c r="AS1198" s="87"/>
      <c r="AT1198" s="87"/>
      <c r="AU1198" s="87"/>
      <c r="AV1198" s="92" t="str">
        <f>HYPERLINK("https://pbs.twimg.com/media/F2nRgbNbsAA8GHX.jpg")</f>
        <v>https://pbs.twimg.com/media/F2nRgbNbsAA8GHX.jpg</v>
      </c>
      <c r="AW1198" s="93" t="s">
        <v>19434</v>
      </c>
      <c r="AX1198" s="93" t="s">
        <v>19434</v>
      </c>
      <c r="AY1198" s="87"/>
      <c r="AZ1198" s="93" t="s">
        <v>22668</v>
      </c>
      <c r="BA1198" s="93" t="s">
        <v>22668</v>
      </c>
      <c r="BB1198" s="93" t="s">
        <v>22668</v>
      </c>
      <c r="BC1198" s="93" t="s">
        <v>19434</v>
      </c>
      <c r="BD1198" s="87">
        <v>254081358</v>
      </c>
      <c r="BE1198" s="87"/>
      <c r="BF1198" s="87"/>
      <c r="BG1198" s="87"/>
      <c r="BH1198" s="87"/>
      <c r="BI1198" s="87"/>
    </row>
    <row r="1199" spans="1:61" x14ac:dyDescent="0.25">
      <c r="A1199" s="63" t="s">
        <v>641</v>
      </c>
      <c r="B1199" s="63" t="s">
        <v>641</v>
      </c>
      <c r="C1199" s="64"/>
      <c r="D1199" s="65"/>
      <c r="E1199" s="66"/>
      <c r="F1199" s="67"/>
      <c r="G1199" s="64"/>
      <c r="H1199" s="68"/>
      <c r="I1199" s="69"/>
      <c r="J1199" s="69"/>
      <c r="K1199" s="32"/>
      <c r="L1199" s="76">
        <v>1199</v>
      </c>
      <c r="M1199" s="76"/>
      <c r="N1199" s="71"/>
      <c r="O1199" s="87" t="s">
        <v>179</v>
      </c>
      <c r="P1199" s="90">
        <v>45145.723402777781</v>
      </c>
      <c r="Q1199" s="87" t="s">
        <v>3005</v>
      </c>
      <c r="R1199" s="87">
        <v>0</v>
      </c>
      <c r="S1199" s="87">
        <v>0</v>
      </c>
      <c r="T1199" s="87">
        <v>0</v>
      </c>
      <c r="U1199" s="87">
        <v>0</v>
      </c>
      <c r="V1199" s="87">
        <v>133</v>
      </c>
      <c r="W1199" s="93" t="s">
        <v>6705</v>
      </c>
      <c r="X1199" s="87"/>
      <c r="Y1199" s="87"/>
      <c r="Z1199" s="87"/>
      <c r="AA1199" s="87" t="s">
        <v>9361</v>
      </c>
      <c r="AB1199" s="87" t="s">
        <v>11447</v>
      </c>
      <c r="AC1199" s="93" t="s">
        <v>11459</v>
      </c>
      <c r="AD1199" s="87" t="s">
        <v>11518</v>
      </c>
      <c r="AE1199" s="92" t="str">
        <f>HYPERLINK("https://twitter.com/alison__correia/status/1688601322340151296")</f>
        <v>https://twitter.com/alison__correia/status/1688601322340151296</v>
      </c>
      <c r="AF1199" s="90">
        <v>45145.723402777781</v>
      </c>
      <c r="AG1199" s="99">
        <v>45145</v>
      </c>
      <c r="AH1199" s="93" t="s">
        <v>12639</v>
      </c>
      <c r="AI1199" s="87" t="b">
        <v>0</v>
      </c>
      <c r="AJ1199" s="87"/>
      <c r="AK1199" s="87"/>
      <c r="AL1199" s="87"/>
      <c r="AM1199" s="87"/>
      <c r="AN1199" s="87"/>
      <c r="AO1199" s="87"/>
      <c r="AP1199" s="87"/>
      <c r="AQ1199" s="87" t="s">
        <v>16174</v>
      </c>
      <c r="AR1199" s="87">
        <v>31732</v>
      </c>
      <c r="AS1199" s="87"/>
      <c r="AT1199" s="87"/>
      <c r="AU1199" s="87"/>
      <c r="AV1199" s="92" t="str">
        <f>HYPERLINK("https://pbs.twimg.com/ext_tw_video_thumb/1688601196473282581/pu/img/K5QMgJ2tLTvr4yPd.jpg")</f>
        <v>https://pbs.twimg.com/ext_tw_video_thumb/1688601196473282581/pu/img/K5QMgJ2tLTvr4yPd.jpg</v>
      </c>
      <c r="AW1199" s="93" t="s">
        <v>19435</v>
      </c>
      <c r="AX1199" s="93" t="s">
        <v>19435</v>
      </c>
      <c r="AY1199" s="87"/>
      <c r="AZ1199" s="93" t="s">
        <v>22668</v>
      </c>
      <c r="BA1199" s="93" t="s">
        <v>22668</v>
      </c>
      <c r="BB1199" s="93" t="s">
        <v>22668</v>
      </c>
      <c r="BC1199" s="93" t="s">
        <v>19435</v>
      </c>
      <c r="BD1199" s="87">
        <v>2461792531</v>
      </c>
      <c r="BE1199" s="87"/>
      <c r="BF1199" s="87"/>
      <c r="BG1199" s="87"/>
      <c r="BH1199" s="87"/>
      <c r="BI1199" s="87"/>
    </row>
    <row r="1200" spans="1:61" x14ac:dyDescent="0.25">
      <c r="A1200" s="63" t="s">
        <v>642</v>
      </c>
      <c r="B1200" s="63" t="s">
        <v>642</v>
      </c>
      <c r="C1200" s="64"/>
      <c r="D1200" s="65"/>
      <c r="E1200" s="66"/>
      <c r="F1200" s="67"/>
      <c r="G1200" s="64"/>
      <c r="H1200" s="68"/>
      <c r="I1200" s="69"/>
      <c r="J1200" s="69"/>
      <c r="K1200" s="32"/>
      <c r="L1200" s="76">
        <v>1200</v>
      </c>
      <c r="M1200" s="76"/>
      <c r="N1200" s="71"/>
      <c r="O1200" s="87" t="s">
        <v>179</v>
      </c>
      <c r="P1200" s="90">
        <v>45110.895416666666</v>
      </c>
      <c r="Q1200" s="87" t="s">
        <v>3006</v>
      </c>
      <c r="R1200" s="87">
        <v>0</v>
      </c>
      <c r="S1200" s="87">
        <v>0</v>
      </c>
      <c r="T1200" s="87">
        <v>0</v>
      </c>
      <c r="U1200" s="87">
        <v>0</v>
      </c>
      <c r="V1200" s="87">
        <v>6</v>
      </c>
      <c r="W1200" s="93" t="s">
        <v>6706</v>
      </c>
      <c r="X1200" s="92" t="str">
        <f>HYPERLINK("https://lnkd.in/dpv_dyH8")</f>
        <v>https://lnkd.in/dpv_dyH8</v>
      </c>
      <c r="Y1200" s="87" t="s">
        <v>8408</v>
      </c>
      <c r="Z1200" s="87"/>
      <c r="AA1200" s="87"/>
      <c r="AB1200" s="87"/>
      <c r="AC1200" s="93" t="s">
        <v>11474</v>
      </c>
      <c r="AD1200" s="87" t="s">
        <v>11519</v>
      </c>
      <c r="AE1200" s="92" t="str">
        <f>HYPERLINK("https://twitter.com/samarapaiva_a/status/1675980081003372545")</f>
        <v>https://twitter.com/samarapaiva_a/status/1675980081003372545</v>
      </c>
      <c r="AF1200" s="90">
        <v>45110.895416666666</v>
      </c>
      <c r="AG1200" s="99">
        <v>45110</v>
      </c>
      <c r="AH1200" s="93" t="s">
        <v>12640</v>
      </c>
      <c r="AI1200" s="87" t="b">
        <v>0</v>
      </c>
      <c r="AJ1200" s="87"/>
      <c r="AK1200" s="87"/>
      <c r="AL1200" s="87"/>
      <c r="AM1200" s="87"/>
      <c r="AN1200" s="87"/>
      <c r="AO1200" s="87"/>
      <c r="AP1200" s="87"/>
      <c r="AQ1200" s="87"/>
      <c r="AR1200" s="87"/>
      <c r="AS1200" s="87"/>
      <c r="AT1200" s="87"/>
      <c r="AU1200" s="87"/>
      <c r="AV1200" s="92" t="str">
        <f>HYPERLINK("https://pbs.twimg.com/profile_images/1373778682347720705/5ZYyOYJY_normal.jpg")</f>
        <v>https://pbs.twimg.com/profile_images/1373778682347720705/5ZYyOYJY_normal.jpg</v>
      </c>
      <c r="AW1200" s="93" t="s">
        <v>19436</v>
      </c>
      <c r="AX1200" s="93" t="s">
        <v>19436</v>
      </c>
      <c r="AY1200" s="87"/>
      <c r="AZ1200" s="93" t="s">
        <v>22668</v>
      </c>
      <c r="BA1200" s="93" t="s">
        <v>22668</v>
      </c>
      <c r="BB1200" s="93" t="s">
        <v>22668</v>
      </c>
      <c r="BC1200" s="93" t="s">
        <v>19436</v>
      </c>
      <c r="BD1200" s="93" t="s">
        <v>23035</v>
      </c>
      <c r="BE1200" s="87"/>
      <c r="BF1200" s="87"/>
      <c r="BG1200" s="87"/>
      <c r="BH1200" s="87"/>
      <c r="BI1200" s="87"/>
    </row>
    <row r="1201" spans="1:61" x14ac:dyDescent="0.25">
      <c r="A1201" s="63" t="s">
        <v>643</v>
      </c>
      <c r="B1201" s="63" t="s">
        <v>643</v>
      </c>
      <c r="C1201" s="64"/>
      <c r="D1201" s="65"/>
      <c r="E1201" s="66"/>
      <c r="F1201" s="67"/>
      <c r="G1201" s="64"/>
      <c r="H1201" s="68"/>
      <c r="I1201" s="69"/>
      <c r="J1201" s="69"/>
      <c r="K1201" s="32"/>
      <c r="L1201" s="76">
        <v>1201</v>
      </c>
      <c r="M1201" s="76"/>
      <c r="N1201" s="71"/>
      <c r="O1201" s="87" t="s">
        <v>179</v>
      </c>
      <c r="P1201" s="90">
        <v>45119.886192129627</v>
      </c>
      <c r="Q1201" s="87" t="s">
        <v>3007</v>
      </c>
      <c r="R1201" s="87">
        <v>0</v>
      </c>
      <c r="S1201" s="87">
        <v>0</v>
      </c>
      <c r="T1201" s="87">
        <v>0</v>
      </c>
      <c r="U1201" s="87">
        <v>0</v>
      </c>
      <c r="V1201" s="87">
        <v>24</v>
      </c>
      <c r="W1201" s="93" t="s">
        <v>6707</v>
      </c>
      <c r="X1201" s="87"/>
      <c r="Y1201" s="87"/>
      <c r="Z1201" s="87"/>
      <c r="AA1201" s="87" t="s">
        <v>9362</v>
      </c>
      <c r="AB1201" s="87" t="s">
        <v>11447</v>
      </c>
      <c r="AC1201" s="93" t="s">
        <v>11460</v>
      </c>
      <c r="AD1201" s="87" t="s">
        <v>11519</v>
      </c>
      <c r="AE1201" s="92" t="str">
        <f>HYPERLINK("https://twitter.com/confeitariaana/status/1679238230502244355")</f>
        <v>https://twitter.com/confeitariaana/status/1679238230502244355</v>
      </c>
      <c r="AF1201" s="90">
        <v>45119.886192129627</v>
      </c>
      <c r="AG1201" s="99">
        <v>45119</v>
      </c>
      <c r="AH1201" s="93" t="s">
        <v>12641</v>
      </c>
      <c r="AI1201" s="87" t="b">
        <v>0</v>
      </c>
      <c r="AJ1201" s="87"/>
      <c r="AK1201" s="87"/>
      <c r="AL1201" s="87"/>
      <c r="AM1201" s="87"/>
      <c r="AN1201" s="87"/>
      <c r="AO1201" s="87"/>
      <c r="AP1201" s="87"/>
      <c r="AQ1201" s="87" t="s">
        <v>16175</v>
      </c>
      <c r="AR1201" s="87">
        <v>51133</v>
      </c>
      <c r="AS1201" s="87"/>
      <c r="AT1201" s="87"/>
      <c r="AU1201" s="87"/>
      <c r="AV1201" s="92" t="str">
        <f>HYPERLINK("https://pbs.twimg.com/ext_tw_video_thumb/1679238094170599425/pu/img/yc0nbHZ5kHoE8nFh.jpg")</f>
        <v>https://pbs.twimg.com/ext_tw_video_thumb/1679238094170599425/pu/img/yc0nbHZ5kHoE8nFh.jpg</v>
      </c>
      <c r="AW1201" s="93" t="s">
        <v>19437</v>
      </c>
      <c r="AX1201" s="93" t="s">
        <v>19437</v>
      </c>
      <c r="AY1201" s="87"/>
      <c r="AZ1201" s="93" t="s">
        <v>22668</v>
      </c>
      <c r="BA1201" s="93" t="s">
        <v>22668</v>
      </c>
      <c r="BB1201" s="93" t="s">
        <v>22668</v>
      </c>
      <c r="BC1201" s="93" t="s">
        <v>19437</v>
      </c>
      <c r="BD1201" s="93" t="s">
        <v>23036</v>
      </c>
      <c r="BE1201" s="87"/>
      <c r="BF1201" s="87"/>
      <c r="BG1201" s="87"/>
      <c r="BH1201" s="87"/>
      <c r="BI1201" s="87"/>
    </row>
    <row r="1202" spans="1:61" x14ac:dyDescent="0.25">
      <c r="A1202" s="63" t="s">
        <v>643</v>
      </c>
      <c r="B1202" s="63" t="s">
        <v>643</v>
      </c>
      <c r="C1202" s="64"/>
      <c r="D1202" s="65"/>
      <c r="E1202" s="66"/>
      <c r="F1202" s="67"/>
      <c r="G1202" s="64"/>
      <c r="H1202" s="68"/>
      <c r="I1202" s="69"/>
      <c r="J1202" s="69"/>
      <c r="K1202" s="32"/>
      <c r="L1202" s="76">
        <v>1202</v>
      </c>
      <c r="M1202" s="76"/>
      <c r="N1202" s="71"/>
      <c r="O1202" s="87" t="s">
        <v>179</v>
      </c>
      <c r="P1202" s="90">
        <v>45119.757627314815</v>
      </c>
      <c r="Q1202" s="87" t="s">
        <v>3008</v>
      </c>
      <c r="R1202" s="87">
        <v>0</v>
      </c>
      <c r="S1202" s="87">
        <v>0</v>
      </c>
      <c r="T1202" s="87">
        <v>0</v>
      </c>
      <c r="U1202" s="87">
        <v>0</v>
      </c>
      <c r="V1202" s="87">
        <v>24</v>
      </c>
      <c r="W1202" s="93" t="s">
        <v>6707</v>
      </c>
      <c r="X1202" s="87"/>
      <c r="Y1202" s="87"/>
      <c r="Z1202" s="87"/>
      <c r="AA1202" s="87" t="s">
        <v>9363</v>
      </c>
      <c r="AB1202" s="87" t="s">
        <v>11447</v>
      </c>
      <c r="AC1202" s="93" t="s">
        <v>11460</v>
      </c>
      <c r="AD1202" s="87" t="s">
        <v>11519</v>
      </c>
      <c r="AE1202" s="92" t="str">
        <f>HYPERLINK("https://twitter.com/confeitariaana/status/1679191638919507970")</f>
        <v>https://twitter.com/confeitariaana/status/1679191638919507970</v>
      </c>
      <c r="AF1202" s="90">
        <v>45119.757627314815</v>
      </c>
      <c r="AG1202" s="99">
        <v>45119</v>
      </c>
      <c r="AH1202" s="93" t="s">
        <v>12642</v>
      </c>
      <c r="AI1202" s="87" t="b">
        <v>0</v>
      </c>
      <c r="AJ1202" s="87"/>
      <c r="AK1202" s="87"/>
      <c r="AL1202" s="87"/>
      <c r="AM1202" s="87"/>
      <c r="AN1202" s="87"/>
      <c r="AO1202" s="87"/>
      <c r="AP1202" s="87"/>
      <c r="AQ1202" s="87" t="s">
        <v>16176</v>
      </c>
      <c r="AR1202" s="87">
        <v>52000</v>
      </c>
      <c r="AS1202" s="87"/>
      <c r="AT1202" s="87"/>
      <c r="AU1202" s="87"/>
      <c r="AV1202" s="92" t="str">
        <f>HYPERLINK("https://pbs.twimg.com/ext_tw_video_thumb/1679191522053324812/pu/img/zx8dZKFK0qlSLwTn.jpg")</f>
        <v>https://pbs.twimg.com/ext_tw_video_thumb/1679191522053324812/pu/img/zx8dZKFK0qlSLwTn.jpg</v>
      </c>
      <c r="AW1202" s="93" t="s">
        <v>19438</v>
      </c>
      <c r="AX1202" s="93" t="s">
        <v>19438</v>
      </c>
      <c r="AY1202" s="87"/>
      <c r="AZ1202" s="93" t="s">
        <v>22668</v>
      </c>
      <c r="BA1202" s="93" t="s">
        <v>22668</v>
      </c>
      <c r="BB1202" s="93" t="s">
        <v>22668</v>
      </c>
      <c r="BC1202" s="93" t="s">
        <v>19438</v>
      </c>
      <c r="BD1202" s="93" t="s">
        <v>23036</v>
      </c>
      <c r="BE1202" s="87"/>
      <c r="BF1202" s="87"/>
      <c r="BG1202" s="87"/>
      <c r="BH1202" s="87"/>
      <c r="BI1202" s="87"/>
    </row>
    <row r="1203" spans="1:61" x14ac:dyDescent="0.25">
      <c r="A1203" s="63" t="s">
        <v>643</v>
      </c>
      <c r="B1203" s="63" t="s">
        <v>643</v>
      </c>
      <c r="C1203" s="64"/>
      <c r="D1203" s="65"/>
      <c r="E1203" s="66"/>
      <c r="F1203" s="67"/>
      <c r="G1203" s="64"/>
      <c r="H1203" s="68"/>
      <c r="I1203" s="69"/>
      <c r="J1203" s="69"/>
      <c r="K1203" s="32"/>
      <c r="L1203" s="76">
        <v>1203</v>
      </c>
      <c r="M1203" s="76"/>
      <c r="N1203" s="71"/>
      <c r="O1203" s="87" t="s">
        <v>179</v>
      </c>
      <c r="P1203" s="90">
        <v>45119.590752314813</v>
      </c>
      <c r="Q1203" s="87" t="s">
        <v>3009</v>
      </c>
      <c r="R1203" s="87">
        <v>0</v>
      </c>
      <c r="S1203" s="87">
        <v>0</v>
      </c>
      <c r="T1203" s="87">
        <v>0</v>
      </c>
      <c r="U1203" s="87">
        <v>0</v>
      </c>
      <c r="V1203" s="87">
        <v>78</v>
      </c>
      <c r="W1203" s="93" t="s">
        <v>6707</v>
      </c>
      <c r="X1203" s="87"/>
      <c r="Y1203" s="87"/>
      <c r="Z1203" s="87"/>
      <c r="AA1203" s="87" t="s">
        <v>9364</v>
      </c>
      <c r="AB1203" s="87" t="s">
        <v>11447</v>
      </c>
      <c r="AC1203" s="93" t="s">
        <v>11460</v>
      </c>
      <c r="AD1203" s="87" t="s">
        <v>11519</v>
      </c>
      <c r="AE1203" s="92" t="str">
        <f>HYPERLINK("https://twitter.com/confeitariaana/status/1679131164764778501")</f>
        <v>https://twitter.com/confeitariaana/status/1679131164764778501</v>
      </c>
      <c r="AF1203" s="90">
        <v>45119.590752314813</v>
      </c>
      <c r="AG1203" s="99">
        <v>45119</v>
      </c>
      <c r="AH1203" s="93" t="s">
        <v>12643</v>
      </c>
      <c r="AI1203" s="87" t="b">
        <v>0</v>
      </c>
      <c r="AJ1203" s="87"/>
      <c r="AK1203" s="87"/>
      <c r="AL1203" s="87"/>
      <c r="AM1203" s="87"/>
      <c r="AN1203" s="87"/>
      <c r="AO1203" s="87"/>
      <c r="AP1203" s="87"/>
      <c r="AQ1203" s="87" t="s">
        <v>16177</v>
      </c>
      <c r="AR1203" s="87">
        <v>33866</v>
      </c>
      <c r="AS1203" s="87"/>
      <c r="AT1203" s="87"/>
      <c r="AU1203" s="87"/>
      <c r="AV1203" s="92" t="str">
        <f>HYPERLINK("https://pbs.twimg.com/ext_tw_video_thumb/1679131044706910208/pu/img/nLpRg_K9Q8a9ZLsP.jpg")</f>
        <v>https://pbs.twimg.com/ext_tw_video_thumb/1679131044706910208/pu/img/nLpRg_K9Q8a9ZLsP.jpg</v>
      </c>
      <c r="AW1203" s="93" t="s">
        <v>19439</v>
      </c>
      <c r="AX1203" s="93" t="s">
        <v>19439</v>
      </c>
      <c r="AY1203" s="87"/>
      <c r="AZ1203" s="93" t="s">
        <v>22668</v>
      </c>
      <c r="BA1203" s="93" t="s">
        <v>22668</v>
      </c>
      <c r="BB1203" s="93" t="s">
        <v>22668</v>
      </c>
      <c r="BC1203" s="93" t="s">
        <v>19439</v>
      </c>
      <c r="BD1203" s="93" t="s">
        <v>23036</v>
      </c>
      <c r="BE1203" s="87"/>
      <c r="BF1203" s="87"/>
      <c r="BG1203" s="87"/>
      <c r="BH1203" s="87"/>
      <c r="BI1203" s="87"/>
    </row>
    <row r="1204" spans="1:61" x14ac:dyDescent="0.25">
      <c r="A1204" s="63" t="s">
        <v>643</v>
      </c>
      <c r="B1204" s="63" t="s">
        <v>643</v>
      </c>
      <c r="C1204" s="64"/>
      <c r="D1204" s="65"/>
      <c r="E1204" s="66"/>
      <c r="F1204" s="67"/>
      <c r="G1204" s="64"/>
      <c r="H1204" s="68"/>
      <c r="I1204" s="69"/>
      <c r="J1204" s="69"/>
      <c r="K1204" s="32"/>
      <c r="L1204" s="76">
        <v>1204</v>
      </c>
      <c r="M1204" s="76"/>
      <c r="N1204" s="71"/>
      <c r="O1204" s="87" t="s">
        <v>179</v>
      </c>
      <c r="P1204" s="90">
        <v>45112.875925925924</v>
      </c>
      <c r="Q1204" s="87" t="s">
        <v>3010</v>
      </c>
      <c r="R1204" s="87">
        <v>0</v>
      </c>
      <c r="S1204" s="87">
        <v>1</v>
      </c>
      <c r="T1204" s="87">
        <v>0</v>
      </c>
      <c r="U1204" s="87">
        <v>0</v>
      </c>
      <c r="V1204" s="87">
        <v>69</v>
      </c>
      <c r="W1204" s="93" t="s">
        <v>6707</v>
      </c>
      <c r="X1204" s="87"/>
      <c r="Y1204" s="87"/>
      <c r="Z1204" s="87"/>
      <c r="AA1204" s="87" t="s">
        <v>9365</v>
      </c>
      <c r="AB1204" s="87" t="s">
        <v>11447</v>
      </c>
      <c r="AC1204" s="93" t="s">
        <v>11460</v>
      </c>
      <c r="AD1204" s="87" t="s">
        <v>11519</v>
      </c>
      <c r="AE1204" s="92" t="str">
        <f>HYPERLINK("https://twitter.com/confeitariaana/status/1676697795321790465")</f>
        <v>https://twitter.com/confeitariaana/status/1676697795321790465</v>
      </c>
      <c r="AF1204" s="90">
        <v>45112.875925925924</v>
      </c>
      <c r="AG1204" s="99">
        <v>45112</v>
      </c>
      <c r="AH1204" s="93" t="s">
        <v>11647</v>
      </c>
      <c r="AI1204" s="87" t="b">
        <v>0</v>
      </c>
      <c r="AJ1204" s="87"/>
      <c r="AK1204" s="87"/>
      <c r="AL1204" s="87"/>
      <c r="AM1204" s="87"/>
      <c r="AN1204" s="87"/>
      <c r="AO1204" s="87"/>
      <c r="AP1204" s="87"/>
      <c r="AQ1204" s="87" t="s">
        <v>16178</v>
      </c>
      <c r="AR1204" s="87">
        <v>56149</v>
      </c>
      <c r="AS1204" s="87"/>
      <c r="AT1204" s="87"/>
      <c r="AU1204" s="87"/>
      <c r="AV1204" s="92" t="str">
        <f>HYPERLINK("https://pbs.twimg.com/ext_tw_video_thumb/1676697695610699778/pu/img/jaJblNfCJyFTr8T-.jpg")</f>
        <v>https://pbs.twimg.com/ext_tw_video_thumb/1676697695610699778/pu/img/jaJblNfCJyFTr8T-.jpg</v>
      </c>
      <c r="AW1204" s="93" t="s">
        <v>19440</v>
      </c>
      <c r="AX1204" s="93" t="s">
        <v>19440</v>
      </c>
      <c r="AY1204" s="87"/>
      <c r="AZ1204" s="93" t="s">
        <v>22668</v>
      </c>
      <c r="BA1204" s="93" t="s">
        <v>22668</v>
      </c>
      <c r="BB1204" s="93" t="s">
        <v>22668</v>
      </c>
      <c r="BC1204" s="93" t="s">
        <v>19440</v>
      </c>
      <c r="BD1204" s="93" t="s">
        <v>23036</v>
      </c>
      <c r="BE1204" s="87"/>
      <c r="BF1204" s="87"/>
      <c r="BG1204" s="87"/>
      <c r="BH1204" s="87"/>
      <c r="BI1204" s="87"/>
    </row>
    <row r="1205" spans="1:61" x14ac:dyDescent="0.25">
      <c r="A1205" s="63" t="s">
        <v>643</v>
      </c>
      <c r="B1205" s="63" t="s">
        <v>643</v>
      </c>
      <c r="C1205" s="64"/>
      <c r="D1205" s="65"/>
      <c r="E1205" s="66"/>
      <c r="F1205" s="67"/>
      <c r="G1205" s="64"/>
      <c r="H1205" s="68"/>
      <c r="I1205" s="69"/>
      <c r="J1205" s="69"/>
      <c r="K1205" s="32"/>
      <c r="L1205" s="76">
        <v>1205</v>
      </c>
      <c r="M1205" s="76"/>
      <c r="N1205" s="71"/>
      <c r="O1205" s="87" t="s">
        <v>179</v>
      </c>
      <c r="P1205" s="90">
        <v>45112.750648148147</v>
      </c>
      <c r="Q1205" s="87" t="s">
        <v>3011</v>
      </c>
      <c r="R1205" s="87">
        <v>0</v>
      </c>
      <c r="S1205" s="87">
        <v>1</v>
      </c>
      <c r="T1205" s="87">
        <v>0</v>
      </c>
      <c r="U1205" s="87">
        <v>0</v>
      </c>
      <c r="V1205" s="87">
        <v>49</v>
      </c>
      <c r="W1205" s="93" t="s">
        <v>6707</v>
      </c>
      <c r="X1205" s="87"/>
      <c r="Y1205" s="87"/>
      <c r="Z1205" s="87"/>
      <c r="AA1205" s="87" t="s">
        <v>9366</v>
      </c>
      <c r="AB1205" s="87" t="s">
        <v>11447</v>
      </c>
      <c r="AC1205" s="93" t="s">
        <v>11460</v>
      </c>
      <c r="AD1205" s="87" t="s">
        <v>11519</v>
      </c>
      <c r="AE1205" s="92" t="str">
        <f>HYPERLINK("https://twitter.com/confeitariaana/status/1676652394103316486")</f>
        <v>https://twitter.com/confeitariaana/status/1676652394103316486</v>
      </c>
      <c r="AF1205" s="90">
        <v>45112.750648148147</v>
      </c>
      <c r="AG1205" s="99">
        <v>45112</v>
      </c>
      <c r="AH1205" s="93" t="s">
        <v>12644</v>
      </c>
      <c r="AI1205" s="87" t="b">
        <v>0</v>
      </c>
      <c r="AJ1205" s="87"/>
      <c r="AK1205" s="87"/>
      <c r="AL1205" s="87"/>
      <c r="AM1205" s="87"/>
      <c r="AN1205" s="87"/>
      <c r="AO1205" s="87"/>
      <c r="AP1205" s="87"/>
      <c r="AQ1205" s="87" t="s">
        <v>16179</v>
      </c>
      <c r="AR1205" s="87">
        <v>59584</v>
      </c>
      <c r="AS1205" s="87"/>
      <c r="AT1205" s="87"/>
      <c r="AU1205" s="87"/>
      <c r="AV1205" s="92" t="str">
        <f>HYPERLINK("https://pbs.twimg.com/ext_tw_video_thumb/1676652316890480640/pu/img/Djc1B8jFtb380sbS.jpg")</f>
        <v>https://pbs.twimg.com/ext_tw_video_thumb/1676652316890480640/pu/img/Djc1B8jFtb380sbS.jpg</v>
      </c>
      <c r="AW1205" s="93" t="s">
        <v>19441</v>
      </c>
      <c r="AX1205" s="93" t="s">
        <v>19441</v>
      </c>
      <c r="AY1205" s="87"/>
      <c r="AZ1205" s="93" t="s">
        <v>22668</v>
      </c>
      <c r="BA1205" s="93" t="s">
        <v>22668</v>
      </c>
      <c r="BB1205" s="93" t="s">
        <v>22668</v>
      </c>
      <c r="BC1205" s="93" t="s">
        <v>19441</v>
      </c>
      <c r="BD1205" s="93" t="s">
        <v>23036</v>
      </c>
      <c r="BE1205" s="87"/>
      <c r="BF1205" s="87"/>
      <c r="BG1205" s="87"/>
      <c r="BH1205" s="87"/>
      <c r="BI1205" s="87"/>
    </row>
    <row r="1206" spans="1:61" x14ac:dyDescent="0.25">
      <c r="A1206" s="63" t="s">
        <v>643</v>
      </c>
      <c r="B1206" s="63" t="s">
        <v>643</v>
      </c>
      <c r="C1206" s="64"/>
      <c r="D1206" s="65"/>
      <c r="E1206" s="66"/>
      <c r="F1206" s="67"/>
      <c r="G1206" s="64"/>
      <c r="H1206" s="68"/>
      <c r="I1206" s="69"/>
      <c r="J1206" s="69"/>
      <c r="K1206" s="32"/>
      <c r="L1206" s="76">
        <v>1206</v>
      </c>
      <c r="M1206" s="76"/>
      <c r="N1206" s="71"/>
      <c r="O1206" s="87" t="s">
        <v>179</v>
      </c>
      <c r="P1206" s="90">
        <v>45111.875775462962</v>
      </c>
      <c r="Q1206" s="87" t="s">
        <v>3012</v>
      </c>
      <c r="R1206" s="87">
        <v>1</v>
      </c>
      <c r="S1206" s="87">
        <v>2</v>
      </c>
      <c r="T1206" s="87">
        <v>0</v>
      </c>
      <c r="U1206" s="87">
        <v>0</v>
      </c>
      <c r="V1206" s="87">
        <v>75</v>
      </c>
      <c r="W1206" s="93" t="s">
        <v>6707</v>
      </c>
      <c r="X1206" s="87"/>
      <c r="Y1206" s="87"/>
      <c r="Z1206" s="87"/>
      <c r="AA1206" s="87" t="s">
        <v>9367</v>
      </c>
      <c r="AB1206" s="87" t="s">
        <v>11447</v>
      </c>
      <c r="AC1206" s="93" t="s">
        <v>11460</v>
      </c>
      <c r="AD1206" s="87" t="s">
        <v>11519</v>
      </c>
      <c r="AE1206" s="92" t="str">
        <f>HYPERLINK("https://twitter.com/confeitariaana/status/1676335353198788609")</f>
        <v>https://twitter.com/confeitariaana/status/1676335353198788609</v>
      </c>
      <c r="AF1206" s="90">
        <v>45111.875775462962</v>
      </c>
      <c r="AG1206" s="99">
        <v>45111</v>
      </c>
      <c r="AH1206" s="93" t="s">
        <v>12645</v>
      </c>
      <c r="AI1206" s="87" t="b">
        <v>0</v>
      </c>
      <c r="AJ1206" s="87"/>
      <c r="AK1206" s="87"/>
      <c r="AL1206" s="87"/>
      <c r="AM1206" s="87"/>
      <c r="AN1206" s="87"/>
      <c r="AO1206" s="87"/>
      <c r="AP1206" s="87"/>
      <c r="AQ1206" s="87" t="s">
        <v>16180</v>
      </c>
      <c r="AR1206" s="87">
        <v>59008</v>
      </c>
      <c r="AS1206" s="87"/>
      <c r="AT1206" s="87"/>
      <c r="AU1206" s="87"/>
      <c r="AV1206" s="92" t="str">
        <f>HYPERLINK("https://pbs.twimg.com/ext_tw_video_thumb/1676335268587028481/pu/img/YOIy9nsHRBToaJju.jpg")</f>
        <v>https://pbs.twimg.com/ext_tw_video_thumb/1676335268587028481/pu/img/YOIy9nsHRBToaJju.jpg</v>
      </c>
      <c r="AW1206" s="93" t="s">
        <v>19442</v>
      </c>
      <c r="AX1206" s="93" t="s">
        <v>19442</v>
      </c>
      <c r="AY1206" s="87"/>
      <c r="AZ1206" s="93" t="s">
        <v>22668</v>
      </c>
      <c r="BA1206" s="93" t="s">
        <v>22668</v>
      </c>
      <c r="BB1206" s="93" t="s">
        <v>22668</v>
      </c>
      <c r="BC1206" s="93" t="s">
        <v>19442</v>
      </c>
      <c r="BD1206" s="93" t="s">
        <v>23036</v>
      </c>
      <c r="BE1206" s="87"/>
      <c r="BF1206" s="87"/>
      <c r="BG1206" s="87"/>
      <c r="BH1206" s="87"/>
      <c r="BI1206" s="87"/>
    </row>
    <row r="1207" spans="1:61" x14ac:dyDescent="0.25">
      <c r="A1207" s="63" t="s">
        <v>643</v>
      </c>
      <c r="B1207" s="63" t="s">
        <v>643</v>
      </c>
      <c r="C1207" s="64"/>
      <c r="D1207" s="65"/>
      <c r="E1207" s="66"/>
      <c r="F1207" s="67"/>
      <c r="G1207" s="64"/>
      <c r="H1207" s="68"/>
      <c r="I1207" s="69"/>
      <c r="J1207" s="69"/>
      <c r="K1207" s="32"/>
      <c r="L1207" s="76">
        <v>1207</v>
      </c>
      <c r="M1207" s="76"/>
      <c r="N1207" s="71"/>
      <c r="O1207" s="87" t="s">
        <v>179</v>
      </c>
      <c r="P1207" s="90">
        <v>45111.750810185185</v>
      </c>
      <c r="Q1207" s="87" t="s">
        <v>3013</v>
      </c>
      <c r="R1207" s="87">
        <v>0</v>
      </c>
      <c r="S1207" s="87">
        <v>0</v>
      </c>
      <c r="T1207" s="87">
        <v>0</v>
      </c>
      <c r="U1207" s="87">
        <v>0</v>
      </c>
      <c r="V1207" s="87">
        <v>18</v>
      </c>
      <c r="W1207" s="93" t="s">
        <v>6707</v>
      </c>
      <c r="X1207" s="87"/>
      <c r="Y1207" s="87"/>
      <c r="Z1207" s="87"/>
      <c r="AA1207" s="87" t="s">
        <v>9368</v>
      </c>
      <c r="AB1207" s="87" t="s">
        <v>11447</v>
      </c>
      <c r="AC1207" s="93" t="s">
        <v>11460</v>
      </c>
      <c r="AD1207" s="87" t="s">
        <v>11519</v>
      </c>
      <c r="AE1207" s="92" t="str">
        <f>HYPERLINK("https://twitter.com/confeitariaana/status/1676290067025764372")</f>
        <v>https://twitter.com/confeitariaana/status/1676290067025764372</v>
      </c>
      <c r="AF1207" s="90">
        <v>45111.750810185185</v>
      </c>
      <c r="AG1207" s="99">
        <v>45111</v>
      </c>
      <c r="AH1207" s="93" t="s">
        <v>12646</v>
      </c>
      <c r="AI1207" s="87" t="b">
        <v>0</v>
      </c>
      <c r="AJ1207" s="87"/>
      <c r="AK1207" s="87"/>
      <c r="AL1207" s="87"/>
      <c r="AM1207" s="87"/>
      <c r="AN1207" s="87"/>
      <c r="AO1207" s="87"/>
      <c r="AP1207" s="87"/>
      <c r="AQ1207" s="87" t="s">
        <v>16181</v>
      </c>
      <c r="AR1207" s="87">
        <v>59733</v>
      </c>
      <c r="AS1207" s="87"/>
      <c r="AT1207" s="87"/>
      <c r="AU1207" s="87"/>
      <c r="AV1207" s="92" t="str">
        <f>HYPERLINK("https://pbs.twimg.com/ext_tw_video_thumb/1676289989498249245/pu/img/HPKF5GiscRHlDv7W.jpg")</f>
        <v>https://pbs.twimg.com/ext_tw_video_thumb/1676289989498249245/pu/img/HPKF5GiscRHlDv7W.jpg</v>
      </c>
      <c r="AW1207" s="93" t="s">
        <v>19443</v>
      </c>
      <c r="AX1207" s="93" t="s">
        <v>19443</v>
      </c>
      <c r="AY1207" s="87"/>
      <c r="AZ1207" s="93" t="s">
        <v>22668</v>
      </c>
      <c r="BA1207" s="93" t="s">
        <v>22668</v>
      </c>
      <c r="BB1207" s="93" t="s">
        <v>22668</v>
      </c>
      <c r="BC1207" s="93" t="s">
        <v>19443</v>
      </c>
      <c r="BD1207" s="93" t="s">
        <v>23036</v>
      </c>
      <c r="BE1207" s="87"/>
      <c r="BF1207" s="87"/>
      <c r="BG1207" s="87"/>
      <c r="BH1207" s="87"/>
      <c r="BI1207" s="87"/>
    </row>
    <row r="1208" spans="1:61" x14ac:dyDescent="0.25">
      <c r="A1208" s="63" t="s">
        <v>643</v>
      </c>
      <c r="B1208" s="63" t="s">
        <v>643</v>
      </c>
      <c r="C1208" s="64"/>
      <c r="D1208" s="65"/>
      <c r="E1208" s="66"/>
      <c r="F1208" s="67"/>
      <c r="G1208" s="64"/>
      <c r="H1208" s="68"/>
      <c r="I1208" s="69"/>
      <c r="J1208" s="69"/>
      <c r="K1208" s="32"/>
      <c r="L1208" s="76">
        <v>1208</v>
      </c>
      <c r="M1208" s="76"/>
      <c r="N1208" s="71"/>
      <c r="O1208" s="87" t="s">
        <v>179</v>
      </c>
      <c r="P1208" s="90">
        <v>45132.587581018517</v>
      </c>
      <c r="Q1208" s="87" t="s">
        <v>3014</v>
      </c>
      <c r="R1208" s="87">
        <v>0</v>
      </c>
      <c r="S1208" s="87">
        <v>0</v>
      </c>
      <c r="T1208" s="87">
        <v>0</v>
      </c>
      <c r="U1208" s="87">
        <v>0</v>
      </c>
      <c r="V1208" s="87">
        <v>23</v>
      </c>
      <c r="W1208" s="93" t="s">
        <v>6707</v>
      </c>
      <c r="X1208" s="87"/>
      <c r="Y1208" s="87"/>
      <c r="Z1208" s="87"/>
      <c r="AA1208" s="87" t="s">
        <v>9369</v>
      </c>
      <c r="AB1208" s="87" t="s">
        <v>11447</v>
      </c>
      <c r="AC1208" s="93" t="s">
        <v>11460</v>
      </c>
      <c r="AD1208" s="87" t="s">
        <v>11519</v>
      </c>
      <c r="AE1208" s="92" t="str">
        <f>HYPERLINK("https://twitter.com/confeitariaana/status/1683841060466987008")</f>
        <v>https://twitter.com/confeitariaana/status/1683841060466987008</v>
      </c>
      <c r="AF1208" s="90">
        <v>45132.587581018517</v>
      </c>
      <c r="AG1208" s="99">
        <v>45132</v>
      </c>
      <c r="AH1208" s="93" t="s">
        <v>12647</v>
      </c>
      <c r="AI1208" s="87" t="b">
        <v>0</v>
      </c>
      <c r="AJ1208" s="87"/>
      <c r="AK1208" s="87"/>
      <c r="AL1208" s="87"/>
      <c r="AM1208" s="87"/>
      <c r="AN1208" s="87"/>
      <c r="AO1208" s="87"/>
      <c r="AP1208" s="87"/>
      <c r="AQ1208" s="87" t="s">
        <v>16182</v>
      </c>
      <c r="AR1208" s="87">
        <v>26533</v>
      </c>
      <c r="AS1208" s="87"/>
      <c r="AT1208" s="87"/>
      <c r="AU1208" s="87"/>
      <c r="AV1208" s="92" t="str">
        <f>HYPERLINK("https://pbs.twimg.com/ext_tw_video_thumb/1683840876790042624/pu/img/9banFSGNIq5ce3rF.jpg")</f>
        <v>https://pbs.twimg.com/ext_tw_video_thumb/1683840876790042624/pu/img/9banFSGNIq5ce3rF.jpg</v>
      </c>
      <c r="AW1208" s="93" t="s">
        <v>19444</v>
      </c>
      <c r="AX1208" s="93" t="s">
        <v>19444</v>
      </c>
      <c r="AY1208" s="87"/>
      <c r="AZ1208" s="93" t="s">
        <v>22668</v>
      </c>
      <c r="BA1208" s="93" t="s">
        <v>22668</v>
      </c>
      <c r="BB1208" s="93" t="s">
        <v>22668</v>
      </c>
      <c r="BC1208" s="93" t="s">
        <v>19444</v>
      </c>
      <c r="BD1208" s="93" t="s">
        <v>23036</v>
      </c>
      <c r="BE1208" s="87"/>
      <c r="BF1208" s="87"/>
      <c r="BG1208" s="87"/>
      <c r="BH1208" s="87"/>
      <c r="BI1208" s="87"/>
    </row>
    <row r="1209" spans="1:61" x14ac:dyDescent="0.25">
      <c r="A1209" s="63" t="s">
        <v>643</v>
      </c>
      <c r="B1209" s="63" t="s">
        <v>643</v>
      </c>
      <c r="C1209" s="64"/>
      <c r="D1209" s="65"/>
      <c r="E1209" s="66"/>
      <c r="F1209" s="67"/>
      <c r="G1209" s="64"/>
      <c r="H1209" s="68"/>
      <c r="I1209" s="69"/>
      <c r="J1209" s="69"/>
      <c r="K1209" s="32"/>
      <c r="L1209" s="76">
        <v>1209</v>
      </c>
      <c r="M1209" s="76"/>
      <c r="N1209" s="71"/>
      <c r="O1209" s="87" t="s">
        <v>179</v>
      </c>
      <c r="P1209" s="90">
        <v>45117.959097222221</v>
      </c>
      <c r="Q1209" s="87" t="s">
        <v>3015</v>
      </c>
      <c r="R1209" s="87">
        <v>0</v>
      </c>
      <c r="S1209" s="87">
        <v>0</v>
      </c>
      <c r="T1209" s="87">
        <v>0</v>
      </c>
      <c r="U1209" s="87">
        <v>0</v>
      </c>
      <c r="V1209" s="87">
        <v>34</v>
      </c>
      <c r="W1209" s="93" t="s">
        <v>6708</v>
      </c>
      <c r="X1209" s="87"/>
      <c r="Y1209" s="87"/>
      <c r="Z1209" s="87"/>
      <c r="AA1209" s="87" t="s">
        <v>9370</v>
      </c>
      <c r="AB1209" s="87" t="s">
        <v>11447</v>
      </c>
      <c r="AC1209" s="93" t="s">
        <v>11460</v>
      </c>
      <c r="AD1209" s="87" t="s">
        <v>11519</v>
      </c>
      <c r="AE1209" s="92" t="str">
        <f>HYPERLINK("https://twitter.com/confeitariaana/status/1678539873286868992")</f>
        <v>https://twitter.com/confeitariaana/status/1678539873286868992</v>
      </c>
      <c r="AF1209" s="90">
        <v>45117.959097222221</v>
      </c>
      <c r="AG1209" s="99">
        <v>45117</v>
      </c>
      <c r="AH1209" s="93" t="s">
        <v>12648</v>
      </c>
      <c r="AI1209" s="87" t="b">
        <v>0</v>
      </c>
      <c r="AJ1209" s="87"/>
      <c r="AK1209" s="87"/>
      <c r="AL1209" s="87"/>
      <c r="AM1209" s="87"/>
      <c r="AN1209" s="87"/>
      <c r="AO1209" s="87"/>
      <c r="AP1209" s="87"/>
      <c r="AQ1209" s="87" t="s">
        <v>16183</v>
      </c>
      <c r="AR1209" s="87">
        <v>35266</v>
      </c>
      <c r="AS1209" s="87"/>
      <c r="AT1209" s="87"/>
      <c r="AU1209" s="87"/>
      <c r="AV1209" s="92" t="str">
        <f>HYPERLINK("https://pbs.twimg.com/ext_tw_video_thumb/1678539771641995265/pu/img/OcFH7hED8hROMBSW.jpg")</f>
        <v>https://pbs.twimg.com/ext_tw_video_thumb/1678539771641995265/pu/img/OcFH7hED8hROMBSW.jpg</v>
      </c>
      <c r="AW1209" s="93" t="s">
        <v>19445</v>
      </c>
      <c r="AX1209" s="93" t="s">
        <v>19445</v>
      </c>
      <c r="AY1209" s="87"/>
      <c r="AZ1209" s="93" t="s">
        <v>22668</v>
      </c>
      <c r="BA1209" s="93" t="s">
        <v>22668</v>
      </c>
      <c r="BB1209" s="93" t="s">
        <v>22668</v>
      </c>
      <c r="BC1209" s="93" t="s">
        <v>19445</v>
      </c>
      <c r="BD1209" s="93" t="s">
        <v>23036</v>
      </c>
      <c r="BE1209" s="87"/>
      <c r="BF1209" s="87"/>
      <c r="BG1209" s="87"/>
      <c r="BH1209" s="87"/>
      <c r="BI1209" s="87"/>
    </row>
    <row r="1210" spans="1:61" x14ac:dyDescent="0.25">
      <c r="A1210" s="63" t="s">
        <v>643</v>
      </c>
      <c r="B1210" s="63" t="s">
        <v>643</v>
      </c>
      <c r="C1210" s="64"/>
      <c r="D1210" s="65"/>
      <c r="E1210" s="66"/>
      <c r="F1210" s="67"/>
      <c r="G1210" s="64"/>
      <c r="H1210" s="68"/>
      <c r="I1210" s="69"/>
      <c r="J1210" s="69"/>
      <c r="K1210" s="32"/>
      <c r="L1210" s="76">
        <v>1210</v>
      </c>
      <c r="M1210" s="76"/>
      <c r="N1210" s="71"/>
      <c r="O1210" s="87" t="s">
        <v>179</v>
      </c>
      <c r="P1210" s="90">
        <v>45117.875937500001</v>
      </c>
      <c r="Q1210" s="87" t="s">
        <v>3016</v>
      </c>
      <c r="R1210" s="87">
        <v>0</v>
      </c>
      <c r="S1210" s="87">
        <v>0</v>
      </c>
      <c r="T1210" s="87">
        <v>0</v>
      </c>
      <c r="U1210" s="87">
        <v>0</v>
      </c>
      <c r="V1210" s="87">
        <v>22</v>
      </c>
      <c r="W1210" s="93" t="s">
        <v>6707</v>
      </c>
      <c r="X1210" s="87"/>
      <c r="Y1210" s="87"/>
      <c r="Z1210" s="87"/>
      <c r="AA1210" s="87" t="s">
        <v>9371</v>
      </c>
      <c r="AB1210" s="87" t="s">
        <v>11447</v>
      </c>
      <c r="AC1210" s="93" t="s">
        <v>11460</v>
      </c>
      <c r="AD1210" s="87" t="s">
        <v>11519</v>
      </c>
      <c r="AE1210" s="92" t="str">
        <f>HYPERLINK("https://twitter.com/confeitariaana/status/1678509738550493190")</f>
        <v>https://twitter.com/confeitariaana/status/1678509738550493190</v>
      </c>
      <c r="AF1210" s="90">
        <v>45117.875937500001</v>
      </c>
      <c r="AG1210" s="99">
        <v>45117</v>
      </c>
      <c r="AH1210" s="93" t="s">
        <v>12649</v>
      </c>
      <c r="AI1210" s="87" t="b">
        <v>0</v>
      </c>
      <c r="AJ1210" s="87"/>
      <c r="AK1210" s="87"/>
      <c r="AL1210" s="87"/>
      <c r="AM1210" s="87"/>
      <c r="AN1210" s="87"/>
      <c r="AO1210" s="87"/>
      <c r="AP1210" s="87"/>
      <c r="AQ1210" s="87" t="s">
        <v>16184</v>
      </c>
      <c r="AR1210" s="87">
        <v>52900</v>
      </c>
      <c r="AS1210" s="87"/>
      <c r="AT1210" s="87"/>
      <c r="AU1210" s="87"/>
      <c r="AV1210" s="92" t="str">
        <f>HYPERLINK("https://pbs.twimg.com/ext_tw_video_thumb/1678509621701496839/pu/img/BydSXlmM8thkyJxG.jpg")</f>
        <v>https://pbs.twimg.com/ext_tw_video_thumb/1678509621701496839/pu/img/BydSXlmM8thkyJxG.jpg</v>
      </c>
      <c r="AW1210" s="93" t="s">
        <v>19446</v>
      </c>
      <c r="AX1210" s="93" t="s">
        <v>19446</v>
      </c>
      <c r="AY1210" s="87"/>
      <c r="AZ1210" s="93" t="s">
        <v>22668</v>
      </c>
      <c r="BA1210" s="93" t="s">
        <v>22668</v>
      </c>
      <c r="BB1210" s="93" t="s">
        <v>22668</v>
      </c>
      <c r="BC1210" s="93" t="s">
        <v>19446</v>
      </c>
      <c r="BD1210" s="93" t="s">
        <v>23036</v>
      </c>
      <c r="BE1210" s="87"/>
      <c r="BF1210" s="87"/>
      <c r="BG1210" s="87"/>
      <c r="BH1210" s="87"/>
      <c r="BI1210" s="87"/>
    </row>
    <row r="1211" spans="1:61" x14ac:dyDescent="0.25">
      <c r="A1211" s="63" t="s">
        <v>643</v>
      </c>
      <c r="B1211" s="63" t="s">
        <v>643</v>
      </c>
      <c r="C1211" s="64"/>
      <c r="D1211" s="65"/>
      <c r="E1211" s="66"/>
      <c r="F1211" s="67"/>
      <c r="G1211" s="64"/>
      <c r="H1211" s="68"/>
      <c r="I1211" s="69"/>
      <c r="J1211" s="69"/>
      <c r="K1211" s="32"/>
      <c r="L1211" s="76">
        <v>1211</v>
      </c>
      <c r="M1211" s="76"/>
      <c r="N1211" s="71"/>
      <c r="O1211" s="87" t="s">
        <v>179</v>
      </c>
      <c r="P1211" s="90">
        <v>45117.823576388888</v>
      </c>
      <c r="Q1211" s="87" t="s">
        <v>3017</v>
      </c>
      <c r="R1211" s="87">
        <v>0</v>
      </c>
      <c r="S1211" s="87">
        <v>0</v>
      </c>
      <c r="T1211" s="87">
        <v>0</v>
      </c>
      <c r="U1211" s="87">
        <v>0</v>
      </c>
      <c r="V1211" s="87">
        <v>11</v>
      </c>
      <c r="W1211" s="93" t="s">
        <v>6707</v>
      </c>
      <c r="X1211" s="87"/>
      <c r="Y1211" s="87"/>
      <c r="Z1211" s="87"/>
      <c r="AA1211" s="87" t="s">
        <v>9372</v>
      </c>
      <c r="AB1211" s="87" t="s">
        <v>11447</v>
      </c>
      <c r="AC1211" s="93" t="s">
        <v>11460</v>
      </c>
      <c r="AD1211" s="87" t="s">
        <v>11519</v>
      </c>
      <c r="AE1211" s="92" t="str">
        <f>HYPERLINK("https://twitter.com/confeitariaana/status/1678490761749225472")</f>
        <v>https://twitter.com/confeitariaana/status/1678490761749225472</v>
      </c>
      <c r="AF1211" s="90">
        <v>45117.823576388888</v>
      </c>
      <c r="AG1211" s="99">
        <v>45117</v>
      </c>
      <c r="AH1211" s="93" t="s">
        <v>12650</v>
      </c>
      <c r="AI1211" s="87" t="b">
        <v>0</v>
      </c>
      <c r="AJ1211" s="87"/>
      <c r="AK1211" s="87"/>
      <c r="AL1211" s="87"/>
      <c r="AM1211" s="87"/>
      <c r="AN1211" s="87"/>
      <c r="AO1211" s="87"/>
      <c r="AP1211" s="87"/>
      <c r="AQ1211" s="87" t="s">
        <v>16185</v>
      </c>
      <c r="AR1211" s="87">
        <v>47000</v>
      </c>
      <c r="AS1211" s="87"/>
      <c r="AT1211" s="87"/>
      <c r="AU1211" s="87"/>
      <c r="AV1211" s="92" t="str">
        <f>HYPERLINK("https://pbs.twimg.com/ext_tw_video_thumb/1678490652139569152/pu/img/n1ZNR0xh5DqoWAFk.jpg")</f>
        <v>https://pbs.twimg.com/ext_tw_video_thumb/1678490652139569152/pu/img/n1ZNR0xh5DqoWAFk.jpg</v>
      </c>
      <c r="AW1211" s="93" t="s">
        <v>19447</v>
      </c>
      <c r="AX1211" s="93" t="s">
        <v>19447</v>
      </c>
      <c r="AY1211" s="87"/>
      <c r="AZ1211" s="93" t="s">
        <v>22668</v>
      </c>
      <c r="BA1211" s="93" t="s">
        <v>22668</v>
      </c>
      <c r="BB1211" s="93" t="s">
        <v>22668</v>
      </c>
      <c r="BC1211" s="93" t="s">
        <v>19447</v>
      </c>
      <c r="BD1211" s="93" t="s">
        <v>23036</v>
      </c>
      <c r="BE1211" s="87"/>
      <c r="BF1211" s="87"/>
      <c r="BG1211" s="87"/>
      <c r="BH1211" s="87"/>
      <c r="BI1211" s="87"/>
    </row>
    <row r="1212" spans="1:61" x14ac:dyDescent="0.25">
      <c r="A1212" s="63" t="s">
        <v>643</v>
      </c>
      <c r="B1212" s="63" t="s">
        <v>643</v>
      </c>
      <c r="C1212" s="64"/>
      <c r="D1212" s="65"/>
      <c r="E1212" s="66"/>
      <c r="F1212" s="67"/>
      <c r="G1212" s="64"/>
      <c r="H1212" s="68"/>
      <c r="I1212" s="69"/>
      <c r="J1212" s="69"/>
      <c r="K1212" s="32"/>
      <c r="L1212" s="76">
        <v>1212</v>
      </c>
      <c r="M1212" s="76"/>
      <c r="N1212" s="71"/>
      <c r="O1212" s="87" t="s">
        <v>179</v>
      </c>
      <c r="P1212" s="90">
        <v>45116.875798611109</v>
      </c>
      <c r="Q1212" s="87" t="s">
        <v>3018</v>
      </c>
      <c r="R1212" s="87">
        <v>1</v>
      </c>
      <c r="S1212" s="87">
        <v>1</v>
      </c>
      <c r="T1212" s="87">
        <v>0</v>
      </c>
      <c r="U1212" s="87">
        <v>0</v>
      </c>
      <c r="V1212" s="87">
        <v>72</v>
      </c>
      <c r="W1212" s="93" t="s">
        <v>6707</v>
      </c>
      <c r="X1212" s="87"/>
      <c r="Y1212" s="87"/>
      <c r="Z1212" s="87"/>
      <c r="AA1212" s="87" t="s">
        <v>9373</v>
      </c>
      <c r="AB1212" s="87" t="s">
        <v>11447</v>
      </c>
      <c r="AC1212" s="93" t="s">
        <v>11460</v>
      </c>
      <c r="AD1212" s="87" t="s">
        <v>11519</v>
      </c>
      <c r="AE1212" s="92" t="str">
        <f>HYPERLINK("https://twitter.com/confeitariaana/status/1678147299489333248")</f>
        <v>https://twitter.com/confeitariaana/status/1678147299489333248</v>
      </c>
      <c r="AF1212" s="90">
        <v>45116.875798611109</v>
      </c>
      <c r="AG1212" s="99">
        <v>45116</v>
      </c>
      <c r="AH1212" s="93" t="s">
        <v>12651</v>
      </c>
      <c r="AI1212" s="87" t="b">
        <v>0</v>
      </c>
      <c r="AJ1212" s="87"/>
      <c r="AK1212" s="87"/>
      <c r="AL1212" s="87"/>
      <c r="AM1212" s="87"/>
      <c r="AN1212" s="87"/>
      <c r="AO1212" s="87"/>
      <c r="AP1212" s="87"/>
      <c r="AQ1212" s="87" t="s">
        <v>16186</v>
      </c>
      <c r="AR1212" s="87">
        <v>59306</v>
      </c>
      <c r="AS1212" s="87"/>
      <c r="AT1212" s="87"/>
      <c r="AU1212" s="87"/>
      <c r="AV1212" s="92" t="str">
        <f>HYPERLINK("https://pbs.twimg.com/ext_tw_video_thumb/1678147219327680513/pu/img/Az9IERkHENKEPXIO.jpg")</f>
        <v>https://pbs.twimg.com/ext_tw_video_thumb/1678147219327680513/pu/img/Az9IERkHENKEPXIO.jpg</v>
      </c>
      <c r="AW1212" s="93" t="s">
        <v>19448</v>
      </c>
      <c r="AX1212" s="93" t="s">
        <v>19448</v>
      </c>
      <c r="AY1212" s="87"/>
      <c r="AZ1212" s="93" t="s">
        <v>22668</v>
      </c>
      <c r="BA1212" s="93" t="s">
        <v>22668</v>
      </c>
      <c r="BB1212" s="93" t="s">
        <v>22668</v>
      </c>
      <c r="BC1212" s="93" t="s">
        <v>19448</v>
      </c>
      <c r="BD1212" s="93" t="s">
        <v>23036</v>
      </c>
      <c r="BE1212" s="87"/>
      <c r="BF1212" s="87"/>
      <c r="BG1212" s="87"/>
      <c r="BH1212" s="87"/>
      <c r="BI1212" s="87"/>
    </row>
    <row r="1213" spans="1:61" x14ac:dyDescent="0.25">
      <c r="A1213" s="63" t="s">
        <v>643</v>
      </c>
      <c r="B1213" s="63" t="s">
        <v>643</v>
      </c>
      <c r="C1213" s="64"/>
      <c r="D1213" s="65"/>
      <c r="E1213" s="66"/>
      <c r="F1213" s="67"/>
      <c r="G1213" s="64"/>
      <c r="H1213" s="68"/>
      <c r="I1213" s="69"/>
      <c r="J1213" s="69"/>
      <c r="K1213" s="32"/>
      <c r="L1213" s="76">
        <v>1213</v>
      </c>
      <c r="M1213" s="76"/>
      <c r="N1213" s="71"/>
      <c r="O1213" s="87" t="s">
        <v>179</v>
      </c>
      <c r="P1213" s="90">
        <v>45116.750856481478</v>
      </c>
      <c r="Q1213" s="87" t="s">
        <v>3019</v>
      </c>
      <c r="R1213" s="87">
        <v>0</v>
      </c>
      <c r="S1213" s="87">
        <v>0</v>
      </c>
      <c r="T1213" s="87">
        <v>1</v>
      </c>
      <c r="U1213" s="87">
        <v>0</v>
      </c>
      <c r="V1213" s="87">
        <v>25</v>
      </c>
      <c r="W1213" s="93" t="s">
        <v>6707</v>
      </c>
      <c r="X1213" s="87"/>
      <c r="Y1213" s="87"/>
      <c r="Z1213" s="87"/>
      <c r="AA1213" s="87" t="s">
        <v>9374</v>
      </c>
      <c r="AB1213" s="87" t="s">
        <v>11447</v>
      </c>
      <c r="AC1213" s="93" t="s">
        <v>11460</v>
      </c>
      <c r="AD1213" s="87" t="s">
        <v>11519</v>
      </c>
      <c r="AE1213" s="92" t="str">
        <f>HYPERLINK("https://twitter.com/confeitariaana/status/1678102023391019008")</f>
        <v>https://twitter.com/confeitariaana/status/1678102023391019008</v>
      </c>
      <c r="AF1213" s="90">
        <v>45116.750856481478</v>
      </c>
      <c r="AG1213" s="99">
        <v>45116</v>
      </c>
      <c r="AH1213" s="93" t="s">
        <v>12652</v>
      </c>
      <c r="AI1213" s="87" t="b">
        <v>0</v>
      </c>
      <c r="AJ1213" s="87"/>
      <c r="AK1213" s="87"/>
      <c r="AL1213" s="87"/>
      <c r="AM1213" s="87"/>
      <c r="AN1213" s="87"/>
      <c r="AO1213" s="87"/>
      <c r="AP1213" s="87"/>
      <c r="AQ1213" s="87" t="s">
        <v>16187</v>
      </c>
      <c r="AR1213" s="87">
        <v>58645</v>
      </c>
      <c r="AS1213" s="87"/>
      <c r="AT1213" s="87"/>
      <c r="AU1213" s="87"/>
      <c r="AV1213" s="92" t="str">
        <f>HYPERLINK("https://pbs.twimg.com/ext_tw_video_thumb/1678101882097606657/pu/img/qeg3mJmx3j7FJulb.jpg")</f>
        <v>https://pbs.twimg.com/ext_tw_video_thumb/1678101882097606657/pu/img/qeg3mJmx3j7FJulb.jpg</v>
      </c>
      <c r="AW1213" s="93" t="s">
        <v>19449</v>
      </c>
      <c r="AX1213" s="93" t="s">
        <v>19449</v>
      </c>
      <c r="AY1213" s="87"/>
      <c r="AZ1213" s="93" t="s">
        <v>22668</v>
      </c>
      <c r="BA1213" s="93" t="s">
        <v>22668</v>
      </c>
      <c r="BB1213" s="93" t="s">
        <v>22668</v>
      </c>
      <c r="BC1213" s="93" t="s">
        <v>19449</v>
      </c>
      <c r="BD1213" s="93" t="s">
        <v>23036</v>
      </c>
      <c r="BE1213" s="87"/>
      <c r="BF1213" s="87"/>
      <c r="BG1213" s="87"/>
      <c r="BH1213" s="87"/>
      <c r="BI1213" s="87"/>
    </row>
    <row r="1214" spans="1:61" x14ac:dyDescent="0.25">
      <c r="A1214" s="63" t="s">
        <v>643</v>
      </c>
      <c r="B1214" s="63" t="s">
        <v>643</v>
      </c>
      <c r="C1214" s="64"/>
      <c r="D1214" s="65"/>
      <c r="E1214" s="66"/>
      <c r="F1214" s="67"/>
      <c r="G1214" s="64"/>
      <c r="H1214" s="68"/>
      <c r="I1214" s="69"/>
      <c r="J1214" s="69"/>
      <c r="K1214" s="32"/>
      <c r="L1214" s="76">
        <v>1214</v>
      </c>
      <c r="M1214" s="76"/>
      <c r="N1214" s="71"/>
      <c r="O1214" s="87" t="s">
        <v>179</v>
      </c>
      <c r="P1214" s="90">
        <v>45116.584085648145</v>
      </c>
      <c r="Q1214" s="87" t="s">
        <v>3020</v>
      </c>
      <c r="R1214" s="87">
        <v>0</v>
      </c>
      <c r="S1214" s="87">
        <v>0</v>
      </c>
      <c r="T1214" s="87">
        <v>0</v>
      </c>
      <c r="U1214" s="87">
        <v>0</v>
      </c>
      <c r="V1214" s="87">
        <v>33</v>
      </c>
      <c r="W1214" s="93" t="s">
        <v>6707</v>
      </c>
      <c r="X1214" s="87"/>
      <c r="Y1214" s="87"/>
      <c r="Z1214" s="87"/>
      <c r="AA1214" s="87" t="s">
        <v>9375</v>
      </c>
      <c r="AB1214" s="87" t="s">
        <v>11447</v>
      </c>
      <c r="AC1214" s="93" t="s">
        <v>11460</v>
      </c>
      <c r="AD1214" s="87" t="s">
        <v>11519</v>
      </c>
      <c r="AE1214" s="92" t="str">
        <f>HYPERLINK("https://twitter.com/confeitariaana/status/1678041585844465666")</f>
        <v>https://twitter.com/confeitariaana/status/1678041585844465666</v>
      </c>
      <c r="AF1214" s="90">
        <v>45116.584085648145</v>
      </c>
      <c r="AG1214" s="99">
        <v>45116</v>
      </c>
      <c r="AH1214" s="93" t="s">
        <v>12653</v>
      </c>
      <c r="AI1214" s="87" t="b">
        <v>0</v>
      </c>
      <c r="AJ1214" s="87"/>
      <c r="AK1214" s="87"/>
      <c r="AL1214" s="87"/>
      <c r="AM1214" s="87"/>
      <c r="AN1214" s="87"/>
      <c r="AO1214" s="87"/>
      <c r="AP1214" s="87"/>
      <c r="AQ1214" s="87" t="s">
        <v>16188</v>
      </c>
      <c r="AR1214" s="87">
        <v>59882</v>
      </c>
      <c r="AS1214" s="87"/>
      <c r="AT1214" s="87"/>
      <c r="AU1214" s="87"/>
      <c r="AV1214" s="92" t="str">
        <f>HYPERLINK("https://pbs.twimg.com/ext_tw_video_thumb/1678041509038374912/pu/img/Z40rmZljYtw3dV_2.jpg")</f>
        <v>https://pbs.twimg.com/ext_tw_video_thumb/1678041509038374912/pu/img/Z40rmZljYtw3dV_2.jpg</v>
      </c>
      <c r="AW1214" s="93" t="s">
        <v>19450</v>
      </c>
      <c r="AX1214" s="93" t="s">
        <v>19450</v>
      </c>
      <c r="AY1214" s="87"/>
      <c r="AZ1214" s="93" t="s">
        <v>22668</v>
      </c>
      <c r="BA1214" s="93" t="s">
        <v>22668</v>
      </c>
      <c r="BB1214" s="93" t="s">
        <v>22668</v>
      </c>
      <c r="BC1214" s="93" t="s">
        <v>19450</v>
      </c>
      <c r="BD1214" s="93" t="s">
        <v>23036</v>
      </c>
      <c r="BE1214" s="87"/>
      <c r="BF1214" s="87"/>
      <c r="BG1214" s="87"/>
      <c r="BH1214" s="87"/>
      <c r="BI1214" s="87"/>
    </row>
    <row r="1215" spans="1:61" x14ac:dyDescent="0.25">
      <c r="A1215" s="63" t="s">
        <v>643</v>
      </c>
      <c r="B1215" s="63" t="s">
        <v>643</v>
      </c>
      <c r="C1215" s="64"/>
      <c r="D1215" s="65"/>
      <c r="E1215" s="66"/>
      <c r="F1215" s="67"/>
      <c r="G1215" s="64"/>
      <c r="H1215" s="68"/>
      <c r="I1215" s="69"/>
      <c r="J1215" s="69"/>
      <c r="K1215" s="32"/>
      <c r="L1215" s="76">
        <v>1215</v>
      </c>
      <c r="M1215" s="76"/>
      <c r="N1215" s="71"/>
      <c r="O1215" s="87" t="s">
        <v>179</v>
      </c>
      <c r="P1215" s="90">
        <v>45115.875763888886</v>
      </c>
      <c r="Q1215" s="87" t="s">
        <v>3021</v>
      </c>
      <c r="R1215" s="87">
        <v>0</v>
      </c>
      <c r="S1215" s="87">
        <v>0</v>
      </c>
      <c r="T1215" s="87">
        <v>0</v>
      </c>
      <c r="U1215" s="87">
        <v>0</v>
      </c>
      <c r="V1215" s="87">
        <v>28</v>
      </c>
      <c r="W1215" s="93" t="s">
        <v>6707</v>
      </c>
      <c r="X1215" s="87"/>
      <c r="Y1215" s="87"/>
      <c r="Z1215" s="87"/>
      <c r="AA1215" s="87" t="s">
        <v>9376</v>
      </c>
      <c r="AB1215" s="87" t="s">
        <v>11447</v>
      </c>
      <c r="AC1215" s="93" t="s">
        <v>11460</v>
      </c>
      <c r="AD1215" s="87" t="s">
        <v>11519</v>
      </c>
      <c r="AE1215" s="92" t="str">
        <f>HYPERLINK("https://twitter.com/confeitariaana/status/1677784898151563266")</f>
        <v>https://twitter.com/confeitariaana/status/1677784898151563266</v>
      </c>
      <c r="AF1215" s="90">
        <v>45115.875763888886</v>
      </c>
      <c r="AG1215" s="99">
        <v>45115</v>
      </c>
      <c r="AH1215" s="93" t="s">
        <v>12654</v>
      </c>
      <c r="AI1215" s="87" t="b">
        <v>0</v>
      </c>
      <c r="AJ1215" s="87"/>
      <c r="AK1215" s="87"/>
      <c r="AL1215" s="87"/>
      <c r="AM1215" s="87"/>
      <c r="AN1215" s="87"/>
      <c r="AO1215" s="87"/>
      <c r="AP1215" s="87"/>
      <c r="AQ1215" s="87" t="s">
        <v>16189</v>
      </c>
      <c r="AR1215" s="87">
        <v>59413</v>
      </c>
      <c r="AS1215" s="87"/>
      <c r="AT1215" s="87"/>
      <c r="AU1215" s="87"/>
      <c r="AV1215" s="92" t="str">
        <f>HYPERLINK("https://pbs.twimg.com/ext_tw_video_thumb/1677784821794234369/pu/img/voD3fvJ-4XOL7_6p.jpg")</f>
        <v>https://pbs.twimg.com/ext_tw_video_thumb/1677784821794234369/pu/img/voD3fvJ-4XOL7_6p.jpg</v>
      </c>
      <c r="AW1215" s="93" t="s">
        <v>19451</v>
      </c>
      <c r="AX1215" s="93" t="s">
        <v>19451</v>
      </c>
      <c r="AY1215" s="87"/>
      <c r="AZ1215" s="93" t="s">
        <v>22668</v>
      </c>
      <c r="BA1215" s="93" t="s">
        <v>22668</v>
      </c>
      <c r="BB1215" s="93" t="s">
        <v>22668</v>
      </c>
      <c r="BC1215" s="93" t="s">
        <v>19451</v>
      </c>
      <c r="BD1215" s="93" t="s">
        <v>23036</v>
      </c>
      <c r="BE1215" s="87"/>
      <c r="BF1215" s="87"/>
      <c r="BG1215" s="87"/>
      <c r="BH1215" s="87"/>
      <c r="BI1215" s="87"/>
    </row>
    <row r="1216" spans="1:61" x14ac:dyDescent="0.25">
      <c r="A1216" s="63" t="s">
        <v>643</v>
      </c>
      <c r="B1216" s="63" t="s">
        <v>643</v>
      </c>
      <c r="C1216" s="64"/>
      <c r="D1216" s="65"/>
      <c r="E1216" s="66"/>
      <c r="F1216" s="67"/>
      <c r="G1216" s="64"/>
      <c r="H1216" s="68"/>
      <c r="I1216" s="69"/>
      <c r="J1216" s="69"/>
      <c r="K1216" s="32"/>
      <c r="L1216" s="76">
        <v>1216</v>
      </c>
      <c r="M1216" s="76"/>
      <c r="N1216" s="71"/>
      <c r="O1216" s="87" t="s">
        <v>179</v>
      </c>
      <c r="P1216" s="90">
        <v>45115.750706018516</v>
      </c>
      <c r="Q1216" s="87" t="s">
        <v>3022</v>
      </c>
      <c r="R1216" s="87">
        <v>0</v>
      </c>
      <c r="S1216" s="87">
        <v>0</v>
      </c>
      <c r="T1216" s="87">
        <v>0</v>
      </c>
      <c r="U1216" s="87">
        <v>0</v>
      </c>
      <c r="V1216" s="87">
        <v>23</v>
      </c>
      <c r="W1216" s="93" t="s">
        <v>6707</v>
      </c>
      <c r="X1216" s="87"/>
      <c r="Y1216" s="87"/>
      <c r="Z1216" s="87"/>
      <c r="AA1216" s="87" t="s">
        <v>9377</v>
      </c>
      <c r="AB1216" s="87" t="s">
        <v>11447</v>
      </c>
      <c r="AC1216" s="93" t="s">
        <v>11460</v>
      </c>
      <c r="AD1216" s="87" t="s">
        <v>11519</v>
      </c>
      <c r="AE1216" s="92" t="str">
        <f>HYPERLINK("https://twitter.com/confeitariaana/status/1677739581662265346")</f>
        <v>https://twitter.com/confeitariaana/status/1677739581662265346</v>
      </c>
      <c r="AF1216" s="90">
        <v>45115.750706018516</v>
      </c>
      <c r="AG1216" s="99">
        <v>45115</v>
      </c>
      <c r="AH1216" s="93" t="s">
        <v>12655</v>
      </c>
      <c r="AI1216" s="87" t="b">
        <v>0</v>
      </c>
      <c r="AJ1216" s="87"/>
      <c r="AK1216" s="87"/>
      <c r="AL1216" s="87"/>
      <c r="AM1216" s="87"/>
      <c r="AN1216" s="87"/>
      <c r="AO1216" s="87"/>
      <c r="AP1216" s="87"/>
      <c r="AQ1216" s="87" t="s">
        <v>16190</v>
      </c>
      <c r="AR1216" s="87">
        <v>59968</v>
      </c>
      <c r="AS1216" s="87"/>
      <c r="AT1216" s="87"/>
      <c r="AU1216" s="87"/>
      <c r="AV1216" s="92" t="str">
        <f>HYPERLINK("https://pbs.twimg.com/ext_tw_video_thumb/1677739509008482305/pu/img/gGXQ6-fq5b2g3xk8.jpg")</f>
        <v>https://pbs.twimg.com/ext_tw_video_thumb/1677739509008482305/pu/img/gGXQ6-fq5b2g3xk8.jpg</v>
      </c>
      <c r="AW1216" s="93" t="s">
        <v>19452</v>
      </c>
      <c r="AX1216" s="93" t="s">
        <v>19452</v>
      </c>
      <c r="AY1216" s="87"/>
      <c r="AZ1216" s="93" t="s">
        <v>22668</v>
      </c>
      <c r="BA1216" s="93" t="s">
        <v>22668</v>
      </c>
      <c r="BB1216" s="93" t="s">
        <v>22668</v>
      </c>
      <c r="BC1216" s="93" t="s">
        <v>19452</v>
      </c>
      <c r="BD1216" s="93" t="s">
        <v>23036</v>
      </c>
      <c r="BE1216" s="87"/>
      <c r="BF1216" s="87"/>
      <c r="BG1216" s="87"/>
      <c r="BH1216" s="87"/>
      <c r="BI1216" s="87"/>
    </row>
    <row r="1217" spans="1:61" x14ac:dyDescent="0.25">
      <c r="A1217" s="63" t="s">
        <v>643</v>
      </c>
      <c r="B1217" s="63" t="s">
        <v>643</v>
      </c>
      <c r="C1217" s="64"/>
      <c r="D1217" s="65"/>
      <c r="E1217" s="66"/>
      <c r="F1217" s="67"/>
      <c r="G1217" s="64"/>
      <c r="H1217" s="68"/>
      <c r="I1217" s="69"/>
      <c r="J1217" s="69"/>
      <c r="K1217" s="32"/>
      <c r="L1217" s="76">
        <v>1217</v>
      </c>
      <c r="M1217" s="76"/>
      <c r="N1217" s="71"/>
      <c r="O1217" s="87" t="s">
        <v>179</v>
      </c>
      <c r="P1217" s="90">
        <v>45115.584039351852</v>
      </c>
      <c r="Q1217" s="87" t="s">
        <v>3023</v>
      </c>
      <c r="R1217" s="87">
        <v>0</v>
      </c>
      <c r="S1217" s="87">
        <v>0</v>
      </c>
      <c r="T1217" s="87">
        <v>0</v>
      </c>
      <c r="U1217" s="87">
        <v>0</v>
      </c>
      <c r="V1217" s="87">
        <v>18</v>
      </c>
      <c r="W1217" s="93" t="s">
        <v>6707</v>
      </c>
      <c r="X1217" s="87"/>
      <c r="Y1217" s="87"/>
      <c r="Z1217" s="87"/>
      <c r="AA1217" s="87" t="s">
        <v>9378</v>
      </c>
      <c r="AB1217" s="87" t="s">
        <v>11447</v>
      </c>
      <c r="AC1217" s="93" t="s">
        <v>11460</v>
      </c>
      <c r="AD1217" s="87" t="s">
        <v>11519</v>
      </c>
      <c r="AE1217" s="92" t="str">
        <f>HYPERLINK("https://twitter.com/confeitariaana/status/1677679184439640064")</f>
        <v>https://twitter.com/confeitariaana/status/1677679184439640064</v>
      </c>
      <c r="AF1217" s="90">
        <v>45115.584039351852</v>
      </c>
      <c r="AG1217" s="99">
        <v>45115</v>
      </c>
      <c r="AH1217" s="93" t="s">
        <v>12656</v>
      </c>
      <c r="AI1217" s="87" t="b">
        <v>0</v>
      </c>
      <c r="AJ1217" s="87"/>
      <c r="AK1217" s="87"/>
      <c r="AL1217" s="87"/>
      <c r="AM1217" s="87"/>
      <c r="AN1217" s="87"/>
      <c r="AO1217" s="87"/>
      <c r="AP1217" s="87"/>
      <c r="AQ1217" s="87" t="s">
        <v>16191</v>
      </c>
      <c r="AR1217" s="87">
        <v>59712</v>
      </c>
      <c r="AS1217" s="87"/>
      <c r="AT1217" s="87"/>
      <c r="AU1217" s="87"/>
      <c r="AV1217" s="92" t="str">
        <f>HYPERLINK("https://pbs.twimg.com/ext_tw_video_thumb/1677679107272736768/pu/img/Vgz6kTFhL_ycWtdC.jpg")</f>
        <v>https://pbs.twimg.com/ext_tw_video_thumb/1677679107272736768/pu/img/Vgz6kTFhL_ycWtdC.jpg</v>
      </c>
      <c r="AW1217" s="93" t="s">
        <v>19453</v>
      </c>
      <c r="AX1217" s="93" t="s">
        <v>19453</v>
      </c>
      <c r="AY1217" s="87"/>
      <c r="AZ1217" s="93" t="s">
        <v>22668</v>
      </c>
      <c r="BA1217" s="93" t="s">
        <v>22668</v>
      </c>
      <c r="BB1217" s="93" t="s">
        <v>22668</v>
      </c>
      <c r="BC1217" s="93" t="s">
        <v>19453</v>
      </c>
      <c r="BD1217" s="93" t="s">
        <v>23036</v>
      </c>
      <c r="BE1217" s="87"/>
      <c r="BF1217" s="87"/>
      <c r="BG1217" s="87"/>
      <c r="BH1217" s="87"/>
      <c r="BI1217" s="87"/>
    </row>
    <row r="1218" spans="1:61" x14ac:dyDescent="0.25">
      <c r="A1218" s="63" t="s">
        <v>643</v>
      </c>
      <c r="B1218" s="63" t="s">
        <v>643</v>
      </c>
      <c r="C1218" s="64"/>
      <c r="D1218" s="65"/>
      <c r="E1218" s="66"/>
      <c r="F1218" s="67"/>
      <c r="G1218" s="64"/>
      <c r="H1218" s="68"/>
      <c r="I1218" s="69"/>
      <c r="J1218" s="69"/>
      <c r="K1218" s="32"/>
      <c r="L1218" s="76">
        <v>1218</v>
      </c>
      <c r="M1218" s="76"/>
      <c r="N1218" s="71"/>
      <c r="O1218" s="87" t="s">
        <v>179</v>
      </c>
      <c r="P1218" s="90">
        <v>45131.594618055555</v>
      </c>
      <c r="Q1218" s="87" t="s">
        <v>3024</v>
      </c>
      <c r="R1218" s="87">
        <v>0</v>
      </c>
      <c r="S1218" s="87">
        <v>1</v>
      </c>
      <c r="T1218" s="87">
        <v>0</v>
      </c>
      <c r="U1218" s="87">
        <v>0</v>
      </c>
      <c r="V1218" s="87">
        <v>50</v>
      </c>
      <c r="W1218" s="93" t="s">
        <v>6707</v>
      </c>
      <c r="X1218" s="87"/>
      <c r="Y1218" s="87"/>
      <c r="Z1218" s="87"/>
      <c r="AA1218" s="87" t="s">
        <v>9379</v>
      </c>
      <c r="AB1218" s="87" t="s">
        <v>11447</v>
      </c>
      <c r="AC1218" s="93" t="s">
        <v>11460</v>
      </c>
      <c r="AD1218" s="87" t="s">
        <v>11519</v>
      </c>
      <c r="AE1218" s="92" t="str">
        <f>HYPERLINK("https://twitter.com/confeitariaana/status/1683481222587068425")</f>
        <v>https://twitter.com/confeitariaana/status/1683481222587068425</v>
      </c>
      <c r="AF1218" s="90">
        <v>45131.594618055555</v>
      </c>
      <c r="AG1218" s="99">
        <v>45131</v>
      </c>
      <c r="AH1218" s="93" t="s">
        <v>12657</v>
      </c>
      <c r="AI1218" s="87" t="b">
        <v>0</v>
      </c>
      <c r="AJ1218" s="87"/>
      <c r="AK1218" s="87"/>
      <c r="AL1218" s="87"/>
      <c r="AM1218" s="87"/>
      <c r="AN1218" s="87"/>
      <c r="AO1218" s="87"/>
      <c r="AP1218" s="87"/>
      <c r="AQ1218" s="87" t="s">
        <v>16192</v>
      </c>
      <c r="AR1218" s="87">
        <v>59833</v>
      </c>
      <c r="AS1218" s="87"/>
      <c r="AT1218" s="87"/>
      <c r="AU1218" s="87"/>
      <c r="AV1218" s="92" t="str">
        <f>HYPERLINK("https://pbs.twimg.com/ext_tw_video_thumb/1683481070501609479/pu/img/dR6xuMUdoD04ugSh.jpg")</f>
        <v>https://pbs.twimg.com/ext_tw_video_thumb/1683481070501609479/pu/img/dR6xuMUdoD04ugSh.jpg</v>
      </c>
      <c r="AW1218" s="93" t="s">
        <v>19454</v>
      </c>
      <c r="AX1218" s="93" t="s">
        <v>19454</v>
      </c>
      <c r="AY1218" s="87"/>
      <c r="AZ1218" s="93" t="s">
        <v>22668</v>
      </c>
      <c r="BA1218" s="93" t="s">
        <v>22668</v>
      </c>
      <c r="BB1218" s="93" t="s">
        <v>22668</v>
      </c>
      <c r="BC1218" s="93" t="s">
        <v>19454</v>
      </c>
      <c r="BD1218" s="93" t="s">
        <v>23036</v>
      </c>
      <c r="BE1218" s="87"/>
      <c r="BF1218" s="87"/>
      <c r="BG1218" s="87"/>
      <c r="BH1218" s="87"/>
      <c r="BI1218" s="87"/>
    </row>
    <row r="1219" spans="1:61" x14ac:dyDescent="0.25">
      <c r="A1219" s="63" t="s">
        <v>643</v>
      </c>
      <c r="B1219" s="63" t="s">
        <v>643</v>
      </c>
      <c r="C1219" s="64"/>
      <c r="D1219" s="65"/>
      <c r="E1219" s="66"/>
      <c r="F1219" s="67"/>
      <c r="G1219" s="64"/>
      <c r="H1219" s="68"/>
      <c r="I1219" s="69"/>
      <c r="J1219" s="69"/>
      <c r="K1219" s="32"/>
      <c r="L1219" s="76">
        <v>1219</v>
      </c>
      <c r="M1219" s="76"/>
      <c r="N1219" s="71"/>
      <c r="O1219" s="87" t="s">
        <v>179</v>
      </c>
      <c r="P1219" s="90">
        <v>45131.590879629628</v>
      </c>
      <c r="Q1219" s="87" t="s">
        <v>3025</v>
      </c>
      <c r="R1219" s="87">
        <v>0</v>
      </c>
      <c r="S1219" s="87">
        <v>0</v>
      </c>
      <c r="T1219" s="87">
        <v>0</v>
      </c>
      <c r="U1219" s="87">
        <v>0</v>
      </c>
      <c r="V1219" s="87">
        <v>20</v>
      </c>
      <c r="W1219" s="93" t="s">
        <v>6707</v>
      </c>
      <c r="X1219" s="87"/>
      <c r="Y1219" s="87"/>
      <c r="Z1219" s="87"/>
      <c r="AA1219" s="87" t="s">
        <v>9380</v>
      </c>
      <c r="AB1219" s="87" t="s">
        <v>11447</v>
      </c>
      <c r="AC1219" s="93" t="s">
        <v>11460</v>
      </c>
      <c r="AD1219" s="87" t="s">
        <v>11519</v>
      </c>
      <c r="AE1219" s="92" t="str">
        <f>HYPERLINK("https://twitter.com/confeitariaana/status/1683479868774793222")</f>
        <v>https://twitter.com/confeitariaana/status/1683479868774793222</v>
      </c>
      <c r="AF1219" s="90">
        <v>45131.590879629628</v>
      </c>
      <c r="AG1219" s="99">
        <v>45131</v>
      </c>
      <c r="AH1219" s="93" t="s">
        <v>12658</v>
      </c>
      <c r="AI1219" s="87" t="b">
        <v>0</v>
      </c>
      <c r="AJ1219" s="87"/>
      <c r="AK1219" s="87"/>
      <c r="AL1219" s="87"/>
      <c r="AM1219" s="87"/>
      <c r="AN1219" s="87"/>
      <c r="AO1219" s="87"/>
      <c r="AP1219" s="87"/>
      <c r="AQ1219" s="87" t="s">
        <v>16193</v>
      </c>
      <c r="AR1219" s="87">
        <v>59833</v>
      </c>
      <c r="AS1219" s="87"/>
      <c r="AT1219" s="87"/>
      <c r="AU1219" s="87"/>
      <c r="AV1219" s="92" t="str">
        <f>HYPERLINK("https://pbs.twimg.com/ext_tw_video_thumb/1683479717666516993/pu/img/rXrn8j7IHoCtOnC5.jpg")</f>
        <v>https://pbs.twimg.com/ext_tw_video_thumb/1683479717666516993/pu/img/rXrn8j7IHoCtOnC5.jpg</v>
      </c>
      <c r="AW1219" s="93" t="s">
        <v>19455</v>
      </c>
      <c r="AX1219" s="93" t="s">
        <v>19455</v>
      </c>
      <c r="AY1219" s="87"/>
      <c r="AZ1219" s="93" t="s">
        <v>22668</v>
      </c>
      <c r="BA1219" s="93" t="s">
        <v>22668</v>
      </c>
      <c r="BB1219" s="93" t="s">
        <v>22668</v>
      </c>
      <c r="BC1219" s="93" t="s">
        <v>19455</v>
      </c>
      <c r="BD1219" s="93" t="s">
        <v>23036</v>
      </c>
      <c r="BE1219" s="87"/>
      <c r="BF1219" s="87"/>
      <c r="BG1219" s="87"/>
      <c r="BH1219" s="87"/>
      <c r="BI1219" s="87"/>
    </row>
    <row r="1220" spans="1:61" x14ac:dyDescent="0.25">
      <c r="A1220" s="63" t="s">
        <v>643</v>
      </c>
      <c r="B1220" s="63" t="s">
        <v>643</v>
      </c>
      <c r="C1220" s="64"/>
      <c r="D1220" s="65"/>
      <c r="E1220" s="66"/>
      <c r="F1220" s="67"/>
      <c r="G1220" s="64"/>
      <c r="H1220" s="68"/>
      <c r="I1220" s="69"/>
      <c r="J1220" s="69"/>
      <c r="K1220" s="32"/>
      <c r="L1220" s="76">
        <v>1220</v>
      </c>
      <c r="M1220" s="76"/>
      <c r="N1220" s="71"/>
      <c r="O1220" s="87" t="s">
        <v>179</v>
      </c>
      <c r="P1220" s="90">
        <v>45130.750856481478</v>
      </c>
      <c r="Q1220" s="87" t="s">
        <v>3026</v>
      </c>
      <c r="R1220" s="87">
        <v>0</v>
      </c>
      <c r="S1220" s="87">
        <v>0</v>
      </c>
      <c r="T1220" s="87">
        <v>0</v>
      </c>
      <c r="U1220" s="87">
        <v>0</v>
      </c>
      <c r="V1220" s="87">
        <v>32</v>
      </c>
      <c r="W1220" s="93" t="s">
        <v>6707</v>
      </c>
      <c r="X1220" s="87"/>
      <c r="Y1220" s="87"/>
      <c r="Z1220" s="87"/>
      <c r="AA1220" s="87" t="s">
        <v>9381</v>
      </c>
      <c r="AB1220" s="87" t="s">
        <v>11447</v>
      </c>
      <c r="AC1220" s="93" t="s">
        <v>11460</v>
      </c>
      <c r="AD1220" s="87" t="s">
        <v>11519</v>
      </c>
      <c r="AE1220" s="92" t="str">
        <f>HYPERLINK("https://twitter.com/confeitariaana/status/1683175452641247233")</f>
        <v>https://twitter.com/confeitariaana/status/1683175452641247233</v>
      </c>
      <c r="AF1220" s="90">
        <v>45130.750856481478</v>
      </c>
      <c r="AG1220" s="99">
        <v>45130</v>
      </c>
      <c r="AH1220" s="93" t="s">
        <v>12652</v>
      </c>
      <c r="AI1220" s="87" t="b">
        <v>0</v>
      </c>
      <c r="AJ1220" s="87"/>
      <c r="AK1220" s="87"/>
      <c r="AL1220" s="87"/>
      <c r="AM1220" s="87"/>
      <c r="AN1220" s="87"/>
      <c r="AO1220" s="87"/>
      <c r="AP1220" s="87"/>
      <c r="AQ1220" s="87" t="s">
        <v>16194</v>
      </c>
      <c r="AR1220" s="87">
        <v>36766</v>
      </c>
      <c r="AS1220" s="87"/>
      <c r="AT1220" s="87"/>
      <c r="AU1220" s="87"/>
      <c r="AV1220" s="92" t="str">
        <f>HYPERLINK("https://pbs.twimg.com/ext_tw_video_thumb/1683175306994102273/pu/img/Mnc1TKol4F3yWqz1.jpg")</f>
        <v>https://pbs.twimg.com/ext_tw_video_thumb/1683175306994102273/pu/img/Mnc1TKol4F3yWqz1.jpg</v>
      </c>
      <c r="AW1220" s="93" t="s">
        <v>19456</v>
      </c>
      <c r="AX1220" s="93" t="s">
        <v>19456</v>
      </c>
      <c r="AY1220" s="87"/>
      <c r="AZ1220" s="93" t="s">
        <v>22668</v>
      </c>
      <c r="BA1220" s="93" t="s">
        <v>22668</v>
      </c>
      <c r="BB1220" s="93" t="s">
        <v>22668</v>
      </c>
      <c r="BC1220" s="93" t="s">
        <v>19456</v>
      </c>
      <c r="BD1220" s="93" t="s">
        <v>23036</v>
      </c>
      <c r="BE1220" s="87"/>
      <c r="BF1220" s="87"/>
      <c r="BG1220" s="87"/>
      <c r="BH1220" s="87"/>
      <c r="BI1220" s="87"/>
    </row>
    <row r="1221" spans="1:61" x14ac:dyDescent="0.25">
      <c r="A1221" s="63" t="s">
        <v>643</v>
      </c>
      <c r="B1221" s="63" t="s">
        <v>643</v>
      </c>
      <c r="C1221" s="64"/>
      <c r="D1221" s="65"/>
      <c r="E1221" s="66"/>
      <c r="F1221" s="67"/>
      <c r="G1221" s="64"/>
      <c r="H1221" s="68"/>
      <c r="I1221" s="69"/>
      <c r="J1221" s="69"/>
      <c r="K1221" s="32"/>
      <c r="L1221" s="76">
        <v>1221</v>
      </c>
      <c r="M1221" s="76"/>
      <c r="N1221" s="71"/>
      <c r="O1221" s="87" t="s">
        <v>179</v>
      </c>
      <c r="P1221" s="90">
        <v>45114.875763888886</v>
      </c>
      <c r="Q1221" s="87" t="s">
        <v>3027</v>
      </c>
      <c r="R1221" s="87">
        <v>0</v>
      </c>
      <c r="S1221" s="87">
        <v>1</v>
      </c>
      <c r="T1221" s="87">
        <v>0</v>
      </c>
      <c r="U1221" s="87">
        <v>0</v>
      </c>
      <c r="V1221" s="87">
        <v>49</v>
      </c>
      <c r="W1221" s="93" t="s">
        <v>6707</v>
      </c>
      <c r="X1221" s="87"/>
      <c r="Y1221" s="87"/>
      <c r="Z1221" s="87"/>
      <c r="AA1221" s="87" t="s">
        <v>9382</v>
      </c>
      <c r="AB1221" s="87" t="s">
        <v>11447</v>
      </c>
      <c r="AC1221" s="93" t="s">
        <v>11460</v>
      </c>
      <c r="AD1221" s="87" t="s">
        <v>11519</v>
      </c>
      <c r="AE1221" s="92" t="str">
        <f>HYPERLINK("https://twitter.com/confeitariaana/status/1677422512718721024")</f>
        <v>https://twitter.com/confeitariaana/status/1677422512718721024</v>
      </c>
      <c r="AF1221" s="90">
        <v>45114.875763888886</v>
      </c>
      <c r="AG1221" s="99">
        <v>45114</v>
      </c>
      <c r="AH1221" s="93" t="s">
        <v>12654</v>
      </c>
      <c r="AI1221" s="87" t="b">
        <v>0</v>
      </c>
      <c r="AJ1221" s="87"/>
      <c r="AK1221" s="87"/>
      <c r="AL1221" s="87"/>
      <c r="AM1221" s="87"/>
      <c r="AN1221" s="87"/>
      <c r="AO1221" s="87"/>
      <c r="AP1221" s="87"/>
      <c r="AQ1221" s="87" t="s">
        <v>16195</v>
      </c>
      <c r="AR1221" s="87">
        <v>59733</v>
      </c>
      <c r="AS1221" s="87"/>
      <c r="AT1221" s="87"/>
      <c r="AU1221" s="87"/>
      <c r="AV1221" s="92" t="str">
        <f>HYPERLINK("https://pbs.twimg.com/ext_tw_video_thumb/1677422432590725120/pu/img/JtRI7NqMuq3cdjBq.jpg")</f>
        <v>https://pbs.twimg.com/ext_tw_video_thumb/1677422432590725120/pu/img/JtRI7NqMuq3cdjBq.jpg</v>
      </c>
      <c r="AW1221" s="93" t="s">
        <v>19457</v>
      </c>
      <c r="AX1221" s="93" t="s">
        <v>19457</v>
      </c>
      <c r="AY1221" s="87"/>
      <c r="AZ1221" s="93" t="s">
        <v>22668</v>
      </c>
      <c r="BA1221" s="93" t="s">
        <v>22668</v>
      </c>
      <c r="BB1221" s="93" t="s">
        <v>22668</v>
      </c>
      <c r="BC1221" s="93" t="s">
        <v>19457</v>
      </c>
      <c r="BD1221" s="93" t="s">
        <v>23036</v>
      </c>
      <c r="BE1221" s="87"/>
      <c r="BF1221" s="87"/>
      <c r="BG1221" s="87"/>
      <c r="BH1221" s="87"/>
      <c r="BI1221" s="87"/>
    </row>
    <row r="1222" spans="1:61" x14ac:dyDescent="0.25">
      <c r="A1222" s="63" t="s">
        <v>643</v>
      </c>
      <c r="B1222" s="63" t="s">
        <v>643</v>
      </c>
      <c r="C1222" s="64"/>
      <c r="D1222" s="65"/>
      <c r="E1222" s="66"/>
      <c r="F1222" s="67"/>
      <c r="G1222" s="64"/>
      <c r="H1222" s="68"/>
      <c r="I1222" s="69"/>
      <c r="J1222" s="69"/>
      <c r="K1222" s="32"/>
      <c r="L1222" s="76">
        <v>1222</v>
      </c>
      <c r="M1222" s="76"/>
      <c r="N1222" s="71"/>
      <c r="O1222" s="87" t="s">
        <v>179</v>
      </c>
      <c r="P1222" s="90">
        <v>45114.750648148147</v>
      </c>
      <c r="Q1222" s="87" t="s">
        <v>3028</v>
      </c>
      <c r="R1222" s="87">
        <v>0</v>
      </c>
      <c r="S1222" s="87">
        <v>0</v>
      </c>
      <c r="T1222" s="87">
        <v>0</v>
      </c>
      <c r="U1222" s="87">
        <v>0</v>
      </c>
      <c r="V1222" s="87">
        <v>31</v>
      </c>
      <c r="W1222" s="93" t="s">
        <v>6707</v>
      </c>
      <c r="X1222" s="87"/>
      <c r="Y1222" s="87"/>
      <c r="Z1222" s="87"/>
      <c r="AA1222" s="87" t="s">
        <v>9383</v>
      </c>
      <c r="AB1222" s="87" t="s">
        <v>11447</v>
      </c>
      <c r="AC1222" s="93" t="s">
        <v>11460</v>
      </c>
      <c r="AD1222" s="87" t="s">
        <v>11519</v>
      </c>
      <c r="AE1222" s="92" t="str">
        <f>HYPERLINK("https://twitter.com/confeitariaana/status/1677377173458411522")</f>
        <v>https://twitter.com/confeitariaana/status/1677377173458411522</v>
      </c>
      <c r="AF1222" s="90">
        <v>45114.750648148147</v>
      </c>
      <c r="AG1222" s="99">
        <v>45114</v>
      </c>
      <c r="AH1222" s="93" t="s">
        <v>12644</v>
      </c>
      <c r="AI1222" s="87" t="b">
        <v>0</v>
      </c>
      <c r="AJ1222" s="87"/>
      <c r="AK1222" s="87"/>
      <c r="AL1222" s="87"/>
      <c r="AM1222" s="87"/>
      <c r="AN1222" s="87"/>
      <c r="AO1222" s="87"/>
      <c r="AP1222" s="87"/>
      <c r="AQ1222" s="87" t="s">
        <v>16196</v>
      </c>
      <c r="AR1222" s="87">
        <v>57408</v>
      </c>
      <c r="AS1222" s="87"/>
      <c r="AT1222" s="87"/>
      <c r="AU1222" s="87"/>
      <c r="AV1222" s="92" t="str">
        <f>HYPERLINK("https://pbs.twimg.com/ext_tw_video_thumb/1677377097650561027/pu/img/VQjeB4PGYlaqHn18.jpg")</f>
        <v>https://pbs.twimg.com/ext_tw_video_thumb/1677377097650561027/pu/img/VQjeB4PGYlaqHn18.jpg</v>
      </c>
      <c r="AW1222" s="93" t="s">
        <v>19458</v>
      </c>
      <c r="AX1222" s="93" t="s">
        <v>19458</v>
      </c>
      <c r="AY1222" s="87"/>
      <c r="AZ1222" s="93" t="s">
        <v>22668</v>
      </c>
      <c r="BA1222" s="93" t="s">
        <v>22668</v>
      </c>
      <c r="BB1222" s="93" t="s">
        <v>22668</v>
      </c>
      <c r="BC1222" s="93" t="s">
        <v>19458</v>
      </c>
      <c r="BD1222" s="93" t="s">
        <v>23036</v>
      </c>
      <c r="BE1222" s="87"/>
      <c r="BF1222" s="87"/>
      <c r="BG1222" s="87"/>
      <c r="BH1222" s="87"/>
      <c r="BI1222" s="87"/>
    </row>
    <row r="1223" spans="1:61" x14ac:dyDescent="0.25">
      <c r="A1223" s="63" t="s">
        <v>643</v>
      </c>
      <c r="B1223" s="63" t="s">
        <v>643</v>
      </c>
      <c r="C1223" s="64"/>
      <c r="D1223" s="65"/>
      <c r="E1223" s="66"/>
      <c r="F1223" s="67"/>
      <c r="G1223" s="64"/>
      <c r="H1223" s="68"/>
      <c r="I1223" s="69"/>
      <c r="J1223" s="69"/>
      <c r="K1223" s="32"/>
      <c r="L1223" s="76">
        <v>1223</v>
      </c>
      <c r="M1223" s="76"/>
      <c r="N1223" s="71"/>
      <c r="O1223" s="87" t="s">
        <v>179</v>
      </c>
      <c r="P1223" s="90">
        <v>45114.584178240744</v>
      </c>
      <c r="Q1223" s="87" t="s">
        <v>3029</v>
      </c>
      <c r="R1223" s="87">
        <v>0</v>
      </c>
      <c r="S1223" s="87">
        <v>0</v>
      </c>
      <c r="T1223" s="87">
        <v>0</v>
      </c>
      <c r="U1223" s="87">
        <v>0</v>
      </c>
      <c r="V1223" s="87">
        <v>28</v>
      </c>
      <c r="W1223" s="93" t="s">
        <v>6707</v>
      </c>
      <c r="X1223" s="87"/>
      <c r="Y1223" s="87"/>
      <c r="Z1223" s="87"/>
      <c r="AA1223" s="87" t="s">
        <v>9384</v>
      </c>
      <c r="AB1223" s="87" t="s">
        <v>11447</v>
      </c>
      <c r="AC1223" s="93" t="s">
        <v>11460</v>
      </c>
      <c r="AD1223" s="87" t="s">
        <v>11519</v>
      </c>
      <c r="AE1223" s="92" t="str">
        <f>HYPERLINK("https://twitter.com/confeitariaana/status/1677316843181096960")</f>
        <v>https://twitter.com/confeitariaana/status/1677316843181096960</v>
      </c>
      <c r="AF1223" s="90">
        <v>45114.584178240744</v>
      </c>
      <c r="AG1223" s="99">
        <v>45114</v>
      </c>
      <c r="AH1223" s="93" t="s">
        <v>12659</v>
      </c>
      <c r="AI1223" s="87" t="b">
        <v>0</v>
      </c>
      <c r="AJ1223" s="87"/>
      <c r="AK1223" s="87"/>
      <c r="AL1223" s="87"/>
      <c r="AM1223" s="87"/>
      <c r="AN1223" s="87"/>
      <c r="AO1223" s="87"/>
      <c r="AP1223" s="87"/>
      <c r="AQ1223" s="87" t="s">
        <v>16197</v>
      </c>
      <c r="AR1223" s="87">
        <v>59733</v>
      </c>
      <c r="AS1223" s="87"/>
      <c r="AT1223" s="87"/>
      <c r="AU1223" s="87"/>
      <c r="AV1223" s="92" t="str">
        <f>HYPERLINK("https://pbs.twimg.com/ext_tw_video_thumb/1677316720602619906/pu/img/3ylEAfwYxSlSEONW.jpg")</f>
        <v>https://pbs.twimg.com/ext_tw_video_thumb/1677316720602619906/pu/img/3ylEAfwYxSlSEONW.jpg</v>
      </c>
      <c r="AW1223" s="93" t="s">
        <v>19459</v>
      </c>
      <c r="AX1223" s="93" t="s">
        <v>19459</v>
      </c>
      <c r="AY1223" s="87"/>
      <c r="AZ1223" s="93" t="s">
        <v>22668</v>
      </c>
      <c r="BA1223" s="93" t="s">
        <v>22668</v>
      </c>
      <c r="BB1223" s="93" t="s">
        <v>22668</v>
      </c>
      <c r="BC1223" s="93" t="s">
        <v>19459</v>
      </c>
      <c r="BD1223" s="93" t="s">
        <v>23036</v>
      </c>
      <c r="BE1223" s="87"/>
      <c r="BF1223" s="87"/>
      <c r="BG1223" s="87"/>
      <c r="BH1223" s="87"/>
      <c r="BI1223" s="87"/>
    </row>
    <row r="1224" spans="1:61" x14ac:dyDescent="0.25">
      <c r="A1224" s="63" t="s">
        <v>643</v>
      </c>
      <c r="B1224" s="63" t="s">
        <v>643</v>
      </c>
      <c r="C1224" s="64"/>
      <c r="D1224" s="65"/>
      <c r="E1224" s="66"/>
      <c r="F1224" s="67"/>
      <c r="G1224" s="64"/>
      <c r="H1224" s="68"/>
      <c r="I1224" s="69"/>
      <c r="J1224" s="69"/>
      <c r="K1224" s="32"/>
      <c r="L1224" s="76">
        <v>1224</v>
      </c>
      <c r="M1224" s="76"/>
      <c r="N1224" s="71"/>
      <c r="O1224" s="87" t="s">
        <v>179</v>
      </c>
      <c r="P1224" s="90">
        <v>45113.750717592593</v>
      </c>
      <c r="Q1224" s="87" t="s">
        <v>3030</v>
      </c>
      <c r="R1224" s="87">
        <v>0</v>
      </c>
      <c r="S1224" s="87">
        <v>0</v>
      </c>
      <c r="T1224" s="87">
        <v>0</v>
      </c>
      <c r="U1224" s="87">
        <v>0</v>
      </c>
      <c r="V1224" s="87">
        <v>22</v>
      </c>
      <c r="W1224" s="93" t="s">
        <v>6707</v>
      </c>
      <c r="X1224" s="87"/>
      <c r="Y1224" s="87"/>
      <c r="Z1224" s="87"/>
      <c r="AA1224" s="87" t="s">
        <v>9385</v>
      </c>
      <c r="AB1224" s="87" t="s">
        <v>11447</v>
      </c>
      <c r="AC1224" s="93" t="s">
        <v>11460</v>
      </c>
      <c r="AD1224" s="87" t="s">
        <v>11519</v>
      </c>
      <c r="AE1224" s="92" t="str">
        <f>HYPERLINK("https://twitter.com/confeitariaana/status/1677014807512244229")</f>
        <v>https://twitter.com/confeitariaana/status/1677014807512244229</v>
      </c>
      <c r="AF1224" s="90">
        <v>45113.750717592593</v>
      </c>
      <c r="AG1224" s="99">
        <v>45113</v>
      </c>
      <c r="AH1224" s="93" t="s">
        <v>12660</v>
      </c>
      <c r="AI1224" s="87" t="b">
        <v>0</v>
      </c>
      <c r="AJ1224" s="87"/>
      <c r="AK1224" s="87"/>
      <c r="AL1224" s="87"/>
      <c r="AM1224" s="87"/>
      <c r="AN1224" s="87"/>
      <c r="AO1224" s="87"/>
      <c r="AP1224" s="87"/>
      <c r="AQ1224" s="87" t="s">
        <v>16198</v>
      </c>
      <c r="AR1224" s="87">
        <v>56917</v>
      </c>
      <c r="AS1224" s="87"/>
      <c r="AT1224" s="87"/>
      <c r="AU1224" s="87"/>
      <c r="AV1224" s="92" t="str">
        <f>HYPERLINK("https://pbs.twimg.com/ext_tw_video_thumb/1677014733793157129/pu/img/-_ev9Wt5NC8OBR59.jpg")</f>
        <v>https://pbs.twimg.com/ext_tw_video_thumb/1677014733793157129/pu/img/-_ev9Wt5NC8OBR59.jpg</v>
      </c>
      <c r="AW1224" s="93" t="s">
        <v>19460</v>
      </c>
      <c r="AX1224" s="93" t="s">
        <v>19460</v>
      </c>
      <c r="AY1224" s="87"/>
      <c r="AZ1224" s="93" t="s">
        <v>22668</v>
      </c>
      <c r="BA1224" s="93" t="s">
        <v>22668</v>
      </c>
      <c r="BB1224" s="93" t="s">
        <v>22668</v>
      </c>
      <c r="BC1224" s="93" t="s">
        <v>19460</v>
      </c>
      <c r="BD1224" s="93" t="s">
        <v>23036</v>
      </c>
      <c r="BE1224" s="87"/>
      <c r="BF1224" s="87"/>
      <c r="BG1224" s="87"/>
      <c r="BH1224" s="87"/>
      <c r="BI1224" s="87"/>
    </row>
    <row r="1225" spans="1:61" x14ac:dyDescent="0.25">
      <c r="A1225" s="63" t="s">
        <v>643</v>
      </c>
      <c r="B1225" s="63" t="s">
        <v>643</v>
      </c>
      <c r="C1225" s="64"/>
      <c r="D1225" s="65"/>
      <c r="E1225" s="66"/>
      <c r="F1225" s="67"/>
      <c r="G1225" s="64"/>
      <c r="H1225" s="68"/>
      <c r="I1225" s="69"/>
      <c r="J1225" s="69"/>
      <c r="K1225" s="32"/>
      <c r="L1225" s="76">
        <v>1225</v>
      </c>
      <c r="M1225" s="76"/>
      <c r="N1225" s="71"/>
      <c r="O1225" s="87" t="s">
        <v>179</v>
      </c>
      <c r="P1225" s="90">
        <v>45124.753993055558</v>
      </c>
      <c r="Q1225" s="87" t="s">
        <v>3031</v>
      </c>
      <c r="R1225" s="87">
        <v>0</v>
      </c>
      <c r="S1225" s="87">
        <v>0</v>
      </c>
      <c r="T1225" s="87">
        <v>0</v>
      </c>
      <c r="U1225" s="87">
        <v>0</v>
      </c>
      <c r="V1225" s="87">
        <v>47</v>
      </c>
      <c r="W1225" s="93" t="s">
        <v>6707</v>
      </c>
      <c r="X1225" s="87"/>
      <c r="Y1225" s="87"/>
      <c r="Z1225" s="87"/>
      <c r="AA1225" s="87" t="s">
        <v>9386</v>
      </c>
      <c r="AB1225" s="87" t="s">
        <v>11447</v>
      </c>
      <c r="AC1225" s="93" t="s">
        <v>11460</v>
      </c>
      <c r="AD1225" s="87" t="s">
        <v>11519</v>
      </c>
      <c r="AE1225" s="92" t="str">
        <f>HYPERLINK("https://twitter.com/confeitariaana/status/1681002264381513732")</f>
        <v>https://twitter.com/confeitariaana/status/1681002264381513732</v>
      </c>
      <c r="AF1225" s="90">
        <v>45124.753993055558</v>
      </c>
      <c r="AG1225" s="99">
        <v>45124</v>
      </c>
      <c r="AH1225" s="93" t="s">
        <v>12661</v>
      </c>
      <c r="AI1225" s="87" t="b">
        <v>0</v>
      </c>
      <c r="AJ1225" s="87"/>
      <c r="AK1225" s="87"/>
      <c r="AL1225" s="87"/>
      <c r="AM1225" s="87"/>
      <c r="AN1225" s="87"/>
      <c r="AO1225" s="87"/>
      <c r="AP1225" s="87"/>
      <c r="AQ1225" s="87" t="s">
        <v>16199</v>
      </c>
      <c r="AR1225" s="87">
        <v>45633</v>
      </c>
      <c r="AS1225" s="87"/>
      <c r="AT1225" s="87"/>
      <c r="AU1225" s="87"/>
      <c r="AV1225" s="92" t="str">
        <f>HYPERLINK("https://pbs.twimg.com/ext_tw_video_thumb/1681002135465476105/pu/img/hdL4WyUiZHB6X1on.jpg")</f>
        <v>https://pbs.twimg.com/ext_tw_video_thumb/1681002135465476105/pu/img/hdL4WyUiZHB6X1on.jpg</v>
      </c>
      <c r="AW1225" s="93" t="s">
        <v>19461</v>
      </c>
      <c r="AX1225" s="93" t="s">
        <v>19461</v>
      </c>
      <c r="AY1225" s="87"/>
      <c r="AZ1225" s="93" t="s">
        <v>22668</v>
      </c>
      <c r="BA1225" s="93" t="s">
        <v>22668</v>
      </c>
      <c r="BB1225" s="93" t="s">
        <v>22668</v>
      </c>
      <c r="BC1225" s="93" t="s">
        <v>19461</v>
      </c>
      <c r="BD1225" s="93" t="s">
        <v>23036</v>
      </c>
      <c r="BE1225" s="87"/>
      <c r="BF1225" s="87"/>
      <c r="BG1225" s="87"/>
      <c r="BH1225" s="87"/>
      <c r="BI1225" s="87"/>
    </row>
    <row r="1226" spans="1:61" x14ac:dyDescent="0.25">
      <c r="A1226" s="63" t="s">
        <v>643</v>
      </c>
      <c r="B1226" s="63" t="s">
        <v>643</v>
      </c>
      <c r="C1226" s="64"/>
      <c r="D1226" s="65"/>
      <c r="E1226" s="66"/>
      <c r="F1226" s="67"/>
      <c r="G1226" s="64"/>
      <c r="H1226" s="68"/>
      <c r="I1226" s="69"/>
      <c r="J1226" s="69"/>
      <c r="K1226" s="32"/>
      <c r="L1226" s="76">
        <v>1226</v>
      </c>
      <c r="M1226" s="76"/>
      <c r="N1226" s="71"/>
      <c r="O1226" s="87" t="s">
        <v>179</v>
      </c>
      <c r="P1226" s="90">
        <v>45123.760891203703</v>
      </c>
      <c r="Q1226" s="87" t="s">
        <v>3032</v>
      </c>
      <c r="R1226" s="87">
        <v>0</v>
      </c>
      <c r="S1226" s="87">
        <v>0</v>
      </c>
      <c r="T1226" s="87">
        <v>0</v>
      </c>
      <c r="U1226" s="87">
        <v>0</v>
      </c>
      <c r="V1226" s="87">
        <v>28</v>
      </c>
      <c r="W1226" s="93" t="s">
        <v>6707</v>
      </c>
      <c r="X1226" s="87"/>
      <c r="Y1226" s="87"/>
      <c r="Z1226" s="87"/>
      <c r="AA1226" s="87" t="s">
        <v>9387</v>
      </c>
      <c r="AB1226" s="87" t="s">
        <v>11447</v>
      </c>
      <c r="AC1226" s="93" t="s">
        <v>11460</v>
      </c>
      <c r="AD1226" s="87" t="s">
        <v>11519</v>
      </c>
      <c r="AE1226" s="92" t="str">
        <f>HYPERLINK("https://twitter.com/confeitariaana/status/1680642375532552193")</f>
        <v>https://twitter.com/confeitariaana/status/1680642375532552193</v>
      </c>
      <c r="AF1226" s="90">
        <v>45123.760891203703</v>
      </c>
      <c r="AG1226" s="99">
        <v>45123</v>
      </c>
      <c r="AH1226" s="93" t="s">
        <v>12662</v>
      </c>
      <c r="AI1226" s="87" t="b">
        <v>0</v>
      </c>
      <c r="AJ1226" s="87"/>
      <c r="AK1226" s="87"/>
      <c r="AL1226" s="87"/>
      <c r="AM1226" s="87"/>
      <c r="AN1226" s="87"/>
      <c r="AO1226" s="87"/>
      <c r="AP1226" s="87"/>
      <c r="AQ1226" s="87" t="s">
        <v>16200</v>
      </c>
      <c r="AR1226" s="87">
        <v>60800</v>
      </c>
      <c r="AS1226" s="87"/>
      <c r="AT1226" s="87"/>
      <c r="AU1226" s="87"/>
      <c r="AV1226" s="92" t="str">
        <f>HYPERLINK("https://pbs.twimg.com/ext_tw_video_thumb/1680642231898611720/pu/img/3meb4f_RnPPaINrR.jpg")</f>
        <v>https://pbs.twimg.com/ext_tw_video_thumb/1680642231898611720/pu/img/3meb4f_RnPPaINrR.jpg</v>
      </c>
      <c r="AW1226" s="93" t="s">
        <v>19462</v>
      </c>
      <c r="AX1226" s="93" t="s">
        <v>19462</v>
      </c>
      <c r="AY1226" s="87"/>
      <c r="AZ1226" s="93" t="s">
        <v>22668</v>
      </c>
      <c r="BA1226" s="93" t="s">
        <v>22668</v>
      </c>
      <c r="BB1226" s="93" t="s">
        <v>22668</v>
      </c>
      <c r="BC1226" s="93" t="s">
        <v>19462</v>
      </c>
      <c r="BD1226" s="93" t="s">
        <v>23036</v>
      </c>
      <c r="BE1226" s="87"/>
      <c r="BF1226" s="87"/>
      <c r="BG1226" s="87"/>
      <c r="BH1226" s="87"/>
      <c r="BI1226" s="87"/>
    </row>
    <row r="1227" spans="1:61" x14ac:dyDescent="0.25">
      <c r="A1227" s="63" t="s">
        <v>643</v>
      </c>
      <c r="B1227" s="63" t="s">
        <v>643</v>
      </c>
      <c r="C1227" s="64"/>
      <c r="D1227" s="65"/>
      <c r="E1227" s="66"/>
      <c r="F1227" s="67"/>
      <c r="G1227" s="64"/>
      <c r="H1227" s="68"/>
      <c r="I1227" s="69"/>
      <c r="J1227" s="69"/>
      <c r="K1227" s="32"/>
      <c r="L1227" s="76">
        <v>1227</v>
      </c>
      <c r="M1227" s="76"/>
      <c r="N1227" s="71"/>
      <c r="O1227" s="87" t="s">
        <v>179</v>
      </c>
      <c r="P1227" s="90">
        <v>45123.594247685185</v>
      </c>
      <c r="Q1227" s="87" t="s">
        <v>3033</v>
      </c>
      <c r="R1227" s="87">
        <v>0</v>
      </c>
      <c r="S1227" s="87">
        <v>0</v>
      </c>
      <c r="T1227" s="87">
        <v>0</v>
      </c>
      <c r="U1227" s="87">
        <v>0</v>
      </c>
      <c r="V1227" s="87">
        <v>32</v>
      </c>
      <c r="W1227" s="93" t="s">
        <v>6707</v>
      </c>
      <c r="X1227" s="87"/>
      <c r="Y1227" s="87"/>
      <c r="Z1227" s="87"/>
      <c r="AA1227" s="87" t="s">
        <v>9388</v>
      </c>
      <c r="AB1227" s="87" t="s">
        <v>11447</v>
      </c>
      <c r="AC1227" s="93" t="s">
        <v>11460</v>
      </c>
      <c r="AD1227" s="87" t="s">
        <v>11519</v>
      </c>
      <c r="AE1227" s="92" t="str">
        <f>HYPERLINK("https://twitter.com/confeitariaana/status/1680581986283388931")</f>
        <v>https://twitter.com/confeitariaana/status/1680581986283388931</v>
      </c>
      <c r="AF1227" s="90">
        <v>45123.594247685185</v>
      </c>
      <c r="AG1227" s="99">
        <v>45123</v>
      </c>
      <c r="AH1227" s="93" t="s">
        <v>12663</v>
      </c>
      <c r="AI1227" s="87" t="b">
        <v>0</v>
      </c>
      <c r="AJ1227" s="87"/>
      <c r="AK1227" s="87"/>
      <c r="AL1227" s="87"/>
      <c r="AM1227" s="87"/>
      <c r="AN1227" s="87"/>
      <c r="AO1227" s="87"/>
      <c r="AP1227" s="87"/>
      <c r="AQ1227" s="87" t="s">
        <v>16201</v>
      </c>
      <c r="AR1227" s="87">
        <v>43900</v>
      </c>
      <c r="AS1227" s="87"/>
      <c r="AT1227" s="87"/>
      <c r="AU1227" s="87"/>
      <c r="AV1227" s="92" t="str">
        <f>HYPERLINK("https://pbs.twimg.com/ext_tw_video_thumb/1680581856507437056/pu/img/fP7TRwp4AvrrhBht.jpg")</f>
        <v>https://pbs.twimg.com/ext_tw_video_thumb/1680581856507437056/pu/img/fP7TRwp4AvrrhBht.jpg</v>
      </c>
      <c r="AW1227" s="93" t="s">
        <v>19463</v>
      </c>
      <c r="AX1227" s="93" t="s">
        <v>19463</v>
      </c>
      <c r="AY1227" s="87"/>
      <c r="AZ1227" s="93" t="s">
        <v>22668</v>
      </c>
      <c r="BA1227" s="93" t="s">
        <v>22668</v>
      </c>
      <c r="BB1227" s="93" t="s">
        <v>22668</v>
      </c>
      <c r="BC1227" s="93" t="s">
        <v>19463</v>
      </c>
      <c r="BD1227" s="93" t="s">
        <v>23036</v>
      </c>
      <c r="BE1227" s="87"/>
      <c r="BF1227" s="87"/>
      <c r="BG1227" s="87"/>
      <c r="BH1227" s="87"/>
      <c r="BI1227" s="87"/>
    </row>
    <row r="1228" spans="1:61" x14ac:dyDescent="0.25">
      <c r="A1228" s="63" t="s">
        <v>643</v>
      </c>
      <c r="B1228" s="63" t="s">
        <v>643</v>
      </c>
      <c r="C1228" s="64"/>
      <c r="D1228" s="65"/>
      <c r="E1228" s="66"/>
      <c r="F1228" s="67"/>
      <c r="G1228" s="64"/>
      <c r="H1228" s="68"/>
      <c r="I1228" s="69"/>
      <c r="J1228" s="69"/>
      <c r="K1228" s="32"/>
      <c r="L1228" s="76">
        <v>1228</v>
      </c>
      <c r="M1228" s="76"/>
      <c r="N1228" s="71"/>
      <c r="O1228" s="87" t="s">
        <v>179</v>
      </c>
      <c r="P1228" s="90">
        <v>45122.875856481478</v>
      </c>
      <c r="Q1228" s="87" t="s">
        <v>3034</v>
      </c>
      <c r="R1228" s="87">
        <v>0</v>
      </c>
      <c r="S1228" s="87">
        <v>0</v>
      </c>
      <c r="T1228" s="87">
        <v>0</v>
      </c>
      <c r="U1228" s="87">
        <v>0</v>
      </c>
      <c r="V1228" s="87">
        <v>40</v>
      </c>
      <c r="W1228" s="93" t="s">
        <v>6707</v>
      </c>
      <c r="X1228" s="87"/>
      <c r="Y1228" s="87"/>
      <c r="Z1228" s="87"/>
      <c r="AA1228" s="87" t="s">
        <v>9389</v>
      </c>
      <c r="AB1228" s="87" t="s">
        <v>11447</v>
      </c>
      <c r="AC1228" s="93" t="s">
        <v>11460</v>
      </c>
      <c r="AD1228" s="87" t="s">
        <v>11519</v>
      </c>
      <c r="AE1228" s="92" t="str">
        <f>HYPERLINK("https://twitter.com/confeitariaana/status/1680321650225455104")</f>
        <v>https://twitter.com/confeitariaana/status/1680321650225455104</v>
      </c>
      <c r="AF1228" s="90">
        <v>45122.875856481478</v>
      </c>
      <c r="AG1228" s="99">
        <v>45122</v>
      </c>
      <c r="AH1228" s="93" t="s">
        <v>12664</v>
      </c>
      <c r="AI1228" s="87" t="b">
        <v>0</v>
      </c>
      <c r="AJ1228" s="87"/>
      <c r="AK1228" s="87"/>
      <c r="AL1228" s="87"/>
      <c r="AM1228" s="87"/>
      <c r="AN1228" s="87"/>
      <c r="AO1228" s="87"/>
      <c r="AP1228" s="87"/>
      <c r="AQ1228" s="87" t="s">
        <v>16202</v>
      </c>
      <c r="AR1228" s="87">
        <v>40366</v>
      </c>
      <c r="AS1228" s="87"/>
      <c r="AT1228" s="87"/>
      <c r="AU1228" s="87"/>
      <c r="AV1228" s="92" t="str">
        <f>HYPERLINK("https://pbs.twimg.com/ext_tw_video_thumb/1680321522240569344/pu/img/fM5iIB86CbW5LHdR.jpg")</f>
        <v>https://pbs.twimg.com/ext_tw_video_thumb/1680321522240569344/pu/img/fM5iIB86CbW5LHdR.jpg</v>
      </c>
      <c r="AW1228" s="93" t="s">
        <v>19464</v>
      </c>
      <c r="AX1228" s="93" t="s">
        <v>19464</v>
      </c>
      <c r="AY1228" s="87"/>
      <c r="AZ1228" s="93" t="s">
        <v>22668</v>
      </c>
      <c r="BA1228" s="93" t="s">
        <v>22668</v>
      </c>
      <c r="BB1228" s="93" t="s">
        <v>22668</v>
      </c>
      <c r="BC1228" s="93" t="s">
        <v>19464</v>
      </c>
      <c r="BD1228" s="93" t="s">
        <v>23036</v>
      </c>
      <c r="BE1228" s="87"/>
      <c r="BF1228" s="87"/>
      <c r="BG1228" s="87"/>
      <c r="BH1228" s="87"/>
      <c r="BI1228" s="87"/>
    </row>
    <row r="1229" spans="1:61" x14ac:dyDescent="0.25">
      <c r="A1229" s="63" t="s">
        <v>643</v>
      </c>
      <c r="B1229" s="63" t="s">
        <v>643</v>
      </c>
      <c r="C1229" s="64"/>
      <c r="D1229" s="65"/>
      <c r="E1229" s="66"/>
      <c r="F1229" s="67"/>
      <c r="G1229" s="64"/>
      <c r="H1229" s="68"/>
      <c r="I1229" s="69"/>
      <c r="J1229" s="69"/>
      <c r="K1229" s="32"/>
      <c r="L1229" s="76">
        <v>1229</v>
      </c>
      <c r="M1229" s="76"/>
      <c r="N1229" s="71"/>
      <c r="O1229" s="87" t="s">
        <v>179</v>
      </c>
      <c r="P1229" s="90">
        <v>45122.757303240738</v>
      </c>
      <c r="Q1229" s="87" t="s">
        <v>3035</v>
      </c>
      <c r="R1229" s="87">
        <v>0</v>
      </c>
      <c r="S1229" s="87">
        <v>0</v>
      </c>
      <c r="T1229" s="87">
        <v>0</v>
      </c>
      <c r="U1229" s="87">
        <v>0</v>
      </c>
      <c r="V1229" s="87">
        <v>30</v>
      </c>
      <c r="W1229" s="93" t="s">
        <v>6707</v>
      </c>
      <c r="X1229" s="87"/>
      <c r="Y1229" s="87"/>
      <c r="Z1229" s="87"/>
      <c r="AA1229" s="87" t="s">
        <v>9390</v>
      </c>
      <c r="AB1229" s="87" t="s">
        <v>11447</v>
      </c>
      <c r="AC1229" s="93" t="s">
        <v>11460</v>
      </c>
      <c r="AD1229" s="87" t="s">
        <v>11519</v>
      </c>
      <c r="AE1229" s="92" t="str">
        <f>HYPERLINK("https://twitter.com/confeitariaana/status/1680278685318823936")</f>
        <v>https://twitter.com/confeitariaana/status/1680278685318823936</v>
      </c>
      <c r="AF1229" s="90">
        <v>45122.757303240738</v>
      </c>
      <c r="AG1229" s="99">
        <v>45122</v>
      </c>
      <c r="AH1229" s="93" t="s">
        <v>12665</v>
      </c>
      <c r="AI1229" s="87" t="b">
        <v>0</v>
      </c>
      <c r="AJ1229" s="87"/>
      <c r="AK1229" s="87"/>
      <c r="AL1229" s="87"/>
      <c r="AM1229" s="87"/>
      <c r="AN1229" s="87"/>
      <c r="AO1229" s="87"/>
      <c r="AP1229" s="87"/>
      <c r="AQ1229" s="87" t="s">
        <v>16203</v>
      </c>
      <c r="AR1229" s="87">
        <v>34366</v>
      </c>
      <c r="AS1229" s="87"/>
      <c r="AT1229" s="87"/>
      <c r="AU1229" s="87"/>
      <c r="AV1229" s="92" t="str">
        <f>HYPERLINK("https://pbs.twimg.com/ext_tw_video_thumb/1680278585326567424/pu/img/0AS_lLkEUm8NkS6y.jpg")</f>
        <v>https://pbs.twimg.com/ext_tw_video_thumb/1680278585326567424/pu/img/0AS_lLkEUm8NkS6y.jpg</v>
      </c>
      <c r="AW1229" s="93" t="s">
        <v>19465</v>
      </c>
      <c r="AX1229" s="93" t="s">
        <v>19465</v>
      </c>
      <c r="AY1229" s="87"/>
      <c r="AZ1229" s="93" t="s">
        <v>22668</v>
      </c>
      <c r="BA1229" s="93" t="s">
        <v>22668</v>
      </c>
      <c r="BB1229" s="93" t="s">
        <v>22668</v>
      </c>
      <c r="BC1229" s="93" t="s">
        <v>19465</v>
      </c>
      <c r="BD1229" s="93" t="s">
        <v>23036</v>
      </c>
      <c r="BE1229" s="87"/>
      <c r="BF1229" s="87"/>
      <c r="BG1229" s="87"/>
      <c r="BH1229" s="87"/>
      <c r="BI1229" s="87"/>
    </row>
    <row r="1230" spans="1:61" x14ac:dyDescent="0.25">
      <c r="A1230" s="63" t="s">
        <v>643</v>
      </c>
      <c r="B1230" s="63" t="s">
        <v>643</v>
      </c>
      <c r="C1230" s="64"/>
      <c r="D1230" s="65"/>
      <c r="E1230" s="66"/>
      <c r="F1230" s="67"/>
      <c r="G1230" s="64"/>
      <c r="H1230" s="68"/>
      <c r="I1230" s="69"/>
      <c r="J1230" s="69"/>
      <c r="K1230" s="32"/>
      <c r="L1230" s="76">
        <v>1230</v>
      </c>
      <c r="M1230" s="76"/>
      <c r="N1230" s="71"/>
      <c r="O1230" s="87" t="s">
        <v>179</v>
      </c>
      <c r="P1230" s="90">
        <v>45122.584143518521</v>
      </c>
      <c r="Q1230" s="87" t="s">
        <v>3036</v>
      </c>
      <c r="R1230" s="87">
        <v>0</v>
      </c>
      <c r="S1230" s="87">
        <v>0</v>
      </c>
      <c r="T1230" s="87">
        <v>0</v>
      </c>
      <c r="U1230" s="87">
        <v>0</v>
      </c>
      <c r="V1230" s="87">
        <v>17</v>
      </c>
      <c r="W1230" s="93" t="s">
        <v>6707</v>
      </c>
      <c r="X1230" s="87"/>
      <c r="Y1230" s="87"/>
      <c r="Z1230" s="87"/>
      <c r="AA1230" s="87" t="s">
        <v>9391</v>
      </c>
      <c r="AB1230" s="87" t="s">
        <v>11447</v>
      </c>
      <c r="AC1230" s="93" t="s">
        <v>11460</v>
      </c>
      <c r="AD1230" s="87" t="s">
        <v>11519</v>
      </c>
      <c r="AE1230" s="92" t="str">
        <f>HYPERLINK("https://twitter.com/confeitariaana/status/1680215935339184129")</f>
        <v>https://twitter.com/confeitariaana/status/1680215935339184129</v>
      </c>
      <c r="AF1230" s="90">
        <v>45122.584143518521</v>
      </c>
      <c r="AG1230" s="99">
        <v>45122</v>
      </c>
      <c r="AH1230" s="93" t="s">
        <v>12666</v>
      </c>
      <c r="AI1230" s="87" t="b">
        <v>0</v>
      </c>
      <c r="AJ1230" s="87"/>
      <c r="AK1230" s="87"/>
      <c r="AL1230" s="87"/>
      <c r="AM1230" s="87"/>
      <c r="AN1230" s="87"/>
      <c r="AO1230" s="87"/>
      <c r="AP1230" s="87"/>
      <c r="AQ1230" s="87" t="s">
        <v>16204</v>
      </c>
      <c r="AR1230" s="87">
        <v>33866</v>
      </c>
      <c r="AS1230" s="87"/>
      <c r="AT1230" s="87"/>
      <c r="AU1230" s="87"/>
      <c r="AV1230" s="92" t="str">
        <f>HYPERLINK("https://pbs.twimg.com/ext_tw_video_thumb/1680215837783760896/pu/img/Z2JkSUBwNbgamrdt.jpg")</f>
        <v>https://pbs.twimg.com/ext_tw_video_thumb/1680215837783760896/pu/img/Z2JkSUBwNbgamrdt.jpg</v>
      </c>
      <c r="AW1230" s="93" t="s">
        <v>19466</v>
      </c>
      <c r="AX1230" s="93" t="s">
        <v>19466</v>
      </c>
      <c r="AY1230" s="87"/>
      <c r="AZ1230" s="93" t="s">
        <v>22668</v>
      </c>
      <c r="BA1230" s="93" t="s">
        <v>22668</v>
      </c>
      <c r="BB1230" s="93" t="s">
        <v>22668</v>
      </c>
      <c r="BC1230" s="93" t="s">
        <v>19466</v>
      </c>
      <c r="BD1230" s="93" t="s">
        <v>23036</v>
      </c>
      <c r="BE1230" s="87"/>
      <c r="BF1230" s="87"/>
      <c r="BG1230" s="87"/>
      <c r="BH1230" s="87"/>
      <c r="BI1230" s="87"/>
    </row>
    <row r="1231" spans="1:61" x14ac:dyDescent="0.25">
      <c r="A1231" s="63" t="s">
        <v>643</v>
      </c>
      <c r="B1231" s="63" t="s">
        <v>643</v>
      </c>
      <c r="C1231" s="64"/>
      <c r="D1231" s="65"/>
      <c r="E1231" s="66"/>
      <c r="F1231" s="67"/>
      <c r="G1231" s="64"/>
      <c r="H1231" s="68"/>
      <c r="I1231" s="69"/>
      <c r="J1231" s="69"/>
      <c r="K1231" s="32"/>
      <c r="L1231" s="76">
        <v>1231</v>
      </c>
      <c r="M1231" s="76"/>
      <c r="N1231" s="71"/>
      <c r="O1231" s="87" t="s">
        <v>179</v>
      </c>
      <c r="P1231" s="90">
        <v>45121.882581018515</v>
      </c>
      <c r="Q1231" s="87" t="s">
        <v>3037</v>
      </c>
      <c r="R1231" s="87">
        <v>0</v>
      </c>
      <c r="S1231" s="87">
        <v>0</v>
      </c>
      <c r="T1231" s="87">
        <v>0</v>
      </c>
      <c r="U1231" s="87">
        <v>0</v>
      </c>
      <c r="V1231" s="87">
        <v>22</v>
      </c>
      <c r="W1231" s="93" t="s">
        <v>6707</v>
      </c>
      <c r="X1231" s="87"/>
      <c r="Y1231" s="87"/>
      <c r="Z1231" s="87"/>
      <c r="AA1231" s="87" t="s">
        <v>9392</v>
      </c>
      <c r="AB1231" s="87" t="s">
        <v>11447</v>
      </c>
      <c r="AC1231" s="93" t="s">
        <v>11460</v>
      </c>
      <c r="AD1231" s="87" t="s">
        <v>11519</v>
      </c>
      <c r="AE1231" s="92" t="str">
        <f>HYPERLINK("https://twitter.com/confeitariaana/status/1679961698642583552")</f>
        <v>https://twitter.com/confeitariaana/status/1679961698642583552</v>
      </c>
      <c r="AF1231" s="90">
        <v>45121.882581018515</v>
      </c>
      <c r="AG1231" s="99">
        <v>45121</v>
      </c>
      <c r="AH1231" s="93" t="s">
        <v>12667</v>
      </c>
      <c r="AI1231" s="87" t="b">
        <v>0</v>
      </c>
      <c r="AJ1231" s="87"/>
      <c r="AK1231" s="87"/>
      <c r="AL1231" s="87"/>
      <c r="AM1231" s="87"/>
      <c r="AN1231" s="87"/>
      <c r="AO1231" s="87"/>
      <c r="AP1231" s="87"/>
      <c r="AQ1231" s="87" t="s">
        <v>16205</v>
      </c>
      <c r="AR1231" s="87">
        <v>43433</v>
      </c>
      <c r="AS1231" s="87"/>
      <c r="AT1231" s="87"/>
      <c r="AU1231" s="87"/>
      <c r="AV1231" s="92" t="str">
        <f>HYPERLINK("https://pbs.twimg.com/ext_tw_video_thumb/1679961570141429766/pu/img/2cikQSgyyrmobhrO.jpg")</f>
        <v>https://pbs.twimg.com/ext_tw_video_thumb/1679961570141429766/pu/img/2cikQSgyyrmobhrO.jpg</v>
      </c>
      <c r="AW1231" s="93" t="s">
        <v>19467</v>
      </c>
      <c r="AX1231" s="93" t="s">
        <v>19467</v>
      </c>
      <c r="AY1231" s="87"/>
      <c r="AZ1231" s="93" t="s">
        <v>22668</v>
      </c>
      <c r="BA1231" s="93" t="s">
        <v>22668</v>
      </c>
      <c r="BB1231" s="93" t="s">
        <v>22668</v>
      </c>
      <c r="BC1231" s="93" t="s">
        <v>19467</v>
      </c>
      <c r="BD1231" s="93" t="s">
        <v>23036</v>
      </c>
      <c r="BE1231" s="87"/>
      <c r="BF1231" s="87"/>
      <c r="BG1231" s="87"/>
      <c r="BH1231" s="87"/>
      <c r="BI1231" s="87"/>
    </row>
    <row r="1232" spans="1:61" x14ac:dyDescent="0.25">
      <c r="A1232" s="63" t="s">
        <v>643</v>
      </c>
      <c r="B1232" s="63" t="s">
        <v>643</v>
      </c>
      <c r="C1232" s="64"/>
      <c r="D1232" s="65"/>
      <c r="E1232" s="66"/>
      <c r="F1232" s="67"/>
      <c r="G1232" s="64"/>
      <c r="H1232" s="68"/>
      <c r="I1232" s="69"/>
      <c r="J1232" s="69"/>
      <c r="K1232" s="32"/>
      <c r="L1232" s="76">
        <v>1232</v>
      </c>
      <c r="M1232" s="76"/>
      <c r="N1232" s="71"/>
      <c r="O1232" s="87" t="s">
        <v>179</v>
      </c>
      <c r="P1232" s="90">
        <v>45135.584270833337</v>
      </c>
      <c r="Q1232" s="87" t="s">
        <v>3038</v>
      </c>
      <c r="R1232" s="87">
        <v>0</v>
      </c>
      <c r="S1232" s="87">
        <v>0</v>
      </c>
      <c r="T1232" s="87">
        <v>0</v>
      </c>
      <c r="U1232" s="87">
        <v>0</v>
      </c>
      <c r="V1232" s="87">
        <v>9</v>
      </c>
      <c r="W1232" s="93" t="s">
        <v>6707</v>
      </c>
      <c r="X1232" s="87"/>
      <c r="Y1232" s="87"/>
      <c r="Z1232" s="87"/>
      <c r="AA1232" s="87" t="s">
        <v>9393</v>
      </c>
      <c r="AB1232" s="87" t="s">
        <v>11447</v>
      </c>
      <c r="AC1232" s="93" t="s">
        <v>11460</v>
      </c>
      <c r="AD1232" s="87" t="s">
        <v>11518</v>
      </c>
      <c r="AE1232" s="92" t="str">
        <f>HYPERLINK("https://twitter.com/confeitariaana/status/1684927022840037378")</f>
        <v>https://twitter.com/confeitariaana/status/1684927022840037378</v>
      </c>
      <c r="AF1232" s="90">
        <v>45135.584270833337</v>
      </c>
      <c r="AG1232" s="99">
        <v>45135</v>
      </c>
      <c r="AH1232" s="93" t="s">
        <v>12668</v>
      </c>
      <c r="AI1232" s="87" t="b">
        <v>0</v>
      </c>
      <c r="AJ1232" s="87"/>
      <c r="AK1232" s="87"/>
      <c r="AL1232" s="87"/>
      <c r="AM1232" s="87"/>
      <c r="AN1232" s="87"/>
      <c r="AO1232" s="87"/>
      <c r="AP1232" s="87"/>
      <c r="AQ1232" s="87" t="s">
        <v>16206</v>
      </c>
      <c r="AR1232" s="87">
        <v>46600</v>
      </c>
      <c r="AS1232" s="87"/>
      <c r="AT1232" s="87"/>
      <c r="AU1232" s="87"/>
      <c r="AV1232" s="92" t="str">
        <f>HYPERLINK("https://pbs.twimg.com/ext_tw_video_thumb/1684926888198668288/pu/img/XhUXyH4cUGewVcEn.jpg")</f>
        <v>https://pbs.twimg.com/ext_tw_video_thumb/1684926888198668288/pu/img/XhUXyH4cUGewVcEn.jpg</v>
      </c>
      <c r="AW1232" s="93" t="s">
        <v>19468</v>
      </c>
      <c r="AX1232" s="93" t="s">
        <v>19468</v>
      </c>
      <c r="AY1232" s="87"/>
      <c r="AZ1232" s="93" t="s">
        <v>22668</v>
      </c>
      <c r="BA1232" s="93" t="s">
        <v>22668</v>
      </c>
      <c r="BB1232" s="93" t="s">
        <v>22668</v>
      </c>
      <c r="BC1232" s="93" t="s">
        <v>19468</v>
      </c>
      <c r="BD1232" s="93" t="s">
        <v>23036</v>
      </c>
      <c r="BE1232" s="87"/>
      <c r="BF1232" s="87"/>
      <c r="BG1232" s="87"/>
      <c r="BH1232" s="87"/>
      <c r="BI1232" s="87"/>
    </row>
    <row r="1233" spans="1:61" x14ac:dyDescent="0.25">
      <c r="A1233" s="63" t="s">
        <v>643</v>
      </c>
      <c r="B1233" s="63" t="s">
        <v>643</v>
      </c>
      <c r="C1233" s="64"/>
      <c r="D1233" s="65"/>
      <c r="E1233" s="66"/>
      <c r="F1233" s="67"/>
      <c r="G1233" s="64"/>
      <c r="H1233" s="68"/>
      <c r="I1233" s="69"/>
      <c r="J1233" s="69"/>
      <c r="K1233" s="32"/>
      <c r="L1233" s="76">
        <v>1233</v>
      </c>
      <c r="M1233" s="76"/>
      <c r="N1233" s="71"/>
      <c r="O1233" s="87" t="s">
        <v>179</v>
      </c>
      <c r="P1233" s="90">
        <v>45134.584502314814</v>
      </c>
      <c r="Q1233" s="87" t="s">
        <v>3039</v>
      </c>
      <c r="R1233" s="87">
        <v>0</v>
      </c>
      <c r="S1233" s="87">
        <v>0</v>
      </c>
      <c r="T1233" s="87">
        <v>0</v>
      </c>
      <c r="U1233" s="87">
        <v>0</v>
      </c>
      <c r="V1233" s="87">
        <v>17</v>
      </c>
      <c r="W1233" s="93" t="s">
        <v>6707</v>
      </c>
      <c r="X1233" s="87"/>
      <c r="Y1233" s="87"/>
      <c r="Z1233" s="87"/>
      <c r="AA1233" s="87" t="s">
        <v>9394</v>
      </c>
      <c r="AB1233" s="87" t="s">
        <v>11447</v>
      </c>
      <c r="AC1233" s="93" t="s">
        <v>11460</v>
      </c>
      <c r="AD1233" s="87" t="s">
        <v>11519</v>
      </c>
      <c r="AE1233" s="92" t="str">
        <f>HYPERLINK("https://twitter.com/confeitariaana/status/1684564721100546051")</f>
        <v>https://twitter.com/confeitariaana/status/1684564721100546051</v>
      </c>
      <c r="AF1233" s="90">
        <v>45134.584502314814</v>
      </c>
      <c r="AG1233" s="99">
        <v>45134</v>
      </c>
      <c r="AH1233" s="93" t="s">
        <v>12669</v>
      </c>
      <c r="AI1233" s="87" t="b">
        <v>0</v>
      </c>
      <c r="AJ1233" s="87"/>
      <c r="AK1233" s="87"/>
      <c r="AL1233" s="87"/>
      <c r="AM1233" s="87"/>
      <c r="AN1233" s="87"/>
      <c r="AO1233" s="87"/>
      <c r="AP1233" s="87"/>
      <c r="AQ1233" s="87" t="s">
        <v>16207</v>
      </c>
      <c r="AR1233" s="87">
        <v>35337</v>
      </c>
      <c r="AS1233" s="87"/>
      <c r="AT1233" s="87"/>
      <c r="AU1233" s="87"/>
      <c r="AV1233" s="92" t="str">
        <f>HYPERLINK("https://pbs.twimg.com/ext_tw_video_thumb/1684564489814020097/pu/img/_ja5p7T3hj2gyiIe.jpg")</f>
        <v>https://pbs.twimg.com/ext_tw_video_thumb/1684564489814020097/pu/img/_ja5p7T3hj2gyiIe.jpg</v>
      </c>
      <c r="AW1233" s="93" t="s">
        <v>19469</v>
      </c>
      <c r="AX1233" s="93" t="s">
        <v>19469</v>
      </c>
      <c r="AY1233" s="87"/>
      <c r="AZ1233" s="93" t="s">
        <v>22668</v>
      </c>
      <c r="BA1233" s="93" t="s">
        <v>22668</v>
      </c>
      <c r="BB1233" s="93" t="s">
        <v>22668</v>
      </c>
      <c r="BC1233" s="93" t="s">
        <v>19469</v>
      </c>
      <c r="BD1233" s="93" t="s">
        <v>23036</v>
      </c>
      <c r="BE1233" s="87"/>
      <c r="BF1233" s="87"/>
      <c r="BG1233" s="87"/>
      <c r="BH1233" s="87"/>
      <c r="BI1233" s="87"/>
    </row>
    <row r="1234" spans="1:61" x14ac:dyDescent="0.25">
      <c r="A1234" s="63" t="s">
        <v>643</v>
      </c>
      <c r="B1234" s="63" t="s">
        <v>643</v>
      </c>
      <c r="C1234" s="64"/>
      <c r="D1234" s="65"/>
      <c r="E1234" s="66"/>
      <c r="F1234" s="67"/>
      <c r="G1234" s="64"/>
      <c r="H1234" s="68"/>
      <c r="I1234" s="69"/>
      <c r="J1234" s="69"/>
      <c r="K1234" s="32"/>
      <c r="L1234" s="76">
        <v>1234</v>
      </c>
      <c r="M1234" s="76"/>
      <c r="N1234" s="71"/>
      <c r="O1234" s="87" t="s">
        <v>179</v>
      </c>
      <c r="P1234" s="90">
        <v>45118.750925925924</v>
      </c>
      <c r="Q1234" s="87" t="s">
        <v>3040</v>
      </c>
      <c r="R1234" s="87">
        <v>0</v>
      </c>
      <c r="S1234" s="87">
        <v>0</v>
      </c>
      <c r="T1234" s="87">
        <v>0</v>
      </c>
      <c r="U1234" s="87">
        <v>0</v>
      </c>
      <c r="V1234" s="87">
        <v>54</v>
      </c>
      <c r="W1234" s="93" t="s">
        <v>6707</v>
      </c>
      <c r="X1234" s="87"/>
      <c r="Y1234" s="87"/>
      <c r="Z1234" s="87"/>
      <c r="AA1234" s="87" t="s">
        <v>9395</v>
      </c>
      <c r="AB1234" s="87" t="s">
        <v>11447</v>
      </c>
      <c r="AC1234" s="93" t="s">
        <v>11460</v>
      </c>
      <c r="AD1234" s="87" t="s">
        <v>11519</v>
      </c>
      <c r="AE1234" s="92" t="str">
        <f>HYPERLINK("https://twitter.com/confeitariaana/status/1678826822656487428")</f>
        <v>https://twitter.com/confeitariaana/status/1678826822656487428</v>
      </c>
      <c r="AF1234" s="90">
        <v>45118.750925925924</v>
      </c>
      <c r="AG1234" s="99">
        <v>45118</v>
      </c>
      <c r="AH1234" s="93" t="s">
        <v>12670</v>
      </c>
      <c r="AI1234" s="87" t="b">
        <v>0</v>
      </c>
      <c r="AJ1234" s="87"/>
      <c r="AK1234" s="87"/>
      <c r="AL1234" s="87"/>
      <c r="AM1234" s="87"/>
      <c r="AN1234" s="87"/>
      <c r="AO1234" s="87"/>
      <c r="AP1234" s="87"/>
      <c r="AQ1234" s="87" t="s">
        <v>16208</v>
      </c>
      <c r="AR1234" s="87">
        <v>56466</v>
      </c>
      <c r="AS1234" s="87"/>
      <c r="AT1234" s="87"/>
      <c r="AU1234" s="87"/>
      <c r="AV1234" s="92" t="str">
        <f>HYPERLINK("https://pbs.twimg.com/ext_tw_video_thumb/1678826682562539521/pu/img/eGQPo6kDX-Nka6vp.jpg")</f>
        <v>https://pbs.twimg.com/ext_tw_video_thumb/1678826682562539521/pu/img/eGQPo6kDX-Nka6vp.jpg</v>
      </c>
      <c r="AW1234" s="93" t="s">
        <v>19470</v>
      </c>
      <c r="AX1234" s="93" t="s">
        <v>19470</v>
      </c>
      <c r="AY1234" s="87"/>
      <c r="AZ1234" s="93" t="s">
        <v>22668</v>
      </c>
      <c r="BA1234" s="93" t="s">
        <v>22668</v>
      </c>
      <c r="BB1234" s="93" t="s">
        <v>22668</v>
      </c>
      <c r="BC1234" s="93" t="s">
        <v>19470</v>
      </c>
      <c r="BD1234" s="93" t="s">
        <v>23036</v>
      </c>
      <c r="BE1234" s="87"/>
      <c r="BF1234" s="87"/>
      <c r="BG1234" s="87"/>
      <c r="BH1234" s="87"/>
      <c r="BI1234" s="87"/>
    </row>
    <row r="1235" spans="1:61" x14ac:dyDescent="0.25">
      <c r="A1235" s="63" t="s">
        <v>643</v>
      </c>
      <c r="B1235" s="63" t="s">
        <v>643</v>
      </c>
      <c r="C1235" s="64"/>
      <c r="D1235" s="65"/>
      <c r="E1235" s="66"/>
      <c r="F1235" s="67"/>
      <c r="G1235" s="64"/>
      <c r="H1235" s="68"/>
      <c r="I1235" s="69"/>
      <c r="J1235" s="69"/>
      <c r="K1235" s="32"/>
      <c r="L1235" s="76">
        <v>1235</v>
      </c>
      <c r="M1235" s="76"/>
      <c r="N1235" s="71"/>
      <c r="O1235" s="87" t="s">
        <v>179</v>
      </c>
      <c r="P1235" s="90">
        <v>45118.584444444445</v>
      </c>
      <c r="Q1235" s="87" t="s">
        <v>3041</v>
      </c>
      <c r="R1235" s="87">
        <v>0</v>
      </c>
      <c r="S1235" s="87">
        <v>0</v>
      </c>
      <c r="T1235" s="87">
        <v>0</v>
      </c>
      <c r="U1235" s="87">
        <v>0</v>
      </c>
      <c r="V1235" s="87">
        <v>33</v>
      </c>
      <c r="W1235" s="93" t="s">
        <v>6707</v>
      </c>
      <c r="X1235" s="87"/>
      <c r="Y1235" s="87"/>
      <c r="Z1235" s="87"/>
      <c r="AA1235" s="87" t="s">
        <v>9396</v>
      </c>
      <c r="AB1235" s="87" t="s">
        <v>11447</v>
      </c>
      <c r="AC1235" s="93" t="s">
        <v>11460</v>
      </c>
      <c r="AD1235" s="87" t="s">
        <v>11519</v>
      </c>
      <c r="AE1235" s="92" t="str">
        <f>HYPERLINK("https://twitter.com/confeitariaana/status/1678766490743635968")</f>
        <v>https://twitter.com/confeitariaana/status/1678766490743635968</v>
      </c>
      <c r="AF1235" s="90">
        <v>45118.584444444445</v>
      </c>
      <c r="AG1235" s="99">
        <v>45118</v>
      </c>
      <c r="AH1235" s="93" t="s">
        <v>12671</v>
      </c>
      <c r="AI1235" s="87" t="b">
        <v>0</v>
      </c>
      <c r="AJ1235" s="87"/>
      <c r="AK1235" s="87"/>
      <c r="AL1235" s="87"/>
      <c r="AM1235" s="87"/>
      <c r="AN1235" s="87"/>
      <c r="AO1235" s="87"/>
      <c r="AP1235" s="87"/>
      <c r="AQ1235" s="87" t="s">
        <v>16209</v>
      </c>
      <c r="AR1235" s="87">
        <v>54166</v>
      </c>
      <c r="AS1235" s="87"/>
      <c r="AT1235" s="87"/>
      <c r="AU1235" s="87"/>
      <c r="AV1235" s="92" t="str">
        <f>HYPERLINK("https://pbs.twimg.com/ext_tw_video_thumb/1678766255745167365/pu/img/VaV0yASyZSbSLZDi.jpg")</f>
        <v>https://pbs.twimg.com/ext_tw_video_thumb/1678766255745167365/pu/img/VaV0yASyZSbSLZDi.jpg</v>
      </c>
      <c r="AW1235" s="93" t="s">
        <v>19471</v>
      </c>
      <c r="AX1235" s="93" t="s">
        <v>19471</v>
      </c>
      <c r="AY1235" s="87"/>
      <c r="AZ1235" s="93" t="s">
        <v>22668</v>
      </c>
      <c r="BA1235" s="93" t="s">
        <v>22668</v>
      </c>
      <c r="BB1235" s="93" t="s">
        <v>22668</v>
      </c>
      <c r="BC1235" s="93" t="s">
        <v>19471</v>
      </c>
      <c r="BD1235" s="93" t="s">
        <v>23036</v>
      </c>
      <c r="BE1235" s="87"/>
      <c r="BF1235" s="87"/>
      <c r="BG1235" s="87"/>
      <c r="BH1235" s="87"/>
      <c r="BI1235" s="87"/>
    </row>
    <row r="1236" spans="1:61" x14ac:dyDescent="0.25">
      <c r="A1236" s="63" t="s">
        <v>643</v>
      </c>
      <c r="B1236" s="63" t="s">
        <v>643</v>
      </c>
      <c r="C1236" s="64"/>
      <c r="D1236" s="65"/>
      <c r="E1236" s="66"/>
      <c r="F1236" s="67"/>
      <c r="G1236" s="64"/>
      <c r="H1236" s="68"/>
      <c r="I1236" s="69"/>
      <c r="J1236" s="69"/>
      <c r="K1236" s="32"/>
      <c r="L1236" s="76">
        <v>1236</v>
      </c>
      <c r="M1236" s="76"/>
      <c r="N1236" s="71"/>
      <c r="O1236" s="87" t="s">
        <v>179</v>
      </c>
      <c r="P1236" s="90">
        <v>45111.583981481483</v>
      </c>
      <c r="Q1236" s="87" t="s">
        <v>3042</v>
      </c>
      <c r="R1236" s="87">
        <v>0</v>
      </c>
      <c r="S1236" s="87">
        <v>0</v>
      </c>
      <c r="T1236" s="87">
        <v>1</v>
      </c>
      <c r="U1236" s="87">
        <v>0</v>
      </c>
      <c r="V1236" s="87">
        <v>33</v>
      </c>
      <c r="W1236" s="93" t="s">
        <v>6707</v>
      </c>
      <c r="X1236" s="87"/>
      <c r="Y1236" s="87"/>
      <c r="Z1236" s="87"/>
      <c r="AA1236" s="87" t="s">
        <v>9397</v>
      </c>
      <c r="AB1236" s="87" t="s">
        <v>11447</v>
      </c>
      <c r="AC1236" s="93" t="s">
        <v>11460</v>
      </c>
      <c r="AD1236" s="87" t="s">
        <v>11519</v>
      </c>
      <c r="AE1236" s="92" t="str">
        <f>HYPERLINK("https://twitter.com/confeitariaana/status/1676229611774959616")</f>
        <v>https://twitter.com/confeitariaana/status/1676229611774959616</v>
      </c>
      <c r="AF1236" s="90">
        <v>45111.583981481483</v>
      </c>
      <c r="AG1236" s="99">
        <v>45111</v>
      </c>
      <c r="AH1236" s="93" t="s">
        <v>12672</v>
      </c>
      <c r="AI1236" s="87" t="b">
        <v>0</v>
      </c>
      <c r="AJ1236" s="87"/>
      <c r="AK1236" s="87"/>
      <c r="AL1236" s="87"/>
      <c r="AM1236" s="87"/>
      <c r="AN1236" s="87"/>
      <c r="AO1236" s="87"/>
      <c r="AP1236" s="87"/>
      <c r="AQ1236" s="87" t="s">
        <v>16210</v>
      </c>
      <c r="AR1236" s="87">
        <v>59669</v>
      </c>
      <c r="AS1236" s="87"/>
      <c r="AT1236" s="87"/>
      <c r="AU1236" s="87"/>
      <c r="AV1236" s="92" t="str">
        <f>HYPERLINK("https://pbs.twimg.com/ext_tw_video_thumb/1676229537246347264/pu/img/i_mvQkgqNs_t7OFA.jpg")</f>
        <v>https://pbs.twimg.com/ext_tw_video_thumb/1676229537246347264/pu/img/i_mvQkgqNs_t7OFA.jpg</v>
      </c>
      <c r="AW1236" s="93" t="s">
        <v>19472</v>
      </c>
      <c r="AX1236" s="93" t="s">
        <v>19472</v>
      </c>
      <c r="AY1236" s="87"/>
      <c r="AZ1236" s="93" t="s">
        <v>22668</v>
      </c>
      <c r="BA1236" s="93" t="s">
        <v>22668</v>
      </c>
      <c r="BB1236" s="93" t="s">
        <v>22668</v>
      </c>
      <c r="BC1236" s="93" t="s">
        <v>19472</v>
      </c>
      <c r="BD1236" s="93" t="s">
        <v>23036</v>
      </c>
      <c r="BE1236" s="87"/>
      <c r="BF1236" s="87"/>
      <c r="BG1236" s="87"/>
      <c r="BH1236" s="87"/>
      <c r="BI1236" s="87"/>
    </row>
    <row r="1237" spans="1:61" x14ac:dyDescent="0.25">
      <c r="A1237" s="63" t="s">
        <v>643</v>
      </c>
      <c r="B1237" s="63" t="s">
        <v>643</v>
      </c>
      <c r="C1237" s="64"/>
      <c r="D1237" s="65"/>
      <c r="E1237" s="66"/>
      <c r="F1237" s="67"/>
      <c r="G1237" s="64"/>
      <c r="H1237" s="68"/>
      <c r="I1237" s="69"/>
      <c r="J1237" s="69"/>
      <c r="K1237" s="32"/>
      <c r="L1237" s="76">
        <v>1237</v>
      </c>
      <c r="M1237" s="76"/>
      <c r="N1237" s="71"/>
      <c r="O1237" s="87" t="s">
        <v>179</v>
      </c>
      <c r="P1237" s="90">
        <v>45111.500694444447</v>
      </c>
      <c r="Q1237" s="87" t="s">
        <v>3043</v>
      </c>
      <c r="R1237" s="87">
        <v>0</v>
      </c>
      <c r="S1237" s="87">
        <v>0</v>
      </c>
      <c r="T1237" s="87">
        <v>0</v>
      </c>
      <c r="U1237" s="87">
        <v>0</v>
      </c>
      <c r="V1237" s="87">
        <v>52</v>
      </c>
      <c r="W1237" s="93" t="s">
        <v>6707</v>
      </c>
      <c r="X1237" s="87"/>
      <c r="Y1237" s="87"/>
      <c r="Z1237" s="87"/>
      <c r="AA1237" s="87" t="s">
        <v>9398</v>
      </c>
      <c r="AB1237" s="87" t="s">
        <v>11447</v>
      </c>
      <c r="AC1237" s="93" t="s">
        <v>11460</v>
      </c>
      <c r="AD1237" s="87" t="s">
        <v>11519</v>
      </c>
      <c r="AE1237" s="92" t="str">
        <f>HYPERLINK("https://twitter.com/confeitariaana/status/1676199427810250752")</f>
        <v>https://twitter.com/confeitariaana/status/1676199427810250752</v>
      </c>
      <c r="AF1237" s="90">
        <v>45111.500694444447</v>
      </c>
      <c r="AG1237" s="99">
        <v>45111</v>
      </c>
      <c r="AH1237" s="93" t="s">
        <v>12673</v>
      </c>
      <c r="AI1237" s="87" t="b">
        <v>0</v>
      </c>
      <c r="AJ1237" s="87"/>
      <c r="AK1237" s="87"/>
      <c r="AL1237" s="87"/>
      <c r="AM1237" s="87"/>
      <c r="AN1237" s="87"/>
      <c r="AO1237" s="87"/>
      <c r="AP1237" s="87"/>
      <c r="AQ1237" s="87" t="s">
        <v>16211</v>
      </c>
      <c r="AR1237" s="87">
        <v>38805</v>
      </c>
      <c r="AS1237" s="87"/>
      <c r="AT1237" s="87"/>
      <c r="AU1237" s="87"/>
      <c r="AV1237" s="92" t="str">
        <f>HYPERLINK("https://pbs.twimg.com/ext_tw_video_thumb/1676199353743036418/pu/img/Wus8XGfTAWDa_MGV.jpg")</f>
        <v>https://pbs.twimg.com/ext_tw_video_thumb/1676199353743036418/pu/img/Wus8XGfTAWDa_MGV.jpg</v>
      </c>
      <c r="AW1237" s="93" t="s">
        <v>19473</v>
      </c>
      <c r="AX1237" s="93" t="s">
        <v>19473</v>
      </c>
      <c r="AY1237" s="87"/>
      <c r="AZ1237" s="93" t="s">
        <v>22668</v>
      </c>
      <c r="BA1237" s="93" t="s">
        <v>22668</v>
      </c>
      <c r="BB1237" s="93" t="s">
        <v>22668</v>
      </c>
      <c r="BC1237" s="93" t="s">
        <v>19473</v>
      </c>
      <c r="BD1237" s="93" t="s">
        <v>23036</v>
      </c>
      <c r="BE1237" s="87"/>
      <c r="BF1237" s="87"/>
      <c r="BG1237" s="87"/>
      <c r="BH1237" s="87"/>
      <c r="BI1237" s="87"/>
    </row>
    <row r="1238" spans="1:61" x14ac:dyDescent="0.25">
      <c r="A1238" s="63" t="s">
        <v>643</v>
      </c>
      <c r="B1238" s="63" t="s">
        <v>643</v>
      </c>
      <c r="C1238" s="64"/>
      <c r="D1238" s="65"/>
      <c r="E1238" s="66"/>
      <c r="F1238" s="67"/>
      <c r="G1238" s="64"/>
      <c r="H1238" s="68"/>
      <c r="I1238" s="69"/>
      <c r="J1238" s="69"/>
      <c r="K1238" s="32"/>
      <c r="L1238" s="76">
        <v>1238</v>
      </c>
      <c r="M1238" s="76"/>
      <c r="N1238" s="71"/>
      <c r="O1238" s="87" t="s">
        <v>179</v>
      </c>
      <c r="P1238" s="90">
        <v>45110.750717592593</v>
      </c>
      <c r="Q1238" s="87" t="s">
        <v>3044</v>
      </c>
      <c r="R1238" s="87">
        <v>0</v>
      </c>
      <c r="S1238" s="87">
        <v>0</v>
      </c>
      <c r="T1238" s="87">
        <v>0</v>
      </c>
      <c r="U1238" s="87">
        <v>0</v>
      </c>
      <c r="V1238" s="87">
        <v>20</v>
      </c>
      <c r="W1238" s="93" t="s">
        <v>6707</v>
      </c>
      <c r="X1238" s="87"/>
      <c r="Y1238" s="87"/>
      <c r="Z1238" s="87"/>
      <c r="AA1238" s="87" t="s">
        <v>9399</v>
      </c>
      <c r="AB1238" s="87" t="s">
        <v>11447</v>
      </c>
      <c r="AC1238" s="93" t="s">
        <v>11460</v>
      </c>
      <c r="AD1238" s="87" t="s">
        <v>11519</v>
      </c>
      <c r="AE1238" s="92" t="str">
        <f>HYPERLINK("https://twitter.com/confeitariaana/status/1675927644515213316")</f>
        <v>https://twitter.com/confeitariaana/status/1675927644515213316</v>
      </c>
      <c r="AF1238" s="90">
        <v>45110.750717592593</v>
      </c>
      <c r="AG1238" s="99">
        <v>45110</v>
      </c>
      <c r="AH1238" s="93" t="s">
        <v>12660</v>
      </c>
      <c r="AI1238" s="87" t="b">
        <v>0</v>
      </c>
      <c r="AJ1238" s="87"/>
      <c r="AK1238" s="87"/>
      <c r="AL1238" s="87"/>
      <c r="AM1238" s="87"/>
      <c r="AN1238" s="87"/>
      <c r="AO1238" s="87"/>
      <c r="AP1238" s="87"/>
      <c r="AQ1238" s="87" t="s">
        <v>16212</v>
      </c>
      <c r="AR1238" s="87">
        <v>59605</v>
      </c>
      <c r="AS1238" s="87"/>
      <c r="AT1238" s="87"/>
      <c r="AU1238" s="87"/>
      <c r="AV1238" s="92" t="str">
        <f>HYPERLINK("https://pbs.twimg.com/ext_tw_video_thumb/1675927569256816650/pu/img/WKQF284jgEGNy0dX.jpg")</f>
        <v>https://pbs.twimg.com/ext_tw_video_thumb/1675927569256816650/pu/img/WKQF284jgEGNy0dX.jpg</v>
      </c>
      <c r="AW1238" s="93" t="s">
        <v>19474</v>
      </c>
      <c r="AX1238" s="93" t="s">
        <v>19474</v>
      </c>
      <c r="AY1238" s="87"/>
      <c r="AZ1238" s="93" t="s">
        <v>22668</v>
      </c>
      <c r="BA1238" s="93" t="s">
        <v>22668</v>
      </c>
      <c r="BB1238" s="93" t="s">
        <v>22668</v>
      </c>
      <c r="BC1238" s="93" t="s">
        <v>19474</v>
      </c>
      <c r="BD1238" s="93" t="s">
        <v>23036</v>
      </c>
      <c r="BE1238" s="87"/>
      <c r="BF1238" s="87"/>
      <c r="BG1238" s="87"/>
      <c r="BH1238" s="87"/>
      <c r="BI1238" s="87"/>
    </row>
    <row r="1239" spans="1:61" x14ac:dyDescent="0.25">
      <c r="A1239" s="63" t="s">
        <v>643</v>
      </c>
      <c r="B1239" s="63" t="s">
        <v>643</v>
      </c>
      <c r="C1239" s="64"/>
      <c r="D1239" s="65"/>
      <c r="E1239" s="66"/>
      <c r="F1239" s="67"/>
      <c r="G1239" s="64"/>
      <c r="H1239" s="68"/>
      <c r="I1239" s="69"/>
      <c r="J1239" s="69"/>
      <c r="K1239" s="32"/>
      <c r="L1239" s="76">
        <v>1239</v>
      </c>
      <c r="M1239" s="76"/>
      <c r="N1239" s="71"/>
      <c r="O1239" s="87" t="s">
        <v>179</v>
      </c>
      <c r="P1239" s="90">
        <v>45110.584027777775</v>
      </c>
      <c r="Q1239" s="87" t="s">
        <v>3045</v>
      </c>
      <c r="R1239" s="87">
        <v>0</v>
      </c>
      <c r="S1239" s="87">
        <v>0</v>
      </c>
      <c r="T1239" s="87">
        <v>0</v>
      </c>
      <c r="U1239" s="87">
        <v>0</v>
      </c>
      <c r="V1239" s="87">
        <v>26</v>
      </c>
      <c r="W1239" s="93" t="s">
        <v>6707</v>
      </c>
      <c r="X1239" s="87"/>
      <c r="Y1239" s="87"/>
      <c r="Z1239" s="87"/>
      <c r="AA1239" s="87" t="s">
        <v>9400</v>
      </c>
      <c r="AB1239" s="87" t="s">
        <v>11447</v>
      </c>
      <c r="AC1239" s="93" t="s">
        <v>11460</v>
      </c>
      <c r="AD1239" s="87" t="s">
        <v>11519</v>
      </c>
      <c r="AE1239" s="92" t="str">
        <f>HYPERLINK("https://twitter.com/confeitariaana/status/1675867240233590784")</f>
        <v>https://twitter.com/confeitariaana/status/1675867240233590784</v>
      </c>
      <c r="AF1239" s="90">
        <v>45110.584027777775</v>
      </c>
      <c r="AG1239" s="99">
        <v>45110</v>
      </c>
      <c r="AH1239" s="93" t="s">
        <v>12674</v>
      </c>
      <c r="AI1239" s="87" t="b">
        <v>0</v>
      </c>
      <c r="AJ1239" s="87"/>
      <c r="AK1239" s="87"/>
      <c r="AL1239" s="87"/>
      <c r="AM1239" s="87"/>
      <c r="AN1239" s="87"/>
      <c r="AO1239" s="87"/>
      <c r="AP1239" s="87"/>
      <c r="AQ1239" s="87" t="s">
        <v>16213</v>
      </c>
      <c r="AR1239" s="87">
        <v>59904</v>
      </c>
      <c r="AS1239" s="87"/>
      <c r="AT1239" s="87"/>
      <c r="AU1239" s="87"/>
      <c r="AV1239" s="92" t="str">
        <f>HYPERLINK("https://pbs.twimg.com/ext_tw_video_thumb/1675867165499482117/pu/img/FSiARd_xgELZAYqc.jpg")</f>
        <v>https://pbs.twimg.com/ext_tw_video_thumb/1675867165499482117/pu/img/FSiARd_xgELZAYqc.jpg</v>
      </c>
      <c r="AW1239" s="93" t="s">
        <v>19475</v>
      </c>
      <c r="AX1239" s="93" t="s">
        <v>19475</v>
      </c>
      <c r="AY1239" s="87"/>
      <c r="AZ1239" s="93" t="s">
        <v>22668</v>
      </c>
      <c r="BA1239" s="93" t="s">
        <v>22668</v>
      </c>
      <c r="BB1239" s="93" t="s">
        <v>22668</v>
      </c>
      <c r="BC1239" s="93" t="s">
        <v>19475</v>
      </c>
      <c r="BD1239" s="93" t="s">
        <v>23036</v>
      </c>
      <c r="BE1239" s="87"/>
      <c r="BF1239" s="87"/>
      <c r="BG1239" s="87"/>
      <c r="BH1239" s="87"/>
      <c r="BI1239" s="87"/>
    </row>
    <row r="1240" spans="1:61" x14ac:dyDescent="0.25">
      <c r="A1240" s="63" t="s">
        <v>643</v>
      </c>
      <c r="B1240" s="63" t="s">
        <v>643</v>
      </c>
      <c r="C1240" s="64"/>
      <c r="D1240" s="65"/>
      <c r="E1240" s="66"/>
      <c r="F1240" s="67"/>
      <c r="G1240" s="64"/>
      <c r="H1240" s="68"/>
      <c r="I1240" s="69"/>
      <c r="J1240" s="69"/>
      <c r="K1240" s="32"/>
      <c r="L1240" s="76">
        <v>1240</v>
      </c>
      <c r="M1240" s="76"/>
      <c r="N1240" s="71"/>
      <c r="O1240" s="87" t="s">
        <v>179</v>
      </c>
      <c r="P1240" s="90">
        <v>45137.584178240744</v>
      </c>
      <c r="Q1240" s="87" t="s">
        <v>3046</v>
      </c>
      <c r="R1240" s="87">
        <v>0</v>
      </c>
      <c r="S1240" s="87">
        <v>0</v>
      </c>
      <c r="T1240" s="87">
        <v>0</v>
      </c>
      <c r="U1240" s="87">
        <v>0</v>
      </c>
      <c r="V1240" s="87">
        <v>4</v>
      </c>
      <c r="W1240" s="93" t="s">
        <v>6707</v>
      </c>
      <c r="X1240" s="87"/>
      <c r="Y1240" s="87"/>
      <c r="Z1240" s="87"/>
      <c r="AA1240" s="87" t="s">
        <v>9401</v>
      </c>
      <c r="AB1240" s="87" t="s">
        <v>11447</v>
      </c>
      <c r="AC1240" s="93" t="s">
        <v>11460</v>
      </c>
      <c r="AD1240" s="87" t="s">
        <v>11519</v>
      </c>
      <c r="AE1240" s="92" t="str">
        <f>HYPERLINK("https://twitter.com/confeitariaana/status/1685651766224773120")</f>
        <v>https://twitter.com/confeitariaana/status/1685651766224773120</v>
      </c>
      <c r="AF1240" s="90">
        <v>45137.584178240744</v>
      </c>
      <c r="AG1240" s="99">
        <v>45137</v>
      </c>
      <c r="AH1240" s="93" t="s">
        <v>12659</v>
      </c>
      <c r="AI1240" s="87" t="b">
        <v>0</v>
      </c>
      <c r="AJ1240" s="87"/>
      <c r="AK1240" s="87"/>
      <c r="AL1240" s="87"/>
      <c r="AM1240" s="87"/>
      <c r="AN1240" s="87"/>
      <c r="AO1240" s="87"/>
      <c r="AP1240" s="87"/>
      <c r="AQ1240" s="87" t="s">
        <v>16214</v>
      </c>
      <c r="AR1240" s="87">
        <v>44800</v>
      </c>
      <c r="AS1240" s="87"/>
      <c r="AT1240" s="87"/>
      <c r="AU1240" s="87"/>
      <c r="AV1240" s="92" t="str">
        <f>HYPERLINK("https://pbs.twimg.com/ext_tw_video_thumb/1685651652651442176/pu/img/4uj4_Iluf-9_mY4z.jpg")</f>
        <v>https://pbs.twimg.com/ext_tw_video_thumb/1685651652651442176/pu/img/4uj4_Iluf-9_mY4z.jpg</v>
      </c>
      <c r="AW1240" s="93" t="s">
        <v>19476</v>
      </c>
      <c r="AX1240" s="93" t="s">
        <v>19476</v>
      </c>
      <c r="AY1240" s="87"/>
      <c r="AZ1240" s="93" t="s">
        <v>22668</v>
      </c>
      <c r="BA1240" s="93" t="s">
        <v>22668</v>
      </c>
      <c r="BB1240" s="93" t="s">
        <v>22668</v>
      </c>
      <c r="BC1240" s="93" t="s">
        <v>19476</v>
      </c>
      <c r="BD1240" s="93" t="s">
        <v>23036</v>
      </c>
      <c r="BE1240" s="87"/>
      <c r="BF1240" s="87"/>
      <c r="BG1240" s="87"/>
      <c r="BH1240" s="87"/>
      <c r="BI1240" s="87"/>
    </row>
    <row r="1241" spans="1:61" x14ac:dyDescent="0.25">
      <c r="A1241" s="63" t="s">
        <v>643</v>
      </c>
      <c r="B1241" s="63" t="s">
        <v>643</v>
      </c>
      <c r="C1241" s="64"/>
      <c r="D1241" s="65"/>
      <c r="E1241" s="66"/>
      <c r="F1241" s="67"/>
      <c r="G1241" s="64"/>
      <c r="H1241" s="68"/>
      <c r="I1241" s="69"/>
      <c r="J1241" s="69"/>
      <c r="K1241" s="32"/>
      <c r="L1241" s="76">
        <v>1241</v>
      </c>
      <c r="M1241" s="76"/>
      <c r="N1241" s="71"/>
      <c r="O1241" s="87" t="s">
        <v>179</v>
      </c>
      <c r="P1241" s="90">
        <v>45136.587256944447</v>
      </c>
      <c r="Q1241" s="87" t="s">
        <v>3047</v>
      </c>
      <c r="R1241" s="87">
        <v>0</v>
      </c>
      <c r="S1241" s="87">
        <v>0</v>
      </c>
      <c r="T1241" s="87">
        <v>0</v>
      </c>
      <c r="U1241" s="87">
        <v>0</v>
      </c>
      <c r="V1241" s="87">
        <v>12</v>
      </c>
      <c r="W1241" s="93" t="s">
        <v>6707</v>
      </c>
      <c r="X1241" s="87"/>
      <c r="Y1241" s="87"/>
      <c r="Z1241" s="87"/>
      <c r="AA1241" s="87" t="s">
        <v>9402</v>
      </c>
      <c r="AB1241" s="87" t="s">
        <v>11447</v>
      </c>
      <c r="AC1241" s="93" t="s">
        <v>11460</v>
      </c>
      <c r="AD1241" s="87" t="s">
        <v>11518</v>
      </c>
      <c r="AE1241" s="92" t="str">
        <f>HYPERLINK("https://twitter.com/confeitariaana/status/1685290495067504641")</f>
        <v>https://twitter.com/confeitariaana/status/1685290495067504641</v>
      </c>
      <c r="AF1241" s="90">
        <v>45136.587256944447</v>
      </c>
      <c r="AG1241" s="99">
        <v>45136</v>
      </c>
      <c r="AH1241" s="93" t="s">
        <v>12675</v>
      </c>
      <c r="AI1241" s="87" t="b">
        <v>0</v>
      </c>
      <c r="AJ1241" s="87"/>
      <c r="AK1241" s="87"/>
      <c r="AL1241" s="87"/>
      <c r="AM1241" s="87"/>
      <c r="AN1241" s="87"/>
      <c r="AO1241" s="87"/>
      <c r="AP1241" s="87"/>
      <c r="AQ1241" s="87" t="s">
        <v>16215</v>
      </c>
      <c r="AR1241" s="87">
        <v>45133</v>
      </c>
      <c r="AS1241" s="87"/>
      <c r="AT1241" s="87"/>
      <c r="AU1241" s="87"/>
      <c r="AV1241" s="92" t="str">
        <f>HYPERLINK("https://pbs.twimg.com/ext_tw_video_thumb/1685290383855460352/pu/img/7TU7hHTIZQgT4xTI.jpg")</f>
        <v>https://pbs.twimg.com/ext_tw_video_thumb/1685290383855460352/pu/img/7TU7hHTIZQgT4xTI.jpg</v>
      </c>
      <c r="AW1241" s="93" t="s">
        <v>19477</v>
      </c>
      <c r="AX1241" s="93" t="s">
        <v>19477</v>
      </c>
      <c r="AY1241" s="87"/>
      <c r="AZ1241" s="93" t="s">
        <v>22668</v>
      </c>
      <c r="BA1241" s="93" t="s">
        <v>22668</v>
      </c>
      <c r="BB1241" s="93" t="s">
        <v>22668</v>
      </c>
      <c r="BC1241" s="93" t="s">
        <v>19477</v>
      </c>
      <c r="BD1241" s="93" t="s">
        <v>23036</v>
      </c>
      <c r="BE1241" s="87"/>
      <c r="BF1241" s="87"/>
      <c r="BG1241" s="87"/>
      <c r="BH1241" s="87"/>
      <c r="BI1241" s="87"/>
    </row>
    <row r="1242" spans="1:61" x14ac:dyDescent="0.25">
      <c r="A1242" s="63" t="s">
        <v>643</v>
      </c>
      <c r="B1242" s="63" t="s">
        <v>643</v>
      </c>
      <c r="C1242" s="64"/>
      <c r="D1242" s="65"/>
      <c r="E1242" s="66"/>
      <c r="F1242" s="67"/>
      <c r="G1242" s="64"/>
      <c r="H1242" s="68"/>
      <c r="I1242" s="69"/>
      <c r="J1242" s="69"/>
      <c r="K1242" s="32"/>
      <c r="L1242" s="76">
        <v>1242</v>
      </c>
      <c r="M1242" s="76"/>
      <c r="N1242" s="71"/>
      <c r="O1242" s="87" t="s">
        <v>179</v>
      </c>
      <c r="P1242" s="90">
        <v>45136.584409722222</v>
      </c>
      <c r="Q1242" s="87" t="s">
        <v>3048</v>
      </c>
      <c r="R1242" s="87">
        <v>0</v>
      </c>
      <c r="S1242" s="87">
        <v>0</v>
      </c>
      <c r="T1242" s="87">
        <v>0</v>
      </c>
      <c r="U1242" s="87">
        <v>0</v>
      </c>
      <c r="V1242" s="87">
        <v>6</v>
      </c>
      <c r="W1242" s="93" t="s">
        <v>6707</v>
      </c>
      <c r="X1242" s="87"/>
      <c r="Y1242" s="87"/>
      <c r="Z1242" s="87"/>
      <c r="AA1242" s="87" t="s">
        <v>9403</v>
      </c>
      <c r="AB1242" s="87" t="s">
        <v>11447</v>
      </c>
      <c r="AC1242" s="93" t="s">
        <v>11460</v>
      </c>
      <c r="AD1242" s="87" t="s">
        <v>11518</v>
      </c>
      <c r="AE1242" s="92" t="str">
        <f>HYPERLINK("https://twitter.com/confeitariaana/status/1685289462903754753")</f>
        <v>https://twitter.com/confeitariaana/status/1685289462903754753</v>
      </c>
      <c r="AF1242" s="90">
        <v>45136.584409722222</v>
      </c>
      <c r="AG1242" s="99">
        <v>45136</v>
      </c>
      <c r="AH1242" s="93" t="s">
        <v>12676</v>
      </c>
      <c r="AI1242" s="87" t="b">
        <v>0</v>
      </c>
      <c r="AJ1242" s="87"/>
      <c r="AK1242" s="87"/>
      <c r="AL1242" s="87"/>
      <c r="AM1242" s="87"/>
      <c r="AN1242" s="87"/>
      <c r="AO1242" s="87"/>
      <c r="AP1242" s="87"/>
      <c r="AQ1242" s="87" t="s">
        <v>16216</v>
      </c>
      <c r="AR1242" s="87">
        <v>45133</v>
      </c>
      <c r="AS1242" s="87"/>
      <c r="AT1242" s="87"/>
      <c r="AU1242" s="87"/>
      <c r="AV1242" s="92" t="str">
        <f>HYPERLINK("https://pbs.twimg.com/ext_tw_video_thumb/1685289268355137537/pu/img/ZMA5I4zglwsR9DMm.jpg")</f>
        <v>https://pbs.twimg.com/ext_tw_video_thumb/1685289268355137537/pu/img/ZMA5I4zglwsR9DMm.jpg</v>
      </c>
      <c r="AW1242" s="93" t="s">
        <v>19478</v>
      </c>
      <c r="AX1242" s="93" t="s">
        <v>19478</v>
      </c>
      <c r="AY1242" s="87"/>
      <c r="AZ1242" s="93" t="s">
        <v>22668</v>
      </c>
      <c r="BA1242" s="93" t="s">
        <v>22668</v>
      </c>
      <c r="BB1242" s="93" t="s">
        <v>22668</v>
      </c>
      <c r="BC1242" s="93" t="s">
        <v>19478</v>
      </c>
      <c r="BD1242" s="93" t="s">
        <v>23036</v>
      </c>
      <c r="BE1242" s="87"/>
      <c r="BF1242" s="87"/>
      <c r="BG1242" s="87"/>
      <c r="BH1242" s="87"/>
      <c r="BI1242" s="87"/>
    </row>
    <row r="1243" spans="1:61" x14ac:dyDescent="0.25">
      <c r="A1243" s="63" t="s">
        <v>643</v>
      </c>
      <c r="B1243" s="63" t="s">
        <v>643</v>
      </c>
      <c r="C1243" s="64"/>
      <c r="D1243" s="65"/>
      <c r="E1243" s="66"/>
      <c r="F1243" s="67"/>
      <c r="G1243" s="64"/>
      <c r="H1243" s="68"/>
      <c r="I1243" s="69"/>
      <c r="J1243" s="69"/>
      <c r="K1243" s="32"/>
      <c r="L1243" s="76">
        <v>1243</v>
      </c>
      <c r="M1243" s="76"/>
      <c r="N1243" s="71"/>
      <c r="O1243" s="87" t="s">
        <v>179</v>
      </c>
      <c r="P1243" s="90">
        <v>45121.750868055555</v>
      </c>
      <c r="Q1243" s="87" t="s">
        <v>3049</v>
      </c>
      <c r="R1243" s="87">
        <v>0</v>
      </c>
      <c r="S1243" s="87">
        <v>0</v>
      </c>
      <c r="T1243" s="87">
        <v>0</v>
      </c>
      <c r="U1243" s="87">
        <v>0</v>
      </c>
      <c r="V1243" s="87">
        <v>33</v>
      </c>
      <c r="W1243" s="93" t="s">
        <v>6707</v>
      </c>
      <c r="X1243" s="87"/>
      <c r="Y1243" s="87"/>
      <c r="Z1243" s="87"/>
      <c r="AA1243" s="87" t="s">
        <v>9404</v>
      </c>
      <c r="AB1243" s="87" t="s">
        <v>11447</v>
      </c>
      <c r="AC1243" s="93" t="s">
        <v>11460</v>
      </c>
      <c r="AD1243" s="87" t="s">
        <v>11519</v>
      </c>
      <c r="AE1243" s="92" t="str">
        <f>HYPERLINK("https://twitter.com/confeitariaana/status/1679913964833234945")</f>
        <v>https://twitter.com/confeitariaana/status/1679913964833234945</v>
      </c>
      <c r="AF1243" s="90">
        <v>45121.750868055555</v>
      </c>
      <c r="AG1243" s="99">
        <v>45121</v>
      </c>
      <c r="AH1243" s="93" t="s">
        <v>12677</v>
      </c>
      <c r="AI1243" s="87" t="b">
        <v>0</v>
      </c>
      <c r="AJ1243" s="87"/>
      <c r="AK1243" s="87"/>
      <c r="AL1243" s="87"/>
      <c r="AM1243" s="87"/>
      <c r="AN1243" s="87"/>
      <c r="AO1243" s="87"/>
      <c r="AP1243" s="87"/>
      <c r="AQ1243" s="87" t="s">
        <v>16217</v>
      </c>
      <c r="AR1243" s="87">
        <v>52000</v>
      </c>
      <c r="AS1243" s="87"/>
      <c r="AT1243" s="87"/>
      <c r="AU1243" s="87"/>
      <c r="AV1243" s="92" t="str">
        <f>HYPERLINK("https://pbs.twimg.com/ext_tw_video_thumb/1679913850299088919/pu/img/nbv5L3E5JuZte_pQ.jpg")</f>
        <v>https://pbs.twimg.com/ext_tw_video_thumb/1679913850299088919/pu/img/nbv5L3E5JuZte_pQ.jpg</v>
      </c>
      <c r="AW1243" s="93" t="s">
        <v>19479</v>
      </c>
      <c r="AX1243" s="93" t="s">
        <v>19479</v>
      </c>
      <c r="AY1243" s="87"/>
      <c r="AZ1243" s="93" t="s">
        <v>22668</v>
      </c>
      <c r="BA1243" s="93" t="s">
        <v>22668</v>
      </c>
      <c r="BB1243" s="93" t="s">
        <v>22668</v>
      </c>
      <c r="BC1243" s="93" t="s">
        <v>19479</v>
      </c>
      <c r="BD1243" s="93" t="s">
        <v>23036</v>
      </c>
      <c r="BE1243" s="87"/>
      <c r="BF1243" s="87"/>
      <c r="BG1243" s="87"/>
      <c r="BH1243" s="87"/>
      <c r="BI1243" s="87"/>
    </row>
    <row r="1244" spans="1:61" x14ac:dyDescent="0.25">
      <c r="A1244" s="63" t="s">
        <v>643</v>
      </c>
      <c r="B1244" s="63" t="s">
        <v>643</v>
      </c>
      <c r="C1244" s="64"/>
      <c r="D1244" s="65"/>
      <c r="E1244" s="66"/>
      <c r="F1244" s="67"/>
      <c r="G1244" s="64"/>
      <c r="H1244" s="68"/>
      <c r="I1244" s="69"/>
      <c r="J1244" s="69"/>
      <c r="K1244" s="32"/>
      <c r="L1244" s="76">
        <v>1244</v>
      </c>
      <c r="M1244" s="76"/>
      <c r="N1244" s="71"/>
      <c r="O1244" s="87" t="s">
        <v>179</v>
      </c>
      <c r="P1244" s="90">
        <v>45121.584317129629</v>
      </c>
      <c r="Q1244" s="87" t="s">
        <v>3050</v>
      </c>
      <c r="R1244" s="87">
        <v>0</v>
      </c>
      <c r="S1244" s="87">
        <v>0</v>
      </c>
      <c r="T1244" s="87">
        <v>0</v>
      </c>
      <c r="U1244" s="87">
        <v>0</v>
      </c>
      <c r="V1244" s="87">
        <v>33</v>
      </c>
      <c r="W1244" s="93" t="s">
        <v>6707</v>
      </c>
      <c r="X1244" s="87"/>
      <c r="Y1244" s="87"/>
      <c r="Z1244" s="87"/>
      <c r="AA1244" s="87" t="s">
        <v>9405</v>
      </c>
      <c r="AB1244" s="87" t="s">
        <v>11447</v>
      </c>
      <c r="AC1244" s="93" t="s">
        <v>11460</v>
      </c>
      <c r="AD1244" s="87" t="s">
        <v>11519</v>
      </c>
      <c r="AE1244" s="92" t="str">
        <f>HYPERLINK("https://twitter.com/confeitariaana/status/1679853610878787585")</f>
        <v>https://twitter.com/confeitariaana/status/1679853610878787585</v>
      </c>
      <c r="AF1244" s="90">
        <v>45121.584317129629</v>
      </c>
      <c r="AG1244" s="99">
        <v>45121</v>
      </c>
      <c r="AH1244" s="93" t="s">
        <v>12678</v>
      </c>
      <c r="AI1244" s="87" t="b">
        <v>0</v>
      </c>
      <c r="AJ1244" s="87"/>
      <c r="AK1244" s="87"/>
      <c r="AL1244" s="87"/>
      <c r="AM1244" s="87"/>
      <c r="AN1244" s="87"/>
      <c r="AO1244" s="87"/>
      <c r="AP1244" s="87"/>
      <c r="AQ1244" s="87" t="s">
        <v>16218</v>
      </c>
      <c r="AR1244" s="87">
        <v>53900</v>
      </c>
      <c r="AS1244" s="87"/>
      <c r="AT1244" s="87"/>
      <c r="AU1244" s="87"/>
      <c r="AV1244" s="92" t="str">
        <f>HYPERLINK("https://pbs.twimg.com/ext_tw_video_thumb/1679853473251176448/pu/img/I-B-o74coIyX_Yut.jpg")</f>
        <v>https://pbs.twimg.com/ext_tw_video_thumb/1679853473251176448/pu/img/I-B-o74coIyX_Yut.jpg</v>
      </c>
      <c r="AW1244" s="93" t="s">
        <v>19480</v>
      </c>
      <c r="AX1244" s="93" t="s">
        <v>19480</v>
      </c>
      <c r="AY1244" s="87"/>
      <c r="AZ1244" s="93" t="s">
        <v>22668</v>
      </c>
      <c r="BA1244" s="93" t="s">
        <v>22668</v>
      </c>
      <c r="BB1244" s="93" t="s">
        <v>22668</v>
      </c>
      <c r="BC1244" s="93" t="s">
        <v>19480</v>
      </c>
      <c r="BD1244" s="93" t="s">
        <v>23036</v>
      </c>
      <c r="BE1244" s="87"/>
      <c r="BF1244" s="87"/>
      <c r="BG1244" s="87"/>
      <c r="BH1244" s="87"/>
      <c r="BI1244" s="87"/>
    </row>
    <row r="1245" spans="1:61" x14ac:dyDescent="0.25">
      <c r="A1245" s="63" t="s">
        <v>643</v>
      </c>
      <c r="B1245" s="63" t="s">
        <v>643</v>
      </c>
      <c r="C1245" s="64"/>
      <c r="D1245" s="65"/>
      <c r="E1245" s="66"/>
      <c r="F1245" s="67"/>
      <c r="G1245" s="64"/>
      <c r="H1245" s="68"/>
      <c r="I1245" s="69"/>
      <c r="J1245" s="69"/>
      <c r="K1245" s="32"/>
      <c r="L1245" s="76">
        <v>1245</v>
      </c>
      <c r="M1245" s="76"/>
      <c r="N1245" s="71"/>
      <c r="O1245" s="87" t="s">
        <v>179</v>
      </c>
      <c r="P1245" s="90">
        <v>45121.573553240742</v>
      </c>
      <c r="Q1245" s="87" t="s">
        <v>3051</v>
      </c>
      <c r="R1245" s="87">
        <v>0</v>
      </c>
      <c r="S1245" s="87">
        <v>0</v>
      </c>
      <c r="T1245" s="87">
        <v>0</v>
      </c>
      <c r="U1245" s="87">
        <v>0</v>
      </c>
      <c r="V1245" s="87">
        <v>52</v>
      </c>
      <c r="W1245" s="93" t="s">
        <v>6707</v>
      </c>
      <c r="X1245" s="87"/>
      <c r="Y1245" s="87"/>
      <c r="Z1245" s="87"/>
      <c r="AA1245" s="87" t="s">
        <v>9406</v>
      </c>
      <c r="AB1245" s="87" t="s">
        <v>11447</v>
      </c>
      <c r="AC1245" s="93" t="s">
        <v>11460</v>
      </c>
      <c r="AD1245" s="87" t="s">
        <v>11519</v>
      </c>
      <c r="AE1245" s="92" t="str">
        <f>HYPERLINK("https://twitter.com/confeitariaana/status/1679849710230675456")</f>
        <v>https://twitter.com/confeitariaana/status/1679849710230675456</v>
      </c>
      <c r="AF1245" s="90">
        <v>45121.573553240742</v>
      </c>
      <c r="AG1245" s="99">
        <v>45121</v>
      </c>
      <c r="AH1245" s="93" t="s">
        <v>12679</v>
      </c>
      <c r="AI1245" s="87" t="b">
        <v>0</v>
      </c>
      <c r="AJ1245" s="87"/>
      <c r="AK1245" s="87"/>
      <c r="AL1245" s="87"/>
      <c r="AM1245" s="87"/>
      <c r="AN1245" s="87"/>
      <c r="AO1245" s="87"/>
      <c r="AP1245" s="87"/>
      <c r="AQ1245" s="87" t="s">
        <v>16219</v>
      </c>
      <c r="AR1245" s="87">
        <v>48766</v>
      </c>
      <c r="AS1245" s="87"/>
      <c r="AT1245" s="87"/>
      <c r="AU1245" s="87"/>
      <c r="AV1245" s="92" t="str">
        <f>HYPERLINK("https://pbs.twimg.com/ext_tw_video_thumb/1679849576079978497/pu/img/5rOvXBFfwitLmn4T.jpg")</f>
        <v>https://pbs.twimg.com/ext_tw_video_thumb/1679849576079978497/pu/img/5rOvXBFfwitLmn4T.jpg</v>
      </c>
      <c r="AW1245" s="93" t="s">
        <v>19481</v>
      </c>
      <c r="AX1245" s="93" t="s">
        <v>19481</v>
      </c>
      <c r="AY1245" s="87"/>
      <c r="AZ1245" s="93" t="s">
        <v>22668</v>
      </c>
      <c r="BA1245" s="93" t="s">
        <v>22668</v>
      </c>
      <c r="BB1245" s="93" t="s">
        <v>22668</v>
      </c>
      <c r="BC1245" s="93" t="s">
        <v>19481</v>
      </c>
      <c r="BD1245" s="93" t="s">
        <v>23036</v>
      </c>
      <c r="BE1245" s="87"/>
      <c r="BF1245" s="87"/>
      <c r="BG1245" s="87"/>
      <c r="BH1245" s="87"/>
      <c r="BI1245" s="87"/>
    </row>
    <row r="1246" spans="1:61" x14ac:dyDescent="0.25">
      <c r="A1246" s="63" t="s">
        <v>643</v>
      </c>
      <c r="B1246" s="63" t="s">
        <v>643</v>
      </c>
      <c r="C1246" s="64"/>
      <c r="D1246" s="65"/>
      <c r="E1246" s="66"/>
      <c r="F1246" s="67"/>
      <c r="G1246" s="64"/>
      <c r="H1246" s="68"/>
      <c r="I1246" s="69"/>
      <c r="J1246" s="69"/>
      <c r="K1246" s="32"/>
      <c r="L1246" s="76">
        <v>1246</v>
      </c>
      <c r="M1246" s="76"/>
      <c r="N1246" s="71"/>
      <c r="O1246" s="87" t="s">
        <v>179</v>
      </c>
      <c r="P1246" s="90">
        <v>45120.892835648148</v>
      </c>
      <c r="Q1246" s="87" t="s">
        <v>3052</v>
      </c>
      <c r="R1246" s="87">
        <v>0</v>
      </c>
      <c r="S1246" s="87">
        <v>0</v>
      </c>
      <c r="T1246" s="87">
        <v>0</v>
      </c>
      <c r="U1246" s="87">
        <v>0</v>
      </c>
      <c r="V1246" s="87">
        <v>29</v>
      </c>
      <c r="W1246" s="93" t="s">
        <v>6707</v>
      </c>
      <c r="X1246" s="87"/>
      <c r="Y1246" s="87"/>
      <c r="Z1246" s="87"/>
      <c r="AA1246" s="87" t="s">
        <v>9407</v>
      </c>
      <c r="AB1246" s="87" t="s">
        <v>11447</v>
      </c>
      <c r="AC1246" s="93" t="s">
        <v>11460</v>
      </c>
      <c r="AD1246" s="87" t="s">
        <v>11519</v>
      </c>
      <c r="AE1246" s="92" t="str">
        <f>HYPERLINK("https://twitter.com/confeitariaana/status/1679603024740720641")</f>
        <v>https://twitter.com/confeitariaana/status/1679603024740720641</v>
      </c>
      <c r="AF1246" s="90">
        <v>45120.892835648148</v>
      </c>
      <c r="AG1246" s="99">
        <v>45120</v>
      </c>
      <c r="AH1246" s="93" t="s">
        <v>12680</v>
      </c>
      <c r="AI1246" s="87" t="b">
        <v>0</v>
      </c>
      <c r="AJ1246" s="87"/>
      <c r="AK1246" s="87"/>
      <c r="AL1246" s="87"/>
      <c r="AM1246" s="87"/>
      <c r="AN1246" s="87"/>
      <c r="AO1246" s="87"/>
      <c r="AP1246" s="87"/>
      <c r="AQ1246" s="87" t="s">
        <v>16220</v>
      </c>
      <c r="AR1246" s="87">
        <v>52600</v>
      </c>
      <c r="AS1246" s="87"/>
      <c r="AT1246" s="87"/>
      <c r="AU1246" s="87"/>
      <c r="AV1246" s="92" t="str">
        <f>HYPERLINK("https://pbs.twimg.com/ext_tw_video_thumb/1679602910777208832/pu/img/lBCAAXfusZR9lFR2.jpg")</f>
        <v>https://pbs.twimg.com/ext_tw_video_thumb/1679602910777208832/pu/img/lBCAAXfusZR9lFR2.jpg</v>
      </c>
      <c r="AW1246" s="93" t="s">
        <v>19482</v>
      </c>
      <c r="AX1246" s="93" t="s">
        <v>19482</v>
      </c>
      <c r="AY1246" s="87"/>
      <c r="AZ1246" s="93" t="s">
        <v>22668</v>
      </c>
      <c r="BA1246" s="93" t="s">
        <v>22668</v>
      </c>
      <c r="BB1246" s="93" t="s">
        <v>22668</v>
      </c>
      <c r="BC1246" s="93" t="s">
        <v>19482</v>
      </c>
      <c r="BD1246" s="93" t="s">
        <v>23036</v>
      </c>
      <c r="BE1246" s="87"/>
      <c r="BF1246" s="87"/>
      <c r="BG1246" s="87"/>
      <c r="BH1246" s="87"/>
      <c r="BI1246" s="87"/>
    </row>
    <row r="1247" spans="1:61" x14ac:dyDescent="0.25">
      <c r="A1247" s="63" t="s">
        <v>643</v>
      </c>
      <c r="B1247" s="63" t="s">
        <v>643</v>
      </c>
      <c r="C1247" s="64"/>
      <c r="D1247" s="65"/>
      <c r="E1247" s="66"/>
      <c r="F1247" s="67"/>
      <c r="G1247" s="64"/>
      <c r="H1247" s="68"/>
      <c r="I1247" s="69"/>
      <c r="J1247" s="69"/>
      <c r="K1247" s="32"/>
      <c r="L1247" s="76">
        <v>1247</v>
      </c>
      <c r="M1247" s="76"/>
      <c r="N1247" s="71"/>
      <c r="O1247" s="87" t="s">
        <v>179</v>
      </c>
      <c r="P1247" s="90">
        <v>45120.764432870368</v>
      </c>
      <c r="Q1247" s="87" t="s">
        <v>3053</v>
      </c>
      <c r="R1247" s="87">
        <v>0</v>
      </c>
      <c r="S1247" s="87">
        <v>0</v>
      </c>
      <c r="T1247" s="87">
        <v>0</v>
      </c>
      <c r="U1247" s="87">
        <v>0</v>
      </c>
      <c r="V1247" s="87">
        <v>19</v>
      </c>
      <c r="W1247" s="93" t="s">
        <v>6707</v>
      </c>
      <c r="X1247" s="87"/>
      <c r="Y1247" s="87"/>
      <c r="Z1247" s="87"/>
      <c r="AA1247" s="87" t="s">
        <v>9408</v>
      </c>
      <c r="AB1247" s="87" t="s">
        <v>11447</v>
      </c>
      <c r="AC1247" s="93" t="s">
        <v>11460</v>
      </c>
      <c r="AD1247" s="87" t="s">
        <v>11519</v>
      </c>
      <c r="AE1247" s="92" t="str">
        <f>HYPERLINK("https://twitter.com/confeitariaana/status/1679556494478417939")</f>
        <v>https://twitter.com/confeitariaana/status/1679556494478417939</v>
      </c>
      <c r="AF1247" s="90">
        <v>45120.764432870368</v>
      </c>
      <c r="AG1247" s="99">
        <v>45120</v>
      </c>
      <c r="AH1247" s="93" t="s">
        <v>12681</v>
      </c>
      <c r="AI1247" s="87" t="b">
        <v>0</v>
      </c>
      <c r="AJ1247" s="87"/>
      <c r="AK1247" s="87"/>
      <c r="AL1247" s="87"/>
      <c r="AM1247" s="87"/>
      <c r="AN1247" s="87"/>
      <c r="AO1247" s="87"/>
      <c r="AP1247" s="87"/>
      <c r="AQ1247" s="87" t="s">
        <v>16221</v>
      </c>
      <c r="AR1247" s="87">
        <v>53900</v>
      </c>
      <c r="AS1247" s="87"/>
      <c r="AT1247" s="87"/>
      <c r="AU1247" s="87"/>
      <c r="AV1247" s="92" t="str">
        <f>HYPERLINK("https://pbs.twimg.com/ext_tw_video_thumb/1679556357358231569/pu/img/JJ8jFh71ccN6oEi9.jpg")</f>
        <v>https://pbs.twimg.com/ext_tw_video_thumb/1679556357358231569/pu/img/JJ8jFh71ccN6oEi9.jpg</v>
      </c>
      <c r="AW1247" s="93" t="s">
        <v>19483</v>
      </c>
      <c r="AX1247" s="93" t="s">
        <v>19483</v>
      </c>
      <c r="AY1247" s="87"/>
      <c r="AZ1247" s="93" t="s">
        <v>22668</v>
      </c>
      <c r="BA1247" s="93" t="s">
        <v>22668</v>
      </c>
      <c r="BB1247" s="93" t="s">
        <v>22668</v>
      </c>
      <c r="BC1247" s="93" t="s">
        <v>19483</v>
      </c>
      <c r="BD1247" s="93" t="s">
        <v>23036</v>
      </c>
      <c r="BE1247" s="87"/>
      <c r="BF1247" s="87"/>
      <c r="BG1247" s="87"/>
      <c r="BH1247" s="87"/>
      <c r="BI1247" s="87"/>
    </row>
    <row r="1248" spans="1:61" x14ac:dyDescent="0.25">
      <c r="A1248" s="63" t="s">
        <v>643</v>
      </c>
      <c r="B1248" s="63" t="s">
        <v>643</v>
      </c>
      <c r="C1248" s="64"/>
      <c r="D1248" s="65"/>
      <c r="E1248" s="66"/>
      <c r="F1248" s="67"/>
      <c r="G1248" s="64"/>
      <c r="H1248" s="68"/>
      <c r="I1248" s="69"/>
      <c r="J1248" s="69"/>
      <c r="K1248" s="32"/>
      <c r="L1248" s="76">
        <v>1248</v>
      </c>
      <c r="M1248" s="76"/>
      <c r="N1248" s="71"/>
      <c r="O1248" s="87" t="s">
        <v>179</v>
      </c>
      <c r="P1248" s="90">
        <v>45120.594548611109</v>
      </c>
      <c r="Q1248" s="87" t="s">
        <v>3054</v>
      </c>
      <c r="R1248" s="87">
        <v>0</v>
      </c>
      <c r="S1248" s="87">
        <v>0</v>
      </c>
      <c r="T1248" s="87">
        <v>0</v>
      </c>
      <c r="U1248" s="87">
        <v>0</v>
      </c>
      <c r="V1248" s="87">
        <v>35</v>
      </c>
      <c r="W1248" s="93" t="s">
        <v>6707</v>
      </c>
      <c r="X1248" s="87"/>
      <c r="Y1248" s="87"/>
      <c r="Z1248" s="87"/>
      <c r="AA1248" s="87" t="s">
        <v>9409</v>
      </c>
      <c r="AB1248" s="87" t="s">
        <v>11447</v>
      </c>
      <c r="AC1248" s="93" t="s">
        <v>11460</v>
      </c>
      <c r="AD1248" s="87" t="s">
        <v>11519</v>
      </c>
      <c r="AE1248" s="92" t="str">
        <f>HYPERLINK("https://twitter.com/confeitariaana/status/1679494929775570946")</f>
        <v>https://twitter.com/confeitariaana/status/1679494929775570946</v>
      </c>
      <c r="AF1248" s="90">
        <v>45120.594548611109</v>
      </c>
      <c r="AG1248" s="99">
        <v>45120</v>
      </c>
      <c r="AH1248" s="93" t="s">
        <v>12682</v>
      </c>
      <c r="AI1248" s="87" t="b">
        <v>0</v>
      </c>
      <c r="AJ1248" s="87"/>
      <c r="AK1248" s="87"/>
      <c r="AL1248" s="87"/>
      <c r="AM1248" s="87"/>
      <c r="AN1248" s="87"/>
      <c r="AO1248" s="87"/>
      <c r="AP1248" s="87"/>
      <c r="AQ1248" s="87" t="s">
        <v>16222</v>
      </c>
      <c r="AR1248" s="87">
        <v>52700</v>
      </c>
      <c r="AS1248" s="87"/>
      <c r="AT1248" s="87"/>
      <c r="AU1248" s="87"/>
      <c r="AV1248" s="92" t="str">
        <f>HYPERLINK("https://pbs.twimg.com/ext_tw_video_thumb/1679494744555044864/pu/img/BBJzoY-z4Snh0c0U.jpg")</f>
        <v>https://pbs.twimg.com/ext_tw_video_thumb/1679494744555044864/pu/img/BBJzoY-z4Snh0c0U.jpg</v>
      </c>
      <c r="AW1248" s="93" t="s">
        <v>19484</v>
      </c>
      <c r="AX1248" s="93" t="s">
        <v>19484</v>
      </c>
      <c r="AY1248" s="87"/>
      <c r="AZ1248" s="93" t="s">
        <v>22668</v>
      </c>
      <c r="BA1248" s="93" t="s">
        <v>22668</v>
      </c>
      <c r="BB1248" s="93" t="s">
        <v>22668</v>
      </c>
      <c r="BC1248" s="93" t="s">
        <v>19484</v>
      </c>
      <c r="BD1248" s="93" t="s">
        <v>23036</v>
      </c>
      <c r="BE1248" s="87"/>
      <c r="BF1248" s="87"/>
      <c r="BG1248" s="87"/>
      <c r="BH1248" s="87"/>
      <c r="BI1248" s="87"/>
    </row>
    <row r="1249" spans="1:61" x14ac:dyDescent="0.25">
      <c r="A1249" s="63" t="s">
        <v>643</v>
      </c>
      <c r="B1249" s="63" t="s">
        <v>643</v>
      </c>
      <c r="C1249" s="64"/>
      <c r="D1249" s="65"/>
      <c r="E1249" s="66"/>
      <c r="F1249" s="67"/>
      <c r="G1249" s="64"/>
      <c r="H1249" s="68"/>
      <c r="I1249" s="69"/>
      <c r="J1249" s="69"/>
      <c r="K1249" s="32"/>
      <c r="L1249" s="76">
        <v>1249</v>
      </c>
      <c r="M1249" s="76"/>
      <c r="N1249" s="71"/>
      <c r="O1249" s="87" t="s">
        <v>179</v>
      </c>
      <c r="P1249" s="90">
        <v>45141.587638888886</v>
      </c>
      <c r="Q1249" s="87" t="s">
        <v>3055</v>
      </c>
      <c r="R1249" s="87">
        <v>0</v>
      </c>
      <c r="S1249" s="87">
        <v>0</v>
      </c>
      <c r="T1249" s="87">
        <v>0</v>
      </c>
      <c r="U1249" s="87">
        <v>0</v>
      </c>
      <c r="V1249" s="87">
        <v>17</v>
      </c>
      <c r="W1249" s="93" t="s">
        <v>6707</v>
      </c>
      <c r="X1249" s="87"/>
      <c r="Y1249" s="87"/>
      <c r="Z1249" s="87"/>
      <c r="AA1249" s="87" t="s">
        <v>9410</v>
      </c>
      <c r="AB1249" s="87" t="s">
        <v>11447</v>
      </c>
      <c r="AC1249" s="93" t="s">
        <v>11460</v>
      </c>
      <c r="AD1249" s="87" t="s">
        <v>11519</v>
      </c>
      <c r="AE1249" s="92" t="str">
        <f>HYPERLINK("https://twitter.com/confeitariaana/status/1687102569586536448")</f>
        <v>https://twitter.com/confeitariaana/status/1687102569586536448</v>
      </c>
      <c r="AF1249" s="90">
        <v>45141.587638888886</v>
      </c>
      <c r="AG1249" s="99">
        <v>45141</v>
      </c>
      <c r="AH1249" s="93" t="s">
        <v>12683</v>
      </c>
      <c r="AI1249" s="87" t="b">
        <v>0</v>
      </c>
      <c r="AJ1249" s="87"/>
      <c r="AK1249" s="87"/>
      <c r="AL1249" s="87"/>
      <c r="AM1249" s="87"/>
      <c r="AN1249" s="87"/>
      <c r="AO1249" s="87"/>
      <c r="AP1249" s="87"/>
      <c r="AQ1249" s="87" t="s">
        <v>16223</v>
      </c>
      <c r="AR1249" s="87">
        <v>34000</v>
      </c>
      <c r="AS1249" s="87"/>
      <c r="AT1249" s="87"/>
      <c r="AU1249" s="87"/>
      <c r="AV1249" s="92" t="str">
        <f>HYPERLINK("https://pbs.twimg.com/ext_tw_video_thumb/1687102396487569408/pu/img/TmMUvcV7n_lGqmDe.jpg")</f>
        <v>https://pbs.twimg.com/ext_tw_video_thumb/1687102396487569408/pu/img/TmMUvcV7n_lGqmDe.jpg</v>
      </c>
      <c r="AW1249" s="93" t="s">
        <v>19485</v>
      </c>
      <c r="AX1249" s="93" t="s">
        <v>19485</v>
      </c>
      <c r="AY1249" s="87"/>
      <c r="AZ1249" s="93" t="s">
        <v>22668</v>
      </c>
      <c r="BA1249" s="93" t="s">
        <v>22668</v>
      </c>
      <c r="BB1249" s="93" t="s">
        <v>22668</v>
      </c>
      <c r="BC1249" s="93" t="s">
        <v>19485</v>
      </c>
      <c r="BD1249" s="93" t="s">
        <v>23036</v>
      </c>
      <c r="BE1249" s="87"/>
      <c r="BF1249" s="87"/>
      <c r="BG1249" s="87"/>
      <c r="BH1249" s="87"/>
      <c r="BI1249" s="87"/>
    </row>
    <row r="1250" spans="1:61" x14ac:dyDescent="0.25">
      <c r="A1250" s="63" t="s">
        <v>643</v>
      </c>
      <c r="B1250" s="63" t="s">
        <v>643</v>
      </c>
      <c r="C1250" s="64"/>
      <c r="D1250" s="65"/>
      <c r="E1250" s="66"/>
      <c r="F1250" s="67"/>
      <c r="G1250" s="64"/>
      <c r="H1250" s="68"/>
      <c r="I1250" s="69"/>
      <c r="J1250" s="69"/>
      <c r="K1250" s="32"/>
      <c r="L1250" s="76">
        <v>1250</v>
      </c>
      <c r="M1250" s="76"/>
      <c r="N1250" s="71"/>
      <c r="O1250" s="87" t="s">
        <v>179</v>
      </c>
      <c r="P1250" s="90">
        <v>45141.584386574075</v>
      </c>
      <c r="Q1250" s="87" t="s">
        <v>3056</v>
      </c>
      <c r="R1250" s="87">
        <v>0</v>
      </c>
      <c r="S1250" s="87">
        <v>0</v>
      </c>
      <c r="T1250" s="87">
        <v>0</v>
      </c>
      <c r="U1250" s="87">
        <v>0</v>
      </c>
      <c r="V1250" s="87">
        <v>11</v>
      </c>
      <c r="W1250" s="93" t="s">
        <v>6707</v>
      </c>
      <c r="X1250" s="87"/>
      <c r="Y1250" s="87"/>
      <c r="Z1250" s="87"/>
      <c r="AA1250" s="87" t="s">
        <v>9411</v>
      </c>
      <c r="AB1250" s="87" t="s">
        <v>11447</v>
      </c>
      <c r="AC1250" s="93" t="s">
        <v>11460</v>
      </c>
      <c r="AD1250" s="87" t="s">
        <v>11519</v>
      </c>
      <c r="AE1250" s="92" t="str">
        <f>HYPERLINK("https://twitter.com/confeitariaana/status/1687101394325807104")</f>
        <v>https://twitter.com/confeitariaana/status/1687101394325807104</v>
      </c>
      <c r="AF1250" s="90">
        <v>45141.584386574075</v>
      </c>
      <c r="AG1250" s="99">
        <v>45141</v>
      </c>
      <c r="AH1250" s="93" t="s">
        <v>12684</v>
      </c>
      <c r="AI1250" s="87" t="b">
        <v>0</v>
      </c>
      <c r="AJ1250" s="87"/>
      <c r="AK1250" s="87"/>
      <c r="AL1250" s="87"/>
      <c r="AM1250" s="87"/>
      <c r="AN1250" s="87"/>
      <c r="AO1250" s="87"/>
      <c r="AP1250" s="87"/>
      <c r="AQ1250" s="87" t="s">
        <v>16224</v>
      </c>
      <c r="AR1250" s="87">
        <v>34000</v>
      </c>
      <c r="AS1250" s="87"/>
      <c r="AT1250" s="87"/>
      <c r="AU1250" s="87"/>
      <c r="AV1250" s="92" t="str">
        <f>HYPERLINK("https://pbs.twimg.com/ext_tw_video_thumb/1687101226721357825/pu/img/aTI6zUCef2mwMle4.jpg")</f>
        <v>https://pbs.twimg.com/ext_tw_video_thumb/1687101226721357825/pu/img/aTI6zUCef2mwMle4.jpg</v>
      </c>
      <c r="AW1250" s="93" t="s">
        <v>19486</v>
      </c>
      <c r="AX1250" s="93" t="s">
        <v>19486</v>
      </c>
      <c r="AY1250" s="87"/>
      <c r="AZ1250" s="93" t="s">
        <v>22668</v>
      </c>
      <c r="BA1250" s="93" t="s">
        <v>22668</v>
      </c>
      <c r="BB1250" s="93" t="s">
        <v>22668</v>
      </c>
      <c r="BC1250" s="93" t="s">
        <v>19486</v>
      </c>
      <c r="BD1250" s="93" t="s">
        <v>23036</v>
      </c>
      <c r="BE1250" s="87"/>
      <c r="BF1250" s="87"/>
      <c r="BG1250" s="87"/>
      <c r="BH1250" s="87"/>
      <c r="BI1250" s="87"/>
    </row>
    <row r="1251" spans="1:61" x14ac:dyDescent="0.25">
      <c r="A1251" s="63" t="s">
        <v>643</v>
      </c>
      <c r="B1251" s="63" t="s">
        <v>643</v>
      </c>
      <c r="C1251" s="64"/>
      <c r="D1251" s="65"/>
      <c r="E1251" s="66"/>
      <c r="F1251" s="67"/>
      <c r="G1251" s="64"/>
      <c r="H1251" s="68"/>
      <c r="I1251" s="69"/>
      <c r="J1251" s="69"/>
      <c r="K1251" s="32"/>
      <c r="L1251" s="76">
        <v>1251</v>
      </c>
      <c r="M1251" s="76"/>
      <c r="N1251" s="71"/>
      <c r="O1251" s="87" t="s">
        <v>179</v>
      </c>
      <c r="P1251" s="90">
        <v>45140.951782407406</v>
      </c>
      <c r="Q1251" s="87" t="s">
        <v>3057</v>
      </c>
      <c r="R1251" s="87">
        <v>0</v>
      </c>
      <c r="S1251" s="87">
        <v>0</v>
      </c>
      <c r="T1251" s="87">
        <v>0</v>
      </c>
      <c r="U1251" s="87">
        <v>0</v>
      </c>
      <c r="V1251" s="87">
        <v>11</v>
      </c>
      <c r="W1251" s="93" t="s">
        <v>6707</v>
      </c>
      <c r="X1251" s="87"/>
      <c r="Y1251" s="87"/>
      <c r="Z1251" s="87"/>
      <c r="AA1251" s="87" t="s">
        <v>9412</v>
      </c>
      <c r="AB1251" s="87" t="s">
        <v>11447</v>
      </c>
      <c r="AC1251" s="93" t="s">
        <v>11460</v>
      </c>
      <c r="AD1251" s="87" t="s">
        <v>11519</v>
      </c>
      <c r="AE1251" s="92" t="str">
        <f>HYPERLINK("https://twitter.com/confeitariaana/status/1686872143366156288")</f>
        <v>https://twitter.com/confeitariaana/status/1686872143366156288</v>
      </c>
      <c r="AF1251" s="90">
        <v>45140.951782407406</v>
      </c>
      <c r="AG1251" s="99">
        <v>45140</v>
      </c>
      <c r="AH1251" s="93" t="s">
        <v>12685</v>
      </c>
      <c r="AI1251" s="87" t="b">
        <v>0</v>
      </c>
      <c r="AJ1251" s="87"/>
      <c r="AK1251" s="87"/>
      <c r="AL1251" s="87"/>
      <c r="AM1251" s="87"/>
      <c r="AN1251" s="87"/>
      <c r="AO1251" s="87"/>
      <c r="AP1251" s="87"/>
      <c r="AQ1251" s="87" t="s">
        <v>16225</v>
      </c>
      <c r="AR1251" s="87">
        <v>43133</v>
      </c>
      <c r="AS1251" s="87"/>
      <c r="AT1251" s="87"/>
      <c r="AU1251" s="87"/>
      <c r="AV1251" s="92" t="str">
        <f>HYPERLINK("https://pbs.twimg.com/ext_tw_video_thumb/1686872036184875008/pu/img/NAKWySo_CsY4Thzh.jpg")</f>
        <v>https://pbs.twimg.com/ext_tw_video_thumb/1686872036184875008/pu/img/NAKWySo_CsY4Thzh.jpg</v>
      </c>
      <c r="AW1251" s="93" t="s">
        <v>19487</v>
      </c>
      <c r="AX1251" s="93" t="s">
        <v>19487</v>
      </c>
      <c r="AY1251" s="87"/>
      <c r="AZ1251" s="93" t="s">
        <v>22668</v>
      </c>
      <c r="BA1251" s="93" t="s">
        <v>22668</v>
      </c>
      <c r="BB1251" s="93" t="s">
        <v>22668</v>
      </c>
      <c r="BC1251" s="93" t="s">
        <v>19487</v>
      </c>
      <c r="BD1251" s="93" t="s">
        <v>23036</v>
      </c>
      <c r="BE1251" s="87"/>
      <c r="BF1251" s="87"/>
      <c r="BG1251" s="87"/>
      <c r="BH1251" s="87"/>
      <c r="BI1251" s="87"/>
    </row>
    <row r="1252" spans="1:61" x14ac:dyDescent="0.25">
      <c r="A1252" s="63" t="s">
        <v>643</v>
      </c>
      <c r="B1252" s="63" t="s">
        <v>643</v>
      </c>
      <c r="C1252" s="64"/>
      <c r="D1252" s="65"/>
      <c r="E1252" s="66"/>
      <c r="F1252" s="67"/>
      <c r="G1252" s="64"/>
      <c r="H1252" s="68"/>
      <c r="I1252" s="69"/>
      <c r="J1252" s="69"/>
      <c r="K1252" s="32"/>
      <c r="L1252" s="76">
        <v>1252</v>
      </c>
      <c r="M1252" s="76"/>
      <c r="N1252" s="71"/>
      <c r="O1252" s="87" t="s">
        <v>179</v>
      </c>
      <c r="P1252" s="90">
        <v>45140.740300925929</v>
      </c>
      <c r="Q1252" s="87" t="s">
        <v>3058</v>
      </c>
      <c r="R1252" s="87">
        <v>0</v>
      </c>
      <c r="S1252" s="87">
        <v>0</v>
      </c>
      <c r="T1252" s="87">
        <v>0</v>
      </c>
      <c r="U1252" s="87">
        <v>0</v>
      </c>
      <c r="V1252" s="87">
        <v>13</v>
      </c>
      <c r="W1252" s="93" t="s">
        <v>6707</v>
      </c>
      <c r="X1252" s="87"/>
      <c r="Y1252" s="87"/>
      <c r="Z1252" s="87"/>
      <c r="AA1252" s="87" t="s">
        <v>9413</v>
      </c>
      <c r="AB1252" s="87" t="s">
        <v>11447</v>
      </c>
      <c r="AC1252" s="93" t="s">
        <v>11460</v>
      </c>
      <c r="AD1252" s="87" t="s">
        <v>11519</v>
      </c>
      <c r="AE1252" s="92" t="str">
        <f>HYPERLINK("https://twitter.com/confeitariaana/status/1686795506272399374")</f>
        <v>https://twitter.com/confeitariaana/status/1686795506272399374</v>
      </c>
      <c r="AF1252" s="90">
        <v>45140.740300925929</v>
      </c>
      <c r="AG1252" s="99">
        <v>45140</v>
      </c>
      <c r="AH1252" s="93" t="s">
        <v>12686</v>
      </c>
      <c r="AI1252" s="87" t="b">
        <v>0</v>
      </c>
      <c r="AJ1252" s="87"/>
      <c r="AK1252" s="87"/>
      <c r="AL1252" s="87"/>
      <c r="AM1252" s="87"/>
      <c r="AN1252" s="87"/>
      <c r="AO1252" s="87"/>
      <c r="AP1252" s="87"/>
      <c r="AQ1252" s="87" t="s">
        <v>16226</v>
      </c>
      <c r="AR1252" s="87">
        <v>43200</v>
      </c>
      <c r="AS1252" s="87"/>
      <c r="AT1252" s="87"/>
      <c r="AU1252" s="87"/>
      <c r="AV1252" s="92" t="str">
        <f>HYPERLINK("https://pbs.twimg.com/ext_tw_video_thumb/1686795378727759872/pu/img/qMwYDLhRUNTtBWcQ.jpg")</f>
        <v>https://pbs.twimg.com/ext_tw_video_thumb/1686795378727759872/pu/img/qMwYDLhRUNTtBWcQ.jpg</v>
      </c>
      <c r="AW1252" s="93" t="s">
        <v>19488</v>
      </c>
      <c r="AX1252" s="93" t="s">
        <v>19488</v>
      </c>
      <c r="AY1252" s="87"/>
      <c r="AZ1252" s="93" t="s">
        <v>22668</v>
      </c>
      <c r="BA1252" s="93" t="s">
        <v>22668</v>
      </c>
      <c r="BB1252" s="93" t="s">
        <v>22668</v>
      </c>
      <c r="BC1252" s="93" t="s">
        <v>19488</v>
      </c>
      <c r="BD1252" s="93" t="s">
        <v>23036</v>
      </c>
      <c r="BE1252" s="87"/>
      <c r="BF1252" s="87"/>
      <c r="BG1252" s="87"/>
      <c r="BH1252" s="87"/>
      <c r="BI1252" s="87"/>
    </row>
    <row r="1253" spans="1:61" x14ac:dyDescent="0.25">
      <c r="A1253" s="63" t="s">
        <v>643</v>
      </c>
      <c r="B1253" s="63" t="s">
        <v>643</v>
      </c>
      <c r="C1253" s="64"/>
      <c r="D1253" s="65"/>
      <c r="E1253" s="66"/>
      <c r="F1253" s="67"/>
      <c r="G1253" s="64"/>
      <c r="H1253" s="68"/>
      <c r="I1253" s="69"/>
      <c r="J1253" s="69"/>
      <c r="K1253" s="32"/>
      <c r="L1253" s="76">
        <v>1253</v>
      </c>
      <c r="M1253" s="76"/>
      <c r="N1253" s="71"/>
      <c r="O1253" s="87" t="s">
        <v>179</v>
      </c>
      <c r="P1253" s="90">
        <v>45140.590856481482</v>
      </c>
      <c r="Q1253" s="87" t="s">
        <v>3059</v>
      </c>
      <c r="R1253" s="87">
        <v>0</v>
      </c>
      <c r="S1253" s="87">
        <v>0</v>
      </c>
      <c r="T1253" s="87">
        <v>0</v>
      </c>
      <c r="U1253" s="87">
        <v>0</v>
      </c>
      <c r="V1253" s="87">
        <v>12</v>
      </c>
      <c r="W1253" s="93" t="s">
        <v>6707</v>
      </c>
      <c r="X1253" s="87"/>
      <c r="Y1253" s="87"/>
      <c r="Z1253" s="87"/>
      <c r="AA1253" s="87" t="s">
        <v>9414</v>
      </c>
      <c r="AB1253" s="87" t="s">
        <v>11447</v>
      </c>
      <c r="AC1253" s="93" t="s">
        <v>11460</v>
      </c>
      <c r="AD1253" s="87" t="s">
        <v>11519</v>
      </c>
      <c r="AE1253" s="92" t="str">
        <f>HYPERLINK("https://twitter.com/confeitariaana/status/1686741351138816000")</f>
        <v>https://twitter.com/confeitariaana/status/1686741351138816000</v>
      </c>
      <c r="AF1253" s="90">
        <v>45140.590856481482</v>
      </c>
      <c r="AG1253" s="99">
        <v>45140</v>
      </c>
      <c r="AH1253" s="93" t="s">
        <v>12687</v>
      </c>
      <c r="AI1253" s="87" t="b">
        <v>0</v>
      </c>
      <c r="AJ1253" s="87"/>
      <c r="AK1253" s="87"/>
      <c r="AL1253" s="87"/>
      <c r="AM1253" s="87"/>
      <c r="AN1253" s="87"/>
      <c r="AO1253" s="87"/>
      <c r="AP1253" s="87"/>
      <c r="AQ1253" s="87" t="s">
        <v>16227</v>
      </c>
      <c r="AR1253" s="87">
        <v>29200</v>
      </c>
      <c r="AS1253" s="87"/>
      <c r="AT1253" s="87"/>
      <c r="AU1253" s="87"/>
      <c r="AV1253" s="92" t="str">
        <f>HYPERLINK("https://pbs.twimg.com/ext_tw_video_thumb/1686741211132895234/pu/img/t8SG6hHU3n7SAgQP.jpg")</f>
        <v>https://pbs.twimg.com/ext_tw_video_thumb/1686741211132895234/pu/img/t8SG6hHU3n7SAgQP.jpg</v>
      </c>
      <c r="AW1253" s="93" t="s">
        <v>19489</v>
      </c>
      <c r="AX1253" s="93" t="s">
        <v>19489</v>
      </c>
      <c r="AY1253" s="87"/>
      <c r="AZ1253" s="93" t="s">
        <v>22668</v>
      </c>
      <c r="BA1253" s="93" t="s">
        <v>22668</v>
      </c>
      <c r="BB1253" s="93" t="s">
        <v>22668</v>
      </c>
      <c r="BC1253" s="93" t="s">
        <v>19489</v>
      </c>
      <c r="BD1253" s="93" t="s">
        <v>23036</v>
      </c>
      <c r="BE1253" s="87"/>
      <c r="BF1253" s="87"/>
      <c r="BG1253" s="87"/>
      <c r="BH1253" s="87"/>
      <c r="BI1253" s="87"/>
    </row>
    <row r="1254" spans="1:61" x14ac:dyDescent="0.25">
      <c r="A1254" s="63" t="s">
        <v>643</v>
      </c>
      <c r="B1254" s="63" t="s">
        <v>643</v>
      </c>
      <c r="C1254" s="64"/>
      <c r="D1254" s="65"/>
      <c r="E1254" s="66"/>
      <c r="F1254" s="67"/>
      <c r="G1254" s="64"/>
      <c r="H1254" s="68"/>
      <c r="I1254" s="69"/>
      <c r="J1254" s="69"/>
      <c r="K1254" s="32"/>
      <c r="L1254" s="76">
        <v>1254</v>
      </c>
      <c r="M1254" s="76"/>
      <c r="N1254" s="71"/>
      <c r="O1254" s="87" t="s">
        <v>179</v>
      </c>
      <c r="P1254" s="90">
        <v>45130.584282407406</v>
      </c>
      <c r="Q1254" s="87" t="s">
        <v>3060</v>
      </c>
      <c r="R1254" s="87">
        <v>0</v>
      </c>
      <c r="S1254" s="87">
        <v>0</v>
      </c>
      <c r="T1254" s="87">
        <v>0</v>
      </c>
      <c r="U1254" s="87">
        <v>0</v>
      </c>
      <c r="V1254" s="87">
        <v>299</v>
      </c>
      <c r="W1254" s="93" t="s">
        <v>6707</v>
      </c>
      <c r="X1254" s="87"/>
      <c r="Y1254" s="87"/>
      <c r="Z1254" s="87"/>
      <c r="AA1254" s="87" t="s">
        <v>9415</v>
      </c>
      <c r="AB1254" s="87" t="s">
        <v>11447</v>
      </c>
      <c r="AC1254" s="93" t="s">
        <v>11460</v>
      </c>
      <c r="AD1254" s="87" t="s">
        <v>11519</v>
      </c>
      <c r="AE1254" s="92" t="str">
        <f>HYPERLINK("https://twitter.com/confeitariaana/status/1683115089291821060")</f>
        <v>https://twitter.com/confeitariaana/status/1683115089291821060</v>
      </c>
      <c r="AF1254" s="90">
        <v>45130.584282407406</v>
      </c>
      <c r="AG1254" s="99">
        <v>45130</v>
      </c>
      <c r="AH1254" s="93" t="s">
        <v>12688</v>
      </c>
      <c r="AI1254" s="87" t="b">
        <v>0</v>
      </c>
      <c r="AJ1254" s="87"/>
      <c r="AK1254" s="87"/>
      <c r="AL1254" s="87"/>
      <c r="AM1254" s="87"/>
      <c r="AN1254" s="87"/>
      <c r="AO1254" s="87"/>
      <c r="AP1254" s="87"/>
      <c r="AQ1254" s="87" t="s">
        <v>16228</v>
      </c>
      <c r="AR1254" s="87">
        <v>28333</v>
      </c>
      <c r="AS1254" s="87"/>
      <c r="AT1254" s="87"/>
      <c r="AU1254" s="87"/>
      <c r="AV1254" s="92" t="str">
        <f>HYPERLINK("https://pbs.twimg.com/ext_tw_video_thumb/1683114994018205697/pu/img/PKAF4_lxqCKD7lb1.jpg")</f>
        <v>https://pbs.twimg.com/ext_tw_video_thumb/1683114994018205697/pu/img/PKAF4_lxqCKD7lb1.jpg</v>
      </c>
      <c r="AW1254" s="93" t="s">
        <v>19490</v>
      </c>
      <c r="AX1254" s="93" t="s">
        <v>19490</v>
      </c>
      <c r="AY1254" s="87"/>
      <c r="AZ1254" s="93" t="s">
        <v>22668</v>
      </c>
      <c r="BA1254" s="93" t="s">
        <v>22668</v>
      </c>
      <c r="BB1254" s="93" t="s">
        <v>22668</v>
      </c>
      <c r="BC1254" s="93" t="s">
        <v>19490</v>
      </c>
      <c r="BD1254" s="93" t="s">
        <v>23036</v>
      </c>
      <c r="BE1254" s="87"/>
      <c r="BF1254" s="87"/>
      <c r="BG1254" s="87"/>
      <c r="BH1254" s="87"/>
      <c r="BI1254" s="87"/>
    </row>
    <row r="1255" spans="1:61" x14ac:dyDescent="0.25">
      <c r="A1255" s="63" t="s">
        <v>643</v>
      </c>
      <c r="B1255" s="63" t="s">
        <v>643</v>
      </c>
      <c r="C1255" s="64"/>
      <c r="D1255" s="65"/>
      <c r="E1255" s="66"/>
      <c r="F1255" s="67"/>
      <c r="G1255" s="64"/>
      <c r="H1255" s="68"/>
      <c r="I1255" s="69"/>
      <c r="J1255" s="69"/>
      <c r="K1255" s="32"/>
      <c r="L1255" s="76">
        <v>1255</v>
      </c>
      <c r="M1255" s="76"/>
      <c r="N1255" s="71"/>
      <c r="O1255" s="87" t="s">
        <v>179</v>
      </c>
      <c r="P1255" s="90">
        <v>45129.587222222224</v>
      </c>
      <c r="Q1255" s="87" t="s">
        <v>3061</v>
      </c>
      <c r="R1255" s="87">
        <v>0</v>
      </c>
      <c r="S1255" s="87">
        <v>0</v>
      </c>
      <c r="T1255" s="87">
        <v>0</v>
      </c>
      <c r="U1255" s="87">
        <v>0</v>
      </c>
      <c r="V1255" s="87">
        <v>17</v>
      </c>
      <c r="W1255" s="93" t="s">
        <v>6707</v>
      </c>
      <c r="X1255" s="87"/>
      <c r="Y1255" s="87"/>
      <c r="Z1255" s="87"/>
      <c r="AA1255" s="87" t="s">
        <v>9416</v>
      </c>
      <c r="AB1255" s="87" t="s">
        <v>11447</v>
      </c>
      <c r="AC1255" s="93" t="s">
        <v>11460</v>
      </c>
      <c r="AD1255" s="87" t="s">
        <v>11519</v>
      </c>
      <c r="AE1255" s="92" t="str">
        <f>HYPERLINK("https://twitter.com/confeitariaana/status/1682753765416267776")</f>
        <v>https://twitter.com/confeitariaana/status/1682753765416267776</v>
      </c>
      <c r="AF1255" s="90">
        <v>45129.587222222224</v>
      </c>
      <c r="AG1255" s="99">
        <v>45129</v>
      </c>
      <c r="AH1255" s="93" t="s">
        <v>12689</v>
      </c>
      <c r="AI1255" s="87" t="b">
        <v>0</v>
      </c>
      <c r="AJ1255" s="87"/>
      <c r="AK1255" s="87"/>
      <c r="AL1255" s="87"/>
      <c r="AM1255" s="87"/>
      <c r="AN1255" s="87"/>
      <c r="AO1255" s="87"/>
      <c r="AP1255" s="87"/>
      <c r="AQ1255" s="87" t="s">
        <v>16229</v>
      </c>
      <c r="AR1255" s="87">
        <v>22933</v>
      </c>
      <c r="AS1255" s="87"/>
      <c r="AT1255" s="87"/>
      <c r="AU1255" s="87"/>
      <c r="AV1255" s="92" t="str">
        <f>HYPERLINK("https://pbs.twimg.com/ext_tw_video_thumb/1682753677214318593/pu/img/kuegvYfvUyGArmXe.jpg")</f>
        <v>https://pbs.twimg.com/ext_tw_video_thumb/1682753677214318593/pu/img/kuegvYfvUyGArmXe.jpg</v>
      </c>
      <c r="AW1255" s="93" t="s">
        <v>19491</v>
      </c>
      <c r="AX1255" s="93" t="s">
        <v>19491</v>
      </c>
      <c r="AY1255" s="87"/>
      <c r="AZ1255" s="93" t="s">
        <v>22668</v>
      </c>
      <c r="BA1255" s="93" t="s">
        <v>22668</v>
      </c>
      <c r="BB1255" s="93" t="s">
        <v>22668</v>
      </c>
      <c r="BC1255" s="93" t="s">
        <v>19491</v>
      </c>
      <c r="BD1255" s="93" t="s">
        <v>23036</v>
      </c>
      <c r="BE1255" s="87"/>
      <c r="BF1255" s="87"/>
      <c r="BG1255" s="87"/>
      <c r="BH1255" s="87"/>
      <c r="BI1255" s="87"/>
    </row>
    <row r="1256" spans="1:61" x14ac:dyDescent="0.25">
      <c r="A1256" s="63" t="s">
        <v>643</v>
      </c>
      <c r="B1256" s="63" t="s">
        <v>643</v>
      </c>
      <c r="C1256" s="64"/>
      <c r="D1256" s="65"/>
      <c r="E1256" s="66"/>
      <c r="F1256" s="67"/>
      <c r="G1256" s="64"/>
      <c r="H1256" s="68"/>
      <c r="I1256" s="69"/>
      <c r="J1256" s="69"/>
      <c r="K1256" s="32"/>
      <c r="L1256" s="76">
        <v>1256</v>
      </c>
      <c r="M1256" s="76"/>
      <c r="N1256" s="71"/>
      <c r="O1256" s="87" t="s">
        <v>179</v>
      </c>
      <c r="P1256" s="90">
        <v>45129.584155092591</v>
      </c>
      <c r="Q1256" s="87" t="s">
        <v>3062</v>
      </c>
      <c r="R1256" s="87">
        <v>0</v>
      </c>
      <c r="S1256" s="87">
        <v>0</v>
      </c>
      <c r="T1256" s="87">
        <v>0</v>
      </c>
      <c r="U1256" s="87">
        <v>0</v>
      </c>
      <c r="V1256" s="87">
        <v>17</v>
      </c>
      <c r="W1256" s="93" t="s">
        <v>6707</v>
      </c>
      <c r="X1256" s="87"/>
      <c r="Y1256" s="87"/>
      <c r="Z1256" s="87"/>
      <c r="AA1256" s="87" t="s">
        <v>9417</v>
      </c>
      <c r="AB1256" s="87" t="s">
        <v>11447</v>
      </c>
      <c r="AC1256" s="93" t="s">
        <v>11460</v>
      </c>
      <c r="AD1256" s="87" t="s">
        <v>11519</v>
      </c>
      <c r="AE1256" s="92" t="str">
        <f>HYPERLINK("https://twitter.com/confeitariaana/status/1682752653216870400")</f>
        <v>https://twitter.com/confeitariaana/status/1682752653216870400</v>
      </c>
      <c r="AF1256" s="90">
        <v>45129.584155092591</v>
      </c>
      <c r="AG1256" s="99">
        <v>45129</v>
      </c>
      <c r="AH1256" s="93" t="s">
        <v>12690</v>
      </c>
      <c r="AI1256" s="87" t="b">
        <v>0</v>
      </c>
      <c r="AJ1256" s="87"/>
      <c r="AK1256" s="87"/>
      <c r="AL1256" s="87"/>
      <c r="AM1256" s="87"/>
      <c r="AN1256" s="87"/>
      <c r="AO1256" s="87"/>
      <c r="AP1256" s="87"/>
      <c r="AQ1256" s="87" t="s">
        <v>16230</v>
      </c>
      <c r="AR1256" s="87">
        <v>22933</v>
      </c>
      <c r="AS1256" s="87"/>
      <c r="AT1256" s="87"/>
      <c r="AU1256" s="87"/>
      <c r="AV1256" s="92" t="str">
        <f>HYPERLINK("https://pbs.twimg.com/ext_tw_video_thumb/1682752544123105284/pu/img/MmJ4xk7Ced_2u0hl.jpg")</f>
        <v>https://pbs.twimg.com/ext_tw_video_thumb/1682752544123105284/pu/img/MmJ4xk7Ced_2u0hl.jpg</v>
      </c>
      <c r="AW1256" s="93" t="s">
        <v>19492</v>
      </c>
      <c r="AX1256" s="93" t="s">
        <v>19492</v>
      </c>
      <c r="AY1256" s="87"/>
      <c r="AZ1256" s="93" t="s">
        <v>22668</v>
      </c>
      <c r="BA1256" s="93" t="s">
        <v>22668</v>
      </c>
      <c r="BB1256" s="93" t="s">
        <v>22668</v>
      </c>
      <c r="BC1256" s="93" t="s">
        <v>19492</v>
      </c>
      <c r="BD1256" s="93" t="s">
        <v>23036</v>
      </c>
      <c r="BE1256" s="87"/>
      <c r="BF1256" s="87"/>
      <c r="BG1256" s="87"/>
      <c r="BH1256" s="87"/>
      <c r="BI1256" s="87"/>
    </row>
    <row r="1257" spans="1:61" x14ac:dyDescent="0.25">
      <c r="A1257" s="63" t="s">
        <v>643</v>
      </c>
      <c r="B1257" s="63" t="s">
        <v>643</v>
      </c>
      <c r="C1257" s="64"/>
      <c r="D1257" s="65"/>
      <c r="E1257" s="66"/>
      <c r="F1257" s="67"/>
      <c r="G1257" s="64"/>
      <c r="H1257" s="68"/>
      <c r="I1257" s="69"/>
      <c r="J1257" s="69"/>
      <c r="K1257" s="32"/>
      <c r="L1257" s="76">
        <v>1257</v>
      </c>
      <c r="M1257" s="76"/>
      <c r="N1257" s="71"/>
      <c r="O1257" s="87" t="s">
        <v>179</v>
      </c>
      <c r="P1257" s="90">
        <v>45128.587500000001</v>
      </c>
      <c r="Q1257" s="87" t="s">
        <v>3063</v>
      </c>
      <c r="R1257" s="87">
        <v>0</v>
      </c>
      <c r="S1257" s="87">
        <v>0</v>
      </c>
      <c r="T1257" s="87">
        <v>0</v>
      </c>
      <c r="U1257" s="87">
        <v>0</v>
      </c>
      <c r="V1257" s="87">
        <v>14</v>
      </c>
      <c r="W1257" s="93" t="s">
        <v>6707</v>
      </c>
      <c r="X1257" s="87"/>
      <c r="Y1257" s="87"/>
      <c r="Z1257" s="87"/>
      <c r="AA1257" s="87" t="s">
        <v>9418</v>
      </c>
      <c r="AB1257" s="87" t="s">
        <v>11447</v>
      </c>
      <c r="AC1257" s="93" t="s">
        <v>11460</v>
      </c>
      <c r="AD1257" s="87" t="s">
        <v>11519</v>
      </c>
      <c r="AE1257" s="92" t="str">
        <f>HYPERLINK("https://twitter.com/confeitariaana/status/1682391480319504384")</f>
        <v>https://twitter.com/confeitariaana/status/1682391480319504384</v>
      </c>
      <c r="AF1257" s="90">
        <v>45128.587500000001</v>
      </c>
      <c r="AG1257" s="99">
        <v>45128</v>
      </c>
      <c r="AH1257" s="93" t="s">
        <v>12120</v>
      </c>
      <c r="AI1257" s="87" t="b">
        <v>0</v>
      </c>
      <c r="AJ1257" s="87"/>
      <c r="AK1257" s="87"/>
      <c r="AL1257" s="87"/>
      <c r="AM1257" s="87"/>
      <c r="AN1257" s="87"/>
      <c r="AO1257" s="87"/>
      <c r="AP1257" s="87"/>
      <c r="AQ1257" s="87" t="s">
        <v>16231</v>
      </c>
      <c r="AR1257" s="87">
        <v>26100</v>
      </c>
      <c r="AS1257" s="87"/>
      <c r="AT1257" s="87"/>
      <c r="AU1257" s="87"/>
      <c r="AV1257" s="92" t="str">
        <f>HYPERLINK("https://pbs.twimg.com/ext_tw_video_thumb/1682391387411566592/pu/img/_E01r4UtxsnJB1VE.jpg")</f>
        <v>https://pbs.twimg.com/ext_tw_video_thumb/1682391387411566592/pu/img/_E01r4UtxsnJB1VE.jpg</v>
      </c>
      <c r="AW1257" s="93" t="s">
        <v>19493</v>
      </c>
      <c r="AX1257" s="93" t="s">
        <v>19493</v>
      </c>
      <c r="AY1257" s="87"/>
      <c r="AZ1257" s="93" t="s">
        <v>22668</v>
      </c>
      <c r="BA1257" s="93" t="s">
        <v>22668</v>
      </c>
      <c r="BB1257" s="93" t="s">
        <v>22668</v>
      </c>
      <c r="BC1257" s="93" t="s">
        <v>19493</v>
      </c>
      <c r="BD1257" s="93" t="s">
        <v>23036</v>
      </c>
      <c r="BE1257" s="87"/>
      <c r="BF1257" s="87"/>
      <c r="BG1257" s="87"/>
      <c r="BH1257" s="87"/>
      <c r="BI1257" s="87"/>
    </row>
    <row r="1258" spans="1:61" x14ac:dyDescent="0.25">
      <c r="A1258" s="63" t="s">
        <v>643</v>
      </c>
      <c r="B1258" s="63" t="s">
        <v>643</v>
      </c>
      <c r="C1258" s="64"/>
      <c r="D1258" s="65"/>
      <c r="E1258" s="66"/>
      <c r="F1258" s="67"/>
      <c r="G1258" s="64"/>
      <c r="H1258" s="68"/>
      <c r="I1258" s="69"/>
      <c r="J1258" s="69"/>
      <c r="K1258" s="32"/>
      <c r="L1258" s="76">
        <v>1258</v>
      </c>
      <c r="M1258" s="76"/>
      <c r="N1258" s="71"/>
      <c r="O1258" s="87" t="s">
        <v>179</v>
      </c>
      <c r="P1258" s="90">
        <v>45128.584155092591</v>
      </c>
      <c r="Q1258" s="87" t="s">
        <v>3064</v>
      </c>
      <c r="R1258" s="87">
        <v>0</v>
      </c>
      <c r="S1258" s="87">
        <v>0</v>
      </c>
      <c r="T1258" s="87">
        <v>0</v>
      </c>
      <c r="U1258" s="87">
        <v>0</v>
      </c>
      <c r="V1258" s="87">
        <v>22</v>
      </c>
      <c r="W1258" s="93" t="s">
        <v>6707</v>
      </c>
      <c r="X1258" s="87"/>
      <c r="Y1258" s="87"/>
      <c r="Z1258" s="87"/>
      <c r="AA1258" s="87" t="s">
        <v>9419</v>
      </c>
      <c r="AB1258" s="87" t="s">
        <v>11447</v>
      </c>
      <c r="AC1258" s="93" t="s">
        <v>11460</v>
      </c>
      <c r="AD1258" s="87" t="s">
        <v>11519</v>
      </c>
      <c r="AE1258" s="92" t="str">
        <f>HYPERLINK("https://twitter.com/confeitariaana/status/1682390268501262338")</f>
        <v>https://twitter.com/confeitariaana/status/1682390268501262338</v>
      </c>
      <c r="AF1258" s="90">
        <v>45128.584155092591</v>
      </c>
      <c r="AG1258" s="99">
        <v>45128</v>
      </c>
      <c r="AH1258" s="93" t="s">
        <v>12690</v>
      </c>
      <c r="AI1258" s="87" t="b">
        <v>0</v>
      </c>
      <c r="AJ1258" s="87"/>
      <c r="AK1258" s="87"/>
      <c r="AL1258" s="87"/>
      <c r="AM1258" s="87"/>
      <c r="AN1258" s="87"/>
      <c r="AO1258" s="87"/>
      <c r="AP1258" s="87"/>
      <c r="AQ1258" s="87" t="s">
        <v>16232</v>
      </c>
      <c r="AR1258" s="87">
        <v>26100</v>
      </c>
      <c r="AS1258" s="87"/>
      <c r="AT1258" s="87"/>
      <c r="AU1258" s="87"/>
      <c r="AV1258" s="92" t="str">
        <f>HYPERLINK("https://pbs.twimg.com/ext_tw_video_thumb/1682390176994131968/pu/img/EH6_pcZFYP_hoHpF.jpg")</f>
        <v>https://pbs.twimg.com/ext_tw_video_thumb/1682390176994131968/pu/img/EH6_pcZFYP_hoHpF.jpg</v>
      </c>
      <c r="AW1258" s="93" t="s">
        <v>19494</v>
      </c>
      <c r="AX1258" s="93" t="s">
        <v>19494</v>
      </c>
      <c r="AY1258" s="87"/>
      <c r="AZ1258" s="93" t="s">
        <v>22668</v>
      </c>
      <c r="BA1258" s="93" t="s">
        <v>22668</v>
      </c>
      <c r="BB1258" s="93" t="s">
        <v>22668</v>
      </c>
      <c r="BC1258" s="93" t="s">
        <v>19494</v>
      </c>
      <c r="BD1258" s="93" t="s">
        <v>23036</v>
      </c>
      <c r="BE1258" s="87"/>
      <c r="BF1258" s="87"/>
      <c r="BG1258" s="87"/>
      <c r="BH1258" s="87"/>
      <c r="BI1258" s="87"/>
    </row>
    <row r="1259" spans="1:61" x14ac:dyDescent="0.25">
      <c r="A1259" s="63" t="s">
        <v>643</v>
      </c>
      <c r="B1259" s="63" t="s">
        <v>643</v>
      </c>
      <c r="C1259" s="64"/>
      <c r="D1259" s="65"/>
      <c r="E1259" s="66"/>
      <c r="F1259" s="67"/>
      <c r="G1259" s="64"/>
      <c r="H1259" s="68"/>
      <c r="I1259" s="69"/>
      <c r="J1259" s="69"/>
      <c r="K1259" s="32"/>
      <c r="L1259" s="76">
        <v>1259</v>
      </c>
      <c r="M1259" s="76"/>
      <c r="N1259" s="71"/>
      <c r="O1259" s="87" t="s">
        <v>179</v>
      </c>
      <c r="P1259" s="90">
        <v>45127.750868055555</v>
      </c>
      <c r="Q1259" s="87" t="s">
        <v>3065</v>
      </c>
      <c r="R1259" s="87">
        <v>0</v>
      </c>
      <c r="S1259" s="87">
        <v>0</v>
      </c>
      <c r="T1259" s="87">
        <v>0</v>
      </c>
      <c r="U1259" s="87">
        <v>0</v>
      </c>
      <c r="V1259" s="87">
        <v>65</v>
      </c>
      <c r="W1259" s="93" t="s">
        <v>6707</v>
      </c>
      <c r="X1259" s="87"/>
      <c r="Y1259" s="87"/>
      <c r="Z1259" s="87"/>
      <c r="AA1259" s="87" t="s">
        <v>9420</v>
      </c>
      <c r="AB1259" s="87" t="s">
        <v>11447</v>
      </c>
      <c r="AC1259" s="93" t="s">
        <v>11460</v>
      </c>
      <c r="AD1259" s="87" t="s">
        <v>11519</v>
      </c>
      <c r="AE1259" s="92" t="str">
        <f>HYPERLINK("https://twitter.com/confeitariaana/status/1682088292999634957")</f>
        <v>https://twitter.com/confeitariaana/status/1682088292999634957</v>
      </c>
      <c r="AF1259" s="90">
        <v>45127.750868055555</v>
      </c>
      <c r="AG1259" s="99">
        <v>45127</v>
      </c>
      <c r="AH1259" s="93" t="s">
        <v>12677</v>
      </c>
      <c r="AI1259" s="87" t="b">
        <v>0</v>
      </c>
      <c r="AJ1259" s="87"/>
      <c r="AK1259" s="87"/>
      <c r="AL1259" s="87"/>
      <c r="AM1259" s="87"/>
      <c r="AN1259" s="87"/>
      <c r="AO1259" s="87"/>
      <c r="AP1259" s="87"/>
      <c r="AQ1259" s="87" t="s">
        <v>16233</v>
      </c>
      <c r="AR1259" s="87">
        <v>35266</v>
      </c>
      <c r="AS1259" s="87"/>
      <c r="AT1259" s="87"/>
      <c r="AU1259" s="87"/>
      <c r="AV1259" s="92" t="str">
        <f>HYPERLINK("https://pbs.twimg.com/ext_tw_video_thumb/1682088170752450565/pu/img/837t_dqlizLM7ahh.jpg")</f>
        <v>https://pbs.twimg.com/ext_tw_video_thumb/1682088170752450565/pu/img/837t_dqlizLM7ahh.jpg</v>
      </c>
      <c r="AW1259" s="93" t="s">
        <v>19495</v>
      </c>
      <c r="AX1259" s="93" t="s">
        <v>19495</v>
      </c>
      <c r="AY1259" s="87"/>
      <c r="AZ1259" s="93" t="s">
        <v>22668</v>
      </c>
      <c r="BA1259" s="93" t="s">
        <v>22668</v>
      </c>
      <c r="BB1259" s="93" t="s">
        <v>22668</v>
      </c>
      <c r="BC1259" s="93" t="s">
        <v>19495</v>
      </c>
      <c r="BD1259" s="93" t="s">
        <v>23036</v>
      </c>
      <c r="BE1259" s="87"/>
      <c r="BF1259" s="87"/>
      <c r="BG1259" s="87"/>
      <c r="BH1259" s="87"/>
      <c r="BI1259" s="87"/>
    </row>
    <row r="1260" spans="1:61" x14ac:dyDescent="0.25">
      <c r="A1260" s="63" t="s">
        <v>643</v>
      </c>
      <c r="B1260" s="63" t="s">
        <v>643</v>
      </c>
      <c r="C1260" s="64"/>
      <c r="D1260" s="65"/>
      <c r="E1260" s="66"/>
      <c r="F1260" s="67"/>
      <c r="G1260" s="64"/>
      <c r="H1260" s="68"/>
      <c r="I1260" s="69"/>
      <c r="J1260" s="69"/>
      <c r="K1260" s="32"/>
      <c r="L1260" s="76">
        <v>1260</v>
      </c>
      <c r="M1260" s="76"/>
      <c r="N1260" s="71"/>
      <c r="O1260" s="87" t="s">
        <v>179</v>
      </c>
      <c r="P1260" s="90">
        <v>45127.584374999999</v>
      </c>
      <c r="Q1260" s="87" t="s">
        <v>3066</v>
      </c>
      <c r="R1260" s="87">
        <v>0</v>
      </c>
      <c r="S1260" s="87">
        <v>0</v>
      </c>
      <c r="T1260" s="87">
        <v>0</v>
      </c>
      <c r="U1260" s="87">
        <v>0</v>
      </c>
      <c r="V1260" s="87">
        <v>22</v>
      </c>
      <c r="W1260" s="93" t="s">
        <v>6707</v>
      </c>
      <c r="X1260" s="87"/>
      <c r="Y1260" s="87"/>
      <c r="Z1260" s="87"/>
      <c r="AA1260" s="87" t="s">
        <v>9421</v>
      </c>
      <c r="AB1260" s="87" t="s">
        <v>11447</v>
      </c>
      <c r="AC1260" s="93" t="s">
        <v>11460</v>
      </c>
      <c r="AD1260" s="87" t="s">
        <v>11519</v>
      </c>
      <c r="AE1260" s="92" t="str">
        <f>HYPERLINK("https://twitter.com/confeitariaana/status/1682027958620532738")</f>
        <v>https://twitter.com/confeitariaana/status/1682027958620532738</v>
      </c>
      <c r="AF1260" s="90">
        <v>45127.584374999999</v>
      </c>
      <c r="AG1260" s="99">
        <v>45127</v>
      </c>
      <c r="AH1260" s="93" t="s">
        <v>12691</v>
      </c>
      <c r="AI1260" s="87" t="b">
        <v>0</v>
      </c>
      <c r="AJ1260" s="87"/>
      <c r="AK1260" s="87"/>
      <c r="AL1260" s="87"/>
      <c r="AM1260" s="87"/>
      <c r="AN1260" s="87"/>
      <c r="AO1260" s="87"/>
      <c r="AP1260" s="87"/>
      <c r="AQ1260" s="87" t="s">
        <v>16234</v>
      </c>
      <c r="AR1260" s="87">
        <v>25333</v>
      </c>
      <c r="AS1260" s="87"/>
      <c r="AT1260" s="87"/>
      <c r="AU1260" s="87"/>
      <c r="AV1260" s="92" t="str">
        <f>HYPERLINK("https://pbs.twimg.com/ext_tw_video_thumb/1682027771487477761/pu/img/P3syYtq94VRkzqj1.jpg")</f>
        <v>https://pbs.twimg.com/ext_tw_video_thumb/1682027771487477761/pu/img/P3syYtq94VRkzqj1.jpg</v>
      </c>
      <c r="AW1260" s="93" t="s">
        <v>19496</v>
      </c>
      <c r="AX1260" s="93" t="s">
        <v>19496</v>
      </c>
      <c r="AY1260" s="87"/>
      <c r="AZ1260" s="93" t="s">
        <v>22668</v>
      </c>
      <c r="BA1260" s="93" t="s">
        <v>22668</v>
      </c>
      <c r="BB1260" s="93" t="s">
        <v>22668</v>
      </c>
      <c r="BC1260" s="93" t="s">
        <v>19496</v>
      </c>
      <c r="BD1260" s="93" t="s">
        <v>23036</v>
      </c>
      <c r="BE1260" s="87"/>
      <c r="BF1260" s="87"/>
      <c r="BG1260" s="87"/>
      <c r="BH1260" s="87"/>
      <c r="BI1260" s="87"/>
    </row>
    <row r="1261" spans="1:61" x14ac:dyDescent="0.25">
      <c r="A1261" s="63" t="s">
        <v>643</v>
      </c>
      <c r="B1261" s="63" t="s">
        <v>643</v>
      </c>
      <c r="C1261" s="64"/>
      <c r="D1261" s="65"/>
      <c r="E1261" s="66"/>
      <c r="F1261" s="67"/>
      <c r="G1261" s="64"/>
      <c r="H1261" s="68"/>
      <c r="I1261" s="69"/>
      <c r="J1261" s="69"/>
      <c r="K1261" s="32"/>
      <c r="L1261" s="76">
        <v>1261</v>
      </c>
      <c r="M1261" s="76"/>
      <c r="N1261" s="71"/>
      <c r="O1261" s="87" t="s">
        <v>179</v>
      </c>
      <c r="P1261" s="90">
        <v>45140.587430555555</v>
      </c>
      <c r="Q1261" s="87" t="s">
        <v>3067</v>
      </c>
      <c r="R1261" s="87">
        <v>0</v>
      </c>
      <c r="S1261" s="87">
        <v>0</v>
      </c>
      <c r="T1261" s="87">
        <v>0</v>
      </c>
      <c r="U1261" s="87">
        <v>0</v>
      </c>
      <c r="V1261" s="87">
        <v>9</v>
      </c>
      <c r="W1261" s="93" t="s">
        <v>6707</v>
      </c>
      <c r="X1261" s="87"/>
      <c r="Y1261" s="87"/>
      <c r="Z1261" s="87"/>
      <c r="AA1261" s="87" t="s">
        <v>9422</v>
      </c>
      <c r="AB1261" s="87" t="s">
        <v>11447</v>
      </c>
      <c r="AC1261" s="93" t="s">
        <v>11460</v>
      </c>
      <c r="AD1261" s="87" t="s">
        <v>11519</v>
      </c>
      <c r="AE1261" s="92" t="str">
        <f>HYPERLINK("https://twitter.com/confeitariaana/status/1686740108479746048")</f>
        <v>https://twitter.com/confeitariaana/status/1686740108479746048</v>
      </c>
      <c r="AF1261" s="90">
        <v>45140.587430555555</v>
      </c>
      <c r="AG1261" s="99">
        <v>45140</v>
      </c>
      <c r="AH1261" s="93" t="s">
        <v>12692</v>
      </c>
      <c r="AI1261" s="87" t="b">
        <v>0</v>
      </c>
      <c r="AJ1261" s="87"/>
      <c r="AK1261" s="87"/>
      <c r="AL1261" s="87"/>
      <c r="AM1261" s="87"/>
      <c r="AN1261" s="87"/>
      <c r="AO1261" s="87"/>
      <c r="AP1261" s="87"/>
      <c r="AQ1261" s="87" t="s">
        <v>16235</v>
      </c>
      <c r="AR1261" s="87">
        <v>29200</v>
      </c>
      <c r="AS1261" s="87"/>
      <c r="AT1261" s="87"/>
      <c r="AU1261" s="87"/>
      <c r="AV1261" s="92" t="str">
        <f>HYPERLINK("https://pbs.twimg.com/ext_tw_video_thumb/1686739990150103040/pu/img/7VNGLQ9uq8hIrDSN.jpg")</f>
        <v>https://pbs.twimg.com/ext_tw_video_thumb/1686739990150103040/pu/img/7VNGLQ9uq8hIrDSN.jpg</v>
      </c>
      <c r="AW1261" s="93" t="s">
        <v>19497</v>
      </c>
      <c r="AX1261" s="93" t="s">
        <v>19497</v>
      </c>
      <c r="AY1261" s="87"/>
      <c r="AZ1261" s="93" t="s">
        <v>22668</v>
      </c>
      <c r="BA1261" s="93" t="s">
        <v>22668</v>
      </c>
      <c r="BB1261" s="93" t="s">
        <v>22668</v>
      </c>
      <c r="BC1261" s="93" t="s">
        <v>19497</v>
      </c>
      <c r="BD1261" s="93" t="s">
        <v>23036</v>
      </c>
      <c r="BE1261" s="87"/>
      <c r="BF1261" s="87"/>
      <c r="BG1261" s="87"/>
      <c r="BH1261" s="87"/>
      <c r="BI1261" s="87"/>
    </row>
    <row r="1262" spans="1:61" x14ac:dyDescent="0.25">
      <c r="A1262" s="63" t="s">
        <v>643</v>
      </c>
      <c r="B1262" s="63" t="s">
        <v>643</v>
      </c>
      <c r="C1262" s="64"/>
      <c r="D1262" s="65"/>
      <c r="E1262" s="66"/>
      <c r="F1262" s="67"/>
      <c r="G1262" s="64"/>
      <c r="H1262" s="68"/>
      <c r="I1262" s="69"/>
      <c r="J1262" s="69"/>
      <c r="K1262" s="32"/>
      <c r="L1262" s="76">
        <v>1262</v>
      </c>
      <c r="M1262" s="76"/>
      <c r="N1262" s="71"/>
      <c r="O1262" s="87" t="s">
        <v>179</v>
      </c>
      <c r="P1262" s="90">
        <v>45140.584270833337</v>
      </c>
      <c r="Q1262" s="87" t="s">
        <v>3068</v>
      </c>
      <c r="R1262" s="87">
        <v>0</v>
      </c>
      <c r="S1262" s="87">
        <v>0</v>
      </c>
      <c r="T1262" s="87">
        <v>0</v>
      </c>
      <c r="U1262" s="87">
        <v>0</v>
      </c>
      <c r="V1262" s="87">
        <v>8</v>
      </c>
      <c r="W1262" s="93" t="s">
        <v>6707</v>
      </c>
      <c r="X1262" s="87"/>
      <c r="Y1262" s="87"/>
      <c r="Z1262" s="87"/>
      <c r="AA1262" s="87" t="s">
        <v>9423</v>
      </c>
      <c r="AB1262" s="87" t="s">
        <v>11447</v>
      </c>
      <c r="AC1262" s="93" t="s">
        <v>11460</v>
      </c>
      <c r="AD1262" s="87" t="s">
        <v>11519</v>
      </c>
      <c r="AE1262" s="92" t="str">
        <f>HYPERLINK("https://twitter.com/confeitariaana/status/1686738962595954689")</f>
        <v>https://twitter.com/confeitariaana/status/1686738962595954689</v>
      </c>
      <c r="AF1262" s="90">
        <v>45140.584270833337</v>
      </c>
      <c r="AG1262" s="99">
        <v>45140</v>
      </c>
      <c r="AH1262" s="93" t="s">
        <v>12668</v>
      </c>
      <c r="AI1262" s="87" t="b">
        <v>0</v>
      </c>
      <c r="AJ1262" s="87"/>
      <c r="AK1262" s="87"/>
      <c r="AL1262" s="87"/>
      <c r="AM1262" s="87"/>
      <c r="AN1262" s="87"/>
      <c r="AO1262" s="87"/>
      <c r="AP1262" s="87"/>
      <c r="AQ1262" s="87" t="s">
        <v>16236</v>
      </c>
      <c r="AR1262" s="87">
        <v>29200</v>
      </c>
      <c r="AS1262" s="87"/>
      <c r="AT1262" s="87"/>
      <c r="AU1262" s="87"/>
      <c r="AV1262" s="92" t="str">
        <f>HYPERLINK("https://pbs.twimg.com/ext_tw_video_thumb/1686738844861767680/pu/img/VuADldS_tLP-25A-.jpg")</f>
        <v>https://pbs.twimg.com/ext_tw_video_thumb/1686738844861767680/pu/img/VuADldS_tLP-25A-.jpg</v>
      </c>
      <c r="AW1262" s="93" t="s">
        <v>19498</v>
      </c>
      <c r="AX1262" s="93" t="s">
        <v>19498</v>
      </c>
      <c r="AY1262" s="87"/>
      <c r="AZ1262" s="93" t="s">
        <v>22668</v>
      </c>
      <c r="BA1262" s="93" t="s">
        <v>22668</v>
      </c>
      <c r="BB1262" s="93" t="s">
        <v>22668</v>
      </c>
      <c r="BC1262" s="93" t="s">
        <v>19498</v>
      </c>
      <c r="BD1262" s="93" t="s">
        <v>23036</v>
      </c>
      <c r="BE1262" s="87"/>
      <c r="BF1262" s="87"/>
      <c r="BG1262" s="87"/>
      <c r="BH1262" s="87"/>
      <c r="BI1262" s="87"/>
    </row>
    <row r="1263" spans="1:61" x14ac:dyDescent="0.25">
      <c r="A1263" s="63" t="s">
        <v>643</v>
      </c>
      <c r="B1263" s="63" t="s">
        <v>643</v>
      </c>
      <c r="C1263" s="64"/>
      <c r="D1263" s="65"/>
      <c r="E1263" s="66"/>
      <c r="F1263" s="67"/>
      <c r="G1263" s="64"/>
      <c r="H1263" s="68"/>
      <c r="I1263" s="69"/>
      <c r="J1263" s="69"/>
      <c r="K1263" s="32"/>
      <c r="L1263" s="76">
        <v>1263</v>
      </c>
      <c r="M1263" s="76"/>
      <c r="N1263" s="71"/>
      <c r="O1263" s="87" t="s">
        <v>179</v>
      </c>
      <c r="P1263" s="90">
        <v>45139.764282407406</v>
      </c>
      <c r="Q1263" s="87" t="s">
        <v>3069</v>
      </c>
      <c r="R1263" s="87">
        <v>0</v>
      </c>
      <c r="S1263" s="87">
        <v>0</v>
      </c>
      <c r="T1263" s="87">
        <v>0</v>
      </c>
      <c r="U1263" s="87">
        <v>0</v>
      </c>
      <c r="V1263" s="87">
        <v>6</v>
      </c>
      <c r="W1263" s="93" t="s">
        <v>6707</v>
      </c>
      <c r="X1263" s="87"/>
      <c r="Y1263" s="87"/>
      <c r="Z1263" s="87"/>
      <c r="AA1263" s="87" t="s">
        <v>9424</v>
      </c>
      <c r="AB1263" s="87" t="s">
        <v>11447</v>
      </c>
      <c r="AC1263" s="93" t="s">
        <v>11460</v>
      </c>
      <c r="AD1263" s="87" t="s">
        <v>11519</v>
      </c>
      <c r="AE1263" s="92" t="str">
        <f>HYPERLINK("https://twitter.com/confeitariaana/status/1686441810996973574")</f>
        <v>https://twitter.com/confeitariaana/status/1686441810996973574</v>
      </c>
      <c r="AF1263" s="90">
        <v>45139.764282407406</v>
      </c>
      <c r="AG1263" s="99">
        <v>45139</v>
      </c>
      <c r="AH1263" s="93" t="s">
        <v>12693</v>
      </c>
      <c r="AI1263" s="87" t="b">
        <v>0</v>
      </c>
      <c r="AJ1263" s="87"/>
      <c r="AK1263" s="87"/>
      <c r="AL1263" s="87"/>
      <c r="AM1263" s="87"/>
      <c r="AN1263" s="87"/>
      <c r="AO1263" s="87"/>
      <c r="AP1263" s="87"/>
      <c r="AQ1263" s="87" t="s">
        <v>16237</v>
      </c>
      <c r="AR1263" s="87">
        <v>23566</v>
      </c>
      <c r="AS1263" s="87"/>
      <c r="AT1263" s="87"/>
      <c r="AU1263" s="87"/>
      <c r="AV1263" s="92" t="str">
        <f>HYPERLINK("https://pbs.twimg.com/ext_tw_video_thumb/1686441723105333260/pu/img/6vxvVAseAMpma3tO.jpg")</f>
        <v>https://pbs.twimg.com/ext_tw_video_thumb/1686441723105333260/pu/img/6vxvVAseAMpma3tO.jpg</v>
      </c>
      <c r="AW1263" s="93" t="s">
        <v>19499</v>
      </c>
      <c r="AX1263" s="93" t="s">
        <v>19499</v>
      </c>
      <c r="AY1263" s="87"/>
      <c r="AZ1263" s="93" t="s">
        <v>22668</v>
      </c>
      <c r="BA1263" s="93" t="s">
        <v>22668</v>
      </c>
      <c r="BB1263" s="93" t="s">
        <v>22668</v>
      </c>
      <c r="BC1263" s="93" t="s">
        <v>19499</v>
      </c>
      <c r="BD1263" s="93" t="s">
        <v>23036</v>
      </c>
      <c r="BE1263" s="87"/>
      <c r="BF1263" s="87"/>
      <c r="BG1263" s="87"/>
      <c r="BH1263" s="87"/>
      <c r="BI1263" s="87"/>
    </row>
    <row r="1264" spans="1:61" x14ac:dyDescent="0.25">
      <c r="A1264" s="63" t="s">
        <v>643</v>
      </c>
      <c r="B1264" s="63" t="s">
        <v>643</v>
      </c>
      <c r="C1264" s="64"/>
      <c r="D1264" s="65"/>
      <c r="E1264" s="66"/>
      <c r="F1264" s="67"/>
      <c r="G1264" s="64"/>
      <c r="H1264" s="68"/>
      <c r="I1264" s="69"/>
      <c r="J1264" s="69"/>
      <c r="K1264" s="32"/>
      <c r="L1264" s="76">
        <v>1264</v>
      </c>
      <c r="M1264" s="76"/>
      <c r="N1264" s="71"/>
      <c r="O1264" s="87" t="s">
        <v>179</v>
      </c>
      <c r="P1264" s="90">
        <v>45126.753981481481</v>
      </c>
      <c r="Q1264" s="87" t="s">
        <v>3070</v>
      </c>
      <c r="R1264" s="87">
        <v>0</v>
      </c>
      <c r="S1264" s="87">
        <v>0</v>
      </c>
      <c r="T1264" s="87">
        <v>0</v>
      </c>
      <c r="U1264" s="87">
        <v>0</v>
      </c>
      <c r="V1264" s="87">
        <v>93</v>
      </c>
      <c r="W1264" s="93" t="s">
        <v>6707</v>
      </c>
      <c r="X1264" s="87"/>
      <c r="Y1264" s="87"/>
      <c r="Z1264" s="87"/>
      <c r="AA1264" s="87" t="s">
        <v>9425</v>
      </c>
      <c r="AB1264" s="87" t="s">
        <v>11447</v>
      </c>
      <c r="AC1264" s="93" t="s">
        <v>11460</v>
      </c>
      <c r="AD1264" s="87" t="s">
        <v>11519</v>
      </c>
      <c r="AE1264" s="92" t="str">
        <f>HYPERLINK("https://twitter.com/confeitariaana/status/1681727033687064582")</f>
        <v>https://twitter.com/confeitariaana/status/1681727033687064582</v>
      </c>
      <c r="AF1264" s="90">
        <v>45126.753981481481</v>
      </c>
      <c r="AG1264" s="99">
        <v>45126</v>
      </c>
      <c r="AH1264" s="93" t="s">
        <v>12694</v>
      </c>
      <c r="AI1264" s="87" t="b">
        <v>0</v>
      </c>
      <c r="AJ1264" s="87"/>
      <c r="AK1264" s="87"/>
      <c r="AL1264" s="87"/>
      <c r="AM1264" s="87"/>
      <c r="AN1264" s="87"/>
      <c r="AO1264" s="87"/>
      <c r="AP1264" s="87"/>
      <c r="AQ1264" s="87" t="s">
        <v>16238</v>
      </c>
      <c r="AR1264" s="87">
        <v>41166</v>
      </c>
      <c r="AS1264" s="87"/>
      <c r="AT1264" s="87"/>
      <c r="AU1264" s="87"/>
      <c r="AV1264" s="92" t="str">
        <f>HYPERLINK("https://pbs.twimg.com/ext_tw_video_thumb/1681726908319293440/pu/img/QkiBRsmZV7ZmQL3g.jpg")</f>
        <v>https://pbs.twimg.com/ext_tw_video_thumb/1681726908319293440/pu/img/QkiBRsmZV7ZmQL3g.jpg</v>
      </c>
      <c r="AW1264" s="93" t="s">
        <v>19500</v>
      </c>
      <c r="AX1264" s="93" t="s">
        <v>19500</v>
      </c>
      <c r="AY1264" s="87"/>
      <c r="AZ1264" s="93" t="s">
        <v>22668</v>
      </c>
      <c r="BA1264" s="93" t="s">
        <v>22668</v>
      </c>
      <c r="BB1264" s="93" t="s">
        <v>22668</v>
      </c>
      <c r="BC1264" s="93" t="s">
        <v>19500</v>
      </c>
      <c r="BD1264" s="93" t="s">
        <v>23036</v>
      </c>
      <c r="BE1264" s="87"/>
      <c r="BF1264" s="87"/>
      <c r="BG1264" s="87"/>
      <c r="BH1264" s="87"/>
      <c r="BI1264" s="87"/>
    </row>
    <row r="1265" spans="1:61" x14ac:dyDescent="0.25">
      <c r="A1265" s="63" t="s">
        <v>643</v>
      </c>
      <c r="B1265" s="63" t="s">
        <v>643</v>
      </c>
      <c r="C1265" s="64"/>
      <c r="D1265" s="65"/>
      <c r="E1265" s="66"/>
      <c r="F1265" s="67"/>
      <c r="G1265" s="64"/>
      <c r="H1265" s="68"/>
      <c r="I1265" s="69"/>
      <c r="J1265" s="69"/>
      <c r="K1265" s="32"/>
      <c r="L1265" s="76">
        <v>1265</v>
      </c>
      <c r="M1265" s="76"/>
      <c r="N1265" s="71"/>
      <c r="O1265" s="87" t="s">
        <v>179</v>
      </c>
      <c r="P1265" s="90">
        <v>45125.753888888888</v>
      </c>
      <c r="Q1265" s="87" t="s">
        <v>3071</v>
      </c>
      <c r="R1265" s="87">
        <v>0</v>
      </c>
      <c r="S1265" s="87">
        <v>0</v>
      </c>
      <c r="T1265" s="87">
        <v>0</v>
      </c>
      <c r="U1265" s="87">
        <v>0</v>
      </c>
      <c r="V1265" s="87">
        <v>54</v>
      </c>
      <c r="W1265" s="93" t="s">
        <v>6707</v>
      </c>
      <c r="X1265" s="87"/>
      <c r="Y1265" s="87"/>
      <c r="Z1265" s="87"/>
      <c r="AA1265" s="87" t="s">
        <v>9426</v>
      </c>
      <c r="AB1265" s="87" t="s">
        <v>11447</v>
      </c>
      <c r="AC1265" s="93" t="s">
        <v>11460</v>
      </c>
      <c r="AD1265" s="87" t="s">
        <v>11519</v>
      </c>
      <c r="AE1265" s="92" t="str">
        <f>HYPERLINK("https://twitter.com/confeitariaana/status/1681364610924834817")</f>
        <v>https://twitter.com/confeitariaana/status/1681364610924834817</v>
      </c>
      <c r="AF1265" s="90">
        <v>45125.753888888888</v>
      </c>
      <c r="AG1265" s="99">
        <v>45125</v>
      </c>
      <c r="AH1265" s="93" t="s">
        <v>12695</v>
      </c>
      <c r="AI1265" s="87" t="b">
        <v>0</v>
      </c>
      <c r="AJ1265" s="87"/>
      <c r="AK1265" s="87"/>
      <c r="AL1265" s="87"/>
      <c r="AM1265" s="87"/>
      <c r="AN1265" s="87"/>
      <c r="AO1265" s="87"/>
      <c r="AP1265" s="87"/>
      <c r="AQ1265" s="87" t="s">
        <v>16239</v>
      </c>
      <c r="AR1265" s="87">
        <v>35540</v>
      </c>
      <c r="AS1265" s="87"/>
      <c r="AT1265" s="87"/>
      <c r="AU1265" s="87"/>
      <c r="AV1265" s="92" t="str">
        <f>HYPERLINK("https://pbs.twimg.com/ext_tw_video_thumb/1681364513533067265/pu/img/c1UKV3wTUKzRbhAL.jpg")</f>
        <v>https://pbs.twimg.com/ext_tw_video_thumb/1681364513533067265/pu/img/c1UKV3wTUKzRbhAL.jpg</v>
      </c>
      <c r="AW1265" s="93" t="s">
        <v>19501</v>
      </c>
      <c r="AX1265" s="93" t="s">
        <v>19501</v>
      </c>
      <c r="AY1265" s="87"/>
      <c r="AZ1265" s="93" t="s">
        <v>22668</v>
      </c>
      <c r="BA1265" s="93" t="s">
        <v>22668</v>
      </c>
      <c r="BB1265" s="93" t="s">
        <v>22668</v>
      </c>
      <c r="BC1265" s="93" t="s">
        <v>19501</v>
      </c>
      <c r="BD1265" s="93" t="s">
        <v>23036</v>
      </c>
      <c r="BE1265" s="87"/>
      <c r="BF1265" s="87"/>
      <c r="BG1265" s="87"/>
      <c r="BH1265" s="87"/>
      <c r="BI1265" s="87"/>
    </row>
    <row r="1266" spans="1:61" x14ac:dyDescent="0.25">
      <c r="A1266" s="63" t="s">
        <v>643</v>
      </c>
      <c r="B1266" s="63" t="s">
        <v>643</v>
      </c>
      <c r="C1266" s="64"/>
      <c r="D1266" s="65"/>
      <c r="E1266" s="66"/>
      <c r="F1266" s="67"/>
      <c r="G1266" s="64"/>
      <c r="H1266" s="68"/>
      <c r="I1266" s="69"/>
      <c r="J1266" s="69"/>
      <c r="K1266" s="32"/>
      <c r="L1266" s="76">
        <v>1266</v>
      </c>
      <c r="M1266" s="76"/>
      <c r="N1266" s="71"/>
      <c r="O1266" s="87" t="s">
        <v>179</v>
      </c>
      <c r="P1266" s="90">
        <v>45125.584201388891</v>
      </c>
      <c r="Q1266" s="87" t="s">
        <v>3072</v>
      </c>
      <c r="R1266" s="87">
        <v>0</v>
      </c>
      <c r="S1266" s="87">
        <v>0</v>
      </c>
      <c r="T1266" s="87">
        <v>0</v>
      </c>
      <c r="U1266" s="87">
        <v>0</v>
      </c>
      <c r="V1266" s="87">
        <v>26</v>
      </c>
      <c r="W1266" s="93" t="s">
        <v>6707</v>
      </c>
      <c r="X1266" s="87"/>
      <c r="Y1266" s="87"/>
      <c r="Z1266" s="87"/>
      <c r="AA1266" s="87" t="s">
        <v>9427</v>
      </c>
      <c r="AB1266" s="87" t="s">
        <v>11447</v>
      </c>
      <c r="AC1266" s="93" t="s">
        <v>11460</v>
      </c>
      <c r="AD1266" s="87" t="s">
        <v>11519</v>
      </c>
      <c r="AE1266" s="92" t="str">
        <f>HYPERLINK("https://twitter.com/confeitariaana/status/1681303119647604741")</f>
        <v>https://twitter.com/confeitariaana/status/1681303119647604741</v>
      </c>
      <c r="AF1266" s="90">
        <v>45125.584201388891</v>
      </c>
      <c r="AG1266" s="99">
        <v>45125</v>
      </c>
      <c r="AH1266" s="93" t="s">
        <v>12696</v>
      </c>
      <c r="AI1266" s="87" t="b">
        <v>0</v>
      </c>
      <c r="AJ1266" s="87"/>
      <c r="AK1266" s="87"/>
      <c r="AL1266" s="87"/>
      <c r="AM1266" s="87"/>
      <c r="AN1266" s="87"/>
      <c r="AO1266" s="87"/>
      <c r="AP1266" s="87"/>
      <c r="AQ1266" s="87" t="s">
        <v>16240</v>
      </c>
      <c r="AR1266" s="87">
        <v>16433</v>
      </c>
      <c r="AS1266" s="87"/>
      <c r="AT1266" s="87"/>
      <c r="AU1266" s="87"/>
      <c r="AV1266" s="92" t="str">
        <f>HYPERLINK("https://pbs.twimg.com/ext_tw_video_thumb/1681302981806010369/pu/img/Kw5iZU8gteUDNdgW.jpg")</f>
        <v>https://pbs.twimg.com/ext_tw_video_thumb/1681302981806010369/pu/img/Kw5iZU8gteUDNdgW.jpg</v>
      </c>
      <c r="AW1266" s="93" t="s">
        <v>19502</v>
      </c>
      <c r="AX1266" s="93" t="s">
        <v>19502</v>
      </c>
      <c r="AY1266" s="87"/>
      <c r="AZ1266" s="93" t="s">
        <v>22668</v>
      </c>
      <c r="BA1266" s="93" t="s">
        <v>22668</v>
      </c>
      <c r="BB1266" s="93" t="s">
        <v>22668</v>
      </c>
      <c r="BC1266" s="93" t="s">
        <v>19502</v>
      </c>
      <c r="BD1266" s="93" t="s">
        <v>23036</v>
      </c>
      <c r="BE1266" s="87"/>
      <c r="BF1266" s="87"/>
      <c r="BG1266" s="87"/>
      <c r="BH1266" s="87"/>
      <c r="BI1266" s="87"/>
    </row>
    <row r="1267" spans="1:61" x14ac:dyDescent="0.25">
      <c r="A1267" s="63" t="s">
        <v>643</v>
      </c>
      <c r="B1267" s="63" t="s">
        <v>643</v>
      </c>
      <c r="C1267" s="64"/>
      <c r="D1267" s="65"/>
      <c r="E1267" s="66"/>
      <c r="F1267" s="67"/>
      <c r="G1267" s="64"/>
      <c r="H1267" s="68"/>
      <c r="I1267" s="69"/>
      <c r="J1267" s="69"/>
      <c r="K1267" s="32"/>
      <c r="L1267" s="76">
        <v>1267</v>
      </c>
      <c r="M1267" s="76"/>
      <c r="N1267" s="71"/>
      <c r="O1267" s="87" t="s">
        <v>179</v>
      </c>
      <c r="P1267" s="90">
        <v>45124.917557870373</v>
      </c>
      <c r="Q1267" s="87" t="s">
        <v>3073</v>
      </c>
      <c r="R1267" s="87">
        <v>0</v>
      </c>
      <c r="S1267" s="87">
        <v>0</v>
      </c>
      <c r="T1267" s="87">
        <v>0</v>
      </c>
      <c r="U1267" s="87">
        <v>0</v>
      </c>
      <c r="V1267" s="87">
        <v>28</v>
      </c>
      <c r="W1267" s="93" t="s">
        <v>6707</v>
      </c>
      <c r="X1267" s="87"/>
      <c r="Y1267" s="87"/>
      <c r="Z1267" s="87"/>
      <c r="AA1267" s="87" t="s">
        <v>9428</v>
      </c>
      <c r="AB1267" s="87" t="s">
        <v>11447</v>
      </c>
      <c r="AC1267" s="93" t="s">
        <v>11460</v>
      </c>
      <c r="AD1267" s="87" t="s">
        <v>11519</v>
      </c>
      <c r="AE1267" s="92" t="str">
        <f>HYPERLINK("https://twitter.com/confeitariaana/status/1681061537815879680")</f>
        <v>https://twitter.com/confeitariaana/status/1681061537815879680</v>
      </c>
      <c r="AF1267" s="90">
        <v>45124.917557870373</v>
      </c>
      <c r="AG1267" s="99">
        <v>45124</v>
      </c>
      <c r="AH1267" s="93" t="s">
        <v>12697</v>
      </c>
      <c r="AI1267" s="87" t="b">
        <v>0</v>
      </c>
      <c r="AJ1267" s="87"/>
      <c r="AK1267" s="87"/>
      <c r="AL1267" s="87"/>
      <c r="AM1267" s="87"/>
      <c r="AN1267" s="87"/>
      <c r="AO1267" s="87"/>
      <c r="AP1267" s="87"/>
      <c r="AQ1267" s="87" t="s">
        <v>16241</v>
      </c>
      <c r="AR1267" s="87">
        <v>39433</v>
      </c>
      <c r="AS1267" s="87"/>
      <c r="AT1267" s="87"/>
      <c r="AU1267" s="87"/>
      <c r="AV1267" s="92" t="str">
        <f>HYPERLINK("https://pbs.twimg.com/ext_tw_video_thumb/1681061431557386244/pu/img/DpyZBBHOTGuXM01K.jpg")</f>
        <v>https://pbs.twimg.com/ext_tw_video_thumb/1681061431557386244/pu/img/DpyZBBHOTGuXM01K.jpg</v>
      </c>
      <c r="AW1267" s="93" t="s">
        <v>19503</v>
      </c>
      <c r="AX1267" s="93" t="s">
        <v>19503</v>
      </c>
      <c r="AY1267" s="87"/>
      <c r="AZ1267" s="93" t="s">
        <v>22668</v>
      </c>
      <c r="BA1267" s="93" t="s">
        <v>22668</v>
      </c>
      <c r="BB1267" s="93" t="s">
        <v>22668</v>
      </c>
      <c r="BC1267" s="93" t="s">
        <v>19503</v>
      </c>
      <c r="BD1267" s="93" t="s">
        <v>23036</v>
      </c>
      <c r="BE1267" s="87"/>
      <c r="BF1267" s="87"/>
      <c r="BG1267" s="87"/>
      <c r="BH1267" s="87"/>
      <c r="BI1267" s="87"/>
    </row>
    <row r="1268" spans="1:61" x14ac:dyDescent="0.25">
      <c r="A1268" s="63" t="s">
        <v>644</v>
      </c>
      <c r="B1268" s="63" t="s">
        <v>644</v>
      </c>
      <c r="C1268" s="64"/>
      <c r="D1268" s="65"/>
      <c r="E1268" s="66"/>
      <c r="F1268" s="67"/>
      <c r="G1268" s="64"/>
      <c r="H1268" s="68"/>
      <c r="I1268" s="69"/>
      <c r="J1268" s="69"/>
      <c r="K1268" s="32"/>
      <c r="L1268" s="76">
        <v>1268</v>
      </c>
      <c r="M1268" s="76"/>
      <c r="N1268" s="71"/>
      <c r="O1268" s="87" t="s">
        <v>179</v>
      </c>
      <c r="P1268" s="90">
        <v>45193.458344907405</v>
      </c>
      <c r="Q1268" s="87" t="s">
        <v>3074</v>
      </c>
      <c r="R1268" s="87">
        <v>0</v>
      </c>
      <c r="S1268" s="87">
        <v>1</v>
      </c>
      <c r="T1268" s="87">
        <v>0</v>
      </c>
      <c r="U1268" s="87">
        <v>0</v>
      </c>
      <c r="V1268" s="87">
        <v>480</v>
      </c>
      <c r="W1268" s="93" t="s">
        <v>6709</v>
      </c>
      <c r="X1268" s="92" t="str">
        <f>HYPERLINK("https://mla.bs/413f79c7")</f>
        <v>https://mla.bs/413f79c7</v>
      </c>
      <c r="Y1268" s="87" t="s">
        <v>8396</v>
      </c>
      <c r="Z1268" s="87"/>
      <c r="AA1268" s="87" t="s">
        <v>9429</v>
      </c>
      <c r="AB1268" s="87" t="s">
        <v>11448</v>
      </c>
      <c r="AC1268" s="93" t="s">
        <v>11457</v>
      </c>
      <c r="AD1268" s="87" t="s">
        <v>11519</v>
      </c>
      <c r="AE1268" s="92" t="str">
        <f>HYPERLINK("https://twitter.com/cursodamasio/status/1705899886498246799")</f>
        <v>https://twitter.com/cursodamasio/status/1705899886498246799</v>
      </c>
      <c r="AF1268" s="90">
        <v>45193.458344907405</v>
      </c>
      <c r="AG1268" s="99">
        <v>45193</v>
      </c>
      <c r="AH1268" s="93" t="s">
        <v>12698</v>
      </c>
      <c r="AI1268" s="87" t="b">
        <v>0</v>
      </c>
      <c r="AJ1268" s="87"/>
      <c r="AK1268" s="87"/>
      <c r="AL1268" s="87"/>
      <c r="AM1268" s="87"/>
      <c r="AN1268" s="87"/>
      <c r="AO1268" s="87"/>
      <c r="AP1268" s="87"/>
      <c r="AQ1268" s="87" t="s">
        <v>16242</v>
      </c>
      <c r="AR1268" s="87"/>
      <c r="AS1268" s="87"/>
      <c r="AT1268" s="87"/>
      <c r="AU1268" s="87"/>
      <c r="AV1268" s="92" t="str">
        <f>HYPERLINK("https://pbs.twimg.com/media/F6nkOMFW4AA4n2S.jpg")</f>
        <v>https://pbs.twimg.com/media/F6nkOMFW4AA4n2S.jpg</v>
      </c>
      <c r="AW1268" s="93" t="s">
        <v>19504</v>
      </c>
      <c r="AX1268" s="93" t="s">
        <v>19504</v>
      </c>
      <c r="AY1268" s="87"/>
      <c r="AZ1268" s="93" t="s">
        <v>22668</v>
      </c>
      <c r="BA1268" s="93" t="s">
        <v>22668</v>
      </c>
      <c r="BB1268" s="93" t="s">
        <v>22668</v>
      </c>
      <c r="BC1268" s="93" t="s">
        <v>19504</v>
      </c>
      <c r="BD1268" s="87">
        <v>25092395</v>
      </c>
      <c r="BE1268" s="87"/>
      <c r="BF1268" s="87"/>
      <c r="BG1268" s="87"/>
      <c r="BH1268" s="87"/>
      <c r="BI1268" s="87"/>
    </row>
    <row r="1269" spans="1:61" x14ac:dyDescent="0.25">
      <c r="A1269" s="63" t="s">
        <v>645</v>
      </c>
      <c r="B1269" s="63" t="s">
        <v>645</v>
      </c>
      <c r="C1269" s="64"/>
      <c r="D1269" s="65"/>
      <c r="E1269" s="66"/>
      <c r="F1269" s="67"/>
      <c r="G1269" s="64"/>
      <c r="H1269" s="68"/>
      <c r="I1269" s="69"/>
      <c r="J1269" s="69"/>
      <c r="K1269" s="32"/>
      <c r="L1269" s="76">
        <v>1269</v>
      </c>
      <c r="M1269" s="76"/>
      <c r="N1269" s="71"/>
      <c r="O1269" s="87" t="s">
        <v>179</v>
      </c>
      <c r="P1269" s="90">
        <v>45113.684525462966</v>
      </c>
      <c r="Q1269" s="87" t="s">
        <v>3075</v>
      </c>
      <c r="R1269" s="87">
        <v>0</v>
      </c>
      <c r="S1269" s="87">
        <v>0</v>
      </c>
      <c r="T1269" s="87">
        <v>0</v>
      </c>
      <c r="U1269" s="87">
        <v>0</v>
      </c>
      <c r="V1269" s="87">
        <v>7</v>
      </c>
      <c r="W1269" s="93" t="s">
        <v>6710</v>
      </c>
      <c r="X1269" s="87"/>
      <c r="Y1269" s="87"/>
      <c r="Z1269" s="87"/>
      <c r="AA1269" s="87"/>
      <c r="AB1269" s="87"/>
      <c r="AC1269" s="93" t="s">
        <v>11458</v>
      </c>
      <c r="AD1269" s="87" t="s">
        <v>11519</v>
      </c>
      <c r="AE1269" s="92" t="str">
        <f>HYPERLINK("https://twitter.com/marcosrroficial/status/1676990821340528641")</f>
        <v>https://twitter.com/marcosrroficial/status/1676990821340528641</v>
      </c>
      <c r="AF1269" s="90">
        <v>45113.684525462966</v>
      </c>
      <c r="AG1269" s="99">
        <v>45113</v>
      </c>
      <c r="AH1269" s="93" t="s">
        <v>12699</v>
      </c>
      <c r="AI1269" s="87"/>
      <c r="AJ1269" s="87"/>
      <c r="AK1269" s="87"/>
      <c r="AL1269" s="87"/>
      <c r="AM1269" s="87"/>
      <c r="AN1269" s="87"/>
      <c r="AO1269" s="87"/>
      <c r="AP1269" s="87"/>
      <c r="AQ1269" s="87"/>
      <c r="AR1269" s="87"/>
      <c r="AS1269" s="87"/>
      <c r="AT1269" s="87"/>
      <c r="AU1269" s="87"/>
      <c r="AV1269" s="92" t="str">
        <f>HYPERLINK("https://pbs.twimg.com/profile_images/1675466189546434560/smk1FHmN_normal.jpg")</f>
        <v>https://pbs.twimg.com/profile_images/1675466189546434560/smk1FHmN_normal.jpg</v>
      </c>
      <c r="AW1269" s="93" t="s">
        <v>19505</v>
      </c>
      <c r="AX1269" s="93" t="s">
        <v>19505</v>
      </c>
      <c r="AY1269" s="87"/>
      <c r="AZ1269" s="93" t="s">
        <v>22668</v>
      </c>
      <c r="BA1269" s="93" t="s">
        <v>22668</v>
      </c>
      <c r="BB1269" s="93" t="s">
        <v>22668</v>
      </c>
      <c r="BC1269" s="93" t="s">
        <v>19505</v>
      </c>
      <c r="BD1269" s="93" t="s">
        <v>23037</v>
      </c>
      <c r="BE1269" s="87"/>
      <c r="BF1269" s="87"/>
      <c r="BG1269" s="87"/>
      <c r="BH1269" s="87"/>
      <c r="BI1269" s="87"/>
    </row>
    <row r="1270" spans="1:61" x14ac:dyDescent="0.25">
      <c r="A1270" s="63" t="s">
        <v>646</v>
      </c>
      <c r="B1270" s="63" t="s">
        <v>646</v>
      </c>
      <c r="C1270" s="64"/>
      <c r="D1270" s="65"/>
      <c r="E1270" s="66"/>
      <c r="F1270" s="67"/>
      <c r="G1270" s="64"/>
      <c r="H1270" s="68"/>
      <c r="I1270" s="69"/>
      <c r="J1270" s="69"/>
      <c r="K1270" s="32"/>
      <c r="L1270" s="76">
        <v>1270</v>
      </c>
      <c r="M1270" s="76"/>
      <c r="N1270" s="71"/>
      <c r="O1270" s="87" t="s">
        <v>179</v>
      </c>
      <c r="P1270" s="90">
        <v>45112.714432870373</v>
      </c>
      <c r="Q1270" s="87" t="s">
        <v>3076</v>
      </c>
      <c r="R1270" s="87">
        <v>0</v>
      </c>
      <c r="S1270" s="87">
        <v>0</v>
      </c>
      <c r="T1270" s="87">
        <v>0</v>
      </c>
      <c r="U1270" s="87">
        <v>0</v>
      </c>
      <c r="V1270" s="87">
        <v>1</v>
      </c>
      <c r="W1270" s="93" t="s">
        <v>6711</v>
      </c>
      <c r="X1270" s="92" t="str">
        <f>HYPERLINK("https://www.nuvemerp.com.br/blog-nuvemerp/")</f>
        <v>https://www.nuvemerp.com.br/blog-nuvemerp/</v>
      </c>
      <c r="Y1270" s="87" t="s">
        <v>8373</v>
      </c>
      <c r="Z1270" s="87"/>
      <c r="AA1270" s="87" t="s">
        <v>9430</v>
      </c>
      <c r="AB1270" s="87" t="s">
        <v>11448</v>
      </c>
      <c r="AC1270" s="93" t="s">
        <v>11458</v>
      </c>
      <c r="AD1270" s="87" t="s">
        <v>11519</v>
      </c>
      <c r="AE1270" s="92" t="str">
        <f>HYPERLINK("https://twitter.com/nuvemerp/status/1676639271741018112")</f>
        <v>https://twitter.com/nuvemerp/status/1676639271741018112</v>
      </c>
      <c r="AF1270" s="90">
        <v>45112.714432870373</v>
      </c>
      <c r="AG1270" s="99">
        <v>45112</v>
      </c>
      <c r="AH1270" s="93" t="s">
        <v>12700</v>
      </c>
      <c r="AI1270" s="87" t="b">
        <v>0</v>
      </c>
      <c r="AJ1270" s="87"/>
      <c r="AK1270" s="87"/>
      <c r="AL1270" s="87"/>
      <c r="AM1270" s="87"/>
      <c r="AN1270" s="87"/>
      <c r="AO1270" s="87"/>
      <c r="AP1270" s="87"/>
      <c r="AQ1270" s="87" t="s">
        <v>16243</v>
      </c>
      <c r="AR1270" s="87"/>
      <c r="AS1270" s="87"/>
      <c r="AT1270" s="87"/>
      <c r="AU1270" s="87"/>
      <c r="AV1270" s="92" t="str">
        <f>HYPERLINK("https://pbs.twimg.com/media/F0Seh3AXgAwttzP.jpg")</f>
        <v>https://pbs.twimg.com/media/F0Seh3AXgAwttzP.jpg</v>
      </c>
      <c r="AW1270" s="93" t="s">
        <v>19506</v>
      </c>
      <c r="AX1270" s="93" t="s">
        <v>19506</v>
      </c>
      <c r="AY1270" s="87"/>
      <c r="AZ1270" s="93" t="s">
        <v>22668</v>
      </c>
      <c r="BA1270" s="93" t="s">
        <v>22668</v>
      </c>
      <c r="BB1270" s="93" t="s">
        <v>22668</v>
      </c>
      <c r="BC1270" s="93" t="s">
        <v>19506</v>
      </c>
      <c r="BD1270" s="87">
        <v>3064531630</v>
      </c>
      <c r="BE1270" s="87"/>
      <c r="BF1270" s="87"/>
      <c r="BG1270" s="87"/>
      <c r="BH1270" s="87"/>
      <c r="BI1270" s="87"/>
    </row>
    <row r="1271" spans="1:61" x14ac:dyDescent="0.25">
      <c r="A1271" s="63" t="s">
        <v>647</v>
      </c>
      <c r="B1271" s="63" t="s">
        <v>647</v>
      </c>
      <c r="C1271" s="64"/>
      <c r="D1271" s="65"/>
      <c r="E1271" s="66"/>
      <c r="F1271" s="67"/>
      <c r="G1271" s="64"/>
      <c r="H1271" s="68"/>
      <c r="I1271" s="69"/>
      <c r="J1271" s="69"/>
      <c r="K1271" s="32"/>
      <c r="L1271" s="76">
        <v>1271</v>
      </c>
      <c r="M1271" s="76"/>
      <c r="N1271" s="71"/>
      <c r="O1271" s="87" t="s">
        <v>179</v>
      </c>
      <c r="P1271" s="90">
        <v>45187.958958333336</v>
      </c>
      <c r="Q1271" s="87" t="s">
        <v>3077</v>
      </c>
      <c r="R1271" s="87">
        <v>0</v>
      </c>
      <c r="S1271" s="87">
        <v>0</v>
      </c>
      <c r="T1271" s="87">
        <v>0</v>
      </c>
      <c r="U1271" s="87">
        <v>0</v>
      </c>
      <c r="V1271" s="87">
        <v>2</v>
      </c>
      <c r="W1271" s="93" t="s">
        <v>6712</v>
      </c>
      <c r="X1271" s="87"/>
      <c r="Y1271" s="87"/>
      <c r="Z1271" s="87"/>
      <c r="AA1271" s="87" t="s">
        <v>9431</v>
      </c>
      <c r="AB1271" s="87" t="s">
        <v>11448</v>
      </c>
      <c r="AC1271" s="93" t="s">
        <v>11485</v>
      </c>
      <c r="AD1271" s="87" t="s">
        <v>11519</v>
      </c>
      <c r="AE1271" s="92" t="str">
        <f>HYPERLINK("https://twitter.com/sthoudt/status/1703906973698125920")</f>
        <v>https://twitter.com/sthoudt/status/1703906973698125920</v>
      </c>
      <c r="AF1271" s="90">
        <v>45187.958958333336</v>
      </c>
      <c r="AG1271" s="99">
        <v>45187</v>
      </c>
      <c r="AH1271" s="93" t="s">
        <v>12701</v>
      </c>
      <c r="AI1271" s="87" t="b">
        <v>0</v>
      </c>
      <c r="AJ1271" s="87"/>
      <c r="AK1271" s="87"/>
      <c r="AL1271" s="87"/>
      <c r="AM1271" s="87"/>
      <c r="AN1271" s="87"/>
      <c r="AO1271" s="87"/>
      <c r="AP1271" s="87"/>
      <c r="AQ1271" s="87" t="s">
        <v>16244</v>
      </c>
      <c r="AR1271" s="87"/>
      <c r="AS1271" s="87"/>
      <c r="AT1271" s="87"/>
      <c r="AU1271" s="87"/>
      <c r="AV1271" s="92" t="str">
        <f>HYPERLINK("https://pbs.twimg.com/media/F6V-XRWWkAAl7D1.jpg")</f>
        <v>https://pbs.twimg.com/media/F6V-XRWWkAAl7D1.jpg</v>
      </c>
      <c r="AW1271" s="93" t="s">
        <v>19507</v>
      </c>
      <c r="AX1271" s="93" t="s">
        <v>19507</v>
      </c>
      <c r="AY1271" s="87"/>
      <c r="AZ1271" s="93" t="s">
        <v>22668</v>
      </c>
      <c r="BA1271" s="93" t="s">
        <v>22668</v>
      </c>
      <c r="BB1271" s="93" t="s">
        <v>22668</v>
      </c>
      <c r="BC1271" s="93" t="s">
        <v>19507</v>
      </c>
      <c r="BD1271" s="93" t="s">
        <v>23038</v>
      </c>
      <c r="BE1271" s="87"/>
      <c r="BF1271" s="87"/>
      <c r="BG1271" s="87"/>
      <c r="BH1271" s="87"/>
      <c r="BI1271" s="87"/>
    </row>
    <row r="1272" spans="1:61" x14ac:dyDescent="0.25">
      <c r="A1272" s="63" t="s">
        <v>648</v>
      </c>
      <c r="B1272" s="63" t="s">
        <v>648</v>
      </c>
      <c r="C1272" s="64"/>
      <c r="D1272" s="65"/>
      <c r="E1272" s="66"/>
      <c r="F1272" s="67"/>
      <c r="G1272" s="64"/>
      <c r="H1272" s="68"/>
      <c r="I1272" s="69"/>
      <c r="J1272" s="69"/>
      <c r="K1272" s="32"/>
      <c r="L1272" s="76">
        <v>1272</v>
      </c>
      <c r="M1272" s="76"/>
      <c r="N1272" s="71"/>
      <c r="O1272" s="87" t="s">
        <v>179</v>
      </c>
      <c r="P1272" s="90">
        <v>45128.516898148147</v>
      </c>
      <c r="Q1272" s="87" t="s">
        <v>3078</v>
      </c>
      <c r="R1272" s="87">
        <v>0</v>
      </c>
      <c r="S1272" s="87">
        <v>0</v>
      </c>
      <c r="T1272" s="87">
        <v>0</v>
      </c>
      <c r="U1272" s="87">
        <v>0</v>
      </c>
      <c r="V1272" s="87">
        <v>14</v>
      </c>
      <c r="W1272" s="93" t="s">
        <v>6713</v>
      </c>
      <c r="X1272" s="87"/>
      <c r="Y1272" s="87"/>
      <c r="Z1272" s="87"/>
      <c r="AA1272" s="87" t="s">
        <v>9432</v>
      </c>
      <c r="AB1272" s="87" t="s">
        <v>11448</v>
      </c>
      <c r="AC1272" s="93" t="s">
        <v>11459</v>
      </c>
      <c r="AD1272" s="87" t="s">
        <v>11519</v>
      </c>
      <c r="AE1272" s="92" t="str">
        <f>HYPERLINK("https://twitter.com/mrdt88/status/1682365892980621312")</f>
        <v>https://twitter.com/mrdt88/status/1682365892980621312</v>
      </c>
      <c r="AF1272" s="90">
        <v>45128.516898148147</v>
      </c>
      <c r="AG1272" s="99">
        <v>45128</v>
      </c>
      <c r="AH1272" s="93" t="s">
        <v>12702</v>
      </c>
      <c r="AI1272" s="87" t="b">
        <v>0</v>
      </c>
      <c r="AJ1272" s="87"/>
      <c r="AK1272" s="87"/>
      <c r="AL1272" s="87"/>
      <c r="AM1272" s="87"/>
      <c r="AN1272" s="87"/>
      <c r="AO1272" s="87"/>
      <c r="AP1272" s="87"/>
      <c r="AQ1272" s="87" t="s">
        <v>16245</v>
      </c>
      <c r="AR1272" s="87"/>
      <c r="AS1272" s="87"/>
      <c r="AT1272" s="87"/>
      <c r="AU1272" s="87"/>
      <c r="AV1272" s="92" t="str">
        <f>HYPERLINK("https://pbs.twimg.com/media/F1j23PUWAAEqfpk.jpg")</f>
        <v>https://pbs.twimg.com/media/F1j23PUWAAEqfpk.jpg</v>
      </c>
      <c r="AW1272" s="93" t="s">
        <v>19508</v>
      </c>
      <c r="AX1272" s="93" t="s">
        <v>19508</v>
      </c>
      <c r="AY1272" s="87"/>
      <c r="AZ1272" s="93" t="s">
        <v>22668</v>
      </c>
      <c r="BA1272" s="93" t="s">
        <v>22668</v>
      </c>
      <c r="BB1272" s="93" t="s">
        <v>22668</v>
      </c>
      <c r="BC1272" s="93" t="s">
        <v>19508</v>
      </c>
      <c r="BD1272" s="93" t="s">
        <v>23039</v>
      </c>
      <c r="BE1272" s="87"/>
      <c r="BF1272" s="87"/>
      <c r="BG1272" s="87"/>
      <c r="BH1272" s="87"/>
      <c r="BI1272" s="87"/>
    </row>
    <row r="1273" spans="1:61" x14ac:dyDescent="0.25">
      <c r="A1273" s="63" t="s">
        <v>649</v>
      </c>
      <c r="B1273" s="63" t="s">
        <v>649</v>
      </c>
      <c r="C1273" s="64"/>
      <c r="D1273" s="65"/>
      <c r="E1273" s="66"/>
      <c r="F1273" s="67"/>
      <c r="G1273" s="64"/>
      <c r="H1273" s="68"/>
      <c r="I1273" s="69"/>
      <c r="J1273" s="69"/>
      <c r="K1273" s="32"/>
      <c r="L1273" s="76">
        <v>1273</v>
      </c>
      <c r="M1273" s="76"/>
      <c r="N1273" s="71"/>
      <c r="O1273" s="87" t="s">
        <v>179</v>
      </c>
      <c r="P1273" s="90">
        <v>45168.384328703702</v>
      </c>
      <c r="Q1273" s="87" t="s">
        <v>3079</v>
      </c>
      <c r="R1273" s="87">
        <v>0</v>
      </c>
      <c r="S1273" s="87">
        <v>0</v>
      </c>
      <c r="T1273" s="87">
        <v>0</v>
      </c>
      <c r="U1273" s="87">
        <v>0</v>
      </c>
      <c r="V1273" s="87">
        <v>17</v>
      </c>
      <c r="W1273" s="93" t="s">
        <v>6714</v>
      </c>
      <c r="X1273" s="87"/>
      <c r="Y1273" s="87"/>
      <c r="Z1273" s="87"/>
      <c r="AA1273" s="87" t="s">
        <v>9433</v>
      </c>
      <c r="AB1273" s="87" t="s">
        <v>11447</v>
      </c>
      <c r="AC1273" s="93" t="s">
        <v>11458</v>
      </c>
      <c r="AD1273" s="87" t="s">
        <v>11519</v>
      </c>
      <c r="AE1273" s="92" t="str">
        <f>HYPERLINK("https://twitter.com/amadorubenn/status/1696813366654730746")</f>
        <v>https://twitter.com/amadorubenn/status/1696813366654730746</v>
      </c>
      <c r="AF1273" s="90">
        <v>45168.384328703702</v>
      </c>
      <c r="AG1273" s="99">
        <v>45168</v>
      </c>
      <c r="AH1273" s="93" t="s">
        <v>12703</v>
      </c>
      <c r="AI1273" s="87" t="b">
        <v>1</v>
      </c>
      <c r="AJ1273" s="87"/>
      <c r="AK1273" s="87"/>
      <c r="AL1273" s="87"/>
      <c r="AM1273" s="87"/>
      <c r="AN1273" s="87"/>
      <c r="AO1273" s="87"/>
      <c r="AP1273" s="87"/>
      <c r="AQ1273" s="87" t="s">
        <v>16246</v>
      </c>
      <c r="AR1273" s="87">
        <v>86531</v>
      </c>
      <c r="AS1273" s="87"/>
      <c r="AT1273" s="87"/>
      <c r="AU1273" s="87"/>
      <c r="AV1273" s="92" t="str">
        <f>HYPERLINK("https://pbs.twimg.com/ext_tw_video_thumb/1696813061716512768/pu/img/waBKZ4FovU2hqUHt.jpg")</f>
        <v>https://pbs.twimg.com/ext_tw_video_thumb/1696813061716512768/pu/img/waBKZ4FovU2hqUHt.jpg</v>
      </c>
      <c r="AW1273" s="93" t="s">
        <v>19509</v>
      </c>
      <c r="AX1273" s="93" t="s">
        <v>19509</v>
      </c>
      <c r="AY1273" s="87"/>
      <c r="AZ1273" s="93" t="s">
        <v>22668</v>
      </c>
      <c r="BA1273" s="93" t="s">
        <v>22668</v>
      </c>
      <c r="BB1273" s="93" t="s">
        <v>22668</v>
      </c>
      <c r="BC1273" s="93" t="s">
        <v>19509</v>
      </c>
      <c r="BD1273" s="93" t="s">
        <v>23040</v>
      </c>
      <c r="BE1273" s="87"/>
      <c r="BF1273" s="87"/>
      <c r="BG1273" s="87"/>
      <c r="BH1273" s="87"/>
      <c r="BI1273" s="87"/>
    </row>
    <row r="1274" spans="1:61" x14ac:dyDescent="0.25">
      <c r="A1274" s="63" t="s">
        <v>649</v>
      </c>
      <c r="B1274" s="63" t="s">
        <v>649</v>
      </c>
      <c r="C1274" s="64"/>
      <c r="D1274" s="65"/>
      <c r="E1274" s="66"/>
      <c r="F1274" s="67"/>
      <c r="G1274" s="64"/>
      <c r="H1274" s="68"/>
      <c r="I1274" s="69"/>
      <c r="J1274" s="69"/>
      <c r="K1274" s="32"/>
      <c r="L1274" s="76">
        <v>1274</v>
      </c>
      <c r="M1274" s="76"/>
      <c r="N1274" s="71"/>
      <c r="O1274" s="87" t="s">
        <v>179</v>
      </c>
      <c r="P1274" s="90">
        <v>45167.331979166665</v>
      </c>
      <c r="Q1274" s="87" t="s">
        <v>3080</v>
      </c>
      <c r="R1274" s="87">
        <v>0</v>
      </c>
      <c r="S1274" s="87">
        <v>0</v>
      </c>
      <c r="T1274" s="87">
        <v>0</v>
      </c>
      <c r="U1274" s="87">
        <v>0</v>
      </c>
      <c r="V1274" s="87">
        <v>12</v>
      </c>
      <c r="W1274" s="93" t="s">
        <v>6715</v>
      </c>
      <c r="X1274" s="87"/>
      <c r="Y1274" s="87"/>
      <c r="Z1274" s="87"/>
      <c r="AA1274" s="87" t="s">
        <v>9434</v>
      </c>
      <c r="AB1274" s="87" t="s">
        <v>11451</v>
      </c>
      <c r="AC1274" s="93" t="s">
        <v>11458</v>
      </c>
      <c r="AD1274" s="87" t="s">
        <v>11519</v>
      </c>
      <c r="AE1274" s="92" t="str">
        <f>HYPERLINK("https://twitter.com/amadorubenn/status/1696432008589607151")</f>
        <v>https://twitter.com/amadorubenn/status/1696432008589607151</v>
      </c>
      <c r="AF1274" s="90">
        <v>45167.331979166665</v>
      </c>
      <c r="AG1274" s="99">
        <v>45167</v>
      </c>
      <c r="AH1274" s="93" t="s">
        <v>12704</v>
      </c>
      <c r="AI1274" s="87" t="b">
        <v>1</v>
      </c>
      <c r="AJ1274" s="87"/>
      <c r="AK1274" s="87"/>
      <c r="AL1274" s="87"/>
      <c r="AM1274" s="87"/>
      <c r="AN1274" s="87"/>
      <c r="AO1274" s="87"/>
      <c r="AP1274" s="87"/>
      <c r="AQ1274" s="87" t="s">
        <v>16247</v>
      </c>
      <c r="AR1274" s="87"/>
      <c r="AS1274" s="87"/>
      <c r="AT1274" s="87"/>
      <c r="AU1274" s="87"/>
      <c r="AV1274" s="92" t="str">
        <f>HYPERLINK("https://pbs.twimg.com/media/F4rv6WrbMAAijtz.jpg")</f>
        <v>https://pbs.twimg.com/media/F4rv6WrbMAAijtz.jpg</v>
      </c>
      <c r="AW1274" s="93" t="s">
        <v>19510</v>
      </c>
      <c r="AX1274" s="93" t="s">
        <v>19510</v>
      </c>
      <c r="AY1274" s="87"/>
      <c r="AZ1274" s="93" t="s">
        <v>22668</v>
      </c>
      <c r="BA1274" s="93" t="s">
        <v>22668</v>
      </c>
      <c r="BB1274" s="93" t="s">
        <v>22668</v>
      </c>
      <c r="BC1274" s="93" t="s">
        <v>19510</v>
      </c>
      <c r="BD1274" s="93" t="s">
        <v>23040</v>
      </c>
      <c r="BE1274" s="87"/>
      <c r="BF1274" s="87"/>
      <c r="BG1274" s="87"/>
      <c r="BH1274" s="87"/>
      <c r="BI1274" s="87"/>
    </row>
    <row r="1275" spans="1:61" x14ac:dyDescent="0.25">
      <c r="A1275" s="63" t="s">
        <v>650</v>
      </c>
      <c r="B1275" s="63" t="s">
        <v>650</v>
      </c>
      <c r="C1275" s="64"/>
      <c r="D1275" s="65"/>
      <c r="E1275" s="66"/>
      <c r="F1275" s="67"/>
      <c r="G1275" s="64"/>
      <c r="H1275" s="68"/>
      <c r="I1275" s="69"/>
      <c r="J1275" s="69"/>
      <c r="K1275" s="32"/>
      <c r="L1275" s="76">
        <v>1275</v>
      </c>
      <c r="M1275" s="76"/>
      <c r="N1275" s="71"/>
      <c r="O1275" s="87" t="s">
        <v>179</v>
      </c>
      <c r="P1275" s="90">
        <v>45175.616076388891</v>
      </c>
      <c r="Q1275" s="87" t="s">
        <v>3081</v>
      </c>
      <c r="R1275" s="87">
        <v>0</v>
      </c>
      <c r="S1275" s="87">
        <v>0</v>
      </c>
      <c r="T1275" s="87">
        <v>0</v>
      </c>
      <c r="U1275" s="87">
        <v>1</v>
      </c>
      <c r="V1275" s="87">
        <v>91</v>
      </c>
      <c r="W1275" s="93" t="s">
        <v>6716</v>
      </c>
      <c r="X1275" s="87"/>
      <c r="Y1275" s="87"/>
      <c r="Z1275" s="87"/>
      <c r="AA1275" s="87"/>
      <c r="AB1275" s="87"/>
      <c r="AC1275" s="93" t="s">
        <v>11459</v>
      </c>
      <c r="AD1275" s="87" t="s">
        <v>11519</v>
      </c>
      <c r="AE1275" s="92" t="str">
        <f>HYPERLINK("https://twitter.com/originalsantt/status/1699434064007074201")</f>
        <v>https://twitter.com/originalsantt/status/1699434064007074201</v>
      </c>
      <c r="AF1275" s="90">
        <v>45175.616076388891</v>
      </c>
      <c r="AG1275" s="99">
        <v>45175</v>
      </c>
      <c r="AH1275" s="93" t="s">
        <v>12705</v>
      </c>
      <c r="AI1275" s="87"/>
      <c r="AJ1275" s="87"/>
      <c r="AK1275" s="87"/>
      <c r="AL1275" s="87"/>
      <c r="AM1275" s="87"/>
      <c r="AN1275" s="87"/>
      <c r="AO1275" s="87"/>
      <c r="AP1275" s="87"/>
      <c r="AQ1275" s="87"/>
      <c r="AR1275" s="87"/>
      <c r="AS1275" s="87"/>
      <c r="AT1275" s="87"/>
      <c r="AU1275" s="87"/>
      <c r="AV1275" s="92" t="str">
        <f>HYPERLINK("https://pbs.twimg.com/profile_images/1693297786379182080/lKpDQcyo_normal.jpg")</f>
        <v>https://pbs.twimg.com/profile_images/1693297786379182080/lKpDQcyo_normal.jpg</v>
      </c>
      <c r="AW1275" s="93" t="s">
        <v>19511</v>
      </c>
      <c r="AX1275" s="93" t="s">
        <v>19511</v>
      </c>
      <c r="AY1275" s="87"/>
      <c r="AZ1275" s="93" t="s">
        <v>22668</v>
      </c>
      <c r="BA1275" s="93" t="s">
        <v>22668</v>
      </c>
      <c r="BB1275" s="93" t="s">
        <v>22668</v>
      </c>
      <c r="BC1275" s="93" t="s">
        <v>19511</v>
      </c>
      <c r="BD1275" s="93" t="s">
        <v>23041</v>
      </c>
      <c r="BE1275" s="87"/>
      <c r="BF1275" s="87"/>
      <c r="BG1275" s="87"/>
      <c r="BH1275" s="87"/>
      <c r="BI1275" s="87"/>
    </row>
    <row r="1276" spans="1:61" x14ac:dyDescent="0.25">
      <c r="A1276" s="63" t="s">
        <v>651</v>
      </c>
      <c r="B1276" s="63" t="s">
        <v>651</v>
      </c>
      <c r="C1276" s="64"/>
      <c r="D1276" s="65"/>
      <c r="E1276" s="66"/>
      <c r="F1276" s="67"/>
      <c r="G1276" s="64"/>
      <c r="H1276" s="68"/>
      <c r="I1276" s="69"/>
      <c r="J1276" s="69"/>
      <c r="K1276" s="32"/>
      <c r="L1276" s="76">
        <v>1276</v>
      </c>
      <c r="M1276" s="76"/>
      <c r="N1276" s="71"/>
      <c r="O1276" s="87" t="s">
        <v>179</v>
      </c>
      <c r="P1276" s="90">
        <v>45179.590312499997</v>
      </c>
      <c r="Q1276" s="87" t="s">
        <v>3082</v>
      </c>
      <c r="R1276" s="87">
        <v>0</v>
      </c>
      <c r="S1276" s="87">
        <v>0</v>
      </c>
      <c r="T1276" s="87">
        <v>0</v>
      </c>
      <c r="U1276" s="87">
        <v>0</v>
      </c>
      <c r="V1276" s="87">
        <v>18</v>
      </c>
      <c r="W1276" s="93" t="s">
        <v>6717</v>
      </c>
      <c r="X1276" s="87"/>
      <c r="Y1276" s="87"/>
      <c r="Z1276" s="87"/>
      <c r="AA1276" s="87" t="s">
        <v>9435</v>
      </c>
      <c r="AB1276" s="87" t="s">
        <v>11448</v>
      </c>
      <c r="AC1276" s="93" t="s">
        <v>11462</v>
      </c>
      <c r="AD1276" s="87" t="s">
        <v>11519</v>
      </c>
      <c r="AE1276" s="92" t="str">
        <f>HYPERLINK("https://twitter.com/jefferson_cxc/status/1700874277862375637")</f>
        <v>https://twitter.com/jefferson_cxc/status/1700874277862375637</v>
      </c>
      <c r="AF1276" s="90">
        <v>45179.590312499997</v>
      </c>
      <c r="AG1276" s="99">
        <v>45179</v>
      </c>
      <c r="AH1276" s="93" t="s">
        <v>12706</v>
      </c>
      <c r="AI1276" s="87" t="b">
        <v>0</v>
      </c>
      <c r="AJ1276" s="87"/>
      <c r="AK1276" s="87"/>
      <c r="AL1276" s="87"/>
      <c r="AM1276" s="87"/>
      <c r="AN1276" s="87"/>
      <c r="AO1276" s="87"/>
      <c r="AP1276" s="87"/>
      <c r="AQ1276" s="87" t="s">
        <v>16248</v>
      </c>
      <c r="AR1276" s="87"/>
      <c r="AS1276" s="87"/>
      <c r="AT1276" s="87"/>
      <c r="AU1276" s="87"/>
      <c r="AV1276" s="92" t="str">
        <f>HYPERLINK("https://pbs.twimg.com/media/F5q4JGyWIAAmQYF.jpg")</f>
        <v>https://pbs.twimg.com/media/F5q4JGyWIAAmQYF.jpg</v>
      </c>
      <c r="AW1276" s="93" t="s">
        <v>19512</v>
      </c>
      <c r="AX1276" s="93" t="s">
        <v>19512</v>
      </c>
      <c r="AY1276" s="87"/>
      <c r="AZ1276" s="93" t="s">
        <v>22668</v>
      </c>
      <c r="BA1276" s="93" t="s">
        <v>22668</v>
      </c>
      <c r="BB1276" s="93" t="s">
        <v>22668</v>
      </c>
      <c r="BC1276" s="93" t="s">
        <v>19512</v>
      </c>
      <c r="BD1276" s="87">
        <v>81253042</v>
      </c>
      <c r="BE1276" s="87"/>
      <c r="BF1276" s="87"/>
      <c r="BG1276" s="87"/>
      <c r="BH1276" s="87"/>
      <c r="BI1276" s="87"/>
    </row>
    <row r="1277" spans="1:61" x14ac:dyDescent="0.25">
      <c r="A1277" s="63" t="s">
        <v>651</v>
      </c>
      <c r="B1277" s="63" t="s">
        <v>651</v>
      </c>
      <c r="C1277" s="64"/>
      <c r="D1277" s="65"/>
      <c r="E1277" s="66"/>
      <c r="F1277" s="67"/>
      <c r="G1277" s="64"/>
      <c r="H1277" s="68"/>
      <c r="I1277" s="69"/>
      <c r="J1277" s="69"/>
      <c r="K1277" s="32"/>
      <c r="L1277" s="76">
        <v>1277</v>
      </c>
      <c r="M1277" s="76"/>
      <c r="N1277" s="71"/>
      <c r="O1277" s="87" t="s">
        <v>179</v>
      </c>
      <c r="P1277" s="90">
        <v>45194.397245370368</v>
      </c>
      <c r="Q1277" s="87" t="s">
        <v>3083</v>
      </c>
      <c r="R1277" s="87">
        <v>0</v>
      </c>
      <c r="S1277" s="87">
        <v>0</v>
      </c>
      <c r="T1277" s="87">
        <v>0</v>
      </c>
      <c r="U1277" s="87">
        <v>0</v>
      </c>
      <c r="V1277" s="87">
        <v>5</v>
      </c>
      <c r="W1277" s="93" t="s">
        <v>6718</v>
      </c>
      <c r="X1277" s="87"/>
      <c r="Y1277" s="87"/>
      <c r="Z1277" s="87"/>
      <c r="AA1277" s="87" t="s">
        <v>9436</v>
      </c>
      <c r="AB1277" s="87" t="s">
        <v>11448</v>
      </c>
      <c r="AC1277" s="93" t="s">
        <v>11462</v>
      </c>
      <c r="AD1277" s="87" t="s">
        <v>11519</v>
      </c>
      <c r="AE1277" s="92" t="str">
        <f>HYPERLINK("https://twitter.com/jefferson_cxc/status/1706240133467443314")</f>
        <v>https://twitter.com/jefferson_cxc/status/1706240133467443314</v>
      </c>
      <c r="AF1277" s="90">
        <v>45194.397245370368</v>
      </c>
      <c r="AG1277" s="99">
        <v>45194</v>
      </c>
      <c r="AH1277" s="93" t="s">
        <v>12707</v>
      </c>
      <c r="AI1277" s="87" t="b">
        <v>0</v>
      </c>
      <c r="AJ1277" s="87"/>
      <c r="AK1277" s="87"/>
      <c r="AL1277" s="87"/>
      <c r="AM1277" s="87"/>
      <c r="AN1277" s="87"/>
      <c r="AO1277" s="87"/>
      <c r="AP1277" s="87"/>
      <c r="AQ1277" s="87" t="s">
        <v>16249</v>
      </c>
      <c r="AR1277" s="87"/>
      <c r="AS1277" s="87"/>
      <c r="AT1277" s="87"/>
      <c r="AU1277" s="87"/>
      <c r="AV1277" s="92" t="str">
        <f>HYPERLINK("https://pbs.twimg.com/media/F63IW9AWgAARBx6.jpg")</f>
        <v>https://pbs.twimg.com/media/F63IW9AWgAARBx6.jpg</v>
      </c>
      <c r="AW1277" s="93" t="s">
        <v>19513</v>
      </c>
      <c r="AX1277" s="93" t="s">
        <v>19513</v>
      </c>
      <c r="AY1277" s="87"/>
      <c r="AZ1277" s="93" t="s">
        <v>22668</v>
      </c>
      <c r="BA1277" s="93" t="s">
        <v>22668</v>
      </c>
      <c r="BB1277" s="93" t="s">
        <v>22668</v>
      </c>
      <c r="BC1277" s="93" t="s">
        <v>19513</v>
      </c>
      <c r="BD1277" s="87">
        <v>81253042</v>
      </c>
      <c r="BE1277" s="87"/>
      <c r="BF1277" s="87"/>
      <c r="BG1277" s="87"/>
      <c r="BH1277" s="87"/>
      <c r="BI1277" s="87"/>
    </row>
    <row r="1278" spans="1:61" x14ac:dyDescent="0.25">
      <c r="A1278" s="63" t="s">
        <v>652</v>
      </c>
      <c r="B1278" s="63" t="s">
        <v>652</v>
      </c>
      <c r="C1278" s="64"/>
      <c r="D1278" s="65"/>
      <c r="E1278" s="66"/>
      <c r="F1278" s="67"/>
      <c r="G1278" s="64"/>
      <c r="H1278" s="68"/>
      <c r="I1278" s="69"/>
      <c r="J1278" s="69"/>
      <c r="K1278" s="32"/>
      <c r="L1278" s="76">
        <v>1278</v>
      </c>
      <c r="M1278" s="76"/>
      <c r="N1278" s="71"/>
      <c r="O1278" s="87" t="s">
        <v>179</v>
      </c>
      <c r="P1278" s="90">
        <v>45169.683564814812</v>
      </c>
      <c r="Q1278" s="87" t="s">
        <v>3084</v>
      </c>
      <c r="R1278" s="87">
        <v>0</v>
      </c>
      <c r="S1278" s="87">
        <v>0</v>
      </c>
      <c r="T1278" s="87">
        <v>0</v>
      </c>
      <c r="U1278" s="87">
        <v>0</v>
      </c>
      <c r="V1278" s="87">
        <v>83</v>
      </c>
      <c r="W1278" s="93" t="s">
        <v>6719</v>
      </c>
      <c r="X1278" s="87" t="s">
        <v>8349</v>
      </c>
      <c r="Y1278" s="87" t="s">
        <v>8443</v>
      </c>
      <c r="Z1278" s="87"/>
      <c r="AA1278" s="87" t="s">
        <v>9437</v>
      </c>
      <c r="AB1278" s="87" t="s">
        <v>11447</v>
      </c>
      <c r="AC1278" s="93" t="s">
        <v>11458</v>
      </c>
      <c r="AD1278" s="87" t="s">
        <v>11519</v>
      </c>
      <c r="AE1278" s="92" t="str">
        <f>HYPERLINK("https://twitter.com/tarcisiovmiran1/status/1697284194487902707")</f>
        <v>https://twitter.com/tarcisiovmiran1/status/1697284194487902707</v>
      </c>
      <c r="AF1278" s="90">
        <v>45169.683564814812</v>
      </c>
      <c r="AG1278" s="99">
        <v>45169</v>
      </c>
      <c r="AH1278" s="93" t="s">
        <v>12708</v>
      </c>
      <c r="AI1278" s="87" t="b">
        <v>0</v>
      </c>
      <c r="AJ1278" s="87"/>
      <c r="AK1278" s="87"/>
      <c r="AL1278" s="87"/>
      <c r="AM1278" s="87"/>
      <c r="AN1278" s="87"/>
      <c r="AO1278" s="87"/>
      <c r="AP1278" s="87"/>
      <c r="AQ1278" s="87" t="s">
        <v>16250</v>
      </c>
      <c r="AR1278" s="87">
        <v>18733</v>
      </c>
      <c r="AS1278" s="87"/>
      <c r="AT1278" s="87"/>
      <c r="AU1278" s="87"/>
      <c r="AV1278" s="92" t="str">
        <f>HYPERLINK("https://pbs.twimg.com/ext_tw_video_thumb/1697284158291058689/pu/img/5WJeFDIGMJfCSCTv.jpg")</f>
        <v>https://pbs.twimg.com/ext_tw_video_thumb/1697284158291058689/pu/img/5WJeFDIGMJfCSCTv.jpg</v>
      </c>
      <c r="AW1278" s="93" t="s">
        <v>19514</v>
      </c>
      <c r="AX1278" s="93" t="s">
        <v>19514</v>
      </c>
      <c r="AY1278" s="87"/>
      <c r="AZ1278" s="93" t="s">
        <v>22668</v>
      </c>
      <c r="BA1278" s="93" t="s">
        <v>22668</v>
      </c>
      <c r="BB1278" s="93" t="s">
        <v>22668</v>
      </c>
      <c r="BC1278" s="93" t="s">
        <v>19514</v>
      </c>
      <c r="BD1278" s="93" t="s">
        <v>23042</v>
      </c>
      <c r="BE1278" s="87"/>
      <c r="BF1278" s="87"/>
      <c r="BG1278" s="87"/>
      <c r="BH1278" s="87"/>
      <c r="BI1278" s="87"/>
    </row>
    <row r="1279" spans="1:61" x14ac:dyDescent="0.25">
      <c r="A1279" s="63" t="s">
        <v>652</v>
      </c>
      <c r="B1279" s="63" t="s">
        <v>652</v>
      </c>
      <c r="C1279" s="64"/>
      <c r="D1279" s="65"/>
      <c r="E1279" s="66"/>
      <c r="F1279" s="67"/>
      <c r="G1279" s="64"/>
      <c r="H1279" s="68"/>
      <c r="I1279" s="69"/>
      <c r="J1279" s="69"/>
      <c r="K1279" s="32"/>
      <c r="L1279" s="76">
        <v>1279</v>
      </c>
      <c r="M1279" s="76"/>
      <c r="N1279" s="71"/>
      <c r="O1279" s="87" t="s">
        <v>179</v>
      </c>
      <c r="P1279" s="90">
        <v>45185.584699074076</v>
      </c>
      <c r="Q1279" s="87" t="s">
        <v>3085</v>
      </c>
      <c r="R1279" s="87">
        <v>0</v>
      </c>
      <c r="S1279" s="87">
        <v>0</v>
      </c>
      <c r="T1279" s="87">
        <v>0</v>
      </c>
      <c r="U1279" s="87">
        <v>0</v>
      </c>
      <c r="V1279" s="87">
        <v>7</v>
      </c>
      <c r="W1279" s="93" t="s">
        <v>6720</v>
      </c>
      <c r="X1279" s="87"/>
      <c r="Y1279" s="87"/>
      <c r="Z1279" s="87"/>
      <c r="AA1279" s="87" t="s">
        <v>9438</v>
      </c>
      <c r="AB1279" s="87" t="s">
        <v>11447</v>
      </c>
      <c r="AC1279" s="93" t="s">
        <v>11458</v>
      </c>
      <c r="AD1279" s="87" t="s">
        <v>11519</v>
      </c>
      <c r="AE1279" s="92" t="str">
        <f>HYPERLINK("https://twitter.com/tarcisiovmiran1/status/1703046570147463651")</f>
        <v>https://twitter.com/tarcisiovmiran1/status/1703046570147463651</v>
      </c>
      <c r="AF1279" s="90">
        <v>45185.584699074076</v>
      </c>
      <c r="AG1279" s="99">
        <v>45185</v>
      </c>
      <c r="AH1279" s="93" t="s">
        <v>12709</v>
      </c>
      <c r="AI1279" s="87" t="b">
        <v>0</v>
      </c>
      <c r="AJ1279" s="87"/>
      <c r="AK1279" s="87"/>
      <c r="AL1279" s="87"/>
      <c r="AM1279" s="87"/>
      <c r="AN1279" s="87"/>
      <c r="AO1279" s="87"/>
      <c r="AP1279" s="87"/>
      <c r="AQ1279" s="87" t="s">
        <v>16251</v>
      </c>
      <c r="AR1279" s="87">
        <v>25000</v>
      </c>
      <c r="AS1279" s="87"/>
      <c r="AT1279" s="87"/>
      <c r="AU1279" s="87"/>
      <c r="AV1279" s="92" t="str">
        <f>HYPERLINK("https://pbs.twimg.com/ext_tw_video_thumb/1703046527378137088/pu/img/yFQx945Gm_VpJfCV.jpg")</f>
        <v>https://pbs.twimg.com/ext_tw_video_thumb/1703046527378137088/pu/img/yFQx945Gm_VpJfCV.jpg</v>
      </c>
      <c r="AW1279" s="93" t="s">
        <v>19515</v>
      </c>
      <c r="AX1279" s="93" t="s">
        <v>19515</v>
      </c>
      <c r="AY1279" s="87"/>
      <c r="AZ1279" s="93" t="s">
        <v>22668</v>
      </c>
      <c r="BA1279" s="93" t="s">
        <v>22668</v>
      </c>
      <c r="BB1279" s="93" t="s">
        <v>22668</v>
      </c>
      <c r="BC1279" s="93" t="s">
        <v>19515</v>
      </c>
      <c r="BD1279" s="93" t="s">
        <v>23042</v>
      </c>
      <c r="BE1279" s="87"/>
      <c r="BF1279" s="87"/>
      <c r="BG1279" s="87"/>
      <c r="BH1279" s="87"/>
      <c r="BI1279" s="87"/>
    </row>
    <row r="1280" spans="1:61" x14ac:dyDescent="0.25">
      <c r="A1280" s="63" t="s">
        <v>652</v>
      </c>
      <c r="B1280" s="63" t="s">
        <v>652</v>
      </c>
      <c r="C1280" s="64"/>
      <c r="D1280" s="65"/>
      <c r="E1280" s="66"/>
      <c r="F1280" s="67"/>
      <c r="G1280" s="64"/>
      <c r="H1280" s="68"/>
      <c r="I1280" s="69"/>
      <c r="J1280" s="69"/>
      <c r="K1280" s="32"/>
      <c r="L1280" s="76">
        <v>1280</v>
      </c>
      <c r="M1280" s="76"/>
      <c r="N1280" s="71"/>
      <c r="O1280" s="87" t="s">
        <v>179</v>
      </c>
      <c r="P1280" s="90">
        <v>45193.909085648149</v>
      </c>
      <c r="Q1280" s="87" t="s">
        <v>3086</v>
      </c>
      <c r="R1280" s="87">
        <v>0</v>
      </c>
      <c r="S1280" s="87">
        <v>0</v>
      </c>
      <c r="T1280" s="87">
        <v>0</v>
      </c>
      <c r="U1280" s="87">
        <v>0</v>
      </c>
      <c r="V1280" s="87">
        <v>18</v>
      </c>
      <c r="W1280" s="93" t="s">
        <v>6719</v>
      </c>
      <c r="X1280" s="87" t="s">
        <v>8349</v>
      </c>
      <c r="Y1280" s="87" t="s">
        <v>8443</v>
      </c>
      <c r="Z1280" s="87"/>
      <c r="AA1280" s="87"/>
      <c r="AB1280" s="87"/>
      <c r="AC1280" s="93" t="s">
        <v>11458</v>
      </c>
      <c r="AD1280" s="87" t="s">
        <v>11519</v>
      </c>
      <c r="AE1280" s="92" t="str">
        <f>HYPERLINK("https://twitter.com/tarcisiovmiran1/status/1706063228931866892")</f>
        <v>https://twitter.com/tarcisiovmiran1/status/1706063228931866892</v>
      </c>
      <c r="AF1280" s="90">
        <v>45193.909085648149</v>
      </c>
      <c r="AG1280" s="99">
        <v>45193</v>
      </c>
      <c r="AH1280" s="93" t="s">
        <v>12710</v>
      </c>
      <c r="AI1280" s="87" t="b">
        <v>0</v>
      </c>
      <c r="AJ1280" s="87"/>
      <c r="AK1280" s="87"/>
      <c r="AL1280" s="87"/>
      <c r="AM1280" s="87"/>
      <c r="AN1280" s="87"/>
      <c r="AO1280" s="87"/>
      <c r="AP1280" s="87"/>
      <c r="AQ1280" s="87"/>
      <c r="AR1280" s="87"/>
      <c r="AS1280" s="87"/>
      <c r="AT1280" s="87"/>
      <c r="AU1280" s="87"/>
      <c r="AV1280" s="92" t="str">
        <f>HYPERLINK("https://pbs.twimg.com/profile_images/1350579875804020737/zuoyQDER_normal.jpg")</f>
        <v>https://pbs.twimg.com/profile_images/1350579875804020737/zuoyQDER_normal.jpg</v>
      </c>
      <c r="AW1280" s="93" t="s">
        <v>19516</v>
      </c>
      <c r="AX1280" s="93" t="s">
        <v>19516</v>
      </c>
      <c r="AY1280" s="87"/>
      <c r="AZ1280" s="93" t="s">
        <v>22668</v>
      </c>
      <c r="BA1280" s="93" t="s">
        <v>22668</v>
      </c>
      <c r="BB1280" s="93" t="s">
        <v>22668</v>
      </c>
      <c r="BC1280" s="93" t="s">
        <v>19516</v>
      </c>
      <c r="BD1280" s="93" t="s">
        <v>23042</v>
      </c>
      <c r="BE1280" s="87"/>
      <c r="BF1280" s="87"/>
      <c r="BG1280" s="87"/>
      <c r="BH1280" s="87"/>
      <c r="BI1280" s="87"/>
    </row>
    <row r="1281" spans="1:61" x14ac:dyDescent="0.25">
      <c r="A1281" s="63" t="s">
        <v>653</v>
      </c>
      <c r="B1281" s="63" t="s">
        <v>653</v>
      </c>
      <c r="C1281" s="64"/>
      <c r="D1281" s="65"/>
      <c r="E1281" s="66"/>
      <c r="F1281" s="67"/>
      <c r="G1281" s="64"/>
      <c r="H1281" s="68"/>
      <c r="I1281" s="69"/>
      <c r="J1281" s="69"/>
      <c r="K1281" s="32"/>
      <c r="L1281" s="76">
        <v>1281</v>
      </c>
      <c r="M1281" s="76"/>
      <c r="N1281" s="71"/>
      <c r="O1281" s="87" t="s">
        <v>179</v>
      </c>
      <c r="P1281" s="90">
        <v>45153.813194444447</v>
      </c>
      <c r="Q1281" s="87" t="s">
        <v>3087</v>
      </c>
      <c r="R1281" s="87">
        <v>0</v>
      </c>
      <c r="S1281" s="87">
        <v>1</v>
      </c>
      <c r="T1281" s="87">
        <v>0</v>
      </c>
      <c r="U1281" s="87">
        <v>0</v>
      </c>
      <c r="V1281" s="87">
        <v>497</v>
      </c>
      <c r="W1281" s="93" t="s">
        <v>6721</v>
      </c>
      <c r="X1281" s="92" t="str">
        <f>HYPERLINK("https://www.mundodomarketing.com.br/ativacoes/webserie-liderancas-que-inspiram-da-apas-estreia-no-youtube/")</f>
        <v>https://www.mundodomarketing.com.br/ativacoes/webserie-liderancas-que-inspiram-da-apas-estreia-no-youtube/</v>
      </c>
      <c r="Y1281" s="87" t="s">
        <v>8373</v>
      </c>
      <c r="Z1281" s="87"/>
      <c r="AA1281" s="87"/>
      <c r="AB1281" s="87"/>
      <c r="AC1281" s="93" t="s">
        <v>11457</v>
      </c>
      <c r="AD1281" s="87" t="s">
        <v>11519</v>
      </c>
      <c r="AE1281" s="92" t="str">
        <f>HYPERLINK("https://twitter.com/mundodmarketing/status/1691532963182235650")</f>
        <v>https://twitter.com/mundodmarketing/status/1691532963182235650</v>
      </c>
      <c r="AF1281" s="90">
        <v>45153.813194444447</v>
      </c>
      <c r="AG1281" s="99">
        <v>45153</v>
      </c>
      <c r="AH1281" s="93" t="s">
        <v>12711</v>
      </c>
      <c r="AI1281" s="87" t="b">
        <v>0</v>
      </c>
      <c r="AJ1281" s="87"/>
      <c r="AK1281" s="87"/>
      <c r="AL1281" s="87"/>
      <c r="AM1281" s="87"/>
      <c r="AN1281" s="87"/>
      <c r="AO1281" s="87"/>
      <c r="AP1281" s="87"/>
      <c r="AQ1281" s="87"/>
      <c r="AR1281" s="87"/>
      <c r="AS1281" s="87"/>
      <c r="AT1281" s="87"/>
      <c r="AU1281" s="87"/>
      <c r="AV1281" s="92" t="str">
        <f>HYPERLINK("https://pbs.twimg.com/profile_images/1552359995030863872/7rwJL2ra_normal.jpg")</f>
        <v>https://pbs.twimg.com/profile_images/1552359995030863872/7rwJL2ra_normal.jpg</v>
      </c>
      <c r="AW1281" s="93" t="s">
        <v>19517</v>
      </c>
      <c r="AX1281" s="93" t="s">
        <v>19517</v>
      </c>
      <c r="AY1281" s="87"/>
      <c r="AZ1281" s="93" t="s">
        <v>22668</v>
      </c>
      <c r="BA1281" s="93" t="s">
        <v>22668</v>
      </c>
      <c r="BB1281" s="93" t="s">
        <v>22668</v>
      </c>
      <c r="BC1281" s="93" t="s">
        <v>19517</v>
      </c>
      <c r="BD1281" s="87">
        <v>8536272</v>
      </c>
      <c r="BE1281" s="87"/>
      <c r="BF1281" s="87"/>
      <c r="BG1281" s="87"/>
      <c r="BH1281" s="87"/>
      <c r="BI1281" s="87"/>
    </row>
    <row r="1282" spans="1:61" x14ac:dyDescent="0.25">
      <c r="A1282" s="63" t="s">
        <v>653</v>
      </c>
      <c r="B1282" s="63" t="s">
        <v>653</v>
      </c>
      <c r="C1282" s="64"/>
      <c r="D1282" s="65"/>
      <c r="E1282" s="66"/>
      <c r="F1282" s="67"/>
      <c r="G1282" s="64"/>
      <c r="H1282" s="68"/>
      <c r="I1282" s="69"/>
      <c r="J1282" s="69"/>
      <c r="K1282" s="32"/>
      <c r="L1282" s="76">
        <v>1282</v>
      </c>
      <c r="M1282" s="76"/>
      <c r="N1282" s="71"/>
      <c r="O1282" s="87" t="s">
        <v>179</v>
      </c>
      <c r="P1282" s="90">
        <v>45190.613321759258</v>
      </c>
      <c r="Q1282" s="87" t="s">
        <v>3088</v>
      </c>
      <c r="R1282" s="87">
        <v>1</v>
      </c>
      <c r="S1282" s="87">
        <v>2</v>
      </c>
      <c r="T1282" s="87">
        <v>0</v>
      </c>
      <c r="U1282" s="87">
        <v>0</v>
      </c>
      <c r="V1282" s="87">
        <v>311</v>
      </c>
      <c r="W1282" s="93" t="s">
        <v>6722</v>
      </c>
      <c r="X1282" s="92" t="str">
        <f>HYPERLINK("https://www.mundodomarketing.com.br/94-das-empresas-escolhem-o-marketing-digital-como-estrategia-de-crescimento/")</f>
        <v>https://www.mundodomarketing.com.br/94-das-empresas-escolhem-o-marketing-digital-como-estrategia-de-crescimento/</v>
      </c>
      <c r="Y1282" s="87" t="s">
        <v>8373</v>
      </c>
      <c r="Z1282" s="87"/>
      <c r="AA1282" s="87"/>
      <c r="AB1282" s="87"/>
      <c r="AC1282" s="93" t="s">
        <v>11457</v>
      </c>
      <c r="AD1282" s="87" t="s">
        <v>11519</v>
      </c>
      <c r="AE1282" s="92" t="str">
        <f>HYPERLINK("https://twitter.com/mundodmarketing/status/1704868883721552107")</f>
        <v>https://twitter.com/mundodmarketing/status/1704868883721552107</v>
      </c>
      <c r="AF1282" s="90">
        <v>45190.613321759258</v>
      </c>
      <c r="AG1282" s="99">
        <v>45190</v>
      </c>
      <c r="AH1282" s="93" t="s">
        <v>12712</v>
      </c>
      <c r="AI1282" s="87" t="b">
        <v>0</v>
      </c>
      <c r="AJ1282" s="87"/>
      <c r="AK1282" s="87"/>
      <c r="AL1282" s="87"/>
      <c r="AM1282" s="87"/>
      <c r="AN1282" s="87"/>
      <c r="AO1282" s="87"/>
      <c r="AP1282" s="87"/>
      <c r="AQ1282" s="87"/>
      <c r="AR1282" s="87"/>
      <c r="AS1282" s="87"/>
      <c r="AT1282" s="87"/>
      <c r="AU1282" s="87"/>
      <c r="AV1282" s="92" t="str">
        <f>HYPERLINK("https://pbs.twimg.com/profile_images/1552359995030863872/7rwJL2ra_normal.jpg")</f>
        <v>https://pbs.twimg.com/profile_images/1552359995030863872/7rwJL2ra_normal.jpg</v>
      </c>
      <c r="AW1282" s="93" t="s">
        <v>19518</v>
      </c>
      <c r="AX1282" s="93" t="s">
        <v>19518</v>
      </c>
      <c r="AY1282" s="87"/>
      <c r="AZ1282" s="93" t="s">
        <v>22668</v>
      </c>
      <c r="BA1282" s="93" t="s">
        <v>22668</v>
      </c>
      <c r="BB1282" s="93" t="s">
        <v>22668</v>
      </c>
      <c r="BC1282" s="93" t="s">
        <v>19518</v>
      </c>
      <c r="BD1282" s="87">
        <v>8536272</v>
      </c>
      <c r="BE1282" s="87"/>
      <c r="BF1282" s="87"/>
      <c r="BG1282" s="87"/>
      <c r="BH1282" s="87"/>
      <c r="BI1282" s="87"/>
    </row>
    <row r="1283" spans="1:61" x14ac:dyDescent="0.25">
      <c r="A1283" s="63" t="s">
        <v>654</v>
      </c>
      <c r="B1283" s="63" t="s">
        <v>654</v>
      </c>
      <c r="C1283" s="64"/>
      <c r="D1283" s="65"/>
      <c r="E1283" s="66"/>
      <c r="F1283" s="67"/>
      <c r="G1283" s="64"/>
      <c r="H1283" s="68"/>
      <c r="I1283" s="69"/>
      <c r="J1283" s="69"/>
      <c r="K1283" s="32"/>
      <c r="L1283" s="76">
        <v>1283</v>
      </c>
      <c r="M1283" s="76"/>
      <c r="N1283" s="71"/>
      <c r="O1283" s="87" t="s">
        <v>179</v>
      </c>
      <c r="P1283" s="90">
        <v>45146.774699074071</v>
      </c>
      <c r="Q1283" s="87" t="s">
        <v>3089</v>
      </c>
      <c r="R1283" s="87">
        <v>0</v>
      </c>
      <c r="S1283" s="87">
        <v>1</v>
      </c>
      <c r="T1283" s="87">
        <v>0</v>
      </c>
      <c r="U1283" s="87">
        <v>0</v>
      </c>
      <c r="V1283" s="87">
        <v>17</v>
      </c>
      <c r="W1283" s="93" t="s">
        <v>6723</v>
      </c>
      <c r="X1283" s="87"/>
      <c r="Y1283" s="87"/>
      <c r="Z1283" s="87"/>
      <c r="AA1283" s="87" t="s">
        <v>9439</v>
      </c>
      <c r="AB1283" s="87" t="s">
        <v>11448</v>
      </c>
      <c r="AC1283" s="93" t="s">
        <v>11458</v>
      </c>
      <c r="AD1283" s="87" t="s">
        <v>11519</v>
      </c>
      <c r="AE1283" s="92" t="str">
        <f>HYPERLINK("https://twitter.com/plat_espinosa/status/1688982298970951680")</f>
        <v>https://twitter.com/plat_espinosa/status/1688982298970951680</v>
      </c>
      <c r="AF1283" s="90">
        <v>45146.774699074071</v>
      </c>
      <c r="AG1283" s="99">
        <v>45146</v>
      </c>
      <c r="AH1283" s="93" t="s">
        <v>12713</v>
      </c>
      <c r="AI1283" s="87" t="b">
        <v>0</v>
      </c>
      <c r="AJ1283" s="87"/>
      <c r="AK1283" s="87"/>
      <c r="AL1283" s="87"/>
      <c r="AM1283" s="87"/>
      <c r="AN1283" s="87"/>
      <c r="AO1283" s="87"/>
      <c r="AP1283" s="87"/>
      <c r="AQ1283" s="87" t="s">
        <v>16252</v>
      </c>
      <c r="AR1283" s="87"/>
      <c r="AS1283" s="87"/>
      <c r="AT1283" s="87"/>
      <c r="AU1283" s="87"/>
      <c r="AV1283" s="92" t="str">
        <f>HYPERLINK("https://pbs.twimg.com/media/F3B4cpyXkAAbxh0.jpg")</f>
        <v>https://pbs.twimg.com/media/F3B4cpyXkAAbxh0.jpg</v>
      </c>
      <c r="AW1283" s="93" t="s">
        <v>19519</v>
      </c>
      <c r="AX1283" s="93" t="s">
        <v>19519</v>
      </c>
      <c r="AY1283" s="87"/>
      <c r="AZ1283" s="93" t="s">
        <v>22668</v>
      </c>
      <c r="BA1283" s="93" t="s">
        <v>22668</v>
      </c>
      <c r="BB1283" s="93" t="s">
        <v>22668</v>
      </c>
      <c r="BC1283" s="93" t="s">
        <v>19519</v>
      </c>
      <c r="BD1283" s="93" t="s">
        <v>23043</v>
      </c>
      <c r="BE1283" s="87"/>
      <c r="BF1283" s="87"/>
      <c r="BG1283" s="87"/>
      <c r="BH1283" s="87"/>
      <c r="BI1283" s="87"/>
    </row>
    <row r="1284" spans="1:61" x14ac:dyDescent="0.25">
      <c r="A1284" s="63" t="s">
        <v>654</v>
      </c>
      <c r="B1284" s="63" t="s">
        <v>654</v>
      </c>
      <c r="C1284" s="64"/>
      <c r="D1284" s="65"/>
      <c r="E1284" s="66"/>
      <c r="F1284" s="67"/>
      <c r="G1284" s="64"/>
      <c r="H1284" s="68"/>
      <c r="I1284" s="69"/>
      <c r="J1284" s="69"/>
      <c r="K1284" s="32"/>
      <c r="L1284" s="76">
        <v>1284</v>
      </c>
      <c r="M1284" s="76"/>
      <c r="N1284" s="71"/>
      <c r="O1284" s="87" t="s">
        <v>179</v>
      </c>
      <c r="P1284" s="90">
        <v>45145.804884259262</v>
      </c>
      <c r="Q1284" s="87" t="s">
        <v>3090</v>
      </c>
      <c r="R1284" s="87">
        <v>0</v>
      </c>
      <c r="S1284" s="87">
        <v>1</v>
      </c>
      <c r="T1284" s="87">
        <v>0</v>
      </c>
      <c r="U1284" s="87">
        <v>0</v>
      </c>
      <c r="V1284" s="87">
        <v>9</v>
      </c>
      <c r="W1284" s="93" t="s">
        <v>6724</v>
      </c>
      <c r="X1284" s="87"/>
      <c r="Y1284" s="87"/>
      <c r="Z1284" s="87"/>
      <c r="AA1284" s="87" t="s">
        <v>9440</v>
      </c>
      <c r="AB1284" s="87" t="s">
        <v>11448</v>
      </c>
      <c r="AC1284" s="93" t="s">
        <v>11458</v>
      </c>
      <c r="AD1284" s="87" t="s">
        <v>11519</v>
      </c>
      <c r="AE1284" s="92" t="str">
        <f>HYPERLINK("https://twitter.com/plat_espinosa/status/1688630848218628096")</f>
        <v>https://twitter.com/plat_espinosa/status/1688630848218628096</v>
      </c>
      <c r="AF1284" s="90">
        <v>45145.804884259262</v>
      </c>
      <c r="AG1284" s="99">
        <v>45145</v>
      </c>
      <c r="AH1284" s="93" t="s">
        <v>12714</v>
      </c>
      <c r="AI1284" s="87" t="b">
        <v>0</v>
      </c>
      <c r="AJ1284" s="87"/>
      <c r="AK1284" s="87"/>
      <c r="AL1284" s="87"/>
      <c r="AM1284" s="87"/>
      <c r="AN1284" s="87"/>
      <c r="AO1284" s="87"/>
      <c r="AP1284" s="87"/>
      <c r="AQ1284" s="87" t="s">
        <v>16253</v>
      </c>
      <c r="AR1284" s="87"/>
      <c r="AS1284" s="87"/>
      <c r="AT1284" s="87"/>
      <c r="AU1284" s="87"/>
      <c r="AV1284" s="92" t="str">
        <f>HYPERLINK("https://pbs.twimg.com/media/F284zl5WIAAjFdY.jpg")</f>
        <v>https://pbs.twimg.com/media/F284zl5WIAAjFdY.jpg</v>
      </c>
      <c r="AW1284" s="93" t="s">
        <v>19520</v>
      </c>
      <c r="AX1284" s="93" t="s">
        <v>19520</v>
      </c>
      <c r="AY1284" s="87"/>
      <c r="AZ1284" s="93" t="s">
        <v>22668</v>
      </c>
      <c r="BA1284" s="93" t="s">
        <v>22668</v>
      </c>
      <c r="BB1284" s="93" t="s">
        <v>22668</v>
      </c>
      <c r="BC1284" s="93" t="s">
        <v>19520</v>
      </c>
      <c r="BD1284" s="93" t="s">
        <v>23043</v>
      </c>
      <c r="BE1284" s="87"/>
      <c r="BF1284" s="87"/>
      <c r="BG1284" s="87"/>
      <c r="BH1284" s="87"/>
      <c r="BI1284" s="87"/>
    </row>
    <row r="1285" spans="1:61" x14ac:dyDescent="0.25">
      <c r="A1285" s="63" t="s">
        <v>654</v>
      </c>
      <c r="B1285" s="63" t="s">
        <v>654</v>
      </c>
      <c r="C1285" s="64"/>
      <c r="D1285" s="65"/>
      <c r="E1285" s="66"/>
      <c r="F1285" s="67"/>
      <c r="G1285" s="64"/>
      <c r="H1285" s="68"/>
      <c r="I1285" s="69"/>
      <c r="J1285" s="69"/>
      <c r="K1285" s="32"/>
      <c r="L1285" s="76">
        <v>1285</v>
      </c>
      <c r="M1285" s="76"/>
      <c r="N1285" s="71"/>
      <c r="O1285" s="87" t="s">
        <v>179</v>
      </c>
      <c r="P1285" s="90">
        <v>45141.631736111114</v>
      </c>
      <c r="Q1285" s="87" t="s">
        <v>3091</v>
      </c>
      <c r="R1285" s="87">
        <v>0</v>
      </c>
      <c r="S1285" s="87">
        <v>1</v>
      </c>
      <c r="T1285" s="87">
        <v>0</v>
      </c>
      <c r="U1285" s="87">
        <v>0</v>
      </c>
      <c r="V1285" s="87">
        <v>18</v>
      </c>
      <c r="W1285" s="93" t="s">
        <v>6725</v>
      </c>
      <c r="X1285" s="87"/>
      <c r="Y1285" s="87"/>
      <c r="Z1285" s="87"/>
      <c r="AA1285" s="87" t="s">
        <v>9441</v>
      </c>
      <c r="AB1285" s="87" t="s">
        <v>11448</v>
      </c>
      <c r="AC1285" s="93" t="s">
        <v>11458</v>
      </c>
      <c r="AD1285" s="87" t="s">
        <v>11519</v>
      </c>
      <c r="AE1285" s="92" t="str">
        <f>HYPERLINK("https://twitter.com/plat_espinosa/status/1687118551339892736")</f>
        <v>https://twitter.com/plat_espinosa/status/1687118551339892736</v>
      </c>
      <c r="AF1285" s="90">
        <v>45141.631736111114</v>
      </c>
      <c r="AG1285" s="99">
        <v>45141</v>
      </c>
      <c r="AH1285" s="93" t="s">
        <v>12715</v>
      </c>
      <c r="AI1285" s="87" t="b">
        <v>0</v>
      </c>
      <c r="AJ1285" s="87"/>
      <c r="AK1285" s="87"/>
      <c r="AL1285" s="87"/>
      <c r="AM1285" s="87"/>
      <c r="AN1285" s="87"/>
      <c r="AO1285" s="87"/>
      <c r="AP1285" s="87"/>
      <c r="AQ1285" s="87" t="s">
        <v>16254</v>
      </c>
      <c r="AR1285" s="87"/>
      <c r="AS1285" s="87"/>
      <c r="AT1285" s="87"/>
      <c r="AU1285" s="87"/>
      <c r="AV1285" s="92" t="str">
        <f>HYPERLINK("https://pbs.twimg.com/media/F2nZYObboAID0PG.jpg")</f>
        <v>https://pbs.twimg.com/media/F2nZYObboAID0PG.jpg</v>
      </c>
      <c r="AW1285" s="93" t="s">
        <v>19521</v>
      </c>
      <c r="AX1285" s="93" t="s">
        <v>19521</v>
      </c>
      <c r="AY1285" s="87"/>
      <c r="AZ1285" s="93" t="s">
        <v>22668</v>
      </c>
      <c r="BA1285" s="93" t="s">
        <v>22668</v>
      </c>
      <c r="BB1285" s="93" t="s">
        <v>22668</v>
      </c>
      <c r="BC1285" s="93" t="s">
        <v>19521</v>
      </c>
      <c r="BD1285" s="93" t="s">
        <v>23043</v>
      </c>
      <c r="BE1285" s="87"/>
      <c r="BF1285" s="87"/>
      <c r="BG1285" s="87"/>
      <c r="BH1285" s="87"/>
      <c r="BI1285" s="87"/>
    </row>
    <row r="1286" spans="1:61" x14ac:dyDescent="0.25">
      <c r="A1286" s="63" t="s">
        <v>654</v>
      </c>
      <c r="B1286" s="63" t="s">
        <v>654</v>
      </c>
      <c r="C1286" s="64"/>
      <c r="D1286" s="65"/>
      <c r="E1286" s="66"/>
      <c r="F1286" s="67"/>
      <c r="G1286" s="64"/>
      <c r="H1286" s="68"/>
      <c r="I1286" s="69"/>
      <c r="J1286" s="69"/>
      <c r="K1286" s="32"/>
      <c r="L1286" s="76">
        <v>1286</v>
      </c>
      <c r="M1286" s="76"/>
      <c r="N1286" s="71"/>
      <c r="O1286" s="87" t="s">
        <v>179</v>
      </c>
      <c r="P1286" s="90">
        <v>45157.794699074075</v>
      </c>
      <c r="Q1286" s="87" t="s">
        <v>3092</v>
      </c>
      <c r="R1286" s="87">
        <v>0</v>
      </c>
      <c r="S1286" s="87">
        <v>1</v>
      </c>
      <c r="T1286" s="87">
        <v>0</v>
      </c>
      <c r="U1286" s="87">
        <v>0</v>
      </c>
      <c r="V1286" s="87">
        <v>18</v>
      </c>
      <c r="W1286" s="93" t="s">
        <v>6726</v>
      </c>
      <c r="X1286" s="87"/>
      <c r="Y1286" s="87"/>
      <c r="Z1286" s="87"/>
      <c r="AA1286" s="87" t="s">
        <v>9442</v>
      </c>
      <c r="AB1286" s="87" t="s">
        <v>11448</v>
      </c>
      <c r="AC1286" s="93" t="s">
        <v>11458</v>
      </c>
      <c r="AD1286" s="87" t="s">
        <v>11519</v>
      </c>
      <c r="AE1286" s="92" t="str">
        <f>HYPERLINK("https://twitter.com/plat_espinosa/status/1692975813543489849")</f>
        <v>https://twitter.com/plat_espinosa/status/1692975813543489849</v>
      </c>
      <c r="AF1286" s="90">
        <v>45157.794699074075</v>
      </c>
      <c r="AG1286" s="99">
        <v>45157</v>
      </c>
      <c r="AH1286" s="93" t="s">
        <v>12716</v>
      </c>
      <c r="AI1286" s="87" t="b">
        <v>0</v>
      </c>
      <c r="AJ1286" s="87"/>
      <c r="AK1286" s="87"/>
      <c r="AL1286" s="87"/>
      <c r="AM1286" s="87"/>
      <c r="AN1286" s="87"/>
      <c r="AO1286" s="87"/>
      <c r="AP1286" s="87"/>
      <c r="AQ1286" s="87" t="s">
        <v>16255</v>
      </c>
      <c r="AR1286" s="87"/>
      <c r="AS1286" s="87"/>
      <c r="AT1286" s="87"/>
      <c r="AU1286" s="87"/>
      <c r="AV1286" s="92" t="str">
        <f>HYPERLINK("https://pbs.twimg.com/media/F36oh4wXQAEFpse.jpg")</f>
        <v>https://pbs.twimg.com/media/F36oh4wXQAEFpse.jpg</v>
      </c>
      <c r="AW1286" s="93" t="s">
        <v>19522</v>
      </c>
      <c r="AX1286" s="93" t="s">
        <v>19522</v>
      </c>
      <c r="AY1286" s="87"/>
      <c r="AZ1286" s="93" t="s">
        <v>22668</v>
      </c>
      <c r="BA1286" s="93" t="s">
        <v>22668</v>
      </c>
      <c r="BB1286" s="93" t="s">
        <v>22668</v>
      </c>
      <c r="BC1286" s="93" t="s">
        <v>19522</v>
      </c>
      <c r="BD1286" s="93" t="s">
        <v>23043</v>
      </c>
      <c r="BE1286" s="87"/>
      <c r="BF1286" s="87"/>
      <c r="BG1286" s="87"/>
      <c r="BH1286" s="87"/>
      <c r="BI1286" s="87"/>
    </row>
    <row r="1287" spans="1:61" x14ac:dyDescent="0.25">
      <c r="A1287" s="63" t="s">
        <v>655</v>
      </c>
      <c r="B1287" s="63" t="s">
        <v>655</v>
      </c>
      <c r="C1287" s="64"/>
      <c r="D1287" s="65"/>
      <c r="E1287" s="66"/>
      <c r="F1287" s="67"/>
      <c r="G1287" s="64"/>
      <c r="H1287" s="68"/>
      <c r="I1287" s="69"/>
      <c r="J1287" s="69"/>
      <c r="K1287" s="32"/>
      <c r="L1287" s="76">
        <v>1287</v>
      </c>
      <c r="M1287" s="76"/>
      <c r="N1287" s="71"/>
      <c r="O1287" s="87" t="s">
        <v>179</v>
      </c>
      <c r="P1287" s="90">
        <v>45117.792314814818</v>
      </c>
      <c r="Q1287" s="87" t="s">
        <v>3093</v>
      </c>
      <c r="R1287" s="87">
        <v>0</v>
      </c>
      <c r="S1287" s="87">
        <v>1</v>
      </c>
      <c r="T1287" s="87">
        <v>0</v>
      </c>
      <c r="U1287" s="87">
        <v>0</v>
      </c>
      <c r="V1287" s="87">
        <v>15</v>
      </c>
      <c r="W1287" s="93" t="s">
        <v>6727</v>
      </c>
      <c r="X1287" s="87"/>
      <c r="Y1287" s="87"/>
      <c r="Z1287" s="87"/>
      <c r="AA1287" s="87" t="s">
        <v>9443</v>
      </c>
      <c r="AB1287" s="87" t="s">
        <v>11448</v>
      </c>
      <c r="AC1287" s="93" t="s">
        <v>11460</v>
      </c>
      <c r="AD1287" s="87" t="s">
        <v>11519</v>
      </c>
      <c r="AE1287" s="92" t="str">
        <f>HYPERLINK("https://twitter.com/midiastudio/status/1678479432586080259")</f>
        <v>https://twitter.com/midiastudio/status/1678479432586080259</v>
      </c>
      <c r="AF1287" s="90">
        <v>45117.792314814818</v>
      </c>
      <c r="AG1287" s="99">
        <v>45117</v>
      </c>
      <c r="AH1287" s="93" t="s">
        <v>12717</v>
      </c>
      <c r="AI1287" s="87" t="b">
        <v>0</v>
      </c>
      <c r="AJ1287" s="87"/>
      <c r="AK1287" s="87"/>
      <c r="AL1287" s="87"/>
      <c r="AM1287" s="87"/>
      <c r="AN1287" s="87"/>
      <c r="AO1287" s="87"/>
      <c r="AP1287" s="87"/>
      <c r="AQ1287" s="87" t="s">
        <v>16256</v>
      </c>
      <c r="AR1287" s="87"/>
      <c r="AS1287" s="87"/>
      <c r="AT1287" s="87"/>
      <c r="AU1287" s="87"/>
      <c r="AV1287" s="92" t="str">
        <f>HYPERLINK("https://pbs.twimg.com/media/F0soJiJWcAwi9J5.jpg")</f>
        <v>https://pbs.twimg.com/media/F0soJiJWcAwi9J5.jpg</v>
      </c>
      <c r="AW1287" s="93" t="s">
        <v>19523</v>
      </c>
      <c r="AX1287" s="93" t="s">
        <v>19523</v>
      </c>
      <c r="AY1287" s="87"/>
      <c r="AZ1287" s="93" t="s">
        <v>22668</v>
      </c>
      <c r="BA1287" s="93" t="s">
        <v>22668</v>
      </c>
      <c r="BB1287" s="93" t="s">
        <v>22668</v>
      </c>
      <c r="BC1287" s="93" t="s">
        <v>19523</v>
      </c>
      <c r="BD1287" s="87">
        <v>170102644</v>
      </c>
      <c r="BE1287" s="87"/>
      <c r="BF1287" s="87"/>
      <c r="BG1287" s="87"/>
      <c r="BH1287" s="87"/>
      <c r="BI1287" s="87"/>
    </row>
    <row r="1288" spans="1:61" x14ac:dyDescent="0.25">
      <c r="A1288" s="63" t="s">
        <v>656</v>
      </c>
      <c r="B1288" s="63" t="s">
        <v>656</v>
      </c>
      <c r="C1288" s="64"/>
      <c r="D1288" s="65"/>
      <c r="E1288" s="66"/>
      <c r="F1288" s="67"/>
      <c r="G1288" s="64"/>
      <c r="H1288" s="68"/>
      <c r="I1288" s="69"/>
      <c r="J1288" s="69"/>
      <c r="K1288" s="32"/>
      <c r="L1288" s="76">
        <v>1288</v>
      </c>
      <c r="M1288" s="76"/>
      <c r="N1288" s="71"/>
      <c r="O1288" s="87" t="s">
        <v>179</v>
      </c>
      <c r="P1288" s="90">
        <v>45185.523310185185</v>
      </c>
      <c r="Q1288" s="87" t="s">
        <v>3094</v>
      </c>
      <c r="R1288" s="87">
        <v>0</v>
      </c>
      <c r="S1288" s="87">
        <v>0</v>
      </c>
      <c r="T1288" s="87">
        <v>0</v>
      </c>
      <c r="U1288" s="87">
        <v>0</v>
      </c>
      <c r="V1288" s="87">
        <v>43</v>
      </c>
      <c r="W1288" s="93" t="s">
        <v>6728</v>
      </c>
      <c r="X1288" s="92" t="str">
        <f>HYPERLINK("https://www.gp1.com.br/politica/noticia/2023/9/16/presidente-do-sebrae-destaca-importancia-do-ministerio-do-empreendedorismo-555836.html?twitter=1694867079.786452")</f>
        <v>https://www.gp1.com.br/politica/noticia/2023/9/16/presidente-do-sebrae-destaca-importancia-do-ministerio-do-empreendedorismo-555836.html?twitter=1694867079.786452</v>
      </c>
      <c r="Y1288" s="87" t="s">
        <v>8373</v>
      </c>
      <c r="Z1288" s="87"/>
      <c r="AA1288" s="87"/>
      <c r="AB1288" s="87"/>
      <c r="AC1288" s="93" t="s">
        <v>11457</v>
      </c>
      <c r="AD1288" s="87" t="s">
        <v>11519</v>
      </c>
      <c r="AE1288" s="92" t="str">
        <f>HYPERLINK("https://twitter.com/portalgp1/status/1703024323806585092")</f>
        <v>https://twitter.com/portalgp1/status/1703024323806585092</v>
      </c>
      <c r="AF1288" s="90">
        <v>45185.523310185185</v>
      </c>
      <c r="AG1288" s="99">
        <v>45185</v>
      </c>
      <c r="AH1288" s="93" t="s">
        <v>12718</v>
      </c>
      <c r="AI1288" s="87" t="b">
        <v>0</v>
      </c>
      <c r="AJ1288" s="87"/>
      <c r="AK1288" s="87"/>
      <c r="AL1288" s="87"/>
      <c r="AM1288" s="87"/>
      <c r="AN1288" s="87"/>
      <c r="AO1288" s="87"/>
      <c r="AP1288" s="87"/>
      <c r="AQ1288" s="87"/>
      <c r="AR1288" s="87"/>
      <c r="AS1288" s="87"/>
      <c r="AT1288" s="87"/>
      <c r="AU1288" s="87"/>
      <c r="AV1288" s="92" t="str">
        <f>HYPERLINK("https://pbs.twimg.com/profile_images/1583462152752578562/IgOqfeS__normal.jpg")</f>
        <v>https://pbs.twimg.com/profile_images/1583462152752578562/IgOqfeS__normal.jpg</v>
      </c>
      <c r="AW1288" s="93" t="s">
        <v>19524</v>
      </c>
      <c r="AX1288" s="93" t="s">
        <v>19524</v>
      </c>
      <c r="AY1288" s="87"/>
      <c r="AZ1288" s="93" t="s">
        <v>22668</v>
      </c>
      <c r="BA1288" s="93" t="s">
        <v>22668</v>
      </c>
      <c r="BB1288" s="93" t="s">
        <v>22668</v>
      </c>
      <c r="BC1288" s="93" t="s">
        <v>19524</v>
      </c>
      <c r="BD1288" s="87">
        <v>78697019</v>
      </c>
      <c r="BE1288" s="87"/>
      <c r="BF1288" s="87"/>
      <c r="BG1288" s="87"/>
      <c r="BH1288" s="87"/>
      <c r="BI1288" s="87"/>
    </row>
    <row r="1289" spans="1:61" x14ac:dyDescent="0.25">
      <c r="A1289" s="63" t="s">
        <v>657</v>
      </c>
      <c r="B1289" s="63" t="s">
        <v>657</v>
      </c>
      <c r="C1289" s="64"/>
      <c r="D1289" s="65"/>
      <c r="E1289" s="66"/>
      <c r="F1289" s="67"/>
      <c r="G1289" s="64"/>
      <c r="H1289" s="68"/>
      <c r="I1289" s="69"/>
      <c r="J1289" s="69"/>
      <c r="K1289" s="32"/>
      <c r="L1289" s="76">
        <v>1289</v>
      </c>
      <c r="M1289" s="76"/>
      <c r="N1289" s="71"/>
      <c r="O1289" s="87" t="s">
        <v>1840</v>
      </c>
      <c r="P1289" s="90">
        <v>45183.940081018518</v>
      </c>
      <c r="Q1289" s="87" t="s">
        <v>3095</v>
      </c>
      <c r="R1289" s="87">
        <v>0</v>
      </c>
      <c r="S1289" s="87">
        <v>0</v>
      </c>
      <c r="T1289" s="87">
        <v>0</v>
      </c>
      <c r="U1289" s="87">
        <v>0</v>
      </c>
      <c r="V1289" s="87">
        <v>13</v>
      </c>
      <c r="W1289" s="93" t="s">
        <v>6729</v>
      </c>
      <c r="X1289" s="87"/>
      <c r="Y1289" s="87"/>
      <c r="Z1289" s="87"/>
      <c r="AA1289" s="87"/>
      <c r="AB1289" s="87"/>
      <c r="AC1289" s="93" t="s">
        <v>11457</v>
      </c>
      <c r="AD1289" s="87" t="s">
        <v>11523</v>
      </c>
      <c r="AE1289" s="92" t="str">
        <f>HYPERLINK("https://twitter.com/pixeldigitalab/status/1702450584467525904")</f>
        <v>https://twitter.com/pixeldigitalab/status/1702450584467525904</v>
      </c>
      <c r="AF1289" s="90">
        <v>45183.940081018518</v>
      </c>
      <c r="AG1289" s="99">
        <v>45183</v>
      </c>
      <c r="AH1289" s="93" t="s">
        <v>12719</v>
      </c>
      <c r="AI1289" s="87"/>
      <c r="AJ1289" s="87"/>
      <c r="AK1289" s="87"/>
      <c r="AL1289" s="87"/>
      <c r="AM1289" s="87"/>
      <c r="AN1289" s="87"/>
      <c r="AO1289" s="87"/>
      <c r="AP1289" s="87"/>
      <c r="AQ1289" s="87"/>
      <c r="AR1289" s="87"/>
      <c r="AS1289" s="87"/>
      <c r="AT1289" s="87"/>
      <c r="AU1289" s="87"/>
      <c r="AV1289" s="92" t="str">
        <f>HYPERLINK("https://pbs.twimg.com/profile_images/1674945271086690309/J2UomEFr_normal.jpg")</f>
        <v>https://pbs.twimg.com/profile_images/1674945271086690309/J2UomEFr_normal.jpg</v>
      </c>
      <c r="AW1289" s="93" t="s">
        <v>19525</v>
      </c>
      <c r="AX1289" s="93" t="s">
        <v>22357</v>
      </c>
      <c r="AY1289" s="93" t="s">
        <v>22557</v>
      </c>
      <c r="AZ1289" s="93" t="s">
        <v>22357</v>
      </c>
      <c r="BA1289" s="93" t="s">
        <v>22668</v>
      </c>
      <c r="BB1289" s="93" t="s">
        <v>22668</v>
      </c>
      <c r="BC1289" s="93" t="s">
        <v>22357</v>
      </c>
      <c r="BD1289" s="93" t="s">
        <v>22557</v>
      </c>
      <c r="BE1289" s="87"/>
      <c r="BF1289" s="87"/>
      <c r="BG1289" s="87"/>
      <c r="BH1289" s="87"/>
      <c r="BI1289" s="87"/>
    </row>
    <row r="1290" spans="1:61" x14ac:dyDescent="0.25">
      <c r="A1290" s="63" t="s">
        <v>658</v>
      </c>
      <c r="B1290" s="63" t="s">
        <v>658</v>
      </c>
      <c r="C1290" s="64"/>
      <c r="D1290" s="65"/>
      <c r="E1290" s="66"/>
      <c r="F1290" s="67"/>
      <c r="G1290" s="64"/>
      <c r="H1290" s="68"/>
      <c r="I1290" s="69"/>
      <c r="J1290" s="69"/>
      <c r="K1290" s="32"/>
      <c r="L1290" s="76">
        <v>1290</v>
      </c>
      <c r="M1290" s="76"/>
      <c r="N1290" s="71"/>
      <c r="O1290" s="87" t="s">
        <v>179</v>
      </c>
      <c r="P1290" s="90">
        <v>45115.698645833334</v>
      </c>
      <c r="Q1290" s="87" t="s">
        <v>3096</v>
      </c>
      <c r="R1290" s="87">
        <v>0</v>
      </c>
      <c r="S1290" s="87">
        <v>0</v>
      </c>
      <c r="T1290" s="87">
        <v>0</v>
      </c>
      <c r="U1290" s="87">
        <v>0</v>
      </c>
      <c r="V1290" s="87">
        <v>88</v>
      </c>
      <c r="W1290" s="93" t="s">
        <v>6730</v>
      </c>
      <c r="X1290" s="87"/>
      <c r="Y1290" s="87"/>
      <c r="Z1290" s="87"/>
      <c r="AA1290" s="87" t="s">
        <v>9444</v>
      </c>
      <c r="AB1290" s="87" t="s">
        <v>11447</v>
      </c>
      <c r="AC1290" s="93" t="s">
        <v>11459</v>
      </c>
      <c r="AD1290" s="87" t="s">
        <v>11519</v>
      </c>
      <c r="AE1290" s="92" t="str">
        <f>HYPERLINK("https://twitter.com/rogerpost66/status/1677720713527013378")</f>
        <v>https://twitter.com/rogerpost66/status/1677720713527013378</v>
      </c>
      <c r="AF1290" s="90">
        <v>45115.698645833334</v>
      </c>
      <c r="AG1290" s="99">
        <v>45115</v>
      </c>
      <c r="AH1290" s="93" t="s">
        <v>12720</v>
      </c>
      <c r="AI1290" s="87" t="b">
        <v>0</v>
      </c>
      <c r="AJ1290" s="87"/>
      <c r="AK1290" s="87"/>
      <c r="AL1290" s="87"/>
      <c r="AM1290" s="87"/>
      <c r="AN1290" s="87"/>
      <c r="AO1290" s="87"/>
      <c r="AP1290" s="87"/>
      <c r="AQ1290" s="87" t="s">
        <v>16257</v>
      </c>
      <c r="AR1290" s="87">
        <v>52058</v>
      </c>
      <c r="AS1290" s="87"/>
      <c r="AT1290" s="87"/>
      <c r="AU1290" s="87"/>
      <c r="AV1290" s="92" t="str">
        <f>HYPERLINK("https://pbs.twimg.com/ext_tw_video_thumb/1677720612515479552/pu/img/4Rw2pAdrW_e_s6Gp.jpg")</f>
        <v>https://pbs.twimg.com/ext_tw_video_thumb/1677720612515479552/pu/img/4Rw2pAdrW_e_s6Gp.jpg</v>
      </c>
      <c r="AW1290" s="93" t="s">
        <v>19526</v>
      </c>
      <c r="AX1290" s="93" t="s">
        <v>19526</v>
      </c>
      <c r="AY1290" s="87"/>
      <c r="AZ1290" s="93" t="s">
        <v>22668</v>
      </c>
      <c r="BA1290" s="93" t="s">
        <v>22668</v>
      </c>
      <c r="BB1290" s="93" t="s">
        <v>22668</v>
      </c>
      <c r="BC1290" s="93" t="s">
        <v>19526</v>
      </c>
      <c r="BD1290" s="93" t="s">
        <v>23044</v>
      </c>
      <c r="BE1290" s="87"/>
      <c r="BF1290" s="87"/>
      <c r="BG1290" s="87"/>
      <c r="BH1290" s="87"/>
      <c r="BI1290" s="87"/>
    </row>
    <row r="1291" spans="1:61" x14ac:dyDescent="0.25">
      <c r="A1291" s="63" t="s">
        <v>659</v>
      </c>
      <c r="B1291" s="63" t="s">
        <v>659</v>
      </c>
      <c r="C1291" s="64"/>
      <c r="D1291" s="65"/>
      <c r="E1291" s="66"/>
      <c r="F1291" s="67"/>
      <c r="G1291" s="64"/>
      <c r="H1291" s="68"/>
      <c r="I1291" s="69"/>
      <c r="J1291" s="69"/>
      <c r="K1291" s="32"/>
      <c r="L1291" s="76">
        <v>1291</v>
      </c>
      <c r="M1291" s="76"/>
      <c r="N1291" s="71"/>
      <c r="O1291" s="87" t="s">
        <v>179</v>
      </c>
      <c r="P1291" s="90">
        <v>45149.625185185185</v>
      </c>
      <c r="Q1291" s="87" t="s">
        <v>3097</v>
      </c>
      <c r="R1291" s="87">
        <v>0</v>
      </c>
      <c r="S1291" s="87">
        <v>0</v>
      </c>
      <c r="T1291" s="87">
        <v>0</v>
      </c>
      <c r="U1291" s="87">
        <v>0</v>
      </c>
      <c r="V1291" s="87">
        <v>22</v>
      </c>
      <c r="W1291" s="93" t="s">
        <v>6731</v>
      </c>
      <c r="X1291" s="92" t="str">
        <f>HYPERLINK("http://linkr.bio/iniciar_")</f>
        <v>http://linkr.bio/iniciar_</v>
      </c>
      <c r="Y1291" s="87" t="s">
        <v>8444</v>
      </c>
      <c r="Z1291" s="87"/>
      <c r="AA1291" s="87" t="s">
        <v>9445</v>
      </c>
      <c r="AB1291" s="87" t="s">
        <v>11447</v>
      </c>
      <c r="AC1291" s="93" t="s">
        <v>11458</v>
      </c>
      <c r="AD1291" s="87" t="s">
        <v>11519</v>
      </c>
      <c r="AE1291" s="92" t="str">
        <f>HYPERLINK("https://twitter.com/rafaelamorimofc/status/1690015279747612673")</f>
        <v>https://twitter.com/rafaelamorimofc/status/1690015279747612673</v>
      </c>
      <c r="AF1291" s="90">
        <v>45149.625185185185</v>
      </c>
      <c r="AG1291" s="99">
        <v>45149</v>
      </c>
      <c r="AH1291" s="93" t="s">
        <v>12721</v>
      </c>
      <c r="AI1291" s="87" t="b">
        <v>0</v>
      </c>
      <c r="AJ1291" s="87"/>
      <c r="AK1291" s="87"/>
      <c r="AL1291" s="87"/>
      <c r="AM1291" s="87"/>
      <c r="AN1291" s="87"/>
      <c r="AO1291" s="87"/>
      <c r="AP1291" s="87"/>
      <c r="AQ1291" s="87" t="s">
        <v>16258</v>
      </c>
      <c r="AR1291" s="87">
        <v>6843</v>
      </c>
      <c r="AS1291" s="87"/>
      <c r="AT1291" s="87"/>
      <c r="AU1291" s="87"/>
      <c r="AV1291" s="92" t="str">
        <f>HYPERLINK("https://pbs.twimg.com/ext_tw_video_thumb/1690015190203383808/pu/img/IA9_3K6-Yr0deK2_.jpg")</f>
        <v>https://pbs.twimg.com/ext_tw_video_thumb/1690015190203383808/pu/img/IA9_3K6-Yr0deK2_.jpg</v>
      </c>
      <c r="AW1291" s="93" t="s">
        <v>19527</v>
      </c>
      <c r="AX1291" s="93" t="s">
        <v>19527</v>
      </c>
      <c r="AY1291" s="87"/>
      <c r="AZ1291" s="93" t="s">
        <v>22668</v>
      </c>
      <c r="BA1291" s="93" t="s">
        <v>22668</v>
      </c>
      <c r="BB1291" s="93" t="s">
        <v>22668</v>
      </c>
      <c r="BC1291" s="93" t="s">
        <v>19527</v>
      </c>
      <c r="BD1291" s="93" t="s">
        <v>23045</v>
      </c>
      <c r="BE1291" s="87"/>
      <c r="BF1291" s="87"/>
      <c r="BG1291" s="87"/>
      <c r="BH1291" s="87"/>
      <c r="BI1291" s="87"/>
    </row>
    <row r="1292" spans="1:61" x14ac:dyDescent="0.25">
      <c r="A1292" s="63" t="s">
        <v>659</v>
      </c>
      <c r="B1292" s="63" t="s">
        <v>659</v>
      </c>
      <c r="C1292" s="64"/>
      <c r="D1292" s="65"/>
      <c r="E1292" s="66"/>
      <c r="F1292" s="67"/>
      <c r="G1292" s="64"/>
      <c r="H1292" s="68"/>
      <c r="I1292" s="69"/>
      <c r="J1292" s="69"/>
      <c r="K1292" s="32"/>
      <c r="L1292" s="76">
        <v>1292</v>
      </c>
      <c r="M1292" s="76"/>
      <c r="N1292" s="71"/>
      <c r="O1292" s="87" t="s">
        <v>179</v>
      </c>
      <c r="P1292" s="90">
        <v>45149.554166666669</v>
      </c>
      <c r="Q1292" s="87" t="s">
        <v>3098</v>
      </c>
      <c r="R1292" s="87">
        <v>0</v>
      </c>
      <c r="S1292" s="87">
        <v>0</v>
      </c>
      <c r="T1292" s="87">
        <v>0</v>
      </c>
      <c r="U1292" s="87">
        <v>0</v>
      </c>
      <c r="V1292" s="87">
        <v>22</v>
      </c>
      <c r="W1292" s="93" t="s">
        <v>6731</v>
      </c>
      <c r="X1292" s="92" t="str">
        <f>HYPERLINK("http://linkr.bio/iniciar_")</f>
        <v>http://linkr.bio/iniciar_</v>
      </c>
      <c r="Y1292" s="87" t="s">
        <v>8444</v>
      </c>
      <c r="Z1292" s="87"/>
      <c r="AA1292" s="87" t="s">
        <v>9446</v>
      </c>
      <c r="AB1292" s="87" t="s">
        <v>11447</v>
      </c>
      <c r="AC1292" s="93" t="s">
        <v>11458</v>
      </c>
      <c r="AD1292" s="87" t="s">
        <v>11519</v>
      </c>
      <c r="AE1292" s="92" t="str">
        <f>HYPERLINK("https://twitter.com/rafaelamorimofc/status/1689989544353906688")</f>
        <v>https://twitter.com/rafaelamorimofc/status/1689989544353906688</v>
      </c>
      <c r="AF1292" s="90">
        <v>45149.554166666669</v>
      </c>
      <c r="AG1292" s="99">
        <v>45149</v>
      </c>
      <c r="AH1292" s="93" t="s">
        <v>12722</v>
      </c>
      <c r="AI1292" s="87" t="b">
        <v>0</v>
      </c>
      <c r="AJ1292" s="87"/>
      <c r="AK1292" s="87"/>
      <c r="AL1292" s="87"/>
      <c r="AM1292" s="87"/>
      <c r="AN1292" s="87"/>
      <c r="AO1292" s="87"/>
      <c r="AP1292" s="87"/>
      <c r="AQ1292" s="87" t="s">
        <v>16259</v>
      </c>
      <c r="AR1292" s="87">
        <v>8970</v>
      </c>
      <c r="AS1292" s="87"/>
      <c r="AT1292" s="87"/>
      <c r="AU1292" s="87"/>
      <c r="AV1292" s="92" t="str">
        <f>HYPERLINK("https://pbs.twimg.com/ext_tw_video_thumb/1689989478381649920/pu/img/cII1DHrPS3cgDCH-.jpg")</f>
        <v>https://pbs.twimg.com/ext_tw_video_thumb/1689989478381649920/pu/img/cII1DHrPS3cgDCH-.jpg</v>
      </c>
      <c r="AW1292" s="93" t="s">
        <v>19528</v>
      </c>
      <c r="AX1292" s="93" t="s">
        <v>19528</v>
      </c>
      <c r="AY1292" s="87"/>
      <c r="AZ1292" s="93" t="s">
        <v>22668</v>
      </c>
      <c r="BA1292" s="93" t="s">
        <v>22668</v>
      </c>
      <c r="BB1292" s="93" t="s">
        <v>22668</v>
      </c>
      <c r="BC1292" s="93" t="s">
        <v>19528</v>
      </c>
      <c r="BD1292" s="93" t="s">
        <v>23045</v>
      </c>
      <c r="BE1292" s="87"/>
      <c r="BF1292" s="87"/>
      <c r="BG1292" s="87"/>
      <c r="BH1292" s="87"/>
      <c r="BI1292" s="87"/>
    </row>
    <row r="1293" spans="1:61" x14ac:dyDescent="0.25">
      <c r="A1293" s="63" t="s">
        <v>659</v>
      </c>
      <c r="B1293" s="63" t="s">
        <v>659</v>
      </c>
      <c r="C1293" s="64"/>
      <c r="D1293" s="65"/>
      <c r="E1293" s="66"/>
      <c r="F1293" s="67"/>
      <c r="G1293" s="64"/>
      <c r="H1293" s="68"/>
      <c r="I1293" s="69"/>
      <c r="J1293" s="69"/>
      <c r="K1293" s="32"/>
      <c r="L1293" s="76">
        <v>1293</v>
      </c>
      <c r="M1293" s="76"/>
      <c r="N1293" s="71"/>
      <c r="O1293" s="87" t="s">
        <v>179</v>
      </c>
      <c r="P1293" s="90">
        <v>45170.636354166665</v>
      </c>
      <c r="Q1293" s="87" t="s">
        <v>3099</v>
      </c>
      <c r="R1293" s="87">
        <v>0</v>
      </c>
      <c r="S1293" s="87">
        <v>0</v>
      </c>
      <c r="T1293" s="87">
        <v>0</v>
      </c>
      <c r="U1293" s="87">
        <v>0</v>
      </c>
      <c r="V1293" s="87">
        <v>15</v>
      </c>
      <c r="W1293" s="93" t="s">
        <v>6732</v>
      </c>
      <c r="X1293" s="92" t="str">
        <f>HYPERLINK("http://linkr.bio/iniciar_")</f>
        <v>http://linkr.bio/iniciar_</v>
      </c>
      <c r="Y1293" s="87" t="s">
        <v>8444</v>
      </c>
      <c r="Z1293" s="87"/>
      <c r="AA1293" s="87" t="s">
        <v>9447</v>
      </c>
      <c r="AB1293" s="87" t="s">
        <v>11447</v>
      </c>
      <c r="AC1293" s="93" t="s">
        <v>11458</v>
      </c>
      <c r="AD1293" s="87" t="s">
        <v>11519</v>
      </c>
      <c r="AE1293" s="92" t="str">
        <f>HYPERLINK("https://twitter.com/rafaelamorimofc/status/1697629472722125153")</f>
        <v>https://twitter.com/rafaelamorimofc/status/1697629472722125153</v>
      </c>
      <c r="AF1293" s="90">
        <v>45170.636354166665</v>
      </c>
      <c r="AG1293" s="99">
        <v>45170</v>
      </c>
      <c r="AH1293" s="93" t="s">
        <v>12723</v>
      </c>
      <c r="AI1293" s="87" t="b">
        <v>0</v>
      </c>
      <c r="AJ1293" s="87"/>
      <c r="AK1293" s="87"/>
      <c r="AL1293" s="87"/>
      <c r="AM1293" s="87"/>
      <c r="AN1293" s="87"/>
      <c r="AO1293" s="87"/>
      <c r="AP1293" s="87"/>
      <c r="AQ1293" s="87" t="s">
        <v>16260</v>
      </c>
      <c r="AR1293" s="87">
        <v>13110</v>
      </c>
      <c r="AS1293" s="87"/>
      <c r="AT1293" s="87"/>
      <c r="AU1293" s="87"/>
      <c r="AV1293" s="92" t="str">
        <f>HYPERLINK("https://pbs.twimg.com/ext_tw_video_thumb/1697629334171766784/pu/img/N5VfXcOwh4NimBA1.jpg")</f>
        <v>https://pbs.twimg.com/ext_tw_video_thumb/1697629334171766784/pu/img/N5VfXcOwh4NimBA1.jpg</v>
      </c>
      <c r="AW1293" s="93" t="s">
        <v>19529</v>
      </c>
      <c r="AX1293" s="93" t="s">
        <v>19529</v>
      </c>
      <c r="AY1293" s="87"/>
      <c r="AZ1293" s="93" t="s">
        <v>22668</v>
      </c>
      <c r="BA1293" s="93" t="s">
        <v>22668</v>
      </c>
      <c r="BB1293" s="93" t="s">
        <v>22668</v>
      </c>
      <c r="BC1293" s="93" t="s">
        <v>19529</v>
      </c>
      <c r="BD1293" s="93" t="s">
        <v>23045</v>
      </c>
      <c r="BE1293" s="87"/>
      <c r="BF1293" s="87"/>
      <c r="BG1293" s="87"/>
      <c r="BH1293" s="87"/>
      <c r="BI1293" s="87"/>
    </row>
    <row r="1294" spans="1:61" x14ac:dyDescent="0.25">
      <c r="A1294" s="63" t="s">
        <v>659</v>
      </c>
      <c r="B1294" s="63" t="s">
        <v>659</v>
      </c>
      <c r="C1294" s="64"/>
      <c r="D1294" s="65"/>
      <c r="E1294" s="66"/>
      <c r="F1294" s="67"/>
      <c r="G1294" s="64"/>
      <c r="H1294" s="68"/>
      <c r="I1294" s="69"/>
      <c r="J1294" s="69"/>
      <c r="K1294" s="32"/>
      <c r="L1294" s="76">
        <v>1294</v>
      </c>
      <c r="M1294" s="76"/>
      <c r="N1294" s="71"/>
      <c r="O1294" s="87" t="s">
        <v>179</v>
      </c>
      <c r="P1294" s="90">
        <v>45173.580023148148</v>
      </c>
      <c r="Q1294" s="87" t="s">
        <v>3100</v>
      </c>
      <c r="R1294" s="87">
        <v>0</v>
      </c>
      <c r="S1294" s="87">
        <v>0</v>
      </c>
      <c r="T1294" s="87">
        <v>0</v>
      </c>
      <c r="U1294" s="87">
        <v>0</v>
      </c>
      <c r="V1294" s="87">
        <v>11</v>
      </c>
      <c r="W1294" s="93" t="s">
        <v>6732</v>
      </c>
      <c r="X1294" s="92" t="str">
        <f>HYPERLINK("http://linkr.bio/iniciar_")</f>
        <v>http://linkr.bio/iniciar_</v>
      </c>
      <c r="Y1294" s="87" t="s">
        <v>8444</v>
      </c>
      <c r="Z1294" s="87"/>
      <c r="AA1294" s="87" t="s">
        <v>9448</v>
      </c>
      <c r="AB1294" s="87" t="s">
        <v>11447</v>
      </c>
      <c r="AC1294" s="93" t="s">
        <v>11458</v>
      </c>
      <c r="AD1294" s="87" t="s">
        <v>11519</v>
      </c>
      <c r="AE1294" s="92" t="str">
        <f>HYPERLINK("https://twitter.com/rafaelamorimofc/status/1698696221605478638")</f>
        <v>https://twitter.com/rafaelamorimofc/status/1698696221605478638</v>
      </c>
      <c r="AF1294" s="90">
        <v>45173.580023148148</v>
      </c>
      <c r="AG1294" s="99">
        <v>45173</v>
      </c>
      <c r="AH1294" s="93" t="s">
        <v>12724</v>
      </c>
      <c r="AI1294" s="87" t="b">
        <v>0</v>
      </c>
      <c r="AJ1294" s="87"/>
      <c r="AK1294" s="87"/>
      <c r="AL1294" s="87"/>
      <c r="AM1294" s="87"/>
      <c r="AN1294" s="87"/>
      <c r="AO1294" s="87"/>
      <c r="AP1294" s="87"/>
      <c r="AQ1294" s="87" t="s">
        <v>16261</v>
      </c>
      <c r="AR1294" s="87">
        <v>7458</v>
      </c>
      <c r="AS1294" s="87"/>
      <c r="AT1294" s="87"/>
      <c r="AU1294" s="87"/>
      <c r="AV1294" s="92" t="str">
        <f>HYPERLINK("https://pbs.twimg.com/ext_tw_video_thumb/1698696155394129920/pu/img/WrRMR-UhydkhCFn7.jpg")</f>
        <v>https://pbs.twimg.com/ext_tw_video_thumb/1698696155394129920/pu/img/WrRMR-UhydkhCFn7.jpg</v>
      </c>
      <c r="AW1294" s="93" t="s">
        <v>19530</v>
      </c>
      <c r="AX1294" s="93" t="s">
        <v>19530</v>
      </c>
      <c r="AY1294" s="87"/>
      <c r="AZ1294" s="93" t="s">
        <v>22668</v>
      </c>
      <c r="BA1294" s="93" t="s">
        <v>22668</v>
      </c>
      <c r="BB1294" s="93" t="s">
        <v>22668</v>
      </c>
      <c r="BC1294" s="93" t="s">
        <v>19530</v>
      </c>
      <c r="BD1294" s="93" t="s">
        <v>23045</v>
      </c>
      <c r="BE1294" s="87"/>
      <c r="BF1294" s="87"/>
      <c r="BG1294" s="87"/>
      <c r="BH1294" s="87"/>
      <c r="BI1294" s="87"/>
    </row>
    <row r="1295" spans="1:61" x14ac:dyDescent="0.25">
      <c r="A1295" s="63" t="s">
        <v>659</v>
      </c>
      <c r="B1295" s="63" t="s">
        <v>659</v>
      </c>
      <c r="C1295" s="64"/>
      <c r="D1295" s="65"/>
      <c r="E1295" s="66"/>
      <c r="F1295" s="67"/>
      <c r="G1295" s="64"/>
      <c r="H1295" s="68"/>
      <c r="I1295" s="69"/>
      <c r="J1295" s="69"/>
      <c r="K1295" s="32"/>
      <c r="L1295" s="76">
        <v>1295</v>
      </c>
      <c r="M1295" s="76"/>
      <c r="N1295" s="71"/>
      <c r="O1295" s="87" t="s">
        <v>179</v>
      </c>
      <c r="P1295" s="90">
        <v>45138.634675925925</v>
      </c>
      <c r="Q1295" s="87" t="s">
        <v>3101</v>
      </c>
      <c r="R1295" s="87">
        <v>0</v>
      </c>
      <c r="S1295" s="87">
        <v>0</v>
      </c>
      <c r="T1295" s="87">
        <v>0</v>
      </c>
      <c r="U1295" s="87">
        <v>0</v>
      </c>
      <c r="V1295" s="87">
        <v>26</v>
      </c>
      <c r="W1295" s="93" t="s">
        <v>6733</v>
      </c>
      <c r="X1295" s="92" t="str">
        <f>HYPERLINK("https://linkr.bio/iniciar_")</f>
        <v>https://linkr.bio/iniciar_</v>
      </c>
      <c r="Y1295" s="87" t="s">
        <v>8444</v>
      </c>
      <c r="Z1295" s="87"/>
      <c r="AA1295" s="87" t="s">
        <v>9449</v>
      </c>
      <c r="AB1295" s="87" t="s">
        <v>11447</v>
      </c>
      <c r="AC1295" s="93" t="s">
        <v>11458</v>
      </c>
      <c r="AD1295" s="87" t="s">
        <v>11519</v>
      </c>
      <c r="AE1295" s="92" t="str">
        <f>HYPERLINK("https://twitter.com/rafaelamorimofc/status/1686032455180894208")</f>
        <v>https://twitter.com/rafaelamorimofc/status/1686032455180894208</v>
      </c>
      <c r="AF1295" s="90">
        <v>45138.634675925925</v>
      </c>
      <c r="AG1295" s="99">
        <v>45138</v>
      </c>
      <c r="AH1295" s="93" t="s">
        <v>12725</v>
      </c>
      <c r="AI1295" s="87" t="b">
        <v>0</v>
      </c>
      <c r="AJ1295" s="87"/>
      <c r="AK1295" s="87"/>
      <c r="AL1295" s="87"/>
      <c r="AM1295" s="87"/>
      <c r="AN1295" s="87"/>
      <c r="AO1295" s="87"/>
      <c r="AP1295" s="87"/>
      <c r="AQ1295" s="87" t="s">
        <v>16262</v>
      </c>
      <c r="AR1295" s="87">
        <v>14331</v>
      </c>
      <c r="AS1295" s="87"/>
      <c r="AT1295" s="87"/>
      <c r="AU1295" s="87"/>
      <c r="AV1295" s="92" t="str">
        <f>HYPERLINK("https://pbs.twimg.com/ext_tw_video_thumb/1686032409949573120/pu/img/axggnafqLb45j2_n.jpg")</f>
        <v>https://pbs.twimg.com/ext_tw_video_thumb/1686032409949573120/pu/img/axggnafqLb45j2_n.jpg</v>
      </c>
      <c r="AW1295" s="93" t="s">
        <v>19531</v>
      </c>
      <c r="AX1295" s="93" t="s">
        <v>19531</v>
      </c>
      <c r="AY1295" s="87"/>
      <c r="AZ1295" s="93" t="s">
        <v>22668</v>
      </c>
      <c r="BA1295" s="93" t="s">
        <v>22668</v>
      </c>
      <c r="BB1295" s="93" t="s">
        <v>22668</v>
      </c>
      <c r="BC1295" s="93" t="s">
        <v>19531</v>
      </c>
      <c r="BD1295" s="93" t="s">
        <v>23045</v>
      </c>
      <c r="BE1295" s="87"/>
      <c r="BF1295" s="87"/>
      <c r="BG1295" s="87"/>
      <c r="BH1295" s="87"/>
      <c r="BI1295" s="87"/>
    </row>
    <row r="1296" spans="1:61" x14ac:dyDescent="0.25">
      <c r="A1296" s="63" t="s">
        <v>659</v>
      </c>
      <c r="B1296" s="63" t="s">
        <v>659</v>
      </c>
      <c r="C1296" s="64"/>
      <c r="D1296" s="65"/>
      <c r="E1296" s="66"/>
      <c r="F1296" s="67"/>
      <c r="G1296" s="64"/>
      <c r="H1296" s="68"/>
      <c r="I1296" s="69"/>
      <c r="J1296" s="69"/>
      <c r="K1296" s="32"/>
      <c r="L1296" s="76">
        <v>1296</v>
      </c>
      <c r="M1296" s="76"/>
      <c r="N1296" s="71"/>
      <c r="O1296" s="87" t="s">
        <v>179</v>
      </c>
      <c r="P1296" s="90">
        <v>45171.596365740741</v>
      </c>
      <c r="Q1296" s="87" t="s">
        <v>3102</v>
      </c>
      <c r="R1296" s="87">
        <v>0</v>
      </c>
      <c r="S1296" s="87">
        <v>0</v>
      </c>
      <c r="T1296" s="87">
        <v>0</v>
      </c>
      <c r="U1296" s="87">
        <v>0</v>
      </c>
      <c r="V1296" s="87">
        <v>11</v>
      </c>
      <c r="W1296" s="93" t="s">
        <v>6732</v>
      </c>
      <c r="X1296" s="92" t="str">
        <f>HYPERLINK("http://linkr.bio/iniciar_")</f>
        <v>http://linkr.bio/iniciar_</v>
      </c>
      <c r="Y1296" s="87" t="s">
        <v>8444</v>
      </c>
      <c r="Z1296" s="87"/>
      <c r="AA1296" s="87" t="s">
        <v>9450</v>
      </c>
      <c r="AB1296" s="87" t="s">
        <v>11447</v>
      </c>
      <c r="AC1296" s="93" t="s">
        <v>11458</v>
      </c>
      <c r="AD1296" s="87" t="s">
        <v>11519</v>
      </c>
      <c r="AE1296" s="92" t="str">
        <f>HYPERLINK("https://twitter.com/rafaelamorimofc/status/1697977370106355892")</f>
        <v>https://twitter.com/rafaelamorimofc/status/1697977370106355892</v>
      </c>
      <c r="AF1296" s="90">
        <v>45171.596365740741</v>
      </c>
      <c r="AG1296" s="99">
        <v>45171</v>
      </c>
      <c r="AH1296" s="93" t="s">
        <v>12726</v>
      </c>
      <c r="AI1296" s="87" t="b">
        <v>0</v>
      </c>
      <c r="AJ1296" s="87"/>
      <c r="AK1296" s="87"/>
      <c r="AL1296" s="87"/>
      <c r="AM1296" s="87"/>
      <c r="AN1296" s="87"/>
      <c r="AO1296" s="87"/>
      <c r="AP1296" s="87"/>
      <c r="AQ1296" s="87" t="s">
        <v>16263</v>
      </c>
      <c r="AR1296" s="87">
        <v>7213</v>
      </c>
      <c r="AS1296" s="87"/>
      <c r="AT1296" s="87"/>
      <c r="AU1296" s="87"/>
      <c r="AV1296" s="92" t="str">
        <f>HYPERLINK("https://pbs.twimg.com/ext_tw_video_thumb/1697977318587686912/pu/img/PKETTNUIpLTxJZph.jpg")</f>
        <v>https://pbs.twimg.com/ext_tw_video_thumb/1697977318587686912/pu/img/PKETTNUIpLTxJZph.jpg</v>
      </c>
      <c r="AW1296" s="93" t="s">
        <v>19532</v>
      </c>
      <c r="AX1296" s="93" t="s">
        <v>19532</v>
      </c>
      <c r="AY1296" s="87"/>
      <c r="AZ1296" s="93" t="s">
        <v>22668</v>
      </c>
      <c r="BA1296" s="93" t="s">
        <v>22668</v>
      </c>
      <c r="BB1296" s="93" t="s">
        <v>22668</v>
      </c>
      <c r="BC1296" s="93" t="s">
        <v>19532</v>
      </c>
      <c r="BD1296" s="93" t="s">
        <v>23045</v>
      </c>
      <c r="BE1296" s="87"/>
      <c r="BF1296" s="87"/>
      <c r="BG1296" s="87"/>
      <c r="BH1296" s="87"/>
      <c r="BI1296" s="87"/>
    </row>
    <row r="1297" spans="1:61" x14ac:dyDescent="0.25">
      <c r="A1297" s="63" t="s">
        <v>659</v>
      </c>
      <c r="B1297" s="63" t="s">
        <v>659</v>
      </c>
      <c r="C1297" s="64"/>
      <c r="D1297" s="65"/>
      <c r="E1297" s="66"/>
      <c r="F1297" s="67"/>
      <c r="G1297" s="64"/>
      <c r="H1297" s="68"/>
      <c r="I1297" s="69"/>
      <c r="J1297" s="69"/>
      <c r="K1297" s="32"/>
      <c r="L1297" s="76">
        <v>1297</v>
      </c>
      <c r="M1297" s="76"/>
      <c r="N1297" s="71"/>
      <c r="O1297" s="87" t="s">
        <v>179</v>
      </c>
      <c r="P1297" s="90">
        <v>45188.574074074073</v>
      </c>
      <c r="Q1297" s="87" t="s">
        <v>3103</v>
      </c>
      <c r="R1297" s="87">
        <v>0</v>
      </c>
      <c r="S1297" s="87">
        <v>0</v>
      </c>
      <c r="T1297" s="87">
        <v>0</v>
      </c>
      <c r="U1297" s="87">
        <v>0</v>
      </c>
      <c r="V1297" s="87">
        <v>13</v>
      </c>
      <c r="W1297" s="93" t="s">
        <v>6732</v>
      </c>
      <c r="X1297" s="92" t="str">
        <f>HYPERLINK("http://linkr.bio/iniciar_")</f>
        <v>http://linkr.bio/iniciar_</v>
      </c>
      <c r="Y1297" s="87" t="s">
        <v>8444</v>
      </c>
      <c r="Z1297" s="87"/>
      <c r="AA1297" s="87" t="s">
        <v>9451</v>
      </c>
      <c r="AB1297" s="87" t="s">
        <v>11447</v>
      </c>
      <c r="AC1297" s="93" t="s">
        <v>11458</v>
      </c>
      <c r="AD1297" s="87" t="s">
        <v>11519</v>
      </c>
      <c r="AE1297" s="92" t="str">
        <f>HYPERLINK("https://twitter.com/rafaelamorimofc/status/1704129883272581230")</f>
        <v>https://twitter.com/rafaelamorimofc/status/1704129883272581230</v>
      </c>
      <c r="AF1297" s="90">
        <v>45188.574074074073</v>
      </c>
      <c r="AG1297" s="99">
        <v>45188</v>
      </c>
      <c r="AH1297" s="93" t="s">
        <v>12727</v>
      </c>
      <c r="AI1297" s="87" t="b">
        <v>0</v>
      </c>
      <c r="AJ1297" s="87"/>
      <c r="AK1297" s="87"/>
      <c r="AL1297" s="87"/>
      <c r="AM1297" s="87"/>
      <c r="AN1297" s="87"/>
      <c r="AO1297" s="87"/>
      <c r="AP1297" s="87"/>
      <c r="AQ1297" s="87" t="s">
        <v>16264</v>
      </c>
      <c r="AR1297" s="87">
        <v>13750</v>
      </c>
      <c r="AS1297" s="87"/>
      <c r="AT1297" s="87"/>
      <c r="AU1297" s="87"/>
      <c r="AV1297" s="92" t="str">
        <f>HYPERLINK("https://pbs.twimg.com/ext_tw_video_thumb/1704129798300401664/pu/img/lPVSECTJ5Ug3PZMV.jpg")</f>
        <v>https://pbs.twimg.com/ext_tw_video_thumb/1704129798300401664/pu/img/lPVSECTJ5Ug3PZMV.jpg</v>
      </c>
      <c r="AW1297" s="93" t="s">
        <v>19533</v>
      </c>
      <c r="AX1297" s="93" t="s">
        <v>19533</v>
      </c>
      <c r="AY1297" s="87"/>
      <c r="AZ1297" s="93" t="s">
        <v>22668</v>
      </c>
      <c r="BA1297" s="93" t="s">
        <v>22668</v>
      </c>
      <c r="BB1297" s="93" t="s">
        <v>22668</v>
      </c>
      <c r="BC1297" s="93" t="s">
        <v>19533</v>
      </c>
      <c r="BD1297" s="93" t="s">
        <v>23045</v>
      </c>
      <c r="BE1297" s="87"/>
      <c r="BF1297" s="87"/>
      <c r="BG1297" s="87"/>
      <c r="BH1297" s="87"/>
      <c r="BI1297" s="87"/>
    </row>
    <row r="1298" spans="1:61" x14ac:dyDescent="0.25">
      <c r="A1298" s="63" t="s">
        <v>659</v>
      </c>
      <c r="B1298" s="63" t="s">
        <v>659</v>
      </c>
      <c r="C1298" s="64"/>
      <c r="D1298" s="65"/>
      <c r="E1298" s="66"/>
      <c r="F1298" s="67"/>
      <c r="G1298" s="64"/>
      <c r="H1298" s="68"/>
      <c r="I1298" s="69"/>
      <c r="J1298" s="69"/>
      <c r="K1298" s="32"/>
      <c r="L1298" s="76">
        <v>1298</v>
      </c>
      <c r="M1298" s="76"/>
      <c r="N1298" s="71"/>
      <c r="O1298" s="87" t="s">
        <v>179</v>
      </c>
      <c r="P1298" s="90">
        <v>45170.572743055556</v>
      </c>
      <c r="Q1298" s="87" t="s">
        <v>3104</v>
      </c>
      <c r="R1298" s="87">
        <v>0</v>
      </c>
      <c r="S1298" s="87">
        <v>0</v>
      </c>
      <c r="T1298" s="87">
        <v>0</v>
      </c>
      <c r="U1298" s="87">
        <v>0</v>
      </c>
      <c r="V1298" s="87">
        <v>10</v>
      </c>
      <c r="W1298" s="93" t="s">
        <v>6732</v>
      </c>
      <c r="X1298" s="92" t="str">
        <f>HYPERLINK("http://linkr.bio/iniciar_")</f>
        <v>http://linkr.bio/iniciar_</v>
      </c>
      <c r="Y1298" s="87" t="s">
        <v>8444</v>
      </c>
      <c r="Z1298" s="87"/>
      <c r="AA1298" s="87" t="s">
        <v>9452</v>
      </c>
      <c r="AB1298" s="87" t="s">
        <v>11447</v>
      </c>
      <c r="AC1298" s="93" t="s">
        <v>11458</v>
      </c>
      <c r="AD1298" s="87" t="s">
        <v>11519</v>
      </c>
      <c r="AE1298" s="92" t="str">
        <f>HYPERLINK("https://twitter.com/rafaelamorimofc/status/1697606421678895610")</f>
        <v>https://twitter.com/rafaelamorimofc/status/1697606421678895610</v>
      </c>
      <c r="AF1298" s="90">
        <v>45170.572743055556</v>
      </c>
      <c r="AG1298" s="99">
        <v>45170</v>
      </c>
      <c r="AH1298" s="93" t="s">
        <v>12728</v>
      </c>
      <c r="AI1298" s="87" t="b">
        <v>0</v>
      </c>
      <c r="AJ1298" s="87"/>
      <c r="AK1298" s="87"/>
      <c r="AL1298" s="87"/>
      <c r="AM1298" s="87"/>
      <c r="AN1298" s="87"/>
      <c r="AO1298" s="87"/>
      <c r="AP1298" s="87"/>
      <c r="AQ1298" s="87" t="s">
        <v>16265</v>
      </c>
      <c r="AR1298" s="87">
        <v>9433</v>
      </c>
      <c r="AS1298" s="87"/>
      <c r="AT1298" s="87"/>
      <c r="AU1298" s="87"/>
      <c r="AV1298" s="92" t="str">
        <f>HYPERLINK("https://pbs.twimg.com/ext_tw_video_thumb/1697606368658612224/pu/img/fkJ9D9GhGzK9XJjJ.jpg")</f>
        <v>https://pbs.twimg.com/ext_tw_video_thumb/1697606368658612224/pu/img/fkJ9D9GhGzK9XJjJ.jpg</v>
      </c>
      <c r="AW1298" s="93" t="s">
        <v>19534</v>
      </c>
      <c r="AX1298" s="93" t="s">
        <v>19534</v>
      </c>
      <c r="AY1298" s="87"/>
      <c r="AZ1298" s="93" t="s">
        <v>22668</v>
      </c>
      <c r="BA1298" s="93" t="s">
        <v>22668</v>
      </c>
      <c r="BB1298" s="93" t="s">
        <v>22668</v>
      </c>
      <c r="BC1298" s="93" t="s">
        <v>19534</v>
      </c>
      <c r="BD1298" s="93" t="s">
        <v>23045</v>
      </c>
      <c r="BE1298" s="87"/>
      <c r="BF1298" s="87"/>
      <c r="BG1298" s="87"/>
      <c r="BH1298" s="87"/>
      <c r="BI1298" s="87"/>
    </row>
    <row r="1299" spans="1:61" x14ac:dyDescent="0.25">
      <c r="A1299" s="63" t="s">
        <v>659</v>
      </c>
      <c r="B1299" s="63" t="s">
        <v>659</v>
      </c>
      <c r="C1299" s="64"/>
      <c r="D1299" s="65"/>
      <c r="E1299" s="66"/>
      <c r="F1299" s="67"/>
      <c r="G1299" s="64"/>
      <c r="H1299" s="68"/>
      <c r="I1299" s="69"/>
      <c r="J1299" s="69"/>
      <c r="K1299" s="32"/>
      <c r="L1299" s="76">
        <v>1299</v>
      </c>
      <c r="M1299" s="76"/>
      <c r="N1299" s="71"/>
      <c r="O1299" s="87" t="s">
        <v>179</v>
      </c>
      <c r="P1299" s="90">
        <v>45155.525659722225</v>
      </c>
      <c r="Q1299" s="87" t="s">
        <v>3105</v>
      </c>
      <c r="R1299" s="87">
        <v>0</v>
      </c>
      <c r="S1299" s="87">
        <v>0</v>
      </c>
      <c r="T1299" s="87">
        <v>0</v>
      </c>
      <c r="U1299" s="87">
        <v>0</v>
      </c>
      <c r="V1299" s="87">
        <v>14</v>
      </c>
      <c r="W1299" s="93" t="s">
        <v>6732</v>
      </c>
      <c r="X1299" s="92" t="str">
        <f>HYPERLINK("http://linkr.bio/iniciar_")</f>
        <v>http://linkr.bio/iniciar_</v>
      </c>
      <c r="Y1299" s="87" t="s">
        <v>8444</v>
      </c>
      <c r="Z1299" s="87"/>
      <c r="AA1299" s="87" t="s">
        <v>9453</v>
      </c>
      <c r="AB1299" s="87" t="s">
        <v>11447</v>
      </c>
      <c r="AC1299" s="93" t="s">
        <v>11458</v>
      </c>
      <c r="AD1299" s="87" t="s">
        <v>11519</v>
      </c>
      <c r="AE1299" s="92" t="str">
        <f>HYPERLINK("https://twitter.com/rafaelamorimofc/status/1692153540121124918")</f>
        <v>https://twitter.com/rafaelamorimofc/status/1692153540121124918</v>
      </c>
      <c r="AF1299" s="90">
        <v>45155.525659722225</v>
      </c>
      <c r="AG1299" s="99">
        <v>45155</v>
      </c>
      <c r="AH1299" s="93" t="s">
        <v>12729</v>
      </c>
      <c r="AI1299" s="87" t="b">
        <v>0</v>
      </c>
      <c r="AJ1299" s="87"/>
      <c r="AK1299" s="87"/>
      <c r="AL1299" s="87"/>
      <c r="AM1299" s="87"/>
      <c r="AN1299" s="87"/>
      <c r="AO1299" s="87"/>
      <c r="AP1299" s="87"/>
      <c r="AQ1299" s="87" t="s">
        <v>16266</v>
      </c>
      <c r="AR1299" s="87">
        <v>14280</v>
      </c>
      <c r="AS1299" s="87"/>
      <c r="AT1299" s="87"/>
      <c r="AU1299" s="87"/>
      <c r="AV1299" s="92" t="str">
        <f>HYPERLINK("https://pbs.twimg.com/ext_tw_video_thumb/1692153497431547904/pu/img/uMM2LE-q3F035tRo.jpg")</f>
        <v>https://pbs.twimg.com/ext_tw_video_thumb/1692153497431547904/pu/img/uMM2LE-q3F035tRo.jpg</v>
      </c>
      <c r="AW1299" s="93" t="s">
        <v>19535</v>
      </c>
      <c r="AX1299" s="93" t="s">
        <v>19535</v>
      </c>
      <c r="AY1299" s="87"/>
      <c r="AZ1299" s="93" t="s">
        <v>22668</v>
      </c>
      <c r="BA1299" s="93" t="s">
        <v>22668</v>
      </c>
      <c r="BB1299" s="93" t="s">
        <v>22668</v>
      </c>
      <c r="BC1299" s="93" t="s">
        <v>19535</v>
      </c>
      <c r="BD1299" s="93" t="s">
        <v>23045</v>
      </c>
      <c r="BE1299" s="87"/>
      <c r="BF1299" s="87"/>
      <c r="BG1299" s="87"/>
      <c r="BH1299" s="87"/>
      <c r="BI1299" s="87"/>
    </row>
    <row r="1300" spans="1:61" x14ac:dyDescent="0.25">
      <c r="A1300" s="63" t="s">
        <v>659</v>
      </c>
      <c r="B1300" s="63" t="s">
        <v>659</v>
      </c>
      <c r="C1300" s="64"/>
      <c r="D1300" s="65"/>
      <c r="E1300" s="66"/>
      <c r="F1300" s="67"/>
      <c r="G1300" s="64"/>
      <c r="H1300" s="68"/>
      <c r="I1300" s="69"/>
      <c r="J1300" s="69"/>
      <c r="K1300" s="32"/>
      <c r="L1300" s="76">
        <v>1300</v>
      </c>
      <c r="M1300" s="76"/>
      <c r="N1300" s="71"/>
      <c r="O1300" s="87" t="s">
        <v>179</v>
      </c>
      <c r="P1300" s="90">
        <v>45189.950856481482</v>
      </c>
      <c r="Q1300" s="87" t="s">
        <v>3106</v>
      </c>
      <c r="R1300" s="87">
        <v>0</v>
      </c>
      <c r="S1300" s="87">
        <v>0</v>
      </c>
      <c r="T1300" s="87">
        <v>0</v>
      </c>
      <c r="U1300" s="87">
        <v>0</v>
      </c>
      <c r="V1300" s="87">
        <v>11</v>
      </c>
      <c r="W1300" s="93" t="s">
        <v>6732</v>
      </c>
      <c r="X1300" s="92" t="str">
        <f>HYPERLINK("http://linkr.bio/iniciar_")</f>
        <v>http://linkr.bio/iniciar_</v>
      </c>
      <c r="Y1300" s="87" t="s">
        <v>8444</v>
      </c>
      <c r="Z1300" s="87"/>
      <c r="AA1300" s="87" t="s">
        <v>9454</v>
      </c>
      <c r="AB1300" s="87" t="s">
        <v>11447</v>
      </c>
      <c r="AC1300" s="93" t="s">
        <v>11458</v>
      </c>
      <c r="AD1300" s="87" t="s">
        <v>11519</v>
      </c>
      <c r="AE1300" s="92" t="str">
        <f>HYPERLINK("https://twitter.com/rafaelamorimofc/status/1704628815152988318")</f>
        <v>https://twitter.com/rafaelamorimofc/status/1704628815152988318</v>
      </c>
      <c r="AF1300" s="90">
        <v>45189.950856481482</v>
      </c>
      <c r="AG1300" s="99">
        <v>45189</v>
      </c>
      <c r="AH1300" s="93" t="s">
        <v>12730</v>
      </c>
      <c r="AI1300" s="87" t="b">
        <v>0</v>
      </c>
      <c r="AJ1300" s="87"/>
      <c r="AK1300" s="87"/>
      <c r="AL1300" s="87"/>
      <c r="AM1300" s="87"/>
      <c r="AN1300" s="87"/>
      <c r="AO1300" s="87"/>
      <c r="AP1300" s="87"/>
      <c r="AQ1300" s="87" t="s">
        <v>16267</v>
      </c>
      <c r="AR1300" s="87">
        <v>11593</v>
      </c>
      <c r="AS1300" s="87"/>
      <c r="AT1300" s="87"/>
      <c r="AU1300" s="87"/>
      <c r="AV1300" s="92" t="str">
        <f>HYPERLINK("https://pbs.twimg.com/ext_tw_video_thumb/1704628722043654144/pu/img/WqHzJ8d-nUMX6ZJl.jpg")</f>
        <v>https://pbs.twimg.com/ext_tw_video_thumb/1704628722043654144/pu/img/WqHzJ8d-nUMX6ZJl.jpg</v>
      </c>
      <c r="AW1300" s="93" t="s">
        <v>19536</v>
      </c>
      <c r="AX1300" s="93" t="s">
        <v>19536</v>
      </c>
      <c r="AY1300" s="87"/>
      <c r="AZ1300" s="93" t="s">
        <v>22668</v>
      </c>
      <c r="BA1300" s="93" t="s">
        <v>22668</v>
      </c>
      <c r="BB1300" s="93" t="s">
        <v>22668</v>
      </c>
      <c r="BC1300" s="93" t="s">
        <v>19536</v>
      </c>
      <c r="BD1300" s="93" t="s">
        <v>23045</v>
      </c>
      <c r="BE1300" s="87"/>
      <c r="BF1300" s="87"/>
      <c r="BG1300" s="87"/>
      <c r="BH1300" s="87"/>
      <c r="BI1300" s="87"/>
    </row>
    <row r="1301" spans="1:61" x14ac:dyDescent="0.25">
      <c r="A1301" s="63" t="s">
        <v>659</v>
      </c>
      <c r="B1301" s="63" t="s">
        <v>659</v>
      </c>
      <c r="C1301" s="64"/>
      <c r="D1301" s="65"/>
      <c r="E1301" s="66"/>
      <c r="F1301" s="67"/>
      <c r="G1301" s="64"/>
      <c r="H1301" s="68"/>
      <c r="I1301" s="69"/>
      <c r="J1301" s="69"/>
      <c r="K1301" s="32"/>
      <c r="L1301" s="76">
        <v>1301</v>
      </c>
      <c r="M1301" s="76"/>
      <c r="N1301" s="71"/>
      <c r="O1301" s="87" t="s">
        <v>179</v>
      </c>
      <c r="P1301" s="90">
        <v>45157.654085648152</v>
      </c>
      <c r="Q1301" s="87" t="s">
        <v>3107</v>
      </c>
      <c r="R1301" s="87">
        <v>0</v>
      </c>
      <c r="S1301" s="87">
        <v>0</v>
      </c>
      <c r="T1301" s="87">
        <v>0</v>
      </c>
      <c r="U1301" s="87">
        <v>0</v>
      </c>
      <c r="V1301" s="87">
        <v>12</v>
      </c>
      <c r="W1301" s="93" t="s">
        <v>6732</v>
      </c>
      <c r="X1301" s="92" t="str">
        <f>HYPERLINK("http://linkr.bio/iniciar_")</f>
        <v>http://linkr.bio/iniciar_</v>
      </c>
      <c r="Y1301" s="87" t="s">
        <v>8444</v>
      </c>
      <c r="Z1301" s="87"/>
      <c r="AA1301" s="87" t="s">
        <v>9455</v>
      </c>
      <c r="AB1301" s="87" t="s">
        <v>11447</v>
      </c>
      <c r="AC1301" s="93" t="s">
        <v>11458</v>
      </c>
      <c r="AD1301" s="87" t="s">
        <v>11519</v>
      </c>
      <c r="AE1301" s="92" t="str">
        <f>HYPERLINK("https://twitter.com/rafaelamorimofc/status/1692924855228813546")</f>
        <v>https://twitter.com/rafaelamorimofc/status/1692924855228813546</v>
      </c>
      <c r="AF1301" s="90">
        <v>45157.654085648152</v>
      </c>
      <c r="AG1301" s="99">
        <v>45157</v>
      </c>
      <c r="AH1301" s="93" t="s">
        <v>12731</v>
      </c>
      <c r="AI1301" s="87" t="b">
        <v>0</v>
      </c>
      <c r="AJ1301" s="87"/>
      <c r="AK1301" s="87"/>
      <c r="AL1301" s="87"/>
      <c r="AM1301" s="87"/>
      <c r="AN1301" s="87"/>
      <c r="AO1301" s="87"/>
      <c r="AP1301" s="87"/>
      <c r="AQ1301" s="87" t="s">
        <v>16268</v>
      </c>
      <c r="AR1301" s="87">
        <v>8750</v>
      </c>
      <c r="AS1301" s="87"/>
      <c r="AT1301" s="87"/>
      <c r="AU1301" s="87"/>
      <c r="AV1301" s="92" t="str">
        <f>HYPERLINK("https://pbs.twimg.com/ext_tw_video_thumb/1692924811335405568/pu/img/WlM0Dp69FLFSU25g.jpg")</f>
        <v>https://pbs.twimg.com/ext_tw_video_thumb/1692924811335405568/pu/img/WlM0Dp69FLFSU25g.jpg</v>
      </c>
      <c r="AW1301" s="93" t="s">
        <v>19537</v>
      </c>
      <c r="AX1301" s="93" t="s">
        <v>19537</v>
      </c>
      <c r="AY1301" s="87"/>
      <c r="AZ1301" s="93" t="s">
        <v>22668</v>
      </c>
      <c r="BA1301" s="93" t="s">
        <v>22668</v>
      </c>
      <c r="BB1301" s="93" t="s">
        <v>22668</v>
      </c>
      <c r="BC1301" s="93" t="s">
        <v>19537</v>
      </c>
      <c r="BD1301" s="93" t="s">
        <v>23045</v>
      </c>
      <c r="BE1301" s="87"/>
      <c r="BF1301" s="87"/>
      <c r="BG1301" s="87"/>
      <c r="BH1301" s="87"/>
      <c r="BI1301" s="87"/>
    </row>
    <row r="1302" spans="1:61" x14ac:dyDescent="0.25">
      <c r="A1302" s="63" t="s">
        <v>659</v>
      </c>
      <c r="B1302" s="63" t="s">
        <v>659</v>
      </c>
      <c r="C1302" s="64"/>
      <c r="D1302" s="65"/>
      <c r="E1302" s="66"/>
      <c r="F1302" s="67"/>
      <c r="G1302" s="64"/>
      <c r="H1302" s="68"/>
      <c r="I1302" s="69"/>
      <c r="J1302" s="69"/>
      <c r="K1302" s="32"/>
      <c r="L1302" s="76">
        <v>1302</v>
      </c>
      <c r="M1302" s="76"/>
      <c r="N1302" s="71"/>
      <c r="O1302" s="87" t="s">
        <v>179</v>
      </c>
      <c r="P1302" s="90">
        <v>45156.920243055552</v>
      </c>
      <c r="Q1302" s="87" t="s">
        <v>3108</v>
      </c>
      <c r="R1302" s="87">
        <v>0</v>
      </c>
      <c r="S1302" s="87">
        <v>0</v>
      </c>
      <c r="T1302" s="87">
        <v>0</v>
      </c>
      <c r="U1302" s="87">
        <v>0</v>
      </c>
      <c r="V1302" s="87">
        <v>16</v>
      </c>
      <c r="W1302" s="93" t="s">
        <v>6732</v>
      </c>
      <c r="X1302" s="92" t="str">
        <f>HYPERLINK("http://linkr.bio/iniciar_")</f>
        <v>http://linkr.bio/iniciar_</v>
      </c>
      <c r="Y1302" s="87" t="s">
        <v>8444</v>
      </c>
      <c r="Z1302" s="87"/>
      <c r="AA1302" s="87" t="s">
        <v>9456</v>
      </c>
      <c r="AB1302" s="87" t="s">
        <v>11447</v>
      </c>
      <c r="AC1302" s="93" t="s">
        <v>11458</v>
      </c>
      <c r="AD1302" s="87" t="s">
        <v>11519</v>
      </c>
      <c r="AE1302" s="92" t="str">
        <f>HYPERLINK("https://twitter.com/rafaelamorimofc/status/1692658918961422762")</f>
        <v>https://twitter.com/rafaelamorimofc/status/1692658918961422762</v>
      </c>
      <c r="AF1302" s="90">
        <v>45156.920243055552</v>
      </c>
      <c r="AG1302" s="99">
        <v>45156</v>
      </c>
      <c r="AH1302" s="93" t="s">
        <v>12732</v>
      </c>
      <c r="AI1302" s="87" t="b">
        <v>0</v>
      </c>
      <c r="AJ1302" s="87"/>
      <c r="AK1302" s="87"/>
      <c r="AL1302" s="87"/>
      <c r="AM1302" s="87"/>
      <c r="AN1302" s="87"/>
      <c r="AO1302" s="87"/>
      <c r="AP1302" s="87"/>
      <c r="AQ1302" s="87" t="s">
        <v>16269</v>
      </c>
      <c r="AR1302" s="87">
        <v>11950</v>
      </c>
      <c r="AS1302" s="87"/>
      <c r="AT1302" s="87"/>
      <c r="AU1302" s="87"/>
      <c r="AV1302" s="92" t="str">
        <f>HYPERLINK("https://pbs.twimg.com/ext_tw_video_thumb/1692658803378929664/pu/img/aqI8LW-M51teEZMe.jpg")</f>
        <v>https://pbs.twimg.com/ext_tw_video_thumb/1692658803378929664/pu/img/aqI8LW-M51teEZMe.jpg</v>
      </c>
      <c r="AW1302" s="93" t="s">
        <v>19538</v>
      </c>
      <c r="AX1302" s="93" t="s">
        <v>19538</v>
      </c>
      <c r="AY1302" s="87"/>
      <c r="AZ1302" s="93" t="s">
        <v>22668</v>
      </c>
      <c r="BA1302" s="93" t="s">
        <v>22668</v>
      </c>
      <c r="BB1302" s="93" t="s">
        <v>22668</v>
      </c>
      <c r="BC1302" s="93" t="s">
        <v>19538</v>
      </c>
      <c r="BD1302" s="93" t="s">
        <v>23045</v>
      </c>
      <c r="BE1302" s="87"/>
      <c r="BF1302" s="87"/>
      <c r="BG1302" s="87"/>
      <c r="BH1302" s="87"/>
      <c r="BI1302" s="87"/>
    </row>
    <row r="1303" spans="1:61" x14ac:dyDescent="0.25">
      <c r="A1303" s="63" t="s">
        <v>659</v>
      </c>
      <c r="B1303" s="63" t="s">
        <v>659</v>
      </c>
      <c r="C1303" s="64"/>
      <c r="D1303" s="65"/>
      <c r="E1303" s="66"/>
      <c r="F1303" s="67"/>
      <c r="G1303" s="64"/>
      <c r="H1303" s="68"/>
      <c r="I1303" s="69"/>
      <c r="J1303" s="69"/>
      <c r="K1303" s="32"/>
      <c r="L1303" s="76">
        <v>1303</v>
      </c>
      <c r="M1303" s="76"/>
      <c r="N1303" s="71"/>
      <c r="O1303" s="87" t="s">
        <v>179</v>
      </c>
      <c r="P1303" s="90">
        <v>45156.496354166666</v>
      </c>
      <c r="Q1303" s="87" t="s">
        <v>3109</v>
      </c>
      <c r="R1303" s="87">
        <v>0</v>
      </c>
      <c r="S1303" s="87">
        <v>0</v>
      </c>
      <c r="T1303" s="87">
        <v>0</v>
      </c>
      <c r="U1303" s="87">
        <v>0</v>
      </c>
      <c r="V1303" s="87">
        <v>13</v>
      </c>
      <c r="W1303" s="93" t="s">
        <v>6732</v>
      </c>
      <c r="X1303" s="92" t="str">
        <f>HYPERLINK("http://linkr.bio/iniciar_")</f>
        <v>http://linkr.bio/iniciar_</v>
      </c>
      <c r="Y1303" s="87" t="s">
        <v>8444</v>
      </c>
      <c r="Z1303" s="87"/>
      <c r="AA1303" s="87" t="s">
        <v>9457</v>
      </c>
      <c r="AB1303" s="87" t="s">
        <v>11447</v>
      </c>
      <c r="AC1303" s="93" t="s">
        <v>11458</v>
      </c>
      <c r="AD1303" s="87" t="s">
        <v>11519</v>
      </c>
      <c r="AE1303" s="92" t="str">
        <f>HYPERLINK("https://twitter.com/rafaelamorimofc/status/1692505307019145647")</f>
        <v>https://twitter.com/rafaelamorimofc/status/1692505307019145647</v>
      </c>
      <c r="AF1303" s="90">
        <v>45156.496354166666</v>
      </c>
      <c r="AG1303" s="99">
        <v>45156</v>
      </c>
      <c r="AH1303" s="93" t="s">
        <v>12733</v>
      </c>
      <c r="AI1303" s="87" t="b">
        <v>0</v>
      </c>
      <c r="AJ1303" s="87"/>
      <c r="AK1303" s="87"/>
      <c r="AL1303" s="87"/>
      <c r="AM1303" s="87"/>
      <c r="AN1303" s="87"/>
      <c r="AO1303" s="87"/>
      <c r="AP1303" s="87"/>
      <c r="AQ1303" s="87" t="s">
        <v>16270</v>
      </c>
      <c r="AR1303" s="87">
        <v>6033</v>
      </c>
      <c r="AS1303" s="87"/>
      <c r="AT1303" s="87"/>
      <c r="AU1303" s="87"/>
      <c r="AV1303" s="92" t="str">
        <f>HYPERLINK("https://pbs.twimg.com/ext_tw_video_thumb/1692505265344565248/pu/img/8dbE4dxJZkYkpLyb.jpg")</f>
        <v>https://pbs.twimg.com/ext_tw_video_thumb/1692505265344565248/pu/img/8dbE4dxJZkYkpLyb.jpg</v>
      </c>
      <c r="AW1303" s="93" t="s">
        <v>19539</v>
      </c>
      <c r="AX1303" s="93" t="s">
        <v>19539</v>
      </c>
      <c r="AY1303" s="87"/>
      <c r="AZ1303" s="93" t="s">
        <v>22668</v>
      </c>
      <c r="BA1303" s="93" t="s">
        <v>22668</v>
      </c>
      <c r="BB1303" s="93" t="s">
        <v>22668</v>
      </c>
      <c r="BC1303" s="93" t="s">
        <v>19539</v>
      </c>
      <c r="BD1303" s="93" t="s">
        <v>23045</v>
      </c>
      <c r="BE1303" s="87"/>
      <c r="BF1303" s="87"/>
      <c r="BG1303" s="87"/>
      <c r="BH1303" s="87"/>
      <c r="BI1303" s="87"/>
    </row>
    <row r="1304" spans="1:61" x14ac:dyDescent="0.25">
      <c r="A1304" s="63" t="s">
        <v>659</v>
      </c>
      <c r="B1304" s="63" t="s">
        <v>659</v>
      </c>
      <c r="C1304" s="64"/>
      <c r="D1304" s="65"/>
      <c r="E1304" s="66"/>
      <c r="F1304" s="67"/>
      <c r="G1304" s="64"/>
      <c r="H1304" s="68"/>
      <c r="I1304" s="69"/>
      <c r="J1304" s="69"/>
      <c r="K1304" s="32"/>
      <c r="L1304" s="76">
        <v>1304</v>
      </c>
      <c r="M1304" s="76"/>
      <c r="N1304" s="71"/>
      <c r="O1304" s="87" t="s">
        <v>179</v>
      </c>
      <c r="P1304" s="90">
        <v>45192.612893518519</v>
      </c>
      <c r="Q1304" s="87" t="s">
        <v>3110</v>
      </c>
      <c r="R1304" s="87">
        <v>0</v>
      </c>
      <c r="S1304" s="87">
        <v>0</v>
      </c>
      <c r="T1304" s="87">
        <v>0</v>
      </c>
      <c r="U1304" s="87">
        <v>0</v>
      </c>
      <c r="V1304" s="87">
        <v>12</v>
      </c>
      <c r="W1304" s="93" t="s">
        <v>6732</v>
      </c>
      <c r="X1304" s="92" t="str">
        <f>HYPERLINK("http://linkr.bio/iniciar_")</f>
        <v>http://linkr.bio/iniciar_</v>
      </c>
      <c r="Y1304" s="87" t="s">
        <v>8444</v>
      </c>
      <c r="Z1304" s="87"/>
      <c r="AA1304" s="87" t="s">
        <v>9458</v>
      </c>
      <c r="AB1304" s="87" t="s">
        <v>11447</v>
      </c>
      <c r="AC1304" s="93" t="s">
        <v>11458</v>
      </c>
      <c r="AD1304" s="87" t="s">
        <v>11519</v>
      </c>
      <c r="AE1304" s="92" t="str">
        <f>HYPERLINK("https://twitter.com/rafaelamorimofc/status/1705593505748291879")</f>
        <v>https://twitter.com/rafaelamorimofc/status/1705593505748291879</v>
      </c>
      <c r="AF1304" s="90">
        <v>45192.612893518519</v>
      </c>
      <c r="AG1304" s="99">
        <v>45192</v>
      </c>
      <c r="AH1304" s="93" t="s">
        <v>12734</v>
      </c>
      <c r="AI1304" s="87" t="b">
        <v>0</v>
      </c>
      <c r="AJ1304" s="87"/>
      <c r="AK1304" s="87"/>
      <c r="AL1304" s="87"/>
      <c r="AM1304" s="87"/>
      <c r="AN1304" s="87"/>
      <c r="AO1304" s="87"/>
      <c r="AP1304" s="87"/>
      <c r="AQ1304" s="87" t="s">
        <v>16271</v>
      </c>
      <c r="AR1304" s="87">
        <v>8800</v>
      </c>
      <c r="AS1304" s="87"/>
      <c r="AT1304" s="87"/>
      <c r="AU1304" s="87"/>
      <c r="AV1304" s="92" t="str">
        <f>HYPERLINK("https://pbs.twimg.com/ext_tw_video_thumb/1705593471896027136/pu/img/d_ES8eQR_bcttt1W.jpg")</f>
        <v>https://pbs.twimg.com/ext_tw_video_thumb/1705593471896027136/pu/img/d_ES8eQR_bcttt1W.jpg</v>
      </c>
      <c r="AW1304" s="93" t="s">
        <v>19540</v>
      </c>
      <c r="AX1304" s="93" t="s">
        <v>19540</v>
      </c>
      <c r="AY1304" s="87"/>
      <c r="AZ1304" s="93" t="s">
        <v>22668</v>
      </c>
      <c r="BA1304" s="93" t="s">
        <v>22668</v>
      </c>
      <c r="BB1304" s="93" t="s">
        <v>22668</v>
      </c>
      <c r="BC1304" s="93" t="s">
        <v>19540</v>
      </c>
      <c r="BD1304" s="93" t="s">
        <v>23045</v>
      </c>
      <c r="BE1304" s="87"/>
      <c r="BF1304" s="87"/>
      <c r="BG1304" s="87"/>
      <c r="BH1304" s="87"/>
      <c r="BI1304" s="87"/>
    </row>
    <row r="1305" spans="1:61" x14ac:dyDescent="0.25">
      <c r="A1305" s="63" t="s">
        <v>659</v>
      </c>
      <c r="B1305" s="63" t="s">
        <v>659</v>
      </c>
      <c r="C1305" s="64"/>
      <c r="D1305" s="65"/>
      <c r="E1305" s="66"/>
      <c r="F1305" s="67"/>
      <c r="G1305" s="64"/>
      <c r="H1305" s="68"/>
      <c r="I1305" s="69"/>
      <c r="J1305" s="69"/>
      <c r="K1305" s="32"/>
      <c r="L1305" s="76">
        <v>1305</v>
      </c>
      <c r="M1305" s="76"/>
      <c r="N1305" s="71"/>
      <c r="O1305" s="87" t="s">
        <v>179</v>
      </c>
      <c r="P1305" s="90">
        <v>45154.614884259259</v>
      </c>
      <c r="Q1305" s="87" t="s">
        <v>3111</v>
      </c>
      <c r="R1305" s="87">
        <v>0</v>
      </c>
      <c r="S1305" s="87">
        <v>0</v>
      </c>
      <c r="T1305" s="87">
        <v>0</v>
      </c>
      <c r="U1305" s="87">
        <v>0</v>
      </c>
      <c r="V1305" s="87">
        <v>21</v>
      </c>
      <c r="W1305" s="93" t="s">
        <v>6732</v>
      </c>
      <c r="X1305" s="92" t="str">
        <f>HYPERLINK("http://linkr.bio/iniciar_")</f>
        <v>http://linkr.bio/iniciar_</v>
      </c>
      <c r="Y1305" s="87" t="s">
        <v>8444</v>
      </c>
      <c r="Z1305" s="87"/>
      <c r="AA1305" s="87" t="s">
        <v>9459</v>
      </c>
      <c r="AB1305" s="87" t="s">
        <v>11447</v>
      </c>
      <c r="AC1305" s="93" t="s">
        <v>11458</v>
      </c>
      <c r="AD1305" s="87" t="s">
        <v>11519</v>
      </c>
      <c r="AE1305" s="92" t="str">
        <f>HYPERLINK("https://twitter.com/rafaelamorimofc/status/1691823487894036618")</f>
        <v>https://twitter.com/rafaelamorimofc/status/1691823487894036618</v>
      </c>
      <c r="AF1305" s="90">
        <v>45154.614884259259</v>
      </c>
      <c r="AG1305" s="99">
        <v>45154</v>
      </c>
      <c r="AH1305" s="93" t="s">
        <v>12735</v>
      </c>
      <c r="AI1305" s="87" t="b">
        <v>0</v>
      </c>
      <c r="AJ1305" s="87"/>
      <c r="AK1305" s="87"/>
      <c r="AL1305" s="87"/>
      <c r="AM1305" s="87"/>
      <c r="AN1305" s="87"/>
      <c r="AO1305" s="87"/>
      <c r="AP1305" s="87"/>
      <c r="AQ1305" s="87" t="s">
        <v>16272</v>
      </c>
      <c r="AR1305" s="87">
        <v>6923</v>
      </c>
      <c r="AS1305" s="87"/>
      <c r="AT1305" s="87"/>
      <c r="AU1305" s="87"/>
      <c r="AV1305" s="92" t="str">
        <f>HYPERLINK("https://pbs.twimg.com/ext_tw_video_thumb/1691823377634205697/pu/img/iclr6FS6nS9Sbtqa.jpg")</f>
        <v>https://pbs.twimg.com/ext_tw_video_thumb/1691823377634205697/pu/img/iclr6FS6nS9Sbtqa.jpg</v>
      </c>
      <c r="AW1305" s="93" t="s">
        <v>19541</v>
      </c>
      <c r="AX1305" s="93" t="s">
        <v>19541</v>
      </c>
      <c r="AY1305" s="87"/>
      <c r="AZ1305" s="93" t="s">
        <v>22668</v>
      </c>
      <c r="BA1305" s="93" t="s">
        <v>22668</v>
      </c>
      <c r="BB1305" s="93" t="s">
        <v>22668</v>
      </c>
      <c r="BC1305" s="93" t="s">
        <v>19541</v>
      </c>
      <c r="BD1305" s="93" t="s">
        <v>23045</v>
      </c>
      <c r="BE1305" s="87"/>
      <c r="BF1305" s="87"/>
      <c r="BG1305" s="87"/>
      <c r="BH1305" s="87"/>
      <c r="BI1305" s="87"/>
    </row>
    <row r="1306" spans="1:61" x14ac:dyDescent="0.25">
      <c r="A1306" s="63" t="s">
        <v>659</v>
      </c>
      <c r="B1306" s="63" t="s">
        <v>659</v>
      </c>
      <c r="C1306" s="64"/>
      <c r="D1306" s="65"/>
      <c r="E1306" s="66"/>
      <c r="F1306" s="67"/>
      <c r="G1306" s="64"/>
      <c r="H1306" s="68"/>
      <c r="I1306" s="69"/>
      <c r="J1306" s="69"/>
      <c r="K1306" s="32"/>
      <c r="L1306" s="76">
        <v>1306</v>
      </c>
      <c r="M1306" s="76"/>
      <c r="N1306" s="71"/>
      <c r="O1306" s="87" t="s">
        <v>179</v>
      </c>
      <c r="P1306" s="90">
        <v>45153.986342592594</v>
      </c>
      <c r="Q1306" s="87" t="s">
        <v>3112</v>
      </c>
      <c r="R1306" s="87">
        <v>0</v>
      </c>
      <c r="S1306" s="87">
        <v>0</v>
      </c>
      <c r="T1306" s="87">
        <v>1</v>
      </c>
      <c r="U1306" s="87">
        <v>0</v>
      </c>
      <c r="V1306" s="87">
        <v>19</v>
      </c>
      <c r="W1306" s="93" t="s">
        <v>6732</v>
      </c>
      <c r="X1306" s="92" t="str">
        <f>HYPERLINK("http://linkr.bio/iniciar_")</f>
        <v>http://linkr.bio/iniciar_</v>
      </c>
      <c r="Y1306" s="87" t="s">
        <v>8444</v>
      </c>
      <c r="Z1306" s="87"/>
      <c r="AA1306" s="87" t="s">
        <v>9460</v>
      </c>
      <c r="AB1306" s="87" t="s">
        <v>11447</v>
      </c>
      <c r="AC1306" s="93" t="s">
        <v>11458</v>
      </c>
      <c r="AD1306" s="87" t="s">
        <v>11519</v>
      </c>
      <c r="AE1306" s="92" t="str">
        <f>HYPERLINK("https://twitter.com/rafaelamorimofc/status/1691595710792094054")</f>
        <v>https://twitter.com/rafaelamorimofc/status/1691595710792094054</v>
      </c>
      <c r="AF1306" s="90">
        <v>45153.986342592594</v>
      </c>
      <c r="AG1306" s="99">
        <v>45153</v>
      </c>
      <c r="AH1306" s="93" t="s">
        <v>12736</v>
      </c>
      <c r="AI1306" s="87" t="b">
        <v>0</v>
      </c>
      <c r="AJ1306" s="87"/>
      <c r="AK1306" s="87"/>
      <c r="AL1306" s="87"/>
      <c r="AM1306" s="87"/>
      <c r="AN1306" s="87"/>
      <c r="AO1306" s="87"/>
      <c r="AP1306" s="87"/>
      <c r="AQ1306" s="87" t="s">
        <v>16273</v>
      </c>
      <c r="AR1306" s="87">
        <v>10016</v>
      </c>
      <c r="AS1306" s="87"/>
      <c r="AT1306" s="87"/>
      <c r="AU1306" s="87"/>
      <c r="AV1306" s="92" t="str">
        <f>HYPERLINK("https://pbs.twimg.com/ext_tw_video_thumb/1691595663803355138/pu/img/dqQWNmSv8qKPMa9n.jpg")</f>
        <v>https://pbs.twimg.com/ext_tw_video_thumb/1691595663803355138/pu/img/dqQWNmSv8qKPMa9n.jpg</v>
      </c>
      <c r="AW1306" s="93" t="s">
        <v>19542</v>
      </c>
      <c r="AX1306" s="93" t="s">
        <v>19542</v>
      </c>
      <c r="AY1306" s="87"/>
      <c r="AZ1306" s="93" t="s">
        <v>22668</v>
      </c>
      <c r="BA1306" s="93" t="s">
        <v>22668</v>
      </c>
      <c r="BB1306" s="93" t="s">
        <v>22668</v>
      </c>
      <c r="BC1306" s="93" t="s">
        <v>19542</v>
      </c>
      <c r="BD1306" s="93" t="s">
        <v>23045</v>
      </c>
      <c r="BE1306" s="87"/>
      <c r="BF1306" s="87"/>
      <c r="BG1306" s="87"/>
      <c r="BH1306" s="87"/>
      <c r="BI1306" s="87"/>
    </row>
    <row r="1307" spans="1:61" x14ac:dyDescent="0.25">
      <c r="A1307" s="63" t="s">
        <v>659</v>
      </c>
      <c r="B1307" s="63" t="s">
        <v>659</v>
      </c>
      <c r="C1307" s="64"/>
      <c r="D1307" s="65"/>
      <c r="E1307" s="66"/>
      <c r="F1307" s="67"/>
      <c r="G1307" s="64"/>
      <c r="H1307" s="68"/>
      <c r="I1307" s="69"/>
      <c r="J1307" s="69"/>
      <c r="K1307" s="32"/>
      <c r="L1307" s="76">
        <v>1307</v>
      </c>
      <c r="M1307" s="76"/>
      <c r="N1307" s="71"/>
      <c r="O1307" s="87" t="s">
        <v>179</v>
      </c>
      <c r="P1307" s="90">
        <v>45141.637291666666</v>
      </c>
      <c r="Q1307" s="87" t="s">
        <v>3113</v>
      </c>
      <c r="R1307" s="87">
        <v>0</v>
      </c>
      <c r="S1307" s="87">
        <v>0</v>
      </c>
      <c r="T1307" s="87">
        <v>0</v>
      </c>
      <c r="U1307" s="87">
        <v>0</v>
      </c>
      <c r="V1307" s="87">
        <v>24</v>
      </c>
      <c r="W1307" s="93" t="s">
        <v>6731</v>
      </c>
      <c r="X1307" s="92" t="str">
        <f>HYPERLINK("http://linkr.bio/iniciar_")</f>
        <v>http://linkr.bio/iniciar_</v>
      </c>
      <c r="Y1307" s="87" t="s">
        <v>8444</v>
      </c>
      <c r="Z1307" s="87"/>
      <c r="AA1307" s="87" t="s">
        <v>9461</v>
      </c>
      <c r="AB1307" s="87" t="s">
        <v>11447</v>
      </c>
      <c r="AC1307" s="93" t="s">
        <v>11458</v>
      </c>
      <c r="AD1307" s="87" t="s">
        <v>11519</v>
      </c>
      <c r="AE1307" s="92" t="str">
        <f>HYPERLINK("https://twitter.com/rafaelamorimofc/status/1687120566212255746")</f>
        <v>https://twitter.com/rafaelamorimofc/status/1687120566212255746</v>
      </c>
      <c r="AF1307" s="90">
        <v>45141.637291666666</v>
      </c>
      <c r="AG1307" s="99">
        <v>45141</v>
      </c>
      <c r="AH1307" s="93" t="s">
        <v>12737</v>
      </c>
      <c r="AI1307" s="87" t="b">
        <v>0</v>
      </c>
      <c r="AJ1307" s="87"/>
      <c r="AK1307" s="87"/>
      <c r="AL1307" s="87"/>
      <c r="AM1307" s="87"/>
      <c r="AN1307" s="87"/>
      <c r="AO1307" s="87"/>
      <c r="AP1307" s="87"/>
      <c r="AQ1307" s="87" t="s">
        <v>16274</v>
      </c>
      <c r="AR1307" s="87">
        <v>12270</v>
      </c>
      <c r="AS1307" s="87"/>
      <c r="AT1307" s="87"/>
      <c r="AU1307" s="87"/>
      <c r="AV1307" s="92" t="str">
        <f>HYPERLINK("https://pbs.twimg.com/ext_tw_video_thumb/1687120447417065473/pu/img/2rInVKXuSZfqoSTV.jpg")</f>
        <v>https://pbs.twimg.com/ext_tw_video_thumb/1687120447417065473/pu/img/2rInVKXuSZfqoSTV.jpg</v>
      </c>
      <c r="AW1307" s="93" t="s">
        <v>19543</v>
      </c>
      <c r="AX1307" s="93" t="s">
        <v>19543</v>
      </c>
      <c r="AY1307" s="87"/>
      <c r="AZ1307" s="93" t="s">
        <v>22668</v>
      </c>
      <c r="BA1307" s="93" t="s">
        <v>22668</v>
      </c>
      <c r="BB1307" s="93" t="s">
        <v>22668</v>
      </c>
      <c r="BC1307" s="93" t="s">
        <v>19543</v>
      </c>
      <c r="BD1307" s="93" t="s">
        <v>23045</v>
      </c>
      <c r="BE1307" s="87"/>
      <c r="BF1307" s="87"/>
      <c r="BG1307" s="87"/>
      <c r="BH1307" s="87"/>
      <c r="BI1307" s="87"/>
    </row>
    <row r="1308" spans="1:61" x14ac:dyDescent="0.25">
      <c r="A1308" s="63" t="s">
        <v>659</v>
      </c>
      <c r="B1308" s="63" t="s">
        <v>659</v>
      </c>
      <c r="C1308" s="64"/>
      <c r="D1308" s="65"/>
      <c r="E1308" s="66"/>
      <c r="F1308" s="67"/>
      <c r="G1308" s="64"/>
      <c r="H1308" s="68"/>
      <c r="I1308" s="69"/>
      <c r="J1308" s="69"/>
      <c r="K1308" s="32"/>
      <c r="L1308" s="76">
        <v>1308</v>
      </c>
      <c r="M1308" s="76"/>
      <c r="N1308" s="71"/>
      <c r="O1308" s="87" t="s">
        <v>179</v>
      </c>
      <c r="P1308" s="90">
        <v>45140.678136574075</v>
      </c>
      <c r="Q1308" s="87" t="s">
        <v>3114</v>
      </c>
      <c r="R1308" s="87">
        <v>0</v>
      </c>
      <c r="S1308" s="87">
        <v>0</v>
      </c>
      <c r="T1308" s="87">
        <v>0</v>
      </c>
      <c r="U1308" s="87">
        <v>0</v>
      </c>
      <c r="V1308" s="87">
        <v>22</v>
      </c>
      <c r="W1308" s="93" t="s">
        <v>6731</v>
      </c>
      <c r="X1308" s="92" t="str">
        <f>HYPERLINK("http://linkr.bio/iniciar_")</f>
        <v>http://linkr.bio/iniciar_</v>
      </c>
      <c r="Y1308" s="87" t="s">
        <v>8444</v>
      </c>
      <c r="Z1308" s="87"/>
      <c r="AA1308" s="87" t="s">
        <v>9462</v>
      </c>
      <c r="AB1308" s="87" t="s">
        <v>11447</v>
      </c>
      <c r="AC1308" s="93" t="s">
        <v>11458</v>
      </c>
      <c r="AD1308" s="87" t="s">
        <v>11519</v>
      </c>
      <c r="AE1308" s="92" t="str">
        <f>HYPERLINK("https://twitter.com/rafaelamorimofc/status/1686772978631987201")</f>
        <v>https://twitter.com/rafaelamorimofc/status/1686772978631987201</v>
      </c>
      <c r="AF1308" s="90">
        <v>45140.678136574075</v>
      </c>
      <c r="AG1308" s="99">
        <v>45140</v>
      </c>
      <c r="AH1308" s="93" t="s">
        <v>12738</v>
      </c>
      <c r="AI1308" s="87" t="b">
        <v>0</v>
      </c>
      <c r="AJ1308" s="87"/>
      <c r="AK1308" s="87"/>
      <c r="AL1308" s="87"/>
      <c r="AM1308" s="87"/>
      <c r="AN1308" s="87"/>
      <c r="AO1308" s="87"/>
      <c r="AP1308" s="87"/>
      <c r="AQ1308" s="87" t="s">
        <v>16275</v>
      </c>
      <c r="AR1308" s="87">
        <v>9016</v>
      </c>
      <c r="AS1308" s="87"/>
      <c r="AT1308" s="87"/>
      <c r="AU1308" s="87"/>
      <c r="AV1308" s="92" t="str">
        <f>HYPERLINK("https://pbs.twimg.com/ext_tw_video_thumb/1686772902736117760/pu/img/yW-JK3jbCkOT8vmS.jpg")</f>
        <v>https://pbs.twimg.com/ext_tw_video_thumb/1686772902736117760/pu/img/yW-JK3jbCkOT8vmS.jpg</v>
      </c>
      <c r="AW1308" s="93" t="s">
        <v>19544</v>
      </c>
      <c r="AX1308" s="93" t="s">
        <v>19544</v>
      </c>
      <c r="AY1308" s="87"/>
      <c r="AZ1308" s="93" t="s">
        <v>22668</v>
      </c>
      <c r="BA1308" s="93" t="s">
        <v>22668</v>
      </c>
      <c r="BB1308" s="93" t="s">
        <v>22668</v>
      </c>
      <c r="BC1308" s="93" t="s">
        <v>19544</v>
      </c>
      <c r="BD1308" s="93" t="s">
        <v>23045</v>
      </c>
      <c r="BE1308" s="87"/>
      <c r="BF1308" s="87"/>
      <c r="BG1308" s="87"/>
      <c r="BH1308" s="87"/>
      <c r="BI1308" s="87"/>
    </row>
    <row r="1309" spans="1:61" x14ac:dyDescent="0.25">
      <c r="A1309" s="63" t="s">
        <v>659</v>
      </c>
      <c r="B1309" s="63" t="s">
        <v>659</v>
      </c>
      <c r="C1309" s="64"/>
      <c r="D1309" s="65"/>
      <c r="E1309" s="66"/>
      <c r="F1309" s="67"/>
      <c r="G1309" s="64"/>
      <c r="H1309" s="68"/>
      <c r="I1309" s="69"/>
      <c r="J1309" s="69"/>
      <c r="K1309" s="32"/>
      <c r="L1309" s="76">
        <v>1309</v>
      </c>
      <c r="M1309" s="76"/>
      <c r="N1309" s="71"/>
      <c r="O1309" s="87" t="s">
        <v>179</v>
      </c>
      <c r="P1309" s="90">
        <v>45195.576192129629</v>
      </c>
      <c r="Q1309" s="87" t="s">
        <v>3115</v>
      </c>
      <c r="R1309" s="87">
        <v>0</v>
      </c>
      <c r="S1309" s="87">
        <v>0</v>
      </c>
      <c r="T1309" s="87">
        <v>0</v>
      </c>
      <c r="U1309" s="87">
        <v>0</v>
      </c>
      <c r="V1309" s="87">
        <v>10</v>
      </c>
      <c r="W1309" s="93" t="s">
        <v>6732</v>
      </c>
      <c r="X1309" s="92" t="str">
        <f>HYPERLINK("http://linkr.bio/iniciar_")</f>
        <v>http://linkr.bio/iniciar_</v>
      </c>
      <c r="Y1309" s="87" t="s">
        <v>8444</v>
      </c>
      <c r="Z1309" s="87"/>
      <c r="AA1309" s="87" t="s">
        <v>9463</v>
      </c>
      <c r="AB1309" s="87" t="s">
        <v>11447</v>
      </c>
      <c r="AC1309" s="93" t="s">
        <v>11458</v>
      </c>
      <c r="AD1309" s="87" t="s">
        <v>11519</v>
      </c>
      <c r="AE1309" s="92" t="str">
        <f>HYPERLINK("https://twitter.com/rafaelamorimofc/status/1706667368850604364")</f>
        <v>https://twitter.com/rafaelamorimofc/status/1706667368850604364</v>
      </c>
      <c r="AF1309" s="90">
        <v>45195.576192129629</v>
      </c>
      <c r="AG1309" s="99">
        <v>45195</v>
      </c>
      <c r="AH1309" s="93" t="s">
        <v>12739</v>
      </c>
      <c r="AI1309" s="87" t="b">
        <v>0</v>
      </c>
      <c r="AJ1309" s="87"/>
      <c r="AK1309" s="87"/>
      <c r="AL1309" s="87"/>
      <c r="AM1309" s="87"/>
      <c r="AN1309" s="87"/>
      <c r="AO1309" s="87"/>
      <c r="AP1309" s="87"/>
      <c r="AQ1309" s="87" t="s">
        <v>16276</v>
      </c>
      <c r="AR1309" s="87">
        <v>12196</v>
      </c>
      <c r="AS1309" s="87"/>
      <c r="AT1309" s="87"/>
      <c r="AU1309" s="87"/>
      <c r="AV1309" s="92" t="str">
        <f>HYPERLINK("https://pbs.twimg.com/ext_tw_video_thumb/1706667295081406464/pu/img/eaDaI-IhxOTiprMR.jpg")</f>
        <v>https://pbs.twimg.com/ext_tw_video_thumb/1706667295081406464/pu/img/eaDaI-IhxOTiprMR.jpg</v>
      </c>
      <c r="AW1309" s="93" t="s">
        <v>19545</v>
      </c>
      <c r="AX1309" s="93" t="s">
        <v>19545</v>
      </c>
      <c r="AY1309" s="87"/>
      <c r="AZ1309" s="93" t="s">
        <v>22668</v>
      </c>
      <c r="BA1309" s="93" t="s">
        <v>22668</v>
      </c>
      <c r="BB1309" s="93" t="s">
        <v>22668</v>
      </c>
      <c r="BC1309" s="93" t="s">
        <v>19545</v>
      </c>
      <c r="BD1309" s="93" t="s">
        <v>23045</v>
      </c>
      <c r="BE1309" s="87"/>
      <c r="BF1309" s="87"/>
      <c r="BG1309" s="87"/>
      <c r="BH1309" s="87"/>
      <c r="BI1309" s="87"/>
    </row>
    <row r="1310" spans="1:61" x14ac:dyDescent="0.25">
      <c r="A1310" s="63" t="s">
        <v>659</v>
      </c>
      <c r="B1310" s="63" t="s">
        <v>659</v>
      </c>
      <c r="C1310" s="64"/>
      <c r="D1310" s="65"/>
      <c r="E1310" s="66"/>
      <c r="F1310" s="67"/>
      <c r="G1310" s="64"/>
      <c r="H1310" s="68"/>
      <c r="I1310" s="69"/>
      <c r="J1310" s="69"/>
      <c r="K1310" s="32"/>
      <c r="L1310" s="76">
        <v>1310</v>
      </c>
      <c r="M1310" s="76"/>
      <c r="N1310" s="71"/>
      <c r="O1310" s="87" t="s">
        <v>179</v>
      </c>
      <c r="P1310" s="90">
        <v>45189.550150462965</v>
      </c>
      <c r="Q1310" s="87" t="s">
        <v>3116</v>
      </c>
      <c r="R1310" s="87">
        <v>0</v>
      </c>
      <c r="S1310" s="87">
        <v>0</v>
      </c>
      <c r="T1310" s="87">
        <v>0</v>
      </c>
      <c r="U1310" s="87">
        <v>0</v>
      </c>
      <c r="V1310" s="87">
        <v>11</v>
      </c>
      <c r="W1310" s="93" t="s">
        <v>6732</v>
      </c>
      <c r="X1310" s="92" t="str">
        <f>HYPERLINK("http://linkr.bio/iniciar_")</f>
        <v>http://linkr.bio/iniciar_</v>
      </c>
      <c r="Y1310" s="87" t="s">
        <v>8444</v>
      </c>
      <c r="Z1310" s="87"/>
      <c r="AA1310" s="87" t="s">
        <v>9464</v>
      </c>
      <c r="AB1310" s="87" t="s">
        <v>11447</v>
      </c>
      <c r="AC1310" s="93" t="s">
        <v>11458</v>
      </c>
      <c r="AD1310" s="87" t="s">
        <v>11519</v>
      </c>
      <c r="AE1310" s="92" t="str">
        <f>HYPERLINK("https://twitter.com/rafaelamorimofc/status/1704483605072740673")</f>
        <v>https://twitter.com/rafaelamorimofc/status/1704483605072740673</v>
      </c>
      <c r="AF1310" s="90">
        <v>45189.550150462965</v>
      </c>
      <c r="AG1310" s="99">
        <v>45189</v>
      </c>
      <c r="AH1310" s="93" t="s">
        <v>12740</v>
      </c>
      <c r="AI1310" s="87" t="b">
        <v>0</v>
      </c>
      <c r="AJ1310" s="87"/>
      <c r="AK1310" s="87"/>
      <c r="AL1310" s="87"/>
      <c r="AM1310" s="87"/>
      <c r="AN1310" s="87"/>
      <c r="AO1310" s="87"/>
      <c r="AP1310" s="87"/>
      <c r="AQ1310" s="87" t="s">
        <v>16277</v>
      </c>
      <c r="AR1310" s="87">
        <v>8811</v>
      </c>
      <c r="AS1310" s="87"/>
      <c r="AT1310" s="87"/>
      <c r="AU1310" s="87"/>
      <c r="AV1310" s="92" t="str">
        <f>HYPERLINK("https://pbs.twimg.com/ext_tw_video_thumb/1704483541810085888/pu/img/pDAj_wwN2REMaDKu.jpg")</f>
        <v>https://pbs.twimg.com/ext_tw_video_thumb/1704483541810085888/pu/img/pDAj_wwN2REMaDKu.jpg</v>
      </c>
      <c r="AW1310" s="93" t="s">
        <v>19546</v>
      </c>
      <c r="AX1310" s="93" t="s">
        <v>19546</v>
      </c>
      <c r="AY1310" s="87"/>
      <c r="AZ1310" s="93" t="s">
        <v>22668</v>
      </c>
      <c r="BA1310" s="93" t="s">
        <v>22668</v>
      </c>
      <c r="BB1310" s="93" t="s">
        <v>22668</v>
      </c>
      <c r="BC1310" s="93" t="s">
        <v>19546</v>
      </c>
      <c r="BD1310" s="93" t="s">
        <v>23045</v>
      </c>
      <c r="BE1310" s="87"/>
      <c r="BF1310" s="87"/>
      <c r="BG1310" s="87"/>
      <c r="BH1310" s="87"/>
      <c r="BI1310" s="87"/>
    </row>
    <row r="1311" spans="1:61" x14ac:dyDescent="0.25">
      <c r="A1311" s="63" t="s">
        <v>659</v>
      </c>
      <c r="B1311" s="63" t="s">
        <v>659</v>
      </c>
      <c r="C1311" s="64"/>
      <c r="D1311" s="65"/>
      <c r="E1311" s="66"/>
      <c r="F1311" s="67"/>
      <c r="G1311" s="64"/>
      <c r="H1311" s="68"/>
      <c r="I1311" s="69"/>
      <c r="J1311" s="69"/>
      <c r="K1311" s="32"/>
      <c r="L1311" s="76">
        <v>1311</v>
      </c>
      <c r="M1311" s="76"/>
      <c r="N1311" s="71"/>
      <c r="O1311" s="87" t="s">
        <v>179</v>
      </c>
      <c r="P1311" s="90">
        <v>45153.504861111112</v>
      </c>
      <c r="Q1311" s="87" t="s">
        <v>3117</v>
      </c>
      <c r="R1311" s="87">
        <v>0</v>
      </c>
      <c r="S1311" s="87">
        <v>0</v>
      </c>
      <c r="T1311" s="87">
        <v>0</v>
      </c>
      <c r="U1311" s="87">
        <v>0</v>
      </c>
      <c r="V1311" s="87">
        <v>19</v>
      </c>
      <c r="W1311" s="93" t="s">
        <v>6732</v>
      </c>
      <c r="X1311" s="92" t="str">
        <f>HYPERLINK("http://linkr.bio/iniciar_")</f>
        <v>http://linkr.bio/iniciar_</v>
      </c>
      <c r="Y1311" s="87" t="s">
        <v>8444</v>
      </c>
      <c r="Z1311" s="87"/>
      <c r="AA1311" s="87" t="s">
        <v>9465</v>
      </c>
      <c r="AB1311" s="87" t="s">
        <v>11447</v>
      </c>
      <c r="AC1311" s="93" t="s">
        <v>11458</v>
      </c>
      <c r="AD1311" s="87" t="s">
        <v>11519</v>
      </c>
      <c r="AE1311" s="92" t="str">
        <f>HYPERLINK("https://twitter.com/rafaelamorimofc/status/1691421226223177729")</f>
        <v>https://twitter.com/rafaelamorimofc/status/1691421226223177729</v>
      </c>
      <c r="AF1311" s="90">
        <v>45153.504861111112</v>
      </c>
      <c r="AG1311" s="99">
        <v>45153</v>
      </c>
      <c r="AH1311" s="93" t="s">
        <v>12741</v>
      </c>
      <c r="AI1311" s="87" t="b">
        <v>0</v>
      </c>
      <c r="AJ1311" s="87"/>
      <c r="AK1311" s="87"/>
      <c r="AL1311" s="87"/>
      <c r="AM1311" s="87"/>
      <c r="AN1311" s="87"/>
      <c r="AO1311" s="87"/>
      <c r="AP1311" s="87"/>
      <c r="AQ1311" s="87" t="s">
        <v>16278</v>
      </c>
      <c r="AR1311" s="87">
        <v>10440</v>
      </c>
      <c r="AS1311" s="87"/>
      <c r="AT1311" s="87"/>
      <c r="AU1311" s="87"/>
      <c r="AV1311" s="92" t="str">
        <f>HYPERLINK("https://pbs.twimg.com/ext_tw_video_thumb/1691421204274446336/pu/img/x4P6PMitZQvE8bAK.jpg")</f>
        <v>https://pbs.twimg.com/ext_tw_video_thumb/1691421204274446336/pu/img/x4P6PMitZQvE8bAK.jpg</v>
      </c>
      <c r="AW1311" s="93" t="s">
        <v>19547</v>
      </c>
      <c r="AX1311" s="93" t="s">
        <v>19547</v>
      </c>
      <c r="AY1311" s="87"/>
      <c r="AZ1311" s="93" t="s">
        <v>22668</v>
      </c>
      <c r="BA1311" s="93" t="s">
        <v>22668</v>
      </c>
      <c r="BB1311" s="93" t="s">
        <v>22668</v>
      </c>
      <c r="BC1311" s="93" t="s">
        <v>19547</v>
      </c>
      <c r="BD1311" s="93" t="s">
        <v>23045</v>
      </c>
      <c r="BE1311" s="87"/>
      <c r="BF1311" s="87"/>
      <c r="BG1311" s="87"/>
      <c r="BH1311" s="87"/>
      <c r="BI1311" s="87"/>
    </row>
    <row r="1312" spans="1:61" x14ac:dyDescent="0.25">
      <c r="A1312" s="63" t="s">
        <v>659</v>
      </c>
      <c r="B1312" s="63" t="s">
        <v>659</v>
      </c>
      <c r="C1312" s="64"/>
      <c r="D1312" s="65"/>
      <c r="E1312" s="66"/>
      <c r="F1312" s="67"/>
      <c r="G1312" s="64"/>
      <c r="H1312" s="68"/>
      <c r="I1312" s="69"/>
      <c r="J1312" s="69"/>
      <c r="K1312" s="32"/>
      <c r="L1312" s="76">
        <v>1312</v>
      </c>
      <c r="M1312" s="76"/>
      <c r="N1312" s="71"/>
      <c r="O1312" s="87" t="s">
        <v>179</v>
      </c>
      <c r="P1312" s="90">
        <v>45152.573657407411</v>
      </c>
      <c r="Q1312" s="87" t="s">
        <v>3118</v>
      </c>
      <c r="R1312" s="87">
        <v>0</v>
      </c>
      <c r="S1312" s="87">
        <v>0</v>
      </c>
      <c r="T1312" s="87">
        <v>0</v>
      </c>
      <c r="U1312" s="87">
        <v>0</v>
      </c>
      <c r="V1312" s="87">
        <v>38</v>
      </c>
      <c r="W1312" s="93" t="s">
        <v>6732</v>
      </c>
      <c r="X1312" s="92" t="str">
        <f>HYPERLINK("https://linkr.bio/iniciar_")</f>
        <v>https://linkr.bio/iniciar_</v>
      </c>
      <c r="Y1312" s="87" t="s">
        <v>8444</v>
      </c>
      <c r="Z1312" s="87"/>
      <c r="AA1312" s="87" t="s">
        <v>9466</v>
      </c>
      <c r="AB1312" s="87" t="s">
        <v>11447</v>
      </c>
      <c r="AC1312" s="93" t="s">
        <v>11458</v>
      </c>
      <c r="AD1312" s="87" t="s">
        <v>11519</v>
      </c>
      <c r="AE1312" s="92" t="str">
        <f>HYPERLINK("https://twitter.com/rafaelamorimofc/status/1691083769791361026")</f>
        <v>https://twitter.com/rafaelamorimofc/status/1691083769791361026</v>
      </c>
      <c r="AF1312" s="90">
        <v>45152.573657407411</v>
      </c>
      <c r="AG1312" s="99">
        <v>45152</v>
      </c>
      <c r="AH1312" s="93" t="s">
        <v>12742</v>
      </c>
      <c r="AI1312" s="87" t="b">
        <v>0</v>
      </c>
      <c r="AJ1312" s="87"/>
      <c r="AK1312" s="87"/>
      <c r="AL1312" s="87"/>
      <c r="AM1312" s="87"/>
      <c r="AN1312" s="87"/>
      <c r="AO1312" s="87"/>
      <c r="AP1312" s="87"/>
      <c r="AQ1312" s="87" t="s">
        <v>16279</v>
      </c>
      <c r="AR1312" s="87">
        <v>12148</v>
      </c>
      <c r="AS1312" s="87"/>
      <c r="AT1312" s="87"/>
      <c r="AU1312" s="87"/>
      <c r="AV1312" s="92" t="str">
        <f>HYPERLINK("https://pbs.twimg.com/ext_tw_video_thumb/1691083641982455810/pu/img/yy7Cr7CPREbp3DoF.jpg")</f>
        <v>https://pbs.twimg.com/ext_tw_video_thumb/1691083641982455810/pu/img/yy7Cr7CPREbp3DoF.jpg</v>
      </c>
      <c r="AW1312" s="93" t="s">
        <v>19548</v>
      </c>
      <c r="AX1312" s="93" t="s">
        <v>19548</v>
      </c>
      <c r="AY1312" s="87"/>
      <c r="AZ1312" s="93" t="s">
        <v>22668</v>
      </c>
      <c r="BA1312" s="93" t="s">
        <v>22668</v>
      </c>
      <c r="BB1312" s="93" t="s">
        <v>22668</v>
      </c>
      <c r="BC1312" s="93" t="s">
        <v>19548</v>
      </c>
      <c r="BD1312" s="93" t="s">
        <v>23045</v>
      </c>
      <c r="BE1312" s="87"/>
      <c r="BF1312" s="87"/>
      <c r="BG1312" s="87"/>
      <c r="BH1312" s="87"/>
      <c r="BI1312" s="87"/>
    </row>
    <row r="1313" spans="1:61" x14ac:dyDescent="0.25">
      <c r="A1313" s="63" t="s">
        <v>660</v>
      </c>
      <c r="B1313" s="63" t="s">
        <v>660</v>
      </c>
      <c r="C1313" s="64"/>
      <c r="D1313" s="65"/>
      <c r="E1313" s="66"/>
      <c r="F1313" s="67"/>
      <c r="G1313" s="64"/>
      <c r="H1313" s="68"/>
      <c r="I1313" s="69"/>
      <c r="J1313" s="69"/>
      <c r="K1313" s="32"/>
      <c r="L1313" s="76">
        <v>1313</v>
      </c>
      <c r="M1313" s="76"/>
      <c r="N1313" s="71"/>
      <c r="O1313" s="87" t="s">
        <v>179</v>
      </c>
      <c r="P1313" s="90">
        <v>45118.783564814818</v>
      </c>
      <c r="Q1313" s="87" t="s">
        <v>3119</v>
      </c>
      <c r="R1313" s="87">
        <v>0</v>
      </c>
      <c r="S1313" s="87">
        <v>1</v>
      </c>
      <c r="T1313" s="87">
        <v>0</v>
      </c>
      <c r="U1313" s="87">
        <v>0</v>
      </c>
      <c r="V1313" s="87">
        <v>54</v>
      </c>
      <c r="W1313" s="93" t="s">
        <v>6734</v>
      </c>
      <c r="X1313" s="87"/>
      <c r="Y1313" s="87"/>
      <c r="Z1313" s="87"/>
      <c r="AA1313" s="87" t="s">
        <v>9467</v>
      </c>
      <c r="AB1313" s="87" t="s">
        <v>11448</v>
      </c>
      <c r="AC1313" s="93" t="s">
        <v>11459</v>
      </c>
      <c r="AD1313" s="87" t="s">
        <v>11523</v>
      </c>
      <c r="AE1313" s="92" t="str">
        <f>HYPERLINK("https://twitter.com/ricardo83976752/status/1678838651566936064")</f>
        <v>https://twitter.com/ricardo83976752/status/1678838651566936064</v>
      </c>
      <c r="AF1313" s="90">
        <v>45118.783564814818</v>
      </c>
      <c r="AG1313" s="99">
        <v>45118</v>
      </c>
      <c r="AH1313" s="93" t="s">
        <v>12743</v>
      </c>
      <c r="AI1313" s="87" t="b">
        <v>0</v>
      </c>
      <c r="AJ1313" s="87"/>
      <c r="AK1313" s="87"/>
      <c r="AL1313" s="87"/>
      <c r="AM1313" s="87"/>
      <c r="AN1313" s="87"/>
      <c r="AO1313" s="87"/>
      <c r="AP1313" s="87"/>
      <c r="AQ1313" s="87" t="s">
        <v>16280</v>
      </c>
      <c r="AR1313" s="87"/>
      <c r="AS1313" s="87"/>
      <c r="AT1313" s="87"/>
      <c r="AU1313" s="87"/>
      <c r="AV1313" s="92" t="str">
        <f>HYPERLINK("https://pbs.twimg.com/media/F0xu2rtXwAERIwW.jpg")</f>
        <v>https://pbs.twimg.com/media/F0xu2rtXwAERIwW.jpg</v>
      </c>
      <c r="AW1313" s="93" t="s">
        <v>19549</v>
      </c>
      <c r="AX1313" s="93" t="s">
        <v>19549</v>
      </c>
      <c r="AY1313" s="87"/>
      <c r="AZ1313" s="93" t="s">
        <v>22668</v>
      </c>
      <c r="BA1313" s="93" t="s">
        <v>22668</v>
      </c>
      <c r="BB1313" s="93" t="s">
        <v>22668</v>
      </c>
      <c r="BC1313" s="93" t="s">
        <v>19549</v>
      </c>
      <c r="BD1313" s="93" t="s">
        <v>23046</v>
      </c>
      <c r="BE1313" s="87"/>
      <c r="BF1313" s="87"/>
      <c r="BG1313" s="87"/>
      <c r="BH1313" s="87"/>
      <c r="BI1313" s="87"/>
    </row>
    <row r="1314" spans="1:61" x14ac:dyDescent="0.25">
      <c r="A1314" s="63" t="s">
        <v>660</v>
      </c>
      <c r="B1314" s="63" t="s">
        <v>660</v>
      </c>
      <c r="C1314" s="64"/>
      <c r="D1314" s="65"/>
      <c r="E1314" s="66"/>
      <c r="F1314" s="67"/>
      <c r="G1314" s="64"/>
      <c r="H1314" s="68"/>
      <c r="I1314" s="69"/>
      <c r="J1314" s="69"/>
      <c r="K1314" s="32"/>
      <c r="L1314" s="76">
        <v>1314</v>
      </c>
      <c r="M1314" s="76"/>
      <c r="N1314" s="71"/>
      <c r="O1314" s="87" t="s">
        <v>179</v>
      </c>
      <c r="P1314" s="90">
        <v>45168.838506944441</v>
      </c>
      <c r="Q1314" s="87" t="s">
        <v>3120</v>
      </c>
      <c r="R1314" s="87">
        <v>0</v>
      </c>
      <c r="S1314" s="87">
        <v>1</v>
      </c>
      <c r="T1314" s="87">
        <v>0</v>
      </c>
      <c r="U1314" s="87">
        <v>0</v>
      </c>
      <c r="V1314" s="87">
        <v>9</v>
      </c>
      <c r="W1314" s="93" t="s">
        <v>6735</v>
      </c>
      <c r="X1314" s="87"/>
      <c r="Y1314" s="87"/>
      <c r="Z1314" s="87"/>
      <c r="AA1314" s="87" t="s">
        <v>9468</v>
      </c>
      <c r="AB1314" s="87" t="s">
        <v>11448</v>
      </c>
      <c r="AC1314" s="93" t="s">
        <v>11459</v>
      </c>
      <c r="AD1314" s="87" t="s">
        <v>11523</v>
      </c>
      <c r="AE1314" s="92" t="str">
        <f>HYPERLINK("https://twitter.com/ricardo83976752/status/1696977956998922416")</f>
        <v>https://twitter.com/ricardo83976752/status/1696977956998922416</v>
      </c>
      <c r="AF1314" s="90">
        <v>45168.838506944441</v>
      </c>
      <c r="AG1314" s="99">
        <v>45168</v>
      </c>
      <c r="AH1314" s="93" t="s">
        <v>12744</v>
      </c>
      <c r="AI1314" s="87" t="b">
        <v>0</v>
      </c>
      <c r="AJ1314" s="87"/>
      <c r="AK1314" s="87"/>
      <c r="AL1314" s="87"/>
      <c r="AM1314" s="87"/>
      <c r="AN1314" s="87"/>
      <c r="AO1314" s="87"/>
      <c r="AP1314" s="87"/>
      <c r="AQ1314" s="87" t="s">
        <v>16281</v>
      </c>
      <c r="AR1314" s="87"/>
      <c r="AS1314" s="87"/>
      <c r="AT1314" s="87"/>
      <c r="AU1314" s="87"/>
      <c r="AV1314" s="92" t="str">
        <f>HYPERLINK("https://pbs.twimg.com/media/F4zgdIzWsAASEwx.jpg")</f>
        <v>https://pbs.twimg.com/media/F4zgdIzWsAASEwx.jpg</v>
      </c>
      <c r="AW1314" s="93" t="s">
        <v>19550</v>
      </c>
      <c r="AX1314" s="93" t="s">
        <v>19550</v>
      </c>
      <c r="AY1314" s="87"/>
      <c r="AZ1314" s="93" t="s">
        <v>22668</v>
      </c>
      <c r="BA1314" s="93" t="s">
        <v>22668</v>
      </c>
      <c r="BB1314" s="93" t="s">
        <v>22668</v>
      </c>
      <c r="BC1314" s="93" t="s">
        <v>19550</v>
      </c>
      <c r="BD1314" s="93" t="s">
        <v>23046</v>
      </c>
      <c r="BE1314" s="87"/>
      <c r="BF1314" s="87"/>
      <c r="BG1314" s="87"/>
      <c r="BH1314" s="87"/>
      <c r="BI1314" s="87"/>
    </row>
    <row r="1315" spans="1:61" x14ac:dyDescent="0.25">
      <c r="A1315" s="63" t="s">
        <v>661</v>
      </c>
      <c r="B1315" s="63" t="s">
        <v>661</v>
      </c>
      <c r="C1315" s="64"/>
      <c r="D1315" s="65"/>
      <c r="E1315" s="66"/>
      <c r="F1315" s="67"/>
      <c r="G1315" s="64"/>
      <c r="H1315" s="68"/>
      <c r="I1315" s="69"/>
      <c r="J1315" s="69"/>
      <c r="K1315" s="32"/>
      <c r="L1315" s="76">
        <v>1315</v>
      </c>
      <c r="M1315" s="76"/>
      <c r="N1315" s="71"/>
      <c r="O1315" s="87" t="s">
        <v>179</v>
      </c>
      <c r="P1315" s="90">
        <v>45132.066180555557</v>
      </c>
      <c r="Q1315" s="87" t="s">
        <v>3121</v>
      </c>
      <c r="R1315" s="87">
        <v>0</v>
      </c>
      <c r="S1315" s="87">
        <v>0</v>
      </c>
      <c r="T1315" s="87">
        <v>0</v>
      </c>
      <c r="U1315" s="87">
        <v>0</v>
      </c>
      <c r="V1315" s="87">
        <v>13</v>
      </c>
      <c r="W1315" s="93" t="s">
        <v>6736</v>
      </c>
      <c r="X1315" s="87"/>
      <c r="Y1315" s="87"/>
      <c r="Z1315" s="87"/>
      <c r="AA1315" s="87" t="s">
        <v>9469</v>
      </c>
      <c r="AB1315" s="87" t="s">
        <v>11448</v>
      </c>
      <c r="AC1315" s="93" t="s">
        <v>11459</v>
      </c>
      <c r="AD1315" s="87" t="s">
        <v>11520</v>
      </c>
      <c r="AE1315" s="92" t="str">
        <f>HYPERLINK("https://twitter.com/oteroking/status/1683652111228182531")</f>
        <v>https://twitter.com/oteroking/status/1683652111228182531</v>
      </c>
      <c r="AF1315" s="90">
        <v>45132.066180555557</v>
      </c>
      <c r="AG1315" s="99">
        <v>45132</v>
      </c>
      <c r="AH1315" s="93" t="s">
        <v>12745</v>
      </c>
      <c r="AI1315" s="87" t="b">
        <v>0</v>
      </c>
      <c r="AJ1315" s="87"/>
      <c r="AK1315" s="87"/>
      <c r="AL1315" s="87"/>
      <c r="AM1315" s="87"/>
      <c r="AN1315" s="87"/>
      <c r="AO1315" s="87"/>
      <c r="AP1315" s="87"/>
      <c r="AQ1315" s="87" t="s">
        <v>16282</v>
      </c>
      <c r="AR1315" s="87"/>
      <c r="AS1315" s="87"/>
      <c r="AT1315" s="87"/>
      <c r="AU1315" s="87"/>
      <c r="AV1315" s="92" t="str">
        <f>HYPERLINK("https://pbs.twimg.com/media/F12IrC4XoAMo56H.jpg")</f>
        <v>https://pbs.twimg.com/media/F12IrC4XoAMo56H.jpg</v>
      </c>
      <c r="AW1315" s="93" t="s">
        <v>19551</v>
      </c>
      <c r="AX1315" s="93" t="s">
        <v>19551</v>
      </c>
      <c r="AY1315" s="87"/>
      <c r="AZ1315" s="93" t="s">
        <v>22668</v>
      </c>
      <c r="BA1315" s="93" t="s">
        <v>22668</v>
      </c>
      <c r="BB1315" s="93" t="s">
        <v>22668</v>
      </c>
      <c r="BC1315" s="93" t="s">
        <v>19551</v>
      </c>
      <c r="BD1315" s="93" t="s">
        <v>23047</v>
      </c>
      <c r="BE1315" s="87"/>
      <c r="BF1315" s="87"/>
      <c r="BG1315" s="87"/>
      <c r="BH1315" s="87"/>
      <c r="BI1315" s="87"/>
    </row>
    <row r="1316" spans="1:61" x14ac:dyDescent="0.25">
      <c r="A1316" s="63" t="s">
        <v>662</v>
      </c>
      <c r="B1316" s="63" t="s">
        <v>662</v>
      </c>
      <c r="C1316" s="64"/>
      <c r="D1316" s="65"/>
      <c r="E1316" s="66"/>
      <c r="F1316" s="67"/>
      <c r="G1316" s="64"/>
      <c r="H1316" s="68"/>
      <c r="I1316" s="69"/>
      <c r="J1316" s="69"/>
      <c r="K1316" s="32"/>
      <c r="L1316" s="76">
        <v>1316</v>
      </c>
      <c r="M1316" s="76"/>
      <c r="N1316" s="71"/>
      <c r="O1316" s="87" t="s">
        <v>179</v>
      </c>
      <c r="P1316" s="90">
        <v>45187.633460648147</v>
      </c>
      <c r="Q1316" s="87" t="s">
        <v>3122</v>
      </c>
      <c r="R1316" s="87">
        <v>0</v>
      </c>
      <c r="S1316" s="87">
        <v>2</v>
      </c>
      <c r="T1316" s="87">
        <v>0</v>
      </c>
      <c r="U1316" s="87">
        <v>0</v>
      </c>
      <c r="V1316" s="87">
        <v>38</v>
      </c>
      <c r="W1316" s="93" t="s">
        <v>6737</v>
      </c>
      <c r="X1316" s="87"/>
      <c r="Y1316" s="87"/>
      <c r="Z1316" s="87"/>
      <c r="AA1316" s="87" t="s">
        <v>9470</v>
      </c>
      <c r="AB1316" s="87" t="s">
        <v>11447</v>
      </c>
      <c r="AC1316" s="93" t="s">
        <v>11458</v>
      </c>
      <c r="AD1316" s="87" t="s">
        <v>11519</v>
      </c>
      <c r="AE1316" s="92" t="str">
        <f>HYPERLINK("https://twitter.com/leocrunfli_mkt/status/1703789016930288036")</f>
        <v>https://twitter.com/leocrunfli_mkt/status/1703789016930288036</v>
      </c>
      <c r="AF1316" s="90">
        <v>45187.633460648147</v>
      </c>
      <c r="AG1316" s="99">
        <v>45187</v>
      </c>
      <c r="AH1316" s="93" t="s">
        <v>11648</v>
      </c>
      <c r="AI1316" s="87" t="b">
        <v>0</v>
      </c>
      <c r="AJ1316" s="87"/>
      <c r="AK1316" s="87"/>
      <c r="AL1316" s="87"/>
      <c r="AM1316" s="87"/>
      <c r="AN1316" s="87"/>
      <c r="AO1316" s="87"/>
      <c r="AP1316" s="87"/>
      <c r="AQ1316" s="87" t="s">
        <v>16283</v>
      </c>
      <c r="AR1316" s="87">
        <v>64700</v>
      </c>
      <c r="AS1316" s="87"/>
      <c r="AT1316" s="87"/>
      <c r="AU1316" s="87"/>
      <c r="AV1316" s="92" t="str">
        <f>HYPERLINK("https://pbs.twimg.com/ext_tw_video_thumb/1703788919186169856/pu/img/SKzM1vTfo1XXZlpx.jpg")</f>
        <v>https://pbs.twimg.com/ext_tw_video_thumb/1703788919186169856/pu/img/SKzM1vTfo1XXZlpx.jpg</v>
      </c>
      <c r="AW1316" s="93" t="s">
        <v>19552</v>
      </c>
      <c r="AX1316" s="93" t="s">
        <v>19552</v>
      </c>
      <c r="AY1316" s="87"/>
      <c r="AZ1316" s="93" t="s">
        <v>22668</v>
      </c>
      <c r="BA1316" s="93" t="s">
        <v>22668</v>
      </c>
      <c r="BB1316" s="93" t="s">
        <v>22668</v>
      </c>
      <c r="BC1316" s="93" t="s">
        <v>19552</v>
      </c>
      <c r="BD1316" s="93" t="s">
        <v>23048</v>
      </c>
      <c r="BE1316" s="87"/>
      <c r="BF1316" s="87"/>
      <c r="BG1316" s="87"/>
      <c r="BH1316" s="87"/>
      <c r="BI1316" s="87"/>
    </row>
    <row r="1317" spans="1:61" x14ac:dyDescent="0.25">
      <c r="A1317" s="63" t="s">
        <v>663</v>
      </c>
      <c r="B1317" s="63" t="s">
        <v>663</v>
      </c>
      <c r="C1317" s="64"/>
      <c r="D1317" s="65"/>
      <c r="E1317" s="66"/>
      <c r="F1317" s="67"/>
      <c r="G1317" s="64"/>
      <c r="H1317" s="68"/>
      <c r="I1317" s="69"/>
      <c r="J1317" s="69"/>
      <c r="K1317" s="32"/>
      <c r="L1317" s="76">
        <v>1317</v>
      </c>
      <c r="M1317" s="76"/>
      <c r="N1317" s="71"/>
      <c r="O1317" s="87" t="s">
        <v>179</v>
      </c>
      <c r="P1317" s="90">
        <v>45146.453587962962</v>
      </c>
      <c r="Q1317" s="87" t="s">
        <v>3123</v>
      </c>
      <c r="R1317" s="87">
        <v>0</v>
      </c>
      <c r="S1317" s="87">
        <v>0</v>
      </c>
      <c r="T1317" s="87">
        <v>0</v>
      </c>
      <c r="U1317" s="87">
        <v>0</v>
      </c>
      <c r="V1317" s="87">
        <v>8</v>
      </c>
      <c r="W1317" s="93" t="s">
        <v>6738</v>
      </c>
      <c r="X1317" s="92" t="str">
        <f>HYPERLINK("https://www.businessinformativos.com.br/AreaRestrita/Verinformativo/index/MjAyM18wOC82OTcw")</f>
        <v>https://www.businessinformativos.com.br/AreaRestrita/Verinformativo/index/MjAyM18wOC82OTcw</v>
      </c>
      <c r="Y1317" s="87" t="s">
        <v>8373</v>
      </c>
      <c r="Z1317" s="87"/>
      <c r="AA1317" s="87" t="s">
        <v>9471</v>
      </c>
      <c r="AB1317" s="87" t="s">
        <v>11448</v>
      </c>
      <c r="AC1317" s="93" t="s">
        <v>11457</v>
      </c>
      <c r="AD1317" s="87" t="s">
        <v>11519</v>
      </c>
      <c r="AE1317" s="92" t="str">
        <f>HYPERLINK("https://twitter.com/coppolacontabil/status/1688865932263804928")</f>
        <v>https://twitter.com/coppolacontabil/status/1688865932263804928</v>
      </c>
      <c r="AF1317" s="90">
        <v>45146.453587962962</v>
      </c>
      <c r="AG1317" s="99">
        <v>45146</v>
      </c>
      <c r="AH1317" s="93" t="s">
        <v>12746</v>
      </c>
      <c r="AI1317" s="87" t="b">
        <v>0</v>
      </c>
      <c r="AJ1317" s="87"/>
      <c r="AK1317" s="87"/>
      <c r="AL1317" s="87"/>
      <c r="AM1317" s="87"/>
      <c r="AN1317" s="87"/>
      <c r="AO1317" s="87"/>
      <c r="AP1317" s="87"/>
      <c r="AQ1317" s="87" t="s">
        <v>16284</v>
      </c>
      <c r="AR1317" s="87"/>
      <c r="AS1317" s="87"/>
      <c r="AT1317" s="87"/>
      <c r="AU1317" s="87"/>
      <c r="AV1317" s="92" t="str">
        <f>HYPERLINK("https://pbs.twimg.com/media/F3AOkKcWIAASD1K.png")</f>
        <v>https://pbs.twimg.com/media/F3AOkKcWIAASD1K.png</v>
      </c>
      <c r="AW1317" s="93" t="s">
        <v>19553</v>
      </c>
      <c r="AX1317" s="93" t="s">
        <v>19553</v>
      </c>
      <c r="AY1317" s="87"/>
      <c r="AZ1317" s="93" t="s">
        <v>22668</v>
      </c>
      <c r="BA1317" s="93" t="s">
        <v>22668</v>
      </c>
      <c r="BB1317" s="93" t="s">
        <v>22668</v>
      </c>
      <c r="BC1317" s="93" t="s">
        <v>19553</v>
      </c>
      <c r="BD1317" s="87">
        <v>1379704542</v>
      </c>
      <c r="BE1317" s="87"/>
      <c r="BF1317" s="87"/>
      <c r="BG1317" s="87"/>
      <c r="BH1317" s="87"/>
      <c r="BI1317" s="87"/>
    </row>
    <row r="1318" spans="1:61" x14ac:dyDescent="0.25">
      <c r="A1318" s="63" t="s">
        <v>664</v>
      </c>
      <c r="B1318" s="63" t="s">
        <v>664</v>
      </c>
      <c r="C1318" s="64"/>
      <c r="D1318" s="65"/>
      <c r="E1318" s="66"/>
      <c r="F1318" s="67"/>
      <c r="G1318" s="64"/>
      <c r="H1318" s="68"/>
      <c r="I1318" s="69"/>
      <c r="J1318" s="69"/>
      <c r="K1318" s="32"/>
      <c r="L1318" s="76">
        <v>1318</v>
      </c>
      <c r="M1318" s="76"/>
      <c r="N1318" s="71"/>
      <c r="O1318" s="87" t="s">
        <v>179</v>
      </c>
      <c r="P1318" s="90">
        <v>45153.642233796294</v>
      </c>
      <c r="Q1318" s="87" t="s">
        <v>3124</v>
      </c>
      <c r="R1318" s="87">
        <v>0</v>
      </c>
      <c r="S1318" s="87">
        <v>0</v>
      </c>
      <c r="T1318" s="87">
        <v>1</v>
      </c>
      <c r="U1318" s="87">
        <v>0</v>
      </c>
      <c r="V1318" s="87">
        <v>18</v>
      </c>
      <c r="W1318" s="93" t="s">
        <v>6739</v>
      </c>
      <c r="X1318" s="87"/>
      <c r="Y1318" s="87"/>
      <c r="Z1318" s="87"/>
      <c r="AA1318" s="87" t="s">
        <v>9472</v>
      </c>
      <c r="AB1318" s="87" t="s">
        <v>11448</v>
      </c>
      <c r="AC1318" s="93" t="s">
        <v>11457</v>
      </c>
      <c r="AD1318" s="87" t="s">
        <v>11519</v>
      </c>
      <c r="AE1318" s="92" t="str">
        <f>HYPERLINK("https://twitter.com/ferr_explorer/status/1691471008690049024")</f>
        <v>https://twitter.com/ferr_explorer/status/1691471008690049024</v>
      </c>
      <c r="AF1318" s="90">
        <v>45153.642233796294</v>
      </c>
      <c r="AG1318" s="99">
        <v>45153</v>
      </c>
      <c r="AH1318" s="93" t="s">
        <v>12747</v>
      </c>
      <c r="AI1318" s="87" t="b">
        <v>0</v>
      </c>
      <c r="AJ1318" s="87"/>
      <c r="AK1318" s="87"/>
      <c r="AL1318" s="87"/>
      <c r="AM1318" s="87"/>
      <c r="AN1318" s="87"/>
      <c r="AO1318" s="87"/>
      <c r="AP1318" s="87"/>
      <c r="AQ1318" s="87" t="s">
        <v>16285</v>
      </c>
      <c r="AR1318" s="87"/>
      <c r="AS1318" s="87"/>
      <c r="AT1318" s="87"/>
      <c r="AU1318" s="87"/>
      <c r="AV1318" s="92" t="str">
        <f>HYPERLINK("https://pbs.twimg.com/media/F3lO9ORXIAIpucD.jpg")</f>
        <v>https://pbs.twimg.com/media/F3lO9ORXIAIpucD.jpg</v>
      </c>
      <c r="AW1318" s="93" t="s">
        <v>19554</v>
      </c>
      <c r="AX1318" s="93" t="s">
        <v>19554</v>
      </c>
      <c r="AY1318" s="87"/>
      <c r="AZ1318" s="93" t="s">
        <v>22668</v>
      </c>
      <c r="BA1318" s="93" t="s">
        <v>22668</v>
      </c>
      <c r="BB1318" s="93" t="s">
        <v>22668</v>
      </c>
      <c r="BC1318" s="93" t="s">
        <v>19554</v>
      </c>
      <c r="BD1318" s="93" t="s">
        <v>23049</v>
      </c>
      <c r="BE1318" s="87"/>
      <c r="BF1318" s="87"/>
      <c r="BG1318" s="87"/>
      <c r="BH1318" s="87"/>
      <c r="BI1318" s="87"/>
    </row>
    <row r="1319" spans="1:61" x14ac:dyDescent="0.25">
      <c r="A1319" s="63" t="s">
        <v>665</v>
      </c>
      <c r="B1319" s="63" t="s">
        <v>665</v>
      </c>
      <c r="C1319" s="64"/>
      <c r="D1319" s="65"/>
      <c r="E1319" s="66"/>
      <c r="F1319" s="67"/>
      <c r="G1319" s="64"/>
      <c r="H1319" s="68"/>
      <c r="I1319" s="69"/>
      <c r="J1319" s="69"/>
      <c r="K1319" s="32"/>
      <c r="L1319" s="76">
        <v>1319</v>
      </c>
      <c r="M1319" s="76"/>
      <c r="N1319" s="71"/>
      <c r="O1319" s="87" t="s">
        <v>179</v>
      </c>
      <c r="P1319" s="90">
        <v>45138.876631944448</v>
      </c>
      <c r="Q1319" s="87" t="s">
        <v>3125</v>
      </c>
      <c r="R1319" s="87">
        <v>0</v>
      </c>
      <c r="S1319" s="87">
        <v>0</v>
      </c>
      <c r="T1319" s="87">
        <v>0</v>
      </c>
      <c r="U1319" s="87">
        <v>0</v>
      </c>
      <c r="V1319" s="87">
        <v>35</v>
      </c>
      <c r="W1319" s="93" t="s">
        <v>6740</v>
      </c>
      <c r="X1319" s="87"/>
      <c r="Y1319" s="87"/>
      <c r="Z1319" s="87"/>
      <c r="AA1319" s="87" t="s">
        <v>9473</v>
      </c>
      <c r="AB1319" s="87" t="s">
        <v>11447</v>
      </c>
      <c r="AC1319" s="93" t="s">
        <v>11458</v>
      </c>
      <c r="AD1319" s="87" t="s">
        <v>11519</v>
      </c>
      <c r="AE1319" s="92" t="str">
        <f>HYPERLINK("https://twitter.com/jeovanibcosta/status/1686120136913137664")</f>
        <v>https://twitter.com/jeovanibcosta/status/1686120136913137664</v>
      </c>
      <c r="AF1319" s="90">
        <v>45138.876631944448</v>
      </c>
      <c r="AG1319" s="99">
        <v>45138</v>
      </c>
      <c r="AH1319" s="93" t="s">
        <v>12748</v>
      </c>
      <c r="AI1319" s="87" t="b">
        <v>0</v>
      </c>
      <c r="AJ1319" s="87"/>
      <c r="AK1319" s="87"/>
      <c r="AL1319" s="87"/>
      <c r="AM1319" s="87"/>
      <c r="AN1319" s="87"/>
      <c r="AO1319" s="87"/>
      <c r="AP1319" s="87"/>
      <c r="AQ1319" s="87" t="s">
        <v>16286</v>
      </c>
      <c r="AR1319" s="87">
        <v>15016</v>
      </c>
      <c r="AS1319" s="87"/>
      <c r="AT1319" s="87"/>
      <c r="AU1319" s="87"/>
      <c r="AV1319" s="92" t="str">
        <f>HYPERLINK("https://pbs.twimg.com/ext_tw_video_thumb/1686120089865609218/pu/img/4yeViGHSeCJZ5S15.jpg")</f>
        <v>https://pbs.twimg.com/ext_tw_video_thumb/1686120089865609218/pu/img/4yeViGHSeCJZ5S15.jpg</v>
      </c>
      <c r="AW1319" s="93" t="s">
        <v>19555</v>
      </c>
      <c r="AX1319" s="93" t="s">
        <v>19555</v>
      </c>
      <c r="AY1319" s="87"/>
      <c r="AZ1319" s="93" t="s">
        <v>22668</v>
      </c>
      <c r="BA1319" s="93" t="s">
        <v>22668</v>
      </c>
      <c r="BB1319" s="93" t="s">
        <v>22668</v>
      </c>
      <c r="BC1319" s="93" t="s">
        <v>19555</v>
      </c>
      <c r="BD1319" s="87">
        <v>87216531</v>
      </c>
      <c r="BE1319" s="87"/>
      <c r="BF1319" s="87"/>
      <c r="BG1319" s="87"/>
      <c r="BH1319" s="87"/>
      <c r="BI1319" s="87"/>
    </row>
    <row r="1320" spans="1:61" x14ac:dyDescent="0.25">
      <c r="A1320" s="63" t="s">
        <v>665</v>
      </c>
      <c r="B1320" s="63" t="s">
        <v>665</v>
      </c>
      <c r="C1320" s="64"/>
      <c r="D1320" s="65"/>
      <c r="E1320" s="66"/>
      <c r="F1320" s="67"/>
      <c r="G1320" s="64"/>
      <c r="H1320" s="68"/>
      <c r="I1320" s="69"/>
      <c r="J1320" s="69"/>
      <c r="K1320" s="32"/>
      <c r="L1320" s="76">
        <v>1320</v>
      </c>
      <c r="M1320" s="76"/>
      <c r="N1320" s="71"/>
      <c r="O1320" s="87" t="s">
        <v>179</v>
      </c>
      <c r="P1320" s="90">
        <v>45144.861458333333</v>
      </c>
      <c r="Q1320" s="87" t="s">
        <v>3126</v>
      </c>
      <c r="R1320" s="87">
        <v>0</v>
      </c>
      <c r="S1320" s="87">
        <v>0</v>
      </c>
      <c r="T1320" s="87">
        <v>0</v>
      </c>
      <c r="U1320" s="87">
        <v>0</v>
      </c>
      <c r="V1320" s="87">
        <v>14</v>
      </c>
      <c r="W1320" s="93" t="s">
        <v>6741</v>
      </c>
      <c r="X1320" s="87"/>
      <c r="Y1320" s="87"/>
      <c r="Z1320" s="87"/>
      <c r="AA1320" s="87"/>
      <c r="AB1320" s="87"/>
      <c r="AC1320" s="93" t="s">
        <v>11458</v>
      </c>
      <c r="AD1320" s="87" t="s">
        <v>11519</v>
      </c>
      <c r="AE1320" s="92" t="str">
        <f>HYPERLINK("https://twitter.com/jeovanibcosta/status/1688288964187205634")</f>
        <v>https://twitter.com/jeovanibcosta/status/1688288964187205634</v>
      </c>
      <c r="AF1320" s="90">
        <v>45144.861458333333</v>
      </c>
      <c r="AG1320" s="99">
        <v>45144</v>
      </c>
      <c r="AH1320" s="93" t="s">
        <v>12749</v>
      </c>
      <c r="AI1320" s="87"/>
      <c r="AJ1320" s="87" t="s">
        <v>15196</v>
      </c>
      <c r="AK1320" s="87" t="s">
        <v>15234</v>
      </c>
      <c r="AL1320" s="87" t="s">
        <v>15237</v>
      </c>
      <c r="AM1320" s="87" t="s">
        <v>15268</v>
      </c>
      <c r="AN1320" s="87" t="s">
        <v>15334</v>
      </c>
      <c r="AO1320" s="87" t="s">
        <v>15400</v>
      </c>
      <c r="AP1320" s="87" t="s">
        <v>15438</v>
      </c>
      <c r="AQ1320" s="87"/>
      <c r="AR1320" s="87"/>
      <c r="AS1320" s="87"/>
      <c r="AT1320" s="87"/>
      <c r="AU1320" s="87"/>
      <c r="AV1320" s="92" t="str">
        <f>HYPERLINK("https://pbs.twimg.com/profile_images/1543710375782322176/rV_k9XNc_normal.jpg")</f>
        <v>https://pbs.twimg.com/profile_images/1543710375782322176/rV_k9XNc_normal.jpg</v>
      </c>
      <c r="AW1320" s="93" t="s">
        <v>19556</v>
      </c>
      <c r="AX1320" s="93" t="s">
        <v>19556</v>
      </c>
      <c r="AY1320" s="87"/>
      <c r="AZ1320" s="93" t="s">
        <v>22668</v>
      </c>
      <c r="BA1320" s="93" t="s">
        <v>22668</v>
      </c>
      <c r="BB1320" s="93" t="s">
        <v>22668</v>
      </c>
      <c r="BC1320" s="93" t="s">
        <v>19556</v>
      </c>
      <c r="BD1320" s="87">
        <v>87216531</v>
      </c>
      <c r="BE1320" s="87"/>
      <c r="BF1320" s="87"/>
      <c r="BG1320" s="87"/>
      <c r="BH1320" s="87"/>
      <c r="BI1320" s="87"/>
    </row>
    <row r="1321" spans="1:61" x14ac:dyDescent="0.25">
      <c r="A1321" s="63" t="s">
        <v>666</v>
      </c>
      <c r="B1321" s="63" t="s">
        <v>666</v>
      </c>
      <c r="C1321" s="64"/>
      <c r="D1321" s="65"/>
      <c r="E1321" s="66"/>
      <c r="F1321" s="67"/>
      <c r="G1321" s="64"/>
      <c r="H1321" s="68"/>
      <c r="I1321" s="69"/>
      <c r="J1321" s="69"/>
      <c r="K1321" s="32"/>
      <c r="L1321" s="76">
        <v>1321</v>
      </c>
      <c r="M1321" s="76"/>
      <c r="N1321" s="71"/>
      <c r="O1321" s="87" t="s">
        <v>179</v>
      </c>
      <c r="P1321" s="90">
        <v>45117.571956018517</v>
      </c>
      <c r="Q1321" s="87" t="s">
        <v>3127</v>
      </c>
      <c r="R1321" s="87">
        <v>0</v>
      </c>
      <c r="S1321" s="87">
        <v>0</v>
      </c>
      <c r="T1321" s="87">
        <v>0</v>
      </c>
      <c r="U1321" s="87">
        <v>0</v>
      </c>
      <c r="V1321" s="87">
        <v>1</v>
      </c>
      <c r="W1321" s="93" t="s">
        <v>6742</v>
      </c>
      <c r="X1321" s="92" t="str">
        <f>HYPERLINK("https://jornadadeempreendedor.com/criar-dominio/")</f>
        <v>https://jornadadeempreendedor.com/criar-dominio/</v>
      </c>
      <c r="Y1321" s="87" t="s">
        <v>8445</v>
      </c>
      <c r="Z1321" s="87"/>
      <c r="AA1321" s="87" t="s">
        <v>9474</v>
      </c>
      <c r="AB1321" s="87" t="s">
        <v>11448</v>
      </c>
      <c r="AC1321" s="93" t="s">
        <v>11485</v>
      </c>
      <c r="AD1321" s="87" t="s">
        <v>11519</v>
      </c>
      <c r="AE1321" s="92" t="str">
        <f>HYPERLINK("https://twitter.com/terezaomozama/status/1678399579601993728")</f>
        <v>https://twitter.com/terezaomozama/status/1678399579601993728</v>
      </c>
      <c r="AF1321" s="90">
        <v>45117.571956018517</v>
      </c>
      <c r="AG1321" s="99">
        <v>45117</v>
      </c>
      <c r="AH1321" s="93" t="s">
        <v>12750</v>
      </c>
      <c r="AI1321" s="87" t="b">
        <v>0</v>
      </c>
      <c r="AJ1321" s="87"/>
      <c r="AK1321" s="87"/>
      <c r="AL1321" s="87"/>
      <c r="AM1321" s="87"/>
      <c r="AN1321" s="87"/>
      <c r="AO1321" s="87"/>
      <c r="AP1321" s="87"/>
      <c r="AQ1321" s="87" t="s">
        <v>16287</v>
      </c>
      <c r="AR1321" s="87"/>
      <c r="AS1321" s="87"/>
      <c r="AT1321" s="87"/>
      <c r="AU1321" s="87"/>
      <c r="AV1321" s="92" t="str">
        <f>HYPERLINK("https://pbs.twimg.com/media/F0rfhcQXsAEPPrs.jpg")</f>
        <v>https://pbs.twimg.com/media/F0rfhcQXsAEPPrs.jpg</v>
      </c>
      <c r="AW1321" s="93" t="s">
        <v>19557</v>
      </c>
      <c r="AX1321" s="93" t="s">
        <v>19557</v>
      </c>
      <c r="AY1321" s="87"/>
      <c r="AZ1321" s="93" t="s">
        <v>22668</v>
      </c>
      <c r="BA1321" s="93" t="s">
        <v>22668</v>
      </c>
      <c r="BB1321" s="93" t="s">
        <v>22668</v>
      </c>
      <c r="BC1321" s="93" t="s">
        <v>19557</v>
      </c>
      <c r="BD1321" s="93" t="s">
        <v>23050</v>
      </c>
      <c r="BE1321" s="87"/>
      <c r="BF1321" s="87"/>
      <c r="BG1321" s="87"/>
      <c r="BH1321" s="87"/>
      <c r="BI1321" s="87"/>
    </row>
    <row r="1322" spans="1:61" x14ac:dyDescent="0.25">
      <c r="A1322" s="63" t="s">
        <v>667</v>
      </c>
      <c r="B1322" s="63" t="s">
        <v>667</v>
      </c>
      <c r="C1322" s="64"/>
      <c r="D1322" s="65"/>
      <c r="E1322" s="66"/>
      <c r="F1322" s="67"/>
      <c r="G1322" s="64"/>
      <c r="H1322" s="68"/>
      <c r="I1322" s="69"/>
      <c r="J1322" s="69"/>
      <c r="K1322" s="32"/>
      <c r="L1322" s="76">
        <v>1322</v>
      </c>
      <c r="M1322" s="76"/>
      <c r="N1322" s="71"/>
      <c r="O1322" s="87" t="s">
        <v>1840</v>
      </c>
      <c r="P1322" s="90">
        <v>45149.520312499997</v>
      </c>
      <c r="Q1322" s="87" t="s">
        <v>3128</v>
      </c>
      <c r="R1322" s="87">
        <v>0</v>
      </c>
      <c r="S1322" s="87">
        <v>0</v>
      </c>
      <c r="T1322" s="87">
        <v>0</v>
      </c>
      <c r="U1322" s="87">
        <v>0</v>
      </c>
      <c r="V1322" s="87">
        <v>13</v>
      </c>
      <c r="W1322" s="93" t="s">
        <v>6743</v>
      </c>
      <c r="X1322" s="87"/>
      <c r="Y1322" s="87"/>
      <c r="Z1322" s="87"/>
      <c r="AA1322" s="87"/>
      <c r="AB1322" s="87"/>
      <c r="AC1322" s="93" t="s">
        <v>11458</v>
      </c>
      <c r="AD1322" s="87" t="s">
        <v>11524</v>
      </c>
      <c r="AE1322" s="92" t="str">
        <f>HYPERLINK("https://twitter.com/othomazmaciel/status/1689977274429276160")</f>
        <v>https://twitter.com/othomazmaciel/status/1689977274429276160</v>
      </c>
      <c r="AF1322" s="90">
        <v>45149.520312499997</v>
      </c>
      <c r="AG1322" s="99">
        <v>45149</v>
      </c>
      <c r="AH1322" s="93" t="s">
        <v>12751</v>
      </c>
      <c r="AI1322" s="87"/>
      <c r="AJ1322" s="87"/>
      <c r="AK1322" s="87"/>
      <c r="AL1322" s="87"/>
      <c r="AM1322" s="87"/>
      <c r="AN1322" s="87"/>
      <c r="AO1322" s="87"/>
      <c r="AP1322" s="87"/>
      <c r="AQ1322" s="87"/>
      <c r="AR1322" s="87"/>
      <c r="AS1322" s="87"/>
      <c r="AT1322" s="87"/>
      <c r="AU1322" s="87"/>
      <c r="AV1322" s="92" t="str">
        <f>HYPERLINK("https://pbs.twimg.com/profile_images/1458493246078865410/OtPcncbD_normal.jpg")</f>
        <v>https://pbs.twimg.com/profile_images/1458493246078865410/OtPcncbD_normal.jpg</v>
      </c>
      <c r="AW1322" s="93" t="s">
        <v>19558</v>
      </c>
      <c r="AX1322" s="93" t="s">
        <v>22358</v>
      </c>
      <c r="AY1322" s="93" t="s">
        <v>22558</v>
      </c>
      <c r="AZ1322" s="93" t="s">
        <v>22702</v>
      </c>
      <c r="BA1322" s="93" t="s">
        <v>22668</v>
      </c>
      <c r="BB1322" s="93" t="s">
        <v>22668</v>
      </c>
      <c r="BC1322" s="93" t="s">
        <v>22702</v>
      </c>
      <c r="BD1322" s="93" t="s">
        <v>22558</v>
      </c>
      <c r="BE1322" s="87"/>
      <c r="BF1322" s="87"/>
      <c r="BG1322" s="87"/>
      <c r="BH1322" s="87"/>
      <c r="BI1322" s="87"/>
    </row>
    <row r="1323" spans="1:61" x14ac:dyDescent="0.25">
      <c r="A1323" s="63" t="s">
        <v>668</v>
      </c>
      <c r="B1323" s="63" t="s">
        <v>668</v>
      </c>
      <c r="C1323" s="64"/>
      <c r="D1323" s="65"/>
      <c r="E1323" s="66"/>
      <c r="F1323" s="67"/>
      <c r="G1323" s="64"/>
      <c r="H1323" s="68"/>
      <c r="I1323" s="69"/>
      <c r="J1323" s="69"/>
      <c r="K1323" s="32"/>
      <c r="L1323" s="76">
        <v>1323</v>
      </c>
      <c r="M1323" s="76"/>
      <c r="N1323" s="71"/>
      <c r="O1323" s="87" t="s">
        <v>179</v>
      </c>
      <c r="P1323" s="90">
        <v>45156.595509259256</v>
      </c>
      <c r="Q1323" s="87" t="s">
        <v>3129</v>
      </c>
      <c r="R1323" s="87">
        <v>1</v>
      </c>
      <c r="S1323" s="87">
        <v>2</v>
      </c>
      <c r="T1323" s="87">
        <v>0</v>
      </c>
      <c r="U1323" s="87">
        <v>0</v>
      </c>
      <c r="V1323" s="87">
        <v>235</v>
      </c>
      <c r="W1323" s="93" t="s">
        <v>6744</v>
      </c>
      <c r="X1323" s="87"/>
      <c r="Y1323" s="87"/>
      <c r="Z1323" s="87"/>
      <c r="AA1323" s="87" t="s">
        <v>9475</v>
      </c>
      <c r="AB1323" s="87" t="s">
        <v>11448</v>
      </c>
      <c r="AC1323" s="93" t="s">
        <v>11459</v>
      </c>
      <c r="AD1323" s="87" t="s">
        <v>11523</v>
      </c>
      <c r="AE1323" s="92" t="str">
        <f>HYPERLINK("https://twitter.com/compraintelige3/status/1692541243073466634")</f>
        <v>https://twitter.com/compraintelige3/status/1692541243073466634</v>
      </c>
      <c r="AF1323" s="90">
        <v>45156.595509259256</v>
      </c>
      <c r="AG1323" s="99">
        <v>45156</v>
      </c>
      <c r="AH1323" s="93" t="s">
        <v>12752</v>
      </c>
      <c r="AI1323" s="87" t="b">
        <v>0</v>
      </c>
      <c r="AJ1323" s="87"/>
      <c r="AK1323" s="87"/>
      <c r="AL1323" s="87"/>
      <c r="AM1323" s="87"/>
      <c r="AN1323" s="87"/>
      <c r="AO1323" s="87"/>
      <c r="AP1323" s="87"/>
      <c r="AQ1323" s="87" t="s">
        <v>16288</v>
      </c>
      <c r="AR1323" s="87"/>
      <c r="AS1323" s="87"/>
      <c r="AT1323" s="87"/>
      <c r="AU1323" s="87"/>
      <c r="AV1323" s="92" t="str">
        <f>HYPERLINK("https://pbs.twimg.com/media/F30dSmPWoAAUbOZ.jpg")</f>
        <v>https://pbs.twimg.com/media/F30dSmPWoAAUbOZ.jpg</v>
      </c>
      <c r="AW1323" s="93" t="s">
        <v>19559</v>
      </c>
      <c r="AX1323" s="93" t="s">
        <v>19559</v>
      </c>
      <c r="AY1323" s="87"/>
      <c r="AZ1323" s="93" t="s">
        <v>22668</v>
      </c>
      <c r="BA1323" s="93" t="s">
        <v>22668</v>
      </c>
      <c r="BB1323" s="93" t="s">
        <v>22668</v>
      </c>
      <c r="BC1323" s="93" t="s">
        <v>19559</v>
      </c>
      <c r="BD1323" s="93" t="s">
        <v>23051</v>
      </c>
      <c r="BE1323" s="87"/>
      <c r="BF1323" s="87"/>
      <c r="BG1323" s="87"/>
      <c r="BH1323" s="87"/>
      <c r="BI1323" s="87"/>
    </row>
    <row r="1324" spans="1:61" x14ac:dyDescent="0.25">
      <c r="A1324" s="63" t="s">
        <v>669</v>
      </c>
      <c r="B1324" s="63" t="s">
        <v>669</v>
      </c>
      <c r="C1324" s="64"/>
      <c r="D1324" s="65"/>
      <c r="E1324" s="66"/>
      <c r="F1324" s="67"/>
      <c r="G1324" s="64"/>
      <c r="H1324" s="68"/>
      <c r="I1324" s="69"/>
      <c r="J1324" s="69"/>
      <c r="K1324" s="32"/>
      <c r="L1324" s="76">
        <v>1324</v>
      </c>
      <c r="M1324" s="76"/>
      <c r="N1324" s="71"/>
      <c r="O1324" s="87" t="s">
        <v>179</v>
      </c>
      <c r="P1324" s="90">
        <v>45146.498391203706</v>
      </c>
      <c r="Q1324" s="87" t="s">
        <v>3130</v>
      </c>
      <c r="R1324" s="87">
        <v>0</v>
      </c>
      <c r="S1324" s="87">
        <v>0</v>
      </c>
      <c r="T1324" s="87">
        <v>0</v>
      </c>
      <c r="U1324" s="87">
        <v>0</v>
      </c>
      <c r="V1324" s="87">
        <v>25</v>
      </c>
      <c r="W1324" s="93" t="s">
        <v>6745</v>
      </c>
      <c r="X1324" s="87"/>
      <c r="Y1324" s="87"/>
      <c r="Z1324" s="87"/>
      <c r="AA1324" s="87" t="s">
        <v>9476</v>
      </c>
      <c r="AB1324" s="87" t="s">
        <v>11448</v>
      </c>
      <c r="AC1324" s="93" t="s">
        <v>11457</v>
      </c>
      <c r="AD1324" s="87" t="s">
        <v>11519</v>
      </c>
      <c r="AE1324" s="92" t="str">
        <f>HYPERLINK("https://twitter.com/rocketmediapnz/status/1688882166774525952")</f>
        <v>https://twitter.com/rocketmediapnz/status/1688882166774525952</v>
      </c>
      <c r="AF1324" s="90">
        <v>45146.498391203706</v>
      </c>
      <c r="AG1324" s="99">
        <v>45146</v>
      </c>
      <c r="AH1324" s="93" t="s">
        <v>12753</v>
      </c>
      <c r="AI1324" s="87" t="b">
        <v>0</v>
      </c>
      <c r="AJ1324" s="87"/>
      <c r="AK1324" s="87"/>
      <c r="AL1324" s="87"/>
      <c r="AM1324" s="87"/>
      <c r="AN1324" s="87"/>
      <c r="AO1324" s="87"/>
      <c r="AP1324" s="87"/>
      <c r="AQ1324" s="87" t="s">
        <v>16289</v>
      </c>
      <c r="AR1324" s="87"/>
      <c r="AS1324" s="87"/>
      <c r="AT1324" s="87"/>
      <c r="AU1324" s="87"/>
      <c r="AV1324" s="92" t="str">
        <f>HYPERLINK("https://pbs.twimg.com/media/F3AdXBoWgAAc7QT.jpg")</f>
        <v>https://pbs.twimg.com/media/F3AdXBoWgAAc7QT.jpg</v>
      </c>
      <c r="AW1324" s="93" t="s">
        <v>19560</v>
      </c>
      <c r="AX1324" s="93" t="s">
        <v>19560</v>
      </c>
      <c r="AY1324" s="87"/>
      <c r="AZ1324" s="93" t="s">
        <v>22668</v>
      </c>
      <c r="BA1324" s="93" t="s">
        <v>22668</v>
      </c>
      <c r="BB1324" s="93" t="s">
        <v>22668</v>
      </c>
      <c r="BC1324" s="93" t="s">
        <v>19560</v>
      </c>
      <c r="BD1324" s="93" t="s">
        <v>23052</v>
      </c>
      <c r="BE1324" s="87"/>
      <c r="BF1324" s="87"/>
      <c r="BG1324" s="87"/>
      <c r="BH1324" s="87"/>
      <c r="BI1324" s="87"/>
    </row>
    <row r="1325" spans="1:61" x14ac:dyDescent="0.25">
      <c r="A1325" s="63" t="s">
        <v>670</v>
      </c>
      <c r="B1325" s="63" t="s">
        <v>670</v>
      </c>
      <c r="C1325" s="64"/>
      <c r="D1325" s="65"/>
      <c r="E1325" s="66"/>
      <c r="F1325" s="67"/>
      <c r="G1325" s="64"/>
      <c r="H1325" s="68"/>
      <c r="I1325" s="69"/>
      <c r="J1325" s="69"/>
      <c r="K1325" s="32"/>
      <c r="L1325" s="76">
        <v>1325</v>
      </c>
      <c r="M1325" s="76"/>
      <c r="N1325" s="71"/>
      <c r="O1325" s="87" t="s">
        <v>179</v>
      </c>
      <c r="P1325" s="90">
        <v>45192.4059375</v>
      </c>
      <c r="Q1325" s="87" t="s">
        <v>3131</v>
      </c>
      <c r="R1325" s="87">
        <v>0</v>
      </c>
      <c r="S1325" s="87">
        <v>0</v>
      </c>
      <c r="T1325" s="87">
        <v>0</v>
      </c>
      <c r="U1325" s="87">
        <v>0</v>
      </c>
      <c r="V1325" s="87">
        <v>17</v>
      </c>
      <c r="W1325" s="93" t="s">
        <v>6746</v>
      </c>
      <c r="X1325" s="92" t="str">
        <f>HYPERLINK("https://www.corumbaonline.com.br/news/oficina-do-sebrae-leva-inovacao-e-empreendorismo-a-escola-professor-joao-babtista-em-ladario/")</f>
        <v>https://www.corumbaonline.com.br/news/oficina-do-sebrae-leva-inovacao-e-empreendorismo-a-escola-professor-joao-babtista-em-ladario/</v>
      </c>
      <c r="Y1325" s="87" t="s">
        <v>8373</v>
      </c>
      <c r="Z1325" s="87"/>
      <c r="AA1325" s="87" t="s">
        <v>9477</v>
      </c>
      <c r="AB1325" s="87" t="s">
        <v>11448</v>
      </c>
      <c r="AC1325" s="93" t="s">
        <v>11459</v>
      </c>
      <c r="AD1325" s="87" t="s">
        <v>11519</v>
      </c>
      <c r="AE1325" s="92" t="str">
        <f>HYPERLINK("https://twitter.com/corumbaonline1/status/1705518505922081062")</f>
        <v>https://twitter.com/corumbaonline1/status/1705518505922081062</v>
      </c>
      <c r="AF1325" s="90">
        <v>45192.4059375</v>
      </c>
      <c r="AG1325" s="99">
        <v>45192</v>
      </c>
      <c r="AH1325" s="93" t="s">
        <v>12754</v>
      </c>
      <c r="AI1325" s="87" t="b">
        <v>0</v>
      </c>
      <c r="AJ1325" s="87" t="s">
        <v>15197</v>
      </c>
      <c r="AK1325" s="87" t="s">
        <v>15234</v>
      </c>
      <c r="AL1325" s="87" t="s">
        <v>15237</v>
      </c>
      <c r="AM1325" s="87" t="s">
        <v>15269</v>
      </c>
      <c r="AN1325" s="87" t="s">
        <v>15335</v>
      </c>
      <c r="AO1325" s="87" t="s">
        <v>15401</v>
      </c>
      <c r="AP1325" s="87" t="s">
        <v>15438</v>
      </c>
      <c r="AQ1325" s="87" t="s">
        <v>16290</v>
      </c>
      <c r="AR1325" s="87"/>
      <c r="AS1325" s="87"/>
      <c r="AT1325" s="87"/>
      <c r="AU1325" s="87"/>
      <c r="AV1325" s="92" t="str">
        <f>HYPERLINK("https://pbs.twimg.com/media/F6s4CuBWkAAraIW.jpg")</f>
        <v>https://pbs.twimg.com/media/F6s4CuBWkAAraIW.jpg</v>
      </c>
      <c r="AW1325" s="93" t="s">
        <v>19561</v>
      </c>
      <c r="AX1325" s="93" t="s">
        <v>19561</v>
      </c>
      <c r="AY1325" s="87"/>
      <c r="AZ1325" s="93" t="s">
        <v>22668</v>
      </c>
      <c r="BA1325" s="93" t="s">
        <v>22668</v>
      </c>
      <c r="BB1325" s="93" t="s">
        <v>22668</v>
      </c>
      <c r="BC1325" s="93" t="s">
        <v>19561</v>
      </c>
      <c r="BD1325" s="93" t="s">
        <v>23053</v>
      </c>
      <c r="BE1325" s="87"/>
      <c r="BF1325" s="87"/>
      <c r="BG1325" s="87"/>
      <c r="BH1325" s="87"/>
      <c r="BI1325" s="87"/>
    </row>
    <row r="1326" spans="1:61" x14ac:dyDescent="0.25">
      <c r="A1326" s="63" t="s">
        <v>671</v>
      </c>
      <c r="B1326" s="63" t="s">
        <v>671</v>
      </c>
      <c r="C1326" s="64"/>
      <c r="D1326" s="65"/>
      <c r="E1326" s="66"/>
      <c r="F1326" s="67"/>
      <c r="G1326" s="64"/>
      <c r="H1326" s="68"/>
      <c r="I1326" s="69"/>
      <c r="J1326" s="69"/>
      <c r="K1326" s="32"/>
      <c r="L1326" s="76">
        <v>1326</v>
      </c>
      <c r="M1326" s="76"/>
      <c r="N1326" s="71"/>
      <c r="O1326" s="87" t="s">
        <v>179</v>
      </c>
      <c r="P1326" s="90">
        <v>45149.68209490741</v>
      </c>
      <c r="Q1326" s="87" t="s">
        <v>3132</v>
      </c>
      <c r="R1326" s="87">
        <v>0</v>
      </c>
      <c r="S1326" s="87">
        <v>3</v>
      </c>
      <c r="T1326" s="87">
        <v>1</v>
      </c>
      <c r="U1326" s="87">
        <v>0</v>
      </c>
      <c r="V1326" s="87">
        <v>864</v>
      </c>
      <c r="W1326" s="93" t="s">
        <v>6747</v>
      </c>
      <c r="X1326" s="87"/>
      <c r="Y1326" s="87"/>
      <c r="Z1326" s="87"/>
      <c r="AA1326" s="87" t="s">
        <v>9478</v>
      </c>
      <c r="AB1326" s="87" t="s">
        <v>11448</v>
      </c>
      <c r="AC1326" s="93" t="s">
        <v>11457</v>
      </c>
      <c r="AD1326" s="87" t="s">
        <v>11519</v>
      </c>
      <c r="AE1326" s="92" t="str">
        <f>HYPERLINK("https://twitter.com/realpauloborba/status/1690035903316828160")</f>
        <v>https://twitter.com/realpauloborba/status/1690035903316828160</v>
      </c>
      <c r="AF1326" s="90">
        <v>45149.68209490741</v>
      </c>
      <c r="AG1326" s="99">
        <v>45149</v>
      </c>
      <c r="AH1326" s="93" t="s">
        <v>12755</v>
      </c>
      <c r="AI1326" s="87" t="b">
        <v>0</v>
      </c>
      <c r="AJ1326" s="87"/>
      <c r="AK1326" s="87"/>
      <c r="AL1326" s="87"/>
      <c r="AM1326" s="87"/>
      <c r="AN1326" s="87"/>
      <c r="AO1326" s="87"/>
      <c r="AP1326" s="87"/>
      <c r="AQ1326" s="87" t="s">
        <v>16291</v>
      </c>
      <c r="AR1326" s="87"/>
      <c r="AS1326" s="87"/>
      <c r="AT1326" s="87"/>
      <c r="AU1326" s="87"/>
      <c r="AV1326" s="92" t="str">
        <f>HYPERLINK("https://pbs.twimg.com/media/F3Q2rDvbgAA4fVP.png")</f>
        <v>https://pbs.twimg.com/media/F3Q2rDvbgAA4fVP.png</v>
      </c>
      <c r="AW1326" s="93" t="s">
        <v>19562</v>
      </c>
      <c r="AX1326" s="93" t="s">
        <v>19562</v>
      </c>
      <c r="AY1326" s="87"/>
      <c r="AZ1326" s="93" t="s">
        <v>22668</v>
      </c>
      <c r="BA1326" s="93" t="s">
        <v>22668</v>
      </c>
      <c r="BB1326" s="93" t="s">
        <v>22668</v>
      </c>
      <c r="BC1326" s="93" t="s">
        <v>19562</v>
      </c>
      <c r="BD1326" s="93" t="s">
        <v>22559</v>
      </c>
      <c r="BE1326" s="87"/>
      <c r="BF1326" s="87"/>
      <c r="BG1326" s="87"/>
      <c r="BH1326" s="87"/>
      <c r="BI1326" s="87"/>
    </row>
    <row r="1327" spans="1:61" x14ac:dyDescent="0.25">
      <c r="A1327" s="63" t="s">
        <v>671</v>
      </c>
      <c r="B1327" s="63" t="s">
        <v>671</v>
      </c>
      <c r="C1327" s="64"/>
      <c r="D1327" s="65"/>
      <c r="E1327" s="66"/>
      <c r="F1327" s="67"/>
      <c r="G1327" s="64"/>
      <c r="H1327" s="68"/>
      <c r="I1327" s="69"/>
      <c r="J1327" s="69"/>
      <c r="K1327" s="32"/>
      <c r="L1327" s="76">
        <v>1327</v>
      </c>
      <c r="M1327" s="76"/>
      <c r="N1327" s="71"/>
      <c r="O1327" s="87" t="s">
        <v>1840</v>
      </c>
      <c r="P1327" s="90">
        <v>45160.712951388887</v>
      </c>
      <c r="Q1327" s="87" t="s">
        <v>3133</v>
      </c>
      <c r="R1327" s="87">
        <v>0</v>
      </c>
      <c r="S1327" s="87">
        <v>0</v>
      </c>
      <c r="T1327" s="87">
        <v>1</v>
      </c>
      <c r="U1327" s="87">
        <v>0</v>
      </c>
      <c r="V1327" s="87">
        <v>61</v>
      </c>
      <c r="W1327" s="93" t="s">
        <v>6748</v>
      </c>
      <c r="X1327" s="87"/>
      <c r="Y1327" s="87"/>
      <c r="Z1327" s="87"/>
      <c r="AA1327" s="87"/>
      <c r="AB1327" s="87"/>
      <c r="AC1327" s="93" t="s">
        <v>11457</v>
      </c>
      <c r="AD1327" s="87" t="s">
        <v>11519</v>
      </c>
      <c r="AE1327" s="92" t="str">
        <f>HYPERLINK("https://twitter.com/realpauloborba/status/1694033354012922087")</f>
        <v>https://twitter.com/realpauloborba/status/1694033354012922087</v>
      </c>
      <c r="AF1327" s="90">
        <v>45160.712951388887</v>
      </c>
      <c r="AG1327" s="99">
        <v>45160</v>
      </c>
      <c r="AH1327" s="93" t="s">
        <v>12756</v>
      </c>
      <c r="AI1327" s="87"/>
      <c r="AJ1327" s="87"/>
      <c r="AK1327" s="87"/>
      <c r="AL1327" s="87"/>
      <c r="AM1327" s="87"/>
      <c r="AN1327" s="87"/>
      <c r="AO1327" s="87"/>
      <c r="AP1327" s="87"/>
      <c r="AQ1327" s="87"/>
      <c r="AR1327" s="87"/>
      <c r="AS1327" s="87"/>
      <c r="AT1327" s="87"/>
      <c r="AU1327" s="87"/>
      <c r="AV1327" s="92" t="str">
        <f>HYPERLINK("https://pbs.twimg.com/profile_images/1677000136701124608/bkma_mNv_normal.jpg")</f>
        <v>https://pbs.twimg.com/profile_images/1677000136701124608/bkma_mNv_normal.jpg</v>
      </c>
      <c r="AW1327" s="93" t="s">
        <v>19563</v>
      </c>
      <c r="AX1327" s="93" t="s">
        <v>22359</v>
      </c>
      <c r="AY1327" s="93" t="s">
        <v>22559</v>
      </c>
      <c r="AZ1327" s="93" t="s">
        <v>22703</v>
      </c>
      <c r="BA1327" s="93" t="s">
        <v>22668</v>
      </c>
      <c r="BB1327" s="93" t="s">
        <v>22668</v>
      </c>
      <c r="BC1327" s="93" t="s">
        <v>22703</v>
      </c>
      <c r="BD1327" s="93" t="s">
        <v>22559</v>
      </c>
      <c r="BE1327" s="87"/>
      <c r="BF1327" s="87"/>
      <c r="BG1327" s="87"/>
      <c r="BH1327" s="87"/>
      <c r="BI1327" s="87"/>
    </row>
    <row r="1328" spans="1:61" x14ac:dyDescent="0.25">
      <c r="A1328" s="63" t="s">
        <v>671</v>
      </c>
      <c r="B1328" s="63" t="s">
        <v>671</v>
      </c>
      <c r="C1328" s="64"/>
      <c r="D1328" s="65"/>
      <c r="E1328" s="66"/>
      <c r="F1328" s="67"/>
      <c r="G1328" s="64"/>
      <c r="H1328" s="68"/>
      <c r="I1328" s="69"/>
      <c r="J1328" s="69"/>
      <c r="K1328" s="32"/>
      <c r="L1328" s="76">
        <v>1328</v>
      </c>
      <c r="M1328" s="76"/>
      <c r="N1328" s="71"/>
      <c r="O1328" s="87" t="s">
        <v>1840</v>
      </c>
      <c r="P1328" s="90">
        <v>45192.747685185182</v>
      </c>
      <c r="Q1328" s="87" t="s">
        <v>3134</v>
      </c>
      <c r="R1328" s="87">
        <v>0</v>
      </c>
      <c r="S1328" s="87">
        <v>1</v>
      </c>
      <c r="T1328" s="87">
        <v>0</v>
      </c>
      <c r="U1328" s="87">
        <v>0</v>
      </c>
      <c r="V1328" s="87">
        <v>108</v>
      </c>
      <c r="W1328" s="93" t="s">
        <v>6749</v>
      </c>
      <c r="X1328" s="92" t="str">
        <f>HYPERLINK("https://amzn.to/3ERNWus")</f>
        <v>https://amzn.to/3ERNWus</v>
      </c>
      <c r="Y1328" s="87" t="s">
        <v>8415</v>
      </c>
      <c r="Z1328" s="87"/>
      <c r="AA1328" s="87"/>
      <c r="AB1328" s="87"/>
      <c r="AC1328" s="93" t="s">
        <v>11457</v>
      </c>
      <c r="AD1328" s="87" t="s">
        <v>11519</v>
      </c>
      <c r="AE1328" s="92" t="str">
        <f>HYPERLINK("https://twitter.com/realpauloborba/status/1705642351698530802")</f>
        <v>https://twitter.com/realpauloborba/status/1705642351698530802</v>
      </c>
      <c r="AF1328" s="90">
        <v>45192.747685185182</v>
      </c>
      <c r="AG1328" s="99">
        <v>45192</v>
      </c>
      <c r="AH1328" s="93" t="s">
        <v>12757</v>
      </c>
      <c r="AI1328" s="87" t="b">
        <v>0</v>
      </c>
      <c r="AJ1328" s="87"/>
      <c r="AK1328" s="87"/>
      <c r="AL1328" s="87"/>
      <c r="AM1328" s="87"/>
      <c r="AN1328" s="87"/>
      <c r="AO1328" s="87"/>
      <c r="AP1328" s="87"/>
      <c r="AQ1328" s="87"/>
      <c r="AR1328" s="87"/>
      <c r="AS1328" s="87"/>
      <c r="AT1328" s="87"/>
      <c r="AU1328" s="87"/>
      <c r="AV1328" s="92" t="str">
        <f>HYPERLINK("https://pbs.twimg.com/profile_images/1677000136701124608/bkma_mNv_normal.jpg")</f>
        <v>https://pbs.twimg.com/profile_images/1677000136701124608/bkma_mNv_normal.jpg</v>
      </c>
      <c r="AW1328" s="93" t="s">
        <v>19564</v>
      </c>
      <c r="AX1328" s="93" t="s">
        <v>22360</v>
      </c>
      <c r="AY1328" s="93" t="s">
        <v>22559</v>
      </c>
      <c r="AZ1328" s="93" t="s">
        <v>22704</v>
      </c>
      <c r="BA1328" s="93" t="s">
        <v>22668</v>
      </c>
      <c r="BB1328" s="93" t="s">
        <v>22668</v>
      </c>
      <c r="BC1328" s="93" t="s">
        <v>22704</v>
      </c>
      <c r="BD1328" s="93" t="s">
        <v>22559</v>
      </c>
      <c r="BE1328" s="87"/>
      <c r="BF1328" s="87"/>
      <c r="BG1328" s="87"/>
      <c r="BH1328" s="87"/>
      <c r="BI1328" s="87"/>
    </row>
    <row r="1329" spans="1:61" x14ac:dyDescent="0.25">
      <c r="A1329" s="63" t="s">
        <v>672</v>
      </c>
      <c r="B1329" s="63" t="s">
        <v>672</v>
      </c>
      <c r="C1329" s="64"/>
      <c r="D1329" s="65"/>
      <c r="E1329" s="66"/>
      <c r="F1329" s="67"/>
      <c r="G1329" s="64"/>
      <c r="H1329" s="68"/>
      <c r="I1329" s="69"/>
      <c r="J1329" s="69"/>
      <c r="K1329" s="32"/>
      <c r="L1329" s="76">
        <v>1329</v>
      </c>
      <c r="M1329" s="76"/>
      <c r="N1329" s="71"/>
      <c r="O1329" s="87" t="s">
        <v>179</v>
      </c>
      <c r="P1329" s="90">
        <v>45112.564780092594</v>
      </c>
      <c r="Q1329" s="87" t="s">
        <v>3135</v>
      </c>
      <c r="R1329" s="87">
        <v>0</v>
      </c>
      <c r="S1329" s="87">
        <v>3</v>
      </c>
      <c r="T1329" s="87">
        <v>0</v>
      </c>
      <c r="U1329" s="87">
        <v>0</v>
      </c>
      <c r="V1329" s="87">
        <v>921</v>
      </c>
      <c r="W1329" s="93" t="s">
        <v>6750</v>
      </c>
      <c r="X1329" s="87"/>
      <c r="Y1329" s="87"/>
      <c r="Z1329" s="87"/>
      <c r="AA1329" s="87" t="s">
        <v>9479</v>
      </c>
      <c r="AB1329" s="87" t="s">
        <v>11448</v>
      </c>
      <c r="AC1329" s="93" t="s">
        <v>11459</v>
      </c>
      <c r="AD1329" s="87" t="s">
        <v>11519</v>
      </c>
      <c r="AE1329" s="92" t="str">
        <f>HYPERLINK("https://twitter.com/luisdepilmen/status/1676585038857502720")</f>
        <v>https://twitter.com/luisdepilmen/status/1676585038857502720</v>
      </c>
      <c r="AF1329" s="90">
        <v>45112.564780092594</v>
      </c>
      <c r="AG1329" s="99">
        <v>45112</v>
      </c>
      <c r="AH1329" s="93" t="s">
        <v>12758</v>
      </c>
      <c r="AI1329" s="87" t="b">
        <v>0</v>
      </c>
      <c r="AJ1329" s="87" t="s">
        <v>15198</v>
      </c>
      <c r="AK1329" s="87" t="s">
        <v>15234</v>
      </c>
      <c r="AL1329" s="87" t="s">
        <v>15237</v>
      </c>
      <c r="AM1329" s="87" t="s">
        <v>15270</v>
      </c>
      <c r="AN1329" s="87" t="s">
        <v>15336</v>
      </c>
      <c r="AO1329" s="87" t="s">
        <v>15402</v>
      </c>
      <c r="AP1329" s="87" t="s">
        <v>15438</v>
      </c>
      <c r="AQ1329" s="87" t="s">
        <v>16292</v>
      </c>
      <c r="AR1329" s="87"/>
      <c r="AS1329" s="87"/>
      <c r="AT1329" s="87"/>
      <c r="AU1329" s="87"/>
      <c r="AV1329" s="92" t="str">
        <f>HYPERLINK("https://pbs.twimg.com/media/F0RtNPxX0AIi22b.jpg")</f>
        <v>https://pbs.twimg.com/media/F0RtNPxX0AIi22b.jpg</v>
      </c>
      <c r="AW1329" s="93" t="s">
        <v>19565</v>
      </c>
      <c r="AX1329" s="93" t="s">
        <v>19565</v>
      </c>
      <c r="AY1329" s="87"/>
      <c r="AZ1329" s="93" t="s">
        <v>22668</v>
      </c>
      <c r="BA1329" s="93" t="s">
        <v>22668</v>
      </c>
      <c r="BB1329" s="93" t="s">
        <v>22668</v>
      </c>
      <c r="BC1329" s="93" t="s">
        <v>19565</v>
      </c>
      <c r="BD1329" s="93" t="s">
        <v>23054</v>
      </c>
      <c r="BE1329" s="87"/>
      <c r="BF1329" s="87"/>
      <c r="BG1329" s="87"/>
      <c r="BH1329" s="87"/>
      <c r="BI1329" s="87"/>
    </row>
    <row r="1330" spans="1:61" x14ac:dyDescent="0.25">
      <c r="A1330" s="63" t="s">
        <v>672</v>
      </c>
      <c r="B1330" s="63" t="s">
        <v>672</v>
      </c>
      <c r="C1330" s="64"/>
      <c r="D1330" s="65"/>
      <c r="E1330" s="66"/>
      <c r="F1330" s="67"/>
      <c r="G1330" s="64"/>
      <c r="H1330" s="68"/>
      <c r="I1330" s="69"/>
      <c r="J1330" s="69"/>
      <c r="K1330" s="32"/>
      <c r="L1330" s="76">
        <v>1330</v>
      </c>
      <c r="M1330" s="76"/>
      <c r="N1330" s="71"/>
      <c r="O1330" s="87" t="s">
        <v>179</v>
      </c>
      <c r="P1330" s="90">
        <v>45135.80945601852</v>
      </c>
      <c r="Q1330" s="87" t="s">
        <v>3136</v>
      </c>
      <c r="R1330" s="87">
        <v>0</v>
      </c>
      <c r="S1330" s="87">
        <v>5</v>
      </c>
      <c r="T1330" s="87">
        <v>1</v>
      </c>
      <c r="U1330" s="87">
        <v>0</v>
      </c>
      <c r="V1330" s="87">
        <v>1010</v>
      </c>
      <c r="W1330" s="93" t="s">
        <v>6751</v>
      </c>
      <c r="X1330" s="87"/>
      <c r="Y1330" s="87"/>
      <c r="Z1330" s="87"/>
      <c r="AA1330" s="87" t="s">
        <v>9480</v>
      </c>
      <c r="AB1330" s="87" t="s">
        <v>11447</v>
      </c>
      <c r="AC1330" s="93" t="s">
        <v>11459</v>
      </c>
      <c r="AD1330" s="87" t="s">
        <v>11519</v>
      </c>
      <c r="AE1330" s="92" t="str">
        <f>HYPERLINK("https://twitter.com/luisdepilmen/status/1685008626988015616")</f>
        <v>https://twitter.com/luisdepilmen/status/1685008626988015616</v>
      </c>
      <c r="AF1330" s="90">
        <v>45135.80945601852</v>
      </c>
      <c r="AG1330" s="99">
        <v>45135</v>
      </c>
      <c r="AH1330" s="93" t="s">
        <v>12759</v>
      </c>
      <c r="AI1330" s="87" t="b">
        <v>0</v>
      </c>
      <c r="AJ1330" s="87" t="s">
        <v>15198</v>
      </c>
      <c r="AK1330" s="87" t="s">
        <v>15234</v>
      </c>
      <c r="AL1330" s="87" t="s">
        <v>15237</v>
      </c>
      <c r="AM1330" s="87" t="s">
        <v>15270</v>
      </c>
      <c r="AN1330" s="87" t="s">
        <v>15336</v>
      </c>
      <c r="AO1330" s="87" t="s">
        <v>15402</v>
      </c>
      <c r="AP1330" s="87" t="s">
        <v>15438</v>
      </c>
      <c r="AQ1330" s="87" t="s">
        <v>16293</v>
      </c>
      <c r="AR1330" s="87">
        <v>15053</v>
      </c>
      <c r="AS1330" s="87"/>
      <c r="AT1330" s="87"/>
      <c r="AU1330" s="87"/>
      <c r="AV1330" s="92" t="str">
        <f>HYPERLINK("https://pbs.twimg.com/ext_tw_video_thumb/1685008582368997376/pu/img/RDqY1-OhSVyvlwFc.jpg")</f>
        <v>https://pbs.twimg.com/ext_tw_video_thumb/1685008582368997376/pu/img/RDqY1-OhSVyvlwFc.jpg</v>
      </c>
      <c r="AW1330" s="93" t="s">
        <v>19566</v>
      </c>
      <c r="AX1330" s="93" t="s">
        <v>19566</v>
      </c>
      <c r="AY1330" s="87"/>
      <c r="AZ1330" s="93" t="s">
        <v>22668</v>
      </c>
      <c r="BA1330" s="93" t="s">
        <v>22668</v>
      </c>
      <c r="BB1330" s="93" t="s">
        <v>22668</v>
      </c>
      <c r="BC1330" s="93" t="s">
        <v>19566</v>
      </c>
      <c r="BD1330" s="93" t="s">
        <v>23054</v>
      </c>
      <c r="BE1330" s="87"/>
      <c r="BF1330" s="87"/>
      <c r="BG1330" s="87"/>
      <c r="BH1330" s="87"/>
      <c r="BI1330" s="87"/>
    </row>
    <row r="1331" spans="1:61" x14ac:dyDescent="0.25">
      <c r="A1331" s="63" t="s">
        <v>672</v>
      </c>
      <c r="B1331" s="63" t="s">
        <v>672</v>
      </c>
      <c r="C1331" s="64"/>
      <c r="D1331" s="65"/>
      <c r="E1331" s="66"/>
      <c r="F1331" s="67"/>
      <c r="G1331" s="64"/>
      <c r="H1331" s="68"/>
      <c r="I1331" s="69"/>
      <c r="J1331" s="69"/>
      <c r="K1331" s="32"/>
      <c r="L1331" s="76">
        <v>1331</v>
      </c>
      <c r="M1331" s="76"/>
      <c r="N1331" s="71"/>
      <c r="O1331" s="87" t="s">
        <v>179</v>
      </c>
      <c r="P1331" s="90">
        <v>45154.750706018516</v>
      </c>
      <c r="Q1331" s="87" t="s">
        <v>3137</v>
      </c>
      <c r="R1331" s="87">
        <v>0</v>
      </c>
      <c r="S1331" s="87">
        <v>4</v>
      </c>
      <c r="T1331" s="87">
        <v>0</v>
      </c>
      <c r="U1331" s="87">
        <v>0</v>
      </c>
      <c r="V1331" s="87">
        <v>1127</v>
      </c>
      <c r="W1331" s="93" t="s">
        <v>6752</v>
      </c>
      <c r="X1331" s="87"/>
      <c r="Y1331" s="87"/>
      <c r="Z1331" s="87"/>
      <c r="AA1331" s="87" t="s">
        <v>9481</v>
      </c>
      <c r="AB1331" s="87" t="s">
        <v>11447</v>
      </c>
      <c r="AC1331" s="93" t="s">
        <v>11459</v>
      </c>
      <c r="AD1331" s="87" t="s">
        <v>11519</v>
      </c>
      <c r="AE1331" s="92" t="str">
        <f>HYPERLINK("https://twitter.com/luisdepilmen/status/1691872708848435354")</f>
        <v>https://twitter.com/luisdepilmen/status/1691872708848435354</v>
      </c>
      <c r="AF1331" s="90">
        <v>45154.750706018516</v>
      </c>
      <c r="AG1331" s="99">
        <v>45154</v>
      </c>
      <c r="AH1331" s="93" t="s">
        <v>12655</v>
      </c>
      <c r="AI1331" s="87" t="b">
        <v>0</v>
      </c>
      <c r="AJ1331" s="87" t="s">
        <v>15198</v>
      </c>
      <c r="AK1331" s="87" t="s">
        <v>15234</v>
      </c>
      <c r="AL1331" s="87" t="s">
        <v>15237</v>
      </c>
      <c r="AM1331" s="87" t="s">
        <v>15270</v>
      </c>
      <c r="AN1331" s="87" t="s">
        <v>15336</v>
      </c>
      <c r="AO1331" s="87" t="s">
        <v>15402</v>
      </c>
      <c r="AP1331" s="87" t="s">
        <v>15438</v>
      </c>
      <c r="AQ1331" s="87" t="s">
        <v>16294</v>
      </c>
      <c r="AR1331" s="87">
        <v>5665</v>
      </c>
      <c r="AS1331" s="87"/>
      <c r="AT1331" s="87"/>
      <c r="AU1331" s="87"/>
      <c r="AV1331" s="92" t="str">
        <f>HYPERLINK("https://pbs.twimg.com/ext_tw_video_thumb/1691872676606820352/pu/img/9obFTtgXpYmKyU55.jpg")</f>
        <v>https://pbs.twimg.com/ext_tw_video_thumb/1691872676606820352/pu/img/9obFTtgXpYmKyU55.jpg</v>
      </c>
      <c r="AW1331" s="93" t="s">
        <v>19567</v>
      </c>
      <c r="AX1331" s="93" t="s">
        <v>19567</v>
      </c>
      <c r="AY1331" s="87"/>
      <c r="AZ1331" s="93" t="s">
        <v>22668</v>
      </c>
      <c r="BA1331" s="93" t="s">
        <v>22668</v>
      </c>
      <c r="BB1331" s="93" t="s">
        <v>22668</v>
      </c>
      <c r="BC1331" s="93" t="s">
        <v>19567</v>
      </c>
      <c r="BD1331" s="93" t="s">
        <v>23054</v>
      </c>
      <c r="BE1331" s="87"/>
      <c r="BF1331" s="87"/>
      <c r="BG1331" s="87"/>
      <c r="BH1331" s="87"/>
      <c r="BI1331" s="87"/>
    </row>
    <row r="1332" spans="1:61" x14ac:dyDescent="0.25">
      <c r="A1332" s="63" t="s">
        <v>672</v>
      </c>
      <c r="B1332" s="63" t="s">
        <v>672</v>
      </c>
      <c r="C1332" s="64"/>
      <c r="D1332" s="65"/>
      <c r="E1332" s="66"/>
      <c r="F1332" s="67"/>
      <c r="G1332" s="64"/>
      <c r="H1332" s="68"/>
      <c r="I1332" s="69"/>
      <c r="J1332" s="69"/>
      <c r="K1332" s="32"/>
      <c r="L1332" s="76">
        <v>1332</v>
      </c>
      <c r="M1332" s="76"/>
      <c r="N1332" s="71"/>
      <c r="O1332" s="87" t="s">
        <v>179</v>
      </c>
      <c r="P1332" s="90">
        <v>45114.493935185186</v>
      </c>
      <c r="Q1332" s="87" t="s">
        <v>3138</v>
      </c>
      <c r="R1332" s="87">
        <v>0</v>
      </c>
      <c r="S1332" s="87">
        <v>1</v>
      </c>
      <c r="T1332" s="87">
        <v>0</v>
      </c>
      <c r="U1332" s="87">
        <v>0</v>
      </c>
      <c r="V1332" s="87">
        <v>888</v>
      </c>
      <c r="W1332" s="93" t="s">
        <v>6753</v>
      </c>
      <c r="X1332" s="87"/>
      <c r="Y1332" s="87"/>
      <c r="Z1332" s="87"/>
      <c r="AA1332" s="87" t="s">
        <v>9482</v>
      </c>
      <c r="AB1332" s="87" t="s">
        <v>11448</v>
      </c>
      <c r="AC1332" s="93" t="s">
        <v>11459</v>
      </c>
      <c r="AD1332" s="87" t="s">
        <v>11519</v>
      </c>
      <c r="AE1332" s="92" t="str">
        <f>HYPERLINK("https://twitter.com/luisdepilmen/status/1677284141341999105")</f>
        <v>https://twitter.com/luisdepilmen/status/1677284141341999105</v>
      </c>
      <c r="AF1332" s="90">
        <v>45114.493935185186</v>
      </c>
      <c r="AG1332" s="99">
        <v>45114</v>
      </c>
      <c r="AH1332" s="93" t="s">
        <v>12760</v>
      </c>
      <c r="AI1332" s="87" t="b">
        <v>0</v>
      </c>
      <c r="AJ1332" s="87" t="s">
        <v>15198</v>
      </c>
      <c r="AK1332" s="87" t="s">
        <v>15234</v>
      </c>
      <c r="AL1332" s="87" t="s">
        <v>15237</v>
      </c>
      <c r="AM1332" s="87" t="s">
        <v>15270</v>
      </c>
      <c r="AN1332" s="87" t="s">
        <v>15336</v>
      </c>
      <c r="AO1332" s="87" t="s">
        <v>15402</v>
      </c>
      <c r="AP1332" s="87" t="s">
        <v>15438</v>
      </c>
      <c r="AQ1332" s="87" t="s">
        <v>16295</v>
      </c>
      <c r="AR1332" s="87"/>
      <c r="AS1332" s="87"/>
      <c r="AT1332" s="87"/>
      <c r="AU1332" s="87"/>
      <c r="AV1332" s="92" t="str">
        <f>HYPERLINK("https://pbs.twimg.com/media/F0bpCYdXgAEWGOx.jpg")</f>
        <v>https://pbs.twimg.com/media/F0bpCYdXgAEWGOx.jpg</v>
      </c>
      <c r="AW1332" s="93" t="s">
        <v>19568</v>
      </c>
      <c r="AX1332" s="93" t="s">
        <v>19568</v>
      </c>
      <c r="AY1332" s="87"/>
      <c r="AZ1332" s="93" t="s">
        <v>22668</v>
      </c>
      <c r="BA1332" s="93" t="s">
        <v>22668</v>
      </c>
      <c r="BB1332" s="93" t="s">
        <v>22668</v>
      </c>
      <c r="BC1332" s="93" t="s">
        <v>19568</v>
      </c>
      <c r="BD1332" s="93" t="s">
        <v>23054</v>
      </c>
      <c r="BE1332" s="87"/>
      <c r="BF1332" s="87"/>
      <c r="BG1332" s="87"/>
      <c r="BH1332" s="87"/>
      <c r="BI1332" s="87"/>
    </row>
    <row r="1333" spans="1:61" x14ac:dyDescent="0.25">
      <c r="A1333" s="63" t="s">
        <v>672</v>
      </c>
      <c r="B1333" s="63" t="s">
        <v>672</v>
      </c>
      <c r="C1333" s="64"/>
      <c r="D1333" s="65"/>
      <c r="E1333" s="66"/>
      <c r="F1333" s="67"/>
      <c r="G1333" s="64"/>
      <c r="H1333" s="68"/>
      <c r="I1333" s="69"/>
      <c r="J1333" s="69"/>
      <c r="K1333" s="32"/>
      <c r="L1333" s="76">
        <v>1333</v>
      </c>
      <c r="M1333" s="76"/>
      <c r="N1333" s="71"/>
      <c r="O1333" s="87" t="s">
        <v>179</v>
      </c>
      <c r="P1333" s="90">
        <v>45159.694201388891</v>
      </c>
      <c r="Q1333" s="87" t="s">
        <v>3139</v>
      </c>
      <c r="R1333" s="87">
        <v>0</v>
      </c>
      <c r="S1333" s="87">
        <v>2</v>
      </c>
      <c r="T1333" s="87">
        <v>0</v>
      </c>
      <c r="U1333" s="87">
        <v>0</v>
      </c>
      <c r="V1333" s="87">
        <v>684</v>
      </c>
      <c r="W1333" s="93" t="s">
        <v>6754</v>
      </c>
      <c r="X1333" s="87"/>
      <c r="Y1333" s="87"/>
      <c r="Z1333" s="87"/>
      <c r="AA1333" s="87" t="s">
        <v>9483</v>
      </c>
      <c r="AB1333" s="87" t="s">
        <v>11448</v>
      </c>
      <c r="AC1333" s="93" t="s">
        <v>11459</v>
      </c>
      <c r="AD1333" s="87" t="s">
        <v>11519</v>
      </c>
      <c r="AE1333" s="92" t="str">
        <f>HYPERLINK("https://twitter.com/luisdepilmen/status/1693664170665726110")</f>
        <v>https://twitter.com/luisdepilmen/status/1693664170665726110</v>
      </c>
      <c r="AF1333" s="90">
        <v>45159.694201388891</v>
      </c>
      <c r="AG1333" s="99">
        <v>45159</v>
      </c>
      <c r="AH1333" s="93" t="s">
        <v>12761</v>
      </c>
      <c r="AI1333" s="87" t="b">
        <v>0</v>
      </c>
      <c r="AJ1333" s="87" t="s">
        <v>15198</v>
      </c>
      <c r="AK1333" s="87" t="s">
        <v>15234</v>
      </c>
      <c r="AL1333" s="87" t="s">
        <v>15237</v>
      </c>
      <c r="AM1333" s="87" t="s">
        <v>15270</v>
      </c>
      <c r="AN1333" s="87" t="s">
        <v>15336</v>
      </c>
      <c r="AO1333" s="87" t="s">
        <v>15402</v>
      </c>
      <c r="AP1333" s="87" t="s">
        <v>15438</v>
      </c>
      <c r="AQ1333" s="87" t="s">
        <v>16296</v>
      </c>
      <c r="AR1333" s="87"/>
      <c r="AS1333" s="87"/>
      <c r="AT1333" s="87"/>
      <c r="AU1333" s="87"/>
      <c r="AV1333" s="92" t="str">
        <f>HYPERLINK("https://pbs.twimg.com/media/F4EalnTXwAAXVWj.jpg")</f>
        <v>https://pbs.twimg.com/media/F4EalnTXwAAXVWj.jpg</v>
      </c>
      <c r="AW1333" s="93" t="s">
        <v>19569</v>
      </c>
      <c r="AX1333" s="93" t="s">
        <v>19569</v>
      </c>
      <c r="AY1333" s="87"/>
      <c r="AZ1333" s="93" t="s">
        <v>22668</v>
      </c>
      <c r="BA1333" s="93" t="s">
        <v>22668</v>
      </c>
      <c r="BB1333" s="93" t="s">
        <v>22668</v>
      </c>
      <c r="BC1333" s="93" t="s">
        <v>19569</v>
      </c>
      <c r="BD1333" s="93" t="s">
        <v>23054</v>
      </c>
      <c r="BE1333" s="87"/>
      <c r="BF1333" s="87"/>
      <c r="BG1333" s="87"/>
      <c r="BH1333" s="87"/>
      <c r="BI1333" s="87"/>
    </row>
    <row r="1334" spans="1:61" x14ac:dyDescent="0.25">
      <c r="A1334" s="63" t="s">
        <v>672</v>
      </c>
      <c r="B1334" s="63" t="s">
        <v>672</v>
      </c>
      <c r="C1334" s="64"/>
      <c r="D1334" s="65"/>
      <c r="E1334" s="66"/>
      <c r="F1334" s="67"/>
      <c r="G1334" s="64"/>
      <c r="H1334" s="68"/>
      <c r="I1334" s="69"/>
      <c r="J1334" s="69"/>
      <c r="K1334" s="32"/>
      <c r="L1334" s="76">
        <v>1334</v>
      </c>
      <c r="M1334" s="76"/>
      <c r="N1334" s="71"/>
      <c r="O1334" s="87" t="s">
        <v>179</v>
      </c>
      <c r="P1334" s="90">
        <v>45175.894606481481</v>
      </c>
      <c r="Q1334" s="87" t="s">
        <v>3140</v>
      </c>
      <c r="R1334" s="87">
        <v>0</v>
      </c>
      <c r="S1334" s="87">
        <v>5</v>
      </c>
      <c r="T1334" s="87">
        <v>0</v>
      </c>
      <c r="U1334" s="87">
        <v>0</v>
      </c>
      <c r="V1334" s="87">
        <v>454</v>
      </c>
      <c r="W1334" s="93" t="s">
        <v>6755</v>
      </c>
      <c r="X1334" s="87"/>
      <c r="Y1334" s="87"/>
      <c r="Z1334" s="87"/>
      <c r="AA1334" s="87" t="s">
        <v>9484</v>
      </c>
      <c r="AB1334" s="87" t="s">
        <v>11447</v>
      </c>
      <c r="AC1334" s="93" t="s">
        <v>11459</v>
      </c>
      <c r="AD1334" s="87" t="s">
        <v>11520</v>
      </c>
      <c r="AE1334" s="92" t="str">
        <f>HYPERLINK("https://twitter.com/luisdepilmen/status/1699535001446945270")</f>
        <v>https://twitter.com/luisdepilmen/status/1699535001446945270</v>
      </c>
      <c r="AF1334" s="90">
        <v>45175.894606481481</v>
      </c>
      <c r="AG1334" s="99">
        <v>45175</v>
      </c>
      <c r="AH1334" s="93" t="s">
        <v>12762</v>
      </c>
      <c r="AI1334" s="87" t="b">
        <v>0</v>
      </c>
      <c r="AJ1334" s="87" t="s">
        <v>15198</v>
      </c>
      <c r="AK1334" s="87" t="s">
        <v>15234</v>
      </c>
      <c r="AL1334" s="87" t="s">
        <v>15237</v>
      </c>
      <c r="AM1334" s="87" t="s">
        <v>15270</v>
      </c>
      <c r="AN1334" s="87" t="s">
        <v>15336</v>
      </c>
      <c r="AO1334" s="87" t="s">
        <v>15402</v>
      </c>
      <c r="AP1334" s="87" t="s">
        <v>15438</v>
      </c>
      <c r="AQ1334" s="87" t="s">
        <v>16297</v>
      </c>
      <c r="AR1334" s="87">
        <v>14465</v>
      </c>
      <c r="AS1334" s="87"/>
      <c r="AT1334" s="87"/>
      <c r="AU1334" s="87"/>
      <c r="AV1334" s="92" t="str">
        <f>HYPERLINK("https://pbs.twimg.com/ext_tw_video_thumb/1699534962624475136/pu/img/GEEIA--XXZ5iEAHi.jpg")</f>
        <v>https://pbs.twimg.com/ext_tw_video_thumb/1699534962624475136/pu/img/GEEIA--XXZ5iEAHi.jpg</v>
      </c>
      <c r="AW1334" s="93" t="s">
        <v>19570</v>
      </c>
      <c r="AX1334" s="93" t="s">
        <v>19570</v>
      </c>
      <c r="AY1334" s="87"/>
      <c r="AZ1334" s="93" t="s">
        <v>22668</v>
      </c>
      <c r="BA1334" s="93" t="s">
        <v>22668</v>
      </c>
      <c r="BB1334" s="93" t="s">
        <v>22668</v>
      </c>
      <c r="BC1334" s="93" t="s">
        <v>19570</v>
      </c>
      <c r="BD1334" s="93" t="s">
        <v>23054</v>
      </c>
      <c r="BE1334" s="87"/>
      <c r="BF1334" s="87"/>
      <c r="BG1334" s="87"/>
      <c r="BH1334" s="87"/>
      <c r="BI1334" s="87"/>
    </row>
    <row r="1335" spans="1:61" x14ac:dyDescent="0.25">
      <c r="A1335" s="63" t="s">
        <v>672</v>
      </c>
      <c r="B1335" s="63" t="s">
        <v>672</v>
      </c>
      <c r="C1335" s="64"/>
      <c r="D1335" s="65"/>
      <c r="E1335" s="66"/>
      <c r="F1335" s="67"/>
      <c r="G1335" s="64"/>
      <c r="H1335" s="68"/>
      <c r="I1335" s="69"/>
      <c r="J1335" s="69"/>
      <c r="K1335" s="32"/>
      <c r="L1335" s="76">
        <v>1335</v>
      </c>
      <c r="M1335" s="76"/>
      <c r="N1335" s="71"/>
      <c r="O1335" s="87" t="s">
        <v>179</v>
      </c>
      <c r="P1335" s="90">
        <v>45160.831018518518</v>
      </c>
      <c r="Q1335" s="87" t="s">
        <v>3141</v>
      </c>
      <c r="R1335" s="87">
        <v>0</v>
      </c>
      <c r="S1335" s="87">
        <v>3</v>
      </c>
      <c r="T1335" s="87">
        <v>0</v>
      </c>
      <c r="U1335" s="87">
        <v>0</v>
      </c>
      <c r="V1335" s="87">
        <v>761</v>
      </c>
      <c r="W1335" s="93" t="s">
        <v>6756</v>
      </c>
      <c r="X1335" s="87"/>
      <c r="Y1335" s="87"/>
      <c r="Z1335" s="87"/>
      <c r="AA1335" s="87" t="s">
        <v>9485</v>
      </c>
      <c r="AB1335" s="87" t="s">
        <v>11448</v>
      </c>
      <c r="AC1335" s="93" t="s">
        <v>11459</v>
      </c>
      <c r="AD1335" s="87" t="s">
        <v>11519</v>
      </c>
      <c r="AE1335" s="92" t="str">
        <f>HYPERLINK("https://twitter.com/luisdepilmen/status/1694076138744611050")</f>
        <v>https://twitter.com/luisdepilmen/status/1694076138744611050</v>
      </c>
      <c r="AF1335" s="90">
        <v>45160.831018518518</v>
      </c>
      <c r="AG1335" s="99">
        <v>45160</v>
      </c>
      <c r="AH1335" s="93" t="s">
        <v>12763</v>
      </c>
      <c r="AI1335" s="87" t="b">
        <v>0</v>
      </c>
      <c r="AJ1335" s="87" t="s">
        <v>15198</v>
      </c>
      <c r="AK1335" s="87" t="s">
        <v>15234</v>
      </c>
      <c r="AL1335" s="87" t="s">
        <v>15237</v>
      </c>
      <c r="AM1335" s="87" t="s">
        <v>15270</v>
      </c>
      <c r="AN1335" s="87" t="s">
        <v>15336</v>
      </c>
      <c r="AO1335" s="87" t="s">
        <v>15402</v>
      </c>
      <c r="AP1335" s="87" t="s">
        <v>15438</v>
      </c>
      <c r="AQ1335" s="87" t="s">
        <v>16298</v>
      </c>
      <c r="AR1335" s="87"/>
      <c r="AS1335" s="87"/>
      <c r="AT1335" s="87"/>
      <c r="AU1335" s="87"/>
      <c r="AV1335" s="92" t="str">
        <f>HYPERLINK("https://pbs.twimg.com/media/F4KRRROXUAAVzH3.jpg")</f>
        <v>https://pbs.twimg.com/media/F4KRRROXUAAVzH3.jpg</v>
      </c>
      <c r="AW1335" s="93" t="s">
        <v>19571</v>
      </c>
      <c r="AX1335" s="93" t="s">
        <v>19571</v>
      </c>
      <c r="AY1335" s="87"/>
      <c r="AZ1335" s="93" t="s">
        <v>22668</v>
      </c>
      <c r="BA1335" s="93" t="s">
        <v>22668</v>
      </c>
      <c r="BB1335" s="93" t="s">
        <v>22668</v>
      </c>
      <c r="BC1335" s="93" t="s">
        <v>19571</v>
      </c>
      <c r="BD1335" s="93" t="s">
        <v>23054</v>
      </c>
      <c r="BE1335" s="87"/>
      <c r="BF1335" s="87"/>
      <c r="BG1335" s="87"/>
      <c r="BH1335" s="87"/>
      <c r="BI1335" s="87"/>
    </row>
    <row r="1336" spans="1:61" x14ac:dyDescent="0.25">
      <c r="A1336" s="63" t="s">
        <v>672</v>
      </c>
      <c r="B1336" s="63" t="s">
        <v>672</v>
      </c>
      <c r="C1336" s="64"/>
      <c r="D1336" s="65"/>
      <c r="E1336" s="66"/>
      <c r="F1336" s="67"/>
      <c r="G1336" s="64"/>
      <c r="H1336" s="68"/>
      <c r="I1336" s="69"/>
      <c r="J1336" s="69"/>
      <c r="K1336" s="32"/>
      <c r="L1336" s="76">
        <v>1336</v>
      </c>
      <c r="M1336" s="76"/>
      <c r="N1336" s="71"/>
      <c r="O1336" s="87" t="s">
        <v>179</v>
      </c>
      <c r="P1336" s="90">
        <v>45174.845763888887</v>
      </c>
      <c r="Q1336" s="87" t="s">
        <v>3142</v>
      </c>
      <c r="R1336" s="87">
        <v>0</v>
      </c>
      <c r="S1336" s="87">
        <v>2</v>
      </c>
      <c r="T1336" s="87">
        <v>0</v>
      </c>
      <c r="U1336" s="87">
        <v>0</v>
      </c>
      <c r="V1336" s="87">
        <v>705</v>
      </c>
      <c r="W1336" s="93" t="s">
        <v>6757</v>
      </c>
      <c r="X1336" s="87"/>
      <c r="Y1336" s="87"/>
      <c r="Z1336" s="87"/>
      <c r="AA1336" s="87" t="s">
        <v>9486</v>
      </c>
      <c r="AB1336" s="87" t="s">
        <v>11447</v>
      </c>
      <c r="AC1336" s="93" t="s">
        <v>11459</v>
      </c>
      <c r="AD1336" s="87" t="s">
        <v>11519</v>
      </c>
      <c r="AE1336" s="92" t="str">
        <f>HYPERLINK("https://twitter.com/luisdepilmen/status/1699154912444125297")</f>
        <v>https://twitter.com/luisdepilmen/status/1699154912444125297</v>
      </c>
      <c r="AF1336" s="90">
        <v>45174.845763888887</v>
      </c>
      <c r="AG1336" s="99">
        <v>45174</v>
      </c>
      <c r="AH1336" s="93" t="s">
        <v>12764</v>
      </c>
      <c r="AI1336" s="87" t="b">
        <v>0</v>
      </c>
      <c r="AJ1336" s="87" t="s">
        <v>15198</v>
      </c>
      <c r="AK1336" s="87" t="s">
        <v>15234</v>
      </c>
      <c r="AL1336" s="87" t="s">
        <v>15237</v>
      </c>
      <c r="AM1336" s="87" t="s">
        <v>15270</v>
      </c>
      <c r="AN1336" s="87" t="s">
        <v>15336</v>
      </c>
      <c r="AO1336" s="87" t="s">
        <v>15402</v>
      </c>
      <c r="AP1336" s="87" t="s">
        <v>15438</v>
      </c>
      <c r="AQ1336" s="87" t="s">
        <v>16299</v>
      </c>
      <c r="AR1336" s="87">
        <v>5033</v>
      </c>
      <c r="AS1336" s="87"/>
      <c r="AT1336" s="87"/>
      <c r="AU1336" s="87"/>
      <c r="AV1336" s="92" t="str">
        <f>HYPERLINK("https://pbs.twimg.com/ext_tw_video_thumb/1699154899626258432/pu/img/GCRXRugEWpqfH7a8.jpg")</f>
        <v>https://pbs.twimg.com/ext_tw_video_thumb/1699154899626258432/pu/img/GCRXRugEWpqfH7a8.jpg</v>
      </c>
      <c r="AW1336" s="93" t="s">
        <v>19572</v>
      </c>
      <c r="AX1336" s="93" t="s">
        <v>19572</v>
      </c>
      <c r="AY1336" s="87"/>
      <c r="AZ1336" s="93" t="s">
        <v>22668</v>
      </c>
      <c r="BA1336" s="93" t="s">
        <v>22668</v>
      </c>
      <c r="BB1336" s="93" t="s">
        <v>22668</v>
      </c>
      <c r="BC1336" s="93" t="s">
        <v>19572</v>
      </c>
      <c r="BD1336" s="93" t="s">
        <v>23054</v>
      </c>
      <c r="BE1336" s="87"/>
      <c r="BF1336" s="87"/>
      <c r="BG1336" s="87"/>
      <c r="BH1336" s="87"/>
      <c r="BI1336" s="87"/>
    </row>
    <row r="1337" spans="1:61" x14ac:dyDescent="0.25">
      <c r="A1337" s="63" t="s">
        <v>672</v>
      </c>
      <c r="B1337" s="63" t="s">
        <v>672</v>
      </c>
      <c r="C1337" s="64"/>
      <c r="D1337" s="65"/>
      <c r="E1337" s="66"/>
      <c r="F1337" s="67"/>
      <c r="G1337" s="64"/>
      <c r="H1337" s="68"/>
      <c r="I1337" s="69"/>
      <c r="J1337" s="69"/>
      <c r="K1337" s="32"/>
      <c r="L1337" s="76">
        <v>1337</v>
      </c>
      <c r="M1337" s="76"/>
      <c r="N1337" s="71"/>
      <c r="O1337" s="87" t="s">
        <v>179</v>
      </c>
      <c r="P1337" s="90">
        <v>45185.032743055555</v>
      </c>
      <c r="Q1337" s="87" t="s">
        <v>3143</v>
      </c>
      <c r="R1337" s="87">
        <v>0</v>
      </c>
      <c r="S1337" s="87">
        <v>0</v>
      </c>
      <c r="T1337" s="87">
        <v>0</v>
      </c>
      <c r="U1337" s="87">
        <v>0</v>
      </c>
      <c r="V1337" s="87">
        <v>254</v>
      </c>
      <c r="W1337" s="93" t="s">
        <v>6758</v>
      </c>
      <c r="X1337" s="87"/>
      <c r="Y1337" s="87"/>
      <c r="Z1337" s="87"/>
      <c r="AA1337" s="87" t="s">
        <v>9487</v>
      </c>
      <c r="AB1337" s="87" t="s">
        <v>11448</v>
      </c>
      <c r="AC1337" s="93" t="s">
        <v>11459</v>
      </c>
      <c r="AD1337" s="87" t="s">
        <v>11520</v>
      </c>
      <c r="AE1337" s="92" t="str">
        <f>HYPERLINK("https://twitter.com/luisdepilmen/status/1702846547820515434")</f>
        <v>https://twitter.com/luisdepilmen/status/1702846547820515434</v>
      </c>
      <c r="AF1337" s="90">
        <v>45185.032743055555</v>
      </c>
      <c r="AG1337" s="99">
        <v>45185</v>
      </c>
      <c r="AH1337" s="93" t="s">
        <v>12765</v>
      </c>
      <c r="AI1337" s="87" t="b">
        <v>0</v>
      </c>
      <c r="AJ1337" s="87" t="s">
        <v>15198</v>
      </c>
      <c r="AK1337" s="87" t="s">
        <v>15234</v>
      </c>
      <c r="AL1337" s="87" t="s">
        <v>15237</v>
      </c>
      <c r="AM1337" s="87" t="s">
        <v>15270</v>
      </c>
      <c r="AN1337" s="87" t="s">
        <v>15336</v>
      </c>
      <c r="AO1337" s="87" t="s">
        <v>15402</v>
      </c>
      <c r="AP1337" s="87" t="s">
        <v>15438</v>
      </c>
      <c r="AQ1337" s="87" t="s">
        <v>16300</v>
      </c>
      <c r="AR1337" s="87"/>
      <c r="AS1337" s="87"/>
      <c r="AT1337" s="87"/>
      <c r="AU1337" s="87"/>
      <c r="AV1337" s="92" t="str">
        <f>HYPERLINK("https://pbs.twimg.com/media/F6G56UiXUAAXlz9.jpg")</f>
        <v>https://pbs.twimg.com/media/F6G56UiXUAAXlz9.jpg</v>
      </c>
      <c r="AW1337" s="93" t="s">
        <v>19573</v>
      </c>
      <c r="AX1337" s="93" t="s">
        <v>19573</v>
      </c>
      <c r="AY1337" s="87"/>
      <c r="AZ1337" s="93" t="s">
        <v>22668</v>
      </c>
      <c r="BA1337" s="93" t="s">
        <v>22668</v>
      </c>
      <c r="BB1337" s="93" t="s">
        <v>22668</v>
      </c>
      <c r="BC1337" s="93" t="s">
        <v>19573</v>
      </c>
      <c r="BD1337" s="93" t="s">
        <v>23054</v>
      </c>
      <c r="BE1337" s="87"/>
      <c r="BF1337" s="87"/>
      <c r="BG1337" s="87"/>
      <c r="BH1337" s="87"/>
      <c r="BI1337" s="87"/>
    </row>
    <row r="1338" spans="1:61" x14ac:dyDescent="0.25">
      <c r="A1338" s="63" t="s">
        <v>673</v>
      </c>
      <c r="B1338" s="63" t="s">
        <v>673</v>
      </c>
      <c r="C1338" s="64"/>
      <c r="D1338" s="65"/>
      <c r="E1338" s="66"/>
      <c r="F1338" s="67"/>
      <c r="G1338" s="64"/>
      <c r="H1338" s="68"/>
      <c r="I1338" s="69"/>
      <c r="J1338" s="69"/>
      <c r="K1338" s="32"/>
      <c r="L1338" s="76">
        <v>1338</v>
      </c>
      <c r="M1338" s="76"/>
      <c r="N1338" s="71"/>
      <c r="O1338" s="87" t="s">
        <v>179</v>
      </c>
      <c r="P1338" s="90">
        <v>45185.989976851852</v>
      </c>
      <c r="Q1338" s="87" t="s">
        <v>3144</v>
      </c>
      <c r="R1338" s="87">
        <v>0</v>
      </c>
      <c r="S1338" s="87">
        <v>0</v>
      </c>
      <c r="T1338" s="87">
        <v>0</v>
      </c>
      <c r="U1338" s="87">
        <v>0</v>
      </c>
      <c r="V1338" s="87">
        <v>14</v>
      </c>
      <c r="W1338" s="93" t="s">
        <v>6759</v>
      </c>
      <c r="X1338" s="92" t="str">
        <f>HYPERLINK("https://www.portalviva.com.br/post/cotia-ter%C3%A1-mais-uma-edi%C3%A7%C3%A3o-da-feira-do-empreendedor-social")</f>
        <v>https://www.portalviva.com.br/post/cotia-ter%C3%A1-mais-uma-edi%C3%A7%C3%A3o-da-feira-do-empreendedor-social</v>
      </c>
      <c r="Y1338" s="87" t="s">
        <v>8373</v>
      </c>
      <c r="Z1338" s="87"/>
      <c r="AA1338" s="87" t="s">
        <v>9488</v>
      </c>
      <c r="AB1338" s="87" t="s">
        <v>11448</v>
      </c>
      <c r="AC1338" s="93" t="s">
        <v>11457</v>
      </c>
      <c r="AD1338" s="87" t="s">
        <v>11519</v>
      </c>
      <c r="AE1338" s="92" t="str">
        <f>HYPERLINK("https://twitter.com/portal_viva/status/1703193439548916162")</f>
        <v>https://twitter.com/portal_viva/status/1703193439548916162</v>
      </c>
      <c r="AF1338" s="90">
        <v>45185.989976851852</v>
      </c>
      <c r="AG1338" s="99">
        <v>45185</v>
      </c>
      <c r="AH1338" s="93" t="s">
        <v>12766</v>
      </c>
      <c r="AI1338" s="87" t="b">
        <v>0</v>
      </c>
      <c r="AJ1338" s="87"/>
      <c r="AK1338" s="87"/>
      <c r="AL1338" s="87"/>
      <c r="AM1338" s="87"/>
      <c r="AN1338" s="87"/>
      <c r="AO1338" s="87"/>
      <c r="AP1338" s="87"/>
      <c r="AQ1338" s="87" t="s">
        <v>16301</v>
      </c>
      <c r="AR1338" s="87"/>
      <c r="AS1338" s="87"/>
      <c r="AT1338" s="87"/>
      <c r="AU1338" s="87"/>
      <c r="AV1338" s="92" t="str">
        <f>HYPERLINK("https://pbs.twimg.com/media/F6L1Xu3WQAAFA2-.jpg")</f>
        <v>https://pbs.twimg.com/media/F6L1Xu3WQAAFA2-.jpg</v>
      </c>
      <c r="AW1338" s="93" t="s">
        <v>19574</v>
      </c>
      <c r="AX1338" s="93" t="s">
        <v>19574</v>
      </c>
      <c r="AY1338" s="87"/>
      <c r="AZ1338" s="93" t="s">
        <v>22668</v>
      </c>
      <c r="BA1338" s="93" t="s">
        <v>22668</v>
      </c>
      <c r="BB1338" s="93" t="s">
        <v>22668</v>
      </c>
      <c r="BC1338" s="93" t="s">
        <v>19574</v>
      </c>
      <c r="BD1338" s="87">
        <v>35049549</v>
      </c>
      <c r="BE1338" s="87"/>
      <c r="BF1338" s="87"/>
      <c r="BG1338" s="87"/>
      <c r="BH1338" s="87"/>
      <c r="BI1338" s="87"/>
    </row>
    <row r="1339" spans="1:61" x14ac:dyDescent="0.25">
      <c r="A1339" s="63" t="s">
        <v>674</v>
      </c>
      <c r="B1339" s="63" t="s">
        <v>1676</v>
      </c>
      <c r="C1339" s="64"/>
      <c r="D1339" s="65"/>
      <c r="E1339" s="66"/>
      <c r="F1339" s="67"/>
      <c r="G1339" s="64"/>
      <c r="H1339" s="68"/>
      <c r="I1339" s="69"/>
      <c r="J1339" s="69"/>
      <c r="K1339" s="32"/>
      <c r="L1339" s="76">
        <v>1339</v>
      </c>
      <c r="M1339" s="76"/>
      <c r="N1339" s="71"/>
      <c r="O1339" s="87" t="s">
        <v>1840</v>
      </c>
      <c r="P1339" s="90">
        <v>45111.323692129627</v>
      </c>
      <c r="Q1339" s="87" t="s">
        <v>3145</v>
      </c>
      <c r="R1339" s="87">
        <v>0</v>
      </c>
      <c r="S1339" s="87">
        <v>0</v>
      </c>
      <c r="T1339" s="87">
        <v>1</v>
      </c>
      <c r="U1339" s="87">
        <v>0</v>
      </c>
      <c r="V1339" s="87">
        <v>54</v>
      </c>
      <c r="W1339" s="93" t="s">
        <v>5897</v>
      </c>
      <c r="X1339" s="87"/>
      <c r="Y1339" s="87"/>
      <c r="Z1339" s="87" t="s">
        <v>1676</v>
      </c>
      <c r="AA1339" s="87"/>
      <c r="AB1339" s="87"/>
      <c r="AC1339" s="93" t="s">
        <v>11459</v>
      </c>
      <c r="AD1339" s="87" t="s">
        <v>11519</v>
      </c>
      <c r="AE1339" s="92" t="str">
        <f>HYPERLINK("https://twitter.com/parasubiculum/status/1676135284117733376")</f>
        <v>https://twitter.com/parasubiculum/status/1676135284117733376</v>
      </c>
      <c r="AF1339" s="90">
        <v>45111.323692129627</v>
      </c>
      <c r="AG1339" s="99">
        <v>45111</v>
      </c>
      <c r="AH1339" s="93" t="s">
        <v>12767</v>
      </c>
      <c r="AI1339" s="87"/>
      <c r="AJ1339" s="87"/>
      <c r="AK1339" s="87"/>
      <c r="AL1339" s="87"/>
      <c r="AM1339" s="87"/>
      <c r="AN1339" s="87"/>
      <c r="AO1339" s="87"/>
      <c r="AP1339" s="87"/>
      <c r="AQ1339" s="87"/>
      <c r="AR1339" s="87"/>
      <c r="AS1339" s="87"/>
      <c r="AT1339" s="87"/>
      <c r="AU1339" s="87"/>
      <c r="AV1339" s="92" t="str">
        <f>HYPERLINK("https://pbs.twimg.com/profile_images/1104417171076247552/NV8P1iay_normal.jpg")</f>
        <v>https://pbs.twimg.com/profile_images/1104417171076247552/NV8P1iay_normal.jpg</v>
      </c>
      <c r="AW1339" s="93" t="s">
        <v>19575</v>
      </c>
      <c r="AX1339" s="93" t="s">
        <v>22361</v>
      </c>
      <c r="AY1339" s="93" t="s">
        <v>22560</v>
      </c>
      <c r="AZ1339" s="93" t="s">
        <v>22361</v>
      </c>
      <c r="BA1339" s="93" t="s">
        <v>22668</v>
      </c>
      <c r="BB1339" s="93" t="s">
        <v>22668</v>
      </c>
      <c r="BC1339" s="93" t="s">
        <v>22361</v>
      </c>
      <c r="BD1339" s="93" t="s">
        <v>23055</v>
      </c>
      <c r="BE1339" s="87"/>
      <c r="BF1339" s="87"/>
      <c r="BG1339" s="87"/>
      <c r="BH1339" s="87"/>
      <c r="BI1339" s="87"/>
    </row>
    <row r="1340" spans="1:61" x14ac:dyDescent="0.25">
      <c r="A1340" s="63" t="s">
        <v>675</v>
      </c>
      <c r="B1340" s="63" t="s">
        <v>675</v>
      </c>
      <c r="C1340" s="64"/>
      <c r="D1340" s="65"/>
      <c r="E1340" s="66"/>
      <c r="F1340" s="67"/>
      <c r="G1340" s="64"/>
      <c r="H1340" s="68"/>
      <c r="I1340" s="69"/>
      <c r="J1340" s="69"/>
      <c r="K1340" s="32"/>
      <c r="L1340" s="76">
        <v>1340</v>
      </c>
      <c r="M1340" s="76"/>
      <c r="N1340" s="71"/>
      <c r="O1340" s="87" t="s">
        <v>179</v>
      </c>
      <c r="P1340" s="90">
        <v>45119.616168981483</v>
      </c>
      <c r="Q1340" s="87" t="s">
        <v>3146</v>
      </c>
      <c r="R1340" s="87">
        <v>0</v>
      </c>
      <c r="S1340" s="87">
        <v>5</v>
      </c>
      <c r="T1340" s="87">
        <v>0</v>
      </c>
      <c r="U1340" s="87">
        <v>0</v>
      </c>
      <c r="V1340" s="87">
        <v>665</v>
      </c>
      <c r="W1340" s="93" t="s">
        <v>6760</v>
      </c>
      <c r="X1340" s="92" t="str">
        <f>HYPERLINK("https://ufla.br/noticias/extensao/16092-ufla-tem-o-maior-numero-de-empresas-juniores-do-sul-de-minas-movimento-estimula-ambiente-de-inovacao-e-empreendedorismo")</f>
        <v>https://ufla.br/noticias/extensao/16092-ufla-tem-o-maior-numero-de-empresas-juniores-do-sul-de-minas-movimento-estimula-ambiente-de-inovacao-e-empreendedorismo</v>
      </c>
      <c r="Y1340" s="87" t="s">
        <v>8446</v>
      </c>
      <c r="Z1340" s="87"/>
      <c r="AA1340" s="87"/>
      <c r="AB1340" s="87"/>
      <c r="AC1340" s="93" t="s">
        <v>11457</v>
      </c>
      <c r="AD1340" s="87" t="s">
        <v>11519</v>
      </c>
      <c r="AE1340" s="92" t="str">
        <f>HYPERLINK("https://twitter.com/uflabr/status/1679140378656616450")</f>
        <v>https://twitter.com/uflabr/status/1679140378656616450</v>
      </c>
      <c r="AF1340" s="90">
        <v>45119.616168981483</v>
      </c>
      <c r="AG1340" s="99">
        <v>45119</v>
      </c>
      <c r="AH1340" s="93" t="s">
        <v>12768</v>
      </c>
      <c r="AI1340" s="87" t="b">
        <v>0</v>
      </c>
      <c r="AJ1340" s="87" t="s">
        <v>15199</v>
      </c>
      <c r="AK1340" s="87" t="s">
        <v>15234</v>
      </c>
      <c r="AL1340" s="87" t="s">
        <v>15237</v>
      </c>
      <c r="AM1340" s="87" t="s">
        <v>15271</v>
      </c>
      <c r="AN1340" s="87" t="s">
        <v>15337</v>
      </c>
      <c r="AO1340" s="87" t="s">
        <v>15403</v>
      </c>
      <c r="AP1340" s="87" t="s">
        <v>15438</v>
      </c>
      <c r="AQ1340" s="87"/>
      <c r="AR1340" s="87"/>
      <c r="AS1340" s="87"/>
      <c r="AT1340" s="87"/>
      <c r="AU1340" s="87"/>
      <c r="AV1340" s="92" t="str">
        <f>HYPERLINK("https://pbs.twimg.com/profile_images/1587409150337859586/C2i8OTLv_normal.jpg")</f>
        <v>https://pbs.twimg.com/profile_images/1587409150337859586/C2i8OTLv_normal.jpg</v>
      </c>
      <c r="AW1340" s="93" t="s">
        <v>19576</v>
      </c>
      <c r="AX1340" s="93" t="s">
        <v>19576</v>
      </c>
      <c r="AY1340" s="87"/>
      <c r="AZ1340" s="93" t="s">
        <v>22668</v>
      </c>
      <c r="BA1340" s="93" t="s">
        <v>22668</v>
      </c>
      <c r="BB1340" s="93" t="s">
        <v>22668</v>
      </c>
      <c r="BC1340" s="93" t="s">
        <v>19576</v>
      </c>
      <c r="BD1340" s="87">
        <v>134833776</v>
      </c>
      <c r="BE1340" s="87"/>
      <c r="BF1340" s="87"/>
      <c r="BG1340" s="87"/>
      <c r="BH1340" s="87"/>
      <c r="BI1340" s="87"/>
    </row>
    <row r="1341" spans="1:61" x14ac:dyDescent="0.25">
      <c r="A1341" s="63" t="s">
        <v>675</v>
      </c>
      <c r="B1341" s="63" t="s">
        <v>675</v>
      </c>
      <c r="C1341" s="64"/>
      <c r="D1341" s="65"/>
      <c r="E1341" s="66"/>
      <c r="F1341" s="67"/>
      <c r="G1341" s="64"/>
      <c r="H1341" s="68"/>
      <c r="I1341" s="69"/>
      <c r="J1341" s="69"/>
      <c r="K1341" s="32"/>
      <c r="L1341" s="76">
        <v>1341</v>
      </c>
      <c r="M1341" s="76"/>
      <c r="N1341" s="71"/>
      <c r="O1341" s="87" t="s">
        <v>179</v>
      </c>
      <c r="P1341" s="90">
        <v>45121.780960648146</v>
      </c>
      <c r="Q1341" s="87" t="s">
        <v>3147</v>
      </c>
      <c r="R1341" s="87">
        <v>0</v>
      </c>
      <c r="S1341" s="87">
        <v>3</v>
      </c>
      <c r="T1341" s="87">
        <v>1</v>
      </c>
      <c r="U1341" s="87">
        <v>0</v>
      </c>
      <c r="V1341" s="87">
        <v>669</v>
      </c>
      <c r="W1341" s="93" t="s">
        <v>6761</v>
      </c>
      <c r="X1341" s="87"/>
      <c r="Y1341" s="87"/>
      <c r="Z1341" s="87"/>
      <c r="AA1341" s="87" t="s">
        <v>9489</v>
      </c>
      <c r="AB1341" s="87" t="s">
        <v>11449</v>
      </c>
      <c r="AC1341" s="93" t="s">
        <v>11457</v>
      </c>
      <c r="AD1341" s="87" t="s">
        <v>11519</v>
      </c>
      <c r="AE1341" s="92" t="str">
        <f>HYPERLINK("https://twitter.com/uflabr/status/1679924872103723008")</f>
        <v>https://twitter.com/uflabr/status/1679924872103723008</v>
      </c>
      <c r="AF1341" s="90">
        <v>45121.780960648146</v>
      </c>
      <c r="AG1341" s="99">
        <v>45121</v>
      </c>
      <c r="AH1341" s="93" t="s">
        <v>12769</v>
      </c>
      <c r="AI1341" s="87" t="b">
        <v>0</v>
      </c>
      <c r="AJ1341" s="87" t="s">
        <v>15199</v>
      </c>
      <c r="AK1341" s="87" t="s">
        <v>15234</v>
      </c>
      <c r="AL1341" s="87" t="s">
        <v>15237</v>
      </c>
      <c r="AM1341" s="87" t="s">
        <v>15271</v>
      </c>
      <c r="AN1341" s="87" t="s">
        <v>15337</v>
      </c>
      <c r="AO1341" s="87" t="s">
        <v>15403</v>
      </c>
      <c r="AP1341" s="87" t="s">
        <v>15438</v>
      </c>
      <c r="AQ1341" s="87" t="s">
        <v>16302</v>
      </c>
      <c r="AR1341" s="87"/>
      <c r="AS1341" s="87"/>
      <c r="AT1341" s="87"/>
      <c r="AU1341" s="87"/>
      <c r="AV1341" s="92" t="str">
        <f>HYPERLINK("https://pbs.twimg.com/media/F1BKApgWwAUI-_H.jpg")</f>
        <v>https://pbs.twimg.com/media/F1BKApgWwAUI-_H.jpg</v>
      </c>
      <c r="AW1341" s="93" t="s">
        <v>19577</v>
      </c>
      <c r="AX1341" s="93" t="s">
        <v>19577</v>
      </c>
      <c r="AY1341" s="87"/>
      <c r="AZ1341" s="93" t="s">
        <v>22668</v>
      </c>
      <c r="BA1341" s="93" t="s">
        <v>22668</v>
      </c>
      <c r="BB1341" s="93" t="s">
        <v>22668</v>
      </c>
      <c r="BC1341" s="93" t="s">
        <v>19577</v>
      </c>
      <c r="BD1341" s="87">
        <v>134833776</v>
      </c>
      <c r="BE1341" s="87"/>
      <c r="BF1341" s="87"/>
      <c r="BG1341" s="87"/>
      <c r="BH1341" s="87"/>
      <c r="BI1341" s="87"/>
    </row>
    <row r="1342" spans="1:61" x14ac:dyDescent="0.25">
      <c r="A1342" s="63" t="s">
        <v>675</v>
      </c>
      <c r="B1342" s="63" t="s">
        <v>675</v>
      </c>
      <c r="C1342" s="64"/>
      <c r="D1342" s="65"/>
      <c r="E1342" s="66"/>
      <c r="F1342" s="67"/>
      <c r="G1342" s="64"/>
      <c r="H1342" s="68"/>
      <c r="I1342" s="69"/>
      <c r="J1342" s="69"/>
      <c r="K1342" s="32"/>
      <c r="L1342" s="76">
        <v>1342</v>
      </c>
      <c r="M1342" s="76"/>
      <c r="N1342" s="71"/>
      <c r="O1342" s="87" t="s">
        <v>179</v>
      </c>
      <c r="P1342" s="90">
        <v>45126.875439814816</v>
      </c>
      <c r="Q1342" s="87" t="s">
        <v>3148</v>
      </c>
      <c r="R1342" s="87">
        <v>0</v>
      </c>
      <c r="S1342" s="87">
        <v>1</v>
      </c>
      <c r="T1342" s="87">
        <v>1</v>
      </c>
      <c r="U1342" s="87">
        <v>0</v>
      </c>
      <c r="V1342" s="87">
        <v>338</v>
      </c>
      <c r="W1342" s="93" t="s">
        <v>6762</v>
      </c>
      <c r="X1342" s="92" t="str">
        <f>HYPERLINK("https://ufla.br/noticias/pesquisa/16111-pro-reitoria-de-inovacao-e-empreendedorismo-busca-parcerias-em-sao-paulo-e-florianopolis")</f>
        <v>https://ufla.br/noticias/pesquisa/16111-pro-reitoria-de-inovacao-e-empreendedorismo-busca-parcerias-em-sao-paulo-e-florianopolis</v>
      </c>
      <c r="Y1342" s="87" t="s">
        <v>8446</v>
      </c>
      <c r="Z1342" s="87"/>
      <c r="AA1342" s="87"/>
      <c r="AB1342" s="87"/>
      <c r="AC1342" s="93" t="s">
        <v>11457</v>
      </c>
      <c r="AD1342" s="87" t="s">
        <v>11519</v>
      </c>
      <c r="AE1342" s="92" t="str">
        <f>HYPERLINK("https://twitter.com/uflabr/status/1681771050105729029")</f>
        <v>https://twitter.com/uflabr/status/1681771050105729029</v>
      </c>
      <c r="AF1342" s="90">
        <v>45126.875439814816</v>
      </c>
      <c r="AG1342" s="99">
        <v>45126</v>
      </c>
      <c r="AH1342" s="93" t="s">
        <v>12770</v>
      </c>
      <c r="AI1342" s="87" t="b">
        <v>0</v>
      </c>
      <c r="AJ1342" s="87" t="s">
        <v>15199</v>
      </c>
      <c r="AK1342" s="87" t="s">
        <v>15234</v>
      </c>
      <c r="AL1342" s="87" t="s">
        <v>15237</v>
      </c>
      <c r="AM1342" s="87" t="s">
        <v>15271</v>
      </c>
      <c r="AN1342" s="87" t="s">
        <v>15337</v>
      </c>
      <c r="AO1342" s="87" t="s">
        <v>15403</v>
      </c>
      <c r="AP1342" s="87" t="s">
        <v>15438</v>
      </c>
      <c r="AQ1342" s="87"/>
      <c r="AR1342" s="87"/>
      <c r="AS1342" s="87"/>
      <c r="AT1342" s="87"/>
      <c r="AU1342" s="87"/>
      <c r="AV1342" s="92" t="str">
        <f>HYPERLINK("https://pbs.twimg.com/profile_images/1587409150337859586/C2i8OTLv_normal.jpg")</f>
        <v>https://pbs.twimg.com/profile_images/1587409150337859586/C2i8OTLv_normal.jpg</v>
      </c>
      <c r="AW1342" s="93" t="s">
        <v>19578</v>
      </c>
      <c r="AX1342" s="93" t="s">
        <v>19578</v>
      </c>
      <c r="AY1342" s="87"/>
      <c r="AZ1342" s="93" t="s">
        <v>22668</v>
      </c>
      <c r="BA1342" s="93" t="s">
        <v>22668</v>
      </c>
      <c r="BB1342" s="93" t="s">
        <v>22668</v>
      </c>
      <c r="BC1342" s="93" t="s">
        <v>19578</v>
      </c>
      <c r="BD1342" s="87">
        <v>134833776</v>
      </c>
      <c r="BE1342" s="87"/>
      <c r="BF1342" s="87"/>
      <c r="BG1342" s="87"/>
      <c r="BH1342" s="87"/>
      <c r="BI1342" s="87"/>
    </row>
    <row r="1343" spans="1:61" x14ac:dyDescent="0.25">
      <c r="A1343" s="63" t="s">
        <v>675</v>
      </c>
      <c r="B1343" s="63" t="s">
        <v>675</v>
      </c>
      <c r="C1343" s="64"/>
      <c r="D1343" s="65"/>
      <c r="E1343" s="66"/>
      <c r="F1343" s="67"/>
      <c r="G1343" s="64"/>
      <c r="H1343" s="68"/>
      <c r="I1343" s="69"/>
      <c r="J1343" s="69"/>
      <c r="K1343" s="32"/>
      <c r="L1343" s="76">
        <v>1343</v>
      </c>
      <c r="M1343" s="76"/>
      <c r="N1343" s="71"/>
      <c r="O1343" s="87" t="s">
        <v>179</v>
      </c>
      <c r="P1343" s="90">
        <v>45154.837094907409</v>
      </c>
      <c r="Q1343" s="87" t="s">
        <v>3149</v>
      </c>
      <c r="R1343" s="87">
        <v>0</v>
      </c>
      <c r="S1343" s="87">
        <v>4</v>
      </c>
      <c r="T1343" s="87">
        <v>0</v>
      </c>
      <c r="U1343" s="87">
        <v>0</v>
      </c>
      <c r="V1343" s="87">
        <v>421</v>
      </c>
      <c r="W1343" s="93" t="s">
        <v>6763</v>
      </c>
      <c r="X1343" s="92" t="str">
        <f>HYPERLINK("https://ufla.br/noticias/extensao/16178-ufla-recebe-nota-maxima-em-projeto-de-empreendedorismo-e-inovacao")</f>
        <v>https://ufla.br/noticias/extensao/16178-ufla-recebe-nota-maxima-em-projeto-de-empreendedorismo-e-inovacao</v>
      </c>
      <c r="Y1343" s="87" t="s">
        <v>8446</v>
      </c>
      <c r="Z1343" s="87"/>
      <c r="AA1343" s="87"/>
      <c r="AB1343" s="87"/>
      <c r="AC1343" s="93" t="s">
        <v>11457</v>
      </c>
      <c r="AD1343" s="87" t="s">
        <v>11519</v>
      </c>
      <c r="AE1343" s="92" t="str">
        <f>HYPERLINK("https://twitter.com/uflabr/status/1691904014776971302")</f>
        <v>https://twitter.com/uflabr/status/1691904014776971302</v>
      </c>
      <c r="AF1343" s="90">
        <v>45154.837094907409</v>
      </c>
      <c r="AG1343" s="99">
        <v>45154</v>
      </c>
      <c r="AH1343" s="93" t="s">
        <v>12771</v>
      </c>
      <c r="AI1343" s="87" t="b">
        <v>0</v>
      </c>
      <c r="AJ1343" s="87" t="s">
        <v>15199</v>
      </c>
      <c r="AK1343" s="87" t="s">
        <v>15234</v>
      </c>
      <c r="AL1343" s="87" t="s">
        <v>15237</v>
      </c>
      <c r="AM1343" s="87" t="s">
        <v>15271</v>
      </c>
      <c r="AN1343" s="87" t="s">
        <v>15337</v>
      </c>
      <c r="AO1343" s="87" t="s">
        <v>15403</v>
      </c>
      <c r="AP1343" s="87" t="s">
        <v>15438</v>
      </c>
      <c r="AQ1343" s="87"/>
      <c r="AR1343" s="87"/>
      <c r="AS1343" s="87"/>
      <c r="AT1343" s="87"/>
      <c r="AU1343" s="87"/>
      <c r="AV1343" s="92" t="str">
        <f>HYPERLINK("https://pbs.twimg.com/profile_images/1587409150337859586/C2i8OTLv_normal.jpg")</f>
        <v>https://pbs.twimg.com/profile_images/1587409150337859586/C2i8OTLv_normal.jpg</v>
      </c>
      <c r="AW1343" s="93" t="s">
        <v>19579</v>
      </c>
      <c r="AX1343" s="93" t="s">
        <v>19579</v>
      </c>
      <c r="AY1343" s="87"/>
      <c r="AZ1343" s="93" t="s">
        <v>22668</v>
      </c>
      <c r="BA1343" s="93" t="s">
        <v>22668</v>
      </c>
      <c r="BB1343" s="93" t="s">
        <v>22668</v>
      </c>
      <c r="BC1343" s="93" t="s">
        <v>19579</v>
      </c>
      <c r="BD1343" s="87">
        <v>134833776</v>
      </c>
      <c r="BE1343" s="87"/>
      <c r="BF1343" s="87"/>
      <c r="BG1343" s="87"/>
      <c r="BH1343" s="87"/>
      <c r="BI1343" s="87"/>
    </row>
    <row r="1344" spans="1:61" x14ac:dyDescent="0.25">
      <c r="A1344" s="63" t="s">
        <v>676</v>
      </c>
      <c r="B1344" s="63" t="s">
        <v>676</v>
      </c>
      <c r="C1344" s="64"/>
      <c r="D1344" s="65"/>
      <c r="E1344" s="66"/>
      <c r="F1344" s="67"/>
      <c r="G1344" s="64"/>
      <c r="H1344" s="68"/>
      <c r="I1344" s="69"/>
      <c r="J1344" s="69"/>
      <c r="K1344" s="32"/>
      <c r="L1344" s="76">
        <v>1344</v>
      </c>
      <c r="M1344" s="76"/>
      <c r="N1344" s="71"/>
      <c r="O1344" s="87" t="s">
        <v>179</v>
      </c>
      <c r="P1344" s="90">
        <v>45114.906469907408</v>
      </c>
      <c r="Q1344" s="87" t="s">
        <v>3150</v>
      </c>
      <c r="R1344" s="87">
        <v>0</v>
      </c>
      <c r="S1344" s="87">
        <v>2</v>
      </c>
      <c r="T1344" s="87">
        <v>0</v>
      </c>
      <c r="U1344" s="87">
        <v>0</v>
      </c>
      <c r="V1344" s="87">
        <v>603</v>
      </c>
      <c r="W1344" s="93" t="s">
        <v>6764</v>
      </c>
      <c r="X1344" s="92" t="str">
        <f>HYPERLINK("https://bit.ly/46HTiFl")</f>
        <v>https://bit.ly/46HTiFl</v>
      </c>
      <c r="Y1344" s="87" t="s">
        <v>8374</v>
      </c>
      <c r="Z1344" s="87"/>
      <c r="AA1344" s="87" t="s">
        <v>9490</v>
      </c>
      <c r="AB1344" s="87" t="s">
        <v>11448</v>
      </c>
      <c r="AC1344" s="93" t="s">
        <v>11462</v>
      </c>
      <c r="AD1344" s="87" t="s">
        <v>11519</v>
      </c>
      <c r="AE1344" s="92" t="str">
        <f>HYPERLINK("https://twitter.com/campuspartybra/status/1677433640475672578")</f>
        <v>https://twitter.com/campuspartybra/status/1677433640475672578</v>
      </c>
      <c r="AF1344" s="90">
        <v>45114.906469907408</v>
      </c>
      <c r="AG1344" s="99">
        <v>45114</v>
      </c>
      <c r="AH1344" s="93" t="s">
        <v>12772</v>
      </c>
      <c r="AI1344" s="87" t="b">
        <v>0</v>
      </c>
      <c r="AJ1344" s="87"/>
      <c r="AK1344" s="87"/>
      <c r="AL1344" s="87"/>
      <c r="AM1344" s="87"/>
      <c r="AN1344" s="87"/>
      <c r="AO1344" s="87"/>
      <c r="AP1344" s="87"/>
      <c r="AQ1344" s="87" t="s">
        <v>16303</v>
      </c>
      <c r="AR1344" s="87"/>
      <c r="AS1344" s="87"/>
      <c r="AT1344" s="87"/>
      <c r="AU1344" s="87"/>
      <c r="AV1344" s="92" t="str">
        <f>HYPERLINK("https://pbs.twimg.com/media/F0dxAbmWYAE4mmi.jpg")</f>
        <v>https://pbs.twimg.com/media/F0dxAbmWYAE4mmi.jpg</v>
      </c>
      <c r="AW1344" s="93" t="s">
        <v>19580</v>
      </c>
      <c r="AX1344" s="93" t="s">
        <v>19580</v>
      </c>
      <c r="AY1344" s="87"/>
      <c r="AZ1344" s="93" t="s">
        <v>22668</v>
      </c>
      <c r="BA1344" s="93" t="s">
        <v>22668</v>
      </c>
      <c r="BB1344" s="93" t="s">
        <v>22668</v>
      </c>
      <c r="BC1344" s="93" t="s">
        <v>19580</v>
      </c>
      <c r="BD1344" s="87">
        <v>17346246</v>
      </c>
      <c r="BE1344" s="87"/>
      <c r="BF1344" s="87"/>
      <c r="BG1344" s="87"/>
      <c r="BH1344" s="87"/>
      <c r="BI1344" s="87"/>
    </row>
    <row r="1345" spans="1:61" x14ac:dyDescent="0.25">
      <c r="A1345" s="63" t="s">
        <v>677</v>
      </c>
      <c r="B1345" s="63" t="s">
        <v>677</v>
      </c>
      <c r="C1345" s="64"/>
      <c r="D1345" s="65"/>
      <c r="E1345" s="66"/>
      <c r="F1345" s="67"/>
      <c r="G1345" s="64"/>
      <c r="H1345" s="68"/>
      <c r="I1345" s="69"/>
      <c r="J1345" s="69"/>
      <c r="K1345" s="32"/>
      <c r="L1345" s="76">
        <v>1345</v>
      </c>
      <c r="M1345" s="76"/>
      <c r="N1345" s="71"/>
      <c r="O1345" s="87" t="s">
        <v>179</v>
      </c>
      <c r="P1345" s="90">
        <v>45182.666990740741</v>
      </c>
      <c r="Q1345" s="87" t="s">
        <v>3151</v>
      </c>
      <c r="R1345" s="87">
        <v>0</v>
      </c>
      <c r="S1345" s="87">
        <v>0</v>
      </c>
      <c r="T1345" s="87">
        <v>0</v>
      </c>
      <c r="U1345" s="87">
        <v>0</v>
      </c>
      <c r="V1345" s="87">
        <v>1</v>
      </c>
      <c r="W1345" s="93" t="s">
        <v>6765</v>
      </c>
      <c r="X1345" s="87"/>
      <c r="Y1345" s="87"/>
      <c r="Z1345" s="87"/>
      <c r="AA1345" s="87" t="s">
        <v>9491</v>
      </c>
      <c r="AB1345" s="87" t="s">
        <v>11448</v>
      </c>
      <c r="AC1345" s="93" t="s">
        <v>11486</v>
      </c>
      <c r="AD1345" s="87" t="s">
        <v>11519</v>
      </c>
      <c r="AE1345" s="92" t="str">
        <f>HYPERLINK("https://twitter.com/ia_matheuss/status/1701989229075570786")</f>
        <v>https://twitter.com/ia_matheuss/status/1701989229075570786</v>
      </c>
      <c r="AF1345" s="90">
        <v>45182.666990740741</v>
      </c>
      <c r="AG1345" s="99">
        <v>45182</v>
      </c>
      <c r="AH1345" s="93" t="s">
        <v>12773</v>
      </c>
      <c r="AI1345" s="87" t="b">
        <v>0</v>
      </c>
      <c r="AJ1345" s="87"/>
      <c r="AK1345" s="87"/>
      <c r="AL1345" s="87"/>
      <c r="AM1345" s="87"/>
      <c r="AN1345" s="87"/>
      <c r="AO1345" s="87"/>
      <c r="AP1345" s="87"/>
      <c r="AQ1345" s="87" t="s">
        <v>16304</v>
      </c>
      <c r="AR1345" s="87"/>
      <c r="AS1345" s="87"/>
      <c r="AT1345" s="87"/>
      <c r="AU1345" s="87"/>
      <c r="AV1345" s="92" t="str">
        <f>HYPERLINK("https://pbs.twimg.com/media/F56uLswWUAEXtlt.jpg")</f>
        <v>https://pbs.twimg.com/media/F56uLswWUAEXtlt.jpg</v>
      </c>
      <c r="AW1345" s="93" t="s">
        <v>19581</v>
      </c>
      <c r="AX1345" s="93" t="s">
        <v>19581</v>
      </c>
      <c r="AY1345" s="87"/>
      <c r="AZ1345" s="93" t="s">
        <v>22668</v>
      </c>
      <c r="BA1345" s="93" t="s">
        <v>22668</v>
      </c>
      <c r="BB1345" s="93" t="s">
        <v>22668</v>
      </c>
      <c r="BC1345" s="93" t="s">
        <v>19581</v>
      </c>
      <c r="BD1345" s="93" t="s">
        <v>23056</v>
      </c>
      <c r="BE1345" s="87"/>
      <c r="BF1345" s="87"/>
      <c r="BG1345" s="87"/>
      <c r="BH1345" s="87"/>
      <c r="BI1345" s="87"/>
    </row>
    <row r="1346" spans="1:61" x14ac:dyDescent="0.25">
      <c r="A1346" s="63" t="s">
        <v>677</v>
      </c>
      <c r="B1346" s="63" t="s">
        <v>677</v>
      </c>
      <c r="C1346" s="64"/>
      <c r="D1346" s="65"/>
      <c r="E1346" s="66"/>
      <c r="F1346" s="67"/>
      <c r="G1346" s="64"/>
      <c r="H1346" s="68"/>
      <c r="I1346" s="69"/>
      <c r="J1346" s="69"/>
      <c r="K1346" s="32"/>
      <c r="L1346" s="76">
        <v>1346</v>
      </c>
      <c r="M1346" s="76"/>
      <c r="N1346" s="71"/>
      <c r="O1346" s="87" t="s">
        <v>179</v>
      </c>
      <c r="P1346" s="90">
        <v>45185.916851851849</v>
      </c>
      <c r="Q1346" s="87" t="s">
        <v>3152</v>
      </c>
      <c r="R1346" s="87">
        <v>0</v>
      </c>
      <c r="S1346" s="87">
        <v>0</v>
      </c>
      <c r="T1346" s="87">
        <v>0</v>
      </c>
      <c r="U1346" s="87">
        <v>0</v>
      </c>
      <c r="V1346" s="87"/>
      <c r="W1346" s="93" t="s">
        <v>6766</v>
      </c>
      <c r="X1346" s="87"/>
      <c r="Y1346" s="87"/>
      <c r="Z1346" s="87"/>
      <c r="AA1346" s="87" t="s">
        <v>9492</v>
      </c>
      <c r="AB1346" s="87" t="s">
        <v>11448</v>
      </c>
      <c r="AC1346" s="93" t="s">
        <v>11486</v>
      </c>
      <c r="AD1346" s="87" t="s">
        <v>11519</v>
      </c>
      <c r="AE1346" s="92" t="str">
        <f>HYPERLINK("https://twitter.com/ia_matheuss/status/1703166939755860127")</f>
        <v>https://twitter.com/ia_matheuss/status/1703166939755860127</v>
      </c>
      <c r="AF1346" s="90">
        <v>45185.916851851849</v>
      </c>
      <c r="AG1346" s="99">
        <v>45185</v>
      </c>
      <c r="AH1346" s="93" t="s">
        <v>12774</v>
      </c>
      <c r="AI1346" s="87" t="b">
        <v>0</v>
      </c>
      <c r="AJ1346" s="87"/>
      <c r="AK1346" s="87"/>
      <c r="AL1346" s="87"/>
      <c r="AM1346" s="87"/>
      <c r="AN1346" s="87"/>
      <c r="AO1346" s="87"/>
      <c r="AP1346" s="87"/>
      <c r="AQ1346" s="87" t="s">
        <v>16305</v>
      </c>
      <c r="AR1346" s="87"/>
      <c r="AS1346" s="87"/>
      <c r="AT1346" s="87"/>
      <c r="AU1346" s="87"/>
      <c r="AV1346" s="92" t="str">
        <f>HYPERLINK("https://pbs.twimg.com/media/F6LdThPXAAA2TKH.jpg")</f>
        <v>https://pbs.twimg.com/media/F6LdThPXAAA2TKH.jpg</v>
      </c>
      <c r="AW1346" s="93" t="s">
        <v>19582</v>
      </c>
      <c r="AX1346" s="93" t="s">
        <v>19582</v>
      </c>
      <c r="AY1346" s="87"/>
      <c r="AZ1346" s="93" t="s">
        <v>22668</v>
      </c>
      <c r="BA1346" s="93" t="s">
        <v>22668</v>
      </c>
      <c r="BB1346" s="93" t="s">
        <v>22668</v>
      </c>
      <c r="BC1346" s="93" t="s">
        <v>19582</v>
      </c>
      <c r="BD1346" s="93" t="s">
        <v>23056</v>
      </c>
      <c r="BE1346" s="87"/>
      <c r="BF1346" s="87"/>
      <c r="BG1346" s="87"/>
      <c r="BH1346" s="87"/>
      <c r="BI1346" s="87"/>
    </row>
    <row r="1347" spans="1:61" x14ac:dyDescent="0.25">
      <c r="A1347" s="63" t="s">
        <v>678</v>
      </c>
      <c r="B1347" s="63" t="s">
        <v>678</v>
      </c>
      <c r="C1347" s="64"/>
      <c r="D1347" s="65"/>
      <c r="E1347" s="66"/>
      <c r="F1347" s="67"/>
      <c r="G1347" s="64"/>
      <c r="H1347" s="68"/>
      <c r="I1347" s="69"/>
      <c r="J1347" s="69"/>
      <c r="K1347" s="32"/>
      <c r="L1347" s="76">
        <v>1347</v>
      </c>
      <c r="M1347" s="76"/>
      <c r="N1347" s="71"/>
      <c r="O1347" s="87" t="s">
        <v>1840</v>
      </c>
      <c r="P1347" s="90">
        <v>45165.621365740742</v>
      </c>
      <c r="Q1347" s="87" t="s">
        <v>3153</v>
      </c>
      <c r="R1347" s="87">
        <v>0</v>
      </c>
      <c r="S1347" s="87">
        <v>1</v>
      </c>
      <c r="T1347" s="87">
        <v>0</v>
      </c>
      <c r="U1347" s="87">
        <v>0</v>
      </c>
      <c r="V1347" s="87">
        <v>17</v>
      </c>
      <c r="W1347" s="93" t="s">
        <v>6767</v>
      </c>
      <c r="X1347" s="92" t="str">
        <f>HYPERLINK("https://www.serasaexperian.com.br/conteudos/pme/7-negocios-em-alta-para-2022/")</f>
        <v>https://www.serasaexperian.com.br/conteudos/pme/7-negocios-em-alta-para-2022/</v>
      </c>
      <c r="Y1347" s="87" t="s">
        <v>8373</v>
      </c>
      <c r="Z1347" s="87"/>
      <c r="AA1347" s="87"/>
      <c r="AB1347" s="87"/>
      <c r="AC1347" s="93" t="s">
        <v>11458</v>
      </c>
      <c r="AD1347" s="87" t="s">
        <v>11519</v>
      </c>
      <c r="AE1347" s="92" t="str">
        <f>HYPERLINK("https://twitter.com/deyvidbueno/status/1695812101082579132")</f>
        <v>https://twitter.com/deyvidbueno/status/1695812101082579132</v>
      </c>
      <c r="AF1347" s="90">
        <v>45165.621365740742</v>
      </c>
      <c r="AG1347" s="99">
        <v>45165</v>
      </c>
      <c r="AH1347" s="93" t="s">
        <v>12775</v>
      </c>
      <c r="AI1347" s="87" t="b">
        <v>0</v>
      </c>
      <c r="AJ1347" s="87" t="s">
        <v>15200</v>
      </c>
      <c r="AK1347" s="87" t="s">
        <v>15234</v>
      </c>
      <c r="AL1347" s="87" t="s">
        <v>15237</v>
      </c>
      <c r="AM1347" s="87" t="s">
        <v>15272</v>
      </c>
      <c r="AN1347" s="87" t="s">
        <v>15338</v>
      </c>
      <c r="AO1347" s="87" t="s">
        <v>15404</v>
      </c>
      <c r="AP1347" s="87" t="s">
        <v>15438</v>
      </c>
      <c r="AQ1347" s="87"/>
      <c r="AR1347" s="87"/>
      <c r="AS1347" s="87"/>
      <c r="AT1347" s="87"/>
      <c r="AU1347" s="87"/>
      <c r="AV1347" s="92" t="str">
        <f>HYPERLINK("https://pbs.twimg.com/profile_images/1550993569560797185/JVHQq33O_normal.jpg")</f>
        <v>https://pbs.twimg.com/profile_images/1550993569560797185/JVHQq33O_normal.jpg</v>
      </c>
      <c r="AW1347" s="93" t="s">
        <v>19583</v>
      </c>
      <c r="AX1347" s="93" t="s">
        <v>22362</v>
      </c>
      <c r="AY1347" s="93" t="s">
        <v>22561</v>
      </c>
      <c r="AZ1347" s="93" t="s">
        <v>22362</v>
      </c>
      <c r="BA1347" s="93" t="s">
        <v>22668</v>
      </c>
      <c r="BB1347" s="93" t="s">
        <v>22668</v>
      </c>
      <c r="BC1347" s="93" t="s">
        <v>22362</v>
      </c>
      <c r="BD1347" s="87">
        <v>117627384</v>
      </c>
      <c r="BE1347" s="87"/>
      <c r="BF1347" s="87"/>
      <c r="BG1347" s="87"/>
      <c r="BH1347" s="87"/>
      <c r="BI1347" s="87"/>
    </row>
    <row r="1348" spans="1:61" x14ac:dyDescent="0.25">
      <c r="A1348" s="63" t="s">
        <v>679</v>
      </c>
      <c r="B1348" s="63" t="s">
        <v>1677</v>
      </c>
      <c r="C1348" s="64"/>
      <c r="D1348" s="65"/>
      <c r="E1348" s="66"/>
      <c r="F1348" s="67"/>
      <c r="G1348" s="64"/>
      <c r="H1348" s="68"/>
      <c r="I1348" s="69"/>
      <c r="J1348" s="69"/>
      <c r="K1348" s="32"/>
      <c r="L1348" s="76">
        <v>1348</v>
      </c>
      <c r="M1348" s="76"/>
      <c r="N1348" s="71"/>
      <c r="O1348" s="87" t="s">
        <v>1844</v>
      </c>
      <c r="P1348" s="90">
        <v>45142.809374999997</v>
      </c>
      <c r="Q1348" s="87" t="s">
        <v>3154</v>
      </c>
      <c r="R1348" s="87">
        <v>0</v>
      </c>
      <c r="S1348" s="87">
        <v>2</v>
      </c>
      <c r="T1348" s="87">
        <v>0</v>
      </c>
      <c r="U1348" s="87">
        <v>0</v>
      </c>
      <c r="V1348" s="87">
        <v>62</v>
      </c>
      <c r="W1348" s="93" t="s">
        <v>6768</v>
      </c>
      <c r="X1348" s="87"/>
      <c r="Y1348" s="87"/>
      <c r="Z1348" s="87" t="s">
        <v>8576</v>
      </c>
      <c r="AA1348" s="87"/>
      <c r="AB1348" s="87"/>
      <c r="AC1348" s="93" t="s">
        <v>11457</v>
      </c>
      <c r="AD1348" s="87" t="s">
        <v>11519</v>
      </c>
      <c r="AE1348" s="92" t="str">
        <f>HYPERLINK("https://twitter.com/jucemaoficial/status/1687545312045314048")</f>
        <v>https://twitter.com/jucemaoficial/status/1687545312045314048</v>
      </c>
      <c r="AF1348" s="90">
        <v>45142.809374999997</v>
      </c>
      <c r="AG1348" s="99">
        <v>45142</v>
      </c>
      <c r="AH1348" s="93" t="s">
        <v>12776</v>
      </c>
      <c r="AI1348" s="87"/>
      <c r="AJ1348" s="87"/>
      <c r="AK1348" s="87"/>
      <c r="AL1348" s="87"/>
      <c r="AM1348" s="87"/>
      <c r="AN1348" s="87"/>
      <c r="AO1348" s="87"/>
      <c r="AP1348" s="87"/>
      <c r="AQ1348" s="87"/>
      <c r="AR1348" s="87"/>
      <c r="AS1348" s="87"/>
      <c r="AT1348" s="87"/>
      <c r="AU1348" s="87"/>
      <c r="AV1348" s="92" t="str">
        <f>HYPERLINK("https://pbs.twimg.com/profile_images/1687546364719144960/DPkfyyYM_normal.jpg")</f>
        <v>https://pbs.twimg.com/profile_images/1687546364719144960/DPkfyyYM_normal.jpg</v>
      </c>
      <c r="AW1348" s="93" t="s">
        <v>19584</v>
      </c>
      <c r="AX1348" s="93" t="s">
        <v>22363</v>
      </c>
      <c r="AY1348" s="93" t="s">
        <v>22562</v>
      </c>
      <c r="AZ1348" s="93" t="s">
        <v>22705</v>
      </c>
      <c r="BA1348" s="93" t="s">
        <v>22668</v>
      </c>
      <c r="BB1348" s="93" t="s">
        <v>22668</v>
      </c>
      <c r="BC1348" s="93" t="s">
        <v>22705</v>
      </c>
      <c r="BD1348" s="87">
        <v>3508084281</v>
      </c>
      <c r="BE1348" s="87"/>
      <c r="BF1348" s="87"/>
      <c r="BG1348" s="87"/>
      <c r="BH1348" s="87"/>
      <c r="BI1348" s="87"/>
    </row>
    <row r="1349" spans="1:61" x14ac:dyDescent="0.25">
      <c r="A1349" s="63" t="s">
        <v>679</v>
      </c>
      <c r="B1349" s="63" t="s">
        <v>679</v>
      </c>
      <c r="C1349" s="64"/>
      <c r="D1349" s="65"/>
      <c r="E1349" s="66"/>
      <c r="F1349" s="67"/>
      <c r="G1349" s="64"/>
      <c r="H1349" s="68"/>
      <c r="I1349" s="69"/>
      <c r="J1349" s="69"/>
      <c r="K1349" s="32"/>
      <c r="L1349" s="76">
        <v>1349</v>
      </c>
      <c r="M1349" s="76"/>
      <c r="N1349" s="71"/>
      <c r="O1349" s="87" t="s">
        <v>1840</v>
      </c>
      <c r="P1349" s="90">
        <v>45120.840925925928</v>
      </c>
      <c r="Q1349" s="87" t="s">
        <v>3155</v>
      </c>
      <c r="R1349" s="87">
        <v>1</v>
      </c>
      <c r="S1349" s="87">
        <v>0</v>
      </c>
      <c r="T1349" s="87">
        <v>0</v>
      </c>
      <c r="U1349" s="87">
        <v>0</v>
      </c>
      <c r="V1349" s="87">
        <v>45</v>
      </c>
      <c r="W1349" s="93" t="s">
        <v>6769</v>
      </c>
      <c r="X1349" s="87"/>
      <c r="Y1349" s="87"/>
      <c r="Z1349" s="87"/>
      <c r="AA1349" s="87"/>
      <c r="AB1349" s="87"/>
      <c r="AC1349" s="93" t="s">
        <v>11457</v>
      </c>
      <c r="AD1349" s="87" t="s">
        <v>11519</v>
      </c>
      <c r="AE1349" s="92" t="str">
        <f>HYPERLINK("https://twitter.com/jucemaoficial/status/1679584212192460800")</f>
        <v>https://twitter.com/jucemaoficial/status/1679584212192460800</v>
      </c>
      <c r="AF1349" s="90">
        <v>45120.840925925928</v>
      </c>
      <c r="AG1349" s="99">
        <v>45120</v>
      </c>
      <c r="AH1349" s="93" t="s">
        <v>12777</v>
      </c>
      <c r="AI1349" s="87"/>
      <c r="AJ1349" s="87"/>
      <c r="AK1349" s="87"/>
      <c r="AL1349" s="87"/>
      <c r="AM1349" s="87"/>
      <c r="AN1349" s="87"/>
      <c r="AO1349" s="87"/>
      <c r="AP1349" s="87"/>
      <c r="AQ1349" s="87"/>
      <c r="AR1349" s="87"/>
      <c r="AS1349" s="87"/>
      <c r="AT1349" s="87"/>
      <c r="AU1349" s="87"/>
      <c r="AV1349" s="92" t="str">
        <f>HYPERLINK("https://pbs.twimg.com/profile_images/1687546364719144960/DPkfyyYM_normal.jpg")</f>
        <v>https://pbs.twimg.com/profile_images/1687546364719144960/DPkfyyYM_normal.jpg</v>
      </c>
      <c r="AW1349" s="93" t="s">
        <v>19585</v>
      </c>
      <c r="AX1349" s="93" t="s">
        <v>22364</v>
      </c>
      <c r="AY1349" s="93" t="s">
        <v>22562</v>
      </c>
      <c r="AZ1349" s="93" t="s">
        <v>22364</v>
      </c>
      <c r="BA1349" s="93" t="s">
        <v>22668</v>
      </c>
      <c r="BB1349" s="93" t="s">
        <v>22668</v>
      </c>
      <c r="BC1349" s="93" t="s">
        <v>22364</v>
      </c>
      <c r="BD1349" s="87">
        <v>3508084281</v>
      </c>
      <c r="BE1349" s="87"/>
      <c r="BF1349" s="87"/>
      <c r="BG1349" s="87"/>
      <c r="BH1349" s="87"/>
      <c r="BI1349" s="87"/>
    </row>
    <row r="1350" spans="1:61" x14ac:dyDescent="0.25">
      <c r="A1350" s="63" t="s">
        <v>679</v>
      </c>
      <c r="B1350" s="63" t="s">
        <v>1580</v>
      </c>
      <c r="C1350" s="64"/>
      <c r="D1350" s="65"/>
      <c r="E1350" s="66"/>
      <c r="F1350" s="67"/>
      <c r="G1350" s="64"/>
      <c r="H1350" s="68"/>
      <c r="I1350" s="69"/>
      <c r="J1350" s="69"/>
      <c r="K1350" s="32"/>
      <c r="L1350" s="76">
        <v>1350</v>
      </c>
      <c r="M1350" s="76"/>
      <c r="N1350" s="71"/>
      <c r="O1350" s="87" t="s">
        <v>1844</v>
      </c>
      <c r="P1350" s="90">
        <v>45142.809374999997</v>
      </c>
      <c r="Q1350" s="87" t="s">
        <v>3154</v>
      </c>
      <c r="R1350" s="87">
        <v>0</v>
      </c>
      <c r="S1350" s="87">
        <v>2</v>
      </c>
      <c r="T1350" s="87">
        <v>0</v>
      </c>
      <c r="U1350" s="87">
        <v>0</v>
      </c>
      <c r="V1350" s="87">
        <v>62</v>
      </c>
      <c r="W1350" s="93" t="s">
        <v>6768</v>
      </c>
      <c r="X1350" s="87"/>
      <c r="Y1350" s="87"/>
      <c r="Z1350" s="87" t="s">
        <v>8576</v>
      </c>
      <c r="AA1350" s="87"/>
      <c r="AB1350" s="87"/>
      <c r="AC1350" s="93" t="s">
        <v>11457</v>
      </c>
      <c r="AD1350" s="87" t="s">
        <v>11519</v>
      </c>
      <c r="AE1350" s="92" t="str">
        <f>HYPERLINK("https://twitter.com/jucemaoficial/status/1687545312045314048")</f>
        <v>https://twitter.com/jucemaoficial/status/1687545312045314048</v>
      </c>
      <c r="AF1350" s="90">
        <v>45142.809374999997</v>
      </c>
      <c r="AG1350" s="99">
        <v>45142</v>
      </c>
      <c r="AH1350" s="93" t="s">
        <v>12776</v>
      </c>
      <c r="AI1350" s="87"/>
      <c r="AJ1350" s="87"/>
      <c r="AK1350" s="87"/>
      <c r="AL1350" s="87"/>
      <c r="AM1350" s="87"/>
      <c r="AN1350" s="87"/>
      <c r="AO1350" s="87"/>
      <c r="AP1350" s="87"/>
      <c r="AQ1350" s="87"/>
      <c r="AR1350" s="87"/>
      <c r="AS1350" s="87"/>
      <c r="AT1350" s="87"/>
      <c r="AU1350" s="87"/>
      <c r="AV1350" s="92" t="str">
        <f>HYPERLINK("https://pbs.twimg.com/profile_images/1687546364719144960/DPkfyyYM_normal.jpg")</f>
        <v>https://pbs.twimg.com/profile_images/1687546364719144960/DPkfyyYM_normal.jpg</v>
      </c>
      <c r="AW1350" s="93" t="s">
        <v>19584</v>
      </c>
      <c r="AX1350" s="93" t="s">
        <v>22363</v>
      </c>
      <c r="AY1350" s="93" t="s">
        <v>22562</v>
      </c>
      <c r="AZ1350" s="93" t="s">
        <v>22705</v>
      </c>
      <c r="BA1350" s="93" t="s">
        <v>22668</v>
      </c>
      <c r="BB1350" s="93" t="s">
        <v>22668</v>
      </c>
      <c r="BC1350" s="93" t="s">
        <v>22705</v>
      </c>
      <c r="BD1350" s="87">
        <v>3508084281</v>
      </c>
      <c r="BE1350" s="87"/>
      <c r="BF1350" s="87"/>
      <c r="BG1350" s="87"/>
      <c r="BH1350" s="87"/>
      <c r="BI1350" s="87"/>
    </row>
    <row r="1351" spans="1:61" x14ac:dyDescent="0.25">
      <c r="A1351" s="63" t="s">
        <v>679</v>
      </c>
      <c r="B1351" s="63" t="s">
        <v>679</v>
      </c>
      <c r="C1351" s="64"/>
      <c r="D1351" s="65"/>
      <c r="E1351" s="66"/>
      <c r="F1351" s="67"/>
      <c r="G1351" s="64"/>
      <c r="H1351" s="68"/>
      <c r="I1351" s="69"/>
      <c r="J1351" s="69"/>
      <c r="K1351" s="32"/>
      <c r="L1351" s="76">
        <v>1351</v>
      </c>
      <c r="M1351" s="76"/>
      <c r="N1351" s="71"/>
      <c r="O1351" s="87" t="s">
        <v>1840</v>
      </c>
      <c r="P1351" s="90">
        <v>45142.809374999997</v>
      </c>
      <c r="Q1351" s="87" t="s">
        <v>3154</v>
      </c>
      <c r="R1351" s="87">
        <v>0</v>
      </c>
      <c r="S1351" s="87">
        <v>2</v>
      </c>
      <c r="T1351" s="87">
        <v>0</v>
      </c>
      <c r="U1351" s="87">
        <v>0</v>
      </c>
      <c r="V1351" s="87">
        <v>62</v>
      </c>
      <c r="W1351" s="93" t="s">
        <v>6768</v>
      </c>
      <c r="X1351" s="87"/>
      <c r="Y1351" s="87"/>
      <c r="Z1351" s="87" t="s">
        <v>8576</v>
      </c>
      <c r="AA1351" s="87"/>
      <c r="AB1351" s="87"/>
      <c r="AC1351" s="93" t="s">
        <v>11457</v>
      </c>
      <c r="AD1351" s="87" t="s">
        <v>11519</v>
      </c>
      <c r="AE1351" s="92" t="str">
        <f>HYPERLINK("https://twitter.com/jucemaoficial/status/1687545312045314048")</f>
        <v>https://twitter.com/jucemaoficial/status/1687545312045314048</v>
      </c>
      <c r="AF1351" s="90">
        <v>45142.809374999997</v>
      </c>
      <c r="AG1351" s="99">
        <v>45142</v>
      </c>
      <c r="AH1351" s="93" t="s">
        <v>12776</v>
      </c>
      <c r="AI1351" s="87"/>
      <c r="AJ1351" s="87"/>
      <c r="AK1351" s="87"/>
      <c r="AL1351" s="87"/>
      <c r="AM1351" s="87"/>
      <c r="AN1351" s="87"/>
      <c r="AO1351" s="87"/>
      <c r="AP1351" s="87"/>
      <c r="AQ1351" s="87"/>
      <c r="AR1351" s="87"/>
      <c r="AS1351" s="87"/>
      <c r="AT1351" s="87"/>
      <c r="AU1351" s="87"/>
      <c r="AV1351" s="92" t="str">
        <f>HYPERLINK("https://pbs.twimg.com/profile_images/1687546364719144960/DPkfyyYM_normal.jpg")</f>
        <v>https://pbs.twimg.com/profile_images/1687546364719144960/DPkfyyYM_normal.jpg</v>
      </c>
      <c r="AW1351" s="93" t="s">
        <v>19584</v>
      </c>
      <c r="AX1351" s="93" t="s">
        <v>22363</v>
      </c>
      <c r="AY1351" s="93" t="s">
        <v>22562</v>
      </c>
      <c r="AZ1351" s="93" t="s">
        <v>22705</v>
      </c>
      <c r="BA1351" s="93" t="s">
        <v>22668</v>
      </c>
      <c r="BB1351" s="93" t="s">
        <v>22668</v>
      </c>
      <c r="BC1351" s="93" t="s">
        <v>22705</v>
      </c>
      <c r="BD1351" s="87">
        <v>3508084281</v>
      </c>
      <c r="BE1351" s="87"/>
      <c r="BF1351" s="87"/>
      <c r="BG1351" s="87"/>
      <c r="BH1351" s="87"/>
      <c r="BI1351" s="87"/>
    </row>
    <row r="1352" spans="1:61" x14ac:dyDescent="0.25">
      <c r="A1352" s="63" t="s">
        <v>679</v>
      </c>
      <c r="B1352" s="63" t="s">
        <v>679</v>
      </c>
      <c r="C1352" s="64"/>
      <c r="D1352" s="65"/>
      <c r="E1352" s="66"/>
      <c r="F1352" s="67"/>
      <c r="G1352" s="64"/>
      <c r="H1352" s="68"/>
      <c r="I1352" s="69"/>
      <c r="J1352" s="69"/>
      <c r="K1352" s="32"/>
      <c r="L1352" s="76">
        <v>1352</v>
      </c>
      <c r="M1352" s="76"/>
      <c r="N1352" s="71"/>
      <c r="O1352" s="87" t="s">
        <v>1840</v>
      </c>
      <c r="P1352" s="90">
        <v>45142.017534722225</v>
      </c>
      <c r="Q1352" s="87" t="s">
        <v>3156</v>
      </c>
      <c r="R1352" s="87">
        <v>0</v>
      </c>
      <c r="S1352" s="87">
        <v>0</v>
      </c>
      <c r="T1352" s="87">
        <v>0</v>
      </c>
      <c r="U1352" s="87">
        <v>0</v>
      </c>
      <c r="V1352" s="87">
        <v>16</v>
      </c>
      <c r="W1352" s="93" t="s">
        <v>6770</v>
      </c>
      <c r="X1352" s="87"/>
      <c r="Y1352" s="87"/>
      <c r="Z1352" s="87" t="s">
        <v>254</v>
      </c>
      <c r="AA1352" s="87"/>
      <c r="AB1352" s="87"/>
      <c r="AC1352" s="93" t="s">
        <v>11458</v>
      </c>
      <c r="AD1352" s="87" t="s">
        <v>11519</v>
      </c>
      <c r="AE1352" s="92" t="str">
        <f>HYPERLINK("https://twitter.com/jucemaoficial/status/1687258358946877440")</f>
        <v>https://twitter.com/jucemaoficial/status/1687258358946877440</v>
      </c>
      <c r="AF1352" s="90">
        <v>45142.017534722225</v>
      </c>
      <c r="AG1352" s="99">
        <v>45142</v>
      </c>
      <c r="AH1352" s="93" t="s">
        <v>12778</v>
      </c>
      <c r="AI1352" s="87"/>
      <c r="AJ1352" s="87"/>
      <c r="AK1352" s="87"/>
      <c r="AL1352" s="87"/>
      <c r="AM1352" s="87"/>
      <c r="AN1352" s="87"/>
      <c r="AO1352" s="87"/>
      <c r="AP1352" s="87"/>
      <c r="AQ1352" s="87"/>
      <c r="AR1352" s="87"/>
      <c r="AS1352" s="87"/>
      <c r="AT1352" s="87"/>
      <c r="AU1352" s="87"/>
      <c r="AV1352" s="92" t="str">
        <f>HYPERLINK("https://pbs.twimg.com/profile_images/1687546364719144960/DPkfyyYM_normal.jpg")</f>
        <v>https://pbs.twimg.com/profile_images/1687546364719144960/DPkfyyYM_normal.jpg</v>
      </c>
      <c r="AW1352" s="93" t="s">
        <v>19586</v>
      </c>
      <c r="AX1352" s="93" t="s">
        <v>22365</v>
      </c>
      <c r="AY1352" s="93" t="s">
        <v>22562</v>
      </c>
      <c r="AZ1352" s="93" t="s">
        <v>22365</v>
      </c>
      <c r="BA1352" s="93" t="s">
        <v>22668</v>
      </c>
      <c r="BB1352" s="93" t="s">
        <v>22668</v>
      </c>
      <c r="BC1352" s="93" t="s">
        <v>22365</v>
      </c>
      <c r="BD1352" s="87">
        <v>3508084281</v>
      </c>
      <c r="BE1352" s="87"/>
      <c r="BF1352" s="87"/>
      <c r="BG1352" s="87"/>
      <c r="BH1352" s="87"/>
      <c r="BI1352" s="87"/>
    </row>
    <row r="1353" spans="1:61" x14ac:dyDescent="0.25">
      <c r="A1353" s="63" t="s">
        <v>679</v>
      </c>
      <c r="B1353" s="63" t="s">
        <v>679</v>
      </c>
      <c r="C1353" s="64"/>
      <c r="D1353" s="65"/>
      <c r="E1353" s="66"/>
      <c r="F1353" s="67"/>
      <c r="G1353" s="64"/>
      <c r="H1353" s="68"/>
      <c r="I1353" s="69"/>
      <c r="J1353" s="69"/>
      <c r="K1353" s="32"/>
      <c r="L1353" s="76">
        <v>1353</v>
      </c>
      <c r="M1353" s="76"/>
      <c r="N1353" s="71"/>
      <c r="O1353" s="87" t="s">
        <v>1840</v>
      </c>
      <c r="P1353" s="90">
        <v>45153.901250000003</v>
      </c>
      <c r="Q1353" s="87" t="s">
        <v>3157</v>
      </c>
      <c r="R1353" s="87">
        <v>0</v>
      </c>
      <c r="S1353" s="87">
        <v>2</v>
      </c>
      <c r="T1353" s="87">
        <v>0</v>
      </c>
      <c r="U1353" s="87">
        <v>0</v>
      </c>
      <c r="V1353" s="87">
        <v>30</v>
      </c>
      <c r="W1353" s="93" t="s">
        <v>6771</v>
      </c>
      <c r="X1353" s="87"/>
      <c r="Y1353" s="87"/>
      <c r="Z1353" s="87" t="s">
        <v>8577</v>
      </c>
      <c r="AA1353" s="87"/>
      <c r="AB1353" s="87"/>
      <c r="AC1353" s="93" t="s">
        <v>11458</v>
      </c>
      <c r="AD1353" s="87" t="s">
        <v>11519</v>
      </c>
      <c r="AE1353" s="92" t="str">
        <f>HYPERLINK("https://twitter.com/jucemaoficial/status/1691564876538184125")</f>
        <v>https://twitter.com/jucemaoficial/status/1691564876538184125</v>
      </c>
      <c r="AF1353" s="90">
        <v>45153.901250000003</v>
      </c>
      <c r="AG1353" s="99">
        <v>45153</v>
      </c>
      <c r="AH1353" s="93" t="s">
        <v>12779</v>
      </c>
      <c r="AI1353" s="87"/>
      <c r="AJ1353" s="87"/>
      <c r="AK1353" s="87"/>
      <c r="AL1353" s="87"/>
      <c r="AM1353" s="87"/>
      <c r="AN1353" s="87"/>
      <c r="AO1353" s="87"/>
      <c r="AP1353" s="87"/>
      <c r="AQ1353" s="87"/>
      <c r="AR1353" s="87"/>
      <c r="AS1353" s="87"/>
      <c r="AT1353" s="87"/>
      <c r="AU1353" s="87"/>
      <c r="AV1353" s="92" t="str">
        <f>HYPERLINK("https://pbs.twimg.com/profile_images/1687546364719144960/DPkfyyYM_normal.jpg")</f>
        <v>https://pbs.twimg.com/profile_images/1687546364719144960/DPkfyyYM_normal.jpg</v>
      </c>
      <c r="AW1353" s="93" t="s">
        <v>19587</v>
      </c>
      <c r="AX1353" s="93" t="s">
        <v>22366</v>
      </c>
      <c r="AY1353" s="93" t="s">
        <v>22562</v>
      </c>
      <c r="AZ1353" s="93" t="s">
        <v>22706</v>
      </c>
      <c r="BA1353" s="93" t="s">
        <v>22668</v>
      </c>
      <c r="BB1353" s="93" t="s">
        <v>22668</v>
      </c>
      <c r="BC1353" s="93" t="s">
        <v>22706</v>
      </c>
      <c r="BD1353" s="87">
        <v>3508084281</v>
      </c>
      <c r="BE1353" s="87"/>
      <c r="BF1353" s="87"/>
      <c r="BG1353" s="87"/>
      <c r="BH1353" s="87"/>
      <c r="BI1353" s="87"/>
    </row>
    <row r="1354" spans="1:61" x14ac:dyDescent="0.25">
      <c r="A1354" s="63" t="s">
        <v>680</v>
      </c>
      <c r="B1354" s="63" t="s">
        <v>680</v>
      </c>
      <c r="C1354" s="64"/>
      <c r="D1354" s="65"/>
      <c r="E1354" s="66"/>
      <c r="F1354" s="67"/>
      <c r="G1354" s="64"/>
      <c r="H1354" s="68"/>
      <c r="I1354" s="69"/>
      <c r="J1354" s="69"/>
      <c r="K1354" s="32"/>
      <c r="L1354" s="76">
        <v>1354</v>
      </c>
      <c r="M1354" s="76"/>
      <c r="N1354" s="71"/>
      <c r="O1354" s="87" t="s">
        <v>179</v>
      </c>
      <c r="P1354" s="90">
        <v>45147.990740740737</v>
      </c>
      <c r="Q1354" s="87" t="s">
        <v>3158</v>
      </c>
      <c r="R1354" s="87">
        <v>0</v>
      </c>
      <c r="S1354" s="87">
        <v>0</v>
      </c>
      <c r="T1354" s="87">
        <v>1</v>
      </c>
      <c r="U1354" s="87">
        <v>0</v>
      </c>
      <c r="V1354" s="87">
        <v>1579</v>
      </c>
      <c r="W1354" s="93" t="s">
        <v>6772</v>
      </c>
      <c r="X1354" s="87"/>
      <c r="Y1354" s="87"/>
      <c r="Z1354" s="87"/>
      <c r="AA1354" s="87" t="s">
        <v>9493</v>
      </c>
      <c r="AB1354" s="87" t="s">
        <v>11447</v>
      </c>
      <c r="AC1354" s="93" t="s">
        <v>11459</v>
      </c>
      <c r="AD1354" s="87" t="s">
        <v>11519</v>
      </c>
      <c r="AE1354" s="92" t="str">
        <f>HYPERLINK("https://twitter.com/canalstevejob/status/1689422979229200384")</f>
        <v>https://twitter.com/canalstevejob/status/1689422979229200384</v>
      </c>
      <c r="AF1354" s="90">
        <v>45147.990740740737</v>
      </c>
      <c r="AG1354" s="99">
        <v>45147</v>
      </c>
      <c r="AH1354" s="93" t="s">
        <v>12780</v>
      </c>
      <c r="AI1354" s="87" t="b">
        <v>0</v>
      </c>
      <c r="AJ1354" s="87"/>
      <c r="AK1354" s="87"/>
      <c r="AL1354" s="87"/>
      <c r="AM1354" s="87"/>
      <c r="AN1354" s="87"/>
      <c r="AO1354" s="87"/>
      <c r="AP1354" s="87"/>
      <c r="AQ1354" s="87" t="s">
        <v>16306</v>
      </c>
      <c r="AR1354" s="87">
        <v>45000</v>
      </c>
      <c r="AS1354" s="87"/>
      <c r="AT1354" s="87"/>
      <c r="AU1354" s="87"/>
      <c r="AV1354" s="92" t="str">
        <f>HYPERLINK("https://pbs.twimg.com/ext_tw_video_thumb/1689421427647057921/pu/img/dA0yLNWVIKEh1dMY.jpg")</f>
        <v>https://pbs.twimg.com/ext_tw_video_thumb/1689421427647057921/pu/img/dA0yLNWVIKEh1dMY.jpg</v>
      </c>
      <c r="AW1354" s="93" t="s">
        <v>19588</v>
      </c>
      <c r="AX1354" s="93" t="s">
        <v>19588</v>
      </c>
      <c r="AY1354" s="87"/>
      <c r="AZ1354" s="93" t="s">
        <v>22668</v>
      </c>
      <c r="BA1354" s="93" t="s">
        <v>22668</v>
      </c>
      <c r="BB1354" s="93" t="s">
        <v>22668</v>
      </c>
      <c r="BC1354" s="93" t="s">
        <v>19588</v>
      </c>
      <c r="BD1354" s="93" t="s">
        <v>23057</v>
      </c>
      <c r="BE1354" s="87"/>
      <c r="BF1354" s="87"/>
      <c r="BG1354" s="87"/>
      <c r="BH1354" s="87"/>
      <c r="BI1354" s="87"/>
    </row>
    <row r="1355" spans="1:61" x14ac:dyDescent="0.25">
      <c r="A1355" s="63" t="s">
        <v>681</v>
      </c>
      <c r="B1355" s="63" t="s">
        <v>681</v>
      </c>
      <c r="C1355" s="64"/>
      <c r="D1355" s="65"/>
      <c r="E1355" s="66"/>
      <c r="F1355" s="67"/>
      <c r="G1355" s="64"/>
      <c r="H1355" s="68"/>
      <c r="I1355" s="69"/>
      <c r="J1355" s="69"/>
      <c r="K1355" s="32"/>
      <c r="L1355" s="76">
        <v>1355</v>
      </c>
      <c r="M1355" s="76"/>
      <c r="N1355" s="71"/>
      <c r="O1355" s="87" t="s">
        <v>1840</v>
      </c>
      <c r="P1355" s="90">
        <v>45118.696828703702</v>
      </c>
      <c r="Q1355" s="87" t="s">
        <v>3159</v>
      </c>
      <c r="R1355" s="87">
        <v>0</v>
      </c>
      <c r="S1355" s="87">
        <v>0</v>
      </c>
      <c r="T1355" s="87">
        <v>0</v>
      </c>
      <c r="U1355" s="87">
        <v>0</v>
      </c>
      <c r="V1355" s="87">
        <v>16</v>
      </c>
      <c r="W1355" s="93" t="s">
        <v>6773</v>
      </c>
      <c r="X1355" s="87"/>
      <c r="Y1355" s="87"/>
      <c r="Z1355" s="87"/>
      <c r="AA1355" s="87" t="s">
        <v>9494</v>
      </c>
      <c r="AB1355" s="87" t="s">
        <v>11448</v>
      </c>
      <c r="AC1355" s="93" t="s">
        <v>11457</v>
      </c>
      <c r="AD1355" s="87" t="s">
        <v>11523</v>
      </c>
      <c r="AE1355" s="92" t="str">
        <f>HYPERLINK("https://twitter.com/fosofamiliasv/status/1678807217481318403")</f>
        <v>https://twitter.com/fosofamiliasv/status/1678807217481318403</v>
      </c>
      <c r="AF1355" s="90">
        <v>45118.696828703702</v>
      </c>
      <c r="AG1355" s="99">
        <v>45118</v>
      </c>
      <c r="AH1355" s="93" t="s">
        <v>12781</v>
      </c>
      <c r="AI1355" s="87" t="b">
        <v>0</v>
      </c>
      <c r="AJ1355" s="87"/>
      <c r="AK1355" s="87"/>
      <c r="AL1355" s="87"/>
      <c r="AM1355" s="87"/>
      <c r="AN1355" s="87"/>
      <c r="AO1355" s="87"/>
      <c r="AP1355" s="87"/>
      <c r="AQ1355" s="87" t="s">
        <v>16307</v>
      </c>
      <c r="AR1355" s="87"/>
      <c r="AS1355" s="87"/>
      <c r="AT1355" s="87"/>
      <c r="AU1355" s="87"/>
      <c r="AV1355" s="92" t="str">
        <f>HYPERLINK("https://pbs.twimg.com/media/F0xSOeSWAAcA2bP.jpg")</f>
        <v>https://pbs.twimg.com/media/F0xSOeSWAAcA2bP.jpg</v>
      </c>
      <c r="AW1355" s="93" t="s">
        <v>19589</v>
      </c>
      <c r="AX1355" s="93" t="s">
        <v>22367</v>
      </c>
      <c r="AY1355" s="93" t="s">
        <v>22563</v>
      </c>
      <c r="AZ1355" s="93" t="s">
        <v>22707</v>
      </c>
      <c r="BA1355" s="93" t="s">
        <v>22668</v>
      </c>
      <c r="BB1355" s="93" t="s">
        <v>22668</v>
      </c>
      <c r="BC1355" s="93" t="s">
        <v>22707</v>
      </c>
      <c r="BD1355" s="93" t="s">
        <v>22563</v>
      </c>
      <c r="BE1355" s="87"/>
      <c r="BF1355" s="87"/>
      <c r="BG1355" s="87"/>
      <c r="BH1355" s="87"/>
      <c r="BI1355" s="87"/>
    </row>
    <row r="1356" spans="1:61" x14ac:dyDescent="0.25">
      <c r="A1356" s="63" t="s">
        <v>681</v>
      </c>
      <c r="B1356" s="63" t="s">
        <v>681</v>
      </c>
      <c r="C1356" s="64"/>
      <c r="D1356" s="65"/>
      <c r="E1356" s="66"/>
      <c r="F1356" s="67"/>
      <c r="G1356" s="64"/>
      <c r="H1356" s="68"/>
      <c r="I1356" s="69"/>
      <c r="J1356" s="69"/>
      <c r="K1356" s="32"/>
      <c r="L1356" s="76">
        <v>1356</v>
      </c>
      <c r="M1356" s="76"/>
      <c r="N1356" s="71"/>
      <c r="O1356" s="87" t="s">
        <v>1840</v>
      </c>
      <c r="P1356" s="90">
        <v>45138.821712962963</v>
      </c>
      <c r="Q1356" s="87" t="s">
        <v>3160</v>
      </c>
      <c r="R1356" s="87">
        <v>0</v>
      </c>
      <c r="S1356" s="87">
        <v>0</v>
      </c>
      <c r="T1356" s="87">
        <v>0</v>
      </c>
      <c r="U1356" s="87">
        <v>0</v>
      </c>
      <c r="V1356" s="87">
        <v>25</v>
      </c>
      <c r="W1356" s="93" t="s">
        <v>6774</v>
      </c>
      <c r="X1356" s="87"/>
      <c r="Y1356" s="87"/>
      <c r="Z1356" s="87"/>
      <c r="AA1356" s="87" t="s">
        <v>9495</v>
      </c>
      <c r="AB1356" s="87" t="s">
        <v>11448</v>
      </c>
      <c r="AC1356" s="93" t="s">
        <v>11457</v>
      </c>
      <c r="AD1356" s="87" t="s">
        <v>11523</v>
      </c>
      <c r="AE1356" s="92" t="str">
        <f>HYPERLINK("https://twitter.com/fosofamiliasv/status/1686100232260468736")</f>
        <v>https://twitter.com/fosofamiliasv/status/1686100232260468736</v>
      </c>
      <c r="AF1356" s="90">
        <v>45138.821712962963</v>
      </c>
      <c r="AG1356" s="99">
        <v>45138</v>
      </c>
      <c r="AH1356" s="93" t="s">
        <v>12782</v>
      </c>
      <c r="AI1356" s="87" t="b">
        <v>0</v>
      </c>
      <c r="AJ1356" s="87"/>
      <c r="AK1356" s="87"/>
      <c r="AL1356" s="87"/>
      <c r="AM1356" s="87"/>
      <c r="AN1356" s="87"/>
      <c r="AO1356" s="87"/>
      <c r="AP1356" s="87"/>
      <c r="AQ1356" s="87" t="s">
        <v>16308</v>
      </c>
      <c r="AR1356" s="87"/>
      <c r="AS1356" s="87"/>
      <c r="AT1356" s="87"/>
      <c r="AU1356" s="87"/>
      <c r="AV1356" s="92" t="str">
        <f>HYPERLINK("https://pbs.twimg.com/media/F2Y7LArXkAA55Z7.jpg")</f>
        <v>https://pbs.twimg.com/media/F2Y7LArXkAA55Z7.jpg</v>
      </c>
      <c r="AW1356" s="93" t="s">
        <v>19590</v>
      </c>
      <c r="AX1356" s="93" t="s">
        <v>22368</v>
      </c>
      <c r="AY1356" s="93" t="s">
        <v>22563</v>
      </c>
      <c r="AZ1356" s="93" t="s">
        <v>22708</v>
      </c>
      <c r="BA1356" s="93" t="s">
        <v>22668</v>
      </c>
      <c r="BB1356" s="93" t="s">
        <v>22668</v>
      </c>
      <c r="BC1356" s="93" t="s">
        <v>22708</v>
      </c>
      <c r="BD1356" s="93" t="s">
        <v>22563</v>
      </c>
      <c r="BE1356" s="87"/>
      <c r="BF1356" s="87"/>
      <c r="BG1356" s="87"/>
      <c r="BH1356" s="87"/>
      <c r="BI1356" s="87"/>
    </row>
    <row r="1357" spans="1:61" x14ac:dyDescent="0.25">
      <c r="A1357" s="63" t="s">
        <v>681</v>
      </c>
      <c r="B1357" s="63" t="s">
        <v>681</v>
      </c>
      <c r="C1357" s="64"/>
      <c r="D1357" s="65"/>
      <c r="E1357" s="66"/>
      <c r="F1357" s="67"/>
      <c r="G1357" s="64"/>
      <c r="H1357" s="68"/>
      <c r="I1357" s="69"/>
      <c r="J1357" s="69"/>
      <c r="K1357" s="32"/>
      <c r="L1357" s="76">
        <v>1357</v>
      </c>
      <c r="M1357" s="76"/>
      <c r="N1357" s="71"/>
      <c r="O1357" s="87" t="s">
        <v>1840</v>
      </c>
      <c r="P1357" s="90">
        <v>45177.876493055555</v>
      </c>
      <c r="Q1357" s="87" t="s">
        <v>3161</v>
      </c>
      <c r="R1357" s="87">
        <v>0</v>
      </c>
      <c r="S1357" s="87">
        <v>0</v>
      </c>
      <c r="T1357" s="87">
        <v>0</v>
      </c>
      <c r="U1357" s="87">
        <v>0</v>
      </c>
      <c r="V1357" s="87">
        <v>15</v>
      </c>
      <c r="W1357" s="93" t="s">
        <v>6775</v>
      </c>
      <c r="X1357" s="87"/>
      <c r="Y1357" s="87"/>
      <c r="Z1357" s="87"/>
      <c r="AA1357" s="87" t="s">
        <v>9496</v>
      </c>
      <c r="AB1357" s="87" t="s">
        <v>11448</v>
      </c>
      <c r="AC1357" s="93" t="s">
        <v>11457</v>
      </c>
      <c r="AD1357" s="87" t="s">
        <v>11523</v>
      </c>
      <c r="AE1357" s="92" t="str">
        <f>HYPERLINK("https://twitter.com/fosofamiliasv/status/1700253211326857438")</f>
        <v>https://twitter.com/fosofamiliasv/status/1700253211326857438</v>
      </c>
      <c r="AF1357" s="90">
        <v>45177.876493055555</v>
      </c>
      <c r="AG1357" s="99">
        <v>45177</v>
      </c>
      <c r="AH1357" s="93" t="s">
        <v>11663</v>
      </c>
      <c r="AI1357" s="87" t="b">
        <v>0</v>
      </c>
      <c r="AJ1357" s="87"/>
      <c r="AK1357" s="87"/>
      <c r="AL1357" s="87"/>
      <c r="AM1357" s="87"/>
      <c r="AN1357" s="87"/>
      <c r="AO1357" s="87"/>
      <c r="AP1357" s="87"/>
      <c r="AQ1357" s="87" t="s">
        <v>16309</v>
      </c>
      <c r="AR1357" s="87"/>
      <c r="AS1357" s="87"/>
      <c r="AT1357" s="87"/>
      <c r="AU1357" s="87"/>
      <c r="AV1357" s="92" t="str">
        <f>HYPERLINK("https://pbs.twimg.com/media/F5iDPE8XQAA5z5C.jpg")</f>
        <v>https://pbs.twimg.com/media/F5iDPE8XQAA5z5C.jpg</v>
      </c>
      <c r="AW1357" s="93" t="s">
        <v>19591</v>
      </c>
      <c r="AX1357" s="93" t="s">
        <v>22369</v>
      </c>
      <c r="AY1357" s="93" t="s">
        <v>22563</v>
      </c>
      <c r="AZ1357" s="93" t="s">
        <v>22709</v>
      </c>
      <c r="BA1357" s="93" t="s">
        <v>22668</v>
      </c>
      <c r="BB1357" s="93" t="s">
        <v>22668</v>
      </c>
      <c r="BC1357" s="93" t="s">
        <v>22709</v>
      </c>
      <c r="BD1357" s="93" t="s">
        <v>22563</v>
      </c>
      <c r="BE1357" s="87"/>
      <c r="BF1357" s="87"/>
      <c r="BG1357" s="87"/>
      <c r="BH1357" s="87"/>
      <c r="BI1357" s="87"/>
    </row>
    <row r="1358" spans="1:61" x14ac:dyDescent="0.25">
      <c r="A1358" s="63" t="s">
        <v>682</v>
      </c>
      <c r="B1358" s="63" t="s">
        <v>682</v>
      </c>
      <c r="C1358" s="64"/>
      <c r="D1358" s="65"/>
      <c r="E1358" s="66"/>
      <c r="F1358" s="67"/>
      <c r="G1358" s="64"/>
      <c r="H1358" s="68"/>
      <c r="I1358" s="69"/>
      <c r="J1358" s="69"/>
      <c r="K1358" s="32"/>
      <c r="L1358" s="76">
        <v>1358</v>
      </c>
      <c r="M1358" s="76"/>
      <c r="N1358" s="71"/>
      <c r="O1358" s="87" t="s">
        <v>179</v>
      </c>
      <c r="P1358" s="90">
        <v>45117.62976851852</v>
      </c>
      <c r="Q1358" s="87" t="s">
        <v>3162</v>
      </c>
      <c r="R1358" s="87">
        <v>0</v>
      </c>
      <c r="S1358" s="87">
        <v>0</v>
      </c>
      <c r="T1358" s="87">
        <v>0</v>
      </c>
      <c r="U1358" s="87">
        <v>0</v>
      </c>
      <c r="V1358" s="87">
        <v>37</v>
      </c>
      <c r="W1358" s="93" t="s">
        <v>6776</v>
      </c>
      <c r="X1358" s="87"/>
      <c r="Y1358" s="87"/>
      <c r="Z1358" s="87"/>
      <c r="AA1358" s="87" t="s">
        <v>9497</v>
      </c>
      <c r="AB1358" s="87" t="s">
        <v>11447</v>
      </c>
      <c r="AC1358" s="93" t="s">
        <v>11459</v>
      </c>
      <c r="AD1358" s="87" t="s">
        <v>11519</v>
      </c>
      <c r="AE1358" s="92" t="str">
        <f>HYPERLINK("https://twitter.com/mvcosta22/status/1678420529370263552")</f>
        <v>https://twitter.com/mvcosta22/status/1678420529370263552</v>
      </c>
      <c r="AF1358" s="90">
        <v>45117.62976851852</v>
      </c>
      <c r="AG1358" s="99">
        <v>45117</v>
      </c>
      <c r="AH1358" s="93" t="s">
        <v>12783</v>
      </c>
      <c r="AI1358" s="87" t="b">
        <v>0</v>
      </c>
      <c r="AJ1358" s="87" t="s">
        <v>15170</v>
      </c>
      <c r="AK1358" s="87" t="s">
        <v>15234</v>
      </c>
      <c r="AL1358" s="87" t="s">
        <v>15237</v>
      </c>
      <c r="AM1358" s="87" t="s">
        <v>15242</v>
      </c>
      <c r="AN1358" s="87" t="s">
        <v>15307</v>
      </c>
      <c r="AO1358" s="87" t="s">
        <v>15374</v>
      </c>
      <c r="AP1358" s="87" t="s">
        <v>15438</v>
      </c>
      <c r="AQ1358" s="87" t="s">
        <v>16310</v>
      </c>
      <c r="AR1358" s="87">
        <v>6206</v>
      </c>
      <c r="AS1358" s="87"/>
      <c r="AT1358" s="87"/>
      <c r="AU1358" s="87"/>
      <c r="AV1358" s="92" t="str">
        <f>HYPERLINK("https://pbs.twimg.com/ext_tw_video_thumb/1678420488220028931/pu/img/dksfrx3J7_THAz89.jpg")</f>
        <v>https://pbs.twimg.com/ext_tw_video_thumb/1678420488220028931/pu/img/dksfrx3J7_THAz89.jpg</v>
      </c>
      <c r="AW1358" s="93" t="s">
        <v>19592</v>
      </c>
      <c r="AX1358" s="93" t="s">
        <v>19592</v>
      </c>
      <c r="AY1358" s="87"/>
      <c r="AZ1358" s="93" t="s">
        <v>22668</v>
      </c>
      <c r="BA1358" s="93" t="s">
        <v>22668</v>
      </c>
      <c r="BB1358" s="93" t="s">
        <v>22668</v>
      </c>
      <c r="BC1358" s="93" t="s">
        <v>19592</v>
      </c>
      <c r="BD1358" s="93" t="s">
        <v>23058</v>
      </c>
      <c r="BE1358" s="87"/>
      <c r="BF1358" s="87"/>
      <c r="BG1358" s="87"/>
      <c r="BH1358" s="87"/>
      <c r="BI1358" s="87"/>
    </row>
    <row r="1359" spans="1:61" x14ac:dyDescent="0.25">
      <c r="A1359" s="63" t="s">
        <v>682</v>
      </c>
      <c r="B1359" s="63" t="s">
        <v>682</v>
      </c>
      <c r="C1359" s="64"/>
      <c r="D1359" s="65"/>
      <c r="E1359" s="66"/>
      <c r="F1359" s="67"/>
      <c r="G1359" s="64"/>
      <c r="H1359" s="68"/>
      <c r="I1359" s="69"/>
      <c r="J1359" s="69"/>
      <c r="K1359" s="32"/>
      <c r="L1359" s="76">
        <v>1359</v>
      </c>
      <c r="M1359" s="76"/>
      <c r="N1359" s="71"/>
      <c r="O1359" s="87" t="s">
        <v>179</v>
      </c>
      <c r="P1359" s="90">
        <v>45127.632673611108</v>
      </c>
      <c r="Q1359" s="87" t="s">
        <v>3163</v>
      </c>
      <c r="R1359" s="87">
        <v>0</v>
      </c>
      <c r="S1359" s="87">
        <v>1</v>
      </c>
      <c r="T1359" s="87">
        <v>0</v>
      </c>
      <c r="U1359" s="87">
        <v>0</v>
      </c>
      <c r="V1359" s="87">
        <v>26</v>
      </c>
      <c r="W1359" s="93" t="s">
        <v>6777</v>
      </c>
      <c r="X1359" s="87"/>
      <c r="Y1359" s="87"/>
      <c r="Z1359" s="87"/>
      <c r="AA1359" s="87" t="s">
        <v>9498</v>
      </c>
      <c r="AB1359" s="87" t="s">
        <v>11448</v>
      </c>
      <c r="AC1359" s="93" t="s">
        <v>11459</v>
      </c>
      <c r="AD1359" s="87" t="s">
        <v>11519</v>
      </c>
      <c r="AE1359" s="92" t="str">
        <f>HYPERLINK("https://twitter.com/mvcosta22/status/1682045460469411840")</f>
        <v>https://twitter.com/mvcosta22/status/1682045460469411840</v>
      </c>
      <c r="AF1359" s="90">
        <v>45127.632673611108</v>
      </c>
      <c r="AG1359" s="99">
        <v>45127</v>
      </c>
      <c r="AH1359" s="93" t="s">
        <v>12784</v>
      </c>
      <c r="AI1359" s="87" t="b">
        <v>0</v>
      </c>
      <c r="AJ1359" s="87" t="s">
        <v>15170</v>
      </c>
      <c r="AK1359" s="87" t="s">
        <v>15234</v>
      </c>
      <c r="AL1359" s="87" t="s">
        <v>15237</v>
      </c>
      <c r="AM1359" s="87" t="s">
        <v>15242</v>
      </c>
      <c r="AN1359" s="87" t="s">
        <v>15307</v>
      </c>
      <c r="AO1359" s="87" t="s">
        <v>15374</v>
      </c>
      <c r="AP1359" s="87" t="s">
        <v>15438</v>
      </c>
      <c r="AQ1359" s="87" t="s">
        <v>16311</v>
      </c>
      <c r="AR1359" s="87"/>
      <c r="AS1359" s="87"/>
      <c r="AT1359" s="87"/>
      <c r="AU1359" s="87"/>
      <c r="AV1359" s="92" t="str">
        <f>HYPERLINK("https://pbs.twimg.com/media/F1fTboOacAAjUIH.jpg")</f>
        <v>https://pbs.twimg.com/media/F1fTboOacAAjUIH.jpg</v>
      </c>
      <c r="AW1359" s="93" t="s">
        <v>19593</v>
      </c>
      <c r="AX1359" s="93" t="s">
        <v>19593</v>
      </c>
      <c r="AY1359" s="87"/>
      <c r="AZ1359" s="93" t="s">
        <v>22668</v>
      </c>
      <c r="BA1359" s="93" t="s">
        <v>22668</v>
      </c>
      <c r="BB1359" s="93" t="s">
        <v>22668</v>
      </c>
      <c r="BC1359" s="93" t="s">
        <v>19593</v>
      </c>
      <c r="BD1359" s="93" t="s">
        <v>23058</v>
      </c>
      <c r="BE1359" s="87"/>
      <c r="BF1359" s="87"/>
      <c r="BG1359" s="87"/>
      <c r="BH1359" s="87"/>
      <c r="BI1359" s="87"/>
    </row>
    <row r="1360" spans="1:61" x14ac:dyDescent="0.25">
      <c r="A1360" s="63" t="s">
        <v>682</v>
      </c>
      <c r="B1360" s="63" t="s">
        <v>682</v>
      </c>
      <c r="C1360" s="64"/>
      <c r="D1360" s="65"/>
      <c r="E1360" s="66"/>
      <c r="F1360" s="67"/>
      <c r="G1360" s="64"/>
      <c r="H1360" s="68"/>
      <c r="I1360" s="69"/>
      <c r="J1360" s="69"/>
      <c r="K1360" s="32"/>
      <c r="L1360" s="76">
        <v>1360</v>
      </c>
      <c r="M1360" s="76"/>
      <c r="N1360" s="71"/>
      <c r="O1360" s="87" t="s">
        <v>179</v>
      </c>
      <c r="P1360" s="90">
        <v>45121.567847222221</v>
      </c>
      <c r="Q1360" s="87" t="s">
        <v>3164</v>
      </c>
      <c r="R1360" s="87">
        <v>0</v>
      </c>
      <c r="S1360" s="87">
        <v>0</v>
      </c>
      <c r="T1360" s="87">
        <v>0</v>
      </c>
      <c r="U1360" s="87">
        <v>0</v>
      </c>
      <c r="V1360" s="87">
        <v>55</v>
      </c>
      <c r="W1360" s="93" t="s">
        <v>6778</v>
      </c>
      <c r="X1360" s="87"/>
      <c r="Y1360" s="87"/>
      <c r="Z1360" s="87"/>
      <c r="AA1360" s="87" t="s">
        <v>9499</v>
      </c>
      <c r="AB1360" s="87" t="s">
        <v>11447</v>
      </c>
      <c r="AC1360" s="93" t="s">
        <v>11459</v>
      </c>
      <c r="AD1360" s="87" t="s">
        <v>11519</v>
      </c>
      <c r="AE1360" s="92" t="str">
        <f>HYPERLINK("https://twitter.com/mvcosta22/status/1679847641281118208")</f>
        <v>https://twitter.com/mvcosta22/status/1679847641281118208</v>
      </c>
      <c r="AF1360" s="90">
        <v>45121.567847222221</v>
      </c>
      <c r="AG1360" s="99">
        <v>45121</v>
      </c>
      <c r="AH1360" s="93" t="s">
        <v>12785</v>
      </c>
      <c r="AI1360" s="87" t="b">
        <v>0</v>
      </c>
      <c r="AJ1360" s="87"/>
      <c r="AK1360" s="87"/>
      <c r="AL1360" s="87"/>
      <c r="AM1360" s="87"/>
      <c r="AN1360" s="87"/>
      <c r="AO1360" s="87"/>
      <c r="AP1360" s="87"/>
      <c r="AQ1360" s="87" t="s">
        <v>16312</v>
      </c>
      <c r="AR1360" s="87">
        <v>12266</v>
      </c>
      <c r="AS1360" s="87"/>
      <c r="AT1360" s="87"/>
      <c r="AU1360" s="87"/>
      <c r="AV1360" s="92" t="str">
        <f>HYPERLINK("https://pbs.twimg.com/ext_tw_video_thumb/1679847587459788800/pu/img/IzhfYddquGmyCeiE.jpg")</f>
        <v>https://pbs.twimg.com/ext_tw_video_thumb/1679847587459788800/pu/img/IzhfYddquGmyCeiE.jpg</v>
      </c>
      <c r="AW1360" s="93" t="s">
        <v>19594</v>
      </c>
      <c r="AX1360" s="93" t="s">
        <v>19594</v>
      </c>
      <c r="AY1360" s="87"/>
      <c r="AZ1360" s="93" t="s">
        <v>22668</v>
      </c>
      <c r="BA1360" s="93" t="s">
        <v>22668</v>
      </c>
      <c r="BB1360" s="93" t="s">
        <v>22668</v>
      </c>
      <c r="BC1360" s="93" t="s">
        <v>19594</v>
      </c>
      <c r="BD1360" s="93" t="s">
        <v>23058</v>
      </c>
      <c r="BE1360" s="87"/>
      <c r="BF1360" s="87"/>
      <c r="BG1360" s="87"/>
      <c r="BH1360" s="87"/>
      <c r="BI1360" s="87"/>
    </row>
    <row r="1361" spans="1:61" x14ac:dyDescent="0.25">
      <c r="A1361" s="63" t="s">
        <v>682</v>
      </c>
      <c r="B1361" s="63" t="s">
        <v>682</v>
      </c>
      <c r="C1361" s="64"/>
      <c r="D1361" s="65"/>
      <c r="E1361" s="66"/>
      <c r="F1361" s="67"/>
      <c r="G1361" s="64"/>
      <c r="H1361" s="68"/>
      <c r="I1361" s="69"/>
      <c r="J1361" s="69"/>
      <c r="K1361" s="32"/>
      <c r="L1361" s="76">
        <v>1361</v>
      </c>
      <c r="M1361" s="76"/>
      <c r="N1361" s="71"/>
      <c r="O1361" s="87" t="s">
        <v>179</v>
      </c>
      <c r="P1361" s="90">
        <v>45120.518750000003</v>
      </c>
      <c r="Q1361" s="87" t="s">
        <v>3165</v>
      </c>
      <c r="R1361" s="87">
        <v>0</v>
      </c>
      <c r="S1361" s="87">
        <v>0</v>
      </c>
      <c r="T1361" s="87">
        <v>0</v>
      </c>
      <c r="U1361" s="87">
        <v>0</v>
      </c>
      <c r="V1361" s="87">
        <v>35</v>
      </c>
      <c r="W1361" s="93" t="s">
        <v>6779</v>
      </c>
      <c r="X1361" s="87"/>
      <c r="Y1361" s="87"/>
      <c r="Z1361" s="87"/>
      <c r="AA1361" s="87" t="s">
        <v>9500</v>
      </c>
      <c r="AB1361" s="87" t="s">
        <v>11453</v>
      </c>
      <c r="AC1361" s="93" t="s">
        <v>11459</v>
      </c>
      <c r="AD1361" s="87" t="s">
        <v>11519</v>
      </c>
      <c r="AE1361" s="92" t="str">
        <f>HYPERLINK("https://twitter.com/mvcosta22/status/1679467459617726467")</f>
        <v>https://twitter.com/mvcosta22/status/1679467459617726467</v>
      </c>
      <c r="AF1361" s="90">
        <v>45120.518750000003</v>
      </c>
      <c r="AG1361" s="99">
        <v>45120</v>
      </c>
      <c r="AH1361" s="93" t="s">
        <v>12444</v>
      </c>
      <c r="AI1361" s="87" t="b">
        <v>0</v>
      </c>
      <c r="AJ1361" s="87"/>
      <c r="AK1361" s="87"/>
      <c r="AL1361" s="87"/>
      <c r="AM1361" s="87"/>
      <c r="AN1361" s="87"/>
      <c r="AO1361" s="87"/>
      <c r="AP1361" s="87"/>
      <c r="AQ1361" s="87" t="s">
        <v>16313</v>
      </c>
      <c r="AR1361" s="87" t="s">
        <v>18259</v>
      </c>
      <c r="AS1361" s="87"/>
      <c r="AT1361" s="87"/>
      <c r="AU1361" s="87"/>
      <c r="AV1361" s="92" t="str">
        <f>HYPERLINK("https://pbs.twimg.com/ext_tw_video_thumb/1679467334933643266/pu/img/NIyc4ORkHHutU9cJ.jpg")</f>
        <v>https://pbs.twimg.com/ext_tw_video_thumb/1679467334933643266/pu/img/NIyc4ORkHHutU9cJ.jpg</v>
      </c>
      <c r="AW1361" s="93" t="s">
        <v>19595</v>
      </c>
      <c r="AX1361" s="93" t="s">
        <v>19595</v>
      </c>
      <c r="AY1361" s="87"/>
      <c r="AZ1361" s="93" t="s">
        <v>22668</v>
      </c>
      <c r="BA1361" s="93" t="s">
        <v>22668</v>
      </c>
      <c r="BB1361" s="93" t="s">
        <v>22668</v>
      </c>
      <c r="BC1361" s="93" t="s">
        <v>19595</v>
      </c>
      <c r="BD1361" s="93" t="s">
        <v>23058</v>
      </c>
      <c r="BE1361" s="87"/>
      <c r="BF1361" s="87"/>
      <c r="BG1361" s="87"/>
      <c r="BH1361" s="87"/>
      <c r="BI1361" s="87"/>
    </row>
    <row r="1362" spans="1:61" x14ac:dyDescent="0.25">
      <c r="A1362" s="63" t="s">
        <v>682</v>
      </c>
      <c r="B1362" s="63" t="s">
        <v>682</v>
      </c>
      <c r="C1362" s="64"/>
      <c r="D1362" s="65"/>
      <c r="E1362" s="66"/>
      <c r="F1362" s="67"/>
      <c r="G1362" s="64"/>
      <c r="H1362" s="68"/>
      <c r="I1362" s="69"/>
      <c r="J1362" s="69"/>
      <c r="K1362" s="32"/>
      <c r="L1362" s="76">
        <v>1362</v>
      </c>
      <c r="M1362" s="76"/>
      <c r="N1362" s="71"/>
      <c r="O1362" s="87" t="s">
        <v>179</v>
      </c>
      <c r="P1362" s="90">
        <v>45120.514340277776</v>
      </c>
      <c r="Q1362" s="87" t="s">
        <v>3166</v>
      </c>
      <c r="R1362" s="87">
        <v>0</v>
      </c>
      <c r="S1362" s="87">
        <v>0</v>
      </c>
      <c r="T1362" s="87">
        <v>0</v>
      </c>
      <c r="U1362" s="87">
        <v>0</v>
      </c>
      <c r="V1362" s="87">
        <v>47</v>
      </c>
      <c r="W1362" s="93" t="s">
        <v>6780</v>
      </c>
      <c r="X1362" s="87"/>
      <c r="Y1362" s="87"/>
      <c r="Z1362" s="87"/>
      <c r="AA1362" s="87" t="s">
        <v>9501</v>
      </c>
      <c r="AB1362" s="87" t="s">
        <v>11449</v>
      </c>
      <c r="AC1362" s="93" t="s">
        <v>11459</v>
      </c>
      <c r="AD1362" s="87" t="s">
        <v>11519</v>
      </c>
      <c r="AE1362" s="92" t="str">
        <f>HYPERLINK("https://twitter.com/mvcosta22/status/1679465862271475717")</f>
        <v>https://twitter.com/mvcosta22/status/1679465862271475717</v>
      </c>
      <c r="AF1362" s="90">
        <v>45120.514340277776</v>
      </c>
      <c r="AG1362" s="99">
        <v>45120</v>
      </c>
      <c r="AH1362" s="93" t="s">
        <v>12786</v>
      </c>
      <c r="AI1362" s="87" t="b">
        <v>0</v>
      </c>
      <c r="AJ1362" s="87" t="s">
        <v>15170</v>
      </c>
      <c r="AK1362" s="87" t="s">
        <v>15234</v>
      </c>
      <c r="AL1362" s="87" t="s">
        <v>15237</v>
      </c>
      <c r="AM1362" s="87" t="s">
        <v>15242</v>
      </c>
      <c r="AN1362" s="87" t="s">
        <v>15307</v>
      </c>
      <c r="AO1362" s="87" t="s">
        <v>15374</v>
      </c>
      <c r="AP1362" s="87" t="s">
        <v>15438</v>
      </c>
      <c r="AQ1362" s="87" t="s">
        <v>16314</v>
      </c>
      <c r="AR1362" s="87"/>
      <c r="AS1362" s="87"/>
      <c r="AT1362" s="87"/>
      <c r="AU1362" s="87"/>
      <c r="AV1362" s="92" t="str">
        <f>HYPERLINK("https://pbs.twimg.com/media/F06pSrYWIAAmdXw.jpg")</f>
        <v>https://pbs.twimg.com/media/F06pSrYWIAAmdXw.jpg</v>
      </c>
      <c r="AW1362" s="93" t="s">
        <v>19596</v>
      </c>
      <c r="AX1362" s="93" t="s">
        <v>19596</v>
      </c>
      <c r="AY1362" s="87"/>
      <c r="AZ1362" s="93" t="s">
        <v>22668</v>
      </c>
      <c r="BA1362" s="93" t="s">
        <v>22668</v>
      </c>
      <c r="BB1362" s="93" t="s">
        <v>22668</v>
      </c>
      <c r="BC1362" s="93" t="s">
        <v>19596</v>
      </c>
      <c r="BD1362" s="93" t="s">
        <v>23058</v>
      </c>
      <c r="BE1362" s="87"/>
      <c r="BF1362" s="87"/>
      <c r="BG1362" s="87"/>
      <c r="BH1362" s="87"/>
      <c r="BI1362" s="87"/>
    </row>
    <row r="1363" spans="1:61" x14ac:dyDescent="0.25">
      <c r="A1363" s="63" t="s">
        <v>683</v>
      </c>
      <c r="B1363" s="63" t="s">
        <v>683</v>
      </c>
      <c r="C1363" s="64"/>
      <c r="D1363" s="65"/>
      <c r="E1363" s="66"/>
      <c r="F1363" s="67"/>
      <c r="G1363" s="64"/>
      <c r="H1363" s="68"/>
      <c r="I1363" s="69"/>
      <c r="J1363" s="69"/>
      <c r="K1363" s="32"/>
      <c r="L1363" s="76">
        <v>1363</v>
      </c>
      <c r="M1363" s="76"/>
      <c r="N1363" s="71"/>
      <c r="O1363" s="87" t="s">
        <v>1840</v>
      </c>
      <c r="P1363" s="90">
        <v>45194.085775462961</v>
      </c>
      <c r="Q1363" s="87" t="s">
        <v>3167</v>
      </c>
      <c r="R1363" s="87">
        <v>1</v>
      </c>
      <c r="S1363" s="87">
        <v>0</v>
      </c>
      <c r="T1363" s="87">
        <v>0</v>
      </c>
      <c r="U1363" s="87">
        <v>0</v>
      </c>
      <c r="V1363" s="87">
        <v>16</v>
      </c>
      <c r="W1363" s="93" t="s">
        <v>6781</v>
      </c>
      <c r="X1363" s="92" t="str">
        <f>HYPERLINK("https://www.informeblumenau.com/opiniao-com-o-fim-da-clt-e-a-ascensao-do-cnpj-e-hora-de-uma-nova-revolucao/")</f>
        <v>https://www.informeblumenau.com/opiniao-com-o-fim-da-clt-e-a-ascensao-do-cnpj-e-hora-de-uma-nova-revolucao/</v>
      </c>
      <c r="Y1363" s="87" t="s">
        <v>8447</v>
      </c>
      <c r="Z1363" s="87" t="s">
        <v>8578</v>
      </c>
      <c r="AA1363" s="87"/>
      <c r="AB1363" s="87"/>
      <c r="AC1363" s="93" t="s">
        <v>11459</v>
      </c>
      <c r="AD1363" s="87" t="s">
        <v>11519</v>
      </c>
      <c r="AE1363" s="92" t="str">
        <f>HYPERLINK("https://twitter.com/tarcisosouza/status/1706127258312749144")</f>
        <v>https://twitter.com/tarcisosouza/status/1706127258312749144</v>
      </c>
      <c r="AF1363" s="90">
        <v>45194.085775462961</v>
      </c>
      <c r="AG1363" s="99">
        <v>45194</v>
      </c>
      <c r="AH1363" s="93" t="s">
        <v>12787</v>
      </c>
      <c r="AI1363" s="87" t="b">
        <v>0</v>
      </c>
      <c r="AJ1363" s="87"/>
      <c r="AK1363" s="87"/>
      <c r="AL1363" s="87"/>
      <c r="AM1363" s="87"/>
      <c r="AN1363" s="87"/>
      <c r="AO1363" s="87"/>
      <c r="AP1363" s="87"/>
      <c r="AQ1363" s="87"/>
      <c r="AR1363" s="87"/>
      <c r="AS1363" s="87"/>
      <c r="AT1363" s="87"/>
      <c r="AU1363" s="87"/>
      <c r="AV1363" s="92" t="str">
        <f>HYPERLINK("https://pbs.twimg.com/profile_images/1249166983981137921/11eiKiPb_normal.jpg")</f>
        <v>https://pbs.twimg.com/profile_images/1249166983981137921/11eiKiPb_normal.jpg</v>
      </c>
      <c r="AW1363" s="93" t="s">
        <v>19597</v>
      </c>
      <c r="AX1363" s="93" t="s">
        <v>22370</v>
      </c>
      <c r="AY1363" s="93" t="s">
        <v>22564</v>
      </c>
      <c r="AZ1363" s="93" t="s">
        <v>22710</v>
      </c>
      <c r="BA1363" s="93" t="s">
        <v>22668</v>
      </c>
      <c r="BB1363" s="93" t="s">
        <v>22668</v>
      </c>
      <c r="BC1363" s="93" t="s">
        <v>22710</v>
      </c>
      <c r="BD1363" s="87">
        <v>62873905</v>
      </c>
      <c r="BE1363" s="87"/>
      <c r="BF1363" s="87"/>
      <c r="BG1363" s="87"/>
      <c r="BH1363" s="87"/>
      <c r="BI1363" s="87"/>
    </row>
    <row r="1364" spans="1:61" x14ac:dyDescent="0.25">
      <c r="A1364" s="63" t="s">
        <v>684</v>
      </c>
      <c r="B1364" s="63" t="s">
        <v>684</v>
      </c>
      <c r="C1364" s="64"/>
      <c r="D1364" s="65"/>
      <c r="E1364" s="66"/>
      <c r="F1364" s="67"/>
      <c r="G1364" s="64"/>
      <c r="H1364" s="68"/>
      <c r="I1364" s="69"/>
      <c r="J1364" s="69"/>
      <c r="K1364" s="32"/>
      <c r="L1364" s="76">
        <v>1364</v>
      </c>
      <c r="M1364" s="76"/>
      <c r="N1364" s="71"/>
      <c r="O1364" s="87" t="s">
        <v>179</v>
      </c>
      <c r="P1364" s="90">
        <v>45119.58797453704</v>
      </c>
      <c r="Q1364" s="87" t="s">
        <v>3168</v>
      </c>
      <c r="R1364" s="87">
        <v>0</v>
      </c>
      <c r="S1364" s="87">
        <v>0</v>
      </c>
      <c r="T1364" s="87">
        <v>0</v>
      </c>
      <c r="U1364" s="87">
        <v>0</v>
      </c>
      <c r="V1364" s="87">
        <v>1</v>
      </c>
      <c r="W1364" s="93" t="s">
        <v>6782</v>
      </c>
      <c r="X1364" s="92" t="str">
        <f>HYPERLINK("https://www.instagram.com/metalog_soft/")</f>
        <v>https://www.instagram.com/metalog_soft/</v>
      </c>
      <c r="Y1364" s="87" t="s">
        <v>8383</v>
      </c>
      <c r="Z1364" s="87"/>
      <c r="AA1364" s="87" t="s">
        <v>9502</v>
      </c>
      <c r="AB1364" s="87" t="s">
        <v>11451</v>
      </c>
      <c r="AC1364" s="93" t="s">
        <v>11487</v>
      </c>
      <c r="AD1364" s="87" t="s">
        <v>11519</v>
      </c>
      <c r="AE1364" s="92" t="str">
        <f>HYPERLINK("https://twitter.com/metalogsoft/status/1679130158299594753")</f>
        <v>https://twitter.com/metalogsoft/status/1679130158299594753</v>
      </c>
      <c r="AF1364" s="90">
        <v>45119.58797453704</v>
      </c>
      <c r="AG1364" s="99">
        <v>45119</v>
      </c>
      <c r="AH1364" s="93" t="s">
        <v>12788</v>
      </c>
      <c r="AI1364" s="87" t="b">
        <v>0</v>
      </c>
      <c r="AJ1364" s="87"/>
      <c r="AK1364" s="87"/>
      <c r="AL1364" s="87"/>
      <c r="AM1364" s="87"/>
      <c r="AN1364" s="87"/>
      <c r="AO1364" s="87"/>
      <c r="AP1364" s="87"/>
      <c r="AQ1364" s="87" t="s">
        <v>16315</v>
      </c>
      <c r="AR1364" s="87"/>
      <c r="AS1364" s="87"/>
      <c r="AT1364" s="87"/>
      <c r="AU1364" s="87"/>
      <c r="AV1364" s="92" t="str">
        <f>HYPERLINK("https://pbs.twimg.com/media/F013-nPWAAQq26v.jpg")</f>
        <v>https://pbs.twimg.com/media/F013-nPWAAQq26v.jpg</v>
      </c>
      <c r="AW1364" s="93" t="s">
        <v>19598</v>
      </c>
      <c r="AX1364" s="93" t="s">
        <v>19598</v>
      </c>
      <c r="AY1364" s="87"/>
      <c r="AZ1364" s="93" t="s">
        <v>22668</v>
      </c>
      <c r="BA1364" s="93" t="s">
        <v>22668</v>
      </c>
      <c r="BB1364" s="93" t="s">
        <v>22668</v>
      </c>
      <c r="BC1364" s="93" t="s">
        <v>19598</v>
      </c>
      <c r="BD1364" s="93" t="s">
        <v>23059</v>
      </c>
      <c r="BE1364" s="87"/>
      <c r="BF1364" s="87"/>
      <c r="BG1364" s="87"/>
      <c r="BH1364" s="87"/>
      <c r="BI1364" s="87"/>
    </row>
    <row r="1365" spans="1:61" x14ac:dyDescent="0.25">
      <c r="A1365" s="63" t="s">
        <v>685</v>
      </c>
      <c r="B1365" s="63" t="s">
        <v>685</v>
      </c>
      <c r="C1365" s="64"/>
      <c r="D1365" s="65"/>
      <c r="E1365" s="66"/>
      <c r="F1365" s="67"/>
      <c r="G1365" s="64"/>
      <c r="H1365" s="68"/>
      <c r="I1365" s="69"/>
      <c r="J1365" s="69"/>
      <c r="K1365" s="32"/>
      <c r="L1365" s="76">
        <v>1365</v>
      </c>
      <c r="M1365" s="76"/>
      <c r="N1365" s="71"/>
      <c r="O1365" s="87" t="s">
        <v>179</v>
      </c>
      <c r="P1365" s="90">
        <v>45167.518506944441</v>
      </c>
      <c r="Q1365" s="87" t="s">
        <v>3169</v>
      </c>
      <c r="R1365" s="87">
        <v>2</v>
      </c>
      <c r="S1365" s="87">
        <v>5</v>
      </c>
      <c r="T1365" s="87">
        <v>0</v>
      </c>
      <c r="U1365" s="87">
        <v>0</v>
      </c>
      <c r="V1365" s="87">
        <v>182</v>
      </c>
      <c r="W1365" s="93" t="s">
        <v>6783</v>
      </c>
      <c r="X1365" s="87"/>
      <c r="Y1365" s="87"/>
      <c r="Z1365" s="87"/>
      <c r="AA1365" s="87" t="s">
        <v>9503</v>
      </c>
      <c r="AB1365" s="87" t="s">
        <v>11449</v>
      </c>
      <c r="AC1365" s="93" t="s">
        <v>11457</v>
      </c>
      <c r="AD1365" s="87" t="s">
        <v>11519</v>
      </c>
      <c r="AE1365" s="92" t="str">
        <f>HYPERLINK("https://twitter.com/captablebrasil/status/1696499604798193736")</f>
        <v>https://twitter.com/captablebrasil/status/1696499604798193736</v>
      </c>
      <c r="AF1365" s="90">
        <v>45167.518506944441</v>
      </c>
      <c r="AG1365" s="99">
        <v>45167</v>
      </c>
      <c r="AH1365" s="93" t="s">
        <v>12789</v>
      </c>
      <c r="AI1365" s="87" t="b">
        <v>0</v>
      </c>
      <c r="AJ1365" s="87"/>
      <c r="AK1365" s="87"/>
      <c r="AL1365" s="87"/>
      <c r="AM1365" s="87"/>
      <c r="AN1365" s="87"/>
      <c r="AO1365" s="87"/>
      <c r="AP1365" s="87"/>
      <c r="AQ1365" s="87" t="s">
        <v>16316</v>
      </c>
      <c r="AR1365" s="87"/>
      <c r="AS1365" s="87"/>
      <c r="AT1365" s="87"/>
      <c r="AU1365" s="87"/>
      <c r="AV1365" s="92" t="str">
        <f>HYPERLINK("https://pbs.twimg.com/media/F4stX25XMAAhNuK.jpg")</f>
        <v>https://pbs.twimg.com/media/F4stX25XMAAhNuK.jpg</v>
      </c>
      <c r="AW1365" s="93" t="s">
        <v>19599</v>
      </c>
      <c r="AX1365" s="93" t="s">
        <v>19599</v>
      </c>
      <c r="AY1365" s="87"/>
      <c r="AZ1365" s="93" t="s">
        <v>22668</v>
      </c>
      <c r="BA1365" s="93" t="s">
        <v>22668</v>
      </c>
      <c r="BB1365" s="93" t="s">
        <v>22668</v>
      </c>
      <c r="BC1365" s="93" t="s">
        <v>19599</v>
      </c>
      <c r="BD1365" s="93" t="s">
        <v>23060</v>
      </c>
      <c r="BE1365" s="87"/>
      <c r="BF1365" s="87"/>
      <c r="BG1365" s="87"/>
      <c r="BH1365" s="87"/>
      <c r="BI1365" s="87"/>
    </row>
    <row r="1366" spans="1:61" x14ac:dyDescent="0.25">
      <c r="A1366" s="63" t="s">
        <v>686</v>
      </c>
      <c r="B1366" s="63" t="s">
        <v>1678</v>
      </c>
      <c r="C1366" s="64"/>
      <c r="D1366" s="65"/>
      <c r="E1366" s="66"/>
      <c r="F1366" s="67"/>
      <c r="G1366" s="64"/>
      <c r="H1366" s="68"/>
      <c r="I1366" s="69"/>
      <c r="J1366" s="69"/>
      <c r="K1366" s="32"/>
      <c r="L1366" s="76">
        <v>1366</v>
      </c>
      <c r="M1366" s="76"/>
      <c r="N1366" s="71"/>
      <c r="O1366" s="87" t="s">
        <v>1839</v>
      </c>
      <c r="P1366" s="90">
        <v>45175.411620370367</v>
      </c>
      <c r="Q1366" s="87" t="s">
        <v>3170</v>
      </c>
      <c r="R1366" s="87">
        <v>0</v>
      </c>
      <c r="S1366" s="87">
        <v>0</v>
      </c>
      <c r="T1366" s="87">
        <v>0</v>
      </c>
      <c r="U1366" s="87">
        <v>0</v>
      </c>
      <c r="V1366" s="87">
        <v>24</v>
      </c>
      <c r="W1366" s="93" t="s">
        <v>6784</v>
      </c>
      <c r="X1366" s="92" t="str">
        <f>HYPERLINK("https://migrants-can-patent.eu")</f>
        <v>https://migrants-can-patent.eu</v>
      </c>
      <c r="Y1366" s="87" t="s">
        <v>8448</v>
      </c>
      <c r="Z1366" s="87" t="s">
        <v>1678</v>
      </c>
      <c r="AA1366" s="87"/>
      <c r="AB1366" s="87"/>
      <c r="AC1366" s="93" t="s">
        <v>11457</v>
      </c>
      <c r="AD1366" s="87" t="s">
        <v>11519</v>
      </c>
      <c r="AE1366" s="92" t="str">
        <f>HYPERLINK("https://twitter.com/tecminho/status/1699359970368618711")</f>
        <v>https://twitter.com/tecminho/status/1699359970368618711</v>
      </c>
      <c r="AF1366" s="90">
        <v>45175.411620370367</v>
      </c>
      <c r="AG1366" s="99">
        <v>45175</v>
      </c>
      <c r="AH1366" s="93" t="s">
        <v>12790</v>
      </c>
      <c r="AI1366" s="87" t="b">
        <v>0</v>
      </c>
      <c r="AJ1366" s="87"/>
      <c r="AK1366" s="87"/>
      <c r="AL1366" s="87"/>
      <c r="AM1366" s="87"/>
      <c r="AN1366" s="87"/>
      <c r="AO1366" s="87"/>
      <c r="AP1366" s="87"/>
      <c r="AQ1366" s="87"/>
      <c r="AR1366" s="87"/>
      <c r="AS1366" s="87"/>
      <c r="AT1366" s="87"/>
      <c r="AU1366" s="87"/>
      <c r="AV1366" s="92" t="str">
        <f>HYPERLINK("https://pbs.twimg.com/profile_images/1451575744480567308/Erxic7ym_normal.jpg")</f>
        <v>https://pbs.twimg.com/profile_images/1451575744480567308/Erxic7ym_normal.jpg</v>
      </c>
      <c r="AW1366" s="93" t="s">
        <v>19600</v>
      </c>
      <c r="AX1366" s="93" t="s">
        <v>19600</v>
      </c>
      <c r="AY1366" s="87"/>
      <c r="AZ1366" s="93" t="s">
        <v>22668</v>
      </c>
      <c r="BA1366" s="93" t="s">
        <v>22668</v>
      </c>
      <c r="BB1366" s="93" t="s">
        <v>22668</v>
      </c>
      <c r="BC1366" s="93" t="s">
        <v>19600</v>
      </c>
      <c r="BD1366" s="87">
        <v>50656917</v>
      </c>
      <c r="BE1366" s="87"/>
      <c r="BF1366" s="87"/>
      <c r="BG1366" s="87"/>
      <c r="BH1366" s="87"/>
      <c r="BI1366" s="87"/>
    </row>
    <row r="1367" spans="1:61" x14ac:dyDescent="0.25">
      <c r="A1367" s="63" t="s">
        <v>686</v>
      </c>
      <c r="B1367" s="63" t="s">
        <v>686</v>
      </c>
      <c r="C1367" s="64"/>
      <c r="D1367" s="65"/>
      <c r="E1367" s="66"/>
      <c r="F1367" s="67"/>
      <c r="G1367" s="64"/>
      <c r="H1367" s="68"/>
      <c r="I1367" s="69"/>
      <c r="J1367" s="69"/>
      <c r="K1367" s="32"/>
      <c r="L1367" s="76">
        <v>1367</v>
      </c>
      <c r="M1367" s="76"/>
      <c r="N1367" s="71"/>
      <c r="O1367" s="87" t="s">
        <v>179</v>
      </c>
      <c r="P1367" s="90">
        <v>45134.697060185186</v>
      </c>
      <c r="Q1367" s="87" t="s">
        <v>3171</v>
      </c>
      <c r="R1367" s="87">
        <v>0</v>
      </c>
      <c r="S1367" s="87">
        <v>0</v>
      </c>
      <c r="T1367" s="87">
        <v>0</v>
      </c>
      <c r="U1367" s="87">
        <v>0</v>
      </c>
      <c r="V1367" s="87">
        <v>18</v>
      </c>
      <c r="W1367" s="93" t="s">
        <v>6785</v>
      </c>
      <c r="X1367" s="92" t="str">
        <f>HYPERLINK("https://bit.ly/curso-gestaopme")</f>
        <v>https://bit.ly/curso-gestaopme</v>
      </c>
      <c r="Y1367" s="87" t="s">
        <v>8374</v>
      </c>
      <c r="Z1367" s="87"/>
      <c r="AA1367" s="87" t="s">
        <v>9504</v>
      </c>
      <c r="AB1367" s="87" t="s">
        <v>11448</v>
      </c>
      <c r="AC1367" s="93" t="s">
        <v>11457</v>
      </c>
      <c r="AD1367" s="87" t="s">
        <v>11519</v>
      </c>
      <c r="AE1367" s="92" t="str">
        <f>HYPERLINK("https://twitter.com/tecminho/status/1684605507250647040")</f>
        <v>https://twitter.com/tecminho/status/1684605507250647040</v>
      </c>
      <c r="AF1367" s="90">
        <v>45134.697060185186</v>
      </c>
      <c r="AG1367" s="99">
        <v>45134</v>
      </c>
      <c r="AH1367" s="93" t="s">
        <v>12791</v>
      </c>
      <c r="AI1367" s="87" t="b">
        <v>0</v>
      </c>
      <c r="AJ1367" s="87"/>
      <c r="AK1367" s="87"/>
      <c r="AL1367" s="87"/>
      <c r="AM1367" s="87"/>
      <c r="AN1367" s="87"/>
      <c r="AO1367" s="87"/>
      <c r="AP1367" s="87"/>
      <c r="AQ1367" s="87" t="s">
        <v>16317</v>
      </c>
      <c r="AR1367" s="87"/>
      <c r="AS1367" s="87"/>
      <c r="AT1367" s="87"/>
      <c r="AU1367" s="87"/>
      <c r="AV1367" s="92" t="str">
        <f>HYPERLINK("https://pbs.twimg.com/media/F2DrxcWWAAwOXjp.jpg")</f>
        <v>https://pbs.twimg.com/media/F2DrxcWWAAwOXjp.jpg</v>
      </c>
      <c r="AW1367" s="93" t="s">
        <v>19601</v>
      </c>
      <c r="AX1367" s="93" t="s">
        <v>19601</v>
      </c>
      <c r="AY1367" s="87"/>
      <c r="AZ1367" s="93" t="s">
        <v>22668</v>
      </c>
      <c r="BA1367" s="93" t="s">
        <v>22668</v>
      </c>
      <c r="BB1367" s="93" t="s">
        <v>22668</v>
      </c>
      <c r="BC1367" s="93" t="s">
        <v>19601</v>
      </c>
      <c r="BD1367" s="87">
        <v>50656917</v>
      </c>
      <c r="BE1367" s="87"/>
      <c r="BF1367" s="87"/>
      <c r="BG1367" s="87"/>
      <c r="BH1367" s="87"/>
      <c r="BI1367" s="87"/>
    </row>
    <row r="1368" spans="1:61" x14ac:dyDescent="0.25">
      <c r="A1368" s="63" t="s">
        <v>686</v>
      </c>
      <c r="B1368" s="63" t="s">
        <v>686</v>
      </c>
      <c r="C1368" s="64"/>
      <c r="D1368" s="65"/>
      <c r="E1368" s="66"/>
      <c r="F1368" s="67"/>
      <c r="G1368" s="64"/>
      <c r="H1368" s="68"/>
      <c r="I1368" s="69"/>
      <c r="J1368" s="69"/>
      <c r="K1368" s="32"/>
      <c r="L1368" s="76">
        <v>1368</v>
      </c>
      <c r="M1368" s="76"/>
      <c r="N1368" s="71"/>
      <c r="O1368" s="87" t="s">
        <v>179</v>
      </c>
      <c r="P1368" s="90">
        <v>45180.570972222224</v>
      </c>
      <c r="Q1368" s="87" t="s">
        <v>3172</v>
      </c>
      <c r="R1368" s="87">
        <v>0</v>
      </c>
      <c r="S1368" s="87">
        <v>1</v>
      </c>
      <c r="T1368" s="87">
        <v>0</v>
      </c>
      <c r="U1368" s="87">
        <v>0</v>
      </c>
      <c r="V1368" s="87">
        <v>33</v>
      </c>
      <c r="W1368" s="93" t="s">
        <v>6786</v>
      </c>
      <c r="X1368" s="92" t="str">
        <f>HYPERLINK("https://bit.ly/tecmeetings23-talks")</f>
        <v>https://bit.ly/tecmeetings23-talks</v>
      </c>
      <c r="Y1368" s="87" t="s">
        <v>8374</v>
      </c>
      <c r="Z1368" s="87"/>
      <c r="AA1368" s="87" t="s">
        <v>9505</v>
      </c>
      <c r="AB1368" s="87" t="s">
        <v>11448</v>
      </c>
      <c r="AC1368" s="93" t="s">
        <v>11457</v>
      </c>
      <c r="AD1368" s="87" t="s">
        <v>11519</v>
      </c>
      <c r="AE1368" s="92" t="str">
        <f>HYPERLINK("https://twitter.com/tecminho/status/1701229658623054106")</f>
        <v>https://twitter.com/tecminho/status/1701229658623054106</v>
      </c>
      <c r="AF1368" s="90">
        <v>45180.570972222224</v>
      </c>
      <c r="AG1368" s="99">
        <v>45180</v>
      </c>
      <c r="AH1368" s="93" t="s">
        <v>12792</v>
      </c>
      <c r="AI1368" s="87" t="b">
        <v>0</v>
      </c>
      <c r="AJ1368" s="87"/>
      <c r="AK1368" s="87"/>
      <c r="AL1368" s="87"/>
      <c r="AM1368" s="87"/>
      <c r="AN1368" s="87"/>
      <c r="AO1368" s="87"/>
      <c r="AP1368" s="87"/>
      <c r="AQ1368" s="87" t="s">
        <v>16318</v>
      </c>
      <c r="AR1368" s="87"/>
      <c r="AS1368" s="87"/>
      <c r="AT1368" s="87"/>
      <c r="AU1368" s="87"/>
      <c r="AV1368" s="92" t="str">
        <f>HYPERLINK("https://pbs.twimg.com/media/F5v7RjNWsAAU0dY.png")</f>
        <v>https://pbs.twimg.com/media/F5v7RjNWsAAU0dY.png</v>
      </c>
      <c r="AW1368" s="93" t="s">
        <v>19602</v>
      </c>
      <c r="AX1368" s="93" t="s">
        <v>19602</v>
      </c>
      <c r="AY1368" s="87"/>
      <c r="AZ1368" s="93" t="s">
        <v>22668</v>
      </c>
      <c r="BA1368" s="93" t="s">
        <v>22668</v>
      </c>
      <c r="BB1368" s="93" t="s">
        <v>22668</v>
      </c>
      <c r="BC1368" s="93" t="s">
        <v>19602</v>
      </c>
      <c r="BD1368" s="87">
        <v>50656917</v>
      </c>
      <c r="BE1368" s="87"/>
      <c r="BF1368" s="87"/>
      <c r="BG1368" s="87"/>
      <c r="BH1368" s="87"/>
      <c r="BI1368" s="87"/>
    </row>
    <row r="1369" spans="1:61" x14ac:dyDescent="0.25">
      <c r="A1369" s="63" t="s">
        <v>687</v>
      </c>
      <c r="B1369" s="63" t="s">
        <v>687</v>
      </c>
      <c r="C1369" s="64"/>
      <c r="D1369" s="65"/>
      <c r="E1369" s="66"/>
      <c r="F1369" s="67"/>
      <c r="G1369" s="64"/>
      <c r="H1369" s="68"/>
      <c r="I1369" s="69"/>
      <c r="J1369" s="69"/>
      <c r="K1369" s="32"/>
      <c r="L1369" s="76">
        <v>1369</v>
      </c>
      <c r="M1369" s="76"/>
      <c r="N1369" s="71"/>
      <c r="O1369" s="87" t="s">
        <v>179</v>
      </c>
      <c r="P1369" s="90">
        <v>45143.539849537039</v>
      </c>
      <c r="Q1369" s="87" t="s">
        <v>3173</v>
      </c>
      <c r="R1369" s="87">
        <v>0</v>
      </c>
      <c r="S1369" s="87">
        <v>0</v>
      </c>
      <c r="T1369" s="87">
        <v>0</v>
      </c>
      <c r="U1369" s="87">
        <v>0</v>
      </c>
      <c r="V1369" s="87">
        <v>30</v>
      </c>
      <c r="W1369" s="93" t="s">
        <v>6787</v>
      </c>
      <c r="X1369" s="92" t="str">
        <f>HYPERLINK("http://www.espetoflex.com.br")</f>
        <v>http://www.espetoflex.com.br</v>
      </c>
      <c r="Y1369" s="87" t="s">
        <v>8373</v>
      </c>
      <c r="Z1369" s="87"/>
      <c r="AA1369" s="87" t="s">
        <v>9506</v>
      </c>
      <c r="AB1369" s="87" t="s">
        <v>11448</v>
      </c>
      <c r="AC1369" s="93" t="s">
        <v>11457</v>
      </c>
      <c r="AD1369" s="87" t="s">
        <v>11519</v>
      </c>
      <c r="AE1369" s="92" t="str">
        <f>HYPERLINK("https://twitter.com/espetoflex/status/1687810027568914433")</f>
        <v>https://twitter.com/espetoflex/status/1687810027568914433</v>
      </c>
      <c r="AF1369" s="90">
        <v>45143.539849537039</v>
      </c>
      <c r="AG1369" s="99">
        <v>45143</v>
      </c>
      <c r="AH1369" s="93" t="s">
        <v>12793</v>
      </c>
      <c r="AI1369" s="87" t="b">
        <v>0</v>
      </c>
      <c r="AJ1369" s="87"/>
      <c r="AK1369" s="87"/>
      <c r="AL1369" s="87"/>
      <c r="AM1369" s="87"/>
      <c r="AN1369" s="87"/>
      <c r="AO1369" s="87"/>
      <c r="AP1369" s="87"/>
      <c r="AQ1369" s="87" t="s">
        <v>16319</v>
      </c>
      <c r="AR1369" s="87"/>
      <c r="AS1369" s="87"/>
      <c r="AT1369" s="87"/>
      <c r="AU1369" s="87"/>
      <c r="AV1369" s="92" t="str">
        <f>HYPERLINK("https://pbs.twimg.com/media/F2xN0GfWoAE9ZmQ.jpg")</f>
        <v>https://pbs.twimg.com/media/F2xN0GfWoAE9ZmQ.jpg</v>
      </c>
      <c r="AW1369" s="93" t="s">
        <v>19603</v>
      </c>
      <c r="AX1369" s="93" t="s">
        <v>19603</v>
      </c>
      <c r="AY1369" s="87"/>
      <c r="AZ1369" s="93" t="s">
        <v>22668</v>
      </c>
      <c r="BA1369" s="93" t="s">
        <v>22668</v>
      </c>
      <c r="BB1369" s="93" t="s">
        <v>22668</v>
      </c>
      <c r="BC1369" s="93" t="s">
        <v>19603</v>
      </c>
      <c r="BD1369" s="87">
        <v>1950263365</v>
      </c>
      <c r="BE1369" s="87"/>
      <c r="BF1369" s="87"/>
      <c r="BG1369" s="87"/>
      <c r="BH1369" s="87"/>
      <c r="BI1369" s="87"/>
    </row>
    <row r="1370" spans="1:61" x14ac:dyDescent="0.25">
      <c r="A1370" s="63" t="s">
        <v>688</v>
      </c>
      <c r="B1370" s="63" t="s">
        <v>1367</v>
      </c>
      <c r="C1370" s="64"/>
      <c r="D1370" s="65"/>
      <c r="E1370" s="66"/>
      <c r="F1370" s="67"/>
      <c r="G1370" s="64"/>
      <c r="H1370" s="68"/>
      <c r="I1370" s="69"/>
      <c r="J1370" s="69"/>
      <c r="K1370" s="32"/>
      <c r="L1370" s="76">
        <v>1370</v>
      </c>
      <c r="M1370" s="76"/>
      <c r="N1370" s="71"/>
      <c r="O1370" s="87" t="s">
        <v>1841</v>
      </c>
      <c r="P1370" s="90">
        <v>45190.379432870373</v>
      </c>
      <c r="Q1370" s="87" t="s">
        <v>2090</v>
      </c>
      <c r="R1370" s="87">
        <v>14</v>
      </c>
      <c r="S1370" s="87">
        <v>0</v>
      </c>
      <c r="T1370" s="87">
        <v>0</v>
      </c>
      <c r="U1370" s="87">
        <v>0</v>
      </c>
      <c r="V1370" s="87"/>
      <c r="W1370" s="93" t="s">
        <v>6034</v>
      </c>
      <c r="X1370" s="87"/>
      <c r="Y1370" s="87"/>
      <c r="Z1370" s="87" t="s">
        <v>1367</v>
      </c>
      <c r="AA1370" s="87"/>
      <c r="AB1370" s="87"/>
      <c r="AC1370" s="93" t="s">
        <v>11459</v>
      </c>
      <c r="AD1370" s="87" t="s">
        <v>11519</v>
      </c>
      <c r="AE1370" s="92" t="str">
        <f>HYPERLINK("https://twitter.com/willianpsouz/status/1704784125020745797")</f>
        <v>https://twitter.com/willianpsouz/status/1704784125020745797</v>
      </c>
      <c r="AF1370" s="90">
        <v>45190.379432870373</v>
      </c>
      <c r="AG1370" s="99">
        <v>45190</v>
      </c>
      <c r="AH1370" s="93" t="s">
        <v>12794</v>
      </c>
      <c r="AI1370" s="87"/>
      <c r="AJ1370" s="87"/>
      <c r="AK1370" s="87"/>
      <c r="AL1370" s="87"/>
      <c r="AM1370" s="87"/>
      <c r="AN1370" s="87"/>
      <c r="AO1370" s="87"/>
      <c r="AP1370" s="87"/>
      <c r="AQ1370" s="87"/>
      <c r="AR1370" s="87"/>
      <c r="AS1370" s="87"/>
      <c r="AT1370" s="87"/>
      <c r="AU1370" s="87"/>
      <c r="AV1370" s="92" t="str">
        <f>HYPERLINK("https://pbs.twimg.com/profile_images/1538559139529515008/daIJe4Fm_normal.jpg")</f>
        <v>https://pbs.twimg.com/profile_images/1538559139529515008/daIJe4Fm_normal.jpg</v>
      </c>
      <c r="AW1370" s="93" t="s">
        <v>19604</v>
      </c>
      <c r="AX1370" s="93" t="s">
        <v>19604</v>
      </c>
      <c r="AY1370" s="87"/>
      <c r="AZ1370" s="93" t="s">
        <v>22668</v>
      </c>
      <c r="BA1370" s="93" t="s">
        <v>22668</v>
      </c>
      <c r="BB1370" s="93" t="s">
        <v>21717</v>
      </c>
      <c r="BC1370" s="93" t="s">
        <v>21717</v>
      </c>
      <c r="BD1370" s="93" t="s">
        <v>23061</v>
      </c>
      <c r="BE1370" s="87"/>
      <c r="BF1370" s="87"/>
      <c r="BG1370" s="87"/>
      <c r="BH1370" s="87"/>
      <c r="BI1370" s="87"/>
    </row>
    <row r="1371" spans="1:61" x14ac:dyDescent="0.25">
      <c r="A1371" s="63" t="s">
        <v>689</v>
      </c>
      <c r="B1371" s="63" t="s">
        <v>689</v>
      </c>
      <c r="C1371" s="64"/>
      <c r="D1371" s="65"/>
      <c r="E1371" s="66"/>
      <c r="F1371" s="67"/>
      <c r="G1371" s="64"/>
      <c r="H1371" s="68"/>
      <c r="I1371" s="69"/>
      <c r="J1371" s="69"/>
      <c r="K1371" s="32"/>
      <c r="L1371" s="76">
        <v>1371</v>
      </c>
      <c r="M1371" s="76"/>
      <c r="N1371" s="71"/>
      <c r="O1371" s="87" t="s">
        <v>179</v>
      </c>
      <c r="P1371" s="90">
        <v>45118.372118055559</v>
      </c>
      <c r="Q1371" s="87" t="s">
        <v>3174</v>
      </c>
      <c r="R1371" s="87">
        <v>1</v>
      </c>
      <c r="S1371" s="87">
        <v>1</v>
      </c>
      <c r="T1371" s="87">
        <v>0</v>
      </c>
      <c r="U1371" s="87">
        <v>0</v>
      </c>
      <c r="V1371" s="87">
        <v>6</v>
      </c>
      <c r="W1371" s="93" t="s">
        <v>6788</v>
      </c>
      <c r="X1371" s="92" t="str">
        <f>HYPERLINK("https://www.fronteiralivre.com.br/acifi-e-iguassu-valley-foz-incentivam-estudantes-a-inovar-e-empreender/")</f>
        <v>https://www.fronteiralivre.com.br/acifi-e-iguassu-valley-foz-incentivam-estudantes-a-inovar-e-empreender/</v>
      </c>
      <c r="Y1371" s="87" t="s">
        <v>8373</v>
      </c>
      <c r="Z1371" s="87"/>
      <c r="AA1371" s="87"/>
      <c r="AB1371" s="87"/>
      <c r="AC1371" s="93" t="s">
        <v>11457</v>
      </c>
      <c r="AD1371" s="87" t="s">
        <v>11519</v>
      </c>
      <c r="AE1371" s="92" t="str">
        <f>HYPERLINK("https://twitter.com/fronteira_livre/status/1678689547196964865")</f>
        <v>https://twitter.com/fronteira_livre/status/1678689547196964865</v>
      </c>
      <c r="AF1371" s="90">
        <v>45118.372118055559</v>
      </c>
      <c r="AG1371" s="99">
        <v>45118</v>
      </c>
      <c r="AH1371" s="93" t="s">
        <v>12795</v>
      </c>
      <c r="AI1371" s="87" t="b">
        <v>0</v>
      </c>
      <c r="AJ1371" s="87"/>
      <c r="AK1371" s="87"/>
      <c r="AL1371" s="87"/>
      <c r="AM1371" s="87"/>
      <c r="AN1371" s="87"/>
      <c r="AO1371" s="87"/>
      <c r="AP1371" s="87"/>
      <c r="AQ1371" s="87"/>
      <c r="AR1371" s="87"/>
      <c r="AS1371" s="87"/>
      <c r="AT1371" s="87"/>
      <c r="AU1371" s="87"/>
      <c r="AV1371" s="92" t="str">
        <f>HYPERLINK("https://pbs.twimg.com/profile_images/1438905822176759811/P5HzYMK5_normal.jpg")</f>
        <v>https://pbs.twimg.com/profile_images/1438905822176759811/P5HzYMK5_normal.jpg</v>
      </c>
      <c r="AW1371" s="93" t="s">
        <v>19605</v>
      </c>
      <c r="AX1371" s="93" t="s">
        <v>19605</v>
      </c>
      <c r="AY1371" s="87"/>
      <c r="AZ1371" s="93" t="s">
        <v>22668</v>
      </c>
      <c r="BA1371" s="93" t="s">
        <v>22668</v>
      </c>
      <c r="BB1371" s="93" t="s">
        <v>22668</v>
      </c>
      <c r="BC1371" s="93" t="s">
        <v>19605</v>
      </c>
      <c r="BD1371" s="87">
        <v>72681608</v>
      </c>
      <c r="BE1371" s="87"/>
      <c r="BF1371" s="87"/>
      <c r="BG1371" s="87"/>
      <c r="BH1371" s="87"/>
      <c r="BI1371" s="87"/>
    </row>
    <row r="1372" spans="1:61" x14ac:dyDescent="0.25">
      <c r="A1372" s="63" t="s">
        <v>690</v>
      </c>
      <c r="B1372" s="63" t="s">
        <v>690</v>
      </c>
      <c r="C1372" s="64"/>
      <c r="D1372" s="65"/>
      <c r="E1372" s="66"/>
      <c r="F1372" s="67"/>
      <c r="G1372" s="64"/>
      <c r="H1372" s="68"/>
      <c r="I1372" s="69"/>
      <c r="J1372" s="69"/>
      <c r="K1372" s="32"/>
      <c r="L1372" s="76">
        <v>1372</v>
      </c>
      <c r="M1372" s="76"/>
      <c r="N1372" s="71"/>
      <c r="O1372" s="87" t="s">
        <v>179</v>
      </c>
      <c r="P1372" s="90">
        <v>45124.719224537039</v>
      </c>
      <c r="Q1372" s="87" t="s">
        <v>3175</v>
      </c>
      <c r="R1372" s="87">
        <v>0</v>
      </c>
      <c r="S1372" s="87">
        <v>0</v>
      </c>
      <c r="T1372" s="87">
        <v>0</v>
      </c>
      <c r="U1372" s="87">
        <v>0</v>
      </c>
      <c r="V1372" s="87">
        <v>16</v>
      </c>
      <c r="W1372" s="93" t="s">
        <v>6789</v>
      </c>
      <c r="X1372" s="92" t="str">
        <f>HYPERLINK("https://mla.bs/67c8035c")</f>
        <v>https://mla.bs/67c8035c</v>
      </c>
      <c r="Y1372" s="87" t="s">
        <v>8396</v>
      </c>
      <c r="Z1372" s="87"/>
      <c r="AA1372" s="87"/>
      <c r="AB1372" s="87"/>
      <c r="AC1372" s="93" t="s">
        <v>11460</v>
      </c>
      <c r="AD1372" s="87" t="s">
        <v>11519</v>
      </c>
      <c r="AE1372" s="92" t="str">
        <f>HYPERLINK("https://twitter.com/abes_software/status/1680989663941611520")</f>
        <v>https://twitter.com/abes_software/status/1680989663941611520</v>
      </c>
      <c r="AF1372" s="90">
        <v>45124.719224537039</v>
      </c>
      <c r="AG1372" s="99">
        <v>45124</v>
      </c>
      <c r="AH1372" s="93" t="s">
        <v>12796</v>
      </c>
      <c r="AI1372" s="87" t="b">
        <v>0</v>
      </c>
      <c r="AJ1372" s="87"/>
      <c r="AK1372" s="87"/>
      <c r="AL1372" s="87"/>
      <c r="AM1372" s="87"/>
      <c r="AN1372" s="87"/>
      <c r="AO1372" s="87"/>
      <c r="AP1372" s="87"/>
      <c r="AQ1372" s="87"/>
      <c r="AR1372" s="87"/>
      <c r="AS1372" s="87"/>
      <c r="AT1372" s="87"/>
      <c r="AU1372" s="87"/>
      <c r="AV1372" s="92" t="str">
        <f>HYPERLINK("https://pbs.twimg.com/profile_images/1607849762216198145/hDYZBQjm_normal.jpg")</f>
        <v>https://pbs.twimg.com/profile_images/1607849762216198145/hDYZBQjm_normal.jpg</v>
      </c>
      <c r="AW1372" s="93" t="s">
        <v>19606</v>
      </c>
      <c r="AX1372" s="93" t="s">
        <v>19606</v>
      </c>
      <c r="AY1372" s="87"/>
      <c r="AZ1372" s="93" t="s">
        <v>22668</v>
      </c>
      <c r="BA1372" s="93" t="s">
        <v>22668</v>
      </c>
      <c r="BB1372" s="93" t="s">
        <v>22668</v>
      </c>
      <c r="BC1372" s="93" t="s">
        <v>19606</v>
      </c>
      <c r="BD1372" s="87">
        <v>258812806</v>
      </c>
      <c r="BE1372" s="87"/>
      <c r="BF1372" s="87"/>
      <c r="BG1372" s="87"/>
      <c r="BH1372" s="87"/>
      <c r="BI1372" s="87"/>
    </row>
    <row r="1373" spans="1:61" x14ac:dyDescent="0.25">
      <c r="A1373" s="63" t="s">
        <v>690</v>
      </c>
      <c r="B1373" s="63" t="s">
        <v>690</v>
      </c>
      <c r="C1373" s="64"/>
      <c r="D1373" s="65"/>
      <c r="E1373" s="66"/>
      <c r="F1373" s="67"/>
      <c r="G1373" s="64"/>
      <c r="H1373" s="68"/>
      <c r="I1373" s="69"/>
      <c r="J1373" s="69"/>
      <c r="K1373" s="32"/>
      <c r="L1373" s="76">
        <v>1373</v>
      </c>
      <c r="M1373" s="76"/>
      <c r="N1373" s="71"/>
      <c r="O1373" s="87" t="s">
        <v>179</v>
      </c>
      <c r="P1373" s="90">
        <v>45122.718819444446</v>
      </c>
      <c r="Q1373" s="87" t="s">
        <v>3175</v>
      </c>
      <c r="R1373" s="87">
        <v>0</v>
      </c>
      <c r="S1373" s="87">
        <v>0</v>
      </c>
      <c r="T1373" s="87">
        <v>0</v>
      </c>
      <c r="U1373" s="87">
        <v>0</v>
      </c>
      <c r="V1373" s="87">
        <v>15</v>
      </c>
      <c r="W1373" s="93" t="s">
        <v>6789</v>
      </c>
      <c r="X1373" s="92" t="str">
        <f>HYPERLINK("https://mla.bs/67c8035c")</f>
        <v>https://mla.bs/67c8035c</v>
      </c>
      <c r="Y1373" s="87" t="s">
        <v>8396</v>
      </c>
      <c r="Z1373" s="87"/>
      <c r="AA1373" s="87"/>
      <c r="AB1373" s="87"/>
      <c r="AC1373" s="93" t="s">
        <v>11460</v>
      </c>
      <c r="AD1373" s="87" t="s">
        <v>11519</v>
      </c>
      <c r="AE1373" s="92" t="str">
        <f>HYPERLINK("https://twitter.com/abes_software/status/1680264740801503234")</f>
        <v>https://twitter.com/abes_software/status/1680264740801503234</v>
      </c>
      <c r="AF1373" s="90">
        <v>45122.718819444446</v>
      </c>
      <c r="AG1373" s="99">
        <v>45122</v>
      </c>
      <c r="AH1373" s="93" t="s">
        <v>12797</v>
      </c>
      <c r="AI1373" s="87" t="b">
        <v>0</v>
      </c>
      <c r="AJ1373" s="87"/>
      <c r="AK1373" s="87"/>
      <c r="AL1373" s="87"/>
      <c r="AM1373" s="87"/>
      <c r="AN1373" s="87"/>
      <c r="AO1373" s="87"/>
      <c r="AP1373" s="87"/>
      <c r="AQ1373" s="87"/>
      <c r="AR1373" s="87"/>
      <c r="AS1373" s="87"/>
      <c r="AT1373" s="87"/>
      <c r="AU1373" s="87"/>
      <c r="AV1373" s="92" t="str">
        <f>HYPERLINK("https://pbs.twimg.com/profile_images/1607849762216198145/hDYZBQjm_normal.jpg")</f>
        <v>https://pbs.twimg.com/profile_images/1607849762216198145/hDYZBQjm_normal.jpg</v>
      </c>
      <c r="AW1373" s="93" t="s">
        <v>19607</v>
      </c>
      <c r="AX1373" s="93" t="s">
        <v>19607</v>
      </c>
      <c r="AY1373" s="87"/>
      <c r="AZ1373" s="93" t="s">
        <v>22668</v>
      </c>
      <c r="BA1373" s="93" t="s">
        <v>22668</v>
      </c>
      <c r="BB1373" s="93" t="s">
        <v>22668</v>
      </c>
      <c r="BC1373" s="93" t="s">
        <v>19607</v>
      </c>
      <c r="BD1373" s="87">
        <v>258812806</v>
      </c>
      <c r="BE1373" s="87"/>
      <c r="BF1373" s="87"/>
      <c r="BG1373" s="87"/>
      <c r="BH1373" s="87"/>
      <c r="BI1373" s="87"/>
    </row>
    <row r="1374" spans="1:61" x14ac:dyDescent="0.25">
      <c r="A1374" s="63" t="s">
        <v>690</v>
      </c>
      <c r="B1374" s="63" t="s">
        <v>690</v>
      </c>
      <c r="C1374" s="64"/>
      <c r="D1374" s="65"/>
      <c r="E1374" s="66"/>
      <c r="F1374" s="67"/>
      <c r="G1374" s="64"/>
      <c r="H1374" s="68"/>
      <c r="I1374" s="69"/>
      <c r="J1374" s="69"/>
      <c r="K1374" s="32"/>
      <c r="L1374" s="76">
        <v>1374</v>
      </c>
      <c r="M1374" s="76"/>
      <c r="N1374" s="71"/>
      <c r="O1374" s="87" t="s">
        <v>179</v>
      </c>
      <c r="P1374" s="90">
        <v>45121.906412037039</v>
      </c>
      <c r="Q1374" s="87" t="s">
        <v>3176</v>
      </c>
      <c r="R1374" s="87">
        <v>0</v>
      </c>
      <c r="S1374" s="87">
        <v>0</v>
      </c>
      <c r="T1374" s="87">
        <v>0</v>
      </c>
      <c r="U1374" s="87">
        <v>0</v>
      </c>
      <c r="V1374" s="87">
        <v>24</v>
      </c>
      <c r="W1374" s="93" t="s">
        <v>6789</v>
      </c>
      <c r="X1374" s="92" t="str">
        <f>HYPERLINK("https://mla.bs/67c8035c")</f>
        <v>https://mla.bs/67c8035c</v>
      </c>
      <c r="Y1374" s="87" t="s">
        <v>8396</v>
      </c>
      <c r="Z1374" s="87"/>
      <c r="AA1374" s="87"/>
      <c r="AB1374" s="87"/>
      <c r="AC1374" s="93" t="s">
        <v>11460</v>
      </c>
      <c r="AD1374" s="87" t="s">
        <v>11519</v>
      </c>
      <c r="AE1374" s="92" t="str">
        <f>HYPERLINK("https://twitter.com/abes_software/status/1679970332021788672")</f>
        <v>https://twitter.com/abes_software/status/1679970332021788672</v>
      </c>
      <c r="AF1374" s="90">
        <v>45121.906412037039</v>
      </c>
      <c r="AG1374" s="99">
        <v>45121</v>
      </c>
      <c r="AH1374" s="93" t="s">
        <v>12798</v>
      </c>
      <c r="AI1374" s="87" t="b">
        <v>0</v>
      </c>
      <c r="AJ1374" s="87"/>
      <c r="AK1374" s="87"/>
      <c r="AL1374" s="87"/>
      <c r="AM1374" s="87"/>
      <c r="AN1374" s="87"/>
      <c r="AO1374" s="87"/>
      <c r="AP1374" s="87"/>
      <c r="AQ1374" s="87"/>
      <c r="AR1374" s="87"/>
      <c r="AS1374" s="87"/>
      <c r="AT1374" s="87"/>
      <c r="AU1374" s="87"/>
      <c r="AV1374" s="92" t="str">
        <f>HYPERLINK("https://pbs.twimg.com/profile_images/1607849762216198145/hDYZBQjm_normal.jpg")</f>
        <v>https://pbs.twimg.com/profile_images/1607849762216198145/hDYZBQjm_normal.jpg</v>
      </c>
      <c r="AW1374" s="93" t="s">
        <v>19608</v>
      </c>
      <c r="AX1374" s="93" t="s">
        <v>19608</v>
      </c>
      <c r="AY1374" s="87"/>
      <c r="AZ1374" s="93" t="s">
        <v>22668</v>
      </c>
      <c r="BA1374" s="93" t="s">
        <v>22668</v>
      </c>
      <c r="BB1374" s="93" t="s">
        <v>22668</v>
      </c>
      <c r="BC1374" s="93" t="s">
        <v>19608</v>
      </c>
      <c r="BD1374" s="87">
        <v>258812806</v>
      </c>
      <c r="BE1374" s="87"/>
      <c r="BF1374" s="87"/>
      <c r="BG1374" s="87"/>
      <c r="BH1374" s="87"/>
      <c r="BI1374" s="87"/>
    </row>
    <row r="1375" spans="1:61" x14ac:dyDescent="0.25">
      <c r="A1375" s="63" t="s">
        <v>690</v>
      </c>
      <c r="B1375" s="63" t="s">
        <v>690</v>
      </c>
      <c r="C1375" s="64"/>
      <c r="D1375" s="65"/>
      <c r="E1375" s="66"/>
      <c r="F1375" s="67"/>
      <c r="G1375" s="64"/>
      <c r="H1375" s="68"/>
      <c r="I1375" s="69"/>
      <c r="J1375" s="69"/>
      <c r="K1375" s="32"/>
      <c r="L1375" s="76">
        <v>1375</v>
      </c>
      <c r="M1375" s="76"/>
      <c r="N1375" s="71"/>
      <c r="O1375" s="87" t="s">
        <v>179</v>
      </c>
      <c r="P1375" s="90">
        <v>45148.492245370369</v>
      </c>
      <c r="Q1375" s="87" t="s">
        <v>3177</v>
      </c>
      <c r="R1375" s="87">
        <v>0</v>
      </c>
      <c r="S1375" s="87">
        <v>0</v>
      </c>
      <c r="T1375" s="87">
        <v>0</v>
      </c>
      <c r="U1375" s="87">
        <v>0</v>
      </c>
      <c r="V1375" s="87">
        <v>21</v>
      </c>
      <c r="W1375" s="93" t="s">
        <v>6790</v>
      </c>
      <c r="X1375" s="92" t="str">
        <f>HYPERLINK("https://lnkd.in/dWwEr6rB")</f>
        <v>https://lnkd.in/dWwEr6rB</v>
      </c>
      <c r="Y1375" s="87" t="s">
        <v>8408</v>
      </c>
      <c r="Z1375" s="87"/>
      <c r="AA1375" s="87"/>
      <c r="AB1375" s="87"/>
      <c r="AC1375" s="93" t="s">
        <v>11457</v>
      </c>
      <c r="AD1375" s="87" t="s">
        <v>11519</v>
      </c>
      <c r="AE1375" s="92" t="str">
        <f>HYPERLINK("https://twitter.com/abes_software/status/1689604716567625728")</f>
        <v>https://twitter.com/abes_software/status/1689604716567625728</v>
      </c>
      <c r="AF1375" s="90">
        <v>45148.492245370369</v>
      </c>
      <c r="AG1375" s="99">
        <v>45148</v>
      </c>
      <c r="AH1375" s="93" t="s">
        <v>12799</v>
      </c>
      <c r="AI1375" s="87" t="b">
        <v>0</v>
      </c>
      <c r="AJ1375" s="87"/>
      <c r="AK1375" s="87"/>
      <c r="AL1375" s="87"/>
      <c r="AM1375" s="87"/>
      <c r="AN1375" s="87"/>
      <c r="AO1375" s="87"/>
      <c r="AP1375" s="87"/>
      <c r="AQ1375" s="87"/>
      <c r="AR1375" s="87"/>
      <c r="AS1375" s="87"/>
      <c r="AT1375" s="87"/>
      <c r="AU1375" s="87"/>
      <c r="AV1375" s="92" t="str">
        <f>HYPERLINK("https://pbs.twimg.com/profile_images/1607849762216198145/hDYZBQjm_normal.jpg")</f>
        <v>https://pbs.twimg.com/profile_images/1607849762216198145/hDYZBQjm_normal.jpg</v>
      </c>
      <c r="AW1375" s="93" t="s">
        <v>19609</v>
      </c>
      <c r="AX1375" s="93" t="s">
        <v>19609</v>
      </c>
      <c r="AY1375" s="87"/>
      <c r="AZ1375" s="93" t="s">
        <v>22668</v>
      </c>
      <c r="BA1375" s="93" t="s">
        <v>22668</v>
      </c>
      <c r="BB1375" s="93" t="s">
        <v>22668</v>
      </c>
      <c r="BC1375" s="93" t="s">
        <v>19609</v>
      </c>
      <c r="BD1375" s="87">
        <v>258812806</v>
      </c>
      <c r="BE1375" s="87"/>
      <c r="BF1375" s="87"/>
      <c r="BG1375" s="87"/>
      <c r="BH1375" s="87"/>
      <c r="BI1375" s="87"/>
    </row>
    <row r="1376" spans="1:61" x14ac:dyDescent="0.25">
      <c r="A1376" s="63" t="s">
        <v>691</v>
      </c>
      <c r="B1376" s="63" t="s">
        <v>691</v>
      </c>
      <c r="C1376" s="64"/>
      <c r="D1376" s="65"/>
      <c r="E1376" s="66"/>
      <c r="F1376" s="67"/>
      <c r="G1376" s="64"/>
      <c r="H1376" s="68"/>
      <c r="I1376" s="69"/>
      <c r="J1376" s="69"/>
      <c r="K1376" s="32"/>
      <c r="L1376" s="76">
        <v>1376</v>
      </c>
      <c r="M1376" s="76"/>
      <c r="N1376" s="71"/>
      <c r="O1376" s="87" t="s">
        <v>179</v>
      </c>
      <c r="P1376" s="90">
        <v>45126.541689814818</v>
      </c>
      <c r="Q1376" s="87" t="s">
        <v>3178</v>
      </c>
      <c r="R1376" s="87">
        <v>0</v>
      </c>
      <c r="S1376" s="87">
        <v>0</v>
      </c>
      <c r="T1376" s="87">
        <v>0</v>
      </c>
      <c r="U1376" s="87">
        <v>0</v>
      </c>
      <c r="V1376" s="87">
        <v>29</v>
      </c>
      <c r="W1376" s="93" t="s">
        <v>6791</v>
      </c>
      <c r="X1376" s="87"/>
      <c r="Y1376" s="87"/>
      <c r="Z1376" s="87"/>
      <c r="AA1376" s="87" t="s">
        <v>9507</v>
      </c>
      <c r="AB1376" s="87" t="s">
        <v>11447</v>
      </c>
      <c r="AC1376" s="93" t="s">
        <v>11457</v>
      </c>
      <c r="AD1376" s="87" t="s">
        <v>11519</v>
      </c>
      <c r="AE1376" s="92" t="str">
        <f>HYPERLINK("https://twitter.com/tankkerbr/status/1681650100488093697")</f>
        <v>https://twitter.com/tankkerbr/status/1681650100488093697</v>
      </c>
      <c r="AF1376" s="90">
        <v>45126.541689814818</v>
      </c>
      <c r="AG1376" s="99">
        <v>45126</v>
      </c>
      <c r="AH1376" s="93" t="s">
        <v>12800</v>
      </c>
      <c r="AI1376" s="87" t="b">
        <v>0</v>
      </c>
      <c r="AJ1376" s="87"/>
      <c r="AK1376" s="87"/>
      <c r="AL1376" s="87"/>
      <c r="AM1376" s="87"/>
      <c r="AN1376" s="87"/>
      <c r="AO1376" s="87"/>
      <c r="AP1376" s="87"/>
      <c r="AQ1376" s="87" t="s">
        <v>16320</v>
      </c>
      <c r="AR1376" s="87">
        <v>9000</v>
      </c>
      <c r="AS1376" s="87"/>
      <c r="AT1376" s="87"/>
      <c r="AU1376" s="87"/>
      <c r="AV1376" s="92" t="str">
        <f>HYPERLINK("https://pbs.twimg.com/ext_tw_video_thumb/1681644891334496257/pu/img/qtGfBpYQkLDDF9zv.jpg")</f>
        <v>https://pbs.twimg.com/ext_tw_video_thumb/1681644891334496257/pu/img/qtGfBpYQkLDDF9zv.jpg</v>
      </c>
      <c r="AW1376" s="93" t="s">
        <v>19610</v>
      </c>
      <c r="AX1376" s="93" t="s">
        <v>19610</v>
      </c>
      <c r="AY1376" s="87"/>
      <c r="AZ1376" s="93" t="s">
        <v>22668</v>
      </c>
      <c r="BA1376" s="93" t="s">
        <v>22668</v>
      </c>
      <c r="BB1376" s="93" t="s">
        <v>22668</v>
      </c>
      <c r="BC1376" s="93" t="s">
        <v>19610</v>
      </c>
      <c r="BD1376" s="93" t="s">
        <v>23062</v>
      </c>
      <c r="BE1376" s="87"/>
      <c r="BF1376" s="87"/>
      <c r="BG1376" s="87"/>
      <c r="BH1376" s="87"/>
      <c r="BI1376" s="87"/>
    </row>
    <row r="1377" spans="1:61" x14ac:dyDescent="0.25">
      <c r="A1377" s="63" t="s">
        <v>691</v>
      </c>
      <c r="B1377" s="63" t="s">
        <v>691</v>
      </c>
      <c r="C1377" s="64"/>
      <c r="D1377" s="65"/>
      <c r="E1377" s="66"/>
      <c r="F1377" s="67"/>
      <c r="G1377" s="64"/>
      <c r="H1377" s="68"/>
      <c r="I1377" s="69"/>
      <c r="J1377" s="69"/>
      <c r="K1377" s="32"/>
      <c r="L1377" s="76">
        <v>1377</v>
      </c>
      <c r="M1377" s="76"/>
      <c r="N1377" s="71"/>
      <c r="O1377" s="87" t="s">
        <v>179</v>
      </c>
      <c r="P1377" s="90">
        <v>45141.510706018518</v>
      </c>
      <c r="Q1377" s="87" t="s">
        <v>3179</v>
      </c>
      <c r="R1377" s="87">
        <v>0</v>
      </c>
      <c r="S1377" s="87">
        <v>0</v>
      </c>
      <c r="T1377" s="87">
        <v>0</v>
      </c>
      <c r="U1377" s="87">
        <v>0</v>
      </c>
      <c r="V1377" s="87">
        <v>114</v>
      </c>
      <c r="W1377" s="93" t="s">
        <v>6792</v>
      </c>
      <c r="X1377" s="87"/>
      <c r="Y1377" s="87"/>
      <c r="Z1377" s="87"/>
      <c r="AA1377" s="87" t="s">
        <v>9508</v>
      </c>
      <c r="AB1377" s="87" t="s">
        <v>11448</v>
      </c>
      <c r="AC1377" s="93" t="s">
        <v>11457</v>
      </c>
      <c r="AD1377" s="87" t="s">
        <v>11519</v>
      </c>
      <c r="AE1377" s="92" t="str">
        <f>HYPERLINK("https://twitter.com/tankkerbr/status/1687074692618756098")</f>
        <v>https://twitter.com/tankkerbr/status/1687074692618756098</v>
      </c>
      <c r="AF1377" s="90">
        <v>45141.510706018518</v>
      </c>
      <c r="AG1377" s="99">
        <v>45141</v>
      </c>
      <c r="AH1377" s="93" t="s">
        <v>12801</v>
      </c>
      <c r="AI1377" s="87" t="b">
        <v>0</v>
      </c>
      <c r="AJ1377" s="87"/>
      <c r="AK1377" s="87"/>
      <c r="AL1377" s="87"/>
      <c r="AM1377" s="87"/>
      <c r="AN1377" s="87"/>
      <c r="AO1377" s="87"/>
      <c r="AP1377" s="87"/>
      <c r="AQ1377" s="87" t="s">
        <v>16321</v>
      </c>
      <c r="AR1377" s="87"/>
      <c r="AS1377" s="87"/>
      <c r="AT1377" s="87"/>
      <c r="AU1377" s="87"/>
      <c r="AV1377" s="92" t="str">
        <f>HYPERLINK("https://pbs.twimg.com/media/F2mwwbBW4AEl8cS.jpg")</f>
        <v>https://pbs.twimg.com/media/F2mwwbBW4AEl8cS.jpg</v>
      </c>
      <c r="AW1377" s="93" t="s">
        <v>19611</v>
      </c>
      <c r="AX1377" s="93" t="s">
        <v>19611</v>
      </c>
      <c r="AY1377" s="87"/>
      <c r="AZ1377" s="93" t="s">
        <v>22668</v>
      </c>
      <c r="BA1377" s="93" t="s">
        <v>22668</v>
      </c>
      <c r="BB1377" s="93" t="s">
        <v>22668</v>
      </c>
      <c r="BC1377" s="93" t="s">
        <v>19611</v>
      </c>
      <c r="BD1377" s="93" t="s">
        <v>23062</v>
      </c>
      <c r="BE1377" s="87"/>
      <c r="BF1377" s="87"/>
      <c r="BG1377" s="87"/>
      <c r="BH1377" s="87"/>
      <c r="BI1377" s="87"/>
    </row>
    <row r="1378" spans="1:61" x14ac:dyDescent="0.25">
      <c r="A1378" s="63" t="s">
        <v>692</v>
      </c>
      <c r="B1378" s="63" t="s">
        <v>692</v>
      </c>
      <c r="C1378" s="64"/>
      <c r="D1378" s="65"/>
      <c r="E1378" s="66"/>
      <c r="F1378" s="67"/>
      <c r="G1378" s="64"/>
      <c r="H1378" s="68"/>
      <c r="I1378" s="69"/>
      <c r="J1378" s="69"/>
      <c r="K1378" s="32"/>
      <c r="L1378" s="76">
        <v>1378</v>
      </c>
      <c r="M1378" s="76"/>
      <c r="N1378" s="71"/>
      <c r="O1378" s="87" t="s">
        <v>179</v>
      </c>
      <c r="P1378" s="90">
        <v>45139.080740740741</v>
      </c>
      <c r="Q1378" s="87" t="s">
        <v>3180</v>
      </c>
      <c r="R1378" s="87">
        <v>0</v>
      </c>
      <c r="S1378" s="87">
        <v>0</v>
      </c>
      <c r="T1378" s="87">
        <v>1</v>
      </c>
      <c r="U1378" s="87">
        <v>0</v>
      </c>
      <c r="V1378" s="87">
        <v>43</v>
      </c>
      <c r="W1378" s="93" t="s">
        <v>6793</v>
      </c>
      <c r="X1378" s="87"/>
      <c r="Y1378" s="87"/>
      <c r="Z1378" s="87"/>
      <c r="AA1378" s="87" t="s">
        <v>9509</v>
      </c>
      <c r="AB1378" s="87" t="s">
        <v>11447</v>
      </c>
      <c r="AC1378" s="93" t="s">
        <v>11457</v>
      </c>
      <c r="AD1378" s="87" t="s">
        <v>11523</v>
      </c>
      <c r="AE1378" s="92" t="str">
        <f>HYPERLINK("https://twitter.com/pabloberom/status/1686194101157257216")</f>
        <v>https://twitter.com/pabloberom/status/1686194101157257216</v>
      </c>
      <c r="AF1378" s="90">
        <v>45139.080740740741</v>
      </c>
      <c r="AG1378" s="99">
        <v>45139</v>
      </c>
      <c r="AH1378" s="93" t="s">
        <v>12802</v>
      </c>
      <c r="AI1378" s="87" t="b">
        <v>0</v>
      </c>
      <c r="AJ1378" s="87"/>
      <c r="AK1378" s="87"/>
      <c r="AL1378" s="87"/>
      <c r="AM1378" s="87"/>
      <c r="AN1378" s="87"/>
      <c r="AO1378" s="87"/>
      <c r="AP1378" s="87"/>
      <c r="AQ1378" s="87" t="s">
        <v>16322</v>
      </c>
      <c r="AR1378" s="87">
        <v>5015</v>
      </c>
      <c r="AS1378" s="87"/>
      <c r="AT1378" s="87"/>
      <c r="AU1378" s="87"/>
      <c r="AV1378" s="92" t="str">
        <f>HYPERLINK("https://pbs.twimg.com/ext_tw_video_thumb/1686193939479453696/pu/img/FjSHkWnSeL3eMyhp.jpg")</f>
        <v>https://pbs.twimg.com/ext_tw_video_thumb/1686193939479453696/pu/img/FjSHkWnSeL3eMyhp.jpg</v>
      </c>
      <c r="AW1378" s="93" t="s">
        <v>19612</v>
      </c>
      <c r="AX1378" s="93" t="s">
        <v>19612</v>
      </c>
      <c r="AY1378" s="87"/>
      <c r="AZ1378" s="93" t="s">
        <v>22668</v>
      </c>
      <c r="BA1378" s="93" t="s">
        <v>22668</v>
      </c>
      <c r="BB1378" s="93" t="s">
        <v>22668</v>
      </c>
      <c r="BC1378" s="93" t="s">
        <v>19612</v>
      </c>
      <c r="BD1378" s="87">
        <v>3051297531</v>
      </c>
      <c r="BE1378" s="87"/>
      <c r="BF1378" s="87"/>
      <c r="BG1378" s="87"/>
      <c r="BH1378" s="87"/>
      <c r="BI1378" s="87"/>
    </row>
    <row r="1379" spans="1:61" x14ac:dyDescent="0.25">
      <c r="A1379" s="63" t="s">
        <v>693</v>
      </c>
      <c r="B1379" s="63" t="s">
        <v>693</v>
      </c>
      <c r="C1379" s="64"/>
      <c r="D1379" s="65"/>
      <c r="E1379" s="66"/>
      <c r="F1379" s="67"/>
      <c r="G1379" s="64"/>
      <c r="H1379" s="68"/>
      <c r="I1379" s="69"/>
      <c r="J1379" s="69"/>
      <c r="K1379" s="32"/>
      <c r="L1379" s="76">
        <v>1379</v>
      </c>
      <c r="M1379" s="76"/>
      <c r="N1379" s="71"/>
      <c r="O1379" s="87" t="s">
        <v>179</v>
      </c>
      <c r="P1379" s="90">
        <v>45157.649664351855</v>
      </c>
      <c r="Q1379" s="87" t="s">
        <v>3181</v>
      </c>
      <c r="R1379" s="87">
        <v>0</v>
      </c>
      <c r="S1379" s="87">
        <v>1</v>
      </c>
      <c r="T1379" s="87">
        <v>0</v>
      </c>
      <c r="U1379" s="87">
        <v>0</v>
      </c>
      <c r="V1379" s="87">
        <v>103</v>
      </c>
      <c r="W1379" s="93" t="s">
        <v>6794</v>
      </c>
      <c r="X1379" s="92" t="str">
        <f>HYPERLINK("https://marketingnew.com.br/mudanca-no-comportamento-do-consumidor-no-marketing-digital-o-que-as-empresas-precisam-saber/")</f>
        <v>https://marketingnew.com.br/mudanca-no-comportamento-do-consumidor-no-marketing-digital-o-que-as-empresas-precisam-saber/</v>
      </c>
      <c r="Y1379" s="87" t="s">
        <v>8373</v>
      </c>
      <c r="Z1379" s="87"/>
      <c r="AA1379" s="87"/>
      <c r="AB1379" s="87"/>
      <c r="AC1379" s="93" t="s">
        <v>11457</v>
      </c>
      <c r="AD1379" s="87" t="s">
        <v>11520</v>
      </c>
      <c r="AE1379" s="92" t="str">
        <f>HYPERLINK("https://twitter.com/bmarketingnew/status/1692923252388069393")</f>
        <v>https://twitter.com/bmarketingnew/status/1692923252388069393</v>
      </c>
      <c r="AF1379" s="90">
        <v>45157.649664351855</v>
      </c>
      <c r="AG1379" s="99">
        <v>45157</v>
      </c>
      <c r="AH1379" s="93" t="s">
        <v>12803</v>
      </c>
      <c r="AI1379" s="87" t="b">
        <v>0</v>
      </c>
      <c r="AJ1379" s="87"/>
      <c r="AK1379" s="87"/>
      <c r="AL1379" s="87"/>
      <c r="AM1379" s="87"/>
      <c r="AN1379" s="87"/>
      <c r="AO1379" s="87"/>
      <c r="AP1379" s="87"/>
      <c r="AQ1379" s="87"/>
      <c r="AR1379" s="87"/>
      <c r="AS1379" s="87"/>
      <c r="AT1379" s="87"/>
      <c r="AU1379" s="87"/>
      <c r="AV1379" s="92" t="str">
        <f>HYPERLINK("https://pbs.twimg.com/profile_images/1692556784500674560/9MzyjbpW_normal.jpg")</f>
        <v>https://pbs.twimg.com/profile_images/1692556784500674560/9MzyjbpW_normal.jpg</v>
      </c>
      <c r="AW1379" s="93" t="s">
        <v>19613</v>
      </c>
      <c r="AX1379" s="93" t="s">
        <v>19613</v>
      </c>
      <c r="AY1379" s="87"/>
      <c r="AZ1379" s="93" t="s">
        <v>22668</v>
      </c>
      <c r="BA1379" s="93" t="s">
        <v>22668</v>
      </c>
      <c r="BB1379" s="93" t="s">
        <v>22668</v>
      </c>
      <c r="BC1379" s="93" t="s">
        <v>19613</v>
      </c>
      <c r="BD1379" s="93" t="s">
        <v>23063</v>
      </c>
      <c r="BE1379" s="87"/>
      <c r="BF1379" s="87"/>
      <c r="BG1379" s="87"/>
      <c r="BH1379" s="87"/>
      <c r="BI1379" s="87"/>
    </row>
    <row r="1380" spans="1:61" x14ac:dyDescent="0.25">
      <c r="A1380" s="63" t="s">
        <v>693</v>
      </c>
      <c r="B1380" s="63" t="s">
        <v>693</v>
      </c>
      <c r="C1380" s="64"/>
      <c r="D1380" s="65"/>
      <c r="E1380" s="66"/>
      <c r="F1380" s="67"/>
      <c r="G1380" s="64"/>
      <c r="H1380" s="68"/>
      <c r="I1380" s="69"/>
      <c r="J1380" s="69"/>
      <c r="K1380" s="32"/>
      <c r="L1380" s="76">
        <v>1380</v>
      </c>
      <c r="M1380" s="76"/>
      <c r="N1380" s="71"/>
      <c r="O1380" s="87" t="s">
        <v>179</v>
      </c>
      <c r="P1380" s="90">
        <v>45161.809178240743</v>
      </c>
      <c r="Q1380" s="87" t="s">
        <v>3182</v>
      </c>
      <c r="R1380" s="87">
        <v>2</v>
      </c>
      <c r="S1380" s="87">
        <v>2</v>
      </c>
      <c r="T1380" s="87">
        <v>0</v>
      </c>
      <c r="U1380" s="87">
        <v>0</v>
      </c>
      <c r="V1380" s="87">
        <v>239</v>
      </c>
      <c r="W1380" s="93" t="s">
        <v>6795</v>
      </c>
      <c r="X1380" s="92" t="str">
        <f>HYPERLINK("https://marketingnew.com.br/curso-design-canvas-profissional/")</f>
        <v>https://marketingnew.com.br/curso-design-canvas-profissional/</v>
      </c>
      <c r="Y1380" s="87" t="s">
        <v>8373</v>
      </c>
      <c r="Z1380" s="87"/>
      <c r="AA1380" s="87"/>
      <c r="AB1380" s="87"/>
      <c r="AC1380" s="93" t="s">
        <v>11457</v>
      </c>
      <c r="AD1380" s="87" t="s">
        <v>11520</v>
      </c>
      <c r="AE1380" s="92" t="str">
        <f>HYPERLINK("https://twitter.com/bmarketingnew/status/1694430613569257949")</f>
        <v>https://twitter.com/bmarketingnew/status/1694430613569257949</v>
      </c>
      <c r="AF1380" s="90">
        <v>45161.809178240743</v>
      </c>
      <c r="AG1380" s="99">
        <v>45161</v>
      </c>
      <c r="AH1380" s="93" t="s">
        <v>12804</v>
      </c>
      <c r="AI1380" s="87" t="b">
        <v>0</v>
      </c>
      <c r="AJ1380" s="87"/>
      <c r="AK1380" s="87"/>
      <c r="AL1380" s="87"/>
      <c r="AM1380" s="87"/>
      <c r="AN1380" s="87"/>
      <c r="AO1380" s="87"/>
      <c r="AP1380" s="87"/>
      <c r="AQ1380" s="87"/>
      <c r="AR1380" s="87"/>
      <c r="AS1380" s="87"/>
      <c r="AT1380" s="87"/>
      <c r="AU1380" s="87"/>
      <c r="AV1380" s="92" t="str">
        <f>HYPERLINK("https://pbs.twimg.com/profile_images/1692556784500674560/9MzyjbpW_normal.jpg")</f>
        <v>https://pbs.twimg.com/profile_images/1692556784500674560/9MzyjbpW_normal.jpg</v>
      </c>
      <c r="AW1380" s="93" t="s">
        <v>19614</v>
      </c>
      <c r="AX1380" s="93" t="s">
        <v>19614</v>
      </c>
      <c r="AY1380" s="87"/>
      <c r="AZ1380" s="93" t="s">
        <v>22668</v>
      </c>
      <c r="BA1380" s="93" t="s">
        <v>22668</v>
      </c>
      <c r="BB1380" s="93" t="s">
        <v>22668</v>
      </c>
      <c r="BC1380" s="93" t="s">
        <v>19614</v>
      </c>
      <c r="BD1380" s="93" t="s">
        <v>23063</v>
      </c>
      <c r="BE1380" s="87"/>
      <c r="BF1380" s="87"/>
      <c r="BG1380" s="87"/>
      <c r="BH1380" s="87"/>
      <c r="BI1380" s="87"/>
    </row>
    <row r="1381" spans="1:61" x14ac:dyDescent="0.25">
      <c r="A1381" s="63" t="s">
        <v>693</v>
      </c>
      <c r="B1381" s="63" t="s">
        <v>693</v>
      </c>
      <c r="C1381" s="64"/>
      <c r="D1381" s="65"/>
      <c r="E1381" s="66"/>
      <c r="F1381" s="67"/>
      <c r="G1381" s="64"/>
      <c r="H1381" s="68"/>
      <c r="I1381" s="69"/>
      <c r="J1381" s="69"/>
      <c r="K1381" s="32"/>
      <c r="L1381" s="76">
        <v>1381</v>
      </c>
      <c r="M1381" s="76"/>
      <c r="N1381" s="71"/>
      <c r="O1381" s="87" t="s">
        <v>179</v>
      </c>
      <c r="P1381" s="90">
        <v>45159.651388888888</v>
      </c>
      <c r="Q1381" s="87" t="s">
        <v>3183</v>
      </c>
      <c r="R1381" s="87">
        <v>1</v>
      </c>
      <c r="S1381" s="87">
        <v>3</v>
      </c>
      <c r="T1381" s="87">
        <v>0</v>
      </c>
      <c r="U1381" s="87">
        <v>0</v>
      </c>
      <c r="V1381" s="87">
        <v>110</v>
      </c>
      <c r="W1381" s="93" t="s">
        <v>6794</v>
      </c>
      <c r="X1381" s="92" t="str">
        <f>HYPERLINK("https://marketingnew.com.br/conheca-sua-audiencia-como-criar-campanhas-mais-eficazes-para-conversao/")</f>
        <v>https://marketingnew.com.br/conheca-sua-audiencia-como-criar-campanhas-mais-eficazes-para-conversao/</v>
      </c>
      <c r="Y1381" s="87" t="s">
        <v>8373</v>
      </c>
      <c r="Z1381" s="87"/>
      <c r="AA1381" s="87"/>
      <c r="AB1381" s="87"/>
      <c r="AC1381" s="93" t="s">
        <v>11457</v>
      </c>
      <c r="AD1381" s="87" t="s">
        <v>11520</v>
      </c>
      <c r="AE1381" s="92" t="str">
        <f>HYPERLINK("https://twitter.com/bmarketingnew/status/1693648654014337164")</f>
        <v>https://twitter.com/bmarketingnew/status/1693648654014337164</v>
      </c>
      <c r="AF1381" s="90">
        <v>45159.651388888888</v>
      </c>
      <c r="AG1381" s="99">
        <v>45159</v>
      </c>
      <c r="AH1381" s="93" t="s">
        <v>12325</v>
      </c>
      <c r="AI1381" s="87" t="b">
        <v>0</v>
      </c>
      <c r="AJ1381" s="87"/>
      <c r="AK1381" s="87"/>
      <c r="AL1381" s="87"/>
      <c r="AM1381" s="87"/>
      <c r="AN1381" s="87"/>
      <c r="AO1381" s="87"/>
      <c r="AP1381" s="87"/>
      <c r="AQ1381" s="87"/>
      <c r="AR1381" s="87"/>
      <c r="AS1381" s="87"/>
      <c r="AT1381" s="87"/>
      <c r="AU1381" s="87"/>
      <c r="AV1381" s="92" t="str">
        <f>HYPERLINK("https://pbs.twimg.com/profile_images/1692556784500674560/9MzyjbpW_normal.jpg")</f>
        <v>https://pbs.twimg.com/profile_images/1692556784500674560/9MzyjbpW_normal.jpg</v>
      </c>
      <c r="AW1381" s="93" t="s">
        <v>19615</v>
      </c>
      <c r="AX1381" s="93" t="s">
        <v>19615</v>
      </c>
      <c r="AY1381" s="87"/>
      <c r="AZ1381" s="93" t="s">
        <v>22668</v>
      </c>
      <c r="BA1381" s="93" t="s">
        <v>22668</v>
      </c>
      <c r="BB1381" s="93" t="s">
        <v>22668</v>
      </c>
      <c r="BC1381" s="93" t="s">
        <v>19615</v>
      </c>
      <c r="BD1381" s="93" t="s">
        <v>23063</v>
      </c>
      <c r="BE1381" s="87"/>
      <c r="BF1381" s="87"/>
      <c r="BG1381" s="87"/>
      <c r="BH1381" s="87"/>
      <c r="BI1381" s="87"/>
    </row>
    <row r="1382" spans="1:61" x14ac:dyDescent="0.25">
      <c r="A1382" s="63" t="s">
        <v>693</v>
      </c>
      <c r="B1382" s="63" t="s">
        <v>693</v>
      </c>
      <c r="C1382" s="64"/>
      <c r="D1382" s="65"/>
      <c r="E1382" s="66"/>
      <c r="F1382" s="67"/>
      <c r="G1382" s="64"/>
      <c r="H1382" s="68"/>
      <c r="I1382" s="69"/>
      <c r="J1382" s="69"/>
      <c r="K1382" s="32"/>
      <c r="L1382" s="76">
        <v>1382</v>
      </c>
      <c r="M1382" s="76"/>
      <c r="N1382" s="71"/>
      <c r="O1382" s="87" t="s">
        <v>179</v>
      </c>
      <c r="P1382" s="90">
        <v>45161.652777777781</v>
      </c>
      <c r="Q1382" s="87" t="s">
        <v>3184</v>
      </c>
      <c r="R1382" s="87">
        <v>0</v>
      </c>
      <c r="S1382" s="87">
        <v>3</v>
      </c>
      <c r="T1382" s="87">
        <v>0</v>
      </c>
      <c r="U1382" s="87">
        <v>0</v>
      </c>
      <c r="V1382" s="87">
        <v>131</v>
      </c>
      <c r="W1382" s="93" t="s">
        <v>6796</v>
      </c>
      <c r="X1382" s="92" t="str">
        <f>HYPERLINK("https://marketingnew.com.br/otimizacao-de-sites-seo-a-busca-atraves-de-robos-para-o-sucesso-online/")</f>
        <v>https://marketingnew.com.br/otimizacao-de-sites-seo-a-busca-atraves-de-robos-para-o-sucesso-online/</v>
      </c>
      <c r="Y1382" s="87" t="s">
        <v>8373</v>
      </c>
      <c r="Z1382" s="87"/>
      <c r="AA1382" s="87"/>
      <c r="AB1382" s="87"/>
      <c r="AC1382" s="93" t="s">
        <v>11457</v>
      </c>
      <c r="AD1382" s="87" t="s">
        <v>11520</v>
      </c>
      <c r="AE1382" s="92" t="str">
        <f>HYPERLINK("https://twitter.com/bmarketingnew/status/1694373933045391464")</f>
        <v>https://twitter.com/bmarketingnew/status/1694373933045391464</v>
      </c>
      <c r="AF1382" s="90">
        <v>45161.652777777781</v>
      </c>
      <c r="AG1382" s="99">
        <v>45161</v>
      </c>
      <c r="AH1382" s="93" t="s">
        <v>12805</v>
      </c>
      <c r="AI1382" s="87" t="b">
        <v>0</v>
      </c>
      <c r="AJ1382" s="87"/>
      <c r="AK1382" s="87"/>
      <c r="AL1382" s="87"/>
      <c r="AM1382" s="87"/>
      <c r="AN1382" s="87"/>
      <c r="AO1382" s="87"/>
      <c r="AP1382" s="87"/>
      <c r="AQ1382" s="87"/>
      <c r="AR1382" s="87"/>
      <c r="AS1382" s="87"/>
      <c r="AT1382" s="87"/>
      <c r="AU1382" s="87"/>
      <c r="AV1382" s="92" t="str">
        <f>HYPERLINK("https://pbs.twimg.com/profile_images/1692556784500674560/9MzyjbpW_normal.jpg")</f>
        <v>https://pbs.twimg.com/profile_images/1692556784500674560/9MzyjbpW_normal.jpg</v>
      </c>
      <c r="AW1382" s="93" t="s">
        <v>19616</v>
      </c>
      <c r="AX1382" s="93" t="s">
        <v>19616</v>
      </c>
      <c r="AY1382" s="87"/>
      <c r="AZ1382" s="93" t="s">
        <v>22668</v>
      </c>
      <c r="BA1382" s="93" t="s">
        <v>22668</v>
      </c>
      <c r="BB1382" s="93" t="s">
        <v>22668</v>
      </c>
      <c r="BC1382" s="93" t="s">
        <v>19616</v>
      </c>
      <c r="BD1382" s="93" t="s">
        <v>23063</v>
      </c>
      <c r="BE1382" s="87"/>
      <c r="BF1382" s="87"/>
      <c r="BG1382" s="87"/>
      <c r="BH1382" s="87"/>
      <c r="BI1382" s="87"/>
    </row>
    <row r="1383" spans="1:61" x14ac:dyDescent="0.25">
      <c r="A1383" s="63" t="s">
        <v>693</v>
      </c>
      <c r="B1383" s="63" t="s">
        <v>693</v>
      </c>
      <c r="C1383" s="64"/>
      <c r="D1383" s="65"/>
      <c r="E1383" s="66"/>
      <c r="F1383" s="67"/>
      <c r="G1383" s="64"/>
      <c r="H1383" s="68"/>
      <c r="I1383" s="69"/>
      <c r="J1383" s="69"/>
      <c r="K1383" s="32"/>
      <c r="L1383" s="76">
        <v>1383</v>
      </c>
      <c r="M1383" s="76"/>
      <c r="N1383" s="71"/>
      <c r="O1383" s="87" t="s">
        <v>179</v>
      </c>
      <c r="P1383" s="90">
        <v>45161.626319444447</v>
      </c>
      <c r="Q1383" s="87" t="s">
        <v>3185</v>
      </c>
      <c r="R1383" s="87">
        <v>0</v>
      </c>
      <c r="S1383" s="87">
        <v>3</v>
      </c>
      <c r="T1383" s="87">
        <v>0</v>
      </c>
      <c r="U1383" s="87">
        <v>0</v>
      </c>
      <c r="V1383" s="87">
        <v>119</v>
      </c>
      <c r="W1383" s="93" t="s">
        <v>6797</v>
      </c>
      <c r="X1383" s="92" t="str">
        <f>HYPERLINK("https://marketingnew.com.br/curso-de-drenagem-linfatica/")</f>
        <v>https://marketingnew.com.br/curso-de-drenagem-linfatica/</v>
      </c>
      <c r="Y1383" s="87" t="s">
        <v>8373</v>
      </c>
      <c r="Z1383" s="87"/>
      <c r="AA1383" s="87"/>
      <c r="AB1383" s="87"/>
      <c r="AC1383" s="93" t="s">
        <v>11457</v>
      </c>
      <c r="AD1383" s="87" t="s">
        <v>11520</v>
      </c>
      <c r="AE1383" s="92" t="str">
        <f>HYPERLINK("https://twitter.com/bmarketingnew/status/1694364344241316220")</f>
        <v>https://twitter.com/bmarketingnew/status/1694364344241316220</v>
      </c>
      <c r="AF1383" s="90">
        <v>45161.626319444447</v>
      </c>
      <c r="AG1383" s="99">
        <v>45161</v>
      </c>
      <c r="AH1383" s="93" t="s">
        <v>12806</v>
      </c>
      <c r="AI1383" s="87" t="b">
        <v>0</v>
      </c>
      <c r="AJ1383" s="87"/>
      <c r="AK1383" s="87"/>
      <c r="AL1383" s="87"/>
      <c r="AM1383" s="87"/>
      <c r="AN1383" s="87"/>
      <c r="AO1383" s="87"/>
      <c r="AP1383" s="87"/>
      <c r="AQ1383" s="87"/>
      <c r="AR1383" s="87"/>
      <c r="AS1383" s="87"/>
      <c r="AT1383" s="87"/>
      <c r="AU1383" s="87"/>
      <c r="AV1383" s="92" t="str">
        <f>HYPERLINK("https://pbs.twimg.com/profile_images/1692556784500674560/9MzyjbpW_normal.jpg")</f>
        <v>https://pbs.twimg.com/profile_images/1692556784500674560/9MzyjbpW_normal.jpg</v>
      </c>
      <c r="AW1383" s="93" t="s">
        <v>19617</v>
      </c>
      <c r="AX1383" s="93" t="s">
        <v>19617</v>
      </c>
      <c r="AY1383" s="87"/>
      <c r="AZ1383" s="93" t="s">
        <v>22668</v>
      </c>
      <c r="BA1383" s="93" t="s">
        <v>22668</v>
      </c>
      <c r="BB1383" s="93" t="s">
        <v>22668</v>
      </c>
      <c r="BC1383" s="93" t="s">
        <v>19617</v>
      </c>
      <c r="BD1383" s="93" t="s">
        <v>23063</v>
      </c>
      <c r="BE1383" s="87"/>
      <c r="BF1383" s="87"/>
      <c r="BG1383" s="87"/>
      <c r="BH1383" s="87"/>
      <c r="BI1383" s="87"/>
    </row>
    <row r="1384" spans="1:61" x14ac:dyDescent="0.25">
      <c r="A1384" s="63" t="s">
        <v>693</v>
      </c>
      <c r="B1384" s="63" t="s">
        <v>693</v>
      </c>
      <c r="C1384" s="64"/>
      <c r="D1384" s="65"/>
      <c r="E1384" s="66"/>
      <c r="F1384" s="67"/>
      <c r="G1384" s="64"/>
      <c r="H1384" s="68"/>
      <c r="I1384" s="69"/>
      <c r="J1384" s="69"/>
      <c r="K1384" s="32"/>
      <c r="L1384" s="76">
        <v>1384</v>
      </c>
      <c r="M1384" s="76"/>
      <c r="N1384" s="71"/>
      <c r="O1384" s="87" t="s">
        <v>179</v>
      </c>
      <c r="P1384" s="90">
        <v>45158.65</v>
      </c>
      <c r="Q1384" s="87" t="s">
        <v>3186</v>
      </c>
      <c r="R1384" s="87">
        <v>0</v>
      </c>
      <c r="S1384" s="87">
        <v>1</v>
      </c>
      <c r="T1384" s="87">
        <v>0</v>
      </c>
      <c r="U1384" s="87">
        <v>0</v>
      </c>
      <c r="V1384" s="87">
        <v>120</v>
      </c>
      <c r="W1384" s="93" t="s">
        <v>6794</v>
      </c>
      <c r="X1384" s="92" t="str">
        <f>HYPERLINK("https://marketingnew.com.br/fundamentos-do-marketing-digital-como-comecar-sua-jornada-online/")</f>
        <v>https://marketingnew.com.br/fundamentos-do-marketing-digital-como-comecar-sua-jornada-online/</v>
      </c>
      <c r="Y1384" s="87" t="s">
        <v>8373</v>
      </c>
      <c r="Z1384" s="87"/>
      <c r="AA1384" s="87"/>
      <c r="AB1384" s="87"/>
      <c r="AC1384" s="93" t="s">
        <v>11457</v>
      </c>
      <c r="AD1384" s="87" t="s">
        <v>11520</v>
      </c>
      <c r="AE1384" s="92" t="str">
        <f>HYPERLINK("https://twitter.com/bmarketingnew/status/1693285762786095449")</f>
        <v>https://twitter.com/bmarketingnew/status/1693285762786095449</v>
      </c>
      <c r="AF1384" s="90">
        <v>45158.65</v>
      </c>
      <c r="AG1384" s="99">
        <v>45158</v>
      </c>
      <c r="AH1384" s="93" t="s">
        <v>12807</v>
      </c>
      <c r="AI1384" s="87" t="b">
        <v>0</v>
      </c>
      <c r="AJ1384" s="87"/>
      <c r="AK1384" s="87"/>
      <c r="AL1384" s="87"/>
      <c r="AM1384" s="87"/>
      <c r="AN1384" s="87"/>
      <c r="AO1384" s="87"/>
      <c r="AP1384" s="87"/>
      <c r="AQ1384" s="87"/>
      <c r="AR1384" s="87"/>
      <c r="AS1384" s="87"/>
      <c r="AT1384" s="87"/>
      <c r="AU1384" s="87"/>
      <c r="AV1384" s="92" t="str">
        <f>HYPERLINK("https://pbs.twimg.com/profile_images/1692556784500674560/9MzyjbpW_normal.jpg")</f>
        <v>https://pbs.twimg.com/profile_images/1692556784500674560/9MzyjbpW_normal.jpg</v>
      </c>
      <c r="AW1384" s="93" t="s">
        <v>19618</v>
      </c>
      <c r="AX1384" s="93" t="s">
        <v>19618</v>
      </c>
      <c r="AY1384" s="87"/>
      <c r="AZ1384" s="93" t="s">
        <v>22668</v>
      </c>
      <c r="BA1384" s="93" t="s">
        <v>22668</v>
      </c>
      <c r="BB1384" s="93" t="s">
        <v>22668</v>
      </c>
      <c r="BC1384" s="93" t="s">
        <v>19618</v>
      </c>
      <c r="BD1384" s="93" t="s">
        <v>23063</v>
      </c>
      <c r="BE1384" s="87"/>
      <c r="BF1384" s="87"/>
      <c r="BG1384" s="87"/>
      <c r="BH1384" s="87"/>
      <c r="BI1384" s="87"/>
    </row>
    <row r="1385" spans="1:61" x14ac:dyDescent="0.25">
      <c r="A1385" s="63" t="s">
        <v>693</v>
      </c>
      <c r="B1385" s="63" t="s">
        <v>693</v>
      </c>
      <c r="C1385" s="64"/>
      <c r="D1385" s="65"/>
      <c r="E1385" s="66"/>
      <c r="F1385" s="67"/>
      <c r="G1385" s="64"/>
      <c r="H1385" s="68"/>
      <c r="I1385" s="69"/>
      <c r="J1385" s="69"/>
      <c r="K1385" s="32"/>
      <c r="L1385" s="76">
        <v>1385</v>
      </c>
      <c r="M1385" s="76"/>
      <c r="N1385" s="71"/>
      <c r="O1385" s="87" t="s">
        <v>179</v>
      </c>
      <c r="P1385" s="90">
        <v>45165.644444444442</v>
      </c>
      <c r="Q1385" s="87" t="s">
        <v>3187</v>
      </c>
      <c r="R1385" s="87">
        <v>0</v>
      </c>
      <c r="S1385" s="87">
        <v>0</v>
      </c>
      <c r="T1385" s="87">
        <v>0</v>
      </c>
      <c r="U1385" s="87">
        <v>0</v>
      </c>
      <c r="V1385" s="87">
        <v>87</v>
      </c>
      <c r="W1385" s="93" t="s">
        <v>6798</v>
      </c>
      <c r="X1385" s="92" t="str">
        <f>HYPERLINK("https://marketingnew.com.br/curso-instagram-para-iniciantes/")</f>
        <v>https://marketingnew.com.br/curso-instagram-para-iniciantes/</v>
      </c>
      <c r="Y1385" s="87" t="s">
        <v>8373</v>
      </c>
      <c r="Z1385" s="87"/>
      <c r="AA1385" s="87"/>
      <c r="AB1385" s="87"/>
      <c r="AC1385" s="93" t="s">
        <v>11457</v>
      </c>
      <c r="AD1385" s="87" t="s">
        <v>11520</v>
      </c>
      <c r="AE1385" s="92" t="str">
        <f>HYPERLINK("https://twitter.com/bmarketingnew/status/1695820464482812202")</f>
        <v>https://twitter.com/bmarketingnew/status/1695820464482812202</v>
      </c>
      <c r="AF1385" s="90">
        <v>45165.644444444442</v>
      </c>
      <c r="AG1385" s="99">
        <v>45165</v>
      </c>
      <c r="AH1385" s="93" t="s">
        <v>12808</v>
      </c>
      <c r="AI1385" s="87" t="b">
        <v>0</v>
      </c>
      <c r="AJ1385" s="87"/>
      <c r="AK1385" s="87"/>
      <c r="AL1385" s="87"/>
      <c r="AM1385" s="87"/>
      <c r="AN1385" s="87"/>
      <c r="AO1385" s="87"/>
      <c r="AP1385" s="87"/>
      <c r="AQ1385" s="87"/>
      <c r="AR1385" s="87"/>
      <c r="AS1385" s="87"/>
      <c r="AT1385" s="87"/>
      <c r="AU1385" s="87"/>
      <c r="AV1385" s="92" t="str">
        <f>HYPERLINK("https://pbs.twimg.com/profile_images/1692556784500674560/9MzyjbpW_normal.jpg")</f>
        <v>https://pbs.twimg.com/profile_images/1692556784500674560/9MzyjbpW_normal.jpg</v>
      </c>
      <c r="AW1385" s="93" t="s">
        <v>19619</v>
      </c>
      <c r="AX1385" s="93" t="s">
        <v>19619</v>
      </c>
      <c r="AY1385" s="87"/>
      <c r="AZ1385" s="93" t="s">
        <v>22668</v>
      </c>
      <c r="BA1385" s="93" t="s">
        <v>22668</v>
      </c>
      <c r="BB1385" s="93" t="s">
        <v>22668</v>
      </c>
      <c r="BC1385" s="93" t="s">
        <v>19619</v>
      </c>
      <c r="BD1385" s="93" t="s">
        <v>23063</v>
      </c>
      <c r="BE1385" s="87"/>
      <c r="BF1385" s="87"/>
      <c r="BG1385" s="87"/>
      <c r="BH1385" s="87"/>
      <c r="BI1385" s="87"/>
    </row>
    <row r="1386" spans="1:61" x14ac:dyDescent="0.25">
      <c r="A1386" s="63" t="s">
        <v>693</v>
      </c>
      <c r="B1386" s="63" t="s">
        <v>693</v>
      </c>
      <c r="C1386" s="64"/>
      <c r="D1386" s="65"/>
      <c r="E1386" s="66"/>
      <c r="F1386" s="67"/>
      <c r="G1386" s="64"/>
      <c r="H1386" s="68"/>
      <c r="I1386" s="69"/>
      <c r="J1386" s="69"/>
      <c r="K1386" s="32"/>
      <c r="L1386" s="76">
        <v>1386</v>
      </c>
      <c r="M1386" s="76"/>
      <c r="N1386" s="71"/>
      <c r="O1386" s="87" t="s">
        <v>179</v>
      </c>
      <c r="P1386" s="90">
        <v>45164.642361111109</v>
      </c>
      <c r="Q1386" s="87" t="s">
        <v>3188</v>
      </c>
      <c r="R1386" s="87">
        <v>0</v>
      </c>
      <c r="S1386" s="87">
        <v>1</v>
      </c>
      <c r="T1386" s="87">
        <v>0</v>
      </c>
      <c r="U1386" s="87">
        <v>0</v>
      </c>
      <c r="V1386" s="87">
        <v>80</v>
      </c>
      <c r="W1386" s="93" t="s">
        <v>6799</v>
      </c>
      <c r="X1386" s="92" t="str">
        <f>HYPERLINK("https://marketingnew.com.br/curso-de-bronzeamento-natural/")</f>
        <v>https://marketingnew.com.br/curso-de-bronzeamento-natural/</v>
      </c>
      <c r="Y1386" s="87" t="s">
        <v>8373</v>
      </c>
      <c r="Z1386" s="87"/>
      <c r="AA1386" s="87"/>
      <c r="AB1386" s="87"/>
      <c r="AC1386" s="93" t="s">
        <v>11457</v>
      </c>
      <c r="AD1386" s="87" t="s">
        <v>11520</v>
      </c>
      <c r="AE1386" s="92" t="str">
        <f>HYPERLINK("https://twitter.com/bmarketingnew/status/1695457321722253348")</f>
        <v>https://twitter.com/bmarketingnew/status/1695457321722253348</v>
      </c>
      <c r="AF1386" s="90">
        <v>45164.642361111109</v>
      </c>
      <c r="AG1386" s="99">
        <v>45164</v>
      </c>
      <c r="AH1386" s="93" t="s">
        <v>12809</v>
      </c>
      <c r="AI1386" s="87" t="b">
        <v>0</v>
      </c>
      <c r="AJ1386" s="87"/>
      <c r="AK1386" s="87"/>
      <c r="AL1386" s="87"/>
      <c r="AM1386" s="87"/>
      <c r="AN1386" s="87"/>
      <c r="AO1386" s="87"/>
      <c r="AP1386" s="87"/>
      <c r="AQ1386" s="87"/>
      <c r="AR1386" s="87"/>
      <c r="AS1386" s="87"/>
      <c r="AT1386" s="87"/>
      <c r="AU1386" s="87"/>
      <c r="AV1386" s="92" t="str">
        <f>HYPERLINK("https://pbs.twimg.com/profile_images/1692556784500674560/9MzyjbpW_normal.jpg")</f>
        <v>https://pbs.twimg.com/profile_images/1692556784500674560/9MzyjbpW_normal.jpg</v>
      </c>
      <c r="AW1386" s="93" t="s">
        <v>19620</v>
      </c>
      <c r="AX1386" s="93" t="s">
        <v>19620</v>
      </c>
      <c r="AY1386" s="87"/>
      <c r="AZ1386" s="93" t="s">
        <v>22668</v>
      </c>
      <c r="BA1386" s="93" t="s">
        <v>22668</v>
      </c>
      <c r="BB1386" s="93" t="s">
        <v>22668</v>
      </c>
      <c r="BC1386" s="93" t="s">
        <v>19620</v>
      </c>
      <c r="BD1386" s="93" t="s">
        <v>23063</v>
      </c>
      <c r="BE1386" s="87"/>
      <c r="BF1386" s="87"/>
      <c r="BG1386" s="87"/>
      <c r="BH1386" s="87"/>
      <c r="BI1386" s="87"/>
    </row>
    <row r="1387" spans="1:61" x14ac:dyDescent="0.25">
      <c r="A1387" s="63" t="s">
        <v>693</v>
      </c>
      <c r="B1387" s="63" t="s">
        <v>693</v>
      </c>
      <c r="C1387" s="64"/>
      <c r="D1387" s="65"/>
      <c r="E1387" s="66"/>
      <c r="F1387" s="67"/>
      <c r="G1387" s="64"/>
      <c r="H1387" s="68"/>
      <c r="I1387" s="69"/>
      <c r="J1387" s="69"/>
      <c r="K1387" s="32"/>
      <c r="L1387" s="76">
        <v>1387</v>
      </c>
      <c r="M1387" s="76"/>
      <c r="N1387" s="71"/>
      <c r="O1387" s="87" t="s">
        <v>179</v>
      </c>
      <c r="P1387" s="90">
        <v>45190.937800925924</v>
      </c>
      <c r="Q1387" s="87" t="s">
        <v>3189</v>
      </c>
      <c r="R1387" s="87">
        <v>0</v>
      </c>
      <c r="S1387" s="87">
        <v>0</v>
      </c>
      <c r="T1387" s="87">
        <v>0</v>
      </c>
      <c r="U1387" s="87">
        <v>0</v>
      </c>
      <c r="V1387" s="87">
        <v>32</v>
      </c>
      <c r="W1387" s="93" t="s">
        <v>6800</v>
      </c>
      <c r="X1387" s="87"/>
      <c r="Y1387" s="87"/>
      <c r="Z1387" s="87"/>
      <c r="AA1387" s="87" t="s">
        <v>9510</v>
      </c>
      <c r="AB1387" s="87" t="s">
        <v>11447</v>
      </c>
      <c r="AC1387" s="93" t="s">
        <v>11457</v>
      </c>
      <c r="AD1387" s="87" t="s">
        <v>11520</v>
      </c>
      <c r="AE1387" s="92" t="str">
        <f>HYPERLINK("https://twitter.com/bmarketingnew/status/1704986470803505510")</f>
        <v>https://twitter.com/bmarketingnew/status/1704986470803505510</v>
      </c>
      <c r="AF1387" s="90">
        <v>45190.937800925924</v>
      </c>
      <c r="AG1387" s="99">
        <v>45190</v>
      </c>
      <c r="AH1387" s="93" t="s">
        <v>12810</v>
      </c>
      <c r="AI1387" s="87" t="b">
        <v>0</v>
      </c>
      <c r="AJ1387" s="87"/>
      <c r="AK1387" s="87"/>
      <c r="AL1387" s="87"/>
      <c r="AM1387" s="87"/>
      <c r="AN1387" s="87"/>
      <c r="AO1387" s="87"/>
      <c r="AP1387" s="87"/>
      <c r="AQ1387" s="87" t="s">
        <v>16323</v>
      </c>
      <c r="AR1387" s="87">
        <v>67550</v>
      </c>
      <c r="AS1387" s="87"/>
      <c r="AT1387" s="87"/>
      <c r="AU1387" s="87"/>
      <c r="AV1387" s="92" t="str">
        <f>HYPERLINK("https://pbs.twimg.com/ext_tw_video_thumb/1704986266574503938/pu/img/hOhLW2nXWMKvf_rP.jpg")</f>
        <v>https://pbs.twimg.com/ext_tw_video_thumb/1704986266574503938/pu/img/hOhLW2nXWMKvf_rP.jpg</v>
      </c>
      <c r="AW1387" s="93" t="s">
        <v>19621</v>
      </c>
      <c r="AX1387" s="93" t="s">
        <v>19621</v>
      </c>
      <c r="AY1387" s="87"/>
      <c r="AZ1387" s="93" t="s">
        <v>22668</v>
      </c>
      <c r="BA1387" s="93" t="s">
        <v>22668</v>
      </c>
      <c r="BB1387" s="93" t="s">
        <v>22668</v>
      </c>
      <c r="BC1387" s="93" t="s">
        <v>19621</v>
      </c>
      <c r="BD1387" s="93" t="s">
        <v>23063</v>
      </c>
      <c r="BE1387" s="87"/>
      <c r="BF1387" s="87"/>
      <c r="BG1387" s="87"/>
      <c r="BH1387" s="87"/>
      <c r="BI1387" s="87"/>
    </row>
    <row r="1388" spans="1:61" x14ac:dyDescent="0.25">
      <c r="A1388" s="63" t="s">
        <v>693</v>
      </c>
      <c r="B1388" s="63" t="s">
        <v>693</v>
      </c>
      <c r="C1388" s="64"/>
      <c r="D1388" s="65"/>
      <c r="E1388" s="66"/>
      <c r="F1388" s="67"/>
      <c r="G1388" s="64"/>
      <c r="H1388" s="68"/>
      <c r="I1388" s="69"/>
      <c r="J1388" s="69"/>
      <c r="K1388" s="32"/>
      <c r="L1388" s="76">
        <v>1388</v>
      </c>
      <c r="M1388" s="76"/>
      <c r="N1388" s="71"/>
      <c r="O1388" s="87" t="s">
        <v>179</v>
      </c>
      <c r="P1388" s="90">
        <v>45160.652083333334</v>
      </c>
      <c r="Q1388" s="87" t="s">
        <v>3190</v>
      </c>
      <c r="R1388" s="87">
        <v>0</v>
      </c>
      <c r="S1388" s="87">
        <v>1</v>
      </c>
      <c r="T1388" s="87">
        <v>0</v>
      </c>
      <c r="U1388" s="87">
        <v>0</v>
      </c>
      <c r="V1388" s="87">
        <v>76</v>
      </c>
      <c r="W1388" s="93" t="s">
        <v>6794</v>
      </c>
      <c r="X1388" s="92" t="str">
        <f>HYPERLINK("https://marketingnew.com.br/monitorando-as-metricas-de-desempenho-do-seu-site-ou-blog-a-importancia-de-uma-analise-correta/")</f>
        <v>https://marketingnew.com.br/monitorando-as-metricas-de-desempenho-do-seu-site-ou-blog-a-importancia-de-uma-analise-correta/</v>
      </c>
      <c r="Y1388" s="87" t="s">
        <v>8373</v>
      </c>
      <c r="Z1388" s="87"/>
      <c r="AA1388" s="87"/>
      <c r="AB1388" s="87"/>
      <c r="AC1388" s="93" t="s">
        <v>11457</v>
      </c>
      <c r="AD1388" s="87" t="s">
        <v>11520</v>
      </c>
      <c r="AE1388" s="92" t="str">
        <f>HYPERLINK("https://twitter.com/bmarketingnew/status/1694011293529706649")</f>
        <v>https://twitter.com/bmarketingnew/status/1694011293529706649</v>
      </c>
      <c r="AF1388" s="90">
        <v>45160.652083333334</v>
      </c>
      <c r="AG1388" s="99">
        <v>45160</v>
      </c>
      <c r="AH1388" s="93" t="s">
        <v>12811</v>
      </c>
      <c r="AI1388" s="87" t="b">
        <v>0</v>
      </c>
      <c r="AJ1388" s="87"/>
      <c r="AK1388" s="87"/>
      <c r="AL1388" s="87"/>
      <c r="AM1388" s="87"/>
      <c r="AN1388" s="87"/>
      <c r="AO1388" s="87"/>
      <c r="AP1388" s="87"/>
      <c r="AQ1388" s="87"/>
      <c r="AR1388" s="87"/>
      <c r="AS1388" s="87"/>
      <c r="AT1388" s="87"/>
      <c r="AU1388" s="87"/>
      <c r="AV1388" s="92" t="str">
        <f>HYPERLINK("https://pbs.twimg.com/profile_images/1692556784500674560/9MzyjbpW_normal.jpg")</f>
        <v>https://pbs.twimg.com/profile_images/1692556784500674560/9MzyjbpW_normal.jpg</v>
      </c>
      <c r="AW1388" s="93" t="s">
        <v>19622</v>
      </c>
      <c r="AX1388" s="93" t="s">
        <v>19622</v>
      </c>
      <c r="AY1388" s="87"/>
      <c r="AZ1388" s="93" t="s">
        <v>22668</v>
      </c>
      <c r="BA1388" s="93" t="s">
        <v>22668</v>
      </c>
      <c r="BB1388" s="93" t="s">
        <v>22668</v>
      </c>
      <c r="BC1388" s="93" t="s">
        <v>19622</v>
      </c>
      <c r="BD1388" s="93" t="s">
        <v>23063</v>
      </c>
      <c r="BE1388" s="87"/>
      <c r="BF1388" s="87"/>
      <c r="BG1388" s="87"/>
      <c r="BH1388" s="87"/>
      <c r="BI1388" s="87"/>
    </row>
    <row r="1389" spans="1:61" x14ac:dyDescent="0.25">
      <c r="A1389" s="63" t="s">
        <v>693</v>
      </c>
      <c r="B1389" s="63" t="s">
        <v>693</v>
      </c>
      <c r="C1389" s="64"/>
      <c r="D1389" s="65"/>
      <c r="E1389" s="66"/>
      <c r="F1389" s="67"/>
      <c r="G1389" s="64"/>
      <c r="H1389" s="68"/>
      <c r="I1389" s="69"/>
      <c r="J1389" s="69"/>
      <c r="K1389" s="32"/>
      <c r="L1389" s="76">
        <v>1389</v>
      </c>
      <c r="M1389" s="76"/>
      <c r="N1389" s="71"/>
      <c r="O1389" s="87" t="s">
        <v>179</v>
      </c>
      <c r="P1389" s="90">
        <v>45160.008321759262</v>
      </c>
      <c r="Q1389" s="87" t="s">
        <v>3191</v>
      </c>
      <c r="R1389" s="87">
        <v>0</v>
      </c>
      <c r="S1389" s="87">
        <v>1</v>
      </c>
      <c r="T1389" s="87">
        <v>0</v>
      </c>
      <c r="U1389" s="87">
        <v>0</v>
      </c>
      <c r="V1389" s="87">
        <v>92</v>
      </c>
      <c r="W1389" s="93" t="s">
        <v>6801</v>
      </c>
      <c r="X1389" s="92" t="str">
        <f>HYPERLINK("https://marketingnew.com.br/geracao-de-leads-o-que-e-e-como-fazer/")</f>
        <v>https://marketingnew.com.br/geracao-de-leads-o-que-e-e-como-fazer/</v>
      </c>
      <c r="Y1389" s="87" t="s">
        <v>8373</v>
      </c>
      <c r="Z1389" s="87"/>
      <c r="AA1389" s="87"/>
      <c r="AB1389" s="87"/>
      <c r="AC1389" s="93" t="s">
        <v>11457</v>
      </c>
      <c r="AD1389" s="87" t="s">
        <v>11520</v>
      </c>
      <c r="AE1389" s="92" t="str">
        <f>HYPERLINK("https://twitter.com/bmarketingnew/status/1693778003459760218")</f>
        <v>https://twitter.com/bmarketingnew/status/1693778003459760218</v>
      </c>
      <c r="AF1389" s="90">
        <v>45160.008321759262</v>
      </c>
      <c r="AG1389" s="99">
        <v>45160</v>
      </c>
      <c r="AH1389" s="93" t="s">
        <v>12812</v>
      </c>
      <c r="AI1389" s="87" t="b">
        <v>0</v>
      </c>
      <c r="AJ1389" s="87"/>
      <c r="AK1389" s="87"/>
      <c r="AL1389" s="87"/>
      <c r="AM1389" s="87"/>
      <c r="AN1389" s="87"/>
      <c r="AO1389" s="87"/>
      <c r="AP1389" s="87"/>
      <c r="AQ1389" s="87"/>
      <c r="AR1389" s="87"/>
      <c r="AS1389" s="87"/>
      <c r="AT1389" s="87"/>
      <c r="AU1389" s="87"/>
      <c r="AV1389" s="92" t="str">
        <f>HYPERLINK("https://pbs.twimg.com/profile_images/1692556784500674560/9MzyjbpW_normal.jpg")</f>
        <v>https://pbs.twimg.com/profile_images/1692556784500674560/9MzyjbpW_normal.jpg</v>
      </c>
      <c r="AW1389" s="93" t="s">
        <v>19623</v>
      </c>
      <c r="AX1389" s="93" t="s">
        <v>19623</v>
      </c>
      <c r="AY1389" s="87"/>
      <c r="AZ1389" s="93" t="s">
        <v>22668</v>
      </c>
      <c r="BA1389" s="93" t="s">
        <v>22668</v>
      </c>
      <c r="BB1389" s="93" t="s">
        <v>22668</v>
      </c>
      <c r="BC1389" s="93" t="s">
        <v>19623</v>
      </c>
      <c r="BD1389" s="93" t="s">
        <v>23063</v>
      </c>
      <c r="BE1389" s="87"/>
      <c r="BF1389" s="87"/>
      <c r="BG1389" s="87"/>
      <c r="BH1389" s="87"/>
      <c r="BI1389" s="87"/>
    </row>
    <row r="1390" spans="1:61" x14ac:dyDescent="0.25">
      <c r="A1390" s="63" t="s">
        <v>693</v>
      </c>
      <c r="B1390" s="63" t="s">
        <v>693</v>
      </c>
      <c r="C1390" s="64"/>
      <c r="D1390" s="65"/>
      <c r="E1390" s="66"/>
      <c r="F1390" s="67"/>
      <c r="G1390" s="64"/>
      <c r="H1390" s="68"/>
      <c r="I1390" s="69"/>
      <c r="J1390" s="69"/>
      <c r="K1390" s="32"/>
      <c r="L1390" s="76">
        <v>1390</v>
      </c>
      <c r="M1390" s="76"/>
      <c r="N1390" s="71"/>
      <c r="O1390" s="87" t="s">
        <v>179</v>
      </c>
      <c r="P1390" s="90">
        <v>45193.592361111114</v>
      </c>
      <c r="Q1390" s="87" t="s">
        <v>3192</v>
      </c>
      <c r="R1390" s="87">
        <v>0</v>
      </c>
      <c r="S1390" s="87">
        <v>0</v>
      </c>
      <c r="T1390" s="87">
        <v>0</v>
      </c>
      <c r="U1390" s="87">
        <v>0</v>
      </c>
      <c r="V1390" s="87">
        <v>36</v>
      </c>
      <c r="W1390" s="93" t="s">
        <v>6800</v>
      </c>
      <c r="X1390" s="87"/>
      <c r="Y1390" s="87"/>
      <c r="Z1390" s="87"/>
      <c r="AA1390" s="87" t="s">
        <v>9511</v>
      </c>
      <c r="AB1390" s="87" t="s">
        <v>11447</v>
      </c>
      <c r="AC1390" s="93" t="s">
        <v>11457</v>
      </c>
      <c r="AD1390" s="87" t="s">
        <v>11520</v>
      </c>
      <c r="AE1390" s="92" t="str">
        <f>HYPERLINK("https://twitter.com/bmarketingnew/status/1705948450313875768")</f>
        <v>https://twitter.com/bmarketingnew/status/1705948450313875768</v>
      </c>
      <c r="AF1390" s="90">
        <v>45193.592361111114</v>
      </c>
      <c r="AG1390" s="99">
        <v>45193</v>
      </c>
      <c r="AH1390" s="93" t="s">
        <v>12813</v>
      </c>
      <c r="AI1390" s="87" t="b">
        <v>0</v>
      </c>
      <c r="AJ1390" s="87"/>
      <c r="AK1390" s="87"/>
      <c r="AL1390" s="87"/>
      <c r="AM1390" s="87"/>
      <c r="AN1390" s="87"/>
      <c r="AO1390" s="87"/>
      <c r="AP1390" s="87"/>
      <c r="AQ1390" s="87" t="s">
        <v>16324</v>
      </c>
      <c r="AR1390" s="87">
        <v>41532</v>
      </c>
      <c r="AS1390" s="87"/>
      <c r="AT1390" s="87"/>
      <c r="AU1390" s="87"/>
      <c r="AV1390" s="92" t="str">
        <f>HYPERLINK("https://pbs.twimg.com/ext_tw_video_thumb/1705405074778800128/pu/img/B3HLi1VCk4PDubpd.jpg")</f>
        <v>https://pbs.twimg.com/ext_tw_video_thumb/1705405074778800128/pu/img/B3HLi1VCk4PDubpd.jpg</v>
      </c>
      <c r="AW1390" s="93" t="s">
        <v>19624</v>
      </c>
      <c r="AX1390" s="93" t="s">
        <v>19624</v>
      </c>
      <c r="AY1390" s="87"/>
      <c r="AZ1390" s="93" t="s">
        <v>22668</v>
      </c>
      <c r="BA1390" s="93" t="s">
        <v>22668</v>
      </c>
      <c r="BB1390" s="93" t="s">
        <v>22668</v>
      </c>
      <c r="BC1390" s="93" t="s">
        <v>19624</v>
      </c>
      <c r="BD1390" s="93" t="s">
        <v>23063</v>
      </c>
      <c r="BE1390" s="87"/>
      <c r="BF1390" s="87"/>
      <c r="BG1390" s="87"/>
      <c r="BH1390" s="87"/>
      <c r="BI1390" s="87"/>
    </row>
    <row r="1391" spans="1:61" x14ac:dyDescent="0.25">
      <c r="A1391" s="63" t="s">
        <v>693</v>
      </c>
      <c r="B1391" s="63" t="s">
        <v>693</v>
      </c>
      <c r="C1391" s="64"/>
      <c r="D1391" s="65"/>
      <c r="E1391" s="66"/>
      <c r="F1391" s="67"/>
      <c r="G1391" s="64"/>
      <c r="H1391" s="68"/>
      <c r="I1391" s="69"/>
      <c r="J1391" s="69"/>
      <c r="K1391" s="32"/>
      <c r="L1391" s="76">
        <v>1391</v>
      </c>
      <c r="M1391" s="76"/>
      <c r="N1391" s="71"/>
      <c r="O1391" s="87" t="s">
        <v>179</v>
      </c>
      <c r="P1391" s="90">
        <v>45192.731527777774</v>
      </c>
      <c r="Q1391" s="87" t="s">
        <v>3193</v>
      </c>
      <c r="R1391" s="87">
        <v>0</v>
      </c>
      <c r="S1391" s="87">
        <v>0</v>
      </c>
      <c r="T1391" s="87">
        <v>0</v>
      </c>
      <c r="U1391" s="87">
        <v>0</v>
      </c>
      <c r="V1391" s="87">
        <v>41</v>
      </c>
      <c r="W1391" s="93" t="s">
        <v>6802</v>
      </c>
      <c r="X1391" s="87"/>
      <c r="Y1391" s="87"/>
      <c r="Z1391" s="87"/>
      <c r="AA1391" s="87" t="s">
        <v>9512</v>
      </c>
      <c r="AB1391" s="87" t="s">
        <v>11447</v>
      </c>
      <c r="AC1391" s="93" t="s">
        <v>11457</v>
      </c>
      <c r="AD1391" s="87" t="s">
        <v>11520</v>
      </c>
      <c r="AE1391" s="92" t="str">
        <f>HYPERLINK("https://twitter.com/bmarketingnew/status/1705636495271375271")</f>
        <v>https://twitter.com/bmarketingnew/status/1705636495271375271</v>
      </c>
      <c r="AF1391" s="90">
        <v>45192.731527777774</v>
      </c>
      <c r="AG1391" s="99">
        <v>45192</v>
      </c>
      <c r="AH1391" s="93" t="s">
        <v>12814</v>
      </c>
      <c r="AI1391" s="87" t="b">
        <v>0</v>
      </c>
      <c r="AJ1391" s="87"/>
      <c r="AK1391" s="87"/>
      <c r="AL1391" s="87"/>
      <c r="AM1391" s="87"/>
      <c r="AN1391" s="87"/>
      <c r="AO1391" s="87"/>
      <c r="AP1391" s="87"/>
      <c r="AQ1391" s="87" t="s">
        <v>16325</v>
      </c>
      <c r="AR1391" s="87">
        <v>105982</v>
      </c>
      <c r="AS1391" s="87"/>
      <c r="AT1391" s="87"/>
      <c r="AU1391" s="87"/>
      <c r="AV1391" s="92" t="str">
        <f>HYPERLINK("https://pbs.twimg.com/ext_tw_video_thumb/1705636366485229570/pu/img/qJJ-9FSeVQ2XoBn9.jpg")</f>
        <v>https://pbs.twimg.com/ext_tw_video_thumb/1705636366485229570/pu/img/qJJ-9FSeVQ2XoBn9.jpg</v>
      </c>
      <c r="AW1391" s="93" t="s">
        <v>19625</v>
      </c>
      <c r="AX1391" s="93" t="s">
        <v>19625</v>
      </c>
      <c r="AY1391" s="87"/>
      <c r="AZ1391" s="93" t="s">
        <v>22668</v>
      </c>
      <c r="BA1391" s="93" t="s">
        <v>22668</v>
      </c>
      <c r="BB1391" s="93" t="s">
        <v>22668</v>
      </c>
      <c r="BC1391" s="93" t="s">
        <v>19625</v>
      </c>
      <c r="BD1391" s="93" t="s">
        <v>23063</v>
      </c>
      <c r="BE1391" s="87"/>
      <c r="BF1391" s="87"/>
      <c r="BG1391" s="87"/>
      <c r="BH1391" s="87"/>
      <c r="BI1391" s="87"/>
    </row>
    <row r="1392" spans="1:61" x14ac:dyDescent="0.25">
      <c r="A1392" s="63" t="s">
        <v>693</v>
      </c>
      <c r="B1392" s="63" t="s">
        <v>693</v>
      </c>
      <c r="C1392" s="64"/>
      <c r="D1392" s="65"/>
      <c r="E1392" s="66"/>
      <c r="F1392" s="67"/>
      <c r="G1392" s="64"/>
      <c r="H1392" s="68"/>
      <c r="I1392" s="69"/>
      <c r="J1392" s="69"/>
      <c r="K1392" s="32"/>
      <c r="L1392" s="76">
        <v>1392</v>
      </c>
      <c r="M1392" s="76"/>
      <c r="N1392" s="71"/>
      <c r="O1392" s="87" t="s">
        <v>179</v>
      </c>
      <c r="P1392" s="90">
        <v>45192.657222222224</v>
      </c>
      <c r="Q1392" s="87" t="s">
        <v>3194</v>
      </c>
      <c r="R1392" s="87">
        <v>0</v>
      </c>
      <c r="S1392" s="87">
        <v>0</v>
      </c>
      <c r="T1392" s="87">
        <v>0</v>
      </c>
      <c r="U1392" s="87">
        <v>0</v>
      </c>
      <c r="V1392" s="87">
        <v>48</v>
      </c>
      <c r="W1392" s="93" t="s">
        <v>6802</v>
      </c>
      <c r="X1392" s="87"/>
      <c r="Y1392" s="87"/>
      <c r="Z1392" s="87"/>
      <c r="AA1392" s="87" t="s">
        <v>9513</v>
      </c>
      <c r="AB1392" s="87" t="s">
        <v>11447</v>
      </c>
      <c r="AC1392" s="93" t="s">
        <v>11457</v>
      </c>
      <c r="AD1392" s="87" t="s">
        <v>11520</v>
      </c>
      <c r="AE1392" s="92" t="str">
        <f>HYPERLINK("https://twitter.com/bmarketingnew/status/1705609570322628905")</f>
        <v>https://twitter.com/bmarketingnew/status/1705609570322628905</v>
      </c>
      <c r="AF1392" s="90">
        <v>45192.657222222224</v>
      </c>
      <c r="AG1392" s="99">
        <v>45192</v>
      </c>
      <c r="AH1392" s="93" t="s">
        <v>12815</v>
      </c>
      <c r="AI1392" s="87" t="b">
        <v>0</v>
      </c>
      <c r="AJ1392" s="87"/>
      <c r="AK1392" s="87"/>
      <c r="AL1392" s="87"/>
      <c r="AM1392" s="87"/>
      <c r="AN1392" s="87"/>
      <c r="AO1392" s="87"/>
      <c r="AP1392" s="87"/>
      <c r="AQ1392" s="87" t="s">
        <v>16326</v>
      </c>
      <c r="AR1392" s="87">
        <v>33080</v>
      </c>
      <c r="AS1392" s="87"/>
      <c r="AT1392" s="87"/>
      <c r="AU1392" s="87"/>
      <c r="AV1392" s="92" t="str">
        <f>HYPERLINK("https://pbs.twimg.com/ext_tw_video_thumb/1705609463883812864/pu/img/dDwL0foieHMp7lqD.jpg")</f>
        <v>https://pbs.twimg.com/ext_tw_video_thumb/1705609463883812864/pu/img/dDwL0foieHMp7lqD.jpg</v>
      </c>
      <c r="AW1392" s="93" t="s">
        <v>19626</v>
      </c>
      <c r="AX1392" s="93" t="s">
        <v>19626</v>
      </c>
      <c r="AY1392" s="87"/>
      <c r="AZ1392" s="93" t="s">
        <v>22668</v>
      </c>
      <c r="BA1392" s="93" t="s">
        <v>22668</v>
      </c>
      <c r="BB1392" s="93" t="s">
        <v>22668</v>
      </c>
      <c r="BC1392" s="93" t="s">
        <v>19626</v>
      </c>
      <c r="BD1392" s="93" t="s">
        <v>23063</v>
      </c>
      <c r="BE1392" s="87"/>
      <c r="BF1392" s="87"/>
      <c r="BG1392" s="87"/>
      <c r="BH1392" s="87"/>
      <c r="BI1392" s="87"/>
    </row>
    <row r="1393" spans="1:61" x14ac:dyDescent="0.25">
      <c r="A1393" s="63" t="s">
        <v>693</v>
      </c>
      <c r="B1393" s="63" t="s">
        <v>693</v>
      </c>
      <c r="C1393" s="64"/>
      <c r="D1393" s="65"/>
      <c r="E1393" s="66"/>
      <c r="F1393" s="67"/>
      <c r="G1393" s="64"/>
      <c r="H1393" s="68"/>
      <c r="I1393" s="69"/>
      <c r="J1393" s="69"/>
      <c r="K1393" s="32"/>
      <c r="L1393" s="76">
        <v>1393</v>
      </c>
      <c r="M1393" s="76"/>
      <c r="N1393" s="71"/>
      <c r="O1393" s="87" t="s">
        <v>179</v>
      </c>
      <c r="P1393" s="90">
        <v>45192.607407407406</v>
      </c>
      <c r="Q1393" s="87" t="s">
        <v>3195</v>
      </c>
      <c r="R1393" s="87">
        <v>0</v>
      </c>
      <c r="S1393" s="87">
        <v>0</v>
      </c>
      <c r="T1393" s="87">
        <v>0</v>
      </c>
      <c r="U1393" s="87">
        <v>0</v>
      </c>
      <c r="V1393" s="87">
        <v>34</v>
      </c>
      <c r="W1393" s="93" t="s">
        <v>6803</v>
      </c>
      <c r="X1393" s="87"/>
      <c r="Y1393" s="87"/>
      <c r="Z1393" s="87"/>
      <c r="AA1393" s="87" t="s">
        <v>9514</v>
      </c>
      <c r="AB1393" s="87" t="s">
        <v>11447</v>
      </c>
      <c r="AC1393" s="93" t="s">
        <v>11457</v>
      </c>
      <c r="AD1393" s="87" t="s">
        <v>11520</v>
      </c>
      <c r="AE1393" s="92" t="str">
        <f>HYPERLINK("https://twitter.com/bmarketingnew/status/1705591516217926001")</f>
        <v>https://twitter.com/bmarketingnew/status/1705591516217926001</v>
      </c>
      <c r="AF1393" s="90">
        <v>45192.607407407406</v>
      </c>
      <c r="AG1393" s="99">
        <v>45192</v>
      </c>
      <c r="AH1393" s="93" t="s">
        <v>12816</v>
      </c>
      <c r="AI1393" s="87" t="b">
        <v>0</v>
      </c>
      <c r="AJ1393" s="87"/>
      <c r="AK1393" s="87"/>
      <c r="AL1393" s="87"/>
      <c r="AM1393" s="87"/>
      <c r="AN1393" s="87"/>
      <c r="AO1393" s="87"/>
      <c r="AP1393" s="87"/>
      <c r="AQ1393" s="87" t="s">
        <v>16327</v>
      </c>
      <c r="AR1393" s="87">
        <v>48800</v>
      </c>
      <c r="AS1393" s="87"/>
      <c r="AT1393" s="87"/>
      <c r="AU1393" s="87"/>
      <c r="AV1393" s="92" t="str">
        <f>HYPERLINK("https://pbs.twimg.com/ext_tw_video_thumb/1705591059684728832/pu/img/aJQ3ln5zRBcBHr9g.jpg")</f>
        <v>https://pbs.twimg.com/ext_tw_video_thumb/1705591059684728832/pu/img/aJQ3ln5zRBcBHr9g.jpg</v>
      </c>
      <c r="AW1393" s="93" t="s">
        <v>19627</v>
      </c>
      <c r="AX1393" s="93" t="s">
        <v>19627</v>
      </c>
      <c r="AY1393" s="87"/>
      <c r="AZ1393" s="93" t="s">
        <v>22668</v>
      </c>
      <c r="BA1393" s="93" t="s">
        <v>22668</v>
      </c>
      <c r="BB1393" s="93" t="s">
        <v>22668</v>
      </c>
      <c r="BC1393" s="93" t="s">
        <v>19627</v>
      </c>
      <c r="BD1393" s="93" t="s">
        <v>23063</v>
      </c>
      <c r="BE1393" s="87"/>
      <c r="BF1393" s="87"/>
      <c r="BG1393" s="87"/>
      <c r="BH1393" s="87"/>
      <c r="BI1393" s="87"/>
    </row>
    <row r="1394" spans="1:61" x14ac:dyDescent="0.25">
      <c r="A1394" s="63" t="s">
        <v>693</v>
      </c>
      <c r="B1394" s="63" t="s">
        <v>693</v>
      </c>
      <c r="C1394" s="64"/>
      <c r="D1394" s="65"/>
      <c r="E1394" s="66"/>
      <c r="F1394" s="67"/>
      <c r="G1394" s="64"/>
      <c r="H1394" s="68"/>
      <c r="I1394" s="69"/>
      <c r="J1394" s="69"/>
      <c r="K1394" s="32"/>
      <c r="L1394" s="76">
        <v>1394</v>
      </c>
      <c r="M1394" s="76"/>
      <c r="N1394" s="71"/>
      <c r="O1394" s="87" t="s">
        <v>179</v>
      </c>
      <c r="P1394" s="90">
        <v>45192.591666666667</v>
      </c>
      <c r="Q1394" s="87" t="s">
        <v>3196</v>
      </c>
      <c r="R1394" s="87">
        <v>0</v>
      </c>
      <c r="S1394" s="87">
        <v>0</v>
      </c>
      <c r="T1394" s="87">
        <v>0</v>
      </c>
      <c r="U1394" s="87">
        <v>0</v>
      </c>
      <c r="V1394" s="87">
        <v>21</v>
      </c>
      <c r="W1394" s="93" t="s">
        <v>6800</v>
      </c>
      <c r="X1394" s="87"/>
      <c r="Y1394" s="87"/>
      <c r="Z1394" s="87"/>
      <c r="AA1394" s="87" t="s">
        <v>9515</v>
      </c>
      <c r="AB1394" s="87" t="s">
        <v>11447</v>
      </c>
      <c r="AC1394" s="93" t="s">
        <v>11457</v>
      </c>
      <c r="AD1394" s="87" t="s">
        <v>11520</v>
      </c>
      <c r="AE1394" s="92" t="str">
        <f>HYPERLINK("https://twitter.com/bmarketingnew/status/1705585811079807319")</f>
        <v>https://twitter.com/bmarketingnew/status/1705585811079807319</v>
      </c>
      <c r="AF1394" s="90">
        <v>45192.591666666667</v>
      </c>
      <c r="AG1394" s="99">
        <v>45192</v>
      </c>
      <c r="AH1394" s="93" t="s">
        <v>12817</v>
      </c>
      <c r="AI1394" s="87" t="b">
        <v>0</v>
      </c>
      <c r="AJ1394" s="87"/>
      <c r="AK1394" s="87"/>
      <c r="AL1394" s="87"/>
      <c r="AM1394" s="87"/>
      <c r="AN1394" s="87"/>
      <c r="AO1394" s="87"/>
      <c r="AP1394" s="87"/>
      <c r="AQ1394" s="87" t="s">
        <v>16328</v>
      </c>
      <c r="AR1394" s="87">
        <v>53200</v>
      </c>
      <c r="AS1394" s="87"/>
      <c r="AT1394" s="87"/>
      <c r="AU1394" s="87"/>
      <c r="AV1394" s="92" t="str">
        <f>HYPERLINK("https://pbs.twimg.com/ext_tw_video_thumb/1705404735610634240/pu/img/M55GNXGgQ_M9pcdY.jpg")</f>
        <v>https://pbs.twimg.com/ext_tw_video_thumb/1705404735610634240/pu/img/M55GNXGgQ_M9pcdY.jpg</v>
      </c>
      <c r="AW1394" s="93" t="s">
        <v>19628</v>
      </c>
      <c r="AX1394" s="93" t="s">
        <v>19628</v>
      </c>
      <c r="AY1394" s="87"/>
      <c r="AZ1394" s="93" t="s">
        <v>22668</v>
      </c>
      <c r="BA1394" s="93" t="s">
        <v>22668</v>
      </c>
      <c r="BB1394" s="93" t="s">
        <v>22668</v>
      </c>
      <c r="BC1394" s="93" t="s">
        <v>19628</v>
      </c>
      <c r="BD1394" s="93" t="s">
        <v>23063</v>
      </c>
      <c r="BE1394" s="87"/>
      <c r="BF1394" s="87"/>
      <c r="BG1394" s="87"/>
      <c r="BH1394" s="87"/>
      <c r="BI1394" s="87"/>
    </row>
    <row r="1395" spans="1:61" x14ac:dyDescent="0.25">
      <c r="A1395" s="63" t="s">
        <v>693</v>
      </c>
      <c r="B1395" s="63" t="s">
        <v>693</v>
      </c>
      <c r="C1395" s="64"/>
      <c r="D1395" s="65"/>
      <c r="E1395" s="66"/>
      <c r="F1395" s="67"/>
      <c r="G1395" s="64"/>
      <c r="H1395" s="68"/>
      <c r="I1395" s="69"/>
      <c r="J1395" s="69"/>
      <c r="K1395" s="32"/>
      <c r="L1395" s="76">
        <v>1395</v>
      </c>
      <c r="M1395" s="76"/>
      <c r="N1395" s="71"/>
      <c r="O1395" s="87" t="s">
        <v>179</v>
      </c>
      <c r="P1395" s="90">
        <v>45195.594444444447</v>
      </c>
      <c r="Q1395" s="87" t="s">
        <v>3197</v>
      </c>
      <c r="R1395" s="87">
        <v>0</v>
      </c>
      <c r="S1395" s="87">
        <v>0</v>
      </c>
      <c r="T1395" s="87">
        <v>0</v>
      </c>
      <c r="U1395" s="87">
        <v>0</v>
      </c>
      <c r="V1395" s="87">
        <v>22</v>
      </c>
      <c r="W1395" s="93" t="s">
        <v>6800</v>
      </c>
      <c r="X1395" s="87"/>
      <c r="Y1395" s="87"/>
      <c r="Z1395" s="87"/>
      <c r="AA1395" s="87" t="s">
        <v>9516</v>
      </c>
      <c r="AB1395" s="87" t="s">
        <v>11447</v>
      </c>
      <c r="AC1395" s="93" t="s">
        <v>11457</v>
      </c>
      <c r="AD1395" s="87" t="s">
        <v>11520</v>
      </c>
      <c r="AE1395" s="92" t="str">
        <f>HYPERLINK("https://twitter.com/bmarketingnew/status/1706673981149921607")</f>
        <v>https://twitter.com/bmarketingnew/status/1706673981149921607</v>
      </c>
      <c r="AF1395" s="90">
        <v>45195.594444444447</v>
      </c>
      <c r="AG1395" s="99">
        <v>45195</v>
      </c>
      <c r="AH1395" s="93" t="s">
        <v>12818</v>
      </c>
      <c r="AI1395" s="87" t="b">
        <v>0</v>
      </c>
      <c r="AJ1395" s="87"/>
      <c r="AK1395" s="87"/>
      <c r="AL1395" s="87"/>
      <c r="AM1395" s="87"/>
      <c r="AN1395" s="87"/>
      <c r="AO1395" s="87"/>
      <c r="AP1395" s="87"/>
      <c r="AQ1395" s="87" t="s">
        <v>16329</v>
      </c>
      <c r="AR1395" s="87">
        <v>24658</v>
      </c>
      <c r="AS1395" s="87"/>
      <c r="AT1395" s="87"/>
      <c r="AU1395" s="87"/>
      <c r="AV1395" s="92" t="str">
        <f>HYPERLINK("https://pbs.twimg.com/ext_tw_video_thumb/1705405688346763264/pu/img/b9rD5QdjZWAITRcC.jpg")</f>
        <v>https://pbs.twimg.com/ext_tw_video_thumb/1705405688346763264/pu/img/b9rD5QdjZWAITRcC.jpg</v>
      </c>
      <c r="AW1395" s="93" t="s">
        <v>19629</v>
      </c>
      <c r="AX1395" s="93" t="s">
        <v>19629</v>
      </c>
      <c r="AY1395" s="87"/>
      <c r="AZ1395" s="93" t="s">
        <v>22668</v>
      </c>
      <c r="BA1395" s="93" t="s">
        <v>22668</v>
      </c>
      <c r="BB1395" s="93" t="s">
        <v>22668</v>
      </c>
      <c r="BC1395" s="93" t="s">
        <v>19629</v>
      </c>
      <c r="BD1395" s="93" t="s">
        <v>23063</v>
      </c>
      <c r="BE1395" s="87"/>
      <c r="BF1395" s="87"/>
      <c r="BG1395" s="87"/>
      <c r="BH1395" s="87"/>
      <c r="BI1395" s="87"/>
    </row>
    <row r="1396" spans="1:61" x14ac:dyDescent="0.25">
      <c r="A1396" s="63" t="s">
        <v>693</v>
      </c>
      <c r="B1396" s="63" t="s">
        <v>693</v>
      </c>
      <c r="C1396" s="64"/>
      <c r="D1396" s="65"/>
      <c r="E1396" s="66"/>
      <c r="F1396" s="67"/>
      <c r="G1396" s="64"/>
      <c r="H1396" s="68"/>
      <c r="I1396" s="69"/>
      <c r="J1396" s="69"/>
      <c r="K1396" s="32"/>
      <c r="L1396" s="76">
        <v>1396</v>
      </c>
      <c r="M1396" s="76"/>
      <c r="N1396" s="71"/>
      <c r="O1396" s="87" t="s">
        <v>179</v>
      </c>
      <c r="P1396" s="90">
        <v>45194.59375</v>
      </c>
      <c r="Q1396" s="87" t="s">
        <v>3198</v>
      </c>
      <c r="R1396" s="87">
        <v>0</v>
      </c>
      <c r="S1396" s="87">
        <v>1</v>
      </c>
      <c r="T1396" s="87">
        <v>0</v>
      </c>
      <c r="U1396" s="87">
        <v>0</v>
      </c>
      <c r="V1396" s="87">
        <v>33</v>
      </c>
      <c r="W1396" s="93" t="s">
        <v>6800</v>
      </c>
      <c r="X1396" s="87"/>
      <c r="Y1396" s="87"/>
      <c r="Z1396" s="87"/>
      <c r="AA1396" s="87" t="s">
        <v>9517</v>
      </c>
      <c r="AB1396" s="87" t="s">
        <v>11447</v>
      </c>
      <c r="AC1396" s="93" t="s">
        <v>11457</v>
      </c>
      <c r="AD1396" s="87" t="s">
        <v>11520</v>
      </c>
      <c r="AE1396" s="92" t="str">
        <f>HYPERLINK("https://twitter.com/bmarketingnew/status/1706311342267797835")</f>
        <v>https://twitter.com/bmarketingnew/status/1706311342267797835</v>
      </c>
      <c r="AF1396" s="90">
        <v>45194.59375</v>
      </c>
      <c r="AG1396" s="99">
        <v>45194</v>
      </c>
      <c r="AH1396" s="93" t="s">
        <v>12819</v>
      </c>
      <c r="AI1396" s="87" t="b">
        <v>0</v>
      </c>
      <c r="AJ1396" s="87"/>
      <c r="AK1396" s="87"/>
      <c r="AL1396" s="87"/>
      <c r="AM1396" s="87"/>
      <c r="AN1396" s="87"/>
      <c r="AO1396" s="87"/>
      <c r="AP1396" s="87"/>
      <c r="AQ1396" s="87" t="s">
        <v>16330</v>
      </c>
      <c r="AR1396" s="87">
        <v>52532</v>
      </c>
      <c r="AS1396" s="87"/>
      <c r="AT1396" s="87"/>
      <c r="AU1396" s="87"/>
      <c r="AV1396" s="92" t="str">
        <f>HYPERLINK("https://pbs.twimg.com/ext_tw_video_thumb/1705405404639793152/pu/img/CN7gUd1U29uhBp1W.jpg")</f>
        <v>https://pbs.twimg.com/ext_tw_video_thumb/1705405404639793152/pu/img/CN7gUd1U29uhBp1W.jpg</v>
      </c>
      <c r="AW1396" s="93" t="s">
        <v>19630</v>
      </c>
      <c r="AX1396" s="93" t="s">
        <v>19630</v>
      </c>
      <c r="AY1396" s="87"/>
      <c r="AZ1396" s="93" t="s">
        <v>22668</v>
      </c>
      <c r="BA1396" s="93" t="s">
        <v>22668</v>
      </c>
      <c r="BB1396" s="93" t="s">
        <v>22668</v>
      </c>
      <c r="BC1396" s="93" t="s">
        <v>19630</v>
      </c>
      <c r="BD1396" s="93" t="s">
        <v>23063</v>
      </c>
      <c r="BE1396" s="87"/>
      <c r="BF1396" s="87"/>
      <c r="BG1396" s="87"/>
      <c r="BH1396" s="87"/>
      <c r="BI1396" s="87"/>
    </row>
    <row r="1397" spans="1:61" x14ac:dyDescent="0.25">
      <c r="A1397" s="63" t="s">
        <v>693</v>
      </c>
      <c r="B1397" s="63" t="s">
        <v>693</v>
      </c>
      <c r="C1397" s="64"/>
      <c r="D1397" s="65"/>
      <c r="E1397" s="66"/>
      <c r="F1397" s="67"/>
      <c r="G1397" s="64"/>
      <c r="H1397" s="68"/>
      <c r="I1397" s="69"/>
      <c r="J1397" s="69"/>
      <c r="K1397" s="32"/>
      <c r="L1397" s="76">
        <v>1397</v>
      </c>
      <c r="M1397" s="76"/>
      <c r="N1397" s="71"/>
      <c r="O1397" s="87" t="s">
        <v>179</v>
      </c>
      <c r="P1397" s="90">
        <v>45192.888888888891</v>
      </c>
      <c r="Q1397" s="87" t="s">
        <v>3199</v>
      </c>
      <c r="R1397" s="87">
        <v>0</v>
      </c>
      <c r="S1397" s="87">
        <v>0</v>
      </c>
      <c r="T1397" s="87">
        <v>0</v>
      </c>
      <c r="U1397" s="87">
        <v>0</v>
      </c>
      <c r="V1397" s="87">
        <v>49</v>
      </c>
      <c r="W1397" s="93" t="s">
        <v>6804</v>
      </c>
      <c r="X1397" s="87"/>
      <c r="Y1397" s="87"/>
      <c r="Z1397" s="87"/>
      <c r="AA1397" s="87" t="s">
        <v>9518</v>
      </c>
      <c r="AB1397" s="87" t="s">
        <v>11447</v>
      </c>
      <c r="AC1397" s="93" t="s">
        <v>11457</v>
      </c>
      <c r="AD1397" s="87" t="s">
        <v>11520</v>
      </c>
      <c r="AE1397" s="92" t="str">
        <f>HYPERLINK("https://twitter.com/bmarketingnew/status/1705693521250795650")</f>
        <v>https://twitter.com/bmarketingnew/status/1705693521250795650</v>
      </c>
      <c r="AF1397" s="90">
        <v>45192.888888888891</v>
      </c>
      <c r="AG1397" s="99">
        <v>45192</v>
      </c>
      <c r="AH1397" s="93" t="s">
        <v>12820</v>
      </c>
      <c r="AI1397" s="87" t="b">
        <v>0</v>
      </c>
      <c r="AJ1397" s="87"/>
      <c r="AK1397" s="87"/>
      <c r="AL1397" s="87"/>
      <c r="AM1397" s="87"/>
      <c r="AN1397" s="87"/>
      <c r="AO1397" s="87"/>
      <c r="AP1397" s="87"/>
      <c r="AQ1397" s="87" t="s">
        <v>16331</v>
      </c>
      <c r="AR1397" s="87">
        <v>22700</v>
      </c>
      <c r="AS1397" s="87"/>
      <c r="AT1397" s="87"/>
      <c r="AU1397" s="87"/>
      <c r="AV1397" s="92" t="str">
        <f>HYPERLINK("https://pbs.twimg.com/ext_tw_video_thumb/1705693396898111488/pu/img/5Awh_TE2zfs6agpX.jpg")</f>
        <v>https://pbs.twimg.com/ext_tw_video_thumb/1705693396898111488/pu/img/5Awh_TE2zfs6agpX.jpg</v>
      </c>
      <c r="AW1397" s="93" t="s">
        <v>19631</v>
      </c>
      <c r="AX1397" s="93" t="s">
        <v>19631</v>
      </c>
      <c r="AY1397" s="87"/>
      <c r="AZ1397" s="93" t="s">
        <v>22668</v>
      </c>
      <c r="BA1397" s="93" t="s">
        <v>22668</v>
      </c>
      <c r="BB1397" s="93" t="s">
        <v>22668</v>
      </c>
      <c r="BC1397" s="93" t="s">
        <v>19631</v>
      </c>
      <c r="BD1397" s="93" t="s">
        <v>23063</v>
      </c>
      <c r="BE1397" s="87"/>
      <c r="BF1397" s="87"/>
      <c r="BG1397" s="87"/>
      <c r="BH1397" s="87"/>
      <c r="BI1397" s="87"/>
    </row>
    <row r="1398" spans="1:61" x14ac:dyDescent="0.25">
      <c r="A1398" s="63" t="s">
        <v>693</v>
      </c>
      <c r="B1398" s="63" t="s">
        <v>693</v>
      </c>
      <c r="C1398" s="64"/>
      <c r="D1398" s="65"/>
      <c r="E1398" s="66"/>
      <c r="F1398" s="67"/>
      <c r="G1398" s="64"/>
      <c r="H1398" s="68"/>
      <c r="I1398" s="69"/>
      <c r="J1398" s="69"/>
      <c r="K1398" s="32"/>
      <c r="L1398" s="76">
        <v>1398</v>
      </c>
      <c r="M1398" s="76"/>
      <c r="N1398" s="71"/>
      <c r="O1398" s="87" t="s">
        <v>179</v>
      </c>
      <c r="P1398" s="90">
        <v>45192.80945601852</v>
      </c>
      <c r="Q1398" s="87" t="s">
        <v>3200</v>
      </c>
      <c r="R1398" s="87">
        <v>0</v>
      </c>
      <c r="S1398" s="87">
        <v>0</v>
      </c>
      <c r="T1398" s="87">
        <v>0</v>
      </c>
      <c r="U1398" s="87">
        <v>0</v>
      </c>
      <c r="V1398" s="87">
        <v>54</v>
      </c>
      <c r="W1398" s="93" t="s">
        <v>6804</v>
      </c>
      <c r="X1398" s="87"/>
      <c r="Y1398" s="87"/>
      <c r="Z1398" s="87"/>
      <c r="AA1398" s="87" t="s">
        <v>9519</v>
      </c>
      <c r="AB1398" s="87" t="s">
        <v>11447</v>
      </c>
      <c r="AC1398" s="93" t="s">
        <v>11457</v>
      </c>
      <c r="AD1398" s="87" t="s">
        <v>11520</v>
      </c>
      <c r="AE1398" s="92" t="str">
        <f>HYPERLINK("https://twitter.com/bmarketingnew/status/1705664736157716679")</f>
        <v>https://twitter.com/bmarketingnew/status/1705664736157716679</v>
      </c>
      <c r="AF1398" s="90">
        <v>45192.80945601852</v>
      </c>
      <c r="AG1398" s="99">
        <v>45192</v>
      </c>
      <c r="AH1398" s="93" t="s">
        <v>12759</v>
      </c>
      <c r="AI1398" s="87" t="b">
        <v>0</v>
      </c>
      <c r="AJ1398" s="87"/>
      <c r="AK1398" s="87"/>
      <c r="AL1398" s="87"/>
      <c r="AM1398" s="87"/>
      <c r="AN1398" s="87"/>
      <c r="AO1398" s="87"/>
      <c r="AP1398" s="87"/>
      <c r="AQ1398" s="87" t="s">
        <v>16332</v>
      </c>
      <c r="AR1398" s="87">
        <v>79166</v>
      </c>
      <c r="AS1398" s="87"/>
      <c r="AT1398" s="87"/>
      <c r="AU1398" s="87"/>
      <c r="AV1398" s="92" t="str">
        <f>HYPERLINK("https://pbs.twimg.com/ext_tw_video_thumb/1705664649234911232/pu/img/nivcx12qnE2rpnAo.jpg")</f>
        <v>https://pbs.twimg.com/ext_tw_video_thumb/1705664649234911232/pu/img/nivcx12qnE2rpnAo.jpg</v>
      </c>
      <c r="AW1398" s="93" t="s">
        <v>19632</v>
      </c>
      <c r="AX1398" s="93" t="s">
        <v>19632</v>
      </c>
      <c r="AY1398" s="87"/>
      <c r="AZ1398" s="93" t="s">
        <v>22668</v>
      </c>
      <c r="BA1398" s="93" t="s">
        <v>22668</v>
      </c>
      <c r="BB1398" s="93" t="s">
        <v>22668</v>
      </c>
      <c r="BC1398" s="93" t="s">
        <v>19632</v>
      </c>
      <c r="BD1398" s="93" t="s">
        <v>23063</v>
      </c>
      <c r="BE1398" s="87"/>
      <c r="BF1398" s="87"/>
      <c r="BG1398" s="87"/>
      <c r="BH1398" s="87"/>
      <c r="BI1398" s="87"/>
    </row>
    <row r="1399" spans="1:61" x14ac:dyDescent="0.25">
      <c r="A1399" s="63" t="s">
        <v>693</v>
      </c>
      <c r="B1399" s="63" t="s">
        <v>693</v>
      </c>
      <c r="C1399" s="64"/>
      <c r="D1399" s="65"/>
      <c r="E1399" s="66"/>
      <c r="F1399" s="67"/>
      <c r="G1399" s="64"/>
      <c r="H1399" s="68"/>
      <c r="I1399" s="69"/>
      <c r="J1399" s="69"/>
      <c r="K1399" s="32"/>
      <c r="L1399" s="76">
        <v>1399</v>
      </c>
      <c r="M1399" s="76"/>
      <c r="N1399" s="71"/>
      <c r="O1399" s="87" t="s">
        <v>179</v>
      </c>
      <c r="P1399" s="90">
        <v>45196.595138888886</v>
      </c>
      <c r="Q1399" s="87" t="s">
        <v>3201</v>
      </c>
      <c r="R1399" s="87">
        <v>0</v>
      </c>
      <c r="S1399" s="87">
        <v>0</v>
      </c>
      <c r="T1399" s="87">
        <v>0</v>
      </c>
      <c r="U1399" s="87">
        <v>0</v>
      </c>
      <c r="V1399" s="87">
        <v>14</v>
      </c>
      <c r="W1399" s="93" t="s">
        <v>6800</v>
      </c>
      <c r="X1399" s="87"/>
      <c r="Y1399" s="87"/>
      <c r="Z1399" s="87"/>
      <c r="AA1399" s="87" t="s">
        <v>9520</v>
      </c>
      <c r="AB1399" s="87" t="s">
        <v>11447</v>
      </c>
      <c r="AC1399" s="93" t="s">
        <v>11457</v>
      </c>
      <c r="AD1399" s="87" t="s">
        <v>11520</v>
      </c>
      <c r="AE1399" s="92" t="str">
        <f>HYPERLINK("https://twitter.com/bmarketingnew/status/1707036620661416282")</f>
        <v>https://twitter.com/bmarketingnew/status/1707036620661416282</v>
      </c>
      <c r="AF1399" s="90">
        <v>45196.595138888886</v>
      </c>
      <c r="AG1399" s="99">
        <v>45196</v>
      </c>
      <c r="AH1399" s="93" t="s">
        <v>12821</v>
      </c>
      <c r="AI1399" s="87" t="b">
        <v>0</v>
      </c>
      <c r="AJ1399" s="87"/>
      <c r="AK1399" s="87"/>
      <c r="AL1399" s="87"/>
      <c r="AM1399" s="87"/>
      <c r="AN1399" s="87"/>
      <c r="AO1399" s="87"/>
      <c r="AP1399" s="87"/>
      <c r="AQ1399" s="87" t="s">
        <v>16333</v>
      </c>
      <c r="AR1399" s="87">
        <v>59473</v>
      </c>
      <c r="AS1399" s="87"/>
      <c r="AT1399" s="87"/>
      <c r="AU1399" s="87"/>
      <c r="AV1399" s="92" t="str">
        <f>HYPERLINK("https://pbs.twimg.com/ext_tw_video_thumb/1705405965737000960/pu/img/oTUecsWyjeRZYLWr.jpg")</f>
        <v>https://pbs.twimg.com/ext_tw_video_thumb/1705405965737000960/pu/img/oTUecsWyjeRZYLWr.jpg</v>
      </c>
      <c r="AW1399" s="93" t="s">
        <v>19633</v>
      </c>
      <c r="AX1399" s="93" t="s">
        <v>19633</v>
      </c>
      <c r="AY1399" s="87"/>
      <c r="AZ1399" s="93" t="s">
        <v>22668</v>
      </c>
      <c r="BA1399" s="93" t="s">
        <v>22668</v>
      </c>
      <c r="BB1399" s="93" t="s">
        <v>22668</v>
      </c>
      <c r="BC1399" s="93" t="s">
        <v>19633</v>
      </c>
      <c r="BD1399" s="93" t="s">
        <v>23063</v>
      </c>
      <c r="BE1399" s="87"/>
      <c r="BF1399" s="87"/>
      <c r="BG1399" s="87"/>
      <c r="BH1399" s="87"/>
      <c r="BI1399" s="87"/>
    </row>
    <row r="1400" spans="1:61" x14ac:dyDescent="0.25">
      <c r="A1400" s="63" t="s">
        <v>693</v>
      </c>
      <c r="B1400" s="63" t="s">
        <v>693</v>
      </c>
      <c r="C1400" s="64"/>
      <c r="D1400" s="65"/>
      <c r="E1400" s="66"/>
      <c r="F1400" s="67"/>
      <c r="G1400" s="64"/>
      <c r="H1400" s="68"/>
      <c r="I1400" s="69"/>
      <c r="J1400" s="69"/>
      <c r="K1400" s="32"/>
      <c r="L1400" s="76">
        <v>1400</v>
      </c>
      <c r="M1400" s="76"/>
      <c r="N1400" s="71"/>
      <c r="O1400" s="87" t="s">
        <v>179</v>
      </c>
      <c r="P1400" s="90">
        <v>45172.046574074076</v>
      </c>
      <c r="Q1400" s="87" t="s">
        <v>3202</v>
      </c>
      <c r="R1400" s="87">
        <v>0</v>
      </c>
      <c r="S1400" s="87">
        <v>3</v>
      </c>
      <c r="T1400" s="87">
        <v>1</v>
      </c>
      <c r="U1400" s="87">
        <v>0</v>
      </c>
      <c r="V1400" s="87">
        <v>214</v>
      </c>
      <c r="W1400" s="93" t="s">
        <v>6805</v>
      </c>
      <c r="X1400" s="92" t="str">
        <f>HYPERLINK("https://go.hotmart.com/C84543424K")</f>
        <v>https://go.hotmart.com/C84543424K</v>
      </c>
      <c r="Y1400" s="87" t="s">
        <v>8390</v>
      </c>
      <c r="Z1400" s="87"/>
      <c r="AA1400" s="87" t="s">
        <v>9521</v>
      </c>
      <c r="AB1400" s="87" t="s">
        <v>11447</v>
      </c>
      <c r="AC1400" s="93" t="s">
        <v>11457</v>
      </c>
      <c r="AD1400" s="87" t="s">
        <v>11519</v>
      </c>
      <c r="AE1400" s="92" t="str">
        <f>HYPERLINK("https://twitter.com/bmarketingnew/status/1698140520738918422")</f>
        <v>https://twitter.com/bmarketingnew/status/1698140520738918422</v>
      </c>
      <c r="AF1400" s="90">
        <v>45172.046574074076</v>
      </c>
      <c r="AG1400" s="99">
        <v>45172</v>
      </c>
      <c r="AH1400" s="93" t="s">
        <v>12822</v>
      </c>
      <c r="AI1400" s="87" t="b">
        <v>0</v>
      </c>
      <c r="AJ1400" s="87"/>
      <c r="AK1400" s="87"/>
      <c r="AL1400" s="87"/>
      <c r="AM1400" s="87"/>
      <c r="AN1400" s="87"/>
      <c r="AO1400" s="87"/>
      <c r="AP1400" s="87"/>
      <c r="AQ1400" s="87" t="s">
        <v>16334</v>
      </c>
      <c r="AR1400" s="87">
        <v>81800</v>
      </c>
      <c r="AS1400" s="87"/>
      <c r="AT1400" s="87"/>
      <c r="AU1400" s="87"/>
      <c r="AV1400" s="92" t="str">
        <f>HYPERLINK("https://pbs.twimg.com/ext_tw_video_thumb/1698139944592588800/pu/img/iER1u_eIWgYff7aq.jpg")</f>
        <v>https://pbs.twimg.com/ext_tw_video_thumb/1698139944592588800/pu/img/iER1u_eIWgYff7aq.jpg</v>
      </c>
      <c r="AW1400" s="93" t="s">
        <v>19634</v>
      </c>
      <c r="AX1400" s="93" t="s">
        <v>19634</v>
      </c>
      <c r="AY1400" s="87"/>
      <c r="AZ1400" s="93" t="s">
        <v>22668</v>
      </c>
      <c r="BA1400" s="93" t="s">
        <v>22668</v>
      </c>
      <c r="BB1400" s="93" t="s">
        <v>22668</v>
      </c>
      <c r="BC1400" s="93" t="s">
        <v>19634</v>
      </c>
      <c r="BD1400" s="93" t="s">
        <v>23063</v>
      </c>
      <c r="BE1400" s="87"/>
      <c r="BF1400" s="87"/>
      <c r="BG1400" s="87"/>
      <c r="BH1400" s="87"/>
      <c r="BI1400" s="87"/>
    </row>
    <row r="1401" spans="1:61" x14ac:dyDescent="0.25">
      <c r="A1401" s="63" t="s">
        <v>693</v>
      </c>
      <c r="B1401" s="63" t="s">
        <v>693</v>
      </c>
      <c r="C1401" s="64"/>
      <c r="D1401" s="65"/>
      <c r="E1401" s="66"/>
      <c r="F1401" s="67"/>
      <c r="G1401" s="64"/>
      <c r="H1401" s="68"/>
      <c r="I1401" s="69"/>
      <c r="J1401" s="69"/>
      <c r="K1401" s="32"/>
      <c r="L1401" s="76">
        <v>1401</v>
      </c>
      <c r="M1401" s="76"/>
      <c r="N1401" s="71"/>
      <c r="O1401" s="87" t="s">
        <v>179</v>
      </c>
      <c r="P1401" s="90">
        <v>45171.706759259258</v>
      </c>
      <c r="Q1401" s="87" t="s">
        <v>3203</v>
      </c>
      <c r="R1401" s="87">
        <v>0</v>
      </c>
      <c r="S1401" s="87">
        <v>2</v>
      </c>
      <c r="T1401" s="87">
        <v>1</v>
      </c>
      <c r="U1401" s="87">
        <v>0</v>
      </c>
      <c r="V1401" s="87">
        <v>172</v>
      </c>
      <c r="W1401" s="93" t="s">
        <v>6806</v>
      </c>
      <c r="X1401" s="92" t="str">
        <f>HYPERLINK("https://go.hotmart.com/N84580367L")</f>
        <v>https://go.hotmart.com/N84580367L</v>
      </c>
      <c r="Y1401" s="87" t="s">
        <v>8390</v>
      </c>
      <c r="Z1401" s="87"/>
      <c r="AA1401" s="87" t="s">
        <v>9522</v>
      </c>
      <c r="AB1401" s="87" t="s">
        <v>11447</v>
      </c>
      <c r="AC1401" s="93" t="s">
        <v>11457</v>
      </c>
      <c r="AD1401" s="87" t="s">
        <v>11519</v>
      </c>
      <c r="AE1401" s="92" t="str">
        <f>HYPERLINK("https://twitter.com/bmarketingnew/status/1698017375772201087")</f>
        <v>https://twitter.com/bmarketingnew/status/1698017375772201087</v>
      </c>
      <c r="AF1401" s="90">
        <v>45171.706759259258</v>
      </c>
      <c r="AG1401" s="99">
        <v>45171</v>
      </c>
      <c r="AH1401" s="93" t="s">
        <v>12823</v>
      </c>
      <c r="AI1401" s="87" t="b">
        <v>0</v>
      </c>
      <c r="AJ1401" s="87"/>
      <c r="AK1401" s="87"/>
      <c r="AL1401" s="87"/>
      <c r="AM1401" s="87"/>
      <c r="AN1401" s="87"/>
      <c r="AO1401" s="87"/>
      <c r="AP1401" s="87"/>
      <c r="AQ1401" s="87" t="s">
        <v>16335</v>
      </c>
      <c r="AR1401" s="87">
        <v>38127</v>
      </c>
      <c r="AS1401" s="87"/>
      <c r="AT1401" s="87"/>
      <c r="AU1401" s="87"/>
      <c r="AV1401" s="92" t="str">
        <f>HYPERLINK("https://pbs.twimg.com/ext_tw_video_thumb/1698017296847880192/pu/img/KCT-HKhDby3URY80.jpg")</f>
        <v>https://pbs.twimg.com/ext_tw_video_thumb/1698017296847880192/pu/img/KCT-HKhDby3URY80.jpg</v>
      </c>
      <c r="AW1401" s="93" t="s">
        <v>19635</v>
      </c>
      <c r="AX1401" s="93" t="s">
        <v>19635</v>
      </c>
      <c r="AY1401" s="87"/>
      <c r="AZ1401" s="93" t="s">
        <v>22668</v>
      </c>
      <c r="BA1401" s="93" t="s">
        <v>22668</v>
      </c>
      <c r="BB1401" s="93" t="s">
        <v>22668</v>
      </c>
      <c r="BC1401" s="93" t="s">
        <v>19635</v>
      </c>
      <c r="BD1401" s="93" t="s">
        <v>23063</v>
      </c>
      <c r="BE1401" s="87"/>
      <c r="BF1401" s="87"/>
      <c r="BG1401" s="87"/>
      <c r="BH1401" s="87"/>
      <c r="BI1401" s="87"/>
    </row>
    <row r="1402" spans="1:61" x14ac:dyDescent="0.25">
      <c r="A1402" s="63" t="s">
        <v>693</v>
      </c>
      <c r="B1402" s="63" t="s">
        <v>693</v>
      </c>
      <c r="C1402" s="64"/>
      <c r="D1402" s="65"/>
      <c r="E1402" s="66"/>
      <c r="F1402" s="67"/>
      <c r="G1402" s="64"/>
      <c r="H1402" s="68"/>
      <c r="I1402" s="69"/>
      <c r="J1402" s="69"/>
      <c r="K1402" s="32"/>
      <c r="L1402" s="76">
        <v>1402</v>
      </c>
      <c r="M1402" s="76"/>
      <c r="N1402" s="71"/>
      <c r="O1402" s="87" t="s">
        <v>179</v>
      </c>
      <c r="P1402" s="90">
        <v>45163.634027777778</v>
      </c>
      <c r="Q1402" s="87" t="s">
        <v>3204</v>
      </c>
      <c r="R1402" s="87">
        <v>0</v>
      </c>
      <c r="S1402" s="87">
        <v>1</v>
      </c>
      <c r="T1402" s="87">
        <v>0</v>
      </c>
      <c r="U1402" s="87">
        <v>0</v>
      </c>
      <c r="V1402" s="87">
        <v>75</v>
      </c>
      <c r="W1402" s="93" t="s">
        <v>6798</v>
      </c>
      <c r="X1402" s="92" t="str">
        <f>HYPERLINK("https://marketingnew.com.br/curso-mago-cervejeiro")</f>
        <v>https://marketingnew.com.br/curso-mago-cervejeiro</v>
      </c>
      <c r="Y1402" s="87" t="s">
        <v>8373</v>
      </c>
      <c r="Z1402" s="87"/>
      <c r="AA1402" s="87"/>
      <c r="AB1402" s="87"/>
      <c r="AC1402" s="93" t="s">
        <v>11457</v>
      </c>
      <c r="AD1402" s="87" t="s">
        <v>11520</v>
      </c>
      <c r="AE1402" s="92" t="str">
        <f>HYPERLINK("https://twitter.com/bmarketingnew/status/1695091913953796472")</f>
        <v>https://twitter.com/bmarketingnew/status/1695091913953796472</v>
      </c>
      <c r="AF1402" s="90">
        <v>45163.634027777778</v>
      </c>
      <c r="AG1402" s="99">
        <v>45163</v>
      </c>
      <c r="AH1402" s="93" t="s">
        <v>12824</v>
      </c>
      <c r="AI1402" s="87" t="b">
        <v>0</v>
      </c>
      <c r="AJ1402" s="87"/>
      <c r="AK1402" s="87"/>
      <c r="AL1402" s="87"/>
      <c r="AM1402" s="87"/>
      <c r="AN1402" s="87"/>
      <c r="AO1402" s="87"/>
      <c r="AP1402" s="87"/>
      <c r="AQ1402" s="87"/>
      <c r="AR1402" s="87"/>
      <c r="AS1402" s="87"/>
      <c r="AT1402" s="87"/>
      <c r="AU1402" s="87"/>
      <c r="AV1402" s="92" t="str">
        <f>HYPERLINK("https://pbs.twimg.com/profile_images/1692556784500674560/9MzyjbpW_normal.jpg")</f>
        <v>https://pbs.twimg.com/profile_images/1692556784500674560/9MzyjbpW_normal.jpg</v>
      </c>
      <c r="AW1402" s="93" t="s">
        <v>19636</v>
      </c>
      <c r="AX1402" s="93" t="s">
        <v>19636</v>
      </c>
      <c r="AY1402" s="87"/>
      <c r="AZ1402" s="93" t="s">
        <v>22668</v>
      </c>
      <c r="BA1402" s="93" t="s">
        <v>22668</v>
      </c>
      <c r="BB1402" s="93" t="s">
        <v>22668</v>
      </c>
      <c r="BC1402" s="93" t="s">
        <v>19636</v>
      </c>
      <c r="BD1402" s="93" t="s">
        <v>23063</v>
      </c>
      <c r="BE1402" s="87"/>
      <c r="BF1402" s="87"/>
      <c r="BG1402" s="87"/>
      <c r="BH1402" s="87"/>
      <c r="BI1402" s="87"/>
    </row>
    <row r="1403" spans="1:61" x14ac:dyDescent="0.25">
      <c r="A1403" s="63" t="s">
        <v>693</v>
      </c>
      <c r="B1403" s="63" t="s">
        <v>693</v>
      </c>
      <c r="C1403" s="64"/>
      <c r="D1403" s="65"/>
      <c r="E1403" s="66"/>
      <c r="F1403" s="67"/>
      <c r="G1403" s="64"/>
      <c r="H1403" s="68"/>
      <c r="I1403" s="69"/>
      <c r="J1403" s="69"/>
      <c r="K1403" s="32"/>
      <c r="L1403" s="76">
        <v>1403</v>
      </c>
      <c r="M1403" s="76"/>
      <c r="N1403" s="71"/>
      <c r="O1403" s="87" t="s">
        <v>179</v>
      </c>
      <c r="P1403" s="90">
        <v>45162.629166666666</v>
      </c>
      <c r="Q1403" s="87" t="s">
        <v>3205</v>
      </c>
      <c r="R1403" s="87">
        <v>0</v>
      </c>
      <c r="S1403" s="87">
        <v>1</v>
      </c>
      <c r="T1403" s="87">
        <v>3</v>
      </c>
      <c r="U1403" s="87">
        <v>0</v>
      </c>
      <c r="V1403" s="87">
        <v>107</v>
      </c>
      <c r="W1403" s="93" t="s">
        <v>6807</v>
      </c>
      <c r="X1403" s="92" t="str">
        <f>HYPERLINK("https://marketingnew.com.br/curso-de-massagem-redutora/")</f>
        <v>https://marketingnew.com.br/curso-de-massagem-redutora/</v>
      </c>
      <c r="Y1403" s="87" t="s">
        <v>8373</v>
      </c>
      <c r="Z1403" s="87"/>
      <c r="AA1403" s="87"/>
      <c r="AB1403" s="87"/>
      <c r="AC1403" s="93" t="s">
        <v>11457</v>
      </c>
      <c r="AD1403" s="87" t="s">
        <v>11520</v>
      </c>
      <c r="AE1403" s="92" t="str">
        <f>HYPERLINK("https://twitter.com/bmarketingnew/status/1694727764686082459")</f>
        <v>https://twitter.com/bmarketingnew/status/1694727764686082459</v>
      </c>
      <c r="AF1403" s="90">
        <v>45162.629166666666</v>
      </c>
      <c r="AG1403" s="99">
        <v>45162</v>
      </c>
      <c r="AH1403" s="93" t="s">
        <v>12825</v>
      </c>
      <c r="AI1403" s="87" t="b">
        <v>0</v>
      </c>
      <c r="AJ1403" s="87"/>
      <c r="AK1403" s="87"/>
      <c r="AL1403" s="87"/>
      <c r="AM1403" s="87"/>
      <c r="AN1403" s="87"/>
      <c r="AO1403" s="87"/>
      <c r="AP1403" s="87"/>
      <c r="AQ1403" s="87"/>
      <c r="AR1403" s="87"/>
      <c r="AS1403" s="87"/>
      <c r="AT1403" s="87"/>
      <c r="AU1403" s="87"/>
      <c r="AV1403" s="92" t="str">
        <f>HYPERLINK("https://pbs.twimg.com/profile_images/1692556784500674560/9MzyjbpW_normal.jpg")</f>
        <v>https://pbs.twimg.com/profile_images/1692556784500674560/9MzyjbpW_normal.jpg</v>
      </c>
      <c r="AW1403" s="93" t="s">
        <v>19637</v>
      </c>
      <c r="AX1403" s="93" t="s">
        <v>19637</v>
      </c>
      <c r="AY1403" s="87"/>
      <c r="AZ1403" s="93" t="s">
        <v>22668</v>
      </c>
      <c r="BA1403" s="93" t="s">
        <v>22668</v>
      </c>
      <c r="BB1403" s="93" t="s">
        <v>22668</v>
      </c>
      <c r="BC1403" s="93" t="s">
        <v>19637</v>
      </c>
      <c r="BD1403" s="93" t="s">
        <v>23063</v>
      </c>
      <c r="BE1403" s="87"/>
      <c r="BF1403" s="87"/>
      <c r="BG1403" s="87"/>
      <c r="BH1403" s="87"/>
      <c r="BI1403" s="87"/>
    </row>
    <row r="1404" spans="1:61" x14ac:dyDescent="0.25">
      <c r="A1404" s="63" t="s">
        <v>694</v>
      </c>
      <c r="B1404" s="63" t="s">
        <v>1679</v>
      </c>
      <c r="C1404" s="64"/>
      <c r="D1404" s="65"/>
      <c r="E1404" s="66"/>
      <c r="F1404" s="67"/>
      <c r="G1404" s="64"/>
      <c r="H1404" s="68"/>
      <c r="I1404" s="69"/>
      <c r="J1404" s="69"/>
      <c r="K1404" s="32"/>
      <c r="L1404" s="76">
        <v>1404</v>
      </c>
      <c r="M1404" s="76"/>
      <c r="N1404" s="71"/>
      <c r="O1404" s="87" t="s">
        <v>1839</v>
      </c>
      <c r="P1404" s="90">
        <v>45138.760474537034</v>
      </c>
      <c r="Q1404" s="87" t="s">
        <v>3206</v>
      </c>
      <c r="R1404" s="87">
        <v>0</v>
      </c>
      <c r="S1404" s="87">
        <v>0</v>
      </c>
      <c r="T1404" s="87">
        <v>0</v>
      </c>
      <c r="U1404" s="87">
        <v>0</v>
      </c>
      <c r="V1404" s="87">
        <v>8</v>
      </c>
      <c r="W1404" s="93" t="s">
        <v>6808</v>
      </c>
      <c r="X1404" s="92" t="str">
        <f>HYPERLINK("https://www.spreaker.com/user/17153677/episodio-15")</f>
        <v>https://www.spreaker.com/user/17153677/episodio-15</v>
      </c>
      <c r="Y1404" s="87" t="s">
        <v>8449</v>
      </c>
      <c r="Z1404" s="87" t="s">
        <v>1679</v>
      </c>
      <c r="AA1404" s="87"/>
      <c r="AB1404" s="87"/>
      <c r="AC1404" s="93" t="s">
        <v>11488</v>
      </c>
      <c r="AD1404" s="87" t="s">
        <v>11519</v>
      </c>
      <c r="AE1404" s="92" t="str">
        <f>HYPERLINK("https://twitter.com/iedfam/status/1686078042811088898")</f>
        <v>https://twitter.com/iedfam/status/1686078042811088898</v>
      </c>
      <c r="AF1404" s="90">
        <v>45138.760474537034</v>
      </c>
      <c r="AG1404" s="99">
        <v>45138</v>
      </c>
      <c r="AH1404" s="93" t="s">
        <v>12826</v>
      </c>
      <c r="AI1404" s="87" t="b">
        <v>0</v>
      </c>
      <c r="AJ1404" s="87"/>
      <c r="AK1404" s="87"/>
      <c r="AL1404" s="87"/>
      <c r="AM1404" s="87"/>
      <c r="AN1404" s="87"/>
      <c r="AO1404" s="87"/>
      <c r="AP1404" s="87"/>
      <c r="AQ1404" s="87"/>
      <c r="AR1404" s="87"/>
      <c r="AS1404" s="87"/>
      <c r="AT1404" s="87"/>
      <c r="AU1404" s="87"/>
      <c r="AV1404" s="92" t="str">
        <f>HYPERLINK("https://pbs.twimg.com/profile_images/1269352489935081474/sSF0-y_Q_normal.jpg")</f>
        <v>https://pbs.twimg.com/profile_images/1269352489935081474/sSF0-y_Q_normal.jpg</v>
      </c>
      <c r="AW1404" s="93" t="s">
        <v>19638</v>
      </c>
      <c r="AX1404" s="93" t="s">
        <v>19638</v>
      </c>
      <c r="AY1404" s="87"/>
      <c r="AZ1404" s="93" t="s">
        <v>22668</v>
      </c>
      <c r="BA1404" s="93" t="s">
        <v>22668</v>
      </c>
      <c r="BB1404" s="93" t="s">
        <v>22668</v>
      </c>
      <c r="BC1404" s="93" t="s">
        <v>19638</v>
      </c>
      <c r="BD1404" s="93" t="s">
        <v>23064</v>
      </c>
      <c r="BE1404" s="87"/>
      <c r="BF1404" s="87"/>
      <c r="BG1404" s="87"/>
      <c r="BH1404" s="87"/>
      <c r="BI1404" s="87"/>
    </row>
    <row r="1405" spans="1:61" x14ac:dyDescent="0.25">
      <c r="A1405" s="63" t="s">
        <v>695</v>
      </c>
      <c r="B1405" s="63" t="s">
        <v>695</v>
      </c>
      <c r="C1405" s="64"/>
      <c r="D1405" s="65"/>
      <c r="E1405" s="66"/>
      <c r="F1405" s="67"/>
      <c r="G1405" s="64"/>
      <c r="H1405" s="68"/>
      <c r="I1405" s="69"/>
      <c r="J1405" s="69"/>
      <c r="K1405" s="32"/>
      <c r="L1405" s="76">
        <v>1405</v>
      </c>
      <c r="M1405" s="76"/>
      <c r="N1405" s="71"/>
      <c r="O1405" s="87" t="s">
        <v>179</v>
      </c>
      <c r="P1405" s="90">
        <v>45187.599166666667</v>
      </c>
      <c r="Q1405" s="87" t="s">
        <v>3207</v>
      </c>
      <c r="R1405" s="87">
        <v>0</v>
      </c>
      <c r="S1405" s="87">
        <v>0</v>
      </c>
      <c r="T1405" s="87">
        <v>0</v>
      </c>
      <c r="U1405" s="87">
        <v>0</v>
      </c>
      <c r="V1405" s="87">
        <v>7</v>
      </c>
      <c r="W1405" s="93" t="s">
        <v>6809</v>
      </c>
      <c r="X1405" s="87"/>
      <c r="Y1405" s="87"/>
      <c r="Z1405" s="87"/>
      <c r="AA1405" s="87"/>
      <c r="AB1405" s="87"/>
      <c r="AC1405" s="93" t="s">
        <v>11457</v>
      </c>
      <c r="AD1405" s="87" t="s">
        <v>11519</v>
      </c>
      <c r="AE1405" s="92" t="str">
        <f>HYPERLINK("https://twitter.com/haraujomkt/status/1703776589836653050")</f>
        <v>https://twitter.com/haraujomkt/status/1703776589836653050</v>
      </c>
      <c r="AF1405" s="90">
        <v>45187.599166666667</v>
      </c>
      <c r="AG1405" s="99">
        <v>45187</v>
      </c>
      <c r="AH1405" s="93" t="s">
        <v>12827</v>
      </c>
      <c r="AI1405" s="87"/>
      <c r="AJ1405" s="87"/>
      <c r="AK1405" s="87"/>
      <c r="AL1405" s="87"/>
      <c r="AM1405" s="87"/>
      <c r="AN1405" s="87"/>
      <c r="AO1405" s="87"/>
      <c r="AP1405" s="87"/>
      <c r="AQ1405" s="87"/>
      <c r="AR1405" s="87"/>
      <c r="AS1405" s="87"/>
      <c r="AT1405" s="87"/>
      <c r="AU1405" s="87"/>
      <c r="AV1405" s="92" t="str">
        <f>HYPERLINK("https://pbs.twimg.com/profile_images/1703773300373991424/PQKEgnu1_normal.png")</f>
        <v>https://pbs.twimg.com/profile_images/1703773300373991424/PQKEgnu1_normal.png</v>
      </c>
      <c r="AW1405" s="93" t="s">
        <v>19639</v>
      </c>
      <c r="AX1405" s="93" t="s">
        <v>19639</v>
      </c>
      <c r="AY1405" s="87"/>
      <c r="AZ1405" s="93" t="s">
        <v>22668</v>
      </c>
      <c r="BA1405" s="93" t="s">
        <v>22668</v>
      </c>
      <c r="BB1405" s="93" t="s">
        <v>22668</v>
      </c>
      <c r="BC1405" s="93" t="s">
        <v>19639</v>
      </c>
      <c r="BD1405" s="93" t="s">
        <v>23065</v>
      </c>
      <c r="BE1405" s="87"/>
      <c r="BF1405" s="87"/>
      <c r="BG1405" s="87"/>
      <c r="BH1405" s="87"/>
      <c r="BI1405" s="87"/>
    </row>
    <row r="1406" spans="1:61" x14ac:dyDescent="0.25">
      <c r="A1406" s="63" t="s">
        <v>696</v>
      </c>
      <c r="B1406" s="63" t="s">
        <v>696</v>
      </c>
      <c r="C1406" s="64"/>
      <c r="D1406" s="65"/>
      <c r="E1406" s="66"/>
      <c r="F1406" s="67"/>
      <c r="G1406" s="64"/>
      <c r="H1406" s="68"/>
      <c r="I1406" s="69"/>
      <c r="J1406" s="69"/>
      <c r="K1406" s="32"/>
      <c r="L1406" s="76">
        <v>1406</v>
      </c>
      <c r="M1406" s="76"/>
      <c r="N1406" s="71"/>
      <c r="O1406" s="87" t="s">
        <v>1840</v>
      </c>
      <c r="P1406" s="90">
        <v>45145.456597222219</v>
      </c>
      <c r="Q1406" s="87" t="s">
        <v>3208</v>
      </c>
      <c r="R1406" s="87">
        <v>0</v>
      </c>
      <c r="S1406" s="87">
        <v>0</v>
      </c>
      <c r="T1406" s="87">
        <v>0</v>
      </c>
      <c r="U1406" s="87">
        <v>0</v>
      </c>
      <c r="V1406" s="87">
        <v>32</v>
      </c>
      <c r="W1406" s="93" t="s">
        <v>6810</v>
      </c>
      <c r="X1406" s="87"/>
      <c r="Y1406" s="87"/>
      <c r="Z1406" s="87"/>
      <c r="AA1406" s="87" t="s">
        <v>9523</v>
      </c>
      <c r="AB1406" s="87" t="s">
        <v>11451</v>
      </c>
      <c r="AC1406" s="93" t="s">
        <v>11458</v>
      </c>
      <c r="AD1406" s="87" t="s">
        <v>11519</v>
      </c>
      <c r="AE1406" s="92" t="str">
        <f>HYPERLINK("https://twitter.com/guerinocolatina/status/1688504635634372610")</f>
        <v>https://twitter.com/guerinocolatina/status/1688504635634372610</v>
      </c>
      <c r="AF1406" s="90">
        <v>45145.456597222219</v>
      </c>
      <c r="AG1406" s="99">
        <v>45145</v>
      </c>
      <c r="AH1406" s="93" t="s">
        <v>12828</v>
      </c>
      <c r="AI1406" s="87" t="b">
        <v>0</v>
      </c>
      <c r="AJ1406" s="87" t="s">
        <v>15201</v>
      </c>
      <c r="AK1406" s="87" t="s">
        <v>15234</v>
      </c>
      <c r="AL1406" s="87" t="s">
        <v>15237</v>
      </c>
      <c r="AM1406" s="87" t="s">
        <v>15273</v>
      </c>
      <c r="AN1406" s="87" t="s">
        <v>15339</v>
      </c>
      <c r="AO1406" s="87" t="s">
        <v>15405</v>
      </c>
      <c r="AP1406" s="87" t="s">
        <v>15438</v>
      </c>
      <c r="AQ1406" s="87" t="s">
        <v>16336</v>
      </c>
      <c r="AR1406" s="87"/>
      <c r="AS1406" s="87"/>
      <c r="AT1406" s="87"/>
      <c r="AU1406" s="87"/>
      <c r="AV1406" s="92" t="str">
        <f>HYPERLINK("https://pbs.twimg.com/media/F27GBC-WoAEQk8a.jpg")</f>
        <v>https://pbs.twimg.com/media/F27GBC-WoAEQk8a.jpg</v>
      </c>
      <c r="AW1406" s="93" t="s">
        <v>19640</v>
      </c>
      <c r="AX1406" s="93" t="s">
        <v>22371</v>
      </c>
      <c r="AY1406" s="93" t="s">
        <v>22565</v>
      </c>
      <c r="AZ1406" s="93" t="s">
        <v>22711</v>
      </c>
      <c r="BA1406" s="93" t="s">
        <v>22668</v>
      </c>
      <c r="BB1406" s="93" t="s">
        <v>22668</v>
      </c>
      <c r="BC1406" s="93" t="s">
        <v>22711</v>
      </c>
      <c r="BD1406" s="87">
        <v>76698584</v>
      </c>
      <c r="BE1406" s="87"/>
      <c r="BF1406" s="87"/>
      <c r="BG1406" s="87"/>
      <c r="BH1406" s="87"/>
      <c r="BI1406" s="87"/>
    </row>
    <row r="1407" spans="1:61" x14ac:dyDescent="0.25">
      <c r="A1407" s="63" t="s">
        <v>697</v>
      </c>
      <c r="B1407" s="63" t="s">
        <v>697</v>
      </c>
      <c r="C1407" s="64"/>
      <c r="D1407" s="65"/>
      <c r="E1407" s="66"/>
      <c r="F1407" s="67"/>
      <c r="G1407" s="64"/>
      <c r="H1407" s="68"/>
      <c r="I1407" s="69"/>
      <c r="J1407" s="69"/>
      <c r="K1407" s="32"/>
      <c r="L1407" s="76">
        <v>1407</v>
      </c>
      <c r="M1407" s="76"/>
      <c r="N1407" s="71"/>
      <c r="O1407" s="87" t="s">
        <v>179</v>
      </c>
      <c r="P1407" s="90">
        <v>45141.604641203703</v>
      </c>
      <c r="Q1407" s="87" t="s">
        <v>3209</v>
      </c>
      <c r="R1407" s="87">
        <v>0</v>
      </c>
      <c r="S1407" s="87">
        <v>0</v>
      </c>
      <c r="T1407" s="87">
        <v>0</v>
      </c>
      <c r="U1407" s="87">
        <v>0</v>
      </c>
      <c r="V1407" s="87">
        <v>59</v>
      </c>
      <c r="W1407" s="93" t="s">
        <v>6811</v>
      </c>
      <c r="X1407" s="92" t="str">
        <f>HYPERLINK("http://acontecen.do/1sj5")</f>
        <v>http://acontecen.do/1sj5</v>
      </c>
      <c r="Y1407" s="87" t="s">
        <v>8450</v>
      </c>
      <c r="Z1407" s="87"/>
      <c r="AA1407" s="87" t="s">
        <v>9524</v>
      </c>
      <c r="AB1407" s="87" t="s">
        <v>11448</v>
      </c>
      <c r="AC1407" s="93" t="s">
        <v>11457</v>
      </c>
      <c r="AD1407" s="87" t="s">
        <v>11519</v>
      </c>
      <c r="AE1407" s="92" t="str">
        <f>HYPERLINK("https://twitter.com/acontecendoaqui/status/1687108731014901761")</f>
        <v>https://twitter.com/acontecendoaqui/status/1687108731014901761</v>
      </c>
      <c r="AF1407" s="90">
        <v>45141.604641203703</v>
      </c>
      <c r="AG1407" s="99">
        <v>45141</v>
      </c>
      <c r="AH1407" s="93" t="s">
        <v>12829</v>
      </c>
      <c r="AI1407" s="87" t="b">
        <v>0</v>
      </c>
      <c r="AJ1407" s="87"/>
      <c r="AK1407" s="87"/>
      <c r="AL1407" s="87"/>
      <c r="AM1407" s="87"/>
      <c r="AN1407" s="87"/>
      <c r="AO1407" s="87"/>
      <c r="AP1407" s="87"/>
      <c r="AQ1407" s="87" t="s">
        <v>16337</v>
      </c>
      <c r="AR1407" s="87"/>
      <c r="AS1407" s="87"/>
      <c r="AT1407" s="87"/>
      <c r="AU1407" s="87"/>
      <c r="AV1407" s="92" t="str">
        <f>HYPERLINK("https://pbs.twimg.com/media/F2nMTMcaAAEc4yQ.jpg")</f>
        <v>https://pbs.twimg.com/media/F2nMTMcaAAEc4yQ.jpg</v>
      </c>
      <c r="AW1407" s="93" t="s">
        <v>19641</v>
      </c>
      <c r="AX1407" s="93" t="s">
        <v>19641</v>
      </c>
      <c r="AY1407" s="87"/>
      <c r="AZ1407" s="93" t="s">
        <v>22668</v>
      </c>
      <c r="BA1407" s="93" t="s">
        <v>22668</v>
      </c>
      <c r="BB1407" s="93" t="s">
        <v>22668</v>
      </c>
      <c r="BC1407" s="93" t="s">
        <v>19641</v>
      </c>
      <c r="BD1407" s="87">
        <v>25510417</v>
      </c>
      <c r="BE1407" s="87"/>
      <c r="BF1407" s="87"/>
      <c r="BG1407" s="87"/>
      <c r="BH1407" s="87"/>
      <c r="BI1407" s="87"/>
    </row>
    <row r="1408" spans="1:61" x14ac:dyDescent="0.25">
      <c r="A1408" s="63" t="s">
        <v>698</v>
      </c>
      <c r="B1408" s="63" t="s">
        <v>698</v>
      </c>
      <c r="C1408" s="64"/>
      <c r="D1408" s="65"/>
      <c r="E1408" s="66"/>
      <c r="F1408" s="67"/>
      <c r="G1408" s="64"/>
      <c r="H1408" s="68"/>
      <c r="I1408" s="69"/>
      <c r="J1408" s="69"/>
      <c r="K1408" s="32"/>
      <c r="L1408" s="76">
        <v>1408</v>
      </c>
      <c r="M1408" s="76"/>
      <c r="N1408" s="71"/>
      <c r="O1408" s="87" t="s">
        <v>179</v>
      </c>
      <c r="P1408" s="90">
        <v>45147.832314814812</v>
      </c>
      <c r="Q1408" s="87" t="s">
        <v>3210</v>
      </c>
      <c r="R1408" s="87">
        <v>0</v>
      </c>
      <c r="S1408" s="87">
        <v>7</v>
      </c>
      <c r="T1408" s="87">
        <v>1</v>
      </c>
      <c r="U1408" s="87">
        <v>0</v>
      </c>
      <c r="V1408" s="87">
        <v>344</v>
      </c>
      <c r="W1408" s="93" t="s">
        <v>6812</v>
      </c>
      <c r="X1408" s="87"/>
      <c r="Y1408" s="87"/>
      <c r="Z1408" s="87"/>
      <c r="AA1408" s="87" t="s">
        <v>9525</v>
      </c>
      <c r="AB1408" s="87" t="s">
        <v>11448</v>
      </c>
      <c r="AC1408" s="93" t="s">
        <v>11457</v>
      </c>
      <c r="AD1408" s="87" t="s">
        <v>11519</v>
      </c>
      <c r="AE1408" s="92" t="str">
        <f>HYPERLINK("https://twitter.com/armandomarcos/status/1689365565603762176")</f>
        <v>https://twitter.com/armandomarcos/status/1689365565603762176</v>
      </c>
      <c r="AF1408" s="90">
        <v>45147.832314814812</v>
      </c>
      <c r="AG1408" s="99">
        <v>45147</v>
      </c>
      <c r="AH1408" s="93" t="s">
        <v>12830</v>
      </c>
      <c r="AI1408" s="87" t="b">
        <v>0</v>
      </c>
      <c r="AJ1408" s="87"/>
      <c r="AK1408" s="87"/>
      <c r="AL1408" s="87"/>
      <c r="AM1408" s="87"/>
      <c r="AN1408" s="87"/>
      <c r="AO1408" s="87"/>
      <c r="AP1408" s="87"/>
      <c r="AQ1408" s="87" t="s">
        <v>16338</v>
      </c>
      <c r="AR1408" s="87"/>
      <c r="AS1408" s="87"/>
      <c r="AT1408" s="87"/>
      <c r="AU1408" s="87"/>
      <c r="AV1408" s="92" t="str">
        <f>HYPERLINK("https://pbs.twimg.com/media/F3HUyVrW0AEiGkC.jpg")</f>
        <v>https://pbs.twimg.com/media/F3HUyVrW0AEiGkC.jpg</v>
      </c>
      <c r="AW1408" s="93" t="s">
        <v>19642</v>
      </c>
      <c r="AX1408" s="93" t="s">
        <v>19642</v>
      </c>
      <c r="AY1408" s="87"/>
      <c r="AZ1408" s="93" t="s">
        <v>22668</v>
      </c>
      <c r="BA1408" s="93" t="s">
        <v>22668</v>
      </c>
      <c r="BB1408" s="93" t="s">
        <v>22668</v>
      </c>
      <c r="BC1408" s="93" t="s">
        <v>19642</v>
      </c>
      <c r="BD1408" s="87">
        <v>36803790</v>
      </c>
      <c r="BE1408" s="87"/>
      <c r="BF1408" s="87"/>
      <c r="BG1408" s="87"/>
      <c r="BH1408" s="87"/>
      <c r="BI1408" s="87"/>
    </row>
    <row r="1409" spans="1:61" x14ac:dyDescent="0.25">
      <c r="A1409" s="63" t="s">
        <v>699</v>
      </c>
      <c r="B1409" s="63" t="s">
        <v>699</v>
      </c>
      <c r="C1409" s="64"/>
      <c r="D1409" s="65"/>
      <c r="E1409" s="66"/>
      <c r="F1409" s="67"/>
      <c r="G1409" s="64"/>
      <c r="H1409" s="68"/>
      <c r="I1409" s="69"/>
      <c r="J1409" s="69"/>
      <c r="K1409" s="32"/>
      <c r="L1409" s="76">
        <v>1409</v>
      </c>
      <c r="M1409" s="76"/>
      <c r="N1409" s="71"/>
      <c r="O1409" s="87" t="s">
        <v>179</v>
      </c>
      <c r="P1409" s="90">
        <v>45121.542094907411</v>
      </c>
      <c r="Q1409" s="87" t="s">
        <v>3211</v>
      </c>
      <c r="R1409" s="87">
        <v>0</v>
      </c>
      <c r="S1409" s="87">
        <v>0</v>
      </c>
      <c r="T1409" s="87">
        <v>0</v>
      </c>
      <c r="U1409" s="87">
        <v>0</v>
      </c>
      <c r="V1409" s="87">
        <v>8</v>
      </c>
      <c r="W1409" s="93" t="s">
        <v>6813</v>
      </c>
      <c r="X1409" s="87"/>
      <c r="Y1409" s="87"/>
      <c r="Z1409" s="87"/>
      <c r="AA1409" s="87" t="s">
        <v>9526</v>
      </c>
      <c r="AB1409" s="87" t="s">
        <v>11448</v>
      </c>
      <c r="AC1409" s="93" t="s">
        <v>11489</v>
      </c>
      <c r="AD1409" s="87" t="s">
        <v>11519</v>
      </c>
      <c r="AE1409" s="92" t="str">
        <f>HYPERLINK("https://twitter.com/solutions_iti/status/1679838307751178243")</f>
        <v>https://twitter.com/solutions_iti/status/1679838307751178243</v>
      </c>
      <c r="AF1409" s="90">
        <v>45121.542094907411</v>
      </c>
      <c r="AG1409" s="99">
        <v>45121</v>
      </c>
      <c r="AH1409" s="93" t="s">
        <v>12831</v>
      </c>
      <c r="AI1409" s="87" t="b">
        <v>0</v>
      </c>
      <c r="AJ1409" s="87"/>
      <c r="AK1409" s="87"/>
      <c r="AL1409" s="87"/>
      <c r="AM1409" s="87"/>
      <c r="AN1409" s="87"/>
      <c r="AO1409" s="87"/>
      <c r="AP1409" s="87"/>
      <c r="AQ1409" s="87" t="s">
        <v>16339</v>
      </c>
      <c r="AR1409" s="87"/>
      <c r="AS1409" s="87"/>
      <c r="AT1409" s="87"/>
      <c r="AU1409" s="87"/>
      <c r="AV1409" s="92" t="str">
        <f>HYPERLINK("https://pbs.twimg.com/media/F0_8CfwaQAA5oWg.jpg")</f>
        <v>https://pbs.twimg.com/media/F0_8CfwaQAA5oWg.jpg</v>
      </c>
      <c r="AW1409" s="93" t="s">
        <v>19643</v>
      </c>
      <c r="AX1409" s="93" t="s">
        <v>19643</v>
      </c>
      <c r="AY1409" s="87"/>
      <c r="AZ1409" s="93" t="s">
        <v>22668</v>
      </c>
      <c r="BA1409" s="93" t="s">
        <v>22668</v>
      </c>
      <c r="BB1409" s="93" t="s">
        <v>22668</v>
      </c>
      <c r="BC1409" s="93" t="s">
        <v>19643</v>
      </c>
      <c r="BD1409" s="93" t="s">
        <v>23066</v>
      </c>
      <c r="BE1409" s="87"/>
      <c r="BF1409" s="87"/>
      <c r="BG1409" s="87"/>
      <c r="BH1409" s="87"/>
      <c r="BI1409" s="87"/>
    </row>
    <row r="1410" spans="1:61" x14ac:dyDescent="0.25">
      <c r="A1410" s="63" t="s">
        <v>700</v>
      </c>
      <c r="B1410" s="63" t="s">
        <v>1680</v>
      </c>
      <c r="C1410" s="64"/>
      <c r="D1410" s="65"/>
      <c r="E1410" s="66"/>
      <c r="F1410" s="67"/>
      <c r="G1410" s="64"/>
      <c r="H1410" s="68"/>
      <c r="I1410" s="69"/>
      <c r="J1410" s="69"/>
      <c r="K1410" s="32"/>
      <c r="L1410" s="76">
        <v>1410</v>
      </c>
      <c r="M1410" s="76"/>
      <c r="N1410" s="71"/>
      <c r="O1410" s="87" t="s">
        <v>1839</v>
      </c>
      <c r="P1410" s="90">
        <v>45153.951516203706</v>
      </c>
      <c r="Q1410" s="87" t="s">
        <v>3212</v>
      </c>
      <c r="R1410" s="87">
        <v>0</v>
      </c>
      <c r="S1410" s="87">
        <v>1</v>
      </c>
      <c r="T1410" s="87">
        <v>0</v>
      </c>
      <c r="U1410" s="87">
        <v>1</v>
      </c>
      <c r="V1410" s="87">
        <v>63</v>
      </c>
      <c r="W1410" s="93" t="s">
        <v>6814</v>
      </c>
      <c r="X1410" s="92" t="str">
        <f>HYPERLINK("https://fi.co/event/fi-angola-graduation-conheca-as-startups-do-5-cohort-angola-fall-2023")</f>
        <v>https://fi.co/event/fi-angola-graduation-conheca-as-startups-do-5-cohort-angola-fall-2023</v>
      </c>
      <c r="Y1410" s="87" t="s">
        <v>8451</v>
      </c>
      <c r="Z1410" s="87" t="s">
        <v>8579</v>
      </c>
      <c r="AA1410" s="87" t="s">
        <v>9527</v>
      </c>
      <c r="AB1410" s="87" t="s">
        <v>11451</v>
      </c>
      <c r="AC1410" s="93" t="s">
        <v>11457</v>
      </c>
      <c r="AD1410" s="87" t="s">
        <v>11519</v>
      </c>
      <c r="AE1410" s="92" t="str">
        <f>HYPERLINK("https://twitter.com/founderluanda/status/1691583090110435815")</f>
        <v>https://twitter.com/founderluanda/status/1691583090110435815</v>
      </c>
      <c r="AF1410" s="90">
        <v>45153.951516203706</v>
      </c>
      <c r="AG1410" s="99">
        <v>45153</v>
      </c>
      <c r="AH1410" s="93" t="s">
        <v>12832</v>
      </c>
      <c r="AI1410" s="87" t="b">
        <v>0</v>
      </c>
      <c r="AJ1410" s="87"/>
      <c r="AK1410" s="87"/>
      <c r="AL1410" s="87"/>
      <c r="AM1410" s="87"/>
      <c r="AN1410" s="87"/>
      <c r="AO1410" s="87"/>
      <c r="AP1410" s="87"/>
      <c r="AQ1410" s="87" t="s">
        <v>16340</v>
      </c>
      <c r="AR1410" s="87"/>
      <c r="AS1410" s="87"/>
      <c r="AT1410" s="87"/>
      <c r="AU1410" s="87"/>
      <c r="AV1410" s="92" t="str">
        <f>HYPERLINK("https://pbs.twimg.com/media/F3m1dn-XQAAk3cn.jpg")</f>
        <v>https://pbs.twimg.com/media/F3m1dn-XQAAk3cn.jpg</v>
      </c>
      <c r="AW1410" s="93" t="s">
        <v>19644</v>
      </c>
      <c r="AX1410" s="93" t="s">
        <v>19644</v>
      </c>
      <c r="AY1410" s="87"/>
      <c r="AZ1410" s="93" t="s">
        <v>22668</v>
      </c>
      <c r="BA1410" s="93" t="s">
        <v>22668</v>
      </c>
      <c r="BB1410" s="93" t="s">
        <v>22668</v>
      </c>
      <c r="BC1410" s="93" t="s">
        <v>19644</v>
      </c>
      <c r="BD1410" s="93" t="s">
        <v>23067</v>
      </c>
      <c r="BE1410" s="87"/>
      <c r="BF1410" s="87"/>
      <c r="BG1410" s="87"/>
      <c r="BH1410" s="87"/>
      <c r="BI1410" s="87"/>
    </row>
    <row r="1411" spans="1:61" x14ac:dyDescent="0.25">
      <c r="A1411" s="63" t="s">
        <v>700</v>
      </c>
      <c r="B1411" s="63" t="s">
        <v>700</v>
      </c>
      <c r="C1411" s="64"/>
      <c r="D1411" s="65"/>
      <c r="E1411" s="66"/>
      <c r="F1411" s="67"/>
      <c r="G1411" s="64"/>
      <c r="H1411" s="68"/>
      <c r="I1411" s="69"/>
      <c r="J1411" s="69"/>
      <c r="K1411" s="32"/>
      <c r="L1411" s="76">
        <v>1411</v>
      </c>
      <c r="M1411" s="76"/>
      <c r="N1411" s="71"/>
      <c r="O1411" s="87" t="s">
        <v>1839</v>
      </c>
      <c r="P1411" s="90">
        <v>45153.951516203706</v>
      </c>
      <c r="Q1411" s="87" t="s">
        <v>3212</v>
      </c>
      <c r="R1411" s="87">
        <v>0</v>
      </c>
      <c r="S1411" s="87">
        <v>1</v>
      </c>
      <c r="T1411" s="87">
        <v>0</v>
      </c>
      <c r="U1411" s="87">
        <v>1</v>
      </c>
      <c r="V1411" s="87">
        <v>63</v>
      </c>
      <c r="W1411" s="93" t="s">
        <v>6814</v>
      </c>
      <c r="X1411" s="92" t="str">
        <f>HYPERLINK("https://fi.co/event/fi-angola-graduation-conheca-as-startups-do-5-cohort-angola-fall-2023")</f>
        <v>https://fi.co/event/fi-angola-graduation-conheca-as-startups-do-5-cohort-angola-fall-2023</v>
      </c>
      <c r="Y1411" s="87" t="s">
        <v>8451</v>
      </c>
      <c r="Z1411" s="87" t="s">
        <v>8579</v>
      </c>
      <c r="AA1411" s="87" t="s">
        <v>9527</v>
      </c>
      <c r="AB1411" s="87" t="s">
        <v>11451</v>
      </c>
      <c r="AC1411" s="93" t="s">
        <v>11457</v>
      </c>
      <c r="AD1411" s="87" t="s">
        <v>11519</v>
      </c>
      <c r="AE1411" s="92" t="str">
        <f>HYPERLINK("https://twitter.com/founderluanda/status/1691583090110435815")</f>
        <v>https://twitter.com/founderluanda/status/1691583090110435815</v>
      </c>
      <c r="AF1411" s="90">
        <v>45153.951516203706</v>
      </c>
      <c r="AG1411" s="99">
        <v>45153</v>
      </c>
      <c r="AH1411" s="93" t="s">
        <v>12832</v>
      </c>
      <c r="AI1411" s="87" t="b">
        <v>0</v>
      </c>
      <c r="AJ1411" s="87"/>
      <c r="AK1411" s="87"/>
      <c r="AL1411" s="87"/>
      <c r="AM1411" s="87"/>
      <c r="AN1411" s="87"/>
      <c r="AO1411" s="87"/>
      <c r="AP1411" s="87"/>
      <c r="AQ1411" s="87" t="s">
        <v>16340</v>
      </c>
      <c r="AR1411" s="87"/>
      <c r="AS1411" s="87"/>
      <c r="AT1411" s="87"/>
      <c r="AU1411" s="87"/>
      <c r="AV1411" s="92" t="str">
        <f>HYPERLINK("https://pbs.twimg.com/media/F3m1dn-XQAAk3cn.jpg")</f>
        <v>https://pbs.twimg.com/media/F3m1dn-XQAAk3cn.jpg</v>
      </c>
      <c r="AW1411" s="93" t="s">
        <v>19644</v>
      </c>
      <c r="AX1411" s="93" t="s">
        <v>19644</v>
      </c>
      <c r="AY1411" s="87"/>
      <c r="AZ1411" s="93" t="s">
        <v>22668</v>
      </c>
      <c r="BA1411" s="93" t="s">
        <v>22668</v>
      </c>
      <c r="BB1411" s="93" t="s">
        <v>22668</v>
      </c>
      <c r="BC1411" s="93" t="s">
        <v>19644</v>
      </c>
      <c r="BD1411" s="93" t="s">
        <v>23067</v>
      </c>
      <c r="BE1411" s="87"/>
      <c r="BF1411" s="87"/>
      <c r="BG1411" s="87"/>
      <c r="BH1411" s="87"/>
      <c r="BI1411" s="87"/>
    </row>
    <row r="1412" spans="1:61" x14ac:dyDescent="0.25">
      <c r="A1412" s="63" t="s">
        <v>701</v>
      </c>
      <c r="B1412" s="63" t="s">
        <v>701</v>
      </c>
      <c r="C1412" s="64"/>
      <c r="D1412" s="65"/>
      <c r="E1412" s="66"/>
      <c r="F1412" s="67"/>
      <c r="G1412" s="64"/>
      <c r="H1412" s="68"/>
      <c r="I1412" s="69"/>
      <c r="J1412" s="69"/>
      <c r="K1412" s="32"/>
      <c r="L1412" s="76">
        <v>1412</v>
      </c>
      <c r="M1412" s="76"/>
      <c r="N1412" s="71"/>
      <c r="O1412" s="87" t="s">
        <v>179</v>
      </c>
      <c r="P1412" s="90">
        <v>45136.541724537034</v>
      </c>
      <c r="Q1412" s="87" t="s">
        <v>3213</v>
      </c>
      <c r="R1412" s="87">
        <v>0</v>
      </c>
      <c r="S1412" s="87">
        <v>0</v>
      </c>
      <c r="T1412" s="87">
        <v>0</v>
      </c>
      <c r="U1412" s="87">
        <v>0</v>
      </c>
      <c r="V1412" s="87">
        <v>11</v>
      </c>
      <c r="W1412" s="93" t="s">
        <v>6815</v>
      </c>
      <c r="X1412" s="87"/>
      <c r="Y1412" s="87"/>
      <c r="Z1412" s="87"/>
      <c r="AA1412" s="87" t="s">
        <v>9528</v>
      </c>
      <c r="AB1412" s="87" t="s">
        <v>11448</v>
      </c>
      <c r="AC1412" s="93" t="s">
        <v>11462</v>
      </c>
      <c r="AD1412" s="87" t="s">
        <v>11519</v>
      </c>
      <c r="AE1412" s="92" t="str">
        <f>HYPERLINK("https://twitter.com/agenciacapella/status/1685273994809774080")</f>
        <v>https://twitter.com/agenciacapella/status/1685273994809774080</v>
      </c>
      <c r="AF1412" s="90">
        <v>45136.541724537034</v>
      </c>
      <c r="AG1412" s="99">
        <v>45136</v>
      </c>
      <c r="AH1412" s="93" t="s">
        <v>12833</v>
      </c>
      <c r="AI1412" s="87" t="b">
        <v>0</v>
      </c>
      <c r="AJ1412" s="87"/>
      <c r="AK1412" s="87"/>
      <c r="AL1412" s="87"/>
      <c r="AM1412" s="87"/>
      <c r="AN1412" s="87"/>
      <c r="AO1412" s="87"/>
      <c r="AP1412" s="87"/>
      <c r="AQ1412" s="87" t="s">
        <v>16341</v>
      </c>
      <c r="AR1412" s="87"/>
      <c r="AS1412" s="87"/>
      <c r="AT1412" s="87"/>
      <c r="AU1412" s="87"/>
      <c r="AV1412" s="92" t="str">
        <f>HYPERLINK("https://pbs.twimg.com/media/F2NLxHlWoAAwV5M.png")</f>
        <v>https://pbs.twimg.com/media/F2NLxHlWoAAwV5M.png</v>
      </c>
      <c r="AW1412" s="93" t="s">
        <v>19645</v>
      </c>
      <c r="AX1412" s="93" t="s">
        <v>19645</v>
      </c>
      <c r="AY1412" s="87"/>
      <c r="AZ1412" s="93" t="s">
        <v>22668</v>
      </c>
      <c r="BA1412" s="93" t="s">
        <v>22668</v>
      </c>
      <c r="BB1412" s="93" t="s">
        <v>22668</v>
      </c>
      <c r="BC1412" s="93" t="s">
        <v>19645</v>
      </c>
      <c r="BD1412" s="87">
        <v>53993704</v>
      </c>
      <c r="BE1412" s="87"/>
      <c r="BF1412" s="87"/>
      <c r="BG1412" s="87"/>
      <c r="BH1412" s="87"/>
      <c r="BI1412" s="87"/>
    </row>
    <row r="1413" spans="1:61" x14ac:dyDescent="0.25">
      <c r="A1413" s="63" t="s">
        <v>702</v>
      </c>
      <c r="B1413" s="63" t="s">
        <v>702</v>
      </c>
      <c r="C1413" s="64"/>
      <c r="D1413" s="65"/>
      <c r="E1413" s="66"/>
      <c r="F1413" s="67"/>
      <c r="G1413" s="64"/>
      <c r="H1413" s="68"/>
      <c r="I1413" s="69"/>
      <c r="J1413" s="69"/>
      <c r="K1413" s="32"/>
      <c r="L1413" s="76">
        <v>1413</v>
      </c>
      <c r="M1413" s="76"/>
      <c r="N1413" s="71"/>
      <c r="O1413" s="87" t="s">
        <v>179</v>
      </c>
      <c r="P1413" s="90">
        <v>45145.562037037038</v>
      </c>
      <c r="Q1413" s="87" t="s">
        <v>3214</v>
      </c>
      <c r="R1413" s="87">
        <v>0</v>
      </c>
      <c r="S1413" s="87">
        <v>0</v>
      </c>
      <c r="T1413" s="87">
        <v>0</v>
      </c>
      <c r="U1413" s="87">
        <v>0</v>
      </c>
      <c r="V1413" s="87">
        <v>3</v>
      </c>
      <c r="W1413" s="93" t="s">
        <v>6816</v>
      </c>
      <c r="X1413" s="87"/>
      <c r="Y1413" s="87"/>
      <c r="Z1413" s="87"/>
      <c r="AA1413" s="87"/>
      <c r="AB1413" s="87"/>
      <c r="AC1413" s="93" t="s">
        <v>11458</v>
      </c>
      <c r="AD1413" s="87" t="s">
        <v>11519</v>
      </c>
      <c r="AE1413" s="92" t="str">
        <f>HYPERLINK("https://twitter.com/vikainvest/status/1688542845601230848")</f>
        <v>https://twitter.com/vikainvest/status/1688542845601230848</v>
      </c>
      <c r="AF1413" s="90">
        <v>45145.562037037038</v>
      </c>
      <c r="AG1413" s="99">
        <v>45145</v>
      </c>
      <c r="AH1413" s="93" t="s">
        <v>12834</v>
      </c>
      <c r="AI1413" s="87"/>
      <c r="AJ1413" s="87"/>
      <c r="AK1413" s="87"/>
      <c r="AL1413" s="87"/>
      <c r="AM1413" s="87"/>
      <c r="AN1413" s="87"/>
      <c r="AO1413" s="87"/>
      <c r="AP1413" s="87"/>
      <c r="AQ1413" s="87"/>
      <c r="AR1413" s="87"/>
      <c r="AS1413" s="87"/>
      <c r="AT1413" s="87"/>
      <c r="AU1413" s="87"/>
      <c r="AV1413" s="92" t="str">
        <f>HYPERLINK("https://pbs.twimg.com/profile_images/1688262548339003392/_8kPGYge_normal.jpg")</f>
        <v>https://pbs.twimg.com/profile_images/1688262548339003392/_8kPGYge_normal.jpg</v>
      </c>
      <c r="AW1413" s="93" t="s">
        <v>19646</v>
      </c>
      <c r="AX1413" s="93" t="s">
        <v>19646</v>
      </c>
      <c r="AY1413" s="87"/>
      <c r="AZ1413" s="93" t="s">
        <v>22668</v>
      </c>
      <c r="BA1413" s="93" t="s">
        <v>22668</v>
      </c>
      <c r="BB1413" s="93" t="s">
        <v>22668</v>
      </c>
      <c r="BC1413" s="93" t="s">
        <v>19646</v>
      </c>
      <c r="BD1413" s="93" t="s">
        <v>23068</v>
      </c>
      <c r="BE1413" s="87"/>
      <c r="BF1413" s="87"/>
      <c r="BG1413" s="87"/>
      <c r="BH1413" s="87"/>
      <c r="BI1413" s="87"/>
    </row>
    <row r="1414" spans="1:61" x14ac:dyDescent="0.25">
      <c r="A1414" s="63" t="s">
        <v>703</v>
      </c>
      <c r="B1414" s="63" t="s">
        <v>703</v>
      </c>
      <c r="C1414" s="64"/>
      <c r="D1414" s="65"/>
      <c r="E1414" s="66"/>
      <c r="F1414" s="67"/>
      <c r="G1414" s="64"/>
      <c r="H1414" s="68"/>
      <c r="I1414" s="69"/>
      <c r="J1414" s="69"/>
      <c r="K1414" s="32"/>
      <c r="L1414" s="76">
        <v>1414</v>
      </c>
      <c r="M1414" s="76"/>
      <c r="N1414" s="71"/>
      <c r="O1414" s="87" t="s">
        <v>179</v>
      </c>
      <c r="P1414" s="90">
        <v>45158.937627314815</v>
      </c>
      <c r="Q1414" s="87" t="s">
        <v>3215</v>
      </c>
      <c r="R1414" s="87">
        <v>0</v>
      </c>
      <c r="S1414" s="87">
        <v>1</v>
      </c>
      <c r="T1414" s="87">
        <v>0</v>
      </c>
      <c r="U1414" s="87">
        <v>0</v>
      </c>
      <c r="V1414" s="87">
        <v>38</v>
      </c>
      <c r="W1414" s="93" t="s">
        <v>6817</v>
      </c>
      <c r="X1414" s="87"/>
      <c r="Y1414" s="87"/>
      <c r="Z1414" s="87"/>
      <c r="AA1414" s="87" t="s">
        <v>9529</v>
      </c>
      <c r="AB1414" s="87" t="s">
        <v>11447</v>
      </c>
      <c r="AC1414" s="93" t="s">
        <v>11458</v>
      </c>
      <c r="AD1414" s="87" t="s">
        <v>11519</v>
      </c>
      <c r="AE1414" s="92" t="str">
        <f>HYPERLINK("https://twitter.com/danilorecco/status/1693389998618194012")</f>
        <v>https://twitter.com/danilorecco/status/1693389998618194012</v>
      </c>
      <c r="AF1414" s="90">
        <v>45158.937627314815</v>
      </c>
      <c r="AG1414" s="99">
        <v>45158</v>
      </c>
      <c r="AH1414" s="93" t="s">
        <v>12835</v>
      </c>
      <c r="AI1414" s="87" t="b">
        <v>0</v>
      </c>
      <c r="AJ1414" s="87"/>
      <c r="AK1414" s="87"/>
      <c r="AL1414" s="87"/>
      <c r="AM1414" s="87"/>
      <c r="AN1414" s="87"/>
      <c r="AO1414" s="87"/>
      <c r="AP1414" s="87"/>
      <c r="AQ1414" s="87" t="s">
        <v>16342</v>
      </c>
      <c r="AR1414" s="87">
        <v>99458</v>
      </c>
      <c r="AS1414" s="87"/>
      <c r="AT1414" s="87"/>
      <c r="AU1414" s="87"/>
      <c r="AV1414" s="92" t="str">
        <f>HYPERLINK("https://pbs.twimg.com/ext_tw_video_thumb/1693389918213423105/pu/img/49a3CFzU0u5ePdOs.jpg")</f>
        <v>https://pbs.twimg.com/ext_tw_video_thumb/1693389918213423105/pu/img/49a3CFzU0u5ePdOs.jpg</v>
      </c>
      <c r="AW1414" s="93" t="s">
        <v>19647</v>
      </c>
      <c r="AX1414" s="93" t="s">
        <v>19647</v>
      </c>
      <c r="AY1414" s="87"/>
      <c r="AZ1414" s="93" t="s">
        <v>22668</v>
      </c>
      <c r="BA1414" s="93" t="s">
        <v>22668</v>
      </c>
      <c r="BB1414" s="93" t="s">
        <v>22668</v>
      </c>
      <c r="BC1414" s="93" t="s">
        <v>19647</v>
      </c>
      <c r="BD1414" s="87">
        <v>1623235532</v>
      </c>
      <c r="BE1414" s="87"/>
      <c r="BF1414" s="87"/>
      <c r="BG1414" s="87"/>
      <c r="BH1414" s="87"/>
      <c r="BI1414" s="87"/>
    </row>
    <row r="1415" spans="1:61" x14ac:dyDescent="0.25">
      <c r="A1415" s="63" t="s">
        <v>703</v>
      </c>
      <c r="B1415" s="63" t="s">
        <v>703</v>
      </c>
      <c r="C1415" s="64"/>
      <c r="D1415" s="65"/>
      <c r="E1415" s="66"/>
      <c r="F1415" s="67"/>
      <c r="G1415" s="64"/>
      <c r="H1415" s="68"/>
      <c r="I1415" s="69"/>
      <c r="J1415" s="69"/>
      <c r="K1415" s="32"/>
      <c r="L1415" s="76">
        <v>1415</v>
      </c>
      <c r="M1415" s="76"/>
      <c r="N1415" s="71"/>
      <c r="O1415" s="87" t="s">
        <v>179</v>
      </c>
      <c r="P1415" s="90">
        <v>45157.969872685186</v>
      </c>
      <c r="Q1415" s="87" t="s">
        <v>3216</v>
      </c>
      <c r="R1415" s="87">
        <v>0</v>
      </c>
      <c r="S1415" s="87">
        <v>1</v>
      </c>
      <c r="T1415" s="87">
        <v>0</v>
      </c>
      <c r="U1415" s="87">
        <v>0</v>
      </c>
      <c r="V1415" s="87">
        <v>30</v>
      </c>
      <c r="W1415" s="93" t="s">
        <v>6818</v>
      </c>
      <c r="X1415" s="87"/>
      <c r="Y1415" s="87"/>
      <c r="Z1415" s="87"/>
      <c r="AA1415" s="87" t="s">
        <v>9530</v>
      </c>
      <c r="AB1415" s="87" t="s">
        <v>11447</v>
      </c>
      <c r="AC1415" s="93" t="s">
        <v>11458</v>
      </c>
      <c r="AD1415" s="87" t="s">
        <v>11519</v>
      </c>
      <c r="AE1415" s="92" t="str">
        <f>HYPERLINK("https://twitter.com/danilorecco/status/1693039295504760890")</f>
        <v>https://twitter.com/danilorecco/status/1693039295504760890</v>
      </c>
      <c r="AF1415" s="90">
        <v>45157.969872685186</v>
      </c>
      <c r="AG1415" s="99">
        <v>45157</v>
      </c>
      <c r="AH1415" s="93" t="s">
        <v>12836</v>
      </c>
      <c r="AI1415" s="87" t="b">
        <v>0</v>
      </c>
      <c r="AJ1415" s="87"/>
      <c r="AK1415" s="87"/>
      <c r="AL1415" s="87"/>
      <c r="AM1415" s="87"/>
      <c r="AN1415" s="87"/>
      <c r="AO1415" s="87"/>
      <c r="AP1415" s="87"/>
      <c r="AQ1415" s="87" t="s">
        <v>16343</v>
      </c>
      <c r="AR1415" s="87">
        <v>77866</v>
      </c>
      <c r="AS1415" s="87"/>
      <c r="AT1415" s="87"/>
      <c r="AU1415" s="87"/>
      <c r="AV1415" s="92" t="str">
        <f>HYPERLINK("https://pbs.twimg.com/ext_tw_video_thumb/1693039219118108672/pu/img/fsf8PZ6RsiUCuuEq.jpg")</f>
        <v>https://pbs.twimg.com/ext_tw_video_thumb/1693039219118108672/pu/img/fsf8PZ6RsiUCuuEq.jpg</v>
      </c>
      <c r="AW1415" s="93" t="s">
        <v>19648</v>
      </c>
      <c r="AX1415" s="93" t="s">
        <v>19648</v>
      </c>
      <c r="AY1415" s="87"/>
      <c r="AZ1415" s="93" t="s">
        <v>22668</v>
      </c>
      <c r="BA1415" s="93" t="s">
        <v>22668</v>
      </c>
      <c r="BB1415" s="93" t="s">
        <v>22668</v>
      </c>
      <c r="BC1415" s="93" t="s">
        <v>19648</v>
      </c>
      <c r="BD1415" s="87">
        <v>1623235532</v>
      </c>
      <c r="BE1415" s="87"/>
      <c r="BF1415" s="87"/>
      <c r="BG1415" s="87"/>
      <c r="BH1415" s="87"/>
      <c r="BI1415" s="87"/>
    </row>
    <row r="1416" spans="1:61" x14ac:dyDescent="0.25">
      <c r="A1416" s="63" t="s">
        <v>704</v>
      </c>
      <c r="B1416" s="63" t="s">
        <v>704</v>
      </c>
      <c r="C1416" s="64"/>
      <c r="D1416" s="65"/>
      <c r="E1416" s="66"/>
      <c r="F1416" s="67"/>
      <c r="G1416" s="64"/>
      <c r="H1416" s="68"/>
      <c r="I1416" s="69"/>
      <c r="J1416" s="69"/>
      <c r="K1416" s="32"/>
      <c r="L1416" s="76">
        <v>1416</v>
      </c>
      <c r="M1416" s="76"/>
      <c r="N1416" s="71"/>
      <c r="O1416" s="87" t="s">
        <v>179</v>
      </c>
      <c r="P1416" s="90">
        <v>45133.575254629628</v>
      </c>
      <c r="Q1416" s="87" t="s">
        <v>3217</v>
      </c>
      <c r="R1416" s="87">
        <v>3</v>
      </c>
      <c r="S1416" s="87">
        <v>5</v>
      </c>
      <c r="T1416" s="87">
        <v>2</v>
      </c>
      <c r="U1416" s="87">
        <v>0</v>
      </c>
      <c r="V1416" s="87">
        <v>77</v>
      </c>
      <c r="W1416" s="93" t="s">
        <v>6819</v>
      </c>
      <c r="X1416" s="87"/>
      <c r="Y1416" s="87"/>
      <c r="Z1416" s="87"/>
      <c r="AA1416" s="87" t="s">
        <v>9531</v>
      </c>
      <c r="AB1416" s="87" t="s">
        <v>11448</v>
      </c>
      <c r="AC1416" s="93" t="s">
        <v>11459</v>
      </c>
      <c r="AD1416" s="87" t="s">
        <v>11518</v>
      </c>
      <c r="AE1416" s="92" t="str">
        <f>HYPERLINK("https://twitter.com/moncave_space/status/1684198982333997061")</f>
        <v>https://twitter.com/moncave_space/status/1684198982333997061</v>
      </c>
      <c r="AF1416" s="90">
        <v>45133.575254629628</v>
      </c>
      <c r="AG1416" s="99">
        <v>45133</v>
      </c>
      <c r="AH1416" s="93" t="s">
        <v>12837</v>
      </c>
      <c r="AI1416" s="87" t="b">
        <v>0</v>
      </c>
      <c r="AJ1416" s="87"/>
      <c r="AK1416" s="87"/>
      <c r="AL1416" s="87"/>
      <c r="AM1416" s="87"/>
      <c r="AN1416" s="87"/>
      <c r="AO1416" s="87"/>
      <c r="AP1416" s="87"/>
      <c r="AQ1416" s="87" t="s">
        <v>16344</v>
      </c>
      <c r="AR1416" s="87"/>
      <c r="AS1416" s="87"/>
      <c r="AT1416" s="87"/>
      <c r="AU1416" s="87"/>
      <c r="AV1416" s="92" t="str">
        <f>HYPERLINK("https://pbs.twimg.com/media/F196DDvXgAI3DpM.jpg")</f>
        <v>https://pbs.twimg.com/media/F196DDvXgAI3DpM.jpg</v>
      </c>
      <c r="AW1416" s="93" t="s">
        <v>19649</v>
      </c>
      <c r="AX1416" s="93" t="s">
        <v>19649</v>
      </c>
      <c r="AY1416" s="87"/>
      <c r="AZ1416" s="93" t="s">
        <v>22668</v>
      </c>
      <c r="BA1416" s="93" t="s">
        <v>22668</v>
      </c>
      <c r="BB1416" s="93" t="s">
        <v>22668</v>
      </c>
      <c r="BC1416" s="93" t="s">
        <v>19649</v>
      </c>
      <c r="BD1416" s="93" t="s">
        <v>23069</v>
      </c>
      <c r="BE1416" s="87"/>
      <c r="BF1416" s="87"/>
      <c r="BG1416" s="87"/>
      <c r="BH1416" s="87"/>
      <c r="BI1416" s="87"/>
    </row>
    <row r="1417" spans="1:61" x14ac:dyDescent="0.25">
      <c r="A1417" s="63" t="s">
        <v>705</v>
      </c>
      <c r="B1417" s="63" t="s">
        <v>705</v>
      </c>
      <c r="C1417" s="64"/>
      <c r="D1417" s="65"/>
      <c r="E1417" s="66"/>
      <c r="F1417" s="67"/>
      <c r="G1417" s="64"/>
      <c r="H1417" s="68"/>
      <c r="I1417" s="69"/>
      <c r="J1417" s="69"/>
      <c r="K1417" s="32"/>
      <c r="L1417" s="76">
        <v>1417</v>
      </c>
      <c r="M1417" s="76"/>
      <c r="N1417" s="71"/>
      <c r="O1417" s="87" t="s">
        <v>179</v>
      </c>
      <c r="P1417" s="90">
        <v>45190.822476851848</v>
      </c>
      <c r="Q1417" s="87" t="s">
        <v>3218</v>
      </c>
      <c r="R1417" s="87">
        <v>0</v>
      </c>
      <c r="S1417" s="87">
        <v>0</v>
      </c>
      <c r="T1417" s="87">
        <v>0</v>
      </c>
      <c r="U1417" s="87">
        <v>0</v>
      </c>
      <c r="V1417" s="87">
        <v>23</v>
      </c>
      <c r="W1417" s="93" t="s">
        <v>6820</v>
      </c>
      <c r="X1417" s="87"/>
      <c r="Y1417" s="87"/>
      <c r="Z1417" s="87"/>
      <c r="AA1417" s="87" t="s">
        <v>9532</v>
      </c>
      <c r="AB1417" s="87" t="s">
        <v>11447</v>
      </c>
      <c r="AC1417" s="93" t="s">
        <v>11459</v>
      </c>
      <c r="AD1417" s="87" t="s">
        <v>11520</v>
      </c>
      <c r="AE1417" s="92" t="str">
        <f>HYPERLINK("https://twitter.com/jonathanprobr/status/1704944677114257909")</f>
        <v>https://twitter.com/jonathanprobr/status/1704944677114257909</v>
      </c>
      <c r="AF1417" s="90">
        <v>45190.822476851848</v>
      </c>
      <c r="AG1417" s="99">
        <v>45190</v>
      </c>
      <c r="AH1417" s="93" t="s">
        <v>12838</v>
      </c>
      <c r="AI1417" s="87" t="b">
        <v>0</v>
      </c>
      <c r="AJ1417" s="87"/>
      <c r="AK1417" s="87"/>
      <c r="AL1417" s="87"/>
      <c r="AM1417" s="87"/>
      <c r="AN1417" s="87"/>
      <c r="AO1417" s="87"/>
      <c r="AP1417" s="87"/>
      <c r="AQ1417" s="87" t="s">
        <v>16345</v>
      </c>
      <c r="AR1417" s="87">
        <v>24078</v>
      </c>
      <c r="AS1417" s="87"/>
      <c r="AT1417" s="87"/>
      <c r="AU1417" s="87"/>
      <c r="AV1417" s="92" t="str">
        <f>HYPERLINK("https://pbs.twimg.com/ext_tw_video_thumb/1704944622277885952/pu/img/3GzIf6dSvewCkIKO.jpg")</f>
        <v>https://pbs.twimg.com/ext_tw_video_thumb/1704944622277885952/pu/img/3GzIf6dSvewCkIKO.jpg</v>
      </c>
      <c r="AW1417" s="93" t="s">
        <v>19650</v>
      </c>
      <c r="AX1417" s="93" t="s">
        <v>19650</v>
      </c>
      <c r="AY1417" s="87"/>
      <c r="AZ1417" s="93" t="s">
        <v>22668</v>
      </c>
      <c r="BA1417" s="93" t="s">
        <v>22668</v>
      </c>
      <c r="BB1417" s="93" t="s">
        <v>22668</v>
      </c>
      <c r="BC1417" s="93" t="s">
        <v>19650</v>
      </c>
      <c r="BD1417" s="93" t="s">
        <v>23070</v>
      </c>
      <c r="BE1417" s="87"/>
      <c r="BF1417" s="87"/>
      <c r="BG1417" s="87"/>
      <c r="BH1417" s="87"/>
      <c r="BI1417" s="87"/>
    </row>
    <row r="1418" spans="1:61" x14ac:dyDescent="0.25">
      <c r="A1418" s="63" t="s">
        <v>706</v>
      </c>
      <c r="B1418" s="63" t="s">
        <v>706</v>
      </c>
      <c r="C1418" s="64"/>
      <c r="D1418" s="65"/>
      <c r="E1418" s="66"/>
      <c r="F1418" s="67"/>
      <c r="G1418" s="64"/>
      <c r="H1418" s="68"/>
      <c r="I1418" s="69"/>
      <c r="J1418" s="69"/>
      <c r="K1418" s="32"/>
      <c r="L1418" s="76">
        <v>1418</v>
      </c>
      <c r="M1418" s="76"/>
      <c r="N1418" s="71"/>
      <c r="O1418" s="87" t="s">
        <v>179</v>
      </c>
      <c r="P1418" s="90">
        <v>45185.707268518519</v>
      </c>
      <c r="Q1418" s="87" t="s">
        <v>3219</v>
      </c>
      <c r="R1418" s="87">
        <v>0</v>
      </c>
      <c r="S1418" s="87">
        <v>0</v>
      </c>
      <c r="T1418" s="87">
        <v>0</v>
      </c>
      <c r="U1418" s="87">
        <v>0</v>
      </c>
      <c r="V1418" s="87">
        <v>13</v>
      </c>
      <c r="W1418" s="93" t="s">
        <v>6821</v>
      </c>
      <c r="X1418" s="92" t="str">
        <f>HYPERLINK("https://www.granjanews.com.br/desenvolvimento-economico-e-sebrae-de-jandira-promovem-visita-gratuita-a-feira-do-empreendedor-2023/")</f>
        <v>https://www.granjanews.com.br/desenvolvimento-economico-e-sebrae-de-jandira-promovem-visita-gratuita-a-feira-do-empreendedor-2023/</v>
      </c>
      <c r="Y1418" s="87" t="s">
        <v>8373</v>
      </c>
      <c r="Z1418" s="87"/>
      <c r="AA1418" s="87" t="s">
        <v>9533</v>
      </c>
      <c r="AB1418" s="87" t="s">
        <v>11448</v>
      </c>
      <c r="AC1418" s="93" t="s">
        <v>11457</v>
      </c>
      <c r="AD1418" s="87" t="s">
        <v>11519</v>
      </c>
      <c r="AE1418" s="92" t="str">
        <f>HYPERLINK("https://twitter.com/granjanews/status/1703090989248774385")</f>
        <v>https://twitter.com/granjanews/status/1703090989248774385</v>
      </c>
      <c r="AF1418" s="90">
        <v>45185.707268518519</v>
      </c>
      <c r="AG1418" s="99">
        <v>45185</v>
      </c>
      <c r="AH1418" s="93" t="s">
        <v>12839</v>
      </c>
      <c r="AI1418" s="87" t="b">
        <v>0</v>
      </c>
      <c r="AJ1418" s="87"/>
      <c r="AK1418" s="87"/>
      <c r="AL1418" s="87"/>
      <c r="AM1418" s="87"/>
      <c r="AN1418" s="87"/>
      <c r="AO1418" s="87"/>
      <c r="AP1418" s="87"/>
      <c r="AQ1418" s="87" t="s">
        <v>16346</v>
      </c>
      <c r="AR1418" s="87"/>
      <c r="AS1418" s="87"/>
      <c r="AT1418" s="87"/>
      <c r="AU1418" s="87"/>
      <c r="AV1418" s="92" t="str">
        <f>HYPERLINK("https://pbs.twimg.com/media/F6KVgVIWUAAMK85.png")</f>
        <v>https://pbs.twimg.com/media/F6KVgVIWUAAMK85.png</v>
      </c>
      <c r="AW1418" s="93" t="s">
        <v>19651</v>
      </c>
      <c r="AX1418" s="93" t="s">
        <v>19651</v>
      </c>
      <c r="AY1418" s="87"/>
      <c r="AZ1418" s="93" t="s">
        <v>22668</v>
      </c>
      <c r="BA1418" s="93" t="s">
        <v>22668</v>
      </c>
      <c r="BB1418" s="93" t="s">
        <v>22668</v>
      </c>
      <c r="BC1418" s="93" t="s">
        <v>19651</v>
      </c>
      <c r="BD1418" s="87">
        <v>239678012</v>
      </c>
      <c r="BE1418" s="87"/>
      <c r="BF1418" s="87"/>
      <c r="BG1418" s="87"/>
      <c r="BH1418" s="87"/>
      <c r="BI1418" s="87"/>
    </row>
    <row r="1419" spans="1:61" x14ac:dyDescent="0.25">
      <c r="A1419" s="63" t="s">
        <v>707</v>
      </c>
      <c r="B1419" s="63" t="s">
        <v>707</v>
      </c>
      <c r="C1419" s="64"/>
      <c r="D1419" s="65"/>
      <c r="E1419" s="66"/>
      <c r="F1419" s="67"/>
      <c r="G1419" s="64"/>
      <c r="H1419" s="68"/>
      <c r="I1419" s="69"/>
      <c r="J1419" s="69"/>
      <c r="K1419" s="32"/>
      <c r="L1419" s="76">
        <v>1419</v>
      </c>
      <c r="M1419" s="76"/>
      <c r="N1419" s="71"/>
      <c r="O1419" s="87" t="s">
        <v>179</v>
      </c>
      <c r="P1419" s="90">
        <v>45117.862685185188</v>
      </c>
      <c r="Q1419" s="87" t="s">
        <v>3220</v>
      </c>
      <c r="R1419" s="87">
        <v>0</v>
      </c>
      <c r="S1419" s="87">
        <v>1</v>
      </c>
      <c r="T1419" s="87">
        <v>0</v>
      </c>
      <c r="U1419" s="87">
        <v>0</v>
      </c>
      <c r="V1419" s="87">
        <v>42</v>
      </c>
      <c r="W1419" s="93" t="s">
        <v>5897</v>
      </c>
      <c r="X1419" s="87"/>
      <c r="Y1419" s="87"/>
      <c r="Z1419" s="87"/>
      <c r="AA1419" s="87" t="s">
        <v>9534</v>
      </c>
      <c r="AB1419" s="87" t="s">
        <v>11447</v>
      </c>
      <c r="AC1419" s="93" t="s">
        <v>11459</v>
      </c>
      <c r="AD1419" s="87" t="s">
        <v>11519</v>
      </c>
      <c r="AE1419" s="92" t="str">
        <f>HYPERLINK("https://twitter.com/rodrigo9231101/status/1678504934478577669")</f>
        <v>https://twitter.com/rodrigo9231101/status/1678504934478577669</v>
      </c>
      <c r="AF1419" s="90">
        <v>45117.862685185188</v>
      </c>
      <c r="AG1419" s="99">
        <v>45117</v>
      </c>
      <c r="AH1419" s="93" t="s">
        <v>12840</v>
      </c>
      <c r="AI1419" s="87" t="b">
        <v>0</v>
      </c>
      <c r="AJ1419" s="87"/>
      <c r="AK1419" s="87"/>
      <c r="AL1419" s="87"/>
      <c r="AM1419" s="87"/>
      <c r="AN1419" s="87"/>
      <c r="AO1419" s="87"/>
      <c r="AP1419" s="87"/>
      <c r="AQ1419" s="87" t="s">
        <v>16347</v>
      </c>
      <c r="AR1419" s="87">
        <v>11690</v>
      </c>
      <c r="AS1419" s="87"/>
      <c r="AT1419" s="87"/>
      <c r="AU1419" s="87"/>
      <c r="AV1419" s="92" t="str">
        <f>HYPERLINK("https://pbs.twimg.com/ext_tw_video_thumb/1678504875536023555/pu/img/Rf7daiJfny41ssOE.jpg")</f>
        <v>https://pbs.twimg.com/ext_tw_video_thumb/1678504875536023555/pu/img/Rf7daiJfny41ssOE.jpg</v>
      </c>
      <c r="AW1419" s="93" t="s">
        <v>19652</v>
      </c>
      <c r="AX1419" s="93" t="s">
        <v>19652</v>
      </c>
      <c r="AY1419" s="87"/>
      <c r="AZ1419" s="93" t="s">
        <v>22668</v>
      </c>
      <c r="BA1419" s="93" t="s">
        <v>22668</v>
      </c>
      <c r="BB1419" s="93" t="s">
        <v>22668</v>
      </c>
      <c r="BC1419" s="93" t="s">
        <v>19652</v>
      </c>
      <c r="BD1419" s="93" t="s">
        <v>23071</v>
      </c>
      <c r="BE1419" s="87"/>
      <c r="BF1419" s="87"/>
      <c r="BG1419" s="87"/>
      <c r="BH1419" s="87"/>
      <c r="BI1419" s="87"/>
    </row>
    <row r="1420" spans="1:61" x14ac:dyDescent="0.25">
      <c r="A1420" s="63" t="s">
        <v>708</v>
      </c>
      <c r="B1420" s="63" t="s">
        <v>708</v>
      </c>
      <c r="C1420" s="64"/>
      <c r="D1420" s="65"/>
      <c r="E1420" s="66"/>
      <c r="F1420" s="67"/>
      <c r="G1420" s="64"/>
      <c r="H1420" s="68"/>
      <c r="I1420" s="69"/>
      <c r="J1420" s="69"/>
      <c r="K1420" s="32"/>
      <c r="L1420" s="76">
        <v>1420</v>
      </c>
      <c r="M1420" s="76"/>
      <c r="N1420" s="71"/>
      <c r="O1420" s="87" t="s">
        <v>179</v>
      </c>
      <c r="P1420" s="90">
        <v>45114.585613425923</v>
      </c>
      <c r="Q1420" s="87" t="s">
        <v>3221</v>
      </c>
      <c r="R1420" s="87">
        <v>0</v>
      </c>
      <c r="S1420" s="87">
        <v>0</v>
      </c>
      <c r="T1420" s="87">
        <v>0</v>
      </c>
      <c r="U1420" s="87">
        <v>0</v>
      </c>
      <c r="V1420" s="87">
        <v>9</v>
      </c>
      <c r="W1420" s="93" t="s">
        <v>6822</v>
      </c>
      <c r="X1420" s="87"/>
      <c r="Y1420" s="87"/>
      <c r="Z1420" s="87"/>
      <c r="AA1420" s="87"/>
      <c r="AB1420" s="87"/>
      <c r="AC1420" s="93" t="s">
        <v>11458</v>
      </c>
      <c r="AD1420" s="87" t="s">
        <v>11519</v>
      </c>
      <c r="AE1420" s="92" t="str">
        <f>HYPERLINK("https://twitter.com/jjempreendedor/status/1677317366382841856")</f>
        <v>https://twitter.com/jjempreendedor/status/1677317366382841856</v>
      </c>
      <c r="AF1420" s="90">
        <v>45114.585613425923</v>
      </c>
      <c r="AG1420" s="99">
        <v>45114</v>
      </c>
      <c r="AH1420" s="93" t="s">
        <v>12841</v>
      </c>
      <c r="AI1420" s="87"/>
      <c r="AJ1420" s="87"/>
      <c r="AK1420" s="87"/>
      <c r="AL1420" s="87"/>
      <c r="AM1420" s="87"/>
      <c r="AN1420" s="87"/>
      <c r="AO1420" s="87"/>
      <c r="AP1420" s="87"/>
      <c r="AQ1420" s="87"/>
      <c r="AR1420" s="87"/>
      <c r="AS1420" s="87"/>
      <c r="AT1420" s="87"/>
      <c r="AU1420" s="87"/>
      <c r="AV1420" s="92" t="str">
        <f>HYPERLINK("https://pbs.twimg.com/profile_images/1640030219129049089/bZLsfly5_normal.png")</f>
        <v>https://pbs.twimg.com/profile_images/1640030219129049089/bZLsfly5_normal.png</v>
      </c>
      <c r="AW1420" s="93" t="s">
        <v>19653</v>
      </c>
      <c r="AX1420" s="93" t="s">
        <v>19653</v>
      </c>
      <c r="AY1420" s="87"/>
      <c r="AZ1420" s="93" t="s">
        <v>22668</v>
      </c>
      <c r="BA1420" s="93" t="s">
        <v>22668</v>
      </c>
      <c r="BB1420" s="93" t="s">
        <v>22668</v>
      </c>
      <c r="BC1420" s="93" t="s">
        <v>19653</v>
      </c>
      <c r="BD1420" s="93" t="s">
        <v>23072</v>
      </c>
      <c r="BE1420" s="87"/>
      <c r="BF1420" s="87"/>
      <c r="BG1420" s="87"/>
      <c r="BH1420" s="87"/>
      <c r="BI1420" s="87"/>
    </row>
    <row r="1421" spans="1:61" x14ac:dyDescent="0.25">
      <c r="A1421" s="63" t="s">
        <v>709</v>
      </c>
      <c r="B1421" s="63" t="s">
        <v>709</v>
      </c>
      <c r="C1421" s="64"/>
      <c r="D1421" s="65"/>
      <c r="E1421" s="66"/>
      <c r="F1421" s="67"/>
      <c r="G1421" s="64"/>
      <c r="H1421" s="68"/>
      <c r="I1421" s="69"/>
      <c r="J1421" s="69"/>
      <c r="K1421" s="32"/>
      <c r="L1421" s="76">
        <v>1421</v>
      </c>
      <c r="M1421" s="76"/>
      <c r="N1421" s="71"/>
      <c r="O1421" s="87" t="s">
        <v>179</v>
      </c>
      <c r="P1421" s="90">
        <v>45153.755115740743</v>
      </c>
      <c r="Q1421" s="87" t="s">
        <v>3222</v>
      </c>
      <c r="R1421" s="87">
        <v>0</v>
      </c>
      <c r="S1421" s="87">
        <v>0</v>
      </c>
      <c r="T1421" s="87">
        <v>0</v>
      </c>
      <c r="U1421" s="87">
        <v>0</v>
      </c>
      <c r="V1421" s="87">
        <v>3</v>
      </c>
      <c r="W1421" s="93" t="s">
        <v>6823</v>
      </c>
      <c r="X1421" s="87"/>
      <c r="Y1421" s="87"/>
      <c r="Z1421" s="87"/>
      <c r="AA1421" s="87"/>
      <c r="AB1421" s="87"/>
      <c r="AC1421" s="93" t="s">
        <v>11457</v>
      </c>
      <c r="AD1421" s="87" t="s">
        <v>11519</v>
      </c>
      <c r="AE1421" s="92" t="str">
        <f>HYPERLINK("https://twitter.com/alinevcruz/status/1691511915300728832")</f>
        <v>https://twitter.com/alinevcruz/status/1691511915300728832</v>
      </c>
      <c r="AF1421" s="90">
        <v>45153.755115740743</v>
      </c>
      <c r="AG1421" s="99">
        <v>45153</v>
      </c>
      <c r="AH1421" s="93" t="s">
        <v>12842</v>
      </c>
      <c r="AI1421" s="87"/>
      <c r="AJ1421" s="87"/>
      <c r="AK1421" s="87"/>
      <c r="AL1421" s="87"/>
      <c r="AM1421" s="87"/>
      <c r="AN1421" s="87"/>
      <c r="AO1421" s="87"/>
      <c r="AP1421" s="87"/>
      <c r="AQ1421" s="87"/>
      <c r="AR1421" s="87"/>
      <c r="AS1421" s="87"/>
      <c r="AT1421" s="87"/>
      <c r="AU1421" s="87"/>
      <c r="AV1421" s="92" t="str">
        <f>HYPERLINK("https://pbs.twimg.com/profile_images/655103505/1092220_normal.jpg")</f>
        <v>https://pbs.twimg.com/profile_images/655103505/1092220_normal.jpg</v>
      </c>
      <c r="AW1421" s="93" t="s">
        <v>19654</v>
      </c>
      <c r="AX1421" s="93" t="s">
        <v>19654</v>
      </c>
      <c r="AY1421" s="87"/>
      <c r="AZ1421" s="93" t="s">
        <v>22668</v>
      </c>
      <c r="BA1421" s="93" t="s">
        <v>22668</v>
      </c>
      <c r="BB1421" s="93" t="s">
        <v>22668</v>
      </c>
      <c r="BC1421" s="93" t="s">
        <v>19654</v>
      </c>
      <c r="BD1421" s="87">
        <v>108404200</v>
      </c>
      <c r="BE1421" s="87"/>
      <c r="BF1421" s="87"/>
      <c r="BG1421" s="87"/>
      <c r="BH1421" s="87"/>
      <c r="BI1421" s="87"/>
    </row>
    <row r="1422" spans="1:61" x14ac:dyDescent="0.25">
      <c r="A1422" s="63" t="s">
        <v>710</v>
      </c>
      <c r="B1422" s="63" t="s">
        <v>710</v>
      </c>
      <c r="C1422" s="64"/>
      <c r="D1422" s="65"/>
      <c r="E1422" s="66"/>
      <c r="F1422" s="67"/>
      <c r="G1422" s="64"/>
      <c r="H1422" s="68"/>
      <c r="I1422" s="69"/>
      <c r="J1422" s="69"/>
      <c r="K1422" s="32"/>
      <c r="L1422" s="76">
        <v>1422</v>
      </c>
      <c r="M1422" s="76"/>
      <c r="N1422" s="71"/>
      <c r="O1422" s="87" t="s">
        <v>179</v>
      </c>
      <c r="P1422" s="90">
        <v>45182.748194444444</v>
      </c>
      <c r="Q1422" s="87" t="s">
        <v>3223</v>
      </c>
      <c r="R1422" s="87">
        <v>0</v>
      </c>
      <c r="S1422" s="87">
        <v>0</v>
      </c>
      <c r="T1422" s="87">
        <v>0</v>
      </c>
      <c r="U1422" s="87">
        <v>0</v>
      </c>
      <c r="V1422" s="87">
        <v>281</v>
      </c>
      <c r="W1422" s="93" t="s">
        <v>6292</v>
      </c>
      <c r="X1422" s="87"/>
      <c r="Y1422" s="87"/>
      <c r="Z1422" s="87"/>
      <c r="AA1422" s="87" t="s">
        <v>9535</v>
      </c>
      <c r="AB1422" s="87" t="s">
        <v>11447</v>
      </c>
      <c r="AC1422" s="93" t="s">
        <v>11457</v>
      </c>
      <c r="AD1422" s="87" t="s">
        <v>11519</v>
      </c>
      <c r="AE1422" s="92" t="str">
        <f>HYPERLINK("https://twitter.com/epocanegocios/status/1702018656677343551")</f>
        <v>https://twitter.com/epocanegocios/status/1702018656677343551</v>
      </c>
      <c r="AF1422" s="90">
        <v>45182.748194444444</v>
      </c>
      <c r="AG1422" s="99">
        <v>45182</v>
      </c>
      <c r="AH1422" s="93" t="s">
        <v>12843</v>
      </c>
      <c r="AI1422" s="87" t="b">
        <v>0</v>
      </c>
      <c r="AJ1422" s="87"/>
      <c r="AK1422" s="87"/>
      <c r="AL1422" s="87"/>
      <c r="AM1422" s="87"/>
      <c r="AN1422" s="87"/>
      <c r="AO1422" s="87"/>
      <c r="AP1422" s="87"/>
      <c r="AQ1422" s="87" t="s">
        <v>16348</v>
      </c>
      <c r="AR1422" s="87">
        <v>34752</v>
      </c>
      <c r="AS1422" s="87"/>
      <c r="AT1422" s="87"/>
      <c r="AU1422" s="87"/>
      <c r="AV1422" s="92" t="str">
        <f>HYPERLINK("https://pbs.twimg.com/ext_tw_video_thumb/1702018345300553728/pu/img/KFeTjXAVgmLBdzjt.jpg")</f>
        <v>https://pbs.twimg.com/ext_tw_video_thumb/1702018345300553728/pu/img/KFeTjXAVgmLBdzjt.jpg</v>
      </c>
      <c r="AW1422" s="93" t="s">
        <v>19655</v>
      </c>
      <c r="AX1422" s="93" t="s">
        <v>19655</v>
      </c>
      <c r="AY1422" s="87"/>
      <c r="AZ1422" s="93" t="s">
        <v>22668</v>
      </c>
      <c r="BA1422" s="93" t="s">
        <v>22668</v>
      </c>
      <c r="BB1422" s="93" t="s">
        <v>22668</v>
      </c>
      <c r="BC1422" s="93" t="s">
        <v>19655</v>
      </c>
      <c r="BD1422" s="87">
        <v>8189252</v>
      </c>
      <c r="BE1422" s="87"/>
      <c r="BF1422" s="87"/>
      <c r="BG1422" s="87"/>
      <c r="BH1422" s="87"/>
      <c r="BI1422" s="87"/>
    </row>
    <row r="1423" spans="1:61" x14ac:dyDescent="0.25">
      <c r="A1423" s="63" t="s">
        <v>711</v>
      </c>
      <c r="B1423" s="63" t="s">
        <v>1537</v>
      </c>
      <c r="C1423" s="64"/>
      <c r="D1423" s="65"/>
      <c r="E1423" s="66"/>
      <c r="F1423" s="67"/>
      <c r="G1423" s="64"/>
      <c r="H1423" s="68"/>
      <c r="I1423" s="69"/>
      <c r="J1423" s="69"/>
      <c r="K1423" s="32"/>
      <c r="L1423" s="76">
        <v>1423</v>
      </c>
      <c r="M1423" s="76"/>
      <c r="N1423" s="71"/>
      <c r="O1423" s="87" t="s">
        <v>1841</v>
      </c>
      <c r="P1423" s="90">
        <v>45196.533888888887</v>
      </c>
      <c r="Q1423" s="87" t="s">
        <v>2276</v>
      </c>
      <c r="R1423" s="87">
        <v>2</v>
      </c>
      <c r="S1423" s="87">
        <v>0</v>
      </c>
      <c r="T1423" s="87">
        <v>0</v>
      </c>
      <c r="U1423" s="87">
        <v>0</v>
      </c>
      <c r="V1423" s="87"/>
      <c r="W1423" s="87"/>
      <c r="X1423" s="87"/>
      <c r="Y1423" s="87"/>
      <c r="Z1423" s="87" t="s">
        <v>1537</v>
      </c>
      <c r="AA1423" s="87"/>
      <c r="AB1423" s="87"/>
      <c r="AC1423" s="93" t="s">
        <v>11459</v>
      </c>
      <c r="AD1423" s="87" t="s">
        <v>11519</v>
      </c>
      <c r="AE1423" s="92" t="str">
        <f>HYPERLINK("https://twitter.com/agromp/status/1707014425721389330")</f>
        <v>https://twitter.com/agromp/status/1707014425721389330</v>
      </c>
      <c r="AF1423" s="90">
        <v>45196.533888888887</v>
      </c>
      <c r="AG1423" s="99">
        <v>45196</v>
      </c>
      <c r="AH1423" s="93" t="s">
        <v>12844</v>
      </c>
      <c r="AI1423" s="87" t="b">
        <v>0</v>
      </c>
      <c r="AJ1423" s="87"/>
      <c r="AK1423" s="87"/>
      <c r="AL1423" s="87"/>
      <c r="AM1423" s="87"/>
      <c r="AN1423" s="87"/>
      <c r="AO1423" s="87"/>
      <c r="AP1423" s="87"/>
      <c r="AQ1423" s="87"/>
      <c r="AR1423" s="87"/>
      <c r="AS1423" s="87"/>
      <c r="AT1423" s="87"/>
      <c r="AU1423" s="87"/>
      <c r="AV1423" s="92" t="str">
        <f>HYPERLINK("https://pbs.twimg.com/profile_images/637597624678379520/r2ZEpF-n_normal.jpg")</f>
        <v>https://pbs.twimg.com/profile_images/637597624678379520/r2ZEpF-n_normal.jpg</v>
      </c>
      <c r="AW1423" s="93" t="s">
        <v>19656</v>
      </c>
      <c r="AX1423" s="93" t="s">
        <v>19656</v>
      </c>
      <c r="AY1423" s="87"/>
      <c r="AZ1423" s="93" t="s">
        <v>22668</v>
      </c>
      <c r="BA1423" s="93" t="s">
        <v>22668</v>
      </c>
      <c r="BB1423" s="93" t="s">
        <v>22060</v>
      </c>
      <c r="BC1423" s="93" t="s">
        <v>22060</v>
      </c>
      <c r="BD1423" s="87">
        <v>567404670</v>
      </c>
      <c r="BE1423" s="87"/>
      <c r="BF1423" s="87"/>
      <c r="BG1423" s="87"/>
      <c r="BH1423" s="87"/>
      <c r="BI1423" s="87"/>
    </row>
    <row r="1424" spans="1:61" x14ac:dyDescent="0.25">
      <c r="A1424" s="63" t="s">
        <v>712</v>
      </c>
      <c r="B1424" s="63" t="s">
        <v>712</v>
      </c>
      <c r="C1424" s="64"/>
      <c r="D1424" s="65"/>
      <c r="E1424" s="66"/>
      <c r="F1424" s="67"/>
      <c r="G1424" s="64"/>
      <c r="H1424" s="68"/>
      <c r="I1424" s="69"/>
      <c r="J1424" s="69"/>
      <c r="K1424" s="32"/>
      <c r="L1424" s="76">
        <v>1424</v>
      </c>
      <c r="M1424" s="76"/>
      <c r="N1424" s="71"/>
      <c r="O1424" s="87" t="s">
        <v>179</v>
      </c>
      <c r="P1424" s="90">
        <v>45119.705092592594</v>
      </c>
      <c r="Q1424" s="87" t="s">
        <v>3224</v>
      </c>
      <c r="R1424" s="87">
        <v>0</v>
      </c>
      <c r="S1424" s="87">
        <v>0</v>
      </c>
      <c r="T1424" s="87">
        <v>0</v>
      </c>
      <c r="U1424" s="87">
        <v>0</v>
      </c>
      <c r="V1424" s="87">
        <v>46</v>
      </c>
      <c r="W1424" s="93" t="s">
        <v>6824</v>
      </c>
      <c r="X1424" s="87"/>
      <c r="Y1424" s="87"/>
      <c r="Z1424" s="87"/>
      <c r="AA1424" s="87" t="s">
        <v>9536</v>
      </c>
      <c r="AB1424" s="87" t="s">
        <v>11448</v>
      </c>
      <c r="AC1424" s="93" t="s">
        <v>11457</v>
      </c>
      <c r="AD1424" s="87" t="s">
        <v>11519</v>
      </c>
      <c r="AE1424" s="92" t="str">
        <f>HYPERLINK("https://twitter.com/feeicompete2030/status/1679172602458259460")</f>
        <v>https://twitter.com/feeicompete2030/status/1679172602458259460</v>
      </c>
      <c r="AF1424" s="90">
        <v>45119.705092592594</v>
      </c>
      <c r="AG1424" s="99">
        <v>45119</v>
      </c>
      <c r="AH1424" s="93" t="s">
        <v>12845</v>
      </c>
      <c r="AI1424" s="87" t="b">
        <v>0</v>
      </c>
      <c r="AJ1424" s="87"/>
      <c r="AK1424" s="87"/>
      <c r="AL1424" s="87"/>
      <c r="AM1424" s="87"/>
      <c r="AN1424" s="87"/>
      <c r="AO1424" s="87"/>
      <c r="AP1424" s="87"/>
      <c r="AQ1424" s="87" t="s">
        <v>16349</v>
      </c>
      <c r="AR1424" s="87"/>
      <c r="AS1424" s="87"/>
      <c r="AT1424" s="87"/>
      <c r="AU1424" s="87"/>
      <c r="AV1424" s="92" t="str">
        <f>HYPERLINK("https://pbs.twimg.com/media/F02eOguXwA8oZnH.jpg")</f>
        <v>https://pbs.twimg.com/media/F02eOguXwA8oZnH.jpg</v>
      </c>
      <c r="AW1424" s="93" t="s">
        <v>19657</v>
      </c>
      <c r="AX1424" s="93" t="s">
        <v>19657</v>
      </c>
      <c r="AY1424" s="87"/>
      <c r="AZ1424" s="93" t="s">
        <v>22668</v>
      </c>
      <c r="BA1424" s="93" t="s">
        <v>22668</v>
      </c>
      <c r="BB1424" s="93" t="s">
        <v>22668</v>
      </c>
      <c r="BC1424" s="93" t="s">
        <v>19657</v>
      </c>
      <c r="BD1424" s="93" t="s">
        <v>23073</v>
      </c>
      <c r="BE1424" s="87"/>
      <c r="BF1424" s="87"/>
      <c r="BG1424" s="87"/>
      <c r="BH1424" s="87"/>
      <c r="BI1424" s="87"/>
    </row>
    <row r="1425" spans="1:61" x14ac:dyDescent="0.25">
      <c r="A1425" s="63" t="s">
        <v>712</v>
      </c>
      <c r="B1425" s="63" t="s">
        <v>712</v>
      </c>
      <c r="C1425" s="64"/>
      <c r="D1425" s="65"/>
      <c r="E1425" s="66"/>
      <c r="F1425" s="67"/>
      <c r="G1425" s="64"/>
      <c r="H1425" s="68"/>
      <c r="I1425" s="69"/>
      <c r="J1425" s="69"/>
      <c r="K1425" s="32"/>
      <c r="L1425" s="76">
        <v>1425</v>
      </c>
      <c r="M1425" s="76"/>
      <c r="N1425" s="71"/>
      <c r="O1425" s="87" t="s">
        <v>179</v>
      </c>
      <c r="P1425" s="90">
        <v>45163.704675925925</v>
      </c>
      <c r="Q1425" s="87" t="s">
        <v>3225</v>
      </c>
      <c r="R1425" s="87">
        <v>0</v>
      </c>
      <c r="S1425" s="87">
        <v>1</v>
      </c>
      <c r="T1425" s="87">
        <v>0</v>
      </c>
      <c r="U1425" s="87">
        <v>0</v>
      </c>
      <c r="V1425" s="87">
        <v>91</v>
      </c>
      <c r="W1425" s="93" t="s">
        <v>6825</v>
      </c>
      <c r="X1425" s="92" t="str">
        <f>HYPERLINK("https://lnkd.in/dtn5dFkW")</f>
        <v>https://lnkd.in/dtn5dFkW</v>
      </c>
      <c r="Y1425" s="87" t="s">
        <v>8408</v>
      </c>
      <c r="Z1425" s="87"/>
      <c r="AA1425" s="87" t="s">
        <v>9537</v>
      </c>
      <c r="AB1425" s="87" t="s">
        <v>11448</v>
      </c>
      <c r="AC1425" s="93" t="s">
        <v>11457</v>
      </c>
      <c r="AD1425" s="87" t="s">
        <v>11519</v>
      </c>
      <c r="AE1425" s="92" t="str">
        <f>HYPERLINK("https://twitter.com/feeicompete2030/status/1695117518367572236")</f>
        <v>https://twitter.com/feeicompete2030/status/1695117518367572236</v>
      </c>
      <c r="AF1425" s="90">
        <v>45163.704675925925</v>
      </c>
      <c r="AG1425" s="99">
        <v>45163</v>
      </c>
      <c r="AH1425" s="93" t="s">
        <v>12846</v>
      </c>
      <c r="AI1425" s="87" t="b">
        <v>0</v>
      </c>
      <c r="AJ1425" s="87"/>
      <c r="AK1425" s="87"/>
      <c r="AL1425" s="87"/>
      <c r="AM1425" s="87"/>
      <c r="AN1425" s="87"/>
      <c r="AO1425" s="87"/>
      <c r="AP1425" s="87"/>
      <c r="AQ1425" s="87" t="s">
        <v>16350</v>
      </c>
      <c r="AR1425" s="87"/>
      <c r="AS1425" s="87"/>
      <c r="AT1425" s="87"/>
      <c r="AU1425" s="87"/>
      <c r="AV1425" s="92" t="str">
        <f>HYPERLINK("https://pbs.twimg.com/media/F4ZEZV2XQAofiaS.jpg")</f>
        <v>https://pbs.twimg.com/media/F4ZEZV2XQAofiaS.jpg</v>
      </c>
      <c r="AW1425" s="93" t="s">
        <v>19658</v>
      </c>
      <c r="AX1425" s="93" t="s">
        <v>19658</v>
      </c>
      <c r="AY1425" s="87"/>
      <c r="AZ1425" s="93" t="s">
        <v>22668</v>
      </c>
      <c r="BA1425" s="93" t="s">
        <v>22668</v>
      </c>
      <c r="BB1425" s="93" t="s">
        <v>22668</v>
      </c>
      <c r="BC1425" s="93" t="s">
        <v>19658</v>
      </c>
      <c r="BD1425" s="93" t="s">
        <v>23073</v>
      </c>
      <c r="BE1425" s="87"/>
      <c r="BF1425" s="87"/>
      <c r="BG1425" s="87"/>
      <c r="BH1425" s="87"/>
      <c r="BI1425" s="87"/>
    </row>
    <row r="1426" spans="1:61" x14ac:dyDescent="0.25">
      <c r="A1426" s="63" t="s">
        <v>713</v>
      </c>
      <c r="B1426" s="63" t="s">
        <v>713</v>
      </c>
      <c r="C1426" s="64"/>
      <c r="D1426" s="65"/>
      <c r="E1426" s="66"/>
      <c r="F1426" s="67"/>
      <c r="G1426" s="64"/>
      <c r="H1426" s="68"/>
      <c r="I1426" s="69"/>
      <c r="J1426" s="69"/>
      <c r="K1426" s="32"/>
      <c r="L1426" s="76">
        <v>1426</v>
      </c>
      <c r="M1426" s="76"/>
      <c r="N1426" s="71"/>
      <c r="O1426" s="87" t="s">
        <v>179</v>
      </c>
      <c r="P1426" s="90">
        <v>45140.88925925926</v>
      </c>
      <c r="Q1426" s="87" t="s">
        <v>3226</v>
      </c>
      <c r="R1426" s="87">
        <v>0</v>
      </c>
      <c r="S1426" s="87">
        <v>0</v>
      </c>
      <c r="T1426" s="87">
        <v>0</v>
      </c>
      <c r="U1426" s="87">
        <v>0</v>
      </c>
      <c r="V1426" s="87">
        <v>21</v>
      </c>
      <c r="W1426" s="93" t="s">
        <v>6826</v>
      </c>
      <c r="X1426" s="92" t="str">
        <f>HYPERLINK("https://l1nq.com/zbiWS")</f>
        <v>https://l1nq.com/zbiWS</v>
      </c>
      <c r="Y1426" s="87" t="s">
        <v>8452</v>
      </c>
      <c r="Z1426" s="87"/>
      <c r="AA1426" s="87" t="s">
        <v>9538</v>
      </c>
      <c r="AB1426" s="87" t="s">
        <v>11448</v>
      </c>
      <c r="AC1426" s="93" t="s">
        <v>11457</v>
      </c>
      <c r="AD1426" s="87" t="s">
        <v>11519</v>
      </c>
      <c r="AE1426" s="92" t="str">
        <f>HYPERLINK("https://twitter.com/sebrae_ma/status/1686849485677133824")</f>
        <v>https://twitter.com/sebrae_ma/status/1686849485677133824</v>
      </c>
      <c r="AF1426" s="90">
        <v>45140.88925925926</v>
      </c>
      <c r="AG1426" s="99">
        <v>45140</v>
      </c>
      <c r="AH1426" s="93" t="s">
        <v>12847</v>
      </c>
      <c r="AI1426" s="87" t="b">
        <v>0</v>
      </c>
      <c r="AJ1426" s="87"/>
      <c r="AK1426" s="87"/>
      <c r="AL1426" s="87"/>
      <c r="AM1426" s="87"/>
      <c r="AN1426" s="87"/>
      <c r="AO1426" s="87"/>
      <c r="AP1426" s="87"/>
      <c r="AQ1426" s="87" t="s">
        <v>16351</v>
      </c>
      <c r="AR1426" s="87"/>
      <c r="AS1426" s="87"/>
      <c r="AT1426" s="87"/>
      <c r="AU1426" s="87"/>
      <c r="AV1426" s="92" t="str">
        <f>HYPERLINK("https://pbs.twimg.com/media/F2jjkFMXsAMD428.jpg")</f>
        <v>https://pbs.twimg.com/media/F2jjkFMXsAMD428.jpg</v>
      </c>
      <c r="AW1426" s="93" t="s">
        <v>19659</v>
      </c>
      <c r="AX1426" s="93" t="s">
        <v>19659</v>
      </c>
      <c r="AY1426" s="87"/>
      <c r="AZ1426" s="93" t="s">
        <v>22668</v>
      </c>
      <c r="BA1426" s="93" t="s">
        <v>22668</v>
      </c>
      <c r="BB1426" s="93" t="s">
        <v>22668</v>
      </c>
      <c r="BC1426" s="93" t="s">
        <v>19659</v>
      </c>
      <c r="BD1426" s="87">
        <v>2357125110</v>
      </c>
      <c r="BE1426" s="87"/>
      <c r="BF1426" s="87"/>
      <c r="BG1426" s="87"/>
      <c r="BH1426" s="87"/>
      <c r="BI1426" s="87"/>
    </row>
    <row r="1427" spans="1:61" x14ac:dyDescent="0.25">
      <c r="A1427" s="63" t="s">
        <v>713</v>
      </c>
      <c r="B1427" s="63" t="s">
        <v>713</v>
      </c>
      <c r="C1427" s="64"/>
      <c r="D1427" s="65"/>
      <c r="E1427" s="66"/>
      <c r="F1427" s="67"/>
      <c r="G1427" s="64"/>
      <c r="H1427" s="68"/>
      <c r="I1427" s="69"/>
      <c r="J1427" s="69"/>
      <c r="K1427" s="32"/>
      <c r="L1427" s="76">
        <v>1427</v>
      </c>
      <c r="M1427" s="76"/>
      <c r="N1427" s="71"/>
      <c r="O1427" s="87" t="s">
        <v>179</v>
      </c>
      <c r="P1427" s="90">
        <v>45160.502430555556</v>
      </c>
      <c r="Q1427" s="87" t="s">
        <v>3227</v>
      </c>
      <c r="R1427" s="87">
        <v>0</v>
      </c>
      <c r="S1427" s="87">
        <v>1</v>
      </c>
      <c r="T1427" s="87">
        <v>0</v>
      </c>
      <c r="U1427" s="87">
        <v>0</v>
      </c>
      <c r="V1427" s="87">
        <v>31</v>
      </c>
      <c r="W1427" s="93" t="s">
        <v>6827</v>
      </c>
      <c r="X1427" s="87"/>
      <c r="Y1427" s="87"/>
      <c r="Z1427" s="87"/>
      <c r="AA1427" s="87" t="s">
        <v>9539</v>
      </c>
      <c r="AB1427" s="87" t="s">
        <v>11447</v>
      </c>
      <c r="AC1427" s="93" t="s">
        <v>11458</v>
      </c>
      <c r="AD1427" s="87" t="s">
        <v>11519</v>
      </c>
      <c r="AE1427" s="92" t="str">
        <f>HYPERLINK("https://twitter.com/sebrae_ma/status/1693957060398829795")</f>
        <v>https://twitter.com/sebrae_ma/status/1693957060398829795</v>
      </c>
      <c r="AF1427" s="90">
        <v>45160.502430555556</v>
      </c>
      <c r="AG1427" s="99">
        <v>45160</v>
      </c>
      <c r="AH1427" s="93" t="s">
        <v>12848</v>
      </c>
      <c r="AI1427" s="87" t="b">
        <v>0</v>
      </c>
      <c r="AJ1427" s="87"/>
      <c r="AK1427" s="87"/>
      <c r="AL1427" s="87"/>
      <c r="AM1427" s="87"/>
      <c r="AN1427" s="87"/>
      <c r="AO1427" s="87"/>
      <c r="AP1427" s="87"/>
      <c r="AQ1427" s="87" t="s">
        <v>16352</v>
      </c>
      <c r="AR1427" s="87">
        <v>41233</v>
      </c>
      <c r="AS1427" s="87"/>
      <c r="AT1427" s="87"/>
      <c r="AU1427" s="87"/>
      <c r="AV1427" s="92" t="str">
        <f>HYPERLINK("https://pbs.twimg.com/ext_tw_video_thumb/1693956998562254848/pu/img/VZ0F55j9Lj4TmKY8.jpg")</f>
        <v>https://pbs.twimg.com/ext_tw_video_thumb/1693956998562254848/pu/img/VZ0F55j9Lj4TmKY8.jpg</v>
      </c>
      <c r="AW1427" s="93" t="s">
        <v>19660</v>
      </c>
      <c r="AX1427" s="93" t="s">
        <v>19660</v>
      </c>
      <c r="AY1427" s="87"/>
      <c r="AZ1427" s="93" t="s">
        <v>22668</v>
      </c>
      <c r="BA1427" s="93" t="s">
        <v>22668</v>
      </c>
      <c r="BB1427" s="93" t="s">
        <v>22668</v>
      </c>
      <c r="BC1427" s="93" t="s">
        <v>19660</v>
      </c>
      <c r="BD1427" s="87">
        <v>2357125110</v>
      </c>
      <c r="BE1427" s="87"/>
      <c r="BF1427" s="87"/>
      <c r="BG1427" s="87"/>
      <c r="BH1427" s="87"/>
      <c r="BI1427" s="87"/>
    </row>
    <row r="1428" spans="1:61" x14ac:dyDescent="0.25">
      <c r="A1428" s="63" t="s">
        <v>713</v>
      </c>
      <c r="B1428" s="63" t="s">
        <v>713</v>
      </c>
      <c r="C1428" s="64"/>
      <c r="D1428" s="65"/>
      <c r="E1428" s="66"/>
      <c r="F1428" s="67"/>
      <c r="G1428" s="64"/>
      <c r="H1428" s="68"/>
      <c r="I1428" s="69"/>
      <c r="J1428" s="69"/>
      <c r="K1428" s="32"/>
      <c r="L1428" s="76">
        <v>1428</v>
      </c>
      <c r="M1428" s="76"/>
      <c r="N1428" s="71"/>
      <c r="O1428" s="87" t="s">
        <v>179</v>
      </c>
      <c r="P1428" s="90">
        <v>45142.592592592591</v>
      </c>
      <c r="Q1428" s="87" t="s">
        <v>3228</v>
      </c>
      <c r="R1428" s="87">
        <v>0</v>
      </c>
      <c r="S1428" s="87">
        <v>0</v>
      </c>
      <c r="T1428" s="87">
        <v>0</v>
      </c>
      <c r="U1428" s="87">
        <v>0</v>
      </c>
      <c r="V1428" s="87">
        <v>20</v>
      </c>
      <c r="W1428" s="93" t="s">
        <v>6828</v>
      </c>
      <c r="X1428" s="92" t="str">
        <f>HYPERLINK("https://www.egaion.com.br/selecoes/")</f>
        <v>https://www.egaion.com.br/selecoes/</v>
      </c>
      <c r="Y1428" s="87" t="s">
        <v>8373</v>
      </c>
      <c r="Z1428" s="87"/>
      <c r="AA1428" s="87" t="s">
        <v>9540</v>
      </c>
      <c r="AB1428" s="87" t="s">
        <v>11448</v>
      </c>
      <c r="AC1428" s="93" t="s">
        <v>11458</v>
      </c>
      <c r="AD1428" s="87" t="s">
        <v>11519</v>
      </c>
      <c r="AE1428" s="92" t="str">
        <f>HYPERLINK("https://twitter.com/sebrae_ma/status/1687466755646468097")</f>
        <v>https://twitter.com/sebrae_ma/status/1687466755646468097</v>
      </c>
      <c r="AF1428" s="90">
        <v>45142.592592592591</v>
      </c>
      <c r="AG1428" s="99">
        <v>45142</v>
      </c>
      <c r="AH1428" s="93" t="s">
        <v>12849</v>
      </c>
      <c r="AI1428" s="87" t="b">
        <v>0</v>
      </c>
      <c r="AJ1428" s="87"/>
      <c r="AK1428" s="87"/>
      <c r="AL1428" s="87"/>
      <c r="AM1428" s="87"/>
      <c r="AN1428" s="87"/>
      <c r="AO1428" s="87"/>
      <c r="AP1428" s="87"/>
      <c r="AQ1428" s="87" t="s">
        <v>16353</v>
      </c>
      <c r="AR1428" s="87"/>
      <c r="AS1428" s="87"/>
      <c r="AT1428" s="87"/>
      <c r="AU1428" s="87"/>
      <c r="AV1428" s="92" t="str">
        <f>HYPERLINK("https://pbs.twimg.com/media/F2sWETEXQAA7B9_.jpg")</f>
        <v>https://pbs.twimg.com/media/F2sWETEXQAA7B9_.jpg</v>
      </c>
      <c r="AW1428" s="93" t="s">
        <v>19661</v>
      </c>
      <c r="AX1428" s="93" t="s">
        <v>19661</v>
      </c>
      <c r="AY1428" s="87"/>
      <c r="AZ1428" s="93" t="s">
        <v>22668</v>
      </c>
      <c r="BA1428" s="93" t="s">
        <v>22668</v>
      </c>
      <c r="BB1428" s="93" t="s">
        <v>22668</v>
      </c>
      <c r="BC1428" s="93" t="s">
        <v>19661</v>
      </c>
      <c r="BD1428" s="87">
        <v>2357125110</v>
      </c>
      <c r="BE1428" s="87"/>
      <c r="BF1428" s="87"/>
      <c r="BG1428" s="87"/>
      <c r="BH1428" s="87"/>
      <c r="BI1428" s="87"/>
    </row>
    <row r="1429" spans="1:61" x14ac:dyDescent="0.25">
      <c r="A1429" s="63" t="s">
        <v>713</v>
      </c>
      <c r="B1429" s="63" t="s">
        <v>713</v>
      </c>
      <c r="C1429" s="64"/>
      <c r="D1429" s="65"/>
      <c r="E1429" s="66"/>
      <c r="F1429" s="67"/>
      <c r="G1429" s="64"/>
      <c r="H1429" s="68"/>
      <c r="I1429" s="69"/>
      <c r="J1429" s="69"/>
      <c r="K1429" s="32"/>
      <c r="L1429" s="76">
        <v>1429</v>
      </c>
      <c r="M1429" s="76"/>
      <c r="N1429" s="71"/>
      <c r="O1429" s="87" t="s">
        <v>179</v>
      </c>
      <c r="P1429" s="90">
        <v>45114.798148148147</v>
      </c>
      <c r="Q1429" s="87" t="s">
        <v>3229</v>
      </c>
      <c r="R1429" s="87">
        <v>0</v>
      </c>
      <c r="S1429" s="87">
        <v>2</v>
      </c>
      <c r="T1429" s="87">
        <v>0</v>
      </c>
      <c r="U1429" s="87">
        <v>0</v>
      </c>
      <c r="V1429" s="87">
        <v>40</v>
      </c>
      <c r="W1429" s="93" t="s">
        <v>6829</v>
      </c>
      <c r="X1429" s="87"/>
      <c r="Y1429" s="87"/>
      <c r="Z1429" s="87"/>
      <c r="AA1429" s="87" t="s">
        <v>9541</v>
      </c>
      <c r="AB1429" s="87" t="s">
        <v>11447</v>
      </c>
      <c r="AC1429" s="93" t="s">
        <v>11458</v>
      </c>
      <c r="AD1429" s="87" t="s">
        <v>11519</v>
      </c>
      <c r="AE1429" s="92" t="str">
        <f>HYPERLINK("https://twitter.com/sebrae_ma/status/1677394385334353920")</f>
        <v>https://twitter.com/sebrae_ma/status/1677394385334353920</v>
      </c>
      <c r="AF1429" s="90">
        <v>45114.798148148147</v>
      </c>
      <c r="AG1429" s="99">
        <v>45114</v>
      </c>
      <c r="AH1429" s="93" t="s">
        <v>12850</v>
      </c>
      <c r="AI1429" s="87" t="b">
        <v>0</v>
      </c>
      <c r="AJ1429" s="87"/>
      <c r="AK1429" s="87"/>
      <c r="AL1429" s="87"/>
      <c r="AM1429" s="87"/>
      <c r="AN1429" s="87"/>
      <c r="AO1429" s="87"/>
      <c r="AP1429" s="87"/>
      <c r="AQ1429" s="87" t="s">
        <v>16354</v>
      </c>
      <c r="AR1429" s="87">
        <v>8833</v>
      </c>
      <c r="AS1429" s="87"/>
      <c r="AT1429" s="87"/>
      <c r="AU1429" s="87"/>
      <c r="AV1429" s="92" t="str">
        <f>HYPERLINK("https://pbs.twimg.com/ext_tw_video_thumb/1677394342678241292/pu/img/DZwGEcG3myh6rdTj.jpg")</f>
        <v>https://pbs.twimg.com/ext_tw_video_thumb/1677394342678241292/pu/img/DZwGEcG3myh6rdTj.jpg</v>
      </c>
      <c r="AW1429" s="93" t="s">
        <v>19662</v>
      </c>
      <c r="AX1429" s="93" t="s">
        <v>19662</v>
      </c>
      <c r="AY1429" s="87"/>
      <c r="AZ1429" s="93" t="s">
        <v>22668</v>
      </c>
      <c r="BA1429" s="93" t="s">
        <v>22668</v>
      </c>
      <c r="BB1429" s="93" t="s">
        <v>22668</v>
      </c>
      <c r="BC1429" s="93" t="s">
        <v>19662</v>
      </c>
      <c r="BD1429" s="87">
        <v>2357125110</v>
      </c>
      <c r="BE1429" s="87"/>
      <c r="BF1429" s="87"/>
      <c r="BG1429" s="87"/>
      <c r="BH1429" s="87"/>
      <c r="BI1429" s="87"/>
    </row>
    <row r="1430" spans="1:61" x14ac:dyDescent="0.25">
      <c r="A1430" s="63" t="s">
        <v>713</v>
      </c>
      <c r="B1430" s="63" t="s">
        <v>713</v>
      </c>
      <c r="C1430" s="64"/>
      <c r="D1430" s="65"/>
      <c r="E1430" s="66"/>
      <c r="F1430" s="67"/>
      <c r="G1430" s="64"/>
      <c r="H1430" s="68"/>
      <c r="I1430" s="69"/>
      <c r="J1430" s="69"/>
      <c r="K1430" s="32"/>
      <c r="L1430" s="76">
        <v>1430</v>
      </c>
      <c r="M1430" s="76"/>
      <c r="N1430" s="71"/>
      <c r="O1430" s="87" t="s">
        <v>179</v>
      </c>
      <c r="P1430" s="90">
        <v>45160.772141203706</v>
      </c>
      <c r="Q1430" s="87" t="s">
        <v>3230</v>
      </c>
      <c r="R1430" s="87">
        <v>0</v>
      </c>
      <c r="S1430" s="87">
        <v>0</v>
      </c>
      <c r="T1430" s="87">
        <v>1</v>
      </c>
      <c r="U1430" s="87">
        <v>0</v>
      </c>
      <c r="V1430" s="87">
        <v>34</v>
      </c>
      <c r="W1430" s="93" t="s">
        <v>6830</v>
      </c>
      <c r="X1430" s="87"/>
      <c r="Y1430" s="87"/>
      <c r="Z1430" s="87"/>
      <c r="AA1430" s="87" t="s">
        <v>9542</v>
      </c>
      <c r="AB1430" s="87" t="s">
        <v>11448</v>
      </c>
      <c r="AC1430" s="93" t="s">
        <v>11457</v>
      </c>
      <c r="AD1430" s="87" t="s">
        <v>11519</v>
      </c>
      <c r="AE1430" s="92" t="str">
        <f>HYPERLINK("https://twitter.com/sebrae_ma/status/1694054800659214409")</f>
        <v>https://twitter.com/sebrae_ma/status/1694054800659214409</v>
      </c>
      <c r="AF1430" s="90">
        <v>45160.772141203706</v>
      </c>
      <c r="AG1430" s="99">
        <v>45160</v>
      </c>
      <c r="AH1430" s="93" t="s">
        <v>12851</v>
      </c>
      <c r="AI1430" s="87" t="b">
        <v>0</v>
      </c>
      <c r="AJ1430" s="87"/>
      <c r="AK1430" s="87"/>
      <c r="AL1430" s="87"/>
      <c r="AM1430" s="87"/>
      <c r="AN1430" s="87"/>
      <c r="AO1430" s="87"/>
      <c r="AP1430" s="87"/>
      <c r="AQ1430" s="87" t="s">
        <v>16355</v>
      </c>
      <c r="AR1430" s="87"/>
      <c r="AS1430" s="87"/>
      <c r="AT1430" s="87"/>
      <c r="AU1430" s="87"/>
      <c r="AV1430" s="92" t="str">
        <f>HYPERLINK("https://pbs.twimg.com/media/F4J9uN_X0AAwmnq.jpg")</f>
        <v>https://pbs.twimg.com/media/F4J9uN_X0AAwmnq.jpg</v>
      </c>
      <c r="AW1430" s="93" t="s">
        <v>19663</v>
      </c>
      <c r="AX1430" s="93" t="s">
        <v>19663</v>
      </c>
      <c r="AY1430" s="87"/>
      <c r="AZ1430" s="93" t="s">
        <v>22668</v>
      </c>
      <c r="BA1430" s="93" t="s">
        <v>22668</v>
      </c>
      <c r="BB1430" s="93" t="s">
        <v>22668</v>
      </c>
      <c r="BC1430" s="93" t="s">
        <v>19663</v>
      </c>
      <c r="BD1430" s="87">
        <v>2357125110</v>
      </c>
      <c r="BE1430" s="87"/>
      <c r="BF1430" s="87"/>
      <c r="BG1430" s="87"/>
      <c r="BH1430" s="87"/>
      <c r="BI1430" s="87"/>
    </row>
    <row r="1431" spans="1:61" x14ac:dyDescent="0.25">
      <c r="A1431" s="63" t="s">
        <v>713</v>
      </c>
      <c r="B1431" s="63" t="s">
        <v>713</v>
      </c>
      <c r="C1431" s="64"/>
      <c r="D1431" s="65"/>
      <c r="E1431" s="66"/>
      <c r="F1431" s="67"/>
      <c r="G1431" s="64"/>
      <c r="H1431" s="68"/>
      <c r="I1431" s="69"/>
      <c r="J1431" s="69"/>
      <c r="K1431" s="32"/>
      <c r="L1431" s="76">
        <v>1431</v>
      </c>
      <c r="M1431" s="76"/>
      <c r="N1431" s="71"/>
      <c r="O1431" s="87" t="s">
        <v>179</v>
      </c>
      <c r="P1431" s="90">
        <v>45173.8125</v>
      </c>
      <c r="Q1431" s="87" t="s">
        <v>3231</v>
      </c>
      <c r="R1431" s="87">
        <v>0</v>
      </c>
      <c r="S1431" s="87">
        <v>0</v>
      </c>
      <c r="T1431" s="87">
        <v>0</v>
      </c>
      <c r="U1431" s="87">
        <v>0</v>
      </c>
      <c r="V1431" s="87">
        <v>104</v>
      </c>
      <c r="W1431" s="93" t="s">
        <v>6831</v>
      </c>
      <c r="X1431" s="87"/>
      <c r="Y1431" s="87"/>
      <c r="Z1431" s="87"/>
      <c r="AA1431" s="87" t="s">
        <v>9543</v>
      </c>
      <c r="AB1431" s="87" t="s">
        <v>11447</v>
      </c>
      <c r="AC1431" s="93" t="s">
        <v>11457</v>
      </c>
      <c r="AD1431" s="87" t="s">
        <v>11519</v>
      </c>
      <c r="AE1431" s="92" t="str">
        <f>HYPERLINK("https://twitter.com/sebrae_ma/status/1698780469226258681")</f>
        <v>https://twitter.com/sebrae_ma/status/1698780469226258681</v>
      </c>
      <c r="AF1431" s="90">
        <v>45173.8125</v>
      </c>
      <c r="AG1431" s="99">
        <v>45173</v>
      </c>
      <c r="AH1431" s="93" t="s">
        <v>12311</v>
      </c>
      <c r="AI1431" s="87" t="b">
        <v>0</v>
      </c>
      <c r="AJ1431" s="87"/>
      <c r="AK1431" s="87"/>
      <c r="AL1431" s="87"/>
      <c r="AM1431" s="87"/>
      <c r="AN1431" s="87"/>
      <c r="AO1431" s="87"/>
      <c r="AP1431" s="87"/>
      <c r="AQ1431" s="87" t="s">
        <v>16356</v>
      </c>
      <c r="AR1431" s="87">
        <v>42771</v>
      </c>
      <c r="AS1431" s="87"/>
      <c r="AT1431" s="87"/>
      <c r="AU1431" s="87"/>
      <c r="AV1431" s="92" t="str">
        <f>HYPERLINK("https://pbs.twimg.com/ext_tw_video_thumb/1698764940637573121/pu/img/Xo3HyB9s_L6fBrLU.jpg")</f>
        <v>https://pbs.twimg.com/ext_tw_video_thumb/1698764940637573121/pu/img/Xo3HyB9s_L6fBrLU.jpg</v>
      </c>
      <c r="AW1431" s="93" t="s">
        <v>19664</v>
      </c>
      <c r="AX1431" s="93" t="s">
        <v>19664</v>
      </c>
      <c r="AY1431" s="87"/>
      <c r="AZ1431" s="93" t="s">
        <v>22668</v>
      </c>
      <c r="BA1431" s="93" t="s">
        <v>22668</v>
      </c>
      <c r="BB1431" s="93" t="s">
        <v>22668</v>
      </c>
      <c r="BC1431" s="93" t="s">
        <v>19664</v>
      </c>
      <c r="BD1431" s="87">
        <v>2357125110</v>
      </c>
      <c r="BE1431" s="87"/>
      <c r="BF1431" s="87"/>
      <c r="BG1431" s="87"/>
      <c r="BH1431" s="87"/>
      <c r="BI1431" s="87"/>
    </row>
    <row r="1432" spans="1:61" x14ac:dyDescent="0.25">
      <c r="A1432" s="63" t="s">
        <v>713</v>
      </c>
      <c r="B1432" s="63" t="s">
        <v>713</v>
      </c>
      <c r="C1432" s="64"/>
      <c r="D1432" s="65"/>
      <c r="E1432" s="66"/>
      <c r="F1432" s="67"/>
      <c r="G1432" s="64"/>
      <c r="H1432" s="68"/>
      <c r="I1432" s="69"/>
      <c r="J1432" s="69"/>
      <c r="K1432" s="32"/>
      <c r="L1432" s="76">
        <v>1432</v>
      </c>
      <c r="M1432" s="76"/>
      <c r="N1432" s="71"/>
      <c r="O1432" s="87" t="s">
        <v>1840</v>
      </c>
      <c r="P1432" s="90">
        <v>45159.481469907405</v>
      </c>
      <c r="Q1432" s="87" t="s">
        <v>3232</v>
      </c>
      <c r="R1432" s="87">
        <v>0</v>
      </c>
      <c r="S1432" s="87">
        <v>0</v>
      </c>
      <c r="T1432" s="87">
        <v>0</v>
      </c>
      <c r="U1432" s="87">
        <v>0</v>
      </c>
      <c r="V1432" s="87">
        <v>15</v>
      </c>
      <c r="W1432" s="93" t="s">
        <v>6832</v>
      </c>
      <c r="X1432" s="87"/>
      <c r="Y1432" s="87"/>
      <c r="Z1432" s="87"/>
      <c r="AA1432" s="87"/>
      <c r="AB1432" s="87"/>
      <c r="AC1432" s="93" t="s">
        <v>11457</v>
      </c>
      <c r="AD1432" s="87" t="s">
        <v>11519</v>
      </c>
      <c r="AE1432" s="92" t="str">
        <f>HYPERLINK("https://twitter.com/sebrae_ma/status/1693587077118464270")</f>
        <v>https://twitter.com/sebrae_ma/status/1693587077118464270</v>
      </c>
      <c r="AF1432" s="90">
        <v>45159.481469907405</v>
      </c>
      <c r="AG1432" s="99">
        <v>45159</v>
      </c>
      <c r="AH1432" s="93" t="s">
        <v>12852</v>
      </c>
      <c r="AI1432" s="87"/>
      <c r="AJ1432" s="87"/>
      <c r="AK1432" s="87"/>
      <c r="AL1432" s="87"/>
      <c r="AM1432" s="87"/>
      <c r="AN1432" s="87"/>
      <c r="AO1432" s="87"/>
      <c r="AP1432" s="87"/>
      <c r="AQ1432" s="87"/>
      <c r="AR1432" s="87"/>
      <c r="AS1432" s="87"/>
      <c r="AT1432" s="87"/>
      <c r="AU1432" s="87"/>
      <c r="AV1432" s="92" t="str">
        <f>HYPERLINK("https://pbs.twimg.com/profile_images/1612589208815763463/bm6BmdDT_normal.jpg")</f>
        <v>https://pbs.twimg.com/profile_images/1612589208815763463/bm6BmdDT_normal.jpg</v>
      </c>
      <c r="AW1432" s="93" t="s">
        <v>19665</v>
      </c>
      <c r="AX1432" s="93" t="s">
        <v>22372</v>
      </c>
      <c r="AY1432" s="93" t="s">
        <v>22566</v>
      </c>
      <c r="AZ1432" s="93" t="s">
        <v>22712</v>
      </c>
      <c r="BA1432" s="93" t="s">
        <v>22668</v>
      </c>
      <c r="BB1432" s="93" t="s">
        <v>22668</v>
      </c>
      <c r="BC1432" s="93" t="s">
        <v>22712</v>
      </c>
      <c r="BD1432" s="87">
        <v>2357125110</v>
      </c>
      <c r="BE1432" s="87"/>
      <c r="BF1432" s="87"/>
      <c r="BG1432" s="87"/>
      <c r="BH1432" s="87"/>
      <c r="BI1432" s="87"/>
    </row>
    <row r="1433" spans="1:61" x14ac:dyDescent="0.25">
      <c r="A1433" s="63" t="s">
        <v>713</v>
      </c>
      <c r="B1433" s="63" t="s">
        <v>713</v>
      </c>
      <c r="C1433" s="64"/>
      <c r="D1433" s="65"/>
      <c r="E1433" s="66"/>
      <c r="F1433" s="67"/>
      <c r="G1433" s="64"/>
      <c r="H1433" s="68"/>
      <c r="I1433" s="69"/>
      <c r="J1433" s="69"/>
      <c r="K1433" s="32"/>
      <c r="L1433" s="76">
        <v>1433</v>
      </c>
      <c r="M1433" s="76"/>
      <c r="N1433" s="71"/>
      <c r="O1433" s="87" t="s">
        <v>179</v>
      </c>
      <c r="P1433" s="90">
        <v>45112.522824074076</v>
      </c>
      <c r="Q1433" s="87" t="s">
        <v>3233</v>
      </c>
      <c r="R1433" s="87">
        <v>0</v>
      </c>
      <c r="S1433" s="87">
        <v>0</v>
      </c>
      <c r="T1433" s="87">
        <v>0</v>
      </c>
      <c r="U1433" s="87">
        <v>0</v>
      </c>
      <c r="V1433" s="87">
        <v>59</v>
      </c>
      <c r="W1433" s="93" t="s">
        <v>6830</v>
      </c>
      <c r="X1433" s="87"/>
      <c r="Y1433" s="87"/>
      <c r="Z1433" s="87"/>
      <c r="AA1433" s="87" t="s">
        <v>9544</v>
      </c>
      <c r="AB1433" s="87" t="s">
        <v>11449</v>
      </c>
      <c r="AC1433" s="93" t="s">
        <v>11458</v>
      </c>
      <c r="AD1433" s="87" t="s">
        <v>11519</v>
      </c>
      <c r="AE1433" s="92" t="str">
        <f>HYPERLINK("https://twitter.com/sebrae_ma/status/1676569835646377989")</f>
        <v>https://twitter.com/sebrae_ma/status/1676569835646377989</v>
      </c>
      <c r="AF1433" s="90">
        <v>45112.522824074076</v>
      </c>
      <c r="AG1433" s="99">
        <v>45112</v>
      </c>
      <c r="AH1433" s="93" t="s">
        <v>12853</v>
      </c>
      <c r="AI1433" s="87" t="b">
        <v>0</v>
      </c>
      <c r="AJ1433" s="87"/>
      <c r="AK1433" s="87"/>
      <c r="AL1433" s="87"/>
      <c r="AM1433" s="87"/>
      <c r="AN1433" s="87"/>
      <c r="AO1433" s="87"/>
      <c r="AP1433" s="87"/>
      <c r="AQ1433" s="87" t="s">
        <v>16357</v>
      </c>
      <c r="AR1433" s="87"/>
      <c r="AS1433" s="87"/>
      <c r="AT1433" s="87"/>
      <c r="AU1433" s="87"/>
      <c r="AV1433" s="92" t="str">
        <f>HYPERLINK("https://pbs.twimg.com/media/F0RfYB1WcAA8sMt.jpg")</f>
        <v>https://pbs.twimg.com/media/F0RfYB1WcAA8sMt.jpg</v>
      </c>
      <c r="AW1433" s="93" t="s">
        <v>19666</v>
      </c>
      <c r="AX1433" s="93" t="s">
        <v>19666</v>
      </c>
      <c r="AY1433" s="87"/>
      <c r="AZ1433" s="93" t="s">
        <v>22668</v>
      </c>
      <c r="BA1433" s="93" t="s">
        <v>22668</v>
      </c>
      <c r="BB1433" s="93" t="s">
        <v>22668</v>
      </c>
      <c r="BC1433" s="93" t="s">
        <v>19666</v>
      </c>
      <c r="BD1433" s="87">
        <v>2357125110</v>
      </c>
      <c r="BE1433" s="87"/>
      <c r="BF1433" s="87"/>
      <c r="BG1433" s="87"/>
      <c r="BH1433" s="87"/>
      <c r="BI1433" s="87"/>
    </row>
    <row r="1434" spans="1:61" x14ac:dyDescent="0.25">
      <c r="A1434" s="63" t="s">
        <v>713</v>
      </c>
      <c r="B1434" s="63" t="s">
        <v>713</v>
      </c>
      <c r="C1434" s="64"/>
      <c r="D1434" s="65"/>
      <c r="E1434" s="66"/>
      <c r="F1434" s="67"/>
      <c r="G1434" s="64"/>
      <c r="H1434" s="68"/>
      <c r="I1434" s="69"/>
      <c r="J1434" s="69"/>
      <c r="K1434" s="32"/>
      <c r="L1434" s="76">
        <v>1434</v>
      </c>
      <c r="M1434" s="76"/>
      <c r="N1434" s="71"/>
      <c r="O1434" s="87" t="s">
        <v>1840</v>
      </c>
      <c r="P1434" s="90">
        <v>45111.876307870371</v>
      </c>
      <c r="Q1434" s="87" t="s">
        <v>3234</v>
      </c>
      <c r="R1434" s="87">
        <v>0</v>
      </c>
      <c r="S1434" s="87">
        <v>0</v>
      </c>
      <c r="T1434" s="87">
        <v>0</v>
      </c>
      <c r="U1434" s="87">
        <v>0</v>
      </c>
      <c r="V1434" s="87">
        <v>38</v>
      </c>
      <c r="W1434" s="93" t="s">
        <v>6833</v>
      </c>
      <c r="X1434" s="92" t="str">
        <f>HYPERLINK("https://bit.ly/presenca-digital-como-construir-a-sua-e-qual-a-importancia")</f>
        <v>https://bit.ly/presenca-digital-como-construir-a-sua-e-qual-a-importancia</v>
      </c>
      <c r="Y1434" s="87" t="s">
        <v>8374</v>
      </c>
      <c r="Z1434" s="87"/>
      <c r="AA1434" s="87"/>
      <c r="AB1434" s="87"/>
      <c r="AC1434" s="93" t="s">
        <v>11457</v>
      </c>
      <c r="AD1434" s="87" t="s">
        <v>11519</v>
      </c>
      <c r="AE1434" s="92" t="str">
        <f>HYPERLINK("https://twitter.com/sebrae_ma/status/1676335544089956353")</f>
        <v>https://twitter.com/sebrae_ma/status/1676335544089956353</v>
      </c>
      <c r="AF1434" s="90">
        <v>45111.876307870371</v>
      </c>
      <c r="AG1434" s="99">
        <v>45111</v>
      </c>
      <c r="AH1434" s="93" t="s">
        <v>12854</v>
      </c>
      <c r="AI1434" s="87" t="b">
        <v>0</v>
      </c>
      <c r="AJ1434" s="87"/>
      <c r="AK1434" s="87"/>
      <c r="AL1434" s="87"/>
      <c r="AM1434" s="87"/>
      <c r="AN1434" s="87"/>
      <c r="AO1434" s="87"/>
      <c r="AP1434" s="87"/>
      <c r="AQ1434" s="87"/>
      <c r="AR1434" s="87"/>
      <c r="AS1434" s="87"/>
      <c r="AT1434" s="87"/>
      <c r="AU1434" s="87"/>
      <c r="AV1434" s="92" t="str">
        <f>HYPERLINK("https://pbs.twimg.com/profile_images/1612589208815763463/bm6BmdDT_normal.jpg")</f>
        <v>https://pbs.twimg.com/profile_images/1612589208815763463/bm6BmdDT_normal.jpg</v>
      </c>
      <c r="AW1434" s="93" t="s">
        <v>19667</v>
      </c>
      <c r="AX1434" s="93" t="s">
        <v>22373</v>
      </c>
      <c r="AY1434" s="93" t="s">
        <v>22566</v>
      </c>
      <c r="AZ1434" s="93" t="s">
        <v>22713</v>
      </c>
      <c r="BA1434" s="93" t="s">
        <v>22668</v>
      </c>
      <c r="BB1434" s="93" t="s">
        <v>22668</v>
      </c>
      <c r="BC1434" s="93" t="s">
        <v>22713</v>
      </c>
      <c r="BD1434" s="87">
        <v>2357125110</v>
      </c>
      <c r="BE1434" s="87"/>
      <c r="BF1434" s="87"/>
      <c r="BG1434" s="87"/>
      <c r="BH1434" s="87"/>
      <c r="BI1434" s="87"/>
    </row>
    <row r="1435" spans="1:61" x14ac:dyDescent="0.25">
      <c r="A1435" s="63" t="s">
        <v>713</v>
      </c>
      <c r="B1435" s="63" t="s">
        <v>713</v>
      </c>
      <c r="C1435" s="64"/>
      <c r="D1435" s="65"/>
      <c r="E1435" s="66"/>
      <c r="F1435" s="67"/>
      <c r="G1435" s="64"/>
      <c r="H1435" s="68"/>
      <c r="I1435" s="69"/>
      <c r="J1435" s="69"/>
      <c r="K1435" s="32"/>
      <c r="L1435" s="76">
        <v>1435</v>
      </c>
      <c r="M1435" s="76"/>
      <c r="N1435" s="71"/>
      <c r="O1435" s="87" t="s">
        <v>179</v>
      </c>
      <c r="P1435" s="90">
        <v>45174.759884259256</v>
      </c>
      <c r="Q1435" s="87" t="s">
        <v>3235</v>
      </c>
      <c r="R1435" s="87">
        <v>0</v>
      </c>
      <c r="S1435" s="87">
        <v>0</v>
      </c>
      <c r="T1435" s="87">
        <v>0</v>
      </c>
      <c r="U1435" s="87">
        <v>0</v>
      </c>
      <c r="V1435" s="87">
        <v>15</v>
      </c>
      <c r="W1435" s="93" t="s">
        <v>6834</v>
      </c>
      <c r="X1435" s="87"/>
      <c r="Y1435" s="87"/>
      <c r="Z1435" s="87"/>
      <c r="AA1435" s="87" t="s">
        <v>9545</v>
      </c>
      <c r="AB1435" s="87" t="s">
        <v>11447</v>
      </c>
      <c r="AC1435" s="93" t="s">
        <v>11457</v>
      </c>
      <c r="AD1435" s="87" t="s">
        <v>11519</v>
      </c>
      <c r="AE1435" s="92" t="str">
        <f>HYPERLINK("https://twitter.com/sebrae_ma/status/1699123789928247417")</f>
        <v>https://twitter.com/sebrae_ma/status/1699123789928247417</v>
      </c>
      <c r="AF1435" s="90">
        <v>45174.759884259256</v>
      </c>
      <c r="AG1435" s="99">
        <v>45174</v>
      </c>
      <c r="AH1435" s="93" t="s">
        <v>12855</v>
      </c>
      <c r="AI1435" s="87" t="b">
        <v>0</v>
      </c>
      <c r="AJ1435" s="87"/>
      <c r="AK1435" s="87"/>
      <c r="AL1435" s="87"/>
      <c r="AM1435" s="87"/>
      <c r="AN1435" s="87"/>
      <c r="AO1435" s="87"/>
      <c r="AP1435" s="87"/>
      <c r="AQ1435" s="87" t="s">
        <v>16358</v>
      </c>
      <c r="AR1435" s="87">
        <v>79700</v>
      </c>
      <c r="AS1435" s="87"/>
      <c r="AT1435" s="87"/>
      <c r="AU1435" s="87"/>
      <c r="AV1435" s="92" t="str">
        <f>HYPERLINK("https://pbs.twimg.com/ext_tw_video_thumb/1699112644265775104/pu/img/7Paw-fGPPG_bxm7G.jpg")</f>
        <v>https://pbs.twimg.com/ext_tw_video_thumb/1699112644265775104/pu/img/7Paw-fGPPG_bxm7G.jpg</v>
      </c>
      <c r="AW1435" s="93" t="s">
        <v>19668</v>
      </c>
      <c r="AX1435" s="93" t="s">
        <v>19668</v>
      </c>
      <c r="AY1435" s="87"/>
      <c r="AZ1435" s="93" t="s">
        <v>22668</v>
      </c>
      <c r="BA1435" s="93" t="s">
        <v>22668</v>
      </c>
      <c r="BB1435" s="93" t="s">
        <v>22668</v>
      </c>
      <c r="BC1435" s="93" t="s">
        <v>19668</v>
      </c>
      <c r="BD1435" s="87">
        <v>2357125110</v>
      </c>
      <c r="BE1435" s="87"/>
      <c r="BF1435" s="87"/>
      <c r="BG1435" s="87"/>
      <c r="BH1435" s="87"/>
      <c r="BI1435" s="87"/>
    </row>
    <row r="1436" spans="1:61" x14ac:dyDescent="0.25">
      <c r="A1436" s="63" t="s">
        <v>713</v>
      </c>
      <c r="B1436" s="63" t="s">
        <v>713</v>
      </c>
      <c r="C1436" s="64"/>
      <c r="D1436" s="65"/>
      <c r="E1436" s="66"/>
      <c r="F1436" s="67"/>
      <c r="G1436" s="64"/>
      <c r="H1436" s="68"/>
      <c r="I1436" s="69"/>
      <c r="J1436" s="69"/>
      <c r="K1436" s="32"/>
      <c r="L1436" s="76">
        <v>1436</v>
      </c>
      <c r="M1436" s="76"/>
      <c r="N1436" s="71"/>
      <c r="O1436" s="87" t="s">
        <v>1840</v>
      </c>
      <c r="P1436" s="90">
        <v>45139.523125</v>
      </c>
      <c r="Q1436" s="87" t="s">
        <v>3236</v>
      </c>
      <c r="R1436" s="87">
        <v>0</v>
      </c>
      <c r="S1436" s="87">
        <v>0</v>
      </c>
      <c r="T1436" s="87">
        <v>0</v>
      </c>
      <c r="U1436" s="87">
        <v>0</v>
      </c>
      <c r="V1436" s="87">
        <v>15</v>
      </c>
      <c r="W1436" s="93" t="s">
        <v>6832</v>
      </c>
      <c r="X1436" s="87"/>
      <c r="Y1436" s="87"/>
      <c r="Z1436" s="87"/>
      <c r="AA1436" s="87"/>
      <c r="AB1436" s="87"/>
      <c r="AC1436" s="93" t="s">
        <v>11457</v>
      </c>
      <c r="AD1436" s="87" t="s">
        <v>11519</v>
      </c>
      <c r="AE1436" s="92" t="str">
        <f>HYPERLINK("https://twitter.com/sebrae_ma/status/1686354417874870273")</f>
        <v>https://twitter.com/sebrae_ma/status/1686354417874870273</v>
      </c>
      <c r="AF1436" s="90">
        <v>45139.523125</v>
      </c>
      <c r="AG1436" s="99">
        <v>45139</v>
      </c>
      <c r="AH1436" s="93" t="s">
        <v>12856</v>
      </c>
      <c r="AI1436" s="87"/>
      <c r="AJ1436" s="87"/>
      <c r="AK1436" s="87"/>
      <c r="AL1436" s="87"/>
      <c r="AM1436" s="87"/>
      <c r="AN1436" s="87"/>
      <c r="AO1436" s="87"/>
      <c r="AP1436" s="87"/>
      <c r="AQ1436" s="87"/>
      <c r="AR1436" s="87"/>
      <c r="AS1436" s="87"/>
      <c r="AT1436" s="87"/>
      <c r="AU1436" s="87"/>
      <c r="AV1436" s="92" t="str">
        <f>HYPERLINK("https://pbs.twimg.com/profile_images/1612589208815763463/bm6BmdDT_normal.jpg")</f>
        <v>https://pbs.twimg.com/profile_images/1612589208815763463/bm6BmdDT_normal.jpg</v>
      </c>
      <c r="AW1436" s="93" t="s">
        <v>19669</v>
      </c>
      <c r="AX1436" s="93" t="s">
        <v>22374</v>
      </c>
      <c r="AY1436" s="93" t="s">
        <v>22566</v>
      </c>
      <c r="AZ1436" s="93" t="s">
        <v>22714</v>
      </c>
      <c r="BA1436" s="93" t="s">
        <v>22668</v>
      </c>
      <c r="BB1436" s="93" t="s">
        <v>22668</v>
      </c>
      <c r="BC1436" s="93" t="s">
        <v>22714</v>
      </c>
      <c r="BD1436" s="87">
        <v>2357125110</v>
      </c>
      <c r="BE1436" s="87"/>
      <c r="BF1436" s="87"/>
      <c r="BG1436" s="87"/>
      <c r="BH1436" s="87"/>
      <c r="BI1436" s="87"/>
    </row>
    <row r="1437" spans="1:61" x14ac:dyDescent="0.25">
      <c r="A1437" s="63" t="s">
        <v>713</v>
      </c>
      <c r="B1437" s="63" t="s">
        <v>713</v>
      </c>
      <c r="C1437" s="64"/>
      <c r="D1437" s="65"/>
      <c r="E1437" s="66"/>
      <c r="F1437" s="67"/>
      <c r="G1437" s="64"/>
      <c r="H1437" s="68"/>
      <c r="I1437" s="69"/>
      <c r="J1437" s="69"/>
      <c r="K1437" s="32"/>
      <c r="L1437" s="76">
        <v>1437</v>
      </c>
      <c r="M1437" s="76"/>
      <c r="N1437" s="71"/>
      <c r="O1437" s="87" t="s">
        <v>179</v>
      </c>
      <c r="P1437" s="90">
        <v>45126.522893518515</v>
      </c>
      <c r="Q1437" s="87" t="s">
        <v>3237</v>
      </c>
      <c r="R1437" s="87">
        <v>0</v>
      </c>
      <c r="S1437" s="87">
        <v>1</v>
      </c>
      <c r="T1437" s="87">
        <v>0</v>
      </c>
      <c r="U1437" s="87">
        <v>0</v>
      </c>
      <c r="V1437" s="87">
        <v>29</v>
      </c>
      <c r="W1437" s="93" t="s">
        <v>6835</v>
      </c>
      <c r="X1437" s="87"/>
      <c r="Y1437" s="87"/>
      <c r="Z1437" s="87"/>
      <c r="AA1437" s="87" t="s">
        <v>9546</v>
      </c>
      <c r="AB1437" s="87" t="s">
        <v>11449</v>
      </c>
      <c r="AC1437" s="93" t="s">
        <v>11458</v>
      </c>
      <c r="AD1437" s="87" t="s">
        <v>11519</v>
      </c>
      <c r="AE1437" s="92" t="str">
        <f>HYPERLINK("https://twitter.com/sebrae_ma/status/1681643289496154112")</f>
        <v>https://twitter.com/sebrae_ma/status/1681643289496154112</v>
      </c>
      <c r="AF1437" s="90">
        <v>45126.522893518515</v>
      </c>
      <c r="AG1437" s="99">
        <v>45126</v>
      </c>
      <c r="AH1437" s="93" t="s">
        <v>12857</v>
      </c>
      <c r="AI1437" s="87" t="b">
        <v>0</v>
      </c>
      <c r="AJ1437" s="87"/>
      <c r="AK1437" s="87"/>
      <c r="AL1437" s="87"/>
      <c r="AM1437" s="87"/>
      <c r="AN1437" s="87"/>
      <c r="AO1437" s="87"/>
      <c r="AP1437" s="87"/>
      <c r="AQ1437" s="87" t="s">
        <v>16359</v>
      </c>
      <c r="AR1437" s="87"/>
      <c r="AS1437" s="87"/>
      <c r="AT1437" s="87"/>
      <c r="AU1437" s="87"/>
      <c r="AV1437" s="92" t="str">
        <f>HYPERLINK("https://pbs.twimg.com/media/F1ZlqBXXoAEX-Ss.jpg")</f>
        <v>https://pbs.twimg.com/media/F1ZlqBXXoAEX-Ss.jpg</v>
      </c>
      <c r="AW1437" s="93" t="s">
        <v>19670</v>
      </c>
      <c r="AX1437" s="93" t="s">
        <v>19670</v>
      </c>
      <c r="AY1437" s="87"/>
      <c r="AZ1437" s="93" t="s">
        <v>22668</v>
      </c>
      <c r="BA1437" s="93" t="s">
        <v>22668</v>
      </c>
      <c r="BB1437" s="93" t="s">
        <v>22668</v>
      </c>
      <c r="BC1437" s="93" t="s">
        <v>19670</v>
      </c>
      <c r="BD1437" s="87">
        <v>2357125110</v>
      </c>
      <c r="BE1437" s="87"/>
      <c r="BF1437" s="87"/>
      <c r="BG1437" s="87"/>
      <c r="BH1437" s="87"/>
      <c r="BI1437" s="87"/>
    </row>
    <row r="1438" spans="1:61" x14ac:dyDescent="0.25">
      <c r="A1438" s="63" t="s">
        <v>713</v>
      </c>
      <c r="B1438" s="63" t="s">
        <v>713</v>
      </c>
      <c r="C1438" s="64"/>
      <c r="D1438" s="65"/>
      <c r="E1438" s="66"/>
      <c r="F1438" s="67"/>
      <c r="G1438" s="64"/>
      <c r="H1438" s="68"/>
      <c r="I1438" s="69"/>
      <c r="J1438" s="69"/>
      <c r="K1438" s="32"/>
      <c r="L1438" s="76">
        <v>1438</v>
      </c>
      <c r="M1438" s="76"/>
      <c r="N1438" s="71"/>
      <c r="O1438" s="87" t="s">
        <v>179</v>
      </c>
      <c r="P1438" s="90">
        <v>45180.777777777781</v>
      </c>
      <c r="Q1438" s="87" t="s">
        <v>3238</v>
      </c>
      <c r="R1438" s="87">
        <v>0</v>
      </c>
      <c r="S1438" s="87">
        <v>0</v>
      </c>
      <c r="T1438" s="87">
        <v>0</v>
      </c>
      <c r="U1438" s="87">
        <v>0</v>
      </c>
      <c r="V1438" s="87">
        <v>79</v>
      </c>
      <c r="W1438" s="93" t="s">
        <v>6836</v>
      </c>
      <c r="X1438" s="87"/>
      <c r="Y1438" s="87"/>
      <c r="Z1438" s="87"/>
      <c r="AA1438" s="87" t="s">
        <v>9547</v>
      </c>
      <c r="AB1438" s="87" t="s">
        <v>11447</v>
      </c>
      <c r="AC1438" s="93" t="s">
        <v>11457</v>
      </c>
      <c r="AD1438" s="87" t="s">
        <v>11519</v>
      </c>
      <c r="AE1438" s="92" t="str">
        <f>HYPERLINK("https://twitter.com/sebrae_ma/status/1701304601234886783")</f>
        <v>https://twitter.com/sebrae_ma/status/1701304601234886783</v>
      </c>
      <c r="AF1438" s="90">
        <v>45180.777777777781</v>
      </c>
      <c r="AG1438" s="99">
        <v>45180</v>
      </c>
      <c r="AH1438" s="93" t="s">
        <v>12858</v>
      </c>
      <c r="AI1438" s="87" t="b">
        <v>0</v>
      </c>
      <c r="AJ1438" s="87"/>
      <c r="AK1438" s="87"/>
      <c r="AL1438" s="87"/>
      <c r="AM1438" s="87"/>
      <c r="AN1438" s="87"/>
      <c r="AO1438" s="87"/>
      <c r="AP1438" s="87"/>
      <c r="AQ1438" s="87" t="s">
        <v>16360</v>
      </c>
      <c r="AR1438" s="87">
        <v>36600</v>
      </c>
      <c r="AS1438" s="87"/>
      <c r="AT1438" s="87"/>
      <c r="AU1438" s="87"/>
      <c r="AV1438" s="92" t="str">
        <f>HYPERLINK("https://pbs.twimg.com/ext_tw_video_thumb/1701288523402256384/pu/img/55tsNbe5DdX9wD3A.jpg")</f>
        <v>https://pbs.twimg.com/ext_tw_video_thumb/1701288523402256384/pu/img/55tsNbe5DdX9wD3A.jpg</v>
      </c>
      <c r="AW1438" s="93" t="s">
        <v>19671</v>
      </c>
      <c r="AX1438" s="93" t="s">
        <v>19671</v>
      </c>
      <c r="AY1438" s="87"/>
      <c r="AZ1438" s="93" t="s">
        <v>22668</v>
      </c>
      <c r="BA1438" s="93" t="s">
        <v>22668</v>
      </c>
      <c r="BB1438" s="93" t="s">
        <v>22668</v>
      </c>
      <c r="BC1438" s="93" t="s">
        <v>19671</v>
      </c>
      <c r="BD1438" s="87">
        <v>2357125110</v>
      </c>
      <c r="BE1438" s="87"/>
      <c r="BF1438" s="87"/>
      <c r="BG1438" s="87"/>
      <c r="BH1438" s="87"/>
      <c r="BI1438" s="87"/>
    </row>
    <row r="1439" spans="1:61" x14ac:dyDescent="0.25">
      <c r="A1439" s="63" t="s">
        <v>713</v>
      </c>
      <c r="B1439" s="63" t="s">
        <v>713</v>
      </c>
      <c r="C1439" s="64"/>
      <c r="D1439" s="65"/>
      <c r="E1439" s="66"/>
      <c r="F1439" s="67"/>
      <c r="G1439" s="64"/>
      <c r="H1439" s="68"/>
      <c r="I1439" s="69"/>
      <c r="J1439" s="69"/>
      <c r="K1439" s="32"/>
      <c r="L1439" s="76">
        <v>1439</v>
      </c>
      <c r="M1439" s="76"/>
      <c r="N1439" s="71"/>
      <c r="O1439" s="87" t="s">
        <v>179</v>
      </c>
      <c r="P1439" s="90">
        <v>45124.595335648148</v>
      </c>
      <c r="Q1439" s="87" t="s">
        <v>3239</v>
      </c>
      <c r="R1439" s="87">
        <v>0</v>
      </c>
      <c r="S1439" s="87">
        <v>0</v>
      </c>
      <c r="T1439" s="87">
        <v>0</v>
      </c>
      <c r="U1439" s="87">
        <v>0</v>
      </c>
      <c r="V1439" s="87">
        <v>39</v>
      </c>
      <c r="W1439" s="93" t="s">
        <v>6837</v>
      </c>
      <c r="X1439" s="92" t="str">
        <f>HYPERLINK("http://www.startupsummit.com.br")</f>
        <v>http://www.startupsummit.com.br</v>
      </c>
      <c r="Y1439" s="87" t="s">
        <v>8373</v>
      </c>
      <c r="Z1439" s="87"/>
      <c r="AA1439" s="87" t="s">
        <v>9548</v>
      </c>
      <c r="AB1439" s="87" t="s">
        <v>11448</v>
      </c>
      <c r="AC1439" s="93" t="s">
        <v>11458</v>
      </c>
      <c r="AD1439" s="87" t="s">
        <v>11519</v>
      </c>
      <c r="AE1439" s="92" t="str">
        <f>HYPERLINK("https://twitter.com/sebrae_ma/status/1680944767474040833")</f>
        <v>https://twitter.com/sebrae_ma/status/1680944767474040833</v>
      </c>
      <c r="AF1439" s="90">
        <v>45124.595335648148</v>
      </c>
      <c r="AG1439" s="99">
        <v>45124</v>
      </c>
      <c r="AH1439" s="93" t="s">
        <v>12859</v>
      </c>
      <c r="AI1439" s="87" t="b">
        <v>0</v>
      </c>
      <c r="AJ1439" s="87"/>
      <c r="AK1439" s="87"/>
      <c r="AL1439" s="87"/>
      <c r="AM1439" s="87"/>
      <c r="AN1439" s="87"/>
      <c r="AO1439" s="87"/>
      <c r="AP1439" s="87"/>
      <c r="AQ1439" s="87" t="s">
        <v>16361</v>
      </c>
      <c r="AR1439" s="87"/>
      <c r="AS1439" s="87"/>
      <c r="AT1439" s="87"/>
      <c r="AU1439" s="87"/>
      <c r="AV1439" s="92" t="str">
        <f>HYPERLINK("https://pbs.twimg.com/media/F1PqWr_XsAA3-AP.jpg")</f>
        <v>https://pbs.twimg.com/media/F1PqWr_XsAA3-AP.jpg</v>
      </c>
      <c r="AW1439" s="93" t="s">
        <v>19672</v>
      </c>
      <c r="AX1439" s="93" t="s">
        <v>19672</v>
      </c>
      <c r="AY1439" s="87"/>
      <c r="AZ1439" s="93" t="s">
        <v>22668</v>
      </c>
      <c r="BA1439" s="93" t="s">
        <v>22668</v>
      </c>
      <c r="BB1439" s="93" t="s">
        <v>22668</v>
      </c>
      <c r="BC1439" s="93" t="s">
        <v>19672</v>
      </c>
      <c r="BD1439" s="87">
        <v>2357125110</v>
      </c>
      <c r="BE1439" s="87"/>
      <c r="BF1439" s="87"/>
      <c r="BG1439" s="87"/>
      <c r="BH1439" s="87"/>
      <c r="BI1439" s="87"/>
    </row>
    <row r="1440" spans="1:61" x14ac:dyDescent="0.25">
      <c r="A1440" s="63" t="s">
        <v>713</v>
      </c>
      <c r="B1440" s="63" t="s">
        <v>713</v>
      </c>
      <c r="C1440" s="64"/>
      <c r="D1440" s="65"/>
      <c r="E1440" s="66"/>
      <c r="F1440" s="67"/>
      <c r="G1440" s="64"/>
      <c r="H1440" s="68"/>
      <c r="I1440" s="69"/>
      <c r="J1440" s="69"/>
      <c r="K1440" s="32"/>
      <c r="L1440" s="76">
        <v>1440</v>
      </c>
      <c r="M1440" s="76"/>
      <c r="N1440" s="71"/>
      <c r="O1440" s="87" t="s">
        <v>179</v>
      </c>
      <c r="P1440" s="90">
        <v>45182.841817129629</v>
      </c>
      <c r="Q1440" s="87" t="s">
        <v>3240</v>
      </c>
      <c r="R1440" s="87">
        <v>0</v>
      </c>
      <c r="S1440" s="87">
        <v>0</v>
      </c>
      <c r="T1440" s="87">
        <v>0</v>
      </c>
      <c r="U1440" s="87">
        <v>0</v>
      </c>
      <c r="V1440" s="87">
        <v>34</v>
      </c>
      <c r="W1440" s="93" t="s">
        <v>6838</v>
      </c>
      <c r="X1440" s="87"/>
      <c r="Y1440" s="87"/>
      <c r="Z1440" s="87"/>
      <c r="AA1440" s="87" t="s">
        <v>9549</v>
      </c>
      <c r="AB1440" s="87" t="s">
        <v>11447</v>
      </c>
      <c r="AC1440" s="93" t="s">
        <v>11457</v>
      </c>
      <c r="AD1440" s="87" t="s">
        <v>11519</v>
      </c>
      <c r="AE1440" s="92" t="str">
        <f>HYPERLINK("https://twitter.com/sebrae_ma/status/1702052584423305427")</f>
        <v>https://twitter.com/sebrae_ma/status/1702052584423305427</v>
      </c>
      <c r="AF1440" s="90">
        <v>45182.841817129629</v>
      </c>
      <c r="AG1440" s="99">
        <v>45182</v>
      </c>
      <c r="AH1440" s="93" t="s">
        <v>12860</v>
      </c>
      <c r="AI1440" s="87" t="b">
        <v>0</v>
      </c>
      <c r="AJ1440" s="87"/>
      <c r="AK1440" s="87"/>
      <c r="AL1440" s="87"/>
      <c r="AM1440" s="87"/>
      <c r="AN1440" s="87"/>
      <c r="AO1440" s="87"/>
      <c r="AP1440" s="87"/>
      <c r="AQ1440" s="87" t="s">
        <v>16362</v>
      </c>
      <c r="AR1440" s="87">
        <v>25700</v>
      </c>
      <c r="AS1440" s="87"/>
      <c r="AT1440" s="87"/>
      <c r="AU1440" s="87"/>
      <c r="AV1440" s="92" t="str">
        <f>HYPERLINK("https://pbs.twimg.com/ext_tw_video_thumb/1702052382467571712/pu/img/0eJzhmECNNdgfZUm.jpg")</f>
        <v>https://pbs.twimg.com/ext_tw_video_thumb/1702052382467571712/pu/img/0eJzhmECNNdgfZUm.jpg</v>
      </c>
      <c r="AW1440" s="93" t="s">
        <v>19673</v>
      </c>
      <c r="AX1440" s="93" t="s">
        <v>19673</v>
      </c>
      <c r="AY1440" s="87"/>
      <c r="AZ1440" s="93" t="s">
        <v>22668</v>
      </c>
      <c r="BA1440" s="93" t="s">
        <v>22668</v>
      </c>
      <c r="BB1440" s="93" t="s">
        <v>22668</v>
      </c>
      <c r="BC1440" s="93" t="s">
        <v>19673</v>
      </c>
      <c r="BD1440" s="87">
        <v>2357125110</v>
      </c>
      <c r="BE1440" s="87"/>
      <c r="BF1440" s="87"/>
      <c r="BG1440" s="87"/>
      <c r="BH1440" s="87"/>
      <c r="BI1440" s="87"/>
    </row>
    <row r="1441" spans="1:61" x14ac:dyDescent="0.25">
      <c r="A1441" s="63" t="s">
        <v>713</v>
      </c>
      <c r="B1441" s="63" t="s">
        <v>713</v>
      </c>
      <c r="C1441" s="64"/>
      <c r="D1441" s="65"/>
      <c r="E1441" s="66"/>
      <c r="F1441" s="67"/>
      <c r="G1441" s="64"/>
      <c r="H1441" s="68"/>
      <c r="I1441" s="69"/>
      <c r="J1441" s="69"/>
      <c r="K1441" s="32"/>
      <c r="L1441" s="76">
        <v>1441</v>
      </c>
      <c r="M1441" s="76"/>
      <c r="N1441" s="71"/>
      <c r="O1441" s="87" t="s">
        <v>179</v>
      </c>
      <c r="P1441" s="90">
        <v>45167.77847222222</v>
      </c>
      <c r="Q1441" s="87" t="s">
        <v>3241</v>
      </c>
      <c r="R1441" s="87">
        <v>0</v>
      </c>
      <c r="S1441" s="87">
        <v>0</v>
      </c>
      <c r="T1441" s="87">
        <v>0</v>
      </c>
      <c r="U1441" s="87">
        <v>0</v>
      </c>
      <c r="V1441" s="87">
        <v>98</v>
      </c>
      <c r="W1441" s="93" t="s">
        <v>6839</v>
      </c>
      <c r="X1441" s="87"/>
      <c r="Y1441" s="87"/>
      <c r="Z1441" s="87"/>
      <c r="AA1441" s="87" t="s">
        <v>9550</v>
      </c>
      <c r="AB1441" s="87" t="s">
        <v>11447</v>
      </c>
      <c r="AC1441" s="93" t="s">
        <v>11457</v>
      </c>
      <c r="AD1441" s="87" t="s">
        <v>11519</v>
      </c>
      <c r="AE1441" s="92" t="str">
        <f>HYPERLINK("https://twitter.com/sebrae_ma/status/1696593810338300222")</f>
        <v>https://twitter.com/sebrae_ma/status/1696593810338300222</v>
      </c>
      <c r="AF1441" s="90">
        <v>45167.77847222222</v>
      </c>
      <c r="AG1441" s="99">
        <v>45167</v>
      </c>
      <c r="AH1441" s="93" t="s">
        <v>12861</v>
      </c>
      <c r="AI1441" s="87" t="b">
        <v>0</v>
      </c>
      <c r="AJ1441" s="87"/>
      <c r="AK1441" s="87"/>
      <c r="AL1441" s="87"/>
      <c r="AM1441" s="87"/>
      <c r="AN1441" s="87"/>
      <c r="AO1441" s="87"/>
      <c r="AP1441" s="87"/>
      <c r="AQ1441" s="87" t="s">
        <v>16363</v>
      </c>
      <c r="AR1441" s="87">
        <v>42033</v>
      </c>
      <c r="AS1441" s="87"/>
      <c r="AT1441" s="87"/>
      <c r="AU1441" s="87"/>
      <c r="AV1441" s="92" t="str">
        <f>HYPERLINK("https://pbs.twimg.com/ext_tw_video_thumb/1696578591381667840/pu/img/MMvf05_kyhzkMzbC.jpg")</f>
        <v>https://pbs.twimg.com/ext_tw_video_thumb/1696578591381667840/pu/img/MMvf05_kyhzkMzbC.jpg</v>
      </c>
      <c r="AW1441" s="93" t="s">
        <v>19674</v>
      </c>
      <c r="AX1441" s="93" t="s">
        <v>19674</v>
      </c>
      <c r="AY1441" s="87"/>
      <c r="AZ1441" s="93" t="s">
        <v>22668</v>
      </c>
      <c r="BA1441" s="93" t="s">
        <v>22668</v>
      </c>
      <c r="BB1441" s="93" t="s">
        <v>22668</v>
      </c>
      <c r="BC1441" s="93" t="s">
        <v>19674</v>
      </c>
      <c r="BD1441" s="87">
        <v>2357125110</v>
      </c>
      <c r="BE1441" s="87"/>
      <c r="BF1441" s="87"/>
      <c r="BG1441" s="87"/>
      <c r="BH1441" s="87"/>
      <c r="BI1441" s="87"/>
    </row>
    <row r="1442" spans="1:61" x14ac:dyDescent="0.25">
      <c r="A1442" s="63" t="s">
        <v>713</v>
      </c>
      <c r="B1442" s="63" t="s">
        <v>713</v>
      </c>
      <c r="C1442" s="64"/>
      <c r="D1442" s="65"/>
      <c r="E1442" s="66"/>
      <c r="F1442" s="67"/>
      <c r="G1442" s="64"/>
      <c r="H1442" s="68"/>
      <c r="I1442" s="69"/>
      <c r="J1442" s="69"/>
      <c r="K1442" s="32"/>
      <c r="L1442" s="76">
        <v>1442</v>
      </c>
      <c r="M1442" s="76"/>
      <c r="N1442" s="71"/>
      <c r="O1442" s="87" t="s">
        <v>1840</v>
      </c>
      <c r="P1442" s="90">
        <v>45188.729351851849</v>
      </c>
      <c r="Q1442" s="87" t="s">
        <v>3242</v>
      </c>
      <c r="R1442" s="87">
        <v>0</v>
      </c>
      <c r="S1442" s="87">
        <v>0</v>
      </c>
      <c r="T1442" s="87">
        <v>0</v>
      </c>
      <c r="U1442" s="87">
        <v>0</v>
      </c>
      <c r="V1442" s="87">
        <v>9</v>
      </c>
      <c r="W1442" s="93" t="s">
        <v>6840</v>
      </c>
      <c r="X1442" s="92" t="str">
        <f>HYPERLINK("https://bit.ly/avaliando-as-vendas-do-seu-negocio")</f>
        <v>https://bit.ly/avaliando-as-vendas-do-seu-negocio</v>
      </c>
      <c r="Y1442" s="87" t="s">
        <v>8374</v>
      </c>
      <c r="Z1442" s="87"/>
      <c r="AA1442" s="87" t="s">
        <v>9551</v>
      </c>
      <c r="AB1442" s="87" t="s">
        <v>11451</v>
      </c>
      <c r="AC1442" s="93" t="s">
        <v>11457</v>
      </c>
      <c r="AD1442" s="87" t="s">
        <v>11519</v>
      </c>
      <c r="AE1442" s="92" t="str">
        <f>HYPERLINK("https://twitter.com/sebrae_ma/status/1704186156236013796")</f>
        <v>https://twitter.com/sebrae_ma/status/1704186156236013796</v>
      </c>
      <c r="AF1442" s="90">
        <v>45188.729351851849</v>
      </c>
      <c r="AG1442" s="99">
        <v>45188</v>
      </c>
      <c r="AH1442" s="93" t="s">
        <v>12862</v>
      </c>
      <c r="AI1442" s="87" t="b">
        <v>0</v>
      </c>
      <c r="AJ1442" s="87"/>
      <c r="AK1442" s="87"/>
      <c r="AL1442" s="87"/>
      <c r="AM1442" s="87"/>
      <c r="AN1442" s="87"/>
      <c r="AO1442" s="87"/>
      <c r="AP1442" s="87"/>
      <c r="AQ1442" s="87" t="s">
        <v>16364</v>
      </c>
      <c r="AR1442" s="87"/>
      <c r="AS1442" s="87"/>
      <c r="AT1442" s="87"/>
      <c r="AU1442" s="87"/>
      <c r="AV1442" s="92" t="str">
        <f>HYPERLINK("https://pbs.twimg.com/media/F6Z8FJDWcAAqPeW.jpg")</f>
        <v>https://pbs.twimg.com/media/F6Z8FJDWcAAqPeW.jpg</v>
      </c>
      <c r="AW1442" s="93" t="s">
        <v>19675</v>
      </c>
      <c r="AX1442" s="93" t="s">
        <v>22375</v>
      </c>
      <c r="AY1442" s="93" t="s">
        <v>22566</v>
      </c>
      <c r="AZ1442" s="93" t="s">
        <v>22375</v>
      </c>
      <c r="BA1442" s="93" t="s">
        <v>22668</v>
      </c>
      <c r="BB1442" s="93" t="s">
        <v>22668</v>
      </c>
      <c r="BC1442" s="93" t="s">
        <v>22375</v>
      </c>
      <c r="BD1442" s="87">
        <v>2357125110</v>
      </c>
      <c r="BE1442" s="87"/>
      <c r="BF1442" s="87"/>
      <c r="BG1442" s="87"/>
      <c r="BH1442" s="87"/>
      <c r="BI1442" s="87"/>
    </row>
    <row r="1443" spans="1:61" x14ac:dyDescent="0.25">
      <c r="A1443" s="63" t="s">
        <v>714</v>
      </c>
      <c r="B1443" s="63" t="s">
        <v>714</v>
      </c>
      <c r="C1443" s="64"/>
      <c r="D1443" s="65"/>
      <c r="E1443" s="66"/>
      <c r="F1443" s="67"/>
      <c r="G1443" s="64"/>
      <c r="H1443" s="68"/>
      <c r="I1443" s="69"/>
      <c r="J1443" s="69"/>
      <c r="K1443" s="32"/>
      <c r="L1443" s="76">
        <v>1443</v>
      </c>
      <c r="M1443" s="76"/>
      <c r="N1443" s="71"/>
      <c r="O1443" s="87" t="s">
        <v>179</v>
      </c>
      <c r="P1443" s="90">
        <v>45187.458333333336</v>
      </c>
      <c r="Q1443" s="87" t="s">
        <v>3243</v>
      </c>
      <c r="R1443" s="87">
        <v>0</v>
      </c>
      <c r="S1443" s="87">
        <v>0</v>
      </c>
      <c r="T1443" s="87">
        <v>0</v>
      </c>
      <c r="U1443" s="87">
        <v>0</v>
      </c>
      <c r="V1443" s="87">
        <v>4</v>
      </c>
      <c r="W1443" s="93" t="s">
        <v>6841</v>
      </c>
      <c r="X1443" s="87"/>
      <c r="Y1443" s="87"/>
      <c r="Z1443" s="87"/>
      <c r="AA1443" s="87" t="s">
        <v>9552</v>
      </c>
      <c r="AB1443" s="87" t="s">
        <v>11451</v>
      </c>
      <c r="AC1443" s="93" t="s">
        <v>11457</v>
      </c>
      <c r="AD1443" s="87" t="s">
        <v>11519</v>
      </c>
      <c r="AE1443" s="92" t="str">
        <f>HYPERLINK("https://twitter.com/ci_da_gow/status/1703725553059246101")</f>
        <v>https://twitter.com/ci_da_gow/status/1703725553059246101</v>
      </c>
      <c r="AF1443" s="90">
        <v>45187.458333333336</v>
      </c>
      <c r="AG1443" s="99">
        <v>45187</v>
      </c>
      <c r="AH1443" s="93" t="s">
        <v>12863</v>
      </c>
      <c r="AI1443" s="87" t="b">
        <v>0</v>
      </c>
      <c r="AJ1443" s="87"/>
      <c r="AK1443" s="87"/>
      <c r="AL1443" s="87"/>
      <c r="AM1443" s="87"/>
      <c r="AN1443" s="87"/>
      <c r="AO1443" s="87"/>
      <c r="AP1443" s="87"/>
      <c r="AQ1443" s="87" t="s">
        <v>16365</v>
      </c>
      <c r="AR1443" s="87"/>
      <c r="AS1443" s="87"/>
      <c r="AT1443" s="87"/>
      <c r="AU1443" s="87"/>
      <c r="AV1443" s="92" t="str">
        <f>HYPERLINK("https://pbs.twimg.com/media/F6QqQUuW0AAly5j.jpg")</f>
        <v>https://pbs.twimg.com/media/F6QqQUuW0AAly5j.jpg</v>
      </c>
      <c r="AW1443" s="93" t="s">
        <v>19676</v>
      </c>
      <c r="AX1443" s="93" t="s">
        <v>19676</v>
      </c>
      <c r="AY1443" s="87"/>
      <c r="AZ1443" s="93" t="s">
        <v>22668</v>
      </c>
      <c r="BA1443" s="93" t="s">
        <v>22668</v>
      </c>
      <c r="BB1443" s="93" t="s">
        <v>22668</v>
      </c>
      <c r="BC1443" s="93" t="s">
        <v>19676</v>
      </c>
      <c r="BD1443" s="93" t="s">
        <v>23074</v>
      </c>
      <c r="BE1443" s="87"/>
      <c r="BF1443" s="87"/>
      <c r="BG1443" s="87"/>
      <c r="BH1443" s="87"/>
      <c r="BI1443" s="87"/>
    </row>
    <row r="1444" spans="1:61" x14ac:dyDescent="0.25">
      <c r="A1444" s="63" t="s">
        <v>714</v>
      </c>
      <c r="B1444" s="63" t="s">
        <v>714</v>
      </c>
      <c r="C1444" s="64"/>
      <c r="D1444" s="65"/>
      <c r="E1444" s="66"/>
      <c r="F1444" s="67"/>
      <c r="G1444" s="64"/>
      <c r="H1444" s="68"/>
      <c r="I1444" s="69"/>
      <c r="J1444" s="69"/>
      <c r="K1444" s="32"/>
      <c r="L1444" s="76">
        <v>1444</v>
      </c>
      <c r="M1444" s="76"/>
      <c r="N1444" s="71"/>
      <c r="O1444" s="87" t="s">
        <v>179</v>
      </c>
      <c r="P1444" s="90">
        <v>45188.458344907405</v>
      </c>
      <c r="Q1444" s="87" t="s">
        <v>3244</v>
      </c>
      <c r="R1444" s="87">
        <v>0</v>
      </c>
      <c r="S1444" s="87">
        <v>0</v>
      </c>
      <c r="T1444" s="87">
        <v>0</v>
      </c>
      <c r="U1444" s="87">
        <v>0</v>
      </c>
      <c r="V1444" s="87">
        <v>5</v>
      </c>
      <c r="W1444" s="93" t="s">
        <v>6842</v>
      </c>
      <c r="X1444" s="87"/>
      <c r="Y1444" s="87"/>
      <c r="Z1444" s="87"/>
      <c r="AA1444" s="87" t="s">
        <v>9553</v>
      </c>
      <c r="AB1444" s="87" t="s">
        <v>11447</v>
      </c>
      <c r="AC1444" s="93" t="s">
        <v>11457</v>
      </c>
      <c r="AD1444" s="87" t="s">
        <v>11519</v>
      </c>
      <c r="AE1444" s="92" t="str">
        <f>HYPERLINK("https://twitter.com/ci_da_gow/status/1704087944385196144")</f>
        <v>https://twitter.com/ci_da_gow/status/1704087944385196144</v>
      </c>
      <c r="AF1444" s="90">
        <v>45188.458344907405</v>
      </c>
      <c r="AG1444" s="99">
        <v>45188</v>
      </c>
      <c r="AH1444" s="93" t="s">
        <v>12698</v>
      </c>
      <c r="AI1444" s="87" t="b">
        <v>0</v>
      </c>
      <c r="AJ1444" s="87"/>
      <c r="AK1444" s="87"/>
      <c r="AL1444" s="87"/>
      <c r="AM1444" s="87"/>
      <c r="AN1444" s="87"/>
      <c r="AO1444" s="87"/>
      <c r="AP1444" s="87"/>
      <c r="AQ1444" s="87" t="s">
        <v>16366</v>
      </c>
      <c r="AR1444" s="87">
        <v>8266</v>
      </c>
      <c r="AS1444" s="87"/>
      <c r="AT1444" s="87"/>
      <c r="AU1444" s="87"/>
      <c r="AV1444" s="92" t="str">
        <f>HYPERLINK("https://pbs.twimg.com/ext_tw_video_thumb/1703544686210646016/pu/img/xG87NiXIscM1Lqjf.jpg")</f>
        <v>https://pbs.twimg.com/ext_tw_video_thumb/1703544686210646016/pu/img/xG87NiXIscM1Lqjf.jpg</v>
      </c>
      <c r="AW1444" s="93" t="s">
        <v>19677</v>
      </c>
      <c r="AX1444" s="93" t="s">
        <v>19677</v>
      </c>
      <c r="AY1444" s="87"/>
      <c r="AZ1444" s="93" t="s">
        <v>22668</v>
      </c>
      <c r="BA1444" s="93" t="s">
        <v>22668</v>
      </c>
      <c r="BB1444" s="93" t="s">
        <v>22668</v>
      </c>
      <c r="BC1444" s="93" t="s">
        <v>19677</v>
      </c>
      <c r="BD1444" s="93" t="s">
        <v>23074</v>
      </c>
      <c r="BE1444" s="87"/>
      <c r="BF1444" s="87"/>
      <c r="BG1444" s="87"/>
      <c r="BH1444" s="87"/>
      <c r="BI1444" s="87"/>
    </row>
    <row r="1445" spans="1:61" x14ac:dyDescent="0.25">
      <c r="A1445" s="63" t="s">
        <v>714</v>
      </c>
      <c r="B1445" s="63" t="s">
        <v>714</v>
      </c>
      <c r="C1445" s="64"/>
      <c r="D1445" s="65"/>
      <c r="E1445" s="66"/>
      <c r="F1445" s="67"/>
      <c r="G1445" s="64"/>
      <c r="H1445" s="68"/>
      <c r="I1445" s="69"/>
      <c r="J1445" s="69"/>
      <c r="K1445" s="32"/>
      <c r="L1445" s="76">
        <v>1445</v>
      </c>
      <c r="M1445" s="76"/>
      <c r="N1445" s="71"/>
      <c r="O1445" s="87" t="s">
        <v>179</v>
      </c>
      <c r="P1445" s="90">
        <v>45194.458344907405</v>
      </c>
      <c r="Q1445" s="87" t="s">
        <v>3245</v>
      </c>
      <c r="R1445" s="87">
        <v>0</v>
      </c>
      <c r="S1445" s="87">
        <v>0</v>
      </c>
      <c r="T1445" s="87">
        <v>0</v>
      </c>
      <c r="U1445" s="87">
        <v>0</v>
      </c>
      <c r="V1445" s="87">
        <v>4</v>
      </c>
      <c r="W1445" s="93" t="s">
        <v>6843</v>
      </c>
      <c r="X1445" s="87"/>
      <c r="Y1445" s="87"/>
      <c r="Z1445" s="87"/>
      <c r="AA1445" s="87" t="s">
        <v>9554</v>
      </c>
      <c r="AB1445" s="87" t="s">
        <v>11451</v>
      </c>
      <c r="AC1445" s="93" t="s">
        <v>11457</v>
      </c>
      <c r="AD1445" s="87" t="s">
        <v>11519</v>
      </c>
      <c r="AE1445" s="92" t="str">
        <f>HYPERLINK("https://twitter.com/ci_da_gow/status/1706262274963607798")</f>
        <v>https://twitter.com/ci_da_gow/status/1706262274963607798</v>
      </c>
      <c r="AF1445" s="90">
        <v>45194.458344907405</v>
      </c>
      <c r="AG1445" s="99">
        <v>45194</v>
      </c>
      <c r="AH1445" s="93" t="s">
        <v>12698</v>
      </c>
      <c r="AI1445" s="87" t="b">
        <v>0</v>
      </c>
      <c r="AJ1445" s="87"/>
      <c r="AK1445" s="87"/>
      <c r="AL1445" s="87"/>
      <c r="AM1445" s="87"/>
      <c r="AN1445" s="87"/>
      <c r="AO1445" s="87"/>
      <c r="AP1445" s="87"/>
      <c r="AQ1445" s="87" t="s">
        <v>16367</v>
      </c>
      <c r="AR1445" s="87"/>
      <c r="AS1445" s="87"/>
      <c r="AT1445" s="87"/>
      <c r="AU1445" s="87"/>
      <c r="AV1445" s="92" t="str">
        <f>HYPERLINK("https://pbs.twimg.com/media/F6w69dyWAAAxOS7.jpg")</f>
        <v>https://pbs.twimg.com/media/F6w69dyWAAAxOS7.jpg</v>
      </c>
      <c r="AW1445" s="93" t="s">
        <v>19678</v>
      </c>
      <c r="AX1445" s="93" t="s">
        <v>19678</v>
      </c>
      <c r="AY1445" s="87"/>
      <c r="AZ1445" s="93" t="s">
        <v>22668</v>
      </c>
      <c r="BA1445" s="93" t="s">
        <v>22668</v>
      </c>
      <c r="BB1445" s="93" t="s">
        <v>22668</v>
      </c>
      <c r="BC1445" s="93" t="s">
        <v>19678</v>
      </c>
      <c r="BD1445" s="93" t="s">
        <v>23074</v>
      </c>
      <c r="BE1445" s="87"/>
      <c r="BF1445" s="87"/>
      <c r="BG1445" s="87"/>
      <c r="BH1445" s="87"/>
      <c r="BI1445" s="87"/>
    </row>
    <row r="1446" spans="1:61" x14ac:dyDescent="0.25">
      <c r="A1446" s="63" t="s">
        <v>714</v>
      </c>
      <c r="B1446" s="63" t="s">
        <v>714</v>
      </c>
      <c r="C1446" s="64"/>
      <c r="D1446" s="65"/>
      <c r="E1446" s="66"/>
      <c r="F1446" s="67"/>
      <c r="G1446" s="64"/>
      <c r="H1446" s="68"/>
      <c r="I1446" s="69"/>
      <c r="J1446" s="69"/>
      <c r="K1446" s="32"/>
      <c r="L1446" s="76">
        <v>1446</v>
      </c>
      <c r="M1446" s="76"/>
      <c r="N1446" s="71"/>
      <c r="O1446" s="87" t="s">
        <v>179</v>
      </c>
      <c r="P1446" s="90">
        <v>45195.458333333336</v>
      </c>
      <c r="Q1446" s="87" t="s">
        <v>3246</v>
      </c>
      <c r="R1446" s="87">
        <v>0</v>
      </c>
      <c r="S1446" s="87">
        <v>0</v>
      </c>
      <c r="T1446" s="87">
        <v>0</v>
      </c>
      <c r="U1446" s="87">
        <v>0</v>
      </c>
      <c r="V1446" s="87">
        <v>2</v>
      </c>
      <c r="W1446" s="93" t="s">
        <v>6844</v>
      </c>
      <c r="X1446" s="92" t="str">
        <f>HYPERLINK("https://oclub.io/gow_empresas/8C1N")</f>
        <v>https://oclub.io/gow_empresas/8C1N</v>
      </c>
      <c r="Y1446" s="87" t="s">
        <v>8453</v>
      </c>
      <c r="Z1446" s="87"/>
      <c r="AA1446" s="87" t="s">
        <v>9555</v>
      </c>
      <c r="AB1446" s="87" t="s">
        <v>11447</v>
      </c>
      <c r="AC1446" s="93" t="s">
        <v>11457</v>
      </c>
      <c r="AD1446" s="87" t="s">
        <v>11519</v>
      </c>
      <c r="AE1446" s="92" t="str">
        <f>HYPERLINK("https://twitter.com/ci_da_gow/status/1706624655950577690")</f>
        <v>https://twitter.com/ci_da_gow/status/1706624655950577690</v>
      </c>
      <c r="AF1446" s="90">
        <v>45195.458333333336</v>
      </c>
      <c r="AG1446" s="99">
        <v>45195</v>
      </c>
      <c r="AH1446" s="93" t="s">
        <v>12863</v>
      </c>
      <c r="AI1446" s="87" t="b">
        <v>0</v>
      </c>
      <c r="AJ1446" s="87"/>
      <c r="AK1446" s="87"/>
      <c r="AL1446" s="87"/>
      <c r="AM1446" s="87"/>
      <c r="AN1446" s="87"/>
      <c r="AO1446" s="87"/>
      <c r="AP1446" s="87"/>
      <c r="AQ1446" s="87" t="s">
        <v>16368</v>
      </c>
      <c r="AR1446" s="87">
        <v>11932</v>
      </c>
      <c r="AS1446" s="87"/>
      <c r="AT1446" s="87"/>
      <c r="AU1446" s="87"/>
      <c r="AV1446" s="92" t="str">
        <f>HYPERLINK("https://pbs.twimg.com/ext_tw_video_thumb/1705809188121722880/pu/img/Q4fAXp-x8o9BWU0z.jpg")</f>
        <v>https://pbs.twimg.com/ext_tw_video_thumb/1705809188121722880/pu/img/Q4fAXp-x8o9BWU0z.jpg</v>
      </c>
      <c r="AW1446" s="93" t="s">
        <v>19679</v>
      </c>
      <c r="AX1446" s="93" t="s">
        <v>19679</v>
      </c>
      <c r="AY1446" s="87"/>
      <c r="AZ1446" s="93" t="s">
        <v>22668</v>
      </c>
      <c r="BA1446" s="93" t="s">
        <v>22668</v>
      </c>
      <c r="BB1446" s="93" t="s">
        <v>22668</v>
      </c>
      <c r="BC1446" s="93" t="s">
        <v>19679</v>
      </c>
      <c r="BD1446" s="93" t="s">
        <v>23074</v>
      </c>
      <c r="BE1446" s="87"/>
      <c r="BF1446" s="87"/>
      <c r="BG1446" s="87"/>
      <c r="BH1446" s="87"/>
      <c r="BI1446" s="87"/>
    </row>
    <row r="1447" spans="1:61" x14ac:dyDescent="0.25">
      <c r="A1447" s="63" t="s">
        <v>714</v>
      </c>
      <c r="B1447" s="63" t="s">
        <v>714</v>
      </c>
      <c r="C1447" s="64"/>
      <c r="D1447" s="65"/>
      <c r="E1447" s="66"/>
      <c r="F1447" s="67"/>
      <c r="G1447" s="64"/>
      <c r="H1447" s="68"/>
      <c r="I1447" s="69"/>
      <c r="J1447" s="69"/>
      <c r="K1447" s="32"/>
      <c r="L1447" s="76">
        <v>1447</v>
      </c>
      <c r="M1447" s="76"/>
      <c r="N1447" s="71"/>
      <c r="O1447" s="87" t="s">
        <v>179</v>
      </c>
      <c r="P1447" s="90">
        <v>45190.458333333336</v>
      </c>
      <c r="Q1447" s="87" t="s">
        <v>3247</v>
      </c>
      <c r="R1447" s="87">
        <v>0</v>
      </c>
      <c r="S1447" s="87">
        <v>0</v>
      </c>
      <c r="T1447" s="87">
        <v>0</v>
      </c>
      <c r="U1447" s="87">
        <v>0</v>
      </c>
      <c r="V1447" s="87">
        <v>7</v>
      </c>
      <c r="W1447" s="93" t="s">
        <v>6842</v>
      </c>
      <c r="X1447" s="87"/>
      <c r="Y1447" s="87"/>
      <c r="Z1447" s="87"/>
      <c r="AA1447" s="87" t="s">
        <v>9556</v>
      </c>
      <c r="AB1447" s="87" t="s">
        <v>11447</v>
      </c>
      <c r="AC1447" s="93" t="s">
        <v>11457</v>
      </c>
      <c r="AD1447" s="87" t="s">
        <v>11519</v>
      </c>
      <c r="AE1447" s="92" t="str">
        <f>HYPERLINK("https://twitter.com/ci_da_gow/status/1704812719407325570")</f>
        <v>https://twitter.com/ci_da_gow/status/1704812719407325570</v>
      </c>
      <c r="AF1447" s="90">
        <v>45190.458333333336</v>
      </c>
      <c r="AG1447" s="99">
        <v>45190</v>
      </c>
      <c r="AH1447" s="93" t="s">
        <v>12863</v>
      </c>
      <c r="AI1447" s="87" t="b">
        <v>0</v>
      </c>
      <c r="AJ1447" s="87"/>
      <c r="AK1447" s="87"/>
      <c r="AL1447" s="87"/>
      <c r="AM1447" s="87"/>
      <c r="AN1447" s="87"/>
      <c r="AO1447" s="87"/>
      <c r="AP1447" s="87"/>
      <c r="AQ1447" s="87" t="s">
        <v>16369</v>
      </c>
      <c r="AR1447" s="87">
        <v>12143</v>
      </c>
      <c r="AS1447" s="87"/>
      <c r="AT1447" s="87"/>
      <c r="AU1447" s="87"/>
      <c r="AV1447" s="92" t="str">
        <f>HYPERLINK("https://pbs.twimg.com/ext_tw_video_thumb/1703551733031403520/pu/img/HiyeoR_P0IFntElM.jpg")</f>
        <v>https://pbs.twimg.com/ext_tw_video_thumb/1703551733031403520/pu/img/HiyeoR_P0IFntElM.jpg</v>
      </c>
      <c r="AW1447" s="93" t="s">
        <v>19680</v>
      </c>
      <c r="AX1447" s="93" t="s">
        <v>19680</v>
      </c>
      <c r="AY1447" s="87"/>
      <c r="AZ1447" s="93" t="s">
        <v>22668</v>
      </c>
      <c r="BA1447" s="93" t="s">
        <v>22668</v>
      </c>
      <c r="BB1447" s="93" t="s">
        <v>22668</v>
      </c>
      <c r="BC1447" s="93" t="s">
        <v>19680</v>
      </c>
      <c r="BD1447" s="93" t="s">
        <v>23074</v>
      </c>
      <c r="BE1447" s="87"/>
      <c r="BF1447" s="87"/>
      <c r="BG1447" s="87"/>
      <c r="BH1447" s="87"/>
      <c r="BI1447" s="87"/>
    </row>
    <row r="1448" spans="1:61" x14ac:dyDescent="0.25">
      <c r="A1448" s="63" t="s">
        <v>714</v>
      </c>
      <c r="B1448" s="63" t="s">
        <v>714</v>
      </c>
      <c r="C1448" s="64"/>
      <c r="D1448" s="65"/>
      <c r="E1448" s="66"/>
      <c r="F1448" s="67"/>
      <c r="G1448" s="64"/>
      <c r="H1448" s="68"/>
      <c r="I1448" s="69"/>
      <c r="J1448" s="69"/>
      <c r="K1448" s="32"/>
      <c r="L1448" s="76">
        <v>1448</v>
      </c>
      <c r="M1448" s="76"/>
      <c r="N1448" s="71"/>
      <c r="O1448" s="87" t="s">
        <v>179</v>
      </c>
      <c r="P1448" s="90">
        <v>45196.458356481482</v>
      </c>
      <c r="Q1448" s="87" t="s">
        <v>3248</v>
      </c>
      <c r="R1448" s="87">
        <v>0</v>
      </c>
      <c r="S1448" s="87">
        <v>0</v>
      </c>
      <c r="T1448" s="87">
        <v>0</v>
      </c>
      <c r="U1448" s="87">
        <v>0</v>
      </c>
      <c r="V1448" s="87">
        <v>2</v>
      </c>
      <c r="W1448" s="93" t="s">
        <v>6842</v>
      </c>
      <c r="X1448" s="92" t="str">
        <f>HYPERLINK("https://oclub.io/gow_empresas/8C1N")</f>
        <v>https://oclub.io/gow_empresas/8C1N</v>
      </c>
      <c r="Y1448" s="87" t="s">
        <v>8453</v>
      </c>
      <c r="Z1448" s="87"/>
      <c r="AA1448" s="87" t="s">
        <v>9557</v>
      </c>
      <c r="AB1448" s="87" t="s">
        <v>11449</v>
      </c>
      <c r="AC1448" s="93" t="s">
        <v>11457</v>
      </c>
      <c r="AD1448" s="87" t="s">
        <v>11519</v>
      </c>
      <c r="AE1448" s="92" t="str">
        <f>HYPERLINK("https://twitter.com/ci_da_gow/status/1706987051562733797")</f>
        <v>https://twitter.com/ci_da_gow/status/1706987051562733797</v>
      </c>
      <c r="AF1448" s="90">
        <v>45196.458356481482</v>
      </c>
      <c r="AG1448" s="99">
        <v>45196</v>
      </c>
      <c r="AH1448" s="93" t="s">
        <v>12864</v>
      </c>
      <c r="AI1448" s="87" t="b">
        <v>0</v>
      </c>
      <c r="AJ1448" s="87"/>
      <c r="AK1448" s="87"/>
      <c r="AL1448" s="87"/>
      <c r="AM1448" s="87"/>
      <c r="AN1448" s="87"/>
      <c r="AO1448" s="87"/>
      <c r="AP1448" s="87"/>
      <c r="AQ1448" s="87" t="s">
        <v>16370</v>
      </c>
      <c r="AR1448" s="87"/>
      <c r="AS1448" s="87"/>
      <c r="AT1448" s="87"/>
      <c r="AU1448" s="87"/>
      <c r="AV1448" s="92" t="str">
        <f>HYPERLINK("https://pbs.twimg.com/media/F65_qF6WwAA_-U-.jpg")</f>
        <v>https://pbs.twimg.com/media/F65_qF6WwAA_-U-.jpg</v>
      </c>
      <c r="AW1448" s="93" t="s">
        <v>19681</v>
      </c>
      <c r="AX1448" s="93" t="s">
        <v>19681</v>
      </c>
      <c r="AY1448" s="87"/>
      <c r="AZ1448" s="93" t="s">
        <v>22668</v>
      </c>
      <c r="BA1448" s="93" t="s">
        <v>22668</v>
      </c>
      <c r="BB1448" s="93" t="s">
        <v>22668</v>
      </c>
      <c r="BC1448" s="93" t="s">
        <v>19681</v>
      </c>
      <c r="BD1448" s="93" t="s">
        <v>23074</v>
      </c>
      <c r="BE1448" s="87"/>
      <c r="BF1448" s="87"/>
      <c r="BG1448" s="87"/>
      <c r="BH1448" s="87"/>
      <c r="BI1448" s="87"/>
    </row>
    <row r="1449" spans="1:61" x14ac:dyDescent="0.25">
      <c r="A1449" s="63" t="s">
        <v>715</v>
      </c>
      <c r="B1449" s="63" t="s">
        <v>1624</v>
      </c>
      <c r="C1449" s="64"/>
      <c r="D1449" s="65"/>
      <c r="E1449" s="66"/>
      <c r="F1449" s="67"/>
      <c r="G1449" s="64"/>
      <c r="H1449" s="68"/>
      <c r="I1449" s="69"/>
      <c r="J1449" s="69"/>
      <c r="K1449" s="32"/>
      <c r="L1449" s="76">
        <v>1449</v>
      </c>
      <c r="M1449" s="76"/>
      <c r="N1449" s="71"/>
      <c r="O1449" s="87" t="s">
        <v>1839</v>
      </c>
      <c r="P1449" s="90">
        <v>45194.11078703704</v>
      </c>
      <c r="Q1449" s="87" t="s">
        <v>3249</v>
      </c>
      <c r="R1449" s="87">
        <v>0</v>
      </c>
      <c r="S1449" s="87">
        <v>0</v>
      </c>
      <c r="T1449" s="87">
        <v>0</v>
      </c>
      <c r="U1449" s="87">
        <v>0</v>
      </c>
      <c r="V1449" s="87">
        <v>2</v>
      </c>
      <c r="W1449" s="93" t="s">
        <v>6845</v>
      </c>
      <c r="X1449" s="92" t="str">
        <f>HYPERLINK("https://youtu.be/wR8KUfMAfB0?si=2ZvR521peuE6_2xJ")</f>
        <v>https://youtu.be/wR8KUfMAfB0?si=2ZvR521peuE6_2xJ</v>
      </c>
      <c r="Y1449" s="87" t="s">
        <v>8372</v>
      </c>
      <c r="Z1449" s="87" t="s">
        <v>1624</v>
      </c>
      <c r="AA1449" s="87"/>
      <c r="AB1449" s="87"/>
      <c r="AC1449" s="93" t="s">
        <v>11457</v>
      </c>
      <c r="AD1449" s="87" t="s">
        <v>11521</v>
      </c>
      <c r="AE1449" s="92" t="str">
        <f>HYPERLINK("https://twitter.com/cristianrbtc/status/1706136322048434609")</f>
        <v>https://twitter.com/cristianrbtc/status/1706136322048434609</v>
      </c>
      <c r="AF1449" s="90">
        <v>45194.11078703704</v>
      </c>
      <c r="AG1449" s="99">
        <v>45194</v>
      </c>
      <c r="AH1449" s="93" t="s">
        <v>12865</v>
      </c>
      <c r="AI1449" s="87" t="b">
        <v>0</v>
      </c>
      <c r="AJ1449" s="87"/>
      <c r="AK1449" s="87"/>
      <c r="AL1449" s="87"/>
      <c r="AM1449" s="87"/>
      <c r="AN1449" s="87"/>
      <c r="AO1449" s="87"/>
      <c r="AP1449" s="87"/>
      <c r="AQ1449" s="87"/>
      <c r="AR1449" s="87"/>
      <c r="AS1449" s="87"/>
      <c r="AT1449" s="87"/>
      <c r="AU1449" s="87"/>
      <c r="AV1449" s="92" t="str">
        <f>HYPERLINK("https://pbs.twimg.com/profile_images/1512770885966606346/6qb4U_On_normal.jpg")</f>
        <v>https://pbs.twimg.com/profile_images/1512770885966606346/6qb4U_On_normal.jpg</v>
      </c>
      <c r="AW1449" s="93" t="s">
        <v>19682</v>
      </c>
      <c r="AX1449" s="93" t="s">
        <v>19682</v>
      </c>
      <c r="AY1449" s="87"/>
      <c r="AZ1449" s="93" t="s">
        <v>22668</v>
      </c>
      <c r="BA1449" s="93" t="s">
        <v>22668</v>
      </c>
      <c r="BB1449" s="93" t="s">
        <v>22668</v>
      </c>
      <c r="BC1449" s="93" t="s">
        <v>19682</v>
      </c>
      <c r="BD1449" s="93" t="s">
        <v>23075</v>
      </c>
      <c r="BE1449" s="87"/>
      <c r="BF1449" s="87"/>
      <c r="BG1449" s="87"/>
      <c r="BH1449" s="87"/>
      <c r="BI1449" s="87"/>
    </row>
    <row r="1450" spans="1:61" x14ac:dyDescent="0.25">
      <c r="A1450" s="63" t="s">
        <v>716</v>
      </c>
      <c r="B1450" s="63" t="s">
        <v>716</v>
      </c>
      <c r="C1450" s="64"/>
      <c r="D1450" s="65"/>
      <c r="E1450" s="66"/>
      <c r="F1450" s="67"/>
      <c r="G1450" s="64"/>
      <c r="H1450" s="68"/>
      <c r="I1450" s="69"/>
      <c r="J1450" s="69"/>
      <c r="K1450" s="32"/>
      <c r="L1450" s="76">
        <v>1450</v>
      </c>
      <c r="M1450" s="76"/>
      <c r="N1450" s="71"/>
      <c r="O1450" s="87" t="s">
        <v>179</v>
      </c>
      <c r="P1450" s="90">
        <v>45142.972303240742</v>
      </c>
      <c r="Q1450" s="87" t="s">
        <v>3250</v>
      </c>
      <c r="R1450" s="87">
        <v>0</v>
      </c>
      <c r="S1450" s="87">
        <v>3</v>
      </c>
      <c r="T1450" s="87">
        <v>0</v>
      </c>
      <c r="U1450" s="87">
        <v>0</v>
      </c>
      <c r="V1450" s="87">
        <v>112</v>
      </c>
      <c r="W1450" s="93" t="s">
        <v>6846</v>
      </c>
      <c r="X1450" s="87"/>
      <c r="Y1450" s="87"/>
      <c r="Z1450" s="87"/>
      <c r="AA1450" s="87" t="s">
        <v>9558</v>
      </c>
      <c r="AB1450" s="87" t="s">
        <v>11447</v>
      </c>
      <c r="AC1450" s="93" t="s">
        <v>11458</v>
      </c>
      <c r="AD1450" s="87" t="s">
        <v>11519</v>
      </c>
      <c r="AE1450" s="92" t="str">
        <f>HYPERLINK("https://twitter.com/visionarybossk/status/1687604356336517120")</f>
        <v>https://twitter.com/visionarybossk/status/1687604356336517120</v>
      </c>
      <c r="AF1450" s="90">
        <v>45142.972303240742</v>
      </c>
      <c r="AG1450" s="99">
        <v>45142</v>
      </c>
      <c r="AH1450" s="93" t="s">
        <v>12866</v>
      </c>
      <c r="AI1450" s="87" t="b">
        <v>0</v>
      </c>
      <c r="AJ1450" s="87"/>
      <c r="AK1450" s="87"/>
      <c r="AL1450" s="87"/>
      <c r="AM1450" s="87"/>
      <c r="AN1450" s="87"/>
      <c r="AO1450" s="87"/>
      <c r="AP1450" s="87"/>
      <c r="AQ1450" s="87" t="s">
        <v>16371</v>
      </c>
      <c r="AR1450" s="87">
        <v>66400</v>
      </c>
      <c r="AS1450" s="87"/>
      <c r="AT1450" s="87"/>
      <c r="AU1450" s="87"/>
      <c r="AV1450" s="92" t="str">
        <f>HYPERLINK("https://pbs.twimg.com/ext_tw_video_thumb/1687604297540702209/pu/img/xReaC8fEvwLR-ziv.jpg")</f>
        <v>https://pbs.twimg.com/ext_tw_video_thumb/1687604297540702209/pu/img/xReaC8fEvwLR-ziv.jpg</v>
      </c>
      <c r="AW1450" s="93" t="s">
        <v>19683</v>
      </c>
      <c r="AX1450" s="93" t="s">
        <v>19683</v>
      </c>
      <c r="AY1450" s="87"/>
      <c r="AZ1450" s="93" t="s">
        <v>22668</v>
      </c>
      <c r="BA1450" s="93" t="s">
        <v>22668</v>
      </c>
      <c r="BB1450" s="93" t="s">
        <v>22668</v>
      </c>
      <c r="BC1450" s="93" t="s">
        <v>19683</v>
      </c>
      <c r="BD1450" s="93" t="s">
        <v>23076</v>
      </c>
      <c r="BE1450" s="87"/>
      <c r="BF1450" s="87"/>
      <c r="BG1450" s="87"/>
      <c r="BH1450" s="87"/>
      <c r="BI1450" s="87"/>
    </row>
    <row r="1451" spans="1:61" x14ac:dyDescent="0.25">
      <c r="A1451" s="63" t="s">
        <v>717</v>
      </c>
      <c r="B1451" s="63" t="s">
        <v>1585</v>
      </c>
      <c r="C1451" s="64"/>
      <c r="D1451" s="65"/>
      <c r="E1451" s="66"/>
      <c r="F1451" s="67"/>
      <c r="G1451" s="64"/>
      <c r="H1451" s="68"/>
      <c r="I1451" s="69"/>
      <c r="J1451" s="69"/>
      <c r="K1451" s="32"/>
      <c r="L1451" s="76">
        <v>1451</v>
      </c>
      <c r="M1451" s="76"/>
      <c r="N1451" s="71"/>
      <c r="O1451" s="87" t="s">
        <v>1841</v>
      </c>
      <c r="P1451" s="90">
        <v>45189.621527777781</v>
      </c>
      <c r="Q1451" s="87" t="s">
        <v>2729</v>
      </c>
      <c r="R1451" s="87">
        <v>3</v>
      </c>
      <c r="S1451" s="87">
        <v>0</v>
      </c>
      <c r="T1451" s="87">
        <v>0</v>
      </c>
      <c r="U1451" s="87">
        <v>0</v>
      </c>
      <c r="V1451" s="87"/>
      <c r="W1451" s="93" t="s">
        <v>6500</v>
      </c>
      <c r="X1451" s="87"/>
      <c r="Y1451" s="87"/>
      <c r="Z1451" s="87" t="s">
        <v>1585</v>
      </c>
      <c r="AA1451" s="87"/>
      <c r="AB1451" s="87"/>
      <c r="AC1451" s="93" t="s">
        <v>11458</v>
      </c>
      <c r="AD1451" s="87" t="s">
        <v>11519</v>
      </c>
      <c r="AE1451" s="92" t="str">
        <f>HYPERLINK("https://twitter.com/luis_orefice/status/1704509468669575296")</f>
        <v>https://twitter.com/luis_orefice/status/1704509468669575296</v>
      </c>
      <c r="AF1451" s="90">
        <v>45189.621527777781</v>
      </c>
      <c r="AG1451" s="99">
        <v>45189</v>
      </c>
      <c r="AH1451" s="93" t="s">
        <v>12867</v>
      </c>
      <c r="AI1451" s="87"/>
      <c r="AJ1451" s="87"/>
      <c r="AK1451" s="87"/>
      <c r="AL1451" s="87"/>
      <c r="AM1451" s="87"/>
      <c r="AN1451" s="87"/>
      <c r="AO1451" s="87"/>
      <c r="AP1451" s="87"/>
      <c r="AQ1451" s="87"/>
      <c r="AR1451" s="87"/>
      <c r="AS1451" s="87"/>
      <c r="AT1451" s="87"/>
      <c r="AU1451" s="87"/>
      <c r="AV1451" s="92" t="str">
        <f>HYPERLINK("https://pbs.twimg.com/profile_images/1466862663540035594/BJ1dawcq_normal.png")</f>
        <v>https://pbs.twimg.com/profile_images/1466862663540035594/BJ1dawcq_normal.png</v>
      </c>
      <c r="AW1451" s="93" t="s">
        <v>19684</v>
      </c>
      <c r="AX1451" s="93" t="s">
        <v>19684</v>
      </c>
      <c r="AY1451" s="87"/>
      <c r="AZ1451" s="93" t="s">
        <v>22668</v>
      </c>
      <c r="BA1451" s="93" t="s">
        <v>22668</v>
      </c>
      <c r="BB1451" s="93" t="s">
        <v>22219</v>
      </c>
      <c r="BC1451" s="93" t="s">
        <v>22219</v>
      </c>
      <c r="BD1451" s="93" t="s">
        <v>23077</v>
      </c>
      <c r="BE1451" s="87"/>
      <c r="BF1451" s="87"/>
      <c r="BG1451" s="87"/>
      <c r="BH1451" s="87"/>
      <c r="BI1451" s="87"/>
    </row>
    <row r="1452" spans="1:61" x14ac:dyDescent="0.25">
      <c r="A1452" s="63" t="s">
        <v>718</v>
      </c>
      <c r="B1452" s="63" t="s">
        <v>718</v>
      </c>
      <c r="C1452" s="64"/>
      <c r="D1452" s="65"/>
      <c r="E1452" s="66"/>
      <c r="F1452" s="67"/>
      <c r="G1452" s="64"/>
      <c r="H1452" s="68"/>
      <c r="I1452" s="69"/>
      <c r="J1452" s="69"/>
      <c r="K1452" s="32"/>
      <c r="L1452" s="76">
        <v>1452</v>
      </c>
      <c r="M1452" s="76"/>
      <c r="N1452" s="71"/>
      <c r="O1452" s="87" t="s">
        <v>1840</v>
      </c>
      <c r="P1452" s="90">
        <v>45173.926701388889</v>
      </c>
      <c r="Q1452" s="87" t="s">
        <v>3251</v>
      </c>
      <c r="R1452" s="87">
        <v>1</v>
      </c>
      <c r="S1452" s="87">
        <v>1</v>
      </c>
      <c r="T1452" s="87">
        <v>0</v>
      </c>
      <c r="U1452" s="87">
        <v>0</v>
      </c>
      <c r="V1452" s="87">
        <v>47</v>
      </c>
      <c r="W1452" s="93" t="s">
        <v>6847</v>
      </c>
      <c r="X1452" s="87"/>
      <c r="Y1452" s="87"/>
      <c r="Z1452" s="87"/>
      <c r="AA1452" s="87"/>
      <c r="AB1452" s="87"/>
      <c r="AC1452" s="93" t="s">
        <v>11459</v>
      </c>
      <c r="AD1452" s="87" t="s">
        <v>11519</v>
      </c>
      <c r="AE1452" s="92" t="str">
        <f>HYPERLINK("https://twitter.com/facompcast/status/1698821854289404366")</f>
        <v>https://twitter.com/facompcast/status/1698821854289404366</v>
      </c>
      <c r="AF1452" s="90">
        <v>45173.926701388889</v>
      </c>
      <c r="AG1452" s="99">
        <v>45173</v>
      </c>
      <c r="AH1452" s="93" t="s">
        <v>12868</v>
      </c>
      <c r="AI1452" s="87"/>
      <c r="AJ1452" s="87"/>
      <c r="AK1452" s="87"/>
      <c r="AL1452" s="87"/>
      <c r="AM1452" s="87"/>
      <c r="AN1452" s="87"/>
      <c r="AO1452" s="87"/>
      <c r="AP1452" s="87"/>
      <c r="AQ1452" s="87"/>
      <c r="AR1452" s="87"/>
      <c r="AS1452" s="87"/>
      <c r="AT1452" s="87"/>
      <c r="AU1452" s="87"/>
      <c r="AV1452" s="92" t="str">
        <f>HYPERLINK("https://pbs.twimg.com/profile_images/1395102441784451077/jQO817q5_normal.jpg")</f>
        <v>https://pbs.twimg.com/profile_images/1395102441784451077/jQO817q5_normal.jpg</v>
      </c>
      <c r="AW1452" s="93" t="s">
        <v>19685</v>
      </c>
      <c r="AX1452" s="93" t="s">
        <v>22376</v>
      </c>
      <c r="AY1452" s="93" t="s">
        <v>22567</v>
      </c>
      <c r="AZ1452" s="93" t="s">
        <v>22376</v>
      </c>
      <c r="BA1452" s="93" t="s">
        <v>22668</v>
      </c>
      <c r="BB1452" s="93" t="s">
        <v>22668</v>
      </c>
      <c r="BC1452" s="93" t="s">
        <v>22376</v>
      </c>
      <c r="BD1452" s="93" t="s">
        <v>22567</v>
      </c>
      <c r="BE1452" s="87"/>
      <c r="BF1452" s="87"/>
      <c r="BG1452" s="87"/>
      <c r="BH1452" s="87"/>
      <c r="BI1452" s="87"/>
    </row>
    <row r="1453" spans="1:61" x14ac:dyDescent="0.25">
      <c r="A1453" s="63" t="s">
        <v>718</v>
      </c>
      <c r="B1453" s="63" t="s">
        <v>718</v>
      </c>
      <c r="C1453" s="64"/>
      <c r="D1453" s="65"/>
      <c r="E1453" s="66"/>
      <c r="F1453" s="67"/>
      <c r="G1453" s="64"/>
      <c r="H1453" s="68"/>
      <c r="I1453" s="69"/>
      <c r="J1453" s="69"/>
      <c r="K1453" s="32"/>
      <c r="L1453" s="76">
        <v>1453</v>
      </c>
      <c r="M1453" s="76"/>
      <c r="N1453" s="71"/>
      <c r="O1453" s="87" t="s">
        <v>1840</v>
      </c>
      <c r="P1453" s="90">
        <v>45173.902951388889</v>
      </c>
      <c r="Q1453" s="87" t="s">
        <v>3252</v>
      </c>
      <c r="R1453" s="87">
        <v>0</v>
      </c>
      <c r="S1453" s="87">
        <v>0</v>
      </c>
      <c r="T1453" s="87">
        <v>0</v>
      </c>
      <c r="U1453" s="87">
        <v>0</v>
      </c>
      <c r="V1453" s="87">
        <v>52</v>
      </c>
      <c r="W1453" s="93" t="s">
        <v>6847</v>
      </c>
      <c r="X1453" s="87"/>
      <c r="Y1453" s="87"/>
      <c r="Z1453" s="87"/>
      <c r="AA1453" s="87"/>
      <c r="AB1453" s="87"/>
      <c r="AC1453" s="93" t="s">
        <v>11459</v>
      </c>
      <c r="AD1453" s="87" t="s">
        <v>11519</v>
      </c>
      <c r="AE1453" s="92" t="str">
        <f>HYPERLINK("https://twitter.com/facompcast/status/1698813250215784853")</f>
        <v>https://twitter.com/facompcast/status/1698813250215784853</v>
      </c>
      <c r="AF1453" s="90">
        <v>45173.902951388889</v>
      </c>
      <c r="AG1453" s="99">
        <v>45173</v>
      </c>
      <c r="AH1453" s="93" t="s">
        <v>12869</v>
      </c>
      <c r="AI1453" s="87"/>
      <c r="AJ1453" s="87"/>
      <c r="AK1453" s="87"/>
      <c r="AL1453" s="87"/>
      <c r="AM1453" s="87"/>
      <c r="AN1453" s="87"/>
      <c r="AO1453" s="87"/>
      <c r="AP1453" s="87"/>
      <c r="AQ1453" s="87"/>
      <c r="AR1453" s="87"/>
      <c r="AS1453" s="87"/>
      <c r="AT1453" s="87"/>
      <c r="AU1453" s="87"/>
      <c r="AV1453" s="92" t="str">
        <f>HYPERLINK("https://pbs.twimg.com/profile_images/1395102441784451077/jQO817q5_normal.jpg")</f>
        <v>https://pbs.twimg.com/profile_images/1395102441784451077/jQO817q5_normal.jpg</v>
      </c>
      <c r="AW1453" s="93" t="s">
        <v>19686</v>
      </c>
      <c r="AX1453" s="93" t="s">
        <v>22377</v>
      </c>
      <c r="AY1453" s="93" t="s">
        <v>22567</v>
      </c>
      <c r="AZ1453" s="93" t="s">
        <v>22377</v>
      </c>
      <c r="BA1453" s="93" t="s">
        <v>22668</v>
      </c>
      <c r="BB1453" s="93" t="s">
        <v>22668</v>
      </c>
      <c r="BC1453" s="93" t="s">
        <v>22377</v>
      </c>
      <c r="BD1453" s="93" t="s">
        <v>22567</v>
      </c>
      <c r="BE1453" s="87"/>
      <c r="BF1453" s="87"/>
      <c r="BG1453" s="87"/>
      <c r="BH1453" s="87"/>
      <c r="BI1453" s="87"/>
    </row>
    <row r="1454" spans="1:61" x14ac:dyDescent="0.25">
      <c r="A1454" s="63" t="s">
        <v>719</v>
      </c>
      <c r="B1454" s="63" t="s">
        <v>719</v>
      </c>
      <c r="C1454" s="64"/>
      <c r="D1454" s="65"/>
      <c r="E1454" s="66"/>
      <c r="F1454" s="67"/>
      <c r="G1454" s="64"/>
      <c r="H1454" s="68"/>
      <c r="I1454" s="69"/>
      <c r="J1454" s="69"/>
      <c r="K1454" s="32"/>
      <c r="L1454" s="76">
        <v>1454</v>
      </c>
      <c r="M1454" s="76"/>
      <c r="N1454" s="71"/>
      <c r="O1454" s="87" t="s">
        <v>1840</v>
      </c>
      <c r="P1454" s="90">
        <v>45178.886307870373</v>
      </c>
      <c r="Q1454" s="87" t="s">
        <v>3253</v>
      </c>
      <c r="R1454" s="87">
        <v>0</v>
      </c>
      <c r="S1454" s="87">
        <v>0</v>
      </c>
      <c r="T1454" s="87">
        <v>0</v>
      </c>
      <c r="U1454" s="87">
        <v>0</v>
      </c>
      <c r="V1454" s="87">
        <v>3</v>
      </c>
      <c r="W1454" s="93" t="s">
        <v>6848</v>
      </c>
      <c r="X1454" s="87"/>
      <c r="Y1454" s="87"/>
      <c r="Z1454" s="87"/>
      <c r="AA1454" s="87"/>
      <c r="AB1454" s="87"/>
      <c r="AC1454" s="93" t="s">
        <v>11457</v>
      </c>
      <c r="AD1454" s="87" t="s">
        <v>11524</v>
      </c>
      <c r="AE1454" s="92" t="str">
        <f>HYPERLINK("https://twitter.com/lopesvmoficial/status/1700619158205981137")</f>
        <v>https://twitter.com/lopesvmoficial/status/1700619158205981137</v>
      </c>
      <c r="AF1454" s="90">
        <v>45178.886307870373</v>
      </c>
      <c r="AG1454" s="99">
        <v>45178</v>
      </c>
      <c r="AH1454" s="93" t="s">
        <v>12870</v>
      </c>
      <c r="AI1454" s="87"/>
      <c r="AJ1454" s="87"/>
      <c r="AK1454" s="87"/>
      <c r="AL1454" s="87"/>
      <c r="AM1454" s="87"/>
      <c r="AN1454" s="87"/>
      <c r="AO1454" s="87"/>
      <c r="AP1454" s="87"/>
      <c r="AQ1454" s="87"/>
      <c r="AR1454" s="87"/>
      <c r="AS1454" s="87"/>
      <c r="AT1454" s="87"/>
      <c r="AU1454" s="87"/>
      <c r="AV1454" s="92" t="str">
        <f>HYPERLINK("https://pbs.twimg.com/profile_images/1693106086323064832/dUmngsfo_normal.jpg")</f>
        <v>https://pbs.twimg.com/profile_images/1693106086323064832/dUmngsfo_normal.jpg</v>
      </c>
      <c r="AW1454" s="93" t="s">
        <v>19687</v>
      </c>
      <c r="AX1454" s="93" t="s">
        <v>22378</v>
      </c>
      <c r="AY1454" s="93" t="s">
        <v>22568</v>
      </c>
      <c r="AZ1454" s="93" t="s">
        <v>22378</v>
      </c>
      <c r="BA1454" s="93" t="s">
        <v>22668</v>
      </c>
      <c r="BB1454" s="93" t="s">
        <v>22668</v>
      </c>
      <c r="BC1454" s="93" t="s">
        <v>22378</v>
      </c>
      <c r="BD1454" s="87">
        <v>193166286</v>
      </c>
      <c r="BE1454" s="87"/>
      <c r="BF1454" s="87"/>
      <c r="BG1454" s="87"/>
      <c r="BH1454" s="87"/>
      <c r="BI1454" s="87"/>
    </row>
    <row r="1455" spans="1:61" x14ac:dyDescent="0.25">
      <c r="A1455" s="63" t="s">
        <v>720</v>
      </c>
      <c r="B1455" s="63" t="s">
        <v>720</v>
      </c>
      <c r="C1455" s="64"/>
      <c r="D1455" s="65"/>
      <c r="E1455" s="66"/>
      <c r="F1455" s="67"/>
      <c r="G1455" s="64"/>
      <c r="H1455" s="68"/>
      <c r="I1455" s="69"/>
      <c r="J1455" s="69"/>
      <c r="K1455" s="32"/>
      <c r="L1455" s="76">
        <v>1455</v>
      </c>
      <c r="M1455" s="76"/>
      <c r="N1455" s="71"/>
      <c r="O1455" s="87" t="s">
        <v>179</v>
      </c>
      <c r="P1455" s="90">
        <v>45125.080208333333</v>
      </c>
      <c r="Q1455" s="87" t="s">
        <v>3254</v>
      </c>
      <c r="R1455" s="87">
        <v>0</v>
      </c>
      <c r="S1455" s="87">
        <v>0</v>
      </c>
      <c r="T1455" s="87">
        <v>0</v>
      </c>
      <c r="U1455" s="87">
        <v>0</v>
      </c>
      <c r="V1455" s="87">
        <v>9</v>
      </c>
      <c r="W1455" s="93" t="s">
        <v>6849</v>
      </c>
      <c r="X1455" s="92" t="str">
        <f>HYPERLINK("https://youtu.be/ckS46tSzc74")</f>
        <v>https://youtu.be/ckS46tSzc74</v>
      </c>
      <c r="Y1455" s="87" t="s">
        <v>8372</v>
      </c>
      <c r="Z1455" s="87"/>
      <c r="AA1455" s="87"/>
      <c r="AB1455" s="87"/>
      <c r="AC1455" s="93" t="s">
        <v>11458</v>
      </c>
      <c r="AD1455" s="87" t="s">
        <v>11523</v>
      </c>
      <c r="AE1455" s="92" t="str">
        <f>HYPERLINK("https://twitter.com/laperch28/status/1681120478037942273")</f>
        <v>https://twitter.com/laperch28/status/1681120478037942273</v>
      </c>
      <c r="AF1455" s="90">
        <v>45125.080208333333</v>
      </c>
      <c r="AG1455" s="99">
        <v>45125</v>
      </c>
      <c r="AH1455" s="93" t="s">
        <v>12871</v>
      </c>
      <c r="AI1455" s="87" t="b">
        <v>0</v>
      </c>
      <c r="AJ1455" s="87"/>
      <c r="AK1455" s="87"/>
      <c r="AL1455" s="87"/>
      <c r="AM1455" s="87"/>
      <c r="AN1455" s="87"/>
      <c r="AO1455" s="87"/>
      <c r="AP1455" s="87"/>
      <c r="AQ1455" s="87"/>
      <c r="AR1455" s="87"/>
      <c r="AS1455" s="87"/>
      <c r="AT1455" s="87"/>
      <c r="AU1455" s="87"/>
      <c r="AV1455" s="92" t="str">
        <f>HYPERLINK("https://pbs.twimg.com/profile_images/1674783476695052291/RwIH7kIA_normal.jpg")</f>
        <v>https://pbs.twimg.com/profile_images/1674783476695052291/RwIH7kIA_normal.jpg</v>
      </c>
      <c r="AW1455" s="93" t="s">
        <v>19688</v>
      </c>
      <c r="AX1455" s="93" t="s">
        <v>19688</v>
      </c>
      <c r="AY1455" s="87"/>
      <c r="AZ1455" s="93" t="s">
        <v>22668</v>
      </c>
      <c r="BA1455" s="93" t="s">
        <v>22668</v>
      </c>
      <c r="BB1455" s="93" t="s">
        <v>22668</v>
      </c>
      <c r="BC1455" s="93" t="s">
        <v>19688</v>
      </c>
      <c r="BD1455" s="93" t="s">
        <v>23078</v>
      </c>
      <c r="BE1455" s="87"/>
      <c r="BF1455" s="87"/>
      <c r="BG1455" s="87"/>
      <c r="BH1455" s="87"/>
      <c r="BI1455" s="87"/>
    </row>
    <row r="1456" spans="1:61" x14ac:dyDescent="0.25">
      <c r="A1456" s="63" t="s">
        <v>721</v>
      </c>
      <c r="B1456" s="63" t="s">
        <v>721</v>
      </c>
      <c r="C1456" s="64"/>
      <c r="D1456" s="65"/>
      <c r="E1456" s="66"/>
      <c r="F1456" s="67"/>
      <c r="G1456" s="64"/>
      <c r="H1456" s="68"/>
      <c r="I1456" s="69"/>
      <c r="J1456" s="69"/>
      <c r="K1456" s="32"/>
      <c r="L1456" s="76">
        <v>1456</v>
      </c>
      <c r="M1456" s="76"/>
      <c r="N1456" s="71"/>
      <c r="O1456" s="87" t="s">
        <v>179</v>
      </c>
      <c r="P1456" s="90">
        <v>45121.856469907405</v>
      </c>
      <c r="Q1456" s="87" t="s">
        <v>3255</v>
      </c>
      <c r="R1456" s="87">
        <v>0</v>
      </c>
      <c r="S1456" s="87">
        <v>0</v>
      </c>
      <c r="T1456" s="87">
        <v>0</v>
      </c>
      <c r="U1456" s="87">
        <v>0</v>
      </c>
      <c r="V1456" s="87">
        <v>8</v>
      </c>
      <c r="W1456" s="93" t="s">
        <v>6850</v>
      </c>
      <c r="X1456" s="92" t="str">
        <f>HYPERLINK("https://ativu.com.br/se-voce-e-um-empreendedor-buscando-o-crescimento-de-seu-negocio-lembre-se-de-que-nada-e-mais-rentavel-do-que-investir-em-si-mesmo-e-em-seu-empreendimento/")</f>
        <v>https://ativu.com.br/se-voce-e-um-empreendedor-buscando-o-crescimento-de-seu-negocio-lembre-se-de-que-nada-e-mais-rentavel-do-que-investir-em-si-mesmo-e-em-seu-empreendimento/</v>
      </c>
      <c r="Y1456" s="87" t="s">
        <v>8373</v>
      </c>
      <c r="Z1456" s="87"/>
      <c r="AA1456" s="87"/>
      <c r="AB1456" s="87"/>
      <c r="AC1456" s="93" t="s">
        <v>11457</v>
      </c>
      <c r="AD1456" s="87" t="s">
        <v>11519</v>
      </c>
      <c r="AE1456" s="92" t="str">
        <f>HYPERLINK("https://twitter.com/ativutecnologia/status/1679952235650859008")</f>
        <v>https://twitter.com/ativutecnologia/status/1679952235650859008</v>
      </c>
      <c r="AF1456" s="90">
        <v>45121.856469907405</v>
      </c>
      <c r="AG1456" s="99">
        <v>45121</v>
      </c>
      <c r="AH1456" s="93" t="s">
        <v>12872</v>
      </c>
      <c r="AI1456" s="87" t="b">
        <v>0</v>
      </c>
      <c r="AJ1456" s="87"/>
      <c r="AK1456" s="87"/>
      <c r="AL1456" s="87"/>
      <c r="AM1456" s="87"/>
      <c r="AN1456" s="87"/>
      <c r="AO1456" s="87"/>
      <c r="AP1456" s="87"/>
      <c r="AQ1456" s="87"/>
      <c r="AR1456" s="87"/>
      <c r="AS1456" s="87"/>
      <c r="AT1456" s="87"/>
      <c r="AU1456" s="87"/>
      <c r="AV1456" s="92" t="str">
        <f>HYPERLINK("https://pbs.twimg.com/profile_images/1250104031223169030/jIgGpWbe_normal.jpg")</f>
        <v>https://pbs.twimg.com/profile_images/1250104031223169030/jIgGpWbe_normal.jpg</v>
      </c>
      <c r="AW1456" s="93" t="s">
        <v>19689</v>
      </c>
      <c r="AX1456" s="93" t="s">
        <v>19689</v>
      </c>
      <c r="AY1456" s="87"/>
      <c r="AZ1456" s="93" t="s">
        <v>22668</v>
      </c>
      <c r="BA1456" s="93" t="s">
        <v>22668</v>
      </c>
      <c r="BB1456" s="93" t="s">
        <v>22668</v>
      </c>
      <c r="BC1456" s="93" t="s">
        <v>19689</v>
      </c>
      <c r="BD1456" s="87">
        <v>176261766</v>
      </c>
      <c r="BE1456" s="87"/>
      <c r="BF1456" s="87"/>
      <c r="BG1456" s="87"/>
      <c r="BH1456" s="87"/>
      <c r="BI1456" s="87"/>
    </row>
    <row r="1457" spans="1:61" x14ac:dyDescent="0.25">
      <c r="A1457" s="63" t="s">
        <v>722</v>
      </c>
      <c r="B1457" s="63" t="s">
        <v>722</v>
      </c>
      <c r="C1457" s="64"/>
      <c r="D1457" s="65"/>
      <c r="E1457" s="66"/>
      <c r="F1457" s="67"/>
      <c r="G1457" s="64"/>
      <c r="H1457" s="68"/>
      <c r="I1457" s="69"/>
      <c r="J1457" s="69"/>
      <c r="K1457" s="32"/>
      <c r="L1457" s="76">
        <v>1457</v>
      </c>
      <c r="M1457" s="76"/>
      <c r="N1457" s="71"/>
      <c r="O1457" s="87" t="s">
        <v>179</v>
      </c>
      <c r="P1457" s="90">
        <v>45118.732916666668</v>
      </c>
      <c r="Q1457" s="87" t="s">
        <v>3256</v>
      </c>
      <c r="R1457" s="87">
        <v>0</v>
      </c>
      <c r="S1457" s="87">
        <v>0</v>
      </c>
      <c r="T1457" s="87">
        <v>0</v>
      </c>
      <c r="U1457" s="87">
        <v>0</v>
      </c>
      <c r="V1457" s="87">
        <v>30</v>
      </c>
      <c r="W1457" s="93" t="s">
        <v>6851</v>
      </c>
      <c r="X1457" s="92" t="str">
        <f>HYPERLINK("http://kli.cx/kh23")</f>
        <v>http://kli.cx/kh23</v>
      </c>
      <c r="Y1457" s="87" t="s">
        <v>8454</v>
      </c>
      <c r="Z1457" s="87"/>
      <c r="AA1457" s="87"/>
      <c r="AB1457" s="87"/>
      <c r="AC1457" s="93" t="s">
        <v>11490</v>
      </c>
      <c r="AD1457" s="87" t="s">
        <v>11519</v>
      </c>
      <c r="AE1457" s="92" t="str">
        <f>HYPERLINK("https://twitter.com/costanortenews/status/1678820298722799631")</f>
        <v>https://twitter.com/costanortenews/status/1678820298722799631</v>
      </c>
      <c r="AF1457" s="90">
        <v>45118.732916666668</v>
      </c>
      <c r="AG1457" s="99">
        <v>45118</v>
      </c>
      <c r="AH1457" s="93" t="s">
        <v>12873</v>
      </c>
      <c r="AI1457" s="87" t="b">
        <v>0</v>
      </c>
      <c r="AJ1457" s="87"/>
      <c r="AK1457" s="87"/>
      <c r="AL1457" s="87"/>
      <c r="AM1457" s="87"/>
      <c r="AN1457" s="87"/>
      <c r="AO1457" s="87"/>
      <c r="AP1457" s="87"/>
      <c r="AQ1457" s="87"/>
      <c r="AR1457" s="87"/>
      <c r="AS1457" s="87"/>
      <c r="AT1457" s="87"/>
      <c r="AU1457" s="87"/>
      <c r="AV1457" s="92" t="str">
        <f>HYPERLINK("https://pbs.twimg.com/profile_images/1642847192095379457/vwx9NMDH_normal.jpg")</f>
        <v>https://pbs.twimg.com/profile_images/1642847192095379457/vwx9NMDH_normal.jpg</v>
      </c>
      <c r="AW1457" s="93" t="s">
        <v>19690</v>
      </c>
      <c r="AX1457" s="93" t="s">
        <v>19690</v>
      </c>
      <c r="AY1457" s="87"/>
      <c r="AZ1457" s="93" t="s">
        <v>22668</v>
      </c>
      <c r="BA1457" s="93" t="s">
        <v>22668</v>
      </c>
      <c r="BB1457" s="93" t="s">
        <v>22668</v>
      </c>
      <c r="BC1457" s="93" t="s">
        <v>19690</v>
      </c>
      <c r="BD1457" s="93" t="s">
        <v>23079</v>
      </c>
      <c r="BE1457" s="87"/>
      <c r="BF1457" s="87"/>
      <c r="BG1457" s="87"/>
      <c r="BH1457" s="87"/>
      <c r="BI1457" s="87"/>
    </row>
    <row r="1458" spans="1:61" x14ac:dyDescent="0.25">
      <c r="A1458" s="63" t="s">
        <v>723</v>
      </c>
      <c r="B1458" s="63" t="s">
        <v>723</v>
      </c>
      <c r="C1458" s="64"/>
      <c r="D1458" s="65"/>
      <c r="E1458" s="66"/>
      <c r="F1458" s="67"/>
      <c r="G1458" s="64"/>
      <c r="H1458" s="68"/>
      <c r="I1458" s="69"/>
      <c r="J1458" s="69"/>
      <c r="K1458" s="32"/>
      <c r="L1458" s="76">
        <v>1458</v>
      </c>
      <c r="M1458" s="76"/>
      <c r="N1458" s="71"/>
      <c r="O1458" s="87" t="s">
        <v>179</v>
      </c>
      <c r="P1458" s="90">
        <v>45133.782048611109</v>
      </c>
      <c r="Q1458" s="87" t="s">
        <v>3257</v>
      </c>
      <c r="R1458" s="87">
        <v>0</v>
      </c>
      <c r="S1458" s="87">
        <v>1</v>
      </c>
      <c r="T1458" s="87">
        <v>0</v>
      </c>
      <c r="U1458" s="87">
        <v>0</v>
      </c>
      <c r="V1458" s="87">
        <v>31</v>
      </c>
      <c r="W1458" s="93" t="s">
        <v>6852</v>
      </c>
      <c r="X1458" s="87"/>
      <c r="Y1458" s="87"/>
      <c r="Z1458" s="87"/>
      <c r="AA1458" s="87" t="s">
        <v>9559</v>
      </c>
      <c r="AB1458" s="87" t="s">
        <v>11448</v>
      </c>
      <c r="AC1458" s="93" t="s">
        <v>11457</v>
      </c>
      <c r="AD1458" s="87" t="s">
        <v>11519</v>
      </c>
      <c r="AE1458" s="92" t="str">
        <f>HYPERLINK("https://twitter.com/_aplenitude/status/1684273919224602625")</f>
        <v>https://twitter.com/_aplenitude/status/1684273919224602625</v>
      </c>
      <c r="AF1458" s="90">
        <v>45133.782048611109</v>
      </c>
      <c r="AG1458" s="99">
        <v>45133</v>
      </c>
      <c r="AH1458" s="93" t="s">
        <v>12874</v>
      </c>
      <c r="AI1458" s="87" t="b">
        <v>0</v>
      </c>
      <c r="AJ1458" s="87"/>
      <c r="AK1458" s="87"/>
      <c r="AL1458" s="87"/>
      <c r="AM1458" s="87"/>
      <c r="AN1458" s="87"/>
      <c r="AO1458" s="87"/>
      <c r="AP1458" s="87"/>
      <c r="AQ1458" s="87" t="s">
        <v>16372</v>
      </c>
      <c r="AR1458" s="87"/>
      <c r="AS1458" s="87"/>
      <c r="AT1458" s="87"/>
      <c r="AU1458" s="87"/>
      <c r="AV1458" s="92" t="str">
        <f>HYPERLINK("https://pbs.twimg.com/media/F1-7tyWWYAcQCd6.jpg")</f>
        <v>https://pbs.twimg.com/media/F1-7tyWWYAcQCd6.jpg</v>
      </c>
      <c r="AW1458" s="93" t="s">
        <v>19691</v>
      </c>
      <c r="AX1458" s="93" t="s">
        <v>19691</v>
      </c>
      <c r="AY1458" s="87"/>
      <c r="AZ1458" s="93" t="s">
        <v>22668</v>
      </c>
      <c r="BA1458" s="93" t="s">
        <v>22668</v>
      </c>
      <c r="BB1458" s="93" t="s">
        <v>22668</v>
      </c>
      <c r="BC1458" s="93" t="s">
        <v>19691</v>
      </c>
      <c r="BD1458" s="93" t="s">
        <v>23080</v>
      </c>
      <c r="BE1458" s="87"/>
      <c r="BF1458" s="87"/>
      <c r="BG1458" s="87"/>
      <c r="BH1458" s="87"/>
      <c r="BI1458" s="87"/>
    </row>
    <row r="1459" spans="1:61" x14ac:dyDescent="0.25">
      <c r="A1459" s="63" t="s">
        <v>724</v>
      </c>
      <c r="B1459" s="63" t="s">
        <v>724</v>
      </c>
      <c r="C1459" s="64"/>
      <c r="D1459" s="65"/>
      <c r="E1459" s="66"/>
      <c r="F1459" s="67"/>
      <c r="G1459" s="64"/>
      <c r="H1459" s="68"/>
      <c r="I1459" s="69"/>
      <c r="J1459" s="69"/>
      <c r="K1459" s="32"/>
      <c r="L1459" s="76">
        <v>1459</v>
      </c>
      <c r="M1459" s="76"/>
      <c r="N1459" s="71"/>
      <c r="O1459" s="87" t="s">
        <v>179</v>
      </c>
      <c r="P1459" s="90">
        <v>45115.952037037037</v>
      </c>
      <c r="Q1459" s="87" t="s">
        <v>3258</v>
      </c>
      <c r="R1459" s="87">
        <v>0</v>
      </c>
      <c r="S1459" s="87">
        <v>0</v>
      </c>
      <c r="T1459" s="87">
        <v>0</v>
      </c>
      <c r="U1459" s="87">
        <v>0</v>
      </c>
      <c r="V1459" s="87">
        <v>37</v>
      </c>
      <c r="W1459" s="93" t="s">
        <v>6853</v>
      </c>
      <c r="X1459" s="87"/>
      <c r="Y1459" s="87"/>
      <c r="Z1459" s="87"/>
      <c r="AA1459" s="87" t="s">
        <v>9560</v>
      </c>
      <c r="AB1459" s="87" t="s">
        <v>11447</v>
      </c>
      <c r="AC1459" s="93" t="s">
        <v>11459</v>
      </c>
      <c r="AD1459" s="87" t="s">
        <v>11519</v>
      </c>
      <c r="AE1459" s="92" t="str">
        <f>HYPERLINK("https://twitter.com/ok_tudo_bem/status/1677812538166112257")</f>
        <v>https://twitter.com/ok_tudo_bem/status/1677812538166112257</v>
      </c>
      <c r="AF1459" s="90">
        <v>45115.952037037037</v>
      </c>
      <c r="AG1459" s="99">
        <v>45115</v>
      </c>
      <c r="AH1459" s="93" t="s">
        <v>12875</v>
      </c>
      <c r="AI1459" s="87" t="b">
        <v>0</v>
      </c>
      <c r="AJ1459" s="87"/>
      <c r="AK1459" s="87"/>
      <c r="AL1459" s="87"/>
      <c r="AM1459" s="87"/>
      <c r="AN1459" s="87"/>
      <c r="AO1459" s="87"/>
      <c r="AP1459" s="87"/>
      <c r="AQ1459" s="87" t="s">
        <v>16373</v>
      </c>
      <c r="AR1459" s="87">
        <v>61100</v>
      </c>
      <c r="AS1459" s="87"/>
      <c r="AT1459" s="87"/>
      <c r="AU1459" s="87"/>
      <c r="AV1459" s="92" t="str">
        <f>HYPERLINK("https://pbs.twimg.com/ext_tw_video_thumb/1677812449066602497/pu/img/KhI5LI2ZcvXT41R1.jpg")</f>
        <v>https://pbs.twimg.com/ext_tw_video_thumb/1677812449066602497/pu/img/KhI5LI2ZcvXT41R1.jpg</v>
      </c>
      <c r="AW1459" s="93" t="s">
        <v>19692</v>
      </c>
      <c r="AX1459" s="93" t="s">
        <v>19692</v>
      </c>
      <c r="AY1459" s="87"/>
      <c r="AZ1459" s="93" t="s">
        <v>22668</v>
      </c>
      <c r="BA1459" s="93" t="s">
        <v>22668</v>
      </c>
      <c r="BB1459" s="93" t="s">
        <v>22668</v>
      </c>
      <c r="BC1459" s="93" t="s">
        <v>19692</v>
      </c>
      <c r="BD1459" s="93" t="s">
        <v>23081</v>
      </c>
      <c r="BE1459" s="87"/>
      <c r="BF1459" s="87"/>
      <c r="BG1459" s="87"/>
      <c r="BH1459" s="87"/>
      <c r="BI1459" s="87"/>
    </row>
    <row r="1460" spans="1:61" x14ac:dyDescent="0.25">
      <c r="A1460" s="63" t="s">
        <v>725</v>
      </c>
      <c r="B1460" s="63" t="s">
        <v>725</v>
      </c>
      <c r="C1460" s="64"/>
      <c r="D1460" s="65"/>
      <c r="E1460" s="66"/>
      <c r="F1460" s="67"/>
      <c r="G1460" s="64"/>
      <c r="H1460" s="68"/>
      <c r="I1460" s="69"/>
      <c r="J1460" s="69"/>
      <c r="K1460" s="32"/>
      <c r="L1460" s="76">
        <v>1460</v>
      </c>
      <c r="M1460" s="76"/>
      <c r="N1460" s="71"/>
      <c r="O1460" s="87" t="s">
        <v>179</v>
      </c>
      <c r="P1460" s="90">
        <v>45142.875011574077</v>
      </c>
      <c r="Q1460" s="87" t="s">
        <v>3259</v>
      </c>
      <c r="R1460" s="87">
        <v>0</v>
      </c>
      <c r="S1460" s="87">
        <v>0</v>
      </c>
      <c r="T1460" s="87">
        <v>0</v>
      </c>
      <c r="U1460" s="87">
        <v>0</v>
      </c>
      <c r="V1460" s="87">
        <v>30</v>
      </c>
      <c r="W1460" s="93" t="s">
        <v>6854</v>
      </c>
      <c r="X1460" s="87"/>
      <c r="Y1460" s="87"/>
      <c r="Z1460" s="87"/>
      <c r="AA1460" s="87" t="s">
        <v>9561</v>
      </c>
      <c r="AB1460" s="87" t="s">
        <v>11448</v>
      </c>
      <c r="AC1460" s="93" t="s">
        <v>11457</v>
      </c>
      <c r="AD1460" s="87" t="s">
        <v>11519</v>
      </c>
      <c r="AE1460" s="92" t="str">
        <f>HYPERLINK("https://twitter.com/sebraeto/status/1687569100552192000")</f>
        <v>https://twitter.com/sebraeto/status/1687569100552192000</v>
      </c>
      <c r="AF1460" s="90">
        <v>45142.875011574077</v>
      </c>
      <c r="AG1460" s="99">
        <v>45142</v>
      </c>
      <c r="AH1460" s="93" t="s">
        <v>11667</v>
      </c>
      <c r="AI1460" s="87" t="b">
        <v>0</v>
      </c>
      <c r="AJ1460" s="87"/>
      <c r="AK1460" s="87"/>
      <c r="AL1460" s="87"/>
      <c r="AM1460" s="87"/>
      <c r="AN1460" s="87"/>
      <c r="AO1460" s="87"/>
      <c r="AP1460" s="87"/>
      <c r="AQ1460" s="87" t="s">
        <v>16374</v>
      </c>
      <c r="AR1460" s="87"/>
      <c r="AS1460" s="87"/>
      <c r="AT1460" s="87"/>
      <c r="AU1460" s="87"/>
      <c r="AV1460" s="92" t="str">
        <f>HYPERLINK("https://pbs.twimg.com/media/F1a0CunWwBElkf6.jpg")</f>
        <v>https://pbs.twimg.com/media/F1a0CunWwBElkf6.jpg</v>
      </c>
      <c r="AW1460" s="93" t="s">
        <v>19693</v>
      </c>
      <c r="AX1460" s="93" t="s">
        <v>19693</v>
      </c>
      <c r="AY1460" s="87"/>
      <c r="AZ1460" s="93" t="s">
        <v>22668</v>
      </c>
      <c r="BA1460" s="93" t="s">
        <v>22668</v>
      </c>
      <c r="BB1460" s="93" t="s">
        <v>22668</v>
      </c>
      <c r="BC1460" s="93" t="s">
        <v>19693</v>
      </c>
      <c r="BD1460" s="87">
        <v>322260032</v>
      </c>
      <c r="BE1460" s="87"/>
      <c r="BF1460" s="87"/>
      <c r="BG1460" s="87"/>
      <c r="BH1460" s="87"/>
      <c r="BI1460" s="87"/>
    </row>
    <row r="1461" spans="1:61" x14ac:dyDescent="0.25">
      <c r="A1461" s="63" t="s">
        <v>725</v>
      </c>
      <c r="B1461" s="63" t="s">
        <v>725</v>
      </c>
      <c r="C1461" s="64"/>
      <c r="D1461" s="65"/>
      <c r="E1461" s="66"/>
      <c r="F1461" s="67"/>
      <c r="G1461" s="64"/>
      <c r="H1461" s="68"/>
      <c r="I1461" s="69"/>
      <c r="J1461" s="69"/>
      <c r="K1461" s="32"/>
      <c r="L1461" s="76">
        <v>1461</v>
      </c>
      <c r="M1461" s="76"/>
      <c r="N1461" s="71"/>
      <c r="O1461" s="87" t="s">
        <v>179</v>
      </c>
      <c r="P1461" s="90">
        <v>45145.875</v>
      </c>
      <c r="Q1461" s="87" t="s">
        <v>3260</v>
      </c>
      <c r="R1461" s="87">
        <v>0</v>
      </c>
      <c r="S1461" s="87">
        <v>1</v>
      </c>
      <c r="T1461" s="87">
        <v>0</v>
      </c>
      <c r="U1461" s="87">
        <v>0</v>
      </c>
      <c r="V1461" s="87">
        <v>24</v>
      </c>
      <c r="W1461" s="93" t="s">
        <v>6855</v>
      </c>
      <c r="X1461" s="92" t="str">
        <f>HYPERLINK("https://cloud.divulga.sebraeto.com.br/neurobusiness")</f>
        <v>https://cloud.divulga.sebraeto.com.br/neurobusiness</v>
      </c>
      <c r="Y1461" s="87" t="s">
        <v>8373</v>
      </c>
      <c r="Z1461" s="87"/>
      <c r="AA1461" s="87" t="s">
        <v>9562</v>
      </c>
      <c r="AB1461" s="87" t="s">
        <v>11448</v>
      </c>
      <c r="AC1461" s="93" t="s">
        <v>11457</v>
      </c>
      <c r="AD1461" s="87" t="s">
        <v>11519</v>
      </c>
      <c r="AE1461" s="92" t="str">
        <f>HYPERLINK("https://twitter.com/sebraeto/status/1688656258403127297")</f>
        <v>https://twitter.com/sebraeto/status/1688656258403127297</v>
      </c>
      <c r="AF1461" s="90">
        <v>45145.875</v>
      </c>
      <c r="AG1461" s="99">
        <v>45145</v>
      </c>
      <c r="AH1461" s="93" t="s">
        <v>12349</v>
      </c>
      <c r="AI1461" s="87" t="b">
        <v>0</v>
      </c>
      <c r="AJ1461" s="87"/>
      <c r="AK1461" s="87"/>
      <c r="AL1461" s="87"/>
      <c r="AM1461" s="87"/>
      <c r="AN1461" s="87"/>
      <c r="AO1461" s="87"/>
      <c r="AP1461" s="87"/>
      <c r="AQ1461" s="87" t="s">
        <v>16375</v>
      </c>
      <c r="AR1461" s="87"/>
      <c r="AS1461" s="87"/>
      <c r="AT1461" s="87"/>
      <c r="AU1461" s="87"/>
      <c r="AV1461" s="92" t="str">
        <f>HYPERLINK("https://pbs.twimg.com/media/F1bM7YLWYAMrRAm.jpg")</f>
        <v>https://pbs.twimg.com/media/F1bM7YLWYAMrRAm.jpg</v>
      </c>
      <c r="AW1461" s="93" t="s">
        <v>19694</v>
      </c>
      <c r="AX1461" s="93" t="s">
        <v>19694</v>
      </c>
      <c r="AY1461" s="87"/>
      <c r="AZ1461" s="93" t="s">
        <v>22668</v>
      </c>
      <c r="BA1461" s="93" t="s">
        <v>22668</v>
      </c>
      <c r="BB1461" s="93" t="s">
        <v>22668</v>
      </c>
      <c r="BC1461" s="93" t="s">
        <v>19694</v>
      </c>
      <c r="BD1461" s="87">
        <v>322260032</v>
      </c>
      <c r="BE1461" s="87"/>
      <c r="BF1461" s="87"/>
      <c r="BG1461" s="87"/>
      <c r="BH1461" s="87"/>
      <c r="BI1461" s="87"/>
    </row>
    <row r="1462" spans="1:61" x14ac:dyDescent="0.25">
      <c r="A1462" s="63" t="s">
        <v>725</v>
      </c>
      <c r="B1462" s="63" t="s">
        <v>725</v>
      </c>
      <c r="C1462" s="64"/>
      <c r="D1462" s="65"/>
      <c r="E1462" s="66"/>
      <c r="F1462" s="67"/>
      <c r="G1462" s="64"/>
      <c r="H1462" s="68"/>
      <c r="I1462" s="69"/>
      <c r="J1462" s="69"/>
      <c r="K1462" s="32"/>
      <c r="L1462" s="76">
        <v>1462</v>
      </c>
      <c r="M1462" s="76"/>
      <c r="N1462" s="71"/>
      <c r="O1462" s="87" t="s">
        <v>179</v>
      </c>
      <c r="P1462" s="90">
        <v>45147.541689814818</v>
      </c>
      <c r="Q1462" s="87" t="s">
        <v>3261</v>
      </c>
      <c r="R1462" s="87">
        <v>0</v>
      </c>
      <c r="S1462" s="87">
        <v>0</v>
      </c>
      <c r="T1462" s="87">
        <v>0</v>
      </c>
      <c r="U1462" s="87">
        <v>0</v>
      </c>
      <c r="V1462" s="87">
        <v>33</v>
      </c>
      <c r="W1462" s="93" t="s">
        <v>6856</v>
      </c>
      <c r="X1462" s="92" t="str">
        <f>HYPERLINK("http://www.lojasebraeto.com.br")</f>
        <v>http://www.lojasebraeto.com.br</v>
      </c>
      <c r="Y1462" s="87" t="s">
        <v>8373</v>
      </c>
      <c r="Z1462" s="87"/>
      <c r="AA1462" s="87" t="s">
        <v>9563</v>
      </c>
      <c r="AB1462" s="87" t="s">
        <v>11448</v>
      </c>
      <c r="AC1462" s="93" t="s">
        <v>11457</v>
      </c>
      <c r="AD1462" s="87" t="s">
        <v>11519</v>
      </c>
      <c r="AE1462" s="92" t="str">
        <f>HYPERLINK("https://twitter.com/sebraeto/status/1689260245875326976")</f>
        <v>https://twitter.com/sebraeto/status/1689260245875326976</v>
      </c>
      <c r="AF1462" s="90">
        <v>45147.541689814818</v>
      </c>
      <c r="AG1462" s="99">
        <v>45147</v>
      </c>
      <c r="AH1462" s="93" t="s">
        <v>12800</v>
      </c>
      <c r="AI1462" s="87" t="b">
        <v>0</v>
      </c>
      <c r="AJ1462" s="87"/>
      <c r="AK1462" s="87"/>
      <c r="AL1462" s="87"/>
      <c r="AM1462" s="87"/>
      <c r="AN1462" s="87"/>
      <c r="AO1462" s="87"/>
      <c r="AP1462" s="87"/>
      <c r="AQ1462" s="87" t="s">
        <v>16376</v>
      </c>
      <c r="AR1462" s="87"/>
      <c r="AS1462" s="87"/>
      <c r="AT1462" s="87"/>
      <c r="AU1462" s="87"/>
      <c r="AV1462" s="92" t="str">
        <f>HYPERLINK("https://pbs.twimg.com/media/F1bENnVXsAYHL5X.jpg")</f>
        <v>https://pbs.twimg.com/media/F1bENnVXsAYHL5X.jpg</v>
      </c>
      <c r="AW1462" s="93" t="s">
        <v>19695</v>
      </c>
      <c r="AX1462" s="93" t="s">
        <v>19695</v>
      </c>
      <c r="AY1462" s="87"/>
      <c r="AZ1462" s="93" t="s">
        <v>22668</v>
      </c>
      <c r="BA1462" s="93" t="s">
        <v>22668</v>
      </c>
      <c r="BB1462" s="93" t="s">
        <v>22668</v>
      </c>
      <c r="BC1462" s="93" t="s">
        <v>19695</v>
      </c>
      <c r="BD1462" s="87">
        <v>322260032</v>
      </c>
      <c r="BE1462" s="87"/>
      <c r="BF1462" s="87"/>
      <c r="BG1462" s="87"/>
      <c r="BH1462" s="87"/>
      <c r="BI1462" s="87"/>
    </row>
    <row r="1463" spans="1:61" x14ac:dyDescent="0.25">
      <c r="A1463" s="63" t="s">
        <v>725</v>
      </c>
      <c r="B1463" s="63" t="s">
        <v>725</v>
      </c>
      <c r="C1463" s="64"/>
      <c r="D1463" s="65"/>
      <c r="E1463" s="66"/>
      <c r="F1463" s="67"/>
      <c r="G1463" s="64"/>
      <c r="H1463" s="68"/>
      <c r="I1463" s="69"/>
      <c r="J1463" s="69"/>
      <c r="K1463" s="32"/>
      <c r="L1463" s="76">
        <v>1463</v>
      </c>
      <c r="M1463" s="76"/>
      <c r="N1463" s="71"/>
      <c r="O1463" s="87" t="s">
        <v>179</v>
      </c>
      <c r="P1463" s="90">
        <v>45110.875011574077</v>
      </c>
      <c r="Q1463" s="87" t="s">
        <v>3262</v>
      </c>
      <c r="R1463" s="87">
        <v>0</v>
      </c>
      <c r="S1463" s="87">
        <v>0</v>
      </c>
      <c r="T1463" s="87">
        <v>0</v>
      </c>
      <c r="U1463" s="87">
        <v>0</v>
      </c>
      <c r="V1463" s="87">
        <v>46</v>
      </c>
      <c r="W1463" s="93" t="s">
        <v>6857</v>
      </c>
      <c r="X1463" s="92" t="str">
        <f>HYPERLINK("https://cloud.divulga.sebraeto.com.br/neurobusiness")</f>
        <v>https://cloud.divulga.sebraeto.com.br/neurobusiness</v>
      </c>
      <c r="Y1463" s="87" t="s">
        <v>8373</v>
      </c>
      <c r="Z1463" s="87"/>
      <c r="AA1463" s="87" t="s">
        <v>9564</v>
      </c>
      <c r="AB1463" s="87" t="s">
        <v>11448</v>
      </c>
      <c r="AC1463" s="93" t="s">
        <v>11457</v>
      </c>
      <c r="AD1463" s="87" t="s">
        <v>11519</v>
      </c>
      <c r="AE1463" s="92" t="str">
        <f>HYPERLINK("https://twitter.com/sebraeto/status/1675972689305976832")</f>
        <v>https://twitter.com/sebraeto/status/1675972689305976832</v>
      </c>
      <c r="AF1463" s="90">
        <v>45110.875011574077</v>
      </c>
      <c r="AG1463" s="99">
        <v>45110</v>
      </c>
      <c r="AH1463" s="93" t="s">
        <v>11667</v>
      </c>
      <c r="AI1463" s="87" t="b">
        <v>0</v>
      </c>
      <c r="AJ1463" s="87"/>
      <c r="AK1463" s="87"/>
      <c r="AL1463" s="87"/>
      <c r="AM1463" s="87"/>
      <c r="AN1463" s="87"/>
      <c r="AO1463" s="87"/>
      <c r="AP1463" s="87"/>
      <c r="AQ1463" s="87" t="s">
        <v>16377</v>
      </c>
      <c r="AR1463" s="87"/>
      <c r="AS1463" s="87"/>
      <c r="AT1463" s="87"/>
      <c r="AU1463" s="87"/>
      <c r="AV1463" s="92" t="str">
        <f>HYPERLINK("https://pbs.twimg.com/media/F0Ie5S3XgAElO4V.jpg")</f>
        <v>https://pbs.twimg.com/media/F0Ie5S3XgAElO4V.jpg</v>
      </c>
      <c r="AW1463" s="93" t="s">
        <v>19696</v>
      </c>
      <c r="AX1463" s="93" t="s">
        <v>19696</v>
      </c>
      <c r="AY1463" s="87"/>
      <c r="AZ1463" s="93" t="s">
        <v>22668</v>
      </c>
      <c r="BA1463" s="93" t="s">
        <v>22668</v>
      </c>
      <c r="BB1463" s="93" t="s">
        <v>22668</v>
      </c>
      <c r="BC1463" s="93" t="s">
        <v>19696</v>
      </c>
      <c r="BD1463" s="87">
        <v>322260032</v>
      </c>
      <c r="BE1463" s="87"/>
      <c r="BF1463" s="87"/>
      <c r="BG1463" s="87"/>
      <c r="BH1463" s="87"/>
      <c r="BI1463" s="87"/>
    </row>
    <row r="1464" spans="1:61" x14ac:dyDescent="0.25">
      <c r="A1464" s="63" t="s">
        <v>726</v>
      </c>
      <c r="B1464" s="63" t="s">
        <v>726</v>
      </c>
      <c r="C1464" s="64"/>
      <c r="D1464" s="65"/>
      <c r="E1464" s="66"/>
      <c r="F1464" s="67"/>
      <c r="G1464" s="64"/>
      <c r="H1464" s="68"/>
      <c r="I1464" s="69"/>
      <c r="J1464" s="69"/>
      <c r="K1464" s="32"/>
      <c r="L1464" s="76">
        <v>1464</v>
      </c>
      <c r="M1464" s="76"/>
      <c r="N1464" s="71"/>
      <c r="O1464" s="87" t="s">
        <v>179</v>
      </c>
      <c r="P1464" s="90">
        <v>45114.696793981479</v>
      </c>
      <c r="Q1464" s="87" t="s">
        <v>3263</v>
      </c>
      <c r="R1464" s="87">
        <v>0</v>
      </c>
      <c r="S1464" s="87">
        <v>0</v>
      </c>
      <c r="T1464" s="87">
        <v>0</v>
      </c>
      <c r="U1464" s="87">
        <v>0</v>
      </c>
      <c r="V1464" s="87">
        <v>14</v>
      </c>
      <c r="W1464" s="93" t="s">
        <v>6858</v>
      </c>
      <c r="X1464" s="92" t="str">
        <f>HYPERLINK("https://bit.ly/Empreendedorismo-Ssa")</f>
        <v>https://bit.ly/Empreendedorismo-Ssa</v>
      </c>
      <c r="Y1464" s="87" t="s">
        <v>8374</v>
      </c>
      <c r="Z1464" s="87"/>
      <c r="AA1464" s="87" t="s">
        <v>9565</v>
      </c>
      <c r="AB1464" s="87" t="s">
        <v>11448</v>
      </c>
      <c r="AC1464" s="93" t="s">
        <v>11459</v>
      </c>
      <c r="AD1464" s="87" t="s">
        <v>11519</v>
      </c>
      <c r="AE1464" s="92" t="str">
        <f>HYPERLINK("https://twitter.com/mik4eyso3/status/1677357657131294720")</f>
        <v>https://twitter.com/mik4eyso3/status/1677357657131294720</v>
      </c>
      <c r="AF1464" s="90">
        <v>45114.696793981479</v>
      </c>
      <c r="AG1464" s="99">
        <v>45114</v>
      </c>
      <c r="AH1464" s="93" t="s">
        <v>12876</v>
      </c>
      <c r="AI1464" s="87" t="b">
        <v>0</v>
      </c>
      <c r="AJ1464" s="87"/>
      <c r="AK1464" s="87"/>
      <c r="AL1464" s="87"/>
      <c r="AM1464" s="87"/>
      <c r="AN1464" s="87"/>
      <c r="AO1464" s="87"/>
      <c r="AP1464" s="87"/>
      <c r="AQ1464" s="87" t="s">
        <v>16378</v>
      </c>
      <c r="AR1464" s="87"/>
      <c r="AS1464" s="87"/>
      <c r="AT1464" s="87"/>
      <c r="AU1464" s="87"/>
      <c r="AV1464" s="92" t="str">
        <f>HYPERLINK("https://pbs.twimg.com/media/F0cr5hFXoAUiKSX.jpg")</f>
        <v>https://pbs.twimg.com/media/F0cr5hFXoAUiKSX.jpg</v>
      </c>
      <c r="AW1464" s="93" t="s">
        <v>19697</v>
      </c>
      <c r="AX1464" s="93" t="s">
        <v>19697</v>
      </c>
      <c r="AY1464" s="87"/>
      <c r="AZ1464" s="93" t="s">
        <v>22668</v>
      </c>
      <c r="BA1464" s="93" t="s">
        <v>22668</v>
      </c>
      <c r="BB1464" s="93" t="s">
        <v>22668</v>
      </c>
      <c r="BC1464" s="93" t="s">
        <v>19697</v>
      </c>
      <c r="BD1464" s="93" t="s">
        <v>23082</v>
      </c>
      <c r="BE1464" s="87"/>
      <c r="BF1464" s="87"/>
      <c r="BG1464" s="87"/>
      <c r="BH1464" s="87"/>
      <c r="BI1464" s="87"/>
    </row>
    <row r="1465" spans="1:61" x14ac:dyDescent="0.25">
      <c r="A1465" s="63" t="s">
        <v>727</v>
      </c>
      <c r="B1465" s="63" t="s">
        <v>727</v>
      </c>
      <c r="C1465" s="64"/>
      <c r="D1465" s="65"/>
      <c r="E1465" s="66"/>
      <c r="F1465" s="67"/>
      <c r="G1465" s="64"/>
      <c r="H1465" s="68"/>
      <c r="I1465" s="69"/>
      <c r="J1465" s="69"/>
      <c r="K1465" s="32"/>
      <c r="L1465" s="76">
        <v>1465</v>
      </c>
      <c r="M1465" s="76"/>
      <c r="N1465" s="71"/>
      <c r="O1465" s="87" t="s">
        <v>179</v>
      </c>
      <c r="P1465" s="90">
        <v>45128.708356481482</v>
      </c>
      <c r="Q1465" s="87" t="s">
        <v>3264</v>
      </c>
      <c r="R1465" s="87">
        <v>0</v>
      </c>
      <c r="S1465" s="87">
        <v>0</v>
      </c>
      <c r="T1465" s="87">
        <v>0</v>
      </c>
      <c r="U1465" s="87">
        <v>0</v>
      </c>
      <c r="V1465" s="87">
        <v>39</v>
      </c>
      <c r="W1465" s="93" t="s">
        <v>6859</v>
      </c>
      <c r="X1465" s="92" t="str">
        <f>HYPERLINK("https://br61.com.br/q/CULT230029")</f>
        <v>https://br61.com.br/q/CULT230029</v>
      </c>
      <c r="Y1465" s="87" t="s">
        <v>8373</v>
      </c>
      <c r="Z1465" s="87"/>
      <c r="AA1465" s="87"/>
      <c r="AB1465" s="87"/>
      <c r="AC1465" s="93" t="s">
        <v>11457</v>
      </c>
      <c r="AD1465" s="87" t="s">
        <v>11519</v>
      </c>
      <c r="AE1465" s="92" t="str">
        <f>HYPERLINK("https://twitter.com/brasil61_/status/1682435273895088129")</f>
        <v>https://twitter.com/brasil61_/status/1682435273895088129</v>
      </c>
      <c r="AF1465" s="90">
        <v>45128.708356481482</v>
      </c>
      <c r="AG1465" s="99">
        <v>45128</v>
      </c>
      <c r="AH1465" s="93" t="s">
        <v>12877</v>
      </c>
      <c r="AI1465" s="87" t="b">
        <v>0</v>
      </c>
      <c r="AJ1465" s="87"/>
      <c r="AK1465" s="87"/>
      <c r="AL1465" s="87"/>
      <c r="AM1465" s="87"/>
      <c r="AN1465" s="87"/>
      <c r="AO1465" s="87"/>
      <c r="AP1465" s="87"/>
      <c r="AQ1465" s="87"/>
      <c r="AR1465" s="87"/>
      <c r="AS1465" s="87"/>
      <c r="AT1465" s="87"/>
      <c r="AU1465" s="87"/>
      <c r="AV1465" s="92" t="str">
        <f>HYPERLINK("https://pbs.twimg.com/profile_images/1478016741871652864/b_NJh157_normal.jpg")</f>
        <v>https://pbs.twimg.com/profile_images/1478016741871652864/b_NJh157_normal.jpg</v>
      </c>
      <c r="AW1465" s="93" t="s">
        <v>19698</v>
      </c>
      <c r="AX1465" s="93" t="s">
        <v>19698</v>
      </c>
      <c r="AY1465" s="87"/>
      <c r="AZ1465" s="93" t="s">
        <v>22668</v>
      </c>
      <c r="BA1465" s="93" t="s">
        <v>22668</v>
      </c>
      <c r="BB1465" s="93" t="s">
        <v>22668</v>
      </c>
      <c r="BC1465" s="93" t="s">
        <v>19698</v>
      </c>
      <c r="BD1465" s="87">
        <v>36115008</v>
      </c>
      <c r="BE1465" s="87"/>
      <c r="BF1465" s="87"/>
      <c r="BG1465" s="87"/>
      <c r="BH1465" s="87"/>
      <c r="BI1465" s="87"/>
    </row>
    <row r="1466" spans="1:61" x14ac:dyDescent="0.25">
      <c r="A1466" s="63" t="s">
        <v>727</v>
      </c>
      <c r="B1466" s="63" t="s">
        <v>727</v>
      </c>
      <c r="C1466" s="64"/>
      <c r="D1466" s="65"/>
      <c r="E1466" s="66"/>
      <c r="F1466" s="67"/>
      <c r="G1466" s="64"/>
      <c r="H1466" s="68"/>
      <c r="I1466" s="69"/>
      <c r="J1466" s="69"/>
      <c r="K1466" s="32"/>
      <c r="L1466" s="76">
        <v>1466</v>
      </c>
      <c r="M1466" s="76"/>
      <c r="N1466" s="71"/>
      <c r="O1466" s="87" t="s">
        <v>179</v>
      </c>
      <c r="P1466" s="90">
        <v>45177.823182870372</v>
      </c>
      <c r="Q1466" s="87" t="s">
        <v>3265</v>
      </c>
      <c r="R1466" s="87">
        <v>1</v>
      </c>
      <c r="S1466" s="87">
        <v>0</v>
      </c>
      <c r="T1466" s="87">
        <v>0</v>
      </c>
      <c r="U1466" s="87">
        <v>0</v>
      </c>
      <c r="V1466" s="87">
        <v>111</v>
      </c>
      <c r="W1466" s="93" t="s">
        <v>6860</v>
      </c>
      <c r="X1466" s="92" t="str">
        <f>HYPERLINK("https://brasil61.com/q/BRAS239487")</f>
        <v>https://brasil61.com/q/BRAS239487</v>
      </c>
      <c r="Y1466" s="87" t="s">
        <v>8455</v>
      </c>
      <c r="Z1466" s="87"/>
      <c r="AA1466" s="87" t="s">
        <v>9566</v>
      </c>
      <c r="AB1466" s="87" t="s">
        <v>11448</v>
      </c>
      <c r="AC1466" s="93" t="s">
        <v>11462</v>
      </c>
      <c r="AD1466" s="87" t="s">
        <v>11519</v>
      </c>
      <c r="AE1466" s="92" t="str">
        <f>HYPERLINK("https://twitter.com/brasil61_/status/1700233893880766575")</f>
        <v>https://twitter.com/brasil61_/status/1700233893880766575</v>
      </c>
      <c r="AF1466" s="90">
        <v>45177.823182870372</v>
      </c>
      <c r="AG1466" s="99">
        <v>45177</v>
      </c>
      <c r="AH1466" s="93" t="s">
        <v>12878</v>
      </c>
      <c r="AI1466" s="87" t="b">
        <v>0</v>
      </c>
      <c r="AJ1466" s="87"/>
      <c r="AK1466" s="87"/>
      <c r="AL1466" s="87"/>
      <c r="AM1466" s="87"/>
      <c r="AN1466" s="87"/>
      <c r="AO1466" s="87"/>
      <c r="AP1466" s="87"/>
      <c r="AQ1466" s="87" t="s">
        <v>16379</v>
      </c>
      <c r="AR1466" s="87"/>
      <c r="AS1466" s="87"/>
      <c r="AT1466" s="87"/>
      <c r="AU1466" s="87"/>
      <c r="AV1466" s="92" t="str">
        <f>HYPERLINK("https://pbs.twimg.com/media/F5hxt1NXwAEvUVw.jpg")</f>
        <v>https://pbs.twimg.com/media/F5hxt1NXwAEvUVw.jpg</v>
      </c>
      <c r="AW1466" s="93" t="s">
        <v>19699</v>
      </c>
      <c r="AX1466" s="93" t="s">
        <v>19699</v>
      </c>
      <c r="AY1466" s="87"/>
      <c r="AZ1466" s="93" t="s">
        <v>22668</v>
      </c>
      <c r="BA1466" s="93" t="s">
        <v>22668</v>
      </c>
      <c r="BB1466" s="93" t="s">
        <v>22668</v>
      </c>
      <c r="BC1466" s="93" t="s">
        <v>19699</v>
      </c>
      <c r="BD1466" s="87">
        <v>36115008</v>
      </c>
      <c r="BE1466" s="87"/>
      <c r="BF1466" s="87"/>
      <c r="BG1466" s="87"/>
      <c r="BH1466" s="87"/>
      <c r="BI1466" s="87"/>
    </row>
    <row r="1467" spans="1:61" x14ac:dyDescent="0.25">
      <c r="A1467" s="63" t="s">
        <v>728</v>
      </c>
      <c r="B1467" s="63" t="s">
        <v>728</v>
      </c>
      <c r="C1467" s="64"/>
      <c r="D1467" s="65"/>
      <c r="E1467" s="66"/>
      <c r="F1467" s="67"/>
      <c r="G1467" s="64"/>
      <c r="H1467" s="68"/>
      <c r="I1467" s="69"/>
      <c r="J1467" s="69"/>
      <c r="K1467" s="32"/>
      <c r="L1467" s="76">
        <v>1467</v>
      </c>
      <c r="M1467" s="76"/>
      <c r="N1467" s="71"/>
      <c r="O1467" s="87" t="s">
        <v>179</v>
      </c>
      <c r="P1467" s="90">
        <v>45149.037905092591</v>
      </c>
      <c r="Q1467" s="87" t="s">
        <v>3266</v>
      </c>
      <c r="R1467" s="87">
        <v>0</v>
      </c>
      <c r="S1467" s="87">
        <v>0</v>
      </c>
      <c r="T1467" s="87">
        <v>0</v>
      </c>
      <c r="U1467" s="87">
        <v>0</v>
      </c>
      <c r="V1467" s="87">
        <v>5</v>
      </c>
      <c r="W1467" s="93" t="s">
        <v>6861</v>
      </c>
      <c r="X1467" s="92" t="str">
        <f>HYPERLINK("https://www.valoramazonico.com/2023/08/10/prefeitura-abre-inscricoes-de-mil-vagas-on-line-do-curso-de-marketing-para-startups/")</f>
        <v>https://www.valoramazonico.com/2023/08/10/prefeitura-abre-inscricoes-de-mil-vagas-on-line-do-curso-de-marketing-para-startups/</v>
      </c>
      <c r="Y1467" s="87" t="s">
        <v>8456</v>
      </c>
      <c r="Z1467" s="87"/>
      <c r="AA1467" s="87"/>
      <c r="AB1467" s="87"/>
      <c r="AC1467" s="93" t="s">
        <v>11457</v>
      </c>
      <c r="AD1467" s="87" t="s">
        <v>11519</v>
      </c>
      <c r="AE1467" s="92" t="str">
        <f>HYPERLINK("https://twitter.com/valoramazonico/status/1689802456039911424")</f>
        <v>https://twitter.com/valoramazonico/status/1689802456039911424</v>
      </c>
      <c r="AF1467" s="90">
        <v>45149.037905092591</v>
      </c>
      <c r="AG1467" s="99">
        <v>45149</v>
      </c>
      <c r="AH1467" s="93" t="s">
        <v>12879</v>
      </c>
      <c r="AI1467" s="87" t="b">
        <v>0</v>
      </c>
      <c r="AJ1467" s="87"/>
      <c r="AK1467" s="87"/>
      <c r="AL1467" s="87"/>
      <c r="AM1467" s="87"/>
      <c r="AN1467" s="87"/>
      <c r="AO1467" s="87"/>
      <c r="AP1467" s="87"/>
      <c r="AQ1467" s="87"/>
      <c r="AR1467" s="87"/>
      <c r="AS1467" s="87"/>
      <c r="AT1467" s="87"/>
      <c r="AU1467" s="87"/>
      <c r="AV1467" s="92" t="str">
        <f>HYPERLINK("https://pbs.twimg.com/profile_images/1205597962350596097/cTHHQjwA_normal.jpg")</f>
        <v>https://pbs.twimg.com/profile_images/1205597962350596097/cTHHQjwA_normal.jpg</v>
      </c>
      <c r="AW1467" s="93" t="s">
        <v>19700</v>
      </c>
      <c r="AX1467" s="93" t="s">
        <v>19700</v>
      </c>
      <c r="AY1467" s="87"/>
      <c r="AZ1467" s="93" t="s">
        <v>22668</v>
      </c>
      <c r="BA1467" s="93" t="s">
        <v>22668</v>
      </c>
      <c r="BB1467" s="93" t="s">
        <v>22668</v>
      </c>
      <c r="BC1467" s="93" t="s">
        <v>19700</v>
      </c>
      <c r="BD1467" s="93" t="s">
        <v>23083</v>
      </c>
      <c r="BE1467" s="87"/>
      <c r="BF1467" s="87"/>
      <c r="BG1467" s="87"/>
      <c r="BH1467" s="87"/>
      <c r="BI1467" s="87"/>
    </row>
    <row r="1468" spans="1:61" x14ac:dyDescent="0.25">
      <c r="A1468" s="63" t="s">
        <v>729</v>
      </c>
      <c r="B1468" s="63" t="s">
        <v>729</v>
      </c>
      <c r="C1468" s="64"/>
      <c r="D1468" s="65"/>
      <c r="E1468" s="66"/>
      <c r="F1468" s="67"/>
      <c r="G1468" s="64"/>
      <c r="H1468" s="68"/>
      <c r="I1468" s="69"/>
      <c r="J1468" s="69"/>
      <c r="K1468" s="32"/>
      <c r="L1468" s="76">
        <v>1468</v>
      </c>
      <c r="M1468" s="76"/>
      <c r="N1468" s="71"/>
      <c r="O1468" s="87" t="s">
        <v>179</v>
      </c>
      <c r="P1468" s="90">
        <v>45132.575428240743</v>
      </c>
      <c r="Q1468" s="87" t="s">
        <v>3267</v>
      </c>
      <c r="R1468" s="87">
        <v>0</v>
      </c>
      <c r="S1468" s="87">
        <v>1</v>
      </c>
      <c r="T1468" s="87">
        <v>1</v>
      </c>
      <c r="U1468" s="87">
        <v>0</v>
      </c>
      <c r="V1468" s="87">
        <v>85</v>
      </c>
      <c r="W1468" s="93" t="s">
        <v>6862</v>
      </c>
      <c r="X1468" s="87"/>
      <c r="Y1468" s="87"/>
      <c r="Z1468" s="87"/>
      <c r="AA1468" s="87" t="s">
        <v>9567</v>
      </c>
      <c r="AB1468" s="87" t="s">
        <v>11448</v>
      </c>
      <c r="AC1468" s="93" t="s">
        <v>11458</v>
      </c>
      <c r="AD1468" s="87" t="s">
        <v>11519</v>
      </c>
      <c r="AE1468" s="92" t="str">
        <f>HYPERLINK("https://twitter.com/jeronimolucindo/status/1683836655030124546")</f>
        <v>https://twitter.com/jeronimolucindo/status/1683836655030124546</v>
      </c>
      <c r="AF1468" s="90">
        <v>45132.575428240743</v>
      </c>
      <c r="AG1468" s="99">
        <v>45132</v>
      </c>
      <c r="AH1468" s="93" t="s">
        <v>12880</v>
      </c>
      <c r="AI1468" s="87" t="b">
        <v>0</v>
      </c>
      <c r="AJ1468" s="87"/>
      <c r="AK1468" s="87"/>
      <c r="AL1468" s="87"/>
      <c r="AM1468" s="87"/>
      <c r="AN1468" s="87"/>
      <c r="AO1468" s="87"/>
      <c r="AP1468" s="87"/>
      <c r="AQ1468" s="87" t="s">
        <v>16380</v>
      </c>
      <c r="AR1468" s="87"/>
      <c r="AS1468" s="87"/>
      <c r="AT1468" s="87"/>
      <c r="AU1468" s="87"/>
      <c r="AV1468" s="92" t="str">
        <f>HYPERLINK("https://pbs.twimg.com/media/F14wgj-aQAEuM29.jpg")</f>
        <v>https://pbs.twimg.com/media/F14wgj-aQAEuM29.jpg</v>
      </c>
      <c r="AW1468" s="93" t="s">
        <v>19701</v>
      </c>
      <c r="AX1468" s="93" t="s">
        <v>19701</v>
      </c>
      <c r="AY1468" s="87"/>
      <c r="AZ1468" s="93" t="s">
        <v>22668</v>
      </c>
      <c r="BA1468" s="93" t="s">
        <v>22668</v>
      </c>
      <c r="BB1468" s="93" t="s">
        <v>22668</v>
      </c>
      <c r="BC1468" s="93" t="s">
        <v>19701</v>
      </c>
      <c r="BD1468" s="87">
        <v>165793000</v>
      </c>
      <c r="BE1468" s="87"/>
      <c r="BF1468" s="87"/>
      <c r="BG1468" s="87"/>
      <c r="BH1468" s="87"/>
      <c r="BI1468" s="87"/>
    </row>
    <row r="1469" spans="1:61" x14ac:dyDescent="0.25">
      <c r="A1469" s="63" t="s">
        <v>730</v>
      </c>
      <c r="B1469" s="63" t="s">
        <v>1681</v>
      </c>
      <c r="C1469" s="64"/>
      <c r="D1469" s="65"/>
      <c r="E1469" s="66"/>
      <c r="F1469" s="67"/>
      <c r="G1469" s="64"/>
      <c r="H1469" s="68"/>
      <c r="I1469" s="69"/>
      <c r="J1469" s="69"/>
      <c r="K1469" s="32"/>
      <c r="L1469" s="76">
        <v>1469</v>
      </c>
      <c r="M1469" s="76"/>
      <c r="N1469" s="71"/>
      <c r="O1469" s="87" t="s">
        <v>1839</v>
      </c>
      <c r="P1469" s="90">
        <v>45132.862511574072</v>
      </c>
      <c r="Q1469" s="87" t="s">
        <v>3268</v>
      </c>
      <c r="R1469" s="87">
        <v>1</v>
      </c>
      <c r="S1469" s="87">
        <v>1</v>
      </c>
      <c r="T1469" s="87">
        <v>1</v>
      </c>
      <c r="U1469" s="87">
        <v>0</v>
      </c>
      <c r="V1469" s="87">
        <v>187</v>
      </c>
      <c r="W1469" s="93" t="s">
        <v>6863</v>
      </c>
      <c r="X1469" s="87"/>
      <c r="Y1469" s="87"/>
      <c r="Z1469" s="87" t="s">
        <v>1681</v>
      </c>
      <c r="AA1469" s="87" t="s">
        <v>9568</v>
      </c>
      <c r="AB1469" s="87" t="s">
        <v>11448</v>
      </c>
      <c r="AC1469" s="93" t="s">
        <v>11457</v>
      </c>
      <c r="AD1469" s="87" t="s">
        <v>11519</v>
      </c>
      <c r="AE1469" s="92" t="str">
        <f>HYPERLINK("https://twitter.com/somosavante70/status/1683940690236145664")</f>
        <v>https://twitter.com/somosavante70/status/1683940690236145664</v>
      </c>
      <c r="AF1469" s="90">
        <v>45132.862511574072</v>
      </c>
      <c r="AG1469" s="99">
        <v>45132</v>
      </c>
      <c r="AH1469" s="93" t="s">
        <v>12881</v>
      </c>
      <c r="AI1469" s="87" t="b">
        <v>0</v>
      </c>
      <c r="AJ1469" s="87"/>
      <c r="AK1469" s="87"/>
      <c r="AL1469" s="87"/>
      <c r="AM1469" s="87"/>
      <c r="AN1469" s="87"/>
      <c r="AO1469" s="87"/>
      <c r="AP1469" s="87"/>
      <c r="AQ1469" s="87" t="s">
        <v>16381</v>
      </c>
      <c r="AR1469" s="87"/>
      <c r="AS1469" s="87"/>
      <c r="AT1469" s="87"/>
      <c r="AU1469" s="87"/>
      <c r="AV1469" s="92" t="str">
        <f>HYPERLINK("https://pbs.twimg.com/media/F16O_cvWIAAuech.jpg")</f>
        <v>https://pbs.twimg.com/media/F16O_cvWIAAuech.jpg</v>
      </c>
      <c r="AW1469" s="93" t="s">
        <v>19702</v>
      </c>
      <c r="AX1469" s="93" t="s">
        <v>19702</v>
      </c>
      <c r="AY1469" s="87"/>
      <c r="AZ1469" s="93" t="s">
        <v>22668</v>
      </c>
      <c r="BA1469" s="93" t="s">
        <v>22668</v>
      </c>
      <c r="BB1469" s="93" t="s">
        <v>22668</v>
      </c>
      <c r="BC1469" s="93" t="s">
        <v>19702</v>
      </c>
      <c r="BD1469" s="87">
        <v>231192764</v>
      </c>
      <c r="BE1469" s="87"/>
      <c r="BF1469" s="87"/>
      <c r="BG1469" s="87"/>
      <c r="BH1469" s="87"/>
      <c r="BI1469" s="87"/>
    </row>
    <row r="1470" spans="1:61" x14ac:dyDescent="0.25">
      <c r="A1470" s="63" t="s">
        <v>731</v>
      </c>
      <c r="B1470" s="63" t="s">
        <v>1682</v>
      </c>
      <c r="C1470" s="64"/>
      <c r="D1470" s="65"/>
      <c r="E1470" s="66"/>
      <c r="F1470" s="67"/>
      <c r="G1470" s="64"/>
      <c r="H1470" s="68"/>
      <c r="I1470" s="69"/>
      <c r="J1470" s="69"/>
      <c r="K1470" s="32"/>
      <c r="L1470" s="76">
        <v>1470</v>
      </c>
      <c r="M1470" s="76"/>
      <c r="N1470" s="71"/>
      <c r="O1470" s="87" t="s">
        <v>1839</v>
      </c>
      <c r="P1470" s="90">
        <v>45183.92931712963</v>
      </c>
      <c r="Q1470" s="87" t="s">
        <v>3269</v>
      </c>
      <c r="R1470" s="87">
        <v>0</v>
      </c>
      <c r="S1470" s="87">
        <v>0</v>
      </c>
      <c r="T1470" s="87">
        <v>0</v>
      </c>
      <c r="U1470" s="87">
        <v>0</v>
      </c>
      <c r="V1470" s="87">
        <v>93</v>
      </c>
      <c r="W1470" s="93" t="s">
        <v>6864</v>
      </c>
      <c r="X1470" s="87"/>
      <c r="Y1470" s="87"/>
      <c r="Z1470" s="87" t="s">
        <v>8580</v>
      </c>
      <c r="AA1470" s="87" t="s">
        <v>9569</v>
      </c>
      <c r="AB1470" s="87" t="s">
        <v>11447</v>
      </c>
      <c r="AC1470" s="93" t="s">
        <v>11457</v>
      </c>
      <c r="AD1470" s="87" t="s">
        <v>11519</v>
      </c>
      <c r="AE1470" s="92" t="str">
        <f>HYPERLINK("https://twitter.com/sanches92512/status/1702446679994012036")</f>
        <v>https://twitter.com/sanches92512/status/1702446679994012036</v>
      </c>
      <c r="AF1470" s="90">
        <v>45183.92931712963</v>
      </c>
      <c r="AG1470" s="99">
        <v>45183</v>
      </c>
      <c r="AH1470" s="93" t="s">
        <v>12882</v>
      </c>
      <c r="AI1470" s="87" t="b">
        <v>0</v>
      </c>
      <c r="AJ1470" s="87"/>
      <c r="AK1470" s="87"/>
      <c r="AL1470" s="87"/>
      <c r="AM1470" s="87"/>
      <c r="AN1470" s="87"/>
      <c r="AO1470" s="87"/>
      <c r="AP1470" s="87"/>
      <c r="AQ1470" s="87" t="s">
        <v>16382</v>
      </c>
      <c r="AR1470" s="87">
        <v>88232</v>
      </c>
      <c r="AS1470" s="87"/>
      <c r="AT1470" s="87"/>
      <c r="AU1470" s="87"/>
      <c r="AV1470" s="92" t="str">
        <f>HYPERLINK("https://pbs.twimg.com/ext_tw_video_thumb/1702446556761186304/pu/img/YSWq9jVHiZwQP_WM.jpg")</f>
        <v>https://pbs.twimg.com/ext_tw_video_thumb/1702446556761186304/pu/img/YSWq9jVHiZwQP_WM.jpg</v>
      </c>
      <c r="AW1470" s="93" t="s">
        <v>19703</v>
      </c>
      <c r="AX1470" s="93" t="s">
        <v>19703</v>
      </c>
      <c r="AY1470" s="87"/>
      <c r="AZ1470" s="93" t="s">
        <v>22668</v>
      </c>
      <c r="BA1470" s="93" t="s">
        <v>22668</v>
      </c>
      <c r="BB1470" s="93" t="s">
        <v>22668</v>
      </c>
      <c r="BC1470" s="93" t="s">
        <v>19703</v>
      </c>
      <c r="BD1470" s="93" t="s">
        <v>23084</v>
      </c>
      <c r="BE1470" s="87"/>
      <c r="BF1470" s="87"/>
      <c r="BG1470" s="87"/>
      <c r="BH1470" s="87"/>
      <c r="BI1470" s="87"/>
    </row>
    <row r="1471" spans="1:61" x14ac:dyDescent="0.25">
      <c r="A1471" s="63" t="s">
        <v>731</v>
      </c>
      <c r="B1471" s="63" t="s">
        <v>1683</v>
      </c>
      <c r="C1471" s="64"/>
      <c r="D1471" s="65"/>
      <c r="E1471" s="66"/>
      <c r="F1471" s="67"/>
      <c r="G1471" s="64"/>
      <c r="H1471" s="68"/>
      <c r="I1471" s="69"/>
      <c r="J1471" s="69"/>
      <c r="K1471" s="32"/>
      <c r="L1471" s="76">
        <v>1471</v>
      </c>
      <c r="M1471" s="76"/>
      <c r="N1471" s="71"/>
      <c r="O1471" s="87" t="s">
        <v>1839</v>
      </c>
      <c r="P1471" s="90">
        <v>45183.92931712963</v>
      </c>
      <c r="Q1471" s="87" t="s">
        <v>3269</v>
      </c>
      <c r="R1471" s="87">
        <v>0</v>
      </c>
      <c r="S1471" s="87">
        <v>0</v>
      </c>
      <c r="T1471" s="87">
        <v>0</v>
      </c>
      <c r="U1471" s="87">
        <v>0</v>
      </c>
      <c r="V1471" s="87">
        <v>93</v>
      </c>
      <c r="W1471" s="93" t="s">
        <v>6864</v>
      </c>
      <c r="X1471" s="87"/>
      <c r="Y1471" s="87"/>
      <c r="Z1471" s="87" t="s">
        <v>8580</v>
      </c>
      <c r="AA1471" s="87" t="s">
        <v>9569</v>
      </c>
      <c r="AB1471" s="87" t="s">
        <v>11447</v>
      </c>
      <c r="AC1471" s="93" t="s">
        <v>11457</v>
      </c>
      <c r="AD1471" s="87" t="s">
        <v>11519</v>
      </c>
      <c r="AE1471" s="92" t="str">
        <f>HYPERLINK("https://twitter.com/sanches92512/status/1702446679994012036")</f>
        <v>https://twitter.com/sanches92512/status/1702446679994012036</v>
      </c>
      <c r="AF1471" s="90">
        <v>45183.92931712963</v>
      </c>
      <c r="AG1471" s="99">
        <v>45183</v>
      </c>
      <c r="AH1471" s="93" t="s">
        <v>12882</v>
      </c>
      <c r="AI1471" s="87" t="b">
        <v>0</v>
      </c>
      <c r="AJ1471" s="87"/>
      <c r="AK1471" s="87"/>
      <c r="AL1471" s="87"/>
      <c r="AM1471" s="87"/>
      <c r="AN1471" s="87"/>
      <c r="AO1471" s="87"/>
      <c r="AP1471" s="87"/>
      <c r="AQ1471" s="87" t="s">
        <v>16382</v>
      </c>
      <c r="AR1471" s="87">
        <v>88232</v>
      </c>
      <c r="AS1471" s="87"/>
      <c r="AT1471" s="87"/>
      <c r="AU1471" s="87"/>
      <c r="AV1471" s="92" t="str">
        <f>HYPERLINK("https://pbs.twimg.com/ext_tw_video_thumb/1702446556761186304/pu/img/YSWq9jVHiZwQP_WM.jpg")</f>
        <v>https://pbs.twimg.com/ext_tw_video_thumb/1702446556761186304/pu/img/YSWq9jVHiZwQP_WM.jpg</v>
      </c>
      <c r="AW1471" s="93" t="s">
        <v>19703</v>
      </c>
      <c r="AX1471" s="93" t="s">
        <v>19703</v>
      </c>
      <c r="AY1471" s="87"/>
      <c r="AZ1471" s="93" t="s">
        <v>22668</v>
      </c>
      <c r="BA1471" s="93" t="s">
        <v>22668</v>
      </c>
      <c r="BB1471" s="93" t="s">
        <v>22668</v>
      </c>
      <c r="BC1471" s="93" t="s">
        <v>19703</v>
      </c>
      <c r="BD1471" s="93" t="s">
        <v>23084</v>
      </c>
      <c r="BE1471" s="87"/>
      <c r="BF1471" s="87"/>
      <c r="BG1471" s="87"/>
      <c r="BH1471" s="87"/>
      <c r="BI1471" s="87"/>
    </row>
    <row r="1472" spans="1:61" x14ac:dyDescent="0.25">
      <c r="A1472" s="63" t="s">
        <v>732</v>
      </c>
      <c r="B1472" s="63" t="s">
        <v>732</v>
      </c>
      <c r="C1472" s="64"/>
      <c r="D1472" s="65"/>
      <c r="E1472" s="66"/>
      <c r="F1472" s="67"/>
      <c r="G1472" s="64"/>
      <c r="H1472" s="68"/>
      <c r="I1472" s="69"/>
      <c r="J1472" s="69"/>
      <c r="K1472" s="32"/>
      <c r="L1472" s="76">
        <v>1472</v>
      </c>
      <c r="M1472" s="76"/>
      <c r="N1472" s="71"/>
      <c r="O1472" s="87" t="s">
        <v>179</v>
      </c>
      <c r="P1472" s="90">
        <v>45181.375011574077</v>
      </c>
      <c r="Q1472" s="87" t="s">
        <v>3270</v>
      </c>
      <c r="R1472" s="87">
        <v>0</v>
      </c>
      <c r="S1472" s="87">
        <v>2</v>
      </c>
      <c r="T1472" s="87">
        <v>0</v>
      </c>
      <c r="U1472" s="87">
        <v>0</v>
      </c>
      <c r="V1472" s="87">
        <v>12</v>
      </c>
      <c r="W1472" s="93" t="s">
        <v>6865</v>
      </c>
      <c r="X1472" s="87"/>
      <c r="Y1472" s="87"/>
      <c r="Z1472" s="87"/>
      <c r="AA1472" s="87" t="s">
        <v>9570</v>
      </c>
      <c r="AB1472" s="87" t="s">
        <v>11448</v>
      </c>
      <c r="AC1472" s="93" t="s">
        <v>11457</v>
      </c>
      <c r="AD1472" s="87" t="s">
        <v>11519</v>
      </c>
      <c r="AE1472" s="92" t="str">
        <f>HYPERLINK("https://twitter.com/danielbrsoares/status/1701521031809106431")</f>
        <v>https://twitter.com/danielbrsoares/status/1701521031809106431</v>
      </c>
      <c r="AF1472" s="90">
        <v>45181.375011574077</v>
      </c>
      <c r="AG1472" s="99">
        <v>45181</v>
      </c>
      <c r="AH1472" s="93" t="s">
        <v>12883</v>
      </c>
      <c r="AI1472" s="87" t="b">
        <v>0</v>
      </c>
      <c r="AJ1472" s="87"/>
      <c r="AK1472" s="87"/>
      <c r="AL1472" s="87"/>
      <c r="AM1472" s="87"/>
      <c r="AN1472" s="87"/>
      <c r="AO1472" s="87"/>
      <c r="AP1472" s="87"/>
      <c r="AQ1472" s="87" t="s">
        <v>16383</v>
      </c>
      <c r="AR1472" s="87"/>
      <c r="AS1472" s="87"/>
      <c r="AT1472" s="87"/>
      <c r="AU1472" s="87"/>
      <c r="AV1472" s="92" t="str">
        <f>HYPERLINK("https://pbs.twimg.com/media/F5xqz5NW0AA7fTk.jpg")</f>
        <v>https://pbs.twimg.com/media/F5xqz5NW0AA7fTk.jpg</v>
      </c>
      <c r="AW1472" s="93" t="s">
        <v>19704</v>
      </c>
      <c r="AX1472" s="93" t="s">
        <v>19704</v>
      </c>
      <c r="AY1472" s="87"/>
      <c r="AZ1472" s="93" t="s">
        <v>22668</v>
      </c>
      <c r="BA1472" s="93" t="s">
        <v>22668</v>
      </c>
      <c r="BB1472" s="93" t="s">
        <v>22668</v>
      </c>
      <c r="BC1472" s="93" t="s">
        <v>19704</v>
      </c>
      <c r="BD1472" s="93" t="s">
        <v>23085</v>
      </c>
      <c r="BE1472" s="87"/>
      <c r="BF1472" s="87"/>
      <c r="BG1472" s="87"/>
      <c r="BH1472" s="87"/>
      <c r="BI1472" s="87"/>
    </row>
    <row r="1473" spans="1:61" x14ac:dyDescent="0.25">
      <c r="A1473" s="63" t="s">
        <v>733</v>
      </c>
      <c r="B1473" s="63" t="s">
        <v>733</v>
      </c>
      <c r="C1473" s="64"/>
      <c r="D1473" s="65"/>
      <c r="E1473" s="66"/>
      <c r="F1473" s="67"/>
      <c r="G1473" s="64"/>
      <c r="H1473" s="68"/>
      <c r="I1473" s="69"/>
      <c r="J1473" s="69"/>
      <c r="K1473" s="32"/>
      <c r="L1473" s="76">
        <v>1473</v>
      </c>
      <c r="M1473" s="76"/>
      <c r="N1473" s="71"/>
      <c r="O1473" s="87" t="s">
        <v>179</v>
      </c>
      <c r="P1473" s="90">
        <v>45114.596666666665</v>
      </c>
      <c r="Q1473" s="87" t="s">
        <v>3271</v>
      </c>
      <c r="R1473" s="87">
        <v>0</v>
      </c>
      <c r="S1473" s="87">
        <v>0</v>
      </c>
      <c r="T1473" s="87">
        <v>0</v>
      </c>
      <c r="U1473" s="87">
        <v>0</v>
      </c>
      <c r="V1473" s="87">
        <v>11</v>
      </c>
      <c r="W1473" s="93" t="s">
        <v>6866</v>
      </c>
      <c r="X1473" s="87"/>
      <c r="Y1473" s="87"/>
      <c r="Z1473" s="87"/>
      <c r="AA1473" s="87" t="s">
        <v>9571</v>
      </c>
      <c r="AB1473" s="87" t="s">
        <v>11448</v>
      </c>
      <c r="AC1473" s="93" t="s">
        <v>11457</v>
      </c>
      <c r="AD1473" s="87" t="s">
        <v>11519</v>
      </c>
      <c r="AE1473" s="92" t="str">
        <f>HYPERLINK("https://twitter.com/diamantebruto_/status/1677321371624284163")</f>
        <v>https://twitter.com/diamantebruto_/status/1677321371624284163</v>
      </c>
      <c r="AF1473" s="90">
        <v>45114.596666666665</v>
      </c>
      <c r="AG1473" s="99">
        <v>45114</v>
      </c>
      <c r="AH1473" s="93" t="s">
        <v>12884</v>
      </c>
      <c r="AI1473" s="87" t="b">
        <v>0</v>
      </c>
      <c r="AJ1473" s="87"/>
      <c r="AK1473" s="87"/>
      <c r="AL1473" s="87"/>
      <c r="AM1473" s="87"/>
      <c r="AN1473" s="87"/>
      <c r="AO1473" s="87"/>
      <c r="AP1473" s="87"/>
      <c r="AQ1473" s="87" t="s">
        <v>16384</v>
      </c>
      <c r="AR1473" s="87"/>
      <c r="AS1473" s="87"/>
      <c r="AT1473" s="87"/>
      <c r="AU1473" s="87"/>
      <c r="AV1473" s="92" t="str">
        <f>HYPERLINK("https://pbs.twimg.com/media/F0cK4aUWYAYHccI.jpg")</f>
        <v>https://pbs.twimg.com/media/F0cK4aUWYAYHccI.jpg</v>
      </c>
      <c r="AW1473" s="93" t="s">
        <v>19705</v>
      </c>
      <c r="AX1473" s="93" t="s">
        <v>19705</v>
      </c>
      <c r="AY1473" s="87"/>
      <c r="AZ1473" s="93" t="s">
        <v>22668</v>
      </c>
      <c r="BA1473" s="93" t="s">
        <v>22668</v>
      </c>
      <c r="BB1473" s="93" t="s">
        <v>22668</v>
      </c>
      <c r="BC1473" s="93" t="s">
        <v>19705</v>
      </c>
      <c r="BD1473" s="93" t="s">
        <v>23086</v>
      </c>
      <c r="BE1473" s="87"/>
      <c r="BF1473" s="87"/>
      <c r="BG1473" s="87"/>
      <c r="BH1473" s="87"/>
      <c r="BI1473" s="87"/>
    </row>
    <row r="1474" spans="1:61" x14ac:dyDescent="0.25">
      <c r="A1474" s="63" t="s">
        <v>734</v>
      </c>
      <c r="B1474" s="63" t="s">
        <v>734</v>
      </c>
      <c r="C1474" s="64"/>
      <c r="D1474" s="65"/>
      <c r="E1474" s="66"/>
      <c r="F1474" s="67"/>
      <c r="G1474" s="64"/>
      <c r="H1474" s="68"/>
      <c r="I1474" s="69"/>
      <c r="J1474" s="69"/>
      <c r="K1474" s="32"/>
      <c r="L1474" s="76">
        <v>1474</v>
      </c>
      <c r="M1474" s="76"/>
      <c r="N1474" s="71"/>
      <c r="O1474" s="87" t="s">
        <v>179</v>
      </c>
      <c r="P1474" s="90">
        <v>45116.807476851849</v>
      </c>
      <c r="Q1474" s="87" t="s">
        <v>3272</v>
      </c>
      <c r="R1474" s="87">
        <v>0</v>
      </c>
      <c r="S1474" s="87">
        <v>0</v>
      </c>
      <c r="T1474" s="87">
        <v>0</v>
      </c>
      <c r="U1474" s="87">
        <v>0</v>
      </c>
      <c r="V1474" s="87">
        <v>5</v>
      </c>
      <c r="W1474" s="93" t="s">
        <v>6867</v>
      </c>
      <c r="X1474" s="92" t="str">
        <f>HYPERLINK("https://www.impressosrp.com.br/produto/miolo-de-agenda-clean")</f>
        <v>https://www.impressosrp.com.br/produto/miolo-de-agenda-clean</v>
      </c>
      <c r="Y1474" s="87" t="s">
        <v>8373</v>
      </c>
      <c r="Z1474" s="87"/>
      <c r="AA1474" s="87" t="s">
        <v>9572</v>
      </c>
      <c r="AB1474" s="87" t="s">
        <v>11448</v>
      </c>
      <c r="AC1474" s="93" t="s">
        <v>11459</v>
      </c>
      <c r="AD1474" s="87" t="s">
        <v>11519</v>
      </c>
      <c r="AE1474" s="92" t="str">
        <f>HYPERLINK("https://twitter.com/impressosrp/status/1678122540747694080")</f>
        <v>https://twitter.com/impressosrp/status/1678122540747694080</v>
      </c>
      <c r="AF1474" s="90">
        <v>45116.807476851849</v>
      </c>
      <c r="AG1474" s="99">
        <v>45116</v>
      </c>
      <c r="AH1474" s="93" t="s">
        <v>12885</v>
      </c>
      <c r="AI1474" s="87" t="b">
        <v>0</v>
      </c>
      <c r="AJ1474" s="87"/>
      <c r="AK1474" s="87"/>
      <c r="AL1474" s="87"/>
      <c r="AM1474" s="87"/>
      <c r="AN1474" s="87"/>
      <c r="AO1474" s="87"/>
      <c r="AP1474" s="87"/>
      <c r="AQ1474" s="87" t="s">
        <v>16385</v>
      </c>
      <c r="AR1474" s="87"/>
      <c r="AS1474" s="87"/>
      <c r="AT1474" s="87"/>
      <c r="AU1474" s="87"/>
      <c r="AV1474" s="92" t="str">
        <f>HYPERLINK("https://pbs.twimg.com/media/F0njjrxWAAAsSjV.jpg")</f>
        <v>https://pbs.twimg.com/media/F0njjrxWAAAsSjV.jpg</v>
      </c>
      <c r="AW1474" s="93" t="s">
        <v>19706</v>
      </c>
      <c r="AX1474" s="93" t="s">
        <v>19706</v>
      </c>
      <c r="AY1474" s="87"/>
      <c r="AZ1474" s="93" t="s">
        <v>22668</v>
      </c>
      <c r="BA1474" s="93" t="s">
        <v>22668</v>
      </c>
      <c r="BB1474" s="93" t="s">
        <v>22668</v>
      </c>
      <c r="BC1474" s="93" t="s">
        <v>19706</v>
      </c>
      <c r="BD1474" s="93" t="s">
        <v>23087</v>
      </c>
      <c r="BE1474" s="87"/>
      <c r="BF1474" s="87"/>
      <c r="BG1474" s="87"/>
      <c r="BH1474" s="87"/>
      <c r="BI1474" s="87"/>
    </row>
    <row r="1475" spans="1:61" x14ac:dyDescent="0.25">
      <c r="A1475" s="63" t="s">
        <v>735</v>
      </c>
      <c r="B1475" s="63" t="s">
        <v>735</v>
      </c>
      <c r="C1475" s="64"/>
      <c r="D1475" s="65"/>
      <c r="E1475" s="66"/>
      <c r="F1475" s="67"/>
      <c r="G1475" s="64"/>
      <c r="H1475" s="68"/>
      <c r="I1475" s="69"/>
      <c r="J1475" s="69"/>
      <c r="K1475" s="32"/>
      <c r="L1475" s="76">
        <v>1475</v>
      </c>
      <c r="M1475" s="76"/>
      <c r="N1475" s="71"/>
      <c r="O1475" s="87" t="s">
        <v>179</v>
      </c>
      <c r="P1475" s="90">
        <v>45116.070092592592</v>
      </c>
      <c r="Q1475" s="87" t="s">
        <v>3273</v>
      </c>
      <c r="R1475" s="87">
        <v>0</v>
      </c>
      <c r="S1475" s="87">
        <v>0</v>
      </c>
      <c r="T1475" s="87">
        <v>0</v>
      </c>
      <c r="U1475" s="87">
        <v>0</v>
      </c>
      <c r="V1475" s="87">
        <v>2</v>
      </c>
      <c r="W1475" s="93" t="s">
        <v>6868</v>
      </c>
      <c r="X1475" s="92" t="str">
        <f>HYPERLINK("https://www.instagram.com/p/ClBm42IuPGK/?igshid=MTVlNTYxMjY2ZQ==")</f>
        <v>https://www.instagram.com/p/ClBm42IuPGK/?igshid=MTVlNTYxMjY2ZQ==</v>
      </c>
      <c r="Y1475" s="87" t="s">
        <v>8383</v>
      </c>
      <c r="Z1475" s="87"/>
      <c r="AA1475" s="87"/>
      <c r="AB1475" s="87"/>
      <c r="AC1475" s="93" t="s">
        <v>11459</v>
      </c>
      <c r="AD1475" s="87" t="s">
        <v>11519</v>
      </c>
      <c r="AE1475" s="92" t="str">
        <f>HYPERLINK("https://twitter.com/_mayconalmeida_/status/1677855320243093504")</f>
        <v>https://twitter.com/_mayconalmeida_/status/1677855320243093504</v>
      </c>
      <c r="AF1475" s="90">
        <v>45116.070092592592</v>
      </c>
      <c r="AG1475" s="99">
        <v>45116</v>
      </c>
      <c r="AH1475" s="93" t="s">
        <v>12886</v>
      </c>
      <c r="AI1475" s="87" t="b">
        <v>0</v>
      </c>
      <c r="AJ1475" s="87"/>
      <c r="AK1475" s="87"/>
      <c r="AL1475" s="87"/>
      <c r="AM1475" s="87"/>
      <c r="AN1475" s="87"/>
      <c r="AO1475" s="87"/>
      <c r="AP1475" s="87"/>
      <c r="AQ1475" s="87"/>
      <c r="AR1475" s="87"/>
      <c r="AS1475" s="87"/>
      <c r="AT1475" s="87"/>
      <c r="AU1475" s="87"/>
      <c r="AV1475" s="92" t="str">
        <f>HYPERLINK("https://pbs.twimg.com/profile_images/1581812111239438336/IvvzS_hy_normal.jpg")</f>
        <v>https://pbs.twimg.com/profile_images/1581812111239438336/IvvzS_hy_normal.jpg</v>
      </c>
      <c r="AW1475" s="93" t="s">
        <v>19707</v>
      </c>
      <c r="AX1475" s="93" t="s">
        <v>19707</v>
      </c>
      <c r="AY1475" s="87"/>
      <c r="AZ1475" s="93" t="s">
        <v>22668</v>
      </c>
      <c r="BA1475" s="93" t="s">
        <v>22668</v>
      </c>
      <c r="BB1475" s="93" t="s">
        <v>22668</v>
      </c>
      <c r="BC1475" s="93" t="s">
        <v>19707</v>
      </c>
      <c r="BD1475" s="87">
        <v>634846619</v>
      </c>
      <c r="BE1475" s="87"/>
      <c r="BF1475" s="87"/>
      <c r="BG1475" s="87"/>
      <c r="BH1475" s="87"/>
      <c r="BI1475" s="87"/>
    </row>
    <row r="1476" spans="1:61" x14ac:dyDescent="0.25">
      <c r="A1476" s="63" t="s">
        <v>736</v>
      </c>
      <c r="B1476" s="63" t="s">
        <v>736</v>
      </c>
      <c r="C1476" s="64"/>
      <c r="D1476" s="65"/>
      <c r="E1476" s="66"/>
      <c r="F1476" s="67"/>
      <c r="G1476" s="64"/>
      <c r="H1476" s="68"/>
      <c r="I1476" s="69"/>
      <c r="J1476" s="69"/>
      <c r="K1476" s="32"/>
      <c r="L1476" s="76">
        <v>1476</v>
      </c>
      <c r="M1476" s="76"/>
      <c r="N1476" s="71"/>
      <c r="O1476" s="87" t="s">
        <v>179</v>
      </c>
      <c r="P1476" s="90">
        <v>45142.597581018519</v>
      </c>
      <c r="Q1476" s="87" t="s">
        <v>3274</v>
      </c>
      <c r="R1476" s="87">
        <v>0</v>
      </c>
      <c r="S1476" s="87">
        <v>0</v>
      </c>
      <c r="T1476" s="87">
        <v>0</v>
      </c>
      <c r="U1476" s="87">
        <v>0</v>
      </c>
      <c r="V1476" s="87">
        <v>6</v>
      </c>
      <c r="W1476" s="93" t="s">
        <v>6869</v>
      </c>
      <c r="X1476" s="92" t="str">
        <f>HYPERLINK("https://cutt.ly/FwdjJdX8")</f>
        <v>https://cutt.ly/FwdjJdX8</v>
      </c>
      <c r="Y1476" s="87" t="s">
        <v>8376</v>
      </c>
      <c r="Z1476" s="87"/>
      <c r="AA1476" s="87" t="s">
        <v>9573</v>
      </c>
      <c r="AB1476" s="87" t="s">
        <v>11448</v>
      </c>
      <c r="AC1476" s="93" t="s">
        <v>11457</v>
      </c>
      <c r="AD1476" s="87" t="s">
        <v>11519</v>
      </c>
      <c r="AE1476" s="92" t="str">
        <f>HYPERLINK("https://twitter.com/enoticiapara/status/1687468561709539328")</f>
        <v>https://twitter.com/enoticiapara/status/1687468561709539328</v>
      </c>
      <c r="AF1476" s="90">
        <v>45142.597581018519</v>
      </c>
      <c r="AG1476" s="99">
        <v>45142</v>
      </c>
      <c r="AH1476" s="93" t="s">
        <v>12887</v>
      </c>
      <c r="AI1476" s="87" t="b">
        <v>0</v>
      </c>
      <c r="AJ1476" s="87"/>
      <c r="AK1476" s="87"/>
      <c r="AL1476" s="87"/>
      <c r="AM1476" s="87"/>
      <c r="AN1476" s="87"/>
      <c r="AO1476" s="87"/>
      <c r="AP1476" s="87"/>
      <c r="AQ1476" s="87" t="s">
        <v>16386</v>
      </c>
      <c r="AR1476" s="87"/>
      <c r="AS1476" s="87"/>
      <c r="AT1476" s="87"/>
      <c r="AU1476" s="87"/>
      <c r="AV1476" s="92" t="str">
        <f>HYPERLINK("https://pbs.twimg.com/media/F2sXsj2WsAEhgdc.jpg")</f>
        <v>https://pbs.twimg.com/media/F2sXsj2WsAEhgdc.jpg</v>
      </c>
      <c r="AW1476" s="93" t="s">
        <v>19708</v>
      </c>
      <c r="AX1476" s="93" t="s">
        <v>19708</v>
      </c>
      <c r="AY1476" s="87"/>
      <c r="AZ1476" s="93" t="s">
        <v>22668</v>
      </c>
      <c r="BA1476" s="93" t="s">
        <v>22668</v>
      </c>
      <c r="BB1476" s="93" t="s">
        <v>22668</v>
      </c>
      <c r="BC1476" s="93" t="s">
        <v>19708</v>
      </c>
      <c r="BD1476" s="93" t="s">
        <v>23088</v>
      </c>
      <c r="BE1476" s="87"/>
      <c r="BF1476" s="87"/>
      <c r="BG1476" s="87"/>
      <c r="BH1476" s="87"/>
      <c r="BI1476" s="87"/>
    </row>
    <row r="1477" spans="1:61" x14ac:dyDescent="0.25">
      <c r="A1477" s="63" t="s">
        <v>736</v>
      </c>
      <c r="B1477" s="63" t="s">
        <v>736</v>
      </c>
      <c r="C1477" s="64"/>
      <c r="D1477" s="65"/>
      <c r="E1477" s="66"/>
      <c r="F1477" s="67"/>
      <c r="G1477" s="64"/>
      <c r="H1477" s="68"/>
      <c r="I1477" s="69"/>
      <c r="J1477" s="69"/>
      <c r="K1477" s="32"/>
      <c r="L1477" s="76">
        <v>1477</v>
      </c>
      <c r="M1477" s="76"/>
      <c r="N1477" s="71"/>
      <c r="O1477" s="87" t="s">
        <v>179</v>
      </c>
      <c r="P1477" s="90">
        <v>45175.548263888886</v>
      </c>
      <c r="Q1477" s="87" t="s">
        <v>3275</v>
      </c>
      <c r="R1477" s="87">
        <v>0</v>
      </c>
      <c r="S1477" s="87">
        <v>0</v>
      </c>
      <c r="T1477" s="87">
        <v>0</v>
      </c>
      <c r="U1477" s="87">
        <v>0</v>
      </c>
      <c r="V1477" s="87">
        <v>7</v>
      </c>
      <c r="W1477" s="93" t="s">
        <v>6870</v>
      </c>
      <c r="X1477" s="92" t="str">
        <f>HYPERLINK("https://abrir.link/BagAs")</f>
        <v>https://abrir.link/BagAs</v>
      </c>
      <c r="Y1477" s="87" t="s">
        <v>8457</v>
      </c>
      <c r="Z1477" s="87"/>
      <c r="AA1477" s="87" t="s">
        <v>9574</v>
      </c>
      <c r="AB1477" s="87" t="s">
        <v>11448</v>
      </c>
      <c r="AC1477" s="93" t="s">
        <v>11457</v>
      </c>
      <c r="AD1477" s="87" t="s">
        <v>11519</v>
      </c>
      <c r="AE1477" s="92" t="str">
        <f>HYPERLINK("https://twitter.com/enoticiapara/status/1699409489911337253")</f>
        <v>https://twitter.com/enoticiapara/status/1699409489911337253</v>
      </c>
      <c r="AF1477" s="90">
        <v>45175.548263888886</v>
      </c>
      <c r="AG1477" s="99">
        <v>45175</v>
      </c>
      <c r="AH1477" s="93" t="s">
        <v>12888</v>
      </c>
      <c r="AI1477" s="87" t="b">
        <v>0</v>
      </c>
      <c r="AJ1477" s="87"/>
      <c r="AK1477" s="87"/>
      <c r="AL1477" s="87"/>
      <c r="AM1477" s="87"/>
      <c r="AN1477" s="87"/>
      <c r="AO1477" s="87"/>
      <c r="AP1477" s="87"/>
      <c r="AQ1477" s="87" t="s">
        <v>16387</v>
      </c>
      <c r="AR1477" s="87"/>
      <c r="AS1477" s="87"/>
      <c r="AT1477" s="87"/>
      <c r="AU1477" s="87"/>
      <c r="AV1477" s="92" t="str">
        <f>HYPERLINK("https://pbs.twimg.com/media/F5WD6ppXwAALhV6.jpg")</f>
        <v>https://pbs.twimg.com/media/F5WD6ppXwAALhV6.jpg</v>
      </c>
      <c r="AW1477" s="93" t="s">
        <v>19709</v>
      </c>
      <c r="AX1477" s="93" t="s">
        <v>19709</v>
      </c>
      <c r="AY1477" s="87"/>
      <c r="AZ1477" s="93" t="s">
        <v>22668</v>
      </c>
      <c r="BA1477" s="93" t="s">
        <v>22668</v>
      </c>
      <c r="BB1477" s="93" t="s">
        <v>22668</v>
      </c>
      <c r="BC1477" s="93" t="s">
        <v>19709</v>
      </c>
      <c r="BD1477" s="93" t="s">
        <v>23088</v>
      </c>
      <c r="BE1477" s="87"/>
      <c r="BF1477" s="87"/>
      <c r="BG1477" s="87"/>
      <c r="BH1477" s="87"/>
      <c r="BI1477" s="87"/>
    </row>
    <row r="1478" spans="1:61" x14ac:dyDescent="0.25">
      <c r="A1478" s="63" t="s">
        <v>737</v>
      </c>
      <c r="B1478" s="63" t="s">
        <v>737</v>
      </c>
      <c r="C1478" s="64"/>
      <c r="D1478" s="65"/>
      <c r="E1478" s="66"/>
      <c r="F1478" s="67"/>
      <c r="G1478" s="64"/>
      <c r="H1478" s="68"/>
      <c r="I1478" s="69"/>
      <c r="J1478" s="69"/>
      <c r="K1478" s="32"/>
      <c r="L1478" s="76">
        <v>1478</v>
      </c>
      <c r="M1478" s="76"/>
      <c r="N1478" s="71"/>
      <c r="O1478" s="87" t="s">
        <v>179</v>
      </c>
      <c r="P1478" s="90">
        <v>45157.919363425928</v>
      </c>
      <c r="Q1478" s="87" t="s">
        <v>3276</v>
      </c>
      <c r="R1478" s="87">
        <v>1</v>
      </c>
      <c r="S1478" s="87">
        <v>1</v>
      </c>
      <c r="T1478" s="87">
        <v>0</v>
      </c>
      <c r="U1478" s="87">
        <v>0</v>
      </c>
      <c r="V1478" s="87">
        <v>23</v>
      </c>
      <c r="W1478" s="93" t="s">
        <v>6871</v>
      </c>
      <c r="X1478" s="92" t="str">
        <f>HYPERLINK("http://www.wtvbrasil.com.br")</f>
        <v>http://www.wtvbrasil.com.br</v>
      </c>
      <c r="Y1478" s="87" t="s">
        <v>8373</v>
      </c>
      <c r="Z1478" s="87"/>
      <c r="AA1478" s="87" t="s">
        <v>9575</v>
      </c>
      <c r="AB1478" s="87" t="s">
        <v>11448</v>
      </c>
      <c r="AC1478" s="93" t="s">
        <v>11457</v>
      </c>
      <c r="AD1478" s="87" t="s">
        <v>11519</v>
      </c>
      <c r="AE1478" s="92" t="str">
        <f>HYPERLINK("https://twitter.com/wtvbrasil/status/1693020992078045649")</f>
        <v>https://twitter.com/wtvbrasil/status/1693020992078045649</v>
      </c>
      <c r="AF1478" s="90">
        <v>45157.919363425928</v>
      </c>
      <c r="AG1478" s="99">
        <v>45157</v>
      </c>
      <c r="AH1478" s="93" t="s">
        <v>12889</v>
      </c>
      <c r="AI1478" s="87" t="b">
        <v>0</v>
      </c>
      <c r="AJ1478" s="87"/>
      <c r="AK1478" s="87"/>
      <c r="AL1478" s="87"/>
      <c r="AM1478" s="87"/>
      <c r="AN1478" s="87"/>
      <c r="AO1478" s="87"/>
      <c r="AP1478" s="87"/>
      <c r="AQ1478" s="87" t="s">
        <v>16388</v>
      </c>
      <c r="AR1478" s="87"/>
      <c r="AS1478" s="87"/>
      <c r="AT1478" s="87"/>
      <c r="AU1478" s="87"/>
      <c r="AV1478" s="92" t="str">
        <f>HYPERLINK("https://pbs.twimg.com/media/F37RfEhXkAAtMUO.jpg")</f>
        <v>https://pbs.twimg.com/media/F37RfEhXkAAtMUO.jpg</v>
      </c>
      <c r="AW1478" s="93" t="s">
        <v>19710</v>
      </c>
      <c r="AX1478" s="93" t="s">
        <v>19710</v>
      </c>
      <c r="AY1478" s="87"/>
      <c r="AZ1478" s="93" t="s">
        <v>22668</v>
      </c>
      <c r="BA1478" s="93" t="s">
        <v>22668</v>
      </c>
      <c r="BB1478" s="93" t="s">
        <v>22668</v>
      </c>
      <c r="BC1478" s="93" t="s">
        <v>19710</v>
      </c>
      <c r="BD1478" s="87">
        <v>61100164</v>
      </c>
      <c r="BE1478" s="87"/>
      <c r="BF1478" s="87"/>
      <c r="BG1478" s="87"/>
      <c r="BH1478" s="87"/>
      <c r="BI1478" s="87"/>
    </row>
    <row r="1479" spans="1:61" x14ac:dyDescent="0.25">
      <c r="A1479" s="63" t="s">
        <v>738</v>
      </c>
      <c r="B1479" s="63" t="s">
        <v>738</v>
      </c>
      <c r="C1479" s="64"/>
      <c r="D1479" s="65"/>
      <c r="E1479" s="66"/>
      <c r="F1479" s="67"/>
      <c r="G1479" s="64"/>
      <c r="H1479" s="68"/>
      <c r="I1479" s="69"/>
      <c r="J1479" s="69"/>
      <c r="K1479" s="32"/>
      <c r="L1479" s="76">
        <v>1479</v>
      </c>
      <c r="M1479" s="76"/>
      <c r="N1479" s="71"/>
      <c r="O1479" s="87" t="s">
        <v>179</v>
      </c>
      <c r="P1479" s="90">
        <v>45195.482233796298</v>
      </c>
      <c r="Q1479" s="87" t="s">
        <v>3277</v>
      </c>
      <c r="R1479" s="87">
        <v>0</v>
      </c>
      <c r="S1479" s="87">
        <v>0</v>
      </c>
      <c r="T1479" s="87">
        <v>0</v>
      </c>
      <c r="U1479" s="87">
        <v>0</v>
      </c>
      <c r="V1479" s="87"/>
      <c r="W1479" s="93" t="s">
        <v>6872</v>
      </c>
      <c r="X1479" s="87"/>
      <c r="Y1479" s="87"/>
      <c r="Z1479" s="87"/>
      <c r="AA1479" s="87" t="s">
        <v>9576</v>
      </c>
      <c r="AB1479" s="87" t="s">
        <v>11448</v>
      </c>
      <c r="AC1479" s="93" t="s">
        <v>11458</v>
      </c>
      <c r="AD1479" s="87" t="s">
        <v>11519</v>
      </c>
      <c r="AE1479" s="92" t="str">
        <f>HYPERLINK("https://twitter.com/danielborgesrj/status/1706633318094045687")</f>
        <v>https://twitter.com/danielborgesrj/status/1706633318094045687</v>
      </c>
      <c r="AF1479" s="90">
        <v>45195.482233796298</v>
      </c>
      <c r="AG1479" s="99">
        <v>45195</v>
      </c>
      <c r="AH1479" s="93" t="s">
        <v>12890</v>
      </c>
      <c r="AI1479" s="87" t="b">
        <v>1</v>
      </c>
      <c r="AJ1479" s="87"/>
      <c r="AK1479" s="87"/>
      <c r="AL1479" s="87"/>
      <c r="AM1479" s="87"/>
      <c r="AN1479" s="87"/>
      <c r="AO1479" s="87"/>
      <c r="AP1479" s="87"/>
      <c r="AQ1479" s="87" t="s">
        <v>16389</v>
      </c>
      <c r="AR1479" s="87"/>
      <c r="AS1479" s="87"/>
      <c r="AT1479" s="87"/>
      <c r="AU1479" s="87"/>
      <c r="AV1479" s="92" t="str">
        <f>HYPERLINK("https://pbs.twimg.com/media/F68t9BxX0AEcc2G.jpg")</f>
        <v>https://pbs.twimg.com/media/F68t9BxX0AEcc2G.jpg</v>
      </c>
      <c r="AW1479" s="93" t="s">
        <v>19711</v>
      </c>
      <c r="AX1479" s="93" t="s">
        <v>19711</v>
      </c>
      <c r="AY1479" s="87"/>
      <c r="AZ1479" s="93" t="s">
        <v>22668</v>
      </c>
      <c r="BA1479" s="93" t="s">
        <v>22668</v>
      </c>
      <c r="BB1479" s="93" t="s">
        <v>22668</v>
      </c>
      <c r="BC1479" s="93" t="s">
        <v>19711</v>
      </c>
      <c r="BD1479" s="87">
        <v>1267878480</v>
      </c>
      <c r="BE1479" s="87"/>
      <c r="BF1479" s="87"/>
      <c r="BG1479" s="87"/>
      <c r="BH1479" s="87"/>
      <c r="BI1479" s="87"/>
    </row>
    <row r="1480" spans="1:61" x14ac:dyDescent="0.25">
      <c r="A1480" s="63" t="s">
        <v>739</v>
      </c>
      <c r="B1480" s="63" t="s">
        <v>739</v>
      </c>
      <c r="C1480" s="64"/>
      <c r="D1480" s="65"/>
      <c r="E1480" s="66"/>
      <c r="F1480" s="67"/>
      <c r="G1480" s="64"/>
      <c r="H1480" s="68"/>
      <c r="I1480" s="69"/>
      <c r="J1480" s="69"/>
      <c r="K1480" s="32"/>
      <c r="L1480" s="76">
        <v>1480</v>
      </c>
      <c r="M1480" s="76"/>
      <c r="N1480" s="71"/>
      <c r="O1480" s="87" t="s">
        <v>179</v>
      </c>
      <c r="P1480" s="90">
        <v>45149.070613425924</v>
      </c>
      <c r="Q1480" s="87" t="s">
        <v>3278</v>
      </c>
      <c r="R1480" s="87">
        <v>0</v>
      </c>
      <c r="S1480" s="87">
        <v>0</v>
      </c>
      <c r="T1480" s="87">
        <v>1</v>
      </c>
      <c r="U1480" s="87">
        <v>0</v>
      </c>
      <c r="V1480" s="87">
        <v>12</v>
      </c>
      <c r="W1480" s="93" t="s">
        <v>6873</v>
      </c>
      <c r="X1480" s="92" t="str">
        <f>HYPERLINK("https://pronewsai.com/como-criar-um-site-usando-o-chatgpt-chatgpt-chatgpt3-chatgpt4-empresario-empreendedor/")</f>
        <v>https://pronewsai.com/como-criar-um-site-usando-o-chatgpt-chatgpt-chatgpt3-chatgpt4-empresario-empreendedor/</v>
      </c>
      <c r="Y1480" s="87" t="s">
        <v>8458</v>
      </c>
      <c r="Z1480" s="87"/>
      <c r="AA1480" s="87"/>
      <c r="AB1480" s="87"/>
      <c r="AC1480" s="93" t="s">
        <v>11491</v>
      </c>
      <c r="AD1480" s="87" t="s">
        <v>11519</v>
      </c>
      <c r="AE1480" s="92" t="str">
        <f>HYPERLINK("https://twitter.com/pronewsai/status/1689814309814050816")</f>
        <v>https://twitter.com/pronewsai/status/1689814309814050816</v>
      </c>
      <c r="AF1480" s="90">
        <v>45149.070613425924</v>
      </c>
      <c r="AG1480" s="99">
        <v>45149</v>
      </c>
      <c r="AH1480" s="93" t="s">
        <v>12891</v>
      </c>
      <c r="AI1480" s="87" t="b">
        <v>0</v>
      </c>
      <c r="AJ1480" s="87"/>
      <c r="AK1480" s="87"/>
      <c r="AL1480" s="87"/>
      <c r="AM1480" s="87"/>
      <c r="AN1480" s="87"/>
      <c r="AO1480" s="87"/>
      <c r="AP1480" s="87"/>
      <c r="AQ1480" s="87"/>
      <c r="AR1480" s="87"/>
      <c r="AS1480" s="87"/>
      <c r="AT1480" s="87"/>
      <c r="AU1480" s="87"/>
      <c r="AV1480" s="92" t="str">
        <f>HYPERLINK("https://pbs.twimg.com/profile_images/1644909839448162304/z_5QFj5I_normal.jpg")</f>
        <v>https://pbs.twimg.com/profile_images/1644909839448162304/z_5QFj5I_normal.jpg</v>
      </c>
      <c r="AW1480" s="93" t="s">
        <v>19712</v>
      </c>
      <c r="AX1480" s="93" t="s">
        <v>19712</v>
      </c>
      <c r="AY1480" s="87"/>
      <c r="AZ1480" s="93" t="s">
        <v>22668</v>
      </c>
      <c r="BA1480" s="93" t="s">
        <v>22668</v>
      </c>
      <c r="BB1480" s="93" t="s">
        <v>22668</v>
      </c>
      <c r="BC1480" s="93" t="s">
        <v>19712</v>
      </c>
      <c r="BD1480" s="93" t="s">
        <v>23089</v>
      </c>
      <c r="BE1480" s="87"/>
      <c r="BF1480" s="87"/>
      <c r="BG1480" s="87"/>
      <c r="BH1480" s="87"/>
      <c r="BI1480" s="87"/>
    </row>
    <row r="1481" spans="1:61" x14ac:dyDescent="0.25">
      <c r="A1481" s="63" t="s">
        <v>740</v>
      </c>
      <c r="B1481" s="63" t="s">
        <v>740</v>
      </c>
      <c r="C1481" s="64"/>
      <c r="D1481" s="65"/>
      <c r="E1481" s="66"/>
      <c r="F1481" s="67"/>
      <c r="G1481" s="64"/>
      <c r="H1481" s="68"/>
      <c r="I1481" s="69"/>
      <c r="J1481" s="69"/>
      <c r="K1481" s="32"/>
      <c r="L1481" s="76">
        <v>1481</v>
      </c>
      <c r="M1481" s="76"/>
      <c r="N1481" s="71"/>
      <c r="O1481" s="87" t="s">
        <v>179</v>
      </c>
      <c r="P1481" s="90">
        <v>45128.738240740742</v>
      </c>
      <c r="Q1481" s="87" t="s">
        <v>3279</v>
      </c>
      <c r="R1481" s="87">
        <v>0</v>
      </c>
      <c r="S1481" s="87">
        <v>0</v>
      </c>
      <c r="T1481" s="87">
        <v>0</v>
      </c>
      <c r="U1481" s="87">
        <v>0</v>
      </c>
      <c r="V1481" s="87">
        <v>25</v>
      </c>
      <c r="W1481" s="93" t="s">
        <v>6874</v>
      </c>
      <c r="X1481" s="92" t="str">
        <f>HYPERLINK("https://cutt.ly/celsoplanodesaude")</f>
        <v>https://cutt.ly/celsoplanodesaude</v>
      </c>
      <c r="Y1481" s="87" t="s">
        <v>8376</v>
      </c>
      <c r="Z1481" s="87"/>
      <c r="AA1481" s="87" t="s">
        <v>9577</v>
      </c>
      <c r="AB1481" s="87" t="s">
        <v>11448</v>
      </c>
      <c r="AC1481" s="93" t="s">
        <v>11459</v>
      </c>
      <c r="AD1481" s="87" t="s">
        <v>11519</v>
      </c>
      <c r="AE1481" s="92" t="str">
        <f>HYPERLINK("https://twitter.com/celsoteixeiraaa/status/1682446107131904000")</f>
        <v>https://twitter.com/celsoteixeiraaa/status/1682446107131904000</v>
      </c>
      <c r="AF1481" s="90">
        <v>45128.738240740742</v>
      </c>
      <c r="AG1481" s="99">
        <v>45128</v>
      </c>
      <c r="AH1481" s="93" t="s">
        <v>12892</v>
      </c>
      <c r="AI1481" s="87" t="b">
        <v>0</v>
      </c>
      <c r="AJ1481" s="87"/>
      <c r="AK1481" s="87"/>
      <c r="AL1481" s="87"/>
      <c r="AM1481" s="87"/>
      <c r="AN1481" s="87"/>
      <c r="AO1481" s="87"/>
      <c r="AP1481" s="87"/>
      <c r="AQ1481" s="87" t="s">
        <v>16390</v>
      </c>
      <c r="AR1481" s="87"/>
      <c r="AS1481" s="87"/>
      <c r="AT1481" s="87"/>
      <c r="AU1481" s="87"/>
      <c r="AV1481" s="92" t="str">
        <f>HYPERLINK("https://pbs.twimg.com/media/F1k_0XVWcAAVmkJ.jpg")</f>
        <v>https://pbs.twimg.com/media/F1k_0XVWcAAVmkJ.jpg</v>
      </c>
      <c r="AW1481" s="93" t="s">
        <v>19713</v>
      </c>
      <c r="AX1481" s="93" t="s">
        <v>19713</v>
      </c>
      <c r="AY1481" s="87"/>
      <c r="AZ1481" s="93" t="s">
        <v>22668</v>
      </c>
      <c r="BA1481" s="93" t="s">
        <v>22668</v>
      </c>
      <c r="BB1481" s="93" t="s">
        <v>22668</v>
      </c>
      <c r="BC1481" s="93" t="s">
        <v>19713</v>
      </c>
      <c r="BD1481" s="93" t="s">
        <v>23090</v>
      </c>
      <c r="BE1481" s="87"/>
      <c r="BF1481" s="87"/>
      <c r="BG1481" s="87"/>
      <c r="BH1481" s="87"/>
      <c r="BI1481" s="87"/>
    </row>
    <row r="1482" spans="1:61" x14ac:dyDescent="0.25">
      <c r="A1482" s="63" t="s">
        <v>740</v>
      </c>
      <c r="B1482" s="63" t="s">
        <v>740</v>
      </c>
      <c r="C1482" s="64"/>
      <c r="D1482" s="65"/>
      <c r="E1482" s="66"/>
      <c r="F1482" s="67"/>
      <c r="G1482" s="64"/>
      <c r="H1482" s="68"/>
      <c r="I1482" s="69"/>
      <c r="J1482" s="69"/>
      <c r="K1482" s="32"/>
      <c r="L1482" s="76">
        <v>1482</v>
      </c>
      <c r="M1482" s="76"/>
      <c r="N1482" s="71"/>
      <c r="O1482" s="87" t="s">
        <v>179</v>
      </c>
      <c r="P1482" s="90">
        <v>45133.825023148151</v>
      </c>
      <c r="Q1482" s="87" t="s">
        <v>3280</v>
      </c>
      <c r="R1482" s="87">
        <v>0</v>
      </c>
      <c r="S1482" s="87">
        <v>0</v>
      </c>
      <c r="T1482" s="87">
        <v>0</v>
      </c>
      <c r="U1482" s="87">
        <v>0</v>
      </c>
      <c r="V1482" s="87">
        <v>19</v>
      </c>
      <c r="W1482" s="93" t="s">
        <v>6875</v>
      </c>
      <c r="X1482" s="92" t="str">
        <f>HYPERLINK("http://cutt.ly/celsoplanodesa")</f>
        <v>http://cutt.ly/celsoplanodesa</v>
      </c>
      <c r="Y1482" s="87" t="s">
        <v>8376</v>
      </c>
      <c r="Z1482" s="87"/>
      <c r="AA1482" s="87" t="s">
        <v>9578</v>
      </c>
      <c r="AB1482" s="87" t="s">
        <v>11447</v>
      </c>
      <c r="AC1482" s="93" t="s">
        <v>11459</v>
      </c>
      <c r="AD1482" s="87" t="s">
        <v>11519</v>
      </c>
      <c r="AE1482" s="92" t="str">
        <f>HYPERLINK("https://twitter.com/celsoteixeiraaa/status/1684289491693862914")</f>
        <v>https://twitter.com/celsoteixeiraaa/status/1684289491693862914</v>
      </c>
      <c r="AF1482" s="90">
        <v>45133.825023148151</v>
      </c>
      <c r="AG1482" s="99">
        <v>45133</v>
      </c>
      <c r="AH1482" s="93" t="s">
        <v>12893</v>
      </c>
      <c r="AI1482" s="87" t="b">
        <v>0</v>
      </c>
      <c r="AJ1482" s="87"/>
      <c r="AK1482" s="87"/>
      <c r="AL1482" s="87"/>
      <c r="AM1482" s="87"/>
      <c r="AN1482" s="87"/>
      <c r="AO1482" s="87"/>
      <c r="AP1482" s="87"/>
      <c r="AQ1482" s="87" t="s">
        <v>16391</v>
      </c>
      <c r="AR1482" s="87">
        <v>9705</v>
      </c>
      <c r="AS1482" s="87"/>
      <c r="AT1482" s="87"/>
      <c r="AU1482" s="87"/>
      <c r="AV1482" s="92" t="str">
        <f>HYPERLINK("https://pbs.twimg.com/ext_tw_video_thumb/1684289458684715010/pu/img/kGt7FFJuR8Q7UqZR.jpg")</f>
        <v>https://pbs.twimg.com/ext_tw_video_thumb/1684289458684715010/pu/img/kGt7FFJuR8Q7UqZR.jpg</v>
      </c>
      <c r="AW1482" s="93" t="s">
        <v>19714</v>
      </c>
      <c r="AX1482" s="93" t="s">
        <v>19714</v>
      </c>
      <c r="AY1482" s="87"/>
      <c r="AZ1482" s="93" t="s">
        <v>22668</v>
      </c>
      <c r="BA1482" s="93" t="s">
        <v>22668</v>
      </c>
      <c r="BB1482" s="93" t="s">
        <v>22668</v>
      </c>
      <c r="BC1482" s="93" t="s">
        <v>19714</v>
      </c>
      <c r="BD1482" s="93" t="s">
        <v>23090</v>
      </c>
      <c r="BE1482" s="87"/>
      <c r="BF1482" s="87"/>
      <c r="BG1482" s="87"/>
      <c r="BH1482" s="87"/>
      <c r="BI1482" s="87"/>
    </row>
    <row r="1483" spans="1:61" x14ac:dyDescent="0.25">
      <c r="A1483" s="63" t="s">
        <v>740</v>
      </c>
      <c r="B1483" s="63" t="s">
        <v>740</v>
      </c>
      <c r="C1483" s="64"/>
      <c r="D1483" s="65"/>
      <c r="E1483" s="66"/>
      <c r="F1483" s="67"/>
      <c r="G1483" s="64"/>
      <c r="H1483" s="68"/>
      <c r="I1483" s="69"/>
      <c r="J1483" s="69"/>
      <c r="K1483" s="32"/>
      <c r="L1483" s="76">
        <v>1483</v>
      </c>
      <c r="M1483" s="76"/>
      <c r="N1483" s="71"/>
      <c r="O1483" s="87" t="s">
        <v>179</v>
      </c>
      <c r="P1483" s="90">
        <v>45133.809849537036</v>
      </c>
      <c r="Q1483" s="87" t="s">
        <v>3281</v>
      </c>
      <c r="R1483" s="87">
        <v>0</v>
      </c>
      <c r="S1483" s="87">
        <v>1</v>
      </c>
      <c r="T1483" s="87">
        <v>0</v>
      </c>
      <c r="U1483" s="87">
        <v>0</v>
      </c>
      <c r="V1483" s="87">
        <v>37</v>
      </c>
      <c r="W1483" s="93" t="s">
        <v>6875</v>
      </c>
      <c r="X1483" s="92" t="str">
        <f>HYPERLINK("http://cutt.ly/celsoplanodesa")</f>
        <v>http://cutt.ly/celsoplanodesa</v>
      </c>
      <c r="Y1483" s="87" t="s">
        <v>8376</v>
      </c>
      <c r="Z1483" s="87"/>
      <c r="AA1483" s="87" t="s">
        <v>9579</v>
      </c>
      <c r="AB1483" s="87" t="s">
        <v>11447</v>
      </c>
      <c r="AC1483" s="93" t="s">
        <v>11459</v>
      </c>
      <c r="AD1483" s="87" t="s">
        <v>11519</v>
      </c>
      <c r="AE1483" s="92" t="str">
        <f>HYPERLINK("https://twitter.com/celsoteixeiraaa/status/1684283996228685824")</f>
        <v>https://twitter.com/celsoteixeiraaa/status/1684283996228685824</v>
      </c>
      <c r="AF1483" s="90">
        <v>45133.809849537036</v>
      </c>
      <c r="AG1483" s="99">
        <v>45133</v>
      </c>
      <c r="AH1483" s="93" t="s">
        <v>12894</v>
      </c>
      <c r="AI1483" s="87" t="b">
        <v>0</v>
      </c>
      <c r="AJ1483" s="87"/>
      <c r="AK1483" s="87"/>
      <c r="AL1483" s="87"/>
      <c r="AM1483" s="87"/>
      <c r="AN1483" s="87"/>
      <c r="AO1483" s="87"/>
      <c r="AP1483" s="87"/>
      <c r="AQ1483" s="87" t="s">
        <v>16392</v>
      </c>
      <c r="AR1483" s="87">
        <v>21408</v>
      </c>
      <c r="AS1483" s="87"/>
      <c r="AT1483" s="87"/>
      <c r="AU1483" s="87"/>
      <c r="AV1483" s="92" t="str">
        <f>HYPERLINK("https://pbs.twimg.com/ext_tw_video_thumb/1684283935725944837/pu/img/-mXBSV25W8Sw8F1_.jpg")</f>
        <v>https://pbs.twimg.com/ext_tw_video_thumb/1684283935725944837/pu/img/-mXBSV25W8Sw8F1_.jpg</v>
      </c>
      <c r="AW1483" s="93" t="s">
        <v>19715</v>
      </c>
      <c r="AX1483" s="93" t="s">
        <v>19715</v>
      </c>
      <c r="AY1483" s="87"/>
      <c r="AZ1483" s="93" t="s">
        <v>22668</v>
      </c>
      <c r="BA1483" s="93" t="s">
        <v>22668</v>
      </c>
      <c r="BB1483" s="93" t="s">
        <v>22668</v>
      </c>
      <c r="BC1483" s="93" t="s">
        <v>19715</v>
      </c>
      <c r="BD1483" s="93" t="s">
        <v>23090</v>
      </c>
      <c r="BE1483" s="87"/>
      <c r="BF1483" s="87"/>
      <c r="BG1483" s="87"/>
      <c r="BH1483" s="87"/>
      <c r="BI1483" s="87"/>
    </row>
    <row r="1484" spans="1:61" x14ac:dyDescent="0.25">
      <c r="A1484" s="63" t="s">
        <v>740</v>
      </c>
      <c r="B1484" s="63" t="s">
        <v>740</v>
      </c>
      <c r="C1484" s="64"/>
      <c r="D1484" s="65"/>
      <c r="E1484" s="66"/>
      <c r="F1484" s="67"/>
      <c r="G1484" s="64"/>
      <c r="H1484" s="68"/>
      <c r="I1484" s="69"/>
      <c r="J1484" s="69"/>
      <c r="K1484" s="32"/>
      <c r="L1484" s="76">
        <v>1484</v>
      </c>
      <c r="M1484" s="76"/>
      <c r="N1484" s="71"/>
      <c r="O1484" s="87" t="s">
        <v>179</v>
      </c>
      <c r="P1484" s="90">
        <v>45133.807164351849</v>
      </c>
      <c r="Q1484" s="87" t="s">
        <v>3282</v>
      </c>
      <c r="R1484" s="87">
        <v>0</v>
      </c>
      <c r="S1484" s="87">
        <v>0</v>
      </c>
      <c r="T1484" s="87">
        <v>0</v>
      </c>
      <c r="U1484" s="87">
        <v>0</v>
      </c>
      <c r="V1484" s="87">
        <v>23</v>
      </c>
      <c r="W1484" s="93" t="s">
        <v>6875</v>
      </c>
      <c r="X1484" s="92" t="str">
        <f>HYPERLINK("http://cutt.ly/celsoplanodesa")</f>
        <v>http://cutt.ly/celsoplanodesa</v>
      </c>
      <c r="Y1484" s="87" t="s">
        <v>8376</v>
      </c>
      <c r="Z1484" s="87"/>
      <c r="AA1484" s="87" t="s">
        <v>9580</v>
      </c>
      <c r="AB1484" s="87" t="s">
        <v>11447</v>
      </c>
      <c r="AC1484" s="93" t="s">
        <v>11459</v>
      </c>
      <c r="AD1484" s="87" t="s">
        <v>11519</v>
      </c>
      <c r="AE1484" s="92" t="str">
        <f>HYPERLINK("https://twitter.com/celsoteixeiraaa/status/1684283023754137602")</f>
        <v>https://twitter.com/celsoteixeiraaa/status/1684283023754137602</v>
      </c>
      <c r="AF1484" s="90">
        <v>45133.807164351849</v>
      </c>
      <c r="AG1484" s="99">
        <v>45133</v>
      </c>
      <c r="AH1484" s="93" t="s">
        <v>12895</v>
      </c>
      <c r="AI1484" s="87" t="b">
        <v>0</v>
      </c>
      <c r="AJ1484" s="87"/>
      <c r="AK1484" s="87"/>
      <c r="AL1484" s="87"/>
      <c r="AM1484" s="87"/>
      <c r="AN1484" s="87"/>
      <c r="AO1484" s="87"/>
      <c r="AP1484" s="87"/>
      <c r="AQ1484" s="87" t="s">
        <v>16393</v>
      </c>
      <c r="AR1484" s="87">
        <v>15033</v>
      </c>
      <c r="AS1484" s="87"/>
      <c r="AT1484" s="87"/>
      <c r="AU1484" s="87"/>
      <c r="AV1484" s="92" t="str">
        <f>HYPERLINK("https://pbs.twimg.com/ext_tw_video_thumb/1684283002380066816/pu/img/6B1M8x1Dr9htR91W.jpg")</f>
        <v>https://pbs.twimg.com/ext_tw_video_thumb/1684283002380066816/pu/img/6B1M8x1Dr9htR91W.jpg</v>
      </c>
      <c r="AW1484" s="93" t="s">
        <v>19716</v>
      </c>
      <c r="AX1484" s="93" t="s">
        <v>19716</v>
      </c>
      <c r="AY1484" s="87"/>
      <c r="AZ1484" s="93" t="s">
        <v>22668</v>
      </c>
      <c r="BA1484" s="93" t="s">
        <v>22668</v>
      </c>
      <c r="BB1484" s="93" t="s">
        <v>22668</v>
      </c>
      <c r="BC1484" s="93" t="s">
        <v>19716</v>
      </c>
      <c r="BD1484" s="93" t="s">
        <v>23090</v>
      </c>
      <c r="BE1484" s="87"/>
      <c r="BF1484" s="87"/>
      <c r="BG1484" s="87"/>
      <c r="BH1484" s="87"/>
      <c r="BI1484" s="87"/>
    </row>
    <row r="1485" spans="1:61" x14ac:dyDescent="0.25">
      <c r="A1485" s="63" t="s">
        <v>740</v>
      </c>
      <c r="B1485" s="63" t="s">
        <v>740</v>
      </c>
      <c r="C1485" s="64"/>
      <c r="D1485" s="65"/>
      <c r="E1485" s="66"/>
      <c r="F1485" s="67"/>
      <c r="G1485" s="64"/>
      <c r="H1485" s="68"/>
      <c r="I1485" s="69"/>
      <c r="J1485" s="69"/>
      <c r="K1485" s="32"/>
      <c r="L1485" s="76">
        <v>1485</v>
      </c>
      <c r="M1485" s="76"/>
      <c r="N1485" s="71"/>
      <c r="O1485" s="87" t="s">
        <v>179</v>
      </c>
      <c r="P1485" s="90">
        <v>45147.456076388888</v>
      </c>
      <c r="Q1485" s="87" t="s">
        <v>3283</v>
      </c>
      <c r="R1485" s="87">
        <v>0</v>
      </c>
      <c r="S1485" s="87">
        <v>0</v>
      </c>
      <c r="T1485" s="87">
        <v>0</v>
      </c>
      <c r="U1485" s="87">
        <v>0</v>
      </c>
      <c r="V1485" s="87">
        <v>36</v>
      </c>
      <c r="W1485" s="93" t="s">
        <v>6876</v>
      </c>
      <c r="X1485" s="92" t="str">
        <f>HYPERLINK("http://cutt.ly/celsoplanodesa")</f>
        <v>http://cutt.ly/celsoplanodesa</v>
      </c>
      <c r="Y1485" s="87" t="s">
        <v>8376</v>
      </c>
      <c r="Z1485" s="87"/>
      <c r="AA1485" s="87" t="s">
        <v>9581</v>
      </c>
      <c r="AB1485" s="87" t="s">
        <v>11447</v>
      </c>
      <c r="AC1485" s="93" t="s">
        <v>11459</v>
      </c>
      <c r="AD1485" s="87" t="s">
        <v>11519</v>
      </c>
      <c r="AE1485" s="92" t="str">
        <f>HYPERLINK("https://twitter.com/celsoteixeiraaa/status/1689229220633890816")</f>
        <v>https://twitter.com/celsoteixeiraaa/status/1689229220633890816</v>
      </c>
      <c r="AF1485" s="90">
        <v>45147.456076388888</v>
      </c>
      <c r="AG1485" s="99">
        <v>45147</v>
      </c>
      <c r="AH1485" s="93" t="s">
        <v>12896</v>
      </c>
      <c r="AI1485" s="87" t="b">
        <v>0</v>
      </c>
      <c r="AJ1485" s="87"/>
      <c r="AK1485" s="87"/>
      <c r="AL1485" s="87"/>
      <c r="AM1485" s="87"/>
      <c r="AN1485" s="87"/>
      <c r="AO1485" s="87"/>
      <c r="AP1485" s="87"/>
      <c r="AQ1485" s="87" t="s">
        <v>16394</v>
      </c>
      <c r="AR1485" s="87">
        <v>14995</v>
      </c>
      <c r="AS1485" s="87"/>
      <c r="AT1485" s="87"/>
      <c r="AU1485" s="87"/>
      <c r="AV1485" s="92" t="str">
        <f>HYPERLINK("https://pbs.twimg.com/ext_tw_video_thumb/1689229209154023424/pu/img/Fehsn3Czxx6Al4MA.jpg")</f>
        <v>https://pbs.twimg.com/ext_tw_video_thumb/1689229209154023424/pu/img/Fehsn3Czxx6Al4MA.jpg</v>
      </c>
      <c r="AW1485" s="93" t="s">
        <v>19717</v>
      </c>
      <c r="AX1485" s="93" t="s">
        <v>19717</v>
      </c>
      <c r="AY1485" s="87"/>
      <c r="AZ1485" s="93" t="s">
        <v>22668</v>
      </c>
      <c r="BA1485" s="93" t="s">
        <v>22668</v>
      </c>
      <c r="BB1485" s="93" t="s">
        <v>22668</v>
      </c>
      <c r="BC1485" s="93" t="s">
        <v>19717</v>
      </c>
      <c r="BD1485" s="93" t="s">
        <v>23090</v>
      </c>
      <c r="BE1485" s="87"/>
      <c r="BF1485" s="87"/>
      <c r="BG1485" s="87"/>
      <c r="BH1485" s="87"/>
      <c r="BI1485" s="87"/>
    </row>
    <row r="1486" spans="1:61" x14ac:dyDescent="0.25">
      <c r="A1486" s="63" t="s">
        <v>740</v>
      </c>
      <c r="B1486" s="63" t="s">
        <v>740</v>
      </c>
      <c r="C1486" s="64"/>
      <c r="D1486" s="65"/>
      <c r="E1486" s="66"/>
      <c r="F1486" s="67"/>
      <c r="G1486" s="64"/>
      <c r="H1486" s="68"/>
      <c r="I1486" s="69"/>
      <c r="J1486" s="69"/>
      <c r="K1486" s="32"/>
      <c r="L1486" s="76">
        <v>1486</v>
      </c>
      <c r="M1486" s="76"/>
      <c r="N1486" s="71"/>
      <c r="O1486" s="87" t="s">
        <v>179</v>
      </c>
      <c r="P1486" s="90">
        <v>45145.406886574077</v>
      </c>
      <c r="Q1486" s="87" t="s">
        <v>3284</v>
      </c>
      <c r="R1486" s="87">
        <v>0</v>
      </c>
      <c r="S1486" s="87">
        <v>0</v>
      </c>
      <c r="T1486" s="87">
        <v>0</v>
      </c>
      <c r="U1486" s="87">
        <v>0</v>
      </c>
      <c r="V1486" s="87">
        <v>14</v>
      </c>
      <c r="W1486" s="93" t="s">
        <v>6877</v>
      </c>
      <c r="X1486" s="92" t="str">
        <f>HYPERLINK("http://cutt.ly/celsoplanodesa")</f>
        <v>http://cutt.ly/celsoplanodesa</v>
      </c>
      <c r="Y1486" s="87" t="s">
        <v>8376</v>
      </c>
      <c r="Z1486" s="87"/>
      <c r="AA1486" s="87" t="s">
        <v>9582</v>
      </c>
      <c r="AB1486" s="87" t="s">
        <v>11448</v>
      </c>
      <c r="AC1486" s="93" t="s">
        <v>11459</v>
      </c>
      <c r="AD1486" s="87" t="s">
        <v>11519</v>
      </c>
      <c r="AE1486" s="92" t="str">
        <f>HYPERLINK("https://twitter.com/celsoteixeiraaa/status/1688486622348693504")</f>
        <v>https://twitter.com/celsoteixeiraaa/status/1688486622348693504</v>
      </c>
      <c r="AF1486" s="90">
        <v>45145.406886574077</v>
      </c>
      <c r="AG1486" s="99">
        <v>45145</v>
      </c>
      <c r="AH1486" s="93" t="s">
        <v>12897</v>
      </c>
      <c r="AI1486" s="87" t="b">
        <v>0</v>
      </c>
      <c r="AJ1486" s="87"/>
      <c r="AK1486" s="87"/>
      <c r="AL1486" s="87"/>
      <c r="AM1486" s="87"/>
      <c r="AN1486" s="87"/>
      <c r="AO1486" s="87"/>
      <c r="AP1486" s="87"/>
      <c r="AQ1486" s="87" t="s">
        <v>16395</v>
      </c>
      <c r="AR1486" s="87"/>
      <c r="AS1486" s="87"/>
      <c r="AT1486" s="87"/>
      <c r="AU1486" s="87"/>
      <c r="AV1486" s="92" t="str">
        <f>HYPERLINK("https://pbs.twimg.com/media/F261ooHXIAAeuE1.jpg")</f>
        <v>https://pbs.twimg.com/media/F261ooHXIAAeuE1.jpg</v>
      </c>
      <c r="AW1486" s="93" t="s">
        <v>19718</v>
      </c>
      <c r="AX1486" s="93" t="s">
        <v>19718</v>
      </c>
      <c r="AY1486" s="87"/>
      <c r="AZ1486" s="93" t="s">
        <v>22668</v>
      </c>
      <c r="BA1486" s="93" t="s">
        <v>22668</v>
      </c>
      <c r="BB1486" s="93" t="s">
        <v>22668</v>
      </c>
      <c r="BC1486" s="93" t="s">
        <v>19718</v>
      </c>
      <c r="BD1486" s="93" t="s">
        <v>23090</v>
      </c>
      <c r="BE1486" s="87"/>
      <c r="BF1486" s="87"/>
      <c r="BG1486" s="87"/>
      <c r="BH1486" s="87"/>
      <c r="BI1486" s="87"/>
    </row>
    <row r="1487" spans="1:61" x14ac:dyDescent="0.25">
      <c r="A1487" s="63" t="s">
        <v>740</v>
      </c>
      <c r="B1487" s="63" t="s">
        <v>740</v>
      </c>
      <c r="C1487" s="64"/>
      <c r="D1487" s="65"/>
      <c r="E1487" s="66"/>
      <c r="F1487" s="67"/>
      <c r="G1487" s="64"/>
      <c r="H1487" s="68"/>
      <c r="I1487" s="69"/>
      <c r="J1487" s="69"/>
      <c r="K1487" s="32"/>
      <c r="L1487" s="76">
        <v>1487</v>
      </c>
      <c r="M1487" s="76"/>
      <c r="N1487" s="71"/>
      <c r="O1487" s="87" t="s">
        <v>179</v>
      </c>
      <c r="P1487" s="90">
        <v>45132.688483796293</v>
      </c>
      <c r="Q1487" s="87" t="s">
        <v>3285</v>
      </c>
      <c r="R1487" s="87">
        <v>0</v>
      </c>
      <c r="S1487" s="87">
        <v>0</v>
      </c>
      <c r="T1487" s="87">
        <v>0</v>
      </c>
      <c r="U1487" s="87">
        <v>0</v>
      </c>
      <c r="V1487" s="87">
        <v>477</v>
      </c>
      <c r="W1487" s="93" t="s">
        <v>6875</v>
      </c>
      <c r="X1487" s="92" t="str">
        <f>HYPERLINK("https://cutt.ly/celsoplanodesaude")</f>
        <v>https://cutt.ly/celsoplanodesaude</v>
      </c>
      <c r="Y1487" s="87" t="s">
        <v>8376</v>
      </c>
      <c r="Z1487" s="87"/>
      <c r="AA1487" s="87" t="s">
        <v>9583</v>
      </c>
      <c r="AB1487" s="87" t="s">
        <v>11447</v>
      </c>
      <c r="AC1487" s="93" t="s">
        <v>11459</v>
      </c>
      <c r="AD1487" s="87" t="s">
        <v>11519</v>
      </c>
      <c r="AE1487" s="92" t="str">
        <f>HYPERLINK("https://twitter.com/celsoteixeiraaa/status/1683877627419930626")</f>
        <v>https://twitter.com/celsoteixeiraaa/status/1683877627419930626</v>
      </c>
      <c r="AF1487" s="90">
        <v>45132.688483796293</v>
      </c>
      <c r="AG1487" s="99">
        <v>45132</v>
      </c>
      <c r="AH1487" s="93" t="s">
        <v>12898</v>
      </c>
      <c r="AI1487" s="87" t="b">
        <v>0</v>
      </c>
      <c r="AJ1487" s="87"/>
      <c r="AK1487" s="87"/>
      <c r="AL1487" s="87"/>
      <c r="AM1487" s="87"/>
      <c r="AN1487" s="87"/>
      <c r="AO1487" s="87"/>
      <c r="AP1487" s="87"/>
      <c r="AQ1487" s="87" t="s">
        <v>16396</v>
      </c>
      <c r="AR1487" s="87">
        <v>18166</v>
      </c>
      <c r="AS1487" s="87"/>
      <c r="AT1487" s="87"/>
      <c r="AU1487" s="87"/>
      <c r="AV1487" s="92" t="str">
        <f>HYPERLINK("https://pbs.twimg.com/ext_tw_video_thumb/1683877571140648960/pu/img/QlzElD7IY2PMZDW5.jpg")</f>
        <v>https://pbs.twimg.com/ext_tw_video_thumb/1683877571140648960/pu/img/QlzElD7IY2PMZDW5.jpg</v>
      </c>
      <c r="AW1487" s="93" t="s">
        <v>19719</v>
      </c>
      <c r="AX1487" s="93" t="s">
        <v>19719</v>
      </c>
      <c r="AY1487" s="87"/>
      <c r="AZ1487" s="93" t="s">
        <v>22668</v>
      </c>
      <c r="BA1487" s="93" t="s">
        <v>22668</v>
      </c>
      <c r="BB1487" s="93" t="s">
        <v>22668</v>
      </c>
      <c r="BC1487" s="93" t="s">
        <v>19719</v>
      </c>
      <c r="BD1487" s="93" t="s">
        <v>23090</v>
      </c>
      <c r="BE1487" s="87"/>
      <c r="BF1487" s="87"/>
      <c r="BG1487" s="87"/>
      <c r="BH1487" s="87"/>
      <c r="BI1487" s="87"/>
    </row>
    <row r="1488" spans="1:61" x14ac:dyDescent="0.25">
      <c r="A1488" s="63" t="s">
        <v>741</v>
      </c>
      <c r="B1488" s="63" t="s">
        <v>741</v>
      </c>
      <c r="C1488" s="64"/>
      <c r="D1488" s="65"/>
      <c r="E1488" s="66"/>
      <c r="F1488" s="67"/>
      <c r="G1488" s="64"/>
      <c r="H1488" s="68"/>
      <c r="I1488" s="69"/>
      <c r="J1488" s="69"/>
      <c r="K1488" s="32"/>
      <c r="L1488" s="76">
        <v>1488</v>
      </c>
      <c r="M1488" s="76"/>
      <c r="N1488" s="71"/>
      <c r="O1488" s="87" t="s">
        <v>179</v>
      </c>
      <c r="P1488" s="90">
        <v>45181.613888888889</v>
      </c>
      <c r="Q1488" s="87" t="s">
        <v>3286</v>
      </c>
      <c r="R1488" s="87">
        <v>0</v>
      </c>
      <c r="S1488" s="87">
        <v>0</v>
      </c>
      <c r="T1488" s="87">
        <v>0</v>
      </c>
      <c r="U1488" s="87">
        <v>0</v>
      </c>
      <c r="V1488" s="87">
        <v>3</v>
      </c>
      <c r="W1488" s="93" t="s">
        <v>6878</v>
      </c>
      <c r="X1488" s="92" t="str">
        <f>HYPERLINK("https://buff.ly/3AoPNFz")</f>
        <v>https://buff.ly/3AoPNFz</v>
      </c>
      <c r="Y1488" s="87" t="s">
        <v>8429</v>
      </c>
      <c r="Z1488" s="87"/>
      <c r="AA1488" s="87"/>
      <c r="AB1488" s="87"/>
      <c r="AC1488" s="93" t="s">
        <v>11467</v>
      </c>
      <c r="AD1488" s="87" t="s">
        <v>11519</v>
      </c>
      <c r="AE1488" s="92" t="str">
        <f>HYPERLINK("https://twitter.com/brandingthiel/status/1701607598418751526")</f>
        <v>https://twitter.com/brandingthiel/status/1701607598418751526</v>
      </c>
      <c r="AF1488" s="90">
        <v>45181.613888888889</v>
      </c>
      <c r="AG1488" s="99">
        <v>45181</v>
      </c>
      <c r="AH1488" s="93" t="s">
        <v>12899</v>
      </c>
      <c r="AI1488" s="87" t="b">
        <v>0</v>
      </c>
      <c r="AJ1488" s="87"/>
      <c r="AK1488" s="87"/>
      <c r="AL1488" s="87"/>
      <c r="AM1488" s="87"/>
      <c r="AN1488" s="87"/>
      <c r="AO1488" s="87"/>
      <c r="AP1488" s="87"/>
      <c r="AQ1488" s="87"/>
      <c r="AR1488" s="87"/>
      <c r="AS1488" s="87"/>
      <c r="AT1488" s="87"/>
      <c r="AU1488" s="87"/>
      <c r="AV1488" s="92" t="str">
        <f>HYPERLINK("https://pbs.twimg.com/profile_images/1518751089000169472/uVseSWYd_normal.jpg")</f>
        <v>https://pbs.twimg.com/profile_images/1518751089000169472/uVseSWYd_normal.jpg</v>
      </c>
      <c r="AW1488" s="93" t="s">
        <v>19720</v>
      </c>
      <c r="AX1488" s="93" t="s">
        <v>19720</v>
      </c>
      <c r="AY1488" s="87"/>
      <c r="AZ1488" s="93" t="s">
        <v>22668</v>
      </c>
      <c r="BA1488" s="93" t="s">
        <v>22668</v>
      </c>
      <c r="BB1488" s="93" t="s">
        <v>22668</v>
      </c>
      <c r="BC1488" s="93" t="s">
        <v>19720</v>
      </c>
      <c r="BD1488" s="87">
        <v>633185853</v>
      </c>
      <c r="BE1488" s="87"/>
      <c r="BF1488" s="87"/>
      <c r="BG1488" s="87"/>
      <c r="BH1488" s="87"/>
      <c r="BI1488" s="87"/>
    </row>
    <row r="1489" spans="1:61" x14ac:dyDescent="0.25">
      <c r="A1489" s="63" t="s">
        <v>741</v>
      </c>
      <c r="B1489" s="63" t="s">
        <v>741</v>
      </c>
      <c r="C1489" s="64"/>
      <c r="D1489" s="65"/>
      <c r="E1489" s="66"/>
      <c r="F1489" s="67"/>
      <c r="G1489" s="64"/>
      <c r="H1489" s="68"/>
      <c r="I1489" s="69"/>
      <c r="J1489" s="69"/>
      <c r="K1489" s="32"/>
      <c r="L1489" s="76">
        <v>1489</v>
      </c>
      <c r="M1489" s="76"/>
      <c r="N1489" s="71"/>
      <c r="O1489" s="87" t="s">
        <v>179</v>
      </c>
      <c r="P1489" s="90">
        <v>45181.026388888888</v>
      </c>
      <c r="Q1489" s="87" t="s">
        <v>3287</v>
      </c>
      <c r="R1489" s="87">
        <v>0</v>
      </c>
      <c r="S1489" s="87">
        <v>0</v>
      </c>
      <c r="T1489" s="87">
        <v>0</v>
      </c>
      <c r="U1489" s="87">
        <v>0</v>
      </c>
      <c r="V1489" s="87">
        <v>5</v>
      </c>
      <c r="W1489" s="93" t="s">
        <v>6878</v>
      </c>
      <c r="X1489" s="92" t="str">
        <f>HYPERLINK("https://buff.ly/3UKReGn")</f>
        <v>https://buff.ly/3UKReGn</v>
      </c>
      <c r="Y1489" s="87" t="s">
        <v>8429</v>
      </c>
      <c r="Z1489" s="87"/>
      <c r="AA1489" s="87"/>
      <c r="AB1489" s="87"/>
      <c r="AC1489" s="93" t="s">
        <v>11467</v>
      </c>
      <c r="AD1489" s="87" t="s">
        <v>11519</v>
      </c>
      <c r="AE1489" s="92" t="str">
        <f>HYPERLINK("https://twitter.com/brandingthiel/status/1701394694444335569")</f>
        <v>https://twitter.com/brandingthiel/status/1701394694444335569</v>
      </c>
      <c r="AF1489" s="90">
        <v>45181.026388888888</v>
      </c>
      <c r="AG1489" s="99">
        <v>45181</v>
      </c>
      <c r="AH1489" s="93" t="s">
        <v>12900</v>
      </c>
      <c r="AI1489" s="87" t="b">
        <v>0</v>
      </c>
      <c r="AJ1489" s="87"/>
      <c r="AK1489" s="87"/>
      <c r="AL1489" s="87"/>
      <c r="AM1489" s="87"/>
      <c r="AN1489" s="87"/>
      <c r="AO1489" s="87"/>
      <c r="AP1489" s="87"/>
      <c r="AQ1489" s="87"/>
      <c r="AR1489" s="87"/>
      <c r="AS1489" s="87"/>
      <c r="AT1489" s="87"/>
      <c r="AU1489" s="87"/>
      <c r="AV1489" s="92" t="str">
        <f>HYPERLINK("https://pbs.twimg.com/profile_images/1518751089000169472/uVseSWYd_normal.jpg")</f>
        <v>https://pbs.twimg.com/profile_images/1518751089000169472/uVseSWYd_normal.jpg</v>
      </c>
      <c r="AW1489" s="93" t="s">
        <v>19721</v>
      </c>
      <c r="AX1489" s="93" t="s">
        <v>19721</v>
      </c>
      <c r="AY1489" s="87"/>
      <c r="AZ1489" s="93" t="s">
        <v>22668</v>
      </c>
      <c r="BA1489" s="93" t="s">
        <v>22668</v>
      </c>
      <c r="BB1489" s="93" t="s">
        <v>22668</v>
      </c>
      <c r="BC1489" s="93" t="s">
        <v>19721</v>
      </c>
      <c r="BD1489" s="87">
        <v>633185853</v>
      </c>
      <c r="BE1489" s="87"/>
      <c r="BF1489" s="87"/>
      <c r="BG1489" s="87"/>
      <c r="BH1489" s="87"/>
      <c r="BI1489" s="87"/>
    </row>
    <row r="1490" spans="1:61" x14ac:dyDescent="0.25">
      <c r="A1490" s="63" t="s">
        <v>741</v>
      </c>
      <c r="B1490" s="63" t="s">
        <v>741</v>
      </c>
      <c r="C1490" s="64"/>
      <c r="D1490" s="65"/>
      <c r="E1490" s="66"/>
      <c r="F1490" s="67"/>
      <c r="G1490" s="64"/>
      <c r="H1490" s="68"/>
      <c r="I1490" s="69"/>
      <c r="J1490" s="69"/>
      <c r="K1490" s="32"/>
      <c r="L1490" s="76">
        <v>1490</v>
      </c>
      <c r="M1490" s="76"/>
      <c r="N1490" s="71"/>
      <c r="O1490" s="87" t="s">
        <v>179</v>
      </c>
      <c r="P1490" s="90">
        <v>45180.785416666666</v>
      </c>
      <c r="Q1490" s="87" t="s">
        <v>3288</v>
      </c>
      <c r="R1490" s="87">
        <v>0</v>
      </c>
      <c r="S1490" s="87">
        <v>0</v>
      </c>
      <c r="T1490" s="87">
        <v>0</v>
      </c>
      <c r="U1490" s="87">
        <v>0</v>
      </c>
      <c r="V1490" s="87">
        <v>6</v>
      </c>
      <c r="W1490" s="93" t="s">
        <v>6878</v>
      </c>
      <c r="X1490" s="92" t="str">
        <f>HYPERLINK("https://buff.ly/3GuOfh7")</f>
        <v>https://buff.ly/3GuOfh7</v>
      </c>
      <c r="Y1490" s="87" t="s">
        <v>8429</v>
      </c>
      <c r="Z1490" s="87"/>
      <c r="AA1490" s="87"/>
      <c r="AB1490" s="87"/>
      <c r="AC1490" s="93" t="s">
        <v>11467</v>
      </c>
      <c r="AD1490" s="87" t="s">
        <v>11519</v>
      </c>
      <c r="AE1490" s="92" t="str">
        <f>HYPERLINK("https://twitter.com/brandingthiel/status/1701307369462833361")</f>
        <v>https://twitter.com/brandingthiel/status/1701307369462833361</v>
      </c>
      <c r="AF1490" s="90">
        <v>45180.785416666666</v>
      </c>
      <c r="AG1490" s="99">
        <v>45180</v>
      </c>
      <c r="AH1490" s="93" t="s">
        <v>12901</v>
      </c>
      <c r="AI1490" s="87" t="b">
        <v>0</v>
      </c>
      <c r="AJ1490" s="87"/>
      <c r="AK1490" s="87"/>
      <c r="AL1490" s="87"/>
      <c r="AM1490" s="87"/>
      <c r="AN1490" s="87"/>
      <c r="AO1490" s="87"/>
      <c r="AP1490" s="87"/>
      <c r="AQ1490" s="87"/>
      <c r="AR1490" s="87"/>
      <c r="AS1490" s="87"/>
      <c r="AT1490" s="87"/>
      <c r="AU1490" s="87"/>
      <c r="AV1490" s="92" t="str">
        <f>HYPERLINK("https://pbs.twimg.com/profile_images/1518751089000169472/uVseSWYd_normal.jpg")</f>
        <v>https://pbs.twimg.com/profile_images/1518751089000169472/uVseSWYd_normal.jpg</v>
      </c>
      <c r="AW1490" s="93" t="s">
        <v>19722</v>
      </c>
      <c r="AX1490" s="93" t="s">
        <v>19722</v>
      </c>
      <c r="AY1490" s="87"/>
      <c r="AZ1490" s="93" t="s">
        <v>22668</v>
      </c>
      <c r="BA1490" s="93" t="s">
        <v>22668</v>
      </c>
      <c r="BB1490" s="93" t="s">
        <v>22668</v>
      </c>
      <c r="BC1490" s="93" t="s">
        <v>19722</v>
      </c>
      <c r="BD1490" s="87">
        <v>633185853</v>
      </c>
      <c r="BE1490" s="87"/>
      <c r="BF1490" s="87"/>
      <c r="BG1490" s="87"/>
      <c r="BH1490" s="87"/>
      <c r="BI1490" s="87"/>
    </row>
    <row r="1491" spans="1:61" x14ac:dyDescent="0.25">
      <c r="A1491" s="63" t="s">
        <v>741</v>
      </c>
      <c r="B1491" s="63" t="s">
        <v>741</v>
      </c>
      <c r="C1491" s="64"/>
      <c r="D1491" s="65"/>
      <c r="E1491" s="66"/>
      <c r="F1491" s="67"/>
      <c r="G1491" s="64"/>
      <c r="H1491" s="68"/>
      <c r="I1491" s="69"/>
      <c r="J1491" s="69"/>
      <c r="K1491" s="32"/>
      <c r="L1491" s="76">
        <v>1491</v>
      </c>
      <c r="M1491" s="76"/>
      <c r="N1491" s="71"/>
      <c r="O1491" s="87" t="s">
        <v>179</v>
      </c>
      <c r="P1491" s="90">
        <v>45180.026388888888</v>
      </c>
      <c r="Q1491" s="87" t="s">
        <v>3289</v>
      </c>
      <c r="R1491" s="87">
        <v>0</v>
      </c>
      <c r="S1491" s="87">
        <v>0</v>
      </c>
      <c r="T1491" s="87">
        <v>0</v>
      </c>
      <c r="U1491" s="87">
        <v>0</v>
      </c>
      <c r="V1491" s="87">
        <v>3</v>
      </c>
      <c r="W1491" s="93" t="s">
        <v>6878</v>
      </c>
      <c r="X1491" s="92" t="str">
        <f>HYPERLINK("https://buff.ly/3tEtEPF")</f>
        <v>https://buff.ly/3tEtEPF</v>
      </c>
      <c r="Y1491" s="87" t="s">
        <v>8429</v>
      </c>
      <c r="Z1491" s="87"/>
      <c r="AA1491" s="87"/>
      <c r="AB1491" s="87"/>
      <c r="AC1491" s="93" t="s">
        <v>11467</v>
      </c>
      <c r="AD1491" s="87" t="s">
        <v>11519</v>
      </c>
      <c r="AE1491" s="92" t="str">
        <f>HYPERLINK("https://twitter.com/brandingthiel/status/1701032306918535372")</f>
        <v>https://twitter.com/brandingthiel/status/1701032306918535372</v>
      </c>
      <c r="AF1491" s="90">
        <v>45180.026388888888</v>
      </c>
      <c r="AG1491" s="99">
        <v>45180</v>
      </c>
      <c r="AH1491" s="93" t="s">
        <v>12900</v>
      </c>
      <c r="AI1491" s="87" t="b">
        <v>0</v>
      </c>
      <c r="AJ1491" s="87"/>
      <c r="AK1491" s="87"/>
      <c r="AL1491" s="87"/>
      <c r="AM1491" s="87"/>
      <c r="AN1491" s="87"/>
      <c r="AO1491" s="87"/>
      <c r="AP1491" s="87"/>
      <c r="AQ1491" s="87"/>
      <c r="AR1491" s="87"/>
      <c r="AS1491" s="87"/>
      <c r="AT1491" s="87"/>
      <c r="AU1491" s="87"/>
      <c r="AV1491" s="92" t="str">
        <f>HYPERLINK("https://pbs.twimg.com/profile_images/1518751089000169472/uVseSWYd_normal.jpg")</f>
        <v>https://pbs.twimg.com/profile_images/1518751089000169472/uVseSWYd_normal.jpg</v>
      </c>
      <c r="AW1491" s="93" t="s">
        <v>19723</v>
      </c>
      <c r="AX1491" s="93" t="s">
        <v>19723</v>
      </c>
      <c r="AY1491" s="87"/>
      <c r="AZ1491" s="93" t="s">
        <v>22668</v>
      </c>
      <c r="BA1491" s="93" t="s">
        <v>22668</v>
      </c>
      <c r="BB1491" s="93" t="s">
        <v>22668</v>
      </c>
      <c r="BC1491" s="93" t="s">
        <v>19723</v>
      </c>
      <c r="BD1491" s="87">
        <v>633185853</v>
      </c>
      <c r="BE1491" s="87"/>
      <c r="BF1491" s="87"/>
      <c r="BG1491" s="87"/>
      <c r="BH1491" s="87"/>
      <c r="BI1491" s="87"/>
    </row>
    <row r="1492" spans="1:61" x14ac:dyDescent="0.25">
      <c r="A1492" s="63" t="s">
        <v>741</v>
      </c>
      <c r="B1492" s="63" t="s">
        <v>741</v>
      </c>
      <c r="C1492" s="64"/>
      <c r="D1492" s="65"/>
      <c r="E1492" s="66"/>
      <c r="F1492" s="67"/>
      <c r="G1492" s="64"/>
      <c r="H1492" s="68"/>
      <c r="I1492" s="69"/>
      <c r="J1492" s="69"/>
      <c r="K1492" s="32"/>
      <c r="L1492" s="76">
        <v>1492</v>
      </c>
      <c r="M1492" s="76"/>
      <c r="N1492" s="71"/>
      <c r="O1492" s="87" t="s">
        <v>179</v>
      </c>
      <c r="P1492" s="90">
        <v>45179.785416666666</v>
      </c>
      <c r="Q1492" s="87" t="s">
        <v>3290</v>
      </c>
      <c r="R1492" s="87">
        <v>0</v>
      </c>
      <c r="S1492" s="87">
        <v>0</v>
      </c>
      <c r="T1492" s="87">
        <v>0</v>
      </c>
      <c r="U1492" s="87">
        <v>0</v>
      </c>
      <c r="V1492" s="87">
        <v>3</v>
      </c>
      <c r="W1492" s="93" t="s">
        <v>6878</v>
      </c>
      <c r="X1492" s="92" t="str">
        <f>HYPERLINK("https://buff.ly/3plWelY")</f>
        <v>https://buff.ly/3plWelY</v>
      </c>
      <c r="Y1492" s="87" t="s">
        <v>8429</v>
      </c>
      <c r="Z1492" s="87"/>
      <c r="AA1492" s="87"/>
      <c r="AB1492" s="87"/>
      <c r="AC1492" s="93" t="s">
        <v>11467</v>
      </c>
      <c r="AD1492" s="87" t="s">
        <v>11519</v>
      </c>
      <c r="AE1492" s="92" t="str">
        <f>HYPERLINK("https://twitter.com/brandingthiel/status/1700944984206114996")</f>
        <v>https://twitter.com/brandingthiel/status/1700944984206114996</v>
      </c>
      <c r="AF1492" s="90">
        <v>45179.785416666666</v>
      </c>
      <c r="AG1492" s="99">
        <v>45179</v>
      </c>
      <c r="AH1492" s="93" t="s">
        <v>12901</v>
      </c>
      <c r="AI1492" s="87" t="b">
        <v>0</v>
      </c>
      <c r="AJ1492" s="87"/>
      <c r="AK1492" s="87"/>
      <c r="AL1492" s="87"/>
      <c r="AM1492" s="87"/>
      <c r="AN1492" s="87"/>
      <c r="AO1492" s="87"/>
      <c r="AP1492" s="87"/>
      <c r="AQ1492" s="87"/>
      <c r="AR1492" s="87"/>
      <c r="AS1492" s="87"/>
      <c r="AT1492" s="87"/>
      <c r="AU1492" s="87"/>
      <c r="AV1492" s="92" t="str">
        <f>HYPERLINK("https://pbs.twimg.com/profile_images/1518751089000169472/uVseSWYd_normal.jpg")</f>
        <v>https://pbs.twimg.com/profile_images/1518751089000169472/uVseSWYd_normal.jpg</v>
      </c>
      <c r="AW1492" s="93" t="s">
        <v>19724</v>
      </c>
      <c r="AX1492" s="93" t="s">
        <v>19724</v>
      </c>
      <c r="AY1492" s="87"/>
      <c r="AZ1492" s="93" t="s">
        <v>22668</v>
      </c>
      <c r="BA1492" s="93" t="s">
        <v>22668</v>
      </c>
      <c r="BB1492" s="93" t="s">
        <v>22668</v>
      </c>
      <c r="BC1492" s="93" t="s">
        <v>19724</v>
      </c>
      <c r="BD1492" s="87">
        <v>633185853</v>
      </c>
      <c r="BE1492" s="87"/>
      <c r="BF1492" s="87"/>
      <c r="BG1492" s="87"/>
      <c r="BH1492" s="87"/>
      <c r="BI1492" s="87"/>
    </row>
    <row r="1493" spans="1:61" x14ac:dyDescent="0.25">
      <c r="A1493" s="63" t="s">
        <v>741</v>
      </c>
      <c r="B1493" s="63" t="s">
        <v>741</v>
      </c>
      <c r="C1493" s="64"/>
      <c r="D1493" s="65"/>
      <c r="E1493" s="66"/>
      <c r="F1493" s="67"/>
      <c r="G1493" s="64"/>
      <c r="H1493" s="68"/>
      <c r="I1493" s="69"/>
      <c r="J1493" s="69"/>
      <c r="K1493" s="32"/>
      <c r="L1493" s="76">
        <v>1493</v>
      </c>
      <c r="M1493" s="76"/>
      <c r="N1493" s="71"/>
      <c r="O1493" s="87" t="s">
        <v>179</v>
      </c>
      <c r="P1493" s="90">
        <v>45179.613888888889</v>
      </c>
      <c r="Q1493" s="87" t="s">
        <v>3291</v>
      </c>
      <c r="R1493" s="87">
        <v>0</v>
      </c>
      <c r="S1493" s="87">
        <v>0</v>
      </c>
      <c r="T1493" s="87">
        <v>0</v>
      </c>
      <c r="U1493" s="87">
        <v>0</v>
      </c>
      <c r="V1493" s="87">
        <v>3</v>
      </c>
      <c r="W1493" s="93" t="s">
        <v>6878</v>
      </c>
      <c r="X1493" s="92" t="str">
        <f>HYPERLINK("https://buff.ly/3TEIXT2")</f>
        <v>https://buff.ly/3TEIXT2</v>
      </c>
      <c r="Y1493" s="87" t="s">
        <v>8429</v>
      </c>
      <c r="Z1493" s="87"/>
      <c r="AA1493" s="87"/>
      <c r="AB1493" s="87"/>
      <c r="AC1493" s="93" t="s">
        <v>11467</v>
      </c>
      <c r="AD1493" s="87" t="s">
        <v>11519</v>
      </c>
      <c r="AE1493" s="92" t="str">
        <f>HYPERLINK("https://twitter.com/brandingthiel/status/1700882823823966395")</f>
        <v>https://twitter.com/brandingthiel/status/1700882823823966395</v>
      </c>
      <c r="AF1493" s="90">
        <v>45179.613888888889</v>
      </c>
      <c r="AG1493" s="99">
        <v>45179</v>
      </c>
      <c r="AH1493" s="93" t="s">
        <v>12899</v>
      </c>
      <c r="AI1493" s="87" t="b">
        <v>0</v>
      </c>
      <c r="AJ1493" s="87"/>
      <c r="AK1493" s="87"/>
      <c r="AL1493" s="87"/>
      <c r="AM1493" s="87"/>
      <c r="AN1493" s="87"/>
      <c r="AO1493" s="87"/>
      <c r="AP1493" s="87"/>
      <c r="AQ1493" s="87"/>
      <c r="AR1493" s="87"/>
      <c r="AS1493" s="87"/>
      <c r="AT1493" s="87"/>
      <c r="AU1493" s="87"/>
      <c r="AV1493" s="92" t="str">
        <f>HYPERLINK("https://pbs.twimg.com/profile_images/1518751089000169472/uVseSWYd_normal.jpg")</f>
        <v>https://pbs.twimg.com/profile_images/1518751089000169472/uVseSWYd_normal.jpg</v>
      </c>
      <c r="AW1493" s="93" t="s">
        <v>19725</v>
      </c>
      <c r="AX1493" s="93" t="s">
        <v>19725</v>
      </c>
      <c r="AY1493" s="87"/>
      <c r="AZ1493" s="93" t="s">
        <v>22668</v>
      </c>
      <c r="BA1493" s="93" t="s">
        <v>22668</v>
      </c>
      <c r="BB1493" s="93" t="s">
        <v>22668</v>
      </c>
      <c r="BC1493" s="93" t="s">
        <v>19725</v>
      </c>
      <c r="BD1493" s="87">
        <v>633185853</v>
      </c>
      <c r="BE1493" s="87"/>
      <c r="BF1493" s="87"/>
      <c r="BG1493" s="87"/>
      <c r="BH1493" s="87"/>
      <c r="BI1493" s="87"/>
    </row>
    <row r="1494" spans="1:61" x14ac:dyDescent="0.25">
      <c r="A1494" s="63" t="s">
        <v>741</v>
      </c>
      <c r="B1494" s="63" t="s">
        <v>741</v>
      </c>
      <c r="C1494" s="64"/>
      <c r="D1494" s="65"/>
      <c r="E1494" s="66"/>
      <c r="F1494" s="67"/>
      <c r="G1494" s="64"/>
      <c r="H1494" s="68"/>
      <c r="I1494" s="69"/>
      <c r="J1494" s="69"/>
      <c r="K1494" s="32"/>
      <c r="L1494" s="76">
        <v>1494</v>
      </c>
      <c r="M1494" s="76"/>
      <c r="N1494" s="71"/>
      <c r="O1494" s="87" t="s">
        <v>179</v>
      </c>
      <c r="P1494" s="90">
        <v>45179.026388888888</v>
      </c>
      <c r="Q1494" s="87" t="s">
        <v>3292</v>
      </c>
      <c r="R1494" s="87">
        <v>0</v>
      </c>
      <c r="S1494" s="87">
        <v>0</v>
      </c>
      <c r="T1494" s="87">
        <v>0</v>
      </c>
      <c r="U1494" s="87">
        <v>0</v>
      </c>
      <c r="V1494" s="87">
        <v>2</v>
      </c>
      <c r="W1494" s="93" t="s">
        <v>6878</v>
      </c>
      <c r="X1494" s="92" t="str">
        <f>HYPERLINK("https://buff.ly/3r0JkZO")</f>
        <v>https://buff.ly/3r0JkZO</v>
      </c>
      <c r="Y1494" s="87" t="s">
        <v>8429</v>
      </c>
      <c r="Z1494" s="87"/>
      <c r="AA1494" s="87"/>
      <c r="AB1494" s="87"/>
      <c r="AC1494" s="93" t="s">
        <v>11467</v>
      </c>
      <c r="AD1494" s="87" t="s">
        <v>11519</v>
      </c>
      <c r="AE1494" s="92" t="str">
        <f>HYPERLINK("https://twitter.com/brandingthiel/status/1700669918537011411")</f>
        <v>https://twitter.com/brandingthiel/status/1700669918537011411</v>
      </c>
      <c r="AF1494" s="90">
        <v>45179.026388888888</v>
      </c>
      <c r="AG1494" s="99">
        <v>45179</v>
      </c>
      <c r="AH1494" s="93" t="s">
        <v>12900</v>
      </c>
      <c r="AI1494" s="87" t="b">
        <v>0</v>
      </c>
      <c r="AJ1494" s="87"/>
      <c r="AK1494" s="87"/>
      <c r="AL1494" s="87"/>
      <c r="AM1494" s="87"/>
      <c r="AN1494" s="87"/>
      <c r="AO1494" s="87"/>
      <c r="AP1494" s="87"/>
      <c r="AQ1494" s="87"/>
      <c r="AR1494" s="87"/>
      <c r="AS1494" s="87"/>
      <c r="AT1494" s="87"/>
      <c r="AU1494" s="87"/>
      <c r="AV1494" s="92" t="str">
        <f>HYPERLINK("https://pbs.twimg.com/profile_images/1518751089000169472/uVseSWYd_normal.jpg")</f>
        <v>https://pbs.twimg.com/profile_images/1518751089000169472/uVseSWYd_normal.jpg</v>
      </c>
      <c r="AW1494" s="93" t="s">
        <v>19726</v>
      </c>
      <c r="AX1494" s="93" t="s">
        <v>19726</v>
      </c>
      <c r="AY1494" s="87"/>
      <c r="AZ1494" s="93" t="s">
        <v>22668</v>
      </c>
      <c r="BA1494" s="93" t="s">
        <v>22668</v>
      </c>
      <c r="BB1494" s="93" t="s">
        <v>22668</v>
      </c>
      <c r="BC1494" s="93" t="s">
        <v>19726</v>
      </c>
      <c r="BD1494" s="87">
        <v>633185853</v>
      </c>
      <c r="BE1494" s="87"/>
      <c r="BF1494" s="87"/>
      <c r="BG1494" s="87"/>
      <c r="BH1494" s="87"/>
      <c r="BI1494" s="87"/>
    </row>
    <row r="1495" spans="1:61" x14ac:dyDescent="0.25">
      <c r="A1495" s="63" t="s">
        <v>741</v>
      </c>
      <c r="B1495" s="63" t="s">
        <v>741</v>
      </c>
      <c r="C1495" s="64"/>
      <c r="D1495" s="65"/>
      <c r="E1495" s="66"/>
      <c r="F1495" s="67"/>
      <c r="G1495" s="64"/>
      <c r="H1495" s="68"/>
      <c r="I1495" s="69"/>
      <c r="J1495" s="69"/>
      <c r="K1495" s="32"/>
      <c r="L1495" s="76">
        <v>1495</v>
      </c>
      <c r="M1495" s="76"/>
      <c r="N1495" s="71"/>
      <c r="O1495" s="87" t="s">
        <v>179</v>
      </c>
      <c r="P1495" s="90">
        <v>45180.613888888889</v>
      </c>
      <c r="Q1495" s="87" t="s">
        <v>3293</v>
      </c>
      <c r="R1495" s="87">
        <v>0</v>
      </c>
      <c r="S1495" s="87">
        <v>0</v>
      </c>
      <c r="T1495" s="87">
        <v>0</v>
      </c>
      <c r="U1495" s="87">
        <v>0</v>
      </c>
      <c r="V1495" s="87">
        <v>1</v>
      </c>
      <c r="W1495" s="93" t="s">
        <v>6878</v>
      </c>
      <c r="X1495" s="92" t="str">
        <f>HYPERLINK("https://buff.ly/3tKjqwZ")</f>
        <v>https://buff.ly/3tKjqwZ</v>
      </c>
      <c r="Y1495" s="87" t="s">
        <v>8429</v>
      </c>
      <c r="Z1495" s="87"/>
      <c r="AA1495" s="87"/>
      <c r="AB1495" s="87"/>
      <c r="AC1495" s="93" t="s">
        <v>11467</v>
      </c>
      <c r="AD1495" s="87" t="s">
        <v>11519</v>
      </c>
      <c r="AE1495" s="92" t="str">
        <f>HYPERLINK("https://twitter.com/brandingthiel/status/1701245211345596895")</f>
        <v>https://twitter.com/brandingthiel/status/1701245211345596895</v>
      </c>
      <c r="AF1495" s="90">
        <v>45180.613888888889</v>
      </c>
      <c r="AG1495" s="99">
        <v>45180</v>
      </c>
      <c r="AH1495" s="93" t="s">
        <v>12899</v>
      </c>
      <c r="AI1495" s="87" t="b">
        <v>0</v>
      </c>
      <c r="AJ1495" s="87"/>
      <c r="AK1495" s="87"/>
      <c r="AL1495" s="87"/>
      <c r="AM1495" s="87"/>
      <c r="AN1495" s="87"/>
      <c r="AO1495" s="87"/>
      <c r="AP1495" s="87"/>
      <c r="AQ1495" s="87"/>
      <c r="AR1495" s="87"/>
      <c r="AS1495" s="87"/>
      <c r="AT1495" s="87"/>
      <c r="AU1495" s="87"/>
      <c r="AV1495" s="92" t="str">
        <f>HYPERLINK("https://pbs.twimg.com/profile_images/1518751089000169472/uVseSWYd_normal.jpg")</f>
        <v>https://pbs.twimg.com/profile_images/1518751089000169472/uVseSWYd_normal.jpg</v>
      </c>
      <c r="AW1495" s="93" t="s">
        <v>19727</v>
      </c>
      <c r="AX1495" s="93" t="s">
        <v>19727</v>
      </c>
      <c r="AY1495" s="87"/>
      <c r="AZ1495" s="93" t="s">
        <v>22668</v>
      </c>
      <c r="BA1495" s="93" t="s">
        <v>22668</v>
      </c>
      <c r="BB1495" s="93" t="s">
        <v>22668</v>
      </c>
      <c r="BC1495" s="93" t="s">
        <v>19727</v>
      </c>
      <c r="BD1495" s="87">
        <v>633185853</v>
      </c>
      <c r="BE1495" s="87"/>
      <c r="BF1495" s="87"/>
      <c r="BG1495" s="87"/>
      <c r="BH1495" s="87"/>
      <c r="BI1495" s="87"/>
    </row>
    <row r="1496" spans="1:61" x14ac:dyDescent="0.25">
      <c r="A1496" s="63" t="s">
        <v>742</v>
      </c>
      <c r="B1496" s="63" t="s">
        <v>742</v>
      </c>
      <c r="C1496" s="64"/>
      <c r="D1496" s="65"/>
      <c r="E1496" s="66"/>
      <c r="F1496" s="67"/>
      <c r="G1496" s="64"/>
      <c r="H1496" s="68"/>
      <c r="I1496" s="69"/>
      <c r="J1496" s="69"/>
      <c r="K1496" s="32"/>
      <c r="L1496" s="76">
        <v>1496</v>
      </c>
      <c r="M1496" s="76"/>
      <c r="N1496" s="71"/>
      <c r="O1496" s="87" t="s">
        <v>1840</v>
      </c>
      <c r="P1496" s="90">
        <v>45169.783402777779</v>
      </c>
      <c r="Q1496" s="87" t="s">
        <v>3294</v>
      </c>
      <c r="R1496" s="87">
        <v>0</v>
      </c>
      <c r="S1496" s="87">
        <v>0</v>
      </c>
      <c r="T1496" s="87">
        <v>0</v>
      </c>
      <c r="U1496" s="87">
        <v>0</v>
      </c>
      <c r="V1496" s="87">
        <v>365</v>
      </c>
      <c r="W1496" s="93" t="s">
        <v>6879</v>
      </c>
      <c r="X1496" s="87"/>
      <c r="Y1496" s="87"/>
      <c r="Z1496" s="87"/>
      <c r="AA1496" s="87"/>
      <c r="AB1496" s="87"/>
      <c r="AC1496" s="93" t="s">
        <v>11457</v>
      </c>
      <c r="AD1496" s="87" t="s">
        <v>11519</v>
      </c>
      <c r="AE1496" s="92" t="str">
        <f>HYPERLINK("https://twitter.com/niteroipref/status/1697320375439274257")</f>
        <v>https://twitter.com/niteroipref/status/1697320375439274257</v>
      </c>
      <c r="AF1496" s="90">
        <v>45169.783402777779</v>
      </c>
      <c r="AG1496" s="99">
        <v>45169</v>
      </c>
      <c r="AH1496" s="93" t="s">
        <v>12902</v>
      </c>
      <c r="AI1496" s="87"/>
      <c r="AJ1496" s="87"/>
      <c r="AK1496" s="87"/>
      <c r="AL1496" s="87"/>
      <c r="AM1496" s="87"/>
      <c r="AN1496" s="87"/>
      <c r="AO1496" s="87"/>
      <c r="AP1496" s="87"/>
      <c r="AQ1496" s="87"/>
      <c r="AR1496" s="87"/>
      <c r="AS1496" s="87"/>
      <c r="AT1496" s="87"/>
      <c r="AU1496" s="87"/>
      <c r="AV1496" s="92" t="str">
        <f>HYPERLINK("https://pbs.twimg.com/profile_images/1676970777726562304/bIvnuYOB_normal.jpg")</f>
        <v>https://pbs.twimg.com/profile_images/1676970777726562304/bIvnuYOB_normal.jpg</v>
      </c>
      <c r="AW1496" s="93" t="s">
        <v>19728</v>
      </c>
      <c r="AX1496" s="93" t="s">
        <v>22379</v>
      </c>
      <c r="AY1496" s="93" t="s">
        <v>22569</v>
      </c>
      <c r="AZ1496" s="93" t="s">
        <v>22379</v>
      </c>
      <c r="BA1496" s="93" t="s">
        <v>22668</v>
      </c>
      <c r="BB1496" s="93" t="s">
        <v>22668</v>
      </c>
      <c r="BC1496" s="93" t="s">
        <v>22379</v>
      </c>
      <c r="BD1496" s="87">
        <v>1340156732</v>
      </c>
      <c r="BE1496" s="87"/>
      <c r="BF1496" s="87"/>
      <c r="BG1496" s="87"/>
      <c r="BH1496" s="87"/>
      <c r="BI1496" s="87"/>
    </row>
    <row r="1497" spans="1:61" x14ac:dyDescent="0.25">
      <c r="A1497" s="63" t="s">
        <v>743</v>
      </c>
      <c r="B1497" s="63" t="s">
        <v>743</v>
      </c>
      <c r="C1497" s="64"/>
      <c r="D1497" s="65"/>
      <c r="E1497" s="66"/>
      <c r="F1497" s="67"/>
      <c r="G1497" s="64"/>
      <c r="H1497" s="68"/>
      <c r="I1497" s="69"/>
      <c r="J1497" s="69"/>
      <c r="K1497" s="32"/>
      <c r="L1497" s="76">
        <v>1497</v>
      </c>
      <c r="M1497" s="76"/>
      <c r="N1497" s="71"/>
      <c r="O1497" s="87" t="s">
        <v>179</v>
      </c>
      <c r="P1497" s="90">
        <v>45132.621180555558</v>
      </c>
      <c r="Q1497" s="87" t="s">
        <v>3295</v>
      </c>
      <c r="R1497" s="87">
        <v>0</v>
      </c>
      <c r="S1497" s="87">
        <v>0</v>
      </c>
      <c r="T1497" s="87">
        <v>0</v>
      </c>
      <c r="U1497" s="87">
        <v>0</v>
      </c>
      <c r="V1497" s="87">
        <v>80</v>
      </c>
      <c r="W1497" s="93" t="s">
        <v>6880</v>
      </c>
      <c r="X1497" s="87"/>
      <c r="Y1497" s="87"/>
      <c r="Z1497" s="87"/>
      <c r="AA1497" s="87" t="s">
        <v>9584</v>
      </c>
      <c r="AB1497" s="87" t="s">
        <v>11447</v>
      </c>
      <c r="AC1497" s="93" t="s">
        <v>11458</v>
      </c>
      <c r="AD1497" s="87" t="s">
        <v>11519</v>
      </c>
      <c r="AE1497" s="92" t="str">
        <f>HYPERLINK("https://twitter.com/coddymoda/status/1683853235692482565")</f>
        <v>https://twitter.com/coddymoda/status/1683853235692482565</v>
      </c>
      <c r="AF1497" s="90">
        <v>45132.621180555558</v>
      </c>
      <c r="AG1497" s="99">
        <v>45132</v>
      </c>
      <c r="AH1497" s="93" t="s">
        <v>12903</v>
      </c>
      <c r="AI1497" s="87" t="b">
        <v>0</v>
      </c>
      <c r="AJ1497" s="87"/>
      <c r="AK1497" s="87"/>
      <c r="AL1497" s="87"/>
      <c r="AM1497" s="87"/>
      <c r="AN1497" s="87"/>
      <c r="AO1497" s="87"/>
      <c r="AP1497" s="87"/>
      <c r="AQ1497" s="87" t="s">
        <v>16397</v>
      </c>
      <c r="AR1497" s="87">
        <v>24866</v>
      </c>
      <c r="AS1497" s="87"/>
      <c r="AT1497" s="87"/>
      <c r="AU1497" s="87"/>
      <c r="AV1497" s="92" t="str">
        <f>HYPERLINK("https://pbs.twimg.com/ext_tw_video_thumb/1683853155866492930/pu/img/mbXlG5-ly8-Seohd.jpg")</f>
        <v>https://pbs.twimg.com/ext_tw_video_thumb/1683853155866492930/pu/img/mbXlG5-ly8-Seohd.jpg</v>
      </c>
      <c r="AW1497" s="93" t="s">
        <v>19729</v>
      </c>
      <c r="AX1497" s="93" t="s">
        <v>19729</v>
      </c>
      <c r="AY1497" s="87"/>
      <c r="AZ1497" s="93" t="s">
        <v>22668</v>
      </c>
      <c r="BA1497" s="93" t="s">
        <v>22668</v>
      </c>
      <c r="BB1497" s="93" t="s">
        <v>22668</v>
      </c>
      <c r="BC1497" s="93" t="s">
        <v>19729</v>
      </c>
      <c r="BD1497" s="93" t="s">
        <v>23091</v>
      </c>
      <c r="BE1497" s="87"/>
      <c r="BF1497" s="87"/>
      <c r="BG1497" s="87"/>
      <c r="BH1497" s="87"/>
      <c r="BI1497" s="87"/>
    </row>
    <row r="1498" spans="1:61" x14ac:dyDescent="0.25">
      <c r="A1498" s="63" t="s">
        <v>744</v>
      </c>
      <c r="B1498" s="63" t="s">
        <v>744</v>
      </c>
      <c r="C1498" s="64"/>
      <c r="D1498" s="65"/>
      <c r="E1498" s="66"/>
      <c r="F1498" s="67"/>
      <c r="G1498" s="64"/>
      <c r="H1498" s="68"/>
      <c r="I1498" s="69"/>
      <c r="J1498" s="69"/>
      <c r="K1498" s="32"/>
      <c r="L1498" s="76">
        <v>1498</v>
      </c>
      <c r="M1498" s="76"/>
      <c r="N1498" s="71"/>
      <c r="O1498" s="87" t="s">
        <v>179</v>
      </c>
      <c r="P1498" s="90">
        <v>45111.625590277778</v>
      </c>
      <c r="Q1498" s="87" t="s">
        <v>3296</v>
      </c>
      <c r="R1498" s="87">
        <v>0</v>
      </c>
      <c r="S1498" s="87">
        <v>0</v>
      </c>
      <c r="T1498" s="87">
        <v>0</v>
      </c>
      <c r="U1498" s="87">
        <v>0</v>
      </c>
      <c r="V1498" s="87">
        <v>13</v>
      </c>
      <c r="W1498" s="93" t="s">
        <v>6881</v>
      </c>
      <c r="X1498" s="87"/>
      <c r="Y1498" s="87"/>
      <c r="Z1498" s="87"/>
      <c r="AA1498" s="87" t="s">
        <v>9585</v>
      </c>
      <c r="AB1498" s="87" t="s">
        <v>11447</v>
      </c>
      <c r="AC1498" s="93" t="s">
        <v>11460</v>
      </c>
      <c r="AD1498" s="87" t="s">
        <v>11519</v>
      </c>
      <c r="AE1498" s="92" t="str">
        <f>HYPERLINK("https://twitter.com/dcconsultorias/status/1676244687634530306")</f>
        <v>https://twitter.com/dcconsultorias/status/1676244687634530306</v>
      </c>
      <c r="AF1498" s="90">
        <v>45111.625590277778</v>
      </c>
      <c r="AG1498" s="99">
        <v>45111</v>
      </c>
      <c r="AH1498" s="93" t="s">
        <v>12904</v>
      </c>
      <c r="AI1498" s="87" t="b">
        <v>0</v>
      </c>
      <c r="AJ1498" s="87"/>
      <c r="AK1498" s="87"/>
      <c r="AL1498" s="87"/>
      <c r="AM1498" s="87"/>
      <c r="AN1498" s="87"/>
      <c r="AO1498" s="87"/>
      <c r="AP1498" s="87"/>
      <c r="AQ1498" s="87" t="s">
        <v>16398</v>
      </c>
      <c r="AR1498" s="87">
        <v>88769</v>
      </c>
      <c r="AS1498" s="87"/>
      <c r="AT1498" s="87"/>
      <c r="AU1498" s="87"/>
      <c r="AV1498" s="92" t="str">
        <f>HYPERLINK("https://pbs.twimg.com/ext_tw_video_thumb/1676244661021679623/pu/img/xJPd5zzzkbINa8LF.jpg")</f>
        <v>https://pbs.twimg.com/ext_tw_video_thumb/1676244661021679623/pu/img/xJPd5zzzkbINa8LF.jpg</v>
      </c>
      <c r="AW1498" s="93" t="s">
        <v>19730</v>
      </c>
      <c r="AX1498" s="93" t="s">
        <v>19730</v>
      </c>
      <c r="AY1498" s="87"/>
      <c r="AZ1498" s="93" t="s">
        <v>22668</v>
      </c>
      <c r="BA1498" s="93" t="s">
        <v>22668</v>
      </c>
      <c r="BB1498" s="93" t="s">
        <v>22668</v>
      </c>
      <c r="BC1498" s="93" t="s">
        <v>19730</v>
      </c>
      <c r="BD1498" s="87">
        <v>2387607356</v>
      </c>
      <c r="BE1498" s="87"/>
      <c r="BF1498" s="87"/>
      <c r="BG1498" s="87"/>
      <c r="BH1498" s="87"/>
      <c r="BI1498" s="87"/>
    </row>
    <row r="1499" spans="1:61" x14ac:dyDescent="0.25">
      <c r="A1499" s="63" t="s">
        <v>745</v>
      </c>
      <c r="B1499" s="63" t="s">
        <v>745</v>
      </c>
      <c r="C1499" s="64"/>
      <c r="D1499" s="65"/>
      <c r="E1499" s="66"/>
      <c r="F1499" s="67"/>
      <c r="G1499" s="64"/>
      <c r="H1499" s="68"/>
      <c r="I1499" s="69"/>
      <c r="J1499" s="69"/>
      <c r="K1499" s="32"/>
      <c r="L1499" s="76">
        <v>1499</v>
      </c>
      <c r="M1499" s="76"/>
      <c r="N1499" s="71"/>
      <c r="O1499" s="87" t="s">
        <v>179</v>
      </c>
      <c r="P1499" s="90">
        <v>45150.892962962964</v>
      </c>
      <c r="Q1499" s="87" t="s">
        <v>3297</v>
      </c>
      <c r="R1499" s="87">
        <v>0</v>
      </c>
      <c r="S1499" s="87">
        <v>0</v>
      </c>
      <c r="T1499" s="87">
        <v>0</v>
      </c>
      <c r="U1499" s="87">
        <v>0</v>
      </c>
      <c r="V1499" s="87">
        <v>2</v>
      </c>
      <c r="W1499" s="93" t="s">
        <v>6882</v>
      </c>
      <c r="X1499" s="92" t="str">
        <f>HYPERLINK("http://my.sociabble.com/cTNnfqQVNjGq")</f>
        <v>http://my.sociabble.com/cTNnfqQVNjGq</v>
      </c>
      <c r="Y1499" s="87" t="s">
        <v>8459</v>
      </c>
      <c r="Z1499" s="87"/>
      <c r="AA1499" s="87"/>
      <c r="AB1499" s="87"/>
      <c r="AC1499" s="93" t="s">
        <v>11484</v>
      </c>
      <c r="AD1499" s="87" t="s">
        <v>11520</v>
      </c>
      <c r="AE1499" s="92" t="str">
        <f>HYPERLINK("https://twitter.com/gpaivacfpaiva/status/1690474707143864320")</f>
        <v>https://twitter.com/gpaivacfpaiva/status/1690474707143864320</v>
      </c>
      <c r="AF1499" s="90">
        <v>45150.892962962964</v>
      </c>
      <c r="AG1499" s="99">
        <v>45150</v>
      </c>
      <c r="AH1499" s="93" t="s">
        <v>12905</v>
      </c>
      <c r="AI1499" s="87" t="b">
        <v>0</v>
      </c>
      <c r="AJ1499" s="87"/>
      <c r="AK1499" s="87"/>
      <c r="AL1499" s="87"/>
      <c r="AM1499" s="87"/>
      <c r="AN1499" s="87"/>
      <c r="AO1499" s="87"/>
      <c r="AP1499" s="87"/>
      <c r="AQ1499" s="87"/>
      <c r="AR1499" s="87"/>
      <c r="AS1499" s="87"/>
      <c r="AT1499" s="87"/>
      <c r="AU1499" s="87"/>
      <c r="AV1499" s="92" t="str">
        <f>HYPERLINK("https://pbs.twimg.com/profile_images/810199924239454208/nF73AlL1_normal.jpg")</f>
        <v>https://pbs.twimg.com/profile_images/810199924239454208/nF73AlL1_normal.jpg</v>
      </c>
      <c r="AW1499" s="93" t="s">
        <v>19731</v>
      </c>
      <c r="AX1499" s="93" t="s">
        <v>19731</v>
      </c>
      <c r="AY1499" s="87"/>
      <c r="AZ1499" s="93" t="s">
        <v>22668</v>
      </c>
      <c r="BA1499" s="93" t="s">
        <v>22668</v>
      </c>
      <c r="BB1499" s="93" t="s">
        <v>22668</v>
      </c>
      <c r="BC1499" s="93" t="s">
        <v>19731</v>
      </c>
      <c r="BD1499" s="87">
        <v>2183843873</v>
      </c>
      <c r="BE1499" s="87"/>
      <c r="BF1499" s="87"/>
      <c r="BG1499" s="87"/>
      <c r="BH1499" s="87"/>
      <c r="BI1499" s="87"/>
    </row>
    <row r="1500" spans="1:61" x14ac:dyDescent="0.25">
      <c r="A1500" s="63" t="s">
        <v>746</v>
      </c>
      <c r="B1500" s="63" t="s">
        <v>746</v>
      </c>
      <c r="C1500" s="64"/>
      <c r="D1500" s="65"/>
      <c r="E1500" s="66"/>
      <c r="F1500" s="67"/>
      <c r="G1500" s="64"/>
      <c r="H1500" s="68"/>
      <c r="I1500" s="69"/>
      <c r="J1500" s="69"/>
      <c r="K1500" s="32"/>
      <c r="L1500" s="76">
        <v>1500</v>
      </c>
      <c r="M1500" s="76"/>
      <c r="N1500" s="71"/>
      <c r="O1500" s="87" t="s">
        <v>1840</v>
      </c>
      <c r="P1500" s="90">
        <v>45191.167638888888</v>
      </c>
      <c r="Q1500" s="87" t="s">
        <v>3298</v>
      </c>
      <c r="R1500" s="87">
        <v>0</v>
      </c>
      <c r="S1500" s="87">
        <v>0</v>
      </c>
      <c r="T1500" s="87">
        <v>0</v>
      </c>
      <c r="U1500" s="87">
        <v>0</v>
      </c>
      <c r="V1500" s="87">
        <v>7</v>
      </c>
      <c r="W1500" s="93" t="s">
        <v>5897</v>
      </c>
      <c r="X1500" s="87"/>
      <c r="Y1500" s="87"/>
      <c r="Z1500" s="87" t="s">
        <v>8581</v>
      </c>
      <c r="AA1500" s="87"/>
      <c r="AB1500" s="87"/>
      <c r="AC1500" s="93" t="s">
        <v>11459</v>
      </c>
      <c r="AD1500" s="87" t="s">
        <v>11520</v>
      </c>
      <c r="AE1500" s="92" t="str">
        <f>HYPERLINK("https://twitter.com/beebeey_/status/1705069760218558573")</f>
        <v>https://twitter.com/beebeey_/status/1705069760218558573</v>
      </c>
      <c r="AF1500" s="90">
        <v>45191.167638888888</v>
      </c>
      <c r="AG1500" s="99">
        <v>45191</v>
      </c>
      <c r="AH1500" s="93" t="s">
        <v>12906</v>
      </c>
      <c r="AI1500" s="87"/>
      <c r="AJ1500" s="87"/>
      <c r="AK1500" s="87"/>
      <c r="AL1500" s="87"/>
      <c r="AM1500" s="87"/>
      <c r="AN1500" s="87"/>
      <c r="AO1500" s="87"/>
      <c r="AP1500" s="87"/>
      <c r="AQ1500" s="87"/>
      <c r="AR1500" s="87"/>
      <c r="AS1500" s="87"/>
      <c r="AT1500" s="87"/>
      <c r="AU1500" s="87"/>
      <c r="AV1500" s="92" t="str">
        <f>HYPERLINK("https://pbs.twimg.com/profile_images/1681077869571604480/agdH3VR9_normal.jpg")</f>
        <v>https://pbs.twimg.com/profile_images/1681077869571604480/agdH3VR9_normal.jpg</v>
      </c>
      <c r="AW1500" s="93" t="s">
        <v>19732</v>
      </c>
      <c r="AX1500" s="93" t="s">
        <v>22380</v>
      </c>
      <c r="AY1500" s="93" t="s">
        <v>22570</v>
      </c>
      <c r="AZ1500" s="93" t="s">
        <v>22715</v>
      </c>
      <c r="BA1500" s="93" t="s">
        <v>22668</v>
      </c>
      <c r="BB1500" s="93" t="s">
        <v>22668</v>
      </c>
      <c r="BC1500" s="93" t="s">
        <v>22715</v>
      </c>
      <c r="BD1500" s="93" t="s">
        <v>22570</v>
      </c>
      <c r="BE1500" s="87"/>
      <c r="BF1500" s="87"/>
      <c r="BG1500" s="87"/>
      <c r="BH1500" s="87"/>
      <c r="BI1500" s="87"/>
    </row>
    <row r="1501" spans="1:61" x14ac:dyDescent="0.25">
      <c r="A1501" s="63" t="s">
        <v>747</v>
      </c>
      <c r="B1501" s="63" t="s">
        <v>747</v>
      </c>
      <c r="C1501" s="64"/>
      <c r="D1501" s="65"/>
      <c r="E1501" s="66"/>
      <c r="F1501" s="67"/>
      <c r="G1501" s="64"/>
      <c r="H1501" s="68"/>
      <c r="I1501" s="69"/>
      <c r="J1501" s="69"/>
      <c r="K1501" s="32"/>
      <c r="L1501" s="76">
        <v>1501</v>
      </c>
      <c r="M1501" s="76"/>
      <c r="N1501" s="71"/>
      <c r="O1501" s="87" t="s">
        <v>179</v>
      </c>
      <c r="P1501" s="90">
        <v>45176.828981481478</v>
      </c>
      <c r="Q1501" s="87" t="s">
        <v>3299</v>
      </c>
      <c r="R1501" s="87">
        <v>0</v>
      </c>
      <c r="S1501" s="87">
        <v>1</v>
      </c>
      <c r="T1501" s="87">
        <v>0</v>
      </c>
      <c r="U1501" s="87">
        <v>0</v>
      </c>
      <c r="V1501" s="87">
        <v>63</v>
      </c>
      <c r="W1501" s="93" t="s">
        <v>5897</v>
      </c>
      <c r="X1501" s="87"/>
      <c r="Y1501" s="87"/>
      <c r="Z1501" s="87"/>
      <c r="AA1501" s="87" t="s">
        <v>9586</v>
      </c>
      <c r="AB1501" s="87" t="s">
        <v>11448</v>
      </c>
      <c r="AC1501" s="93" t="s">
        <v>11459</v>
      </c>
      <c r="AD1501" s="87" t="s">
        <v>11519</v>
      </c>
      <c r="AE1501" s="92" t="str">
        <f>HYPERLINK("https://twitter.com/diasriccardo/status/1699873607583666593")</f>
        <v>https://twitter.com/diasriccardo/status/1699873607583666593</v>
      </c>
      <c r="AF1501" s="90">
        <v>45176.828981481478</v>
      </c>
      <c r="AG1501" s="99">
        <v>45176</v>
      </c>
      <c r="AH1501" s="93" t="s">
        <v>12907</v>
      </c>
      <c r="AI1501" s="87" t="b">
        <v>0</v>
      </c>
      <c r="AJ1501" s="87" t="s">
        <v>15202</v>
      </c>
      <c r="AK1501" s="87" t="s">
        <v>15234</v>
      </c>
      <c r="AL1501" s="87" t="s">
        <v>15237</v>
      </c>
      <c r="AM1501" s="87" t="s">
        <v>15274</v>
      </c>
      <c r="AN1501" s="87" t="s">
        <v>15340</v>
      </c>
      <c r="AO1501" s="87" t="s">
        <v>15406</v>
      </c>
      <c r="AP1501" s="87" t="s">
        <v>15438</v>
      </c>
      <c r="AQ1501" s="87" t="s">
        <v>16399</v>
      </c>
      <c r="AR1501" s="87"/>
      <c r="AS1501" s="87"/>
      <c r="AT1501" s="87"/>
      <c r="AU1501" s="87"/>
      <c r="AV1501" s="92" t="str">
        <f>HYPERLINK("https://pbs.twimg.com/media/F5cqCZ5XEAAfovY.jpg")</f>
        <v>https://pbs.twimg.com/media/F5cqCZ5XEAAfovY.jpg</v>
      </c>
      <c r="AW1501" s="93" t="s">
        <v>19733</v>
      </c>
      <c r="AX1501" s="93" t="s">
        <v>19733</v>
      </c>
      <c r="AY1501" s="87"/>
      <c r="AZ1501" s="93" t="s">
        <v>22668</v>
      </c>
      <c r="BA1501" s="93" t="s">
        <v>22668</v>
      </c>
      <c r="BB1501" s="93" t="s">
        <v>22668</v>
      </c>
      <c r="BC1501" s="93" t="s">
        <v>19733</v>
      </c>
      <c r="BD1501" s="93" t="s">
        <v>23092</v>
      </c>
      <c r="BE1501" s="87"/>
      <c r="BF1501" s="87"/>
      <c r="BG1501" s="87"/>
      <c r="BH1501" s="87"/>
      <c r="BI1501" s="87"/>
    </row>
    <row r="1502" spans="1:61" x14ac:dyDescent="0.25">
      <c r="A1502" s="63" t="s">
        <v>748</v>
      </c>
      <c r="B1502" s="63" t="s">
        <v>748</v>
      </c>
      <c r="C1502" s="64"/>
      <c r="D1502" s="65"/>
      <c r="E1502" s="66"/>
      <c r="F1502" s="67"/>
      <c r="G1502" s="64"/>
      <c r="H1502" s="68"/>
      <c r="I1502" s="69"/>
      <c r="J1502" s="69"/>
      <c r="K1502" s="32"/>
      <c r="L1502" s="76">
        <v>1502</v>
      </c>
      <c r="M1502" s="76"/>
      <c r="N1502" s="71"/>
      <c r="O1502" s="87" t="s">
        <v>179</v>
      </c>
      <c r="P1502" s="90">
        <v>45188.463599537034</v>
      </c>
      <c r="Q1502" s="87" t="s">
        <v>3300</v>
      </c>
      <c r="R1502" s="87">
        <v>0</v>
      </c>
      <c r="S1502" s="87">
        <v>0</v>
      </c>
      <c r="T1502" s="87">
        <v>0</v>
      </c>
      <c r="U1502" s="87">
        <v>0</v>
      </c>
      <c r="V1502" s="87">
        <v>67</v>
      </c>
      <c r="W1502" s="93" t="s">
        <v>6883</v>
      </c>
      <c r="X1502" s="87"/>
      <c r="Y1502" s="87"/>
      <c r="Z1502" s="87"/>
      <c r="AA1502" s="87" t="s">
        <v>9587</v>
      </c>
      <c r="AB1502" s="87" t="s">
        <v>11448</v>
      </c>
      <c r="AC1502" s="93" t="s">
        <v>11457</v>
      </c>
      <c r="AD1502" s="87" t="s">
        <v>11519</v>
      </c>
      <c r="AE1502" s="92" t="str">
        <f>HYPERLINK("https://twitter.com/craceara/status/1704089848586355019")</f>
        <v>https://twitter.com/craceara/status/1704089848586355019</v>
      </c>
      <c r="AF1502" s="90">
        <v>45188.463599537034</v>
      </c>
      <c r="AG1502" s="99">
        <v>45188</v>
      </c>
      <c r="AH1502" s="93" t="s">
        <v>12908</v>
      </c>
      <c r="AI1502" s="87" t="b">
        <v>0</v>
      </c>
      <c r="AJ1502" s="87"/>
      <c r="AK1502" s="87"/>
      <c r="AL1502" s="87"/>
      <c r="AM1502" s="87"/>
      <c r="AN1502" s="87"/>
      <c r="AO1502" s="87"/>
      <c r="AP1502" s="87"/>
      <c r="AQ1502" s="87" t="s">
        <v>16400</v>
      </c>
      <c r="AR1502" s="87"/>
      <c r="AS1502" s="87"/>
      <c r="AT1502" s="87"/>
      <c r="AU1502" s="87"/>
      <c r="AV1502" s="92" t="str">
        <f>HYPERLINK("https://pbs.twimg.com/media/F6YkqguWcAASjZW.jpg")</f>
        <v>https://pbs.twimg.com/media/F6YkqguWcAASjZW.jpg</v>
      </c>
      <c r="AW1502" s="93" t="s">
        <v>19734</v>
      </c>
      <c r="AX1502" s="93" t="s">
        <v>19734</v>
      </c>
      <c r="AY1502" s="87"/>
      <c r="AZ1502" s="93" t="s">
        <v>22668</v>
      </c>
      <c r="BA1502" s="93" t="s">
        <v>22668</v>
      </c>
      <c r="BB1502" s="93" t="s">
        <v>22668</v>
      </c>
      <c r="BC1502" s="93" t="s">
        <v>19734</v>
      </c>
      <c r="BD1502" s="87">
        <v>196124826</v>
      </c>
      <c r="BE1502" s="87"/>
      <c r="BF1502" s="87"/>
      <c r="BG1502" s="87"/>
      <c r="BH1502" s="87"/>
      <c r="BI1502" s="87"/>
    </row>
    <row r="1503" spans="1:61" x14ac:dyDescent="0.25">
      <c r="A1503" s="63" t="s">
        <v>748</v>
      </c>
      <c r="B1503" s="63" t="s">
        <v>748</v>
      </c>
      <c r="C1503" s="64"/>
      <c r="D1503" s="65"/>
      <c r="E1503" s="66"/>
      <c r="F1503" s="67"/>
      <c r="G1503" s="64"/>
      <c r="H1503" s="68"/>
      <c r="I1503" s="69"/>
      <c r="J1503" s="69"/>
      <c r="K1503" s="32"/>
      <c r="L1503" s="76">
        <v>1503</v>
      </c>
      <c r="M1503" s="76"/>
      <c r="N1503" s="71"/>
      <c r="O1503" s="87" t="s">
        <v>179</v>
      </c>
      <c r="P1503" s="90">
        <v>45196.614386574074</v>
      </c>
      <c r="Q1503" s="87" t="s">
        <v>3301</v>
      </c>
      <c r="R1503" s="87">
        <v>0</v>
      </c>
      <c r="S1503" s="87">
        <v>0</v>
      </c>
      <c r="T1503" s="87">
        <v>0</v>
      </c>
      <c r="U1503" s="87">
        <v>0</v>
      </c>
      <c r="V1503" s="87">
        <v>9</v>
      </c>
      <c r="W1503" s="93" t="s">
        <v>6884</v>
      </c>
      <c r="X1503" s="92" t="str">
        <f>HYPERLINK("https://4et.us/s1nfl0")</f>
        <v>https://4et.us/s1nfl0</v>
      </c>
      <c r="Y1503" s="87" t="s">
        <v>8385</v>
      </c>
      <c r="Z1503" s="87"/>
      <c r="AA1503" s="87" t="s">
        <v>9588</v>
      </c>
      <c r="AB1503" s="87" t="s">
        <v>11448</v>
      </c>
      <c r="AC1503" s="93" t="s">
        <v>11457</v>
      </c>
      <c r="AD1503" s="87" t="s">
        <v>11519</v>
      </c>
      <c r="AE1503" s="92" t="str">
        <f>HYPERLINK("https://twitter.com/craceara/status/1707043597604790383")</f>
        <v>https://twitter.com/craceara/status/1707043597604790383</v>
      </c>
      <c r="AF1503" s="90">
        <v>45196.614386574074</v>
      </c>
      <c r="AG1503" s="99">
        <v>45196</v>
      </c>
      <c r="AH1503" s="93" t="s">
        <v>12909</v>
      </c>
      <c r="AI1503" s="87" t="b">
        <v>0</v>
      </c>
      <c r="AJ1503" s="87"/>
      <c r="AK1503" s="87"/>
      <c r="AL1503" s="87"/>
      <c r="AM1503" s="87"/>
      <c r="AN1503" s="87"/>
      <c r="AO1503" s="87"/>
      <c r="AP1503" s="87"/>
      <c r="AQ1503" s="87" t="s">
        <v>16401</v>
      </c>
      <c r="AR1503" s="87"/>
      <c r="AS1503" s="87"/>
      <c r="AT1503" s="87"/>
      <c r="AU1503" s="87"/>
      <c r="AV1503" s="92" t="str">
        <f>HYPERLINK("https://pbs.twimg.com/media/F7CjFfFXUAA4hdl.jpg")</f>
        <v>https://pbs.twimg.com/media/F7CjFfFXUAA4hdl.jpg</v>
      </c>
      <c r="AW1503" s="93" t="s">
        <v>19735</v>
      </c>
      <c r="AX1503" s="93" t="s">
        <v>19735</v>
      </c>
      <c r="AY1503" s="87"/>
      <c r="AZ1503" s="93" t="s">
        <v>22668</v>
      </c>
      <c r="BA1503" s="93" t="s">
        <v>22668</v>
      </c>
      <c r="BB1503" s="93" t="s">
        <v>22668</v>
      </c>
      <c r="BC1503" s="93" t="s">
        <v>19735</v>
      </c>
      <c r="BD1503" s="87">
        <v>196124826</v>
      </c>
      <c r="BE1503" s="87"/>
      <c r="BF1503" s="87"/>
      <c r="BG1503" s="87"/>
      <c r="BH1503" s="87"/>
      <c r="BI1503" s="87"/>
    </row>
    <row r="1504" spans="1:61" x14ac:dyDescent="0.25">
      <c r="A1504" s="63" t="s">
        <v>749</v>
      </c>
      <c r="B1504" s="63" t="s">
        <v>749</v>
      </c>
      <c r="C1504" s="64"/>
      <c r="D1504" s="65"/>
      <c r="E1504" s="66"/>
      <c r="F1504" s="67"/>
      <c r="G1504" s="64"/>
      <c r="H1504" s="68"/>
      <c r="I1504" s="69"/>
      <c r="J1504" s="69"/>
      <c r="K1504" s="32"/>
      <c r="L1504" s="76">
        <v>1504</v>
      </c>
      <c r="M1504" s="76"/>
      <c r="N1504" s="71"/>
      <c r="O1504" s="87" t="s">
        <v>179</v>
      </c>
      <c r="P1504" s="90">
        <v>45131.959872685184</v>
      </c>
      <c r="Q1504" s="87" t="s">
        <v>3302</v>
      </c>
      <c r="R1504" s="87">
        <v>0</v>
      </c>
      <c r="S1504" s="87">
        <v>0</v>
      </c>
      <c r="T1504" s="87">
        <v>0</v>
      </c>
      <c r="U1504" s="87">
        <v>0</v>
      </c>
      <c r="V1504" s="87">
        <v>22</v>
      </c>
      <c r="W1504" s="93" t="s">
        <v>6885</v>
      </c>
      <c r="X1504" s="87"/>
      <c r="Y1504" s="87"/>
      <c r="Z1504" s="87"/>
      <c r="AA1504" s="87" t="s">
        <v>9589</v>
      </c>
      <c r="AB1504" s="87" t="s">
        <v>11448</v>
      </c>
      <c r="AC1504" s="93" t="s">
        <v>11459</v>
      </c>
      <c r="AD1504" s="87" t="s">
        <v>11519</v>
      </c>
      <c r="AE1504" s="92" t="str">
        <f>HYPERLINK("https://twitter.com/digital_online_/status/1683613586575224832")</f>
        <v>https://twitter.com/digital_online_/status/1683613586575224832</v>
      </c>
      <c r="AF1504" s="90">
        <v>45131.959872685184</v>
      </c>
      <c r="AG1504" s="99">
        <v>45131</v>
      </c>
      <c r="AH1504" s="93" t="s">
        <v>12910</v>
      </c>
      <c r="AI1504" s="87" t="b">
        <v>0</v>
      </c>
      <c r="AJ1504" s="87"/>
      <c r="AK1504" s="87"/>
      <c r="AL1504" s="87"/>
      <c r="AM1504" s="87"/>
      <c r="AN1504" s="87"/>
      <c r="AO1504" s="87"/>
      <c r="AP1504" s="87"/>
      <c r="AQ1504" s="87" t="s">
        <v>16402</v>
      </c>
      <c r="AR1504" s="87"/>
      <c r="AS1504" s="87"/>
      <c r="AT1504" s="87"/>
      <c r="AU1504" s="87"/>
      <c r="AV1504" s="92" t="str">
        <f>HYPERLINK("https://pbs.twimg.com/media/F11lohLWcAMUzi1.jpg")</f>
        <v>https://pbs.twimg.com/media/F11lohLWcAMUzi1.jpg</v>
      </c>
      <c r="AW1504" s="93" t="s">
        <v>19736</v>
      </c>
      <c r="AX1504" s="93" t="s">
        <v>19736</v>
      </c>
      <c r="AY1504" s="87"/>
      <c r="AZ1504" s="93" t="s">
        <v>22668</v>
      </c>
      <c r="BA1504" s="93" t="s">
        <v>22668</v>
      </c>
      <c r="BB1504" s="93" t="s">
        <v>22668</v>
      </c>
      <c r="BC1504" s="93" t="s">
        <v>19736</v>
      </c>
      <c r="BD1504" s="93" t="s">
        <v>23093</v>
      </c>
      <c r="BE1504" s="87"/>
      <c r="BF1504" s="87"/>
      <c r="BG1504" s="87"/>
      <c r="BH1504" s="87"/>
      <c r="BI1504" s="87"/>
    </row>
    <row r="1505" spans="1:61" x14ac:dyDescent="0.25">
      <c r="A1505" s="63" t="s">
        <v>749</v>
      </c>
      <c r="B1505" s="63" t="s">
        <v>749</v>
      </c>
      <c r="C1505" s="64"/>
      <c r="D1505" s="65"/>
      <c r="E1505" s="66"/>
      <c r="F1505" s="67"/>
      <c r="G1505" s="64"/>
      <c r="H1505" s="68"/>
      <c r="I1505" s="69"/>
      <c r="J1505" s="69"/>
      <c r="K1505" s="32"/>
      <c r="L1505" s="76">
        <v>1505</v>
      </c>
      <c r="M1505" s="76"/>
      <c r="N1505" s="71"/>
      <c r="O1505" s="87" t="s">
        <v>179</v>
      </c>
      <c r="P1505" s="90">
        <v>45128.993310185186</v>
      </c>
      <c r="Q1505" s="87" t="s">
        <v>3303</v>
      </c>
      <c r="R1505" s="87">
        <v>0</v>
      </c>
      <c r="S1505" s="87">
        <v>0</v>
      </c>
      <c r="T1505" s="87">
        <v>0</v>
      </c>
      <c r="U1505" s="87">
        <v>0</v>
      </c>
      <c r="V1505" s="87">
        <v>19</v>
      </c>
      <c r="W1505" s="93" t="s">
        <v>6886</v>
      </c>
      <c r="X1505" s="87"/>
      <c r="Y1505" s="87"/>
      <c r="Z1505" s="87"/>
      <c r="AA1505" s="87" t="s">
        <v>9590</v>
      </c>
      <c r="AB1505" s="87" t="s">
        <v>11448</v>
      </c>
      <c r="AC1505" s="93" t="s">
        <v>11459</v>
      </c>
      <c r="AD1505" s="87" t="s">
        <v>11519</v>
      </c>
      <c r="AE1505" s="92" t="str">
        <f>HYPERLINK("https://twitter.com/digital_online_/status/1682538538909282304")</f>
        <v>https://twitter.com/digital_online_/status/1682538538909282304</v>
      </c>
      <c r="AF1505" s="90">
        <v>45128.993310185186</v>
      </c>
      <c r="AG1505" s="99">
        <v>45128</v>
      </c>
      <c r="AH1505" s="93" t="s">
        <v>12911</v>
      </c>
      <c r="AI1505" s="87" t="b">
        <v>0</v>
      </c>
      <c r="AJ1505" s="87"/>
      <c r="AK1505" s="87"/>
      <c r="AL1505" s="87"/>
      <c r="AM1505" s="87"/>
      <c r="AN1505" s="87"/>
      <c r="AO1505" s="87"/>
      <c r="AP1505" s="87"/>
      <c r="AQ1505" s="87" t="s">
        <v>16403</v>
      </c>
      <c r="AR1505" s="87"/>
      <c r="AS1505" s="87"/>
      <c r="AT1505" s="87"/>
      <c r="AU1505" s="87"/>
      <c r="AV1505" s="92" t="str">
        <f>HYPERLINK("https://pbs.twimg.com/media/F1mT4bwXoAAaqtA.jpg")</f>
        <v>https://pbs.twimg.com/media/F1mT4bwXoAAaqtA.jpg</v>
      </c>
      <c r="AW1505" s="93" t="s">
        <v>19737</v>
      </c>
      <c r="AX1505" s="93" t="s">
        <v>19737</v>
      </c>
      <c r="AY1505" s="87"/>
      <c r="AZ1505" s="93" t="s">
        <v>22668</v>
      </c>
      <c r="BA1505" s="93" t="s">
        <v>22668</v>
      </c>
      <c r="BB1505" s="93" t="s">
        <v>22668</v>
      </c>
      <c r="BC1505" s="93" t="s">
        <v>19737</v>
      </c>
      <c r="BD1505" s="93" t="s">
        <v>23093</v>
      </c>
      <c r="BE1505" s="87"/>
      <c r="BF1505" s="87"/>
      <c r="BG1505" s="87"/>
      <c r="BH1505" s="87"/>
      <c r="BI1505" s="87"/>
    </row>
    <row r="1506" spans="1:61" x14ac:dyDescent="0.25">
      <c r="A1506" s="63" t="s">
        <v>749</v>
      </c>
      <c r="B1506" s="63" t="s">
        <v>749</v>
      </c>
      <c r="C1506" s="64"/>
      <c r="D1506" s="65"/>
      <c r="E1506" s="66"/>
      <c r="F1506" s="67"/>
      <c r="G1506" s="64"/>
      <c r="H1506" s="68"/>
      <c r="I1506" s="69"/>
      <c r="J1506" s="69"/>
      <c r="K1506" s="32"/>
      <c r="L1506" s="76">
        <v>1506</v>
      </c>
      <c r="M1506" s="76"/>
      <c r="N1506" s="71"/>
      <c r="O1506" s="87" t="s">
        <v>179</v>
      </c>
      <c r="P1506" s="90">
        <v>45141.995625000003</v>
      </c>
      <c r="Q1506" s="87" t="s">
        <v>3304</v>
      </c>
      <c r="R1506" s="87">
        <v>0</v>
      </c>
      <c r="S1506" s="87">
        <v>0</v>
      </c>
      <c r="T1506" s="87">
        <v>0</v>
      </c>
      <c r="U1506" s="87">
        <v>0</v>
      </c>
      <c r="V1506" s="87">
        <v>41</v>
      </c>
      <c r="W1506" s="93" t="s">
        <v>6887</v>
      </c>
      <c r="X1506" s="87"/>
      <c r="Y1506" s="87"/>
      <c r="Z1506" s="87"/>
      <c r="AA1506" s="87" t="s">
        <v>9591</v>
      </c>
      <c r="AB1506" s="87" t="s">
        <v>11448</v>
      </c>
      <c r="AC1506" s="93" t="s">
        <v>11459</v>
      </c>
      <c r="AD1506" s="87" t="s">
        <v>11519</v>
      </c>
      <c r="AE1506" s="92" t="str">
        <f>HYPERLINK("https://twitter.com/digital_online_/status/1687250418689093632")</f>
        <v>https://twitter.com/digital_online_/status/1687250418689093632</v>
      </c>
      <c r="AF1506" s="90">
        <v>45141.995625000003</v>
      </c>
      <c r="AG1506" s="99">
        <v>45141</v>
      </c>
      <c r="AH1506" s="93" t="s">
        <v>12912</v>
      </c>
      <c r="AI1506" s="87" t="b">
        <v>0</v>
      </c>
      <c r="AJ1506" s="87"/>
      <c r="AK1506" s="87"/>
      <c r="AL1506" s="87"/>
      <c r="AM1506" s="87"/>
      <c r="AN1506" s="87"/>
      <c r="AO1506" s="87"/>
      <c r="AP1506" s="87"/>
      <c r="AQ1506" s="87" t="s">
        <v>16404</v>
      </c>
      <c r="AR1506" s="87"/>
      <c r="AS1506" s="87"/>
      <c r="AT1506" s="87"/>
      <c r="AU1506" s="87"/>
      <c r="AV1506" s="92" t="str">
        <f>HYPERLINK("https://pbs.twimg.com/media/F2pRUADXoAALf_J.jpg")</f>
        <v>https://pbs.twimg.com/media/F2pRUADXoAALf_J.jpg</v>
      </c>
      <c r="AW1506" s="93" t="s">
        <v>19738</v>
      </c>
      <c r="AX1506" s="93" t="s">
        <v>19738</v>
      </c>
      <c r="AY1506" s="87"/>
      <c r="AZ1506" s="93" t="s">
        <v>22668</v>
      </c>
      <c r="BA1506" s="93" t="s">
        <v>22668</v>
      </c>
      <c r="BB1506" s="93" t="s">
        <v>22668</v>
      </c>
      <c r="BC1506" s="93" t="s">
        <v>19738</v>
      </c>
      <c r="BD1506" s="93" t="s">
        <v>23093</v>
      </c>
      <c r="BE1506" s="87"/>
      <c r="BF1506" s="87"/>
      <c r="BG1506" s="87"/>
      <c r="BH1506" s="87"/>
      <c r="BI1506" s="87"/>
    </row>
    <row r="1507" spans="1:61" x14ac:dyDescent="0.25">
      <c r="A1507" s="63" t="s">
        <v>749</v>
      </c>
      <c r="B1507" s="63" t="s">
        <v>749</v>
      </c>
      <c r="C1507" s="64"/>
      <c r="D1507" s="65"/>
      <c r="E1507" s="66"/>
      <c r="F1507" s="67"/>
      <c r="G1507" s="64"/>
      <c r="H1507" s="68"/>
      <c r="I1507" s="69"/>
      <c r="J1507" s="69"/>
      <c r="K1507" s="32"/>
      <c r="L1507" s="76">
        <v>1507</v>
      </c>
      <c r="M1507" s="76"/>
      <c r="N1507" s="71"/>
      <c r="O1507" s="87" t="s">
        <v>179</v>
      </c>
      <c r="P1507" s="90">
        <v>45113.902384259258</v>
      </c>
      <c r="Q1507" s="87" t="s">
        <v>3305</v>
      </c>
      <c r="R1507" s="87">
        <v>0</v>
      </c>
      <c r="S1507" s="87">
        <v>0</v>
      </c>
      <c r="T1507" s="87">
        <v>1</v>
      </c>
      <c r="U1507" s="87">
        <v>0</v>
      </c>
      <c r="V1507" s="87">
        <v>45</v>
      </c>
      <c r="W1507" s="93" t="s">
        <v>6888</v>
      </c>
      <c r="X1507" s="87"/>
      <c r="Y1507" s="87"/>
      <c r="Z1507" s="87"/>
      <c r="AA1507" s="87" t="s">
        <v>9592</v>
      </c>
      <c r="AB1507" s="87" t="s">
        <v>11448</v>
      </c>
      <c r="AC1507" s="93" t="s">
        <v>11459</v>
      </c>
      <c r="AD1507" s="87" t="s">
        <v>11519</v>
      </c>
      <c r="AE1507" s="92" t="str">
        <f>HYPERLINK("https://twitter.com/digital_online_/status/1677069772209438720")</f>
        <v>https://twitter.com/digital_online_/status/1677069772209438720</v>
      </c>
      <c r="AF1507" s="90">
        <v>45113.902384259258</v>
      </c>
      <c r="AG1507" s="99">
        <v>45113</v>
      </c>
      <c r="AH1507" s="93" t="s">
        <v>12913</v>
      </c>
      <c r="AI1507" s="87" t="b">
        <v>0</v>
      </c>
      <c r="AJ1507" s="87"/>
      <c r="AK1507" s="87"/>
      <c r="AL1507" s="87"/>
      <c r="AM1507" s="87"/>
      <c r="AN1507" s="87"/>
      <c r="AO1507" s="87"/>
      <c r="AP1507" s="87"/>
      <c r="AQ1507" s="87" t="s">
        <v>16405</v>
      </c>
      <c r="AR1507" s="87"/>
      <c r="AS1507" s="87"/>
      <c r="AT1507" s="87"/>
      <c r="AU1507" s="87"/>
      <c r="AV1507" s="92" t="str">
        <f>HYPERLINK("https://pbs.twimg.com/media/F0YmEbSXwAAg4Kv.jpg")</f>
        <v>https://pbs.twimg.com/media/F0YmEbSXwAAg4Kv.jpg</v>
      </c>
      <c r="AW1507" s="93" t="s">
        <v>19739</v>
      </c>
      <c r="AX1507" s="93" t="s">
        <v>19739</v>
      </c>
      <c r="AY1507" s="87"/>
      <c r="AZ1507" s="93" t="s">
        <v>22668</v>
      </c>
      <c r="BA1507" s="93" t="s">
        <v>22668</v>
      </c>
      <c r="BB1507" s="93" t="s">
        <v>22668</v>
      </c>
      <c r="BC1507" s="93" t="s">
        <v>19739</v>
      </c>
      <c r="BD1507" s="93" t="s">
        <v>23093</v>
      </c>
      <c r="BE1507" s="87"/>
      <c r="BF1507" s="87"/>
      <c r="BG1507" s="87"/>
      <c r="BH1507" s="87"/>
      <c r="BI1507" s="87"/>
    </row>
    <row r="1508" spans="1:61" x14ac:dyDescent="0.25">
      <c r="A1508" s="63" t="s">
        <v>750</v>
      </c>
      <c r="B1508" s="63" t="s">
        <v>750</v>
      </c>
      <c r="C1508" s="64"/>
      <c r="D1508" s="65"/>
      <c r="E1508" s="66"/>
      <c r="F1508" s="67"/>
      <c r="G1508" s="64"/>
      <c r="H1508" s="68"/>
      <c r="I1508" s="69"/>
      <c r="J1508" s="69"/>
      <c r="K1508" s="32"/>
      <c r="L1508" s="76">
        <v>1508</v>
      </c>
      <c r="M1508" s="76"/>
      <c r="N1508" s="71"/>
      <c r="O1508" s="87" t="s">
        <v>179</v>
      </c>
      <c r="P1508" s="90">
        <v>45118.916875000003</v>
      </c>
      <c r="Q1508" s="87" t="s">
        <v>3306</v>
      </c>
      <c r="R1508" s="87">
        <v>0</v>
      </c>
      <c r="S1508" s="87">
        <v>0</v>
      </c>
      <c r="T1508" s="87">
        <v>0</v>
      </c>
      <c r="U1508" s="87">
        <v>1</v>
      </c>
      <c r="V1508" s="87">
        <v>20</v>
      </c>
      <c r="W1508" s="93" t="s">
        <v>6889</v>
      </c>
      <c r="X1508" s="92" t="str">
        <f>HYPERLINK("https://www.catarse.me/empreendedoras_sem_neura_209e?ref=project_link")</f>
        <v>https://www.catarse.me/empreendedoras_sem_neura_209e?ref=project_link</v>
      </c>
      <c r="Y1508" s="87" t="s">
        <v>8460</v>
      </c>
      <c r="Z1508" s="87"/>
      <c r="AA1508" s="87" t="s">
        <v>9593</v>
      </c>
      <c r="AB1508" s="87" t="s">
        <v>11447</v>
      </c>
      <c r="AC1508" s="93" t="s">
        <v>11459</v>
      </c>
      <c r="AD1508" s="87" t="s">
        <v>11519</v>
      </c>
      <c r="AE1508" s="92" t="str">
        <f>HYPERLINK("https://twitter.com/jullieziiinha/status/1678886960637648901")</f>
        <v>https://twitter.com/jullieziiinha/status/1678886960637648901</v>
      </c>
      <c r="AF1508" s="90">
        <v>45118.916875000003</v>
      </c>
      <c r="AG1508" s="99">
        <v>45118</v>
      </c>
      <c r="AH1508" s="93" t="s">
        <v>12914</v>
      </c>
      <c r="AI1508" s="87" t="b">
        <v>0</v>
      </c>
      <c r="AJ1508" s="87" t="s">
        <v>15203</v>
      </c>
      <c r="AK1508" s="87" t="s">
        <v>15234</v>
      </c>
      <c r="AL1508" s="87" t="s">
        <v>15237</v>
      </c>
      <c r="AM1508" s="87" t="s">
        <v>15275</v>
      </c>
      <c r="AN1508" s="87" t="s">
        <v>15341</v>
      </c>
      <c r="AO1508" s="87" t="s">
        <v>15407</v>
      </c>
      <c r="AP1508" s="87" t="s">
        <v>15438</v>
      </c>
      <c r="AQ1508" s="87" t="s">
        <v>16406</v>
      </c>
      <c r="AR1508" s="87">
        <v>110840</v>
      </c>
      <c r="AS1508" s="87"/>
      <c r="AT1508" s="87"/>
      <c r="AU1508" s="87"/>
      <c r="AV1508" s="92" t="str">
        <f>HYPERLINK("https://pbs.twimg.com/ext_tw_video_thumb/1678886416950935554/pu/img/xPnxBTAkPf1Yf_9U.jpg")</f>
        <v>https://pbs.twimg.com/ext_tw_video_thumb/1678886416950935554/pu/img/xPnxBTAkPf1Yf_9U.jpg</v>
      </c>
      <c r="AW1508" s="93" t="s">
        <v>19740</v>
      </c>
      <c r="AX1508" s="93" t="s">
        <v>19740</v>
      </c>
      <c r="AY1508" s="87"/>
      <c r="AZ1508" s="93" t="s">
        <v>22668</v>
      </c>
      <c r="BA1508" s="93" t="s">
        <v>22668</v>
      </c>
      <c r="BB1508" s="93" t="s">
        <v>22668</v>
      </c>
      <c r="BC1508" s="93" t="s">
        <v>19740</v>
      </c>
      <c r="BD1508" s="93" t="s">
        <v>23094</v>
      </c>
      <c r="BE1508" s="87"/>
      <c r="BF1508" s="87"/>
      <c r="BG1508" s="87"/>
      <c r="BH1508" s="87"/>
      <c r="BI1508" s="87"/>
    </row>
    <row r="1509" spans="1:61" x14ac:dyDescent="0.25">
      <c r="A1509" s="63" t="s">
        <v>751</v>
      </c>
      <c r="B1509" s="63" t="s">
        <v>751</v>
      </c>
      <c r="C1509" s="64"/>
      <c r="D1509" s="65"/>
      <c r="E1509" s="66"/>
      <c r="F1509" s="67"/>
      <c r="G1509" s="64"/>
      <c r="H1509" s="68"/>
      <c r="I1509" s="69"/>
      <c r="J1509" s="69"/>
      <c r="K1509" s="32"/>
      <c r="L1509" s="76">
        <v>1509</v>
      </c>
      <c r="M1509" s="76"/>
      <c r="N1509" s="71"/>
      <c r="O1509" s="87" t="s">
        <v>179</v>
      </c>
      <c r="P1509" s="90">
        <v>45125.806446759256</v>
      </c>
      <c r="Q1509" s="87" t="s">
        <v>3307</v>
      </c>
      <c r="R1509" s="87">
        <v>0</v>
      </c>
      <c r="S1509" s="87">
        <v>0</v>
      </c>
      <c r="T1509" s="87">
        <v>0</v>
      </c>
      <c r="U1509" s="87">
        <v>0</v>
      </c>
      <c r="V1509" s="87">
        <v>9</v>
      </c>
      <c r="W1509" s="93" t="s">
        <v>6890</v>
      </c>
      <c r="X1509" s="87"/>
      <c r="Y1509" s="87"/>
      <c r="Z1509" s="87"/>
      <c r="AA1509" s="87" t="s">
        <v>9594</v>
      </c>
      <c r="AB1509" s="87" t="s">
        <v>11447</v>
      </c>
      <c r="AC1509" s="93" t="s">
        <v>11459</v>
      </c>
      <c r="AD1509" s="87" t="s">
        <v>11523</v>
      </c>
      <c r="AE1509" s="92" t="str">
        <f>HYPERLINK("https://twitter.com/cpcibarra1/status/1681383657507000320")</f>
        <v>https://twitter.com/cpcibarra1/status/1681383657507000320</v>
      </c>
      <c r="AF1509" s="90">
        <v>45125.806446759256</v>
      </c>
      <c r="AG1509" s="99">
        <v>45125</v>
      </c>
      <c r="AH1509" s="93" t="s">
        <v>12915</v>
      </c>
      <c r="AI1509" s="87" t="b">
        <v>0</v>
      </c>
      <c r="AJ1509" s="87"/>
      <c r="AK1509" s="87"/>
      <c r="AL1509" s="87"/>
      <c r="AM1509" s="87"/>
      <c r="AN1509" s="87"/>
      <c r="AO1509" s="87"/>
      <c r="AP1509" s="87"/>
      <c r="AQ1509" s="87" t="s">
        <v>16407</v>
      </c>
      <c r="AR1509" s="87">
        <v>52046</v>
      </c>
      <c r="AS1509" s="87"/>
      <c r="AT1509" s="87"/>
      <c r="AU1509" s="87"/>
      <c r="AV1509" s="92" t="str">
        <f>HYPERLINK("https://pbs.twimg.com/ext_tw_video_thumb/1681383571351822336/pu/img/GIbOi8QiA2Jtjqyb.jpg")</f>
        <v>https://pbs.twimg.com/ext_tw_video_thumb/1681383571351822336/pu/img/GIbOi8QiA2Jtjqyb.jpg</v>
      </c>
      <c r="AW1509" s="93" t="s">
        <v>19741</v>
      </c>
      <c r="AX1509" s="93" t="s">
        <v>19741</v>
      </c>
      <c r="AY1509" s="87"/>
      <c r="AZ1509" s="93" t="s">
        <v>22668</v>
      </c>
      <c r="BA1509" s="93" t="s">
        <v>22668</v>
      </c>
      <c r="BB1509" s="93" t="s">
        <v>22668</v>
      </c>
      <c r="BC1509" s="93" t="s">
        <v>19741</v>
      </c>
      <c r="BD1509" s="87">
        <v>3024421631</v>
      </c>
      <c r="BE1509" s="87"/>
      <c r="BF1509" s="87"/>
      <c r="BG1509" s="87"/>
      <c r="BH1509" s="87"/>
      <c r="BI1509" s="87"/>
    </row>
    <row r="1510" spans="1:61" x14ac:dyDescent="0.25">
      <c r="A1510" s="63" t="s">
        <v>751</v>
      </c>
      <c r="B1510" s="63" t="s">
        <v>751</v>
      </c>
      <c r="C1510" s="64"/>
      <c r="D1510" s="65"/>
      <c r="E1510" s="66"/>
      <c r="F1510" s="67"/>
      <c r="G1510" s="64"/>
      <c r="H1510" s="68"/>
      <c r="I1510" s="69"/>
      <c r="J1510" s="69"/>
      <c r="K1510" s="32"/>
      <c r="L1510" s="76">
        <v>1510</v>
      </c>
      <c r="M1510" s="76"/>
      <c r="N1510" s="71"/>
      <c r="O1510" s="87" t="s">
        <v>179</v>
      </c>
      <c r="P1510" s="90">
        <v>45135.070439814815</v>
      </c>
      <c r="Q1510" s="87" t="s">
        <v>3308</v>
      </c>
      <c r="R1510" s="87">
        <v>0</v>
      </c>
      <c r="S1510" s="87">
        <v>0</v>
      </c>
      <c r="T1510" s="87">
        <v>0</v>
      </c>
      <c r="U1510" s="87">
        <v>0</v>
      </c>
      <c r="V1510" s="87">
        <v>92</v>
      </c>
      <c r="W1510" s="93" t="s">
        <v>6890</v>
      </c>
      <c r="X1510" s="87"/>
      <c r="Y1510" s="87"/>
      <c r="Z1510" s="87"/>
      <c r="AA1510" s="87" t="s">
        <v>9595</v>
      </c>
      <c r="AB1510" s="87" t="s">
        <v>11447</v>
      </c>
      <c r="AC1510" s="93" t="s">
        <v>11459</v>
      </c>
      <c r="AD1510" s="87" t="s">
        <v>11523</v>
      </c>
      <c r="AE1510" s="92" t="str">
        <f>HYPERLINK("https://twitter.com/cpcibarra1/status/1684740815447560192")</f>
        <v>https://twitter.com/cpcibarra1/status/1684740815447560192</v>
      </c>
      <c r="AF1510" s="90">
        <v>45135.070439814815</v>
      </c>
      <c r="AG1510" s="99">
        <v>45135</v>
      </c>
      <c r="AH1510" s="93" t="s">
        <v>12916</v>
      </c>
      <c r="AI1510" s="87" t="b">
        <v>0</v>
      </c>
      <c r="AJ1510" s="87"/>
      <c r="AK1510" s="87"/>
      <c r="AL1510" s="87"/>
      <c r="AM1510" s="87"/>
      <c r="AN1510" s="87"/>
      <c r="AO1510" s="87"/>
      <c r="AP1510" s="87"/>
      <c r="AQ1510" s="87" t="s">
        <v>16408</v>
      </c>
      <c r="AR1510" s="87">
        <v>74423</v>
      </c>
      <c r="AS1510" s="87"/>
      <c r="AT1510" s="87"/>
      <c r="AU1510" s="87"/>
      <c r="AV1510" s="92" t="str">
        <f>HYPERLINK("https://pbs.twimg.com/ext_tw_video_thumb/1684740708304064512/pu/img/TaLSiBvbwUxGkpaq.jpg")</f>
        <v>https://pbs.twimg.com/ext_tw_video_thumb/1684740708304064512/pu/img/TaLSiBvbwUxGkpaq.jpg</v>
      </c>
      <c r="AW1510" s="93" t="s">
        <v>19742</v>
      </c>
      <c r="AX1510" s="93" t="s">
        <v>19742</v>
      </c>
      <c r="AY1510" s="87"/>
      <c r="AZ1510" s="93" t="s">
        <v>22668</v>
      </c>
      <c r="BA1510" s="93" t="s">
        <v>22668</v>
      </c>
      <c r="BB1510" s="93" t="s">
        <v>22668</v>
      </c>
      <c r="BC1510" s="93" t="s">
        <v>19742</v>
      </c>
      <c r="BD1510" s="87">
        <v>3024421631</v>
      </c>
      <c r="BE1510" s="87"/>
      <c r="BF1510" s="87"/>
      <c r="BG1510" s="87"/>
      <c r="BH1510" s="87"/>
      <c r="BI1510" s="87"/>
    </row>
    <row r="1511" spans="1:61" x14ac:dyDescent="0.25">
      <c r="A1511" s="63" t="s">
        <v>751</v>
      </c>
      <c r="B1511" s="63" t="s">
        <v>751</v>
      </c>
      <c r="C1511" s="64"/>
      <c r="D1511" s="65"/>
      <c r="E1511" s="66"/>
      <c r="F1511" s="67"/>
      <c r="G1511" s="64"/>
      <c r="H1511" s="68"/>
      <c r="I1511" s="69"/>
      <c r="J1511" s="69"/>
      <c r="K1511" s="32"/>
      <c r="L1511" s="76">
        <v>1511</v>
      </c>
      <c r="M1511" s="76"/>
      <c r="N1511" s="71"/>
      <c r="O1511" s="87" t="s">
        <v>179</v>
      </c>
      <c r="P1511" s="90">
        <v>45139.24113425926</v>
      </c>
      <c r="Q1511" s="87" t="s">
        <v>3309</v>
      </c>
      <c r="R1511" s="87">
        <v>0</v>
      </c>
      <c r="S1511" s="87">
        <v>0</v>
      </c>
      <c r="T1511" s="87">
        <v>0</v>
      </c>
      <c r="U1511" s="87">
        <v>0</v>
      </c>
      <c r="V1511" s="87">
        <v>103</v>
      </c>
      <c r="W1511" s="93" t="s">
        <v>6890</v>
      </c>
      <c r="X1511" s="87"/>
      <c r="Y1511" s="87"/>
      <c r="Z1511" s="87"/>
      <c r="AA1511" s="87" t="s">
        <v>9596</v>
      </c>
      <c r="AB1511" s="87" t="s">
        <v>11447</v>
      </c>
      <c r="AC1511" s="93" t="s">
        <v>11459</v>
      </c>
      <c r="AD1511" s="87" t="s">
        <v>11523</v>
      </c>
      <c r="AE1511" s="92" t="str">
        <f>HYPERLINK("https://twitter.com/cpcibarra1/status/1686252224664772608")</f>
        <v>https://twitter.com/cpcibarra1/status/1686252224664772608</v>
      </c>
      <c r="AF1511" s="90">
        <v>45139.24113425926</v>
      </c>
      <c r="AG1511" s="99">
        <v>45139</v>
      </c>
      <c r="AH1511" s="93" t="s">
        <v>12917</v>
      </c>
      <c r="AI1511" s="87" t="b">
        <v>0</v>
      </c>
      <c r="AJ1511" s="87"/>
      <c r="AK1511" s="87"/>
      <c r="AL1511" s="87"/>
      <c r="AM1511" s="87"/>
      <c r="AN1511" s="87"/>
      <c r="AO1511" s="87"/>
      <c r="AP1511" s="87"/>
      <c r="AQ1511" s="87" t="s">
        <v>16409</v>
      </c>
      <c r="AR1511" s="87">
        <v>75475</v>
      </c>
      <c r="AS1511" s="87"/>
      <c r="AT1511" s="87"/>
      <c r="AU1511" s="87"/>
      <c r="AV1511" s="92" t="str">
        <f>HYPERLINK("https://pbs.twimg.com/ext_tw_video_thumb/1686252137272238080/pu/img/5Mt1t9oyIyjkOg4z.jpg")</f>
        <v>https://pbs.twimg.com/ext_tw_video_thumb/1686252137272238080/pu/img/5Mt1t9oyIyjkOg4z.jpg</v>
      </c>
      <c r="AW1511" s="93" t="s">
        <v>19743</v>
      </c>
      <c r="AX1511" s="93" t="s">
        <v>19743</v>
      </c>
      <c r="AY1511" s="87"/>
      <c r="AZ1511" s="93" t="s">
        <v>22668</v>
      </c>
      <c r="BA1511" s="93" t="s">
        <v>22668</v>
      </c>
      <c r="BB1511" s="93" t="s">
        <v>22668</v>
      </c>
      <c r="BC1511" s="93" t="s">
        <v>19743</v>
      </c>
      <c r="BD1511" s="87">
        <v>3024421631</v>
      </c>
      <c r="BE1511" s="87"/>
      <c r="BF1511" s="87"/>
      <c r="BG1511" s="87"/>
      <c r="BH1511" s="87"/>
      <c r="BI1511" s="87"/>
    </row>
    <row r="1512" spans="1:61" x14ac:dyDescent="0.25">
      <c r="A1512" s="63" t="s">
        <v>751</v>
      </c>
      <c r="B1512" s="63" t="s">
        <v>751</v>
      </c>
      <c r="C1512" s="64"/>
      <c r="D1512" s="65"/>
      <c r="E1512" s="66"/>
      <c r="F1512" s="67"/>
      <c r="G1512" s="64"/>
      <c r="H1512" s="68"/>
      <c r="I1512" s="69"/>
      <c r="J1512" s="69"/>
      <c r="K1512" s="32"/>
      <c r="L1512" s="76">
        <v>1512</v>
      </c>
      <c r="M1512" s="76"/>
      <c r="N1512" s="71"/>
      <c r="O1512" s="87" t="s">
        <v>179</v>
      </c>
      <c r="P1512" s="90">
        <v>45161.067962962959</v>
      </c>
      <c r="Q1512" s="87" t="s">
        <v>3310</v>
      </c>
      <c r="R1512" s="87">
        <v>0</v>
      </c>
      <c r="S1512" s="87">
        <v>0</v>
      </c>
      <c r="T1512" s="87">
        <v>0</v>
      </c>
      <c r="U1512" s="87">
        <v>0</v>
      </c>
      <c r="V1512" s="87">
        <v>20</v>
      </c>
      <c r="W1512" s="93" t="s">
        <v>6890</v>
      </c>
      <c r="X1512" s="87"/>
      <c r="Y1512" s="87"/>
      <c r="Z1512" s="87"/>
      <c r="AA1512" s="87" t="s">
        <v>9597</v>
      </c>
      <c r="AB1512" s="87" t="s">
        <v>11447</v>
      </c>
      <c r="AC1512" s="93" t="s">
        <v>11459</v>
      </c>
      <c r="AD1512" s="87" t="s">
        <v>11523</v>
      </c>
      <c r="AE1512" s="92" t="str">
        <f>HYPERLINK("https://twitter.com/cpcibarra1/status/1694162002770641218")</f>
        <v>https://twitter.com/cpcibarra1/status/1694162002770641218</v>
      </c>
      <c r="AF1512" s="90">
        <v>45161.067962962959</v>
      </c>
      <c r="AG1512" s="99">
        <v>45161</v>
      </c>
      <c r="AH1512" s="93" t="s">
        <v>12918</v>
      </c>
      <c r="AI1512" s="87" t="b">
        <v>0</v>
      </c>
      <c r="AJ1512" s="87"/>
      <c r="AK1512" s="87"/>
      <c r="AL1512" s="87"/>
      <c r="AM1512" s="87"/>
      <c r="AN1512" s="87"/>
      <c r="AO1512" s="87"/>
      <c r="AP1512" s="87"/>
      <c r="AQ1512" s="87" t="s">
        <v>16410</v>
      </c>
      <c r="AR1512" s="87">
        <v>88881</v>
      </c>
      <c r="AS1512" s="87"/>
      <c r="AT1512" s="87"/>
      <c r="AU1512" s="87"/>
      <c r="AV1512" s="92" t="str">
        <f>HYPERLINK("https://pbs.twimg.com/ext_tw_video_thumb/1694157999219322880/pu/img/cH29lZG5ZnUWWILq.jpg")</f>
        <v>https://pbs.twimg.com/ext_tw_video_thumb/1694157999219322880/pu/img/cH29lZG5ZnUWWILq.jpg</v>
      </c>
      <c r="AW1512" s="93" t="s">
        <v>19744</v>
      </c>
      <c r="AX1512" s="93" t="s">
        <v>19744</v>
      </c>
      <c r="AY1512" s="87"/>
      <c r="AZ1512" s="93" t="s">
        <v>22668</v>
      </c>
      <c r="BA1512" s="93" t="s">
        <v>22668</v>
      </c>
      <c r="BB1512" s="93" t="s">
        <v>22668</v>
      </c>
      <c r="BC1512" s="93" t="s">
        <v>19744</v>
      </c>
      <c r="BD1512" s="87">
        <v>3024421631</v>
      </c>
      <c r="BE1512" s="87"/>
      <c r="BF1512" s="87"/>
      <c r="BG1512" s="87"/>
      <c r="BH1512" s="87"/>
      <c r="BI1512" s="87"/>
    </row>
    <row r="1513" spans="1:61" x14ac:dyDescent="0.25">
      <c r="A1513" s="63" t="s">
        <v>751</v>
      </c>
      <c r="B1513" s="63" t="s">
        <v>751</v>
      </c>
      <c r="C1513" s="64"/>
      <c r="D1513" s="65"/>
      <c r="E1513" s="66"/>
      <c r="F1513" s="67"/>
      <c r="G1513" s="64"/>
      <c r="H1513" s="68"/>
      <c r="I1513" s="69"/>
      <c r="J1513" s="69"/>
      <c r="K1513" s="32"/>
      <c r="L1513" s="76">
        <v>1513</v>
      </c>
      <c r="M1513" s="76"/>
      <c r="N1513" s="71"/>
      <c r="O1513" s="87" t="s">
        <v>179</v>
      </c>
      <c r="P1513" s="90">
        <v>45134.119363425925</v>
      </c>
      <c r="Q1513" s="87" t="s">
        <v>3311</v>
      </c>
      <c r="R1513" s="87">
        <v>0</v>
      </c>
      <c r="S1513" s="87">
        <v>0</v>
      </c>
      <c r="T1513" s="87">
        <v>0</v>
      </c>
      <c r="U1513" s="87">
        <v>0</v>
      </c>
      <c r="V1513" s="87">
        <v>87</v>
      </c>
      <c r="W1513" s="93" t="s">
        <v>6890</v>
      </c>
      <c r="X1513" s="87"/>
      <c r="Y1513" s="87"/>
      <c r="Z1513" s="87"/>
      <c r="AA1513" s="87" t="s">
        <v>9598</v>
      </c>
      <c r="AB1513" s="87" t="s">
        <v>11447</v>
      </c>
      <c r="AC1513" s="93" t="s">
        <v>11459</v>
      </c>
      <c r="AD1513" s="87" t="s">
        <v>11523</v>
      </c>
      <c r="AE1513" s="92" t="str">
        <f>HYPERLINK("https://twitter.com/cpcibarra1/status/1684396160474288128")</f>
        <v>https://twitter.com/cpcibarra1/status/1684396160474288128</v>
      </c>
      <c r="AF1513" s="90">
        <v>45134.119363425925</v>
      </c>
      <c r="AG1513" s="99">
        <v>45134</v>
      </c>
      <c r="AH1513" s="93" t="s">
        <v>12919</v>
      </c>
      <c r="AI1513" s="87" t="b">
        <v>0</v>
      </c>
      <c r="AJ1513" s="87"/>
      <c r="AK1513" s="87"/>
      <c r="AL1513" s="87"/>
      <c r="AM1513" s="87"/>
      <c r="AN1513" s="87"/>
      <c r="AO1513" s="87"/>
      <c r="AP1513" s="87"/>
      <c r="AQ1513" s="87" t="s">
        <v>16411</v>
      </c>
      <c r="AR1513" s="87">
        <v>76251</v>
      </c>
      <c r="AS1513" s="87"/>
      <c r="AT1513" s="87"/>
      <c r="AU1513" s="87"/>
      <c r="AV1513" s="92" t="str">
        <f>HYPERLINK("https://pbs.twimg.com/ext_tw_video_thumb/1684396089129197569/pu/img/DKm4AZDSCKz6O-h2.jpg")</f>
        <v>https://pbs.twimg.com/ext_tw_video_thumb/1684396089129197569/pu/img/DKm4AZDSCKz6O-h2.jpg</v>
      </c>
      <c r="AW1513" s="93" t="s">
        <v>19745</v>
      </c>
      <c r="AX1513" s="93" t="s">
        <v>19745</v>
      </c>
      <c r="AY1513" s="87"/>
      <c r="AZ1513" s="93" t="s">
        <v>22668</v>
      </c>
      <c r="BA1513" s="93" t="s">
        <v>22668</v>
      </c>
      <c r="BB1513" s="93" t="s">
        <v>22668</v>
      </c>
      <c r="BC1513" s="93" t="s">
        <v>19745</v>
      </c>
      <c r="BD1513" s="87">
        <v>3024421631</v>
      </c>
      <c r="BE1513" s="87"/>
      <c r="BF1513" s="87"/>
      <c r="BG1513" s="87"/>
      <c r="BH1513" s="87"/>
      <c r="BI1513" s="87"/>
    </row>
    <row r="1514" spans="1:61" x14ac:dyDescent="0.25">
      <c r="A1514" s="63" t="s">
        <v>751</v>
      </c>
      <c r="B1514" s="63" t="s">
        <v>751</v>
      </c>
      <c r="C1514" s="64"/>
      <c r="D1514" s="65"/>
      <c r="E1514" s="66"/>
      <c r="F1514" s="67"/>
      <c r="G1514" s="64"/>
      <c r="H1514" s="68"/>
      <c r="I1514" s="69"/>
      <c r="J1514" s="69"/>
      <c r="K1514" s="32"/>
      <c r="L1514" s="76">
        <v>1514</v>
      </c>
      <c r="M1514" s="76"/>
      <c r="N1514" s="71"/>
      <c r="O1514" s="87" t="s">
        <v>179</v>
      </c>
      <c r="P1514" s="90">
        <v>45133.12699074074</v>
      </c>
      <c r="Q1514" s="87" t="s">
        <v>3312</v>
      </c>
      <c r="R1514" s="87">
        <v>0</v>
      </c>
      <c r="S1514" s="87">
        <v>0</v>
      </c>
      <c r="T1514" s="87">
        <v>0</v>
      </c>
      <c r="U1514" s="87">
        <v>0</v>
      </c>
      <c r="V1514" s="87">
        <v>22</v>
      </c>
      <c r="W1514" s="93" t="s">
        <v>6890</v>
      </c>
      <c r="X1514" s="87"/>
      <c r="Y1514" s="87"/>
      <c r="Z1514" s="87"/>
      <c r="AA1514" s="87" t="s">
        <v>9599</v>
      </c>
      <c r="AB1514" s="87" t="s">
        <v>11447</v>
      </c>
      <c r="AC1514" s="93" t="s">
        <v>11459</v>
      </c>
      <c r="AD1514" s="87" t="s">
        <v>11523</v>
      </c>
      <c r="AE1514" s="92" t="str">
        <f>HYPERLINK("https://twitter.com/cpcibarra1/status/1684036534037794816")</f>
        <v>https://twitter.com/cpcibarra1/status/1684036534037794816</v>
      </c>
      <c r="AF1514" s="90">
        <v>45133.12699074074</v>
      </c>
      <c r="AG1514" s="99">
        <v>45133</v>
      </c>
      <c r="AH1514" s="93" t="s">
        <v>12920</v>
      </c>
      <c r="AI1514" s="87" t="b">
        <v>0</v>
      </c>
      <c r="AJ1514" s="87"/>
      <c r="AK1514" s="87"/>
      <c r="AL1514" s="87"/>
      <c r="AM1514" s="87"/>
      <c r="AN1514" s="87"/>
      <c r="AO1514" s="87"/>
      <c r="AP1514" s="87"/>
      <c r="AQ1514" s="87" t="s">
        <v>16412</v>
      </c>
      <c r="AR1514" s="87">
        <v>68504</v>
      </c>
      <c r="AS1514" s="87"/>
      <c r="AT1514" s="87"/>
      <c r="AU1514" s="87"/>
      <c r="AV1514" s="92" t="str">
        <f>HYPERLINK("https://pbs.twimg.com/ext_tw_video_thumb/1684036452831891457/pu/img/rpvdtpAN9eKT-KWs.jpg")</f>
        <v>https://pbs.twimg.com/ext_tw_video_thumb/1684036452831891457/pu/img/rpvdtpAN9eKT-KWs.jpg</v>
      </c>
      <c r="AW1514" s="93" t="s">
        <v>19746</v>
      </c>
      <c r="AX1514" s="93" t="s">
        <v>19746</v>
      </c>
      <c r="AY1514" s="87"/>
      <c r="AZ1514" s="93" t="s">
        <v>22668</v>
      </c>
      <c r="BA1514" s="93" t="s">
        <v>22668</v>
      </c>
      <c r="BB1514" s="93" t="s">
        <v>22668</v>
      </c>
      <c r="BC1514" s="93" t="s">
        <v>19746</v>
      </c>
      <c r="BD1514" s="87">
        <v>3024421631</v>
      </c>
      <c r="BE1514" s="87"/>
      <c r="BF1514" s="87"/>
      <c r="BG1514" s="87"/>
      <c r="BH1514" s="87"/>
      <c r="BI1514" s="87"/>
    </row>
    <row r="1515" spans="1:61" x14ac:dyDescent="0.25">
      <c r="A1515" s="63" t="s">
        <v>752</v>
      </c>
      <c r="B1515" s="63" t="s">
        <v>752</v>
      </c>
      <c r="C1515" s="64"/>
      <c r="D1515" s="65"/>
      <c r="E1515" s="66"/>
      <c r="F1515" s="67"/>
      <c r="G1515" s="64"/>
      <c r="H1515" s="68"/>
      <c r="I1515" s="69"/>
      <c r="J1515" s="69"/>
      <c r="K1515" s="32"/>
      <c r="L1515" s="76">
        <v>1515</v>
      </c>
      <c r="M1515" s="76"/>
      <c r="N1515" s="71"/>
      <c r="O1515" s="87" t="s">
        <v>179</v>
      </c>
      <c r="P1515" s="90">
        <v>45112.538645833331</v>
      </c>
      <c r="Q1515" s="87" t="s">
        <v>3313</v>
      </c>
      <c r="R1515" s="87">
        <v>0</v>
      </c>
      <c r="S1515" s="87">
        <v>0</v>
      </c>
      <c r="T1515" s="87">
        <v>0</v>
      </c>
      <c r="U1515" s="87">
        <v>0</v>
      </c>
      <c r="V1515" s="87">
        <v>5</v>
      </c>
      <c r="W1515" s="93" t="s">
        <v>6891</v>
      </c>
      <c r="X1515" s="87"/>
      <c r="Y1515" s="87"/>
      <c r="Z1515" s="87"/>
      <c r="AA1515" s="87" t="s">
        <v>9600</v>
      </c>
      <c r="AB1515" s="87" t="s">
        <v>11447</v>
      </c>
      <c r="AC1515" s="93" t="s">
        <v>11462</v>
      </c>
      <c r="AD1515" s="87" t="s">
        <v>11520</v>
      </c>
      <c r="AE1515" s="92" t="str">
        <f>HYPERLINK("https://twitter.com/fer_scatolin/status/1676575567511015424")</f>
        <v>https://twitter.com/fer_scatolin/status/1676575567511015424</v>
      </c>
      <c r="AF1515" s="90">
        <v>45112.538645833331</v>
      </c>
      <c r="AG1515" s="99">
        <v>45112</v>
      </c>
      <c r="AH1515" s="93" t="s">
        <v>12921</v>
      </c>
      <c r="AI1515" s="87" t="b">
        <v>0</v>
      </c>
      <c r="AJ1515" s="87"/>
      <c r="AK1515" s="87"/>
      <c r="AL1515" s="87"/>
      <c r="AM1515" s="87"/>
      <c r="AN1515" s="87"/>
      <c r="AO1515" s="87"/>
      <c r="AP1515" s="87"/>
      <c r="AQ1515" s="87" t="s">
        <v>16413</v>
      </c>
      <c r="AR1515" s="87">
        <v>83200</v>
      </c>
      <c r="AS1515" s="87"/>
      <c r="AT1515" s="87"/>
      <c r="AU1515" s="87"/>
      <c r="AV1515" s="92" t="str">
        <f>HYPERLINK("https://pbs.twimg.com/ext_tw_video_thumb/1676575447285366784/pu/img/vSWquQ7D0K19STp8.jpg")</f>
        <v>https://pbs.twimg.com/ext_tw_video_thumb/1676575447285366784/pu/img/vSWquQ7D0K19STp8.jpg</v>
      </c>
      <c r="AW1515" s="93" t="s">
        <v>19747</v>
      </c>
      <c r="AX1515" s="93" t="s">
        <v>19747</v>
      </c>
      <c r="AY1515" s="87"/>
      <c r="AZ1515" s="93" t="s">
        <v>22668</v>
      </c>
      <c r="BA1515" s="93" t="s">
        <v>22668</v>
      </c>
      <c r="BB1515" s="93" t="s">
        <v>22668</v>
      </c>
      <c r="BC1515" s="93" t="s">
        <v>19747</v>
      </c>
      <c r="BD1515" s="93" t="s">
        <v>23095</v>
      </c>
      <c r="BE1515" s="87"/>
      <c r="BF1515" s="87"/>
      <c r="BG1515" s="87"/>
      <c r="BH1515" s="87"/>
      <c r="BI1515" s="87"/>
    </row>
    <row r="1516" spans="1:61" x14ac:dyDescent="0.25">
      <c r="A1516" s="63" t="s">
        <v>752</v>
      </c>
      <c r="B1516" s="63" t="s">
        <v>752</v>
      </c>
      <c r="C1516" s="64"/>
      <c r="D1516" s="65"/>
      <c r="E1516" s="66"/>
      <c r="F1516" s="67"/>
      <c r="G1516" s="64"/>
      <c r="H1516" s="68"/>
      <c r="I1516" s="69"/>
      <c r="J1516" s="69"/>
      <c r="K1516" s="32"/>
      <c r="L1516" s="76">
        <v>1516</v>
      </c>
      <c r="M1516" s="76"/>
      <c r="N1516" s="71"/>
      <c r="O1516" s="87" t="s">
        <v>179</v>
      </c>
      <c r="P1516" s="90">
        <v>45135.638449074075</v>
      </c>
      <c r="Q1516" s="87" t="s">
        <v>3314</v>
      </c>
      <c r="R1516" s="87">
        <v>0</v>
      </c>
      <c r="S1516" s="87">
        <v>0</v>
      </c>
      <c r="T1516" s="87">
        <v>0</v>
      </c>
      <c r="U1516" s="87">
        <v>0</v>
      </c>
      <c r="V1516" s="87">
        <v>43</v>
      </c>
      <c r="W1516" s="93" t="s">
        <v>6892</v>
      </c>
      <c r="X1516" s="87"/>
      <c r="Y1516" s="87"/>
      <c r="Z1516" s="87"/>
      <c r="AA1516" s="87" t="s">
        <v>9601</v>
      </c>
      <c r="AB1516" s="87" t="s">
        <v>11447</v>
      </c>
      <c r="AC1516" s="93" t="s">
        <v>11462</v>
      </c>
      <c r="AD1516" s="87" t="s">
        <v>11519</v>
      </c>
      <c r="AE1516" s="92" t="str">
        <f>HYPERLINK("https://twitter.com/fer_scatolin/status/1684946657719259137")</f>
        <v>https://twitter.com/fer_scatolin/status/1684946657719259137</v>
      </c>
      <c r="AF1516" s="90">
        <v>45135.638449074075</v>
      </c>
      <c r="AG1516" s="99">
        <v>45135</v>
      </c>
      <c r="AH1516" s="93" t="s">
        <v>12922</v>
      </c>
      <c r="AI1516" s="87" t="b">
        <v>0</v>
      </c>
      <c r="AJ1516" s="87"/>
      <c r="AK1516" s="87"/>
      <c r="AL1516" s="87"/>
      <c r="AM1516" s="87"/>
      <c r="AN1516" s="87"/>
      <c r="AO1516" s="87"/>
      <c r="AP1516" s="87"/>
      <c r="AQ1516" s="87" t="s">
        <v>16414</v>
      </c>
      <c r="AR1516" s="87">
        <v>59800</v>
      </c>
      <c r="AS1516" s="87"/>
      <c r="AT1516" s="87"/>
      <c r="AU1516" s="87"/>
      <c r="AV1516" s="92" t="str">
        <f>HYPERLINK("https://pbs.twimg.com/ext_tw_video_thumb/1684946602232811520/pu/img/_HVhN36g58T5REtv.jpg")</f>
        <v>https://pbs.twimg.com/ext_tw_video_thumb/1684946602232811520/pu/img/_HVhN36g58T5REtv.jpg</v>
      </c>
      <c r="AW1516" s="93" t="s">
        <v>19748</v>
      </c>
      <c r="AX1516" s="93" t="s">
        <v>19748</v>
      </c>
      <c r="AY1516" s="87"/>
      <c r="AZ1516" s="93" t="s">
        <v>22668</v>
      </c>
      <c r="BA1516" s="93" t="s">
        <v>22668</v>
      </c>
      <c r="BB1516" s="93" t="s">
        <v>22668</v>
      </c>
      <c r="BC1516" s="93" t="s">
        <v>19748</v>
      </c>
      <c r="BD1516" s="93" t="s">
        <v>23095</v>
      </c>
      <c r="BE1516" s="87"/>
      <c r="BF1516" s="87"/>
      <c r="BG1516" s="87"/>
      <c r="BH1516" s="87"/>
      <c r="BI1516" s="87"/>
    </row>
    <row r="1517" spans="1:61" x14ac:dyDescent="0.25">
      <c r="A1517" s="63" t="s">
        <v>753</v>
      </c>
      <c r="B1517" s="63" t="s">
        <v>753</v>
      </c>
      <c r="C1517" s="64"/>
      <c r="D1517" s="65"/>
      <c r="E1517" s="66"/>
      <c r="F1517" s="67"/>
      <c r="G1517" s="64"/>
      <c r="H1517" s="68"/>
      <c r="I1517" s="69"/>
      <c r="J1517" s="69"/>
      <c r="K1517" s="32"/>
      <c r="L1517" s="76">
        <v>1517</v>
      </c>
      <c r="M1517" s="76"/>
      <c r="N1517" s="71"/>
      <c r="O1517" s="87" t="s">
        <v>179</v>
      </c>
      <c r="P1517" s="90">
        <v>45119.604409722226</v>
      </c>
      <c r="Q1517" s="87" t="s">
        <v>3315</v>
      </c>
      <c r="R1517" s="87">
        <v>0</v>
      </c>
      <c r="S1517" s="87">
        <v>1</v>
      </c>
      <c r="T1517" s="87">
        <v>0</v>
      </c>
      <c r="U1517" s="87">
        <v>0</v>
      </c>
      <c r="V1517" s="87">
        <v>14</v>
      </c>
      <c r="W1517" s="93" t="s">
        <v>6893</v>
      </c>
      <c r="X1517" s="92" t="str">
        <f>HYPERLINK("https://www.tecnicageracao.com.br/blog/empreendedorismo-feminino-mulheres-que-conquistam-mercados/")</f>
        <v>https://www.tecnicageracao.com.br/blog/empreendedorismo-feminino-mulheres-que-conquistam-mercados/</v>
      </c>
      <c r="Y1517" s="87" t="s">
        <v>8373</v>
      </c>
      <c r="Z1517" s="87"/>
      <c r="AA1517" s="87" t="s">
        <v>9602</v>
      </c>
      <c r="AB1517" s="87" t="s">
        <v>11448</v>
      </c>
      <c r="AC1517" s="93" t="s">
        <v>11462</v>
      </c>
      <c r="AD1517" s="87" t="s">
        <v>11519</v>
      </c>
      <c r="AE1517" s="92" t="str">
        <f>HYPERLINK("https://twitter.com/escolatgeracao/status/1679136116933263360")</f>
        <v>https://twitter.com/escolatgeracao/status/1679136116933263360</v>
      </c>
      <c r="AF1517" s="90">
        <v>45119.604409722226</v>
      </c>
      <c r="AG1517" s="99">
        <v>45119</v>
      </c>
      <c r="AH1517" s="93" t="s">
        <v>12923</v>
      </c>
      <c r="AI1517" s="87" t="b">
        <v>0</v>
      </c>
      <c r="AJ1517" s="87"/>
      <c r="AK1517" s="87"/>
      <c r="AL1517" s="87"/>
      <c r="AM1517" s="87"/>
      <c r="AN1517" s="87"/>
      <c r="AO1517" s="87"/>
      <c r="AP1517" s="87"/>
      <c r="AQ1517" s="87" t="s">
        <v>16415</v>
      </c>
      <c r="AR1517" s="87"/>
      <c r="AS1517" s="87"/>
      <c r="AT1517" s="87"/>
      <c r="AU1517" s="87"/>
      <c r="AV1517" s="92" t="str">
        <f>HYPERLINK("https://pbs.twimg.com/media/F019ZiIWwAYpjV9.jpg")</f>
        <v>https://pbs.twimg.com/media/F019ZiIWwAYpjV9.jpg</v>
      </c>
      <c r="AW1517" s="93" t="s">
        <v>19749</v>
      </c>
      <c r="AX1517" s="93" t="s">
        <v>19749</v>
      </c>
      <c r="AY1517" s="87"/>
      <c r="AZ1517" s="93" t="s">
        <v>22668</v>
      </c>
      <c r="BA1517" s="93" t="s">
        <v>22668</v>
      </c>
      <c r="BB1517" s="93" t="s">
        <v>22668</v>
      </c>
      <c r="BC1517" s="93" t="s">
        <v>19749</v>
      </c>
      <c r="BD1517" s="93" t="s">
        <v>23096</v>
      </c>
      <c r="BE1517" s="87"/>
      <c r="BF1517" s="87"/>
      <c r="BG1517" s="87"/>
      <c r="BH1517" s="87"/>
      <c r="BI1517" s="87"/>
    </row>
    <row r="1518" spans="1:61" x14ac:dyDescent="0.25">
      <c r="A1518" s="63" t="s">
        <v>753</v>
      </c>
      <c r="B1518" s="63" t="s">
        <v>753</v>
      </c>
      <c r="C1518" s="64"/>
      <c r="D1518" s="65"/>
      <c r="E1518" s="66"/>
      <c r="F1518" s="67"/>
      <c r="G1518" s="64"/>
      <c r="H1518" s="68"/>
      <c r="I1518" s="69"/>
      <c r="J1518" s="69"/>
      <c r="K1518" s="32"/>
      <c r="L1518" s="76">
        <v>1518</v>
      </c>
      <c r="M1518" s="76"/>
      <c r="N1518" s="71"/>
      <c r="O1518" s="87" t="s">
        <v>179</v>
      </c>
      <c r="P1518" s="90">
        <v>45138.583599537036</v>
      </c>
      <c r="Q1518" s="87" t="s">
        <v>3316</v>
      </c>
      <c r="R1518" s="87">
        <v>0</v>
      </c>
      <c r="S1518" s="87">
        <v>0</v>
      </c>
      <c r="T1518" s="87">
        <v>0</v>
      </c>
      <c r="U1518" s="87">
        <v>0</v>
      </c>
      <c r="V1518" s="87">
        <v>13</v>
      </c>
      <c r="W1518" s="93" t="s">
        <v>6893</v>
      </c>
      <c r="X1518" s="92" t="str">
        <f>HYPERLINK("https://www.tecnicageracao.com.br/blog/empreendedorismo-feminino-mulheres-que-conquistam-mercados/")</f>
        <v>https://www.tecnicageracao.com.br/blog/empreendedorismo-feminino-mulheres-que-conquistam-mercados/</v>
      </c>
      <c r="Y1518" s="87" t="s">
        <v>8373</v>
      </c>
      <c r="Z1518" s="87"/>
      <c r="AA1518" s="87" t="s">
        <v>9603</v>
      </c>
      <c r="AB1518" s="87" t="s">
        <v>11448</v>
      </c>
      <c r="AC1518" s="93" t="s">
        <v>11462</v>
      </c>
      <c r="AD1518" s="87" t="s">
        <v>11519</v>
      </c>
      <c r="AE1518" s="92" t="str">
        <f>HYPERLINK("https://twitter.com/escolatgeracao/status/1686013944429699074")</f>
        <v>https://twitter.com/escolatgeracao/status/1686013944429699074</v>
      </c>
      <c r="AF1518" s="90">
        <v>45138.583599537036</v>
      </c>
      <c r="AG1518" s="99">
        <v>45138</v>
      </c>
      <c r="AH1518" s="93" t="s">
        <v>12924</v>
      </c>
      <c r="AI1518" s="87" t="b">
        <v>0</v>
      </c>
      <c r="AJ1518" s="87"/>
      <c r="AK1518" s="87"/>
      <c r="AL1518" s="87"/>
      <c r="AM1518" s="87"/>
      <c r="AN1518" s="87"/>
      <c r="AO1518" s="87"/>
      <c r="AP1518" s="87"/>
      <c r="AQ1518" s="87" t="s">
        <v>16416</v>
      </c>
      <c r="AR1518" s="87"/>
      <c r="AS1518" s="87"/>
      <c r="AT1518" s="87"/>
      <c r="AU1518" s="87"/>
      <c r="AV1518" s="92" t="str">
        <f>HYPERLINK("https://pbs.twimg.com/media/F2Xsv0yWcAIjF_H.jpg")</f>
        <v>https://pbs.twimg.com/media/F2Xsv0yWcAIjF_H.jpg</v>
      </c>
      <c r="AW1518" s="93" t="s">
        <v>19750</v>
      </c>
      <c r="AX1518" s="93" t="s">
        <v>19750</v>
      </c>
      <c r="AY1518" s="87"/>
      <c r="AZ1518" s="93" t="s">
        <v>22668</v>
      </c>
      <c r="BA1518" s="93" t="s">
        <v>22668</v>
      </c>
      <c r="BB1518" s="93" t="s">
        <v>22668</v>
      </c>
      <c r="BC1518" s="93" t="s">
        <v>19750</v>
      </c>
      <c r="BD1518" s="93" t="s">
        <v>23096</v>
      </c>
      <c r="BE1518" s="87"/>
      <c r="BF1518" s="87"/>
      <c r="BG1518" s="87"/>
      <c r="BH1518" s="87"/>
      <c r="BI1518" s="87"/>
    </row>
    <row r="1519" spans="1:61" x14ac:dyDescent="0.25">
      <c r="A1519" s="63" t="s">
        <v>753</v>
      </c>
      <c r="B1519" s="63" t="s">
        <v>753</v>
      </c>
      <c r="C1519" s="64"/>
      <c r="D1519" s="65"/>
      <c r="E1519" s="66"/>
      <c r="F1519" s="67"/>
      <c r="G1519" s="64"/>
      <c r="H1519" s="68"/>
      <c r="I1519" s="69"/>
      <c r="J1519" s="69"/>
      <c r="K1519" s="32"/>
      <c r="L1519" s="76">
        <v>1519</v>
      </c>
      <c r="M1519" s="76"/>
      <c r="N1519" s="71"/>
      <c r="O1519" s="87" t="s">
        <v>179</v>
      </c>
      <c r="P1519" s="90">
        <v>45149.708634259259</v>
      </c>
      <c r="Q1519" s="87" t="s">
        <v>3317</v>
      </c>
      <c r="R1519" s="87">
        <v>0</v>
      </c>
      <c r="S1519" s="87">
        <v>0</v>
      </c>
      <c r="T1519" s="87">
        <v>0</v>
      </c>
      <c r="U1519" s="87">
        <v>0</v>
      </c>
      <c r="V1519" s="87">
        <v>7</v>
      </c>
      <c r="W1519" s="93" t="s">
        <v>6894</v>
      </c>
      <c r="X1519" s="92" t="str">
        <f>HYPERLINK("https://www.tecnicageracao.com.br/blog/empreendedorismo-o-que-e-e-como-um-curso-tecnico-pode-ajudar-voce-a-empreender/")</f>
        <v>https://www.tecnicageracao.com.br/blog/empreendedorismo-o-que-e-e-como-um-curso-tecnico-pode-ajudar-voce-a-empreender/</v>
      </c>
      <c r="Y1519" s="87" t="s">
        <v>8373</v>
      </c>
      <c r="Z1519" s="87"/>
      <c r="AA1519" s="87" t="s">
        <v>9604</v>
      </c>
      <c r="AB1519" s="87" t="s">
        <v>11448</v>
      </c>
      <c r="AC1519" s="93" t="s">
        <v>11462</v>
      </c>
      <c r="AD1519" s="87" t="s">
        <v>11519</v>
      </c>
      <c r="AE1519" s="92" t="str">
        <f>HYPERLINK("https://twitter.com/escolatgeracao/status/1690045521442877442")</f>
        <v>https://twitter.com/escolatgeracao/status/1690045521442877442</v>
      </c>
      <c r="AF1519" s="90">
        <v>45149.708634259259</v>
      </c>
      <c r="AG1519" s="99">
        <v>45149</v>
      </c>
      <c r="AH1519" s="93" t="s">
        <v>12925</v>
      </c>
      <c r="AI1519" s="87" t="b">
        <v>0</v>
      </c>
      <c r="AJ1519" s="87"/>
      <c r="AK1519" s="87"/>
      <c r="AL1519" s="87"/>
      <c r="AM1519" s="87"/>
      <c r="AN1519" s="87"/>
      <c r="AO1519" s="87"/>
      <c r="AP1519" s="87"/>
      <c r="AQ1519" s="87" t="s">
        <v>16417</v>
      </c>
      <c r="AR1519" s="87"/>
      <c r="AS1519" s="87"/>
      <c r="AT1519" s="87"/>
      <c r="AU1519" s="87"/>
      <c r="AV1519" s="92" t="str">
        <f>HYPERLINK("https://pbs.twimg.com/media/F3Q_cjyXsAQRPQ8.jpg")</f>
        <v>https://pbs.twimg.com/media/F3Q_cjyXsAQRPQ8.jpg</v>
      </c>
      <c r="AW1519" s="93" t="s">
        <v>19751</v>
      </c>
      <c r="AX1519" s="93" t="s">
        <v>19751</v>
      </c>
      <c r="AY1519" s="87"/>
      <c r="AZ1519" s="93" t="s">
        <v>22668</v>
      </c>
      <c r="BA1519" s="93" t="s">
        <v>22668</v>
      </c>
      <c r="BB1519" s="93" t="s">
        <v>22668</v>
      </c>
      <c r="BC1519" s="93" t="s">
        <v>19751</v>
      </c>
      <c r="BD1519" s="93" t="s">
        <v>23096</v>
      </c>
      <c r="BE1519" s="87"/>
      <c r="BF1519" s="87"/>
      <c r="BG1519" s="87"/>
      <c r="BH1519" s="87"/>
      <c r="BI1519" s="87"/>
    </row>
    <row r="1520" spans="1:61" x14ac:dyDescent="0.25">
      <c r="A1520" s="63" t="s">
        <v>754</v>
      </c>
      <c r="B1520" s="63" t="s">
        <v>754</v>
      </c>
      <c r="C1520" s="64"/>
      <c r="D1520" s="65"/>
      <c r="E1520" s="66"/>
      <c r="F1520" s="67"/>
      <c r="G1520" s="64"/>
      <c r="H1520" s="68"/>
      <c r="I1520" s="69"/>
      <c r="J1520" s="69"/>
      <c r="K1520" s="32"/>
      <c r="L1520" s="76">
        <v>1520</v>
      </c>
      <c r="M1520" s="76"/>
      <c r="N1520" s="71"/>
      <c r="O1520" s="87" t="s">
        <v>179</v>
      </c>
      <c r="P1520" s="90">
        <v>45128.380393518521</v>
      </c>
      <c r="Q1520" s="87" t="s">
        <v>3318</v>
      </c>
      <c r="R1520" s="87">
        <v>0</v>
      </c>
      <c r="S1520" s="87">
        <v>0</v>
      </c>
      <c r="T1520" s="87">
        <v>1</v>
      </c>
      <c r="U1520" s="87">
        <v>0</v>
      </c>
      <c r="V1520" s="87">
        <v>51</v>
      </c>
      <c r="W1520" s="93" t="s">
        <v>6895</v>
      </c>
      <c r="X1520" s="87"/>
      <c r="Y1520" s="87"/>
      <c r="Z1520" s="87"/>
      <c r="AA1520" s="87" t="s">
        <v>9605</v>
      </c>
      <c r="AB1520" s="87" t="s">
        <v>11447</v>
      </c>
      <c r="AC1520" s="93" t="s">
        <v>11457</v>
      </c>
      <c r="AD1520" s="87" t="s">
        <v>11521</v>
      </c>
      <c r="AE1520" s="92" t="str">
        <f>HYPERLINK("https://twitter.com/logistingdigits/status/1682316425422069760")</f>
        <v>https://twitter.com/logistingdigits/status/1682316425422069760</v>
      </c>
      <c r="AF1520" s="90">
        <v>45128.380393518521</v>
      </c>
      <c r="AG1520" s="99">
        <v>45128</v>
      </c>
      <c r="AH1520" s="93" t="s">
        <v>12926</v>
      </c>
      <c r="AI1520" s="87" t="b">
        <v>0</v>
      </c>
      <c r="AJ1520" s="87"/>
      <c r="AK1520" s="87"/>
      <c r="AL1520" s="87"/>
      <c r="AM1520" s="87"/>
      <c r="AN1520" s="87"/>
      <c r="AO1520" s="87"/>
      <c r="AP1520" s="87"/>
      <c r="AQ1520" s="87" t="s">
        <v>16418</v>
      </c>
      <c r="AR1520" s="87">
        <v>59200</v>
      </c>
      <c r="AS1520" s="87"/>
      <c r="AT1520" s="87"/>
      <c r="AU1520" s="87"/>
      <c r="AV1520" s="92" t="str">
        <f>HYPERLINK("https://pbs.twimg.com/ext_tw_video_thumb/1682316259789099008/pu/img/wvyTHgqL8-5nY1mG.jpg")</f>
        <v>https://pbs.twimg.com/ext_tw_video_thumb/1682316259789099008/pu/img/wvyTHgqL8-5nY1mG.jpg</v>
      </c>
      <c r="AW1520" s="93" t="s">
        <v>19752</v>
      </c>
      <c r="AX1520" s="93" t="s">
        <v>19752</v>
      </c>
      <c r="AY1520" s="87"/>
      <c r="AZ1520" s="93" t="s">
        <v>22668</v>
      </c>
      <c r="BA1520" s="93" t="s">
        <v>22668</v>
      </c>
      <c r="BB1520" s="93" t="s">
        <v>22668</v>
      </c>
      <c r="BC1520" s="93" t="s">
        <v>19752</v>
      </c>
      <c r="BD1520" s="93" t="s">
        <v>22571</v>
      </c>
      <c r="BE1520" s="87"/>
      <c r="BF1520" s="87"/>
      <c r="BG1520" s="87"/>
      <c r="BH1520" s="87"/>
      <c r="BI1520" s="87"/>
    </row>
    <row r="1521" spans="1:61" x14ac:dyDescent="0.25">
      <c r="A1521" s="63" t="s">
        <v>754</v>
      </c>
      <c r="B1521" s="63" t="s">
        <v>754</v>
      </c>
      <c r="C1521" s="64"/>
      <c r="D1521" s="65"/>
      <c r="E1521" s="66"/>
      <c r="F1521" s="67"/>
      <c r="G1521" s="64"/>
      <c r="H1521" s="68"/>
      <c r="I1521" s="69"/>
      <c r="J1521" s="69"/>
      <c r="K1521" s="32"/>
      <c r="L1521" s="76">
        <v>1521</v>
      </c>
      <c r="M1521" s="76"/>
      <c r="N1521" s="71"/>
      <c r="O1521" s="87" t="s">
        <v>1840</v>
      </c>
      <c r="P1521" s="90">
        <v>45138.490381944444</v>
      </c>
      <c r="Q1521" s="87" t="s">
        <v>3319</v>
      </c>
      <c r="R1521" s="87">
        <v>0</v>
      </c>
      <c r="S1521" s="87">
        <v>1</v>
      </c>
      <c r="T1521" s="87">
        <v>1</v>
      </c>
      <c r="U1521" s="87">
        <v>0</v>
      </c>
      <c r="V1521" s="87">
        <v>21</v>
      </c>
      <c r="W1521" s="93" t="s">
        <v>6896</v>
      </c>
      <c r="X1521" s="87"/>
      <c r="Y1521" s="87"/>
      <c r="Z1521" s="87"/>
      <c r="AA1521" s="87" t="s">
        <v>9606</v>
      </c>
      <c r="AB1521" s="87" t="s">
        <v>11449</v>
      </c>
      <c r="AC1521" s="93" t="s">
        <v>11457</v>
      </c>
      <c r="AD1521" s="87" t="s">
        <v>11518</v>
      </c>
      <c r="AE1521" s="92" t="str">
        <f>HYPERLINK("https://twitter.com/logistingdigits/status/1685980163564081152")</f>
        <v>https://twitter.com/logistingdigits/status/1685980163564081152</v>
      </c>
      <c r="AF1521" s="90">
        <v>45138.490381944444</v>
      </c>
      <c r="AG1521" s="99">
        <v>45138</v>
      </c>
      <c r="AH1521" s="93" t="s">
        <v>12927</v>
      </c>
      <c r="AI1521" s="87" t="b">
        <v>0</v>
      </c>
      <c r="AJ1521" s="87"/>
      <c r="AK1521" s="87"/>
      <c r="AL1521" s="87"/>
      <c r="AM1521" s="87"/>
      <c r="AN1521" s="87"/>
      <c r="AO1521" s="87"/>
      <c r="AP1521" s="87"/>
      <c r="AQ1521" s="87" t="s">
        <v>16419</v>
      </c>
      <c r="AR1521" s="87"/>
      <c r="AS1521" s="87"/>
      <c r="AT1521" s="87"/>
      <c r="AU1521" s="87"/>
      <c r="AV1521" s="92" t="str">
        <f>HYPERLINK("https://pbs.twimg.com/media/F2XNy5EXQAEpZa3.jpg")</f>
        <v>https://pbs.twimg.com/media/F2XNy5EXQAEpZa3.jpg</v>
      </c>
      <c r="AW1521" s="93" t="s">
        <v>19753</v>
      </c>
      <c r="AX1521" s="93" t="s">
        <v>22381</v>
      </c>
      <c r="AY1521" s="93" t="s">
        <v>22571</v>
      </c>
      <c r="AZ1521" s="93" t="s">
        <v>22381</v>
      </c>
      <c r="BA1521" s="93" t="s">
        <v>22668</v>
      </c>
      <c r="BB1521" s="93" t="s">
        <v>22668</v>
      </c>
      <c r="BC1521" s="93" t="s">
        <v>22381</v>
      </c>
      <c r="BD1521" s="93" t="s">
        <v>22571</v>
      </c>
      <c r="BE1521" s="87"/>
      <c r="BF1521" s="87"/>
      <c r="BG1521" s="87"/>
      <c r="BH1521" s="87"/>
      <c r="BI1521" s="87"/>
    </row>
    <row r="1522" spans="1:61" x14ac:dyDescent="0.25">
      <c r="A1522" s="63" t="s">
        <v>754</v>
      </c>
      <c r="B1522" s="63" t="s">
        <v>754</v>
      </c>
      <c r="C1522" s="64"/>
      <c r="D1522" s="65"/>
      <c r="E1522" s="66"/>
      <c r="F1522" s="67"/>
      <c r="G1522" s="64"/>
      <c r="H1522" s="68"/>
      <c r="I1522" s="69"/>
      <c r="J1522" s="69"/>
      <c r="K1522" s="32"/>
      <c r="L1522" s="76">
        <v>1522</v>
      </c>
      <c r="M1522" s="76"/>
      <c r="N1522" s="71"/>
      <c r="O1522" s="87" t="s">
        <v>1840</v>
      </c>
      <c r="P1522" s="90">
        <v>45124.343506944446</v>
      </c>
      <c r="Q1522" s="87" t="s">
        <v>3320</v>
      </c>
      <c r="R1522" s="87">
        <v>0</v>
      </c>
      <c r="S1522" s="87">
        <v>1</v>
      </c>
      <c r="T1522" s="87">
        <v>0</v>
      </c>
      <c r="U1522" s="87">
        <v>0</v>
      </c>
      <c r="V1522" s="87">
        <v>31</v>
      </c>
      <c r="W1522" s="93" t="s">
        <v>6897</v>
      </c>
      <c r="X1522" s="87"/>
      <c r="Y1522" s="87"/>
      <c r="Z1522" s="87"/>
      <c r="AA1522" s="87" t="s">
        <v>9607</v>
      </c>
      <c r="AB1522" s="87" t="s">
        <v>11450</v>
      </c>
      <c r="AC1522" s="93" t="s">
        <v>11457</v>
      </c>
      <c r="AD1522" s="87" t="s">
        <v>11520</v>
      </c>
      <c r="AE1522" s="92" t="str">
        <f>HYPERLINK("https://twitter.com/logistingdigits/status/1680853507182665728")</f>
        <v>https://twitter.com/logistingdigits/status/1680853507182665728</v>
      </c>
      <c r="AF1522" s="90">
        <v>45124.343506944446</v>
      </c>
      <c r="AG1522" s="99">
        <v>45124</v>
      </c>
      <c r="AH1522" s="93" t="s">
        <v>12928</v>
      </c>
      <c r="AI1522" s="87" t="b">
        <v>0</v>
      </c>
      <c r="AJ1522" s="87"/>
      <c r="AK1522" s="87"/>
      <c r="AL1522" s="87"/>
      <c r="AM1522" s="87"/>
      <c r="AN1522" s="87"/>
      <c r="AO1522" s="87"/>
      <c r="AP1522" s="87"/>
      <c r="AQ1522" s="87" t="s">
        <v>16420</v>
      </c>
      <c r="AR1522" s="87"/>
      <c r="AS1522" s="87"/>
      <c r="AT1522" s="87"/>
      <c r="AU1522" s="87"/>
      <c r="AV1522" s="92" t="str">
        <f>HYPERLINK("https://pbs.twimg.com/media/F1OXM8DXoAAj7by.jpg")</f>
        <v>https://pbs.twimg.com/media/F1OXM8DXoAAj7by.jpg</v>
      </c>
      <c r="AW1522" s="93" t="s">
        <v>19754</v>
      </c>
      <c r="AX1522" s="93" t="s">
        <v>22382</v>
      </c>
      <c r="AY1522" s="93" t="s">
        <v>22571</v>
      </c>
      <c r="AZ1522" s="93" t="s">
        <v>22382</v>
      </c>
      <c r="BA1522" s="93" t="s">
        <v>22668</v>
      </c>
      <c r="BB1522" s="93" t="s">
        <v>22668</v>
      </c>
      <c r="BC1522" s="93" t="s">
        <v>22382</v>
      </c>
      <c r="BD1522" s="93" t="s">
        <v>22571</v>
      </c>
      <c r="BE1522" s="87"/>
      <c r="BF1522" s="87"/>
      <c r="BG1522" s="87"/>
      <c r="BH1522" s="87"/>
      <c r="BI1522" s="87"/>
    </row>
    <row r="1523" spans="1:61" x14ac:dyDescent="0.25">
      <c r="A1523" s="63" t="s">
        <v>755</v>
      </c>
      <c r="B1523" s="63" t="s">
        <v>755</v>
      </c>
      <c r="C1523" s="64"/>
      <c r="D1523" s="65"/>
      <c r="E1523" s="66"/>
      <c r="F1523" s="67"/>
      <c r="G1523" s="64"/>
      <c r="H1523" s="68"/>
      <c r="I1523" s="69"/>
      <c r="J1523" s="69"/>
      <c r="K1523" s="32"/>
      <c r="L1523" s="76">
        <v>1523</v>
      </c>
      <c r="M1523" s="76"/>
      <c r="N1523" s="71"/>
      <c r="O1523" s="87" t="s">
        <v>179</v>
      </c>
      <c r="P1523" s="90">
        <v>45181.720821759256</v>
      </c>
      <c r="Q1523" s="87" t="s">
        <v>3321</v>
      </c>
      <c r="R1523" s="87">
        <v>0</v>
      </c>
      <c r="S1523" s="87">
        <v>0</v>
      </c>
      <c r="T1523" s="87">
        <v>0</v>
      </c>
      <c r="U1523" s="87">
        <v>0</v>
      </c>
      <c r="V1523" s="87">
        <v>11</v>
      </c>
      <c r="W1523" s="93" t="s">
        <v>6898</v>
      </c>
      <c r="X1523" s="87"/>
      <c r="Y1523" s="87"/>
      <c r="Z1523" s="87"/>
      <c r="AA1523" s="87" t="s">
        <v>9608</v>
      </c>
      <c r="AB1523" s="87" t="s">
        <v>11448</v>
      </c>
      <c r="AC1523" s="93" t="s">
        <v>11458</v>
      </c>
      <c r="AD1523" s="87" t="s">
        <v>11519</v>
      </c>
      <c r="AE1523" s="92" t="str">
        <f>HYPERLINK("https://twitter.com/eduardomads/status/1701646351828762822")</f>
        <v>https://twitter.com/eduardomads/status/1701646351828762822</v>
      </c>
      <c r="AF1523" s="90">
        <v>45181.720821759256</v>
      </c>
      <c r="AG1523" s="99">
        <v>45181</v>
      </c>
      <c r="AH1523" s="93" t="s">
        <v>12929</v>
      </c>
      <c r="AI1523" s="87" t="b">
        <v>0</v>
      </c>
      <c r="AJ1523" s="87"/>
      <c r="AK1523" s="87"/>
      <c r="AL1523" s="87"/>
      <c r="AM1523" s="87"/>
      <c r="AN1523" s="87"/>
      <c r="AO1523" s="87"/>
      <c r="AP1523" s="87"/>
      <c r="AQ1523" s="87" t="s">
        <v>16421</v>
      </c>
      <c r="AR1523" s="87"/>
      <c r="AS1523" s="87"/>
      <c r="AT1523" s="87"/>
      <c r="AU1523" s="87"/>
      <c r="AV1523" s="92" t="str">
        <f>HYPERLINK("https://pbs.twimg.com/media/F512VhrXQAANWyb.jpg")</f>
        <v>https://pbs.twimg.com/media/F512VhrXQAANWyb.jpg</v>
      </c>
      <c r="AW1523" s="93" t="s">
        <v>19755</v>
      </c>
      <c r="AX1523" s="93" t="s">
        <v>19755</v>
      </c>
      <c r="AY1523" s="87"/>
      <c r="AZ1523" s="93" t="s">
        <v>22668</v>
      </c>
      <c r="BA1523" s="93" t="s">
        <v>22668</v>
      </c>
      <c r="BB1523" s="93" t="s">
        <v>22668</v>
      </c>
      <c r="BC1523" s="93" t="s">
        <v>19755</v>
      </c>
      <c r="BD1523" s="93" t="s">
        <v>23097</v>
      </c>
      <c r="BE1523" s="87"/>
      <c r="BF1523" s="87"/>
      <c r="BG1523" s="87"/>
      <c r="BH1523" s="87"/>
      <c r="BI1523" s="87"/>
    </row>
    <row r="1524" spans="1:61" x14ac:dyDescent="0.25">
      <c r="A1524" s="63" t="s">
        <v>756</v>
      </c>
      <c r="B1524" s="63" t="s">
        <v>756</v>
      </c>
      <c r="C1524" s="64"/>
      <c r="D1524" s="65"/>
      <c r="E1524" s="66"/>
      <c r="F1524" s="67"/>
      <c r="G1524" s="64"/>
      <c r="H1524" s="68"/>
      <c r="I1524" s="69"/>
      <c r="J1524" s="69"/>
      <c r="K1524" s="32"/>
      <c r="L1524" s="76">
        <v>1524</v>
      </c>
      <c r="M1524" s="76"/>
      <c r="N1524" s="71"/>
      <c r="O1524" s="87" t="s">
        <v>179</v>
      </c>
      <c r="P1524" s="90">
        <v>45136.942430555559</v>
      </c>
      <c r="Q1524" s="87" t="s">
        <v>3322</v>
      </c>
      <c r="R1524" s="87">
        <v>0</v>
      </c>
      <c r="S1524" s="87">
        <v>0</v>
      </c>
      <c r="T1524" s="87">
        <v>0</v>
      </c>
      <c r="U1524" s="87">
        <v>0</v>
      </c>
      <c r="V1524" s="87">
        <v>44</v>
      </c>
      <c r="W1524" s="93" t="s">
        <v>6899</v>
      </c>
      <c r="X1524" s="87"/>
      <c r="Y1524" s="87"/>
      <c r="Z1524" s="87"/>
      <c r="AA1524" s="87" t="s">
        <v>9609</v>
      </c>
      <c r="AB1524" s="87" t="s">
        <v>11447</v>
      </c>
      <c r="AC1524" s="93" t="s">
        <v>11459</v>
      </c>
      <c r="AD1524" s="87" t="s">
        <v>11520</v>
      </c>
      <c r="AE1524" s="92" t="str">
        <f>HYPERLINK("https://twitter.com/ganheijogando/status/1685419205938573312")</f>
        <v>https://twitter.com/ganheijogando/status/1685419205938573312</v>
      </c>
      <c r="AF1524" s="90">
        <v>45136.942430555559</v>
      </c>
      <c r="AG1524" s="99">
        <v>45136</v>
      </c>
      <c r="AH1524" s="93" t="s">
        <v>12930</v>
      </c>
      <c r="AI1524" s="87" t="b">
        <v>0</v>
      </c>
      <c r="AJ1524" s="87"/>
      <c r="AK1524" s="87"/>
      <c r="AL1524" s="87"/>
      <c r="AM1524" s="87"/>
      <c r="AN1524" s="87"/>
      <c r="AO1524" s="87"/>
      <c r="AP1524" s="87"/>
      <c r="AQ1524" s="87" t="s">
        <v>16422</v>
      </c>
      <c r="AR1524" s="87">
        <v>26664</v>
      </c>
      <c r="AS1524" s="87"/>
      <c r="AT1524" s="87"/>
      <c r="AU1524" s="87"/>
      <c r="AV1524" s="92" t="str">
        <f>HYPERLINK("https://pbs.twimg.com/ext_tw_video_thumb/1685419142990491648/pu/img/QZnS2Ga-1arO5b_D.jpg")</f>
        <v>https://pbs.twimg.com/ext_tw_video_thumb/1685419142990491648/pu/img/QZnS2Ga-1arO5b_D.jpg</v>
      </c>
      <c r="AW1524" s="93" t="s">
        <v>19756</v>
      </c>
      <c r="AX1524" s="93" t="s">
        <v>19756</v>
      </c>
      <c r="AY1524" s="87"/>
      <c r="AZ1524" s="93" t="s">
        <v>22668</v>
      </c>
      <c r="BA1524" s="93" t="s">
        <v>22668</v>
      </c>
      <c r="BB1524" s="93" t="s">
        <v>22668</v>
      </c>
      <c r="BC1524" s="93" t="s">
        <v>19756</v>
      </c>
      <c r="BD1524" s="93" t="s">
        <v>23098</v>
      </c>
      <c r="BE1524" s="87"/>
      <c r="BF1524" s="87"/>
      <c r="BG1524" s="87"/>
      <c r="BH1524" s="87"/>
      <c r="BI1524" s="87"/>
    </row>
    <row r="1525" spans="1:61" x14ac:dyDescent="0.25">
      <c r="A1525" s="63" t="s">
        <v>756</v>
      </c>
      <c r="B1525" s="63" t="s">
        <v>756</v>
      </c>
      <c r="C1525" s="64"/>
      <c r="D1525" s="65"/>
      <c r="E1525" s="66"/>
      <c r="F1525" s="67"/>
      <c r="G1525" s="64"/>
      <c r="H1525" s="68"/>
      <c r="I1525" s="69"/>
      <c r="J1525" s="69"/>
      <c r="K1525" s="32"/>
      <c r="L1525" s="76">
        <v>1525</v>
      </c>
      <c r="M1525" s="76"/>
      <c r="N1525" s="71"/>
      <c r="O1525" s="87" t="s">
        <v>179</v>
      </c>
      <c r="P1525" s="90">
        <v>45121.119513888887</v>
      </c>
      <c r="Q1525" s="87" t="s">
        <v>3323</v>
      </c>
      <c r="R1525" s="87">
        <v>0</v>
      </c>
      <c r="S1525" s="87">
        <v>4</v>
      </c>
      <c r="T1525" s="87">
        <v>0</v>
      </c>
      <c r="U1525" s="87">
        <v>0</v>
      </c>
      <c r="V1525" s="87">
        <v>78</v>
      </c>
      <c r="W1525" s="93" t="s">
        <v>6900</v>
      </c>
      <c r="X1525" s="87"/>
      <c r="Y1525" s="87"/>
      <c r="Z1525" s="87"/>
      <c r="AA1525" s="87" t="s">
        <v>9610</v>
      </c>
      <c r="AB1525" s="87" t="s">
        <v>11447</v>
      </c>
      <c r="AC1525" s="93" t="s">
        <v>11459</v>
      </c>
      <c r="AD1525" s="87" t="s">
        <v>11519</v>
      </c>
      <c r="AE1525" s="92" t="str">
        <f>HYPERLINK("https://twitter.com/ganheijogando/status/1679685172575232000")</f>
        <v>https://twitter.com/ganheijogando/status/1679685172575232000</v>
      </c>
      <c r="AF1525" s="90">
        <v>45121.119513888887</v>
      </c>
      <c r="AG1525" s="99">
        <v>45121</v>
      </c>
      <c r="AH1525" s="93" t="s">
        <v>12931</v>
      </c>
      <c r="AI1525" s="87" t="b">
        <v>0</v>
      </c>
      <c r="AJ1525" s="87"/>
      <c r="AK1525" s="87"/>
      <c r="AL1525" s="87"/>
      <c r="AM1525" s="87"/>
      <c r="AN1525" s="87"/>
      <c r="AO1525" s="87"/>
      <c r="AP1525" s="87"/>
      <c r="AQ1525" s="87" t="s">
        <v>16423</v>
      </c>
      <c r="AR1525" s="87">
        <v>45006</v>
      </c>
      <c r="AS1525" s="87"/>
      <c r="AT1525" s="87"/>
      <c r="AU1525" s="87"/>
      <c r="AV1525" s="92" t="str">
        <f>HYPERLINK("https://pbs.twimg.com/ext_tw_video_thumb/1679685089213513731/pu/img/0HOl6cXElcioIdAJ.jpg")</f>
        <v>https://pbs.twimg.com/ext_tw_video_thumb/1679685089213513731/pu/img/0HOl6cXElcioIdAJ.jpg</v>
      </c>
      <c r="AW1525" s="93" t="s">
        <v>19757</v>
      </c>
      <c r="AX1525" s="93" t="s">
        <v>19757</v>
      </c>
      <c r="AY1525" s="87"/>
      <c r="AZ1525" s="93" t="s">
        <v>22668</v>
      </c>
      <c r="BA1525" s="93" t="s">
        <v>22668</v>
      </c>
      <c r="BB1525" s="93" t="s">
        <v>22668</v>
      </c>
      <c r="BC1525" s="93" t="s">
        <v>19757</v>
      </c>
      <c r="BD1525" s="93" t="s">
        <v>23098</v>
      </c>
      <c r="BE1525" s="87"/>
      <c r="BF1525" s="87"/>
      <c r="BG1525" s="87"/>
      <c r="BH1525" s="87"/>
      <c r="BI1525" s="87"/>
    </row>
    <row r="1526" spans="1:61" x14ac:dyDescent="0.25">
      <c r="A1526" s="63" t="s">
        <v>757</v>
      </c>
      <c r="B1526" s="63" t="s">
        <v>757</v>
      </c>
      <c r="C1526" s="64"/>
      <c r="D1526" s="65"/>
      <c r="E1526" s="66"/>
      <c r="F1526" s="67"/>
      <c r="G1526" s="64"/>
      <c r="H1526" s="68"/>
      <c r="I1526" s="69"/>
      <c r="J1526" s="69"/>
      <c r="K1526" s="32"/>
      <c r="L1526" s="76">
        <v>1526</v>
      </c>
      <c r="M1526" s="76"/>
      <c r="N1526" s="71"/>
      <c r="O1526" s="87" t="s">
        <v>179</v>
      </c>
      <c r="P1526" s="90">
        <v>45138.543749999997</v>
      </c>
      <c r="Q1526" s="87" t="s">
        <v>3324</v>
      </c>
      <c r="R1526" s="87">
        <v>0</v>
      </c>
      <c r="S1526" s="87">
        <v>0</v>
      </c>
      <c r="T1526" s="87">
        <v>0</v>
      </c>
      <c r="U1526" s="87">
        <v>0</v>
      </c>
      <c r="V1526" s="87">
        <v>2</v>
      </c>
      <c r="W1526" s="93" t="s">
        <v>6901</v>
      </c>
      <c r="X1526" s="92" t="str">
        <f>HYPERLINK("https://portaldoempreendedor360.com.br/cursos-e-capacitacoes/cursos-seo/a-importancia-da-pesquisa-de-palavras-chave/")</f>
        <v>https://portaldoempreendedor360.com.br/cursos-e-capacitacoes/cursos-seo/a-importancia-da-pesquisa-de-palavras-chave/</v>
      </c>
      <c r="Y1526" s="87" t="s">
        <v>8373</v>
      </c>
      <c r="Z1526" s="87"/>
      <c r="AA1526" s="87" t="s">
        <v>9611</v>
      </c>
      <c r="AB1526" s="87" t="s">
        <v>11448</v>
      </c>
      <c r="AC1526" s="93" t="s">
        <v>11457</v>
      </c>
      <c r="AD1526" s="87" t="s">
        <v>11519</v>
      </c>
      <c r="AE1526" s="92" t="str">
        <f>HYPERLINK("https://twitter.com/pde360/status/1685999501960462336")</f>
        <v>https://twitter.com/pde360/status/1685999501960462336</v>
      </c>
      <c r="AF1526" s="90">
        <v>45138.543749999997</v>
      </c>
      <c r="AG1526" s="99">
        <v>45138</v>
      </c>
      <c r="AH1526" s="93" t="s">
        <v>12932</v>
      </c>
      <c r="AI1526" s="87" t="b">
        <v>0</v>
      </c>
      <c r="AJ1526" s="87"/>
      <c r="AK1526" s="87"/>
      <c r="AL1526" s="87"/>
      <c r="AM1526" s="87"/>
      <c r="AN1526" s="87"/>
      <c r="AO1526" s="87"/>
      <c r="AP1526" s="87"/>
      <c r="AQ1526" s="87" t="s">
        <v>16424</v>
      </c>
      <c r="AR1526" s="87"/>
      <c r="AS1526" s="87"/>
      <c r="AT1526" s="87"/>
      <c r="AU1526" s="87"/>
      <c r="AV1526" s="92" t="str">
        <f>HYPERLINK("https://pbs.twimg.com/media/F0zE2aYXoAgF1ht.jpg")</f>
        <v>https://pbs.twimg.com/media/F0zE2aYXoAgF1ht.jpg</v>
      </c>
      <c r="AW1526" s="93" t="s">
        <v>19758</v>
      </c>
      <c r="AX1526" s="93" t="s">
        <v>19758</v>
      </c>
      <c r="AY1526" s="87"/>
      <c r="AZ1526" s="93" t="s">
        <v>22668</v>
      </c>
      <c r="BA1526" s="93" t="s">
        <v>22668</v>
      </c>
      <c r="BB1526" s="93" t="s">
        <v>22668</v>
      </c>
      <c r="BC1526" s="93" t="s">
        <v>19758</v>
      </c>
      <c r="BD1526" s="93" t="s">
        <v>23099</v>
      </c>
      <c r="BE1526" s="87"/>
      <c r="BF1526" s="87"/>
      <c r="BG1526" s="87"/>
      <c r="BH1526" s="87"/>
      <c r="BI1526" s="87"/>
    </row>
    <row r="1527" spans="1:61" x14ac:dyDescent="0.25">
      <c r="A1527" s="63" t="s">
        <v>757</v>
      </c>
      <c r="B1527" s="63" t="s">
        <v>757</v>
      </c>
      <c r="C1527" s="64"/>
      <c r="D1527" s="65"/>
      <c r="E1527" s="66"/>
      <c r="F1527" s="67"/>
      <c r="G1527" s="64"/>
      <c r="H1527" s="68"/>
      <c r="I1527" s="69"/>
      <c r="J1527" s="69"/>
      <c r="K1527" s="32"/>
      <c r="L1527" s="76">
        <v>1527</v>
      </c>
      <c r="M1527" s="76"/>
      <c r="N1527" s="71"/>
      <c r="O1527" s="87" t="s">
        <v>179</v>
      </c>
      <c r="P1527" s="90">
        <v>45124.631944444445</v>
      </c>
      <c r="Q1527" s="87" t="s">
        <v>3325</v>
      </c>
      <c r="R1527" s="87">
        <v>0</v>
      </c>
      <c r="S1527" s="87">
        <v>0</v>
      </c>
      <c r="T1527" s="87">
        <v>0</v>
      </c>
      <c r="U1527" s="87">
        <v>0</v>
      </c>
      <c r="V1527" s="87">
        <v>13</v>
      </c>
      <c r="W1527" s="93" t="s">
        <v>6902</v>
      </c>
      <c r="X1527" s="92" t="str">
        <f>HYPERLINK("https://portaldoempreendedor360.com.br/cursos-e-capacitacoes/cursos-seo/tecnicas-de-link-building/")</f>
        <v>https://portaldoempreendedor360.com.br/cursos-e-capacitacoes/cursos-seo/tecnicas-de-link-building/</v>
      </c>
      <c r="Y1527" s="87" t="s">
        <v>8373</v>
      </c>
      <c r="Z1527" s="87"/>
      <c r="AA1527" s="87" t="s">
        <v>9612</v>
      </c>
      <c r="AB1527" s="87" t="s">
        <v>11448</v>
      </c>
      <c r="AC1527" s="93" t="s">
        <v>11457</v>
      </c>
      <c r="AD1527" s="87" t="s">
        <v>11519</v>
      </c>
      <c r="AE1527" s="92" t="str">
        <f>HYPERLINK("https://twitter.com/pde360/status/1680958032224702465")</f>
        <v>https://twitter.com/pde360/status/1680958032224702465</v>
      </c>
      <c r="AF1527" s="90">
        <v>45124.631944444445</v>
      </c>
      <c r="AG1527" s="99">
        <v>45124</v>
      </c>
      <c r="AH1527" s="93" t="s">
        <v>12933</v>
      </c>
      <c r="AI1527" s="87" t="b">
        <v>0</v>
      </c>
      <c r="AJ1527" s="87"/>
      <c r="AK1527" s="87"/>
      <c r="AL1527" s="87"/>
      <c r="AM1527" s="87"/>
      <c r="AN1527" s="87"/>
      <c r="AO1527" s="87"/>
      <c r="AP1527" s="87"/>
      <c r="AQ1527" s="87" t="s">
        <v>16425</v>
      </c>
      <c r="AR1527" s="87"/>
      <c r="AS1527" s="87"/>
      <c r="AT1527" s="87"/>
      <c r="AU1527" s="87"/>
      <c r="AV1527" s="92" t="str">
        <f>HYPERLINK("https://pbs.twimg.com/media/F0zGH0pWAAAMUId.jpg")</f>
        <v>https://pbs.twimg.com/media/F0zGH0pWAAAMUId.jpg</v>
      </c>
      <c r="AW1527" s="93" t="s">
        <v>19759</v>
      </c>
      <c r="AX1527" s="93" t="s">
        <v>19759</v>
      </c>
      <c r="AY1527" s="87"/>
      <c r="AZ1527" s="93" t="s">
        <v>22668</v>
      </c>
      <c r="BA1527" s="93" t="s">
        <v>22668</v>
      </c>
      <c r="BB1527" s="93" t="s">
        <v>22668</v>
      </c>
      <c r="BC1527" s="93" t="s">
        <v>19759</v>
      </c>
      <c r="BD1527" s="93" t="s">
        <v>23099</v>
      </c>
      <c r="BE1527" s="87"/>
      <c r="BF1527" s="87"/>
      <c r="BG1527" s="87"/>
      <c r="BH1527" s="87"/>
      <c r="BI1527" s="87"/>
    </row>
    <row r="1528" spans="1:61" x14ac:dyDescent="0.25">
      <c r="A1528" s="63" t="s">
        <v>757</v>
      </c>
      <c r="B1528" s="63" t="s">
        <v>757</v>
      </c>
      <c r="C1528" s="64"/>
      <c r="D1528" s="65"/>
      <c r="E1528" s="66"/>
      <c r="F1528" s="67"/>
      <c r="G1528" s="64"/>
      <c r="H1528" s="68"/>
      <c r="I1528" s="69"/>
      <c r="J1528" s="69"/>
      <c r="K1528" s="32"/>
      <c r="L1528" s="76">
        <v>1528</v>
      </c>
      <c r="M1528" s="76"/>
      <c r="N1528" s="71"/>
      <c r="O1528" s="87" t="s">
        <v>179</v>
      </c>
      <c r="P1528" s="90">
        <v>45123.547222222223</v>
      </c>
      <c r="Q1528" s="87" t="s">
        <v>3326</v>
      </c>
      <c r="R1528" s="87">
        <v>0</v>
      </c>
      <c r="S1528" s="87">
        <v>0</v>
      </c>
      <c r="T1528" s="87">
        <v>0</v>
      </c>
      <c r="U1528" s="87">
        <v>0</v>
      </c>
      <c r="V1528" s="87">
        <v>5</v>
      </c>
      <c r="W1528" s="93" t="s">
        <v>6902</v>
      </c>
      <c r="X1528" s="92" t="str">
        <f>HYPERLINK("https://portaldoempreendedor360.com.br/inovacao-e-tecnologia/ferramentas/10-dicas-para-o-semrush/")</f>
        <v>https://portaldoempreendedor360.com.br/inovacao-e-tecnologia/ferramentas/10-dicas-para-o-semrush/</v>
      </c>
      <c r="Y1528" s="87" t="s">
        <v>8373</v>
      </c>
      <c r="Z1528" s="87"/>
      <c r="AA1528" s="87" t="s">
        <v>9613</v>
      </c>
      <c r="AB1528" s="87" t="s">
        <v>11448</v>
      </c>
      <c r="AC1528" s="93" t="s">
        <v>11457</v>
      </c>
      <c r="AD1528" s="87" t="s">
        <v>11529</v>
      </c>
      <c r="AE1528" s="92" t="str">
        <f>HYPERLINK("https://twitter.com/pde360/status/1680564942003421184")</f>
        <v>https://twitter.com/pde360/status/1680564942003421184</v>
      </c>
      <c r="AF1528" s="90">
        <v>45123.547222222223</v>
      </c>
      <c r="AG1528" s="99">
        <v>45123</v>
      </c>
      <c r="AH1528" s="93" t="s">
        <v>12934</v>
      </c>
      <c r="AI1528" s="87" t="b">
        <v>0</v>
      </c>
      <c r="AJ1528" s="87"/>
      <c r="AK1528" s="87"/>
      <c r="AL1528" s="87"/>
      <c r="AM1528" s="87"/>
      <c r="AN1528" s="87"/>
      <c r="AO1528" s="87"/>
      <c r="AP1528" s="87"/>
      <c r="AQ1528" s="87" t="s">
        <v>16426</v>
      </c>
      <c r="AR1528" s="87"/>
      <c r="AS1528" s="87"/>
      <c r="AT1528" s="87"/>
      <c r="AU1528" s="87"/>
      <c r="AV1528" s="92" t="str">
        <f>HYPERLINK("https://pbs.twimg.com/media/F0zF8v1WcAIGHtz.jpg")</f>
        <v>https://pbs.twimg.com/media/F0zF8v1WcAIGHtz.jpg</v>
      </c>
      <c r="AW1528" s="93" t="s">
        <v>19760</v>
      </c>
      <c r="AX1528" s="93" t="s">
        <v>19760</v>
      </c>
      <c r="AY1528" s="87"/>
      <c r="AZ1528" s="93" t="s">
        <v>22668</v>
      </c>
      <c r="BA1528" s="93" t="s">
        <v>22668</v>
      </c>
      <c r="BB1528" s="93" t="s">
        <v>22668</v>
      </c>
      <c r="BC1528" s="93" t="s">
        <v>19760</v>
      </c>
      <c r="BD1528" s="93" t="s">
        <v>23099</v>
      </c>
      <c r="BE1528" s="87"/>
      <c r="BF1528" s="87"/>
      <c r="BG1528" s="87"/>
      <c r="BH1528" s="87"/>
      <c r="BI1528" s="87"/>
    </row>
    <row r="1529" spans="1:61" x14ac:dyDescent="0.25">
      <c r="A1529" s="63" t="s">
        <v>757</v>
      </c>
      <c r="B1529" s="63" t="s">
        <v>757</v>
      </c>
      <c r="C1529" s="64"/>
      <c r="D1529" s="65"/>
      <c r="E1529" s="66"/>
      <c r="F1529" s="67"/>
      <c r="G1529" s="64"/>
      <c r="H1529" s="68"/>
      <c r="I1529" s="69"/>
      <c r="J1529" s="69"/>
      <c r="K1529" s="32"/>
      <c r="L1529" s="76">
        <v>1529</v>
      </c>
      <c r="M1529" s="76"/>
      <c r="N1529" s="71"/>
      <c r="O1529" s="87" t="s">
        <v>179</v>
      </c>
      <c r="P1529" s="90">
        <v>45122.546527777777</v>
      </c>
      <c r="Q1529" s="87" t="s">
        <v>3327</v>
      </c>
      <c r="R1529" s="87">
        <v>0</v>
      </c>
      <c r="S1529" s="87">
        <v>0</v>
      </c>
      <c r="T1529" s="87">
        <v>0</v>
      </c>
      <c r="U1529" s="87">
        <v>0</v>
      </c>
      <c r="V1529" s="87">
        <v>6</v>
      </c>
      <c r="W1529" s="93" t="s">
        <v>6901</v>
      </c>
      <c r="X1529" s="92" t="str">
        <f>HYPERLINK("https://portaldoempreendedor360.com.br/cursos-e-capacitacoes/cursos-seo/estrutura-e-arquitetura-do-site-para-seo/")</f>
        <v>https://portaldoempreendedor360.com.br/cursos-e-capacitacoes/cursos-seo/estrutura-e-arquitetura-do-site-para-seo/</v>
      </c>
      <c r="Y1529" s="87" t="s">
        <v>8373</v>
      </c>
      <c r="Z1529" s="87"/>
      <c r="AA1529" s="87" t="s">
        <v>9614</v>
      </c>
      <c r="AB1529" s="87" t="s">
        <v>11448</v>
      </c>
      <c r="AC1529" s="93" t="s">
        <v>11457</v>
      </c>
      <c r="AD1529" s="87" t="s">
        <v>11519</v>
      </c>
      <c r="AE1529" s="92" t="str">
        <f>HYPERLINK("https://twitter.com/pde360/status/1680202302685331456")</f>
        <v>https://twitter.com/pde360/status/1680202302685331456</v>
      </c>
      <c r="AF1529" s="90">
        <v>45122.546527777777</v>
      </c>
      <c r="AG1529" s="99">
        <v>45122</v>
      </c>
      <c r="AH1529" s="93" t="s">
        <v>12935</v>
      </c>
      <c r="AI1529" s="87" t="b">
        <v>0</v>
      </c>
      <c r="AJ1529" s="87"/>
      <c r="AK1529" s="87"/>
      <c r="AL1529" s="87"/>
      <c r="AM1529" s="87"/>
      <c r="AN1529" s="87"/>
      <c r="AO1529" s="87"/>
      <c r="AP1529" s="87"/>
      <c r="AQ1529" s="87" t="s">
        <v>16427</v>
      </c>
      <c r="AR1529" s="87"/>
      <c r="AS1529" s="87"/>
      <c r="AT1529" s="87"/>
      <c r="AU1529" s="87"/>
      <c r="AV1529" s="92" t="str">
        <f>HYPERLINK("https://pbs.twimg.com/media/F0zFtpOXoAAeXSr.jpg")</f>
        <v>https://pbs.twimg.com/media/F0zFtpOXoAAeXSr.jpg</v>
      </c>
      <c r="AW1529" s="93" t="s">
        <v>19761</v>
      </c>
      <c r="AX1529" s="93" t="s">
        <v>19761</v>
      </c>
      <c r="AY1529" s="87"/>
      <c r="AZ1529" s="93" t="s">
        <v>22668</v>
      </c>
      <c r="BA1529" s="93" t="s">
        <v>22668</v>
      </c>
      <c r="BB1529" s="93" t="s">
        <v>22668</v>
      </c>
      <c r="BC1529" s="93" t="s">
        <v>19761</v>
      </c>
      <c r="BD1529" s="93" t="s">
        <v>23099</v>
      </c>
      <c r="BE1529" s="87"/>
      <c r="BF1529" s="87"/>
      <c r="BG1529" s="87"/>
      <c r="BH1529" s="87"/>
      <c r="BI1529" s="87"/>
    </row>
    <row r="1530" spans="1:61" x14ac:dyDescent="0.25">
      <c r="A1530" s="63" t="s">
        <v>757</v>
      </c>
      <c r="B1530" s="63" t="s">
        <v>757</v>
      </c>
      <c r="C1530" s="64"/>
      <c r="D1530" s="65"/>
      <c r="E1530" s="66"/>
      <c r="F1530" s="67"/>
      <c r="G1530" s="64"/>
      <c r="H1530" s="68"/>
      <c r="I1530" s="69"/>
      <c r="J1530" s="69"/>
      <c r="K1530" s="32"/>
      <c r="L1530" s="76">
        <v>1530</v>
      </c>
      <c r="M1530" s="76"/>
      <c r="N1530" s="71"/>
      <c r="O1530" s="87" t="s">
        <v>179</v>
      </c>
      <c r="P1530" s="90">
        <v>45142.040277777778</v>
      </c>
      <c r="Q1530" s="87" t="s">
        <v>3328</v>
      </c>
      <c r="R1530" s="87">
        <v>0</v>
      </c>
      <c r="S1530" s="87">
        <v>0</v>
      </c>
      <c r="T1530" s="87">
        <v>0</v>
      </c>
      <c r="U1530" s="87">
        <v>0</v>
      </c>
      <c r="V1530" s="87">
        <v>18</v>
      </c>
      <c r="W1530" s="93" t="s">
        <v>6901</v>
      </c>
      <c r="X1530" s="92" t="str">
        <f>HYPERLINK("https://portaldoempreendedor360.com.br/marketing-e-vendas/seo-search-engine-optimization/semrush-pode-impulsionar-sua-estrategia/")</f>
        <v>https://portaldoempreendedor360.com.br/marketing-e-vendas/seo-search-engine-optimization/semrush-pode-impulsionar-sua-estrategia/</v>
      </c>
      <c r="Y1530" s="87" t="s">
        <v>8373</v>
      </c>
      <c r="Z1530" s="87"/>
      <c r="AA1530" s="87" t="s">
        <v>9615</v>
      </c>
      <c r="AB1530" s="87" t="s">
        <v>11448</v>
      </c>
      <c r="AC1530" s="93" t="s">
        <v>11457</v>
      </c>
      <c r="AD1530" s="87" t="s">
        <v>11519</v>
      </c>
      <c r="AE1530" s="92" t="str">
        <f>HYPERLINK("https://twitter.com/pde360/status/1687266600745869312")</f>
        <v>https://twitter.com/pde360/status/1687266600745869312</v>
      </c>
      <c r="AF1530" s="90">
        <v>45142.040277777778</v>
      </c>
      <c r="AG1530" s="99">
        <v>45142</v>
      </c>
      <c r="AH1530" s="93" t="s">
        <v>12936</v>
      </c>
      <c r="AI1530" s="87" t="b">
        <v>0</v>
      </c>
      <c r="AJ1530" s="87"/>
      <c r="AK1530" s="87"/>
      <c r="AL1530" s="87"/>
      <c r="AM1530" s="87"/>
      <c r="AN1530" s="87"/>
      <c r="AO1530" s="87"/>
      <c r="AP1530" s="87"/>
      <c r="AQ1530" s="87" t="s">
        <v>16428</v>
      </c>
      <c r="AR1530" s="87"/>
      <c r="AS1530" s="87"/>
      <c r="AT1530" s="87"/>
      <c r="AU1530" s="87"/>
      <c r="AV1530" s="92" t="str">
        <f>HYPERLINK("https://pbs.twimg.com/media/F0zDlO3XsAAPN0R.jpg")</f>
        <v>https://pbs.twimg.com/media/F0zDlO3XsAAPN0R.jpg</v>
      </c>
      <c r="AW1530" s="93" t="s">
        <v>19762</v>
      </c>
      <c r="AX1530" s="93" t="s">
        <v>19762</v>
      </c>
      <c r="AY1530" s="87"/>
      <c r="AZ1530" s="93" t="s">
        <v>22668</v>
      </c>
      <c r="BA1530" s="93" t="s">
        <v>22668</v>
      </c>
      <c r="BB1530" s="93" t="s">
        <v>22668</v>
      </c>
      <c r="BC1530" s="93" t="s">
        <v>19762</v>
      </c>
      <c r="BD1530" s="93" t="s">
        <v>23099</v>
      </c>
      <c r="BE1530" s="87"/>
      <c r="BF1530" s="87"/>
      <c r="BG1530" s="87"/>
      <c r="BH1530" s="87"/>
      <c r="BI1530" s="87"/>
    </row>
    <row r="1531" spans="1:61" x14ac:dyDescent="0.25">
      <c r="A1531" s="63" t="s">
        <v>757</v>
      </c>
      <c r="B1531" s="63" t="s">
        <v>757</v>
      </c>
      <c r="C1531" s="64"/>
      <c r="D1531" s="65"/>
      <c r="E1531" s="66"/>
      <c r="F1531" s="67"/>
      <c r="G1531" s="64"/>
      <c r="H1531" s="68"/>
      <c r="I1531" s="69"/>
      <c r="J1531" s="69"/>
      <c r="K1531" s="32"/>
      <c r="L1531" s="76">
        <v>1531</v>
      </c>
      <c r="M1531" s="76"/>
      <c r="N1531" s="71"/>
      <c r="O1531" s="87" t="s">
        <v>179</v>
      </c>
      <c r="P1531" s="90">
        <v>45131.554861111108</v>
      </c>
      <c r="Q1531" s="87" t="s">
        <v>3329</v>
      </c>
      <c r="R1531" s="87">
        <v>0</v>
      </c>
      <c r="S1531" s="87">
        <v>0</v>
      </c>
      <c r="T1531" s="87">
        <v>0</v>
      </c>
      <c r="U1531" s="87">
        <v>0</v>
      </c>
      <c r="V1531" s="87">
        <v>3</v>
      </c>
      <c r="W1531" s="93" t="s">
        <v>6903</v>
      </c>
      <c r="X1531" s="92" t="str">
        <f>HYPERLINK("https://portaldoempreendedor360.com.br/cursos-e-capacitacoes/cursos-seo/a-importancia-dos-backlinks/")</f>
        <v>https://portaldoempreendedor360.com.br/cursos-e-capacitacoes/cursos-seo/a-importancia-dos-backlinks/</v>
      </c>
      <c r="Y1531" s="87" t="s">
        <v>8373</v>
      </c>
      <c r="Z1531" s="87"/>
      <c r="AA1531" s="87" t="s">
        <v>9616</v>
      </c>
      <c r="AB1531" s="87" t="s">
        <v>11448</v>
      </c>
      <c r="AC1531" s="93" t="s">
        <v>11457</v>
      </c>
      <c r="AD1531" s="87" t="s">
        <v>11519</v>
      </c>
      <c r="AE1531" s="92" t="str">
        <f>HYPERLINK("https://twitter.com/pde360/status/1683466813269581825")</f>
        <v>https://twitter.com/pde360/status/1683466813269581825</v>
      </c>
      <c r="AF1531" s="90">
        <v>45131.554861111108</v>
      </c>
      <c r="AG1531" s="99">
        <v>45131</v>
      </c>
      <c r="AH1531" s="93" t="s">
        <v>12937</v>
      </c>
      <c r="AI1531" s="87" t="b">
        <v>0</v>
      </c>
      <c r="AJ1531" s="87"/>
      <c r="AK1531" s="87"/>
      <c r="AL1531" s="87"/>
      <c r="AM1531" s="87"/>
      <c r="AN1531" s="87"/>
      <c r="AO1531" s="87"/>
      <c r="AP1531" s="87"/>
      <c r="AQ1531" s="87" t="s">
        <v>16429</v>
      </c>
      <c r="AR1531" s="87"/>
      <c r="AS1531" s="87"/>
      <c r="AT1531" s="87"/>
      <c r="AU1531" s="87"/>
      <c r="AV1531" s="92" t="str">
        <f>HYPERLINK("https://pbs.twimg.com/media/F0zIR3vWYAgyRen.jpg")</f>
        <v>https://pbs.twimg.com/media/F0zIR3vWYAgyRen.jpg</v>
      </c>
      <c r="AW1531" s="93" t="s">
        <v>19763</v>
      </c>
      <c r="AX1531" s="93" t="s">
        <v>19763</v>
      </c>
      <c r="AY1531" s="87"/>
      <c r="AZ1531" s="93" t="s">
        <v>22668</v>
      </c>
      <c r="BA1531" s="93" t="s">
        <v>22668</v>
      </c>
      <c r="BB1531" s="93" t="s">
        <v>22668</v>
      </c>
      <c r="BC1531" s="93" t="s">
        <v>19763</v>
      </c>
      <c r="BD1531" s="93" t="s">
        <v>23099</v>
      </c>
      <c r="BE1531" s="87"/>
      <c r="BF1531" s="87"/>
      <c r="BG1531" s="87"/>
      <c r="BH1531" s="87"/>
      <c r="BI1531" s="87"/>
    </row>
    <row r="1532" spans="1:61" x14ac:dyDescent="0.25">
      <c r="A1532" s="63" t="s">
        <v>757</v>
      </c>
      <c r="B1532" s="63" t="s">
        <v>757</v>
      </c>
      <c r="C1532" s="64"/>
      <c r="D1532" s="65"/>
      <c r="E1532" s="66"/>
      <c r="F1532" s="67"/>
      <c r="G1532" s="64"/>
      <c r="H1532" s="68"/>
      <c r="I1532" s="69"/>
      <c r="J1532" s="69"/>
      <c r="K1532" s="32"/>
      <c r="L1532" s="76">
        <v>1532</v>
      </c>
      <c r="M1532" s="76"/>
      <c r="N1532" s="71"/>
      <c r="O1532" s="87" t="s">
        <v>179</v>
      </c>
      <c r="P1532" s="90">
        <v>45141.040972222225</v>
      </c>
      <c r="Q1532" s="87" t="s">
        <v>3330</v>
      </c>
      <c r="R1532" s="87">
        <v>0</v>
      </c>
      <c r="S1532" s="87">
        <v>0</v>
      </c>
      <c r="T1532" s="87">
        <v>0</v>
      </c>
      <c r="U1532" s="87">
        <v>0</v>
      </c>
      <c r="V1532" s="87">
        <v>7</v>
      </c>
      <c r="W1532" s="93" t="s">
        <v>6901</v>
      </c>
      <c r="X1532" s="92" t="str">
        <f>HYPERLINK("https://portaldoempreendedor360.com.br/inovacao-e-tecnologia/ferramentas/google-analytics-a-ferramenta-essencial-para-analisar-o-desempenho-do-seu-site/")</f>
        <v>https://portaldoempreendedor360.com.br/inovacao-e-tecnologia/ferramentas/google-analytics-a-ferramenta-essencial-para-analisar-o-desempenho-do-seu-site/</v>
      </c>
      <c r="Y1532" s="87" t="s">
        <v>8373</v>
      </c>
      <c r="Z1532" s="87"/>
      <c r="AA1532" s="87" t="s">
        <v>9617</v>
      </c>
      <c r="AB1532" s="87" t="s">
        <v>11448</v>
      </c>
      <c r="AC1532" s="93" t="s">
        <v>11457</v>
      </c>
      <c r="AD1532" s="87" t="s">
        <v>11519</v>
      </c>
      <c r="AE1532" s="92" t="str">
        <f>HYPERLINK("https://twitter.com/pde360/status/1686904464580673537")</f>
        <v>https://twitter.com/pde360/status/1686904464580673537</v>
      </c>
      <c r="AF1532" s="90">
        <v>45141.040972222225</v>
      </c>
      <c r="AG1532" s="99">
        <v>45141</v>
      </c>
      <c r="AH1532" s="93" t="s">
        <v>12938</v>
      </c>
      <c r="AI1532" s="87" t="b">
        <v>0</v>
      </c>
      <c r="AJ1532" s="87"/>
      <c r="AK1532" s="87"/>
      <c r="AL1532" s="87"/>
      <c r="AM1532" s="87"/>
      <c r="AN1532" s="87"/>
      <c r="AO1532" s="87"/>
      <c r="AP1532" s="87"/>
      <c r="AQ1532" s="87" t="s">
        <v>16430</v>
      </c>
      <c r="AR1532" s="87"/>
      <c r="AS1532" s="87"/>
      <c r="AT1532" s="87"/>
      <c r="AU1532" s="87"/>
      <c r="AV1532" s="92" t="str">
        <f>HYPERLINK("https://pbs.twimg.com/media/F0zDuxXXoAAlx_U.jpg")</f>
        <v>https://pbs.twimg.com/media/F0zDuxXXoAAlx_U.jpg</v>
      </c>
      <c r="AW1532" s="93" t="s">
        <v>19764</v>
      </c>
      <c r="AX1532" s="93" t="s">
        <v>19764</v>
      </c>
      <c r="AY1532" s="87"/>
      <c r="AZ1532" s="93" t="s">
        <v>22668</v>
      </c>
      <c r="BA1532" s="93" t="s">
        <v>22668</v>
      </c>
      <c r="BB1532" s="93" t="s">
        <v>22668</v>
      </c>
      <c r="BC1532" s="93" t="s">
        <v>19764</v>
      </c>
      <c r="BD1532" s="93" t="s">
        <v>23099</v>
      </c>
      <c r="BE1532" s="87"/>
      <c r="BF1532" s="87"/>
      <c r="BG1532" s="87"/>
      <c r="BH1532" s="87"/>
      <c r="BI1532" s="87"/>
    </row>
    <row r="1533" spans="1:61" x14ac:dyDescent="0.25">
      <c r="A1533" s="63" t="s">
        <v>757</v>
      </c>
      <c r="B1533" s="63" t="s">
        <v>757</v>
      </c>
      <c r="C1533" s="64"/>
      <c r="D1533" s="65"/>
      <c r="E1533" s="66"/>
      <c r="F1533" s="67"/>
      <c r="G1533" s="64"/>
      <c r="H1533" s="68"/>
      <c r="I1533" s="69"/>
      <c r="J1533" s="69"/>
      <c r="K1533" s="32"/>
      <c r="L1533" s="76">
        <v>1533</v>
      </c>
      <c r="M1533" s="76"/>
      <c r="N1533" s="71"/>
      <c r="O1533" s="87" t="s">
        <v>179</v>
      </c>
      <c r="P1533" s="90">
        <v>45130.59375</v>
      </c>
      <c r="Q1533" s="87" t="s">
        <v>3331</v>
      </c>
      <c r="R1533" s="87">
        <v>0</v>
      </c>
      <c r="S1533" s="87">
        <v>0</v>
      </c>
      <c r="T1533" s="87">
        <v>0</v>
      </c>
      <c r="U1533" s="87">
        <v>0</v>
      </c>
      <c r="V1533" s="87">
        <v>7</v>
      </c>
      <c r="W1533" s="93" t="s">
        <v>6904</v>
      </c>
      <c r="X1533" s="92" t="str">
        <f>HYPERLINK("https://portaldoempreendedor360.com.br/inovacao-e-tecnologia/ferramentas/google-pagespeed-insights-otimize-o-desempenho-do-seu-site-para-uma-melhor-experiencia-do-usuario/")</f>
        <v>https://portaldoempreendedor360.com.br/inovacao-e-tecnologia/ferramentas/google-pagespeed-insights-otimize-o-desempenho-do-seu-site-para-uma-melhor-experiencia-do-usuario/</v>
      </c>
      <c r="Y1533" s="87" t="s">
        <v>8373</v>
      </c>
      <c r="Z1533" s="87"/>
      <c r="AA1533" s="87" t="s">
        <v>9618</v>
      </c>
      <c r="AB1533" s="87" t="s">
        <v>11448</v>
      </c>
      <c r="AC1533" s="93" t="s">
        <v>11457</v>
      </c>
      <c r="AD1533" s="87" t="s">
        <v>11519</v>
      </c>
      <c r="AE1533" s="92" t="str">
        <f>HYPERLINK("https://twitter.com/pde360/status/1683118518253002754")</f>
        <v>https://twitter.com/pde360/status/1683118518253002754</v>
      </c>
      <c r="AF1533" s="90">
        <v>45130.59375</v>
      </c>
      <c r="AG1533" s="99">
        <v>45130</v>
      </c>
      <c r="AH1533" s="93" t="s">
        <v>12819</v>
      </c>
      <c r="AI1533" s="87" t="b">
        <v>0</v>
      </c>
      <c r="AJ1533" s="87"/>
      <c r="AK1533" s="87"/>
      <c r="AL1533" s="87"/>
      <c r="AM1533" s="87"/>
      <c r="AN1533" s="87"/>
      <c r="AO1533" s="87"/>
      <c r="AP1533" s="87"/>
      <c r="AQ1533" s="87" t="s">
        <v>16431</v>
      </c>
      <c r="AR1533" s="87"/>
      <c r="AS1533" s="87"/>
      <c r="AT1533" s="87"/>
      <c r="AU1533" s="87"/>
      <c r="AV1533" s="92" t="str">
        <f>HYPERLINK("https://pbs.twimg.com/media/F0zHnFfWIAA-4q3.jpg")</f>
        <v>https://pbs.twimg.com/media/F0zHnFfWIAA-4q3.jpg</v>
      </c>
      <c r="AW1533" s="93" t="s">
        <v>19765</v>
      </c>
      <c r="AX1533" s="93" t="s">
        <v>19765</v>
      </c>
      <c r="AY1533" s="87"/>
      <c r="AZ1533" s="93" t="s">
        <v>22668</v>
      </c>
      <c r="BA1533" s="93" t="s">
        <v>22668</v>
      </c>
      <c r="BB1533" s="93" t="s">
        <v>22668</v>
      </c>
      <c r="BC1533" s="93" t="s">
        <v>19765</v>
      </c>
      <c r="BD1533" s="93" t="s">
        <v>23099</v>
      </c>
      <c r="BE1533" s="87"/>
      <c r="BF1533" s="87"/>
      <c r="BG1533" s="87"/>
      <c r="BH1533" s="87"/>
      <c r="BI1533" s="87"/>
    </row>
    <row r="1534" spans="1:61" x14ac:dyDescent="0.25">
      <c r="A1534" s="63" t="s">
        <v>757</v>
      </c>
      <c r="B1534" s="63" t="s">
        <v>757</v>
      </c>
      <c r="C1534" s="64"/>
      <c r="D1534" s="65"/>
      <c r="E1534" s="66"/>
      <c r="F1534" s="67"/>
      <c r="G1534" s="64"/>
      <c r="H1534" s="68"/>
      <c r="I1534" s="69"/>
      <c r="J1534" s="69"/>
      <c r="K1534" s="32"/>
      <c r="L1534" s="76">
        <v>1534</v>
      </c>
      <c r="M1534" s="76"/>
      <c r="N1534" s="71"/>
      <c r="O1534" s="87" t="s">
        <v>179</v>
      </c>
      <c r="P1534" s="90">
        <v>45128.468055555553</v>
      </c>
      <c r="Q1534" s="87" t="s">
        <v>3332</v>
      </c>
      <c r="R1534" s="87">
        <v>0</v>
      </c>
      <c r="S1534" s="87">
        <v>0</v>
      </c>
      <c r="T1534" s="87">
        <v>0</v>
      </c>
      <c r="U1534" s="87">
        <v>0</v>
      </c>
      <c r="V1534" s="87">
        <v>2</v>
      </c>
      <c r="W1534" s="93" t="s">
        <v>6902</v>
      </c>
      <c r="X1534" s="92" t="str">
        <f>HYPERLINK("https://portaldoempreendedor360.com.br/cursos-e-capacitacoes/cursos-seo/algoritmos-de-busca-e-principais-motores-de-busca/")</f>
        <v>https://portaldoempreendedor360.com.br/cursos-e-capacitacoes/cursos-seo/algoritmos-de-busca-e-principais-motores-de-busca/</v>
      </c>
      <c r="Y1534" s="87" t="s">
        <v>8373</v>
      </c>
      <c r="Z1534" s="87"/>
      <c r="AA1534" s="87" t="s">
        <v>9619</v>
      </c>
      <c r="AB1534" s="87" t="s">
        <v>11448</v>
      </c>
      <c r="AC1534" s="93" t="s">
        <v>11457</v>
      </c>
      <c r="AD1534" s="87" t="s">
        <v>11523</v>
      </c>
      <c r="AE1534" s="92" t="str">
        <f>HYPERLINK("https://twitter.com/pde360/status/1682348192632025088")</f>
        <v>https://twitter.com/pde360/status/1682348192632025088</v>
      </c>
      <c r="AF1534" s="90">
        <v>45128.468055555553</v>
      </c>
      <c r="AG1534" s="99">
        <v>45128</v>
      </c>
      <c r="AH1534" s="93" t="s">
        <v>12939</v>
      </c>
      <c r="AI1534" s="87" t="b">
        <v>0</v>
      </c>
      <c r="AJ1534" s="87"/>
      <c r="AK1534" s="87"/>
      <c r="AL1534" s="87"/>
      <c r="AM1534" s="87"/>
      <c r="AN1534" s="87"/>
      <c r="AO1534" s="87"/>
      <c r="AP1534" s="87"/>
      <c r="AQ1534" s="87" t="s">
        <v>16432</v>
      </c>
      <c r="AR1534" s="87"/>
      <c r="AS1534" s="87"/>
      <c r="AT1534" s="87"/>
      <c r="AU1534" s="87"/>
      <c r="AV1534" s="92" t="str">
        <f>HYPERLINK("https://pbs.twimg.com/media/F0zHN7FXgAAgXsj.jpg")</f>
        <v>https://pbs.twimg.com/media/F0zHN7FXgAAgXsj.jpg</v>
      </c>
      <c r="AW1534" s="93" t="s">
        <v>19766</v>
      </c>
      <c r="AX1534" s="93" t="s">
        <v>19766</v>
      </c>
      <c r="AY1534" s="87"/>
      <c r="AZ1534" s="93" t="s">
        <v>22668</v>
      </c>
      <c r="BA1534" s="93" t="s">
        <v>22668</v>
      </c>
      <c r="BB1534" s="93" t="s">
        <v>22668</v>
      </c>
      <c r="BC1534" s="93" t="s">
        <v>19766</v>
      </c>
      <c r="BD1534" s="93" t="s">
        <v>23099</v>
      </c>
      <c r="BE1534" s="87"/>
      <c r="BF1534" s="87"/>
      <c r="BG1534" s="87"/>
      <c r="BH1534" s="87"/>
      <c r="BI1534" s="87"/>
    </row>
    <row r="1535" spans="1:61" x14ac:dyDescent="0.25">
      <c r="A1535" s="63" t="s">
        <v>757</v>
      </c>
      <c r="B1535" s="63" t="s">
        <v>757</v>
      </c>
      <c r="C1535" s="64"/>
      <c r="D1535" s="65"/>
      <c r="E1535" s="66"/>
      <c r="F1535" s="67"/>
      <c r="G1535" s="64"/>
      <c r="H1535" s="68"/>
      <c r="I1535" s="69"/>
      <c r="J1535" s="69"/>
      <c r="K1535" s="32"/>
      <c r="L1535" s="76">
        <v>1535</v>
      </c>
      <c r="M1535" s="76"/>
      <c r="N1535" s="71"/>
      <c r="O1535" s="87" t="s">
        <v>179</v>
      </c>
      <c r="P1535" s="90">
        <v>45127.550694444442</v>
      </c>
      <c r="Q1535" s="87" t="s">
        <v>3333</v>
      </c>
      <c r="R1535" s="87">
        <v>0</v>
      </c>
      <c r="S1535" s="87">
        <v>0</v>
      </c>
      <c r="T1535" s="87">
        <v>0</v>
      </c>
      <c r="U1535" s="87">
        <v>0</v>
      </c>
      <c r="V1535" s="87">
        <v>1</v>
      </c>
      <c r="W1535" s="93" t="s">
        <v>6902</v>
      </c>
      <c r="X1535" s="92" t="str">
        <f>HYPERLINK("https://portaldoempreendedor360.com.br/cursos-e-capacitacoes/cursos-seo/diferenca-entre-seo-organico-e-pago/")</f>
        <v>https://portaldoempreendedor360.com.br/cursos-e-capacitacoes/cursos-seo/diferenca-entre-seo-organico-e-pago/</v>
      </c>
      <c r="Y1535" s="87" t="s">
        <v>8373</v>
      </c>
      <c r="Z1535" s="87"/>
      <c r="AA1535" s="87" t="s">
        <v>9620</v>
      </c>
      <c r="AB1535" s="87" t="s">
        <v>11448</v>
      </c>
      <c r="AC1535" s="93" t="s">
        <v>11457</v>
      </c>
      <c r="AD1535" s="87" t="s">
        <v>11519</v>
      </c>
      <c r="AE1535" s="92" t="str">
        <f>HYPERLINK("https://twitter.com/pde360/status/1682015751866073090")</f>
        <v>https://twitter.com/pde360/status/1682015751866073090</v>
      </c>
      <c r="AF1535" s="90">
        <v>45127.550694444442</v>
      </c>
      <c r="AG1535" s="99">
        <v>45127</v>
      </c>
      <c r="AH1535" s="93" t="s">
        <v>12940</v>
      </c>
      <c r="AI1535" s="87" t="b">
        <v>0</v>
      </c>
      <c r="AJ1535" s="87"/>
      <c r="AK1535" s="87"/>
      <c r="AL1535" s="87"/>
      <c r="AM1535" s="87"/>
      <c r="AN1535" s="87"/>
      <c r="AO1535" s="87"/>
      <c r="AP1535" s="87"/>
      <c r="AQ1535" s="87" t="s">
        <v>16433</v>
      </c>
      <c r="AR1535" s="87"/>
      <c r="AS1535" s="87"/>
      <c r="AT1535" s="87"/>
      <c r="AU1535" s="87"/>
      <c r="AV1535" s="92" t="str">
        <f>HYPERLINK("https://pbs.twimg.com/media/F0zG__mWcAEWWZM.jpg")</f>
        <v>https://pbs.twimg.com/media/F0zG__mWcAEWWZM.jpg</v>
      </c>
      <c r="AW1535" s="93" t="s">
        <v>19767</v>
      </c>
      <c r="AX1535" s="93" t="s">
        <v>19767</v>
      </c>
      <c r="AY1535" s="87"/>
      <c r="AZ1535" s="93" t="s">
        <v>22668</v>
      </c>
      <c r="BA1535" s="93" t="s">
        <v>22668</v>
      </c>
      <c r="BB1535" s="93" t="s">
        <v>22668</v>
      </c>
      <c r="BC1535" s="93" t="s">
        <v>19767</v>
      </c>
      <c r="BD1535" s="93" t="s">
        <v>23099</v>
      </c>
      <c r="BE1535" s="87"/>
      <c r="BF1535" s="87"/>
      <c r="BG1535" s="87"/>
      <c r="BH1535" s="87"/>
      <c r="BI1535" s="87"/>
    </row>
    <row r="1536" spans="1:61" x14ac:dyDescent="0.25">
      <c r="A1536" s="63" t="s">
        <v>757</v>
      </c>
      <c r="B1536" s="63" t="s">
        <v>757</v>
      </c>
      <c r="C1536" s="64"/>
      <c r="D1536" s="65"/>
      <c r="E1536" s="66"/>
      <c r="F1536" s="67"/>
      <c r="G1536" s="64"/>
      <c r="H1536" s="68"/>
      <c r="I1536" s="69"/>
      <c r="J1536" s="69"/>
      <c r="K1536" s="32"/>
      <c r="L1536" s="76">
        <v>1536</v>
      </c>
      <c r="M1536" s="76"/>
      <c r="N1536" s="71"/>
      <c r="O1536" s="87" t="s">
        <v>179</v>
      </c>
      <c r="P1536" s="90">
        <v>45137.503472222219</v>
      </c>
      <c r="Q1536" s="87" t="s">
        <v>3334</v>
      </c>
      <c r="R1536" s="87">
        <v>0</v>
      </c>
      <c r="S1536" s="87">
        <v>0</v>
      </c>
      <c r="T1536" s="87">
        <v>1</v>
      </c>
      <c r="U1536" s="87">
        <v>0</v>
      </c>
      <c r="V1536" s="87">
        <v>1</v>
      </c>
      <c r="W1536" s="93" t="s">
        <v>6901</v>
      </c>
      <c r="X1536" s="92" t="str">
        <f>HYPERLINK("https://portaldoempreendedor360.com.br/cursos-e-capacitacoes/cursos-seo/o-que-e-seo-e-sua-importancia/")</f>
        <v>https://portaldoempreendedor360.com.br/cursos-e-capacitacoes/cursos-seo/o-que-e-seo-e-sua-importancia/</v>
      </c>
      <c r="Y1536" s="87" t="s">
        <v>8373</v>
      </c>
      <c r="Z1536" s="87"/>
      <c r="AA1536" s="87" t="s">
        <v>9621</v>
      </c>
      <c r="AB1536" s="87" t="s">
        <v>11448</v>
      </c>
      <c r="AC1536" s="93" t="s">
        <v>11457</v>
      </c>
      <c r="AD1536" s="87" t="s">
        <v>11519</v>
      </c>
      <c r="AE1536" s="92" t="str">
        <f>HYPERLINK("https://twitter.com/pde360/status/1685622518168813569")</f>
        <v>https://twitter.com/pde360/status/1685622518168813569</v>
      </c>
      <c r="AF1536" s="90">
        <v>45137.503472222219</v>
      </c>
      <c r="AG1536" s="99">
        <v>45137</v>
      </c>
      <c r="AH1536" s="93" t="s">
        <v>12941</v>
      </c>
      <c r="AI1536" s="87" t="b">
        <v>0</v>
      </c>
      <c r="AJ1536" s="87"/>
      <c r="AK1536" s="87"/>
      <c r="AL1536" s="87"/>
      <c r="AM1536" s="87"/>
      <c r="AN1536" s="87"/>
      <c r="AO1536" s="87"/>
      <c r="AP1536" s="87"/>
      <c r="AQ1536" s="87" t="s">
        <v>16434</v>
      </c>
      <c r="AR1536" s="87"/>
      <c r="AS1536" s="87"/>
      <c r="AT1536" s="87"/>
      <c r="AU1536" s="87"/>
      <c r="AV1536" s="92" t="str">
        <f>HYPERLINK("https://pbs.twimg.com/media/F0zFJLkWYAMU0Gy.jpg")</f>
        <v>https://pbs.twimg.com/media/F0zFJLkWYAMU0Gy.jpg</v>
      </c>
      <c r="AW1536" s="93" t="s">
        <v>19768</v>
      </c>
      <c r="AX1536" s="93" t="s">
        <v>19768</v>
      </c>
      <c r="AY1536" s="87"/>
      <c r="AZ1536" s="93" t="s">
        <v>22668</v>
      </c>
      <c r="BA1536" s="93" t="s">
        <v>22668</v>
      </c>
      <c r="BB1536" s="93" t="s">
        <v>22668</v>
      </c>
      <c r="BC1536" s="93" t="s">
        <v>19768</v>
      </c>
      <c r="BD1536" s="93" t="s">
        <v>23099</v>
      </c>
      <c r="BE1536" s="87"/>
      <c r="BF1536" s="87"/>
      <c r="BG1536" s="87"/>
      <c r="BH1536" s="87"/>
      <c r="BI1536" s="87"/>
    </row>
    <row r="1537" spans="1:61" x14ac:dyDescent="0.25">
      <c r="A1537" s="63" t="s">
        <v>757</v>
      </c>
      <c r="B1537" s="63" t="s">
        <v>757</v>
      </c>
      <c r="C1537" s="64"/>
      <c r="D1537" s="65"/>
      <c r="E1537" s="66"/>
      <c r="F1537" s="67"/>
      <c r="G1537" s="64"/>
      <c r="H1537" s="68"/>
      <c r="I1537" s="69"/>
      <c r="J1537" s="69"/>
      <c r="K1537" s="32"/>
      <c r="L1537" s="76">
        <v>1537</v>
      </c>
      <c r="M1537" s="76"/>
      <c r="N1537" s="71"/>
      <c r="O1537" s="87" t="s">
        <v>179</v>
      </c>
      <c r="P1537" s="90">
        <v>45136.554861111108</v>
      </c>
      <c r="Q1537" s="87" t="s">
        <v>3335</v>
      </c>
      <c r="R1537" s="87">
        <v>0</v>
      </c>
      <c r="S1537" s="87">
        <v>0</v>
      </c>
      <c r="T1537" s="87">
        <v>1</v>
      </c>
      <c r="U1537" s="87">
        <v>0</v>
      </c>
      <c r="V1537" s="87">
        <v>6</v>
      </c>
      <c r="W1537" s="93" t="s">
        <v>6903</v>
      </c>
      <c r="X1537" s="92" t="str">
        <f>HYPERLINK("https://portaldoempreendedor360.com.br/inovacao-e-tecnologia/ferramentas/10-dicas-para-o-ahrefs/")</f>
        <v>https://portaldoempreendedor360.com.br/inovacao-e-tecnologia/ferramentas/10-dicas-para-o-ahrefs/</v>
      </c>
      <c r="Y1537" s="87" t="s">
        <v>8373</v>
      </c>
      <c r="Z1537" s="87"/>
      <c r="AA1537" s="87" t="s">
        <v>9622</v>
      </c>
      <c r="AB1537" s="87" t="s">
        <v>11448</v>
      </c>
      <c r="AC1537" s="93" t="s">
        <v>11457</v>
      </c>
      <c r="AD1537" s="87" t="s">
        <v>11523</v>
      </c>
      <c r="AE1537" s="92" t="str">
        <f>HYPERLINK("https://twitter.com/pde360/status/1685278752526442498")</f>
        <v>https://twitter.com/pde360/status/1685278752526442498</v>
      </c>
      <c r="AF1537" s="90">
        <v>45136.554861111108</v>
      </c>
      <c r="AG1537" s="99">
        <v>45136</v>
      </c>
      <c r="AH1537" s="93" t="s">
        <v>12937</v>
      </c>
      <c r="AI1537" s="87" t="b">
        <v>0</v>
      </c>
      <c r="AJ1537" s="87"/>
      <c r="AK1537" s="87"/>
      <c r="AL1537" s="87"/>
      <c r="AM1537" s="87"/>
      <c r="AN1537" s="87"/>
      <c r="AO1537" s="87"/>
      <c r="AP1537" s="87"/>
      <c r="AQ1537" s="87" t="s">
        <v>16435</v>
      </c>
      <c r="AR1537" s="87"/>
      <c r="AS1537" s="87"/>
      <c r="AT1537" s="87"/>
      <c r="AU1537" s="87"/>
      <c r="AV1537" s="92" t="str">
        <f>HYPERLINK("https://pbs.twimg.com/media/F0zIeEBWAAIecnF.jpg")</f>
        <v>https://pbs.twimg.com/media/F0zIeEBWAAIecnF.jpg</v>
      </c>
      <c r="AW1537" s="93" t="s">
        <v>19769</v>
      </c>
      <c r="AX1537" s="93" t="s">
        <v>19769</v>
      </c>
      <c r="AY1537" s="87"/>
      <c r="AZ1537" s="93" t="s">
        <v>22668</v>
      </c>
      <c r="BA1537" s="93" t="s">
        <v>22668</v>
      </c>
      <c r="BB1537" s="93" t="s">
        <v>22668</v>
      </c>
      <c r="BC1537" s="93" t="s">
        <v>19769</v>
      </c>
      <c r="BD1537" s="93" t="s">
        <v>23099</v>
      </c>
      <c r="BE1537" s="87"/>
      <c r="BF1537" s="87"/>
      <c r="BG1537" s="87"/>
      <c r="BH1537" s="87"/>
      <c r="BI1537" s="87"/>
    </row>
    <row r="1538" spans="1:61" x14ac:dyDescent="0.25">
      <c r="A1538" s="63" t="s">
        <v>757</v>
      </c>
      <c r="B1538" s="63" t="s">
        <v>757</v>
      </c>
      <c r="C1538" s="64"/>
      <c r="D1538" s="65"/>
      <c r="E1538" s="66"/>
      <c r="F1538" s="67"/>
      <c r="G1538" s="64"/>
      <c r="H1538" s="68"/>
      <c r="I1538" s="69"/>
      <c r="J1538" s="69"/>
      <c r="K1538" s="32"/>
      <c r="L1538" s="76">
        <v>1538</v>
      </c>
      <c r="M1538" s="76"/>
      <c r="N1538" s="71"/>
      <c r="O1538" s="87" t="s">
        <v>179</v>
      </c>
      <c r="P1538" s="90">
        <v>45121.504166666666</v>
      </c>
      <c r="Q1538" s="87" t="s">
        <v>3336</v>
      </c>
      <c r="R1538" s="87">
        <v>0</v>
      </c>
      <c r="S1538" s="87">
        <v>0</v>
      </c>
      <c r="T1538" s="87">
        <v>0</v>
      </c>
      <c r="U1538" s="87">
        <v>0</v>
      </c>
      <c r="V1538" s="87">
        <v>3</v>
      </c>
      <c r="W1538" s="93" t="s">
        <v>6901</v>
      </c>
      <c r="X1538" s="92" t="str">
        <f>HYPERLINK("https://portaldoempreendedor360.com.br/inovacao-e-tecnologia/ferramentas/ahrefs-uma-poderosa-ferramenta-para-aprimorar-sua-estrategia-de-seo/")</f>
        <v>https://portaldoempreendedor360.com.br/inovacao-e-tecnologia/ferramentas/ahrefs-uma-poderosa-ferramenta-para-aprimorar-sua-estrategia-de-seo/</v>
      </c>
      <c r="Y1538" s="87" t="s">
        <v>8373</v>
      </c>
      <c r="Z1538" s="87"/>
      <c r="AA1538" s="87" t="s">
        <v>9623</v>
      </c>
      <c r="AB1538" s="87" t="s">
        <v>11448</v>
      </c>
      <c r="AC1538" s="93" t="s">
        <v>11457</v>
      </c>
      <c r="AD1538" s="87" t="s">
        <v>11519</v>
      </c>
      <c r="AE1538" s="92" t="str">
        <f>HYPERLINK("https://twitter.com/pde360/status/1679824563847430145")</f>
        <v>https://twitter.com/pde360/status/1679824563847430145</v>
      </c>
      <c r="AF1538" s="90">
        <v>45121.504166666666</v>
      </c>
      <c r="AG1538" s="99">
        <v>45121</v>
      </c>
      <c r="AH1538" s="93" t="s">
        <v>12942</v>
      </c>
      <c r="AI1538" s="87" t="b">
        <v>0</v>
      </c>
      <c r="AJ1538" s="87"/>
      <c r="AK1538" s="87"/>
      <c r="AL1538" s="87"/>
      <c r="AM1538" s="87"/>
      <c r="AN1538" s="87"/>
      <c r="AO1538" s="87"/>
      <c r="AP1538" s="87"/>
      <c r="AQ1538" s="87" t="s">
        <v>16436</v>
      </c>
      <c r="AR1538" s="87"/>
      <c r="AS1538" s="87"/>
      <c r="AT1538" s="87"/>
      <c r="AU1538" s="87"/>
      <c r="AV1538" s="92" t="str">
        <f>HYPERLINK("https://pbs.twimg.com/media/F0zFnfmXoAETryQ.jpg")</f>
        <v>https://pbs.twimg.com/media/F0zFnfmXoAETryQ.jpg</v>
      </c>
      <c r="AW1538" s="93" t="s">
        <v>19770</v>
      </c>
      <c r="AX1538" s="93" t="s">
        <v>19770</v>
      </c>
      <c r="AY1538" s="87"/>
      <c r="AZ1538" s="93" t="s">
        <v>22668</v>
      </c>
      <c r="BA1538" s="93" t="s">
        <v>22668</v>
      </c>
      <c r="BB1538" s="93" t="s">
        <v>22668</v>
      </c>
      <c r="BC1538" s="93" t="s">
        <v>19770</v>
      </c>
      <c r="BD1538" s="93" t="s">
        <v>23099</v>
      </c>
      <c r="BE1538" s="87"/>
      <c r="BF1538" s="87"/>
      <c r="BG1538" s="87"/>
      <c r="BH1538" s="87"/>
      <c r="BI1538" s="87"/>
    </row>
    <row r="1539" spans="1:61" x14ac:dyDescent="0.25">
      <c r="A1539" s="63" t="s">
        <v>757</v>
      </c>
      <c r="B1539" s="63" t="s">
        <v>757</v>
      </c>
      <c r="C1539" s="64"/>
      <c r="D1539" s="65"/>
      <c r="E1539" s="66"/>
      <c r="F1539" s="67"/>
      <c r="G1539" s="64"/>
      <c r="H1539" s="68"/>
      <c r="I1539" s="69"/>
      <c r="J1539" s="69"/>
      <c r="K1539" s="32"/>
      <c r="L1539" s="76">
        <v>1539</v>
      </c>
      <c r="M1539" s="76"/>
      <c r="N1539" s="71"/>
      <c r="O1539" s="87" t="s">
        <v>179</v>
      </c>
      <c r="P1539" s="90">
        <v>45121.04583333333</v>
      </c>
      <c r="Q1539" s="87" t="s">
        <v>3337</v>
      </c>
      <c r="R1539" s="87">
        <v>0</v>
      </c>
      <c r="S1539" s="87">
        <v>0</v>
      </c>
      <c r="T1539" s="87">
        <v>0</v>
      </c>
      <c r="U1539" s="87">
        <v>0</v>
      </c>
      <c r="V1539" s="87">
        <v>5</v>
      </c>
      <c r="W1539" s="93" t="s">
        <v>6901</v>
      </c>
      <c r="X1539" s="92" t="str">
        <f>HYPERLINK("https://portaldoempreendedor360.com.br/cursos-e-capacitacoes/cursos-seo/melhores-praticas-de-url-titulos-e-meta-descricoes/")</f>
        <v>https://portaldoempreendedor360.com.br/cursos-e-capacitacoes/cursos-seo/melhores-praticas-de-url-titulos-e-meta-descricoes/</v>
      </c>
      <c r="Y1539" s="87" t="s">
        <v>8373</v>
      </c>
      <c r="Z1539" s="87"/>
      <c r="AA1539" s="87" t="s">
        <v>9624</v>
      </c>
      <c r="AB1539" s="87" t="s">
        <v>11448</v>
      </c>
      <c r="AC1539" s="93" t="s">
        <v>11457</v>
      </c>
      <c r="AD1539" s="87" t="s">
        <v>11519</v>
      </c>
      <c r="AE1539" s="92" t="str">
        <f>HYPERLINK("https://twitter.com/pde360/status/1679658469102870530")</f>
        <v>https://twitter.com/pde360/status/1679658469102870530</v>
      </c>
      <c r="AF1539" s="90">
        <v>45121.04583333333</v>
      </c>
      <c r="AG1539" s="99">
        <v>45121</v>
      </c>
      <c r="AH1539" s="93" t="s">
        <v>12943</v>
      </c>
      <c r="AI1539" s="87" t="b">
        <v>0</v>
      </c>
      <c r="AJ1539" s="87"/>
      <c r="AK1539" s="87"/>
      <c r="AL1539" s="87"/>
      <c r="AM1539" s="87"/>
      <c r="AN1539" s="87"/>
      <c r="AO1539" s="87"/>
      <c r="AP1539" s="87"/>
      <c r="AQ1539" s="87" t="s">
        <v>16437</v>
      </c>
      <c r="AR1539" s="87"/>
      <c r="AS1539" s="87"/>
      <c r="AT1539" s="87"/>
      <c r="AU1539" s="87"/>
      <c r="AV1539" s="92" t="str">
        <f>HYPERLINK("https://pbs.twimg.com/media/F0zFc8zXwAMrLYV.jpg")</f>
        <v>https://pbs.twimg.com/media/F0zFc8zXwAMrLYV.jpg</v>
      </c>
      <c r="AW1539" s="93" t="s">
        <v>19771</v>
      </c>
      <c r="AX1539" s="93" t="s">
        <v>19771</v>
      </c>
      <c r="AY1539" s="87"/>
      <c r="AZ1539" s="93" t="s">
        <v>22668</v>
      </c>
      <c r="BA1539" s="93" t="s">
        <v>22668</v>
      </c>
      <c r="BB1539" s="93" t="s">
        <v>22668</v>
      </c>
      <c r="BC1539" s="93" t="s">
        <v>19771</v>
      </c>
      <c r="BD1539" s="93" t="s">
        <v>23099</v>
      </c>
      <c r="BE1539" s="87"/>
      <c r="BF1539" s="87"/>
      <c r="BG1539" s="87"/>
      <c r="BH1539" s="87"/>
      <c r="BI1539" s="87"/>
    </row>
    <row r="1540" spans="1:61" x14ac:dyDescent="0.25">
      <c r="A1540" s="63" t="s">
        <v>757</v>
      </c>
      <c r="B1540" s="63" t="s">
        <v>757</v>
      </c>
      <c r="C1540" s="64"/>
      <c r="D1540" s="65"/>
      <c r="E1540" s="66"/>
      <c r="F1540" s="67"/>
      <c r="G1540" s="64"/>
      <c r="H1540" s="68"/>
      <c r="I1540" s="69"/>
      <c r="J1540" s="69"/>
      <c r="K1540" s="32"/>
      <c r="L1540" s="76">
        <v>1540</v>
      </c>
      <c r="M1540" s="76"/>
      <c r="N1540" s="71"/>
      <c r="O1540" s="87" t="s">
        <v>179</v>
      </c>
      <c r="P1540" s="90">
        <v>45145.584027777775</v>
      </c>
      <c r="Q1540" s="87" t="s">
        <v>3338</v>
      </c>
      <c r="R1540" s="87">
        <v>0</v>
      </c>
      <c r="S1540" s="87">
        <v>0</v>
      </c>
      <c r="T1540" s="87">
        <v>0</v>
      </c>
      <c r="U1540" s="87">
        <v>0</v>
      </c>
      <c r="V1540" s="87">
        <v>5</v>
      </c>
      <c r="W1540" s="93" t="s">
        <v>6901</v>
      </c>
      <c r="X1540" s="92" t="str">
        <f>HYPERLINK("https://portaldoempreendedor360.com.br/cursos-e-capacitacoes/cursos-seo/ferramentas-de-pesquisa-de-palavras-chave/")</f>
        <v>https://portaldoempreendedor360.com.br/cursos-e-capacitacoes/cursos-seo/ferramentas-de-pesquisa-de-palavras-chave/</v>
      </c>
      <c r="Y1540" s="87" t="s">
        <v>8373</v>
      </c>
      <c r="Z1540" s="87"/>
      <c r="AA1540" s="87" t="s">
        <v>9625</v>
      </c>
      <c r="AB1540" s="87" t="s">
        <v>11448</v>
      </c>
      <c r="AC1540" s="93" t="s">
        <v>11457</v>
      </c>
      <c r="AD1540" s="87" t="s">
        <v>11519</v>
      </c>
      <c r="AE1540" s="92" t="str">
        <f>HYPERLINK("https://twitter.com/pde360/status/1688550813193629696")</f>
        <v>https://twitter.com/pde360/status/1688550813193629696</v>
      </c>
      <c r="AF1540" s="90">
        <v>45145.584027777775</v>
      </c>
      <c r="AG1540" s="99">
        <v>45145</v>
      </c>
      <c r="AH1540" s="93" t="s">
        <v>12674</v>
      </c>
      <c r="AI1540" s="87" t="b">
        <v>0</v>
      </c>
      <c r="AJ1540" s="87"/>
      <c r="AK1540" s="87"/>
      <c r="AL1540" s="87"/>
      <c r="AM1540" s="87"/>
      <c r="AN1540" s="87"/>
      <c r="AO1540" s="87"/>
      <c r="AP1540" s="87"/>
      <c r="AQ1540" s="87" t="s">
        <v>16438</v>
      </c>
      <c r="AR1540" s="87"/>
      <c r="AS1540" s="87"/>
      <c r="AT1540" s="87"/>
      <c r="AU1540" s="87"/>
      <c r="AV1540" s="92" t="str">
        <f>HYPERLINK("https://pbs.twimg.com/media/F0zEQupWAAE-dgD.jpg")</f>
        <v>https://pbs.twimg.com/media/F0zEQupWAAE-dgD.jpg</v>
      </c>
      <c r="AW1540" s="93" t="s">
        <v>19772</v>
      </c>
      <c r="AX1540" s="93" t="s">
        <v>19772</v>
      </c>
      <c r="AY1540" s="87"/>
      <c r="AZ1540" s="93" t="s">
        <v>22668</v>
      </c>
      <c r="BA1540" s="93" t="s">
        <v>22668</v>
      </c>
      <c r="BB1540" s="93" t="s">
        <v>22668</v>
      </c>
      <c r="BC1540" s="93" t="s">
        <v>19772</v>
      </c>
      <c r="BD1540" s="93" t="s">
        <v>23099</v>
      </c>
      <c r="BE1540" s="87"/>
      <c r="BF1540" s="87"/>
      <c r="BG1540" s="87"/>
      <c r="BH1540" s="87"/>
      <c r="BI1540" s="87"/>
    </row>
    <row r="1541" spans="1:61" x14ac:dyDescent="0.25">
      <c r="A1541" s="63" t="s">
        <v>757</v>
      </c>
      <c r="B1541" s="63" t="s">
        <v>757</v>
      </c>
      <c r="C1541" s="64"/>
      <c r="D1541" s="65"/>
      <c r="E1541" s="66"/>
      <c r="F1541" s="67"/>
      <c r="G1541" s="64"/>
      <c r="H1541" s="68"/>
      <c r="I1541" s="69"/>
      <c r="J1541" s="69"/>
      <c r="K1541" s="32"/>
      <c r="L1541" s="76">
        <v>1541</v>
      </c>
      <c r="M1541" s="76"/>
      <c r="N1541" s="71"/>
      <c r="O1541" s="87" t="s">
        <v>179</v>
      </c>
      <c r="P1541" s="90">
        <v>45134.553472222222</v>
      </c>
      <c r="Q1541" s="87" t="s">
        <v>3339</v>
      </c>
      <c r="R1541" s="87">
        <v>0</v>
      </c>
      <c r="S1541" s="87">
        <v>0</v>
      </c>
      <c r="T1541" s="87">
        <v>0</v>
      </c>
      <c r="U1541" s="87">
        <v>0</v>
      </c>
      <c r="V1541" s="87">
        <v>7</v>
      </c>
      <c r="W1541" s="93" t="s">
        <v>6903</v>
      </c>
      <c r="X1541" s="92" t="str">
        <f>HYPERLINK("https://portaldoempreendedor360.com.br/marketing-e-vendas/seo-search-engine-optimization/moz-pro-potencialize-sua-estrategia-de-seo-com-esta-poderosa-ferramenta/")</f>
        <v>https://portaldoempreendedor360.com.br/marketing-e-vendas/seo-search-engine-optimization/moz-pro-potencialize-sua-estrategia-de-seo-com-esta-poderosa-ferramenta/</v>
      </c>
      <c r="Y1541" s="87" t="s">
        <v>8373</v>
      </c>
      <c r="Z1541" s="87"/>
      <c r="AA1541" s="87" t="s">
        <v>9626</v>
      </c>
      <c r="AB1541" s="87" t="s">
        <v>11448</v>
      </c>
      <c r="AC1541" s="93" t="s">
        <v>11457</v>
      </c>
      <c r="AD1541" s="87" t="s">
        <v>11519</v>
      </c>
      <c r="AE1541" s="92" t="str">
        <f>HYPERLINK("https://twitter.com/pde360/status/1684553473638146048")</f>
        <v>https://twitter.com/pde360/status/1684553473638146048</v>
      </c>
      <c r="AF1541" s="90">
        <v>45134.553472222222</v>
      </c>
      <c r="AG1541" s="99">
        <v>45134</v>
      </c>
      <c r="AH1541" s="93" t="s">
        <v>12944</v>
      </c>
      <c r="AI1541" s="87" t="b">
        <v>0</v>
      </c>
      <c r="AJ1541" s="87"/>
      <c r="AK1541" s="87"/>
      <c r="AL1541" s="87"/>
      <c r="AM1541" s="87"/>
      <c r="AN1541" s="87"/>
      <c r="AO1541" s="87"/>
      <c r="AP1541" s="87"/>
      <c r="AQ1541" s="87" t="s">
        <v>16439</v>
      </c>
      <c r="AR1541" s="87"/>
      <c r="AS1541" s="87"/>
      <c r="AT1541" s="87"/>
      <c r="AU1541" s="87"/>
      <c r="AV1541" s="92" t="str">
        <f>HYPERLINK("https://pbs.twimg.com/media/F0zH9ZiWAAANOqP.jpg")</f>
        <v>https://pbs.twimg.com/media/F0zH9ZiWAAANOqP.jpg</v>
      </c>
      <c r="AW1541" s="93" t="s">
        <v>19773</v>
      </c>
      <c r="AX1541" s="93" t="s">
        <v>19773</v>
      </c>
      <c r="AY1541" s="87"/>
      <c r="AZ1541" s="93" t="s">
        <v>22668</v>
      </c>
      <c r="BA1541" s="93" t="s">
        <v>22668</v>
      </c>
      <c r="BB1541" s="93" t="s">
        <v>22668</v>
      </c>
      <c r="BC1541" s="93" t="s">
        <v>19773</v>
      </c>
      <c r="BD1541" s="93" t="s">
        <v>23099</v>
      </c>
      <c r="BE1541" s="87"/>
      <c r="BF1541" s="87"/>
      <c r="BG1541" s="87"/>
      <c r="BH1541" s="87"/>
      <c r="BI1541" s="87"/>
    </row>
    <row r="1542" spans="1:61" x14ac:dyDescent="0.25">
      <c r="A1542" s="63" t="s">
        <v>757</v>
      </c>
      <c r="B1542" s="63" t="s">
        <v>757</v>
      </c>
      <c r="C1542" s="64"/>
      <c r="D1542" s="65"/>
      <c r="E1542" s="66"/>
      <c r="F1542" s="67"/>
      <c r="G1542" s="64"/>
      <c r="H1542" s="68"/>
      <c r="I1542" s="69"/>
      <c r="J1542" s="69"/>
      <c r="K1542" s="32"/>
      <c r="L1542" s="76">
        <v>1542</v>
      </c>
      <c r="M1542" s="76"/>
      <c r="N1542" s="71"/>
      <c r="O1542" s="87" t="s">
        <v>179</v>
      </c>
      <c r="P1542" s="90">
        <v>45133.556250000001</v>
      </c>
      <c r="Q1542" s="87" t="s">
        <v>3340</v>
      </c>
      <c r="R1542" s="87">
        <v>0</v>
      </c>
      <c r="S1542" s="87">
        <v>0</v>
      </c>
      <c r="T1542" s="87">
        <v>0</v>
      </c>
      <c r="U1542" s="87">
        <v>0</v>
      </c>
      <c r="V1542" s="87">
        <v>2</v>
      </c>
      <c r="W1542" s="93" t="s">
        <v>6903</v>
      </c>
      <c r="X1542" s="92" t="str">
        <f>HYPERLINK("https://portaldoempreendedor360.com.br/cursos-e-capacitacoes/cursos-seo/otimizacao-de-conteudo-e-uso-de-palavras-chave/")</f>
        <v>https://portaldoempreendedor360.com.br/cursos-e-capacitacoes/cursos-seo/otimizacao-de-conteudo-e-uso-de-palavras-chave/</v>
      </c>
      <c r="Y1542" s="87" t="s">
        <v>8373</v>
      </c>
      <c r="Z1542" s="87"/>
      <c r="AA1542" s="87" t="s">
        <v>9627</v>
      </c>
      <c r="AB1542" s="87" t="s">
        <v>11448</v>
      </c>
      <c r="AC1542" s="93" t="s">
        <v>11457</v>
      </c>
      <c r="AD1542" s="87" t="s">
        <v>11519</v>
      </c>
      <c r="AE1542" s="92" t="str">
        <f>HYPERLINK("https://twitter.com/pde360/status/1684192092321619968")</f>
        <v>https://twitter.com/pde360/status/1684192092321619968</v>
      </c>
      <c r="AF1542" s="90">
        <v>45133.556250000001</v>
      </c>
      <c r="AG1542" s="99">
        <v>45133</v>
      </c>
      <c r="AH1542" s="93" t="s">
        <v>12945</v>
      </c>
      <c r="AI1542" s="87" t="b">
        <v>0</v>
      </c>
      <c r="AJ1542" s="87"/>
      <c r="AK1542" s="87"/>
      <c r="AL1542" s="87"/>
      <c r="AM1542" s="87"/>
      <c r="AN1542" s="87"/>
      <c r="AO1542" s="87"/>
      <c r="AP1542" s="87"/>
      <c r="AQ1542" s="87" t="s">
        <v>16440</v>
      </c>
      <c r="AR1542" s="87"/>
      <c r="AS1542" s="87"/>
      <c r="AT1542" s="87"/>
      <c r="AU1542" s="87"/>
      <c r="AV1542" s="92" t="str">
        <f>HYPERLINK("https://pbs.twimg.com/media/F0zI0hnWwAAFJrt.jpg")</f>
        <v>https://pbs.twimg.com/media/F0zI0hnWwAAFJrt.jpg</v>
      </c>
      <c r="AW1542" s="93" t="s">
        <v>19774</v>
      </c>
      <c r="AX1542" s="93" t="s">
        <v>19774</v>
      </c>
      <c r="AY1542" s="87"/>
      <c r="AZ1542" s="93" t="s">
        <v>22668</v>
      </c>
      <c r="BA1542" s="93" t="s">
        <v>22668</v>
      </c>
      <c r="BB1542" s="93" t="s">
        <v>22668</v>
      </c>
      <c r="BC1542" s="93" t="s">
        <v>19774</v>
      </c>
      <c r="BD1542" s="93" t="s">
        <v>23099</v>
      </c>
      <c r="BE1542" s="87"/>
      <c r="BF1542" s="87"/>
      <c r="BG1542" s="87"/>
      <c r="BH1542" s="87"/>
      <c r="BI1542" s="87"/>
    </row>
    <row r="1543" spans="1:61" x14ac:dyDescent="0.25">
      <c r="A1543" s="63" t="s">
        <v>757</v>
      </c>
      <c r="B1543" s="63" t="s">
        <v>757</v>
      </c>
      <c r="C1543" s="64"/>
      <c r="D1543" s="65"/>
      <c r="E1543" s="66"/>
      <c r="F1543" s="67"/>
      <c r="G1543" s="64"/>
      <c r="H1543" s="68"/>
      <c r="I1543" s="69"/>
      <c r="J1543" s="69"/>
      <c r="K1543" s="32"/>
      <c r="L1543" s="76">
        <v>1543</v>
      </c>
      <c r="M1543" s="76"/>
      <c r="N1543" s="71"/>
      <c r="O1543" s="87" t="s">
        <v>179</v>
      </c>
      <c r="P1543" s="90">
        <v>45119.655555555553</v>
      </c>
      <c r="Q1543" s="87" t="s">
        <v>3341</v>
      </c>
      <c r="R1543" s="87">
        <v>0</v>
      </c>
      <c r="S1543" s="87">
        <v>0</v>
      </c>
      <c r="T1543" s="87">
        <v>0</v>
      </c>
      <c r="U1543" s="87">
        <v>0</v>
      </c>
      <c r="V1543" s="87">
        <v>2</v>
      </c>
      <c r="W1543" s="93" t="s">
        <v>6901</v>
      </c>
      <c r="X1543" s="92" t="str">
        <f>HYPERLINK("https://portaldoempreendedor360.com.br/cursos-e-capacitacoes/cursos-seo/avaliacao-da-qualidade-dos-backlinks/")</f>
        <v>https://portaldoempreendedor360.com.br/cursos-e-capacitacoes/cursos-seo/avaliacao-da-qualidade-dos-backlinks/</v>
      </c>
      <c r="Y1543" s="87" t="s">
        <v>8373</v>
      </c>
      <c r="Z1543" s="87"/>
      <c r="AA1543" s="87" t="s">
        <v>9628</v>
      </c>
      <c r="AB1543" s="87" t="s">
        <v>11448</v>
      </c>
      <c r="AC1543" s="93" t="s">
        <v>11457</v>
      </c>
      <c r="AD1543" s="87" t="s">
        <v>11519</v>
      </c>
      <c r="AE1543" s="92" t="str">
        <f>HYPERLINK("https://twitter.com/pde360/status/1679154649205551109")</f>
        <v>https://twitter.com/pde360/status/1679154649205551109</v>
      </c>
      <c r="AF1543" s="90">
        <v>45119.655555555553</v>
      </c>
      <c r="AG1543" s="99">
        <v>45119</v>
      </c>
      <c r="AH1543" s="93" t="s">
        <v>12946</v>
      </c>
      <c r="AI1543" s="87" t="b">
        <v>0</v>
      </c>
      <c r="AJ1543" s="87"/>
      <c r="AK1543" s="87"/>
      <c r="AL1543" s="87"/>
      <c r="AM1543" s="87"/>
      <c r="AN1543" s="87"/>
      <c r="AO1543" s="87"/>
      <c r="AP1543" s="87"/>
      <c r="AQ1543" s="87" t="s">
        <v>16441</v>
      </c>
      <c r="AR1543" s="87"/>
      <c r="AS1543" s="87"/>
      <c r="AT1543" s="87"/>
      <c r="AU1543" s="87"/>
      <c r="AV1543" s="92" t="str">
        <f>HYPERLINK("https://pbs.twimg.com/media/F0zAWTfWAAILAcA.jpg")</f>
        <v>https://pbs.twimg.com/media/F0zAWTfWAAILAcA.jpg</v>
      </c>
      <c r="AW1543" s="93" t="s">
        <v>19775</v>
      </c>
      <c r="AX1543" s="93" t="s">
        <v>19775</v>
      </c>
      <c r="AY1543" s="87"/>
      <c r="AZ1543" s="93" t="s">
        <v>22668</v>
      </c>
      <c r="BA1543" s="93" t="s">
        <v>22668</v>
      </c>
      <c r="BB1543" s="93" t="s">
        <v>22668</v>
      </c>
      <c r="BC1543" s="93" t="s">
        <v>19775</v>
      </c>
      <c r="BD1543" s="93" t="s">
        <v>23099</v>
      </c>
      <c r="BE1543" s="87"/>
      <c r="BF1543" s="87"/>
      <c r="BG1543" s="87"/>
      <c r="BH1543" s="87"/>
      <c r="BI1543" s="87"/>
    </row>
    <row r="1544" spans="1:61" x14ac:dyDescent="0.25">
      <c r="A1544" s="63" t="s">
        <v>757</v>
      </c>
      <c r="B1544" s="63" t="s">
        <v>757</v>
      </c>
      <c r="C1544" s="64"/>
      <c r="D1544" s="65"/>
      <c r="E1544" s="66"/>
      <c r="F1544" s="67"/>
      <c r="G1544" s="64"/>
      <c r="H1544" s="68"/>
      <c r="I1544" s="69"/>
      <c r="J1544" s="69"/>
      <c r="K1544" s="32"/>
      <c r="L1544" s="76">
        <v>1544</v>
      </c>
      <c r="M1544" s="76"/>
      <c r="N1544" s="71"/>
      <c r="O1544" s="87" t="s">
        <v>179</v>
      </c>
      <c r="P1544" s="90">
        <v>45119.030231481483</v>
      </c>
      <c r="Q1544" s="87" t="s">
        <v>3342</v>
      </c>
      <c r="R1544" s="87">
        <v>0</v>
      </c>
      <c r="S1544" s="87">
        <v>0</v>
      </c>
      <c r="T1544" s="87">
        <v>0</v>
      </c>
      <c r="U1544" s="87">
        <v>0</v>
      </c>
      <c r="V1544" s="87">
        <v>7</v>
      </c>
      <c r="W1544" s="93" t="s">
        <v>6905</v>
      </c>
      <c r="X1544" s="92" t="str">
        <f>HYPERLINK("https://portaldoempreendedor360.com.br/cursos-e-capacitacoes/cursos-seo/reivindicacao-e-otimizacao-de-perfis-em-diretorios-locais/")</f>
        <v>https://portaldoempreendedor360.com.br/cursos-e-capacitacoes/cursos-seo/reivindicacao-e-otimizacao-de-perfis-em-diretorios-locais/</v>
      </c>
      <c r="Y1544" s="87" t="s">
        <v>8373</v>
      </c>
      <c r="Z1544" s="87"/>
      <c r="AA1544" s="87" t="s">
        <v>9629</v>
      </c>
      <c r="AB1544" s="87" t="s">
        <v>11448</v>
      </c>
      <c r="AC1544" s="93" t="s">
        <v>11457</v>
      </c>
      <c r="AD1544" s="87" t="s">
        <v>11519</v>
      </c>
      <c r="AE1544" s="92" t="str">
        <f>HYPERLINK("https://twitter.com/pde360/status/1678928041680961537")</f>
        <v>https://twitter.com/pde360/status/1678928041680961537</v>
      </c>
      <c r="AF1544" s="90">
        <v>45119.030231481483</v>
      </c>
      <c r="AG1544" s="99">
        <v>45119</v>
      </c>
      <c r="AH1544" s="93" t="s">
        <v>12947</v>
      </c>
      <c r="AI1544" s="87" t="b">
        <v>0</v>
      </c>
      <c r="AJ1544" s="87"/>
      <c r="AK1544" s="87"/>
      <c r="AL1544" s="87"/>
      <c r="AM1544" s="87"/>
      <c r="AN1544" s="87"/>
      <c r="AO1544" s="87"/>
      <c r="AP1544" s="87"/>
      <c r="AQ1544" s="87" t="s">
        <v>16442</v>
      </c>
      <c r="AR1544" s="87"/>
      <c r="AS1544" s="87"/>
      <c r="AT1544" s="87"/>
      <c r="AU1544" s="87"/>
      <c r="AV1544" s="92" t="str">
        <f>HYPERLINK("https://pbs.twimg.com/media/F0y_U9_WIAIVvZq.jpg")</f>
        <v>https://pbs.twimg.com/media/F0y_U9_WIAIVvZq.jpg</v>
      </c>
      <c r="AW1544" s="93" t="s">
        <v>19776</v>
      </c>
      <c r="AX1544" s="93" t="s">
        <v>19776</v>
      </c>
      <c r="AY1544" s="87"/>
      <c r="AZ1544" s="93" t="s">
        <v>22668</v>
      </c>
      <c r="BA1544" s="93" t="s">
        <v>22668</v>
      </c>
      <c r="BB1544" s="93" t="s">
        <v>22668</v>
      </c>
      <c r="BC1544" s="93" t="s">
        <v>19776</v>
      </c>
      <c r="BD1544" s="93" t="s">
        <v>23099</v>
      </c>
      <c r="BE1544" s="87"/>
      <c r="BF1544" s="87"/>
      <c r="BG1544" s="87"/>
      <c r="BH1544" s="87"/>
      <c r="BI1544" s="87"/>
    </row>
    <row r="1545" spans="1:61" x14ac:dyDescent="0.25">
      <c r="A1545" s="63" t="s">
        <v>757</v>
      </c>
      <c r="B1545" s="63" t="s">
        <v>757</v>
      </c>
      <c r="C1545" s="64"/>
      <c r="D1545" s="65"/>
      <c r="E1545" s="66"/>
      <c r="F1545" s="67"/>
      <c r="G1545" s="64"/>
      <c r="H1545" s="68"/>
      <c r="I1545" s="69"/>
      <c r="J1545" s="69"/>
      <c r="K1545" s="32"/>
      <c r="L1545" s="76">
        <v>1545</v>
      </c>
      <c r="M1545" s="76"/>
      <c r="N1545" s="71"/>
      <c r="O1545" s="87" t="s">
        <v>179</v>
      </c>
      <c r="P1545" s="90">
        <v>45140.040972222225</v>
      </c>
      <c r="Q1545" s="87" t="s">
        <v>3343</v>
      </c>
      <c r="R1545" s="87">
        <v>0</v>
      </c>
      <c r="S1545" s="87">
        <v>0</v>
      </c>
      <c r="T1545" s="87">
        <v>0</v>
      </c>
      <c r="U1545" s="87">
        <v>0</v>
      </c>
      <c r="V1545" s="87">
        <v>7</v>
      </c>
      <c r="W1545" s="93" t="s">
        <v>6901</v>
      </c>
      <c r="X1545" s="92" t="str">
        <f>HYPERLINK("https://portaldoempreendedor360.com.br/inovacao-e-tecnologia/ferramentas/10-dicas-para-o-google-search-console/")</f>
        <v>https://portaldoempreendedor360.com.br/inovacao-e-tecnologia/ferramentas/10-dicas-para-o-google-search-console/</v>
      </c>
      <c r="Y1545" s="87" t="s">
        <v>8373</v>
      </c>
      <c r="Z1545" s="87"/>
      <c r="AA1545" s="87" t="s">
        <v>9630</v>
      </c>
      <c r="AB1545" s="87" t="s">
        <v>11448</v>
      </c>
      <c r="AC1545" s="93" t="s">
        <v>11457</v>
      </c>
      <c r="AD1545" s="87" t="s">
        <v>11523</v>
      </c>
      <c r="AE1545" s="92" t="str">
        <f>HYPERLINK("https://twitter.com/pde360/status/1686542076677406722")</f>
        <v>https://twitter.com/pde360/status/1686542076677406722</v>
      </c>
      <c r="AF1545" s="90">
        <v>45140.040972222225</v>
      </c>
      <c r="AG1545" s="99">
        <v>45140</v>
      </c>
      <c r="AH1545" s="93" t="s">
        <v>12938</v>
      </c>
      <c r="AI1545" s="87" t="b">
        <v>0</v>
      </c>
      <c r="AJ1545" s="87"/>
      <c r="AK1545" s="87"/>
      <c r="AL1545" s="87"/>
      <c r="AM1545" s="87"/>
      <c r="AN1545" s="87"/>
      <c r="AO1545" s="87"/>
      <c r="AP1545" s="87"/>
      <c r="AQ1545" s="87" t="s">
        <v>16443</v>
      </c>
      <c r="AR1545" s="87"/>
      <c r="AS1545" s="87"/>
      <c r="AT1545" s="87"/>
      <c r="AU1545" s="87"/>
      <c r="AV1545" s="92" t="str">
        <f>HYPERLINK("https://pbs.twimg.com/media/F0zD3KAXsAIFq-g.jpg")</f>
        <v>https://pbs.twimg.com/media/F0zD3KAXsAIFq-g.jpg</v>
      </c>
      <c r="AW1545" s="93" t="s">
        <v>19777</v>
      </c>
      <c r="AX1545" s="93" t="s">
        <v>19777</v>
      </c>
      <c r="AY1545" s="87"/>
      <c r="AZ1545" s="93" t="s">
        <v>22668</v>
      </c>
      <c r="BA1545" s="93" t="s">
        <v>22668</v>
      </c>
      <c r="BB1545" s="93" t="s">
        <v>22668</v>
      </c>
      <c r="BC1545" s="93" t="s">
        <v>19777</v>
      </c>
      <c r="BD1545" s="93" t="s">
        <v>23099</v>
      </c>
      <c r="BE1545" s="87"/>
      <c r="BF1545" s="87"/>
      <c r="BG1545" s="87"/>
      <c r="BH1545" s="87"/>
      <c r="BI1545" s="87"/>
    </row>
    <row r="1546" spans="1:61" x14ac:dyDescent="0.25">
      <c r="A1546" s="63" t="s">
        <v>757</v>
      </c>
      <c r="B1546" s="63" t="s">
        <v>757</v>
      </c>
      <c r="C1546" s="64"/>
      <c r="D1546" s="65"/>
      <c r="E1546" s="66"/>
      <c r="F1546" s="67"/>
      <c r="G1546" s="64"/>
      <c r="H1546" s="68"/>
      <c r="I1546" s="69"/>
      <c r="J1546" s="69"/>
      <c r="K1546" s="32"/>
      <c r="L1546" s="76">
        <v>1546</v>
      </c>
      <c r="M1546" s="76"/>
      <c r="N1546" s="71"/>
      <c r="O1546" s="87" t="s">
        <v>179</v>
      </c>
      <c r="P1546" s="90">
        <v>45126.55</v>
      </c>
      <c r="Q1546" s="87" t="s">
        <v>3344</v>
      </c>
      <c r="R1546" s="87">
        <v>0</v>
      </c>
      <c r="S1546" s="87">
        <v>0</v>
      </c>
      <c r="T1546" s="87">
        <v>0</v>
      </c>
      <c r="U1546" s="87">
        <v>0</v>
      </c>
      <c r="V1546" s="87">
        <v>6</v>
      </c>
      <c r="W1546" s="93" t="s">
        <v>6902</v>
      </c>
      <c r="X1546" s="92" t="str">
        <f>HYPERLINK("https://portaldoempreendedor360.com.br/inovacao-e-tecnologia/ferramentas/10-dicas-para-ogoogle-pagespeed-insights/")</f>
        <v>https://portaldoempreendedor360.com.br/inovacao-e-tecnologia/ferramentas/10-dicas-para-ogoogle-pagespeed-insights/</v>
      </c>
      <c r="Y1546" s="87" t="s">
        <v>8373</v>
      </c>
      <c r="Z1546" s="87"/>
      <c r="AA1546" s="87" t="s">
        <v>9631</v>
      </c>
      <c r="AB1546" s="87" t="s">
        <v>11448</v>
      </c>
      <c r="AC1546" s="93" t="s">
        <v>11457</v>
      </c>
      <c r="AD1546" s="87" t="s">
        <v>11518</v>
      </c>
      <c r="AE1546" s="92" t="str">
        <f>HYPERLINK("https://twitter.com/pde360/status/1681653112187113472")</f>
        <v>https://twitter.com/pde360/status/1681653112187113472</v>
      </c>
      <c r="AF1546" s="90">
        <v>45126.55</v>
      </c>
      <c r="AG1546" s="99">
        <v>45126</v>
      </c>
      <c r="AH1546" s="93" t="s">
        <v>12948</v>
      </c>
      <c r="AI1546" s="87" t="b">
        <v>0</v>
      </c>
      <c r="AJ1546" s="87"/>
      <c r="AK1546" s="87"/>
      <c r="AL1546" s="87"/>
      <c r="AM1546" s="87"/>
      <c r="AN1546" s="87"/>
      <c r="AO1546" s="87"/>
      <c r="AP1546" s="87"/>
      <c r="AQ1546" s="87" t="s">
        <v>16444</v>
      </c>
      <c r="AR1546" s="87"/>
      <c r="AS1546" s="87"/>
      <c r="AT1546" s="87"/>
      <c r="AU1546" s="87"/>
      <c r="AV1546" s="92" t="str">
        <f>HYPERLINK("https://pbs.twimg.com/media/F0zG3LEWYAU3bCQ.jpg")</f>
        <v>https://pbs.twimg.com/media/F0zG3LEWYAU3bCQ.jpg</v>
      </c>
      <c r="AW1546" s="93" t="s">
        <v>19778</v>
      </c>
      <c r="AX1546" s="93" t="s">
        <v>19778</v>
      </c>
      <c r="AY1546" s="87"/>
      <c r="AZ1546" s="93" t="s">
        <v>22668</v>
      </c>
      <c r="BA1546" s="93" t="s">
        <v>22668</v>
      </c>
      <c r="BB1546" s="93" t="s">
        <v>22668</v>
      </c>
      <c r="BC1546" s="93" t="s">
        <v>19778</v>
      </c>
      <c r="BD1546" s="93" t="s">
        <v>23099</v>
      </c>
      <c r="BE1546" s="87"/>
      <c r="BF1546" s="87"/>
      <c r="BG1546" s="87"/>
      <c r="BH1546" s="87"/>
      <c r="BI1546" s="87"/>
    </row>
    <row r="1547" spans="1:61" x14ac:dyDescent="0.25">
      <c r="A1547" s="63" t="s">
        <v>757</v>
      </c>
      <c r="B1547" s="63" t="s">
        <v>757</v>
      </c>
      <c r="C1547" s="64"/>
      <c r="D1547" s="65"/>
      <c r="E1547" s="66"/>
      <c r="F1547" s="67"/>
      <c r="G1547" s="64"/>
      <c r="H1547" s="68"/>
      <c r="I1547" s="69"/>
      <c r="J1547" s="69"/>
      <c r="K1547" s="32"/>
      <c r="L1547" s="76">
        <v>1547</v>
      </c>
      <c r="M1547" s="76"/>
      <c r="N1547" s="71"/>
      <c r="O1547" s="87" t="s">
        <v>179</v>
      </c>
      <c r="P1547" s="90">
        <v>45125.590277777781</v>
      </c>
      <c r="Q1547" s="87" t="s">
        <v>3345</v>
      </c>
      <c r="R1547" s="87">
        <v>0</v>
      </c>
      <c r="S1547" s="87">
        <v>0</v>
      </c>
      <c r="T1547" s="87">
        <v>0</v>
      </c>
      <c r="U1547" s="87">
        <v>0</v>
      </c>
      <c r="V1547" s="87">
        <v>6</v>
      </c>
      <c r="W1547" s="93" t="s">
        <v>6902</v>
      </c>
      <c r="X1547" s="92" t="str">
        <f>HYPERLINK("https://portaldoempreendedor360.com.br/cursos-e-capacitacoes/cursos-seo/o-que-e-seo-e-sua-importancia/")</f>
        <v>https://portaldoempreendedor360.com.br/cursos-e-capacitacoes/cursos-seo/o-que-e-seo-e-sua-importancia/</v>
      </c>
      <c r="Y1547" s="87" t="s">
        <v>8373</v>
      </c>
      <c r="Z1547" s="87"/>
      <c r="AA1547" s="87" t="s">
        <v>9632</v>
      </c>
      <c r="AB1547" s="87" t="s">
        <v>11448</v>
      </c>
      <c r="AC1547" s="93" t="s">
        <v>11457</v>
      </c>
      <c r="AD1547" s="87" t="s">
        <v>11519</v>
      </c>
      <c r="AE1547" s="92" t="str">
        <f>HYPERLINK("https://twitter.com/pde360/status/1681305321288130562")</f>
        <v>https://twitter.com/pde360/status/1681305321288130562</v>
      </c>
      <c r="AF1547" s="90">
        <v>45125.590277777781</v>
      </c>
      <c r="AG1547" s="99">
        <v>45125</v>
      </c>
      <c r="AH1547" s="93" t="s">
        <v>12949</v>
      </c>
      <c r="AI1547" s="87" t="b">
        <v>0</v>
      </c>
      <c r="AJ1547" s="87"/>
      <c r="AK1547" s="87"/>
      <c r="AL1547" s="87"/>
      <c r="AM1547" s="87"/>
      <c r="AN1547" s="87"/>
      <c r="AO1547" s="87"/>
      <c r="AP1547" s="87"/>
      <c r="AQ1547" s="87" t="s">
        <v>16445</v>
      </c>
      <c r="AR1547" s="87"/>
      <c r="AS1547" s="87"/>
      <c r="AT1547" s="87"/>
      <c r="AU1547" s="87"/>
      <c r="AV1547" s="92" t="str">
        <f>HYPERLINK("https://pbs.twimg.com/media/F0zGYFGXgAA51A8.jpg")</f>
        <v>https://pbs.twimg.com/media/F0zGYFGXgAA51A8.jpg</v>
      </c>
      <c r="AW1547" s="93" t="s">
        <v>19779</v>
      </c>
      <c r="AX1547" s="93" t="s">
        <v>19779</v>
      </c>
      <c r="AY1547" s="87"/>
      <c r="AZ1547" s="93" t="s">
        <v>22668</v>
      </c>
      <c r="BA1547" s="93" t="s">
        <v>22668</v>
      </c>
      <c r="BB1547" s="93" t="s">
        <v>22668</v>
      </c>
      <c r="BC1547" s="93" t="s">
        <v>19779</v>
      </c>
      <c r="BD1547" s="93" t="s">
        <v>23099</v>
      </c>
      <c r="BE1547" s="87"/>
      <c r="BF1547" s="87"/>
      <c r="BG1547" s="87"/>
      <c r="BH1547" s="87"/>
      <c r="BI1547" s="87"/>
    </row>
    <row r="1548" spans="1:61" x14ac:dyDescent="0.25">
      <c r="A1548" s="63" t="s">
        <v>757</v>
      </c>
      <c r="B1548" s="63" t="s">
        <v>757</v>
      </c>
      <c r="C1548" s="64"/>
      <c r="D1548" s="65"/>
      <c r="E1548" s="66"/>
      <c r="F1548" s="67"/>
      <c r="G1548" s="64"/>
      <c r="H1548" s="68"/>
      <c r="I1548" s="69"/>
      <c r="J1548" s="69"/>
      <c r="K1548" s="32"/>
      <c r="L1548" s="76">
        <v>1548</v>
      </c>
      <c r="M1548" s="76"/>
      <c r="N1548" s="71"/>
      <c r="O1548" s="87" t="s">
        <v>179</v>
      </c>
      <c r="P1548" s="90">
        <v>45147.042361111111</v>
      </c>
      <c r="Q1548" s="87" t="s">
        <v>3346</v>
      </c>
      <c r="R1548" s="87">
        <v>0</v>
      </c>
      <c r="S1548" s="87">
        <v>0</v>
      </c>
      <c r="T1548" s="87">
        <v>0</v>
      </c>
      <c r="U1548" s="87">
        <v>0</v>
      </c>
      <c r="V1548" s="87">
        <v>8</v>
      </c>
      <c r="W1548" s="93" t="s">
        <v>6901</v>
      </c>
      <c r="X1548" s="92" t="str">
        <f>HYPERLINK("https://portaldoempreendedor360.com.br/cursos-e-capacitacoes/cursos-seo/estrategias-para-identificar-palavras-chave-relevantes/")</f>
        <v>https://portaldoempreendedor360.com.br/cursos-e-capacitacoes/cursos-seo/estrategias-para-identificar-palavras-chave-relevantes/</v>
      </c>
      <c r="Y1548" s="87" t="s">
        <v>8373</v>
      </c>
      <c r="Z1548" s="87"/>
      <c r="AA1548" s="87" t="s">
        <v>9633</v>
      </c>
      <c r="AB1548" s="87" t="s">
        <v>11448</v>
      </c>
      <c r="AC1548" s="93" t="s">
        <v>11457</v>
      </c>
      <c r="AD1548" s="87" t="s">
        <v>11519</v>
      </c>
      <c r="AE1548" s="92" t="str">
        <f>HYPERLINK("https://twitter.com/pde360/status/1689079295304515584")</f>
        <v>https://twitter.com/pde360/status/1689079295304515584</v>
      </c>
      <c r="AF1548" s="90">
        <v>45147.042361111111</v>
      </c>
      <c r="AG1548" s="99">
        <v>45147</v>
      </c>
      <c r="AH1548" s="93" t="s">
        <v>12950</v>
      </c>
      <c r="AI1548" s="87" t="b">
        <v>0</v>
      </c>
      <c r="AJ1548" s="87"/>
      <c r="AK1548" s="87"/>
      <c r="AL1548" s="87"/>
      <c r="AM1548" s="87"/>
      <c r="AN1548" s="87"/>
      <c r="AO1548" s="87"/>
      <c r="AP1548" s="87"/>
      <c r="AQ1548" s="87" t="s">
        <v>16446</v>
      </c>
      <c r="AR1548" s="87"/>
      <c r="AS1548" s="87"/>
      <c r="AT1548" s="87"/>
      <c r="AU1548" s="87"/>
      <c r="AV1548" s="92" t="str">
        <f>HYPERLINK("https://pbs.twimg.com/media/F0zEXX3WwAAUCaE.jpg")</f>
        <v>https://pbs.twimg.com/media/F0zEXX3WwAAUCaE.jpg</v>
      </c>
      <c r="AW1548" s="93" t="s">
        <v>19780</v>
      </c>
      <c r="AX1548" s="93" t="s">
        <v>19780</v>
      </c>
      <c r="AY1548" s="87"/>
      <c r="AZ1548" s="93" t="s">
        <v>22668</v>
      </c>
      <c r="BA1548" s="93" t="s">
        <v>22668</v>
      </c>
      <c r="BB1548" s="93" t="s">
        <v>22668</v>
      </c>
      <c r="BC1548" s="93" t="s">
        <v>19780</v>
      </c>
      <c r="BD1548" s="93" t="s">
        <v>23099</v>
      </c>
      <c r="BE1548" s="87"/>
      <c r="BF1548" s="87"/>
      <c r="BG1548" s="87"/>
      <c r="BH1548" s="87"/>
      <c r="BI1548" s="87"/>
    </row>
    <row r="1549" spans="1:61" x14ac:dyDescent="0.25">
      <c r="A1549" s="63" t="s">
        <v>757</v>
      </c>
      <c r="B1549" s="63" t="s">
        <v>757</v>
      </c>
      <c r="C1549" s="64"/>
      <c r="D1549" s="65"/>
      <c r="E1549" s="66"/>
      <c r="F1549" s="67"/>
      <c r="G1549" s="64"/>
      <c r="H1549" s="68"/>
      <c r="I1549" s="69"/>
      <c r="J1549" s="69"/>
      <c r="K1549" s="32"/>
      <c r="L1549" s="76">
        <v>1549</v>
      </c>
      <c r="M1549" s="76"/>
      <c r="N1549" s="71"/>
      <c r="O1549" s="87" t="s">
        <v>179</v>
      </c>
      <c r="P1549" s="90">
        <v>45135.597222222219</v>
      </c>
      <c r="Q1549" s="87" t="s">
        <v>3347</v>
      </c>
      <c r="R1549" s="87">
        <v>0</v>
      </c>
      <c r="S1549" s="87">
        <v>0</v>
      </c>
      <c r="T1549" s="87">
        <v>0</v>
      </c>
      <c r="U1549" s="87">
        <v>0</v>
      </c>
      <c r="V1549" s="87">
        <v>3</v>
      </c>
      <c r="W1549" s="93" t="s">
        <v>6903</v>
      </c>
      <c r="X1549" s="92" t="str">
        <f>HYPERLINK("https://portaldoempreendedor360.com.br/cursos-e-capacitacoes/cursos-seo/uso-correto-de-cabecalhos-e-tags-html/")</f>
        <v>https://portaldoempreendedor360.com.br/cursos-e-capacitacoes/cursos-seo/uso-correto-de-cabecalhos-e-tags-html/</v>
      </c>
      <c r="Y1549" s="87" t="s">
        <v>8373</v>
      </c>
      <c r="Z1549" s="87"/>
      <c r="AA1549" s="87" t="s">
        <v>9634</v>
      </c>
      <c r="AB1549" s="87" t="s">
        <v>11448</v>
      </c>
      <c r="AC1549" s="93" t="s">
        <v>11457</v>
      </c>
      <c r="AD1549" s="87" t="s">
        <v>11519</v>
      </c>
      <c r="AE1549" s="92" t="str">
        <f>HYPERLINK("https://twitter.com/pde360/status/1684931716081926144")</f>
        <v>https://twitter.com/pde360/status/1684931716081926144</v>
      </c>
      <c r="AF1549" s="90">
        <v>45135.597222222219</v>
      </c>
      <c r="AG1549" s="99">
        <v>45135</v>
      </c>
      <c r="AH1549" s="93" t="s">
        <v>12951</v>
      </c>
      <c r="AI1549" s="87" t="b">
        <v>0</v>
      </c>
      <c r="AJ1549" s="87"/>
      <c r="AK1549" s="87"/>
      <c r="AL1549" s="87"/>
      <c r="AM1549" s="87"/>
      <c r="AN1549" s="87"/>
      <c r="AO1549" s="87"/>
      <c r="AP1549" s="87"/>
      <c r="AQ1549" s="87" t="s">
        <v>16447</v>
      </c>
      <c r="AR1549" s="87"/>
      <c r="AS1549" s="87"/>
      <c r="AT1549" s="87"/>
      <c r="AU1549" s="87"/>
      <c r="AV1549" s="92" t="str">
        <f>HYPERLINK("https://pbs.twimg.com/media/F0zIgIgXwAcgQDU.jpg")</f>
        <v>https://pbs.twimg.com/media/F0zIgIgXwAcgQDU.jpg</v>
      </c>
      <c r="AW1549" s="93" t="s">
        <v>19781</v>
      </c>
      <c r="AX1549" s="93" t="s">
        <v>19781</v>
      </c>
      <c r="AY1549" s="87"/>
      <c r="AZ1549" s="93" t="s">
        <v>22668</v>
      </c>
      <c r="BA1549" s="93" t="s">
        <v>22668</v>
      </c>
      <c r="BB1549" s="93" t="s">
        <v>22668</v>
      </c>
      <c r="BC1549" s="93" t="s">
        <v>19781</v>
      </c>
      <c r="BD1549" s="93" t="s">
        <v>23099</v>
      </c>
      <c r="BE1549" s="87"/>
      <c r="BF1549" s="87"/>
      <c r="BG1549" s="87"/>
      <c r="BH1549" s="87"/>
      <c r="BI1549" s="87"/>
    </row>
    <row r="1550" spans="1:61" x14ac:dyDescent="0.25">
      <c r="A1550" s="63" t="s">
        <v>757</v>
      </c>
      <c r="B1550" s="63" t="s">
        <v>757</v>
      </c>
      <c r="C1550" s="64"/>
      <c r="D1550" s="65"/>
      <c r="E1550" s="66"/>
      <c r="F1550" s="67"/>
      <c r="G1550" s="64"/>
      <c r="H1550" s="68"/>
      <c r="I1550" s="69"/>
      <c r="J1550" s="69"/>
      <c r="K1550" s="32"/>
      <c r="L1550" s="76">
        <v>1550</v>
      </c>
      <c r="M1550" s="76"/>
      <c r="N1550" s="71"/>
      <c r="O1550" s="87" t="s">
        <v>179</v>
      </c>
      <c r="P1550" s="90">
        <v>45144.663194444445</v>
      </c>
      <c r="Q1550" s="87" t="s">
        <v>3348</v>
      </c>
      <c r="R1550" s="87">
        <v>0</v>
      </c>
      <c r="S1550" s="87">
        <v>0</v>
      </c>
      <c r="T1550" s="87">
        <v>0</v>
      </c>
      <c r="U1550" s="87">
        <v>0</v>
      </c>
      <c r="V1550" s="87">
        <v>11</v>
      </c>
      <c r="W1550" s="93" t="s">
        <v>6906</v>
      </c>
      <c r="X1550" s="92" t="str">
        <f>HYPERLINK("https://portaldoempreendedor360.com.br/marketing-e-vendas/seo-search-engine-optimization/google-search-console-a-ferramenta-essencial-para-otimizar-seu-site-nos-resultados-de-pesquisa/")</f>
        <v>https://portaldoempreendedor360.com.br/marketing-e-vendas/seo-search-engine-optimization/google-search-console-a-ferramenta-essencial-para-otimizar-seu-site-nos-resultados-de-pesquisa/</v>
      </c>
      <c r="Y1550" s="87" t="s">
        <v>8373</v>
      </c>
      <c r="Z1550" s="87"/>
      <c r="AA1550" s="87" t="s">
        <v>9635</v>
      </c>
      <c r="AB1550" s="87" t="s">
        <v>11448</v>
      </c>
      <c r="AC1550" s="93" t="s">
        <v>11457</v>
      </c>
      <c r="AD1550" s="87" t="s">
        <v>11519</v>
      </c>
      <c r="AE1550" s="92" t="str">
        <f>HYPERLINK("https://twitter.com/pde360/status/1688217114014867456")</f>
        <v>https://twitter.com/pde360/status/1688217114014867456</v>
      </c>
      <c r="AF1550" s="90">
        <v>45144.663194444445</v>
      </c>
      <c r="AG1550" s="99">
        <v>45144</v>
      </c>
      <c r="AH1550" s="93" t="s">
        <v>12952</v>
      </c>
      <c r="AI1550" s="87" t="b">
        <v>0</v>
      </c>
      <c r="AJ1550" s="87"/>
      <c r="AK1550" s="87"/>
      <c r="AL1550" s="87"/>
      <c r="AM1550" s="87"/>
      <c r="AN1550" s="87"/>
      <c r="AO1550" s="87"/>
      <c r="AP1550" s="87"/>
      <c r="AQ1550" s="87" t="s">
        <v>16448</v>
      </c>
      <c r="AR1550" s="87"/>
      <c r="AS1550" s="87"/>
      <c r="AT1550" s="87"/>
      <c r="AU1550" s="87"/>
      <c r="AV1550" s="92" t="str">
        <f>HYPERLINK("https://pbs.twimg.com/media/F0zCz7gXsAEypOa.jpg")</f>
        <v>https://pbs.twimg.com/media/F0zCz7gXsAEypOa.jpg</v>
      </c>
      <c r="AW1550" s="93" t="s">
        <v>19782</v>
      </c>
      <c r="AX1550" s="93" t="s">
        <v>19782</v>
      </c>
      <c r="AY1550" s="87"/>
      <c r="AZ1550" s="93" t="s">
        <v>22668</v>
      </c>
      <c r="BA1550" s="93" t="s">
        <v>22668</v>
      </c>
      <c r="BB1550" s="93" t="s">
        <v>22668</v>
      </c>
      <c r="BC1550" s="93" t="s">
        <v>19782</v>
      </c>
      <c r="BD1550" s="93" t="s">
        <v>23099</v>
      </c>
      <c r="BE1550" s="87"/>
      <c r="BF1550" s="87"/>
      <c r="BG1550" s="87"/>
      <c r="BH1550" s="87"/>
      <c r="BI1550" s="87"/>
    </row>
    <row r="1551" spans="1:61" x14ac:dyDescent="0.25">
      <c r="A1551" s="63" t="s">
        <v>757</v>
      </c>
      <c r="B1551" s="63" t="s">
        <v>757</v>
      </c>
      <c r="C1551" s="64"/>
      <c r="D1551" s="65"/>
      <c r="E1551" s="66"/>
      <c r="F1551" s="67"/>
      <c r="G1551" s="64"/>
      <c r="H1551" s="68"/>
      <c r="I1551" s="69"/>
      <c r="J1551" s="69"/>
      <c r="K1551" s="32"/>
      <c r="L1551" s="76">
        <v>1551</v>
      </c>
      <c r="M1551" s="76"/>
      <c r="N1551" s="71"/>
      <c r="O1551" s="87" t="s">
        <v>179</v>
      </c>
      <c r="P1551" s="90">
        <v>45143.664583333331</v>
      </c>
      <c r="Q1551" s="87" t="s">
        <v>3349</v>
      </c>
      <c r="R1551" s="87">
        <v>0</v>
      </c>
      <c r="S1551" s="87">
        <v>0</v>
      </c>
      <c r="T1551" s="87">
        <v>0</v>
      </c>
      <c r="U1551" s="87">
        <v>0</v>
      </c>
      <c r="V1551" s="87">
        <v>11</v>
      </c>
      <c r="W1551" s="93" t="s">
        <v>6901</v>
      </c>
      <c r="X1551" s="92" t="str">
        <f>HYPERLINK("https://portaldoempreendedor360.com.br/legalizacao-e-normas/mei-entenda-as-regras/")</f>
        <v>https://portaldoempreendedor360.com.br/legalizacao-e-normas/mei-entenda-as-regras/</v>
      </c>
      <c r="Y1551" s="87" t="s">
        <v>8373</v>
      </c>
      <c r="Z1551" s="87"/>
      <c r="AA1551" s="87" t="s">
        <v>9636</v>
      </c>
      <c r="AB1551" s="87" t="s">
        <v>11448</v>
      </c>
      <c r="AC1551" s="93" t="s">
        <v>11457</v>
      </c>
      <c r="AD1551" s="87" t="s">
        <v>11519</v>
      </c>
      <c r="AE1551" s="92" t="str">
        <f>HYPERLINK("https://twitter.com/pde360/status/1687855229482446848")</f>
        <v>https://twitter.com/pde360/status/1687855229482446848</v>
      </c>
      <c r="AF1551" s="90">
        <v>45143.664583333331</v>
      </c>
      <c r="AG1551" s="99">
        <v>45143</v>
      </c>
      <c r="AH1551" s="93" t="s">
        <v>12953</v>
      </c>
      <c r="AI1551" s="87" t="b">
        <v>0</v>
      </c>
      <c r="AJ1551" s="87"/>
      <c r="AK1551" s="87"/>
      <c r="AL1551" s="87"/>
      <c r="AM1551" s="87"/>
      <c r="AN1551" s="87"/>
      <c r="AO1551" s="87"/>
      <c r="AP1551" s="87"/>
      <c r="AQ1551" s="87" t="s">
        <v>16449</v>
      </c>
      <c r="AR1551" s="87"/>
      <c r="AS1551" s="87"/>
      <c r="AT1551" s="87"/>
      <c r="AU1551" s="87"/>
      <c r="AV1551" s="92" t="str">
        <f>HYPERLINK("https://pbs.twimg.com/media/F0zDMsCWYAMZEu-.jpg")</f>
        <v>https://pbs.twimg.com/media/F0zDMsCWYAMZEu-.jpg</v>
      </c>
      <c r="AW1551" s="93" t="s">
        <v>19783</v>
      </c>
      <c r="AX1551" s="93" t="s">
        <v>19783</v>
      </c>
      <c r="AY1551" s="87"/>
      <c r="AZ1551" s="93" t="s">
        <v>22668</v>
      </c>
      <c r="BA1551" s="93" t="s">
        <v>22668</v>
      </c>
      <c r="BB1551" s="93" t="s">
        <v>22668</v>
      </c>
      <c r="BC1551" s="93" t="s">
        <v>19783</v>
      </c>
      <c r="BD1551" s="93" t="s">
        <v>23099</v>
      </c>
      <c r="BE1551" s="87"/>
      <c r="BF1551" s="87"/>
      <c r="BG1551" s="87"/>
      <c r="BH1551" s="87"/>
      <c r="BI1551" s="87"/>
    </row>
    <row r="1552" spans="1:61" x14ac:dyDescent="0.25">
      <c r="A1552" s="63" t="s">
        <v>757</v>
      </c>
      <c r="B1552" s="63" t="s">
        <v>757</v>
      </c>
      <c r="C1552" s="64"/>
      <c r="D1552" s="65"/>
      <c r="E1552" s="66"/>
      <c r="F1552" s="67"/>
      <c r="G1552" s="64"/>
      <c r="H1552" s="68"/>
      <c r="I1552" s="69"/>
      <c r="J1552" s="69"/>
      <c r="K1552" s="32"/>
      <c r="L1552" s="76">
        <v>1552</v>
      </c>
      <c r="M1552" s="76"/>
      <c r="N1552" s="71"/>
      <c r="O1552" s="87" t="s">
        <v>179</v>
      </c>
      <c r="P1552" s="90">
        <v>45142.747916666667</v>
      </c>
      <c r="Q1552" s="87" t="s">
        <v>3350</v>
      </c>
      <c r="R1552" s="87">
        <v>0</v>
      </c>
      <c r="S1552" s="87">
        <v>0</v>
      </c>
      <c r="T1552" s="87">
        <v>0</v>
      </c>
      <c r="U1552" s="87">
        <v>0</v>
      </c>
      <c r="V1552" s="87">
        <v>5</v>
      </c>
      <c r="W1552" s="93" t="s">
        <v>6901</v>
      </c>
      <c r="X1552" s="92" t="str">
        <f>HYPERLINK("https://portaldoempreendedor360.com.br/cursos-e-capacitacoes/cursos-seo/analise-da-concorrencia-e-tendencias-de-pesquisa/")</f>
        <v>https://portaldoempreendedor360.com.br/cursos-e-capacitacoes/cursos-seo/analise-da-concorrencia-e-tendencias-de-pesquisa/</v>
      </c>
      <c r="Y1552" s="87" t="s">
        <v>8373</v>
      </c>
      <c r="Z1552" s="87"/>
      <c r="AA1552" s="87" t="s">
        <v>9637</v>
      </c>
      <c r="AB1552" s="87" t="s">
        <v>11448</v>
      </c>
      <c r="AC1552" s="93" t="s">
        <v>11457</v>
      </c>
      <c r="AD1552" s="87" t="s">
        <v>11519</v>
      </c>
      <c r="AE1552" s="92" t="str">
        <f>HYPERLINK("https://twitter.com/pde360/status/1687523040752521229")</f>
        <v>https://twitter.com/pde360/status/1687523040752521229</v>
      </c>
      <c r="AF1552" s="90">
        <v>45142.747916666667</v>
      </c>
      <c r="AG1552" s="99">
        <v>45142</v>
      </c>
      <c r="AH1552" s="93" t="s">
        <v>12954</v>
      </c>
      <c r="AI1552" s="87" t="b">
        <v>0</v>
      </c>
      <c r="AJ1552" s="87"/>
      <c r="AK1552" s="87"/>
      <c r="AL1552" s="87"/>
      <c r="AM1552" s="87"/>
      <c r="AN1552" s="87"/>
      <c r="AO1552" s="87"/>
      <c r="AP1552" s="87"/>
      <c r="AQ1552" s="87" t="s">
        <v>16450</v>
      </c>
      <c r="AR1552" s="87"/>
      <c r="AS1552" s="87"/>
      <c r="AT1552" s="87"/>
      <c r="AU1552" s="87"/>
      <c r="AV1552" s="92" t="str">
        <f>HYPERLINK("https://pbs.twimg.com/media/F0zDbYeXsAExHOJ.jpg")</f>
        <v>https://pbs.twimg.com/media/F0zDbYeXsAExHOJ.jpg</v>
      </c>
      <c r="AW1552" s="93" t="s">
        <v>19784</v>
      </c>
      <c r="AX1552" s="93" t="s">
        <v>19784</v>
      </c>
      <c r="AY1552" s="87"/>
      <c r="AZ1552" s="93" t="s">
        <v>22668</v>
      </c>
      <c r="BA1552" s="93" t="s">
        <v>22668</v>
      </c>
      <c r="BB1552" s="93" t="s">
        <v>22668</v>
      </c>
      <c r="BC1552" s="93" t="s">
        <v>19784</v>
      </c>
      <c r="BD1552" s="93" t="s">
        <v>23099</v>
      </c>
      <c r="BE1552" s="87"/>
      <c r="BF1552" s="87"/>
      <c r="BG1552" s="87"/>
      <c r="BH1552" s="87"/>
      <c r="BI1552" s="87"/>
    </row>
    <row r="1553" spans="1:61" x14ac:dyDescent="0.25">
      <c r="A1553" s="63" t="s">
        <v>757</v>
      </c>
      <c r="B1553" s="63" t="s">
        <v>757</v>
      </c>
      <c r="C1553" s="64"/>
      <c r="D1553" s="65"/>
      <c r="E1553" s="66"/>
      <c r="F1553" s="67"/>
      <c r="G1553" s="64"/>
      <c r="H1553" s="68"/>
      <c r="I1553" s="69"/>
      <c r="J1553" s="69"/>
      <c r="K1553" s="32"/>
      <c r="L1553" s="76">
        <v>1553</v>
      </c>
      <c r="M1553" s="76"/>
      <c r="N1553" s="71"/>
      <c r="O1553" s="87" t="s">
        <v>179</v>
      </c>
      <c r="P1553" s="90">
        <v>45132.553472222222</v>
      </c>
      <c r="Q1553" s="87" t="s">
        <v>3351</v>
      </c>
      <c r="R1553" s="87">
        <v>0</v>
      </c>
      <c r="S1553" s="87">
        <v>0</v>
      </c>
      <c r="T1553" s="87">
        <v>0</v>
      </c>
      <c r="U1553" s="87">
        <v>0</v>
      </c>
      <c r="V1553" s="87">
        <v>4</v>
      </c>
      <c r="W1553" s="93" t="s">
        <v>6903</v>
      </c>
      <c r="X1553" s="92" t="str">
        <f>HYPERLINK("https://portaldoempreendedor360.com.br/marketing-e-vendas/seo-search-engine-optimization/10-dicas-para-o-moz-pro/")</f>
        <v>https://portaldoempreendedor360.com.br/marketing-e-vendas/seo-search-engine-optimization/10-dicas-para-o-moz-pro/</v>
      </c>
      <c r="Y1553" s="87" t="s">
        <v>8373</v>
      </c>
      <c r="Z1553" s="87"/>
      <c r="AA1553" s="87" t="s">
        <v>9638</v>
      </c>
      <c r="AB1553" s="87" t="s">
        <v>11448</v>
      </c>
      <c r="AC1553" s="93" t="s">
        <v>11457</v>
      </c>
      <c r="AD1553" s="87" t="s">
        <v>11519</v>
      </c>
      <c r="AE1553" s="92" t="str">
        <f>HYPERLINK("https://twitter.com/pde360/status/1683828698301214720")</f>
        <v>https://twitter.com/pde360/status/1683828698301214720</v>
      </c>
      <c r="AF1553" s="90">
        <v>45132.553472222222</v>
      </c>
      <c r="AG1553" s="99">
        <v>45132</v>
      </c>
      <c r="AH1553" s="93" t="s">
        <v>12944</v>
      </c>
      <c r="AI1553" s="87" t="b">
        <v>0</v>
      </c>
      <c r="AJ1553" s="87"/>
      <c r="AK1553" s="87"/>
      <c r="AL1553" s="87"/>
      <c r="AM1553" s="87"/>
      <c r="AN1553" s="87"/>
      <c r="AO1553" s="87"/>
      <c r="AP1553" s="87"/>
      <c r="AQ1553" s="87" t="s">
        <v>16451</v>
      </c>
      <c r="AR1553" s="87"/>
      <c r="AS1553" s="87"/>
      <c r="AT1553" s="87"/>
      <c r="AU1553" s="87"/>
      <c r="AV1553" s="92" t="str">
        <f>HYPERLINK("https://pbs.twimg.com/media/F0zIDxlX0AEGy0G.jpg")</f>
        <v>https://pbs.twimg.com/media/F0zIDxlX0AEGy0G.jpg</v>
      </c>
      <c r="AW1553" s="93" t="s">
        <v>19785</v>
      </c>
      <c r="AX1553" s="93" t="s">
        <v>19785</v>
      </c>
      <c r="AY1553" s="87"/>
      <c r="AZ1553" s="93" t="s">
        <v>22668</v>
      </c>
      <c r="BA1553" s="93" t="s">
        <v>22668</v>
      </c>
      <c r="BB1553" s="93" t="s">
        <v>22668</v>
      </c>
      <c r="BC1553" s="93" t="s">
        <v>19785</v>
      </c>
      <c r="BD1553" s="93" t="s">
        <v>23099</v>
      </c>
      <c r="BE1553" s="87"/>
      <c r="BF1553" s="87"/>
      <c r="BG1553" s="87"/>
      <c r="BH1553" s="87"/>
      <c r="BI1553" s="87"/>
    </row>
    <row r="1554" spans="1:61" x14ac:dyDescent="0.25">
      <c r="A1554" s="63" t="s">
        <v>758</v>
      </c>
      <c r="B1554" s="63" t="s">
        <v>758</v>
      </c>
      <c r="C1554" s="64"/>
      <c r="D1554" s="65"/>
      <c r="E1554" s="66"/>
      <c r="F1554" s="67"/>
      <c r="G1554" s="64"/>
      <c r="H1554" s="68"/>
      <c r="I1554" s="69"/>
      <c r="J1554" s="69"/>
      <c r="K1554" s="32"/>
      <c r="L1554" s="76">
        <v>1554</v>
      </c>
      <c r="M1554" s="76"/>
      <c r="N1554" s="71"/>
      <c r="O1554" s="87" t="s">
        <v>179</v>
      </c>
      <c r="P1554" s="90">
        <v>45147.08489583333</v>
      </c>
      <c r="Q1554" s="87" t="s">
        <v>3352</v>
      </c>
      <c r="R1554" s="87">
        <v>0</v>
      </c>
      <c r="S1554" s="87">
        <v>9</v>
      </c>
      <c r="T1554" s="87">
        <v>6</v>
      </c>
      <c r="U1554" s="87">
        <v>1</v>
      </c>
      <c r="V1554" s="87">
        <v>341</v>
      </c>
      <c r="W1554" s="87"/>
      <c r="X1554" s="87"/>
      <c r="Y1554" s="87"/>
      <c r="Z1554" s="87"/>
      <c r="AA1554" s="87"/>
      <c r="AB1554" s="87"/>
      <c r="AC1554" s="93" t="s">
        <v>11492</v>
      </c>
      <c r="AD1554" s="87" t="s">
        <v>11518</v>
      </c>
      <c r="AE1554" s="92" t="str">
        <f>HYPERLINK("https://twitter.com/steffynotion/status/1689094711724634113")</f>
        <v>https://twitter.com/steffynotion/status/1689094711724634113</v>
      </c>
      <c r="AF1554" s="90">
        <v>45147.08489583333</v>
      </c>
      <c r="AG1554" s="99">
        <v>45147</v>
      </c>
      <c r="AH1554" s="93" t="s">
        <v>12955</v>
      </c>
      <c r="AI1554" s="87"/>
      <c r="AJ1554" s="87"/>
      <c r="AK1554" s="87"/>
      <c r="AL1554" s="87"/>
      <c r="AM1554" s="87"/>
      <c r="AN1554" s="87"/>
      <c r="AO1554" s="87"/>
      <c r="AP1554" s="87"/>
      <c r="AQ1554" s="87"/>
      <c r="AR1554" s="87"/>
      <c r="AS1554" s="87"/>
      <c r="AT1554" s="87"/>
      <c r="AU1554" s="87"/>
      <c r="AV1554" s="92" t="str">
        <f>HYPERLINK("https://pbs.twimg.com/profile_images/1688012188223512578/5-RfDjBh_normal.jpg")</f>
        <v>https://pbs.twimg.com/profile_images/1688012188223512578/5-RfDjBh_normal.jpg</v>
      </c>
      <c r="AW1554" s="93" t="s">
        <v>19786</v>
      </c>
      <c r="AX1554" s="93" t="s">
        <v>19786</v>
      </c>
      <c r="AY1554" s="87"/>
      <c r="AZ1554" s="93" t="s">
        <v>22668</v>
      </c>
      <c r="BA1554" s="93" t="s">
        <v>22668</v>
      </c>
      <c r="BB1554" s="93" t="s">
        <v>22668</v>
      </c>
      <c r="BC1554" s="93" t="s">
        <v>19786</v>
      </c>
      <c r="BD1554" s="93" t="s">
        <v>23100</v>
      </c>
      <c r="BE1554" s="87"/>
      <c r="BF1554" s="87"/>
      <c r="BG1554" s="87"/>
      <c r="BH1554" s="87"/>
      <c r="BI1554" s="87"/>
    </row>
    <row r="1555" spans="1:61" x14ac:dyDescent="0.25">
      <c r="A1555" s="63" t="s">
        <v>759</v>
      </c>
      <c r="B1555" s="63" t="s">
        <v>759</v>
      </c>
      <c r="C1555" s="64"/>
      <c r="D1555" s="65"/>
      <c r="E1555" s="66"/>
      <c r="F1555" s="67"/>
      <c r="G1555" s="64"/>
      <c r="H1555" s="68"/>
      <c r="I1555" s="69"/>
      <c r="J1555" s="69"/>
      <c r="K1555" s="32"/>
      <c r="L1555" s="76">
        <v>1555</v>
      </c>
      <c r="M1555" s="76"/>
      <c r="N1555" s="71"/>
      <c r="O1555" s="87" t="s">
        <v>1840</v>
      </c>
      <c r="P1555" s="90">
        <v>45187.731238425928</v>
      </c>
      <c r="Q1555" s="87" t="s">
        <v>3353</v>
      </c>
      <c r="R1555" s="87">
        <v>0</v>
      </c>
      <c r="S1555" s="87">
        <v>1</v>
      </c>
      <c r="T1555" s="87">
        <v>0</v>
      </c>
      <c r="U1555" s="87">
        <v>0</v>
      </c>
      <c r="V1555" s="87">
        <v>7</v>
      </c>
      <c r="W1555" s="93" t="s">
        <v>6907</v>
      </c>
      <c r="X1555" s="87"/>
      <c r="Y1555" s="87"/>
      <c r="Z1555" s="87"/>
      <c r="AA1555" s="87"/>
      <c r="AB1555" s="87"/>
      <c r="AC1555" s="93" t="s">
        <v>11457</v>
      </c>
      <c r="AD1555" s="87" t="s">
        <v>11519</v>
      </c>
      <c r="AE1555" s="92" t="str">
        <f>HYPERLINK("https://twitter.com/hpgmmed/status/1703824452406984855")</f>
        <v>https://twitter.com/hpgmmed/status/1703824452406984855</v>
      </c>
      <c r="AF1555" s="90">
        <v>45187.731238425928</v>
      </c>
      <c r="AG1555" s="99">
        <v>45187</v>
      </c>
      <c r="AH1555" s="93" t="s">
        <v>12956</v>
      </c>
      <c r="AI1555" s="87"/>
      <c r="AJ1555" s="87"/>
      <c r="AK1555" s="87"/>
      <c r="AL1555" s="87"/>
      <c r="AM1555" s="87"/>
      <c r="AN1555" s="87"/>
      <c r="AO1555" s="87"/>
      <c r="AP1555" s="87"/>
      <c r="AQ1555" s="87"/>
      <c r="AR1555" s="87"/>
      <c r="AS1555" s="87"/>
      <c r="AT1555" s="87"/>
      <c r="AU1555" s="87"/>
      <c r="AV1555" s="92" t="str">
        <f>HYPERLINK("https://pbs.twimg.com/profile_images/1549803230384857088/Q_CsKILk_normal.jpg")</f>
        <v>https://pbs.twimg.com/profile_images/1549803230384857088/Q_CsKILk_normal.jpg</v>
      </c>
      <c r="AW1555" s="93" t="s">
        <v>19787</v>
      </c>
      <c r="AX1555" s="93" t="s">
        <v>22383</v>
      </c>
      <c r="AY1555" s="93" t="s">
        <v>22572</v>
      </c>
      <c r="AZ1555" s="93" t="s">
        <v>22716</v>
      </c>
      <c r="BA1555" s="93" t="s">
        <v>22668</v>
      </c>
      <c r="BB1555" s="93" t="s">
        <v>22668</v>
      </c>
      <c r="BC1555" s="93" t="s">
        <v>22716</v>
      </c>
      <c r="BD1555" s="93" t="s">
        <v>22572</v>
      </c>
      <c r="BE1555" s="87"/>
      <c r="BF1555" s="87"/>
      <c r="BG1555" s="87"/>
      <c r="BH1555" s="87"/>
      <c r="BI1555" s="87"/>
    </row>
    <row r="1556" spans="1:61" x14ac:dyDescent="0.25">
      <c r="A1556" s="63" t="s">
        <v>760</v>
      </c>
      <c r="B1556" s="63" t="s">
        <v>760</v>
      </c>
      <c r="C1556" s="64"/>
      <c r="D1556" s="65"/>
      <c r="E1556" s="66"/>
      <c r="F1556" s="67"/>
      <c r="G1556" s="64"/>
      <c r="H1556" s="68"/>
      <c r="I1556" s="69"/>
      <c r="J1556" s="69"/>
      <c r="K1556" s="32"/>
      <c r="L1556" s="76">
        <v>1556</v>
      </c>
      <c r="M1556" s="76"/>
      <c r="N1556" s="71"/>
      <c r="O1556" s="87" t="s">
        <v>179</v>
      </c>
      <c r="P1556" s="90">
        <v>45156.955069444448</v>
      </c>
      <c r="Q1556" s="87" t="s">
        <v>3354</v>
      </c>
      <c r="R1556" s="87">
        <v>0</v>
      </c>
      <c r="S1556" s="87">
        <v>0</v>
      </c>
      <c r="T1556" s="87">
        <v>0</v>
      </c>
      <c r="U1556" s="87">
        <v>0</v>
      </c>
      <c r="V1556" s="87">
        <v>13</v>
      </c>
      <c r="W1556" s="93" t="s">
        <v>6908</v>
      </c>
      <c r="X1556" s="87"/>
      <c r="Y1556" s="87"/>
      <c r="Z1556" s="87"/>
      <c r="AA1556" s="87" t="s">
        <v>9639</v>
      </c>
      <c r="AB1556" s="87" t="s">
        <v>11448</v>
      </c>
      <c r="AC1556" s="93" t="s">
        <v>11457</v>
      </c>
      <c r="AD1556" s="87" t="s">
        <v>11519</v>
      </c>
      <c r="AE1556" s="92" t="str">
        <f>HYPERLINK("https://twitter.com/marcosmentoria/status/1692671541400555930")</f>
        <v>https://twitter.com/marcosmentoria/status/1692671541400555930</v>
      </c>
      <c r="AF1556" s="90">
        <v>45156.955069444448</v>
      </c>
      <c r="AG1556" s="99">
        <v>45156</v>
      </c>
      <c r="AH1556" s="93" t="s">
        <v>12957</v>
      </c>
      <c r="AI1556" s="87" t="b">
        <v>0</v>
      </c>
      <c r="AJ1556" s="87"/>
      <c r="AK1556" s="87"/>
      <c r="AL1556" s="87"/>
      <c r="AM1556" s="87"/>
      <c r="AN1556" s="87"/>
      <c r="AO1556" s="87"/>
      <c r="AP1556" s="87"/>
      <c r="AQ1556" s="87" t="s">
        <v>16452</v>
      </c>
      <c r="AR1556" s="87"/>
      <c r="AS1556" s="87"/>
      <c r="AT1556" s="87"/>
      <c r="AU1556" s="87"/>
      <c r="AV1556" s="92" t="str">
        <f>HYPERLINK("https://pbs.twimg.com/media/F32TQNUXIAA1T9u.png")</f>
        <v>https://pbs.twimg.com/media/F32TQNUXIAA1T9u.png</v>
      </c>
      <c r="AW1556" s="93" t="s">
        <v>19788</v>
      </c>
      <c r="AX1556" s="93" t="s">
        <v>19788</v>
      </c>
      <c r="AY1556" s="87"/>
      <c r="AZ1556" s="93" t="s">
        <v>22668</v>
      </c>
      <c r="BA1556" s="93" t="s">
        <v>22668</v>
      </c>
      <c r="BB1556" s="93" t="s">
        <v>22668</v>
      </c>
      <c r="BC1556" s="93" t="s">
        <v>19788</v>
      </c>
      <c r="BD1556" s="93" t="s">
        <v>23101</v>
      </c>
      <c r="BE1556" s="87"/>
      <c r="BF1556" s="87"/>
      <c r="BG1556" s="87"/>
      <c r="BH1556" s="87"/>
      <c r="BI1556" s="87"/>
    </row>
    <row r="1557" spans="1:61" x14ac:dyDescent="0.25">
      <c r="A1557" s="63" t="s">
        <v>761</v>
      </c>
      <c r="B1557" s="63" t="s">
        <v>761</v>
      </c>
      <c r="C1557" s="64"/>
      <c r="D1557" s="65"/>
      <c r="E1557" s="66"/>
      <c r="F1557" s="67"/>
      <c r="G1557" s="64"/>
      <c r="H1557" s="68"/>
      <c r="I1557" s="69"/>
      <c r="J1557" s="69"/>
      <c r="K1557" s="32"/>
      <c r="L1557" s="76">
        <v>1557</v>
      </c>
      <c r="M1557" s="76"/>
      <c r="N1557" s="71"/>
      <c r="O1557" s="87" t="s">
        <v>1842</v>
      </c>
      <c r="P1557" s="90">
        <v>45166.66684027778</v>
      </c>
      <c r="Q1557" s="87" t="s">
        <v>3355</v>
      </c>
      <c r="R1557" s="87">
        <v>0</v>
      </c>
      <c r="S1557" s="87">
        <v>2</v>
      </c>
      <c r="T1557" s="87">
        <v>2</v>
      </c>
      <c r="U1557" s="87">
        <v>0</v>
      </c>
      <c r="V1557" s="87">
        <v>187</v>
      </c>
      <c r="W1557" s="93" t="s">
        <v>5897</v>
      </c>
      <c r="X1557" s="87"/>
      <c r="Y1557" s="87"/>
      <c r="Z1557" s="87"/>
      <c r="AA1557" s="87"/>
      <c r="AB1557" s="87"/>
      <c r="AC1557" s="93" t="s">
        <v>11459</v>
      </c>
      <c r="AD1557" s="87" t="s">
        <v>11519</v>
      </c>
      <c r="AE1557" s="92" t="str">
        <f>HYPERLINK("https://twitter.com/vitornascimen/status/1696190970591650247")</f>
        <v>https://twitter.com/vitornascimen/status/1696190970591650247</v>
      </c>
      <c r="AF1557" s="90">
        <v>45166.66684027778</v>
      </c>
      <c r="AG1557" s="99">
        <v>45166</v>
      </c>
      <c r="AH1557" s="93" t="s">
        <v>12958</v>
      </c>
      <c r="AI1557" s="87"/>
      <c r="AJ1557" s="87"/>
      <c r="AK1557" s="87"/>
      <c r="AL1557" s="87"/>
      <c r="AM1557" s="87"/>
      <c r="AN1557" s="87"/>
      <c r="AO1557" s="87"/>
      <c r="AP1557" s="87"/>
      <c r="AQ1557" s="87"/>
      <c r="AR1557" s="87"/>
      <c r="AS1557" s="87"/>
      <c r="AT1557" s="87"/>
      <c r="AU1557" s="87"/>
      <c r="AV1557" s="92" t="str">
        <f>HYPERLINK("https://pbs.twimg.com/profile_images/1446649890227040258/U_F8MHKi_normal.jpg")</f>
        <v>https://pbs.twimg.com/profile_images/1446649890227040258/U_F8MHKi_normal.jpg</v>
      </c>
      <c r="AW1557" s="93" t="s">
        <v>19789</v>
      </c>
      <c r="AX1557" s="93" t="s">
        <v>19789</v>
      </c>
      <c r="AY1557" s="87"/>
      <c r="AZ1557" s="93" t="s">
        <v>22668</v>
      </c>
      <c r="BA1557" s="93" t="s">
        <v>22792</v>
      </c>
      <c r="BB1557" s="93" t="s">
        <v>22668</v>
      </c>
      <c r="BC1557" s="93" t="s">
        <v>22792</v>
      </c>
      <c r="BD1557" s="87">
        <v>89320409</v>
      </c>
      <c r="BE1557" s="87"/>
      <c r="BF1557" s="87"/>
      <c r="BG1557" s="87"/>
      <c r="BH1557" s="87"/>
      <c r="BI1557" s="87"/>
    </row>
    <row r="1558" spans="1:61" x14ac:dyDescent="0.25">
      <c r="A1558" s="63" t="s">
        <v>762</v>
      </c>
      <c r="B1558" s="63" t="s">
        <v>762</v>
      </c>
      <c r="C1558" s="64"/>
      <c r="D1558" s="65"/>
      <c r="E1558" s="66"/>
      <c r="F1558" s="67"/>
      <c r="G1558" s="64"/>
      <c r="H1558" s="68"/>
      <c r="I1558" s="69"/>
      <c r="J1558" s="69"/>
      <c r="K1558" s="32"/>
      <c r="L1558" s="76">
        <v>1558</v>
      </c>
      <c r="M1558" s="76"/>
      <c r="N1558" s="71"/>
      <c r="O1558" s="87" t="s">
        <v>179</v>
      </c>
      <c r="P1558" s="90">
        <v>45119.424629629626</v>
      </c>
      <c r="Q1558" s="87" t="s">
        <v>3356</v>
      </c>
      <c r="R1558" s="87">
        <v>0</v>
      </c>
      <c r="S1558" s="87">
        <v>1</v>
      </c>
      <c r="T1558" s="87">
        <v>0</v>
      </c>
      <c r="U1558" s="87">
        <v>0</v>
      </c>
      <c r="V1558" s="87">
        <v>22</v>
      </c>
      <c r="W1558" s="93" t="s">
        <v>6909</v>
      </c>
      <c r="X1558" s="87"/>
      <c r="Y1558" s="87"/>
      <c r="Z1558" s="87"/>
      <c r="AA1558" s="87" t="s">
        <v>9640</v>
      </c>
      <c r="AB1558" s="87" t="s">
        <v>11447</v>
      </c>
      <c r="AC1558" s="93" t="s">
        <v>11460</v>
      </c>
      <c r="AD1558" s="87" t="s">
        <v>11519</v>
      </c>
      <c r="AE1558" s="92" t="str">
        <f>HYPERLINK("https://twitter.com/easycoboficial/status/1679070964041089024")</f>
        <v>https://twitter.com/easycoboficial/status/1679070964041089024</v>
      </c>
      <c r="AF1558" s="90">
        <v>45119.424629629626</v>
      </c>
      <c r="AG1558" s="99">
        <v>45119</v>
      </c>
      <c r="AH1558" s="93" t="s">
        <v>12959</v>
      </c>
      <c r="AI1558" s="87" t="b">
        <v>0</v>
      </c>
      <c r="AJ1558" s="87"/>
      <c r="AK1558" s="87"/>
      <c r="AL1558" s="87"/>
      <c r="AM1558" s="87"/>
      <c r="AN1558" s="87"/>
      <c r="AO1558" s="87"/>
      <c r="AP1558" s="87"/>
      <c r="AQ1558" s="87" t="s">
        <v>16453</v>
      </c>
      <c r="AR1558" s="87">
        <v>80393</v>
      </c>
      <c r="AS1558" s="87"/>
      <c r="AT1558" s="87"/>
      <c r="AU1558" s="87"/>
      <c r="AV1558" s="92" t="str">
        <f>HYPERLINK("https://pbs.twimg.com/ext_tw_video_thumb/1679070674302775298/pu/img/aclnwks09FalPcdq.jpg")</f>
        <v>https://pbs.twimg.com/ext_tw_video_thumb/1679070674302775298/pu/img/aclnwks09FalPcdq.jpg</v>
      </c>
      <c r="AW1558" s="93" t="s">
        <v>19790</v>
      </c>
      <c r="AX1558" s="93" t="s">
        <v>19790</v>
      </c>
      <c r="AY1558" s="87"/>
      <c r="AZ1558" s="93" t="s">
        <v>22668</v>
      </c>
      <c r="BA1558" s="93" t="s">
        <v>22668</v>
      </c>
      <c r="BB1558" s="93" t="s">
        <v>22668</v>
      </c>
      <c r="BC1558" s="93" t="s">
        <v>19790</v>
      </c>
      <c r="BD1558" s="93" t="s">
        <v>23102</v>
      </c>
      <c r="BE1558" s="87"/>
      <c r="BF1558" s="87"/>
      <c r="BG1558" s="87"/>
      <c r="BH1558" s="87"/>
      <c r="BI1558" s="87"/>
    </row>
    <row r="1559" spans="1:61" x14ac:dyDescent="0.25">
      <c r="A1559" s="63" t="s">
        <v>762</v>
      </c>
      <c r="B1559" s="63" t="s">
        <v>762</v>
      </c>
      <c r="C1559" s="64"/>
      <c r="D1559" s="65"/>
      <c r="E1559" s="66"/>
      <c r="F1559" s="67"/>
      <c r="G1559" s="64"/>
      <c r="H1559" s="68"/>
      <c r="I1559" s="69"/>
      <c r="J1559" s="69"/>
      <c r="K1559" s="32"/>
      <c r="L1559" s="76">
        <v>1559</v>
      </c>
      <c r="M1559" s="76"/>
      <c r="N1559" s="71"/>
      <c r="O1559" s="87" t="s">
        <v>179</v>
      </c>
      <c r="P1559" s="90">
        <v>45113.420300925929</v>
      </c>
      <c r="Q1559" s="87" t="s">
        <v>3357</v>
      </c>
      <c r="R1559" s="87">
        <v>0</v>
      </c>
      <c r="S1559" s="87">
        <v>1</v>
      </c>
      <c r="T1559" s="87">
        <v>0</v>
      </c>
      <c r="U1559" s="87">
        <v>0</v>
      </c>
      <c r="V1559" s="87">
        <v>15</v>
      </c>
      <c r="W1559" s="93" t="s">
        <v>6910</v>
      </c>
      <c r="X1559" s="92" t="str">
        <f>HYPERLINK("https://mla.bs/706afa5b")</f>
        <v>https://mla.bs/706afa5b</v>
      </c>
      <c r="Y1559" s="87" t="s">
        <v>8396</v>
      </c>
      <c r="Z1559" s="87"/>
      <c r="AA1559" s="87" t="s">
        <v>9641</v>
      </c>
      <c r="AB1559" s="87" t="s">
        <v>11448</v>
      </c>
      <c r="AC1559" s="93" t="s">
        <v>11460</v>
      </c>
      <c r="AD1559" s="87" t="s">
        <v>11519</v>
      </c>
      <c r="AE1559" s="92" t="str">
        <f>HYPERLINK("https://twitter.com/easycoboficial/status/1676895068295184384")</f>
        <v>https://twitter.com/easycoboficial/status/1676895068295184384</v>
      </c>
      <c r="AF1559" s="90">
        <v>45113.420300925929</v>
      </c>
      <c r="AG1559" s="99">
        <v>45113</v>
      </c>
      <c r="AH1559" s="93" t="s">
        <v>12960</v>
      </c>
      <c r="AI1559" s="87" t="b">
        <v>0</v>
      </c>
      <c r="AJ1559" s="87"/>
      <c r="AK1559" s="87"/>
      <c r="AL1559" s="87"/>
      <c r="AM1559" s="87"/>
      <c r="AN1559" s="87"/>
      <c r="AO1559" s="87"/>
      <c r="AP1559" s="87"/>
      <c r="AQ1559" s="87" t="s">
        <v>16454</v>
      </c>
      <c r="AR1559" s="87"/>
      <c r="AS1559" s="87"/>
      <c r="AT1559" s="87"/>
      <c r="AU1559" s="87"/>
      <c r="AV1559" s="92" t="str">
        <f>HYPERLINK("https://pbs.twimg.com/media/F0WHLbeWcAE8aIO.jpg")</f>
        <v>https://pbs.twimg.com/media/F0WHLbeWcAE8aIO.jpg</v>
      </c>
      <c r="AW1559" s="93" t="s">
        <v>19791</v>
      </c>
      <c r="AX1559" s="93" t="s">
        <v>19791</v>
      </c>
      <c r="AY1559" s="87"/>
      <c r="AZ1559" s="93" t="s">
        <v>22668</v>
      </c>
      <c r="BA1559" s="93" t="s">
        <v>22668</v>
      </c>
      <c r="BB1559" s="93" t="s">
        <v>22668</v>
      </c>
      <c r="BC1559" s="93" t="s">
        <v>19791</v>
      </c>
      <c r="BD1559" s="93" t="s">
        <v>23102</v>
      </c>
      <c r="BE1559" s="87"/>
      <c r="BF1559" s="87"/>
      <c r="BG1559" s="87"/>
      <c r="BH1559" s="87"/>
      <c r="BI1559" s="87"/>
    </row>
    <row r="1560" spans="1:61" x14ac:dyDescent="0.25">
      <c r="A1560" s="63" t="s">
        <v>762</v>
      </c>
      <c r="B1560" s="63" t="s">
        <v>762</v>
      </c>
      <c r="C1560" s="64"/>
      <c r="D1560" s="65"/>
      <c r="E1560" s="66"/>
      <c r="F1560" s="67"/>
      <c r="G1560" s="64"/>
      <c r="H1560" s="68"/>
      <c r="I1560" s="69"/>
      <c r="J1560" s="69"/>
      <c r="K1560" s="32"/>
      <c r="L1560" s="76">
        <v>1560</v>
      </c>
      <c r="M1560" s="76"/>
      <c r="N1560" s="71"/>
      <c r="O1560" s="87" t="s">
        <v>179</v>
      </c>
      <c r="P1560" s="90">
        <v>45117.896296296298</v>
      </c>
      <c r="Q1560" s="87" t="s">
        <v>3358</v>
      </c>
      <c r="R1560" s="87">
        <v>0</v>
      </c>
      <c r="S1560" s="87">
        <v>0</v>
      </c>
      <c r="T1560" s="87">
        <v>0</v>
      </c>
      <c r="U1560" s="87">
        <v>0</v>
      </c>
      <c r="V1560" s="87">
        <v>13</v>
      </c>
      <c r="W1560" s="93" t="s">
        <v>6911</v>
      </c>
      <c r="X1560" s="92" t="str">
        <f>HYPERLINK("https://mla.bs/f36aa4a7")</f>
        <v>https://mla.bs/f36aa4a7</v>
      </c>
      <c r="Y1560" s="87" t="s">
        <v>8396</v>
      </c>
      <c r="Z1560" s="87"/>
      <c r="AA1560" s="87" t="s">
        <v>9642</v>
      </c>
      <c r="AB1560" s="87" t="s">
        <v>11448</v>
      </c>
      <c r="AC1560" s="93" t="s">
        <v>11460</v>
      </c>
      <c r="AD1560" s="87" t="s">
        <v>11519</v>
      </c>
      <c r="AE1560" s="92" t="str">
        <f>HYPERLINK("https://twitter.com/easycoboficial/status/1678517118214471683")</f>
        <v>https://twitter.com/easycoboficial/status/1678517118214471683</v>
      </c>
      <c r="AF1560" s="90">
        <v>45117.896296296298</v>
      </c>
      <c r="AG1560" s="99">
        <v>45117</v>
      </c>
      <c r="AH1560" s="93" t="s">
        <v>12961</v>
      </c>
      <c r="AI1560" s="87" t="b">
        <v>0</v>
      </c>
      <c r="AJ1560" s="87"/>
      <c r="AK1560" s="87"/>
      <c r="AL1560" s="87"/>
      <c r="AM1560" s="87"/>
      <c r="AN1560" s="87"/>
      <c r="AO1560" s="87"/>
      <c r="AP1560" s="87"/>
      <c r="AQ1560" s="87" t="s">
        <v>16455</v>
      </c>
      <c r="AR1560" s="87"/>
      <c r="AS1560" s="87"/>
      <c r="AT1560" s="87"/>
      <c r="AU1560" s="87"/>
      <c r="AV1560" s="92" t="str">
        <f>HYPERLINK("https://pbs.twimg.com/media/F0tKbHlWwAAcvVE.jpg")</f>
        <v>https://pbs.twimg.com/media/F0tKbHlWwAAcvVE.jpg</v>
      </c>
      <c r="AW1560" s="93" t="s">
        <v>19792</v>
      </c>
      <c r="AX1560" s="93" t="s">
        <v>19792</v>
      </c>
      <c r="AY1560" s="87"/>
      <c r="AZ1560" s="93" t="s">
        <v>22668</v>
      </c>
      <c r="BA1560" s="93" t="s">
        <v>22668</v>
      </c>
      <c r="BB1560" s="93" t="s">
        <v>22668</v>
      </c>
      <c r="BC1560" s="93" t="s">
        <v>19792</v>
      </c>
      <c r="BD1560" s="93" t="s">
        <v>23102</v>
      </c>
      <c r="BE1560" s="87"/>
      <c r="BF1560" s="87"/>
      <c r="BG1560" s="87"/>
      <c r="BH1560" s="87"/>
      <c r="BI1560" s="87"/>
    </row>
    <row r="1561" spans="1:61" x14ac:dyDescent="0.25">
      <c r="A1561" s="63" t="s">
        <v>762</v>
      </c>
      <c r="B1561" s="63" t="s">
        <v>762</v>
      </c>
      <c r="C1561" s="64"/>
      <c r="D1561" s="65"/>
      <c r="E1561" s="66"/>
      <c r="F1561" s="67"/>
      <c r="G1561" s="64"/>
      <c r="H1561" s="68"/>
      <c r="I1561" s="69"/>
      <c r="J1561" s="69"/>
      <c r="K1561" s="32"/>
      <c r="L1561" s="76">
        <v>1561</v>
      </c>
      <c r="M1561" s="76"/>
      <c r="N1561" s="71"/>
      <c r="O1561" s="87" t="s">
        <v>179</v>
      </c>
      <c r="P1561" s="90">
        <v>45129.618194444447</v>
      </c>
      <c r="Q1561" s="87" t="s">
        <v>3359</v>
      </c>
      <c r="R1561" s="87">
        <v>0</v>
      </c>
      <c r="S1561" s="87">
        <v>0</v>
      </c>
      <c r="T1561" s="87">
        <v>0</v>
      </c>
      <c r="U1561" s="87">
        <v>0</v>
      </c>
      <c r="V1561" s="87">
        <v>34</v>
      </c>
      <c r="W1561" s="93" t="s">
        <v>6912</v>
      </c>
      <c r="X1561" s="92" t="str">
        <f>HYPERLINK("https://mla.bs/acd7dcdf")</f>
        <v>https://mla.bs/acd7dcdf</v>
      </c>
      <c r="Y1561" s="87" t="s">
        <v>8396</v>
      </c>
      <c r="Z1561" s="87"/>
      <c r="AA1561" s="87" t="s">
        <v>9643</v>
      </c>
      <c r="AB1561" s="87" t="s">
        <v>11448</v>
      </c>
      <c r="AC1561" s="93" t="s">
        <v>11460</v>
      </c>
      <c r="AD1561" s="87" t="s">
        <v>11519</v>
      </c>
      <c r="AE1561" s="92" t="str">
        <f>HYPERLINK("https://twitter.com/easycoboficial/status/1682764990032257026")</f>
        <v>https://twitter.com/easycoboficial/status/1682764990032257026</v>
      </c>
      <c r="AF1561" s="90">
        <v>45129.618194444447</v>
      </c>
      <c r="AG1561" s="99">
        <v>45129</v>
      </c>
      <c r="AH1561" s="93" t="s">
        <v>12962</v>
      </c>
      <c r="AI1561" s="87" t="b">
        <v>0</v>
      </c>
      <c r="AJ1561" s="87"/>
      <c r="AK1561" s="87"/>
      <c r="AL1561" s="87"/>
      <c r="AM1561" s="87"/>
      <c r="AN1561" s="87"/>
      <c r="AO1561" s="87"/>
      <c r="AP1561" s="87"/>
      <c r="AQ1561" s="87" t="s">
        <v>16456</v>
      </c>
      <c r="AR1561" s="87"/>
      <c r="AS1561" s="87"/>
      <c r="AT1561" s="87"/>
      <c r="AU1561" s="87"/>
      <c r="AV1561" s="92" t="str">
        <f>HYPERLINK("https://pbs.twimg.com/media/F1ph1ymWcAA0zCO.jpg")</f>
        <v>https://pbs.twimg.com/media/F1ph1ymWcAA0zCO.jpg</v>
      </c>
      <c r="AW1561" s="93" t="s">
        <v>19793</v>
      </c>
      <c r="AX1561" s="93" t="s">
        <v>19793</v>
      </c>
      <c r="AY1561" s="87"/>
      <c r="AZ1561" s="93" t="s">
        <v>22668</v>
      </c>
      <c r="BA1561" s="93" t="s">
        <v>22668</v>
      </c>
      <c r="BB1561" s="93" t="s">
        <v>22668</v>
      </c>
      <c r="BC1561" s="93" t="s">
        <v>19793</v>
      </c>
      <c r="BD1561" s="93" t="s">
        <v>23102</v>
      </c>
      <c r="BE1561" s="87"/>
      <c r="BF1561" s="87"/>
      <c r="BG1561" s="87"/>
      <c r="BH1561" s="87"/>
      <c r="BI1561" s="87"/>
    </row>
    <row r="1562" spans="1:61" x14ac:dyDescent="0.25">
      <c r="A1562" s="63" t="s">
        <v>762</v>
      </c>
      <c r="B1562" s="63" t="s">
        <v>762</v>
      </c>
      <c r="C1562" s="64"/>
      <c r="D1562" s="65"/>
      <c r="E1562" s="66"/>
      <c r="F1562" s="67"/>
      <c r="G1562" s="64"/>
      <c r="H1562" s="68"/>
      <c r="I1562" s="69"/>
      <c r="J1562" s="69"/>
      <c r="K1562" s="32"/>
      <c r="L1562" s="76">
        <v>1562</v>
      </c>
      <c r="M1562" s="76"/>
      <c r="N1562" s="71"/>
      <c r="O1562" s="87" t="s">
        <v>179</v>
      </c>
      <c r="P1562" s="90">
        <v>45127.639282407406</v>
      </c>
      <c r="Q1562" s="87" t="s">
        <v>3360</v>
      </c>
      <c r="R1562" s="87">
        <v>0</v>
      </c>
      <c r="S1562" s="87">
        <v>1</v>
      </c>
      <c r="T1562" s="87">
        <v>0</v>
      </c>
      <c r="U1562" s="87">
        <v>0</v>
      </c>
      <c r="V1562" s="87">
        <v>30</v>
      </c>
      <c r="W1562" s="93" t="s">
        <v>6913</v>
      </c>
      <c r="X1562" s="87"/>
      <c r="Y1562" s="87"/>
      <c r="Z1562" s="87"/>
      <c r="AA1562" s="87" t="s">
        <v>9644</v>
      </c>
      <c r="AB1562" s="87" t="s">
        <v>11447</v>
      </c>
      <c r="AC1562" s="93" t="s">
        <v>11460</v>
      </c>
      <c r="AD1562" s="87" t="s">
        <v>11519</v>
      </c>
      <c r="AE1562" s="92" t="str">
        <f>HYPERLINK("https://twitter.com/easycoboficial/status/1682047855727394816")</f>
        <v>https://twitter.com/easycoboficial/status/1682047855727394816</v>
      </c>
      <c r="AF1562" s="90">
        <v>45127.639282407406</v>
      </c>
      <c r="AG1562" s="99">
        <v>45127</v>
      </c>
      <c r="AH1562" s="93" t="s">
        <v>12963</v>
      </c>
      <c r="AI1562" s="87" t="b">
        <v>0</v>
      </c>
      <c r="AJ1562" s="87"/>
      <c r="AK1562" s="87"/>
      <c r="AL1562" s="87"/>
      <c r="AM1562" s="87"/>
      <c r="AN1562" s="87"/>
      <c r="AO1562" s="87"/>
      <c r="AP1562" s="87"/>
      <c r="AQ1562" s="87" t="s">
        <v>16457</v>
      </c>
      <c r="AR1562" s="87">
        <v>30663</v>
      </c>
      <c r="AS1562" s="87"/>
      <c r="AT1562" s="87"/>
      <c r="AU1562" s="87"/>
      <c r="AV1562" s="92" t="str">
        <f>HYPERLINK("https://pbs.twimg.com/ext_tw_video_thumb/1682047781282668545/pu/img/WA8klI9uwZvnYqvm.jpg")</f>
        <v>https://pbs.twimg.com/ext_tw_video_thumb/1682047781282668545/pu/img/WA8klI9uwZvnYqvm.jpg</v>
      </c>
      <c r="AW1562" s="93" t="s">
        <v>19794</v>
      </c>
      <c r="AX1562" s="93" t="s">
        <v>19794</v>
      </c>
      <c r="AY1562" s="87"/>
      <c r="AZ1562" s="93" t="s">
        <v>22668</v>
      </c>
      <c r="BA1562" s="93" t="s">
        <v>22668</v>
      </c>
      <c r="BB1562" s="93" t="s">
        <v>22668</v>
      </c>
      <c r="BC1562" s="93" t="s">
        <v>19794</v>
      </c>
      <c r="BD1562" s="93" t="s">
        <v>23102</v>
      </c>
      <c r="BE1562" s="87"/>
      <c r="BF1562" s="87"/>
      <c r="BG1562" s="87"/>
      <c r="BH1562" s="87"/>
      <c r="BI1562" s="87"/>
    </row>
    <row r="1563" spans="1:61" x14ac:dyDescent="0.25">
      <c r="A1563" s="63" t="s">
        <v>762</v>
      </c>
      <c r="B1563" s="63" t="s">
        <v>762</v>
      </c>
      <c r="C1563" s="64"/>
      <c r="D1563" s="65"/>
      <c r="E1563" s="66"/>
      <c r="F1563" s="67"/>
      <c r="G1563" s="64"/>
      <c r="H1563" s="68"/>
      <c r="I1563" s="69"/>
      <c r="J1563" s="69"/>
      <c r="K1563" s="32"/>
      <c r="L1563" s="76">
        <v>1563</v>
      </c>
      <c r="M1563" s="76"/>
      <c r="N1563" s="71"/>
      <c r="O1563" s="87" t="s">
        <v>179</v>
      </c>
      <c r="P1563" s="90">
        <v>45131.604687500003</v>
      </c>
      <c r="Q1563" s="87" t="s">
        <v>3361</v>
      </c>
      <c r="R1563" s="87">
        <v>0</v>
      </c>
      <c r="S1563" s="87">
        <v>1</v>
      </c>
      <c r="T1563" s="87">
        <v>0</v>
      </c>
      <c r="U1563" s="87">
        <v>0</v>
      </c>
      <c r="V1563" s="87">
        <v>29</v>
      </c>
      <c r="W1563" s="93" t="s">
        <v>6909</v>
      </c>
      <c r="X1563" s="92" t="str">
        <f>HYPERLINK("https://mla.bs/71a12a15")</f>
        <v>https://mla.bs/71a12a15</v>
      </c>
      <c r="Y1563" s="87" t="s">
        <v>8396</v>
      </c>
      <c r="Z1563" s="87"/>
      <c r="AA1563" s="87" t="s">
        <v>9645</v>
      </c>
      <c r="AB1563" s="87" t="s">
        <v>11448</v>
      </c>
      <c r="AC1563" s="93" t="s">
        <v>11460</v>
      </c>
      <c r="AD1563" s="87" t="s">
        <v>11519</v>
      </c>
      <c r="AE1563" s="92" t="str">
        <f>HYPERLINK("https://twitter.com/easycoboficial/status/1683484872399003651")</f>
        <v>https://twitter.com/easycoboficial/status/1683484872399003651</v>
      </c>
      <c r="AF1563" s="90">
        <v>45131.604687500003</v>
      </c>
      <c r="AG1563" s="99">
        <v>45131</v>
      </c>
      <c r="AH1563" s="93" t="s">
        <v>12964</v>
      </c>
      <c r="AI1563" s="87" t="b">
        <v>0</v>
      </c>
      <c r="AJ1563" s="87"/>
      <c r="AK1563" s="87"/>
      <c r="AL1563" s="87"/>
      <c r="AM1563" s="87"/>
      <c r="AN1563" s="87"/>
      <c r="AO1563" s="87"/>
      <c r="AP1563" s="87"/>
      <c r="AQ1563" s="87" t="s">
        <v>16458</v>
      </c>
      <c r="AR1563" s="87"/>
      <c r="AS1563" s="87"/>
      <c r="AT1563" s="87"/>
      <c r="AU1563" s="87"/>
      <c r="AV1563" s="92" t="str">
        <f>HYPERLINK("https://pbs.twimg.com/media/F1zwkdUXoAIPFE_.jpg")</f>
        <v>https://pbs.twimg.com/media/F1zwkdUXoAIPFE_.jpg</v>
      </c>
      <c r="AW1563" s="93" t="s">
        <v>19795</v>
      </c>
      <c r="AX1563" s="93" t="s">
        <v>19795</v>
      </c>
      <c r="AY1563" s="87"/>
      <c r="AZ1563" s="93" t="s">
        <v>22668</v>
      </c>
      <c r="BA1563" s="93" t="s">
        <v>22668</v>
      </c>
      <c r="BB1563" s="93" t="s">
        <v>22668</v>
      </c>
      <c r="BC1563" s="93" t="s">
        <v>19795</v>
      </c>
      <c r="BD1563" s="93" t="s">
        <v>23102</v>
      </c>
      <c r="BE1563" s="87"/>
      <c r="BF1563" s="87"/>
      <c r="BG1563" s="87"/>
      <c r="BH1563" s="87"/>
      <c r="BI1563" s="87"/>
    </row>
    <row r="1564" spans="1:61" x14ac:dyDescent="0.25">
      <c r="A1564" s="63" t="s">
        <v>762</v>
      </c>
      <c r="B1564" s="63" t="s">
        <v>762</v>
      </c>
      <c r="C1564" s="64"/>
      <c r="D1564" s="65"/>
      <c r="E1564" s="66"/>
      <c r="F1564" s="67"/>
      <c r="G1564" s="64"/>
      <c r="H1564" s="68"/>
      <c r="I1564" s="69"/>
      <c r="J1564" s="69"/>
      <c r="K1564" s="32"/>
      <c r="L1564" s="76">
        <v>1564</v>
      </c>
      <c r="M1564" s="76"/>
      <c r="N1564" s="71"/>
      <c r="O1564" s="87" t="s">
        <v>179</v>
      </c>
      <c r="P1564" s="90">
        <v>45115.44462962963</v>
      </c>
      <c r="Q1564" s="87" t="s">
        <v>3362</v>
      </c>
      <c r="R1564" s="87">
        <v>0</v>
      </c>
      <c r="S1564" s="87">
        <v>0</v>
      </c>
      <c r="T1564" s="87">
        <v>0</v>
      </c>
      <c r="U1564" s="87">
        <v>0</v>
      </c>
      <c r="V1564" s="87">
        <v>23</v>
      </c>
      <c r="W1564" s="93" t="s">
        <v>6909</v>
      </c>
      <c r="X1564" s="87"/>
      <c r="Y1564" s="87"/>
      <c r="Z1564" s="87"/>
      <c r="AA1564" s="87" t="s">
        <v>9646</v>
      </c>
      <c r="AB1564" s="87" t="s">
        <v>11447</v>
      </c>
      <c r="AC1564" s="93" t="s">
        <v>11460</v>
      </c>
      <c r="AD1564" s="87" t="s">
        <v>11519</v>
      </c>
      <c r="AE1564" s="92" t="str">
        <f>HYPERLINK("https://twitter.com/easycoboficial/status/1677628663892770818")</f>
        <v>https://twitter.com/easycoboficial/status/1677628663892770818</v>
      </c>
      <c r="AF1564" s="90">
        <v>45115.44462962963</v>
      </c>
      <c r="AG1564" s="99">
        <v>45115</v>
      </c>
      <c r="AH1564" s="93" t="s">
        <v>12965</v>
      </c>
      <c r="AI1564" s="87" t="b">
        <v>0</v>
      </c>
      <c r="AJ1564" s="87"/>
      <c r="AK1564" s="87"/>
      <c r="AL1564" s="87"/>
      <c r="AM1564" s="87"/>
      <c r="AN1564" s="87"/>
      <c r="AO1564" s="87"/>
      <c r="AP1564" s="87"/>
      <c r="AQ1564" s="87" t="s">
        <v>16459</v>
      </c>
      <c r="AR1564" s="87">
        <v>23706</v>
      </c>
      <c r="AS1564" s="87"/>
      <c r="AT1564" s="87"/>
      <c r="AU1564" s="87"/>
      <c r="AV1564" s="92" t="str">
        <f>HYPERLINK("https://pbs.twimg.com/ext_tw_video_thumb/1677628612449632256/pu/img/rvryoIBC38uwAiow.jpg")</f>
        <v>https://pbs.twimg.com/ext_tw_video_thumb/1677628612449632256/pu/img/rvryoIBC38uwAiow.jpg</v>
      </c>
      <c r="AW1564" s="93" t="s">
        <v>19796</v>
      </c>
      <c r="AX1564" s="93" t="s">
        <v>19796</v>
      </c>
      <c r="AY1564" s="87"/>
      <c r="AZ1564" s="93" t="s">
        <v>22668</v>
      </c>
      <c r="BA1564" s="93" t="s">
        <v>22668</v>
      </c>
      <c r="BB1564" s="93" t="s">
        <v>22668</v>
      </c>
      <c r="BC1564" s="93" t="s">
        <v>19796</v>
      </c>
      <c r="BD1564" s="93" t="s">
        <v>23102</v>
      </c>
      <c r="BE1564" s="87"/>
      <c r="BF1564" s="87"/>
      <c r="BG1564" s="87"/>
      <c r="BH1564" s="87"/>
      <c r="BI1564" s="87"/>
    </row>
    <row r="1565" spans="1:61" x14ac:dyDescent="0.25">
      <c r="A1565" s="63" t="s">
        <v>762</v>
      </c>
      <c r="B1565" s="63" t="s">
        <v>762</v>
      </c>
      <c r="C1565" s="64"/>
      <c r="D1565" s="65"/>
      <c r="E1565" s="66"/>
      <c r="F1565" s="67"/>
      <c r="G1565" s="64"/>
      <c r="H1565" s="68"/>
      <c r="I1565" s="69"/>
      <c r="J1565" s="69"/>
      <c r="K1565" s="32"/>
      <c r="L1565" s="76">
        <v>1565</v>
      </c>
      <c r="M1565" s="76"/>
      <c r="N1565" s="71"/>
      <c r="O1565" s="87" t="s">
        <v>179</v>
      </c>
      <c r="P1565" s="90">
        <v>45137.600960648146</v>
      </c>
      <c r="Q1565" s="87" t="s">
        <v>3363</v>
      </c>
      <c r="R1565" s="87">
        <v>0</v>
      </c>
      <c r="S1565" s="87">
        <v>1</v>
      </c>
      <c r="T1565" s="87">
        <v>0</v>
      </c>
      <c r="U1565" s="87">
        <v>0</v>
      </c>
      <c r="V1565" s="87">
        <v>91</v>
      </c>
      <c r="W1565" s="93" t="s">
        <v>6914</v>
      </c>
      <c r="X1565" s="87"/>
      <c r="Y1565" s="87"/>
      <c r="Z1565" s="87"/>
      <c r="AA1565" s="87" t="s">
        <v>9647</v>
      </c>
      <c r="AB1565" s="87" t="s">
        <v>11447</v>
      </c>
      <c r="AC1565" s="93" t="s">
        <v>11460</v>
      </c>
      <c r="AD1565" s="87" t="s">
        <v>11519</v>
      </c>
      <c r="AE1565" s="92" t="str">
        <f>HYPERLINK("https://twitter.com/easycoboficial/status/1685657847663656960")</f>
        <v>https://twitter.com/easycoboficial/status/1685657847663656960</v>
      </c>
      <c r="AF1565" s="90">
        <v>45137.600960648146</v>
      </c>
      <c r="AG1565" s="99">
        <v>45137</v>
      </c>
      <c r="AH1565" s="93" t="s">
        <v>12966</v>
      </c>
      <c r="AI1565" s="87" t="b">
        <v>0</v>
      </c>
      <c r="AJ1565" s="87"/>
      <c r="AK1565" s="87"/>
      <c r="AL1565" s="87"/>
      <c r="AM1565" s="87"/>
      <c r="AN1565" s="87"/>
      <c r="AO1565" s="87"/>
      <c r="AP1565" s="87"/>
      <c r="AQ1565" s="87" t="s">
        <v>16460</v>
      </c>
      <c r="AR1565" s="87">
        <v>56056</v>
      </c>
      <c r="AS1565" s="87"/>
      <c r="AT1565" s="87"/>
      <c r="AU1565" s="87"/>
      <c r="AV1565" s="92" t="str">
        <f>HYPERLINK("https://pbs.twimg.com/ext_tw_video_thumb/1685657759981744128/pu/img/YXSO4WIHo3iAXoRQ.jpg")</f>
        <v>https://pbs.twimg.com/ext_tw_video_thumb/1685657759981744128/pu/img/YXSO4WIHo3iAXoRQ.jpg</v>
      </c>
      <c r="AW1565" s="93" t="s">
        <v>19797</v>
      </c>
      <c r="AX1565" s="93" t="s">
        <v>19797</v>
      </c>
      <c r="AY1565" s="87"/>
      <c r="AZ1565" s="93" t="s">
        <v>22668</v>
      </c>
      <c r="BA1565" s="93" t="s">
        <v>22668</v>
      </c>
      <c r="BB1565" s="93" t="s">
        <v>22668</v>
      </c>
      <c r="BC1565" s="93" t="s">
        <v>19797</v>
      </c>
      <c r="BD1565" s="93" t="s">
        <v>23102</v>
      </c>
      <c r="BE1565" s="87"/>
      <c r="BF1565" s="87"/>
      <c r="BG1565" s="87"/>
      <c r="BH1565" s="87"/>
      <c r="BI1565" s="87"/>
    </row>
    <row r="1566" spans="1:61" x14ac:dyDescent="0.25">
      <c r="A1566" s="63" t="s">
        <v>762</v>
      </c>
      <c r="B1566" s="63" t="s">
        <v>762</v>
      </c>
      <c r="C1566" s="64"/>
      <c r="D1566" s="65"/>
      <c r="E1566" s="66"/>
      <c r="F1566" s="67"/>
      <c r="G1566" s="64"/>
      <c r="H1566" s="68"/>
      <c r="I1566" s="69"/>
      <c r="J1566" s="69"/>
      <c r="K1566" s="32"/>
      <c r="L1566" s="76">
        <v>1566</v>
      </c>
      <c r="M1566" s="76"/>
      <c r="N1566" s="71"/>
      <c r="O1566" s="87" t="s">
        <v>179</v>
      </c>
      <c r="P1566" s="90">
        <v>45121.468958333331</v>
      </c>
      <c r="Q1566" s="87" t="s">
        <v>3364</v>
      </c>
      <c r="R1566" s="87">
        <v>0</v>
      </c>
      <c r="S1566" s="87">
        <v>0</v>
      </c>
      <c r="T1566" s="87">
        <v>0</v>
      </c>
      <c r="U1566" s="87">
        <v>0</v>
      </c>
      <c r="V1566" s="87">
        <v>25</v>
      </c>
      <c r="W1566" s="93" t="s">
        <v>6915</v>
      </c>
      <c r="X1566" s="87"/>
      <c r="Y1566" s="87"/>
      <c r="Z1566" s="87"/>
      <c r="AA1566" s="87" t="s">
        <v>9648</v>
      </c>
      <c r="AB1566" s="87" t="s">
        <v>11448</v>
      </c>
      <c r="AC1566" s="93" t="s">
        <v>11460</v>
      </c>
      <c r="AD1566" s="87" t="s">
        <v>11519</v>
      </c>
      <c r="AE1566" s="92" t="str">
        <f>HYPERLINK("https://twitter.com/easycoboficial/status/1679811806678712321")</f>
        <v>https://twitter.com/easycoboficial/status/1679811806678712321</v>
      </c>
      <c r="AF1566" s="90">
        <v>45121.468958333331</v>
      </c>
      <c r="AG1566" s="99">
        <v>45121</v>
      </c>
      <c r="AH1566" s="93" t="s">
        <v>12967</v>
      </c>
      <c r="AI1566" s="87" t="b">
        <v>0</v>
      </c>
      <c r="AJ1566" s="87"/>
      <c r="AK1566" s="87"/>
      <c r="AL1566" s="87"/>
      <c r="AM1566" s="87"/>
      <c r="AN1566" s="87"/>
      <c r="AO1566" s="87"/>
      <c r="AP1566" s="87"/>
      <c r="AQ1566" s="87" t="s">
        <v>16461</v>
      </c>
      <c r="AR1566" s="87"/>
      <c r="AS1566" s="87"/>
      <c r="AT1566" s="87"/>
      <c r="AU1566" s="87"/>
      <c r="AV1566" s="92" t="str">
        <f>HYPERLINK("https://pbs.twimg.com/media/F0_j78vWAAEWLyH.jpg")</f>
        <v>https://pbs.twimg.com/media/F0_j78vWAAEWLyH.jpg</v>
      </c>
      <c r="AW1566" s="93" t="s">
        <v>19798</v>
      </c>
      <c r="AX1566" s="93" t="s">
        <v>19798</v>
      </c>
      <c r="AY1566" s="87"/>
      <c r="AZ1566" s="93" t="s">
        <v>22668</v>
      </c>
      <c r="BA1566" s="93" t="s">
        <v>22668</v>
      </c>
      <c r="BB1566" s="93" t="s">
        <v>22668</v>
      </c>
      <c r="BC1566" s="93" t="s">
        <v>19798</v>
      </c>
      <c r="BD1566" s="93" t="s">
        <v>23102</v>
      </c>
      <c r="BE1566" s="87"/>
      <c r="BF1566" s="87"/>
      <c r="BG1566" s="87"/>
      <c r="BH1566" s="87"/>
      <c r="BI1566" s="87"/>
    </row>
    <row r="1567" spans="1:61" x14ac:dyDescent="0.25">
      <c r="A1567" s="63" t="s">
        <v>763</v>
      </c>
      <c r="B1567" s="63" t="s">
        <v>763</v>
      </c>
      <c r="C1567" s="64"/>
      <c r="D1567" s="65"/>
      <c r="E1567" s="66"/>
      <c r="F1567" s="67"/>
      <c r="G1567" s="64"/>
      <c r="H1567" s="68"/>
      <c r="I1567" s="69"/>
      <c r="J1567" s="69"/>
      <c r="K1567" s="32"/>
      <c r="L1567" s="76">
        <v>1567</v>
      </c>
      <c r="M1567" s="76"/>
      <c r="N1567" s="71"/>
      <c r="O1567" s="87" t="s">
        <v>179</v>
      </c>
      <c r="P1567" s="90">
        <v>45118.625034722223</v>
      </c>
      <c r="Q1567" s="87" t="s">
        <v>3365</v>
      </c>
      <c r="R1567" s="87">
        <v>0</v>
      </c>
      <c r="S1567" s="87">
        <v>0</v>
      </c>
      <c r="T1567" s="87">
        <v>0</v>
      </c>
      <c r="U1567" s="87">
        <v>0</v>
      </c>
      <c r="V1567" s="87">
        <v>21</v>
      </c>
      <c r="W1567" s="93" t="s">
        <v>6916</v>
      </c>
      <c r="X1567" s="92" t="str">
        <f>HYPERLINK("https://www.diariodominho.pt/noticias/2023-07-11-viana-jovens-empreendedores-apoia-dois-projetos-com-verba-global-de-40-mil-euros-64ad5c2b93852")</f>
        <v>https://www.diariodominho.pt/noticias/2023-07-11-viana-jovens-empreendedores-apoia-dois-projetos-com-verba-global-de-40-mil-euros-64ad5c2b93852</v>
      </c>
      <c r="Y1567" s="87" t="s">
        <v>8461</v>
      </c>
      <c r="Z1567" s="87"/>
      <c r="AA1567" s="87"/>
      <c r="AB1567" s="87"/>
      <c r="AC1567" s="93" t="s">
        <v>11457</v>
      </c>
      <c r="AD1567" s="87" t="s">
        <v>11519</v>
      </c>
      <c r="AE1567" s="92" t="str">
        <f>HYPERLINK("https://twitter.com/diariodominho/status/1678781203900669953")</f>
        <v>https://twitter.com/diariodominho/status/1678781203900669953</v>
      </c>
      <c r="AF1567" s="90">
        <v>45118.625034722223</v>
      </c>
      <c r="AG1567" s="99">
        <v>45118</v>
      </c>
      <c r="AH1567" s="93" t="s">
        <v>12968</v>
      </c>
      <c r="AI1567" s="87" t="b">
        <v>0</v>
      </c>
      <c r="AJ1567" s="87"/>
      <c r="AK1567" s="87"/>
      <c r="AL1567" s="87"/>
      <c r="AM1567" s="87"/>
      <c r="AN1567" s="87"/>
      <c r="AO1567" s="87"/>
      <c r="AP1567" s="87"/>
      <c r="AQ1567" s="87"/>
      <c r="AR1567" s="87"/>
      <c r="AS1567" s="87"/>
      <c r="AT1567" s="87"/>
      <c r="AU1567" s="87"/>
      <c r="AV1567" s="92" t="str">
        <f>HYPERLINK("https://pbs.twimg.com/profile_images/1567188584997834756/gnZ16RIY_normal.jpg")</f>
        <v>https://pbs.twimg.com/profile_images/1567188584997834756/gnZ16RIY_normal.jpg</v>
      </c>
      <c r="AW1567" s="93" t="s">
        <v>19799</v>
      </c>
      <c r="AX1567" s="93" t="s">
        <v>19799</v>
      </c>
      <c r="AY1567" s="87"/>
      <c r="AZ1567" s="93" t="s">
        <v>22668</v>
      </c>
      <c r="BA1567" s="93" t="s">
        <v>22668</v>
      </c>
      <c r="BB1567" s="93" t="s">
        <v>22668</v>
      </c>
      <c r="BC1567" s="93" t="s">
        <v>19799</v>
      </c>
      <c r="BD1567" s="87">
        <v>130194940</v>
      </c>
      <c r="BE1567" s="87"/>
      <c r="BF1567" s="87"/>
      <c r="BG1567" s="87"/>
      <c r="BH1567" s="87"/>
      <c r="BI1567" s="87"/>
    </row>
    <row r="1568" spans="1:61" x14ac:dyDescent="0.25">
      <c r="A1568" s="63" t="s">
        <v>764</v>
      </c>
      <c r="B1568" s="63" t="s">
        <v>764</v>
      </c>
      <c r="C1568" s="64"/>
      <c r="D1568" s="65"/>
      <c r="E1568" s="66"/>
      <c r="F1568" s="67"/>
      <c r="G1568" s="64"/>
      <c r="H1568" s="68"/>
      <c r="I1568" s="69"/>
      <c r="J1568" s="69"/>
      <c r="K1568" s="32"/>
      <c r="L1568" s="76">
        <v>1568</v>
      </c>
      <c r="M1568" s="76"/>
      <c r="N1568" s="71"/>
      <c r="O1568" s="87" t="s">
        <v>179</v>
      </c>
      <c r="P1568" s="90">
        <v>45120.021597222221</v>
      </c>
      <c r="Q1568" s="87" t="s">
        <v>3366</v>
      </c>
      <c r="R1568" s="87">
        <v>0</v>
      </c>
      <c r="S1568" s="87">
        <v>0</v>
      </c>
      <c r="T1568" s="87">
        <v>0</v>
      </c>
      <c r="U1568" s="87">
        <v>0</v>
      </c>
      <c r="V1568" s="87">
        <v>14</v>
      </c>
      <c r="W1568" s="93" t="s">
        <v>6917</v>
      </c>
      <c r="X1568" s="92" t="str">
        <f>HYPERLINK("https://40emais.com.br/o-que-fazer-com-oposicoes-no-inpi/")</f>
        <v>https://40emais.com.br/o-que-fazer-com-oposicoes-no-inpi/</v>
      </c>
      <c r="Y1568" s="87" t="s">
        <v>8373</v>
      </c>
      <c r="Z1568" s="87"/>
      <c r="AA1568" s="87"/>
      <c r="AB1568" s="87"/>
      <c r="AC1568" s="93" t="s">
        <v>11457</v>
      </c>
      <c r="AD1568" s="87" t="s">
        <v>11519</v>
      </c>
      <c r="AE1568" s="92" t="str">
        <f>HYPERLINK("https://twitter.com/40_emais/status/1679287300457414656")</f>
        <v>https://twitter.com/40_emais/status/1679287300457414656</v>
      </c>
      <c r="AF1568" s="90">
        <v>45120.021597222221</v>
      </c>
      <c r="AG1568" s="99">
        <v>45120</v>
      </c>
      <c r="AH1568" s="93" t="s">
        <v>12969</v>
      </c>
      <c r="AI1568" s="87" t="b">
        <v>0</v>
      </c>
      <c r="AJ1568" s="87"/>
      <c r="AK1568" s="87"/>
      <c r="AL1568" s="87"/>
      <c r="AM1568" s="87"/>
      <c r="AN1568" s="87"/>
      <c r="AO1568" s="87"/>
      <c r="AP1568" s="87"/>
      <c r="AQ1568" s="87"/>
      <c r="AR1568" s="87"/>
      <c r="AS1568" s="87"/>
      <c r="AT1568" s="87"/>
      <c r="AU1568" s="87"/>
      <c r="AV1568" s="92" t="str">
        <f>HYPERLINK("https://pbs.twimg.com/profile_images/1587458717611614212/pnRdjpWz_normal.jpg")</f>
        <v>https://pbs.twimg.com/profile_images/1587458717611614212/pnRdjpWz_normal.jpg</v>
      </c>
      <c r="AW1568" s="93" t="s">
        <v>19800</v>
      </c>
      <c r="AX1568" s="93" t="s">
        <v>19800</v>
      </c>
      <c r="AY1568" s="87"/>
      <c r="AZ1568" s="93" t="s">
        <v>22668</v>
      </c>
      <c r="BA1568" s="93" t="s">
        <v>22668</v>
      </c>
      <c r="BB1568" s="93" t="s">
        <v>22668</v>
      </c>
      <c r="BC1568" s="93" t="s">
        <v>19800</v>
      </c>
      <c r="BD1568" s="93" t="s">
        <v>23103</v>
      </c>
      <c r="BE1568" s="87"/>
      <c r="BF1568" s="87"/>
      <c r="BG1568" s="87"/>
      <c r="BH1568" s="87"/>
      <c r="BI1568" s="87"/>
    </row>
    <row r="1569" spans="1:61" x14ac:dyDescent="0.25">
      <c r="A1569" s="63" t="s">
        <v>764</v>
      </c>
      <c r="B1569" s="63" t="s">
        <v>764</v>
      </c>
      <c r="C1569" s="64"/>
      <c r="D1569" s="65"/>
      <c r="E1569" s="66"/>
      <c r="F1569" s="67"/>
      <c r="G1569" s="64"/>
      <c r="H1569" s="68"/>
      <c r="I1569" s="69"/>
      <c r="J1569" s="69"/>
      <c r="K1569" s="32"/>
      <c r="L1569" s="76">
        <v>1569</v>
      </c>
      <c r="M1569" s="76"/>
      <c r="N1569" s="71"/>
      <c r="O1569" s="87" t="s">
        <v>179</v>
      </c>
      <c r="P1569" s="90">
        <v>45119.028865740744</v>
      </c>
      <c r="Q1569" s="87" t="s">
        <v>3367</v>
      </c>
      <c r="R1569" s="87">
        <v>0</v>
      </c>
      <c r="S1569" s="87">
        <v>0</v>
      </c>
      <c r="T1569" s="87">
        <v>1</v>
      </c>
      <c r="U1569" s="87">
        <v>0</v>
      </c>
      <c r="V1569" s="87">
        <v>9</v>
      </c>
      <c r="W1569" s="93" t="s">
        <v>6917</v>
      </c>
      <c r="X1569" s="92" t="str">
        <f>HYPERLINK("https://40emais.com.br/empreendedorismo-digital-um-mercado-em-expansao/")</f>
        <v>https://40emais.com.br/empreendedorismo-digital-um-mercado-em-expansao/</v>
      </c>
      <c r="Y1569" s="87" t="s">
        <v>8373</v>
      </c>
      <c r="Z1569" s="87"/>
      <c r="AA1569" s="87"/>
      <c r="AB1569" s="87"/>
      <c r="AC1569" s="93" t="s">
        <v>11457</v>
      </c>
      <c r="AD1569" s="87" t="s">
        <v>11519</v>
      </c>
      <c r="AE1569" s="92" t="str">
        <f>HYPERLINK("https://twitter.com/40_emais/status/1678927545977171969")</f>
        <v>https://twitter.com/40_emais/status/1678927545977171969</v>
      </c>
      <c r="AF1569" s="90">
        <v>45119.028865740744</v>
      </c>
      <c r="AG1569" s="99">
        <v>45119</v>
      </c>
      <c r="AH1569" s="93" t="s">
        <v>12970</v>
      </c>
      <c r="AI1569" s="87" t="b">
        <v>0</v>
      </c>
      <c r="AJ1569" s="87"/>
      <c r="AK1569" s="87"/>
      <c r="AL1569" s="87"/>
      <c r="AM1569" s="87"/>
      <c r="AN1569" s="87"/>
      <c r="AO1569" s="87"/>
      <c r="AP1569" s="87"/>
      <c r="AQ1569" s="87"/>
      <c r="AR1569" s="87"/>
      <c r="AS1569" s="87"/>
      <c r="AT1569" s="87"/>
      <c r="AU1569" s="87"/>
      <c r="AV1569" s="92" t="str">
        <f>HYPERLINK("https://pbs.twimg.com/profile_images/1587458717611614212/pnRdjpWz_normal.jpg")</f>
        <v>https://pbs.twimg.com/profile_images/1587458717611614212/pnRdjpWz_normal.jpg</v>
      </c>
      <c r="AW1569" s="93" t="s">
        <v>19801</v>
      </c>
      <c r="AX1569" s="93" t="s">
        <v>19801</v>
      </c>
      <c r="AY1569" s="87"/>
      <c r="AZ1569" s="93" t="s">
        <v>22668</v>
      </c>
      <c r="BA1569" s="93" t="s">
        <v>22668</v>
      </c>
      <c r="BB1569" s="93" t="s">
        <v>22668</v>
      </c>
      <c r="BC1569" s="93" t="s">
        <v>19801</v>
      </c>
      <c r="BD1569" s="93" t="s">
        <v>23103</v>
      </c>
      <c r="BE1569" s="87"/>
      <c r="BF1569" s="87"/>
      <c r="BG1569" s="87"/>
      <c r="BH1569" s="87"/>
      <c r="BI1569" s="87"/>
    </row>
    <row r="1570" spans="1:61" x14ac:dyDescent="0.25">
      <c r="A1570" s="63" t="s">
        <v>764</v>
      </c>
      <c r="B1570" s="63" t="s">
        <v>764</v>
      </c>
      <c r="C1570" s="64"/>
      <c r="D1570" s="65"/>
      <c r="E1570" s="66"/>
      <c r="F1570" s="67"/>
      <c r="G1570" s="64"/>
      <c r="H1570" s="68"/>
      <c r="I1570" s="69"/>
      <c r="J1570" s="69"/>
      <c r="K1570" s="32"/>
      <c r="L1570" s="76">
        <v>1570</v>
      </c>
      <c r="M1570" s="76"/>
      <c r="N1570" s="71"/>
      <c r="O1570" s="87" t="s">
        <v>179</v>
      </c>
      <c r="P1570" s="90">
        <v>45113.001562500001</v>
      </c>
      <c r="Q1570" s="87" t="s">
        <v>3368</v>
      </c>
      <c r="R1570" s="87">
        <v>0</v>
      </c>
      <c r="S1570" s="87">
        <v>1</v>
      </c>
      <c r="T1570" s="87">
        <v>0</v>
      </c>
      <c r="U1570" s="87">
        <v>0</v>
      </c>
      <c r="V1570" s="87">
        <v>3</v>
      </c>
      <c r="W1570" s="93" t="s">
        <v>6917</v>
      </c>
      <c r="X1570" s="92" t="str">
        <f>HYPERLINK("https://40emais.com.br/empreendedor-a-sua-vida-digital-esta-organizada/")</f>
        <v>https://40emais.com.br/empreendedor-a-sua-vida-digital-esta-organizada/</v>
      </c>
      <c r="Y1570" s="87" t="s">
        <v>8373</v>
      </c>
      <c r="Z1570" s="87"/>
      <c r="AA1570" s="87"/>
      <c r="AB1570" s="87"/>
      <c r="AC1570" s="93" t="s">
        <v>11457</v>
      </c>
      <c r="AD1570" s="87" t="s">
        <v>11519</v>
      </c>
      <c r="AE1570" s="92" t="str">
        <f>HYPERLINK("https://twitter.com/40_emais/status/1676743324885983232")</f>
        <v>https://twitter.com/40_emais/status/1676743324885983232</v>
      </c>
      <c r="AF1570" s="90">
        <v>45113.001562500001</v>
      </c>
      <c r="AG1570" s="99">
        <v>45113</v>
      </c>
      <c r="AH1570" s="93" t="s">
        <v>12971</v>
      </c>
      <c r="AI1570" s="87" t="b">
        <v>0</v>
      </c>
      <c r="AJ1570" s="87"/>
      <c r="AK1570" s="87"/>
      <c r="AL1570" s="87"/>
      <c r="AM1570" s="87"/>
      <c r="AN1570" s="87"/>
      <c r="AO1570" s="87"/>
      <c r="AP1570" s="87"/>
      <c r="AQ1570" s="87"/>
      <c r="AR1570" s="87"/>
      <c r="AS1570" s="87"/>
      <c r="AT1570" s="87"/>
      <c r="AU1570" s="87"/>
      <c r="AV1570" s="92" t="str">
        <f>HYPERLINK("https://pbs.twimg.com/profile_images/1587458717611614212/pnRdjpWz_normal.jpg")</f>
        <v>https://pbs.twimg.com/profile_images/1587458717611614212/pnRdjpWz_normal.jpg</v>
      </c>
      <c r="AW1570" s="93" t="s">
        <v>19802</v>
      </c>
      <c r="AX1570" s="93" t="s">
        <v>19802</v>
      </c>
      <c r="AY1570" s="87"/>
      <c r="AZ1570" s="93" t="s">
        <v>22668</v>
      </c>
      <c r="BA1570" s="93" t="s">
        <v>22668</v>
      </c>
      <c r="BB1570" s="93" t="s">
        <v>22668</v>
      </c>
      <c r="BC1570" s="93" t="s">
        <v>19802</v>
      </c>
      <c r="BD1570" s="93" t="s">
        <v>23103</v>
      </c>
      <c r="BE1570" s="87"/>
      <c r="BF1570" s="87"/>
      <c r="BG1570" s="87"/>
      <c r="BH1570" s="87"/>
      <c r="BI1570" s="87"/>
    </row>
    <row r="1571" spans="1:61" x14ac:dyDescent="0.25">
      <c r="A1571" s="63" t="s">
        <v>764</v>
      </c>
      <c r="B1571" s="63" t="s">
        <v>764</v>
      </c>
      <c r="C1571" s="64"/>
      <c r="D1571" s="65"/>
      <c r="E1571" s="66"/>
      <c r="F1571" s="67"/>
      <c r="G1571" s="64"/>
      <c r="H1571" s="68"/>
      <c r="I1571" s="69"/>
      <c r="J1571" s="69"/>
      <c r="K1571" s="32"/>
      <c r="L1571" s="76">
        <v>1571</v>
      </c>
      <c r="M1571" s="76"/>
      <c r="N1571" s="71"/>
      <c r="O1571" s="87" t="s">
        <v>179</v>
      </c>
      <c r="P1571" s="90">
        <v>45138.964386574073</v>
      </c>
      <c r="Q1571" s="87" t="s">
        <v>3369</v>
      </c>
      <c r="R1571" s="87">
        <v>0</v>
      </c>
      <c r="S1571" s="87">
        <v>0</v>
      </c>
      <c r="T1571" s="87">
        <v>0</v>
      </c>
      <c r="U1571" s="87">
        <v>0</v>
      </c>
      <c r="V1571" s="87">
        <v>141</v>
      </c>
      <c r="W1571" s="93" t="s">
        <v>6917</v>
      </c>
      <c r="X1571" s="92" t="str">
        <f>HYPERLINK("https://40emais.com.br/planejamento-financeiro-o-terror-da-maioria-dos-negocios/")</f>
        <v>https://40emais.com.br/planejamento-financeiro-o-terror-da-maioria-dos-negocios/</v>
      </c>
      <c r="Y1571" s="87" t="s">
        <v>8373</v>
      </c>
      <c r="Z1571" s="87"/>
      <c r="AA1571" s="87"/>
      <c r="AB1571" s="87"/>
      <c r="AC1571" s="93" t="s">
        <v>11457</v>
      </c>
      <c r="AD1571" s="87" t="s">
        <v>11519</v>
      </c>
      <c r="AE1571" s="92" t="str">
        <f>HYPERLINK("https://twitter.com/40_emais/status/1686151934741258242")</f>
        <v>https://twitter.com/40_emais/status/1686151934741258242</v>
      </c>
      <c r="AF1571" s="90">
        <v>45138.964386574073</v>
      </c>
      <c r="AG1571" s="99">
        <v>45138</v>
      </c>
      <c r="AH1571" s="93" t="s">
        <v>12972</v>
      </c>
      <c r="AI1571" s="87" t="b">
        <v>0</v>
      </c>
      <c r="AJ1571" s="87"/>
      <c r="AK1571" s="87"/>
      <c r="AL1571" s="87"/>
      <c r="AM1571" s="87"/>
      <c r="AN1571" s="87"/>
      <c r="AO1571" s="87"/>
      <c r="AP1571" s="87"/>
      <c r="AQ1571" s="87"/>
      <c r="AR1571" s="87"/>
      <c r="AS1571" s="87"/>
      <c r="AT1571" s="87"/>
      <c r="AU1571" s="87"/>
      <c r="AV1571" s="92" t="str">
        <f>HYPERLINK("https://pbs.twimg.com/profile_images/1587458717611614212/pnRdjpWz_normal.jpg")</f>
        <v>https://pbs.twimg.com/profile_images/1587458717611614212/pnRdjpWz_normal.jpg</v>
      </c>
      <c r="AW1571" s="93" t="s">
        <v>19803</v>
      </c>
      <c r="AX1571" s="93" t="s">
        <v>19803</v>
      </c>
      <c r="AY1571" s="87"/>
      <c r="AZ1571" s="93" t="s">
        <v>22668</v>
      </c>
      <c r="BA1571" s="93" t="s">
        <v>22668</v>
      </c>
      <c r="BB1571" s="93" t="s">
        <v>22668</v>
      </c>
      <c r="BC1571" s="93" t="s">
        <v>19803</v>
      </c>
      <c r="BD1571" s="93" t="s">
        <v>23103</v>
      </c>
      <c r="BE1571" s="87"/>
      <c r="BF1571" s="87"/>
      <c r="BG1571" s="87"/>
      <c r="BH1571" s="87"/>
      <c r="BI1571" s="87"/>
    </row>
    <row r="1572" spans="1:61" x14ac:dyDescent="0.25">
      <c r="A1572" s="63" t="s">
        <v>764</v>
      </c>
      <c r="B1572" s="63" t="s">
        <v>764</v>
      </c>
      <c r="C1572" s="64"/>
      <c r="D1572" s="65"/>
      <c r="E1572" s="66"/>
      <c r="F1572" s="67"/>
      <c r="G1572" s="64"/>
      <c r="H1572" s="68"/>
      <c r="I1572" s="69"/>
      <c r="J1572" s="69"/>
      <c r="K1572" s="32"/>
      <c r="L1572" s="76">
        <v>1572</v>
      </c>
      <c r="M1572" s="76"/>
      <c r="N1572" s="71"/>
      <c r="O1572" s="87" t="s">
        <v>179</v>
      </c>
      <c r="P1572" s="90">
        <v>45159.97179398148</v>
      </c>
      <c r="Q1572" s="87" t="s">
        <v>3370</v>
      </c>
      <c r="R1572" s="87">
        <v>0</v>
      </c>
      <c r="S1572" s="87">
        <v>1</v>
      </c>
      <c r="T1572" s="87">
        <v>0</v>
      </c>
      <c r="U1572" s="87">
        <v>0</v>
      </c>
      <c r="V1572" s="87">
        <v>12</v>
      </c>
      <c r="W1572" s="93" t="s">
        <v>6917</v>
      </c>
      <c r="X1572" s="92" t="str">
        <f>HYPERLINK("https://40emais.com.br/como-precificar-servicos/")</f>
        <v>https://40emais.com.br/como-precificar-servicos/</v>
      </c>
      <c r="Y1572" s="87" t="s">
        <v>8373</v>
      </c>
      <c r="Z1572" s="87"/>
      <c r="AA1572" s="87"/>
      <c r="AB1572" s="87"/>
      <c r="AC1572" s="93" t="s">
        <v>11457</v>
      </c>
      <c r="AD1572" s="87" t="s">
        <v>11519</v>
      </c>
      <c r="AE1572" s="92" t="str">
        <f>HYPERLINK("https://twitter.com/40_emais/status/1693764765519167795")</f>
        <v>https://twitter.com/40_emais/status/1693764765519167795</v>
      </c>
      <c r="AF1572" s="90">
        <v>45159.97179398148</v>
      </c>
      <c r="AG1572" s="99">
        <v>45159</v>
      </c>
      <c r="AH1572" s="93" t="s">
        <v>12973</v>
      </c>
      <c r="AI1572" s="87" t="b">
        <v>0</v>
      </c>
      <c r="AJ1572" s="87"/>
      <c r="AK1572" s="87"/>
      <c r="AL1572" s="87"/>
      <c r="AM1572" s="87"/>
      <c r="AN1572" s="87"/>
      <c r="AO1572" s="87"/>
      <c r="AP1572" s="87"/>
      <c r="AQ1572" s="87"/>
      <c r="AR1572" s="87"/>
      <c r="AS1572" s="87"/>
      <c r="AT1572" s="87"/>
      <c r="AU1572" s="87"/>
      <c r="AV1572" s="92" t="str">
        <f>HYPERLINK("https://pbs.twimg.com/profile_images/1587458717611614212/pnRdjpWz_normal.jpg")</f>
        <v>https://pbs.twimg.com/profile_images/1587458717611614212/pnRdjpWz_normal.jpg</v>
      </c>
      <c r="AW1572" s="93" t="s">
        <v>19804</v>
      </c>
      <c r="AX1572" s="93" t="s">
        <v>19804</v>
      </c>
      <c r="AY1572" s="87"/>
      <c r="AZ1572" s="93" t="s">
        <v>22668</v>
      </c>
      <c r="BA1572" s="93" t="s">
        <v>22668</v>
      </c>
      <c r="BB1572" s="93" t="s">
        <v>22668</v>
      </c>
      <c r="BC1572" s="93" t="s">
        <v>19804</v>
      </c>
      <c r="BD1572" s="93" t="s">
        <v>23103</v>
      </c>
      <c r="BE1572" s="87"/>
      <c r="BF1572" s="87"/>
      <c r="BG1572" s="87"/>
      <c r="BH1572" s="87"/>
      <c r="BI1572" s="87"/>
    </row>
    <row r="1573" spans="1:61" x14ac:dyDescent="0.25">
      <c r="A1573" s="63" t="s">
        <v>764</v>
      </c>
      <c r="B1573" s="63" t="s">
        <v>764</v>
      </c>
      <c r="C1573" s="64"/>
      <c r="D1573" s="65"/>
      <c r="E1573" s="66"/>
      <c r="F1573" s="67"/>
      <c r="G1573" s="64"/>
      <c r="H1573" s="68"/>
      <c r="I1573" s="69"/>
      <c r="J1573" s="69"/>
      <c r="K1573" s="32"/>
      <c r="L1573" s="76">
        <v>1573</v>
      </c>
      <c r="M1573" s="76"/>
      <c r="N1573" s="71"/>
      <c r="O1573" s="87" t="s">
        <v>179</v>
      </c>
      <c r="P1573" s="90">
        <v>45167.010937500003</v>
      </c>
      <c r="Q1573" s="87" t="s">
        <v>3371</v>
      </c>
      <c r="R1573" s="87">
        <v>0</v>
      </c>
      <c r="S1573" s="87">
        <v>1</v>
      </c>
      <c r="T1573" s="87">
        <v>0</v>
      </c>
      <c r="U1573" s="87">
        <v>0</v>
      </c>
      <c r="V1573" s="87">
        <v>5</v>
      </c>
      <c r="W1573" s="93" t="s">
        <v>6917</v>
      </c>
      <c r="X1573" s="92" t="str">
        <f>HYPERLINK("https://40emais.com.br/como-manter-a-sua-equipe-engajada/")</f>
        <v>https://40emais.com.br/como-manter-a-sua-equipe-engajada/</v>
      </c>
      <c r="Y1573" s="87" t="s">
        <v>8373</v>
      </c>
      <c r="Z1573" s="87"/>
      <c r="AA1573" s="87"/>
      <c r="AB1573" s="87"/>
      <c r="AC1573" s="93" t="s">
        <v>11457</v>
      </c>
      <c r="AD1573" s="87" t="s">
        <v>11519</v>
      </c>
      <c r="AE1573" s="92" t="str">
        <f>HYPERLINK("https://twitter.com/40_emais/status/1696315666964353514")</f>
        <v>https://twitter.com/40_emais/status/1696315666964353514</v>
      </c>
      <c r="AF1573" s="90">
        <v>45167.010937500003</v>
      </c>
      <c r="AG1573" s="99">
        <v>45167</v>
      </c>
      <c r="AH1573" s="93" t="s">
        <v>12974</v>
      </c>
      <c r="AI1573" s="87" t="b">
        <v>0</v>
      </c>
      <c r="AJ1573" s="87"/>
      <c r="AK1573" s="87"/>
      <c r="AL1573" s="87"/>
      <c r="AM1573" s="87"/>
      <c r="AN1573" s="87"/>
      <c r="AO1573" s="87"/>
      <c r="AP1573" s="87"/>
      <c r="AQ1573" s="87"/>
      <c r="AR1573" s="87"/>
      <c r="AS1573" s="87"/>
      <c r="AT1573" s="87"/>
      <c r="AU1573" s="87"/>
      <c r="AV1573" s="92" t="str">
        <f>HYPERLINK("https://pbs.twimg.com/profile_images/1587458717611614212/pnRdjpWz_normal.jpg")</f>
        <v>https://pbs.twimg.com/profile_images/1587458717611614212/pnRdjpWz_normal.jpg</v>
      </c>
      <c r="AW1573" s="93" t="s">
        <v>19805</v>
      </c>
      <c r="AX1573" s="93" t="s">
        <v>19805</v>
      </c>
      <c r="AY1573" s="87"/>
      <c r="AZ1573" s="93" t="s">
        <v>22668</v>
      </c>
      <c r="BA1573" s="93" t="s">
        <v>22668</v>
      </c>
      <c r="BB1573" s="93" t="s">
        <v>22668</v>
      </c>
      <c r="BC1573" s="93" t="s">
        <v>19805</v>
      </c>
      <c r="BD1573" s="93" t="s">
        <v>23103</v>
      </c>
      <c r="BE1573" s="87"/>
      <c r="BF1573" s="87"/>
      <c r="BG1573" s="87"/>
      <c r="BH1573" s="87"/>
      <c r="BI1573" s="87"/>
    </row>
    <row r="1574" spans="1:61" x14ac:dyDescent="0.25">
      <c r="A1574" s="63" t="s">
        <v>764</v>
      </c>
      <c r="B1574" s="63" t="s">
        <v>764</v>
      </c>
      <c r="C1574" s="64"/>
      <c r="D1574" s="65"/>
      <c r="E1574" s="66"/>
      <c r="F1574" s="67"/>
      <c r="G1574" s="64"/>
      <c r="H1574" s="68"/>
      <c r="I1574" s="69"/>
      <c r="J1574" s="69"/>
      <c r="K1574" s="32"/>
      <c r="L1574" s="76">
        <v>1574</v>
      </c>
      <c r="M1574" s="76"/>
      <c r="N1574" s="71"/>
      <c r="O1574" s="87" t="s">
        <v>179</v>
      </c>
      <c r="P1574" s="90">
        <v>45152.972696759258</v>
      </c>
      <c r="Q1574" s="87" t="s">
        <v>3372</v>
      </c>
      <c r="R1574" s="87">
        <v>0</v>
      </c>
      <c r="S1574" s="87">
        <v>0</v>
      </c>
      <c r="T1574" s="87">
        <v>0</v>
      </c>
      <c r="U1574" s="87">
        <v>0</v>
      </c>
      <c r="V1574" s="87">
        <v>5</v>
      </c>
      <c r="W1574" s="93" t="s">
        <v>6917</v>
      </c>
      <c r="X1574" s="92" t="str">
        <f>HYPERLINK("https://40emais.com.br/como-precificar-o-seu-produto/")</f>
        <v>https://40emais.com.br/como-precificar-o-seu-produto/</v>
      </c>
      <c r="Y1574" s="87" t="s">
        <v>8373</v>
      </c>
      <c r="Z1574" s="87"/>
      <c r="AA1574" s="87"/>
      <c r="AB1574" s="87"/>
      <c r="AC1574" s="93" t="s">
        <v>11457</v>
      </c>
      <c r="AD1574" s="87" t="s">
        <v>11519</v>
      </c>
      <c r="AE1574" s="92" t="str">
        <f>HYPERLINK("https://twitter.com/40_emais/status/1691228378580262912")</f>
        <v>https://twitter.com/40_emais/status/1691228378580262912</v>
      </c>
      <c r="AF1574" s="90">
        <v>45152.972696759258</v>
      </c>
      <c r="AG1574" s="99">
        <v>45152</v>
      </c>
      <c r="AH1574" s="93" t="s">
        <v>12975</v>
      </c>
      <c r="AI1574" s="87" t="b">
        <v>0</v>
      </c>
      <c r="AJ1574" s="87"/>
      <c r="AK1574" s="87"/>
      <c r="AL1574" s="87"/>
      <c r="AM1574" s="87"/>
      <c r="AN1574" s="87"/>
      <c r="AO1574" s="87"/>
      <c r="AP1574" s="87"/>
      <c r="AQ1574" s="87"/>
      <c r="AR1574" s="87"/>
      <c r="AS1574" s="87"/>
      <c r="AT1574" s="87"/>
      <c r="AU1574" s="87"/>
      <c r="AV1574" s="92" t="str">
        <f>HYPERLINK("https://pbs.twimg.com/profile_images/1587458717611614212/pnRdjpWz_normal.jpg")</f>
        <v>https://pbs.twimg.com/profile_images/1587458717611614212/pnRdjpWz_normal.jpg</v>
      </c>
      <c r="AW1574" s="93" t="s">
        <v>19806</v>
      </c>
      <c r="AX1574" s="93" t="s">
        <v>19806</v>
      </c>
      <c r="AY1574" s="87"/>
      <c r="AZ1574" s="93" t="s">
        <v>22668</v>
      </c>
      <c r="BA1574" s="93" t="s">
        <v>22668</v>
      </c>
      <c r="BB1574" s="93" t="s">
        <v>22668</v>
      </c>
      <c r="BC1574" s="93" t="s">
        <v>19806</v>
      </c>
      <c r="BD1574" s="93" t="s">
        <v>23103</v>
      </c>
      <c r="BE1574" s="87"/>
      <c r="BF1574" s="87"/>
      <c r="BG1574" s="87"/>
      <c r="BH1574" s="87"/>
      <c r="BI1574" s="87"/>
    </row>
    <row r="1575" spans="1:61" x14ac:dyDescent="0.25">
      <c r="A1575" s="63" t="s">
        <v>764</v>
      </c>
      <c r="B1575" s="63" t="s">
        <v>764</v>
      </c>
      <c r="C1575" s="64"/>
      <c r="D1575" s="65"/>
      <c r="E1575" s="66"/>
      <c r="F1575" s="67"/>
      <c r="G1575" s="64"/>
      <c r="H1575" s="68"/>
      <c r="I1575" s="69"/>
      <c r="J1575" s="69"/>
      <c r="K1575" s="32"/>
      <c r="L1575" s="76">
        <v>1575</v>
      </c>
      <c r="M1575" s="76"/>
      <c r="N1575" s="71"/>
      <c r="O1575" s="87" t="s">
        <v>179</v>
      </c>
      <c r="P1575" s="90">
        <v>45127.017789351848</v>
      </c>
      <c r="Q1575" s="87" t="s">
        <v>3373</v>
      </c>
      <c r="R1575" s="87">
        <v>0</v>
      </c>
      <c r="S1575" s="87">
        <v>0</v>
      </c>
      <c r="T1575" s="87">
        <v>0</v>
      </c>
      <c r="U1575" s="87">
        <v>0</v>
      </c>
      <c r="V1575" s="87">
        <v>5</v>
      </c>
      <c r="W1575" s="93" t="s">
        <v>6917</v>
      </c>
      <c r="X1575" s="92" t="str">
        <f>HYPERLINK("https://40emais.com.br/empreendedor-todo-mundo-precisa-de-um-site/")</f>
        <v>https://40emais.com.br/empreendedor-todo-mundo-precisa-de-um-site/</v>
      </c>
      <c r="Y1575" s="87" t="s">
        <v>8373</v>
      </c>
      <c r="Z1575" s="87"/>
      <c r="AA1575" s="87"/>
      <c r="AB1575" s="87"/>
      <c r="AC1575" s="93" t="s">
        <v>11457</v>
      </c>
      <c r="AD1575" s="87" t="s">
        <v>11519</v>
      </c>
      <c r="AE1575" s="92" t="str">
        <f>HYPERLINK("https://twitter.com/40_emais/status/1681822635116703744")</f>
        <v>https://twitter.com/40_emais/status/1681822635116703744</v>
      </c>
      <c r="AF1575" s="90">
        <v>45127.017789351848</v>
      </c>
      <c r="AG1575" s="99">
        <v>45127</v>
      </c>
      <c r="AH1575" s="93" t="s">
        <v>12976</v>
      </c>
      <c r="AI1575" s="87" t="b">
        <v>0</v>
      </c>
      <c r="AJ1575" s="87"/>
      <c r="AK1575" s="87"/>
      <c r="AL1575" s="87"/>
      <c r="AM1575" s="87"/>
      <c r="AN1575" s="87"/>
      <c r="AO1575" s="87"/>
      <c r="AP1575" s="87"/>
      <c r="AQ1575" s="87"/>
      <c r="AR1575" s="87"/>
      <c r="AS1575" s="87"/>
      <c r="AT1575" s="87"/>
      <c r="AU1575" s="87"/>
      <c r="AV1575" s="92" t="str">
        <f>HYPERLINK("https://pbs.twimg.com/profile_images/1587458717611614212/pnRdjpWz_normal.jpg")</f>
        <v>https://pbs.twimg.com/profile_images/1587458717611614212/pnRdjpWz_normal.jpg</v>
      </c>
      <c r="AW1575" s="93" t="s">
        <v>19807</v>
      </c>
      <c r="AX1575" s="93" t="s">
        <v>19807</v>
      </c>
      <c r="AY1575" s="87"/>
      <c r="AZ1575" s="93" t="s">
        <v>22668</v>
      </c>
      <c r="BA1575" s="93" t="s">
        <v>22668</v>
      </c>
      <c r="BB1575" s="93" t="s">
        <v>22668</v>
      </c>
      <c r="BC1575" s="93" t="s">
        <v>19807</v>
      </c>
      <c r="BD1575" s="93" t="s">
        <v>23103</v>
      </c>
      <c r="BE1575" s="87"/>
      <c r="BF1575" s="87"/>
      <c r="BG1575" s="87"/>
      <c r="BH1575" s="87"/>
      <c r="BI1575" s="87"/>
    </row>
    <row r="1576" spans="1:61" x14ac:dyDescent="0.25">
      <c r="A1576" s="63" t="s">
        <v>764</v>
      </c>
      <c r="B1576" s="63" t="s">
        <v>764</v>
      </c>
      <c r="C1576" s="64"/>
      <c r="D1576" s="65"/>
      <c r="E1576" s="66"/>
      <c r="F1576" s="67"/>
      <c r="G1576" s="64"/>
      <c r="H1576" s="68"/>
      <c r="I1576" s="69"/>
      <c r="J1576" s="69"/>
      <c r="K1576" s="32"/>
      <c r="L1576" s="76">
        <v>1576</v>
      </c>
      <c r="M1576" s="76"/>
      <c r="N1576" s="71"/>
      <c r="O1576" s="87" t="s">
        <v>179</v>
      </c>
      <c r="P1576" s="90">
        <v>45124.918564814812</v>
      </c>
      <c r="Q1576" s="87" t="s">
        <v>3374</v>
      </c>
      <c r="R1576" s="87">
        <v>0</v>
      </c>
      <c r="S1576" s="87">
        <v>0</v>
      </c>
      <c r="T1576" s="87">
        <v>0</v>
      </c>
      <c r="U1576" s="87">
        <v>0</v>
      </c>
      <c r="V1576" s="87">
        <v>5</v>
      </c>
      <c r="W1576" s="93" t="s">
        <v>6917</v>
      </c>
      <c r="X1576" s="92" t="str">
        <f>HYPERLINK("https://40emais.com.br/a-importancia-do-networking-2/")</f>
        <v>https://40emais.com.br/a-importancia-do-networking-2/</v>
      </c>
      <c r="Y1576" s="87" t="s">
        <v>8373</v>
      </c>
      <c r="Z1576" s="87"/>
      <c r="AA1576" s="87"/>
      <c r="AB1576" s="87"/>
      <c r="AC1576" s="93" t="s">
        <v>11457</v>
      </c>
      <c r="AD1576" s="87" t="s">
        <v>11519</v>
      </c>
      <c r="AE1576" s="92" t="str">
        <f>HYPERLINK("https://twitter.com/40_emais/status/1681061899708899328")</f>
        <v>https://twitter.com/40_emais/status/1681061899708899328</v>
      </c>
      <c r="AF1576" s="90">
        <v>45124.918564814812</v>
      </c>
      <c r="AG1576" s="99">
        <v>45124</v>
      </c>
      <c r="AH1576" s="93" t="s">
        <v>12977</v>
      </c>
      <c r="AI1576" s="87" t="b">
        <v>0</v>
      </c>
      <c r="AJ1576" s="87"/>
      <c r="AK1576" s="87"/>
      <c r="AL1576" s="87"/>
      <c r="AM1576" s="87"/>
      <c r="AN1576" s="87"/>
      <c r="AO1576" s="87"/>
      <c r="AP1576" s="87"/>
      <c r="AQ1576" s="87"/>
      <c r="AR1576" s="87"/>
      <c r="AS1576" s="87"/>
      <c r="AT1576" s="87"/>
      <c r="AU1576" s="87"/>
      <c r="AV1576" s="92" t="str">
        <f>HYPERLINK("https://pbs.twimg.com/profile_images/1587458717611614212/pnRdjpWz_normal.jpg")</f>
        <v>https://pbs.twimg.com/profile_images/1587458717611614212/pnRdjpWz_normal.jpg</v>
      </c>
      <c r="AW1576" s="93" t="s">
        <v>19808</v>
      </c>
      <c r="AX1576" s="93" t="s">
        <v>19808</v>
      </c>
      <c r="AY1576" s="87"/>
      <c r="AZ1576" s="93" t="s">
        <v>22668</v>
      </c>
      <c r="BA1576" s="93" t="s">
        <v>22668</v>
      </c>
      <c r="BB1576" s="93" t="s">
        <v>22668</v>
      </c>
      <c r="BC1576" s="93" t="s">
        <v>19808</v>
      </c>
      <c r="BD1576" s="93" t="s">
        <v>23103</v>
      </c>
      <c r="BE1576" s="87"/>
      <c r="BF1576" s="87"/>
      <c r="BG1576" s="87"/>
      <c r="BH1576" s="87"/>
      <c r="BI1576" s="87"/>
    </row>
    <row r="1577" spans="1:61" x14ac:dyDescent="0.25">
      <c r="A1577" s="63" t="s">
        <v>764</v>
      </c>
      <c r="B1577" s="63" t="s">
        <v>764</v>
      </c>
      <c r="C1577" s="64"/>
      <c r="D1577" s="65"/>
      <c r="E1577" s="66"/>
      <c r="F1577" s="67"/>
      <c r="G1577" s="64"/>
      <c r="H1577" s="68"/>
      <c r="I1577" s="69"/>
      <c r="J1577" s="69"/>
      <c r="K1577" s="32"/>
      <c r="L1577" s="76">
        <v>1577</v>
      </c>
      <c r="M1577" s="76"/>
      <c r="N1577" s="71"/>
      <c r="O1577" s="87" t="s">
        <v>179</v>
      </c>
      <c r="P1577" s="90">
        <v>45168.950891203705</v>
      </c>
      <c r="Q1577" s="87" t="s">
        <v>3375</v>
      </c>
      <c r="R1577" s="87">
        <v>0</v>
      </c>
      <c r="S1577" s="87">
        <v>0</v>
      </c>
      <c r="T1577" s="87">
        <v>0</v>
      </c>
      <c r="U1577" s="87">
        <v>0</v>
      </c>
      <c r="V1577" s="87">
        <v>4</v>
      </c>
      <c r="W1577" s="93" t="s">
        <v>6917</v>
      </c>
      <c r="X1577" s="92" t="str">
        <f>HYPERLINK("https://40emais.com.br/cuidado-com-parcerias/")</f>
        <v>https://40emais.com.br/cuidado-com-parcerias/</v>
      </c>
      <c r="Y1577" s="87" t="s">
        <v>8373</v>
      </c>
      <c r="Z1577" s="87"/>
      <c r="AA1577" s="87"/>
      <c r="AB1577" s="87"/>
      <c r="AC1577" s="93" t="s">
        <v>11457</v>
      </c>
      <c r="AD1577" s="87" t="s">
        <v>11519</v>
      </c>
      <c r="AE1577" s="92" t="str">
        <f>HYPERLINK("https://twitter.com/40_emais/status/1697018680444408115")</f>
        <v>https://twitter.com/40_emais/status/1697018680444408115</v>
      </c>
      <c r="AF1577" s="90">
        <v>45168.950891203705</v>
      </c>
      <c r="AG1577" s="99">
        <v>45168</v>
      </c>
      <c r="AH1577" s="93" t="s">
        <v>12978</v>
      </c>
      <c r="AI1577" s="87" t="b">
        <v>0</v>
      </c>
      <c r="AJ1577" s="87"/>
      <c r="AK1577" s="87"/>
      <c r="AL1577" s="87"/>
      <c r="AM1577" s="87"/>
      <c r="AN1577" s="87"/>
      <c r="AO1577" s="87"/>
      <c r="AP1577" s="87"/>
      <c r="AQ1577" s="87"/>
      <c r="AR1577" s="87"/>
      <c r="AS1577" s="87"/>
      <c r="AT1577" s="87"/>
      <c r="AU1577" s="87"/>
      <c r="AV1577" s="92" t="str">
        <f>HYPERLINK("https://pbs.twimg.com/profile_images/1587458717611614212/pnRdjpWz_normal.jpg")</f>
        <v>https://pbs.twimg.com/profile_images/1587458717611614212/pnRdjpWz_normal.jpg</v>
      </c>
      <c r="AW1577" s="93" t="s">
        <v>19809</v>
      </c>
      <c r="AX1577" s="93" t="s">
        <v>19809</v>
      </c>
      <c r="AY1577" s="87"/>
      <c r="AZ1577" s="93" t="s">
        <v>22668</v>
      </c>
      <c r="BA1577" s="93" t="s">
        <v>22668</v>
      </c>
      <c r="BB1577" s="93" t="s">
        <v>22668</v>
      </c>
      <c r="BC1577" s="93" t="s">
        <v>19809</v>
      </c>
      <c r="BD1577" s="93" t="s">
        <v>23103</v>
      </c>
      <c r="BE1577" s="87"/>
      <c r="BF1577" s="87"/>
      <c r="BG1577" s="87"/>
      <c r="BH1577" s="87"/>
      <c r="BI1577" s="87"/>
    </row>
    <row r="1578" spans="1:61" x14ac:dyDescent="0.25">
      <c r="A1578" s="63" t="s">
        <v>764</v>
      </c>
      <c r="B1578" s="63" t="s">
        <v>764</v>
      </c>
      <c r="C1578" s="64"/>
      <c r="D1578" s="65"/>
      <c r="E1578" s="66"/>
      <c r="F1578" s="67"/>
      <c r="G1578" s="64"/>
      <c r="H1578" s="68"/>
      <c r="I1578" s="69"/>
      <c r="J1578" s="69"/>
      <c r="K1578" s="32"/>
      <c r="L1578" s="76">
        <v>1578</v>
      </c>
      <c r="M1578" s="76"/>
      <c r="N1578" s="71"/>
      <c r="O1578" s="87" t="s">
        <v>179</v>
      </c>
      <c r="P1578" s="90">
        <v>45141.014675925922</v>
      </c>
      <c r="Q1578" s="87" t="s">
        <v>3376</v>
      </c>
      <c r="R1578" s="87">
        <v>0</v>
      </c>
      <c r="S1578" s="87">
        <v>0</v>
      </c>
      <c r="T1578" s="87">
        <v>0</v>
      </c>
      <c r="U1578" s="87">
        <v>0</v>
      </c>
      <c r="V1578" s="87">
        <v>239</v>
      </c>
      <c r="W1578" s="93" t="s">
        <v>6917</v>
      </c>
      <c r="X1578" s="92" t="str">
        <f>HYPERLINK("https://40emais.com.br/empreendedor-afinal-o-que-voce-quer/")</f>
        <v>https://40emais.com.br/empreendedor-afinal-o-que-voce-quer/</v>
      </c>
      <c r="Y1578" s="87" t="s">
        <v>8373</v>
      </c>
      <c r="Z1578" s="87"/>
      <c r="AA1578" s="87"/>
      <c r="AB1578" s="87"/>
      <c r="AC1578" s="93" t="s">
        <v>11457</v>
      </c>
      <c r="AD1578" s="87" t="s">
        <v>11519</v>
      </c>
      <c r="AE1578" s="92" t="str">
        <f>HYPERLINK("https://twitter.com/40_emais/status/1686894937835515910")</f>
        <v>https://twitter.com/40_emais/status/1686894937835515910</v>
      </c>
      <c r="AF1578" s="90">
        <v>45141.014675925922</v>
      </c>
      <c r="AG1578" s="99">
        <v>45141</v>
      </c>
      <c r="AH1578" s="93" t="s">
        <v>12979</v>
      </c>
      <c r="AI1578" s="87" t="b">
        <v>0</v>
      </c>
      <c r="AJ1578" s="87"/>
      <c r="AK1578" s="87"/>
      <c r="AL1578" s="87"/>
      <c r="AM1578" s="87"/>
      <c r="AN1578" s="87"/>
      <c r="AO1578" s="87"/>
      <c r="AP1578" s="87"/>
      <c r="AQ1578" s="87"/>
      <c r="AR1578" s="87"/>
      <c r="AS1578" s="87"/>
      <c r="AT1578" s="87"/>
      <c r="AU1578" s="87"/>
      <c r="AV1578" s="92" t="str">
        <f>HYPERLINK("https://pbs.twimg.com/profile_images/1587458717611614212/pnRdjpWz_normal.jpg")</f>
        <v>https://pbs.twimg.com/profile_images/1587458717611614212/pnRdjpWz_normal.jpg</v>
      </c>
      <c r="AW1578" s="93" t="s">
        <v>19810</v>
      </c>
      <c r="AX1578" s="93" t="s">
        <v>19810</v>
      </c>
      <c r="AY1578" s="87"/>
      <c r="AZ1578" s="93" t="s">
        <v>22668</v>
      </c>
      <c r="BA1578" s="93" t="s">
        <v>22668</v>
      </c>
      <c r="BB1578" s="93" t="s">
        <v>22668</v>
      </c>
      <c r="BC1578" s="93" t="s">
        <v>19810</v>
      </c>
      <c r="BD1578" s="93" t="s">
        <v>23103</v>
      </c>
      <c r="BE1578" s="87"/>
      <c r="BF1578" s="87"/>
      <c r="BG1578" s="87"/>
      <c r="BH1578" s="87"/>
      <c r="BI1578" s="87"/>
    </row>
    <row r="1579" spans="1:61" x14ac:dyDescent="0.25">
      <c r="A1579" s="63" t="s">
        <v>764</v>
      </c>
      <c r="B1579" s="63" t="s">
        <v>764</v>
      </c>
      <c r="C1579" s="64"/>
      <c r="D1579" s="65"/>
      <c r="E1579" s="66"/>
      <c r="F1579" s="67"/>
      <c r="G1579" s="64"/>
      <c r="H1579" s="68"/>
      <c r="I1579" s="69"/>
      <c r="J1579" s="69"/>
      <c r="K1579" s="32"/>
      <c r="L1579" s="76">
        <v>1579</v>
      </c>
      <c r="M1579" s="76"/>
      <c r="N1579" s="71"/>
      <c r="O1579" s="87" t="s">
        <v>179</v>
      </c>
      <c r="P1579" s="90">
        <v>45176.033634259256</v>
      </c>
      <c r="Q1579" s="87" t="s">
        <v>3377</v>
      </c>
      <c r="R1579" s="87">
        <v>0</v>
      </c>
      <c r="S1579" s="87">
        <v>0</v>
      </c>
      <c r="T1579" s="87">
        <v>0</v>
      </c>
      <c r="U1579" s="87">
        <v>0</v>
      </c>
      <c r="V1579" s="87">
        <v>2</v>
      </c>
      <c r="W1579" s="93" t="s">
        <v>6917</v>
      </c>
      <c r="X1579" s="92" t="str">
        <f>HYPERLINK("https://40emais.com.br/empreendedor-sera-que-vale-a-pena-turbinar/")</f>
        <v>https://40emais.com.br/empreendedor-sera-que-vale-a-pena-turbinar/</v>
      </c>
      <c r="Y1579" s="87" t="s">
        <v>8373</v>
      </c>
      <c r="Z1579" s="87"/>
      <c r="AA1579" s="87"/>
      <c r="AB1579" s="87"/>
      <c r="AC1579" s="93" t="s">
        <v>11457</v>
      </c>
      <c r="AD1579" s="87" t="s">
        <v>11519</v>
      </c>
      <c r="AE1579" s="92" t="str">
        <f>HYPERLINK("https://twitter.com/40_emais/status/1699585380104724672")</f>
        <v>https://twitter.com/40_emais/status/1699585380104724672</v>
      </c>
      <c r="AF1579" s="90">
        <v>45176.033634259256</v>
      </c>
      <c r="AG1579" s="99">
        <v>45176</v>
      </c>
      <c r="AH1579" s="93" t="s">
        <v>12980</v>
      </c>
      <c r="AI1579" s="87" t="b">
        <v>0</v>
      </c>
      <c r="AJ1579" s="87"/>
      <c r="AK1579" s="87"/>
      <c r="AL1579" s="87"/>
      <c r="AM1579" s="87"/>
      <c r="AN1579" s="87"/>
      <c r="AO1579" s="87"/>
      <c r="AP1579" s="87"/>
      <c r="AQ1579" s="87"/>
      <c r="AR1579" s="87"/>
      <c r="AS1579" s="87"/>
      <c r="AT1579" s="87"/>
      <c r="AU1579" s="87"/>
      <c r="AV1579" s="92" t="str">
        <f>HYPERLINK("https://pbs.twimg.com/profile_images/1587458717611614212/pnRdjpWz_normal.jpg")</f>
        <v>https://pbs.twimg.com/profile_images/1587458717611614212/pnRdjpWz_normal.jpg</v>
      </c>
      <c r="AW1579" s="93" t="s">
        <v>19811</v>
      </c>
      <c r="AX1579" s="93" t="s">
        <v>19811</v>
      </c>
      <c r="AY1579" s="87"/>
      <c r="AZ1579" s="93" t="s">
        <v>22668</v>
      </c>
      <c r="BA1579" s="93" t="s">
        <v>22668</v>
      </c>
      <c r="BB1579" s="93" t="s">
        <v>22668</v>
      </c>
      <c r="BC1579" s="93" t="s">
        <v>19811</v>
      </c>
      <c r="BD1579" s="93" t="s">
        <v>23103</v>
      </c>
      <c r="BE1579" s="87"/>
      <c r="BF1579" s="87"/>
      <c r="BG1579" s="87"/>
      <c r="BH1579" s="87"/>
      <c r="BI1579" s="87"/>
    </row>
    <row r="1580" spans="1:61" x14ac:dyDescent="0.25">
      <c r="A1580" s="63" t="s">
        <v>764</v>
      </c>
      <c r="B1580" s="63" t="s">
        <v>764</v>
      </c>
      <c r="C1580" s="64"/>
      <c r="D1580" s="65"/>
      <c r="E1580" s="66"/>
      <c r="F1580" s="67"/>
      <c r="G1580" s="64"/>
      <c r="H1580" s="68"/>
      <c r="I1580" s="69"/>
      <c r="J1580" s="69"/>
      <c r="K1580" s="32"/>
      <c r="L1580" s="76">
        <v>1580</v>
      </c>
      <c r="M1580" s="76"/>
      <c r="N1580" s="71"/>
      <c r="O1580" s="87" t="s">
        <v>179</v>
      </c>
      <c r="P1580" s="90">
        <v>45131.921840277777</v>
      </c>
      <c r="Q1580" s="87" t="s">
        <v>3378</v>
      </c>
      <c r="R1580" s="87">
        <v>0</v>
      </c>
      <c r="S1580" s="87">
        <v>0</v>
      </c>
      <c r="T1580" s="87">
        <v>0</v>
      </c>
      <c r="U1580" s="87">
        <v>0</v>
      </c>
      <c r="V1580" s="87">
        <v>8</v>
      </c>
      <c r="W1580" s="93" t="s">
        <v>6917</v>
      </c>
      <c r="X1580" s="92" t="str">
        <f>HYPERLINK("https://40emais.com.br/resumao-do-empreendedor/")</f>
        <v>https://40emais.com.br/resumao-do-empreendedor/</v>
      </c>
      <c r="Y1580" s="87" t="s">
        <v>8373</v>
      </c>
      <c r="Z1580" s="87"/>
      <c r="AA1580" s="87"/>
      <c r="AB1580" s="87"/>
      <c r="AC1580" s="93" t="s">
        <v>11457</v>
      </c>
      <c r="AD1580" s="87" t="s">
        <v>11519</v>
      </c>
      <c r="AE1580" s="92" t="str">
        <f>HYPERLINK("https://twitter.com/40_emais/status/1683599804591423490")</f>
        <v>https://twitter.com/40_emais/status/1683599804591423490</v>
      </c>
      <c r="AF1580" s="90">
        <v>45131.921840277777</v>
      </c>
      <c r="AG1580" s="99">
        <v>45131</v>
      </c>
      <c r="AH1580" s="93" t="s">
        <v>12981</v>
      </c>
      <c r="AI1580" s="87" t="b">
        <v>0</v>
      </c>
      <c r="AJ1580" s="87"/>
      <c r="AK1580" s="87"/>
      <c r="AL1580" s="87"/>
      <c r="AM1580" s="87"/>
      <c r="AN1580" s="87"/>
      <c r="AO1580" s="87"/>
      <c r="AP1580" s="87"/>
      <c r="AQ1580" s="87"/>
      <c r="AR1580" s="87"/>
      <c r="AS1580" s="87"/>
      <c r="AT1580" s="87"/>
      <c r="AU1580" s="87"/>
      <c r="AV1580" s="92" t="str">
        <f>HYPERLINK("https://pbs.twimg.com/profile_images/1587458717611614212/pnRdjpWz_normal.jpg")</f>
        <v>https://pbs.twimg.com/profile_images/1587458717611614212/pnRdjpWz_normal.jpg</v>
      </c>
      <c r="AW1580" s="93" t="s">
        <v>19812</v>
      </c>
      <c r="AX1580" s="93" t="s">
        <v>19812</v>
      </c>
      <c r="AY1580" s="87"/>
      <c r="AZ1580" s="93" t="s">
        <v>22668</v>
      </c>
      <c r="BA1580" s="93" t="s">
        <v>22668</v>
      </c>
      <c r="BB1580" s="93" t="s">
        <v>22668</v>
      </c>
      <c r="BC1580" s="93" t="s">
        <v>19812</v>
      </c>
      <c r="BD1580" s="93" t="s">
        <v>23103</v>
      </c>
      <c r="BE1580" s="87"/>
      <c r="BF1580" s="87"/>
      <c r="BG1580" s="87"/>
      <c r="BH1580" s="87"/>
      <c r="BI1580" s="87"/>
    </row>
    <row r="1581" spans="1:61" x14ac:dyDescent="0.25">
      <c r="A1581" s="63" t="s">
        <v>764</v>
      </c>
      <c r="B1581" s="63" t="s">
        <v>764</v>
      </c>
      <c r="C1581" s="64"/>
      <c r="D1581" s="65"/>
      <c r="E1581" s="66"/>
      <c r="F1581" s="67"/>
      <c r="G1581" s="64"/>
      <c r="H1581" s="68"/>
      <c r="I1581" s="69"/>
      <c r="J1581" s="69"/>
      <c r="K1581" s="32"/>
      <c r="L1581" s="76">
        <v>1581</v>
      </c>
      <c r="M1581" s="76"/>
      <c r="N1581" s="71"/>
      <c r="O1581" s="87" t="s">
        <v>179</v>
      </c>
      <c r="P1581" s="90">
        <v>45117.997708333336</v>
      </c>
      <c r="Q1581" s="87" t="s">
        <v>3379</v>
      </c>
      <c r="R1581" s="87">
        <v>0</v>
      </c>
      <c r="S1581" s="87">
        <v>0</v>
      </c>
      <c r="T1581" s="87">
        <v>0</v>
      </c>
      <c r="U1581" s="87">
        <v>0</v>
      </c>
      <c r="V1581" s="87">
        <v>9</v>
      </c>
      <c r="W1581" s="93" t="s">
        <v>6917</v>
      </c>
      <c r="X1581" s="92" t="str">
        <f>HYPERLINK("https://40emais.com.br/qual-a-diferenca-de-modelo-de-negocio-e-plano-de-negocios/")</f>
        <v>https://40emais.com.br/qual-a-diferenca-de-modelo-de-negocio-e-plano-de-negocios/</v>
      </c>
      <c r="Y1581" s="87" t="s">
        <v>8373</v>
      </c>
      <c r="Z1581" s="87"/>
      <c r="AA1581" s="87"/>
      <c r="AB1581" s="87"/>
      <c r="AC1581" s="93" t="s">
        <v>11457</v>
      </c>
      <c r="AD1581" s="87" t="s">
        <v>11519</v>
      </c>
      <c r="AE1581" s="92" t="str">
        <f>HYPERLINK("https://twitter.com/40_emais/status/1678553866927853569")</f>
        <v>https://twitter.com/40_emais/status/1678553866927853569</v>
      </c>
      <c r="AF1581" s="90">
        <v>45117.997708333336</v>
      </c>
      <c r="AG1581" s="99">
        <v>45117</v>
      </c>
      <c r="AH1581" s="93" t="s">
        <v>12982</v>
      </c>
      <c r="AI1581" s="87" t="b">
        <v>0</v>
      </c>
      <c r="AJ1581" s="87"/>
      <c r="AK1581" s="87"/>
      <c r="AL1581" s="87"/>
      <c r="AM1581" s="87"/>
      <c r="AN1581" s="87"/>
      <c r="AO1581" s="87"/>
      <c r="AP1581" s="87"/>
      <c r="AQ1581" s="87"/>
      <c r="AR1581" s="87"/>
      <c r="AS1581" s="87"/>
      <c r="AT1581" s="87"/>
      <c r="AU1581" s="87"/>
      <c r="AV1581" s="92" t="str">
        <f>HYPERLINK("https://pbs.twimg.com/profile_images/1587458717611614212/pnRdjpWz_normal.jpg")</f>
        <v>https://pbs.twimg.com/profile_images/1587458717611614212/pnRdjpWz_normal.jpg</v>
      </c>
      <c r="AW1581" s="93" t="s">
        <v>19813</v>
      </c>
      <c r="AX1581" s="93" t="s">
        <v>19813</v>
      </c>
      <c r="AY1581" s="87"/>
      <c r="AZ1581" s="93" t="s">
        <v>22668</v>
      </c>
      <c r="BA1581" s="93" t="s">
        <v>22668</v>
      </c>
      <c r="BB1581" s="93" t="s">
        <v>22668</v>
      </c>
      <c r="BC1581" s="93" t="s">
        <v>19813</v>
      </c>
      <c r="BD1581" s="93" t="s">
        <v>23103</v>
      </c>
      <c r="BE1581" s="87"/>
      <c r="BF1581" s="87"/>
      <c r="BG1581" s="87"/>
      <c r="BH1581" s="87"/>
      <c r="BI1581" s="87"/>
    </row>
    <row r="1582" spans="1:61" x14ac:dyDescent="0.25">
      <c r="A1582" s="63" t="s">
        <v>764</v>
      </c>
      <c r="B1582" s="63" t="s">
        <v>764</v>
      </c>
      <c r="C1582" s="64"/>
      <c r="D1582" s="65"/>
      <c r="E1582" s="66"/>
      <c r="F1582" s="67"/>
      <c r="G1582" s="64"/>
      <c r="H1582" s="68"/>
      <c r="I1582" s="69"/>
      <c r="J1582" s="69"/>
      <c r="K1582" s="32"/>
      <c r="L1582" s="76">
        <v>1582</v>
      </c>
      <c r="M1582" s="76"/>
      <c r="N1582" s="71"/>
      <c r="O1582" s="87" t="s">
        <v>179</v>
      </c>
      <c r="P1582" s="90">
        <v>45173.95689814815</v>
      </c>
      <c r="Q1582" s="87" t="s">
        <v>3380</v>
      </c>
      <c r="R1582" s="87">
        <v>0</v>
      </c>
      <c r="S1582" s="87">
        <v>0</v>
      </c>
      <c r="T1582" s="87">
        <v>0</v>
      </c>
      <c r="U1582" s="87">
        <v>0</v>
      </c>
      <c r="V1582" s="87">
        <v>3</v>
      </c>
      <c r="W1582" s="93" t="s">
        <v>6917</v>
      </c>
      <c r="X1582" s="92" t="str">
        <f>HYPERLINK("https://40emais.com.br/como-montar-equipe-dos-sonhos-na-sua-empresa/")</f>
        <v>https://40emais.com.br/como-montar-equipe-dos-sonhos-na-sua-empresa/</v>
      </c>
      <c r="Y1582" s="87" t="s">
        <v>8373</v>
      </c>
      <c r="Z1582" s="87"/>
      <c r="AA1582" s="87"/>
      <c r="AB1582" s="87"/>
      <c r="AC1582" s="93" t="s">
        <v>11457</v>
      </c>
      <c r="AD1582" s="87" t="s">
        <v>11519</v>
      </c>
      <c r="AE1582" s="92" t="str">
        <f>HYPERLINK("https://twitter.com/40_emais/status/1698832799849972207")</f>
        <v>https://twitter.com/40_emais/status/1698832799849972207</v>
      </c>
      <c r="AF1582" s="90">
        <v>45173.95689814815</v>
      </c>
      <c r="AG1582" s="99">
        <v>45173</v>
      </c>
      <c r="AH1582" s="93" t="s">
        <v>12983</v>
      </c>
      <c r="AI1582" s="87" t="b">
        <v>0</v>
      </c>
      <c r="AJ1582" s="87"/>
      <c r="AK1582" s="87"/>
      <c r="AL1582" s="87"/>
      <c r="AM1582" s="87"/>
      <c r="AN1582" s="87"/>
      <c r="AO1582" s="87"/>
      <c r="AP1582" s="87"/>
      <c r="AQ1582" s="87"/>
      <c r="AR1582" s="87"/>
      <c r="AS1582" s="87"/>
      <c r="AT1582" s="87"/>
      <c r="AU1582" s="87"/>
      <c r="AV1582" s="92" t="str">
        <f>HYPERLINK("https://pbs.twimg.com/profile_images/1587458717611614212/pnRdjpWz_normal.jpg")</f>
        <v>https://pbs.twimg.com/profile_images/1587458717611614212/pnRdjpWz_normal.jpg</v>
      </c>
      <c r="AW1582" s="93" t="s">
        <v>19814</v>
      </c>
      <c r="AX1582" s="93" t="s">
        <v>19814</v>
      </c>
      <c r="AY1582" s="87"/>
      <c r="AZ1582" s="93" t="s">
        <v>22668</v>
      </c>
      <c r="BA1582" s="93" t="s">
        <v>22668</v>
      </c>
      <c r="BB1582" s="93" t="s">
        <v>22668</v>
      </c>
      <c r="BC1582" s="93" t="s">
        <v>19814</v>
      </c>
      <c r="BD1582" s="93" t="s">
        <v>23103</v>
      </c>
      <c r="BE1582" s="87"/>
      <c r="BF1582" s="87"/>
      <c r="BG1582" s="87"/>
      <c r="BH1582" s="87"/>
      <c r="BI1582" s="87"/>
    </row>
    <row r="1583" spans="1:61" x14ac:dyDescent="0.25">
      <c r="A1583" s="63" t="s">
        <v>764</v>
      </c>
      <c r="B1583" s="63" t="s">
        <v>764</v>
      </c>
      <c r="C1583" s="64"/>
      <c r="D1583" s="65"/>
      <c r="E1583" s="66"/>
      <c r="F1583" s="67"/>
      <c r="G1583" s="64"/>
      <c r="H1583" s="68"/>
      <c r="I1583" s="69"/>
      <c r="J1583" s="69"/>
      <c r="K1583" s="32"/>
      <c r="L1583" s="76">
        <v>1583</v>
      </c>
      <c r="M1583" s="76"/>
      <c r="N1583" s="71"/>
      <c r="O1583" s="87" t="s">
        <v>179</v>
      </c>
      <c r="P1583" s="90">
        <v>45110.962731481479</v>
      </c>
      <c r="Q1583" s="87" t="s">
        <v>3381</v>
      </c>
      <c r="R1583" s="87">
        <v>0</v>
      </c>
      <c r="S1583" s="87">
        <v>0</v>
      </c>
      <c r="T1583" s="87">
        <v>0</v>
      </c>
      <c r="U1583" s="87">
        <v>0</v>
      </c>
      <c r="V1583" s="87">
        <v>6</v>
      </c>
      <c r="W1583" s="93" t="s">
        <v>6917</v>
      </c>
      <c r="X1583" s="92" t="str">
        <f>HYPERLINK("https://40emais.com.br/por-que-e-importante-fazer-um-plano-de-negocios/")</f>
        <v>https://40emais.com.br/por-que-e-importante-fazer-um-plano-de-negocios/</v>
      </c>
      <c r="Y1583" s="87" t="s">
        <v>8373</v>
      </c>
      <c r="Z1583" s="87"/>
      <c r="AA1583" s="87"/>
      <c r="AB1583" s="87"/>
      <c r="AC1583" s="93" t="s">
        <v>11457</v>
      </c>
      <c r="AD1583" s="87" t="s">
        <v>11519</v>
      </c>
      <c r="AE1583" s="92" t="str">
        <f>HYPERLINK("https://twitter.com/40_emais/status/1676004474928656386")</f>
        <v>https://twitter.com/40_emais/status/1676004474928656386</v>
      </c>
      <c r="AF1583" s="90">
        <v>45110.962731481479</v>
      </c>
      <c r="AG1583" s="99">
        <v>45110</v>
      </c>
      <c r="AH1583" s="93" t="s">
        <v>12984</v>
      </c>
      <c r="AI1583" s="87" t="b">
        <v>0</v>
      </c>
      <c r="AJ1583" s="87"/>
      <c r="AK1583" s="87"/>
      <c r="AL1583" s="87"/>
      <c r="AM1583" s="87"/>
      <c r="AN1583" s="87"/>
      <c r="AO1583" s="87"/>
      <c r="AP1583" s="87"/>
      <c r="AQ1583" s="87"/>
      <c r="AR1583" s="87"/>
      <c r="AS1583" s="87"/>
      <c r="AT1583" s="87"/>
      <c r="AU1583" s="87"/>
      <c r="AV1583" s="92" t="str">
        <f>HYPERLINK("https://pbs.twimg.com/profile_images/1587458717611614212/pnRdjpWz_normal.jpg")</f>
        <v>https://pbs.twimg.com/profile_images/1587458717611614212/pnRdjpWz_normal.jpg</v>
      </c>
      <c r="AW1583" s="93" t="s">
        <v>19815</v>
      </c>
      <c r="AX1583" s="93" t="s">
        <v>19815</v>
      </c>
      <c r="AY1583" s="87"/>
      <c r="AZ1583" s="93" t="s">
        <v>22668</v>
      </c>
      <c r="BA1583" s="93" t="s">
        <v>22668</v>
      </c>
      <c r="BB1583" s="93" t="s">
        <v>22668</v>
      </c>
      <c r="BC1583" s="93" t="s">
        <v>19815</v>
      </c>
      <c r="BD1583" s="93" t="s">
        <v>23103</v>
      </c>
      <c r="BE1583" s="87"/>
      <c r="BF1583" s="87"/>
      <c r="BG1583" s="87"/>
      <c r="BH1583" s="87"/>
      <c r="BI1583" s="87"/>
    </row>
    <row r="1584" spans="1:61" x14ac:dyDescent="0.25">
      <c r="A1584" s="63" t="s">
        <v>765</v>
      </c>
      <c r="B1584" s="63" t="s">
        <v>765</v>
      </c>
      <c r="C1584" s="64"/>
      <c r="D1584" s="65"/>
      <c r="E1584" s="66"/>
      <c r="F1584" s="67"/>
      <c r="G1584" s="64"/>
      <c r="H1584" s="68"/>
      <c r="I1584" s="69"/>
      <c r="J1584" s="69"/>
      <c r="K1584" s="32"/>
      <c r="L1584" s="76">
        <v>1584</v>
      </c>
      <c r="M1584" s="76"/>
      <c r="N1584" s="71"/>
      <c r="O1584" s="87" t="s">
        <v>179</v>
      </c>
      <c r="P1584" s="90">
        <v>45174.147094907406</v>
      </c>
      <c r="Q1584" s="87" t="s">
        <v>3382</v>
      </c>
      <c r="R1584" s="87">
        <v>0</v>
      </c>
      <c r="S1584" s="87">
        <v>0</v>
      </c>
      <c r="T1584" s="87">
        <v>0</v>
      </c>
      <c r="U1584" s="87">
        <v>0</v>
      </c>
      <c r="V1584" s="87">
        <v>34</v>
      </c>
      <c r="W1584" s="93" t="s">
        <v>6918</v>
      </c>
      <c r="X1584" s="87"/>
      <c r="Y1584" s="87"/>
      <c r="Z1584" s="87"/>
      <c r="AA1584" s="87" t="s">
        <v>9649</v>
      </c>
      <c r="AB1584" s="87" t="s">
        <v>11448</v>
      </c>
      <c r="AC1584" s="93" t="s">
        <v>11458</v>
      </c>
      <c r="AD1584" s="87" t="s">
        <v>11523</v>
      </c>
      <c r="AE1584" s="92" t="str">
        <f>HYPERLINK("https://twitter.com/angelv0108/status/1698901721202778539")</f>
        <v>https://twitter.com/angelv0108/status/1698901721202778539</v>
      </c>
      <c r="AF1584" s="90">
        <v>45174.147094907406</v>
      </c>
      <c r="AG1584" s="99">
        <v>45174</v>
      </c>
      <c r="AH1584" s="93" t="s">
        <v>12985</v>
      </c>
      <c r="AI1584" s="87" t="b">
        <v>0</v>
      </c>
      <c r="AJ1584" s="87"/>
      <c r="AK1584" s="87"/>
      <c r="AL1584" s="87"/>
      <c r="AM1584" s="87"/>
      <c r="AN1584" s="87"/>
      <c r="AO1584" s="87"/>
      <c r="AP1584" s="87"/>
      <c r="AQ1584" s="87" t="s">
        <v>16462</v>
      </c>
      <c r="AR1584" s="87"/>
      <c r="AS1584" s="87"/>
      <c r="AT1584" s="87"/>
      <c r="AU1584" s="87"/>
      <c r="AV1584" s="92" t="str">
        <f>HYPERLINK("https://pbs.twimg.com/media/F5O2GvRWkAATSQt.jpg")</f>
        <v>https://pbs.twimg.com/media/F5O2GvRWkAATSQt.jpg</v>
      </c>
      <c r="AW1584" s="93" t="s">
        <v>19816</v>
      </c>
      <c r="AX1584" s="93" t="s">
        <v>19816</v>
      </c>
      <c r="AY1584" s="87"/>
      <c r="AZ1584" s="93" t="s">
        <v>22668</v>
      </c>
      <c r="BA1584" s="93" t="s">
        <v>22668</v>
      </c>
      <c r="BB1584" s="93" t="s">
        <v>22668</v>
      </c>
      <c r="BC1584" s="93" t="s">
        <v>19816</v>
      </c>
      <c r="BD1584" s="93" t="s">
        <v>23104</v>
      </c>
      <c r="BE1584" s="87"/>
      <c r="BF1584" s="87"/>
      <c r="BG1584" s="87"/>
      <c r="BH1584" s="87"/>
      <c r="BI1584" s="87"/>
    </row>
    <row r="1585" spans="1:61" x14ac:dyDescent="0.25">
      <c r="A1585" s="63" t="s">
        <v>766</v>
      </c>
      <c r="B1585" s="63" t="s">
        <v>766</v>
      </c>
      <c r="C1585" s="64"/>
      <c r="D1585" s="65"/>
      <c r="E1585" s="66"/>
      <c r="F1585" s="67"/>
      <c r="G1585" s="64"/>
      <c r="H1585" s="68"/>
      <c r="I1585" s="69"/>
      <c r="J1585" s="69"/>
      <c r="K1585" s="32"/>
      <c r="L1585" s="76">
        <v>1585</v>
      </c>
      <c r="M1585" s="76"/>
      <c r="N1585" s="71"/>
      <c r="O1585" s="87" t="s">
        <v>1840</v>
      </c>
      <c r="P1585" s="90">
        <v>45114.06931712963</v>
      </c>
      <c r="Q1585" s="87" t="s">
        <v>3383</v>
      </c>
      <c r="R1585" s="87">
        <v>0</v>
      </c>
      <c r="S1585" s="87">
        <v>0</v>
      </c>
      <c r="T1585" s="87">
        <v>0</v>
      </c>
      <c r="U1585" s="87">
        <v>0</v>
      </c>
      <c r="V1585" s="87">
        <v>14</v>
      </c>
      <c r="W1585" s="93" t="s">
        <v>6919</v>
      </c>
      <c r="X1585" s="87"/>
      <c r="Y1585" s="87"/>
      <c r="Z1585" s="87"/>
      <c r="AA1585" s="87"/>
      <c r="AB1585" s="87"/>
      <c r="AC1585" s="93" t="s">
        <v>11457</v>
      </c>
      <c r="AD1585" s="87" t="s">
        <v>11519</v>
      </c>
      <c r="AE1585" s="92" t="str">
        <f>HYPERLINK("https://twitter.com/kenya_juli/status/1677130264546275329")</f>
        <v>https://twitter.com/kenya_juli/status/1677130264546275329</v>
      </c>
      <c r="AF1585" s="90">
        <v>45114.06931712963</v>
      </c>
      <c r="AG1585" s="99">
        <v>45114</v>
      </c>
      <c r="AH1585" s="93" t="s">
        <v>12986</v>
      </c>
      <c r="AI1585" s="87"/>
      <c r="AJ1585" s="87"/>
      <c r="AK1585" s="87"/>
      <c r="AL1585" s="87"/>
      <c r="AM1585" s="87"/>
      <c r="AN1585" s="87"/>
      <c r="AO1585" s="87"/>
      <c r="AP1585" s="87"/>
      <c r="AQ1585" s="87"/>
      <c r="AR1585" s="87"/>
      <c r="AS1585" s="87"/>
      <c r="AT1585" s="87"/>
      <c r="AU1585" s="87"/>
      <c r="AV1585" s="92" t="str">
        <f>HYPERLINK("https://pbs.twimg.com/profile_images/1641464966241832960/Zz94f_QH_normal.jpg")</f>
        <v>https://pbs.twimg.com/profile_images/1641464966241832960/Zz94f_QH_normal.jpg</v>
      </c>
      <c r="AW1585" s="93" t="s">
        <v>19817</v>
      </c>
      <c r="AX1585" s="93" t="s">
        <v>19820</v>
      </c>
      <c r="AY1585" s="93" t="s">
        <v>22573</v>
      </c>
      <c r="AZ1585" s="93" t="s">
        <v>19820</v>
      </c>
      <c r="BA1585" s="93" t="s">
        <v>22668</v>
      </c>
      <c r="BB1585" s="93" t="s">
        <v>22668</v>
      </c>
      <c r="BC1585" s="93" t="s">
        <v>19820</v>
      </c>
      <c r="BD1585" s="93" t="s">
        <v>22573</v>
      </c>
      <c r="BE1585" s="87"/>
      <c r="BF1585" s="87"/>
      <c r="BG1585" s="87"/>
      <c r="BH1585" s="87"/>
      <c r="BI1585" s="87"/>
    </row>
    <row r="1586" spans="1:61" x14ac:dyDescent="0.25">
      <c r="A1586" s="63" t="s">
        <v>766</v>
      </c>
      <c r="B1586" s="63" t="s">
        <v>766</v>
      </c>
      <c r="C1586" s="64"/>
      <c r="D1586" s="65"/>
      <c r="E1586" s="66"/>
      <c r="F1586" s="67"/>
      <c r="G1586" s="64"/>
      <c r="H1586" s="68"/>
      <c r="I1586" s="69"/>
      <c r="J1586" s="69"/>
      <c r="K1586" s="32"/>
      <c r="L1586" s="76">
        <v>1586</v>
      </c>
      <c r="M1586" s="76"/>
      <c r="N1586" s="71"/>
      <c r="O1586" s="87" t="s">
        <v>1840</v>
      </c>
      <c r="P1586" s="90">
        <v>45114.069039351853</v>
      </c>
      <c r="Q1586" s="87" t="s">
        <v>3383</v>
      </c>
      <c r="R1586" s="87">
        <v>0</v>
      </c>
      <c r="S1586" s="87">
        <v>0</v>
      </c>
      <c r="T1586" s="87">
        <v>0</v>
      </c>
      <c r="U1586" s="87">
        <v>0</v>
      </c>
      <c r="V1586" s="87">
        <v>11</v>
      </c>
      <c r="W1586" s="93" t="s">
        <v>6919</v>
      </c>
      <c r="X1586" s="87"/>
      <c r="Y1586" s="87"/>
      <c r="Z1586" s="87"/>
      <c r="AA1586" s="87"/>
      <c r="AB1586" s="87"/>
      <c r="AC1586" s="93" t="s">
        <v>11457</v>
      </c>
      <c r="AD1586" s="87" t="s">
        <v>11519</v>
      </c>
      <c r="AE1586" s="92" t="str">
        <f>HYPERLINK("https://twitter.com/kenya_juli/status/1677130165535555584")</f>
        <v>https://twitter.com/kenya_juli/status/1677130165535555584</v>
      </c>
      <c r="AF1586" s="90">
        <v>45114.069039351853</v>
      </c>
      <c r="AG1586" s="99">
        <v>45114</v>
      </c>
      <c r="AH1586" s="93" t="s">
        <v>12987</v>
      </c>
      <c r="AI1586" s="87"/>
      <c r="AJ1586" s="87"/>
      <c r="AK1586" s="87"/>
      <c r="AL1586" s="87"/>
      <c r="AM1586" s="87"/>
      <c r="AN1586" s="87"/>
      <c r="AO1586" s="87"/>
      <c r="AP1586" s="87"/>
      <c r="AQ1586" s="87"/>
      <c r="AR1586" s="87"/>
      <c r="AS1586" s="87"/>
      <c r="AT1586" s="87"/>
      <c r="AU1586" s="87"/>
      <c r="AV1586" s="92" t="str">
        <f>HYPERLINK("https://pbs.twimg.com/profile_images/1641464966241832960/Zz94f_QH_normal.jpg")</f>
        <v>https://pbs.twimg.com/profile_images/1641464966241832960/Zz94f_QH_normal.jpg</v>
      </c>
      <c r="AW1586" s="93" t="s">
        <v>19818</v>
      </c>
      <c r="AX1586" s="93" t="s">
        <v>22384</v>
      </c>
      <c r="AY1586" s="93" t="s">
        <v>22573</v>
      </c>
      <c r="AZ1586" s="93" t="s">
        <v>22384</v>
      </c>
      <c r="BA1586" s="93" t="s">
        <v>22668</v>
      </c>
      <c r="BB1586" s="93" t="s">
        <v>22668</v>
      </c>
      <c r="BC1586" s="93" t="s">
        <v>22384</v>
      </c>
      <c r="BD1586" s="93" t="s">
        <v>22573</v>
      </c>
      <c r="BE1586" s="87"/>
      <c r="BF1586" s="87"/>
      <c r="BG1586" s="87"/>
      <c r="BH1586" s="87"/>
      <c r="BI1586" s="87"/>
    </row>
    <row r="1587" spans="1:61" x14ac:dyDescent="0.25">
      <c r="A1587" s="63" t="s">
        <v>766</v>
      </c>
      <c r="B1587" s="63" t="s">
        <v>766</v>
      </c>
      <c r="C1587" s="64"/>
      <c r="D1587" s="65"/>
      <c r="E1587" s="66"/>
      <c r="F1587" s="67"/>
      <c r="G1587" s="64"/>
      <c r="H1587" s="68"/>
      <c r="I1587" s="69"/>
      <c r="J1587" s="69"/>
      <c r="K1587" s="32"/>
      <c r="L1587" s="76">
        <v>1587</v>
      </c>
      <c r="M1587" s="76"/>
      <c r="N1587" s="71"/>
      <c r="O1587" s="87" t="s">
        <v>1840</v>
      </c>
      <c r="P1587" s="90">
        <v>45114.068912037037</v>
      </c>
      <c r="Q1587" s="87" t="s">
        <v>3383</v>
      </c>
      <c r="R1587" s="87">
        <v>0</v>
      </c>
      <c r="S1587" s="87">
        <v>0</v>
      </c>
      <c r="T1587" s="87">
        <v>0</v>
      </c>
      <c r="U1587" s="87">
        <v>0</v>
      </c>
      <c r="V1587" s="87">
        <v>11</v>
      </c>
      <c r="W1587" s="93" t="s">
        <v>6919</v>
      </c>
      <c r="X1587" s="87"/>
      <c r="Y1587" s="87"/>
      <c r="Z1587" s="87"/>
      <c r="AA1587" s="87"/>
      <c r="AB1587" s="87"/>
      <c r="AC1587" s="93" t="s">
        <v>11457</v>
      </c>
      <c r="AD1587" s="87" t="s">
        <v>11519</v>
      </c>
      <c r="AE1587" s="92" t="str">
        <f>HYPERLINK("https://twitter.com/kenya_juli/status/1677130118903341063")</f>
        <v>https://twitter.com/kenya_juli/status/1677130118903341063</v>
      </c>
      <c r="AF1587" s="90">
        <v>45114.068912037037</v>
      </c>
      <c r="AG1587" s="99">
        <v>45114</v>
      </c>
      <c r="AH1587" s="93" t="s">
        <v>12988</v>
      </c>
      <c r="AI1587" s="87"/>
      <c r="AJ1587" s="87"/>
      <c r="AK1587" s="87"/>
      <c r="AL1587" s="87"/>
      <c r="AM1587" s="87"/>
      <c r="AN1587" s="87"/>
      <c r="AO1587" s="87"/>
      <c r="AP1587" s="87"/>
      <c r="AQ1587" s="87"/>
      <c r="AR1587" s="87"/>
      <c r="AS1587" s="87"/>
      <c r="AT1587" s="87"/>
      <c r="AU1587" s="87"/>
      <c r="AV1587" s="92" t="str">
        <f>HYPERLINK("https://pbs.twimg.com/profile_images/1641464966241832960/Zz94f_QH_normal.jpg")</f>
        <v>https://pbs.twimg.com/profile_images/1641464966241832960/Zz94f_QH_normal.jpg</v>
      </c>
      <c r="AW1587" s="93" t="s">
        <v>19819</v>
      </c>
      <c r="AX1587" s="93" t="s">
        <v>22385</v>
      </c>
      <c r="AY1587" s="93" t="s">
        <v>22573</v>
      </c>
      <c r="AZ1587" s="93" t="s">
        <v>22385</v>
      </c>
      <c r="BA1587" s="93" t="s">
        <v>22668</v>
      </c>
      <c r="BB1587" s="93" t="s">
        <v>22668</v>
      </c>
      <c r="BC1587" s="93" t="s">
        <v>22385</v>
      </c>
      <c r="BD1587" s="93" t="s">
        <v>22573</v>
      </c>
      <c r="BE1587" s="87"/>
      <c r="BF1587" s="87"/>
      <c r="BG1587" s="87"/>
      <c r="BH1587" s="87"/>
      <c r="BI1587" s="87"/>
    </row>
    <row r="1588" spans="1:61" x14ac:dyDescent="0.25">
      <c r="A1588" s="63" t="s">
        <v>766</v>
      </c>
      <c r="B1588" s="63" t="s">
        <v>766</v>
      </c>
      <c r="C1588" s="64"/>
      <c r="D1588" s="65"/>
      <c r="E1588" s="66"/>
      <c r="F1588" s="67"/>
      <c r="G1588" s="64"/>
      <c r="H1588" s="68"/>
      <c r="I1588" s="69"/>
      <c r="J1588" s="69"/>
      <c r="K1588" s="32"/>
      <c r="L1588" s="76">
        <v>1588</v>
      </c>
      <c r="M1588" s="76"/>
      <c r="N1588" s="71"/>
      <c r="O1588" s="87" t="s">
        <v>179</v>
      </c>
      <c r="P1588" s="90">
        <v>45111.671527777777</v>
      </c>
      <c r="Q1588" s="87" t="s">
        <v>3384</v>
      </c>
      <c r="R1588" s="87">
        <v>0</v>
      </c>
      <c r="S1588" s="87">
        <v>0</v>
      </c>
      <c r="T1588" s="87">
        <v>1</v>
      </c>
      <c r="U1588" s="87">
        <v>0</v>
      </c>
      <c r="V1588" s="87">
        <v>31</v>
      </c>
      <c r="W1588" s="93" t="s">
        <v>5897</v>
      </c>
      <c r="X1588" s="87"/>
      <c r="Y1588" s="87"/>
      <c r="Z1588" s="87"/>
      <c r="AA1588" s="87" t="s">
        <v>9650</v>
      </c>
      <c r="AB1588" s="87" t="s">
        <v>11448</v>
      </c>
      <c r="AC1588" s="93" t="s">
        <v>11457</v>
      </c>
      <c r="AD1588" s="87" t="s">
        <v>11519</v>
      </c>
      <c r="AE1588" s="92" t="str">
        <f>HYPERLINK("https://twitter.com/kenya_juli/status/1676261334525284352")</f>
        <v>https://twitter.com/kenya_juli/status/1676261334525284352</v>
      </c>
      <c r="AF1588" s="90">
        <v>45111.671527777777</v>
      </c>
      <c r="AG1588" s="99">
        <v>45111</v>
      </c>
      <c r="AH1588" s="93" t="s">
        <v>12989</v>
      </c>
      <c r="AI1588" s="87" t="b">
        <v>0</v>
      </c>
      <c r="AJ1588" s="87"/>
      <c r="AK1588" s="87"/>
      <c r="AL1588" s="87"/>
      <c r="AM1588" s="87"/>
      <c r="AN1588" s="87"/>
      <c r="AO1588" s="87"/>
      <c r="AP1588" s="87"/>
      <c r="AQ1588" s="87" t="s">
        <v>16463</v>
      </c>
      <c r="AR1588" s="87"/>
      <c r="AS1588" s="87"/>
      <c r="AT1588" s="87"/>
      <c r="AU1588" s="87"/>
      <c r="AV1588" s="92" t="str">
        <f>HYPERLINK("https://pbs.twimg.com/media/F0Htm-3WAAAyJ9G.jpg")</f>
        <v>https://pbs.twimg.com/media/F0Htm-3WAAAyJ9G.jpg</v>
      </c>
      <c r="AW1588" s="93" t="s">
        <v>19820</v>
      </c>
      <c r="AX1588" s="93" t="s">
        <v>19820</v>
      </c>
      <c r="AY1588" s="87"/>
      <c r="AZ1588" s="93" t="s">
        <v>22668</v>
      </c>
      <c r="BA1588" s="93" t="s">
        <v>22668</v>
      </c>
      <c r="BB1588" s="93" t="s">
        <v>22668</v>
      </c>
      <c r="BC1588" s="93" t="s">
        <v>19820</v>
      </c>
      <c r="BD1588" s="93" t="s">
        <v>22573</v>
      </c>
      <c r="BE1588" s="87"/>
      <c r="BF1588" s="87"/>
      <c r="BG1588" s="87"/>
      <c r="BH1588" s="87"/>
      <c r="BI1588" s="87"/>
    </row>
    <row r="1589" spans="1:61" x14ac:dyDescent="0.25">
      <c r="A1589" s="63" t="s">
        <v>766</v>
      </c>
      <c r="B1589" s="63" t="s">
        <v>766</v>
      </c>
      <c r="C1589" s="64"/>
      <c r="D1589" s="65"/>
      <c r="E1589" s="66"/>
      <c r="F1589" s="67"/>
      <c r="G1589" s="64"/>
      <c r="H1589" s="68"/>
      <c r="I1589" s="69"/>
      <c r="J1589" s="69"/>
      <c r="K1589" s="32"/>
      <c r="L1589" s="76">
        <v>1589</v>
      </c>
      <c r="M1589" s="76"/>
      <c r="N1589" s="71"/>
      <c r="O1589" s="87" t="s">
        <v>179</v>
      </c>
      <c r="P1589" s="90">
        <v>45111.463194444441</v>
      </c>
      <c r="Q1589" s="87" t="s">
        <v>3385</v>
      </c>
      <c r="R1589" s="87">
        <v>0</v>
      </c>
      <c r="S1589" s="87">
        <v>0</v>
      </c>
      <c r="T1589" s="87">
        <v>0</v>
      </c>
      <c r="U1589" s="87">
        <v>0</v>
      </c>
      <c r="V1589" s="87">
        <v>8</v>
      </c>
      <c r="W1589" s="93" t="s">
        <v>6920</v>
      </c>
      <c r="X1589" s="87"/>
      <c r="Y1589" s="87"/>
      <c r="Z1589" s="87"/>
      <c r="AA1589" s="87" t="s">
        <v>9651</v>
      </c>
      <c r="AB1589" s="87" t="s">
        <v>11448</v>
      </c>
      <c r="AC1589" s="93" t="s">
        <v>11457</v>
      </c>
      <c r="AD1589" s="87" t="s">
        <v>11519</v>
      </c>
      <c r="AE1589" s="92" t="str">
        <f>HYPERLINK("https://twitter.com/kenya_juli/status/1676185837170720768")</f>
        <v>https://twitter.com/kenya_juli/status/1676185837170720768</v>
      </c>
      <c r="AF1589" s="90">
        <v>45111.463194444441</v>
      </c>
      <c r="AG1589" s="99">
        <v>45111</v>
      </c>
      <c r="AH1589" s="93" t="s">
        <v>12990</v>
      </c>
      <c r="AI1589" s="87" t="b">
        <v>0</v>
      </c>
      <c r="AJ1589" s="87"/>
      <c r="AK1589" s="87"/>
      <c r="AL1589" s="87"/>
      <c r="AM1589" s="87"/>
      <c r="AN1589" s="87"/>
      <c r="AO1589" s="87"/>
      <c r="AP1589" s="87"/>
      <c r="AQ1589" s="87" t="s">
        <v>16464</v>
      </c>
      <c r="AR1589" s="87"/>
      <c r="AS1589" s="87"/>
      <c r="AT1589" s="87"/>
      <c r="AU1589" s="87"/>
      <c r="AV1589" s="92" t="str">
        <f>HYPERLINK("https://pbs.twimg.com/media/F0HsVhxXgAg8PiP.jpg")</f>
        <v>https://pbs.twimg.com/media/F0HsVhxXgAg8PiP.jpg</v>
      </c>
      <c r="AW1589" s="93" t="s">
        <v>19821</v>
      </c>
      <c r="AX1589" s="93" t="s">
        <v>19821</v>
      </c>
      <c r="AY1589" s="87"/>
      <c r="AZ1589" s="93" t="s">
        <v>22668</v>
      </c>
      <c r="BA1589" s="93" t="s">
        <v>22668</v>
      </c>
      <c r="BB1589" s="93" t="s">
        <v>22668</v>
      </c>
      <c r="BC1589" s="93" t="s">
        <v>19821</v>
      </c>
      <c r="BD1589" s="93" t="s">
        <v>22573</v>
      </c>
      <c r="BE1589" s="87"/>
      <c r="BF1589" s="87"/>
      <c r="BG1589" s="87"/>
      <c r="BH1589" s="87"/>
      <c r="BI1589" s="87"/>
    </row>
    <row r="1590" spans="1:61" x14ac:dyDescent="0.25">
      <c r="A1590" s="63" t="s">
        <v>766</v>
      </c>
      <c r="B1590" s="63" t="s">
        <v>766</v>
      </c>
      <c r="C1590" s="64"/>
      <c r="D1590" s="65"/>
      <c r="E1590" s="66"/>
      <c r="F1590" s="67"/>
      <c r="G1590" s="64"/>
      <c r="H1590" s="68"/>
      <c r="I1590" s="69"/>
      <c r="J1590" s="69"/>
      <c r="K1590" s="32"/>
      <c r="L1590" s="76">
        <v>1590</v>
      </c>
      <c r="M1590" s="76"/>
      <c r="N1590" s="71"/>
      <c r="O1590" s="87" t="s">
        <v>179</v>
      </c>
      <c r="P1590" s="90">
        <v>45110.928472222222</v>
      </c>
      <c r="Q1590" s="87" t="s">
        <v>3386</v>
      </c>
      <c r="R1590" s="87">
        <v>0</v>
      </c>
      <c r="S1590" s="87">
        <v>0</v>
      </c>
      <c r="T1590" s="87">
        <v>0</v>
      </c>
      <c r="U1590" s="87">
        <v>0</v>
      </c>
      <c r="V1590" s="87">
        <v>14</v>
      </c>
      <c r="W1590" s="93" t="s">
        <v>6921</v>
      </c>
      <c r="X1590" s="87"/>
      <c r="Y1590" s="87"/>
      <c r="Z1590" s="87"/>
      <c r="AA1590" s="87" t="s">
        <v>9652</v>
      </c>
      <c r="AB1590" s="87" t="s">
        <v>11448</v>
      </c>
      <c r="AC1590" s="93" t="s">
        <v>11457</v>
      </c>
      <c r="AD1590" s="87" t="s">
        <v>11519</v>
      </c>
      <c r="AE1590" s="92" t="str">
        <f>HYPERLINK("https://twitter.com/kenya_juli/status/1675992060040736768")</f>
        <v>https://twitter.com/kenya_juli/status/1675992060040736768</v>
      </c>
      <c r="AF1590" s="90">
        <v>45110.928472222222</v>
      </c>
      <c r="AG1590" s="99">
        <v>45110</v>
      </c>
      <c r="AH1590" s="93" t="s">
        <v>12991</v>
      </c>
      <c r="AI1590" s="87" t="b">
        <v>0</v>
      </c>
      <c r="AJ1590" s="87"/>
      <c r="AK1590" s="87"/>
      <c r="AL1590" s="87"/>
      <c r="AM1590" s="87"/>
      <c r="AN1590" s="87"/>
      <c r="AO1590" s="87"/>
      <c r="AP1590" s="87"/>
      <c r="AQ1590" s="87" t="s">
        <v>16465</v>
      </c>
      <c r="AR1590" s="87"/>
      <c r="AS1590" s="87"/>
      <c r="AT1590" s="87"/>
      <c r="AU1590" s="87"/>
      <c r="AV1590" s="92" t="str">
        <f>HYPERLINK("https://pbs.twimg.com/media/F0HrqoxWYAE0OeM.jpg")</f>
        <v>https://pbs.twimg.com/media/F0HrqoxWYAE0OeM.jpg</v>
      </c>
      <c r="AW1590" s="93" t="s">
        <v>19822</v>
      </c>
      <c r="AX1590" s="93" t="s">
        <v>19822</v>
      </c>
      <c r="AY1590" s="87"/>
      <c r="AZ1590" s="93" t="s">
        <v>22668</v>
      </c>
      <c r="BA1590" s="93" t="s">
        <v>22668</v>
      </c>
      <c r="BB1590" s="93" t="s">
        <v>22668</v>
      </c>
      <c r="BC1590" s="93" t="s">
        <v>19822</v>
      </c>
      <c r="BD1590" s="93" t="s">
        <v>22573</v>
      </c>
      <c r="BE1590" s="87"/>
      <c r="BF1590" s="87"/>
      <c r="BG1590" s="87"/>
      <c r="BH1590" s="87"/>
      <c r="BI1590" s="87"/>
    </row>
    <row r="1591" spans="1:61" x14ac:dyDescent="0.25">
      <c r="A1591" s="63" t="s">
        <v>766</v>
      </c>
      <c r="B1591" s="63" t="s">
        <v>766</v>
      </c>
      <c r="C1591" s="64"/>
      <c r="D1591" s="65"/>
      <c r="E1591" s="66"/>
      <c r="F1591" s="67"/>
      <c r="G1591" s="64"/>
      <c r="H1591" s="68"/>
      <c r="I1591" s="69"/>
      <c r="J1591" s="69"/>
      <c r="K1591" s="32"/>
      <c r="L1591" s="76">
        <v>1591</v>
      </c>
      <c r="M1591" s="76"/>
      <c r="N1591" s="71"/>
      <c r="O1591" s="87" t="s">
        <v>179</v>
      </c>
      <c r="P1591" s="90">
        <v>45110.720138888886</v>
      </c>
      <c r="Q1591" s="87" t="s">
        <v>3387</v>
      </c>
      <c r="R1591" s="87">
        <v>0</v>
      </c>
      <c r="S1591" s="87">
        <v>0</v>
      </c>
      <c r="T1591" s="87">
        <v>0</v>
      </c>
      <c r="U1591" s="87">
        <v>0</v>
      </c>
      <c r="V1591" s="87">
        <v>10</v>
      </c>
      <c r="W1591" s="93" t="s">
        <v>6922</v>
      </c>
      <c r="X1591" s="87"/>
      <c r="Y1591" s="87"/>
      <c r="Z1591" s="87"/>
      <c r="AA1591" s="87" t="s">
        <v>9653</v>
      </c>
      <c r="AB1591" s="87" t="s">
        <v>11448</v>
      </c>
      <c r="AC1591" s="93" t="s">
        <v>11457</v>
      </c>
      <c r="AD1591" s="87" t="s">
        <v>11519</v>
      </c>
      <c r="AE1591" s="92" t="str">
        <f>HYPERLINK("https://twitter.com/kenya_juli/status/1675916562820214797")</f>
        <v>https://twitter.com/kenya_juli/status/1675916562820214797</v>
      </c>
      <c r="AF1591" s="90">
        <v>45110.720138888886</v>
      </c>
      <c r="AG1591" s="99">
        <v>45110</v>
      </c>
      <c r="AH1591" s="93" t="s">
        <v>12992</v>
      </c>
      <c r="AI1591" s="87" t="b">
        <v>0</v>
      </c>
      <c r="AJ1591" s="87"/>
      <c r="AK1591" s="87"/>
      <c r="AL1591" s="87"/>
      <c r="AM1591" s="87"/>
      <c r="AN1591" s="87"/>
      <c r="AO1591" s="87"/>
      <c r="AP1591" s="87"/>
      <c r="AQ1591" s="87" t="s">
        <v>16466</v>
      </c>
      <c r="AR1591" s="87"/>
      <c r="AS1591" s="87"/>
      <c r="AT1591" s="87"/>
      <c r="AU1591" s="87"/>
      <c r="AV1591" s="92" t="str">
        <f>HYPERLINK("https://pbs.twimg.com/media/F0HsH5kWIAAjb9Z.jpg")</f>
        <v>https://pbs.twimg.com/media/F0HsH5kWIAAjb9Z.jpg</v>
      </c>
      <c r="AW1591" s="93" t="s">
        <v>19823</v>
      </c>
      <c r="AX1591" s="93" t="s">
        <v>19823</v>
      </c>
      <c r="AY1591" s="87"/>
      <c r="AZ1591" s="93" t="s">
        <v>22668</v>
      </c>
      <c r="BA1591" s="93" t="s">
        <v>22668</v>
      </c>
      <c r="BB1591" s="93" t="s">
        <v>22668</v>
      </c>
      <c r="BC1591" s="93" t="s">
        <v>19823</v>
      </c>
      <c r="BD1591" s="93" t="s">
        <v>22573</v>
      </c>
      <c r="BE1591" s="87"/>
      <c r="BF1591" s="87"/>
      <c r="BG1591" s="87"/>
      <c r="BH1591" s="87"/>
      <c r="BI1591" s="87"/>
    </row>
    <row r="1592" spans="1:61" x14ac:dyDescent="0.25">
      <c r="A1592" s="63" t="s">
        <v>767</v>
      </c>
      <c r="B1592" s="63" t="s">
        <v>767</v>
      </c>
      <c r="C1592" s="64"/>
      <c r="D1592" s="65"/>
      <c r="E1592" s="66"/>
      <c r="F1592" s="67"/>
      <c r="G1592" s="64"/>
      <c r="H1592" s="68"/>
      <c r="I1592" s="69"/>
      <c r="J1592" s="69"/>
      <c r="K1592" s="32"/>
      <c r="L1592" s="76">
        <v>1592</v>
      </c>
      <c r="M1592" s="76"/>
      <c r="N1592" s="71"/>
      <c r="O1592" s="87" t="s">
        <v>1840</v>
      </c>
      <c r="P1592" s="90">
        <v>45157.665833333333</v>
      </c>
      <c r="Q1592" s="87" t="s">
        <v>3388</v>
      </c>
      <c r="R1592" s="87">
        <v>0</v>
      </c>
      <c r="S1592" s="87">
        <v>0</v>
      </c>
      <c r="T1592" s="87">
        <v>0</v>
      </c>
      <c r="U1592" s="87">
        <v>0</v>
      </c>
      <c r="V1592" s="87">
        <v>8</v>
      </c>
      <c r="W1592" s="93" t="s">
        <v>6923</v>
      </c>
      <c r="X1592" s="87"/>
      <c r="Y1592" s="87"/>
      <c r="Z1592" s="87"/>
      <c r="AA1592" s="87"/>
      <c r="AB1592" s="87"/>
      <c r="AC1592" s="93" t="s">
        <v>11457</v>
      </c>
      <c r="AD1592" s="87" t="s">
        <v>11519</v>
      </c>
      <c r="AE1592" s="92" t="str">
        <f>HYPERLINK("https://twitter.com/luciferrogue/status/1692929114347295216")</f>
        <v>https://twitter.com/luciferrogue/status/1692929114347295216</v>
      </c>
      <c r="AF1592" s="90">
        <v>45157.665833333333</v>
      </c>
      <c r="AG1592" s="99">
        <v>45157</v>
      </c>
      <c r="AH1592" s="93" t="s">
        <v>12993</v>
      </c>
      <c r="AI1592" s="87"/>
      <c r="AJ1592" s="87"/>
      <c r="AK1592" s="87"/>
      <c r="AL1592" s="87"/>
      <c r="AM1592" s="87"/>
      <c r="AN1592" s="87"/>
      <c r="AO1592" s="87"/>
      <c r="AP1592" s="87"/>
      <c r="AQ1592" s="87"/>
      <c r="AR1592" s="87"/>
      <c r="AS1592" s="87"/>
      <c r="AT1592" s="87"/>
      <c r="AU1592" s="87"/>
      <c r="AV1592" s="92" t="str">
        <f>HYPERLINK("https://pbs.twimg.com/profile_images/1687459878770524162/LTpu8EEa_normal.jpg")</f>
        <v>https://pbs.twimg.com/profile_images/1687459878770524162/LTpu8EEa_normal.jpg</v>
      </c>
      <c r="AW1592" s="93" t="s">
        <v>19824</v>
      </c>
      <c r="AX1592" s="93" t="s">
        <v>22386</v>
      </c>
      <c r="AY1592" s="93" t="s">
        <v>22574</v>
      </c>
      <c r="AZ1592" s="93" t="s">
        <v>22717</v>
      </c>
      <c r="BA1592" s="93" t="s">
        <v>22668</v>
      </c>
      <c r="BB1592" s="93" t="s">
        <v>22668</v>
      </c>
      <c r="BC1592" s="93" t="s">
        <v>22717</v>
      </c>
      <c r="BD1592" s="93" t="s">
        <v>22574</v>
      </c>
      <c r="BE1592" s="87"/>
      <c r="BF1592" s="87"/>
      <c r="BG1592" s="87"/>
      <c r="BH1592" s="87"/>
      <c r="BI1592" s="87"/>
    </row>
    <row r="1593" spans="1:61" x14ac:dyDescent="0.25">
      <c r="A1593" s="63" t="s">
        <v>768</v>
      </c>
      <c r="B1593" s="63" t="s">
        <v>865</v>
      </c>
      <c r="C1593" s="64"/>
      <c r="D1593" s="65"/>
      <c r="E1593" s="66"/>
      <c r="F1593" s="67"/>
      <c r="G1593" s="64"/>
      <c r="H1593" s="68"/>
      <c r="I1593" s="69"/>
      <c r="J1593" s="69"/>
      <c r="K1593" s="32"/>
      <c r="L1593" s="76">
        <v>1593</v>
      </c>
      <c r="M1593" s="76"/>
      <c r="N1593" s="71"/>
      <c r="O1593" s="87" t="s">
        <v>1842</v>
      </c>
      <c r="P1593" s="90">
        <v>45165.636932870373</v>
      </c>
      <c r="Q1593" s="87" t="s">
        <v>3389</v>
      </c>
      <c r="R1593" s="87">
        <v>0</v>
      </c>
      <c r="S1593" s="87">
        <v>0</v>
      </c>
      <c r="T1593" s="87">
        <v>0</v>
      </c>
      <c r="U1593" s="87">
        <v>0</v>
      </c>
      <c r="V1593" s="87">
        <v>44</v>
      </c>
      <c r="W1593" s="93" t="s">
        <v>6924</v>
      </c>
      <c r="X1593" s="87"/>
      <c r="Y1593" s="87"/>
      <c r="Z1593" s="87"/>
      <c r="AA1593" s="87"/>
      <c r="AB1593" s="87"/>
      <c r="AC1593" s="93" t="s">
        <v>11459</v>
      </c>
      <c r="AD1593" s="87" t="s">
        <v>11519</v>
      </c>
      <c r="AE1593" s="92" t="str">
        <f>HYPERLINK("https://twitter.com/luizthiagoma/status/1695817744476770790")</f>
        <v>https://twitter.com/luizthiagoma/status/1695817744476770790</v>
      </c>
      <c r="AF1593" s="90">
        <v>45165.636932870373</v>
      </c>
      <c r="AG1593" s="99">
        <v>45165</v>
      </c>
      <c r="AH1593" s="93" t="s">
        <v>12994</v>
      </c>
      <c r="AI1593" s="87"/>
      <c r="AJ1593" s="87"/>
      <c r="AK1593" s="87"/>
      <c r="AL1593" s="87"/>
      <c r="AM1593" s="87"/>
      <c r="AN1593" s="87"/>
      <c r="AO1593" s="87"/>
      <c r="AP1593" s="87"/>
      <c r="AQ1593" s="87"/>
      <c r="AR1593" s="87"/>
      <c r="AS1593" s="87"/>
      <c r="AT1593" s="87"/>
      <c r="AU1593" s="87"/>
      <c r="AV1593" s="92" t="str">
        <f>HYPERLINK("https://pbs.twimg.com/profile_images/1646862984138850304/JKb-E0fO_normal.jpg")</f>
        <v>https://pbs.twimg.com/profile_images/1646862984138850304/JKb-E0fO_normal.jpg</v>
      </c>
      <c r="AW1593" s="93" t="s">
        <v>19825</v>
      </c>
      <c r="AX1593" s="93" t="s">
        <v>19825</v>
      </c>
      <c r="AY1593" s="87"/>
      <c r="AZ1593" s="93" t="s">
        <v>22668</v>
      </c>
      <c r="BA1593" s="93" t="s">
        <v>20115</v>
      </c>
      <c r="BB1593" s="93" t="s">
        <v>22668</v>
      </c>
      <c r="BC1593" s="93" t="s">
        <v>20115</v>
      </c>
      <c r="BD1593" s="93" t="s">
        <v>23105</v>
      </c>
      <c r="BE1593" s="87"/>
      <c r="BF1593" s="87"/>
      <c r="BG1593" s="87"/>
      <c r="BH1593" s="87"/>
      <c r="BI1593" s="87"/>
    </row>
    <row r="1594" spans="1:61" x14ac:dyDescent="0.25">
      <c r="A1594" s="63" t="s">
        <v>769</v>
      </c>
      <c r="B1594" s="63" t="s">
        <v>769</v>
      </c>
      <c r="C1594" s="64"/>
      <c r="D1594" s="65"/>
      <c r="E1594" s="66"/>
      <c r="F1594" s="67"/>
      <c r="G1594" s="64"/>
      <c r="H1594" s="68"/>
      <c r="I1594" s="69"/>
      <c r="J1594" s="69"/>
      <c r="K1594" s="32"/>
      <c r="L1594" s="76">
        <v>1594</v>
      </c>
      <c r="M1594" s="76"/>
      <c r="N1594" s="71"/>
      <c r="O1594" s="87" t="s">
        <v>179</v>
      </c>
      <c r="P1594" s="90">
        <v>45194.942256944443</v>
      </c>
      <c r="Q1594" s="87" t="s">
        <v>3390</v>
      </c>
      <c r="R1594" s="87">
        <v>0</v>
      </c>
      <c r="S1594" s="87">
        <v>0</v>
      </c>
      <c r="T1594" s="87">
        <v>0</v>
      </c>
      <c r="U1594" s="87">
        <v>0</v>
      </c>
      <c r="V1594" s="87">
        <v>3</v>
      </c>
      <c r="W1594" s="93" t="s">
        <v>6925</v>
      </c>
      <c r="X1594" s="87"/>
      <c r="Y1594" s="87"/>
      <c r="Z1594" s="87"/>
      <c r="AA1594" s="87" t="s">
        <v>9654</v>
      </c>
      <c r="AB1594" s="87" t="s">
        <v>11448</v>
      </c>
      <c r="AC1594" s="93" t="s">
        <v>11457</v>
      </c>
      <c r="AD1594" s="87" t="s">
        <v>11519</v>
      </c>
      <c r="AE1594" s="92" t="str">
        <f>HYPERLINK("https://twitter.com/orestesleal1/status/1706437637043556623")</f>
        <v>https://twitter.com/orestesleal1/status/1706437637043556623</v>
      </c>
      <c r="AF1594" s="90">
        <v>45194.942256944443</v>
      </c>
      <c r="AG1594" s="99">
        <v>45194</v>
      </c>
      <c r="AH1594" s="93" t="s">
        <v>12995</v>
      </c>
      <c r="AI1594" s="87" t="b">
        <v>0</v>
      </c>
      <c r="AJ1594" s="87"/>
      <c r="AK1594" s="87"/>
      <c r="AL1594" s="87"/>
      <c r="AM1594" s="87"/>
      <c r="AN1594" s="87"/>
      <c r="AO1594" s="87"/>
      <c r="AP1594" s="87"/>
      <c r="AQ1594" s="87" t="s">
        <v>16467</v>
      </c>
      <c r="AR1594" s="87"/>
      <c r="AS1594" s="87"/>
      <c r="AT1594" s="87"/>
      <c r="AU1594" s="87"/>
      <c r="AV1594" s="92" t="str">
        <f>HYPERLINK("https://pbs.twimg.com/media/F6576d4X0AAETZb.jpg")</f>
        <v>https://pbs.twimg.com/media/F6576d4X0AAETZb.jpg</v>
      </c>
      <c r="AW1594" s="93" t="s">
        <v>19826</v>
      </c>
      <c r="AX1594" s="93" t="s">
        <v>19826</v>
      </c>
      <c r="AY1594" s="87"/>
      <c r="AZ1594" s="93" t="s">
        <v>22668</v>
      </c>
      <c r="BA1594" s="93" t="s">
        <v>22668</v>
      </c>
      <c r="BB1594" s="93" t="s">
        <v>22668</v>
      </c>
      <c r="BC1594" s="93" t="s">
        <v>19826</v>
      </c>
      <c r="BD1594" s="93" t="s">
        <v>23106</v>
      </c>
      <c r="BE1594" s="87"/>
      <c r="BF1594" s="87"/>
      <c r="BG1594" s="87"/>
      <c r="BH1594" s="87"/>
      <c r="BI1594" s="87"/>
    </row>
    <row r="1595" spans="1:61" x14ac:dyDescent="0.25">
      <c r="A1595" s="63" t="s">
        <v>770</v>
      </c>
      <c r="B1595" s="63" t="s">
        <v>770</v>
      </c>
      <c r="C1595" s="64"/>
      <c r="D1595" s="65"/>
      <c r="E1595" s="66"/>
      <c r="F1595" s="67"/>
      <c r="G1595" s="64"/>
      <c r="H1595" s="68"/>
      <c r="I1595" s="69"/>
      <c r="J1595" s="69"/>
      <c r="K1595" s="32"/>
      <c r="L1595" s="76">
        <v>1595</v>
      </c>
      <c r="M1595" s="76"/>
      <c r="N1595" s="71"/>
      <c r="O1595" s="87" t="s">
        <v>179</v>
      </c>
      <c r="P1595" s="90">
        <v>45114.683877314812</v>
      </c>
      <c r="Q1595" s="87" t="s">
        <v>3391</v>
      </c>
      <c r="R1595" s="87">
        <v>0</v>
      </c>
      <c r="S1595" s="87">
        <v>0</v>
      </c>
      <c r="T1595" s="87">
        <v>0</v>
      </c>
      <c r="U1595" s="87">
        <v>0</v>
      </c>
      <c r="V1595" s="87">
        <v>14</v>
      </c>
      <c r="W1595" s="93" t="s">
        <v>6926</v>
      </c>
      <c r="X1595" s="92" t="str">
        <f>HYPERLINK("https://conteudo.auddas.com/auddas-league")</f>
        <v>https://conteudo.auddas.com/auddas-league</v>
      </c>
      <c r="Y1595" s="87" t="s">
        <v>8462</v>
      </c>
      <c r="Z1595" s="87"/>
      <c r="AA1595" s="87" t="s">
        <v>9655</v>
      </c>
      <c r="AB1595" s="87" t="s">
        <v>11449</v>
      </c>
      <c r="AC1595" s="93" t="s">
        <v>11457</v>
      </c>
      <c r="AD1595" s="87" t="s">
        <v>11519</v>
      </c>
      <c r="AE1595" s="92" t="str">
        <f>HYPERLINK("https://twitter.com/auddas_/status/1677352976602611712")</f>
        <v>https://twitter.com/auddas_/status/1677352976602611712</v>
      </c>
      <c r="AF1595" s="90">
        <v>45114.683877314812</v>
      </c>
      <c r="AG1595" s="99">
        <v>45114</v>
      </c>
      <c r="AH1595" s="93" t="s">
        <v>12996</v>
      </c>
      <c r="AI1595" s="87" t="b">
        <v>0</v>
      </c>
      <c r="AJ1595" s="87"/>
      <c r="AK1595" s="87"/>
      <c r="AL1595" s="87"/>
      <c r="AM1595" s="87"/>
      <c r="AN1595" s="87"/>
      <c r="AO1595" s="87"/>
      <c r="AP1595" s="87"/>
      <c r="AQ1595" s="87" t="s">
        <v>16468</v>
      </c>
      <c r="AR1595" s="87"/>
      <c r="AS1595" s="87"/>
      <c r="AT1595" s="87"/>
      <c r="AU1595" s="87"/>
      <c r="AV1595" s="92" t="str">
        <f>HYPERLINK("https://pbs.twimg.com/media/F0cnb01XoAIWttd.jpg")</f>
        <v>https://pbs.twimg.com/media/F0cnb01XoAIWttd.jpg</v>
      </c>
      <c r="AW1595" s="93" t="s">
        <v>19827</v>
      </c>
      <c r="AX1595" s="93" t="s">
        <v>19827</v>
      </c>
      <c r="AY1595" s="87"/>
      <c r="AZ1595" s="93" t="s">
        <v>22668</v>
      </c>
      <c r="BA1595" s="93" t="s">
        <v>22668</v>
      </c>
      <c r="BB1595" s="93" t="s">
        <v>22668</v>
      </c>
      <c r="BC1595" s="93" t="s">
        <v>19827</v>
      </c>
      <c r="BD1595" s="93" t="s">
        <v>23107</v>
      </c>
      <c r="BE1595" s="87"/>
      <c r="BF1595" s="87"/>
      <c r="BG1595" s="87"/>
      <c r="BH1595" s="87"/>
      <c r="BI1595" s="87"/>
    </row>
    <row r="1596" spans="1:61" x14ac:dyDescent="0.25">
      <c r="A1596" s="63" t="s">
        <v>770</v>
      </c>
      <c r="B1596" s="63" t="s">
        <v>770</v>
      </c>
      <c r="C1596" s="64"/>
      <c r="D1596" s="65"/>
      <c r="E1596" s="66"/>
      <c r="F1596" s="67"/>
      <c r="G1596" s="64"/>
      <c r="H1596" s="68"/>
      <c r="I1596" s="69"/>
      <c r="J1596" s="69"/>
      <c r="K1596" s="32"/>
      <c r="L1596" s="76">
        <v>1596</v>
      </c>
      <c r="M1596" s="76"/>
      <c r="N1596" s="71"/>
      <c r="O1596" s="87" t="s">
        <v>179</v>
      </c>
      <c r="P1596" s="90">
        <v>45120.734918981485</v>
      </c>
      <c r="Q1596" s="87" t="s">
        <v>3392</v>
      </c>
      <c r="R1596" s="87">
        <v>0</v>
      </c>
      <c r="S1596" s="87">
        <v>0</v>
      </c>
      <c r="T1596" s="87">
        <v>0</v>
      </c>
      <c r="U1596" s="87">
        <v>0</v>
      </c>
      <c r="V1596" s="87">
        <v>5</v>
      </c>
      <c r="W1596" s="93" t="s">
        <v>6927</v>
      </c>
      <c r="X1596" s="92" t="str">
        <f>HYPERLINK("https://auddas.com/auddas-league-live")</f>
        <v>https://auddas.com/auddas-league-live</v>
      </c>
      <c r="Y1596" s="87" t="s">
        <v>8462</v>
      </c>
      <c r="Z1596" s="87"/>
      <c r="AA1596" s="87" t="s">
        <v>9656</v>
      </c>
      <c r="AB1596" s="87" t="s">
        <v>11449</v>
      </c>
      <c r="AC1596" s="93" t="s">
        <v>11457</v>
      </c>
      <c r="AD1596" s="87" t="s">
        <v>11519</v>
      </c>
      <c r="AE1596" s="92" t="str">
        <f>HYPERLINK("https://twitter.com/auddas_/status/1679545797203861512")</f>
        <v>https://twitter.com/auddas_/status/1679545797203861512</v>
      </c>
      <c r="AF1596" s="90">
        <v>45120.734918981485</v>
      </c>
      <c r="AG1596" s="99">
        <v>45120</v>
      </c>
      <c r="AH1596" s="93" t="s">
        <v>12997</v>
      </c>
      <c r="AI1596" s="87" t="b">
        <v>0</v>
      </c>
      <c r="AJ1596" s="87"/>
      <c r="AK1596" s="87"/>
      <c r="AL1596" s="87"/>
      <c r="AM1596" s="87"/>
      <c r="AN1596" s="87"/>
      <c r="AO1596" s="87"/>
      <c r="AP1596" s="87"/>
      <c r="AQ1596" s="87" t="s">
        <v>16469</v>
      </c>
      <c r="AR1596" s="87"/>
      <c r="AS1596" s="87"/>
      <c r="AT1596" s="87"/>
      <c r="AU1596" s="87"/>
      <c r="AV1596" s="92" t="str">
        <f>HYPERLINK("https://pbs.twimg.com/media/F07xx2vXsAEMhUl.jpg")</f>
        <v>https://pbs.twimg.com/media/F07xx2vXsAEMhUl.jpg</v>
      </c>
      <c r="AW1596" s="93" t="s">
        <v>19828</v>
      </c>
      <c r="AX1596" s="93" t="s">
        <v>19828</v>
      </c>
      <c r="AY1596" s="87"/>
      <c r="AZ1596" s="93" t="s">
        <v>22668</v>
      </c>
      <c r="BA1596" s="93" t="s">
        <v>22668</v>
      </c>
      <c r="BB1596" s="93" t="s">
        <v>22668</v>
      </c>
      <c r="BC1596" s="93" t="s">
        <v>19828</v>
      </c>
      <c r="BD1596" s="93" t="s">
        <v>23107</v>
      </c>
      <c r="BE1596" s="87"/>
      <c r="BF1596" s="87"/>
      <c r="BG1596" s="87"/>
      <c r="BH1596" s="87"/>
      <c r="BI1596" s="87"/>
    </row>
    <row r="1597" spans="1:61" x14ac:dyDescent="0.25">
      <c r="A1597" s="63" t="s">
        <v>770</v>
      </c>
      <c r="B1597" s="63" t="s">
        <v>770</v>
      </c>
      <c r="C1597" s="64"/>
      <c r="D1597" s="65"/>
      <c r="E1597" s="66"/>
      <c r="F1597" s="67"/>
      <c r="G1597" s="64"/>
      <c r="H1597" s="68"/>
      <c r="I1597" s="69"/>
      <c r="J1597" s="69"/>
      <c r="K1597" s="32"/>
      <c r="L1597" s="76">
        <v>1597</v>
      </c>
      <c r="M1597" s="76"/>
      <c r="N1597" s="71"/>
      <c r="O1597" s="87" t="s">
        <v>179</v>
      </c>
      <c r="P1597" s="90">
        <v>45125.666666666664</v>
      </c>
      <c r="Q1597" s="87" t="s">
        <v>3393</v>
      </c>
      <c r="R1597" s="87">
        <v>0</v>
      </c>
      <c r="S1597" s="87">
        <v>0</v>
      </c>
      <c r="T1597" s="87">
        <v>0</v>
      </c>
      <c r="U1597" s="87">
        <v>0</v>
      </c>
      <c r="V1597" s="87">
        <v>5</v>
      </c>
      <c r="W1597" s="93" t="s">
        <v>6928</v>
      </c>
      <c r="X1597" s="92" t="str">
        <f>HYPERLINK("https://auddas.com/auddas-league-live")</f>
        <v>https://auddas.com/auddas-league-live</v>
      </c>
      <c r="Y1597" s="87" t="s">
        <v>8462</v>
      </c>
      <c r="Z1597" s="87"/>
      <c r="AA1597" s="87" t="s">
        <v>9657</v>
      </c>
      <c r="AB1597" s="87" t="s">
        <v>11449</v>
      </c>
      <c r="AC1597" s="93" t="s">
        <v>11457</v>
      </c>
      <c r="AD1597" s="87" t="s">
        <v>11519</v>
      </c>
      <c r="AE1597" s="92" t="str">
        <f>HYPERLINK("https://twitter.com/auddas_/status/1681333005753942016")</f>
        <v>https://twitter.com/auddas_/status/1681333005753942016</v>
      </c>
      <c r="AF1597" s="90">
        <v>45125.666666666664</v>
      </c>
      <c r="AG1597" s="99">
        <v>45125</v>
      </c>
      <c r="AH1597" s="93" t="s">
        <v>11676</v>
      </c>
      <c r="AI1597" s="87" t="b">
        <v>0</v>
      </c>
      <c r="AJ1597" s="87"/>
      <c r="AK1597" s="87"/>
      <c r="AL1597" s="87"/>
      <c r="AM1597" s="87"/>
      <c r="AN1597" s="87"/>
      <c r="AO1597" s="87"/>
      <c r="AP1597" s="87"/>
      <c r="AQ1597" s="87" t="s">
        <v>16470</v>
      </c>
      <c r="AR1597" s="87"/>
      <c r="AS1597" s="87"/>
      <c r="AT1597" s="87"/>
      <c r="AU1597" s="87"/>
      <c r="AV1597" s="92" t="str">
        <f>HYPERLINK("https://pbs.twimg.com/media/F1Ur50saIAA662y.jpg")</f>
        <v>https://pbs.twimg.com/media/F1Ur50saIAA662y.jpg</v>
      </c>
      <c r="AW1597" s="93" t="s">
        <v>19829</v>
      </c>
      <c r="AX1597" s="93" t="s">
        <v>19829</v>
      </c>
      <c r="AY1597" s="87"/>
      <c r="AZ1597" s="93" t="s">
        <v>22668</v>
      </c>
      <c r="BA1597" s="93" t="s">
        <v>22668</v>
      </c>
      <c r="BB1597" s="93" t="s">
        <v>22668</v>
      </c>
      <c r="BC1597" s="93" t="s">
        <v>19829</v>
      </c>
      <c r="BD1597" s="93" t="s">
        <v>23107</v>
      </c>
      <c r="BE1597" s="87"/>
      <c r="BF1597" s="87"/>
      <c r="BG1597" s="87"/>
      <c r="BH1597" s="87"/>
      <c r="BI1597" s="87"/>
    </row>
    <row r="1598" spans="1:61" x14ac:dyDescent="0.25">
      <c r="A1598" s="63" t="s">
        <v>770</v>
      </c>
      <c r="B1598" s="63" t="s">
        <v>770</v>
      </c>
      <c r="C1598" s="64"/>
      <c r="D1598" s="65"/>
      <c r="E1598" s="66"/>
      <c r="F1598" s="67"/>
      <c r="G1598" s="64"/>
      <c r="H1598" s="68"/>
      <c r="I1598" s="69"/>
      <c r="J1598" s="69"/>
      <c r="K1598" s="32"/>
      <c r="L1598" s="76">
        <v>1598</v>
      </c>
      <c r="M1598" s="76"/>
      <c r="N1598" s="71"/>
      <c r="O1598" s="87" t="s">
        <v>179</v>
      </c>
      <c r="P1598" s="90">
        <v>45119.623877314814</v>
      </c>
      <c r="Q1598" s="87" t="s">
        <v>3394</v>
      </c>
      <c r="R1598" s="87">
        <v>0</v>
      </c>
      <c r="S1598" s="87">
        <v>0</v>
      </c>
      <c r="T1598" s="87">
        <v>1</v>
      </c>
      <c r="U1598" s="87">
        <v>0</v>
      </c>
      <c r="V1598" s="87">
        <v>14</v>
      </c>
      <c r="W1598" s="93" t="s">
        <v>6929</v>
      </c>
      <c r="X1598" s="92" t="str">
        <f>HYPERLINK("https://auddas.com/material-vendas")</f>
        <v>https://auddas.com/material-vendas</v>
      </c>
      <c r="Y1598" s="87" t="s">
        <v>8462</v>
      </c>
      <c r="Z1598" s="87"/>
      <c r="AA1598" s="87" t="s">
        <v>9658</v>
      </c>
      <c r="AB1598" s="87" t="s">
        <v>11450</v>
      </c>
      <c r="AC1598" s="93" t="s">
        <v>11457</v>
      </c>
      <c r="AD1598" s="87" t="s">
        <v>11519</v>
      </c>
      <c r="AE1598" s="92" t="str">
        <f>HYPERLINK("https://twitter.com/auddas_/status/1679143170297274373")</f>
        <v>https://twitter.com/auddas_/status/1679143170297274373</v>
      </c>
      <c r="AF1598" s="90">
        <v>45119.623877314814</v>
      </c>
      <c r="AG1598" s="99">
        <v>45119</v>
      </c>
      <c r="AH1598" s="93" t="s">
        <v>12998</v>
      </c>
      <c r="AI1598" s="87" t="b">
        <v>0</v>
      </c>
      <c r="AJ1598" s="87"/>
      <c r="AK1598" s="87"/>
      <c r="AL1598" s="87"/>
      <c r="AM1598" s="87"/>
      <c r="AN1598" s="87"/>
      <c r="AO1598" s="87"/>
      <c r="AP1598" s="87"/>
      <c r="AQ1598" s="87" t="s">
        <v>16471</v>
      </c>
      <c r="AR1598" s="87"/>
      <c r="AS1598" s="87"/>
      <c r="AT1598" s="87"/>
      <c r="AU1598" s="87"/>
      <c r="AV1598" s="92" t="str">
        <f>HYPERLINK("https://pbs.twimg.com/media/F02DkqcXwAE0ewd.jpg")</f>
        <v>https://pbs.twimg.com/media/F02DkqcXwAE0ewd.jpg</v>
      </c>
      <c r="AW1598" s="93" t="s">
        <v>19830</v>
      </c>
      <c r="AX1598" s="93" t="s">
        <v>19830</v>
      </c>
      <c r="AY1598" s="87"/>
      <c r="AZ1598" s="93" t="s">
        <v>22668</v>
      </c>
      <c r="BA1598" s="93" t="s">
        <v>22668</v>
      </c>
      <c r="BB1598" s="93" t="s">
        <v>22668</v>
      </c>
      <c r="BC1598" s="93" t="s">
        <v>19830</v>
      </c>
      <c r="BD1598" s="93" t="s">
        <v>23107</v>
      </c>
      <c r="BE1598" s="87"/>
      <c r="BF1598" s="87"/>
      <c r="BG1598" s="87"/>
      <c r="BH1598" s="87"/>
      <c r="BI1598" s="87"/>
    </row>
    <row r="1599" spans="1:61" x14ac:dyDescent="0.25">
      <c r="A1599" s="63" t="s">
        <v>770</v>
      </c>
      <c r="B1599" s="63" t="s">
        <v>770</v>
      </c>
      <c r="C1599" s="64"/>
      <c r="D1599" s="65"/>
      <c r="E1599" s="66"/>
      <c r="F1599" s="67"/>
      <c r="G1599" s="64"/>
      <c r="H1599" s="68"/>
      <c r="I1599" s="69"/>
      <c r="J1599" s="69"/>
      <c r="K1599" s="32"/>
      <c r="L1599" s="76">
        <v>1599</v>
      </c>
      <c r="M1599" s="76"/>
      <c r="N1599" s="71"/>
      <c r="O1599" s="87" t="s">
        <v>179</v>
      </c>
      <c r="P1599" s="90">
        <v>45138.792500000003</v>
      </c>
      <c r="Q1599" s="87" t="s">
        <v>3395</v>
      </c>
      <c r="R1599" s="87">
        <v>0</v>
      </c>
      <c r="S1599" s="87">
        <v>0</v>
      </c>
      <c r="T1599" s="87">
        <v>0</v>
      </c>
      <c r="U1599" s="87">
        <v>0</v>
      </c>
      <c r="V1599" s="87">
        <v>8</v>
      </c>
      <c r="W1599" s="93" t="s">
        <v>6930</v>
      </c>
      <c r="X1599" s="92" t="str">
        <f>HYPERLINK("https://auddas.com/league-espera-stories")</f>
        <v>https://auddas.com/league-espera-stories</v>
      </c>
      <c r="Y1599" s="87" t="s">
        <v>8462</v>
      </c>
      <c r="Z1599" s="87"/>
      <c r="AA1599" s="87" t="s">
        <v>9659</v>
      </c>
      <c r="AB1599" s="87" t="s">
        <v>11448</v>
      </c>
      <c r="AC1599" s="93" t="s">
        <v>11457</v>
      </c>
      <c r="AD1599" s="87" t="s">
        <v>11519</v>
      </c>
      <c r="AE1599" s="92" t="str">
        <f>HYPERLINK("https://twitter.com/auddas_/status/1686089645262516227")</f>
        <v>https://twitter.com/auddas_/status/1686089645262516227</v>
      </c>
      <c r="AF1599" s="90">
        <v>45138.792500000003</v>
      </c>
      <c r="AG1599" s="99">
        <v>45138</v>
      </c>
      <c r="AH1599" s="93" t="s">
        <v>12999</v>
      </c>
      <c r="AI1599" s="87" t="b">
        <v>0</v>
      </c>
      <c r="AJ1599" s="87"/>
      <c r="AK1599" s="87"/>
      <c r="AL1599" s="87"/>
      <c r="AM1599" s="87"/>
      <c r="AN1599" s="87"/>
      <c r="AO1599" s="87"/>
      <c r="AP1599" s="87"/>
      <c r="AQ1599" s="87" t="s">
        <v>16472</v>
      </c>
      <c r="AR1599" s="87"/>
      <c r="AS1599" s="87"/>
      <c r="AT1599" s="87"/>
      <c r="AU1599" s="87"/>
      <c r="AV1599" s="92" t="str">
        <f>HYPERLINK("https://pbs.twimg.com/media/F2YwSgbXgAERlVl.jpg")</f>
        <v>https://pbs.twimg.com/media/F2YwSgbXgAERlVl.jpg</v>
      </c>
      <c r="AW1599" s="93" t="s">
        <v>19831</v>
      </c>
      <c r="AX1599" s="93" t="s">
        <v>19831</v>
      </c>
      <c r="AY1599" s="87"/>
      <c r="AZ1599" s="93" t="s">
        <v>22668</v>
      </c>
      <c r="BA1599" s="93" t="s">
        <v>22668</v>
      </c>
      <c r="BB1599" s="93" t="s">
        <v>22668</v>
      </c>
      <c r="BC1599" s="93" t="s">
        <v>19831</v>
      </c>
      <c r="BD1599" s="93" t="s">
        <v>23107</v>
      </c>
      <c r="BE1599" s="87"/>
      <c r="BF1599" s="87"/>
      <c r="BG1599" s="87"/>
      <c r="BH1599" s="87"/>
      <c r="BI1599" s="87"/>
    </row>
    <row r="1600" spans="1:61" x14ac:dyDescent="0.25">
      <c r="A1600" s="63" t="s">
        <v>770</v>
      </c>
      <c r="B1600" s="63" t="s">
        <v>770</v>
      </c>
      <c r="C1600" s="64"/>
      <c r="D1600" s="65"/>
      <c r="E1600" s="66"/>
      <c r="F1600" s="67"/>
      <c r="G1600" s="64"/>
      <c r="H1600" s="68"/>
      <c r="I1600" s="69"/>
      <c r="J1600" s="69"/>
      <c r="K1600" s="32"/>
      <c r="L1600" s="76">
        <v>1600</v>
      </c>
      <c r="M1600" s="76"/>
      <c r="N1600" s="71"/>
      <c r="O1600" s="87" t="s">
        <v>179</v>
      </c>
      <c r="P1600" s="90">
        <v>45137.916666666664</v>
      </c>
      <c r="Q1600" s="87" t="s">
        <v>3396</v>
      </c>
      <c r="R1600" s="87">
        <v>0</v>
      </c>
      <c r="S1600" s="87">
        <v>0</v>
      </c>
      <c r="T1600" s="87">
        <v>0</v>
      </c>
      <c r="U1600" s="87">
        <v>0</v>
      </c>
      <c r="V1600" s="87">
        <v>9</v>
      </c>
      <c r="W1600" s="93" t="s">
        <v>6931</v>
      </c>
      <c r="X1600" s="92" t="str">
        <f>HYPERLINK("https://auddas.com/league-espera-stories")</f>
        <v>https://auddas.com/league-espera-stories</v>
      </c>
      <c r="Y1600" s="87" t="s">
        <v>8462</v>
      </c>
      <c r="Z1600" s="87"/>
      <c r="AA1600" s="87" t="s">
        <v>9660</v>
      </c>
      <c r="AB1600" s="87" t="s">
        <v>11449</v>
      </c>
      <c r="AC1600" s="93" t="s">
        <v>11457</v>
      </c>
      <c r="AD1600" s="87" t="s">
        <v>11519</v>
      </c>
      <c r="AE1600" s="92" t="str">
        <f>HYPERLINK("https://twitter.com/auddas_/status/1685772256914571264")</f>
        <v>https://twitter.com/auddas_/status/1685772256914571264</v>
      </c>
      <c r="AF1600" s="90">
        <v>45137.916666666664</v>
      </c>
      <c r="AG1600" s="99">
        <v>45137</v>
      </c>
      <c r="AH1600" s="93" t="s">
        <v>12312</v>
      </c>
      <c r="AI1600" s="87" t="b">
        <v>0</v>
      </c>
      <c r="AJ1600" s="87"/>
      <c r="AK1600" s="87"/>
      <c r="AL1600" s="87"/>
      <c r="AM1600" s="87"/>
      <c r="AN1600" s="87"/>
      <c r="AO1600" s="87"/>
      <c r="AP1600" s="87"/>
      <c r="AQ1600" s="87" t="s">
        <v>16473</v>
      </c>
      <c r="AR1600" s="87"/>
      <c r="AS1600" s="87"/>
      <c r="AT1600" s="87"/>
      <c r="AU1600" s="87"/>
      <c r="AV1600" s="92" t="str">
        <f>HYPERLINK("https://pbs.twimg.com/media/F2NTvpSW8AA8KoU.jpg")</f>
        <v>https://pbs.twimg.com/media/F2NTvpSW8AA8KoU.jpg</v>
      </c>
      <c r="AW1600" s="93" t="s">
        <v>19832</v>
      </c>
      <c r="AX1600" s="93" t="s">
        <v>19832</v>
      </c>
      <c r="AY1600" s="87"/>
      <c r="AZ1600" s="93" t="s">
        <v>22668</v>
      </c>
      <c r="BA1600" s="93" t="s">
        <v>22668</v>
      </c>
      <c r="BB1600" s="93" t="s">
        <v>22668</v>
      </c>
      <c r="BC1600" s="93" t="s">
        <v>19832</v>
      </c>
      <c r="BD1600" s="93" t="s">
        <v>23107</v>
      </c>
      <c r="BE1600" s="87"/>
      <c r="BF1600" s="87"/>
      <c r="BG1600" s="87"/>
      <c r="BH1600" s="87"/>
      <c r="BI1600" s="87"/>
    </row>
    <row r="1601" spans="1:61" x14ac:dyDescent="0.25">
      <c r="A1601" s="63" t="s">
        <v>770</v>
      </c>
      <c r="B1601" s="63" t="s">
        <v>770</v>
      </c>
      <c r="C1601" s="64"/>
      <c r="D1601" s="65"/>
      <c r="E1601" s="66"/>
      <c r="F1601" s="67"/>
      <c r="G1601" s="64"/>
      <c r="H1601" s="68"/>
      <c r="I1601" s="69"/>
      <c r="J1601" s="69"/>
      <c r="K1601" s="32"/>
      <c r="L1601" s="76">
        <v>1601</v>
      </c>
      <c r="M1601" s="76"/>
      <c r="N1601" s="71"/>
      <c r="O1601" s="87" t="s">
        <v>179</v>
      </c>
      <c r="P1601" s="90">
        <v>45146.916666666664</v>
      </c>
      <c r="Q1601" s="87" t="s">
        <v>3397</v>
      </c>
      <c r="R1601" s="87">
        <v>0</v>
      </c>
      <c r="S1601" s="87">
        <v>1</v>
      </c>
      <c r="T1601" s="87">
        <v>0</v>
      </c>
      <c r="U1601" s="87">
        <v>0</v>
      </c>
      <c r="V1601" s="87">
        <v>12</v>
      </c>
      <c r="W1601" s="93" t="s">
        <v>6932</v>
      </c>
      <c r="X1601" s="87"/>
      <c r="Y1601" s="87"/>
      <c r="Z1601" s="87"/>
      <c r="AA1601" s="87" t="s">
        <v>9661</v>
      </c>
      <c r="AB1601" s="87" t="s">
        <v>11450</v>
      </c>
      <c r="AC1601" s="93" t="s">
        <v>11457</v>
      </c>
      <c r="AD1601" s="87" t="s">
        <v>11519</v>
      </c>
      <c r="AE1601" s="92" t="str">
        <f>HYPERLINK("https://twitter.com/auddas_/status/1689033746794913793")</f>
        <v>https://twitter.com/auddas_/status/1689033746794913793</v>
      </c>
      <c r="AF1601" s="90">
        <v>45146.916666666664</v>
      </c>
      <c r="AG1601" s="99">
        <v>45146</v>
      </c>
      <c r="AH1601" s="93" t="s">
        <v>12312</v>
      </c>
      <c r="AI1601" s="87" t="b">
        <v>0</v>
      </c>
      <c r="AJ1601" s="87"/>
      <c r="AK1601" s="87"/>
      <c r="AL1601" s="87"/>
      <c r="AM1601" s="87"/>
      <c r="AN1601" s="87"/>
      <c r="AO1601" s="87"/>
      <c r="AP1601" s="87"/>
      <c r="AQ1601" s="87" t="s">
        <v>16474</v>
      </c>
      <c r="AR1601" s="87"/>
      <c r="AS1601" s="87"/>
      <c r="AT1601" s="87"/>
      <c r="AU1601" s="87"/>
      <c r="AV1601" s="92" t="str">
        <f>HYPERLINK("https://pbs.twimg.com/media/F3B7DiJXAAAMeBG.jpg")</f>
        <v>https://pbs.twimg.com/media/F3B7DiJXAAAMeBG.jpg</v>
      </c>
      <c r="AW1601" s="93" t="s">
        <v>19833</v>
      </c>
      <c r="AX1601" s="93" t="s">
        <v>19833</v>
      </c>
      <c r="AY1601" s="87"/>
      <c r="AZ1601" s="93" t="s">
        <v>22668</v>
      </c>
      <c r="BA1601" s="93" t="s">
        <v>22668</v>
      </c>
      <c r="BB1601" s="93" t="s">
        <v>22668</v>
      </c>
      <c r="BC1601" s="93" t="s">
        <v>19833</v>
      </c>
      <c r="BD1601" s="93" t="s">
        <v>23107</v>
      </c>
      <c r="BE1601" s="87"/>
      <c r="BF1601" s="87"/>
      <c r="BG1601" s="87"/>
      <c r="BH1601" s="87"/>
      <c r="BI1601" s="87"/>
    </row>
    <row r="1602" spans="1:61" x14ac:dyDescent="0.25">
      <c r="A1602" s="63" t="s">
        <v>770</v>
      </c>
      <c r="B1602" s="63" t="s">
        <v>770</v>
      </c>
      <c r="C1602" s="64"/>
      <c r="D1602" s="65"/>
      <c r="E1602" s="66"/>
      <c r="F1602" s="67"/>
      <c r="G1602" s="64"/>
      <c r="H1602" s="68"/>
      <c r="I1602" s="69"/>
      <c r="J1602" s="69"/>
      <c r="K1602" s="32"/>
      <c r="L1602" s="76">
        <v>1602</v>
      </c>
      <c r="M1602" s="76"/>
      <c r="N1602" s="71"/>
      <c r="O1602" s="87" t="s">
        <v>179</v>
      </c>
      <c r="P1602" s="90">
        <v>45134.625057870369</v>
      </c>
      <c r="Q1602" s="87" t="s">
        <v>3398</v>
      </c>
      <c r="R1602" s="87">
        <v>0</v>
      </c>
      <c r="S1602" s="87">
        <v>0</v>
      </c>
      <c r="T1602" s="87">
        <v>0</v>
      </c>
      <c r="U1602" s="87">
        <v>0</v>
      </c>
      <c r="V1602" s="87">
        <v>12</v>
      </c>
      <c r="W1602" s="93" t="s">
        <v>6933</v>
      </c>
      <c r="X1602" s="92" t="str">
        <f>HYPERLINK("https://auddas.com/league-espera-stories")</f>
        <v>https://auddas.com/league-espera-stories</v>
      </c>
      <c r="Y1602" s="87" t="s">
        <v>8462</v>
      </c>
      <c r="Z1602" s="87"/>
      <c r="AA1602" s="87" t="s">
        <v>9662</v>
      </c>
      <c r="AB1602" s="87" t="s">
        <v>11448</v>
      </c>
      <c r="AC1602" s="93" t="s">
        <v>11457</v>
      </c>
      <c r="AD1602" s="87" t="s">
        <v>11519</v>
      </c>
      <c r="AE1602" s="92" t="str">
        <f>HYPERLINK("https://twitter.com/auddas_/status/1684579415899144193")</f>
        <v>https://twitter.com/auddas_/status/1684579415899144193</v>
      </c>
      <c r="AF1602" s="90">
        <v>45134.625057870369</v>
      </c>
      <c r="AG1602" s="99">
        <v>45134</v>
      </c>
      <c r="AH1602" s="93" t="s">
        <v>13000</v>
      </c>
      <c r="AI1602" s="87" t="b">
        <v>0</v>
      </c>
      <c r="AJ1602" s="87"/>
      <c r="AK1602" s="87"/>
      <c r="AL1602" s="87"/>
      <c r="AM1602" s="87"/>
      <c r="AN1602" s="87"/>
      <c r="AO1602" s="87"/>
      <c r="AP1602" s="87"/>
      <c r="AQ1602" s="87" t="s">
        <v>16475</v>
      </c>
      <c r="AR1602" s="87"/>
      <c r="AS1602" s="87"/>
      <c r="AT1602" s="87"/>
      <c r="AU1602" s="87"/>
      <c r="AV1602" s="92" t="str">
        <f>HYPERLINK("https://pbs.twimg.com/media/F2C_f2aXsAAVbVE.jpg")</f>
        <v>https://pbs.twimg.com/media/F2C_f2aXsAAVbVE.jpg</v>
      </c>
      <c r="AW1602" s="93" t="s">
        <v>19834</v>
      </c>
      <c r="AX1602" s="93" t="s">
        <v>19834</v>
      </c>
      <c r="AY1602" s="87"/>
      <c r="AZ1602" s="93" t="s">
        <v>22668</v>
      </c>
      <c r="BA1602" s="93" t="s">
        <v>22668</v>
      </c>
      <c r="BB1602" s="93" t="s">
        <v>22668</v>
      </c>
      <c r="BC1602" s="93" t="s">
        <v>19834</v>
      </c>
      <c r="BD1602" s="93" t="s">
        <v>23107</v>
      </c>
      <c r="BE1602" s="87"/>
      <c r="BF1602" s="87"/>
      <c r="BG1602" s="87"/>
      <c r="BH1602" s="87"/>
      <c r="BI1602" s="87"/>
    </row>
    <row r="1603" spans="1:61" x14ac:dyDescent="0.25">
      <c r="A1603" s="63" t="s">
        <v>770</v>
      </c>
      <c r="B1603" s="63" t="s">
        <v>770</v>
      </c>
      <c r="C1603" s="64"/>
      <c r="D1603" s="65"/>
      <c r="E1603" s="66"/>
      <c r="F1603" s="67"/>
      <c r="G1603" s="64"/>
      <c r="H1603" s="68"/>
      <c r="I1603" s="69"/>
      <c r="J1603" s="69"/>
      <c r="K1603" s="32"/>
      <c r="L1603" s="76">
        <v>1603</v>
      </c>
      <c r="M1603" s="76"/>
      <c r="N1603" s="71"/>
      <c r="O1603" s="87" t="s">
        <v>179</v>
      </c>
      <c r="P1603" s="90">
        <v>45118.706886574073</v>
      </c>
      <c r="Q1603" s="87" t="s">
        <v>3399</v>
      </c>
      <c r="R1603" s="87">
        <v>0</v>
      </c>
      <c r="S1603" s="87">
        <v>0</v>
      </c>
      <c r="T1603" s="87">
        <v>0</v>
      </c>
      <c r="U1603" s="87">
        <v>0</v>
      </c>
      <c r="V1603" s="87">
        <v>8</v>
      </c>
      <c r="W1603" s="93" t="s">
        <v>6934</v>
      </c>
      <c r="X1603" s="92" t="str">
        <f>HYPERLINK("https://auddas.com/biblioteca-auddas")</f>
        <v>https://auddas.com/biblioteca-auddas</v>
      </c>
      <c r="Y1603" s="87" t="s">
        <v>8462</v>
      </c>
      <c r="Z1603" s="87"/>
      <c r="AA1603" s="87" t="s">
        <v>9663</v>
      </c>
      <c r="AB1603" s="87" t="s">
        <v>11451</v>
      </c>
      <c r="AC1603" s="93" t="s">
        <v>11457</v>
      </c>
      <c r="AD1603" s="87" t="s">
        <v>11519</v>
      </c>
      <c r="AE1603" s="92" t="str">
        <f>HYPERLINK("https://twitter.com/auddas_/status/1678810864478978066")</f>
        <v>https://twitter.com/auddas_/status/1678810864478978066</v>
      </c>
      <c r="AF1603" s="90">
        <v>45118.706886574073</v>
      </c>
      <c r="AG1603" s="99">
        <v>45118</v>
      </c>
      <c r="AH1603" s="93" t="s">
        <v>13001</v>
      </c>
      <c r="AI1603" s="87" t="b">
        <v>0</v>
      </c>
      <c r="AJ1603" s="87"/>
      <c r="AK1603" s="87"/>
      <c r="AL1603" s="87"/>
      <c r="AM1603" s="87"/>
      <c r="AN1603" s="87"/>
      <c r="AO1603" s="87"/>
      <c r="AP1603" s="87"/>
      <c r="AQ1603" s="87" t="s">
        <v>16476</v>
      </c>
      <c r="AR1603" s="87"/>
      <c r="AS1603" s="87"/>
      <c r="AT1603" s="87"/>
      <c r="AU1603" s="87"/>
      <c r="AV1603" s="92" t="str">
        <f>HYPERLINK("https://pbs.twimg.com/media/F0xVYv5WAA4oUgM.jpg")</f>
        <v>https://pbs.twimg.com/media/F0xVYv5WAA4oUgM.jpg</v>
      </c>
      <c r="AW1603" s="93" t="s">
        <v>19835</v>
      </c>
      <c r="AX1603" s="93" t="s">
        <v>19835</v>
      </c>
      <c r="AY1603" s="87"/>
      <c r="AZ1603" s="93" t="s">
        <v>22668</v>
      </c>
      <c r="BA1603" s="93" t="s">
        <v>22668</v>
      </c>
      <c r="BB1603" s="93" t="s">
        <v>22668</v>
      </c>
      <c r="BC1603" s="93" t="s">
        <v>19835</v>
      </c>
      <c r="BD1603" s="93" t="s">
        <v>23107</v>
      </c>
      <c r="BE1603" s="87"/>
      <c r="BF1603" s="87"/>
      <c r="BG1603" s="87"/>
      <c r="BH1603" s="87"/>
      <c r="BI1603" s="87"/>
    </row>
    <row r="1604" spans="1:61" x14ac:dyDescent="0.25">
      <c r="A1604" s="63" t="s">
        <v>770</v>
      </c>
      <c r="B1604" s="63" t="s">
        <v>770</v>
      </c>
      <c r="C1604" s="64"/>
      <c r="D1604" s="65"/>
      <c r="E1604" s="66"/>
      <c r="F1604" s="67"/>
      <c r="G1604" s="64"/>
      <c r="H1604" s="68"/>
      <c r="I1604" s="69"/>
      <c r="J1604" s="69"/>
      <c r="K1604" s="32"/>
      <c r="L1604" s="76">
        <v>1604</v>
      </c>
      <c r="M1604" s="76"/>
      <c r="N1604" s="71"/>
      <c r="O1604" s="87" t="s">
        <v>179</v>
      </c>
      <c r="P1604" s="90">
        <v>45153.916666666664</v>
      </c>
      <c r="Q1604" s="87" t="s">
        <v>3400</v>
      </c>
      <c r="R1604" s="87">
        <v>0</v>
      </c>
      <c r="S1604" s="87">
        <v>0</v>
      </c>
      <c r="T1604" s="87">
        <v>0</v>
      </c>
      <c r="U1604" s="87">
        <v>0</v>
      </c>
      <c r="V1604" s="87">
        <v>20</v>
      </c>
      <c r="W1604" s="93" t="s">
        <v>6935</v>
      </c>
      <c r="X1604" s="92" t="str">
        <f>HYPERLINK("https://bit.ly/3RQrZ4D")</f>
        <v>https://bit.ly/3RQrZ4D</v>
      </c>
      <c r="Y1604" s="87" t="s">
        <v>8374</v>
      </c>
      <c r="Z1604" s="87"/>
      <c r="AA1604" s="87" t="s">
        <v>9664</v>
      </c>
      <c r="AB1604" s="87" t="s">
        <v>11451</v>
      </c>
      <c r="AC1604" s="93" t="s">
        <v>11457</v>
      </c>
      <c r="AD1604" s="87" t="s">
        <v>11519</v>
      </c>
      <c r="AE1604" s="92" t="str">
        <f>HYPERLINK("https://twitter.com/auddas_/status/1691570460461346998")</f>
        <v>https://twitter.com/auddas_/status/1691570460461346998</v>
      </c>
      <c r="AF1604" s="90">
        <v>45153.916666666664</v>
      </c>
      <c r="AG1604" s="99">
        <v>45153</v>
      </c>
      <c r="AH1604" s="93" t="s">
        <v>12312</v>
      </c>
      <c r="AI1604" s="87" t="b">
        <v>0</v>
      </c>
      <c r="AJ1604" s="87"/>
      <c r="AK1604" s="87"/>
      <c r="AL1604" s="87"/>
      <c r="AM1604" s="87"/>
      <c r="AN1604" s="87"/>
      <c r="AO1604" s="87"/>
      <c r="AP1604" s="87"/>
      <c r="AQ1604" s="87" t="s">
        <v>16477</v>
      </c>
      <c r="AR1604" s="87"/>
      <c r="AS1604" s="87"/>
      <c r="AT1604" s="87"/>
      <c r="AU1604" s="87"/>
      <c r="AV1604" s="92" t="str">
        <f>HYPERLINK("https://pbs.twimg.com/media/F3lDpztasAAw4wc.jpg")</f>
        <v>https://pbs.twimg.com/media/F3lDpztasAAw4wc.jpg</v>
      </c>
      <c r="AW1604" s="93" t="s">
        <v>19836</v>
      </c>
      <c r="AX1604" s="93" t="s">
        <v>19836</v>
      </c>
      <c r="AY1604" s="87"/>
      <c r="AZ1604" s="93" t="s">
        <v>22668</v>
      </c>
      <c r="BA1604" s="93" t="s">
        <v>22668</v>
      </c>
      <c r="BB1604" s="93" t="s">
        <v>22668</v>
      </c>
      <c r="BC1604" s="93" t="s">
        <v>19836</v>
      </c>
      <c r="BD1604" s="93" t="s">
        <v>23107</v>
      </c>
      <c r="BE1604" s="87"/>
      <c r="BF1604" s="87"/>
      <c r="BG1604" s="87"/>
      <c r="BH1604" s="87"/>
      <c r="BI1604" s="87"/>
    </row>
    <row r="1605" spans="1:61" x14ac:dyDescent="0.25">
      <c r="A1605" s="63" t="s">
        <v>771</v>
      </c>
      <c r="B1605" s="63" t="s">
        <v>771</v>
      </c>
      <c r="C1605" s="64"/>
      <c r="D1605" s="65"/>
      <c r="E1605" s="66"/>
      <c r="F1605" s="67"/>
      <c r="G1605" s="64"/>
      <c r="H1605" s="68"/>
      <c r="I1605" s="69"/>
      <c r="J1605" s="69"/>
      <c r="K1605" s="32"/>
      <c r="L1605" s="76">
        <v>1605</v>
      </c>
      <c r="M1605" s="76"/>
      <c r="N1605" s="71"/>
      <c r="O1605" s="87" t="s">
        <v>179</v>
      </c>
      <c r="P1605" s="90">
        <v>45147.503113425926</v>
      </c>
      <c r="Q1605" s="87" t="s">
        <v>3401</v>
      </c>
      <c r="R1605" s="87">
        <v>0</v>
      </c>
      <c r="S1605" s="87">
        <v>0</v>
      </c>
      <c r="T1605" s="87">
        <v>0</v>
      </c>
      <c r="U1605" s="87">
        <v>0</v>
      </c>
      <c r="V1605" s="87">
        <v>51</v>
      </c>
      <c r="W1605" s="93" t="s">
        <v>6936</v>
      </c>
      <c r="X1605" s="92" t="str">
        <f>HYPERLINK("https://wyden.com.br/selecao?parceiro=14308581")</f>
        <v>https://wyden.com.br/selecao?parceiro=14308581</v>
      </c>
      <c r="Y1605" s="87" t="s">
        <v>8373</v>
      </c>
      <c r="Z1605" s="87"/>
      <c r="AA1605" s="87" t="s">
        <v>9665</v>
      </c>
      <c r="AB1605" s="87" t="s">
        <v>11448</v>
      </c>
      <c r="AC1605" s="93" t="s">
        <v>11457</v>
      </c>
      <c r="AD1605" s="87" t="s">
        <v>11519</v>
      </c>
      <c r="AE1605" s="92" t="str">
        <f>HYPERLINK("https://twitter.com/wydenaracatuba/status/1689246266792845312")</f>
        <v>https://twitter.com/wydenaracatuba/status/1689246266792845312</v>
      </c>
      <c r="AF1605" s="90">
        <v>45147.503113425926</v>
      </c>
      <c r="AG1605" s="99">
        <v>45147</v>
      </c>
      <c r="AH1605" s="93" t="s">
        <v>13002</v>
      </c>
      <c r="AI1605" s="87" t="b">
        <v>0</v>
      </c>
      <c r="AJ1605" s="87"/>
      <c r="AK1605" s="87"/>
      <c r="AL1605" s="87"/>
      <c r="AM1605" s="87"/>
      <c r="AN1605" s="87"/>
      <c r="AO1605" s="87"/>
      <c r="AP1605" s="87"/>
      <c r="AQ1605" s="87" t="s">
        <v>16478</v>
      </c>
      <c r="AR1605" s="87"/>
      <c r="AS1605" s="87"/>
      <c r="AT1605" s="87"/>
      <c r="AU1605" s="87"/>
      <c r="AV1605" s="92" t="str">
        <f>HYPERLINK("https://pbs.twimg.com/media/F3FohgVXMAA5IgO.jpg")</f>
        <v>https://pbs.twimg.com/media/F3FohgVXMAA5IgO.jpg</v>
      </c>
      <c r="AW1605" s="93" t="s">
        <v>19837</v>
      </c>
      <c r="AX1605" s="93" t="s">
        <v>19837</v>
      </c>
      <c r="AY1605" s="87"/>
      <c r="AZ1605" s="93" t="s">
        <v>22668</v>
      </c>
      <c r="BA1605" s="93" t="s">
        <v>22668</v>
      </c>
      <c r="BB1605" s="93" t="s">
        <v>22668</v>
      </c>
      <c r="BC1605" s="93" t="s">
        <v>19837</v>
      </c>
      <c r="BD1605" s="93" t="s">
        <v>23108</v>
      </c>
      <c r="BE1605" s="87"/>
      <c r="BF1605" s="87"/>
      <c r="BG1605" s="87"/>
      <c r="BH1605" s="87"/>
      <c r="BI1605" s="87"/>
    </row>
    <row r="1606" spans="1:61" x14ac:dyDescent="0.25">
      <c r="A1606" s="63" t="s">
        <v>772</v>
      </c>
      <c r="B1606" s="63" t="s">
        <v>772</v>
      </c>
      <c r="C1606" s="64"/>
      <c r="D1606" s="65"/>
      <c r="E1606" s="66"/>
      <c r="F1606" s="67"/>
      <c r="G1606" s="64"/>
      <c r="H1606" s="68"/>
      <c r="I1606" s="69"/>
      <c r="J1606" s="69"/>
      <c r="K1606" s="32"/>
      <c r="L1606" s="76">
        <v>1606</v>
      </c>
      <c r="M1606" s="76"/>
      <c r="N1606" s="71"/>
      <c r="O1606" s="87" t="s">
        <v>1840</v>
      </c>
      <c r="P1606" s="90">
        <v>45131.653263888889</v>
      </c>
      <c r="Q1606" s="87" t="s">
        <v>3402</v>
      </c>
      <c r="R1606" s="87">
        <v>0</v>
      </c>
      <c r="S1606" s="87">
        <v>0</v>
      </c>
      <c r="T1606" s="87">
        <v>0</v>
      </c>
      <c r="U1606" s="87">
        <v>0</v>
      </c>
      <c r="V1606" s="87">
        <v>3</v>
      </c>
      <c r="W1606" s="93" t="s">
        <v>6937</v>
      </c>
      <c r="X1606" s="87"/>
      <c r="Y1606" s="87"/>
      <c r="Z1606" s="87"/>
      <c r="AA1606" s="87"/>
      <c r="AB1606" s="87"/>
      <c r="AC1606" s="93" t="s">
        <v>11493</v>
      </c>
      <c r="AD1606" s="87" t="s">
        <v>11519</v>
      </c>
      <c r="AE1606" s="92" t="str">
        <f>HYPERLINK("https://twitter.com/mosscaxyz/status/1683502473980305408")</f>
        <v>https://twitter.com/mosscaxyz/status/1683502473980305408</v>
      </c>
      <c r="AF1606" s="90">
        <v>45131.653263888889</v>
      </c>
      <c r="AG1606" s="99">
        <v>45131</v>
      </c>
      <c r="AH1606" s="93" t="s">
        <v>13003</v>
      </c>
      <c r="AI1606" s="87"/>
      <c r="AJ1606" s="87"/>
      <c r="AK1606" s="87"/>
      <c r="AL1606" s="87"/>
      <c r="AM1606" s="87"/>
      <c r="AN1606" s="87"/>
      <c r="AO1606" s="87"/>
      <c r="AP1606" s="87"/>
      <c r="AQ1606" s="87"/>
      <c r="AR1606" s="87"/>
      <c r="AS1606" s="87"/>
      <c r="AT1606" s="87"/>
      <c r="AU1606" s="87"/>
      <c r="AV1606" s="92" t="str">
        <f>HYPERLINK("https://pbs.twimg.com/profile_images/1657809596017262593/SWfHcHqT_normal.jpg")</f>
        <v>https://pbs.twimg.com/profile_images/1657809596017262593/SWfHcHqT_normal.jpg</v>
      </c>
      <c r="AW1606" s="93" t="s">
        <v>19838</v>
      </c>
      <c r="AX1606" s="93" t="s">
        <v>22387</v>
      </c>
      <c r="AY1606" s="93" t="s">
        <v>22575</v>
      </c>
      <c r="AZ1606" s="93" t="s">
        <v>22387</v>
      </c>
      <c r="BA1606" s="93" t="s">
        <v>22668</v>
      </c>
      <c r="BB1606" s="93" t="s">
        <v>22668</v>
      </c>
      <c r="BC1606" s="93" t="s">
        <v>22387</v>
      </c>
      <c r="BD1606" s="93" t="s">
        <v>22575</v>
      </c>
      <c r="BE1606" s="87"/>
      <c r="BF1606" s="87"/>
      <c r="BG1606" s="87"/>
      <c r="BH1606" s="87"/>
      <c r="BI1606" s="87"/>
    </row>
    <row r="1607" spans="1:61" x14ac:dyDescent="0.25">
      <c r="A1607" s="63" t="s">
        <v>772</v>
      </c>
      <c r="B1607" s="63" t="s">
        <v>772</v>
      </c>
      <c r="C1607" s="64"/>
      <c r="D1607" s="65"/>
      <c r="E1607" s="66"/>
      <c r="F1607" s="67"/>
      <c r="G1607" s="64"/>
      <c r="H1607" s="68"/>
      <c r="I1607" s="69"/>
      <c r="J1607" s="69"/>
      <c r="K1607" s="32"/>
      <c r="L1607" s="76">
        <v>1607</v>
      </c>
      <c r="M1607" s="76"/>
      <c r="N1607" s="71"/>
      <c r="O1607" s="87" t="s">
        <v>1840</v>
      </c>
      <c r="P1607" s="90">
        <v>45146.560879629629</v>
      </c>
      <c r="Q1607" s="87" t="s">
        <v>3403</v>
      </c>
      <c r="R1607" s="87">
        <v>0</v>
      </c>
      <c r="S1607" s="87">
        <v>0</v>
      </c>
      <c r="T1607" s="87">
        <v>1</v>
      </c>
      <c r="U1607" s="87">
        <v>0</v>
      </c>
      <c r="V1607" s="87">
        <v>1</v>
      </c>
      <c r="W1607" s="93" t="s">
        <v>6938</v>
      </c>
      <c r="X1607" s="87"/>
      <c r="Y1607" s="87"/>
      <c r="Z1607" s="87"/>
      <c r="AA1607" s="87"/>
      <c r="AB1607" s="87"/>
      <c r="AC1607" s="93" t="s">
        <v>11493</v>
      </c>
      <c r="AD1607" s="87" t="s">
        <v>11524</v>
      </c>
      <c r="AE1607" s="92" t="str">
        <f>HYPERLINK("https://twitter.com/mosscaxyz/status/1688904812190949376")</f>
        <v>https://twitter.com/mosscaxyz/status/1688904812190949376</v>
      </c>
      <c r="AF1607" s="90">
        <v>45146.560879629629</v>
      </c>
      <c r="AG1607" s="99">
        <v>45146</v>
      </c>
      <c r="AH1607" s="93" t="s">
        <v>13004</v>
      </c>
      <c r="AI1607" s="87"/>
      <c r="AJ1607" s="87"/>
      <c r="AK1607" s="87"/>
      <c r="AL1607" s="87"/>
      <c r="AM1607" s="87"/>
      <c r="AN1607" s="87"/>
      <c r="AO1607" s="87"/>
      <c r="AP1607" s="87"/>
      <c r="AQ1607" s="87"/>
      <c r="AR1607" s="87"/>
      <c r="AS1607" s="87"/>
      <c r="AT1607" s="87"/>
      <c r="AU1607" s="87"/>
      <c r="AV1607" s="92" t="str">
        <f>HYPERLINK("https://pbs.twimg.com/profile_images/1657809596017262593/SWfHcHqT_normal.jpg")</f>
        <v>https://pbs.twimg.com/profile_images/1657809596017262593/SWfHcHqT_normal.jpg</v>
      </c>
      <c r="AW1607" s="93" t="s">
        <v>19839</v>
      </c>
      <c r="AX1607" s="93" t="s">
        <v>22388</v>
      </c>
      <c r="AY1607" s="93" t="s">
        <v>22575</v>
      </c>
      <c r="AZ1607" s="93" t="s">
        <v>22388</v>
      </c>
      <c r="BA1607" s="93" t="s">
        <v>22668</v>
      </c>
      <c r="BB1607" s="93" t="s">
        <v>22668</v>
      </c>
      <c r="BC1607" s="93" t="s">
        <v>22388</v>
      </c>
      <c r="BD1607" s="93" t="s">
        <v>22575</v>
      </c>
      <c r="BE1607" s="87"/>
      <c r="BF1607" s="87"/>
      <c r="BG1607" s="87"/>
      <c r="BH1607" s="87"/>
      <c r="BI1607" s="87"/>
    </row>
    <row r="1608" spans="1:61" x14ac:dyDescent="0.25">
      <c r="A1608" s="63" t="s">
        <v>772</v>
      </c>
      <c r="B1608" s="63" t="s">
        <v>772</v>
      </c>
      <c r="C1608" s="64"/>
      <c r="D1608" s="65"/>
      <c r="E1608" s="66"/>
      <c r="F1608" s="67"/>
      <c r="G1608" s="64"/>
      <c r="H1608" s="68"/>
      <c r="I1608" s="69"/>
      <c r="J1608" s="69"/>
      <c r="K1608" s="32"/>
      <c r="L1608" s="76">
        <v>1608</v>
      </c>
      <c r="M1608" s="76"/>
      <c r="N1608" s="71"/>
      <c r="O1608" s="87" t="s">
        <v>1840</v>
      </c>
      <c r="P1608" s="90">
        <v>45111.318206018521</v>
      </c>
      <c r="Q1608" s="87" t="s">
        <v>3404</v>
      </c>
      <c r="R1608" s="87">
        <v>0</v>
      </c>
      <c r="S1608" s="87">
        <v>0</v>
      </c>
      <c r="T1608" s="87">
        <v>0</v>
      </c>
      <c r="U1608" s="87">
        <v>0</v>
      </c>
      <c r="V1608" s="87">
        <v>1</v>
      </c>
      <c r="W1608" s="93" t="s">
        <v>6939</v>
      </c>
      <c r="X1608" s="87"/>
      <c r="Y1608" s="87"/>
      <c r="Z1608" s="87"/>
      <c r="AA1608" s="87"/>
      <c r="AB1608" s="87"/>
      <c r="AC1608" s="93" t="s">
        <v>11493</v>
      </c>
      <c r="AD1608" s="87" t="s">
        <v>11519</v>
      </c>
      <c r="AE1608" s="92" t="str">
        <f>HYPERLINK("https://twitter.com/mosscaxyz/status/1676133296021942272")</f>
        <v>https://twitter.com/mosscaxyz/status/1676133296021942272</v>
      </c>
      <c r="AF1608" s="90">
        <v>45111.318206018521</v>
      </c>
      <c r="AG1608" s="99">
        <v>45111</v>
      </c>
      <c r="AH1608" s="93" t="s">
        <v>13005</v>
      </c>
      <c r="AI1608" s="87"/>
      <c r="AJ1608" s="87"/>
      <c r="AK1608" s="87"/>
      <c r="AL1608" s="87"/>
      <c r="AM1608" s="87"/>
      <c r="AN1608" s="87"/>
      <c r="AO1608" s="87"/>
      <c r="AP1608" s="87"/>
      <c r="AQ1608" s="87"/>
      <c r="AR1608" s="87"/>
      <c r="AS1608" s="87"/>
      <c r="AT1608" s="87"/>
      <c r="AU1608" s="87"/>
      <c r="AV1608" s="92" t="str">
        <f>HYPERLINK("https://pbs.twimg.com/profile_images/1657809596017262593/SWfHcHqT_normal.jpg")</f>
        <v>https://pbs.twimg.com/profile_images/1657809596017262593/SWfHcHqT_normal.jpg</v>
      </c>
      <c r="AW1608" s="93" t="s">
        <v>19840</v>
      </c>
      <c r="AX1608" s="93" t="s">
        <v>22389</v>
      </c>
      <c r="AY1608" s="93" t="s">
        <v>22575</v>
      </c>
      <c r="AZ1608" s="93" t="s">
        <v>22718</v>
      </c>
      <c r="BA1608" s="93" t="s">
        <v>22668</v>
      </c>
      <c r="BB1608" s="93" t="s">
        <v>22668</v>
      </c>
      <c r="BC1608" s="93" t="s">
        <v>22718</v>
      </c>
      <c r="BD1608" s="93" t="s">
        <v>22575</v>
      </c>
      <c r="BE1608" s="87"/>
      <c r="BF1608" s="87"/>
      <c r="BG1608" s="87"/>
      <c r="BH1608" s="87"/>
      <c r="BI1608" s="87"/>
    </row>
    <row r="1609" spans="1:61" x14ac:dyDescent="0.25">
      <c r="A1609" s="63" t="s">
        <v>773</v>
      </c>
      <c r="B1609" s="63" t="s">
        <v>1325</v>
      </c>
      <c r="C1609" s="64"/>
      <c r="D1609" s="65"/>
      <c r="E1609" s="66"/>
      <c r="F1609" s="67"/>
      <c r="G1609" s="64"/>
      <c r="H1609" s="68"/>
      <c r="I1609" s="69"/>
      <c r="J1609" s="69"/>
      <c r="K1609" s="32"/>
      <c r="L1609" s="76">
        <v>1609</v>
      </c>
      <c r="M1609" s="76"/>
      <c r="N1609" s="71"/>
      <c r="O1609" s="87" t="s">
        <v>1841</v>
      </c>
      <c r="P1609" s="90">
        <v>45194.896064814813</v>
      </c>
      <c r="Q1609" s="87" t="s">
        <v>3405</v>
      </c>
      <c r="R1609" s="87">
        <v>1</v>
      </c>
      <c r="S1609" s="87">
        <v>0</v>
      </c>
      <c r="T1609" s="87">
        <v>0</v>
      </c>
      <c r="U1609" s="87">
        <v>0</v>
      </c>
      <c r="V1609" s="87"/>
      <c r="W1609" s="93" t="s">
        <v>6940</v>
      </c>
      <c r="X1609" s="87"/>
      <c r="Y1609" s="87"/>
      <c r="Z1609" s="87" t="s">
        <v>1325</v>
      </c>
      <c r="AA1609" s="87"/>
      <c r="AB1609" s="87"/>
      <c r="AC1609" s="93" t="s">
        <v>11458</v>
      </c>
      <c r="AD1609" s="87" t="s">
        <v>11519</v>
      </c>
      <c r="AE1609" s="92" t="str">
        <f>HYPERLINK("https://twitter.com/mbuenomr/status/1706420896024465868")</f>
        <v>https://twitter.com/mbuenomr/status/1706420896024465868</v>
      </c>
      <c r="AF1609" s="90">
        <v>45194.896064814813</v>
      </c>
      <c r="AG1609" s="99">
        <v>45194</v>
      </c>
      <c r="AH1609" s="93" t="s">
        <v>13006</v>
      </c>
      <c r="AI1609" s="87"/>
      <c r="AJ1609" s="87"/>
      <c r="AK1609" s="87"/>
      <c r="AL1609" s="87"/>
      <c r="AM1609" s="87"/>
      <c r="AN1609" s="87"/>
      <c r="AO1609" s="87"/>
      <c r="AP1609" s="87"/>
      <c r="AQ1609" s="87"/>
      <c r="AR1609" s="87"/>
      <c r="AS1609" s="87"/>
      <c r="AT1609" s="87"/>
      <c r="AU1609" s="87"/>
      <c r="AV1609" s="92" t="str">
        <f>HYPERLINK("https://pbs.twimg.com/profile_images/1157046558845620226/Hm9XMvje_normal.jpg")</f>
        <v>https://pbs.twimg.com/profile_images/1157046558845620226/Hm9XMvje_normal.jpg</v>
      </c>
      <c r="AW1609" s="93" t="s">
        <v>19841</v>
      </c>
      <c r="AX1609" s="93" t="s">
        <v>19841</v>
      </c>
      <c r="AY1609" s="87"/>
      <c r="AZ1609" s="93" t="s">
        <v>22668</v>
      </c>
      <c r="BA1609" s="93" t="s">
        <v>22668</v>
      </c>
      <c r="BB1609" s="93" t="s">
        <v>21629</v>
      </c>
      <c r="BC1609" s="93" t="s">
        <v>21629</v>
      </c>
      <c r="BD1609" s="93" t="s">
        <v>23109</v>
      </c>
      <c r="BE1609" s="87"/>
      <c r="BF1609" s="87"/>
      <c r="BG1609" s="87"/>
      <c r="BH1609" s="87"/>
      <c r="BI1609" s="87"/>
    </row>
    <row r="1610" spans="1:61" x14ac:dyDescent="0.25">
      <c r="A1610" s="63" t="s">
        <v>774</v>
      </c>
      <c r="B1610" s="63" t="s">
        <v>774</v>
      </c>
      <c r="C1610" s="64"/>
      <c r="D1610" s="65"/>
      <c r="E1610" s="66"/>
      <c r="F1610" s="67"/>
      <c r="G1610" s="64"/>
      <c r="H1610" s="68"/>
      <c r="I1610" s="69"/>
      <c r="J1610" s="69"/>
      <c r="K1610" s="32"/>
      <c r="L1610" s="76">
        <v>1610</v>
      </c>
      <c r="M1610" s="76"/>
      <c r="N1610" s="71"/>
      <c r="O1610" s="87" t="s">
        <v>179</v>
      </c>
      <c r="P1610" s="90">
        <v>45180.882395833331</v>
      </c>
      <c r="Q1610" s="87" t="s">
        <v>3406</v>
      </c>
      <c r="R1610" s="87">
        <v>0</v>
      </c>
      <c r="S1610" s="87">
        <v>0</v>
      </c>
      <c r="T1610" s="87">
        <v>0</v>
      </c>
      <c r="U1610" s="87">
        <v>0</v>
      </c>
      <c r="V1610" s="87">
        <v>5</v>
      </c>
      <c r="W1610" s="93" t="s">
        <v>6941</v>
      </c>
      <c r="X1610" s="87"/>
      <c r="Y1610" s="87"/>
      <c r="Z1610" s="87"/>
      <c r="AA1610" s="87" t="s">
        <v>9666</v>
      </c>
      <c r="AB1610" s="87" t="s">
        <v>11448</v>
      </c>
      <c r="AC1610" s="93" t="s">
        <v>11457</v>
      </c>
      <c r="AD1610" s="87" t="s">
        <v>11519</v>
      </c>
      <c r="AE1610" s="92" t="str">
        <f>HYPERLINK("https://twitter.com/grupo2mi/status/1701342512281956538")</f>
        <v>https://twitter.com/grupo2mi/status/1701342512281956538</v>
      </c>
      <c r="AF1610" s="90">
        <v>45180.882395833331</v>
      </c>
      <c r="AG1610" s="99">
        <v>45180</v>
      </c>
      <c r="AH1610" s="93" t="s">
        <v>13007</v>
      </c>
      <c r="AI1610" s="87" t="b">
        <v>0</v>
      </c>
      <c r="AJ1610" s="87"/>
      <c r="AK1610" s="87"/>
      <c r="AL1610" s="87"/>
      <c r="AM1610" s="87"/>
      <c r="AN1610" s="87"/>
      <c r="AO1610" s="87"/>
      <c r="AP1610" s="87"/>
      <c r="AQ1610" s="87" t="s">
        <v>16479</v>
      </c>
      <c r="AR1610" s="87"/>
      <c r="AS1610" s="87"/>
      <c r="AT1610" s="87"/>
      <c r="AU1610" s="87"/>
      <c r="AV1610" s="92" t="str">
        <f>HYPERLINK("https://pbs.twimg.com/media/F5xh_pzXYAA00IY.jpg")</f>
        <v>https://pbs.twimg.com/media/F5xh_pzXYAA00IY.jpg</v>
      </c>
      <c r="AW1610" s="93" t="s">
        <v>19842</v>
      </c>
      <c r="AX1610" s="93" t="s">
        <v>19842</v>
      </c>
      <c r="AY1610" s="87"/>
      <c r="AZ1610" s="93" t="s">
        <v>22668</v>
      </c>
      <c r="BA1610" s="93" t="s">
        <v>22668</v>
      </c>
      <c r="BB1610" s="93" t="s">
        <v>22668</v>
      </c>
      <c r="BC1610" s="93" t="s">
        <v>19842</v>
      </c>
      <c r="BD1610" s="93" t="s">
        <v>23110</v>
      </c>
      <c r="BE1610" s="87"/>
      <c r="BF1610" s="87"/>
      <c r="BG1610" s="87"/>
      <c r="BH1610" s="87"/>
      <c r="BI1610" s="87"/>
    </row>
    <row r="1611" spans="1:61" x14ac:dyDescent="0.25">
      <c r="A1611" s="63" t="s">
        <v>775</v>
      </c>
      <c r="B1611" s="63" t="s">
        <v>775</v>
      </c>
      <c r="C1611" s="64"/>
      <c r="D1611" s="65"/>
      <c r="E1611" s="66"/>
      <c r="F1611" s="67"/>
      <c r="G1611" s="64"/>
      <c r="H1611" s="68"/>
      <c r="I1611" s="69"/>
      <c r="J1611" s="69"/>
      <c r="K1611" s="32"/>
      <c r="L1611" s="76">
        <v>1611</v>
      </c>
      <c r="M1611" s="76"/>
      <c r="N1611" s="71"/>
      <c r="O1611" s="87" t="s">
        <v>179</v>
      </c>
      <c r="P1611" s="90">
        <v>45157.51835648148</v>
      </c>
      <c r="Q1611" s="87" t="s">
        <v>3407</v>
      </c>
      <c r="R1611" s="87">
        <v>0</v>
      </c>
      <c r="S1611" s="87">
        <v>0</v>
      </c>
      <c r="T1611" s="87">
        <v>0</v>
      </c>
      <c r="U1611" s="87">
        <v>0</v>
      </c>
      <c r="V1611" s="87">
        <v>8</v>
      </c>
      <c r="W1611" s="93" t="s">
        <v>6942</v>
      </c>
      <c r="X1611" s="87"/>
      <c r="Y1611" s="87"/>
      <c r="Z1611" s="87"/>
      <c r="AA1611" s="87"/>
      <c r="AB1611" s="87"/>
      <c r="AC1611" s="93" t="s">
        <v>11457</v>
      </c>
      <c r="AD1611" s="87" t="s">
        <v>11519</v>
      </c>
      <c r="AE1611" s="92" t="str">
        <f>HYPERLINK("https://twitter.com/desouzasc/status/1692875668063756723")</f>
        <v>https://twitter.com/desouzasc/status/1692875668063756723</v>
      </c>
      <c r="AF1611" s="90">
        <v>45157.51835648148</v>
      </c>
      <c r="AG1611" s="99">
        <v>45157</v>
      </c>
      <c r="AH1611" s="93" t="s">
        <v>13008</v>
      </c>
      <c r="AI1611" s="87"/>
      <c r="AJ1611" s="87"/>
      <c r="AK1611" s="87"/>
      <c r="AL1611" s="87"/>
      <c r="AM1611" s="87"/>
      <c r="AN1611" s="87"/>
      <c r="AO1611" s="87"/>
      <c r="AP1611" s="87"/>
      <c r="AQ1611" s="87"/>
      <c r="AR1611" s="87"/>
      <c r="AS1611" s="87"/>
      <c r="AT1611" s="87"/>
      <c r="AU1611" s="87"/>
      <c r="AV1611" s="92" t="str">
        <f>HYPERLINK("https://pbs.twimg.com/profile_images/1033670616455565312/aSl5DDQQ_normal.jpg")</f>
        <v>https://pbs.twimg.com/profile_images/1033670616455565312/aSl5DDQQ_normal.jpg</v>
      </c>
      <c r="AW1611" s="93" t="s">
        <v>19843</v>
      </c>
      <c r="AX1611" s="93" t="s">
        <v>19843</v>
      </c>
      <c r="AY1611" s="87"/>
      <c r="AZ1611" s="93" t="s">
        <v>22668</v>
      </c>
      <c r="BA1611" s="93" t="s">
        <v>22668</v>
      </c>
      <c r="BB1611" s="93" t="s">
        <v>22668</v>
      </c>
      <c r="BC1611" s="93" t="s">
        <v>19843</v>
      </c>
      <c r="BD1611" s="87">
        <v>41109902</v>
      </c>
      <c r="BE1611" s="87"/>
      <c r="BF1611" s="87"/>
      <c r="BG1611" s="87"/>
      <c r="BH1611" s="87"/>
      <c r="BI1611" s="87"/>
    </row>
    <row r="1612" spans="1:61" x14ac:dyDescent="0.25">
      <c r="A1612" s="63" t="s">
        <v>775</v>
      </c>
      <c r="B1612" s="63" t="s">
        <v>775</v>
      </c>
      <c r="C1612" s="64"/>
      <c r="D1612" s="65"/>
      <c r="E1612" s="66"/>
      <c r="F1612" s="67"/>
      <c r="G1612" s="64"/>
      <c r="H1612" s="68"/>
      <c r="I1612" s="69"/>
      <c r="J1612" s="69"/>
      <c r="K1612" s="32"/>
      <c r="L1612" s="76">
        <v>1612</v>
      </c>
      <c r="M1612" s="76"/>
      <c r="N1612" s="71"/>
      <c r="O1612" s="87" t="s">
        <v>179</v>
      </c>
      <c r="P1612" s="90">
        <v>45168.271192129629</v>
      </c>
      <c r="Q1612" s="87" t="s">
        <v>3408</v>
      </c>
      <c r="R1612" s="87">
        <v>0</v>
      </c>
      <c r="S1612" s="87">
        <v>0</v>
      </c>
      <c r="T1612" s="87">
        <v>0</v>
      </c>
      <c r="U1612" s="87">
        <v>0</v>
      </c>
      <c r="V1612" s="87">
        <v>7</v>
      </c>
      <c r="W1612" s="93" t="s">
        <v>6942</v>
      </c>
      <c r="X1612" s="87"/>
      <c r="Y1612" s="87"/>
      <c r="Z1612" s="87"/>
      <c r="AA1612" s="87"/>
      <c r="AB1612" s="87"/>
      <c r="AC1612" s="93" t="s">
        <v>11458</v>
      </c>
      <c r="AD1612" s="87" t="s">
        <v>11519</v>
      </c>
      <c r="AE1612" s="92" t="str">
        <f>HYPERLINK("https://twitter.com/desouzasc/status/1696772367580533093")</f>
        <v>https://twitter.com/desouzasc/status/1696772367580533093</v>
      </c>
      <c r="AF1612" s="90">
        <v>45168.271192129629</v>
      </c>
      <c r="AG1612" s="99">
        <v>45168</v>
      </c>
      <c r="AH1612" s="93" t="s">
        <v>13009</v>
      </c>
      <c r="AI1612" s="87"/>
      <c r="AJ1612" s="87"/>
      <c r="AK1612" s="87"/>
      <c r="AL1612" s="87"/>
      <c r="AM1612" s="87"/>
      <c r="AN1612" s="87"/>
      <c r="AO1612" s="87"/>
      <c r="AP1612" s="87"/>
      <c r="AQ1612" s="87"/>
      <c r="AR1612" s="87"/>
      <c r="AS1612" s="87"/>
      <c r="AT1612" s="87"/>
      <c r="AU1612" s="87"/>
      <c r="AV1612" s="92" t="str">
        <f>HYPERLINK("https://pbs.twimg.com/profile_images/1033670616455565312/aSl5DDQQ_normal.jpg")</f>
        <v>https://pbs.twimg.com/profile_images/1033670616455565312/aSl5DDQQ_normal.jpg</v>
      </c>
      <c r="AW1612" s="93" t="s">
        <v>19844</v>
      </c>
      <c r="AX1612" s="93" t="s">
        <v>19844</v>
      </c>
      <c r="AY1612" s="87"/>
      <c r="AZ1612" s="93" t="s">
        <v>22668</v>
      </c>
      <c r="BA1612" s="93" t="s">
        <v>22668</v>
      </c>
      <c r="BB1612" s="93" t="s">
        <v>22668</v>
      </c>
      <c r="BC1612" s="93" t="s">
        <v>19844</v>
      </c>
      <c r="BD1612" s="87">
        <v>41109902</v>
      </c>
      <c r="BE1612" s="87"/>
      <c r="BF1612" s="87"/>
      <c r="BG1612" s="87"/>
      <c r="BH1612" s="87"/>
      <c r="BI1612" s="87"/>
    </row>
    <row r="1613" spans="1:61" x14ac:dyDescent="0.25">
      <c r="A1613" s="63" t="s">
        <v>775</v>
      </c>
      <c r="B1613" s="63" t="s">
        <v>775</v>
      </c>
      <c r="C1613" s="64"/>
      <c r="D1613" s="65"/>
      <c r="E1613" s="66"/>
      <c r="F1613" s="67"/>
      <c r="G1613" s="64"/>
      <c r="H1613" s="68"/>
      <c r="I1613" s="69"/>
      <c r="J1613" s="69"/>
      <c r="K1613" s="32"/>
      <c r="L1613" s="76">
        <v>1613</v>
      </c>
      <c r="M1613" s="76"/>
      <c r="N1613" s="71"/>
      <c r="O1613" s="87" t="s">
        <v>179</v>
      </c>
      <c r="P1613" s="90">
        <v>45165.428518518522</v>
      </c>
      <c r="Q1613" s="87" t="s">
        <v>3409</v>
      </c>
      <c r="R1613" s="87">
        <v>0</v>
      </c>
      <c r="S1613" s="87">
        <v>0</v>
      </c>
      <c r="T1613" s="87">
        <v>0</v>
      </c>
      <c r="U1613" s="87">
        <v>0</v>
      </c>
      <c r="V1613" s="87">
        <v>14</v>
      </c>
      <c r="W1613" s="93" t="s">
        <v>6942</v>
      </c>
      <c r="X1613" s="87"/>
      <c r="Y1613" s="87"/>
      <c r="Z1613" s="87"/>
      <c r="AA1613" s="87"/>
      <c r="AB1613" s="87"/>
      <c r="AC1613" s="93" t="s">
        <v>11458</v>
      </c>
      <c r="AD1613" s="87" t="s">
        <v>11519</v>
      </c>
      <c r="AE1613" s="92" t="str">
        <f>HYPERLINK("https://twitter.com/desouzasc/status/1695742217233568026")</f>
        <v>https://twitter.com/desouzasc/status/1695742217233568026</v>
      </c>
      <c r="AF1613" s="90">
        <v>45165.428518518522</v>
      </c>
      <c r="AG1613" s="99">
        <v>45165</v>
      </c>
      <c r="AH1613" s="93" t="s">
        <v>13010</v>
      </c>
      <c r="AI1613" s="87"/>
      <c r="AJ1613" s="87"/>
      <c r="AK1613" s="87"/>
      <c r="AL1613" s="87"/>
      <c r="AM1613" s="87"/>
      <c r="AN1613" s="87"/>
      <c r="AO1613" s="87"/>
      <c r="AP1613" s="87"/>
      <c r="AQ1613" s="87"/>
      <c r="AR1613" s="87"/>
      <c r="AS1613" s="87"/>
      <c r="AT1613" s="87"/>
      <c r="AU1613" s="87"/>
      <c r="AV1613" s="92" t="str">
        <f>HYPERLINK("https://pbs.twimg.com/profile_images/1033670616455565312/aSl5DDQQ_normal.jpg")</f>
        <v>https://pbs.twimg.com/profile_images/1033670616455565312/aSl5DDQQ_normal.jpg</v>
      </c>
      <c r="AW1613" s="93" t="s">
        <v>19845</v>
      </c>
      <c r="AX1613" s="93" t="s">
        <v>19845</v>
      </c>
      <c r="AY1613" s="87"/>
      <c r="AZ1613" s="93" t="s">
        <v>22668</v>
      </c>
      <c r="BA1613" s="93" t="s">
        <v>22668</v>
      </c>
      <c r="BB1613" s="93" t="s">
        <v>22668</v>
      </c>
      <c r="BC1613" s="93" t="s">
        <v>19845</v>
      </c>
      <c r="BD1613" s="87">
        <v>41109902</v>
      </c>
      <c r="BE1613" s="87"/>
      <c r="BF1613" s="87"/>
      <c r="BG1613" s="87"/>
      <c r="BH1613" s="87"/>
      <c r="BI1613" s="87"/>
    </row>
    <row r="1614" spans="1:61" x14ac:dyDescent="0.25">
      <c r="A1614" s="63" t="s">
        <v>775</v>
      </c>
      <c r="B1614" s="63" t="s">
        <v>775</v>
      </c>
      <c r="C1614" s="64"/>
      <c r="D1614" s="65"/>
      <c r="E1614" s="66"/>
      <c r="F1614" s="67"/>
      <c r="G1614" s="64"/>
      <c r="H1614" s="68"/>
      <c r="I1614" s="69"/>
      <c r="J1614" s="69"/>
      <c r="K1614" s="32"/>
      <c r="L1614" s="76">
        <v>1614</v>
      </c>
      <c r="M1614" s="76"/>
      <c r="N1614" s="71"/>
      <c r="O1614" s="87" t="s">
        <v>179</v>
      </c>
      <c r="P1614" s="90">
        <v>45170.277280092596</v>
      </c>
      <c r="Q1614" s="87" t="s">
        <v>3410</v>
      </c>
      <c r="R1614" s="87">
        <v>0</v>
      </c>
      <c r="S1614" s="87">
        <v>0</v>
      </c>
      <c r="T1614" s="87">
        <v>0</v>
      </c>
      <c r="U1614" s="87">
        <v>0</v>
      </c>
      <c r="V1614" s="87">
        <v>12</v>
      </c>
      <c r="W1614" s="93" t="s">
        <v>6942</v>
      </c>
      <c r="X1614" s="87"/>
      <c r="Y1614" s="87"/>
      <c r="Z1614" s="87"/>
      <c r="AA1614" s="87"/>
      <c r="AB1614" s="87"/>
      <c r="AC1614" s="93" t="s">
        <v>11458</v>
      </c>
      <c r="AD1614" s="87" t="s">
        <v>11519</v>
      </c>
      <c r="AE1614" s="92" t="str">
        <f>HYPERLINK("https://twitter.com/desouzasc/status/1697499347728916604")</f>
        <v>https://twitter.com/desouzasc/status/1697499347728916604</v>
      </c>
      <c r="AF1614" s="90">
        <v>45170.277280092596</v>
      </c>
      <c r="AG1614" s="99">
        <v>45170</v>
      </c>
      <c r="AH1614" s="93" t="s">
        <v>13011</v>
      </c>
      <c r="AI1614" s="87"/>
      <c r="AJ1614" s="87"/>
      <c r="AK1614" s="87"/>
      <c r="AL1614" s="87"/>
      <c r="AM1614" s="87"/>
      <c r="AN1614" s="87"/>
      <c r="AO1614" s="87"/>
      <c r="AP1614" s="87"/>
      <c r="AQ1614" s="87"/>
      <c r="AR1614" s="87"/>
      <c r="AS1614" s="87"/>
      <c r="AT1614" s="87"/>
      <c r="AU1614" s="87"/>
      <c r="AV1614" s="92" t="str">
        <f>HYPERLINK("https://pbs.twimg.com/profile_images/1033670616455565312/aSl5DDQQ_normal.jpg")</f>
        <v>https://pbs.twimg.com/profile_images/1033670616455565312/aSl5DDQQ_normal.jpg</v>
      </c>
      <c r="AW1614" s="93" t="s">
        <v>19846</v>
      </c>
      <c r="AX1614" s="93" t="s">
        <v>19846</v>
      </c>
      <c r="AY1614" s="87"/>
      <c r="AZ1614" s="93" t="s">
        <v>22668</v>
      </c>
      <c r="BA1614" s="93" t="s">
        <v>22668</v>
      </c>
      <c r="BB1614" s="93" t="s">
        <v>22668</v>
      </c>
      <c r="BC1614" s="93" t="s">
        <v>19846</v>
      </c>
      <c r="BD1614" s="87">
        <v>41109902</v>
      </c>
      <c r="BE1614" s="87"/>
      <c r="BF1614" s="87"/>
      <c r="BG1614" s="87"/>
      <c r="BH1614" s="87"/>
      <c r="BI1614" s="87"/>
    </row>
    <row r="1615" spans="1:61" x14ac:dyDescent="0.25">
      <c r="A1615" s="63" t="s">
        <v>775</v>
      </c>
      <c r="B1615" s="63" t="s">
        <v>775</v>
      </c>
      <c r="C1615" s="64"/>
      <c r="D1615" s="65"/>
      <c r="E1615" s="66"/>
      <c r="F1615" s="67"/>
      <c r="G1615" s="64"/>
      <c r="H1615" s="68"/>
      <c r="I1615" s="69"/>
      <c r="J1615" s="69"/>
      <c r="K1615" s="32"/>
      <c r="L1615" s="76">
        <v>1615</v>
      </c>
      <c r="M1615" s="76"/>
      <c r="N1615" s="71"/>
      <c r="O1615" s="87" t="s">
        <v>179</v>
      </c>
      <c r="P1615" s="90">
        <v>45155.415601851855</v>
      </c>
      <c r="Q1615" s="87" t="s">
        <v>3411</v>
      </c>
      <c r="R1615" s="87">
        <v>0</v>
      </c>
      <c r="S1615" s="87">
        <v>0</v>
      </c>
      <c r="T1615" s="87">
        <v>0</v>
      </c>
      <c r="U1615" s="87">
        <v>0</v>
      </c>
      <c r="V1615" s="87">
        <v>6</v>
      </c>
      <c r="W1615" s="93" t="s">
        <v>6942</v>
      </c>
      <c r="X1615" s="87"/>
      <c r="Y1615" s="87"/>
      <c r="Z1615" s="87"/>
      <c r="AA1615" s="87"/>
      <c r="AB1615" s="87"/>
      <c r="AC1615" s="93" t="s">
        <v>11457</v>
      </c>
      <c r="AD1615" s="87" t="s">
        <v>11519</v>
      </c>
      <c r="AE1615" s="92" t="str">
        <f>HYPERLINK("https://twitter.com/desouzasc/status/1692113659114238091")</f>
        <v>https://twitter.com/desouzasc/status/1692113659114238091</v>
      </c>
      <c r="AF1615" s="90">
        <v>45155.415601851855</v>
      </c>
      <c r="AG1615" s="99">
        <v>45155</v>
      </c>
      <c r="AH1615" s="93" t="s">
        <v>13012</v>
      </c>
      <c r="AI1615" s="87"/>
      <c r="AJ1615" s="87"/>
      <c r="AK1615" s="87"/>
      <c r="AL1615" s="87"/>
      <c r="AM1615" s="87"/>
      <c r="AN1615" s="87"/>
      <c r="AO1615" s="87"/>
      <c r="AP1615" s="87"/>
      <c r="AQ1615" s="87"/>
      <c r="AR1615" s="87"/>
      <c r="AS1615" s="87"/>
      <c r="AT1615" s="87"/>
      <c r="AU1615" s="87"/>
      <c r="AV1615" s="92" t="str">
        <f>HYPERLINK("https://pbs.twimg.com/profile_images/1033670616455565312/aSl5DDQQ_normal.jpg")</f>
        <v>https://pbs.twimg.com/profile_images/1033670616455565312/aSl5DDQQ_normal.jpg</v>
      </c>
      <c r="AW1615" s="93" t="s">
        <v>19847</v>
      </c>
      <c r="AX1615" s="93" t="s">
        <v>19847</v>
      </c>
      <c r="AY1615" s="87"/>
      <c r="AZ1615" s="93" t="s">
        <v>22668</v>
      </c>
      <c r="BA1615" s="93" t="s">
        <v>22668</v>
      </c>
      <c r="BB1615" s="93" t="s">
        <v>22668</v>
      </c>
      <c r="BC1615" s="93" t="s">
        <v>19847</v>
      </c>
      <c r="BD1615" s="87">
        <v>41109902</v>
      </c>
      <c r="BE1615" s="87"/>
      <c r="BF1615" s="87"/>
      <c r="BG1615" s="87"/>
      <c r="BH1615" s="87"/>
      <c r="BI1615" s="87"/>
    </row>
    <row r="1616" spans="1:61" x14ac:dyDescent="0.25">
      <c r="A1616" s="63" t="s">
        <v>775</v>
      </c>
      <c r="B1616" s="63" t="s">
        <v>775</v>
      </c>
      <c r="C1616" s="64"/>
      <c r="D1616" s="65"/>
      <c r="E1616" s="66"/>
      <c r="F1616" s="67"/>
      <c r="G1616" s="64"/>
      <c r="H1616" s="68"/>
      <c r="I1616" s="69"/>
      <c r="J1616" s="69"/>
      <c r="K1616" s="32"/>
      <c r="L1616" s="76">
        <v>1616</v>
      </c>
      <c r="M1616" s="76"/>
      <c r="N1616" s="71"/>
      <c r="O1616" s="87" t="s">
        <v>179</v>
      </c>
      <c r="P1616" s="90">
        <v>45166.458969907406</v>
      </c>
      <c r="Q1616" s="87" t="s">
        <v>3412</v>
      </c>
      <c r="R1616" s="87">
        <v>0</v>
      </c>
      <c r="S1616" s="87">
        <v>0</v>
      </c>
      <c r="T1616" s="87">
        <v>0</v>
      </c>
      <c r="U1616" s="87">
        <v>0</v>
      </c>
      <c r="V1616" s="87">
        <v>16</v>
      </c>
      <c r="W1616" s="93" t="s">
        <v>6942</v>
      </c>
      <c r="X1616" s="87"/>
      <c r="Y1616" s="87"/>
      <c r="Z1616" s="87"/>
      <c r="AA1616" s="87"/>
      <c r="AB1616" s="87"/>
      <c r="AC1616" s="93" t="s">
        <v>11457</v>
      </c>
      <c r="AD1616" s="87" t="s">
        <v>11519</v>
      </c>
      <c r="AE1616" s="92" t="str">
        <f>HYPERLINK("https://twitter.com/desouzasc/status/1696115639918682168")</f>
        <v>https://twitter.com/desouzasc/status/1696115639918682168</v>
      </c>
      <c r="AF1616" s="90">
        <v>45166.458969907406</v>
      </c>
      <c r="AG1616" s="99">
        <v>45166</v>
      </c>
      <c r="AH1616" s="93" t="s">
        <v>13013</v>
      </c>
      <c r="AI1616" s="87"/>
      <c r="AJ1616" s="87"/>
      <c r="AK1616" s="87"/>
      <c r="AL1616" s="87"/>
      <c r="AM1616" s="87"/>
      <c r="AN1616" s="87"/>
      <c r="AO1616" s="87"/>
      <c r="AP1616" s="87"/>
      <c r="AQ1616" s="87"/>
      <c r="AR1616" s="87"/>
      <c r="AS1616" s="87"/>
      <c r="AT1616" s="87"/>
      <c r="AU1616" s="87"/>
      <c r="AV1616" s="92" t="str">
        <f>HYPERLINK("https://pbs.twimg.com/profile_images/1033670616455565312/aSl5DDQQ_normal.jpg")</f>
        <v>https://pbs.twimg.com/profile_images/1033670616455565312/aSl5DDQQ_normal.jpg</v>
      </c>
      <c r="AW1616" s="93" t="s">
        <v>19848</v>
      </c>
      <c r="AX1616" s="93" t="s">
        <v>19848</v>
      </c>
      <c r="AY1616" s="87"/>
      <c r="AZ1616" s="93" t="s">
        <v>22668</v>
      </c>
      <c r="BA1616" s="93" t="s">
        <v>22668</v>
      </c>
      <c r="BB1616" s="93" t="s">
        <v>22668</v>
      </c>
      <c r="BC1616" s="93" t="s">
        <v>19848</v>
      </c>
      <c r="BD1616" s="87">
        <v>41109902</v>
      </c>
      <c r="BE1616" s="87"/>
      <c r="BF1616" s="87"/>
      <c r="BG1616" s="87"/>
      <c r="BH1616" s="87"/>
      <c r="BI1616" s="87"/>
    </row>
    <row r="1617" spans="1:61" x14ac:dyDescent="0.25">
      <c r="A1617" s="63" t="s">
        <v>775</v>
      </c>
      <c r="B1617" s="63" t="s">
        <v>775</v>
      </c>
      <c r="C1617" s="64"/>
      <c r="D1617" s="65"/>
      <c r="E1617" s="66"/>
      <c r="F1617" s="67"/>
      <c r="G1617" s="64"/>
      <c r="H1617" s="68"/>
      <c r="I1617" s="69"/>
      <c r="J1617" s="69"/>
      <c r="K1617" s="32"/>
      <c r="L1617" s="76">
        <v>1617</v>
      </c>
      <c r="M1617" s="76"/>
      <c r="N1617" s="71"/>
      <c r="O1617" s="87" t="s">
        <v>179</v>
      </c>
      <c r="P1617" s="90">
        <v>45159.389016203706</v>
      </c>
      <c r="Q1617" s="87" t="s">
        <v>3413</v>
      </c>
      <c r="R1617" s="87">
        <v>0</v>
      </c>
      <c r="S1617" s="87">
        <v>0</v>
      </c>
      <c r="T1617" s="87">
        <v>0</v>
      </c>
      <c r="U1617" s="87">
        <v>0</v>
      </c>
      <c r="V1617" s="87">
        <v>25</v>
      </c>
      <c r="W1617" s="93" t="s">
        <v>6942</v>
      </c>
      <c r="X1617" s="87"/>
      <c r="Y1617" s="87"/>
      <c r="Z1617" s="87"/>
      <c r="AA1617" s="87"/>
      <c r="AB1617" s="87"/>
      <c r="AC1617" s="93" t="s">
        <v>11458</v>
      </c>
      <c r="AD1617" s="87" t="s">
        <v>11519</v>
      </c>
      <c r="AE1617" s="92" t="str">
        <f>HYPERLINK("https://twitter.com/desouzasc/status/1693553573391446520")</f>
        <v>https://twitter.com/desouzasc/status/1693553573391446520</v>
      </c>
      <c r="AF1617" s="90">
        <v>45159.389016203706</v>
      </c>
      <c r="AG1617" s="99">
        <v>45159</v>
      </c>
      <c r="AH1617" s="93" t="s">
        <v>13014</v>
      </c>
      <c r="AI1617" s="87"/>
      <c r="AJ1617" s="87"/>
      <c r="AK1617" s="87"/>
      <c r="AL1617" s="87"/>
      <c r="AM1617" s="87"/>
      <c r="AN1617" s="87"/>
      <c r="AO1617" s="87"/>
      <c r="AP1617" s="87"/>
      <c r="AQ1617" s="87"/>
      <c r="AR1617" s="87"/>
      <c r="AS1617" s="87"/>
      <c r="AT1617" s="87"/>
      <c r="AU1617" s="87"/>
      <c r="AV1617" s="92" t="str">
        <f>HYPERLINK("https://pbs.twimg.com/profile_images/1033670616455565312/aSl5DDQQ_normal.jpg")</f>
        <v>https://pbs.twimg.com/profile_images/1033670616455565312/aSl5DDQQ_normal.jpg</v>
      </c>
      <c r="AW1617" s="93" t="s">
        <v>19849</v>
      </c>
      <c r="AX1617" s="93" t="s">
        <v>19849</v>
      </c>
      <c r="AY1617" s="87"/>
      <c r="AZ1617" s="93" t="s">
        <v>22668</v>
      </c>
      <c r="BA1617" s="93" t="s">
        <v>22668</v>
      </c>
      <c r="BB1617" s="93" t="s">
        <v>22668</v>
      </c>
      <c r="BC1617" s="93" t="s">
        <v>19849</v>
      </c>
      <c r="BD1617" s="87">
        <v>41109902</v>
      </c>
      <c r="BE1617" s="87"/>
      <c r="BF1617" s="87"/>
      <c r="BG1617" s="87"/>
      <c r="BH1617" s="87"/>
      <c r="BI1617" s="87"/>
    </row>
    <row r="1618" spans="1:61" x14ac:dyDescent="0.25">
      <c r="A1618" s="63" t="s">
        <v>775</v>
      </c>
      <c r="B1618" s="63" t="s">
        <v>775</v>
      </c>
      <c r="C1618" s="64"/>
      <c r="D1618" s="65"/>
      <c r="E1618" s="66"/>
      <c r="F1618" s="67"/>
      <c r="G1618" s="64"/>
      <c r="H1618" s="68"/>
      <c r="I1618" s="69"/>
      <c r="J1618" s="69"/>
      <c r="K1618" s="32"/>
      <c r="L1618" s="76">
        <v>1618</v>
      </c>
      <c r="M1618" s="76"/>
      <c r="N1618" s="71"/>
      <c r="O1618" s="87" t="s">
        <v>179</v>
      </c>
      <c r="P1618" s="90">
        <v>45158.500717592593</v>
      </c>
      <c r="Q1618" s="87" t="s">
        <v>3414</v>
      </c>
      <c r="R1618" s="87">
        <v>0</v>
      </c>
      <c r="S1618" s="87">
        <v>0</v>
      </c>
      <c r="T1618" s="87">
        <v>0</v>
      </c>
      <c r="U1618" s="87">
        <v>0</v>
      </c>
      <c r="V1618" s="87">
        <v>10</v>
      </c>
      <c r="W1618" s="93" t="s">
        <v>6942</v>
      </c>
      <c r="X1618" s="87"/>
      <c r="Y1618" s="87"/>
      <c r="Z1618" s="87"/>
      <c r="AA1618" s="87"/>
      <c r="AB1618" s="87"/>
      <c r="AC1618" s="93" t="s">
        <v>11458</v>
      </c>
      <c r="AD1618" s="87" t="s">
        <v>11519</v>
      </c>
      <c r="AE1618" s="92" t="str">
        <f>HYPERLINK("https://twitter.com/desouzasc/status/1693231667173871677")</f>
        <v>https://twitter.com/desouzasc/status/1693231667173871677</v>
      </c>
      <c r="AF1618" s="90">
        <v>45158.500717592593</v>
      </c>
      <c r="AG1618" s="99">
        <v>45158</v>
      </c>
      <c r="AH1618" s="93" t="s">
        <v>13015</v>
      </c>
      <c r="AI1618" s="87"/>
      <c r="AJ1618" s="87"/>
      <c r="AK1618" s="87"/>
      <c r="AL1618" s="87"/>
      <c r="AM1618" s="87"/>
      <c r="AN1618" s="87"/>
      <c r="AO1618" s="87"/>
      <c r="AP1618" s="87"/>
      <c r="AQ1618" s="87"/>
      <c r="AR1618" s="87"/>
      <c r="AS1618" s="87"/>
      <c r="AT1618" s="87"/>
      <c r="AU1618" s="87"/>
      <c r="AV1618" s="92" t="str">
        <f>HYPERLINK("https://pbs.twimg.com/profile_images/1033670616455565312/aSl5DDQQ_normal.jpg")</f>
        <v>https://pbs.twimg.com/profile_images/1033670616455565312/aSl5DDQQ_normal.jpg</v>
      </c>
      <c r="AW1618" s="93" t="s">
        <v>19850</v>
      </c>
      <c r="AX1618" s="93" t="s">
        <v>19850</v>
      </c>
      <c r="AY1618" s="87"/>
      <c r="AZ1618" s="93" t="s">
        <v>22668</v>
      </c>
      <c r="BA1618" s="93" t="s">
        <v>22668</v>
      </c>
      <c r="BB1618" s="93" t="s">
        <v>22668</v>
      </c>
      <c r="BC1618" s="93" t="s">
        <v>19850</v>
      </c>
      <c r="BD1618" s="87">
        <v>41109902</v>
      </c>
      <c r="BE1618" s="87"/>
      <c r="BF1618" s="87"/>
      <c r="BG1618" s="87"/>
      <c r="BH1618" s="87"/>
      <c r="BI1618" s="87"/>
    </row>
    <row r="1619" spans="1:61" x14ac:dyDescent="0.25">
      <c r="A1619" s="63" t="s">
        <v>775</v>
      </c>
      <c r="B1619" s="63" t="s">
        <v>775</v>
      </c>
      <c r="C1619" s="64"/>
      <c r="D1619" s="65"/>
      <c r="E1619" s="66"/>
      <c r="F1619" s="67"/>
      <c r="G1619" s="64"/>
      <c r="H1619" s="68"/>
      <c r="I1619" s="69"/>
      <c r="J1619" s="69"/>
      <c r="K1619" s="32"/>
      <c r="L1619" s="76">
        <v>1619</v>
      </c>
      <c r="M1619" s="76"/>
      <c r="N1619" s="71"/>
      <c r="O1619" s="87" t="s">
        <v>179</v>
      </c>
      <c r="P1619" s="90">
        <v>45174.255925925929</v>
      </c>
      <c r="Q1619" s="87" t="s">
        <v>3415</v>
      </c>
      <c r="R1619" s="87">
        <v>0</v>
      </c>
      <c r="S1619" s="87">
        <v>0</v>
      </c>
      <c r="T1619" s="87">
        <v>0</v>
      </c>
      <c r="U1619" s="87">
        <v>0</v>
      </c>
      <c r="V1619" s="87">
        <v>7</v>
      </c>
      <c r="W1619" s="93" t="s">
        <v>6942</v>
      </c>
      <c r="X1619" s="87"/>
      <c r="Y1619" s="87"/>
      <c r="Z1619" s="87"/>
      <c r="AA1619" s="87"/>
      <c r="AB1619" s="87"/>
      <c r="AC1619" s="93" t="s">
        <v>11458</v>
      </c>
      <c r="AD1619" s="87" t="s">
        <v>11519</v>
      </c>
      <c r="AE1619" s="92" t="str">
        <f>HYPERLINK("https://twitter.com/desouzasc/status/1698941160327159944")</f>
        <v>https://twitter.com/desouzasc/status/1698941160327159944</v>
      </c>
      <c r="AF1619" s="90">
        <v>45174.255925925929</v>
      </c>
      <c r="AG1619" s="99">
        <v>45174</v>
      </c>
      <c r="AH1619" s="93" t="s">
        <v>13016</v>
      </c>
      <c r="AI1619" s="87"/>
      <c r="AJ1619" s="87"/>
      <c r="AK1619" s="87"/>
      <c r="AL1619" s="87"/>
      <c r="AM1619" s="87"/>
      <c r="AN1619" s="87"/>
      <c r="AO1619" s="87"/>
      <c r="AP1619" s="87"/>
      <c r="AQ1619" s="87"/>
      <c r="AR1619" s="87"/>
      <c r="AS1619" s="87"/>
      <c r="AT1619" s="87"/>
      <c r="AU1619" s="87"/>
      <c r="AV1619" s="92" t="str">
        <f>HYPERLINK("https://pbs.twimg.com/profile_images/1033670616455565312/aSl5DDQQ_normal.jpg")</f>
        <v>https://pbs.twimg.com/profile_images/1033670616455565312/aSl5DDQQ_normal.jpg</v>
      </c>
      <c r="AW1619" s="93" t="s">
        <v>19851</v>
      </c>
      <c r="AX1619" s="93" t="s">
        <v>19851</v>
      </c>
      <c r="AY1619" s="87"/>
      <c r="AZ1619" s="93" t="s">
        <v>22668</v>
      </c>
      <c r="BA1619" s="93" t="s">
        <v>22668</v>
      </c>
      <c r="BB1619" s="93" t="s">
        <v>22668</v>
      </c>
      <c r="BC1619" s="93" t="s">
        <v>19851</v>
      </c>
      <c r="BD1619" s="87">
        <v>41109902</v>
      </c>
      <c r="BE1619" s="87"/>
      <c r="BF1619" s="87"/>
      <c r="BG1619" s="87"/>
      <c r="BH1619" s="87"/>
      <c r="BI1619" s="87"/>
    </row>
    <row r="1620" spans="1:61" x14ac:dyDescent="0.25">
      <c r="A1620" s="63" t="s">
        <v>775</v>
      </c>
      <c r="B1620" s="63" t="s">
        <v>775</v>
      </c>
      <c r="C1620" s="64"/>
      <c r="D1620" s="65"/>
      <c r="E1620" s="66"/>
      <c r="F1620" s="67"/>
      <c r="G1620" s="64"/>
      <c r="H1620" s="68"/>
      <c r="I1620" s="69"/>
      <c r="J1620" s="69"/>
      <c r="K1620" s="32"/>
      <c r="L1620" s="76">
        <v>1620</v>
      </c>
      <c r="M1620" s="76"/>
      <c r="N1620" s="71"/>
      <c r="O1620" s="87" t="s">
        <v>179</v>
      </c>
      <c r="P1620" s="90">
        <v>45153.35565972222</v>
      </c>
      <c r="Q1620" s="87" t="s">
        <v>3416</v>
      </c>
      <c r="R1620" s="87">
        <v>0</v>
      </c>
      <c r="S1620" s="87">
        <v>0</v>
      </c>
      <c r="T1620" s="87">
        <v>0</v>
      </c>
      <c r="U1620" s="87">
        <v>0</v>
      </c>
      <c r="V1620" s="87">
        <v>8</v>
      </c>
      <c r="W1620" s="93" t="s">
        <v>6942</v>
      </c>
      <c r="X1620" s="87"/>
      <c r="Y1620" s="87"/>
      <c r="Z1620" s="87"/>
      <c r="AA1620" s="87"/>
      <c r="AB1620" s="87"/>
      <c r="AC1620" s="93" t="s">
        <v>11458</v>
      </c>
      <c r="AD1620" s="87" t="s">
        <v>11519</v>
      </c>
      <c r="AE1620" s="92" t="str">
        <f>HYPERLINK("https://twitter.com/desouzasc/status/1691367158490501120")</f>
        <v>https://twitter.com/desouzasc/status/1691367158490501120</v>
      </c>
      <c r="AF1620" s="90">
        <v>45153.35565972222</v>
      </c>
      <c r="AG1620" s="99">
        <v>45153</v>
      </c>
      <c r="AH1620" s="93" t="s">
        <v>13017</v>
      </c>
      <c r="AI1620" s="87"/>
      <c r="AJ1620" s="87"/>
      <c r="AK1620" s="87"/>
      <c r="AL1620" s="87"/>
      <c r="AM1620" s="87"/>
      <c r="AN1620" s="87"/>
      <c r="AO1620" s="87"/>
      <c r="AP1620" s="87"/>
      <c r="AQ1620" s="87"/>
      <c r="AR1620" s="87"/>
      <c r="AS1620" s="87"/>
      <c r="AT1620" s="87"/>
      <c r="AU1620" s="87"/>
      <c r="AV1620" s="92" t="str">
        <f>HYPERLINK("https://pbs.twimg.com/profile_images/1033670616455565312/aSl5DDQQ_normal.jpg")</f>
        <v>https://pbs.twimg.com/profile_images/1033670616455565312/aSl5DDQQ_normal.jpg</v>
      </c>
      <c r="AW1620" s="93" t="s">
        <v>19852</v>
      </c>
      <c r="AX1620" s="93" t="s">
        <v>19852</v>
      </c>
      <c r="AY1620" s="87"/>
      <c r="AZ1620" s="93" t="s">
        <v>22668</v>
      </c>
      <c r="BA1620" s="93" t="s">
        <v>22668</v>
      </c>
      <c r="BB1620" s="93" t="s">
        <v>22668</v>
      </c>
      <c r="BC1620" s="93" t="s">
        <v>19852</v>
      </c>
      <c r="BD1620" s="87">
        <v>41109902</v>
      </c>
      <c r="BE1620" s="87"/>
      <c r="BF1620" s="87"/>
      <c r="BG1620" s="87"/>
      <c r="BH1620" s="87"/>
      <c r="BI1620" s="87"/>
    </row>
    <row r="1621" spans="1:61" x14ac:dyDescent="0.25">
      <c r="A1621" s="63" t="s">
        <v>775</v>
      </c>
      <c r="B1621" s="63" t="s">
        <v>775</v>
      </c>
      <c r="C1621" s="64"/>
      <c r="D1621" s="65"/>
      <c r="E1621" s="66"/>
      <c r="F1621" s="67"/>
      <c r="G1621" s="64"/>
      <c r="H1621" s="68"/>
      <c r="I1621" s="69"/>
      <c r="J1621" s="69"/>
      <c r="K1621" s="32"/>
      <c r="L1621" s="76">
        <v>1621</v>
      </c>
      <c r="M1621" s="76"/>
      <c r="N1621" s="71"/>
      <c r="O1621" s="87" t="s">
        <v>179</v>
      </c>
      <c r="P1621" s="90">
        <v>45172.561666666668</v>
      </c>
      <c r="Q1621" s="87" t="s">
        <v>3417</v>
      </c>
      <c r="R1621" s="87">
        <v>0</v>
      </c>
      <c r="S1621" s="87">
        <v>0</v>
      </c>
      <c r="T1621" s="87">
        <v>0</v>
      </c>
      <c r="U1621" s="87">
        <v>0</v>
      </c>
      <c r="V1621" s="87">
        <v>4</v>
      </c>
      <c r="W1621" s="93" t="s">
        <v>6942</v>
      </c>
      <c r="X1621" s="87"/>
      <c r="Y1621" s="87"/>
      <c r="Z1621" s="87"/>
      <c r="AA1621" s="87"/>
      <c r="AB1621" s="87"/>
      <c r="AC1621" s="93" t="s">
        <v>11458</v>
      </c>
      <c r="AD1621" s="87" t="s">
        <v>11519</v>
      </c>
      <c r="AE1621" s="92" t="str">
        <f>HYPERLINK("https://twitter.com/desouzasc/status/1698327182844530872")</f>
        <v>https://twitter.com/desouzasc/status/1698327182844530872</v>
      </c>
      <c r="AF1621" s="90">
        <v>45172.561666666668</v>
      </c>
      <c r="AG1621" s="99">
        <v>45172</v>
      </c>
      <c r="AH1621" s="93" t="s">
        <v>13018</v>
      </c>
      <c r="AI1621" s="87"/>
      <c r="AJ1621" s="87"/>
      <c r="AK1621" s="87"/>
      <c r="AL1621" s="87"/>
      <c r="AM1621" s="87"/>
      <c r="AN1621" s="87"/>
      <c r="AO1621" s="87"/>
      <c r="AP1621" s="87"/>
      <c r="AQ1621" s="87"/>
      <c r="AR1621" s="87"/>
      <c r="AS1621" s="87"/>
      <c r="AT1621" s="87"/>
      <c r="AU1621" s="87"/>
      <c r="AV1621" s="92" t="str">
        <f>HYPERLINK("https://pbs.twimg.com/profile_images/1033670616455565312/aSl5DDQQ_normal.jpg")</f>
        <v>https://pbs.twimg.com/profile_images/1033670616455565312/aSl5DDQQ_normal.jpg</v>
      </c>
      <c r="AW1621" s="93" t="s">
        <v>19853</v>
      </c>
      <c r="AX1621" s="93" t="s">
        <v>19853</v>
      </c>
      <c r="AY1621" s="87"/>
      <c r="AZ1621" s="93" t="s">
        <v>22668</v>
      </c>
      <c r="BA1621" s="93" t="s">
        <v>22668</v>
      </c>
      <c r="BB1621" s="93" t="s">
        <v>22668</v>
      </c>
      <c r="BC1621" s="93" t="s">
        <v>19853</v>
      </c>
      <c r="BD1621" s="87">
        <v>41109902</v>
      </c>
      <c r="BE1621" s="87"/>
      <c r="BF1621" s="87"/>
      <c r="BG1621" s="87"/>
      <c r="BH1621" s="87"/>
      <c r="BI1621" s="87"/>
    </row>
    <row r="1622" spans="1:61" x14ac:dyDescent="0.25">
      <c r="A1622" s="63" t="s">
        <v>775</v>
      </c>
      <c r="B1622" s="63" t="s">
        <v>775</v>
      </c>
      <c r="C1622" s="64"/>
      <c r="D1622" s="65"/>
      <c r="E1622" s="66"/>
      <c r="F1622" s="67"/>
      <c r="G1622" s="64"/>
      <c r="H1622" s="68"/>
      <c r="I1622" s="69"/>
      <c r="J1622" s="69"/>
      <c r="K1622" s="32"/>
      <c r="L1622" s="76">
        <v>1622</v>
      </c>
      <c r="M1622" s="76"/>
      <c r="N1622" s="71"/>
      <c r="O1622" s="87" t="s">
        <v>179</v>
      </c>
      <c r="P1622" s="90">
        <v>45163.282743055555</v>
      </c>
      <c r="Q1622" s="87" t="s">
        <v>3418</v>
      </c>
      <c r="R1622" s="87">
        <v>0</v>
      </c>
      <c r="S1622" s="87">
        <v>0</v>
      </c>
      <c r="T1622" s="87">
        <v>0</v>
      </c>
      <c r="U1622" s="87">
        <v>0</v>
      </c>
      <c r="V1622" s="87">
        <v>10</v>
      </c>
      <c r="W1622" s="93" t="s">
        <v>6942</v>
      </c>
      <c r="X1622" s="87"/>
      <c r="Y1622" s="87"/>
      <c r="Z1622" s="87"/>
      <c r="AA1622" s="87"/>
      <c r="AB1622" s="87"/>
      <c r="AC1622" s="93" t="s">
        <v>11458</v>
      </c>
      <c r="AD1622" s="87" t="s">
        <v>11519</v>
      </c>
      <c r="AE1622" s="92" t="str">
        <f>HYPERLINK("https://twitter.com/desouzasc/status/1694964615220806007")</f>
        <v>https://twitter.com/desouzasc/status/1694964615220806007</v>
      </c>
      <c r="AF1622" s="90">
        <v>45163.282743055555</v>
      </c>
      <c r="AG1622" s="99">
        <v>45163</v>
      </c>
      <c r="AH1622" s="93" t="s">
        <v>13019</v>
      </c>
      <c r="AI1622" s="87"/>
      <c r="AJ1622" s="87"/>
      <c r="AK1622" s="87"/>
      <c r="AL1622" s="87"/>
      <c r="AM1622" s="87"/>
      <c r="AN1622" s="87"/>
      <c r="AO1622" s="87"/>
      <c r="AP1622" s="87"/>
      <c r="AQ1622" s="87"/>
      <c r="AR1622" s="87"/>
      <c r="AS1622" s="87"/>
      <c r="AT1622" s="87"/>
      <c r="AU1622" s="87"/>
      <c r="AV1622" s="92" t="str">
        <f>HYPERLINK("https://pbs.twimg.com/profile_images/1033670616455565312/aSl5DDQQ_normal.jpg")</f>
        <v>https://pbs.twimg.com/profile_images/1033670616455565312/aSl5DDQQ_normal.jpg</v>
      </c>
      <c r="AW1622" s="93" t="s">
        <v>19854</v>
      </c>
      <c r="AX1622" s="93" t="s">
        <v>19854</v>
      </c>
      <c r="AY1622" s="87"/>
      <c r="AZ1622" s="93" t="s">
        <v>22668</v>
      </c>
      <c r="BA1622" s="93" t="s">
        <v>22668</v>
      </c>
      <c r="BB1622" s="93" t="s">
        <v>22668</v>
      </c>
      <c r="BC1622" s="93" t="s">
        <v>19854</v>
      </c>
      <c r="BD1622" s="87">
        <v>41109902</v>
      </c>
      <c r="BE1622" s="87"/>
      <c r="BF1622" s="87"/>
      <c r="BG1622" s="87"/>
      <c r="BH1622" s="87"/>
      <c r="BI1622" s="87"/>
    </row>
    <row r="1623" spans="1:61" x14ac:dyDescent="0.25">
      <c r="A1623" s="63" t="s">
        <v>776</v>
      </c>
      <c r="B1623" s="63" t="s">
        <v>776</v>
      </c>
      <c r="C1623" s="64"/>
      <c r="D1623" s="65"/>
      <c r="E1623" s="66"/>
      <c r="F1623" s="67"/>
      <c r="G1623" s="64"/>
      <c r="H1623" s="68"/>
      <c r="I1623" s="69"/>
      <c r="J1623" s="69"/>
      <c r="K1623" s="32"/>
      <c r="L1623" s="76">
        <v>1623</v>
      </c>
      <c r="M1623" s="76"/>
      <c r="N1623" s="71"/>
      <c r="O1623" s="87" t="s">
        <v>179</v>
      </c>
      <c r="P1623" s="90">
        <v>45176.825578703705</v>
      </c>
      <c r="Q1623" s="87" t="s">
        <v>3419</v>
      </c>
      <c r="R1623" s="87">
        <v>0</v>
      </c>
      <c r="S1623" s="87">
        <v>0</v>
      </c>
      <c r="T1623" s="87">
        <v>0</v>
      </c>
      <c r="U1623" s="87">
        <v>0</v>
      </c>
      <c r="V1623" s="87">
        <v>16</v>
      </c>
      <c r="W1623" s="93" t="s">
        <v>6943</v>
      </c>
      <c r="X1623" s="87"/>
      <c r="Y1623" s="87"/>
      <c r="Z1623" s="87"/>
      <c r="AA1623" s="87" t="s">
        <v>9667</v>
      </c>
      <c r="AB1623" s="87" t="s">
        <v>11448</v>
      </c>
      <c r="AC1623" s="93" t="s">
        <v>11457</v>
      </c>
      <c r="AD1623" s="87" t="s">
        <v>11519</v>
      </c>
      <c r="AE1623" s="92" t="str">
        <f>HYPERLINK("https://twitter.com/maquininhaton1/status/1699872372646400325")</f>
        <v>https://twitter.com/maquininhaton1/status/1699872372646400325</v>
      </c>
      <c r="AF1623" s="90">
        <v>45176.825578703705</v>
      </c>
      <c r="AG1623" s="99">
        <v>45176</v>
      </c>
      <c r="AH1623" s="93" t="s">
        <v>13020</v>
      </c>
      <c r="AI1623" s="87" t="b">
        <v>0</v>
      </c>
      <c r="AJ1623" s="87"/>
      <c r="AK1623" s="87"/>
      <c r="AL1623" s="87"/>
      <c r="AM1623" s="87"/>
      <c r="AN1623" s="87"/>
      <c r="AO1623" s="87"/>
      <c r="AP1623" s="87"/>
      <c r="AQ1623" s="87" t="s">
        <v>16480</v>
      </c>
      <c r="AR1623" s="87"/>
      <c r="AS1623" s="87"/>
      <c r="AT1623" s="87"/>
      <c r="AU1623" s="87"/>
      <c r="AV1623" s="92" t="str">
        <f>HYPERLINK("https://pbs.twimg.com/media/F5co5r2XkAA41Iw.jpg")</f>
        <v>https://pbs.twimg.com/media/F5co5r2XkAA41Iw.jpg</v>
      </c>
      <c r="AW1623" s="93" t="s">
        <v>19855</v>
      </c>
      <c r="AX1623" s="93" t="s">
        <v>19855</v>
      </c>
      <c r="AY1623" s="87"/>
      <c r="AZ1623" s="93" t="s">
        <v>22668</v>
      </c>
      <c r="BA1623" s="93" t="s">
        <v>22668</v>
      </c>
      <c r="BB1623" s="93" t="s">
        <v>22668</v>
      </c>
      <c r="BC1623" s="93" t="s">
        <v>19855</v>
      </c>
      <c r="BD1623" s="93" t="s">
        <v>23111</v>
      </c>
      <c r="BE1623" s="87"/>
      <c r="BF1623" s="87"/>
      <c r="BG1623" s="87"/>
      <c r="BH1623" s="87"/>
      <c r="BI1623" s="87"/>
    </row>
    <row r="1624" spans="1:61" x14ac:dyDescent="0.25">
      <c r="A1624" s="63" t="s">
        <v>776</v>
      </c>
      <c r="B1624" s="63" t="s">
        <v>776</v>
      </c>
      <c r="C1624" s="64"/>
      <c r="D1624" s="65"/>
      <c r="E1624" s="66"/>
      <c r="F1624" s="67"/>
      <c r="G1624" s="64"/>
      <c r="H1624" s="68"/>
      <c r="I1624" s="69"/>
      <c r="J1624" s="69"/>
      <c r="K1624" s="32"/>
      <c r="L1624" s="76">
        <v>1624</v>
      </c>
      <c r="M1624" s="76"/>
      <c r="N1624" s="71"/>
      <c r="O1624" s="87" t="s">
        <v>179</v>
      </c>
      <c r="P1624" s="90">
        <v>45176.824282407404</v>
      </c>
      <c r="Q1624" s="87" t="s">
        <v>3420</v>
      </c>
      <c r="R1624" s="87">
        <v>0</v>
      </c>
      <c r="S1624" s="87">
        <v>1</v>
      </c>
      <c r="T1624" s="87">
        <v>0</v>
      </c>
      <c r="U1624" s="87">
        <v>0</v>
      </c>
      <c r="V1624" s="87">
        <v>10</v>
      </c>
      <c r="W1624" s="93" t="s">
        <v>6943</v>
      </c>
      <c r="X1624" s="87"/>
      <c r="Y1624" s="87"/>
      <c r="Z1624" s="87"/>
      <c r="AA1624" s="87" t="s">
        <v>9668</v>
      </c>
      <c r="AB1624" s="87" t="s">
        <v>11448</v>
      </c>
      <c r="AC1624" s="93" t="s">
        <v>11457</v>
      </c>
      <c r="AD1624" s="87" t="s">
        <v>11519</v>
      </c>
      <c r="AE1624" s="92" t="str">
        <f>HYPERLINK("https://twitter.com/maquininhaton1/status/1699871901227622530")</f>
        <v>https://twitter.com/maquininhaton1/status/1699871901227622530</v>
      </c>
      <c r="AF1624" s="90">
        <v>45176.824282407404</v>
      </c>
      <c r="AG1624" s="99">
        <v>45176</v>
      </c>
      <c r="AH1624" s="93" t="s">
        <v>13021</v>
      </c>
      <c r="AI1624" s="87" t="b">
        <v>0</v>
      </c>
      <c r="AJ1624" s="87"/>
      <c r="AK1624" s="87"/>
      <c r="AL1624" s="87"/>
      <c r="AM1624" s="87"/>
      <c r="AN1624" s="87"/>
      <c r="AO1624" s="87"/>
      <c r="AP1624" s="87"/>
      <c r="AQ1624" s="87" t="s">
        <v>16481</v>
      </c>
      <c r="AR1624" s="87"/>
      <c r="AS1624" s="87"/>
      <c r="AT1624" s="87"/>
      <c r="AU1624" s="87"/>
      <c r="AV1624" s="92" t="str">
        <f>HYPERLINK("https://pbs.twimg.com/media/F5cod0MW4AA4v9U.jpg")</f>
        <v>https://pbs.twimg.com/media/F5cod0MW4AA4v9U.jpg</v>
      </c>
      <c r="AW1624" s="93" t="s">
        <v>19856</v>
      </c>
      <c r="AX1624" s="93" t="s">
        <v>19856</v>
      </c>
      <c r="AY1624" s="87"/>
      <c r="AZ1624" s="93" t="s">
        <v>22668</v>
      </c>
      <c r="BA1624" s="93" t="s">
        <v>22668</v>
      </c>
      <c r="BB1624" s="93" t="s">
        <v>22668</v>
      </c>
      <c r="BC1624" s="93" t="s">
        <v>19856</v>
      </c>
      <c r="BD1624" s="93" t="s">
        <v>23111</v>
      </c>
      <c r="BE1624" s="87"/>
      <c r="BF1624" s="87"/>
      <c r="BG1624" s="87"/>
      <c r="BH1624" s="87"/>
      <c r="BI1624" s="87"/>
    </row>
    <row r="1625" spans="1:61" x14ac:dyDescent="0.25">
      <c r="A1625" s="63" t="s">
        <v>776</v>
      </c>
      <c r="B1625" s="63" t="s">
        <v>776</v>
      </c>
      <c r="C1625" s="64"/>
      <c r="D1625" s="65"/>
      <c r="E1625" s="66"/>
      <c r="F1625" s="67"/>
      <c r="G1625" s="64"/>
      <c r="H1625" s="68"/>
      <c r="I1625" s="69"/>
      <c r="J1625" s="69"/>
      <c r="K1625" s="32"/>
      <c r="L1625" s="76">
        <v>1625</v>
      </c>
      <c r="M1625" s="76"/>
      <c r="N1625" s="71"/>
      <c r="O1625" s="87" t="s">
        <v>179</v>
      </c>
      <c r="P1625" s="90">
        <v>45176.822997685187</v>
      </c>
      <c r="Q1625" s="87" t="s">
        <v>3421</v>
      </c>
      <c r="R1625" s="87">
        <v>0</v>
      </c>
      <c r="S1625" s="87">
        <v>1</v>
      </c>
      <c r="T1625" s="87">
        <v>0</v>
      </c>
      <c r="U1625" s="87">
        <v>0</v>
      </c>
      <c r="V1625" s="87">
        <v>10</v>
      </c>
      <c r="W1625" s="93" t="s">
        <v>6943</v>
      </c>
      <c r="X1625" s="87"/>
      <c r="Y1625" s="87"/>
      <c r="Z1625" s="87"/>
      <c r="AA1625" s="87" t="s">
        <v>9669</v>
      </c>
      <c r="AB1625" s="87" t="s">
        <v>11448</v>
      </c>
      <c r="AC1625" s="93" t="s">
        <v>11457</v>
      </c>
      <c r="AD1625" s="87" t="s">
        <v>11519</v>
      </c>
      <c r="AE1625" s="92" t="str">
        <f>HYPERLINK("https://twitter.com/maquininhaton1/status/1699871436360298952")</f>
        <v>https://twitter.com/maquininhaton1/status/1699871436360298952</v>
      </c>
      <c r="AF1625" s="90">
        <v>45176.822997685187</v>
      </c>
      <c r="AG1625" s="99">
        <v>45176</v>
      </c>
      <c r="AH1625" s="93" t="s">
        <v>13022</v>
      </c>
      <c r="AI1625" s="87" t="b">
        <v>0</v>
      </c>
      <c r="AJ1625" s="87"/>
      <c r="AK1625" s="87"/>
      <c r="AL1625" s="87"/>
      <c r="AM1625" s="87"/>
      <c r="AN1625" s="87"/>
      <c r="AO1625" s="87"/>
      <c r="AP1625" s="87"/>
      <c r="AQ1625" s="87" t="s">
        <v>16482</v>
      </c>
      <c r="AR1625" s="87"/>
      <c r="AS1625" s="87"/>
      <c r="AT1625" s="87"/>
      <c r="AU1625" s="87"/>
      <c r="AV1625" s="92" t="str">
        <f>HYPERLINK("https://pbs.twimg.com/media/F5coDokWgAA2tCt.jpg")</f>
        <v>https://pbs.twimg.com/media/F5coDokWgAA2tCt.jpg</v>
      </c>
      <c r="AW1625" s="93" t="s">
        <v>19857</v>
      </c>
      <c r="AX1625" s="93" t="s">
        <v>19857</v>
      </c>
      <c r="AY1625" s="87"/>
      <c r="AZ1625" s="93" t="s">
        <v>22668</v>
      </c>
      <c r="BA1625" s="93" t="s">
        <v>22668</v>
      </c>
      <c r="BB1625" s="93" t="s">
        <v>22668</v>
      </c>
      <c r="BC1625" s="93" t="s">
        <v>19857</v>
      </c>
      <c r="BD1625" s="93" t="s">
        <v>23111</v>
      </c>
      <c r="BE1625" s="87"/>
      <c r="BF1625" s="87"/>
      <c r="BG1625" s="87"/>
      <c r="BH1625" s="87"/>
      <c r="BI1625" s="87"/>
    </row>
    <row r="1626" spans="1:61" x14ac:dyDescent="0.25">
      <c r="A1626" s="63" t="s">
        <v>776</v>
      </c>
      <c r="B1626" s="63" t="s">
        <v>776</v>
      </c>
      <c r="C1626" s="64"/>
      <c r="D1626" s="65"/>
      <c r="E1626" s="66"/>
      <c r="F1626" s="67"/>
      <c r="G1626" s="64"/>
      <c r="H1626" s="68"/>
      <c r="I1626" s="69"/>
      <c r="J1626" s="69"/>
      <c r="K1626" s="32"/>
      <c r="L1626" s="76">
        <v>1626</v>
      </c>
      <c r="M1626" s="76"/>
      <c r="N1626" s="71"/>
      <c r="O1626" s="87" t="s">
        <v>179</v>
      </c>
      <c r="P1626" s="90">
        <v>45176.821597222224</v>
      </c>
      <c r="Q1626" s="87" t="s">
        <v>3422</v>
      </c>
      <c r="R1626" s="87">
        <v>0</v>
      </c>
      <c r="S1626" s="87">
        <v>1</v>
      </c>
      <c r="T1626" s="87">
        <v>0</v>
      </c>
      <c r="U1626" s="87">
        <v>0</v>
      </c>
      <c r="V1626" s="87">
        <v>8</v>
      </c>
      <c r="W1626" s="93" t="s">
        <v>6944</v>
      </c>
      <c r="X1626" s="87"/>
      <c r="Y1626" s="87"/>
      <c r="Z1626" s="87"/>
      <c r="AA1626" s="87" t="s">
        <v>9670</v>
      </c>
      <c r="AB1626" s="87" t="s">
        <v>11448</v>
      </c>
      <c r="AC1626" s="93" t="s">
        <v>11457</v>
      </c>
      <c r="AD1626" s="87" t="s">
        <v>11519</v>
      </c>
      <c r="AE1626" s="92" t="str">
        <f>HYPERLINK("https://twitter.com/maquininhaton1/status/1699870928438431852")</f>
        <v>https://twitter.com/maquininhaton1/status/1699870928438431852</v>
      </c>
      <c r="AF1626" s="90">
        <v>45176.821597222224</v>
      </c>
      <c r="AG1626" s="99">
        <v>45176</v>
      </c>
      <c r="AH1626" s="93" t="s">
        <v>13023</v>
      </c>
      <c r="AI1626" s="87" t="b">
        <v>0</v>
      </c>
      <c r="AJ1626" s="87"/>
      <c r="AK1626" s="87"/>
      <c r="AL1626" s="87"/>
      <c r="AM1626" s="87"/>
      <c r="AN1626" s="87"/>
      <c r="AO1626" s="87"/>
      <c r="AP1626" s="87"/>
      <c r="AQ1626" s="87" t="s">
        <v>16483</v>
      </c>
      <c r="AR1626" s="87"/>
      <c r="AS1626" s="87"/>
      <c r="AT1626" s="87"/>
      <c r="AU1626" s="87"/>
      <c r="AV1626" s="92" t="str">
        <f>HYPERLINK("https://pbs.twimg.com/media/F5cnmGlWUAAOlRx.jpg")</f>
        <v>https://pbs.twimg.com/media/F5cnmGlWUAAOlRx.jpg</v>
      </c>
      <c r="AW1626" s="93" t="s">
        <v>19858</v>
      </c>
      <c r="AX1626" s="93" t="s">
        <v>19858</v>
      </c>
      <c r="AY1626" s="87"/>
      <c r="AZ1626" s="93" t="s">
        <v>22668</v>
      </c>
      <c r="BA1626" s="93" t="s">
        <v>22668</v>
      </c>
      <c r="BB1626" s="93" t="s">
        <v>22668</v>
      </c>
      <c r="BC1626" s="93" t="s">
        <v>19858</v>
      </c>
      <c r="BD1626" s="93" t="s">
        <v>23111</v>
      </c>
      <c r="BE1626" s="87"/>
      <c r="BF1626" s="87"/>
      <c r="BG1626" s="87"/>
      <c r="BH1626" s="87"/>
      <c r="BI1626" s="87"/>
    </row>
    <row r="1627" spans="1:61" x14ac:dyDescent="0.25">
      <c r="A1627" s="63" t="s">
        <v>776</v>
      </c>
      <c r="B1627" s="63" t="s">
        <v>776</v>
      </c>
      <c r="C1627" s="64"/>
      <c r="D1627" s="65"/>
      <c r="E1627" s="66"/>
      <c r="F1627" s="67"/>
      <c r="G1627" s="64"/>
      <c r="H1627" s="68"/>
      <c r="I1627" s="69"/>
      <c r="J1627" s="69"/>
      <c r="K1627" s="32"/>
      <c r="L1627" s="76">
        <v>1627</v>
      </c>
      <c r="M1627" s="76"/>
      <c r="N1627" s="71"/>
      <c r="O1627" s="87" t="s">
        <v>179</v>
      </c>
      <c r="P1627" s="90">
        <v>45176.820162037038</v>
      </c>
      <c r="Q1627" s="87" t="s">
        <v>3423</v>
      </c>
      <c r="R1627" s="87">
        <v>0</v>
      </c>
      <c r="S1627" s="87">
        <v>1</v>
      </c>
      <c r="T1627" s="87">
        <v>0</v>
      </c>
      <c r="U1627" s="87">
        <v>0</v>
      </c>
      <c r="V1627" s="87">
        <v>7</v>
      </c>
      <c r="W1627" s="93" t="s">
        <v>6943</v>
      </c>
      <c r="X1627" s="87"/>
      <c r="Y1627" s="87"/>
      <c r="Z1627" s="87"/>
      <c r="AA1627" s="87" t="s">
        <v>9671</v>
      </c>
      <c r="AB1627" s="87" t="s">
        <v>11448</v>
      </c>
      <c r="AC1627" s="93" t="s">
        <v>11457</v>
      </c>
      <c r="AD1627" s="87" t="s">
        <v>11519</v>
      </c>
      <c r="AE1627" s="92" t="str">
        <f>HYPERLINK("https://twitter.com/maquininhaton1/status/1699870412052500605")</f>
        <v>https://twitter.com/maquininhaton1/status/1699870412052500605</v>
      </c>
      <c r="AF1627" s="90">
        <v>45176.820162037038</v>
      </c>
      <c r="AG1627" s="99">
        <v>45176</v>
      </c>
      <c r="AH1627" s="93" t="s">
        <v>13024</v>
      </c>
      <c r="AI1627" s="87" t="b">
        <v>0</v>
      </c>
      <c r="AJ1627" s="87"/>
      <c r="AK1627" s="87"/>
      <c r="AL1627" s="87"/>
      <c r="AM1627" s="87"/>
      <c r="AN1627" s="87"/>
      <c r="AO1627" s="87"/>
      <c r="AP1627" s="87"/>
      <c r="AQ1627" s="87" t="s">
        <v>16484</v>
      </c>
      <c r="AR1627" s="87"/>
      <c r="AS1627" s="87"/>
      <c r="AT1627" s="87"/>
      <c r="AU1627" s="87"/>
      <c r="AV1627" s="92" t="str">
        <f>HYPERLINK("https://pbs.twimg.com/media/F5cnH-3XEAAGMl2.jpg")</f>
        <v>https://pbs.twimg.com/media/F5cnH-3XEAAGMl2.jpg</v>
      </c>
      <c r="AW1627" s="93" t="s">
        <v>19859</v>
      </c>
      <c r="AX1627" s="93" t="s">
        <v>19859</v>
      </c>
      <c r="AY1627" s="87"/>
      <c r="AZ1627" s="93" t="s">
        <v>22668</v>
      </c>
      <c r="BA1627" s="93" t="s">
        <v>22668</v>
      </c>
      <c r="BB1627" s="93" t="s">
        <v>22668</v>
      </c>
      <c r="BC1627" s="93" t="s">
        <v>19859</v>
      </c>
      <c r="BD1627" s="93" t="s">
        <v>23111</v>
      </c>
      <c r="BE1627" s="87"/>
      <c r="BF1627" s="87"/>
      <c r="BG1627" s="87"/>
      <c r="BH1627" s="87"/>
      <c r="BI1627" s="87"/>
    </row>
    <row r="1628" spans="1:61" x14ac:dyDescent="0.25">
      <c r="A1628" s="63" t="s">
        <v>776</v>
      </c>
      <c r="B1628" s="63" t="s">
        <v>776</v>
      </c>
      <c r="C1628" s="64"/>
      <c r="D1628" s="65"/>
      <c r="E1628" s="66"/>
      <c r="F1628" s="67"/>
      <c r="G1628" s="64"/>
      <c r="H1628" s="68"/>
      <c r="I1628" s="69"/>
      <c r="J1628" s="69"/>
      <c r="K1628" s="32"/>
      <c r="L1628" s="76">
        <v>1628</v>
      </c>
      <c r="M1628" s="76"/>
      <c r="N1628" s="71"/>
      <c r="O1628" s="87" t="s">
        <v>179</v>
      </c>
      <c r="P1628" s="90">
        <v>45176.609131944446</v>
      </c>
      <c r="Q1628" s="87" t="s">
        <v>3424</v>
      </c>
      <c r="R1628" s="87">
        <v>0</v>
      </c>
      <c r="S1628" s="87">
        <v>1</v>
      </c>
      <c r="T1628" s="87">
        <v>0</v>
      </c>
      <c r="U1628" s="87">
        <v>0</v>
      </c>
      <c r="V1628" s="87">
        <v>8</v>
      </c>
      <c r="W1628" s="93" t="s">
        <v>6945</v>
      </c>
      <c r="X1628" s="87"/>
      <c r="Y1628" s="87"/>
      <c r="Z1628" s="87"/>
      <c r="AA1628" s="87" t="s">
        <v>9672</v>
      </c>
      <c r="AB1628" s="87" t="s">
        <v>11448</v>
      </c>
      <c r="AC1628" s="93" t="s">
        <v>11457</v>
      </c>
      <c r="AD1628" s="87" t="s">
        <v>11519</v>
      </c>
      <c r="AE1628" s="92" t="str">
        <f>HYPERLINK("https://twitter.com/maquininhaton1/status/1699793934757851627")</f>
        <v>https://twitter.com/maquininhaton1/status/1699793934757851627</v>
      </c>
      <c r="AF1628" s="90">
        <v>45176.609131944446</v>
      </c>
      <c r="AG1628" s="99">
        <v>45176</v>
      </c>
      <c r="AH1628" s="93" t="s">
        <v>13025</v>
      </c>
      <c r="AI1628" s="87" t="b">
        <v>0</v>
      </c>
      <c r="AJ1628" s="87"/>
      <c r="AK1628" s="87"/>
      <c r="AL1628" s="87"/>
      <c r="AM1628" s="87"/>
      <c r="AN1628" s="87"/>
      <c r="AO1628" s="87"/>
      <c r="AP1628" s="87"/>
      <c r="AQ1628" s="87" t="s">
        <v>16485</v>
      </c>
      <c r="AR1628" s="87"/>
      <c r="AS1628" s="87"/>
      <c r="AT1628" s="87"/>
      <c r="AU1628" s="87"/>
      <c r="AV1628" s="92" t="str">
        <f>HYPERLINK("https://pbs.twimg.com/media/F5bhg4AbsAA2qT8.jpg")</f>
        <v>https://pbs.twimg.com/media/F5bhg4AbsAA2qT8.jpg</v>
      </c>
      <c r="AW1628" s="93" t="s">
        <v>19860</v>
      </c>
      <c r="AX1628" s="93" t="s">
        <v>19860</v>
      </c>
      <c r="AY1628" s="87"/>
      <c r="AZ1628" s="93" t="s">
        <v>22668</v>
      </c>
      <c r="BA1628" s="93" t="s">
        <v>22668</v>
      </c>
      <c r="BB1628" s="93" t="s">
        <v>22668</v>
      </c>
      <c r="BC1628" s="93" t="s">
        <v>19860</v>
      </c>
      <c r="BD1628" s="93" t="s">
        <v>23111</v>
      </c>
      <c r="BE1628" s="87"/>
      <c r="BF1628" s="87"/>
      <c r="BG1628" s="87"/>
      <c r="BH1628" s="87"/>
      <c r="BI1628" s="87"/>
    </row>
    <row r="1629" spans="1:61" x14ac:dyDescent="0.25">
      <c r="A1629" s="63" t="s">
        <v>776</v>
      </c>
      <c r="B1629" s="63" t="s">
        <v>776</v>
      </c>
      <c r="C1629" s="64"/>
      <c r="D1629" s="65"/>
      <c r="E1629" s="66"/>
      <c r="F1629" s="67"/>
      <c r="G1629" s="64"/>
      <c r="H1629" s="68"/>
      <c r="I1629" s="69"/>
      <c r="J1629" s="69"/>
      <c r="K1629" s="32"/>
      <c r="L1629" s="76">
        <v>1629</v>
      </c>
      <c r="M1629" s="76"/>
      <c r="N1629" s="71"/>
      <c r="O1629" s="87" t="s">
        <v>179</v>
      </c>
      <c r="P1629" s="90">
        <v>45176.574895833335</v>
      </c>
      <c r="Q1629" s="87" t="s">
        <v>3425</v>
      </c>
      <c r="R1629" s="87">
        <v>0</v>
      </c>
      <c r="S1629" s="87">
        <v>1</v>
      </c>
      <c r="T1629" s="87">
        <v>0</v>
      </c>
      <c r="U1629" s="87">
        <v>0</v>
      </c>
      <c r="V1629" s="87">
        <v>8</v>
      </c>
      <c r="W1629" s="93" t="s">
        <v>6167</v>
      </c>
      <c r="X1629" s="87"/>
      <c r="Y1629" s="87"/>
      <c r="Z1629" s="87"/>
      <c r="AA1629" s="87" t="s">
        <v>9673</v>
      </c>
      <c r="AB1629" s="87" t="s">
        <v>11448</v>
      </c>
      <c r="AC1629" s="93" t="s">
        <v>11457</v>
      </c>
      <c r="AD1629" s="87" t="s">
        <v>11519</v>
      </c>
      <c r="AE1629" s="92" t="str">
        <f>HYPERLINK("https://twitter.com/maquininhaton1/status/1699781528962904237")</f>
        <v>https://twitter.com/maquininhaton1/status/1699781528962904237</v>
      </c>
      <c r="AF1629" s="90">
        <v>45176.574895833335</v>
      </c>
      <c r="AG1629" s="99">
        <v>45176</v>
      </c>
      <c r="AH1629" s="93" t="s">
        <v>13026</v>
      </c>
      <c r="AI1629" s="87" t="b">
        <v>0</v>
      </c>
      <c r="AJ1629" s="87"/>
      <c r="AK1629" s="87"/>
      <c r="AL1629" s="87"/>
      <c r="AM1629" s="87"/>
      <c r="AN1629" s="87"/>
      <c r="AO1629" s="87"/>
      <c r="AP1629" s="87"/>
      <c r="AQ1629" s="87" t="s">
        <v>16486</v>
      </c>
      <c r="AR1629" s="87"/>
      <c r="AS1629" s="87"/>
      <c r="AT1629" s="87"/>
      <c r="AU1629" s="87"/>
      <c r="AV1629" s="92" t="str">
        <f>HYPERLINK("https://pbs.twimg.com/media/F5bWR5QaYAAR8yf.jpg")</f>
        <v>https://pbs.twimg.com/media/F5bWR5QaYAAR8yf.jpg</v>
      </c>
      <c r="AW1629" s="93" t="s">
        <v>19861</v>
      </c>
      <c r="AX1629" s="93" t="s">
        <v>19861</v>
      </c>
      <c r="AY1629" s="87"/>
      <c r="AZ1629" s="93" t="s">
        <v>22668</v>
      </c>
      <c r="BA1629" s="93" t="s">
        <v>22668</v>
      </c>
      <c r="BB1629" s="93" t="s">
        <v>22668</v>
      </c>
      <c r="BC1629" s="93" t="s">
        <v>19861</v>
      </c>
      <c r="BD1629" s="93" t="s">
        <v>23111</v>
      </c>
      <c r="BE1629" s="87"/>
      <c r="BF1629" s="87"/>
      <c r="BG1629" s="87"/>
      <c r="BH1629" s="87"/>
      <c r="BI1629" s="87"/>
    </row>
    <row r="1630" spans="1:61" x14ac:dyDescent="0.25">
      <c r="A1630" s="63" t="s">
        <v>777</v>
      </c>
      <c r="B1630" s="63" t="s">
        <v>777</v>
      </c>
      <c r="C1630" s="64"/>
      <c r="D1630" s="65"/>
      <c r="E1630" s="66"/>
      <c r="F1630" s="67"/>
      <c r="G1630" s="64"/>
      <c r="H1630" s="68"/>
      <c r="I1630" s="69"/>
      <c r="J1630" s="69"/>
      <c r="K1630" s="32"/>
      <c r="L1630" s="76">
        <v>1630</v>
      </c>
      <c r="M1630" s="76"/>
      <c r="N1630" s="71"/>
      <c r="O1630" s="87" t="s">
        <v>179</v>
      </c>
      <c r="P1630" s="90">
        <v>45139.648414351854</v>
      </c>
      <c r="Q1630" s="87" t="s">
        <v>3426</v>
      </c>
      <c r="R1630" s="87">
        <v>0</v>
      </c>
      <c r="S1630" s="87">
        <v>0</v>
      </c>
      <c r="T1630" s="87">
        <v>0</v>
      </c>
      <c r="U1630" s="87">
        <v>0</v>
      </c>
      <c r="V1630" s="87">
        <v>115</v>
      </c>
      <c r="W1630" s="93" t="s">
        <v>6946</v>
      </c>
      <c r="X1630" s="92" t="str">
        <f>HYPERLINK("http://wix.to/0KpRsED")</f>
        <v>http://wix.to/0KpRsED</v>
      </c>
      <c r="Y1630" s="87" t="s">
        <v>8382</v>
      </c>
      <c r="Z1630" s="87"/>
      <c r="AA1630" s="87"/>
      <c r="AB1630" s="87"/>
      <c r="AC1630" s="93" t="s">
        <v>11466</v>
      </c>
      <c r="AD1630" s="87" t="s">
        <v>11519</v>
      </c>
      <c r="AE1630" s="92" t="str">
        <f>HYPERLINK("https://twitter.com/fincatchoficial/status/1686399820343529472")</f>
        <v>https://twitter.com/fincatchoficial/status/1686399820343529472</v>
      </c>
      <c r="AF1630" s="90">
        <v>45139.648414351854</v>
      </c>
      <c r="AG1630" s="99">
        <v>45139</v>
      </c>
      <c r="AH1630" s="93" t="s">
        <v>13027</v>
      </c>
      <c r="AI1630" s="87" t="b">
        <v>0</v>
      </c>
      <c r="AJ1630" s="87"/>
      <c r="AK1630" s="87"/>
      <c r="AL1630" s="87"/>
      <c r="AM1630" s="87"/>
      <c r="AN1630" s="87"/>
      <c r="AO1630" s="87"/>
      <c r="AP1630" s="87"/>
      <c r="AQ1630" s="87"/>
      <c r="AR1630" s="87"/>
      <c r="AS1630" s="87"/>
      <c r="AT1630" s="87"/>
      <c r="AU1630" s="87"/>
      <c r="AV1630" s="92" t="str">
        <f>HYPERLINK("https://pbs.twimg.com/profile_images/1284304800935481344/GJy0P8aa_normal.jpg")</f>
        <v>https://pbs.twimg.com/profile_images/1284304800935481344/GJy0P8aa_normal.jpg</v>
      </c>
      <c r="AW1630" s="93" t="s">
        <v>19862</v>
      </c>
      <c r="AX1630" s="93" t="s">
        <v>19862</v>
      </c>
      <c r="AY1630" s="87"/>
      <c r="AZ1630" s="93" t="s">
        <v>22668</v>
      </c>
      <c r="BA1630" s="93" t="s">
        <v>22668</v>
      </c>
      <c r="BB1630" s="93" t="s">
        <v>22668</v>
      </c>
      <c r="BC1630" s="93" t="s">
        <v>19862</v>
      </c>
      <c r="BD1630" s="93" t="s">
        <v>23112</v>
      </c>
      <c r="BE1630" s="87"/>
      <c r="BF1630" s="87"/>
      <c r="BG1630" s="87"/>
      <c r="BH1630" s="87"/>
      <c r="BI1630" s="87"/>
    </row>
    <row r="1631" spans="1:61" x14ac:dyDescent="0.25">
      <c r="A1631" s="63" t="s">
        <v>778</v>
      </c>
      <c r="B1631" s="63" t="s">
        <v>778</v>
      </c>
      <c r="C1631" s="64"/>
      <c r="D1631" s="65"/>
      <c r="E1631" s="66"/>
      <c r="F1631" s="67"/>
      <c r="G1631" s="64"/>
      <c r="H1631" s="68"/>
      <c r="I1631" s="69"/>
      <c r="J1631" s="69"/>
      <c r="K1631" s="32"/>
      <c r="L1631" s="76">
        <v>1631</v>
      </c>
      <c r="M1631" s="76"/>
      <c r="N1631" s="71"/>
      <c r="O1631" s="87" t="s">
        <v>179</v>
      </c>
      <c r="P1631" s="90">
        <v>45132.625567129631</v>
      </c>
      <c r="Q1631" s="87" t="s">
        <v>3427</v>
      </c>
      <c r="R1631" s="87">
        <v>0</v>
      </c>
      <c r="S1631" s="87">
        <v>0</v>
      </c>
      <c r="T1631" s="87">
        <v>0</v>
      </c>
      <c r="U1631" s="87">
        <v>0</v>
      </c>
      <c r="V1631" s="87">
        <v>23</v>
      </c>
      <c r="W1631" s="93" t="s">
        <v>6947</v>
      </c>
      <c r="X1631" s="87"/>
      <c r="Y1631" s="87"/>
      <c r="Z1631" s="87"/>
      <c r="AA1631" s="87" t="s">
        <v>9674</v>
      </c>
      <c r="AB1631" s="87" t="s">
        <v>11448</v>
      </c>
      <c r="AC1631" s="93" t="s">
        <v>11460</v>
      </c>
      <c r="AD1631" s="87" t="s">
        <v>11519</v>
      </c>
      <c r="AE1631" s="92" t="str">
        <f>HYPERLINK("https://twitter.com/focuscontabili2/status/1683854824624750592")</f>
        <v>https://twitter.com/focuscontabili2/status/1683854824624750592</v>
      </c>
      <c r="AF1631" s="90">
        <v>45132.625567129631</v>
      </c>
      <c r="AG1631" s="99">
        <v>45132</v>
      </c>
      <c r="AH1631" s="93" t="s">
        <v>13028</v>
      </c>
      <c r="AI1631" s="87" t="b">
        <v>0</v>
      </c>
      <c r="AJ1631" s="87"/>
      <c r="AK1631" s="87"/>
      <c r="AL1631" s="87"/>
      <c r="AM1631" s="87"/>
      <c r="AN1631" s="87"/>
      <c r="AO1631" s="87"/>
      <c r="AP1631" s="87"/>
      <c r="AQ1631" s="87" t="s">
        <v>16487</v>
      </c>
      <c r="AR1631" s="87"/>
      <c r="AS1631" s="87"/>
      <c r="AT1631" s="87"/>
      <c r="AU1631" s="87"/>
      <c r="AV1631" s="92" t="str">
        <f>HYPERLINK("https://pbs.twimg.com/media/F15BChZWcAAc7hm.jpg")</f>
        <v>https://pbs.twimg.com/media/F15BChZWcAAc7hm.jpg</v>
      </c>
      <c r="AW1631" s="93" t="s">
        <v>19863</v>
      </c>
      <c r="AX1631" s="93" t="s">
        <v>19863</v>
      </c>
      <c r="AY1631" s="87"/>
      <c r="AZ1631" s="93" t="s">
        <v>22668</v>
      </c>
      <c r="BA1631" s="93" t="s">
        <v>22668</v>
      </c>
      <c r="BB1631" s="93" t="s">
        <v>22668</v>
      </c>
      <c r="BC1631" s="93" t="s">
        <v>19863</v>
      </c>
      <c r="BD1631" s="93" t="s">
        <v>23113</v>
      </c>
      <c r="BE1631" s="87"/>
      <c r="BF1631" s="87"/>
      <c r="BG1631" s="87"/>
      <c r="BH1631" s="87"/>
      <c r="BI1631" s="87"/>
    </row>
    <row r="1632" spans="1:61" x14ac:dyDescent="0.25">
      <c r="A1632" s="63" t="s">
        <v>779</v>
      </c>
      <c r="B1632" s="63" t="s">
        <v>779</v>
      </c>
      <c r="C1632" s="64"/>
      <c r="D1632" s="65"/>
      <c r="E1632" s="66"/>
      <c r="F1632" s="67"/>
      <c r="G1632" s="64"/>
      <c r="H1632" s="68"/>
      <c r="I1632" s="69"/>
      <c r="J1632" s="69"/>
      <c r="K1632" s="32"/>
      <c r="L1632" s="76">
        <v>1632</v>
      </c>
      <c r="M1632" s="76"/>
      <c r="N1632" s="71"/>
      <c r="O1632" s="87" t="s">
        <v>179</v>
      </c>
      <c r="P1632" s="90">
        <v>45132.874895833331</v>
      </c>
      <c r="Q1632" s="87" t="s">
        <v>3428</v>
      </c>
      <c r="R1632" s="87">
        <v>0</v>
      </c>
      <c r="S1632" s="87">
        <v>0</v>
      </c>
      <c r="T1632" s="87">
        <v>0</v>
      </c>
      <c r="U1632" s="87">
        <v>0</v>
      </c>
      <c r="V1632" s="87">
        <v>2</v>
      </c>
      <c r="W1632" s="93" t="s">
        <v>6948</v>
      </c>
      <c r="X1632" s="87"/>
      <c r="Y1632" s="87"/>
      <c r="Z1632" s="87"/>
      <c r="AA1632" s="87"/>
      <c r="AB1632" s="87"/>
      <c r="AC1632" s="93" t="s">
        <v>11494</v>
      </c>
      <c r="AD1632" s="87" t="s">
        <v>11519</v>
      </c>
      <c r="AE1632" s="92" t="str">
        <f>HYPERLINK("https://twitter.com/sr__info/status/1683945176924930051")</f>
        <v>https://twitter.com/sr__info/status/1683945176924930051</v>
      </c>
      <c r="AF1632" s="90">
        <v>45132.874895833331</v>
      </c>
      <c r="AG1632" s="99">
        <v>45132</v>
      </c>
      <c r="AH1632" s="93" t="s">
        <v>13029</v>
      </c>
      <c r="AI1632" s="87"/>
      <c r="AJ1632" s="87"/>
      <c r="AK1632" s="87"/>
      <c r="AL1632" s="87"/>
      <c r="AM1632" s="87"/>
      <c r="AN1632" s="87"/>
      <c r="AO1632" s="87"/>
      <c r="AP1632" s="87"/>
      <c r="AQ1632" s="87"/>
      <c r="AR1632" s="87"/>
      <c r="AS1632" s="87"/>
      <c r="AT1632" s="87"/>
      <c r="AU1632" s="87"/>
      <c r="AV1632" s="92" t="str">
        <f>HYPERLINK("https://pbs.twimg.com/profile_images/1668369933598695429/YQIFCkNv_normal.png")</f>
        <v>https://pbs.twimg.com/profile_images/1668369933598695429/YQIFCkNv_normal.png</v>
      </c>
      <c r="AW1632" s="93" t="s">
        <v>19864</v>
      </c>
      <c r="AX1632" s="93" t="s">
        <v>19864</v>
      </c>
      <c r="AY1632" s="87"/>
      <c r="AZ1632" s="93" t="s">
        <v>22668</v>
      </c>
      <c r="BA1632" s="93" t="s">
        <v>22668</v>
      </c>
      <c r="BB1632" s="93" t="s">
        <v>22668</v>
      </c>
      <c r="BC1632" s="93" t="s">
        <v>19864</v>
      </c>
      <c r="BD1632" s="93" t="s">
        <v>23114</v>
      </c>
      <c r="BE1632" s="87"/>
      <c r="BF1632" s="87"/>
      <c r="BG1632" s="87"/>
      <c r="BH1632" s="87"/>
      <c r="BI1632" s="87"/>
    </row>
    <row r="1633" spans="1:61" x14ac:dyDescent="0.25">
      <c r="A1633" s="63" t="s">
        <v>779</v>
      </c>
      <c r="B1633" s="63" t="s">
        <v>779</v>
      </c>
      <c r="C1633" s="64"/>
      <c r="D1633" s="65"/>
      <c r="E1633" s="66"/>
      <c r="F1633" s="67"/>
      <c r="G1633" s="64"/>
      <c r="H1633" s="68"/>
      <c r="I1633" s="69"/>
      <c r="J1633" s="69"/>
      <c r="K1633" s="32"/>
      <c r="L1633" s="76">
        <v>1633</v>
      </c>
      <c r="M1633" s="76"/>
      <c r="N1633" s="71"/>
      <c r="O1633" s="87" t="s">
        <v>179</v>
      </c>
      <c r="P1633" s="90">
        <v>45146.874780092592</v>
      </c>
      <c r="Q1633" s="87" t="s">
        <v>3429</v>
      </c>
      <c r="R1633" s="87">
        <v>0</v>
      </c>
      <c r="S1633" s="87">
        <v>0</v>
      </c>
      <c r="T1633" s="87">
        <v>0</v>
      </c>
      <c r="U1633" s="87">
        <v>0</v>
      </c>
      <c r="V1633" s="87">
        <v>2</v>
      </c>
      <c r="W1633" s="93" t="s">
        <v>6949</v>
      </c>
      <c r="X1633" s="87"/>
      <c r="Y1633" s="87"/>
      <c r="Z1633" s="87"/>
      <c r="AA1633" s="87"/>
      <c r="AB1633" s="87"/>
      <c r="AC1633" s="93" t="s">
        <v>11494</v>
      </c>
      <c r="AD1633" s="87" t="s">
        <v>11519</v>
      </c>
      <c r="AE1633" s="92" t="str">
        <f>HYPERLINK("https://twitter.com/sr__info/status/1689018565016363008")</f>
        <v>https://twitter.com/sr__info/status/1689018565016363008</v>
      </c>
      <c r="AF1633" s="90">
        <v>45146.874780092592</v>
      </c>
      <c r="AG1633" s="99">
        <v>45146</v>
      </c>
      <c r="AH1633" s="93" t="s">
        <v>13030</v>
      </c>
      <c r="AI1633" s="87"/>
      <c r="AJ1633" s="87"/>
      <c r="AK1633" s="87"/>
      <c r="AL1633" s="87"/>
      <c r="AM1633" s="87"/>
      <c r="AN1633" s="87"/>
      <c r="AO1633" s="87"/>
      <c r="AP1633" s="87"/>
      <c r="AQ1633" s="87"/>
      <c r="AR1633" s="87"/>
      <c r="AS1633" s="87"/>
      <c r="AT1633" s="87"/>
      <c r="AU1633" s="87"/>
      <c r="AV1633" s="92" t="str">
        <f>HYPERLINK("https://pbs.twimg.com/profile_images/1668369933598695429/YQIFCkNv_normal.png")</f>
        <v>https://pbs.twimg.com/profile_images/1668369933598695429/YQIFCkNv_normal.png</v>
      </c>
      <c r="AW1633" s="93" t="s">
        <v>19865</v>
      </c>
      <c r="AX1633" s="93" t="s">
        <v>19865</v>
      </c>
      <c r="AY1633" s="87"/>
      <c r="AZ1633" s="93" t="s">
        <v>22668</v>
      </c>
      <c r="BA1633" s="93" t="s">
        <v>22668</v>
      </c>
      <c r="BB1633" s="93" t="s">
        <v>22668</v>
      </c>
      <c r="BC1633" s="93" t="s">
        <v>19865</v>
      </c>
      <c r="BD1633" s="93" t="s">
        <v>23114</v>
      </c>
      <c r="BE1633" s="87"/>
      <c r="BF1633" s="87"/>
      <c r="BG1633" s="87"/>
      <c r="BH1633" s="87"/>
      <c r="BI1633" s="87"/>
    </row>
    <row r="1634" spans="1:61" x14ac:dyDescent="0.25">
      <c r="A1634" s="63" t="s">
        <v>779</v>
      </c>
      <c r="B1634" s="63" t="s">
        <v>779</v>
      </c>
      <c r="C1634" s="64"/>
      <c r="D1634" s="65"/>
      <c r="E1634" s="66"/>
      <c r="F1634" s="67"/>
      <c r="G1634" s="64"/>
      <c r="H1634" s="68"/>
      <c r="I1634" s="69"/>
      <c r="J1634" s="69"/>
      <c r="K1634" s="32"/>
      <c r="L1634" s="76">
        <v>1634</v>
      </c>
      <c r="M1634" s="76"/>
      <c r="N1634" s="71"/>
      <c r="O1634" s="87" t="s">
        <v>179</v>
      </c>
      <c r="P1634" s="90">
        <v>45118.500023148146</v>
      </c>
      <c r="Q1634" s="87" t="s">
        <v>3430</v>
      </c>
      <c r="R1634" s="87">
        <v>0</v>
      </c>
      <c r="S1634" s="87">
        <v>0</v>
      </c>
      <c r="T1634" s="87">
        <v>0</v>
      </c>
      <c r="U1634" s="87">
        <v>0</v>
      </c>
      <c r="V1634" s="87">
        <v>3</v>
      </c>
      <c r="W1634" s="93" t="s">
        <v>6950</v>
      </c>
      <c r="X1634" s="87"/>
      <c r="Y1634" s="87"/>
      <c r="Z1634" s="87"/>
      <c r="AA1634" s="87"/>
      <c r="AB1634" s="87"/>
      <c r="AC1634" s="93" t="s">
        <v>11494</v>
      </c>
      <c r="AD1634" s="87" t="s">
        <v>11519</v>
      </c>
      <c r="AE1634" s="92" t="str">
        <f>HYPERLINK("https://twitter.com/sr__info/status/1678735900774223873")</f>
        <v>https://twitter.com/sr__info/status/1678735900774223873</v>
      </c>
      <c r="AF1634" s="90">
        <v>45118.500023148146</v>
      </c>
      <c r="AG1634" s="99">
        <v>45118</v>
      </c>
      <c r="AH1634" s="93" t="s">
        <v>12090</v>
      </c>
      <c r="AI1634" s="87"/>
      <c r="AJ1634" s="87"/>
      <c r="AK1634" s="87"/>
      <c r="AL1634" s="87"/>
      <c r="AM1634" s="87"/>
      <c r="AN1634" s="87"/>
      <c r="AO1634" s="87"/>
      <c r="AP1634" s="87"/>
      <c r="AQ1634" s="87"/>
      <c r="AR1634" s="87"/>
      <c r="AS1634" s="87"/>
      <c r="AT1634" s="87"/>
      <c r="AU1634" s="87"/>
      <c r="AV1634" s="92" t="str">
        <f>HYPERLINK("https://pbs.twimg.com/profile_images/1668369933598695429/YQIFCkNv_normal.png")</f>
        <v>https://pbs.twimg.com/profile_images/1668369933598695429/YQIFCkNv_normal.png</v>
      </c>
      <c r="AW1634" s="93" t="s">
        <v>19866</v>
      </c>
      <c r="AX1634" s="93" t="s">
        <v>19866</v>
      </c>
      <c r="AY1634" s="87"/>
      <c r="AZ1634" s="93" t="s">
        <v>22668</v>
      </c>
      <c r="BA1634" s="93" t="s">
        <v>22668</v>
      </c>
      <c r="BB1634" s="93" t="s">
        <v>22668</v>
      </c>
      <c r="BC1634" s="93" t="s">
        <v>19866</v>
      </c>
      <c r="BD1634" s="93" t="s">
        <v>23114</v>
      </c>
      <c r="BE1634" s="87"/>
      <c r="BF1634" s="87"/>
      <c r="BG1634" s="87"/>
      <c r="BH1634" s="87"/>
      <c r="BI1634" s="87"/>
    </row>
    <row r="1635" spans="1:61" x14ac:dyDescent="0.25">
      <c r="A1635" s="63" t="s">
        <v>780</v>
      </c>
      <c r="B1635" s="63" t="s">
        <v>780</v>
      </c>
      <c r="C1635" s="64"/>
      <c r="D1635" s="65"/>
      <c r="E1635" s="66"/>
      <c r="F1635" s="67"/>
      <c r="G1635" s="64"/>
      <c r="H1635" s="68"/>
      <c r="I1635" s="69"/>
      <c r="J1635" s="69"/>
      <c r="K1635" s="32"/>
      <c r="L1635" s="76">
        <v>1635</v>
      </c>
      <c r="M1635" s="76"/>
      <c r="N1635" s="71"/>
      <c r="O1635" s="87" t="s">
        <v>179</v>
      </c>
      <c r="P1635" s="90">
        <v>45127.611712962964</v>
      </c>
      <c r="Q1635" s="87" t="s">
        <v>3431</v>
      </c>
      <c r="R1635" s="87">
        <v>0</v>
      </c>
      <c r="S1635" s="87">
        <v>2</v>
      </c>
      <c r="T1635" s="87">
        <v>0</v>
      </c>
      <c r="U1635" s="87">
        <v>0</v>
      </c>
      <c r="V1635" s="87">
        <v>180</v>
      </c>
      <c r="W1635" s="93" t="s">
        <v>6951</v>
      </c>
      <c r="X1635" s="87"/>
      <c r="Y1635" s="87"/>
      <c r="Z1635" s="87"/>
      <c r="AA1635" s="87" t="s">
        <v>9675</v>
      </c>
      <c r="AB1635" s="87" t="s">
        <v>11447</v>
      </c>
      <c r="AC1635" s="93" t="s">
        <v>11460</v>
      </c>
      <c r="AD1635" s="87" t="s">
        <v>11519</v>
      </c>
      <c r="AE1635" s="92" t="str">
        <f>HYPERLINK("https://twitter.com/sebrae_pr/status/1682037864648052737")</f>
        <v>https://twitter.com/sebrae_pr/status/1682037864648052737</v>
      </c>
      <c r="AF1635" s="90">
        <v>45127.611712962964</v>
      </c>
      <c r="AG1635" s="99">
        <v>45127</v>
      </c>
      <c r="AH1635" s="93" t="s">
        <v>13031</v>
      </c>
      <c r="AI1635" s="87" t="b">
        <v>0</v>
      </c>
      <c r="AJ1635" s="87"/>
      <c r="AK1635" s="87"/>
      <c r="AL1635" s="87"/>
      <c r="AM1635" s="87"/>
      <c r="AN1635" s="87"/>
      <c r="AO1635" s="87"/>
      <c r="AP1635" s="87"/>
      <c r="AQ1635" s="87" t="s">
        <v>16488</v>
      </c>
      <c r="AR1635" s="87">
        <v>14981</v>
      </c>
      <c r="AS1635" s="87"/>
      <c r="AT1635" s="87"/>
      <c r="AU1635" s="87"/>
      <c r="AV1635" s="92" t="str">
        <f>HYPERLINK("https://pbs.twimg.com/ext_tw_video_thumb/1682037834319028225/pu/img/WW2TlULLRBjQZV7U.jpg")</f>
        <v>https://pbs.twimg.com/ext_tw_video_thumb/1682037834319028225/pu/img/WW2TlULLRBjQZV7U.jpg</v>
      </c>
      <c r="AW1635" s="93" t="s">
        <v>19867</v>
      </c>
      <c r="AX1635" s="93" t="s">
        <v>19867</v>
      </c>
      <c r="AY1635" s="87"/>
      <c r="AZ1635" s="93" t="s">
        <v>22668</v>
      </c>
      <c r="BA1635" s="93" t="s">
        <v>22668</v>
      </c>
      <c r="BB1635" s="93" t="s">
        <v>22668</v>
      </c>
      <c r="BC1635" s="93" t="s">
        <v>19867</v>
      </c>
      <c r="BD1635" s="87">
        <v>43452127</v>
      </c>
      <c r="BE1635" s="87"/>
      <c r="BF1635" s="87"/>
      <c r="BG1635" s="87"/>
      <c r="BH1635" s="87"/>
      <c r="BI1635" s="87"/>
    </row>
    <row r="1636" spans="1:61" x14ac:dyDescent="0.25">
      <c r="A1636" s="63" t="s">
        <v>780</v>
      </c>
      <c r="B1636" s="63" t="s">
        <v>780</v>
      </c>
      <c r="C1636" s="64"/>
      <c r="D1636" s="65"/>
      <c r="E1636" s="66"/>
      <c r="F1636" s="67"/>
      <c r="G1636" s="64"/>
      <c r="H1636" s="68"/>
      <c r="I1636" s="69"/>
      <c r="J1636" s="69"/>
      <c r="K1636" s="32"/>
      <c r="L1636" s="76">
        <v>1636</v>
      </c>
      <c r="M1636" s="76"/>
      <c r="N1636" s="71"/>
      <c r="O1636" s="87" t="s">
        <v>179</v>
      </c>
      <c r="P1636" s="90">
        <v>45166.506863425922</v>
      </c>
      <c r="Q1636" s="87" t="s">
        <v>3432</v>
      </c>
      <c r="R1636" s="87">
        <v>0</v>
      </c>
      <c r="S1636" s="87">
        <v>2</v>
      </c>
      <c r="T1636" s="87">
        <v>1</v>
      </c>
      <c r="U1636" s="87">
        <v>0</v>
      </c>
      <c r="V1636" s="87">
        <v>110</v>
      </c>
      <c r="W1636" s="93" t="s">
        <v>6952</v>
      </c>
      <c r="X1636" s="92" t="str">
        <f>HYPERLINK("http://bit.ly/feiradoempreendedor23")</f>
        <v>http://bit.ly/feiradoempreendedor23</v>
      </c>
      <c r="Y1636" s="87" t="s">
        <v>8374</v>
      </c>
      <c r="Z1636" s="87"/>
      <c r="AA1636" s="87" t="s">
        <v>9676</v>
      </c>
      <c r="AB1636" s="87" t="s">
        <v>11448</v>
      </c>
      <c r="AC1636" s="93" t="s">
        <v>11457</v>
      </c>
      <c r="AD1636" s="87" t="s">
        <v>11519</v>
      </c>
      <c r="AE1636" s="92" t="str">
        <f>HYPERLINK("https://twitter.com/sebrae_pr/status/1696132996703682817")</f>
        <v>https://twitter.com/sebrae_pr/status/1696132996703682817</v>
      </c>
      <c r="AF1636" s="90">
        <v>45166.506863425922</v>
      </c>
      <c r="AG1636" s="99">
        <v>45166</v>
      </c>
      <c r="AH1636" s="93" t="s">
        <v>13032</v>
      </c>
      <c r="AI1636" s="87" t="b">
        <v>0</v>
      </c>
      <c r="AJ1636" s="87"/>
      <c r="AK1636" s="87"/>
      <c r="AL1636" s="87"/>
      <c r="AM1636" s="87"/>
      <c r="AN1636" s="87"/>
      <c r="AO1636" s="87"/>
      <c r="AP1636" s="87"/>
      <c r="AQ1636" s="87" t="s">
        <v>16489</v>
      </c>
      <c r="AR1636" s="87"/>
      <c r="AS1636" s="87"/>
      <c r="AT1636" s="87"/>
      <c r="AU1636" s="87"/>
      <c r="AV1636" s="92" t="str">
        <f>HYPERLINK("https://pbs.twimg.com/media/F4nfiorXYAE4Wqz.jpg")</f>
        <v>https://pbs.twimg.com/media/F4nfiorXYAE4Wqz.jpg</v>
      </c>
      <c r="AW1636" s="93" t="s">
        <v>19868</v>
      </c>
      <c r="AX1636" s="93" t="s">
        <v>19868</v>
      </c>
      <c r="AY1636" s="87"/>
      <c r="AZ1636" s="93" t="s">
        <v>22668</v>
      </c>
      <c r="BA1636" s="93" t="s">
        <v>22668</v>
      </c>
      <c r="BB1636" s="93" t="s">
        <v>22668</v>
      </c>
      <c r="BC1636" s="93" t="s">
        <v>19868</v>
      </c>
      <c r="BD1636" s="87">
        <v>43452127</v>
      </c>
      <c r="BE1636" s="87"/>
      <c r="BF1636" s="87"/>
      <c r="BG1636" s="87"/>
      <c r="BH1636" s="87"/>
      <c r="BI1636" s="87"/>
    </row>
    <row r="1637" spans="1:61" x14ac:dyDescent="0.25">
      <c r="A1637" s="63" t="s">
        <v>780</v>
      </c>
      <c r="B1637" s="63" t="s">
        <v>780</v>
      </c>
      <c r="C1637" s="64"/>
      <c r="D1637" s="65"/>
      <c r="E1637" s="66"/>
      <c r="F1637" s="67"/>
      <c r="G1637" s="64"/>
      <c r="H1637" s="68"/>
      <c r="I1637" s="69"/>
      <c r="J1637" s="69"/>
      <c r="K1637" s="32"/>
      <c r="L1637" s="76">
        <v>1637</v>
      </c>
      <c r="M1637" s="76"/>
      <c r="N1637" s="71"/>
      <c r="O1637" s="87" t="s">
        <v>1840</v>
      </c>
      <c r="P1637" s="90">
        <v>45175.873333333337</v>
      </c>
      <c r="Q1637" s="87" t="s">
        <v>3433</v>
      </c>
      <c r="R1637" s="87">
        <v>0</v>
      </c>
      <c r="S1637" s="87">
        <v>0</v>
      </c>
      <c r="T1637" s="87">
        <v>0</v>
      </c>
      <c r="U1637" s="87">
        <v>0</v>
      </c>
      <c r="V1637" s="87">
        <v>25</v>
      </c>
      <c r="W1637" s="93" t="s">
        <v>6952</v>
      </c>
      <c r="X1637" s="87"/>
      <c r="Y1637" s="87"/>
      <c r="Z1637" s="87"/>
      <c r="AA1637" s="87"/>
      <c r="AB1637" s="87"/>
      <c r="AC1637" s="93" t="s">
        <v>11457</v>
      </c>
      <c r="AD1637" s="87" t="s">
        <v>11524</v>
      </c>
      <c r="AE1637" s="92" t="str">
        <f>HYPERLINK("https://twitter.com/sebrae_pr/status/1699527291875811641")</f>
        <v>https://twitter.com/sebrae_pr/status/1699527291875811641</v>
      </c>
      <c r="AF1637" s="90">
        <v>45175.873333333337</v>
      </c>
      <c r="AG1637" s="99">
        <v>45175</v>
      </c>
      <c r="AH1637" s="93" t="s">
        <v>13033</v>
      </c>
      <c r="AI1637" s="87"/>
      <c r="AJ1637" s="87"/>
      <c r="AK1637" s="87"/>
      <c r="AL1637" s="87"/>
      <c r="AM1637" s="87"/>
      <c r="AN1637" s="87"/>
      <c r="AO1637" s="87"/>
      <c r="AP1637" s="87"/>
      <c r="AQ1637" s="87"/>
      <c r="AR1637" s="87"/>
      <c r="AS1637" s="87"/>
      <c r="AT1637" s="87"/>
      <c r="AU1637" s="87"/>
      <c r="AV1637" s="92" t="str">
        <f>HYPERLINK("https://pbs.twimg.com/profile_images/1458411261570453506/VWDBZfGA_normal.png")</f>
        <v>https://pbs.twimg.com/profile_images/1458411261570453506/VWDBZfGA_normal.png</v>
      </c>
      <c r="AW1637" s="93" t="s">
        <v>19869</v>
      </c>
      <c r="AX1637" s="93" t="s">
        <v>22390</v>
      </c>
      <c r="AY1637" s="93" t="s">
        <v>22576</v>
      </c>
      <c r="AZ1637" s="93" t="s">
        <v>22719</v>
      </c>
      <c r="BA1637" s="93" t="s">
        <v>22668</v>
      </c>
      <c r="BB1637" s="93" t="s">
        <v>22668</v>
      </c>
      <c r="BC1637" s="93" t="s">
        <v>22719</v>
      </c>
      <c r="BD1637" s="87">
        <v>43452127</v>
      </c>
      <c r="BE1637" s="87"/>
      <c r="BF1637" s="87"/>
      <c r="BG1637" s="87"/>
      <c r="BH1637" s="87"/>
      <c r="BI1637" s="87"/>
    </row>
    <row r="1638" spans="1:61" x14ac:dyDescent="0.25">
      <c r="A1638" s="63" t="s">
        <v>780</v>
      </c>
      <c r="B1638" s="63" t="s">
        <v>780</v>
      </c>
      <c r="C1638" s="64"/>
      <c r="D1638" s="65"/>
      <c r="E1638" s="66"/>
      <c r="F1638" s="67"/>
      <c r="G1638" s="64"/>
      <c r="H1638" s="68"/>
      <c r="I1638" s="69"/>
      <c r="J1638" s="69"/>
      <c r="K1638" s="32"/>
      <c r="L1638" s="76">
        <v>1638</v>
      </c>
      <c r="M1638" s="76"/>
      <c r="N1638" s="71"/>
      <c r="O1638" s="87" t="s">
        <v>179</v>
      </c>
      <c r="P1638" s="90">
        <v>45172.875578703701</v>
      </c>
      <c r="Q1638" s="87" t="s">
        <v>3434</v>
      </c>
      <c r="R1638" s="87">
        <v>1</v>
      </c>
      <c r="S1638" s="87">
        <v>4</v>
      </c>
      <c r="T1638" s="87">
        <v>0</v>
      </c>
      <c r="U1638" s="87">
        <v>0</v>
      </c>
      <c r="V1638" s="87">
        <v>109</v>
      </c>
      <c r="W1638" s="93" t="s">
        <v>6953</v>
      </c>
      <c r="X1638" s="92" t="str">
        <f>HYPERLINK("http://bit.ly/feiradoempreendedor23")</f>
        <v>http://bit.ly/feiradoempreendedor23</v>
      </c>
      <c r="Y1638" s="87" t="s">
        <v>8374</v>
      </c>
      <c r="Z1638" s="87"/>
      <c r="AA1638" s="87" t="s">
        <v>9677</v>
      </c>
      <c r="AB1638" s="87" t="s">
        <v>11448</v>
      </c>
      <c r="AC1638" s="93" t="s">
        <v>11460</v>
      </c>
      <c r="AD1638" s="87" t="s">
        <v>11519</v>
      </c>
      <c r="AE1638" s="92" t="str">
        <f>HYPERLINK("https://twitter.com/sebrae_pr/status/1698440942645080516")</f>
        <v>https://twitter.com/sebrae_pr/status/1698440942645080516</v>
      </c>
      <c r="AF1638" s="90">
        <v>45172.875578703701</v>
      </c>
      <c r="AG1638" s="99">
        <v>45172</v>
      </c>
      <c r="AH1638" s="93" t="s">
        <v>13034</v>
      </c>
      <c r="AI1638" s="87" t="b">
        <v>0</v>
      </c>
      <c r="AJ1638" s="87"/>
      <c r="AK1638" s="87"/>
      <c r="AL1638" s="87"/>
      <c r="AM1638" s="87"/>
      <c r="AN1638" s="87"/>
      <c r="AO1638" s="87"/>
      <c r="AP1638" s="87"/>
      <c r="AQ1638" s="87" t="s">
        <v>16490</v>
      </c>
      <c r="AR1638" s="87"/>
      <c r="AS1638" s="87"/>
      <c r="AT1638" s="87"/>
      <c r="AU1638" s="87"/>
      <c r="AV1638" s="92" t="str">
        <f>HYPERLINK("https://pbs.twimg.com/media/F5ITCUdW0AAAtOc.jpg")</f>
        <v>https://pbs.twimg.com/media/F5ITCUdW0AAAtOc.jpg</v>
      </c>
      <c r="AW1638" s="93" t="s">
        <v>19870</v>
      </c>
      <c r="AX1638" s="93" t="s">
        <v>19870</v>
      </c>
      <c r="AY1638" s="87"/>
      <c r="AZ1638" s="93" t="s">
        <v>22668</v>
      </c>
      <c r="BA1638" s="93" t="s">
        <v>22668</v>
      </c>
      <c r="BB1638" s="93" t="s">
        <v>22668</v>
      </c>
      <c r="BC1638" s="93" t="s">
        <v>19870</v>
      </c>
      <c r="BD1638" s="87">
        <v>43452127</v>
      </c>
      <c r="BE1638" s="87"/>
      <c r="BF1638" s="87"/>
      <c r="BG1638" s="87"/>
      <c r="BH1638" s="87"/>
      <c r="BI1638" s="87"/>
    </row>
    <row r="1639" spans="1:61" x14ac:dyDescent="0.25">
      <c r="A1639" s="63" t="s">
        <v>780</v>
      </c>
      <c r="B1639" s="63" t="s">
        <v>780</v>
      </c>
      <c r="C1639" s="64"/>
      <c r="D1639" s="65"/>
      <c r="E1639" s="66"/>
      <c r="F1639" s="67"/>
      <c r="G1639" s="64"/>
      <c r="H1639" s="68"/>
      <c r="I1639" s="69"/>
      <c r="J1639" s="69"/>
      <c r="K1639" s="32"/>
      <c r="L1639" s="76">
        <v>1639</v>
      </c>
      <c r="M1639" s="76"/>
      <c r="N1639" s="71"/>
      <c r="O1639" s="87" t="s">
        <v>179</v>
      </c>
      <c r="P1639" s="90">
        <v>45120.500868055555</v>
      </c>
      <c r="Q1639" s="87" t="s">
        <v>3435</v>
      </c>
      <c r="R1639" s="87">
        <v>0</v>
      </c>
      <c r="S1639" s="87">
        <v>3</v>
      </c>
      <c r="T1639" s="87">
        <v>1</v>
      </c>
      <c r="U1639" s="87">
        <v>0</v>
      </c>
      <c r="V1639" s="87">
        <v>147</v>
      </c>
      <c r="W1639" s="93" t="s">
        <v>6954</v>
      </c>
      <c r="X1639" s="87"/>
      <c r="Y1639" s="87"/>
      <c r="Z1639" s="87"/>
      <c r="AA1639" s="87" t="s">
        <v>9678</v>
      </c>
      <c r="AB1639" s="87" t="s">
        <v>11448</v>
      </c>
      <c r="AC1639" s="93" t="s">
        <v>11457</v>
      </c>
      <c r="AD1639" s="87" t="s">
        <v>11519</v>
      </c>
      <c r="AE1639" s="92" t="str">
        <f>HYPERLINK("https://twitter.com/sebrae_pr/status/1679460981544570881")</f>
        <v>https://twitter.com/sebrae_pr/status/1679460981544570881</v>
      </c>
      <c r="AF1639" s="90">
        <v>45120.500868055555</v>
      </c>
      <c r="AG1639" s="99">
        <v>45120</v>
      </c>
      <c r="AH1639" s="93" t="s">
        <v>13035</v>
      </c>
      <c r="AI1639" s="87" t="b">
        <v>0</v>
      </c>
      <c r="AJ1639" s="87"/>
      <c r="AK1639" s="87"/>
      <c r="AL1639" s="87"/>
      <c r="AM1639" s="87"/>
      <c r="AN1639" s="87"/>
      <c r="AO1639" s="87"/>
      <c r="AP1639" s="87"/>
      <c r="AQ1639" s="87" t="s">
        <v>16491</v>
      </c>
      <c r="AR1639" s="87"/>
      <c r="AS1639" s="87"/>
      <c r="AT1639" s="87"/>
      <c r="AU1639" s="87"/>
      <c r="AV1639" s="92" t="str">
        <f>HYPERLINK("https://pbs.twimg.com/media/F06kqOsWcAEKWGX.jpg")</f>
        <v>https://pbs.twimg.com/media/F06kqOsWcAEKWGX.jpg</v>
      </c>
      <c r="AW1639" s="93" t="s">
        <v>19871</v>
      </c>
      <c r="AX1639" s="93" t="s">
        <v>19871</v>
      </c>
      <c r="AY1639" s="87"/>
      <c r="AZ1639" s="93" t="s">
        <v>22668</v>
      </c>
      <c r="BA1639" s="93" t="s">
        <v>22668</v>
      </c>
      <c r="BB1639" s="93" t="s">
        <v>22668</v>
      </c>
      <c r="BC1639" s="93" t="s">
        <v>19871</v>
      </c>
      <c r="BD1639" s="87">
        <v>43452127</v>
      </c>
      <c r="BE1639" s="87"/>
      <c r="BF1639" s="87"/>
      <c r="BG1639" s="87"/>
      <c r="BH1639" s="87"/>
      <c r="BI1639" s="87"/>
    </row>
    <row r="1640" spans="1:61" x14ac:dyDescent="0.25">
      <c r="A1640" s="63" t="s">
        <v>780</v>
      </c>
      <c r="B1640" s="63" t="s">
        <v>780</v>
      </c>
      <c r="C1640" s="64"/>
      <c r="D1640" s="65"/>
      <c r="E1640" s="66"/>
      <c r="F1640" s="67"/>
      <c r="G1640" s="64"/>
      <c r="H1640" s="68"/>
      <c r="I1640" s="69"/>
      <c r="J1640" s="69"/>
      <c r="K1640" s="32"/>
      <c r="L1640" s="76">
        <v>1640</v>
      </c>
      <c r="M1640" s="76"/>
      <c r="N1640" s="71"/>
      <c r="O1640" s="87" t="s">
        <v>179</v>
      </c>
      <c r="P1640" s="90">
        <v>45185.51394675926</v>
      </c>
      <c r="Q1640" s="87" t="s">
        <v>3436</v>
      </c>
      <c r="R1640" s="87">
        <v>0</v>
      </c>
      <c r="S1640" s="87">
        <v>2</v>
      </c>
      <c r="T1640" s="87">
        <v>1</v>
      </c>
      <c r="U1640" s="87">
        <v>0</v>
      </c>
      <c r="V1640" s="87">
        <v>94</v>
      </c>
      <c r="W1640" s="93" t="s">
        <v>6953</v>
      </c>
      <c r="X1640" s="92" t="str">
        <f>HYPERLINK("http://bit.ly/feiradoempreendedor23")</f>
        <v>http://bit.ly/feiradoempreendedor23</v>
      </c>
      <c r="Y1640" s="87" t="s">
        <v>8374</v>
      </c>
      <c r="Z1640" s="87"/>
      <c r="AA1640" s="87" t="s">
        <v>9679</v>
      </c>
      <c r="AB1640" s="87" t="s">
        <v>11448</v>
      </c>
      <c r="AC1640" s="93" t="s">
        <v>11457</v>
      </c>
      <c r="AD1640" s="87" t="s">
        <v>11519</v>
      </c>
      <c r="AE1640" s="92" t="str">
        <f>HYPERLINK("https://twitter.com/sebrae_pr/status/1703020932153966887")</f>
        <v>https://twitter.com/sebrae_pr/status/1703020932153966887</v>
      </c>
      <c r="AF1640" s="90">
        <v>45185.51394675926</v>
      </c>
      <c r="AG1640" s="99">
        <v>45185</v>
      </c>
      <c r="AH1640" s="93" t="s">
        <v>13036</v>
      </c>
      <c r="AI1640" s="87" t="b">
        <v>0</v>
      </c>
      <c r="AJ1640" s="87"/>
      <c r="AK1640" s="87"/>
      <c r="AL1640" s="87"/>
      <c r="AM1640" s="87"/>
      <c r="AN1640" s="87"/>
      <c r="AO1640" s="87"/>
      <c r="AP1640" s="87"/>
      <c r="AQ1640" s="87" t="s">
        <v>16492</v>
      </c>
      <c r="AR1640" s="87"/>
      <c r="AS1640" s="87"/>
      <c r="AT1640" s="87"/>
      <c r="AU1640" s="87"/>
      <c r="AV1640" s="92" t="str">
        <f>HYPERLINK("https://pbs.twimg.com/media/F6JX1w2XQAA0W52.jpg")</f>
        <v>https://pbs.twimg.com/media/F6JX1w2XQAA0W52.jpg</v>
      </c>
      <c r="AW1640" s="93" t="s">
        <v>19872</v>
      </c>
      <c r="AX1640" s="93" t="s">
        <v>19872</v>
      </c>
      <c r="AY1640" s="87"/>
      <c r="AZ1640" s="93" t="s">
        <v>22668</v>
      </c>
      <c r="BA1640" s="93" t="s">
        <v>22668</v>
      </c>
      <c r="BB1640" s="93" t="s">
        <v>22668</v>
      </c>
      <c r="BC1640" s="93" t="s">
        <v>19872</v>
      </c>
      <c r="BD1640" s="87">
        <v>43452127</v>
      </c>
      <c r="BE1640" s="87"/>
      <c r="BF1640" s="87"/>
      <c r="BG1640" s="87"/>
      <c r="BH1640" s="87"/>
      <c r="BI1640" s="87"/>
    </row>
    <row r="1641" spans="1:61" x14ac:dyDescent="0.25">
      <c r="A1641" s="63" t="s">
        <v>780</v>
      </c>
      <c r="B1641" s="63" t="s">
        <v>780</v>
      </c>
      <c r="C1641" s="64"/>
      <c r="D1641" s="65"/>
      <c r="E1641" s="66"/>
      <c r="F1641" s="67"/>
      <c r="G1641" s="64"/>
      <c r="H1641" s="68"/>
      <c r="I1641" s="69"/>
      <c r="J1641" s="69"/>
      <c r="K1641" s="32"/>
      <c r="L1641" s="76">
        <v>1641</v>
      </c>
      <c r="M1641" s="76"/>
      <c r="N1641" s="71"/>
      <c r="O1641" s="87" t="s">
        <v>179</v>
      </c>
      <c r="P1641" s="90">
        <v>45173.563981481479</v>
      </c>
      <c r="Q1641" s="87" t="s">
        <v>3437</v>
      </c>
      <c r="R1641" s="87">
        <v>0</v>
      </c>
      <c r="S1641" s="87">
        <v>2</v>
      </c>
      <c r="T1641" s="87">
        <v>1</v>
      </c>
      <c r="U1641" s="87">
        <v>1</v>
      </c>
      <c r="V1641" s="87">
        <v>82</v>
      </c>
      <c r="W1641" s="93" t="s">
        <v>6955</v>
      </c>
      <c r="X1641" s="92" t="str">
        <f>HYPERLINK("http://bit.ly/feiradoempreendedor23")</f>
        <v>http://bit.ly/feiradoempreendedor23</v>
      </c>
      <c r="Y1641" s="87" t="s">
        <v>8374</v>
      </c>
      <c r="Z1641" s="87"/>
      <c r="AA1641" s="87" t="s">
        <v>9680</v>
      </c>
      <c r="AB1641" s="87" t="s">
        <v>11448</v>
      </c>
      <c r="AC1641" s="93" t="s">
        <v>11457</v>
      </c>
      <c r="AD1641" s="87" t="s">
        <v>11519</v>
      </c>
      <c r="AE1641" s="92" t="str">
        <f>HYPERLINK("https://twitter.com/sebrae_pr/status/1698690409000583313")</f>
        <v>https://twitter.com/sebrae_pr/status/1698690409000583313</v>
      </c>
      <c r="AF1641" s="90">
        <v>45173.563981481479</v>
      </c>
      <c r="AG1641" s="99">
        <v>45173</v>
      </c>
      <c r="AH1641" s="93" t="s">
        <v>13037</v>
      </c>
      <c r="AI1641" s="87" t="b">
        <v>0</v>
      </c>
      <c r="AJ1641" s="87"/>
      <c r="AK1641" s="87"/>
      <c r="AL1641" s="87"/>
      <c r="AM1641" s="87"/>
      <c r="AN1641" s="87"/>
      <c r="AO1641" s="87"/>
      <c r="AP1641" s="87"/>
      <c r="AQ1641" s="87" t="s">
        <v>16493</v>
      </c>
      <c r="AR1641" s="87"/>
      <c r="AS1641" s="87"/>
      <c r="AT1641" s="87"/>
      <c r="AU1641" s="87"/>
      <c r="AV1641" s="92" t="str">
        <f>HYPERLINK("https://pbs.twimg.com/media/F5L1oV-XkAAPo5G.jpg")</f>
        <v>https://pbs.twimg.com/media/F5L1oV-XkAAPo5G.jpg</v>
      </c>
      <c r="AW1641" s="93" t="s">
        <v>19873</v>
      </c>
      <c r="AX1641" s="93" t="s">
        <v>19873</v>
      </c>
      <c r="AY1641" s="87"/>
      <c r="AZ1641" s="93" t="s">
        <v>22668</v>
      </c>
      <c r="BA1641" s="93" t="s">
        <v>22668</v>
      </c>
      <c r="BB1641" s="93" t="s">
        <v>22668</v>
      </c>
      <c r="BC1641" s="93" t="s">
        <v>19873</v>
      </c>
      <c r="BD1641" s="87">
        <v>43452127</v>
      </c>
      <c r="BE1641" s="87"/>
      <c r="BF1641" s="87"/>
      <c r="BG1641" s="87"/>
      <c r="BH1641" s="87"/>
      <c r="BI1641" s="87"/>
    </row>
    <row r="1642" spans="1:61" x14ac:dyDescent="0.25">
      <c r="A1642" s="63" t="s">
        <v>781</v>
      </c>
      <c r="B1642" s="63" t="s">
        <v>781</v>
      </c>
      <c r="C1642" s="64"/>
      <c r="D1642" s="65"/>
      <c r="E1642" s="66"/>
      <c r="F1642" s="67"/>
      <c r="G1642" s="64"/>
      <c r="H1642" s="68"/>
      <c r="I1642" s="69"/>
      <c r="J1642" s="69"/>
      <c r="K1642" s="32"/>
      <c r="L1642" s="76">
        <v>1642</v>
      </c>
      <c r="M1642" s="76"/>
      <c r="N1642" s="71"/>
      <c r="O1642" s="87" t="s">
        <v>179</v>
      </c>
      <c r="P1642" s="90">
        <v>45134.729317129626</v>
      </c>
      <c r="Q1642" s="87" t="s">
        <v>3438</v>
      </c>
      <c r="R1642" s="87">
        <v>0</v>
      </c>
      <c r="S1642" s="87">
        <v>0</v>
      </c>
      <c r="T1642" s="87">
        <v>0</v>
      </c>
      <c r="U1642" s="87">
        <v>0</v>
      </c>
      <c r="V1642" s="87">
        <v>2</v>
      </c>
      <c r="W1642" s="93" t="s">
        <v>6956</v>
      </c>
      <c r="X1642" s="92" t="str">
        <f>HYPERLINK("https://youtu.be/XvEy6jWL0P8")</f>
        <v>https://youtu.be/XvEy6jWL0P8</v>
      </c>
      <c r="Y1642" s="87" t="s">
        <v>8372</v>
      </c>
      <c r="Z1642" s="87"/>
      <c r="AA1642" s="87" t="s">
        <v>9681</v>
      </c>
      <c r="AB1642" s="87" t="s">
        <v>11448</v>
      </c>
      <c r="AC1642" s="93" t="s">
        <v>11467</v>
      </c>
      <c r="AD1642" s="87" t="s">
        <v>11519</v>
      </c>
      <c r="AE1642" s="92" t="str">
        <f>HYPERLINK("https://twitter.com/certform/status/1684617200638779394")</f>
        <v>https://twitter.com/certform/status/1684617200638779394</v>
      </c>
      <c r="AF1642" s="90">
        <v>45134.729317129626</v>
      </c>
      <c r="AG1642" s="99">
        <v>45134</v>
      </c>
      <c r="AH1642" s="93" t="s">
        <v>13038</v>
      </c>
      <c r="AI1642" s="87" t="b">
        <v>0</v>
      </c>
      <c r="AJ1642" s="87"/>
      <c r="AK1642" s="87"/>
      <c r="AL1642" s="87"/>
      <c r="AM1642" s="87"/>
      <c r="AN1642" s="87"/>
      <c r="AO1642" s="87"/>
      <c r="AP1642" s="87"/>
      <c r="AQ1642" s="87" t="s">
        <v>16494</v>
      </c>
      <c r="AR1642" s="87"/>
      <c r="AS1642" s="87"/>
      <c r="AT1642" s="87"/>
      <c r="AU1642" s="87"/>
      <c r="AV1642" s="92" t="str">
        <f>HYPERLINK("https://pbs.twimg.com/media/F2D2am3WYAAKx4p.jpg")</f>
        <v>https://pbs.twimg.com/media/F2D2am3WYAAKx4p.jpg</v>
      </c>
      <c r="AW1642" s="93" t="s">
        <v>19874</v>
      </c>
      <c r="AX1642" s="93" t="s">
        <v>19874</v>
      </c>
      <c r="AY1642" s="87"/>
      <c r="AZ1642" s="93" t="s">
        <v>22668</v>
      </c>
      <c r="BA1642" s="93" t="s">
        <v>22668</v>
      </c>
      <c r="BB1642" s="93" t="s">
        <v>22668</v>
      </c>
      <c r="BC1642" s="93" t="s">
        <v>19874</v>
      </c>
      <c r="BD1642" s="87">
        <v>229629676</v>
      </c>
      <c r="BE1642" s="87"/>
      <c r="BF1642" s="87"/>
      <c r="BG1642" s="87"/>
      <c r="BH1642" s="87"/>
      <c r="BI1642" s="87"/>
    </row>
    <row r="1643" spans="1:61" x14ac:dyDescent="0.25">
      <c r="A1643" s="63" t="s">
        <v>781</v>
      </c>
      <c r="B1643" s="63" t="s">
        <v>781</v>
      </c>
      <c r="C1643" s="64"/>
      <c r="D1643" s="65"/>
      <c r="E1643" s="66"/>
      <c r="F1643" s="67"/>
      <c r="G1643" s="64"/>
      <c r="H1643" s="68"/>
      <c r="I1643" s="69"/>
      <c r="J1643" s="69"/>
      <c r="K1643" s="32"/>
      <c r="L1643" s="76">
        <v>1643</v>
      </c>
      <c r="M1643" s="76"/>
      <c r="N1643" s="71"/>
      <c r="O1643" s="87" t="s">
        <v>179</v>
      </c>
      <c r="P1643" s="90">
        <v>45118.417673611111</v>
      </c>
      <c r="Q1643" s="87" t="s">
        <v>3439</v>
      </c>
      <c r="R1643" s="87">
        <v>0</v>
      </c>
      <c r="S1643" s="87">
        <v>0</v>
      </c>
      <c r="T1643" s="87">
        <v>0</v>
      </c>
      <c r="U1643" s="87">
        <v>0</v>
      </c>
      <c r="V1643" s="87">
        <v>2</v>
      </c>
      <c r="W1643" s="93" t="s">
        <v>6957</v>
      </c>
      <c r="X1643" s="92" t="str">
        <f>HYPERLINK("https://bit.ly/3F8gxtX")</f>
        <v>https://bit.ly/3F8gxtX</v>
      </c>
      <c r="Y1643" s="87" t="s">
        <v>8374</v>
      </c>
      <c r="Z1643" s="87"/>
      <c r="AA1643" s="87" t="s">
        <v>9682</v>
      </c>
      <c r="AB1643" s="87" t="s">
        <v>11448</v>
      </c>
      <c r="AC1643" s="93" t="s">
        <v>11467</v>
      </c>
      <c r="AD1643" s="87" t="s">
        <v>11519</v>
      </c>
      <c r="AE1643" s="92" t="str">
        <f>HYPERLINK("https://twitter.com/certform/status/1678706055377821696")</f>
        <v>https://twitter.com/certform/status/1678706055377821696</v>
      </c>
      <c r="AF1643" s="90">
        <v>45118.417673611111</v>
      </c>
      <c r="AG1643" s="99">
        <v>45118</v>
      </c>
      <c r="AH1643" s="93" t="s">
        <v>13039</v>
      </c>
      <c r="AI1643" s="87" t="b">
        <v>0</v>
      </c>
      <c r="AJ1643" s="87"/>
      <c r="AK1643" s="87"/>
      <c r="AL1643" s="87"/>
      <c r="AM1643" s="87"/>
      <c r="AN1643" s="87"/>
      <c r="AO1643" s="87"/>
      <c r="AP1643" s="87"/>
      <c r="AQ1643" s="87" t="s">
        <v>16495</v>
      </c>
      <c r="AR1643" s="87"/>
      <c r="AS1643" s="87"/>
      <c r="AT1643" s="87"/>
      <c r="AU1643" s="87"/>
      <c r="AV1643" s="92" t="str">
        <f>HYPERLINK("https://pbs.twimg.com/media/F0v2QriXsAA7Caa.jpg")</f>
        <v>https://pbs.twimg.com/media/F0v2QriXsAA7Caa.jpg</v>
      </c>
      <c r="AW1643" s="93" t="s">
        <v>19875</v>
      </c>
      <c r="AX1643" s="93" t="s">
        <v>19875</v>
      </c>
      <c r="AY1643" s="87"/>
      <c r="AZ1643" s="93" t="s">
        <v>22668</v>
      </c>
      <c r="BA1643" s="93" t="s">
        <v>22668</v>
      </c>
      <c r="BB1643" s="93" t="s">
        <v>22668</v>
      </c>
      <c r="BC1643" s="93" t="s">
        <v>19875</v>
      </c>
      <c r="BD1643" s="87">
        <v>229629676</v>
      </c>
      <c r="BE1643" s="87"/>
      <c r="BF1643" s="87"/>
      <c r="BG1643" s="87"/>
      <c r="BH1643" s="87"/>
      <c r="BI1643" s="87"/>
    </row>
    <row r="1644" spans="1:61" x14ac:dyDescent="0.25">
      <c r="A1644" s="63" t="s">
        <v>781</v>
      </c>
      <c r="B1644" s="63" t="s">
        <v>781</v>
      </c>
      <c r="C1644" s="64"/>
      <c r="D1644" s="65"/>
      <c r="E1644" s="66"/>
      <c r="F1644" s="67"/>
      <c r="G1644" s="64"/>
      <c r="H1644" s="68"/>
      <c r="I1644" s="69"/>
      <c r="J1644" s="69"/>
      <c r="K1644" s="32"/>
      <c r="L1644" s="76">
        <v>1644</v>
      </c>
      <c r="M1644" s="76"/>
      <c r="N1644" s="71"/>
      <c r="O1644" s="87" t="s">
        <v>179</v>
      </c>
      <c r="P1644" s="90">
        <v>45160.729201388887</v>
      </c>
      <c r="Q1644" s="87" t="s">
        <v>3440</v>
      </c>
      <c r="R1644" s="87">
        <v>0</v>
      </c>
      <c r="S1644" s="87">
        <v>0</v>
      </c>
      <c r="T1644" s="87">
        <v>0</v>
      </c>
      <c r="U1644" s="87">
        <v>0</v>
      </c>
      <c r="V1644" s="87">
        <v>58</v>
      </c>
      <c r="W1644" s="93" t="s">
        <v>6956</v>
      </c>
      <c r="X1644" s="92" t="str">
        <f>HYPERLINK("https://youtu.be/32FOxDczrQE")</f>
        <v>https://youtu.be/32FOxDczrQE</v>
      </c>
      <c r="Y1644" s="87" t="s">
        <v>8372</v>
      </c>
      <c r="Z1644" s="87"/>
      <c r="AA1644" s="87" t="s">
        <v>9683</v>
      </c>
      <c r="AB1644" s="87" t="s">
        <v>11448</v>
      </c>
      <c r="AC1644" s="93" t="s">
        <v>11467</v>
      </c>
      <c r="AD1644" s="87" t="s">
        <v>11519</v>
      </c>
      <c r="AE1644" s="92" t="str">
        <f>HYPERLINK("https://twitter.com/certform/status/1694039242815475751")</f>
        <v>https://twitter.com/certform/status/1694039242815475751</v>
      </c>
      <c r="AF1644" s="90">
        <v>45160.729201388887</v>
      </c>
      <c r="AG1644" s="99">
        <v>45160</v>
      </c>
      <c r="AH1644" s="93" t="s">
        <v>13040</v>
      </c>
      <c r="AI1644" s="87" t="b">
        <v>0</v>
      </c>
      <c r="AJ1644" s="87"/>
      <c r="AK1644" s="87"/>
      <c r="AL1644" s="87"/>
      <c r="AM1644" s="87"/>
      <c r="AN1644" s="87"/>
      <c r="AO1644" s="87"/>
      <c r="AP1644" s="87"/>
      <c r="AQ1644" s="87" t="s">
        <v>16496</v>
      </c>
      <c r="AR1644" s="87"/>
      <c r="AS1644" s="87"/>
      <c r="AT1644" s="87"/>
      <c r="AU1644" s="87"/>
      <c r="AV1644" s="92" t="str">
        <f>HYPERLINK("https://pbs.twimg.com/media/F4Jvtq1XAAAHbAM.jpg")</f>
        <v>https://pbs.twimg.com/media/F4Jvtq1XAAAHbAM.jpg</v>
      </c>
      <c r="AW1644" s="93" t="s">
        <v>19876</v>
      </c>
      <c r="AX1644" s="93" t="s">
        <v>19876</v>
      </c>
      <c r="AY1644" s="87"/>
      <c r="AZ1644" s="93" t="s">
        <v>22668</v>
      </c>
      <c r="BA1644" s="93" t="s">
        <v>22668</v>
      </c>
      <c r="BB1644" s="93" t="s">
        <v>22668</v>
      </c>
      <c r="BC1644" s="93" t="s">
        <v>19876</v>
      </c>
      <c r="BD1644" s="87">
        <v>229629676</v>
      </c>
      <c r="BE1644" s="87"/>
      <c r="BF1644" s="87"/>
      <c r="BG1644" s="87"/>
      <c r="BH1644" s="87"/>
      <c r="BI1644" s="87"/>
    </row>
    <row r="1645" spans="1:61" x14ac:dyDescent="0.25">
      <c r="A1645" s="63" t="s">
        <v>781</v>
      </c>
      <c r="B1645" s="63" t="s">
        <v>781</v>
      </c>
      <c r="C1645" s="64"/>
      <c r="D1645" s="65"/>
      <c r="E1645" s="66"/>
      <c r="F1645" s="67"/>
      <c r="G1645" s="64"/>
      <c r="H1645" s="68"/>
      <c r="I1645" s="69"/>
      <c r="J1645" s="69"/>
      <c r="K1645" s="32"/>
      <c r="L1645" s="76">
        <v>1645</v>
      </c>
      <c r="M1645" s="76"/>
      <c r="N1645" s="71"/>
      <c r="O1645" s="87" t="s">
        <v>179</v>
      </c>
      <c r="P1645" s="90">
        <v>45164.72923611111</v>
      </c>
      <c r="Q1645" s="87" t="s">
        <v>3441</v>
      </c>
      <c r="R1645" s="87">
        <v>0</v>
      </c>
      <c r="S1645" s="87">
        <v>0</v>
      </c>
      <c r="T1645" s="87">
        <v>0</v>
      </c>
      <c r="U1645" s="87">
        <v>0</v>
      </c>
      <c r="V1645" s="87">
        <v>51</v>
      </c>
      <c r="W1645" s="93" t="s">
        <v>6956</v>
      </c>
      <c r="X1645" s="92" t="str">
        <f>HYPERLINK("https://youtu.be/O9zT03c-Qw8")</f>
        <v>https://youtu.be/O9zT03c-Qw8</v>
      </c>
      <c r="Y1645" s="87" t="s">
        <v>8372</v>
      </c>
      <c r="Z1645" s="87"/>
      <c r="AA1645" s="87" t="s">
        <v>9684</v>
      </c>
      <c r="AB1645" s="87" t="s">
        <v>11448</v>
      </c>
      <c r="AC1645" s="93" t="s">
        <v>11467</v>
      </c>
      <c r="AD1645" s="87" t="s">
        <v>11519</v>
      </c>
      <c r="AE1645" s="92" t="str">
        <f>HYPERLINK("https://twitter.com/certform/status/1695488805845786869")</f>
        <v>https://twitter.com/certform/status/1695488805845786869</v>
      </c>
      <c r="AF1645" s="90">
        <v>45164.72923611111</v>
      </c>
      <c r="AG1645" s="99">
        <v>45164</v>
      </c>
      <c r="AH1645" s="93" t="s">
        <v>13041</v>
      </c>
      <c r="AI1645" s="87" t="b">
        <v>0</v>
      </c>
      <c r="AJ1645" s="87"/>
      <c r="AK1645" s="87"/>
      <c r="AL1645" s="87"/>
      <c r="AM1645" s="87"/>
      <c r="AN1645" s="87"/>
      <c r="AO1645" s="87"/>
      <c r="AP1645" s="87"/>
      <c r="AQ1645" s="87" t="s">
        <v>16497</v>
      </c>
      <c r="AR1645" s="87"/>
      <c r="AS1645" s="87"/>
      <c r="AT1645" s="87"/>
      <c r="AU1645" s="87"/>
      <c r="AV1645" s="92" t="str">
        <f>HYPERLINK("https://pbs.twimg.com/media/F4eWFWmXgAA36rW.jpg")</f>
        <v>https://pbs.twimg.com/media/F4eWFWmXgAA36rW.jpg</v>
      </c>
      <c r="AW1645" s="93" t="s">
        <v>19877</v>
      </c>
      <c r="AX1645" s="93" t="s">
        <v>19877</v>
      </c>
      <c r="AY1645" s="87"/>
      <c r="AZ1645" s="93" t="s">
        <v>22668</v>
      </c>
      <c r="BA1645" s="93" t="s">
        <v>22668</v>
      </c>
      <c r="BB1645" s="93" t="s">
        <v>22668</v>
      </c>
      <c r="BC1645" s="93" t="s">
        <v>19877</v>
      </c>
      <c r="BD1645" s="87">
        <v>229629676</v>
      </c>
      <c r="BE1645" s="87"/>
      <c r="BF1645" s="87"/>
      <c r="BG1645" s="87"/>
      <c r="BH1645" s="87"/>
      <c r="BI1645" s="87"/>
    </row>
    <row r="1646" spans="1:61" x14ac:dyDescent="0.25">
      <c r="A1646" s="63" t="s">
        <v>781</v>
      </c>
      <c r="B1646" s="63" t="s">
        <v>781</v>
      </c>
      <c r="C1646" s="64"/>
      <c r="D1646" s="65"/>
      <c r="E1646" s="66"/>
      <c r="F1646" s="67"/>
      <c r="G1646" s="64"/>
      <c r="H1646" s="68"/>
      <c r="I1646" s="69"/>
      <c r="J1646" s="69"/>
      <c r="K1646" s="32"/>
      <c r="L1646" s="76">
        <v>1646</v>
      </c>
      <c r="M1646" s="76"/>
      <c r="N1646" s="71"/>
      <c r="O1646" s="87" t="s">
        <v>179</v>
      </c>
      <c r="P1646" s="90">
        <v>45181.72923611111</v>
      </c>
      <c r="Q1646" s="87" t="s">
        <v>3442</v>
      </c>
      <c r="R1646" s="87">
        <v>0</v>
      </c>
      <c r="S1646" s="87">
        <v>0</v>
      </c>
      <c r="T1646" s="87">
        <v>0</v>
      </c>
      <c r="U1646" s="87">
        <v>0</v>
      </c>
      <c r="V1646" s="87">
        <v>5</v>
      </c>
      <c r="W1646" s="93" t="s">
        <v>6956</v>
      </c>
      <c r="X1646" s="92" t="str">
        <f>HYPERLINK("https://youtu.be/wbFCOatkg48")</f>
        <v>https://youtu.be/wbFCOatkg48</v>
      </c>
      <c r="Y1646" s="87" t="s">
        <v>8372</v>
      </c>
      <c r="Z1646" s="87"/>
      <c r="AA1646" s="87" t="s">
        <v>9685</v>
      </c>
      <c r="AB1646" s="87" t="s">
        <v>11448</v>
      </c>
      <c r="AC1646" s="93" t="s">
        <v>11467</v>
      </c>
      <c r="AD1646" s="87" t="s">
        <v>11519</v>
      </c>
      <c r="AE1646" s="92" t="str">
        <f>HYPERLINK("https://twitter.com/certform/status/1701649397828755740")</f>
        <v>https://twitter.com/certform/status/1701649397828755740</v>
      </c>
      <c r="AF1646" s="90">
        <v>45181.72923611111</v>
      </c>
      <c r="AG1646" s="99">
        <v>45181</v>
      </c>
      <c r="AH1646" s="93" t="s">
        <v>13041</v>
      </c>
      <c r="AI1646" s="87" t="b">
        <v>0</v>
      </c>
      <c r="AJ1646" s="87"/>
      <c r="AK1646" s="87"/>
      <c r="AL1646" s="87"/>
      <c r="AM1646" s="87"/>
      <c r="AN1646" s="87"/>
      <c r="AO1646" s="87"/>
      <c r="AP1646" s="87"/>
      <c r="AQ1646" s="87" t="s">
        <v>16498</v>
      </c>
      <c r="AR1646" s="87"/>
      <c r="AS1646" s="87"/>
      <c r="AT1646" s="87"/>
      <c r="AU1646" s="87"/>
      <c r="AV1646" s="92" t="str">
        <f>HYPERLINK("https://pbs.twimg.com/media/F515G_uW8AAxbyw.jpg")</f>
        <v>https://pbs.twimg.com/media/F515G_uW8AAxbyw.jpg</v>
      </c>
      <c r="AW1646" s="93" t="s">
        <v>19878</v>
      </c>
      <c r="AX1646" s="93" t="s">
        <v>19878</v>
      </c>
      <c r="AY1646" s="87"/>
      <c r="AZ1646" s="93" t="s">
        <v>22668</v>
      </c>
      <c r="BA1646" s="93" t="s">
        <v>22668</v>
      </c>
      <c r="BB1646" s="93" t="s">
        <v>22668</v>
      </c>
      <c r="BC1646" s="93" t="s">
        <v>19878</v>
      </c>
      <c r="BD1646" s="87">
        <v>229629676</v>
      </c>
      <c r="BE1646" s="87"/>
      <c r="BF1646" s="87"/>
      <c r="BG1646" s="87"/>
      <c r="BH1646" s="87"/>
      <c r="BI1646" s="87"/>
    </row>
    <row r="1647" spans="1:61" x14ac:dyDescent="0.25">
      <c r="A1647" s="63" t="s">
        <v>781</v>
      </c>
      <c r="B1647" s="63" t="s">
        <v>781</v>
      </c>
      <c r="C1647" s="64"/>
      <c r="D1647" s="65"/>
      <c r="E1647" s="66"/>
      <c r="F1647" s="67"/>
      <c r="G1647" s="64"/>
      <c r="H1647" s="68"/>
      <c r="I1647" s="69"/>
      <c r="J1647" s="69"/>
      <c r="K1647" s="32"/>
      <c r="L1647" s="76">
        <v>1647</v>
      </c>
      <c r="M1647" s="76"/>
      <c r="N1647" s="71"/>
      <c r="O1647" s="87" t="s">
        <v>179</v>
      </c>
      <c r="P1647" s="90">
        <v>45152.729178240741</v>
      </c>
      <c r="Q1647" s="87" t="s">
        <v>3443</v>
      </c>
      <c r="R1647" s="87">
        <v>0</v>
      </c>
      <c r="S1647" s="87">
        <v>0</v>
      </c>
      <c r="T1647" s="87">
        <v>0</v>
      </c>
      <c r="U1647" s="87">
        <v>0</v>
      </c>
      <c r="V1647" s="87">
        <v>17</v>
      </c>
      <c r="W1647" s="93" t="s">
        <v>6956</v>
      </c>
      <c r="X1647" s="92" t="str">
        <f>HYPERLINK("https://youtu.be/igS1TR5X7tA")</f>
        <v>https://youtu.be/igS1TR5X7tA</v>
      </c>
      <c r="Y1647" s="87" t="s">
        <v>8372</v>
      </c>
      <c r="Z1647" s="87"/>
      <c r="AA1647" s="87" t="s">
        <v>9686</v>
      </c>
      <c r="AB1647" s="87" t="s">
        <v>11448</v>
      </c>
      <c r="AC1647" s="93" t="s">
        <v>11467</v>
      </c>
      <c r="AD1647" s="87" t="s">
        <v>11519</v>
      </c>
      <c r="AE1647" s="92" t="str">
        <f>HYPERLINK("https://twitter.com/certform/status/1691140128280817666")</f>
        <v>https://twitter.com/certform/status/1691140128280817666</v>
      </c>
      <c r="AF1647" s="90">
        <v>45152.729178240741</v>
      </c>
      <c r="AG1647" s="99">
        <v>45152</v>
      </c>
      <c r="AH1647" s="93" t="s">
        <v>13042</v>
      </c>
      <c r="AI1647" s="87" t="b">
        <v>0</v>
      </c>
      <c r="AJ1647" s="87"/>
      <c r="AK1647" s="87"/>
      <c r="AL1647" s="87"/>
      <c r="AM1647" s="87"/>
      <c r="AN1647" s="87"/>
      <c r="AO1647" s="87"/>
      <c r="AP1647" s="87"/>
      <c r="AQ1647" s="87" t="s">
        <v>16499</v>
      </c>
      <c r="AR1647" s="87"/>
      <c r="AS1647" s="87"/>
      <c r="AT1647" s="87"/>
      <c r="AU1647" s="87"/>
      <c r="AV1647" s="92" t="str">
        <f>HYPERLINK("https://pbs.twimg.com/media/F3gi-_ZXEAABxU6.jpg")</f>
        <v>https://pbs.twimg.com/media/F3gi-_ZXEAABxU6.jpg</v>
      </c>
      <c r="AW1647" s="93" t="s">
        <v>19879</v>
      </c>
      <c r="AX1647" s="93" t="s">
        <v>19879</v>
      </c>
      <c r="AY1647" s="87"/>
      <c r="AZ1647" s="93" t="s">
        <v>22668</v>
      </c>
      <c r="BA1647" s="93" t="s">
        <v>22668</v>
      </c>
      <c r="BB1647" s="93" t="s">
        <v>22668</v>
      </c>
      <c r="BC1647" s="93" t="s">
        <v>19879</v>
      </c>
      <c r="BD1647" s="87">
        <v>229629676</v>
      </c>
      <c r="BE1647" s="87"/>
      <c r="BF1647" s="87"/>
      <c r="BG1647" s="87"/>
      <c r="BH1647" s="87"/>
      <c r="BI1647" s="87"/>
    </row>
    <row r="1648" spans="1:61" x14ac:dyDescent="0.25">
      <c r="A1648" s="63" t="s">
        <v>781</v>
      </c>
      <c r="B1648" s="63" t="s">
        <v>781</v>
      </c>
      <c r="C1648" s="64"/>
      <c r="D1648" s="65"/>
      <c r="E1648" s="66"/>
      <c r="F1648" s="67"/>
      <c r="G1648" s="64"/>
      <c r="H1648" s="68"/>
      <c r="I1648" s="69"/>
      <c r="J1648" s="69"/>
      <c r="K1648" s="32"/>
      <c r="L1648" s="76">
        <v>1648</v>
      </c>
      <c r="M1648" s="76"/>
      <c r="N1648" s="71"/>
      <c r="O1648" s="87" t="s">
        <v>179</v>
      </c>
      <c r="P1648" s="90">
        <v>45179.729201388887</v>
      </c>
      <c r="Q1648" s="87" t="s">
        <v>3444</v>
      </c>
      <c r="R1648" s="87">
        <v>0</v>
      </c>
      <c r="S1648" s="87">
        <v>0</v>
      </c>
      <c r="T1648" s="87">
        <v>0</v>
      </c>
      <c r="U1648" s="87">
        <v>0</v>
      </c>
      <c r="V1648" s="87">
        <v>22</v>
      </c>
      <c r="W1648" s="93" t="s">
        <v>6956</v>
      </c>
      <c r="X1648" s="92" t="str">
        <f>HYPERLINK("https://youtu.be/fIs3OcKM2jI")</f>
        <v>https://youtu.be/fIs3OcKM2jI</v>
      </c>
      <c r="Y1648" s="87" t="s">
        <v>8372</v>
      </c>
      <c r="Z1648" s="87"/>
      <c r="AA1648" s="87" t="s">
        <v>9687</v>
      </c>
      <c r="AB1648" s="87" t="s">
        <v>11448</v>
      </c>
      <c r="AC1648" s="93" t="s">
        <v>11467</v>
      </c>
      <c r="AD1648" s="87" t="s">
        <v>11519</v>
      </c>
      <c r="AE1648" s="92" t="str">
        <f>HYPERLINK("https://twitter.com/certform/status/1700924610974228480")</f>
        <v>https://twitter.com/certform/status/1700924610974228480</v>
      </c>
      <c r="AF1648" s="90">
        <v>45179.729201388887</v>
      </c>
      <c r="AG1648" s="99">
        <v>45179</v>
      </c>
      <c r="AH1648" s="93" t="s">
        <v>13040</v>
      </c>
      <c r="AI1648" s="87" t="b">
        <v>0</v>
      </c>
      <c r="AJ1648" s="87"/>
      <c r="AK1648" s="87"/>
      <c r="AL1648" s="87"/>
      <c r="AM1648" s="87"/>
      <c r="AN1648" s="87"/>
      <c r="AO1648" s="87"/>
      <c r="AP1648" s="87"/>
      <c r="AQ1648" s="87" t="s">
        <v>16500</v>
      </c>
      <c r="AR1648" s="87"/>
      <c r="AS1648" s="87"/>
      <c r="AT1648" s="87"/>
      <c r="AU1648" s="87"/>
      <c r="AV1648" s="92" t="str">
        <f>HYPERLINK("https://pbs.twimg.com/media/F5rl61XXUAAXV3I.jpg")</f>
        <v>https://pbs.twimg.com/media/F5rl61XXUAAXV3I.jpg</v>
      </c>
      <c r="AW1648" s="93" t="s">
        <v>19880</v>
      </c>
      <c r="AX1648" s="93" t="s">
        <v>19880</v>
      </c>
      <c r="AY1648" s="87"/>
      <c r="AZ1648" s="93" t="s">
        <v>22668</v>
      </c>
      <c r="BA1648" s="93" t="s">
        <v>22668</v>
      </c>
      <c r="BB1648" s="93" t="s">
        <v>22668</v>
      </c>
      <c r="BC1648" s="93" t="s">
        <v>19880</v>
      </c>
      <c r="BD1648" s="87">
        <v>229629676</v>
      </c>
      <c r="BE1648" s="87"/>
      <c r="BF1648" s="87"/>
      <c r="BG1648" s="87"/>
      <c r="BH1648" s="87"/>
      <c r="BI1648" s="87"/>
    </row>
    <row r="1649" spans="1:61" x14ac:dyDescent="0.25">
      <c r="A1649" s="63" t="s">
        <v>781</v>
      </c>
      <c r="B1649" s="63" t="s">
        <v>781</v>
      </c>
      <c r="C1649" s="64"/>
      <c r="D1649" s="65"/>
      <c r="E1649" s="66"/>
      <c r="F1649" s="67"/>
      <c r="G1649" s="64"/>
      <c r="H1649" s="68"/>
      <c r="I1649" s="69"/>
      <c r="J1649" s="69"/>
      <c r="K1649" s="32"/>
      <c r="L1649" s="76">
        <v>1649</v>
      </c>
      <c r="M1649" s="76"/>
      <c r="N1649" s="71"/>
      <c r="O1649" s="87" t="s">
        <v>179</v>
      </c>
      <c r="P1649" s="90">
        <v>45158.729247685187</v>
      </c>
      <c r="Q1649" s="87" t="s">
        <v>3445</v>
      </c>
      <c r="R1649" s="87">
        <v>0</v>
      </c>
      <c r="S1649" s="87">
        <v>0</v>
      </c>
      <c r="T1649" s="87">
        <v>0</v>
      </c>
      <c r="U1649" s="87">
        <v>0</v>
      </c>
      <c r="V1649" s="87">
        <v>40</v>
      </c>
      <c r="W1649" s="93" t="s">
        <v>6956</v>
      </c>
      <c r="X1649" s="92" t="str">
        <f>HYPERLINK("https://youtu.be/kJXDdOIvnCY")</f>
        <v>https://youtu.be/kJXDdOIvnCY</v>
      </c>
      <c r="Y1649" s="87" t="s">
        <v>8372</v>
      </c>
      <c r="Z1649" s="87"/>
      <c r="AA1649" s="87" t="s">
        <v>9688</v>
      </c>
      <c r="AB1649" s="87" t="s">
        <v>11448</v>
      </c>
      <c r="AC1649" s="93" t="s">
        <v>11467</v>
      </c>
      <c r="AD1649" s="87" t="s">
        <v>11519</v>
      </c>
      <c r="AE1649" s="92" t="str">
        <f>HYPERLINK("https://twitter.com/certform/status/1693314483475673545")</f>
        <v>https://twitter.com/certform/status/1693314483475673545</v>
      </c>
      <c r="AF1649" s="90">
        <v>45158.729247685187</v>
      </c>
      <c r="AG1649" s="99">
        <v>45158</v>
      </c>
      <c r="AH1649" s="93" t="s">
        <v>13043</v>
      </c>
      <c r="AI1649" s="87" t="b">
        <v>0</v>
      </c>
      <c r="AJ1649" s="87"/>
      <c r="AK1649" s="87"/>
      <c r="AL1649" s="87"/>
      <c r="AM1649" s="87"/>
      <c r="AN1649" s="87"/>
      <c r="AO1649" s="87"/>
      <c r="AP1649" s="87"/>
      <c r="AQ1649" s="87" t="s">
        <v>16501</v>
      </c>
      <c r="AR1649" s="87"/>
      <c r="AS1649" s="87"/>
      <c r="AT1649" s="87"/>
      <c r="AU1649" s="87"/>
      <c r="AV1649" s="92" t="str">
        <f>HYPERLINK("https://pbs.twimg.com/media/F3_cjHkXAAEqsmB.jpg")</f>
        <v>https://pbs.twimg.com/media/F3_cjHkXAAEqsmB.jpg</v>
      </c>
      <c r="AW1649" s="93" t="s">
        <v>19881</v>
      </c>
      <c r="AX1649" s="93" t="s">
        <v>19881</v>
      </c>
      <c r="AY1649" s="87"/>
      <c r="AZ1649" s="93" t="s">
        <v>22668</v>
      </c>
      <c r="BA1649" s="93" t="s">
        <v>22668</v>
      </c>
      <c r="BB1649" s="93" t="s">
        <v>22668</v>
      </c>
      <c r="BC1649" s="93" t="s">
        <v>19881</v>
      </c>
      <c r="BD1649" s="87">
        <v>229629676</v>
      </c>
      <c r="BE1649" s="87"/>
      <c r="BF1649" s="87"/>
      <c r="BG1649" s="87"/>
      <c r="BH1649" s="87"/>
      <c r="BI1649" s="87"/>
    </row>
    <row r="1650" spans="1:61" x14ac:dyDescent="0.25">
      <c r="A1650" s="63" t="s">
        <v>781</v>
      </c>
      <c r="B1650" s="63" t="s">
        <v>781</v>
      </c>
      <c r="C1650" s="64"/>
      <c r="D1650" s="65"/>
      <c r="E1650" s="66"/>
      <c r="F1650" s="67"/>
      <c r="G1650" s="64"/>
      <c r="H1650" s="68"/>
      <c r="I1650" s="69"/>
      <c r="J1650" s="69"/>
      <c r="K1650" s="32"/>
      <c r="L1650" s="76">
        <v>1650</v>
      </c>
      <c r="M1650" s="76"/>
      <c r="N1650" s="71"/>
      <c r="O1650" s="87" t="s">
        <v>179</v>
      </c>
      <c r="P1650" s="90">
        <v>45147.729409722226</v>
      </c>
      <c r="Q1650" s="87" t="s">
        <v>3446</v>
      </c>
      <c r="R1650" s="87">
        <v>0</v>
      </c>
      <c r="S1650" s="87">
        <v>0</v>
      </c>
      <c r="T1650" s="87">
        <v>0</v>
      </c>
      <c r="U1650" s="87">
        <v>0</v>
      </c>
      <c r="V1650" s="87">
        <v>11</v>
      </c>
      <c r="W1650" s="93" t="s">
        <v>6956</v>
      </c>
      <c r="X1650" s="92" t="str">
        <f>HYPERLINK("https://youtu.be/IdwEg8LbHwI")</f>
        <v>https://youtu.be/IdwEg8LbHwI</v>
      </c>
      <c r="Y1650" s="87" t="s">
        <v>8372</v>
      </c>
      <c r="Z1650" s="87"/>
      <c r="AA1650" s="87" t="s">
        <v>9689</v>
      </c>
      <c r="AB1650" s="87" t="s">
        <v>11448</v>
      </c>
      <c r="AC1650" s="93" t="s">
        <v>11467</v>
      </c>
      <c r="AD1650" s="87" t="s">
        <v>11519</v>
      </c>
      <c r="AE1650" s="92" t="str">
        <f>HYPERLINK("https://twitter.com/certform/status/1689328274583728131")</f>
        <v>https://twitter.com/certform/status/1689328274583728131</v>
      </c>
      <c r="AF1650" s="90">
        <v>45147.729409722226</v>
      </c>
      <c r="AG1650" s="99">
        <v>45147</v>
      </c>
      <c r="AH1650" s="93" t="s">
        <v>13044</v>
      </c>
      <c r="AI1650" s="87" t="b">
        <v>0</v>
      </c>
      <c r="AJ1650" s="87"/>
      <c r="AK1650" s="87"/>
      <c r="AL1650" s="87"/>
      <c r="AM1650" s="87"/>
      <c r="AN1650" s="87"/>
      <c r="AO1650" s="87"/>
      <c r="AP1650" s="87"/>
      <c r="AQ1650" s="87" t="s">
        <v>16502</v>
      </c>
      <c r="AR1650" s="87"/>
      <c r="AS1650" s="87"/>
      <c r="AT1650" s="87"/>
      <c r="AU1650" s="87"/>
      <c r="AV1650" s="92" t="str">
        <f>HYPERLINK("https://pbs.twimg.com/media/F3GzHNqWYAAh98e.jpg")</f>
        <v>https://pbs.twimg.com/media/F3GzHNqWYAAh98e.jpg</v>
      </c>
      <c r="AW1650" s="93" t="s">
        <v>19882</v>
      </c>
      <c r="AX1650" s="93" t="s">
        <v>19882</v>
      </c>
      <c r="AY1650" s="87"/>
      <c r="AZ1650" s="93" t="s">
        <v>22668</v>
      </c>
      <c r="BA1650" s="93" t="s">
        <v>22668</v>
      </c>
      <c r="BB1650" s="93" t="s">
        <v>22668</v>
      </c>
      <c r="BC1650" s="93" t="s">
        <v>19882</v>
      </c>
      <c r="BD1650" s="87">
        <v>229629676</v>
      </c>
      <c r="BE1650" s="87"/>
      <c r="BF1650" s="87"/>
      <c r="BG1650" s="87"/>
      <c r="BH1650" s="87"/>
      <c r="BI1650" s="87"/>
    </row>
    <row r="1651" spans="1:61" x14ac:dyDescent="0.25">
      <c r="A1651" s="63" t="s">
        <v>781</v>
      </c>
      <c r="B1651" s="63" t="s">
        <v>781</v>
      </c>
      <c r="C1651" s="64"/>
      <c r="D1651" s="65"/>
      <c r="E1651" s="66"/>
      <c r="F1651" s="67"/>
      <c r="G1651" s="64"/>
      <c r="H1651" s="68"/>
      <c r="I1651" s="69"/>
      <c r="J1651" s="69"/>
      <c r="K1651" s="32"/>
      <c r="L1651" s="76">
        <v>1651</v>
      </c>
      <c r="M1651" s="76"/>
      <c r="N1651" s="71"/>
      <c r="O1651" s="87" t="s">
        <v>179</v>
      </c>
      <c r="P1651" s="90">
        <v>45186.729166666664</v>
      </c>
      <c r="Q1651" s="87" t="s">
        <v>3447</v>
      </c>
      <c r="R1651" s="87">
        <v>0</v>
      </c>
      <c r="S1651" s="87">
        <v>0</v>
      </c>
      <c r="T1651" s="87">
        <v>0</v>
      </c>
      <c r="U1651" s="87">
        <v>0</v>
      </c>
      <c r="V1651" s="87">
        <v>4</v>
      </c>
      <c r="W1651" s="93" t="s">
        <v>6956</v>
      </c>
      <c r="X1651" s="92" t="str">
        <f>HYPERLINK("https://youtu.be/2eAKE81vnns")</f>
        <v>https://youtu.be/2eAKE81vnns</v>
      </c>
      <c r="Y1651" s="87" t="s">
        <v>8372</v>
      </c>
      <c r="Z1651" s="87"/>
      <c r="AA1651" s="87" t="s">
        <v>9690</v>
      </c>
      <c r="AB1651" s="87" t="s">
        <v>11448</v>
      </c>
      <c r="AC1651" s="93" t="s">
        <v>11467</v>
      </c>
      <c r="AD1651" s="87" t="s">
        <v>11519</v>
      </c>
      <c r="AE1651" s="92" t="str">
        <f>HYPERLINK("https://twitter.com/certform/status/1703461314708807695")</f>
        <v>https://twitter.com/certform/status/1703461314708807695</v>
      </c>
      <c r="AF1651" s="90">
        <v>45186.729166666664</v>
      </c>
      <c r="AG1651" s="99">
        <v>45186</v>
      </c>
      <c r="AH1651" s="93" t="s">
        <v>11960</v>
      </c>
      <c r="AI1651" s="87" t="b">
        <v>0</v>
      </c>
      <c r="AJ1651" s="87"/>
      <c r="AK1651" s="87"/>
      <c r="AL1651" s="87"/>
      <c r="AM1651" s="87"/>
      <c r="AN1651" s="87"/>
      <c r="AO1651" s="87"/>
      <c r="AP1651" s="87"/>
      <c r="AQ1651" s="87" t="s">
        <v>16503</v>
      </c>
      <c r="AR1651" s="87"/>
      <c r="AS1651" s="87"/>
      <c r="AT1651" s="87"/>
      <c r="AU1651" s="87"/>
      <c r="AV1651" s="92" t="str">
        <f>HYPERLINK("https://pbs.twimg.com/media/F6PpCcvXwAADRIe.jpg")</f>
        <v>https://pbs.twimg.com/media/F6PpCcvXwAADRIe.jpg</v>
      </c>
      <c r="AW1651" s="93" t="s">
        <v>19883</v>
      </c>
      <c r="AX1651" s="93" t="s">
        <v>19883</v>
      </c>
      <c r="AY1651" s="87"/>
      <c r="AZ1651" s="93" t="s">
        <v>22668</v>
      </c>
      <c r="BA1651" s="93" t="s">
        <v>22668</v>
      </c>
      <c r="BB1651" s="93" t="s">
        <v>22668</v>
      </c>
      <c r="BC1651" s="93" t="s">
        <v>19883</v>
      </c>
      <c r="BD1651" s="87">
        <v>229629676</v>
      </c>
      <c r="BE1651" s="87"/>
      <c r="BF1651" s="87"/>
      <c r="BG1651" s="87"/>
      <c r="BH1651" s="87"/>
      <c r="BI1651" s="87"/>
    </row>
    <row r="1652" spans="1:61" x14ac:dyDescent="0.25">
      <c r="A1652" s="63" t="s">
        <v>781</v>
      </c>
      <c r="B1652" s="63" t="s">
        <v>781</v>
      </c>
      <c r="C1652" s="64"/>
      <c r="D1652" s="65"/>
      <c r="E1652" s="66"/>
      <c r="F1652" s="67"/>
      <c r="G1652" s="64"/>
      <c r="H1652" s="68"/>
      <c r="I1652" s="69"/>
      <c r="J1652" s="69"/>
      <c r="K1652" s="32"/>
      <c r="L1652" s="76">
        <v>1652</v>
      </c>
      <c r="M1652" s="76"/>
      <c r="N1652" s="71"/>
      <c r="O1652" s="87" t="s">
        <v>179</v>
      </c>
      <c r="P1652" s="90">
        <v>45192.729178240741</v>
      </c>
      <c r="Q1652" s="87" t="s">
        <v>3448</v>
      </c>
      <c r="R1652" s="87">
        <v>0</v>
      </c>
      <c r="S1652" s="87">
        <v>0</v>
      </c>
      <c r="T1652" s="87">
        <v>0</v>
      </c>
      <c r="U1652" s="87">
        <v>0</v>
      </c>
      <c r="V1652" s="87">
        <v>5</v>
      </c>
      <c r="W1652" s="93" t="s">
        <v>6956</v>
      </c>
      <c r="X1652" s="92" t="str">
        <f>HYPERLINK("https://youtu.be/N1Q4bvu-PyE")</f>
        <v>https://youtu.be/N1Q4bvu-PyE</v>
      </c>
      <c r="Y1652" s="87" t="s">
        <v>8372</v>
      </c>
      <c r="Z1652" s="87"/>
      <c r="AA1652" s="87" t="s">
        <v>9691</v>
      </c>
      <c r="AB1652" s="87" t="s">
        <v>11448</v>
      </c>
      <c r="AC1652" s="93" t="s">
        <v>11467</v>
      </c>
      <c r="AD1652" s="87" t="s">
        <v>11519</v>
      </c>
      <c r="AE1652" s="92" t="str">
        <f>HYPERLINK("https://twitter.com/certform/status/1705635642581922008")</f>
        <v>https://twitter.com/certform/status/1705635642581922008</v>
      </c>
      <c r="AF1652" s="90">
        <v>45192.729178240741</v>
      </c>
      <c r="AG1652" s="99">
        <v>45192</v>
      </c>
      <c r="AH1652" s="93" t="s">
        <v>13042</v>
      </c>
      <c r="AI1652" s="87" t="b">
        <v>0</v>
      </c>
      <c r="AJ1652" s="87"/>
      <c r="AK1652" s="87"/>
      <c r="AL1652" s="87"/>
      <c r="AM1652" s="87"/>
      <c r="AN1652" s="87"/>
      <c r="AO1652" s="87"/>
      <c r="AP1652" s="87"/>
      <c r="AQ1652" s="87" t="s">
        <v>16504</v>
      </c>
      <c r="AR1652" s="87"/>
      <c r="AS1652" s="87"/>
      <c r="AT1652" s="87"/>
      <c r="AU1652" s="87"/>
      <c r="AV1652" s="92" t="str">
        <f>HYPERLINK("https://pbs.twimg.com/media/F6uik_2WcAARtig.jpg")</f>
        <v>https://pbs.twimg.com/media/F6uik_2WcAARtig.jpg</v>
      </c>
      <c r="AW1652" s="93" t="s">
        <v>19884</v>
      </c>
      <c r="AX1652" s="93" t="s">
        <v>19884</v>
      </c>
      <c r="AY1652" s="87"/>
      <c r="AZ1652" s="93" t="s">
        <v>22668</v>
      </c>
      <c r="BA1652" s="93" t="s">
        <v>22668</v>
      </c>
      <c r="BB1652" s="93" t="s">
        <v>22668</v>
      </c>
      <c r="BC1652" s="93" t="s">
        <v>19884</v>
      </c>
      <c r="BD1652" s="87">
        <v>229629676</v>
      </c>
      <c r="BE1652" s="87"/>
      <c r="BF1652" s="87"/>
      <c r="BG1652" s="87"/>
      <c r="BH1652" s="87"/>
      <c r="BI1652" s="87"/>
    </row>
    <row r="1653" spans="1:61" x14ac:dyDescent="0.25">
      <c r="A1653" s="63" t="s">
        <v>781</v>
      </c>
      <c r="B1653" s="63" t="s">
        <v>781</v>
      </c>
      <c r="C1653" s="64"/>
      <c r="D1653" s="65"/>
      <c r="E1653" s="66"/>
      <c r="F1653" s="67"/>
      <c r="G1653" s="64"/>
      <c r="H1653" s="68"/>
      <c r="I1653" s="69"/>
      <c r="J1653" s="69"/>
      <c r="K1653" s="32"/>
      <c r="L1653" s="76">
        <v>1653</v>
      </c>
      <c r="M1653" s="76"/>
      <c r="N1653" s="71"/>
      <c r="O1653" s="87" t="s">
        <v>179</v>
      </c>
      <c r="P1653" s="90">
        <v>45187.729583333334</v>
      </c>
      <c r="Q1653" s="87" t="s">
        <v>3449</v>
      </c>
      <c r="R1653" s="87">
        <v>0</v>
      </c>
      <c r="S1653" s="87">
        <v>0</v>
      </c>
      <c r="T1653" s="87">
        <v>0</v>
      </c>
      <c r="U1653" s="87">
        <v>0</v>
      </c>
      <c r="V1653" s="87">
        <v>3</v>
      </c>
      <c r="W1653" s="93" t="s">
        <v>6956</v>
      </c>
      <c r="X1653" s="92" t="str">
        <f>HYPERLINK("https://youtu.be/WZigCqq4VYo")</f>
        <v>https://youtu.be/WZigCqq4VYo</v>
      </c>
      <c r="Y1653" s="87" t="s">
        <v>8372</v>
      </c>
      <c r="Z1653" s="87"/>
      <c r="AA1653" s="87" t="s">
        <v>9692</v>
      </c>
      <c r="AB1653" s="87" t="s">
        <v>11448</v>
      </c>
      <c r="AC1653" s="93" t="s">
        <v>11467</v>
      </c>
      <c r="AD1653" s="87" t="s">
        <v>11519</v>
      </c>
      <c r="AE1653" s="92" t="str">
        <f>HYPERLINK("https://twitter.com/certform/status/1703823850197193185")</f>
        <v>https://twitter.com/certform/status/1703823850197193185</v>
      </c>
      <c r="AF1653" s="90">
        <v>45187.729583333334</v>
      </c>
      <c r="AG1653" s="99">
        <v>45187</v>
      </c>
      <c r="AH1653" s="93" t="s">
        <v>13045</v>
      </c>
      <c r="AI1653" s="87" t="b">
        <v>0</v>
      </c>
      <c r="AJ1653" s="87"/>
      <c r="AK1653" s="87"/>
      <c r="AL1653" s="87"/>
      <c r="AM1653" s="87"/>
      <c r="AN1653" s="87"/>
      <c r="AO1653" s="87"/>
      <c r="AP1653" s="87"/>
      <c r="AQ1653" s="87" t="s">
        <v>16505</v>
      </c>
      <c r="AR1653" s="87"/>
      <c r="AS1653" s="87"/>
      <c r="AT1653" s="87"/>
      <c r="AU1653" s="87"/>
      <c r="AV1653" s="92" t="str">
        <f>HYPERLINK("https://pbs.twimg.com/media/F6UywyTW8AASuSb.jpg")</f>
        <v>https://pbs.twimg.com/media/F6UywyTW8AASuSb.jpg</v>
      </c>
      <c r="AW1653" s="93" t="s">
        <v>19885</v>
      </c>
      <c r="AX1653" s="93" t="s">
        <v>19885</v>
      </c>
      <c r="AY1653" s="87"/>
      <c r="AZ1653" s="93" t="s">
        <v>22668</v>
      </c>
      <c r="BA1653" s="93" t="s">
        <v>22668</v>
      </c>
      <c r="BB1653" s="93" t="s">
        <v>22668</v>
      </c>
      <c r="BC1653" s="93" t="s">
        <v>19885</v>
      </c>
      <c r="BD1653" s="87">
        <v>229629676</v>
      </c>
      <c r="BE1653" s="87"/>
      <c r="BF1653" s="87"/>
      <c r="BG1653" s="87"/>
      <c r="BH1653" s="87"/>
      <c r="BI1653" s="87"/>
    </row>
    <row r="1654" spans="1:61" x14ac:dyDescent="0.25">
      <c r="A1654" s="63" t="s">
        <v>781</v>
      </c>
      <c r="B1654" s="63" t="s">
        <v>781</v>
      </c>
      <c r="C1654" s="64"/>
      <c r="D1654" s="65"/>
      <c r="E1654" s="66"/>
      <c r="F1654" s="67"/>
      <c r="G1654" s="64"/>
      <c r="H1654" s="68"/>
      <c r="I1654" s="69"/>
      <c r="J1654" s="69"/>
      <c r="K1654" s="32"/>
      <c r="L1654" s="76">
        <v>1654</v>
      </c>
      <c r="M1654" s="76"/>
      <c r="N1654" s="71"/>
      <c r="O1654" s="87" t="s">
        <v>179</v>
      </c>
      <c r="P1654" s="90">
        <v>45182.729467592595</v>
      </c>
      <c r="Q1654" s="87" t="s">
        <v>3450</v>
      </c>
      <c r="R1654" s="87">
        <v>0</v>
      </c>
      <c r="S1654" s="87">
        <v>0</v>
      </c>
      <c r="T1654" s="87">
        <v>0</v>
      </c>
      <c r="U1654" s="87">
        <v>0</v>
      </c>
      <c r="V1654" s="87">
        <v>6</v>
      </c>
      <c r="W1654" s="93" t="s">
        <v>6956</v>
      </c>
      <c r="X1654" s="92" t="str">
        <f>HYPERLINK("https://youtu.be/4NRTtBWzHz4")</f>
        <v>https://youtu.be/4NRTtBWzHz4</v>
      </c>
      <c r="Y1654" s="87" t="s">
        <v>8372</v>
      </c>
      <c r="Z1654" s="87"/>
      <c r="AA1654" s="87" t="s">
        <v>9693</v>
      </c>
      <c r="AB1654" s="87" t="s">
        <v>11448</v>
      </c>
      <c r="AC1654" s="93" t="s">
        <v>11467</v>
      </c>
      <c r="AD1654" s="87" t="s">
        <v>11519</v>
      </c>
      <c r="AE1654" s="92" t="str">
        <f>HYPERLINK("https://twitter.com/certform/status/1702011870519914529")</f>
        <v>https://twitter.com/certform/status/1702011870519914529</v>
      </c>
      <c r="AF1654" s="90">
        <v>45182.729467592595</v>
      </c>
      <c r="AG1654" s="99">
        <v>45182</v>
      </c>
      <c r="AH1654" s="93" t="s">
        <v>13046</v>
      </c>
      <c r="AI1654" s="87" t="b">
        <v>0</v>
      </c>
      <c r="AJ1654" s="87"/>
      <c r="AK1654" s="87"/>
      <c r="AL1654" s="87"/>
      <c r="AM1654" s="87"/>
      <c r="AN1654" s="87"/>
      <c r="AO1654" s="87"/>
      <c r="AP1654" s="87"/>
      <c r="AQ1654" s="87" t="s">
        <v>16506</v>
      </c>
      <c r="AR1654" s="87"/>
      <c r="AS1654" s="87"/>
      <c r="AT1654" s="87"/>
      <c r="AU1654" s="87"/>
      <c r="AV1654" s="92" t="str">
        <f>HYPERLINK("https://pbs.twimg.com/media/F57CxqDW8AAKQbV.jpg")</f>
        <v>https://pbs.twimg.com/media/F57CxqDW8AAKQbV.jpg</v>
      </c>
      <c r="AW1654" s="93" t="s">
        <v>19886</v>
      </c>
      <c r="AX1654" s="93" t="s">
        <v>19886</v>
      </c>
      <c r="AY1654" s="87"/>
      <c r="AZ1654" s="93" t="s">
        <v>22668</v>
      </c>
      <c r="BA1654" s="93" t="s">
        <v>22668</v>
      </c>
      <c r="BB1654" s="93" t="s">
        <v>22668</v>
      </c>
      <c r="BC1654" s="93" t="s">
        <v>19886</v>
      </c>
      <c r="BD1654" s="87">
        <v>229629676</v>
      </c>
      <c r="BE1654" s="87"/>
      <c r="BF1654" s="87"/>
      <c r="BG1654" s="87"/>
      <c r="BH1654" s="87"/>
      <c r="BI1654" s="87"/>
    </row>
    <row r="1655" spans="1:61" x14ac:dyDescent="0.25">
      <c r="A1655" s="63" t="s">
        <v>781</v>
      </c>
      <c r="B1655" s="63" t="s">
        <v>781</v>
      </c>
      <c r="C1655" s="64"/>
      <c r="D1655" s="65"/>
      <c r="E1655" s="66"/>
      <c r="F1655" s="67"/>
      <c r="G1655" s="64"/>
      <c r="H1655" s="68"/>
      <c r="I1655" s="69"/>
      <c r="J1655" s="69"/>
      <c r="K1655" s="32"/>
      <c r="L1655" s="76">
        <v>1655</v>
      </c>
      <c r="M1655" s="76"/>
      <c r="N1655" s="71"/>
      <c r="O1655" s="87" t="s">
        <v>179</v>
      </c>
      <c r="P1655" s="90">
        <v>45154.729270833333</v>
      </c>
      <c r="Q1655" s="87" t="s">
        <v>3451</v>
      </c>
      <c r="R1655" s="87">
        <v>0</v>
      </c>
      <c r="S1655" s="87">
        <v>0</v>
      </c>
      <c r="T1655" s="87">
        <v>0</v>
      </c>
      <c r="U1655" s="87">
        <v>0</v>
      </c>
      <c r="V1655" s="87">
        <v>14</v>
      </c>
      <c r="W1655" s="93" t="s">
        <v>6956</v>
      </c>
      <c r="X1655" s="92" t="str">
        <f>HYPERLINK("https://youtu.be/0_oEU8dHAS0")</f>
        <v>https://youtu.be/0_oEU8dHAS0</v>
      </c>
      <c r="Y1655" s="87" t="s">
        <v>8372</v>
      </c>
      <c r="Z1655" s="87"/>
      <c r="AA1655" s="87" t="s">
        <v>9694</v>
      </c>
      <c r="AB1655" s="87" t="s">
        <v>11448</v>
      </c>
      <c r="AC1655" s="93" t="s">
        <v>11467</v>
      </c>
      <c r="AD1655" s="87" t="s">
        <v>11519</v>
      </c>
      <c r="AE1655" s="92" t="str">
        <f>HYPERLINK("https://twitter.com/certform/status/1691864938455724057")</f>
        <v>https://twitter.com/certform/status/1691864938455724057</v>
      </c>
      <c r="AF1655" s="90">
        <v>45154.729270833333</v>
      </c>
      <c r="AG1655" s="99">
        <v>45154</v>
      </c>
      <c r="AH1655" s="93" t="s">
        <v>13047</v>
      </c>
      <c r="AI1655" s="87" t="b">
        <v>0</v>
      </c>
      <c r="AJ1655" s="87"/>
      <c r="AK1655" s="87"/>
      <c r="AL1655" s="87"/>
      <c r="AM1655" s="87"/>
      <c r="AN1655" s="87"/>
      <c r="AO1655" s="87"/>
      <c r="AP1655" s="87"/>
      <c r="AQ1655" s="87" t="s">
        <v>16507</v>
      </c>
      <c r="AR1655" s="87"/>
      <c r="AS1655" s="87"/>
      <c r="AT1655" s="87"/>
      <c r="AU1655" s="87"/>
      <c r="AV1655" s="92" t="str">
        <f>HYPERLINK("https://pbs.twimg.com/media/F3q2MeuXcBYDzBK.jpg")</f>
        <v>https://pbs.twimg.com/media/F3q2MeuXcBYDzBK.jpg</v>
      </c>
      <c r="AW1655" s="93" t="s">
        <v>19887</v>
      </c>
      <c r="AX1655" s="93" t="s">
        <v>19887</v>
      </c>
      <c r="AY1655" s="87"/>
      <c r="AZ1655" s="93" t="s">
        <v>22668</v>
      </c>
      <c r="BA1655" s="93" t="s">
        <v>22668</v>
      </c>
      <c r="BB1655" s="93" t="s">
        <v>22668</v>
      </c>
      <c r="BC1655" s="93" t="s">
        <v>19887</v>
      </c>
      <c r="BD1655" s="87">
        <v>229629676</v>
      </c>
      <c r="BE1655" s="87"/>
      <c r="BF1655" s="87"/>
      <c r="BG1655" s="87"/>
      <c r="BH1655" s="87"/>
      <c r="BI1655" s="87"/>
    </row>
    <row r="1656" spans="1:61" x14ac:dyDescent="0.25">
      <c r="A1656" s="63" t="s">
        <v>781</v>
      </c>
      <c r="B1656" s="63" t="s">
        <v>781</v>
      </c>
      <c r="C1656" s="64"/>
      <c r="D1656" s="65"/>
      <c r="E1656" s="66"/>
      <c r="F1656" s="67"/>
      <c r="G1656" s="64"/>
      <c r="H1656" s="68"/>
      <c r="I1656" s="69"/>
      <c r="J1656" s="69"/>
      <c r="K1656" s="32"/>
      <c r="L1656" s="76">
        <v>1656</v>
      </c>
      <c r="M1656" s="76"/>
      <c r="N1656" s="71"/>
      <c r="O1656" s="87" t="s">
        <v>179</v>
      </c>
      <c r="P1656" s="90">
        <v>45153.729328703703</v>
      </c>
      <c r="Q1656" s="87" t="s">
        <v>3452</v>
      </c>
      <c r="R1656" s="87">
        <v>0</v>
      </c>
      <c r="S1656" s="87">
        <v>0</v>
      </c>
      <c r="T1656" s="87">
        <v>0</v>
      </c>
      <c r="U1656" s="87">
        <v>0</v>
      </c>
      <c r="V1656" s="87">
        <v>26</v>
      </c>
      <c r="W1656" s="93" t="s">
        <v>6956</v>
      </c>
      <c r="X1656" s="92" t="str">
        <f>HYPERLINK("https://youtu.be/ovZg4quxdEM")</f>
        <v>https://youtu.be/ovZg4quxdEM</v>
      </c>
      <c r="Y1656" s="87" t="s">
        <v>8372</v>
      </c>
      <c r="Z1656" s="87"/>
      <c r="AA1656" s="87" t="s">
        <v>9695</v>
      </c>
      <c r="AB1656" s="87" t="s">
        <v>11448</v>
      </c>
      <c r="AC1656" s="93" t="s">
        <v>11467</v>
      </c>
      <c r="AD1656" s="87" t="s">
        <v>11519</v>
      </c>
      <c r="AE1656" s="92" t="str">
        <f>HYPERLINK("https://twitter.com/certform/status/1691502571028930563")</f>
        <v>https://twitter.com/certform/status/1691502571028930563</v>
      </c>
      <c r="AF1656" s="90">
        <v>45153.729328703703</v>
      </c>
      <c r="AG1656" s="99">
        <v>45153</v>
      </c>
      <c r="AH1656" s="93" t="s">
        <v>13048</v>
      </c>
      <c r="AI1656" s="87" t="b">
        <v>0</v>
      </c>
      <c r="AJ1656" s="87"/>
      <c r="AK1656" s="87"/>
      <c r="AL1656" s="87"/>
      <c r="AM1656" s="87"/>
      <c r="AN1656" s="87"/>
      <c r="AO1656" s="87"/>
      <c r="AP1656" s="87"/>
      <c r="AQ1656" s="87" t="s">
        <v>16508</v>
      </c>
      <c r="AR1656" s="87"/>
      <c r="AS1656" s="87"/>
      <c r="AT1656" s="87"/>
      <c r="AU1656" s="87"/>
      <c r="AV1656" s="92" t="str">
        <f>HYPERLINK("https://pbs.twimg.com/media/F3lsn8ZWIAE4n-G.jpg")</f>
        <v>https://pbs.twimg.com/media/F3lsn8ZWIAE4n-G.jpg</v>
      </c>
      <c r="AW1656" s="93" t="s">
        <v>19888</v>
      </c>
      <c r="AX1656" s="93" t="s">
        <v>19888</v>
      </c>
      <c r="AY1656" s="87"/>
      <c r="AZ1656" s="93" t="s">
        <v>22668</v>
      </c>
      <c r="BA1656" s="93" t="s">
        <v>22668</v>
      </c>
      <c r="BB1656" s="93" t="s">
        <v>22668</v>
      </c>
      <c r="BC1656" s="93" t="s">
        <v>19888</v>
      </c>
      <c r="BD1656" s="87">
        <v>229629676</v>
      </c>
      <c r="BE1656" s="87"/>
      <c r="BF1656" s="87"/>
      <c r="BG1656" s="87"/>
      <c r="BH1656" s="87"/>
      <c r="BI1656" s="87"/>
    </row>
    <row r="1657" spans="1:61" x14ac:dyDescent="0.25">
      <c r="A1657" s="63" t="s">
        <v>781</v>
      </c>
      <c r="B1657" s="63" t="s">
        <v>781</v>
      </c>
      <c r="C1657" s="64"/>
      <c r="D1657" s="65"/>
      <c r="E1657" s="66"/>
      <c r="F1657" s="67"/>
      <c r="G1657" s="64"/>
      <c r="H1657" s="68"/>
      <c r="I1657" s="69"/>
      <c r="J1657" s="69"/>
      <c r="K1657" s="32"/>
      <c r="L1657" s="76">
        <v>1657</v>
      </c>
      <c r="M1657" s="76"/>
      <c r="N1657" s="71"/>
      <c r="O1657" s="87" t="s">
        <v>179</v>
      </c>
      <c r="P1657" s="90">
        <v>45194.729178240741</v>
      </c>
      <c r="Q1657" s="87" t="s">
        <v>3453</v>
      </c>
      <c r="R1657" s="87">
        <v>0</v>
      </c>
      <c r="S1657" s="87">
        <v>0</v>
      </c>
      <c r="T1657" s="87">
        <v>0</v>
      </c>
      <c r="U1657" s="87">
        <v>0</v>
      </c>
      <c r="V1657" s="87">
        <v>1</v>
      </c>
      <c r="W1657" s="93" t="s">
        <v>6956</v>
      </c>
      <c r="X1657" s="92" t="str">
        <f>HYPERLINK("https://youtu.be/fWP_ot1oAj4")</f>
        <v>https://youtu.be/fWP_ot1oAj4</v>
      </c>
      <c r="Y1657" s="87" t="s">
        <v>8372</v>
      </c>
      <c r="Z1657" s="87"/>
      <c r="AA1657" s="87" t="s">
        <v>9696</v>
      </c>
      <c r="AB1657" s="87" t="s">
        <v>11448</v>
      </c>
      <c r="AC1657" s="93" t="s">
        <v>11467</v>
      </c>
      <c r="AD1657" s="87" t="s">
        <v>11519</v>
      </c>
      <c r="AE1657" s="92" t="str">
        <f>HYPERLINK("https://twitter.com/certform/status/1706360418308907200")</f>
        <v>https://twitter.com/certform/status/1706360418308907200</v>
      </c>
      <c r="AF1657" s="90">
        <v>45194.729178240741</v>
      </c>
      <c r="AG1657" s="99">
        <v>45194</v>
      </c>
      <c r="AH1657" s="93" t="s">
        <v>13042</v>
      </c>
      <c r="AI1657" s="87" t="b">
        <v>0</v>
      </c>
      <c r="AJ1657" s="87"/>
      <c r="AK1657" s="87"/>
      <c r="AL1657" s="87"/>
      <c r="AM1657" s="87"/>
      <c r="AN1657" s="87"/>
      <c r="AO1657" s="87"/>
      <c r="AP1657" s="87"/>
      <c r="AQ1657" s="87" t="s">
        <v>16509</v>
      </c>
      <c r="AR1657" s="87"/>
      <c r="AS1657" s="87"/>
      <c r="AT1657" s="87"/>
      <c r="AU1657" s="87"/>
      <c r="AV1657" s="92" t="str">
        <f>HYPERLINK("https://pbs.twimg.com/media/F641wfGWAAAppj6.jpg")</f>
        <v>https://pbs.twimg.com/media/F641wfGWAAAppj6.jpg</v>
      </c>
      <c r="AW1657" s="93" t="s">
        <v>19889</v>
      </c>
      <c r="AX1657" s="93" t="s">
        <v>19889</v>
      </c>
      <c r="AY1657" s="87"/>
      <c r="AZ1657" s="93" t="s">
        <v>22668</v>
      </c>
      <c r="BA1657" s="93" t="s">
        <v>22668</v>
      </c>
      <c r="BB1657" s="93" t="s">
        <v>22668</v>
      </c>
      <c r="BC1657" s="93" t="s">
        <v>19889</v>
      </c>
      <c r="BD1657" s="87">
        <v>229629676</v>
      </c>
      <c r="BE1657" s="87"/>
      <c r="BF1657" s="87"/>
      <c r="BG1657" s="87"/>
      <c r="BH1657" s="87"/>
      <c r="BI1657" s="87"/>
    </row>
    <row r="1658" spans="1:61" x14ac:dyDescent="0.25">
      <c r="A1658" s="63" t="s">
        <v>781</v>
      </c>
      <c r="B1658" s="63" t="s">
        <v>781</v>
      </c>
      <c r="C1658" s="64"/>
      <c r="D1658" s="65"/>
      <c r="E1658" s="66"/>
      <c r="F1658" s="67"/>
      <c r="G1658" s="64"/>
      <c r="H1658" s="68"/>
      <c r="I1658" s="69"/>
      <c r="J1658" s="69"/>
      <c r="K1658" s="32"/>
      <c r="L1658" s="76">
        <v>1658</v>
      </c>
      <c r="M1658" s="76"/>
      <c r="N1658" s="71"/>
      <c r="O1658" s="87" t="s">
        <v>179</v>
      </c>
      <c r="P1658" s="90">
        <v>45178.729178240741</v>
      </c>
      <c r="Q1658" s="87" t="s">
        <v>3454</v>
      </c>
      <c r="R1658" s="87">
        <v>0</v>
      </c>
      <c r="S1658" s="87">
        <v>0</v>
      </c>
      <c r="T1658" s="87">
        <v>0</v>
      </c>
      <c r="U1658" s="87">
        <v>0</v>
      </c>
      <c r="V1658" s="87">
        <v>5</v>
      </c>
      <c r="W1658" s="93" t="s">
        <v>6956</v>
      </c>
      <c r="X1658" s="92" t="str">
        <f>HYPERLINK("https://youtu.be/eRqI1g66R00")</f>
        <v>https://youtu.be/eRqI1g66R00</v>
      </c>
      <c r="Y1658" s="87" t="s">
        <v>8372</v>
      </c>
      <c r="Z1658" s="87"/>
      <c r="AA1658" s="87" t="s">
        <v>9697</v>
      </c>
      <c r="AB1658" s="87" t="s">
        <v>11448</v>
      </c>
      <c r="AC1658" s="93" t="s">
        <v>11467</v>
      </c>
      <c r="AD1658" s="87" t="s">
        <v>11519</v>
      </c>
      <c r="AE1658" s="92" t="str">
        <f>HYPERLINK("https://twitter.com/certform/status/1700562213482680622")</f>
        <v>https://twitter.com/certform/status/1700562213482680622</v>
      </c>
      <c r="AF1658" s="90">
        <v>45178.729178240741</v>
      </c>
      <c r="AG1658" s="99">
        <v>45178</v>
      </c>
      <c r="AH1658" s="93" t="s">
        <v>13042</v>
      </c>
      <c r="AI1658" s="87" t="b">
        <v>0</v>
      </c>
      <c r="AJ1658" s="87"/>
      <c r="AK1658" s="87"/>
      <c r="AL1658" s="87"/>
      <c r="AM1658" s="87"/>
      <c r="AN1658" s="87"/>
      <c r="AO1658" s="87"/>
      <c r="AP1658" s="87"/>
      <c r="AQ1658" s="87" t="s">
        <v>16510</v>
      </c>
      <c r="AR1658" s="87"/>
      <c r="AS1658" s="87"/>
      <c r="AT1658" s="87"/>
      <c r="AU1658" s="87"/>
      <c r="AV1658" s="92" t="str">
        <f>HYPERLINK("https://pbs.twimg.com/media/F5mcUf7XoAA_eKj.jpg")</f>
        <v>https://pbs.twimg.com/media/F5mcUf7XoAA_eKj.jpg</v>
      </c>
      <c r="AW1658" s="93" t="s">
        <v>19890</v>
      </c>
      <c r="AX1658" s="93" t="s">
        <v>19890</v>
      </c>
      <c r="AY1658" s="87"/>
      <c r="AZ1658" s="93" t="s">
        <v>22668</v>
      </c>
      <c r="BA1658" s="93" t="s">
        <v>22668</v>
      </c>
      <c r="BB1658" s="93" t="s">
        <v>22668</v>
      </c>
      <c r="BC1658" s="93" t="s">
        <v>19890</v>
      </c>
      <c r="BD1658" s="87">
        <v>229629676</v>
      </c>
      <c r="BE1658" s="87"/>
      <c r="BF1658" s="87"/>
      <c r="BG1658" s="87"/>
      <c r="BH1658" s="87"/>
      <c r="BI1658" s="87"/>
    </row>
    <row r="1659" spans="1:61" x14ac:dyDescent="0.25">
      <c r="A1659" s="63" t="s">
        <v>781</v>
      </c>
      <c r="B1659" s="63" t="s">
        <v>781</v>
      </c>
      <c r="C1659" s="64"/>
      <c r="D1659" s="65"/>
      <c r="E1659" s="66"/>
      <c r="F1659" s="67"/>
      <c r="G1659" s="64"/>
      <c r="H1659" s="68"/>
      <c r="I1659" s="69"/>
      <c r="J1659" s="69"/>
      <c r="K1659" s="32"/>
      <c r="L1659" s="76">
        <v>1659</v>
      </c>
      <c r="M1659" s="76"/>
      <c r="N1659" s="71"/>
      <c r="O1659" s="87" t="s">
        <v>179</v>
      </c>
      <c r="P1659" s="90">
        <v>45171.729270833333</v>
      </c>
      <c r="Q1659" s="87" t="s">
        <v>3455</v>
      </c>
      <c r="R1659" s="87">
        <v>0</v>
      </c>
      <c r="S1659" s="87">
        <v>0</v>
      </c>
      <c r="T1659" s="87">
        <v>0</v>
      </c>
      <c r="U1659" s="87">
        <v>0</v>
      </c>
      <c r="V1659" s="87">
        <v>8</v>
      </c>
      <c r="W1659" s="93" t="s">
        <v>6956</v>
      </c>
      <c r="X1659" s="92" t="str">
        <f>HYPERLINK("https://youtu.be/FQFQUUZIhTw")</f>
        <v>https://youtu.be/FQFQUUZIhTw</v>
      </c>
      <c r="Y1659" s="87" t="s">
        <v>8372</v>
      </c>
      <c r="Z1659" s="87"/>
      <c r="AA1659" s="87" t="s">
        <v>9698</v>
      </c>
      <c r="AB1659" s="87" t="s">
        <v>11448</v>
      </c>
      <c r="AC1659" s="93" t="s">
        <v>11467</v>
      </c>
      <c r="AD1659" s="87" t="s">
        <v>11519</v>
      </c>
      <c r="AE1659" s="92" t="str">
        <f>HYPERLINK("https://twitter.com/certform/status/1698025531290075523")</f>
        <v>https://twitter.com/certform/status/1698025531290075523</v>
      </c>
      <c r="AF1659" s="90">
        <v>45171.729270833333</v>
      </c>
      <c r="AG1659" s="99">
        <v>45171</v>
      </c>
      <c r="AH1659" s="93" t="s">
        <v>13047</v>
      </c>
      <c r="AI1659" s="87" t="b">
        <v>0</v>
      </c>
      <c r="AJ1659" s="87"/>
      <c r="AK1659" s="87"/>
      <c r="AL1659" s="87"/>
      <c r="AM1659" s="87"/>
      <c r="AN1659" s="87"/>
      <c r="AO1659" s="87"/>
      <c r="AP1659" s="87"/>
      <c r="AQ1659" s="87" t="s">
        <v>16511</v>
      </c>
      <c r="AR1659" s="87"/>
      <c r="AS1659" s="87"/>
      <c r="AT1659" s="87"/>
      <c r="AU1659" s="87"/>
      <c r="AV1659" s="92" t="str">
        <f>HYPERLINK("https://pbs.twimg.com/media/F5CZOMeW0AAfSL2.jpg")</f>
        <v>https://pbs.twimg.com/media/F5CZOMeW0AAfSL2.jpg</v>
      </c>
      <c r="AW1659" s="93" t="s">
        <v>19891</v>
      </c>
      <c r="AX1659" s="93" t="s">
        <v>19891</v>
      </c>
      <c r="AY1659" s="87"/>
      <c r="AZ1659" s="93" t="s">
        <v>22668</v>
      </c>
      <c r="BA1659" s="93" t="s">
        <v>22668</v>
      </c>
      <c r="BB1659" s="93" t="s">
        <v>22668</v>
      </c>
      <c r="BC1659" s="93" t="s">
        <v>19891</v>
      </c>
      <c r="BD1659" s="87">
        <v>229629676</v>
      </c>
      <c r="BE1659" s="87"/>
      <c r="BF1659" s="87"/>
      <c r="BG1659" s="87"/>
      <c r="BH1659" s="87"/>
      <c r="BI1659" s="87"/>
    </row>
    <row r="1660" spans="1:61" x14ac:dyDescent="0.25">
      <c r="A1660" s="63" t="s">
        <v>781</v>
      </c>
      <c r="B1660" s="63" t="s">
        <v>781</v>
      </c>
      <c r="C1660" s="64"/>
      <c r="D1660" s="65"/>
      <c r="E1660" s="66"/>
      <c r="F1660" s="67"/>
      <c r="G1660" s="64"/>
      <c r="H1660" s="68"/>
      <c r="I1660" s="69"/>
      <c r="J1660" s="69"/>
      <c r="K1660" s="32"/>
      <c r="L1660" s="76">
        <v>1660</v>
      </c>
      <c r="M1660" s="76"/>
      <c r="N1660" s="71"/>
      <c r="O1660" s="87" t="s">
        <v>179</v>
      </c>
      <c r="P1660" s="90">
        <v>45149.729537037034</v>
      </c>
      <c r="Q1660" s="87" t="s">
        <v>3456</v>
      </c>
      <c r="R1660" s="87">
        <v>0</v>
      </c>
      <c r="S1660" s="87">
        <v>0</v>
      </c>
      <c r="T1660" s="87">
        <v>0</v>
      </c>
      <c r="U1660" s="87">
        <v>0</v>
      </c>
      <c r="V1660" s="87">
        <v>12</v>
      </c>
      <c r="W1660" s="93" t="s">
        <v>6956</v>
      </c>
      <c r="X1660" s="92" t="str">
        <f>HYPERLINK("https://youtu.be/GFMNceyqVfA")</f>
        <v>https://youtu.be/GFMNceyqVfA</v>
      </c>
      <c r="Y1660" s="87" t="s">
        <v>8372</v>
      </c>
      <c r="Z1660" s="87"/>
      <c r="AA1660" s="87" t="s">
        <v>9699</v>
      </c>
      <c r="AB1660" s="87" t="s">
        <v>11448</v>
      </c>
      <c r="AC1660" s="93" t="s">
        <v>11467</v>
      </c>
      <c r="AD1660" s="87" t="s">
        <v>11519</v>
      </c>
      <c r="AE1660" s="92" t="str">
        <f>HYPERLINK("https://twitter.com/certform/status/1690053097555402770")</f>
        <v>https://twitter.com/certform/status/1690053097555402770</v>
      </c>
      <c r="AF1660" s="90">
        <v>45149.729537037034</v>
      </c>
      <c r="AG1660" s="99">
        <v>45149</v>
      </c>
      <c r="AH1660" s="93" t="s">
        <v>13049</v>
      </c>
      <c r="AI1660" s="87" t="b">
        <v>0</v>
      </c>
      <c r="AJ1660" s="87"/>
      <c r="AK1660" s="87"/>
      <c r="AL1660" s="87"/>
      <c r="AM1660" s="87"/>
      <c r="AN1660" s="87"/>
      <c r="AO1660" s="87"/>
      <c r="AP1660" s="87"/>
      <c r="AQ1660" s="87" t="s">
        <v>16512</v>
      </c>
      <c r="AR1660" s="87"/>
      <c r="AS1660" s="87"/>
      <c r="AT1660" s="87"/>
      <c r="AU1660" s="87"/>
      <c r="AV1660" s="92" t="str">
        <f>HYPERLINK("https://pbs.twimg.com/media/F3RGVeYWoAswlQs.jpg")</f>
        <v>https://pbs.twimg.com/media/F3RGVeYWoAswlQs.jpg</v>
      </c>
      <c r="AW1660" s="93" t="s">
        <v>19892</v>
      </c>
      <c r="AX1660" s="93" t="s">
        <v>19892</v>
      </c>
      <c r="AY1660" s="87"/>
      <c r="AZ1660" s="93" t="s">
        <v>22668</v>
      </c>
      <c r="BA1660" s="93" t="s">
        <v>22668</v>
      </c>
      <c r="BB1660" s="93" t="s">
        <v>22668</v>
      </c>
      <c r="BC1660" s="93" t="s">
        <v>19892</v>
      </c>
      <c r="BD1660" s="87">
        <v>229629676</v>
      </c>
      <c r="BE1660" s="87"/>
      <c r="BF1660" s="87"/>
      <c r="BG1660" s="87"/>
      <c r="BH1660" s="87"/>
      <c r="BI1660" s="87"/>
    </row>
    <row r="1661" spans="1:61" x14ac:dyDescent="0.25">
      <c r="A1661" s="63" t="s">
        <v>781</v>
      </c>
      <c r="B1661" s="63" t="s">
        <v>781</v>
      </c>
      <c r="C1661" s="64"/>
      <c r="D1661" s="65"/>
      <c r="E1661" s="66"/>
      <c r="F1661" s="67"/>
      <c r="G1661" s="64"/>
      <c r="H1661" s="68"/>
      <c r="I1661" s="69"/>
      <c r="J1661" s="69"/>
      <c r="K1661" s="32"/>
      <c r="L1661" s="76">
        <v>1661</v>
      </c>
      <c r="M1661" s="76"/>
      <c r="N1661" s="71"/>
      <c r="O1661" s="87" t="s">
        <v>179</v>
      </c>
      <c r="P1661" s="90">
        <v>45137.729178240741</v>
      </c>
      <c r="Q1661" s="87" t="s">
        <v>3457</v>
      </c>
      <c r="R1661" s="87">
        <v>0</v>
      </c>
      <c r="S1661" s="87">
        <v>0</v>
      </c>
      <c r="T1661" s="87">
        <v>0</v>
      </c>
      <c r="U1661" s="87">
        <v>0</v>
      </c>
      <c r="V1661" s="87">
        <v>10</v>
      </c>
      <c r="W1661" s="93" t="s">
        <v>6956</v>
      </c>
      <c r="X1661" s="92" t="str">
        <f>HYPERLINK("https://youtu.be/4ngrfnG2paQ")</f>
        <v>https://youtu.be/4ngrfnG2paQ</v>
      </c>
      <c r="Y1661" s="87" t="s">
        <v>8372</v>
      </c>
      <c r="Z1661" s="87"/>
      <c r="AA1661" s="87" t="s">
        <v>9700</v>
      </c>
      <c r="AB1661" s="87" t="s">
        <v>11448</v>
      </c>
      <c r="AC1661" s="93" t="s">
        <v>11467</v>
      </c>
      <c r="AD1661" s="87" t="s">
        <v>11519</v>
      </c>
      <c r="AE1661" s="92" t="str">
        <f>HYPERLINK("https://twitter.com/certform/status/1685704313891426305")</f>
        <v>https://twitter.com/certform/status/1685704313891426305</v>
      </c>
      <c r="AF1661" s="90">
        <v>45137.729178240741</v>
      </c>
      <c r="AG1661" s="99">
        <v>45137</v>
      </c>
      <c r="AH1661" s="93" t="s">
        <v>13042</v>
      </c>
      <c r="AI1661" s="87" t="b">
        <v>0</v>
      </c>
      <c r="AJ1661" s="87"/>
      <c r="AK1661" s="87"/>
      <c r="AL1661" s="87"/>
      <c r="AM1661" s="87"/>
      <c r="AN1661" s="87"/>
      <c r="AO1661" s="87"/>
      <c r="AP1661" s="87"/>
      <c r="AQ1661" s="87" t="s">
        <v>16513</v>
      </c>
      <c r="AR1661" s="87"/>
      <c r="AS1661" s="87"/>
      <c r="AT1661" s="87"/>
      <c r="AU1661" s="87"/>
      <c r="AV1661" s="92" t="str">
        <f>HYPERLINK("https://pbs.twimg.com/media/F2TTI7WWMAAMpwQ.jpg")</f>
        <v>https://pbs.twimg.com/media/F2TTI7WWMAAMpwQ.jpg</v>
      </c>
      <c r="AW1661" s="93" t="s">
        <v>19893</v>
      </c>
      <c r="AX1661" s="93" t="s">
        <v>19893</v>
      </c>
      <c r="AY1661" s="87"/>
      <c r="AZ1661" s="93" t="s">
        <v>22668</v>
      </c>
      <c r="BA1661" s="93" t="s">
        <v>22668</v>
      </c>
      <c r="BB1661" s="93" t="s">
        <v>22668</v>
      </c>
      <c r="BC1661" s="93" t="s">
        <v>19893</v>
      </c>
      <c r="BD1661" s="87">
        <v>229629676</v>
      </c>
      <c r="BE1661" s="87"/>
      <c r="BF1661" s="87"/>
      <c r="BG1661" s="87"/>
      <c r="BH1661" s="87"/>
      <c r="BI1661" s="87"/>
    </row>
    <row r="1662" spans="1:61" x14ac:dyDescent="0.25">
      <c r="A1662" s="63" t="s">
        <v>782</v>
      </c>
      <c r="B1662" s="63" t="s">
        <v>782</v>
      </c>
      <c r="C1662" s="64"/>
      <c r="D1662" s="65"/>
      <c r="E1662" s="66"/>
      <c r="F1662" s="67"/>
      <c r="G1662" s="64"/>
      <c r="H1662" s="68"/>
      <c r="I1662" s="69"/>
      <c r="J1662" s="69"/>
      <c r="K1662" s="32"/>
      <c r="L1662" s="76">
        <v>1662</v>
      </c>
      <c r="M1662" s="76"/>
      <c r="N1662" s="71"/>
      <c r="O1662" s="87" t="s">
        <v>179</v>
      </c>
      <c r="P1662" s="90">
        <v>45193.798020833332</v>
      </c>
      <c r="Q1662" s="87" t="s">
        <v>3458</v>
      </c>
      <c r="R1662" s="87">
        <v>0</v>
      </c>
      <c r="S1662" s="87">
        <v>0</v>
      </c>
      <c r="T1662" s="87">
        <v>0</v>
      </c>
      <c r="U1662" s="87">
        <v>0</v>
      </c>
      <c r="V1662" s="87">
        <v>82</v>
      </c>
      <c r="W1662" s="93" t="s">
        <v>6958</v>
      </c>
      <c r="X1662" s="92" t="str">
        <f>HYPERLINK("https://amzn.to/461M8uN")</f>
        <v>https://amzn.to/461M8uN</v>
      </c>
      <c r="Y1662" s="87" t="s">
        <v>8415</v>
      </c>
      <c r="Z1662" s="87"/>
      <c r="AA1662" s="87"/>
      <c r="AB1662" s="87"/>
      <c r="AC1662" s="93" t="s">
        <v>11457</v>
      </c>
      <c r="AD1662" s="87" t="s">
        <v>11519</v>
      </c>
      <c r="AE1662" s="92" t="str">
        <f>HYPERLINK("https://twitter.com/anderson_ajon/status/1706022980893942114")</f>
        <v>https://twitter.com/anderson_ajon/status/1706022980893942114</v>
      </c>
      <c r="AF1662" s="90">
        <v>45193.798020833332</v>
      </c>
      <c r="AG1662" s="99">
        <v>45193</v>
      </c>
      <c r="AH1662" s="93" t="s">
        <v>13050</v>
      </c>
      <c r="AI1662" s="87" t="b">
        <v>0</v>
      </c>
      <c r="AJ1662" s="87"/>
      <c r="AK1662" s="87"/>
      <c r="AL1662" s="87"/>
      <c r="AM1662" s="87"/>
      <c r="AN1662" s="87"/>
      <c r="AO1662" s="87"/>
      <c r="AP1662" s="87"/>
      <c r="AQ1662" s="87"/>
      <c r="AR1662" s="87"/>
      <c r="AS1662" s="87"/>
      <c r="AT1662" s="87"/>
      <c r="AU1662" s="87"/>
      <c r="AV1662" s="92" t="str">
        <f>HYPERLINK("https://pbs.twimg.com/profile_images/1690850159192686592/IG6OcQD8_normal.jpg")</f>
        <v>https://pbs.twimg.com/profile_images/1690850159192686592/IG6OcQD8_normal.jpg</v>
      </c>
      <c r="AW1662" s="93" t="s">
        <v>19894</v>
      </c>
      <c r="AX1662" s="93" t="s">
        <v>19894</v>
      </c>
      <c r="AY1662" s="87"/>
      <c r="AZ1662" s="93" t="s">
        <v>22668</v>
      </c>
      <c r="BA1662" s="93" t="s">
        <v>22668</v>
      </c>
      <c r="BB1662" s="93" t="s">
        <v>22668</v>
      </c>
      <c r="BC1662" s="93" t="s">
        <v>19894</v>
      </c>
      <c r="BD1662" s="87">
        <v>106904186</v>
      </c>
      <c r="BE1662" s="87"/>
      <c r="BF1662" s="87"/>
      <c r="BG1662" s="87"/>
      <c r="BH1662" s="87"/>
      <c r="BI1662" s="87"/>
    </row>
    <row r="1663" spans="1:61" x14ac:dyDescent="0.25">
      <c r="A1663" s="63" t="s">
        <v>783</v>
      </c>
      <c r="B1663" s="63" t="s">
        <v>783</v>
      </c>
      <c r="C1663" s="64"/>
      <c r="D1663" s="65"/>
      <c r="E1663" s="66"/>
      <c r="F1663" s="67"/>
      <c r="G1663" s="64"/>
      <c r="H1663" s="68"/>
      <c r="I1663" s="69"/>
      <c r="J1663" s="69"/>
      <c r="K1663" s="32"/>
      <c r="L1663" s="76">
        <v>1663</v>
      </c>
      <c r="M1663" s="76"/>
      <c r="N1663" s="71"/>
      <c r="O1663" s="87" t="s">
        <v>179</v>
      </c>
      <c r="P1663" s="90">
        <v>45150.875219907408</v>
      </c>
      <c r="Q1663" s="87" t="s">
        <v>3459</v>
      </c>
      <c r="R1663" s="87">
        <v>0</v>
      </c>
      <c r="S1663" s="87">
        <v>0</v>
      </c>
      <c r="T1663" s="87">
        <v>0</v>
      </c>
      <c r="U1663" s="87">
        <v>0</v>
      </c>
      <c r="V1663" s="87">
        <v>26</v>
      </c>
      <c r="W1663" s="93" t="s">
        <v>6959</v>
      </c>
      <c r="X1663" s="92" t="str">
        <f>HYPERLINK("http://craes.org.br")</f>
        <v>http://craes.org.br</v>
      </c>
      <c r="Y1663" s="87" t="s">
        <v>8463</v>
      </c>
      <c r="Z1663" s="87"/>
      <c r="AA1663" s="87" t="s">
        <v>9701</v>
      </c>
      <c r="AB1663" s="87" t="s">
        <v>11448</v>
      </c>
      <c r="AC1663" s="93" t="s">
        <v>11462</v>
      </c>
      <c r="AD1663" s="87" t="s">
        <v>11519</v>
      </c>
      <c r="AE1663" s="92" t="str">
        <f>HYPERLINK("https://twitter.com/cra_es/status/1690468279507107840")</f>
        <v>https://twitter.com/cra_es/status/1690468279507107840</v>
      </c>
      <c r="AF1663" s="90">
        <v>45150.875219907408</v>
      </c>
      <c r="AG1663" s="99">
        <v>45150</v>
      </c>
      <c r="AH1663" s="93" t="s">
        <v>13051</v>
      </c>
      <c r="AI1663" s="87" t="b">
        <v>0</v>
      </c>
      <c r="AJ1663" s="87"/>
      <c r="AK1663" s="87"/>
      <c r="AL1663" s="87"/>
      <c r="AM1663" s="87"/>
      <c r="AN1663" s="87"/>
      <c r="AO1663" s="87"/>
      <c r="AP1663" s="87"/>
      <c r="AQ1663" s="87" t="s">
        <v>16514</v>
      </c>
      <c r="AR1663" s="87"/>
      <c r="AS1663" s="87"/>
      <c r="AT1663" s="87"/>
      <c r="AU1663" s="87"/>
      <c r="AV1663" s="92" t="str">
        <f>HYPERLINK("https://pbs.twimg.com/media/F3W_8QEWsAEP55o.jpg")</f>
        <v>https://pbs.twimg.com/media/F3W_8QEWsAEP55o.jpg</v>
      </c>
      <c r="AW1663" s="93" t="s">
        <v>19895</v>
      </c>
      <c r="AX1663" s="93" t="s">
        <v>19895</v>
      </c>
      <c r="AY1663" s="87"/>
      <c r="AZ1663" s="93" t="s">
        <v>22668</v>
      </c>
      <c r="BA1663" s="93" t="s">
        <v>22668</v>
      </c>
      <c r="BB1663" s="93" t="s">
        <v>22668</v>
      </c>
      <c r="BC1663" s="93" t="s">
        <v>19895</v>
      </c>
      <c r="BD1663" s="87">
        <v>117174657</v>
      </c>
      <c r="BE1663" s="87"/>
      <c r="BF1663" s="87"/>
      <c r="BG1663" s="87"/>
      <c r="BH1663" s="87"/>
      <c r="BI1663" s="87"/>
    </row>
    <row r="1664" spans="1:61" x14ac:dyDescent="0.25">
      <c r="A1664" s="63" t="s">
        <v>784</v>
      </c>
      <c r="B1664" s="63" t="s">
        <v>784</v>
      </c>
      <c r="C1664" s="64"/>
      <c r="D1664" s="65"/>
      <c r="E1664" s="66"/>
      <c r="F1664" s="67"/>
      <c r="G1664" s="64"/>
      <c r="H1664" s="68"/>
      <c r="I1664" s="69"/>
      <c r="J1664" s="69"/>
      <c r="K1664" s="32"/>
      <c r="L1664" s="76">
        <v>1664</v>
      </c>
      <c r="M1664" s="76"/>
      <c r="N1664" s="71"/>
      <c r="O1664" s="87" t="s">
        <v>179</v>
      </c>
      <c r="P1664" s="90">
        <v>45160.095439814817</v>
      </c>
      <c r="Q1664" s="87" t="s">
        <v>3460</v>
      </c>
      <c r="R1664" s="87">
        <v>0</v>
      </c>
      <c r="S1664" s="87">
        <v>0</v>
      </c>
      <c r="T1664" s="87">
        <v>0</v>
      </c>
      <c r="U1664" s="87">
        <v>0</v>
      </c>
      <c r="V1664" s="87">
        <v>67</v>
      </c>
      <c r="W1664" s="93" t="s">
        <v>6960</v>
      </c>
      <c r="X1664" s="92" t="str">
        <f>HYPERLINK("https://gazetaexpressa.com.br/meis-podem-emitir-notas-fiscais-de-servico-nfs-e-com-mais-facilidade/")</f>
        <v>https://gazetaexpressa.com.br/meis-podem-emitir-notas-fiscais-de-servico-nfs-e-com-mais-facilidade/</v>
      </c>
      <c r="Y1664" s="87" t="s">
        <v>8373</v>
      </c>
      <c r="Z1664" s="87"/>
      <c r="AA1664" s="87"/>
      <c r="AB1664" s="87"/>
      <c r="AC1664" s="93" t="s">
        <v>11457</v>
      </c>
      <c r="AD1664" s="87" t="s">
        <v>11519</v>
      </c>
      <c r="AE1664" s="92" t="str">
        <f>HYPERLINK("https://twitter.com/gazetaexpressa/status/1693809574770311504")</f>
        <v>https://twitter.com/gazetaexpressa/status/1693809574770311504</v>
      </c>
      <c r="AF1664" s="90">
        <v>45160.095439814817</v>
      </c>
      <c r="AG1664" s="99">
        <v>45160</v>
      </c>
      <c r="AH1664" s="93" t="s">
        <v>13052</v>
      </c>
      <c r="AI1664" s="87" t="b">
        <v>0</v>
      </c>
      <c r="AJ1664" s="87"/>
      <c r="AK1664" s="87"/>
      <c r="AL1664" s="87"/>
      <c r="AM1664" s="87"/>
      <c r="AN1664" s="87"/>
      <c r="AO1664" s="87"/>
      <c r="AP1664" s="87"/>
      <c r="AQ1664" s="87"/>
      <c r="AR1664" s="87"/>
      <c r="AS1664" s="87"/>
      <c r="AT1664" s="87"/>
      <c r="AU1664" s="87"/>
      <c r="AV1664" s="92" t="str">
        <f>HYPERLINK("https://pbs.twimg.com/profile_images/1651994779071262731/UnJ5LVJJ_normal.jpg")</f>
        <v>https://pbs.twimg.com/profile_images/1651994779071262731/UnJ5LVJJ_normal.jpg</v>
      </c>
      <c r="AW1664" s="93" t="s">
        <v>19896</v>
      </c>
      <c r="AX1664" s="93" t="s">
        <v>19896</v>
      </c>
      <c r="AY1664" s="87"/>
      <c r="AZ1664" s="93" t="s">
        <v>22668</v>
      </c>
      <c r="BA1664" s="93" t="s">
        <v>22668</v>
      </c>
      <c r="BB1664" s="93" t="s">
        <v>22668</v>
      </c>
      <c r="BC1664" s="93" t="s">
        <v>19896</v>
      </c>
      <c r="BD1664" s="93" t="s">
        <v>23115</v>
      </c>
      <c r="BE1664" s="87"/>
      <c r="BF1664" s="87"/>
      <c r="BG1664" s="87"/>
      <c r="BH1664" s="87"/>
      <c r="BI1664" s="87"/>
    </row>
    <row r="1665" spans="1:61" x14ac:dyDescent="0.25">
      <c r="A1665" s="63" t="s">
        <v>785</v>
      </c>
      <c r="B1665" s="63" t="s">
        <v>785</v>
      </c>
      <c r="C1665" s="64"/>
      <c r="D1665" s="65"/>
      <c r="E1665" s="66"/>
      <c r="F1665" s="67"/>
      <c r="G1665" s="64"/>
      <c r="H1665" s="68"/>
      <c r="I1665" s="69"/>
      <c r="J1665" s="69"/>
      <c r="K1665" s="32"/>
      <c r="L1665" s="76">
        <v>1665</v>
      </c>
      <c r="M1665" s="76"/>
      <c r="N1665" s="71"/>
      <c r="O1665" s="87" t="s">
        <v>1840</v>
      </c>
      <c r="P1665" s="90">
        <v>45118.730219907404</v>
      </c>
      <c r="Q1665" s="87" t="s">
        <v>3461</v>
      </c>
      <c r="R1665" s="87">
        <v>0</v>
      </c>
      <c r="S1665" s="87">
        <v>0</v>
      </c>
      <c r="T1665" s="87">
        <v>1</v>
      </c>
      <c r="U1665" s="87">
        <v>0</v>
      </c>
      <c r="V1665" s="87">
        <v>11</v>
      </c>
      <c r="W1665" s="93" t="s">
        <v>6961</v>
      </c>
      <c r="X1665" s="87"/>
      <c r="Y1665" s="87"/>
      <c r="Z1665" s="87"/>
      <c r="AA1665" s="87"/>
      <c r="AB1665" s="87"/>
      <c r="AC1665" s="93" t="s">
        <v>11457</v>
      </c>
      <c r="AD1665" s="87" t="s">
        <v>11519</v>
      </c>
      <c r="AE1665" s="92" t="str">
        <f>HYPERLINK("https://twitter.com/lucasalexneves1/status/1678819320107790339")</f>
        <v>https://twitter.com/lucasalexneves1/status/1678819320107790339</v>
      </c>
      <c r="AF1665" s="90">
        <v>45118.730219907404</v>
      </c>
      <c r="AG1665" s="99">
        <v>45118</v>
      </c>
      <c r="AH1665" s="93" t="s">
        <v>13053</v>
      </c>
      <c r="AI1665" s="87"/>
      <c r="AJ1665" s="87"/>
      <c r="AK1665" s="87"/>
      <c r="AL1665" s="87"/>
      <c r="AM1665" s="87"/>
      <c r="AN1665" s="87"/>
      <c r="AO1665" s="87"/>
      <c r="AP1665" s="87"/>
      <c r="AQ1665" s="87"/>
      <c r="AR1665" s="87"/>
      <c r="AS1665" s="87"/>
      <c r="AT1665" s="87"/>
      <c r="AU1665" s="87"/>
      <c r="AV1665" s="92" t="str">
        <f>HYPERLINK("https://pbs.twimg.com/profile_images/1425160332515872777/VKBvpojG_normal.jpg")</f>
        <v>https://pbs.twimg.com/profile_images/1425160332515872777/VKBvpojG_normal.jpg</v>
      </c>
      <c r="AW1665" s="93" t="s">
        <v>19897</v>
      </c>
      <c r="AX1665" s="93" t="s">
        <v>22391</v>
      </c>
      <c r="AY1665" s="93" t="s">
        <v>22577</v>
      </c>
      <c r="AZ1665" s="93" t="s">
        <v>22391</v>
      </c>
      <c r="BA1665" s="93" t="s">
        <v>22668</v>
      </c>
      <c r="BB1665" s="93" t="s">
        <v>22668</v>
      </c>
      <c r="BC1665" s="93" t="s">
        <v>22391</v>
      </c>
      <c r="BD1665" s="93" t="s">
        <v>22577</v>
      </c>
      <c r="BE1665" s="87"/>
      <c r="BF1665" s="87"/>
      <c r="BG1665" s="87"/>
      <c r="BH1665" s="87"/>
      <c r="BI1665" s="87"/>
    </row>
    <row r="1666" spans="1:61" x14ac:dyDescent="0.25">
      <c r="A1666" s="63" t="s">
        <v>786</v>
      </c>
      <c r="B1666" s="63" t="s">
        <v>786</v>
      </c>
      <c r="C1666" s="64"/>
      <c r="D1666" s="65"/>
      <c r="E1666" s="66"/>
      <c r="F1666" s="67"/>
      <c r="G1666" s="64"/>
      <c r="H1666" s="68"/>
      <c r="I1666" s="69"/>
      <c r="J1666" s="69"/>
      <c r="K1666" s="32"/>
      <c r="L1666" s="76">
        <v>1666</v>
      </c>
      <c r="M1666" s="76"/>
      <c r="N1666" s="71"/>
      <c r="O1666" s="87" t="s">
        <v>179</v>
      </c>
      <c r="P1666" s="90">
        <v>45142.670034722221</v>
      </c>
      <c r="Q1666" s="87" t="s">
        <v>3462</v>
      </c>
      <c r="R1666" s="87">
        <v>0</v>
      </c>
      <c r="S1666" s="87">
        <v>0</v>
      </c>
      <c r="T1666" s="87">
        <v>0</v>
      </c>
      <c r="U1666" s="87">
        <v>0</v>
      </c>
      <c r="V1666" s="87">
        <v>9</v>
      </c>
      <c r="W1666" s="93" t="s">
        <v>6962</v>
      </c>
      <c r="X1666" s="92" t="str">
        <f>HYPERLINK("https://www.nossomeio.com.br/pesquisa-indica-que-35-das-mulheres-empreendem-por-vocacao-no-brasil-confira-historias-de-empreendedoras-cearenses/")</f>
        <v>https://www.nossomeio.com.br/pesquisa-indica-que-35-das-mulheres-empreendem-por-vocacao-no-brasil-confira-historias-de-empreendedoras-cearenses/</v>
      </c>
      <c r="Y1666" s="87" t="s">
        <v>8373</v>
      </c>
      <c r="Z1666" s="87"/>
      <c r="AA1666" s="87"/>
      <c r="AB1666" s="87"/>
      <c r="AC1666" s="93" t="s">
        <v>11457</v>
      </c>
      <c r="AD1666" s="87" t="s">
        <v>11519</v>
      </c>
      <c r="AE1666" s="92" t="str">
        <f>HYPERLINK("https://twitter.com/nossomeio/status/1687494816702107648")</f>
        <v>https://twitter.com/nossomeio/status/1687494816702107648</v>
      </c>
      <c r="AF1666" s="90">
        <v>45142.670034722221</v>
      </c>
      <c r="AG1666" s="99">
        <v>45142</v>
      </c>
      <c r="AH1666" s="93" t="s">
        <v>13054</v>
      </c>
      <c r="AI1666" s="87" t="b">
        <v>0</v>
      </c>
      <c r="AJ1666" s="87"/>
      <c r="AK1666" s="87"/>
      <c r="AL1666" s="87"/>
      <c r="AM1666" s="87"/>
      <c r="AN1666" s="87"/>
      <c r="AO1666" s="87"/>
      <c r="AP1666" s="87"/>
      <c r="AQ1666" s="87"/>
      <c r="AR1666" s="87"/>
      <c r="AS1666" s="87"/>
      <c r="AT1666" s="87"/>
      <c r="AU1666" s="87"/>
      <c r="AV1666" s="92" t="str">
        <f>HYPERLINK("https://pbs.twimg.com/profile_images/1620494346284924928/tFuzXv3j_normal.jpg")</f>
        <v>https://pbs.twimg.com/profile_images/1620494346284924928/tFuzXv3j_normal.jpg</v>
      </c>
      <c r="AW1666" s="93" t="s">
        <v>19898</v>
      </c>
      <c r="AX1666" s="93" t="s">
        <v>19898</v>
      </c>
      <c r="AY1666" s="87"/>
      <c r="AZ1666" s="93" t="s">
        <v>22668</v>
      </c>
      <c r="BA1666" s="93" t="s">
        <v>22668</v>
      </c>
      <c r="BB1666" s="93" t="s">
        <v>22668</v>
      </c>
      <c r="BC1666" s="93" t="s">
        <v>19898</v>
      </c>
      <c r="BD1666" s="93" t="s">
        <v>23116</v>
      </c>
      <c r="BE1666" s="87"/>
      <c r="BF1666" s="87"/>
      <c r="BG1666" s="87"/>
      <c r="BH1666" s="87"/>
      <c r="BI1666" s="87"/>
    </row>
    <row r="1667" spans="1:61" x14ac:dyDescent="0.25">
      <c r="A1667" s="63" t="s">
        <v>786</v>
      </c>
      <c r="B1667" s="63" t="s">
        <v>786</v>
      </c>
      <c r="C1667" s="64"/>
      <c r="D1667" s="65"/>
      <c r="E1667" s="66"/>
      <c r="F1667" s="67"/>
      <c r="G1667" s="64"/>
      <c r="H1667" s="68"/>
      <c r="I1667" s="69"/>
      <c r="J1667" s="69"/>
      <c r="K1667" s="32"/>
      <c r="L1667" s="76">
        <v>1667</v>
      </c>
      <c r="M1667" s="76"/>
      <c r="N1667" s="71"/>
      <c r="O1667" s="87" t="s">
        <v>179</v>
      </c>
      <c r="P1667" s="90">
        <v>45180.746053240742</v>
      </c>
      <c r="Q1667" s="87" t="s">
        <v>3463</v>
      </c>
      <c r="R1667" s="87">
        <v>0</v>
      </c>
      <c r="S1667" s="87">
        <v>0</v>
      </c>
      <c r="T1667" s="87">
        <v>0</v>
      </c>
      <c r="U1667" s="87">
        <v>0</v>
      </c>
      <c r="V1667" s="87">
        <v>7</v>
      </c>
      <c r="W1667" s="93" t="s">
        <v>6963</v>
      </c>
      <c r="X1667" s="92" t="str">
        <f>HYPERLINK("https://www.nossomeio.com.br/bcallenge-chega-em-fortaleza-com-programacao-voltada-para-carreira-e-empreendedorismo/")</f>
        <v>https://www.nossomeio.com.br/bcallenge-chega-em-fortaleza-com-programacao-voltada-para-carreira-e-empreendedorismo/</v>
      </c>
      <c r="Y1667" s="87" t="s">
        <v>8373</v>
      </c>
      <c r="Z1667" s="87"/>
      <c r="AA1667" s="87"/>
      <c r="AB1667" s="87"/>
      <c r="AC1667" s="93" t="s">
        <v>11457</v>
      </c>
      <c r="AD1667" s="87" t="s">
        <v>11519</v>
      </c>
      <c r="AE1667" s="92" t="str">
        <f>HYPERLINK("https://twitter.com/nossomeio/status/1701293105981349949")</f>
        <v>https://twitter.com/nossomeio/status/1701293105981349949</v>
      </c>
      <c r="AF1667" s="90">
        <v>45180.746053240742</v>
      </c>
      <c r="AG1667" s="99">
        <v>45180</v>
      </c>
      <c r="AH1667" s="93" t="s">
        <v>13055</v>
      </c>
      <c r="AI1667" s="87" t="b">
        <v>0</v>
      </c>
      <c r="AJ1667" s="87"/>
      <c r="AK1667" s="87"/>
      <c r="AL1667" s="87"/>
      <c r="AM1667" s="87"/>
      <c r="AN1667" s="87"/>
      <c r="AO1667" s="87"/>
      <c r="AP1667" s="87"/>
      <c r="AQ1667" s="87"/>
      <c r="AR1667" s="87"/>
      <c r="AS1667" s="87"/>
      <c r="AT1667" s="87"/>
      <c r="AU1667" s="87"/>
      <c r="AV1667" s="92" t="str">
        <f>HYPERLINK("https://pbs.twimg.com/profile_images/1620494346284924928/tFuzXv3j_normal.jpg")</f>
        <v>https://pbs.twimg.com/profile_images/1620494346284924928/tFuzXv3j_normal.jpg</v>
      </c>
      <c r="AW1667" s="93" t="s">
        <v>19899</v>
      </c>
      <c r="AX1667" s="93" t="s">
        <v>19899</v>
      </c>
      <c r="AY1667" s="87"/>
      <c r="AZ1667" s="93" t="s">
        <v>22668</v>
      </c>
      <c r="BA1667" s="93" t="s">
        <v>22668</v>
      </c>
      <c r="BB1667" s="93" t="s">
        <v>22668</v>
      </c>
      <c r="BC1667" s="93" t="s">
        <v>19899</v>
      </c>
      <c r="BD1667" s="93" t="s">
        <v>23116</v>
      </c>
      <c r="BE1667" s="87"/>
      <c r="BF1667" s="87"/>
      <c r="BG1667" s="87"/>
      <c r="BH1667" s="87"/>
      <c r="BI1667" s="87"/>
    </row>
    <row r="1668" spans="1:61" x14ac:dyDescent="0.25">
      <c r="A1668" s="63" t="s">
        <v>787</v>
      </c>
      <c r="B1668" s="63" t="s">
        <v>787</v>
      </c>
      <c r="C1668" s="64"/>
      <c r="D1668" s="65"/>
      <c r="E1668" s="66"/>
      <c r="F1668" s="67"/>
      <c r="G1668" s="64"/>
      <c r="H1668" s="68"/>
      <c r="I1668" s="69"/>
      <c r="J1668" s="69"/>
      <c r="K1668" s="32"/>
      <c r="L1668" s="76">
        <v>1668</v>
      </c>
      <c r="M1668" s="76"/>
      <c r="N1668" s="71"/>
      <c r="O1668" s="87" t="s">
        <v>179</v>
      </c>
      <c r="P1668" s="90">
        <v>45156.45416666667</v>
      </c>
      <c r="Q1668" s="87" t="s">
        <v>3464</v>
      </c>
      <c r="R1668" s="87">
        <v>0</v>
      </c>
      <c r="S1668" s="87">
        <v>0</v>
      </c>
      <c r="T1668" s="87">
        <v>0</v>
      </c>
      <c r="U1668" s="87">
        <v>0</v>
      </c>
      <c r="V1668" s="87">
        <v>6</v>
      </c>
      <c r="W1668" s="93" t="s">
        <v>6964</v>
      </c>
      <c r="X1668" s="87"/>
      <c r="Y1668" s="87"/>
      <c r="Z1668" s="87"/>
      <c r="AA1668" s="87" t="s">
        <v>9702</v>
      </c>
      <c r="AB1668" s="87" t="s">
        <v>11448</v>
      </c>
      <c r="AC1668" s="93" t="s">
        <v>11457</v>
      </c>
      <c r="AD1668" s="87" t="s">
        <v>11520</v>
      </c>
      <c r="AE1668" s="92" t="str">
        <f>HYPERLINK("https://twitter.com/gestaolideranca/status/1692490019347255536")</f>
        <v>https://twitter.com/gestaolideranca/status/1692490019347255536</v>
      </c>
      <c r="AF1668" s="90">
        <v>45156.45416666667</v>
      </c>
      <c r="AG1668" s="99">
        <v>45156</v>
      </c>
      <c r="AH1668" s="93" t="s">
        <v>13056</v>
      </c>
      <c r="AI1668" s="87" t="b">
        <v>0</v>
      </c>
      <c r="AJ1668" s="87"/>
      <c r="AK1668" s="87"/>
      <c r="AL1668" s="87"/>
      <c r="AM1668" s="87"/>
      <c r="AN1668" s="87"/>
      <c r="AO1668" s="87"/>
      <c r="AP1668" s="87"/>
      <c r="AQ1668" s="87" t="s">
        <v>16515</v>
      </c>
      <c r="AR1668" s="87"/>
      <c r="AS1668" s="87"/>
      <c r="AT1668" s="87"/>
      <c r="AU1668" s="87"/>
      <c r="AV1668" s="92" t="str">
        <f>HYPERLINK("https://pbs.twimg.com/media/F3ztiV0XkAASFq7.jpg")</f>
        <v>https://pbs.twimg.com/media/F3ztiV0XkAASFq7.jpg</v>
      </c>
      <c r="AW1668" s="93" t="s">
        <v>19900</v>
      </c>
      <c r="AX1668" s="93" t="s">
        <v>19900</v>
      </c>
      <c r="AY1668" s="87"/>
      <c r="AZ1668" s="93" t="s">
        <v>22668</v>
      </c>
      <c r="BA1668" s="93" t="s">
        <v>22668</v>
      </c>
      <c r="BB1668" s="93" t="s">
        <v>22668</v>
      </c>
      <c r="BC1668" s="93" t="s">
        <v>19900</v>
      </c>
      <c r="BD1668" s="93" t="s">
        <v>23117</v>
      </c>
      <c r="BE1668" s="87"/>
      <c r="BF1668" s="87"/>
      <c r="BG1668" s="87"/>
      <c r="BH1668" s="87"/>
      <c r="BI1668" s="87"/>
    </row>
    <row r="1669" spans="1:61" x14ac:dyDescent="0.25">
      <c r="A1669" s="63" t="s">
        <v>788</v>
      </c>
      <c r="B1669" s="63" t="s">
        <v>788</v>
      </c>
      <c r="C1669" s="64"/>
      <c r="D1669" s="65"/>
      <c r="E1669" s="66"/>
      <c r="F1669" s="67"/>
      <c r="G1669" s="64"/>
      <c r="H1669" s="68"/>
      <c r="I1669" s="69"/>
      <c r="J1669" s="69"/>
      <c r="K1669" s="32"/>
      <c r="L1669" s="76">
        <v>1669</v>
      </c>
      <c r="M1669" s="76"/>
      <c r="N1669" s="71"/>
      <c r="O1669" s="87" t="s">
        <v>179</v>
      </c>
      <c r="P1669" s="90">
        <v>45113.021585648145</v>
      </c>
      <c r="Q1669" s="87" t="s">
        <v>3465</v>
      </c>
      <c r="R1669" s="87">
        <v>0</v>
      </c>
      <c r="S1669" s="87">
        <v>0</v>
      </c>
      <c r="T1669" s="87">
        <v>0</v>
      </c>
      <c r="U1669" s="87">
        <v>0</v>
      </c>
      <c r="V1669" s="87">
        <v>59</v>
      </c>
      <c r="W1669" s="93" t="s">
        <v>6965</v>
      </c>
      <c r="X1669" s="87"/>
      <c r="Y1669" s="87"/>
      <c r="Z1669" s="87"/>
      <c r="AA1669" s="87" t="s">
        <v>9703</v>
      </c>
      <c r="AB1669" s="87" t="s">
        <v>11447</v>
      </c>
      <c r="AC1669" s="93" t="s">
        <v>11459</v>
      </c>
      <c r="AD1669" s="87" t="s">
        <v>11519</v>
      </c>
      <c r="AE1669" s="92" t="str">
        <f>HYPERLINK("https://twitter.com/sobre_rodrigo/status/1676750582072082433")</f>
        <v>https://twitter.com/sobre_rodrigo/status/1676750582072082433</v>
      </c>
      <c r="AF1669" s="90">
        <v>45113.021585648145</v>
      </c>
      <c r="AG1669" s="99">
        <v>45113</v>
      </c>
      <c r="AH1669" s="93" t="s">
        <v>13057</v>
      </c>
      <c r="AI1669" s="87" t="b">
        <v>0</v>
      </c>
      <c r="AJ1669" s="87"/>
      <c r="AK1669" s="87"/>
      <c r="AL1669" s="87"/>
      <c r="AM1669" s="87"/>
      <c r="AN1669" s="87"/>
      <c r="AO1669" s="87"/>
      <c r="AP1669" s="87"/>
      <c r="AQ1669" s="87" t="s">
        <v>16516</v>
      </c>
      <c r="AR1669" s="87">
        <v>73533</v>
      </c>
      <c r="AS1669" s="87"/>
      <c r="AT1669" s="87"/>
      <c r="AU1669" s="87"/>
      <c r="AV1669" s="92" t="str">
        <f>HYPERLINK("https://pbs.twimg.com/ext_tw_video_thumb/1676750510546644992/pu/img/8kDS677HLe9sLEg9.jpg")</f>
        <v>https://pbs.twimg.com/ext_tw_video_thumb/1676750510546644992/pu/img/8kDS677HLe9sLEg9.jpg</v>
      </c>
      <c r="AW1669" s="93" t="s">
        <v>19901</v>
      </c>
      <c r="AX1669" s="93" t="s">
        <v>19901</v>
      </c>
      <c r="AY1669" s="87"/>
      <c r="AZ1669" s="93" t="s">
        <v>22668</v>
      </c>
      <c r="BA1669" s="93" t="s">
        <v>22668</v>
      </c>
      <c r="BB1669" s="93" t="s">
        <v>22668</v>
      </c>
      <c r="BC1669" s="93" t="s">
        <v>19901</v>
      </c>
      <c r="BD1669" s="93" t="s">
        <v>23118</v>
      </c>
      <c r="BE1669" s="87"/>
      <c r="BF1669" s="87"/>
      <c r="BG1669" s="87"/>
      <c r="BH1669" s="87"/>
      <c r="BI1669" s="87"/>
    </row>
    <row r="1670" spans="1:61" x14ac:dyDescent="0.25">
      <c r="A1670" s="63" t="s">
        <v>788</v>
      </c>
      <c r="B1670" s="63" t="s">
        <v>788</v>
      </c>
      <c r="C1670" s="64"/>
      <c r="D1670" s="65"/>
      <c r="E1670" s="66"/>
      <c r="F1670" s="67"/>
      <c r="G1670" s="64"/>
      <c r="H1670" s="68"/>
      <c r="I1670" s="69"/>
      <c r="J1670" s="69"/>
      <c r="K1670" s="32"/>
      <c r="L1670" s="76">
        <v>1670</v>
      </c>
      <c r="M1670" s="76"/>
      <c r="N1670" s="71"/>
      <c r="O1670" s="87" t="s">
        <v>179</v>
      </c>
      <c r="P1670" s="90">
        <v>45160.05190972222</v>
      </c>
      <c r="Q1670" s="87" t="s">
        <v>3466</v>
      </c>
      <c r="R1670" s="87">
        <v>0</v>
      </c>
      <c r="S1670" s="87">
        <v>1</v>
      </c>
      <c r="T1670" s="87">
        <v>0</v>
      </c>
      <c r="U1670" s="87">
        <v>0</v>
      </c>
      <c r="V1670" s="87">
        <v>45</v>
      </c>
      <c r="W1670" s="93" t="s">
        <v>6966</v>
      </c>
      <c r="X1670" s="87"/>
      <c r="Y1670" s="87"/>
      <c r="Z1670" s="87"/>
      <c r="AA1670" s="87" t="s">
        <v>9704</v>
      </c>
      <c r="AB1670" s="87" t="s">
        <v>11448</v>
      </c>
      <c r="AC1670" s="93" t="s">
        <v>11459</v>
      </c>
      <c r="AD1670" s="87" t="s">
        <v>11519</v>
      </c>
      <c r="AE1670" s="92" t="str">
        <f>HYPERLINK("https://twitter.com/sobre_rodrigo/status/1693793801012208058")</f>
        <v>https://twitter.com/sobre_rodrigo/status/1693793801012208058</v>
      </c>
      <c r="AF1670" s="90">
        <v>45160.05190972222</v>
      </c>
      <c r="AG1670" s="99">
        <v>45160</v>
      </c>
      <c r="AH1670" s="93" t="s">
        <v>13058</v>
      </c>
      <c r="AI1670" s="87" t="b">
        <v>0</v>
      </c>
      <c r="AJ1670" s="87"/>
      <c r="AK1670" s="87"/>
      <c r="AL1670" s="87"/>
      <c r="AM1670" s="87"/>
      <c r="AN1670" s="87"/>
      <c r="AO1670" s="87"/>
      <c r="AP1670" s="87"/>
      <c r="AQ1670" s="87" t="s">
        <v>16517</v>
      </c>
      <c r="AR1670" s="87"/>
      <c r="AS1670" s="87"/>
      <c r="AT1670" s="87"/>
      <c r="AU1670" s="87"/>
      <c r="AV1670" s="92" t="str">
        <f>HYPERLINK("https://pbs.twimg.com/media/F4GQfFIWsAA5bAk.jpg")</f>
        <v>https://pbs.twimg.com/media/F4GQfFIWsAA5bAk.jpg</v>
      </c>
      <c r="AW1670" s="93" t="s">
        <v>19902</v>
      </c>
      <c r="AX1670" s="93" t="s">
        <v>19902</v>
      </c>
      <c r="AY1670" s="87"/>
      <c r="AZ1670" s="93" t="s">
        <v>22668</v>
      </c>
      <c r="BA1670" s="93" t="s">
        <v>22668</v>
      </c>
      <c r="BB1670" s="93" t="s">
        <v>22668</v>
      </c>
      <c r="BC1670" s="93" t="s">
        <v>19902</v>
      </c>
      <c r="BD1670" s="93" t="s">
        <v>23118</v>
      </c>
      <c r="BE1670" s="87"/>
      <c r="BF1670" s="87"/>
      <c r="BG1670" s="87"/>
      <c r="BH1670" s="87"/>
      <c r="BI1670" s="87"/>
    </row>
    <row r="1671" spans="1:61" x14ac:dyDescent="0.25">
      <c r="A1671" s="63" t="s">
        <v>789</v>
      </c>
      <c r="B1671" s="63" t="s">
        <v>789</v>
      </c>
      <c r="C1671" s="64"/>
      <c r="D1671" s="65"/>
      <c r="E1671" s="66"/>
      <c r="F1671" s="67"/>
      <c r="G1671" s="64"/>
      <c r="H1671" s="68"/>
      <c r="I1671" s="69"/>
      <c r="J1671" s="69"/>
      <c r="K1671" s="32"/>
      <c r="L1671" s="76">
        <v>1671</v>
      </c>
      <c r="M1671" s="76"/>
      <c r="N1671" s="71"/>
      <c r="O1671" s="87" t="s">
        <v>179</v>
      </c>
      <c r="P1671" s="90">
        <v>45193.851423611108</v>
      </c>
      <c r="Q1671" s="87" t="s">
        <v>3467</v>
      </c>
      <c r="R1671" s="87">
        <v>0</v>
      </c>
      <c r="S1671" s="87">
        <v>0</v>
      </c>
      <c r="T1671" s="87">
        <v>0</v>
      </c>
      <c r="U1671" s="87">
        <v>0</v>
      </c>
      <c r="V1671" s="87">
        <v>3</v>
      </c>
      <c r="W1671" s="93" t="s">
        <v>6967</v>
      </c>
      <c r="X1671" s="92" t="str">
        <f>HYPERLINK("https://jornalpanoramaminas.com.br/profissionais-da-educacao-municipal-da-campanha-passarao-por-capacitacao-em-educacao-empreendedora/?swcfpc=1")</f>
        <v>https://jornalpanoramaminas.com.br/profissionais-da-educacao-municipal-da-campanha-passarao-por-capacitacao-em-educacao-empreendedora/?swcfpc=1</v>
      </c>
      <c r="Y1671" s="87" t="s">
        <v>8373</v>
      </c>
      <c r="Z1671" s="87"/>
      <c r="AA1671" s="87"/>
      <c r="AB1671" s="87"/>
      <c r="AC1671" s="93" t="s">
        <v>11457</v>
      </c>
      <c r="AD1671" s="87" t="s">
        <v>11519</v>
      </c>
      <c r="AE1671" s="92" t="str">
        <f>HYPERLINK("https://twitter.com/jornal_panorama/status/1706042333320360347")</f>
        <v>https://twitter.com/jornal_panorama/status/1706042333320360347</v>
      </c>
      <c r="AF1671" s="90">
        <v>45193.851423611108</v>
      </c>
      <c r="AG1671" s="99">
        <v>45193</v>
      </c>
      <c r="AH1671" s="93" t="s">
        <v>13059</v>
      </c>
      <c r="AI1671" s="87" t="b">
        <v>0</v>
      </c>
      <c r="AJ1671" s="87"/>
      <c r="AK1671" s="87"/>
      <c r="AL1671" s="87"/>
      <c r="AM1671" s="87"/>
      <c r="AN1671" s="87"/>
      <c r="AO1671" s="87"/>
      <c r="AP1671" s="87"/>
      <c r="AQ1671" s="87"/>
      <c r="AR1671" s="87"/>
      <c r="AS1671" s="87"/>
      <c r="AT1671" s="87"/>
      <c r="AU1671" s="87"/>
      <c r="AV1671" s="92" t="str">
        <f>HYPERLINK("https://pbs.twimg.com/profile_images/1613205825199259649/hUcz1R6k_normal.jpg")</f>
        <v>https://pbs.twimg.com/profile_images/1613205825199259649/hUcz1R6k_normal.jpg</v>
      </c>
      <c r="AW1671" s="93" t="s">
        <v>19903</v>
      </c>
      <c r="AX1671" s="93" t="s">
        <v>19903</v>
      </c>
      <c r="AY1671" s="87"/>
      <c r="AZ1671" s="93" t="s">
        <v>22668</v>
      </c>
      <c r="BA1671" s="93" t="s">
        <v>22668</v>
      </c>
      <c r="BB1671" s="93" t="s">
        <v>22668</v>
      </c>
      <c r="BC1671" s="93" t="s">
        <v>19903</v>
      </c>
      <c r="BD1671" s="87">
        <v>239762397</v>
      </c>
      <c r="BE1671" s="87"/>
      <c r="BF1671" s="87"/>
      <c r="BG1671" s="87"/>
      <c r="BH1671" s="87"/>
      <c r="BI1671" s="87"/>
    </row>
    <row r="1672" spans="1:61" x14ac:dyDescent="0.25">
      <c r="A1672" s="63" t="s">
        <v>790</v>
      </c>
      <c r="B1672" s="63" t="s">
        <v>790</v>
      </c>
      <c r="C1672" s="64"/>
      <c r="D1672" s="65"/>
      <c r="E1672" s="66"/>
      <c r="F1672" s="67"/>
      <c r="G1672" s="64"/>
      <c r="H1672" s="68"/>
      <c r="I1672" s="69"/>
      <c r="J1672" s="69"/>
      <c r="K1672" s="32"/>
      <c r="L1672" s="76">
        <v>1672</v>
      </c>
      <c r="M1672" s="76"/>
      <c r="N1672" s="71"/>
      <c r="O1672" s="87" t="s">
        <v>179</v>
      </c>
      <c r="P1672" s="90">
        <v>45118.910196759258</v>
      </c>
      <c r="Q1672" s="87" t="s">
        <v>3468</v>
      </c>
      <c r="R1672" s="87">
        <v>0</v>
      </c>
      <c r="S1672" s="87">
        <v>0</v>
      </c>
      <c r="T1672" s="87">
        <v>1</v>
      </c>
      <c r="U1672" s="87">
        <v>0</v>
      </c>
      <c r="V1672" s="87">
        <v>16</v>
      </c>
      <c r="W1672" s="93" t="s">
        <v>6968</v>
      </c>
      <c r="X1672" s="87"/>
      <c r="Y1672" s="87"/>
      <c r="Z1672" s="87"/>
      <c r="AA1672" s="87"/>
      <c r="AB1672" s="87"/>
      <c r="AC1672" s="93" t="s">
        <v>11457</v>
      </c>
      <c r="AD1672" s="87" t="s">
        <v>11519</v>
      </c>
      <c r="AE1672" s="92" t="str">
        <f>HYPERLINK("https://twitter.com/moura_marcas/status/1678884543296593921")</f>
        <v>https://twitter.com/moura_marcas/status/1678884543296593921</v>
      </c>
      <c r="AF1672" s="90">
        <v>45118.910196759258</v>
      </c>
      <c r="AG1672" s="99">
        <v>45118</v>
      </c>
      <c r="AH1672" s="93" t="s">
        <v>13060</v>
      </c>
      <c r="AI1672" s="87"/>
      <c r="AJ1672" s="87"/>
      <c r="AK1672" s="87"/>
      <c r="AL1672" s="87"/>
      <c r="AM1672" s="87"/>
      <c r="AN1672" s="87"/>
      <c r="AO1672" s="87"/>
      <c r="AP1672" s="87"/>
      <c r="AQ1672" s="87"/>
      <c r="AR1672" s="87"/>
      <c r="AS1672" s="87"/>
      <c r="AT1672" s="87"/>
      <c r="AU1672" s="87"/>
      <c r="AV1672" s="92" t="str">
        <f>HYPERLINK("https://pbs.twimg.com/profile_images/1615822711137214474/rcOz3Nef_normal.jpg")</f>
        <v>https://pbs.twimg.com/profile_images/1615822711137214474/rcOz3Nef_normal.jpg</v>
      </c>
      <c r="AW1672" s="93" t="s">
        <v>19904</v>
      </c>
      <c r="AX1672" s="93" t="s">
        <v>19904</v>
      </c>
      <c r="AY1672" s="87"/>
      <c r="AZ1672" s="93" t="s">
        <v>22668</v>
      </c>
      <c r="BA1672" s="93" t="s">
        <v>22668</v>
      </c>
      <c r="BB1672" s="93" t="s">
        <v>22668</v>
      </c>
      <c r="BC1672" s="93" t="s">
        <v>19904</v>
      </c>
      <c r="BD1672" s="87">
        <v>54253569</v>
      </c>
      <c r="BE1672" s="87"/>
      <c r="BF1672" s="87"/>
      <c r="BG1672" s="87"/>
      <c r="BH1672" s="87"/>
      <c r="BI1672" s="87"/>
    </row>
    <row r="1673" spans="1:61" x14ac:dyDescent="0.25">
      <c r="A1673" s="63" t="s">
        <v>790</v>
      </c>
      <c r="B1673" s="63" t="s">
        <v>790</v>
      </c>
      <c r="C1673" s="64"/>
      <c r="D1673" s="65"/>
      <c r="E1673" s="66"/>
      <c r="F1673" s="67"/>
      <c r="G1673" s="64"/>
      <c r="H1673" s="68"/>
      <c r="I1673" s="69"/>
      <c r="J1673" s="69"/>
      <c r="K1673" s="32"/>
      <c r="L1673" s="76">
        <v>1673</v>
      </c>
      <c r="M1673" s="76"/>
      <c r="N1673" s="71"/>
      <c r="O1673" s="87" t="s">
        <v>1840</v>
      </c>
      <c r="P1673" s="90">
        <v>45130.817337962966</v>
      </c>
      <c r="Q1673" s="87" t="s">
        <v>3469</v>
      </c>
      <c r="R1673" s="87">
        <v>0</v>
      </c>
      <c r="S1673" s="87">
        <v>0</v>
      </c>
      <c r="T1673" s="87">
        <v>0</v>
      </c>
      <c r="U1673" s="87">
        <v>0</v>
      </c>
      <c r="V1673" s="87">
        <v>2</v>
      </c>
      <c r="W1673" s="93" t="s">
        <v>6969</v>
      </c>
      <c r="X1673" s="87"/>
      <c r="Y1673" s="87"/>
      <c r="Z1673" s="87"/>
      <c r="AA1673" s="87" t="s">
        <v>9705</v>
      </c>
      <c r="AB1673" s="87" t="s">
        <v>11448</v>
      </c>
      <c r="AC1673" s="93" t="s">
        <v>11457</v>
      </c>
      <c r="AD1673" s="87" t="s">
        <v>11519</v>
      </c>
      <c r="AE1673" s="92" t="str">
        <f>HYPERLINK("https://twitter.com/moura_marcas/status/1683199546514366464")</f>
        <v>https://twitter.com/moura_marcas/status/1683199546514366464</v>
      </c>
      <c r="AF1673" s="90">
        <v>45130.817337962966</v>
      </c>
      <c r="AG1673" s="99">
        <v>45130</v>
      </c>
      <c r="AH1673" s="93" t="s">
        <v>13061</v>
      </c>
      <c r="AI1673" s="87" t="b">
        <v>0</v>
      </c>
      <c r="AJ1673" s="87"/>
      <c r="AK1673" s="87"/>
      <c r="AL1673" s="87"/>
      <c r="AM1673" s="87"/>
      <c r="AN1673" s="87"/>
      <c r="AO1673" s="87"/>
      <c r="AP1673" s="87"/>
      <c r="AQ1673" s="87" t="s">
        <v>16518</v>
      </c>
      <c r="AR1673" s="87"/>
      <c r="AS1673" s="87"/>
      <c r="AT1673" s="87"/>
      <c r="AU1673" s="87"/>
      <c r="AV1673" s="92" t="str">
        <f>HYPERLINK("https://pbs.twimg.com/media/F1vsrz3X0AIvazE.jpg")</f>
        <v>https://pbs.twimg.com/media/F1vsrz3X0AIvazE.jpg</v>
      </c>
      <c r="AW1673" s="93" t="s">
        <v>19905</v>
      </c>
      <c r="AX1673" s="93" t="s">
        <v>19909</v>
      </c>
      <c r="AY1673" s="93" t="s">
        <v>22578</v>
      </c>
      <c r="AZ1673" s="93" t="s">
        <v>19906</v>
      </c>
      <c r="BA1673" s="93" t="s">
        <v>22668</v>
      </c>
      <c r="BB1673" s="93" t="s">
        <v>22668</v>
      </c>
      <c r="BC1673" s="93" t="s">
        <v>19906</v>
      </c>
      <c r="BD1673" s="87">
        <v>54253569</v>
      </c>
      <c r="BE1673" s="87"/>
      <c r="BF1673" s="87"/>
      <c r="BG1673" s="87"/>
      <c r="BH1673" s="87"/>
      <c r="BI1673" s="87"/>
    </row>
    <row r="1674" spans="1:61" x14ac:dyDescent="0.25">
      <c r="A1674" s="63" t="s">
        <v>790</v>
      </c>
      <c r="B1674" s="63" t="s">
        <v>790</v>
      </c>
      <c r="C1674" s="64"/>
      <c r="D1674" s="65"/>
      <c r="E1674" s="66"/>
      <c r="F1674" s="67"/>
      <c r="G1674" s="64"/>
      <c r="H1674" s="68"/>
      <c r="I1674" s="69"/>
      <c r="J1674" s="69"/>
      <c r="K1674" s="32"/>
      <c r="L1674" s="76">
        <v>1674</v>
      </c>
      <c r="M1674" s="76"/>
      <c r="N1674" s="71"/>
      <c r="O1674" s="87" t="s">
        <v>1840</v>
      </c>
      <c r="P1674" s="90">
        <v>45130.817337962966</v>
      </c>
      <c r="Q1674" s="87" t="s">
        <v>3470</v>
      </c>
      <c r="R1674" s="87">
        <v>0</v>
      </c>
      <c r="S1674" s="87">
        <v>0</v>
      </c>
      <c r="T1674" s="87">
        <v>1</v>
      </c>
      <c r="U1674" s="87">
        <v>0</v>
      </c>
      <c r="V1674" s="87">
        <v>6</v>
      </c>
      <c r="W1674" s="93" t="s">
        <v>6969</v>
      </c>
      <c r="X1674" s="87"/>
      <c r="Y1674" s="87"/>
      <c r="Z1674" s="87"/>
      <c r="AA1674" s="87" t="s">
        <v>9706</v>
      </c>
      <c r="AB1674" s="87" t="s">
        <v>11448</v>
      </c>
      <c r="AC1674" s="93" t="s">
        <v>11457</v>
      </c>
      <c r="AD1674" s="87" t="s">
        <v>11519</v>
      </c>
      <c r="AE1674" s="92" t="str">
        <f>HYPERLINK("https://twitter.com/moura_marcas/status/1683199544211767296")</f>
        <v>https://twitter.com/moura_marcas/status/1683199544211767296</v>
      </c>
      <c r="AF1674" s="90">
        <v>45130.817337962966</v>
      </c>
      <c r="AG1674" s="99">
        <v>45130</v>
      </c>
      <c r="AH1674" s="93" t="s">
        <v>13061</v>
      </c>
      <c r="AI1674" s="87" t="b">
        <v>0</v>
      </c>
      <c r="AJ1674" s="87"/>
      <c r="AK1674" s="87"/>
      <c r="AL1674" s="87"/>
      <c r="AM1674" s="87"/>
      <c r="AN1674" s="87"/>
      <c r="AO1674" s="87"/>
      <c r="AP1674" s="87"/>
      <c r="AQ1674" s="87" t="s">
        <v>16519</v>
      </c>
      <c r="AR1674" s="87"/>
      <c r="AS1674" s="87"/>
      <c r="AT1674" s="87"/>
      <c r="AU1674" s="87"/>
      <c r="AV1674" s="92" t="str">
        <f>HYPERLINK("https://pbs.twimg.com/media/F1vsWgHWcAM2UpE.jpg")</f>
        <v>https://pbs.twimg.com/media/F1vsWgHWcAM2UpE.jpg</v>
      </c>
      <c r="AW1674" s="93" t="s">
        <v>19906</v>
      </c>
      <c r="AX1674" s="93" t="s">
        <v>19909</v>
      </c>
      <c r="AY1674" s="93" t="s">
        <v>22578</v>
      </c>
      <c r="AZ1674" s="93" t="s">
        <v>19907</v>
      </c>
      <c r="BA1674" s="93" t="s">
        <v>22668</v>
      </c>
      <c r="BB1674" s="93" t="s">
        <v>22668</v>
      </c>
      <c r="BC1674" s="93" t="s">
        <v>19907</v>
      </c>
      <c r="BD1674" s="87">
        <v>54253569</v>
      </c>
      <c r="BE1674" s="87"/>
      <c r="BF1674" s="87"/>
      <c r="BG1674" s="87"/>
      <c r="BH1674" s="87"/>
      <c r="BI1674" s="87"/>
    </row>
    <row r="1675" spans="1:61" x14ac:dyDescent="0.25">
      <c r="A1675" s="63" t="s">
        <v>790</v>
      </c>
      <c r="B1675" s="63" t="s">
        <v>790</v>
      </c>
      <c r="C1675" s="64"/>
      <c r="D1675" s="65"/>
      <c r="E1675" s="66"/>
      <c r="F1675" s="67"/>
      <c r="G1675" s="64"/>
      <c r="H1675" s="68"/>
      <c r="I1675" s="69"/>
      <c r="J1675" s="69"/>
      <c r="K1675" s="32"/>
      <c r="L1675" s="76">
        <v>1675</v>
      </c>
      <c r="M1675" s="76"/>
      <c r="N1675" s="71"/>
      <c r="O1675" s="87" t="s">
        <v>1840</v>
      </c>
      <c r="P1675" s="90">
        <v>45130.817326388889</v>
      </c>
      <c r="Q1675" s="87" t="s">
        <v>3471</v>
      </c>
      <c r="R1675" s="87">
        <v>0</v>
      </c>
      <c r="S1675" s="87">
        <v>0</v>
      </c>
      <c r="T1675" s="87">
        <v>1</v>
      </c>
      <c r="U1675" s="87">
        <v>0</v>
      </c>
      <c r="V1675" s="87">
        <v>2</v>
      </c>
      <c r="W1675" s="93" t="s">
        <v>6969</v>
      </c>
      <c r="X1675" s="87"/>
      <c r="Y1675" s="87"/>
      <c r="Z1675" s="87"/>
      <c r="AA1675" s="87" t="s">
        <v>9707</v>
      </c>
      <c r="AB1675" s="87" t="s">
        <v>11448</v>
      </c>
      <c r="AC1675" s="93" t="s">
        <v>11457</v>
      </c>
      <c r="AD1675" s="87" t="s">
        <v>11519</v>
      </c>
      <c r="AE1675" s="92" t="str">
        <f>HYPERLINK("https://twitter.com/moura_marcas/status/1683199541783195649")</f>
        <v>https://twitter.com/moura_marcas/status/1683199541783195649</v>
      </c>
      <c r="AF1675" s="90">
        <v>45130.817326388889</v>
      </c>
      <c r="AG1675" s="99">
        <v>45130</v>
      </c>
      <c r="AH1675" s="93" t="s">
        <v>13062</v>
      </c>
      <c r="AI1675" s="87" t="b">
        <v>0</v>
      </c>
      <c r="AJ1675" s="87"/>
      <c r="AK1675" s="87"/>
      <c r="AL1675" s="87"/>
      <c r="AM1675" s="87"/>
      <c r="AN1675" s="87"/>
      <c r="AO1675" s="87"/>
      <c r="AP1675" s="87"/>
      <c r="AQ1675" s="87" t="s">
        <v>16520</v>
      </c>
      <c r="AR1675" s="87"/>
      <c r="AS1675" s="87"/>
      <c r="AT1675" s="87"/>
      <c r="AU1675" s="87"/>
      <c r="AV1675" s="92" t="str">
        <f>HYPERLINK("https://pbs.twimg.com/media/F1vsKZyWYAEilPZ.jpg")</f>
        <v>https://pbs.twimg.com/media/F1vsKZyWYAEilPZ.jpg</v>
      </c>
      <c r="AW1675" s="93" t="s">
        <v>19907</v>
      </c>
      <c r="AX1675" s="93" t="s">
        <v>19909</v>
      </c>
      <c r="AY1675" s="93" t="s">
        <v>22578</v>
      </c>
      <c r="AZ1675" s="93" t="s">
        <v>19908</v>
      </c>
      <c r="BA1675" s="93" t="s">
        <v>22668</v>
      </c>
      <c r="BB1675" s="93" t="s">
        <v>22668</v>
      </c>
      <c r="BC1675" s="93" t="s">
        <v>19908</v>
      </c>
      <c r="BD1675" s="87">
        <v>54253569</v>
      </c>
      <c r="BE1675" s="87"/>
      <c r="BF1675" s="87"/>
      <c r="BG1675" s="87"/>
      <c r="BH1675" s="87"/>
      <c r="BI1675" s="87"/>
    </row>
    <row r="1676" spans="1:61" x14ac:dyDescent="0.25">
      <c r="A1676" s="63" t="s">
        <v>790</v>
      </c>
      <c r="B1676" s="63" t="s">
        <v>790</v>
      </c>
      <c r="C1676" s="64"/>
      <c r="D1676" s="65"/>
      <c r="E1676" s="66"/>
      <c r="F1676" s="67"/>
      <c r="G1676" s="64"/>
      <c r="H1676" s="68"/>
      <c r="I1676" s="69"/>
      <c r="J1676" s="69"/>
      <c r="K1676" s="32"/>
      <c r="L1676" s="76">
        <v>1676</v>
      </c>
      <c r="M1676" s="76"/>
      <c r="N1676" s="71"/>
      <c r="O1676" s="87" t="s">
        <v>1840</v>
      </c>
      <c r="P1676" s="90">
        <v>45130.817326388889</v>
      </c>
      <c r="Q1676" s="87" t="s">
        <v>3472</v>
      </c>
      <c r="R1676" s="87">
        <v>0</v>
      </c>
      <c r="S1676" s="87">
        <v>0</v>
      </c>
      <c r="T1676" s="87">
        <v>1</v>
      </c>
      <c r="U1676" s="87">
        <v>0</v>
      </c>
      <c r="V1676" s="87">
        <v>1</v>
      </c>
      <c r="W1676" s="93" t="s">
        <v>6969</v>
      </c>
      <c r="X1676" s="87"/>
      <c r="Y1676" s="87"/>
      <c r="Z1676" s="87"/>
      <c r="AA1676" s="87" t="s">
        <v>9708</v>
      </c>
      <c r="AB1676" s="87" t="s">
        <v>11448</v>
      </c>
      <c r="AC1676" s="93" t="s">
        <v>11457</v>
      </c>
      <c r="AD1676" s="87" t="s">
        <v>11519</v>
      </c>
      <c r="AE1676" s="92" t="str">
        <f>HYPERLINK("https://twitter.com/moura_marcas/status/1683199539472113664")</f>
        <v>https://twitter.com/moura_marcas/status/1683199539472113664</v>
      </c>
      <c r="AF1676" s="90">
        <v>45130.817326388889</v>
      </c>
      <c r="AG1676" s="99">
        <v>45130</v>
      </c>
      <c r="AH1676" s="93" t="s">
        <v>13062</v>
      </c>
      <c r="AI1676" s="87" t="b">
        <v>0</v>
      </c>
      <c r="AJ1676" s="87"/>
      <c r="AK1676" s="87"/>
      <c r="AL1676" s="87"/>
      <c r="AM1676" s="87"/>
      <c r="AN1676" s="87"/>
      <c r="AO1676" s="87"/>
      <c r="AP1676" s="87"/>
      <c r="AQ1676" s="87" t="s">
        <v>16521</v>
      </c>
      <c r="AR1676" s="87"/>
      <c r="AS1676" s="87"/>
      <c r="AT1676" s="87"/>
      <c r="AU1676" s="87"/>
      <c r="AV1676" s="92" t="str">
        <f>HYPERLINK("https://pbs.twimg.com/media/F1vr4jkX0AEJu2q.jpg")</f>
        <v>https://pbs.twimg.com/media/F1vr4jkX0AEJu2q.jpg</v>
      </c>
      <c r="AW1676" s="93" t="s">
        <v>19908</v>
      </c>
      <c r="AX1676" s="93" t="s">
        <v>19909</v>
      </c>
      <c r="AY1676" s="93" t="s">
        <v>22578</v>
      </c>
      <c r="AZ1676" s="93" t="s">
        <v>19909</v>
      </c>
      <c r="BA1676" s="93" t="s">
        <v>22668</v>
      </c>
      <c r="BB1676" s="93" t="s">
        <v>22668</v>
      </c>
      <c r="BC1676" s="93" t="s">
        <v>19909</v>
      </c>
      <c r="BD1676" s="87">
        <v>54253569</v>
      </c>
      <c r="BE1676" s="87"/>
      <c r="BF1676" s="87"/>
      <c r="BG1676" s="87"/>
      <c r="BH1676" s="87"/>
      <c r="BI1676" s="87"/>
    </row>
    <row r="1677" spans="1:61" x14ac:dyDescent="0.25">
      <c r="A1677" s="63" t="s">
        <v>790</v>
      </c>
      <c r="B1677" s="63" t="s">
        <v>790</v>
      </c>
      <c r="C1677" s="64"/>
      <c r="D1677" s="65"/>
      <c r="E1677" s="66"/>
      <c r="F1677" s="67"/>
      <c r="G1677" s="64"/>
      <c r="H1677" s="68"/>
      <c r="I1677" s="69"/>
      <c r="J1677" s="69"/>
      <c r="K1677" s="32"/>
      <c r="L1677" s="76">
        <v>1677</v>
      </c>
      <c r="M1677" s="76"/>
      <c r="N1677" s="71"/>
      <c r="O1677" s="87" t="s">
        <v>179</v>
      </c>
      <c r="P1677" s="90">
        <v>45130.817314814813</v>
      </c>
      <c r="Q1677" s="87" t="s">
        <v>3473</v>
      </c>
      <c r="R1677" s="87">
        <v>0</v>
      </c>
      <c r="S1677" s="87">
        <v>0</v>
      </c>
      <c r="T1677" s="87">
        <v>1</v>
      </c>
      <c r="U1677" s="87">
        <v>0</v>
      </c>
      <c r="V1677" s="87">
        <v>16</v>
      </c>
      <c r="W1677" s="93" t="s">
        <v>6969</v>
      </c>
      <c r="X1677" s="87"/>
      <c r="Y1677" s="87"/>
      <c r="Z1677" s="87"/>
      <c r="AA1677" s="87" t="s">
        <v>9709</v>
      </c>
      <c r="AB1677" s="87" t="s">
        <v>11448</v>
      </c>
      <c r="AC1677" s="93" t="s">
        <v>11457</v>
      </c>
      <c r="AD1677" s="87" t="s">
        <v>11519</v>
      </c>
      <c r="AE1677" s="92" t="str">
        <f>HYPERLINK("https://twitter.com/moura_marcas/status/1683199537022746624")</f>
        <v>https://twitter.com/moura_marcas/status/1683199537022746624</v>
      </c>
      <c r="AF1677" s="90">
        <v>45130.817314814813</v>
      </c>
      <c r="AG1677" s="99">
        <v>45130</v>
      </c>
      <c r="AH1677" s="93" t="s">
        <v>13063</v>
      </c>
      <c r="AI1677" s="87" t="b">
        <v>0</v>
      </c>
      <c r="AJ1677" s="87"/>
      <c r="AK1677" s="87"/>
      <c r="AL1677" s="87"/>
      <c r="AM1677" s="87"/>
      <c r="AN1677" s="87"/>
      <c r="AO1677" s="87"/>
      <c r="AP1677" s="87"/>
      <c r="AQ1677" s="87" t="s">
        <v>16522</v>
      </c>
      <c r="AR1677" s="87"/>
      <c r="AS1677" s="87"/>
      <c r="AT1677" s="87"/>
      <c r="AU1677" s="87"/>
      <c r="AV1677" s="92" t="str">
        <f>HYPERLINK("https://pbs.twimg.com/media/F1vr1Q0WIAAFtCZ.jpg")</f>
        <v>https://pbs.twimg.com/media/F1vr1Q0WIAAFtCZ.jpg</v>
      </c>
      <c r="AW1677" s="93" t="s">
        <v>19909</v>
      </c>
      <c r="AX1677" s="93" t="s">
        <v>19909</v>
      </c>
      <c r="AY1677" s="87"/>
      <c r="AZ1677" s="93" t="s">
        <v>22668</v>
      </c>
      <c r="BA1677" s="93" t="s">
        <v>22668</v>
      </c>
      <c r="BB1677" s="93" t="s">
        <v>22668</v>
      </c>
      <c r="BC1677" s="93" t="s">
        <v>19909</v>
      </c>
      <c r="BD1677" s="87">
        <v>54253569</v>
      </c>
      <c r="BE1677" s="87"/>
      <c r="BF1677" s="87"/>
      <c r="BG1677" s="87"/>
      <c r="BH1677" s="87"/>
      <c r="BI1677" s="87"/>
    </row>
    <row r="1678" spans="1:61" x14ac:dyDescent="0.25">
      <c r="A1678" s="63" t="s">
        <v>790</v>
      </c>
      <c r="B1678" s="63" t="s">
        <v>790</v>
      </c>
      <c r="C1678" s="64"/>
      <c r="D1678" s="65"/>
      <c r="E1678" s="66"/>
      <c r="F1678" s="67"/>
      <c r="G1678" s="64"/>
      <c r="H1678" s="68"/>
      <c r="I1678" s="69"/>
      <c r="J1678" s="69"/>
      <c r="K1678" s="32"/>
      <c r="L1678" s="76">
        <v>1678</v>
      </c>
      <c r="M1678" s="76"/>
      <c r="N1678" s="71"/>
      <c r="O1678" s="87" t="s">
        <v>179</v>
      </c>
      <c r="P1678" s="90">
        <v>45126.977581018517</v>
      </c>
      <c r="Q1678" s="87" t="s">
        <v>3474</v>
      </c>
      <c r="R1678" s="87">
        <v>0</v>
      </c>
      <c r="S1678" s="87">
        <v>1</v>
      </c>
      <c r="T1678" s="87">
        <v>0</v>
      </c>
      <c r="U1678" s="87">
        <v>0</v>
      </c>
      <c r="V1678" s="87">
        <v>17</v>
      </c>
      <c r="W1678" s="93" t="s">
        <v>6970</v>
      </c>
      <c r="X1678" s="92" t="str">
        <f>HYPERLINK("https://mouramarcas.com/o-que-e-logomarca/")</f>
        <v>https://mouramarcas.com/o-que-e-logomarca/</v>
      </c>
      <c r="Y1678" s="87" t="s">
        <v>8464</v>
      </c>
      <c r="Z1678" s="87"/>
      <c r="AA1678" s="87" t="s">
        <v>9710</v>
      </c>
      <c r="AB1678" s="87" t="s">
        <v>11448</v>
      </c>
      <c r="AC1678" s="93" t="s">
        <v>11457</v>
      </c>
      <c r="AD1678" s="87" t="s">
        <v>11519</v>
      </c>
      <c r="AE1678" s="92" t="str">
        <f>HYPERLINK("https://twitter.com/moura_marcas/status/1681808062934401025")</f>
        <v>https://twitter.com/moura_marcas/status/1681808062934401025</v>
      </c>
      <c r="AF1678" s="90">
        <v>45126.977581018517</v>
      </c>
      <c r="AG1678" s="99">
        <v>45126</v>
      </c>
      <c r="AH1678" s="93" t="s">
        <v>13064</v>
      </c>
      <c r="AI1678" s="87" t="b">
        <v>0</v>
      </c>
      <c r="AJ1678" s="87"/>
      <c r="AK1678" s="87"/>
      <c r="AL1678" s="87"/>
      <c r="AM1678" s="87"/>
      <c r="AN1678" s="87"/>
      <c r="AO1678" s="87"/>
      <c r="AP1678" s="87"/>
      <c r="AQ1678" s="87" t="s">
        <v>16523</v>
      </c>
      <c r="AR1678" s="87"/>
      <c r="AS1678" s="87"/>
      <c r="AT1678" s="87"/>
      <c r="AU1678" s="87"/>
      <c r="AV1678" s="92" t="str">
        <f>HYPERLINK("https://pbs.twimg.com/media/F1b7g1LXgAQspMT.jpg")</f>
        <v>https://pbs.twimg.com/media/F1b7g1LXgAQspMT.jpg</v>
      </c>
      <c r="AW1678" s="93" t="s">
        <v>19910</v>
      </c>
      <c r="AX1678" s="93" t="s">
        <v>19910</v>
      </c>
      <c r="AY1678" s="87"/>
      <c r="AZ1678" s="93" t="s">
        <v>22668</v>
      </c>
      <c r="BA1678" s="93" t="s">
        <v>22668</v>
      </c>
      <c r="BB1678" s="93" t="s">
        <v>22668</v>
      </c>
      <c r="BC1678" s="93" t="s">
        <v>19910</v>
      </c>
      <c r="BD1678" s="87">
        <v>54253569</v>
      </c>
      <c r="BE1678" s="87"/>
      <c r="BF1678" s="87"/>
      <c r="BG1678" s="87"/>
      <c r="BH1678" s="87"/>
      <c r="BI1678" s="87"/>
    </row>
    <row r="1679" spans="1:61" x14ac:dyDescent="0.25">
      <c r="A1679" s="63" t="s">
        <v>790</v>
      </c>
      <c r="B1679" s="63" t="s">
        <v>790</v>
      </c>
      <c r="C1679" s="64"/>
      <c r="D1679" s="65"/>
      <c r="E1679" s="66"/>
      <c r="F1679" s="67"/>
      <c r="G1679" s="64"/>
      <c r="H1679" s="68"/>
      <c r="I1679" s="69"/>
      <c r="J1679" s="69"/>
      <c r="K1679" s="32"/>
      <c r="L1679" s="76">
        <v>1679</v>
      </c>
      <c r="M1679" s="76"/>
      <c r="N1679" s="71"/>
      <c r="O1679" s="87" t="s">
        <v>179</v>
      </c>
      <c r="P1679" s="90">
        <v>45138.643506944441</v>
      </c>
      <c r="Q1679" s="87" t="s">
        <v>3475</v>
      </c>
      <c r="R1679" s="87">
        <v>0</v>
      </c>
      <c r="S1679" s="87">
        <v>1</v>
      </c>
      <c r="T1679" s="87">
        <v>0</v>
      </c>
      <c r="U1679" s="87">
        <v>0</v>
      </c>
      <c r="V1679" s="87">
        <v>19</v>
      </c>
      <c r="W1679" s="93" t="s">
        <v>6971</v>
      </c>
      <c r="X1679" s="87"/>
      <c r="Y1679" s="87"/>
      <c r="Z1679" s="87"/>
      <c r="AA1679" s="87" t="s">
        <v>9711</v>
      </c>
      <c r="AB1679" s="87" t="s">
        <v>11447</v>
      </c>
      <c r="AC1679" s="93" t="s">
        <v>11457</v>
      </c>
      <c r="AD1679" s="87" t="s">
        <v>11519</v>
      </c>
      <c r="AE1679" s="92" t="str">
        <f>HYPERLINK("https://twitter.com/moura_marcas/status/1686035653975281664")</f>
        <v>https://twitter.com/moura_marcas/status/1686035653975281664</v>
      </c>
      <c r="AF1679" s="90">
        <v>45138.643506944441</v>
      </c>
      <c r="AG1679" s="99">
        <v>45138</v>
      </c>
      <c r="AH1679" s="93" t="s">
        <v>13065</v>
      </c>
      <c r="AI1679" s="87" t="b">
        <v>0</v>
      </c>
      <c r="AJ1679" s="87"/>
      <c r="AK1679" s="87"/>
      <c r="AL1679" s="87"/>
      <c r="AM1679" s="87"/>
      <c r="AN1679" s="87"/>
      <c r="AO1679" s="87"/>
      <c r="AP1679" s="87"/>
      <c r="AQ1679" s="87" t="s">
        <v>16524</v>
      </c>
      <c r="AR1679" s="87">
        <v>37268</v>
      </c>
      <c r="AS1679" s="87"/>
      <c r="AT1679" s="87"/>
      <c r="AU1679" s="87"/>
      <c r="AV1679" s="92" t="str">
        <f>HYPERLINK("https://pbs.twimg.com/ext_tw_video_thumb/1686035382863794177/pu/img/SF8iUk0SBbrLQJYH.jpg")</f>
        <v>https://pbs.twimg.com/ext_tw_video_thumb/1686035382863794177/pu/img/SF8iUk0SBbrLQJYH.jpg</v>
      </c>
      <c r="AW1679" s="93" t="s">
        <v>19911</v>
      </c>
      <c r="AX1679" s="93" t="s">
        <v>19911</v>
      </c>
      <c r="AY1679" s="87"/>
      <c r="AZ1679" s="93" t="s">
        <v>22668</v>
      </c>
      <c r="BA1679" s="93" t="s">
        <v>22668</v>
      </c>
      <c r="BB1679" s="93" t="s">
        <v>22668</v>
      </c>
      <c r="BC1679" s="93" t="s">
        <v>19911</v>
      </c>
      <c r="BD1679" s="87">
        <v>54253569</v>
      </c>
      <c r="BE1679" s="87"/>
      <c r="BF1679" s="87"/>
      <c r="BG1679" s="87"/>
      <c r="BH1679" s="87"/>
      <c r="BI1679" s="87"/>
    </row>
    <row r="1680" spans="1:61" x14ac:dyDescent="0.25">
      <c r="A1680" s="63" t="s">
        <v>790</v>
      </c>
      <c r="B1680" s="63" t="s">
        <v>790</v>
      </c>
      <c r="C1680" s="64"/>
      <c r="D1680" s="65"/>
      <c r="E1680" s="66"/>
      <c r="F1680" s="67"/>
      <c r="G1680" s="64"/>
      <c r="H1680" s="68"/>
      <c r="I1680" s="69"/>
      <c r="J1680" s="69"/>
      <c r="K1680" s="32"/>
      <c r="L1680" s="76">
        <v>1680</v>
      </c>
      <c r="M1680" s="76"/>
      <c r="N1680" s="71"/>
      <c r="O1680" s="87" t="s">
        <v>179</v>
      </c>
      <c r="P1680" s="90">
        <v>45138.616111111114</v>
      </c>
      <c r="Q1680" s="87" t="s">
        <v>3476</v>
      </c>
      <c r="R1680" s="87">
        <v>0</v>
      </c>
      <c r="S1680" s="87">
        <v>0</v>
      </c>
      <c r="T1680" s="87">
        <v>0</v>
      </c>
      <c r="U1680" s="87">
        <v>0</v>
      </c>
      <c r="V1680" s="87">
        <v>7</v>
      </c>
      <c r="W1680" s="93" t="s">
        <v>6972</v>
      </c>
      <c r="X1680" s="92" t="str">
        <f>HYPERLINK("https://mouramarcas.com/nome-fantasia-pode-ser-igual-de-outra-empresa/")</f>
        <v>https://mouramarcas.com/nome-fantasia-pode-ser-igual-de-outra-empresa/</v>
      </c>
      <c r="Y1680" s="87" t="s">
        <v>8464</v>
      </c>
      <c r="Z1680" s="87"/>
      <c r="AA1680" s="87" t="s">
        <v>9712</v>
      </c>
      <c r="AB1680" s="87" t="s">
        <v>11448</v>
      </c>
      <c r="AC1680" s="93" t="s">
        <v>11457</v>
      </c>
      <c r="AD1680" s="87" t="s">
        <v>11519</v>
      </c>
      <c r="AE1680" s="92" t="str">
        <f>HYPERLINK("https://twitter.com/moura_marcas/status/1686025727349596160")</f>
        <v>https://twitter.com/moura_marcas/status/1686025727349596160</v>
      </c>
      <c r="AF1680" s="90">
        <v>45138.616111111114</v>
      </c>
      <c r="AG1680" s="99">
        <v>45138</v>
      </c>
      <c r="AH1680" s="93" t="s">
        <v>13066</v>
      </c>
      <c r="AI1680" s="87" t="b">
        <v>0</v>
      </c>
      <c r="AJ1680" s="87"/>
      <c r="AK1680" s="87"/>
      <c r="AL1680" s="87"/>
      <c r="AM1680" s="87"/>
      <c r="AN1680" s="87"/>
      <c r="AO1680" s="87"/>
      <c r="AP1680" s="87"/>
      <c r="AQ1680" s="87" t="s">
        <v>16525</v>
      </c>
      <c r="AR1680" s="87"/>
      <c r="AS1680" s="87"/>
      <c r="AT1680" s="87"/>
      <c r="AU1680" s="87"/>
      <c r="AV1680" s="92" t="str">
        <f>HYPERLINK("https://pbs.twimg.com/media/F2X3JXkXUAA1fq-.jpg")</f>
        <v>https://pbs.twimg.com/media/F2X3JXkXUAA1fq-.jpg</v>
      </c>
      <c r="AW1680" s="93" t="s">
        <v>19912</v>
      </c>
      <c r="AX1680" s="93" t="s">
        <v>19912</v>
      </c>
      <c r="AY1680" s="87"/>
      <c r="AZ1680" s="93" t="s">
        <v>22668</v>
      </c>
      <c r="BA1680" s="93" t="s">
        <v>22668</v>
      </c>
      <c r="BB1680" s="93" t="s">
        <v>22668</v>
      </c>
      <c r="BC1680" s="93" t="s">
        <v>19912</v>
      </c>
      <c r="BD1680" s="87">
        <v>54253569</v>
      </c>
      <c r="BE1680" s="87"/>
      <c r="BF1680" s="87"/>
      <c r="BG1680" s="87"/>
      <c r="BH1680" s="87"/>
      <c r="BI1680" s="87"/>
    </row>
    <row r="1681" spans="1:61" x14ac:dyDescent="0.25">
      <c r="A1681" s="63" t="s">
        <v>790</v>
      </c>
      <c r="B1681" s="63" t="s">
        <v>790</v>
      </c>
      <c r="C1681" s="64"/>
      <c r="D1681" s="65"/>
      <c r="E1681" s="66"/>
      <c r="F1681" s="67"/>
      <c r="G1681" s="64"/>
      <c r="H1681" s="68"/>
      <c r="I1681" s="69"/>
      <c r="J1681" s="69"/>
      <c r="K1681" s="32"/>
      <c r="L1681" s="76">
        <v>1681</v>
      </c>
      <c r="M1681" s="76"/>
      <c r="N1681" s="71"/>
      <c r="O1681" s="87" t="s">
        <v>179</v>
      </c>
      <c r="P1681" s="90">
        <v>45124.850173611114</v>
      </c>
      <c r="Q1681" s="87" t="s">
        <v>3477</v>
      </c>
      <c r="R1681" s="87">
        <v>0</v>
      </c>
      <c r="S1681" s="87">
        <v>0</v>
      </c>
      <c r="T1681" s="87">
        <v>0</v>
      </c>
      <c r="U1681" s="87">
        <v>0</v>
      </c>
      <c r="V1681" s="87">
        <v>18</v>
      </c>
      <c r="W1681" s="93" t="s">
        <v>5897</v>
      </c>
      <c r="X1681" s="87"/>
      <c r="Y1681" s="87"/>
      <c r="Z1681" s="87"/>
      <c r="AA1681" s="87" t="s">
        <v>9713</v>
      </c>
      <c r="AB1681" s="87" t="s">
        <v>11451</v>
      </c>
      <c r="AC1681" s="93" t="s">
        <v>11457</v>
      </c>
      <c r="AD1681" s="87" t="s">
        <v>11519</v>
      </c>
      <c r="AE1681" s="92" t="str">
        <f>HYPERLINK("https://twitter.com/moura_marcas/status/1681037117017792512")</f>
        <v>https://twitter.com/moura_marcas/status/1681037117017792512</v>
      </c>
      <c r="AF1681" s="90">
        <v>45124.850173611114</v>
      </c>
      <c r="AG1681" s="99">
        <v>45124</v>
      </c>
      <c r="AH1681" s="93" t="s">
        <v>13067</v>
      </c>
      <c r="AI1681" s="87" t="b">
        <v>0</v>
      </c>
      <c r="AJ1681" s="87"/>
      <c r="AK1681" s="87"/>
      <c r="AL1681" s="87"/>
      <c r="AM1681" s="87"/>
      <c r="AN1681" s="87"/>
      <c r="AO1681" s="87"/>
      <c r="AP1681" s="87"/>
      <c r="AQ1681" s="87" t="s">
        <v>16526</v>
      </c>
      <c r="AR1681" s="87"/>
      <c r="AS1681" s="87"/>
      <c r="AT1681" s="87"/>
      <c r="AU1681" s="87"/>
      <c r="AV1681" s="92" t="str">
        <f>HYPERLINK("https://pbs.twimg.com/media/F1Q-UhAWcAEMnd_.jpg")</f>
        <v>https://pbs.twimg.com/media/F1Q-UhAWcAEMnd_.jpg</v>
      </c>
      <c r="AW1681" s="93" t="s">
        <v>19913</v>
      </c>
      <c r="AX1681" s="93" t="s">
        <v>19913</v>
      </c>
      <c r="AY1681" s="87"/>
      <c r="AZ1681" s="93" t="s">
        <v>22668</v>
      </c>
      <c r="BA1681" s="93" t="s">
        <v>22668</v>
      </c>
      <c r="BB1681" s="93" t="s">
        <v>22668</v>
      </c>
      <c r="BC1681" s="93" t="s">
        <v>19913</v>
      </c>
      <c r="BD1681" s="87">
        <v>54253569</v>
      </c>
      <c r="BE1681" s="87"/>
      <c r="BF1681" s="87"/>
      <c r="BG1681" s="87"/>
      <c r="BH1681" s="87"/>
      <c r="BI1681" s="87"/>
    </row>
    <row r="1682" spans="1:61" x14ac:dyDescent="0.25">
      <c r="A1682" s="63" t="s">
        <v>791</v>
      </c>
      <c r="B1682" s="63" t="s">
        <v>791</v>
      </c>
      <c r="C1682" s="64"/>
      <c r="D1682" s="65"/>
      <c r="E1682" s="66"/>
      <c r="F1682" s="67"/>
      <c r="G1682" s="64"/>
      <c r="H1682" s="68"/>
      <c r="I1682" s="69"/>
      <c r="J1682" s="69"/>
      <c r="K1682" s="32"/>
      <c r="L1682" s="76">
        <v>1682</v>
      </c>
      <c r="M1682" s="76"/>
      <c r="N1682" s="71"/>
      <c r="O1682" s="87" t="s">
        <v>179</v>
      </c>
      <c r="P1682" s="90">
        <v>45121.914768518516</v>
      </c>
      <c r="Q1682" s="87" t="s">
        <v>3478</v>
      </c>
      <c r="R1682" s="87">
        <v>0</v>
      </c>
      <c r="S1682" s="87">
        <v>0</v>
      </c>
      <c r="T1682" s="87">
        <v>0</v>
      </c>
      <c r="U1682" s="87">
        <v>0</v>
      </c>
      <c r="V1682" s="87">
        <v>38</v>
      </c>
      <c r="W1682" s="93" t="s">
        <v>6973</v>
      </c>
      <c r="X1682" s="87"/>
      <c r="Y1682" s="87"/>
      <c r="Z1682" s="87"/>
      <c r="AA1682" s="87"/>
      <c r="AB1682" s="87"/>
      <c r="AC1682" s="93" t="s">
        <v>11459</v>
      </c>
      <c r="AD1682" s="87" t="s">
        <v>11519</v>
      </c>
      <c r="AE1682" s="92" t="str">
        <f>HYPERLINK("https://twitter.com/geovanaamuller/status/1679973363530502152")</f>
        <v>https://twitter.com/geovanaamuller/status/1679973363530502152</v>
      </c>
      <c r="AF1682" s="90">
        <v>45121.914768518516</v>
      </c>
      <c r="AG1682" s="99">
        <v>45121</v>
      </c>
      <c r="AH1682" s="93" t="s">
        <v>13068</v>
      </c>
      <c r="AI1682" s="87"/>
      <c r="AJ1682" s="87"/>
      <c r="AK1682" s="87"/>
      <c r="AL1682" s="87"/>
      <c r="AM1682" s="87"/>
      <c r="AN1682" s="87"/>
      <c r="AO1682" s="87"/>
      <c r="AP1682" s="87"/>
      <c r="AQ1682" s="87"/>
      <c r="AR1682" s="87"/>
      <c r="AS1682" s="87"/>
      <c r="AT1682" s="87"/>
      <c r="AU1682" s="87"/>
      <c r="AV1682" s="92" t="str">
        <f>HYPERLINK("https://pbs.twimg.com/profile_images/1704967634494615552/zyhSQs1Q_normal.jpg")</f>
        <v>https://pbs.twimg.com/profile_images/1704967634494615552/zyhSQs1Q_normal.jpg</v>
      </c>
      <c r="AW1682" s="93" t="s">
        <v>19914</v>
      </c>
      <c r="AX1682" s="93" t="s">
        <v>19914</v>
      </c>
      <c r="AY1682" s="87"/>
      <c r="AZ1682" s="93" t="s">
        <v>22668</v>
      </c>
      <c r="BA1682" s="93" t="s">
        <v>22668</v>
      </c>
      <c r="BB1682" s="93" t="s">
        <v>22668</v>
      </c>
      <c r="BC1682" s="93" t="s">
        <v>19914</v>
      </c>
      <c r="BD1682" s="93" t="s">
        <v>23119</v>
      </c>
      <c r="BE1682" s="87"/>
      <c r="BF1682" s="87"/>
      <c r="BG1682" s="87"/>
      <c r="BH1682" s="87"/>
      <c r="BI1682" s="87"/>
    </row>
    <row r="1683" spans="1:61" x14ac:dyDescent="0.25">
      <c r="A1683" s="63" t="s">
        <v>792</v>
      </c>
      <c r="B1683" s="63" t="s">
        <v>792</v>
      </c>
      <c r="C1683" s="64"/>
      <c r="D1683" s="65"/>
      <c r="E1683" s="66"/>
      <c r="F1683" s="67"/>
      <c r="G1683" s="64"/>
      <c r="H1683" s="68"/>
      <c r="I1683" s="69"/>
      <c r="J1683" s="69"/>
      <c r="K1683" s="32"/>
      <c r="L1683" s="76">
        <v>1683</v>
      </c>
      <c r="M1683" s="76"/>
      <c r="N1683" s="71"/>
      <c r="O1683" s="87" t="s">
        <v>179</v>
      </c>
      <c r="P1683" s="90">
        <v>45142.724849537037</v>
      </c>
      <c r="Q1683" s="87" t="s">
        <v>3479</v>
      </c>
      <c r="R1683" s="87">
        <v>0</v>
      </c>
      <c r="S1683" s="87">
        <v>0</v>
      </c>
      <c r="T1683" s="87">
        <v>0</v>
      </c>
      <c r="U1683" s="87">
        <v>0</v>
      </c>
      <c r="V1683" s="87">
        <v>16</v>
      </c>
      <c r="W1683" s="93" t="s">
        <v>6974</v>
      </c>
      <c r="X1683" s="87" t="s">
        <v>8350</v>
      </c>
      <c r="Y1683" s="87" t="s">
        <v>8465</v>
      </c>
      <c r="Z1683" s="87"/>
      <c r="AA1683" s="87"/>
      <c r="AB1683" s="87"/>
      <c r="AC1683" s="93" t="s">
        <v>11457</v>
      </c>
      <c r="AD1683" s="87" t="s">
        <v>11519</v>
      </c>
      <c r="AE1683" s="92" t="str">
        <f>HYPERLINK("https://twitter.com/vinnyvads/status/1687514681554980876")</f>
        <v>https://twitter.com/vinnyvads/status/1687514681554980876</v>
      </c>
      <c r="AF1683" s="90">
        <v>45142.724849537037</v>
      </c>
      <c r="AG1683" s="99">
        <v>45142</v>
      </c>
      <c r="AH1683" s="93" t="s">
        <v>13069</v>
      </c>
      <c r="AI1683" s="87" t="b">
        <v>0</v>
      </c>
      <c r="AJ1683" s="87"/>
      <c r="AK1683" s="87"/>
      <c r="AL1683" s="87"/>
      <c r="AM1683" s="87"/>
      <c r="AN1683" s="87"/>
      <c r="AO1683" s="87"/>
      <c r="AP1683" s="87"/>
      <c r="AQ1683" s="87"/>
      <c r="AR1683" s="87"/>
      <c r="AS1683" s="87"/>
      <c r="AT1683" s="87"/>
      <c r="AU1683" s="87"/>
      <c r="AV1683" s="92" t="str">
        <f>HYPERLINK("https://pbs.twimg.com/profile_images/1688706720007163905/3kLSwxjF_normal.jpg")</f>
        <v>https://pbs.twimg.com/profile_images/1688706720007163905/3kLSwxjF_normal.jpg</v>
      </c>
      <c r="AW1683" s="93" t="s">
        <v>19915</v>
      </c>
      <c r="AX1683" s="93" t="s">
        <v>19915</v>
      </c>
      <c r="AY1683" s="87"/>
      <c r="AZ1683" s="93" t="s">
        <v>22668</v>
      </c>
      <c r="BA1683" s="93" t="s">
        <v>22668</v>
      </c>
      <c r="BB1683" s="93" t="s">
        <v>22668</v>
      </c>
      <c r="BC1683" s="93" t="s">
        <v>19915</v>
      </c>
      <c r="BD1683" s="93" t="s">
        <v>23120</v>
      </c>
      <c r="BE1683" s="87"/>
      <c r="BF1683" s="87"/>
      <c r="BG1683" s="87"/>
      <c r="BH1683" s="87"/>
      <c r="BI1683" s="87"/>
    </row>
    <row r="1684" spans="1:61" x14ac:dyDescent="0.25">
      <c r="A1684" s="63" t="s">
        <v>793</v>
      </c>
      <c r="B1684" s="63" t="s">
        <v>1684</v>
      </c>
      <c r="C1684" s="64"/>
      <c r="D1684" s="65"/>
      <c r="E1684" s="66"/>
      <c r="F1684" s="67"/>
      <c r="G1684" s="64"/>
      <c r="H1684" s="68"/>
      <c r="I1684" s="69"/>
      <c r="J1684" s="69"/>
      <c r="K1684" s="32"/>
      <c r="L1684" s="76">
        <v>1684</v>
      </c>
      <c r="M1684" s="76"/>
      <c r="N1684" s="71"/>
      <c r="O1684" s="87" t="s">
        <v>1840</v>
      </c>
      <c r="P1684" s="90">
        <v>45153.71597222222</v>
      </c>
      <c r="Q1684" s="87" t="s">
        <v>3480</v>
      </c>
      <c r="R1684" s="87">
        <v>0</v>
      </c>
      <c r="S1684" s="87">
        <v>1</v>
      </c>
      <c r="T1684" s="87">
        <v>0</v>
      </c>
      <c r="U1684" s="87">
        <v>0</v>
      </c>
      <c r="V1684" s="87">
        <v>208</v>
      </c>
      <c r="W1684" s="93" t="s">
        <v>5897</v>
      </c>
      <c r="X1684" s="87"/>
      <c r="Y1684" s="87"/>
      <c r="Z1684" s="87" t="s">
        <v>1684</v>
      </c>
      <c r="AA1684" s="87"/>
      <c r="AB1684" s="87"/>
      <c r="AC1684" s="93" t="s">
        <v>11457</v>
      </c>
      <c r="AD1684" s="87" t="s">
        <v>11519</v>
      </c>
      <c r="AE1684" s="92" t="str">
        <f>HYPERLINK("https://twitter.com/porconildo/status/1691497731590668289")</f>
        <v>https://twitter.com/porconildo/status/1691497731590668289</v>
      </c>
      <c r="AF1684" s="90">
        <v>45153.71597222222</v>
      </c>
      <c r="AG1684" s="99">
        <v>45153</v>
      </c>
      <c r="AH1684" s="93" t="s">
        <v>13070</v>
      </c>
      <c r="AI1684" s="87"/>
      <c r="AJ1684" s="87"/>
      <c r="AK1684" s="87"/>
      <c r="AL1684" s="87"/>
      <c r="AM1684" s="87"/>
      <c r="AN1684" s="87"/>
      <c r="AO1684" s="87"/>
      <c r="AP1684" s="87"/>
      <c r="AQ1684" s="87"/>
      <c r="AR1684" s="87"/>
      <c r="AS1684" s="87"/>
      <c r="AT1684" s="87"/>
      <c r="AU1684" s="87"/>
      <c r="AV1684" s="92" t="str">
        <f>HYPERLINK("https://pbs.twimg.com/profile_images/1470761961415716868/vB4uUbyu_normal.jpg")</f>
        <v>https://pbs.twimg.com/profile_images/1470761961415716868/vB4uUbyu_normal.jpg</v>
      </c>
      <c r="AW1684" s="93" t="s">
        <v>19916</v>
      </c>
      <c r="AX1684" s="93" t="s">
        <v>22392</v>
      </c>
      <c r="AY1684" s="93" t="s">
        <v>22579</v>
      </c>
      <c r="AZ1684" s="93" t="s">
        <v>22392</v>
      </c>
      <c r="BA1684" s="93" t="s">
        <v>22668</v>
      </c>
      <c r="BB1684" s="93" t="s">
        <v>22668</v>
      </c>
      <c r="BC1684" s="93" t="s">
        <v>22392</v>
      </c>
      <c r="BD1684" s="87">
        <v>1486435986</v>
      </c>
      <c r="BE1684" s="87"/>
      <c r="BF1684" s="87"/>
      <c r="BG1684" s="87"/>
      <c r="BH1684" s="87"/>
      <c r="BI1684" s="87"/>
    </row>
    <row r="1685" spans="1:61" x14ac:dyDescent="0.25">
      <c r="A1685" s="63" t="s">
        <v>794</v>
      </c>
      <c r="B1685" s="63" t="s">
        <v>794</v>
      </c>
      <c r="C1685" s="64"/>
      <c r="D1685" s="65"/>
      <c r="E1685" s="66"/>
      <c r="F1685" s="67"/>
      <c r="G1685" s="64"/>
      <c r="H1685" s="68"/>
      <c r="I1685" s="69"/>
      <c r="J1685" s="69"/>
      <c r="K1685" s="32"/>
      <c r="L1685" s="76">
        <v>1685</v>
      </c>
      <c r="M1685" s="76"/>
      <c r="N1685" s="71"/>
      <c r="O1685" s="87" t="s">
        <v>179</v>
      </c>
      <c r="P1685" s="90">
        <v>45159.889560185184</v>
      </c>
      <c r="Q1685" s="87" t="s">
        <v>3481</v>
      </c>
      <c r="R1685" s="87">
        <v>0</v>
      </c>
      <c r="S1685" s="87">
        <v>0</v>
      </c>
      <c r="T1685" s="87">
        <v>0</v>
      </c>
      <c r="U1685" s="87">
        <v>0</v>
      </c>
      <c r="V1685" s="87">
        <v>47</v>
      </c>
      <c r="W1685" s="93" t="s">
        <v>6975</v>
      </c>
      <c r="X1685" s="92" t="str">
        <f>HYPERLINK("https://www.instagram.com/p/CwOJVj9PWp9/?igshid=MzRlODBiNWFlZA==")</f>
        <v>https://www.instagram.com/p/CwOJVj9PWp9/?igshid=MzRlODBiNWFlZA==</v>
      </c>
      <c r="Y1685" s="87" t="s">
        <v>8383</v>
      </c>
      <c r="Z1685" s="87"/>
      <c r="AA1685" s="87" t="s">
        <v>9714</v>
      </c>
      <c r="AB1685" s="87" t="s">
        <v>11448</v>
      </c>
      <c r="AC1685" s="93" t="s">
        <v>11459</v>
      </c>
      <c r="AD1685" s="87" t="s">
        <v>11519</v>
      </c>
      <c r="AE1685" s="92" t="str">
        <f>HYPERLINK("https://twitter.com/rresendeoficial/status/1693734967543464243")</f>
        <v>https://twitter.com/rresendeoficial/status/1693734967543464243</v>
      </c>
      <c r="AF1685" s="90">
        <v>45159.889560185184</v>
      </c>
      <c r="AG1685" s="99">
        <v>45159</v>
      </c>
      <c r="AH1685" s="93" t="s">
        <v>13071</v>
      </c>
      <c r="AI1685" s="87" t="b">
        <v>0</v>
      </c>
      <c r="AJ1685" s="87" t="s">
        <v>15204</v>
      </c>
      <c r="AK1685" s="87" t="s">
        <v>15234</v>
      </c>
      <c r="AL1685" s="87" t="s">
        <v>15237</v>
      </c>
      <c r="AM1685" s="87" t="s">
        <v>15276</v>
      </c>
      <c r="AN1685" s="101" t="s">
        <v>15342</v>
      </c>
      <c r="AO1685" s="87" t="s">
        <v>15408</v>
      </c>
      <c r="AP1685" s="87" t="s">
        <v>15438</v>
      </c>
      <c r="AQ1685" s="87" t="s">
        <v>16527</v>
      </c>
      <c r="AR1685" s="87"/>
      <c r="AS1685" s="87"/>
      <c r="AT1685" s="87"/>
      <c r="AU1685" s="87"/>
      <c r="AV1685" s="92" t="str">
        <f>HYPERLINK("https://pbs.twimg.com/media/F4Fa-Q1XsAAE9US.jpg")</f>
        <v>https://pbs.twimg.com/media/F4Fa-Q1XsAAE9US.jpg</v>
      </c>
      <c r="AW1685" s="93" t="s">
        <v>19917</v>
      </c>
      <c r="AX1685" s="93" t="s">
        <v>19917</v>
      </c>
      <c r="AY1685" s="87"/>
      <c r="AZ1685" s="93" t="s">
        <v>22668</v>
      </c>
      <c r="BA1685" s="93" t="s">
        <v>22668</v>
      </c>
      <c r="BB1685" s="93" t="s">
        <v>22668</v>
      </c>
      <c r="BC1685" s="93" t="s">
        <v>19917</v>
      </c>
      <c r="BD1685" s="87">
        <v>47838170</v>
      </c>
      <c r="BE1685" s="87"/>
      <c r="BF1685" s="87"/>
      <c r="BG1685" s="87"/>
      <c r="BH1685" s="87"/>
      <c r="BI1685" s="87"/>
    </row>
    <row r="1686" spans="1:61" x14ac:dyDescent="0.25">
      <c r="A1686" s="63" t="s">
        <v>794</v>
      </c>
      <c r="B1686" s="63" t="s">
        <v>794</v>
      </c>
      <c r="C1686" s="64"/>
      <c r="D1686" s="65"/>
      <c r="E1686" s="66"/>
      <c r="F1686" s="67"/>
      <c r="G1686" s="64"/>
      <c r="H1686" s="68"/>
      <c r="I1686" s="69"/>
      <c r="J1686" s="69"/>
      <c r="K1686" s="32"/>
      <c r="L1686" s="76">
        <v>1686</v>
      </c>
      <c r="M1686" s="76"/>
      <c r="N1686" s="71"/>
      <c r="O1686" s="87" t="s">
        <v>179</v>
      </c>
      <c r="P1686" s="90">
        <v>45194.631631944445</v>
      </c>
      <c r="Q1686" s="87" t="s">
        <v>3482</v>
      </c>
      <c r="R1686" s="87">
        <v>0</v>
      </c>
      <c r="S1686" s="87">
        <v>0</v>
      </c>
      <c r="T1686" s="87">
        <v>0</v>
      </c>
      <c r="U1686" s="87">
        <v>1</v>
      </c>
      <c r="V1686" s="87">
        <v>66</v>
      </c>
      <c r="W1686" s="93" t="s">
        <v>6976</v>
      </c>
      <c r="X1686" s="92" t="str">
        <f>HYPERLINK("https://whatsapp.com/channel/0029Va9A0xi2f3EGfQpLv914")</f>
        <v>https://whatsapp.com/channel/0029Va9A0xi2f3EGfQpLv914</v>
      </c>
      <c r="Y1686" s="87" t="s">
        <v>8466</v>
      </c>
      <c r="Z1686" s="87"/>
      <c r="AA1686" s="87" t="s">
        <v>9715</v>
      </c>
      <c r="AB1686" s="87" t="s">
        <v>11448</v>
      </c>
      <c r="AC1686" s="93" t="s">
        <v>11459</v>
      </c>
      <c r="AD1686" s="87" t="s">
        <v>11519</v>
      </c>
      <c r="AE1686" s="92" t="str">
        <f>HYPERLINK("https://twitter.com/rresendeoficial/status/1706325069603942803")</f>
        <v>https://twitter.com/rresendeoficial/status/1706325069603942803</v>
      </c>
      <c r="AF1686" s="90">
        <v>45194.631631944445</v>
      </c>
      <c r="AG1686" s="99">
        <v>45194</v>
      </c>
      <c r="AH1686" s="93" t="s">
        <v>13072</v>
      </c>
      <c r="AI1686" s="87" t="b">
        <v>0</v>
      </c>
      <c r="AJ1686" s="87" t="s">
        <v>15204</v>
      </c>
      <c r="AK1686" s="87" t="s">
        <v>15234</v>
      </c>
      <c r="AL1686" s="87" t="s">
        <v>15237</v>
      </c>
      <c r="AM1686" s="87" t="s">
        <v>15276</v>
      </c>
      <c r="AN1686" s="101" t="s">
        <v>15342</v>
      </c>
      <c r="AO1686" s="87" t="s">
        <v>15408</v>
      </c>
      <c r="AP1686" s="87" t="s">
        <v>15438</v>
      </c>
      <c r="AQ1686" s="87" t="s">
        <v>16528</v>
      </c>
      <c r="AR1686" s="87"/>
      <c r="AS1686" s="87"/>
      <c r="AT1686" s="87"/>
      <c r="AU1686" s="87"/>
      <c r="AV1686" s="92" t="str">
        <f>HYPERLINK("https://pbs.twimg.com/media/F64Vm1zXsAA6tKW.jpg")</f>
        <v>https://pbs.twimg.com/media/F64Vm1zXsAA6tKW.jpg</v>
      </c>
      <c r="AW1686" s="93" t="s">
        <v>19918</v>
      </c>
      <c r="AX1686" s="93" t="s">
        <v>19918</v>
      </c>
      <c r="AY1686" s="87"/>
      <c r="AZ1686" s="93" t="s">
        <v>22668</v>
      </c>
      <c r="BA1686" s="93" t="s">
        <v>22668</v>
      </c>
      <c r="BB1686" s="93" t="s">
        <v>22668</v>
      </c>
      <c r="BC1686" s="93" t="s">
        <v>19918</v>
      </c>
      <c r="BD1686" s="87">
        <v>47838170</v>
      </c>
      <c r="BE1686" s="87"/>
      <c r="BF1686" s="87"/>
      <c r="BG1686" s="87"/>
      <c r="BH1686" s="87"/>
      <c r="BI1686" s="87"/>
    </row>
    <row r="1687" spans="1:61" x14ac:dyDescent="0.25">
      <c r="A1687" s="63" t="s">
        <v>795</v>
      </c>
      <c r="B1687" s="63" t="s">
        <v>795</v>
      </c>
      <c r="C1687" s="64"/>
      <c r="D1687" s="65"/>
      <c r="E1687" s="66"/>
      <c r="F1687" s="67"/>
      <c r="G1687" s="64"/>
      <c r="H1687" s="68"/>
      <c r="I1687" s="69"/>
      <c r="J1687" s="69"/>
      <c r="K1687" s="32"/>
      <c r="L1687" s="76">
        <v>1687</v>
      </c>
      <c r="M1687" s="76"/>
      <c r="N1687" s="71"/>
      <c r="O1687" s="87" t="s">
        <v>179</v>
      </c>
      <c r="P1687" s="90">
        <v>45123.500497685185</v>
      </c>
      <c r="Q1687" s="87" t="s">
        <v>3483</v>
      </c>
      <c r="R1687" s="87">
        <v>0</v>
      </c>
      <c r="S1687" s="87">
        <v>0</v>
      </c>
      <c r="T1687" s="87">
        <v>0</v>
      </c>
      <c r="U1687" s="87">
        <v>0</v>
      </c>
      <c r="V1687" s="87">
        <v>20</v>
      </c>
      <c r="W1687" s="93" t="s">
        <v>6977</v>
      </c>
      <c r="X1687" s="87"/>
      <c r="Y1687" s="87"/>
      <c r="Z1687" s="87"/>
      <c r="AA1687" s="87" t="s">
        <v>9716</v>
      </c>
      <c r="AB1687" s="87" t="s">
        <v>11448</v>
      </c>
      <c r="AC1687" s="93" t="s">
        <v>11460</v>
      </c>
      <c r="AD1687" s="87" t="s">
        <v>11519</v>
      </c>
      <c r="AE1687" s="92" t="str">
        <f>HYPERLINK("https://twitter.com/fecomercioto/status/1680548008713154572")</f>
        <v>https://twitter.com/fecomercioto/status/1680548008713154572</v>
      </c>
      <c r="AF1687" s="90">
        <v>45123.500497685185</v>
      </c>
      <c r="AG1687" s="99">
        <v>45123</v>
      </c>
      <c r="AH1687" s="93" t="s">
        <v>13073</v>
      </c>
      <c r="AI1687" s="87" t="b">
        <v>0</v>
      </c>
      <c r="AJ1687" s="87"/>
      <c r="AK1687" s="87"/>
      <c r="AL1687" s="87"/>
      <c r="AM1687" s="87"/>
      <c r="AN1687" s="87"/>
      <c r="AO1687" s="87"/>
      <c r="AP1687" s="87"/>
      <c r="AQ1687" s="87" t="s">
        <v>16529</v>
      </c>
      <c r="AR1687" s="87"/>
      <c r="AS1687" s="87"/>
      <c r="AT1687" s="87"/>
      <c r="AU1687" s="87"/>
      <c r="AV1687" s="92" t="str">
        <f>HYPERLINK("https://pbs.twimg.com/media/F1KBgelWYAABr9r.jpg")</f>
        <v>https://pbs.twimg.com/media/F1KBgelWYAABr9r.jpg</v>
      </c>
      <c r="AW1687" s="93" t="s">
        <v>19919</v>
      </c>
      <c r="AX1687" s="93" t="s">
        <v>19919</v>
      </c>
      <c r="AY1687" s="87"/>
      <c r="AZ1687" s="93" t="s">
        <v>22668</v>
      </c>
      <c r="BA1687" s="93" t="s">
        <v>22668</v>
      </c>
      <c r="BB1687" s="93" t="s">
        <v>22668</v>
      </c>
      <c r="BC1687" s="93" t="s">
        <v>19919</v>
      </c>
      <c r="BD1687" s="87">
        <v>78497078</v>
      </c>
      <c r="BE1687" s="87"/>
      <c r="BF1687" s="87"/>
      <c r="BG1687" s="87"/>
      <c r="BH1687" s="87"/>
      <c r="BI1687" s="87"/>
    </row>
    <row r="1688" spans="1:61" x14ac:dyDescent="0.25">
      <c r="A1688" s="63" t="s">
        <v>796</v>
      </c>
      <c r="B1688" s="63" t="s">
        <v>796</v>
      </c>
      <c r="C1688" s="64"/>
      <c r="D1688" s="65"/>
      <c r="E1688" s="66"/>
      <c r="F1688" s="67"/>
      <c r="G1688" s="64"/>
      <c r="H1688" s="68"/>
      <c r="I1688" s="69"/>
      <c r="J1688" s="69"/>
      <c r="K1688" s="32"/>
      <c r="L1688" s="76">
        <v>1688</v>
      </c>
      <c r="M1688" s="76"/>
      <c r="N1688" s="71"/>
      <c r="O1688" s="87" t="s">
        <v>179</v>
      </c>
      <c r="P1688" s="90">
        <v>45148.01053240741</v>
      </c>
      <c r="Q1688" s="87" t="s">
        <v>3484</v>
      </c>
      <c r="R1688" s="87">
        <v>0</v>
      </c>
      <c r="S1688" s="87">
        <v>0</v>
      </c>
      <c r="T1688" s="87">
        <v>0</v>
      </c>
      <c r="U1688" s="87">
        <v>0</v>
      </c>
      <c r="V1688" s="87">
        <v>1</v>
      </c>
      <c r="W1688" s="93" t="s">
        <v>5961</v>
      </c>
      <c r="X1688" s="87"/>
      <c r="Y1688" s="87"/>
      <c r="Z1688" s="87"/>
      <c r="AA1688" s="87"/>
      <c r="AB1688" s="87"/>
      <c r="AC1688" s="93" t="s">
        <v>11459</v>
      </c>
      <c r="AD1688" s="87" t="s">
        <v>11519</v>
      </c>
      <c r="AE1688" s="92" t="str">
        <f>HYPERLINK("https://twitter.com/galassolobo/status/1689430151849705472")</f>
        <v>https://twitter.com/galassolobo/status/1689430151849705472</v>
      </c>
      <c r="AF1688" s="90">
        <v>45148.01053240741</v>
      </c>
      <c r="AG1688" s="99">
        <v>45148</v>
      </c>
      <c r="AH1688" s="93" t="s">
        <v>13074</v>
      </c>
      <c r="AI1688" s="87"/>
      <c r="AJ1688" s="87"/>
      <c r="AK1688" s="87"/>
      <c r="AL1688" s="87"/>
      <c r="AM1688" s="87"/>
      <c r="AN1688" s="87"/>
      <c r="AO1688" s="87"/>
      <c r="AP1688" s="87"/>
      <c r="AQ1688" s="87"/>
      <c r="AR1688" s="87"/>
      <c r="AS1688" s="87"/>
      <c r="AT1688" s="87"/>
      <c r="AU1688" s="87"/>
      <c r="AV1688" s="92" t="str">
        <f>HYPERLINK("https://pbs.twimg.com/profile_images/1645827211486691346/sY0Tuyz2_normal.jpg")</f>
        <v>https://pbs.twimg.com/profile_images/1645827211486691346/sY0Tuyz2_normal.jpg</v>
      </c>
      <c r="AW1688" s="93" t="s">
        <v>19920</v>
      </c>
      <c r="AX1688" s="93" t="s">
        <v>19920</v>
      </c>
      <c r="AY1688" s="87"/>
      <c r="AZ1688" s="93" t="s">
        <v>22668</v>
      </c>
      <c r="BA1688" s="93" t="s">
        <v>22668</v>
      </c>
      <c r="BB1688" s="93" t="s">
        <v>22668</v>
      </c>
      <c r="BC1688" s="93" t="s">
        <v>19920</v>
      </c>
      <c r="BD1688" s="93" t="s">
        <v>23121</v>
      </c>
      <c r="BE1688" s="87"/>
      <c r="BF1688" s="87"/>
      <c r="BG1688" s="87"/>
      <c r="BH1688" s="87"/>
      <c r="BI1688" s="87"/>
    </row>
    <row r="1689" spans="1:61" x14ac:dyDescent="0.25">
      <c r="A1689" s="63" t="s">
        <v>797</v>
      </c>
      <c r="B1689" s="63" t="s">
        <v>797</v>
      </c>
      <c r="C1689" s="64"/>
      <c r="D1689" s="65"/>
      <c r="E1689" s="66"/>
      <c r="F1689" s="67"/>
      <c r="G1689" s="64"/>
      <c r="H1689" s="68"/>
      <c r="I1689" s="69"/>
      <c r="J1689" s="69"/>
      <c r="K1689" s="32"/>
      <c r="L1689" s="76">
        <v>1689</v>
      </c>
      <c r="M1689" s="76"/>
      <c r="N1689" s="71"/>
      <c r="O1689" s="87" t="s">
        <v>179</v>
      </c>
      <c r="P1689" s="90">
        <v>45120.094178240739</v>
      </c>
      <c r="Q1689" s="87" t="s">
        <v>3485</v>
      </c>
      <c r="R1689" s="87">
        <v>0</v>
      </c>
      <c r="S1689" s="87">
        <v>0</v>
      </c>
      <c r="T1689" s="87">
        <v>0</v>
      </c>
      <c r="U1689" s="87">
        <v>0</v>
      </c>
      <c r="V1689" s="87">
        <v>72</v>
      </c>
      <c r="W1689" s="93" t="s">
        <v>6978</v>
      </c>
      <c r="X1689" s="92" t="str">
        <f>HYPERLINK("https://www.instagram.com/reel/Cunpyv8PVIa/?igshid=ODFmODdkZWJkNw==")</f>
        <v>https://www.instagram.com/reel/Cunpyv8PVIa/?igshid=ODFmODdkZWJkNw==</v>
      </c>
      <c r="Y1689" s="87" t="s">
        <v>8383</v>
      </c>
      <c r="Z1689" s="87"/>
      <c r="AA1689" s="87"/>
      <c r="AB1689" s="87"/>
      <c r="AC1689" s="93" t="s">
        <v>11459</v>
      </c>
      <c r="AD1689" s="87" t="s">
        <v>11519</v>
      </c>
      <c r="AE1689" s="92" t="str">
        <f>HYPERLINK("https://twitter.com/milaadm/status/1679313601150976003")</f>
        <v>https://twitter.com/milaadm/status/1679313601150976003</v>
      </c>
      <c r="AF1689" s="90">
        <v>45120.094178240739</v>
      </c>
      <c r="AG1689" s="99">
        <v>45120</v>
      </c>
      <c r="AH1689" s="93" t="s">
        <v>13075</v>
      </c>
      <c r="AI1689" s="87" t="b">
        <v>0</v>
      </c>
      <c r="AJ1689" s="87"/>
      <c r="AK1689" s="87"/>
      <c r="AL1689" s="87"/>
      <c r="AM1689" s="87"/>
      <c r="AN1689" s="87"/>
      <c r="AO1689" s="87"/>
      <c r="AP1689" s="87"/>
      <c r="AQ1689" s="87"/>
      <c r="AR1689" s="87"/>
      <c r="AS1689" s="87"/>
      <c r="AT1689" s="87"/>
      <c r="AU1689" s="87"/>
      <c r="AV1689" s="92" t="str">
        <f>HYPERLINK("https://pbs.twimg.com/profile_images/1678957900411092993/VXiLLzhs_normal.jpg")</f>
        <v>https://pbs.twimg.com/profile_images/1678957900411092993/VXiLLzhs_normal.jpg</v>
      </c>
      <c r="AW1689" s="93" t="s">
        <v>19921</v>
      </c>
      <c r="AX1689" s="93" t="s">
        <v>19921</v>
      </c>
      <c r="AY1689" s="87"/>
      <c r="AZ1689" s="93" t="s">
        <v>22668</v>
      </c>
      <c r="BA1689" s="93" t="s">
        <v>22668</v>
      </c>
      <c r="BB1689" s="93" t="s">
        <v>22668</v>
      </c>
      <c r="BC1689" s="93" t="s">
        <v>19921</v>
      </c>
      <c r="BD1689" s="87">
        <v>66409428</v>
      </c>
      <c r="BE1689" s="87"/>
      <c r="BF1689" s="87"/>
      <c r="BG1689" s="87"/>
      <c r="BH1689" s="87"/>
      <c r="BI1689" s="87"/>
    </row>
    <row r="1690" spans="1:61" x14ac:dyDescent="0.25">
      <c r="A1690" s="63" t="s">
        <v>798</v>
      </c>
      <c r="B1690" s="63" t="s">
        <v>798</v>
      </c>
      <c r="C1690" s="64"/>
      <c r="D1690" s="65"/>
      <c r="E1690" s="66"/>
      <c r="F1690" s="67"/>
      <c r="G1690" s="64"/>
      <c r="H1690" s="68"/>
      <c r="I1690" s="69"/>
      <c r="J1690" s="69"/>
      <c r="K1690" s="32"/>
      <c r="L1690" s="76">
        <v>1690</v>
      </c>
      <c r="M1690" s="76"/>
      <c r="N1690" s="71"/>
      <c r="O1690" s="87" t="s">
        <v>179</v>
      </c>
      <c r="P1690" s="90">
        <v>45146.432893518519</v>
      </c>
      <c r="Q1690" s="87" t="s">
        <v>3486</v>
      </c>
      <c r="R1690" s="87">
        <v>0</v>
      </c>
      <c r="S1690" s="87">
        <v>0</v>
      </c>
      <c r="T1690" s="87">
        <v>0</v>
      </c>
      <c r="U1690" s="87">
        <v>0</v>
      </c>
      <c r="V1690" s="87">
        <v>6</v>
      </c>
      <c r="W1690" s="93" t="s">
        <v>6979</v>
      </c>
      <c r="X1690" s="87"/>
      <c r="Y1690" s="87"/>
      <c r="Z1690" s="87"/>
      <c r="AA1690" s="87" t="s">
        <v>9717</v>
      </c>
      <c r="AB1690" s="87" t="s">
        <v>11448</v>
      </c>
      <c r="AC1690" s="93" t="s">
        <v>11457</v>
      </c>
      <c r="AD1690" s="87" t="s">
        <v>11519</v>
      </c>
      <c r="AE1690" s="92" t="str">
        <f>HYPERLINK("https://twitter.com/vhbmartins/status/1688858434160963584")</f>
        <v>https://twitter.com/vhbmartins/status/1688858434160963584</v>
      </c>
      <c r="AF1690" s="90">
        <v>45146.432893518519</v>
      </c>
      <c r="AG1690" s="99">
        <v>45146</v>
      </c>
      <c r="AH1690" s="93" t="s">
        <v>13076</v>
      </c>
      <c r="AI1690" s="87" t="b">
        <v>0</v>
      </c>
      <c r="AJ1690" s="87"/>
      <c r="AK1690" s="87"/>
      <c r="AL1690" s="87"/>
      <c r="AM1690" s="87"/>
      <c r="AN1690" s="87"/>
      <c r="AO1690" s="87"/>
      <c r="AP1690" s="87"/>
      <c r="AQ1690" s="87" t="s">
        <v>16530</v>
      </c>
      <c r="AR1690" s="87"/>
      <c r="AS1690" s="87"/>
      <c r="AT1690" s="87"/>
      <c r="AU1690" s="87"/>
      <c r="AV1690" s="92" t="str">
        <f>HYPERLINK("https://pbs.twimg.com/media/F3AGqq3XcAA56QH.jpg")</f>
        <v>https://pbs.twimg.com/media/F3AGqq3XcAA56QH.jpg</v>
      </c>
      <c r="AW1690" s="93" t="s">
        <v>19922</v>
      </c>
      <c r="AX1690" s="93" t="s">
        <v>19922</v>
      </c>
      <c r="AY1690" s="87"/>
      <c r="AZ1690" s="93" t="s">
        <v>22668</v>
      </c>
      <c r="BA1690" s="93" t="s">
        <v>22668</v>
      </c>
      <c r="BB1690" s="93" t="s">
        <v>22668</v>
      </c>
      <c r="BC1690" s="93" t="s">
        <v>19922</v>
      </c>
      <c r="BD1690" s="93" t="s">
        <v>23122</v>
      </c>
      <c r="BE1690" s="87"/>
      <c r="BF1690" s="87"/>
      <c r="BG1690" s="87"/>
      <c r="BH1690" s="87"/>
      <c r="BI1690" s="87"/>
    </row>
    <row r="1691" spans="1:61" x14ac:dyDescent="0.25">
      <c r="A1691" s="63" t="s">
        <v>799</v>
      </c>
      <c r="B1691" s="63" t="s">
        <v>1685</v>
      </c>
      <c r="C1691" s="64"/>
      <c r="D1691" s="65"/>
      <c r="E1691" s="66"/>
      <c r="F1691" s="67"/>
      <c r="G1691" s="64"/>
      <c r="H1691" s="68"/>
      <c r="I1691" s="69"/>
      <c r="J1691" s="69"/>
      <c r="K1691" s="32"/>
      <c r="L1691" s="76">
        <v>1691</v>
      </c>
      <c r="M1691" s="76"/>
      <c r="N1691" s="71"/>
      <c r="O1691" s="87" t="s">
        <v>1839</v>
      </c>
      <c r="P1691" s="90">
        <v>45127.609456018516</v>
      </c>
      <c r="Q1691" s="87" t="s">
        <v>3487</v>
      </c>
      <c r="R1691" s="87">
        <v>2</v>
      </c>
      <c r="S1691" s="87">
        <v>9</v>
      </c>
      <c r="T1691" s="87">
        <v>1</v>
      </c>
      <c r="U1691" s="87">
        <v>0</v>
      </c>
      <c r="V1691" s="87">
        <v>347</v>
      </c>
      <c r="W1691" s="93" t="s">
        <v>5897</v>
      </c>
      <c r="X1691" s="87"/>
      <c r="Y1691" s="87"/>
      <c r="Z1691" s="87" t="s">
        <v>1685</v>
      </c>
      <c r="AA1691" s="87" t="s">
        <v>9718</v>
      </c>
      <c r="AB1691" s="87" t="s">
        <v>11448</v>
      </c>
      <c r="AC1691" s="93" t="s">
        <v>11457</v>
      </c>
      <c r="AD1691" s="87" t="s">
        <v>11519</v>
      </c>
      <c r="AE1691" s="92" t="str">
        <f>HYPERLINK("https://twitter.com/governodabahia/status/1682037047417253888")</f>
        <v>https://twitter.com/governodabahia/status/1682037047417253888</v>
      </c>
      <c r="AF1691" s="90">
        <v>45127.609456018516</v>
      </c>
      <c r="AG1691" s="99">
        <v>45127</v>
      </c>
      <c r="AH1691" s="93" t="s">
        <v>13077</v>
      </c>
      <c r="AI1691" s="87" t="b">
        <v>0</v>
      </c>
      <c r="AJ1691" s="87"/>
      <c r="AK1691" s="87"/>
      <c r="AL1691" s="87"/>
      <c r="AM1691" s="87"/>
      <c r="AN1691" s="87"/>
      <c r="AO1691" s="87"/>
      <c r="AP1691" s="87"/>
      <c r="AQ1691" s="87" t="s">
        <v>16531</v>
      </c>
      <c r="AR1691" s="87"/>
      <c r="AS1691" s="87"/>
      <c r="AT1691" s="87"/>
      <c r="AU1691" s="87"/>
      <c r="AV1691" s="92" t="str">
        <f>HYPERLINK("https://pbs.twimg.com/media/F1fLwG7agAcdaMW.jpg")</f>
        <v>https://pbs.twimg.com/media/F1fLwG7agAcdaMW.jpg</v>
      </c>
      <c r="AW1691" s="93" t="s">
        <v>19923</v>
      </c>
      <c r="AX1691" s="93" t="s">
        <v>19923</v>
      </c>
      <c r="AY1691" s="87"/>
      <c r="AZ1691" s="93" t="s">
        <v>22668</v>
      </c>
      <c r="BA1691" s="93" t="s">
        <v>22668</v>
      </c>
      <c r="BB1691" s="93" t="s">
        <v>22668</v>
      </c>
      <c r="BC1691" s="93" t="s">
        <v>19923</v>
      </c>
      <c r="BD1691" s="93" t="s">
        <v>23123</v>
      </c>
      <c r="BE1691" s="87"/>
      <c r="BF1691" s="87"/>
      <c r="BG1691" s="87"/>
      <c r="BH1691" s="87"/>
      <c r="BI1691" s="87"/>
    </row>
    <row r="1692" spans="1:61" x14ac:dyDescent="0.25">
      <c r="A1692" s="63" t="s">
        <v>800</v>
      </c>
      <c r="B1692" s="63" t="s">
        <v>800</v>
      </c>
      <c r="C1692" s="64"/>
      <c r="D1692" s="65"/>
      <c r="E1692" s="66"/>
      <c r="F1692" s="67"/>
      <c r="G1692" s="64"/>
      <c r="H1692" s="68"/>
      <c r="I1692" s="69"/>
      <c r="J1692" s="69"/>
      <c r="K1692" s="32"/>
      <c r="L1692" s="76">
        <v>1692</v>
      </c>
      <c r="M1692" s="76"/>
      <c r="N1692" s="71"/>
      <c r="O1692" s="87" t="s">
        <v>179</v>
      </c>
      <c r="P1692" s="90">
        <v>45131.584849537037</v>
      </c>
      <c r="Q1692" s="87" t="s">
        <v>3488</v>
      </c>
      <c r="R1692" s="87">
        <v>0</v>
      </c>
      <c r="S1692" s="87">
        <v>0</v>
      </c>
      <c r="T1692" s="87">
        <v>0</v>
      </c>
      <c r="U1692" s="87">
        <v>0</v>
      </c>
      <c r="V1692" s="87">
        <v>67</v>
      </c>
      <c r="W1692" s="93" t="s">
        <v>6980</v>
      </c>
      <c r="X1692" s="87"/>
      <c r="Y1692" s="87"/>
      <c r="Z1692" s="87"/>
      <c r="AA1692" s="87" t="s">
        <v>9719</v>
      </c>
      <c r="AB1692" s="87" t="s">
        <v>11447</v>
      </c>
      <c r="AC1692" s="93" t="s">
        <v>11457</v>
      </c>
      <c r="AD1692" s="87" t="s">
        <v>11519</v>
      </c>
      <c r="AE1692" s="92" t="str">
        <f>HYPERLINK("https://twitter.com/apeccoficial/status/1683477682904788997")</f>
        <v>https://twitter.com/apeccoficial/status/1683477682904788997</v>
      </c>
      <c r="AF1692" s="90">
        <v>45131.584849537037</v>
      </c>
      <c r="AG1692" s="99">
        <v>45131</v>
      </c>
      <c r="AH1692" s="93" t="s">
        <v>13078</v>
      </c>
      <c r="AI1692" s="87" t="b">
        <v>0</v>
      </c>
      <c r="AJ1692" s="87"/>
      <c r="AK1692" s="87"/>
      <c r="AL1692" s="87"/>
      <c r="AM1692" s="87"/>
      <c r="AN1692" s="87"/>
      <c r="AO1692" s="87"/>
      <c r="AP1692" s="87"/>
      <c r="AQ1692" s="87" t="s">
        <v>16532</v>
      </c>
      <c r="AR1692" s="87">
        <v>26960</v>
      </c>
      <c r="AS1692" s="87"/>
      <c r="AT1692" s="87"/>
      <c r="AU1692" s="87"/>
      <c r="AV1692" s="92" t="str">
        <f>HYPERLINK("https://pbs.twimg.com/ext_tw_video_thumb/1683477591213080576/pu/img/VDF25w4lIf1-FwaR.jpg")</f>
        <v>https://pbs.twimg.com/ext_tw_video_thumb/1683477591213080576/pu/img/VDF25w4lIf1-FwaR.jpg</v>
      </c>
      <c r="AW1692" s="93" t="s">
        <v>19924</v>
      </c>
      <c r="AX1692" s="93" t="s">
        <v>19924</v>
      </c>
      <c r="AY1692" s="87"/>
      <c r="AZ1692" s="93" t="s">
        <v>22668</v>
      </c>
      <c r="BA1692" s="93" t="s">
        <v>22668</v>
      </c>
      <c r="BB1692" s="93" t="s">
        <v>22668</v>
      </c>
      <c r="BC1692" s="93" t="s">
        <v>19924</v>
      </c>
      <c r="BD1692" s="93" t="s">
        <v>22580</v>
      </c>
      <c r="BE1692" s="87"/>
      <c r="BF1692" s="87"/>
      <c r="BG1692" s="87"/>
      <c r="BH1692" s="87"/>
      <c r="BI1692" s="87"/>
    </row>
    <row r="1693" spans="1:61" x14ac:dyDescent="0.25">
      <c r="A1693" s="63" t="s">
        <v>800</v>
      </c>
      <c r="B1693" s="63" t="s">
        <v>800</v>
      </c>
      <c r="C1693" s="64"/>
      <c r="D1693" s="65"/>
      <c r="E1693" s="66"/>
      <c r="F1693" s="67"/>
      <c r="G1693" s="64"/>
      <c r="H1693" s="68"/>
      <c r="I1693" s="69"/>
      <c r="J1693" s="69"/>
      <c r="K1693" s="32"/>
      <c r="L1693" s="76">
        <v>1693</v>
      </c>
      <c r="M1693" s="76"/>
      <c r="N1693" s="71"/>
      <c r="O1693" s="87" t="s">
        <v>1840</v>
      </c>
      <c r="P1693" s="90">
        <v>45141.575312499997</v>
      </c>
      <c r="Q1693" s="87" t="s">
        <v>3489</v>
      </c>
      <c r="R1693" s="87">
        <v>0</v>
      </c>
      <c r="S1693" s="87">
        <v>0</v>
      </c>
      <c r="T1693" s="87">
        <v>0</v>
      </c>
      <c r="U1693" s="87">
        <v>0</v>
      </c>
      <c r="V1693" s="87">
        <v>1</v>
      </c>
      <c r="W1693" s="93" t="s">
        <v>6981</v>
      </c>
      <c r="X1693" s="87"/>
      <c r="Y1693" s="87"/>
      <c r="Z1693" s="87"/>
      <c r="AA1693" s="87"/>
      <c r="AB1693" s="87"/>
      <c r="AC1693" s="93" t="s">
        <v>11457</v>
      </c>
      <c r="AD1693" s="87" t="s">
        <v>11519</v>
      </c>
      <c r="AE1693" s="92" t="str">
        <f>HYPERLINK("https://twitter.com/apeccoficial/status/1687098106423517187")</f>
        <v>https://twitter.com/apeccoficial/status/1687098106423517187</v>
      </c>
      <c r="AF1693" s="90">
        <v>45141.575312499997</v>
      </c>
      <c r="AG1693" s="99">
        <v>45141</v>
      </c>
      <c r="AH1693" s="93" t="s">
        <v>13079</v>
      </c>
      <c r="AI1693" s="87"/>
      <c r="AJ1693" s="87"/>
      <c r="AK1693" s="87"/>
      <c r="AL1693" s="87"/>
      <c r="AM1693" s="87"/>
      <c r="AN1693" s="87"/>
      <c r="AO1693" s="87"/>
      <c r="AP1693" s="87"/>
      <c r="AQ1693" s="87"/>
      <c r="AR1693" s="87"/>
      <c r="AS1693" s="87"/>
      <c r="AT1693" s="87"/>
      <c r="AU1693" s="87"/>
      <c r="AV1693" s="92" t="str">
        <f>HYPERLINK("https://pbs.twimg.com/profile_images/1382800599402614786/Fz8PJeks_normal.jpg")</f>
        <v>https://pbs.twimg.com/profile_images/1382800599402614786/Fz8PJeks_normal.jpg</v>
      </c>
      <c r="AW1693" s="93" t="s">
        <v>19925</v>
      </c>
      <c r="AX1693" s="93" t="s">
        <v>22393</v>
      </c>
      <c r="AY1693" s="93" t="s">
        <v>22580</v>
      </c>
      <c r="AZ1693" s="93" t="s">
        <v>22393</v>
      </c>
      <c r="BA1693" s="93" t="s">
        <v>22668</v>
      </c>
      <c r="BB1693" s="93" t="s">
        <v>22668</v>
      </c>
      <c r="BC1693" s="93" t="s">
        <v>22393</v>
      </c>
      <c r="BD1693" s="93" t="s">
        <v>22580</v>
      </c>
      <c r="BE1693" s="87"/>
      <c r="BF1693" s="87"/>
      <c r="BG1693" s="87"/>
      <c r="BH1693" s="87"/>
      <c r="BI1693" s="87"/>
    </row>
    <row r="1694" spans="1:61" x14ac:dyDescent="0.25">
      <c r="A1694" s="63" t="s">
        <v>800</v>
      </c>
      <c r="B1694" s="63" t="s">
        <v>800</v>
      </c>
      <c r="C1694" s="64"/>
      <c r="D1694" s="65"/>
      <c r="E1694" s="66"/>
      <c r="F1694" s="67"/>
      <c r="G1694" s="64"/>
      <c r="H1694" s="68"/>
      <c r="I1694" s="69"/>
      <c r="J1694" s="69"/>
      <c r="K1694" s="32"/>
      <c r="L1694" s="76">
        <v>1694</v>
      </c>
      <c r="M1694" s="76"/>
      <c r="N1694" s="71"/>
      <c r="O1694" s="87" t="s">
        <v>1840</v>
      </c>
      <c r="P1694" s="90">
        <v>45159.553564814814</v>
      </c>
      <c r="Q1694" s="87" t="s">
        <v>3490</v>
      </c>
      <c r="R1694" s="87">
        <v>0</v>
      </c>
      <c r="S1694" s="87">
        <v>0</v>
      </c>
      <c r="T1694" s="87">
        <v>0</v>
      </c>
      <c r="U1694" s="87">
        <v>0</v>
      </c>
      <c r="V1694" s="87">
        <v>49</v>
      </c>
      <c r="W1694" s="93" t="s">
        <v>6982</v>
      </c>
      <c r="X1694" s="92" t="str">
        <f>HYPERLINK("https://www.primecursos.com.br/financas-empresariais/")</f>
        <v>https://www.primecursos.com.br/financas-empresariais/</v>
      </c>
      <c r="Y1694" s="87" t="s">
        <v>8373</v>
      </c>
      <c r="Z1694" s="87"/>
      <c r="AA1694" s="87"/>
      <c r="AB1694" s="87"/>
      <c r="AC1694" s="93" t="s">
        <v>11457</v>
      </c>
      <c r="AD1694" s="87" t="s">
        <v>11519</v>
      </c>
      <c r="AE1694" s="92" t="str">
        <f>HYPERLINK("https://twitter.com/apeccoficial/status/1693613205057126559")</f>
        <v>https://twitter.com/apeccoficial/status/1693613205057126559</v>
      </c>
      <c r="AF1694" s="90">
        <v>45159.553564814814</v>
      </c>
      <c r="AG1694" s="99">
        <v>45159</v>
      </c>
      <c r="AH1694" s="93" t="s">
        <v>13080</v>
      </c>
      <c r="AI1694" s="87" t="b">
        <v>0</v>
      </c>
      <c r="AJ1694" s="87"/>
      <c r="AK1694" s="87"/>
      <c r="AL1694" s="87"/>
      <c r="AM1694" s="87"/>
      <c r="AN1694" s="87"/>
      <c r="AO1694" s="87"/>
      <c r="AP1694" s="87"/>
      <c r="AQ1694" s="87"/>
      <c r="AR1694" s="87"/>
      <c r="AS1694" s="87"/>
      <c r="AT1694" s="87"/>
      <c r="AU1694" s="87"/>
      <c r="AV1694" s="92" t="str">
        <f>HYPERLINK("https://pbs.twimg.com/profile_images/1382800599402614786/Fz8PJeks_normal.jpg")</f>
        <v>https://pbs.twimg.com/profile_images/1382800599402614786/Fz8PJeks_normal.jpg</v>
      </c>
      <c r="AW1694" s="93" t="s">
        <v>19926</v>
      </c>
      <c r="AX1694" s="93" t="s">
        <v>22394</v>
      </c>
      <c r="AY1694" s="93" t="s">
        <v>22580</v>
      </c>
      <c r="AZ1694" s="93" t="s">
        <v>22720</v>
      </c>
      <c r="BA1694" s="93" t="s">
        <v>22668</v>
      </c>
      <c r="BB1694" s="93" t="s">
        <v>22668</v>
      </c>
      <c r="BC1694" s="93" t="s">
        <v>22720</v>
      </c>
      <c r="BD1694" s="93" t="s">
        <v>22580</v>
      </c>
      <c r="BE1694" s="87"/>
      <c r="BF1694" s="87"/>
      <c r="BG1694" s="87"/>
      <c r="BH1694" s="87"/>
      <c r="BI1694" s="87"/>
    </row>
    <row r="1695" spans="1:61" x14ac:dyDescent="0.25">
      <c r="A1695" s="63" t="s">
        <v>800</v>
      </c>
      <c r="B1695" s="63" t="s">
        <v>800</v>
      </c>
      <c r="C1695" s="64"/>
      <c r="D1695" s="65"/>
      <c r="E1695" s="66"/>
      <c r="F1695" s="67"/>
      <c r="G1695" s="64"/>
      <c r="H1695" s="68"/>
      <c r="I1695" s="69"/>
      <c r="J1695" s="69"/>
      <c r="K1695" s="32"/>
      <c r="L1695" s="76">
        <v>1695</v>
      </c>
      <c r="M1695" s="76"/>
      <c r="N1695" s="71"/>
      <c r="O1695" s="87" t="s">
        <v>179</v>
      </c>
      <c r="P1695" s="90">
        <v>45146.630555555559</v>
      </c>
      <c r="Q1695" s="87" t="s">
        <v>3491</v>
      </c>
      <c r="R1695" s="87">
        <v>0</v>
      </c>
      <c r="S1695" s="87">
        <v>1</v>
      </c>
      <c r="T1695" s="87">
        <v>0</v>
      </c>
      <c r="U1695" s="87">
        <v>0</v>
      </c>
      <c r="V1695" s="87">
        <v>7</v>
      </c>
      <c r="W1695" s="93" t="s">
        <v>6983</v>
      </c>
      <c r="X1695" s="92" t="str">
        <f>HYPERLINK("https://bit.ly/3ONstIY")</f>
        <v>https://bit.ly/3ONstIY</v>
      </c>
      <c r="Y1695" s="87" t="s">
        <v>8374</v>
      </c>
      <c r="Z1695" s="87"/>
      <c r="AA1695" s="87" t="s">
        <v>9720</v>
      </c>
      <c r="AB1695" s="87" t="s">
        <v>11448</v>
      </c>
      <c r="AC1695" s="93" t="s">
        <v>11457</v>
      </c>
      <c r="AD1695" s="87" t="s">
        <v>11519</v>
      </c>
      <c r="AE1695" s="92" t="str">
        <f>HYPERLINK("https://twitter.com/apeccoficial/status/1688930063310577668")</f>
        <v>https://twitter.com/apeccoficial/status/1688930063310577668</v>
      </c>
      <c r="AF1695" s="90">
        <v>45146.630555555559</v>
      </c>
      <c r="AG1695" s="99">
        <v>45146</v>
      </c>
      <c r="AH1695" s="93" t="s">
        <v>13081</v>
      </c>
      <c r="AI1695" s="87" t="b">
        <v>0</v>
      </c>
      <c r="AJ1695" s="87"/>
      <c r="AK1695" s="87"/>
      <c r="AL1695" s="87"/>
      <c r="AM1695" s="87"/>
      <c r="AN1695" s="87"/>
      <c r="AO1695" s="87"/>
      <c r="AP1695" s="87"/>
      <c r="AQ1695" s="87" t="s">
        <v>16533</v>
      </c>
      <c r="AR1695" s="87"/>
      <c r="AS1695" s="87"/>
      <c r="AT1695" s="87"/>
      <c r="AU1695" s="87"/>
      <c r="AV1695" s="92" t="str">
        <f>HYPERLINK("https://pbs.twimg.com/media/F3BI7y5a8AAUenW.jpg")</f>
        <v>https://pbs.twimg.com/media/F3BI7y5a8AAUenW.jpg</v>
      </c>
      <c r="AW1695" s="93" t="s">
        <v>19927</v>
      </c>
      <c r="AX1695" s="93" t="s">
        <v>19927</v>
      </c>
      <c r="AY1695" s="87"/>
      <c r="AZ1695" s="93" t="s">
        <v>22668</v>
      </c>
      <c r="BA1695" s="93" t="s">
        <v>22668</v>
      </c>
      <c r="BB1695" s="93" t="s">
        <v>22668</v>
      </c>
      <c r="BC1695" s="93" t="s">
        <v>19927</v>
      </c>
      <c r="BD1695" s="93" t="s">
        <v>22580</v>
      </c>
      <c r="BE1695" s="87"/>
      <c r="BF1695" s="87"/>
      <c r="BG1695" s="87"/>
      <c r="BH1695" s="87"/>
      <c r="BI1695" s="87"/>
    </row>
    <row r="1696" spans="1:61" x14ac:dyDescent="0.25">
      <c r="A1696" s="63" t="s">
        <v>800</v>
      </c>
      <c r="B1696" s="63" t="s">
        <v>800</v>
      </c>
      <c r="C1696" s="64"/>
      <c r="D1696" s="65"/>
      <c r="E1696" s="66"/>
      <c r="F1696" s="67"/>
      <c r="G1696" s="64"/>
      <c r="H1696" s="68"/>
      <c r="I1696" s="69"/>
      <c r="J1696" s="69"/>
      <c r="K1696" s="32"/>
      <c r="L1696" s="76">
        <v>1696</v>
      </c>
      <c r="M1696" s="76"/>
      <c r="N1696" s="71"/>
      <c r="O1696" s="87" t="s">
        <v>179</v>
      </c>
      <c r="P1696" s="90">
        <v>45111.711435185185</v>
      </c>
      <c r="Q1696" s="87" t="s">
        <v>3492</v>
      </c>
      <c r="R1696" s="87">
        <v>0</v>
      </c>
      <c r="S1696" s="87">
        <v>1</v>
      </c>
      <c r="T1696" s="87">
        <v>0</v>
      </c>
      <c r="U1696" s="87">
        <v>0</v>
      </c>
      <c r="V1696" s="87">
        <v>11</v>
      </c>
      <c r="W1696" s="93" t="s">
        <v>6984</v>
      </c>
      <c r="X1696" s="92" t="str">
        <f>HYPERLINK("https://aprendamais.mec.gov.br/?redirect=0")</f>
        <v>https://aprendamais.mec.gov.br/?redirect=0</v>
      </c>
      <c r="Y1696" s="87" t="s">
        <v>8392</v>
      </c>
      <c r="Z1696" s="87"/>
      <c r="AA1696" s="87"/>
      <c r="AB1696" s="87"/>
      <c r="AC1696" s="93" t="s">
        <v>11460</v>
      </c>
      <c r="AD1696" s="87" t="s">
        <v>11519</v>
      </c>
      <c r="AE1696" s="92" t="str">
        <f>HYPERLINK("https://twitter.com/apeccoficial/status/1676275798662103040")</f>
        <v>https://twitter.com/apeccoficial/status/1676275798662103040</v>
      </c>
      <c r="AF1696" s="90">
        <v>45111.711435185185</v>
      </c>
      <c r="AG1696" s="99">
        <v>45111</v>
      </c>
      <c r="AH1696" s="93" t="s">
        <v>13082</v>
      </c>
      <c r="AI1696" s="87" t="b">
        <v>0</v>
      </c>
      <c r="AJ1696" s="87"/>
      <c r="AK1696" s="87"/>
      <c r="AL1696" s="87"/>
      <c r="AM1696" s="87"/>
      <c r="AN1696" s="87"/>
      <c r="AO1696" s="87"/>
      <c r="AP1696" s="87"/>
      <c r="AQ1696" s="87"/>
      <c r="AR1696" s="87"/>
      <c r="AS1696" s="87"/>
      <c r="AT1696" s="87"/>
      <c r="AU1696" s="87"/>
      <c r="AV1696" s="92" t="str">
        <f>HYPERLINK("https://pbs.twimg.com/profile_images/1382800599402614786/Fz8PJeks_normal.jpg")</f>
        <v>https://pbs.twimg.com/profile_images/1382800599402614786/Fz8PJeks_normal.jpg</v>
      </c>
      <c r="AW1696" s="93" t="s">
        <v>19928</v>
      </c>
      <c r="AX1696" s="93" t="s">
        <v>19928</v>
      </c>
      <c r="AY1696" s="87"/>
      <c r="AZ1696" s="93" t="s">
        <v>22668</v>
      </c>
      <c r="BA1696" s="93" t="s">
        <v>22668</v>
      </c>
      <c r="BB1696" s="93" t="s">
        <v>22668</v>
      </c>
      <c r="BC1696" s="93" t="s">
        <v>19928</v>
      </c>
      <c r="BD1696" s="93" t="s">
        <v>22580</v>
      </c>
      <c r="BE1696" s="87"/>
      <c r="BF1696" s="87"/>
      <c r="BG1696" s="87"/>
      <c r="BH1696" s="87"/>
      <c r="BI1696" s="87"/>
    </row>
    <row r="1697" spans="1:61" x14ac:dyDescent="0.25">
      <c r="A1697" s="63" t="s">
        <v>801</v>
      </c>
      <c r="B1697" s="63" t="s">
        <v>801</v>
      </c>
      <c r="C1697" s="64"/>
      <c r="D1697" s="65"/>
      <c r="E1697" s="66"/>
      <c r="F1697" s="67"/>
      <c r="G1697" s="64"/>
      <c r="H1697" s="68"/>
      <c r="I1697" s="69"/>
      <c r="J1697" s="69"/>
      <c r="K1697" s="32"/>
      <c r="L1697" s="76">
        <v>1697</v>
      </c>
      <c r="M1697" s="76"/>
      <c r="N1697" s="71"/>
      <c r="O1697" s="87" t="s">
        <v>179</v>
      </c>
      <c r="P1697" s="90">
        <v>45125.583807870367</v>
      </c>
      <c r="Q1697" s="87" t="s">
        <v>3493</v>
      </c>
      <c r="R1697" s="87">
        <v>0</v>
      </c>
      <c r="S1697" s="87">
        <v>0</v>
      </c>
      <c r="T1697" s="87">
        <v>0</v>
      </c>
      <c r="U1697" s="87">
        <v>0</v>
      </c>
      <c r="V1697" s="87">
        <v>13</v>
      </c>
      <c r="W1697" s="93" t="s">
        <v>6985</v>
      </c>
      <c r="X1697" s="87"/>
      <c r="Y1697" s="87"/>
      <c r="Z1697" s="87"/>
      <c r="AA1697" s="87" t="s">
        <v>9721</v>
      </c>
      <c r="AB1697" s="87" t="s">
        <v>11448</v>
      </c>
      <c r="AC1697" s="93" t="s">
        <v>11460</v>
      </c>
      <c r="AD1697" s="87" t="s">
        <v>11519</v>
      </c>
      <c r="AE1697" s="92" t="str">
        <f>HYPERLINK("https://twitter.com/roberto_vilela/status/1681302978161160197")</f>
        <v>https://twitter.com/roberto_vilela/status/1681302978161160197</v>
      </c>
      <c r="AF1697" s="90">
        <v>45125.583807870367</v>
      </c>
      <c r="AG1697" s="99">
        <v>45125</v>
      </c>
      <c r="AH1697" s="93" t="s">
        <v>13083</v>
      </c>
      <c r="AI1697" s="87" t="b">
        <v>0</v>
      </c>
      <c r="AJ1697" s="87"/>
      <c r="AK1697" s="87"/>
      <c r="AL1697" s="87"/>
      <c r="AM1697" s="87"/>
      <c r="AN1697" s="87"/>
      <c r="AO1697" s="87"/>
      <c r="AP1697" s="87"/>
      <c r="AQ1697" s="87" t="s">
        <v>16534</v>
      </c>
      <c r="AR1697" s="87"/>
      <c r="AS1697" s="87"/>
      <c r="AT1697" s="87"/>
      <c r="AU1697" s="87"/>
      <c r="AV1697" s="92" t="str">
        <f>HYPERLINK("https://pbs.twimg.com/media/F1UwJdpakAIA_Hd.jpg")</f>
        <v>https://pbs.twimg.com/media/F1UwJdpakAIA_Hd.jpg</v>
      </c>
      <c r="AW1697" s="93" t="s">
        <v>19929</v>
      </c>
      <c r="AX1697" s="93" t="s">
        <v>19929</v>
      </c>
      <c r="AY1697" s="87"/>
      <c r="AZ1697" s="93" t="s">
        <v>22668</v>
      </c>
      <c r="BA1697" s="93" t="s">
        <v>22668</v>
      </c>
      <c r="BB1697" s="93" t="s">
        <v>22668</v>
      </c>
      <c r="BC1697" s="93" t="s">
        <v>19929</v>
      </c>
      <c r="BD1697" s="87">
        <v>185164195</v>
      </c>
      <c r="BE1697" s="87"/>
      <c r="BF1697" s="87"/>
      <c r="BG1697" s="87"/>
      <c r="BH1697" s="87"/>
      <c r="BI1697" s="87"/>
    </row>
    <row r="1698" spans="1:61" x14ac:dyDescent="0.25">
      <c r="A1698" s="63" t="s">
        <v>802</v>
      </c>
      <c r="B1698" s="63" t="s">
        <v>802</v>
      </c>
      <c r="C1698" s="64"/>
      <c r="D1698" s="65"/>
      <c r="E1698" s="66"/>
      <c r="F1698" s="67"/>
      <c r="G1698" s="64"/>
      <c r="H1698" s="68"/>
      <c r="I1698" s="69"/>
      <c r="J1698" s="69"/>
      <c r="K1698" s="32"/>
      <c r="L1698" s="76">
        <v>1698</v>
      </c>
      <c r="M1698" s="76"/>
      <c r="N1698" s="71"/>
      <c r="O1698" s="87" t="s">
        <v>179</v>
      </c>
      <c r="P1698" s="90">
        <v>45114.669016203705</v>
      </c>
      <c r="Q1698" s="87" t="s">
        <v>3494</v>
      </c>
      <c r="R1698" s="87">
        <v>0</v>
      </c>
      <c r="S1698" s="87">
        <v>4</v>
      </c>
      <c r="T1698" s="87">
        <v>1</v>
      </c>
      <c r="U1698" s="87">
        <v>0</v>
      </c>
      <c r="V1698" s="87">
        <v>1073</v>
      </c>
      <c r="W1698" s="93" t="s">
        <v>6986</v>
      </c>
      <c r="X1698" s="92" t="str">
        <f>HYPERLINK("https://www.moneytimes.com.br/dia-do-chocolate-kopenhagen-ou-brasil-cacau-uma-dessas-franquias-pode-te-fazer-faturar-mais-de-r-1-milhao-por-ano/")</f>
        <v>https://www.moneytimes.com.br/dia-do-chocolate-kopenhagen-ou-brasil-cacau-uma-dessas-franquias-pode-te-fazer-faturar-mais-de-r-1-milhao-por-ano/</v>
      </c>
      <c r="Y1698" s="87" t="s">
        <v>8373</v>
      </c>
      <c r="Z1698" s="87"/>
      <c r="AA1698" s="87"/>
      <c r="AB1698" s="87"/>
      <c r="AC1698" s="93" t="s">
        <v>11471</v>
      </c>
      <c r="AD1698" s="87" t="s">
        <v>11519</v>
      </c>
      <c r="AE1698" s="92" t="str">
        <f>HYPERLINK("https://twitter.com/leiamoneytimes/status/1677347587270103042")</f>
        <v>https://twitter.com/leiamoneytimes/status/1677347587270103042</v>
      </c>
      <c r="AF1698" s="90">
        <v>45114.669016203705</v>
      </c>
      <c r="AG1698" s="99">
        <v>45114</v>
      </c>
      <c r="AH1698" s="93" t="s">
        <v>13084</v>
      </c>
      <c r="AI1698" s="87" t="b">
        <v>0</v>
      </c>
      <c r="AJ1698" s="87"/>
      <c r="AK1698" s="87"/>
      <c r="AL1698" s="87"/>
      <c r="AM1698" s="87"/>
      <c r="AN1698" s="87"/>
      <c r="AO1698" s="87"/>
      <c r="AP1698" s="87"/>
      <c r="AQ1698" s="87"/>
      <c r="AR1698" s="87"/>
      <c r="AS1698" s="87"/>
      <c r="AT1698" s="87"/>
      <c r="AU1698" s="87"/>
      <c r="AV1698" s="92" t="str">
        <f>HYPERLINK("https://pbs.twimg.com/profile_images/1559883556846977024/bXHnQFY0_normal.jpg")</f>
        <v>https://pbs.twimg.com/profile_images/1559883556846977024/bXHnQFY0_normal.jpg</v>
      </c>
      <c r="AW1698" s="93" t="s">
        <v>19930</v>
      </c>
      <c r="AX1698" s="93" t="s">
        <v>19930</v>
      </c>
      <c r="AY1698" s="87"/>
      <c r="AZ1698" s="93" t="s">
        <v>22668</v>
      </c>
      <c r="BA1698" s="93" t="s">
        <v>22668</v>
      </c>
      <c r="BB1698" s="93" t="s">
        <v>22668</v>
      </c>
      <c r="BC1698" s="93" t="s">
        <v>19930</v>
      </c>
      <c r="BD1698" s="87">
        <v>51150679</v>
      </c>
      <c r="BE1698" s="87"/>
      <c r="BF1698" s="87"/>
      <c r="BG1698" s="87"/>
      <c r="BH1698" s="87"/>
      <c r="BI1698" s="87"/>
    </row>
    <row r="1699" spans="1:61" x14ac:dyDescent="0.25">
      <c r="A1699" s="63" t="s">
        <v>802</v>
      </c>
      <c r="B1699" s="63" t="s">
        <v>802</v>
      </c>
      <c r="C1699" s="64"/>
      <c r="D1699" s="65"/>
      <c r="E1699" s="66"/>
      <c r="F1699" s="67"/>
      <c r="G1699" s="64"/>
      <c r="H1699" s="68"/>
      <c r="I1699" s="69"/>
      <c r="J1699" s="69"/>
      <c r="K1699" s="32"/>
      <c r="L1699" s="76">
        <v>1699</v>
      </c>
      <c r="M1699" s="76"/>
      <c r="N1699" s="71"/>
      <c r="O1699" s="87" t="s">
        <v>179</v>
      </c>
      <c r="P1699" s="90">
        <v>45157.750810185185</v>
      </c>
      <c r="Q1699" s="87" t="s">
        <v>3495</v>
      </c>
      <c r="R1699" s="87">
        <v>0</v>
      </c>
      <c r="S1699" s="87">
        <v>3</v>
      </c>
      <c r="T1699" s="87">
        <v>1</v>
      </c>
      <c r="U1699" s="87">
        <v>0</v>
      </c>
      <c r="V1699" s="87">
        <v>1487</v>
      </c>
      <c r="W1699" s="93" t="s">
        <v>6987</v>
      </c>
      <c r="X1699" s="92" t="str">
        <f>HYPERLINK("https://www.moneytimes.com.br/franquias-quer-sair-do-brasil-veja-a-marca-que-te-faz-lucrar-mais-de-r-70-mil-ao-mes/")</f>
        <v>https://www.moneytimes.com.br/franquias-quer-sair-do-brasil-veja-a-marca-que-te-faz-lucrar-mais-de-r-70-mil-ao-mes/</v>
      </c>
      <c r="Y1699" s="87" t="s">
        <v>8373</v>
      </c>
      <c r="Z1699" s="87"/>
      <c r="AA1699" s="87"/>
      <c r="AB1699" s="87"/>
      <c r="AC1699" s="93" t="s">
        <v>11471</v>
      </c>
      <c r="AD1699" s="87" t="s">
        <v>11519</v>
      </c>
      <c r="AE1699" s="92" t="str">
        <f>HYPERLINK("https://twitter.com/leiamoneytimes/status/1692959909053190312")</f>
        <v>https://twitter.com/leiamoneytimes/status/1692959909053190312</v>
      </c>
      <c r="AF1699" s="90">
        <v>45157.750810185185</v>
      </c>
      <c r="AG1699" s="99">
        <v>45157</v>
      </c>
      <c r="AH1699" s="93" t="s">
        <v>12646</v>
      </c>
      <c r="AI1699" s="87" t="b">
        <v>0</v>
      </c>
      <c r="AJ1699" s="87"/>
      <c r="AK1699" s="87"/>
      <c r="AL1699" s="87"/>
      <c r="AM1699" s="87"/>
      <c r="AN1699" s="87"/>
      <c r="AO1699" s="87"/>
      <c r="AP1699" s="87"/>
      <c r="AQ1699" s="87"/>
      <c r="AR1699" s="87"/>
      <c r="AS1699" s="87"/>
      <c r="AT1699" s="87"/>
      <c r="AU1699" s="87"/>
      <c r="AV1699" s="92" t="str">
        <f>HYPERLINK("https://pbs.twimg.com/profile_images/1559883556846977024/bXHnQFY0_normal.jpg")</f>
        <v>https://pbs.twimg.com/profile_images/1559883556846977024/bXHnQFY0_normal.jpg</v>
      </c>
      <c r="AW1699" s="93" t="s">
        <v>19931</v>
      </c>
      <c r="AX1699" s="93" t="s">
        <v>19931</v>
      </c>
      <c r="AY1699" s="87"/>
      <c r="AZ1699" s="93" t="s">
        <v>22668</v>
      </c>
      <c r="BA1699" s="93" t="s">
        <v>22668</v>
      </c>
      <c r="BB1699" s="93" t="s">
        <v>22668</v>
      </c>
      <c r="BC1699" s="93" t="s">
        <v>19931</v>
      </c>
      <c r="BD1699" s="87">
        <v>51150679</v>
      </c>
      <c r="BE1699" s="87"/>
      <c r="BF1699" s="87"/>
      <c r="BG1699" s="87"/>
      <c r="BH1699" s="87"/>
      <c r="BI1699" s="87"/>
    </row>
    <row r="1700" spans="1:61" x14ac:dyDescent="0.25">
      <c r="A1700" s="63" t="s">
        <v>802</v>
      </c>
      <c r="B1700" s="63" t="s">
        <v>802</v>
      </c>
      <c r="C1700" s="64"/>
      <c r="D1700" s="65"/>
      <c r="E1700" s="66"/>
      <c r="F1700" s="67"/>
      <c r="G1700" s="64"/>
      <c r="H1700" s="68"/>
      <c r="I1700" s="69"/>
      <c r="J1700" s="69"/>
      <c r="K1700" s="32"/>
      <c r="L1700" s="76">
        <v>1700</v>
      </c>
      <c r="M1700" s="76"/>
      <c r="N1700" s="71"/>
      <c r="O1700" s="87" t="s">
        <v>179</v>
      </c>
      <c r="P1700" s="90">
        <v>45156.634039351855</v>
      </c>
      <c r="Q1700" s="87" t="s">
        <v>3496</v>
      </c>
      <c r="R1700" s="87">
        <v>0</v>
      </c>
      <c r="S1700" s="87">
        <v>1</v>
      </c>
      <c r="T1700" s="87">
        <v>1</v>
      </c>
      <c r="U1700" s="87">
        <v>0</v>
      </c>
      <c r="V1700" s="87">
        <v>1433</v>
      </c>
      <c r="W1700" s="93" t="s">
        <v>6988</v>
      </c>
      <c r="X1700" s="92" t="str">
        <f>HYPERLINK("https://www.moneytimes.com.br/5-franquias-baratas-para-investir-a-partir-de-r-4-mil-e-lucrar-ate-r-105-mil-por-mes-veja-a-lista/")</f>
        <v>https://www.moneytimes.com.br/5-franquias-baratas-para-investir-a-partir-de-r-4-mil-e-lucrar-ate-r-105-mil-por-mes-veja-a-lista/</v>
      </c>
      <c r="Y1700" s="87" t="s">
        <v>8373</v>
      </c>
      <c r="Z1700" s="87"/>
      <c r="AA1700" s="87"/>
      <c r="AB1700" s="87"/>
      <c r="AC1700" s="93" t="s">
        <v>11471</v>
      </c>
      <c r="AD1700" s="87" t="s">
        <v>11519</v>
      </c>
      <c r="AE1700" s="92" t="str">
        <f>HYPERLINK("https://twitter.com/leiamoneytimes/status/1692555206217634222")</f>
        <v>https://twitter.com/leiamoneytimes/status/1692555206217634222</v>
      </c>
      <c r="AF1700" s="90">
        <v>45156.634039351855</v>
      </c>
      <c r="AG1700" s="99">
        <v>45156</v>
      </c>
      <c r="AH1700" s="93" t="s">
        <v>13085</v>
      </c>
      <c r="AI1700" s="87" t="b">
        <v>0</v>
      </c>
      <c r="AJ1700" s="87"/>
      <c r="AK1700" s="87"/>
      <c r="AL1700" s="87"/>
      <c r="AM1700" s="87"/>
      <c r="AN1700" s="87"/>
      <c r="AO1700" s="87"/>
      <c r="AP1700" s="87"/>
      <c r="AQ1700" s="87"/>
      <c r="AR1700" s="87"/>
      <c r="AS1700" s="87"/>
      <c r="AT1700" s="87"/>
      <c r="AU1700" s="87"/>
      <c r="AV1700" s="92" t="str">
        <f>HYPERLINK("https://pbs.twimg.com/profile_images/1559883556846977024/bXHnQFY0_normal.jpg")</f>
        <v>https://pbs.twimg.com/profile_images/1559883556846977024/bXHnQFY0_normal.jpg</v>
      </c>
      <c r="AW1700" s="93" t="s">
        <v>19932</v>
      </c>
      <c r="AX1700" s="93" t="s">
        <v>19932</v>
      </c>
      <c r="AY1700" s="87"/>
      <c r="AZ1700" s="93" t="s">
        <v>22668</v>
      </c>
      <c r="BA1700" s="93" t="s">
        <v>22668</v>
      </c>
      <c r="BB1700" s="93" t="s">
        <v>22668</v>
      </c>
      <c r="BC1700" s="93" t="s">
        <v>19932</v>
      </c>
      <c r="BD1700" s="87">
        <v>51150679</v>
      </c>
      <c r="BE1700" s="87"/>
      <c r="BF1700" s="87"/>
      <c r="BG1700" s="87"/>
      <c r="BH1700" s="87"/>
      <c r="BI1700" s="87"/>
    </row>
    <row r="1701" spans="1:61" x14ac:dyDescent="0.25">
      <c r="A1701" s="63" t="s">
        <v>802</v>
      </c>
      <c r="B1701" s="63" t="s">
        <v>802</v>
      </c>
      <c r="C1701" s="64"/>
      <c r="D1701" s="65"/>
      <c r="E1701" s="66"/>
      <c r="F1701" s="67"/>
      <c r="G1701" s="64"/>
      <c r="H1701" s="68"/>
      <c r="I1701" s="69"/>
      <c r="J1701" s="69"/>
      <c r="K1701" s="32"/>
      <c r="L1701" s="76">
        <v>1701</v>
      </c>
      <c r="M1701" s="76"/>
      <c r="N1701" s="71"/>
      <c r="O1701" s="87" t="s">
        <v>179</v>
      </c>
      <c r="P1701" s="90">
        <v>45143.750821759262</v>
      </c>
      <c r="Q1701" s="87" t="s">
        <v>3497</v>
      </c>
      <c r="R1701" s="87">
        <v>0</v>
      </c>
      <c r="S1701" s="87">
        <v>4</v>
      </c>
      <c r="T1701" s="87">
        <v>1</v>
      </c>
      <c r="U1701" s="87">
        <v>0</v>
      </c>
      <c r="V1701" s="87">
        <v>2091</v>
      </c>
      <c r="W1701" s="93" t="s">
        <v>6988</v>
      </c>
      <c r="X1701" s="92" t="str">
        <f>HYPERLINK("https://www.moneytimes.com.br/5-franquias-baratas-para-investir-a-partir-de-r-5-mil-e-lucrar-mais-de-r-183-mil-por-mes-voce-nao-leu-errado/")</f>
        <v>https://www.moneytimes.com.br/5-franquias-baratas-para-investir-a-partir-de-r-5-mil-e-lucrar-mais-de-r-183-mil-por-mes-voce-nao-leu-errado/</v>
      </c>
      <c r="Y1701" s="87" t="s">
        <v>8373</v>
      </c>
      <c r="Z1701" s="87"/>
      <c r="AA1701" s="87"/>
      <c r="AB1701" s="87"/>
      <c r="AC1701" s="93" t="s">
        <v>11471</v>
      </c>
      <c r="AD1701" s="87" t="s">
        <v>11519</v>
      </c>
      <c r="AE1701" s="92" t="str">
        <f>HYPERLINK("https://twitter.com/leiamoneytimes/status/1687886481451257856")</f>
        <v>https://twitter.com/leiamoneytimes/status/1687886481451257856</v>
      </c>
      <c r="AF1701" s="90">
        <v>45143.750821759262</v>
      </c>
      <c r="AG1701" s="99">
        <v>45143</v>
      </c>
      <c r="AH1701" s="93" t="s">
        <v>13086</v>
      </c>
      <c r="AI1701" s="87" t="b">
        <v>0</v>
      </c>
      <c r="AJ1701" s="87"/>
      <c r="AK1701" s="87"/>
      <c r="AL1701" s="87"/>
      <c r="AM1701" s="87"/>
      <c r="AN1701" s="87"/>
      <c r="AO1701" s="87"/>
      <c r="AP1701" s="87"/>
      <c r="AQ1701" s="87"/>
      <c r="AR1701" s="87"/>
      <c r="AS1701" s="87"/>
      <c r="AT1701" s="87"/>
      <c r="AU1701" s="87"/>
      <c r="AV1701" s="92" t="str">
        <f>HYPERLINK("https://pbs.twimg.com/profile_images/1559883556846977024/bXHnQFY0_normal.jpg")</f>
        <v>https://pbs.twimg.com/profile_images/1559883556846977024/bXHnQFY0_normal.jpg</v>
      </c>
      <c r="AW1701" s="93" t="s">
        <v>19933</v>
      </c>
      <c r="AX1701" s="93" t="s">
        <v>19933</v>
      </c>
      <c r="AY1701" s="87"/>
      <c r="AZ1701" s="93" t="s">
        <v>22668</v>
      </c>
      <c r="BA1701" s="93" t="s">
        <v>22668</v>
      </c>
      <c r="BB1701" s="93" t="s">
        <v>22668</v>
      </c>
      <c r="BC1701" s="93" t="s">
        <v>19933</v>
      </c>
      <c r="BD1701" s="87">
        <v>51150679</v>
      </c>
      <c r="BE1701" s="87"/>
      <c r="BF1701" s="87"/>
      <c r="BG1701" s="87"/>
      <c r="BH1701" s="87"/>
      <c r="BI1701" s="87"/>
    </row>
    <row r="1702" spans="1:61" x14ac:dyDescent="0.25">
      <c r="A1702" s="63" t="s">
        <v>802</v>
      </c>
      <c r="B1702" s="63" t="s">
        <v>802</v>
      </c>
      <c r="C1702" s="64"/>
      <c r="D1702" s="65"/>
      <c r="E1702" s="66"/>
      <c r="F1702" s="67"/>
      <c r="G1702" s="64"/>
      <c r="H1702" s="68"/>
      <c r="I1702" s="69"/>
      <c r="J1702" s="69"/>
      <c r="K1702" s="32"/>
      <c r="L1702" s="76">
        <v>1702</v>
      </c>
      <c r="M1702" s="76"/>
      <c r="N1702" s="71"/>
      <c r="O1702" s="87" t="s">
        <v>179</v>
      </c>
      <c r="P1702" s="90">
        <v>45163.607222222221</v>
      </c>
      <c r="Q1702" s="87" t="s">
        <v>3498</v>
      </c>
      <c r="R1702" s="87">
        <v>1</v>
      </c>
      <c r="S1702" s="87">
        <v>3</v>
      </c>
      <c r="T1702" s="87">
        <v>1</v>
      </c>
      <c r="U1702" s="87">
        <v>0</v>
      </c>
      <c r="V1702" s="87">
        <v>1164</v>
      </c>
      <c r="W1702" s="93" t="s">
        <v>6987</v>
      </c>
      <c r="X1702" s="92" t="str">
        <f>HYPERLINK("https://www.moneytimes.com.br/5-franquias-para-investir-a-partir-de-r-4-mil-e-lucrar-mais-de-r-128-mil-por-mes-veja-a-lista/")</f>
        <v>https://www.moneytimes.com.br/5-franquias-para-investir-a-partir-de-r-4-mil-e-lucrar-mais-de-r-128-mil-por-mes-veja-a-lista/</v>
      </c>
      <c r="Y1702" s="87" t="s">
        <v>8373</v>
      </c>
      <c r="Z1702" s="87"/>
      <c r="AA1702" s="87"/>
      <c r="AB1702" s="87"/>
      <c r="AC1702" s="93" t="s">
        <v>11471</v>
      </c>
      <c r="AD1702" s="87" t="s">
        <v>11519</v>
      </c>
      <c r="AE1702" s="92" t="str">
        <f>HYPERLINK("https://twitter.com/leiamoneytimes/status/1695082199291134238")</f>
        <v>https://twitter.com/leiamoneytimes/status/1695082199291134238</v>
      </c>
      <c r="AF1702" s="90">
        <v>45163.607222222221</v>
      </c>
      <c r="AG1702" s="99">
        <v>45163</v>
      </c>
      <c r="AH1702" s="93" t="s">
        <v>13087</v>
      </c>
      <c r="AI1702" s="87" t="b">
        <v>0</v>
      </c>
      <c r="AJ1702" s="87"/>
      <c r="AK1702" s="87"/>
      <c r="AL1702" s="87"/>
      <c r="AM1702" s="87"/>
      <c r="AN1702" s="87"/>
      <c r="AO1702" s="87"/>
      <c r="AP1702" s="87"/>
      <c r="AQ1702" s="87"/>
      <c r="AR1702" s="87"/>
      <c r="AS1702" s="87"/>
      <c r="AT1702" s="87"/>
      <c r="AU1702" s="87"/>
      <c r="AV1702" s="92" t="str">
        <f>HYPERLINK("https://pbs.twimg.com/profile_images/1559883556846977024/bXHnQFY0_normal.jpg")</f>
        <v>https://pbs.twimg.com/profile_images/1559883556846977024/bXHnQFY0_normal.jpg</v>
      </c>
      <c r="AW1702" s="93" t="s">
        <v>19934</v>
      </c>
      <c r="AX1702" s="93" t="s">
        <v>19934</v>
      </c>
      <c r="AY1702" s="87"/>
      <c r="AZ1702" s="93" t="s">
        <v>22668</v>
      </c>
      <c r="BA1702" s="93" t="s">
        <v>22668</v>
      </c>
      <c r="BB1702" s="93" t="s">
        <v>22668</v>
      </c>
      <c r="BC1702" s="93" t="s">
        <v>19934</v>
      </c>
      <c r="BD1702" s="87">
        <v>51150679</v>
      </c>
      <c r="BE1702" s="87"/>
      <c r="BF1702" s="87"/>
      <c r="BG1702" s="87"/>
      <c r="BH1702" s="87"/>
      <c r="BI1702" s="87"/>
    </row>
    <row r="1703" spans="1:61" x14ac:dyDescent="0.25">
      <c r="A1703" s="63" t="s">
        <v>802</v>
      </c>
      <c r="B1703" s="63" t="s">
        <v>802</v>
      </c>
      <c r="C1703" s="64"/>
      <c r="D1703" s="65"/>
      <c r="E1703" s="66"/>
      <c r="F1703" s="67"/>
      <c r="G1703" s="64"/>
      <c r="H1703" s="68"/>
      <c r="I1703" s="69"/>
      <c r="J1703" s="69"/>
      <c r="K1703" s="32"/>
      <c r="L1703" s="76">
        <v>1703</v>
      </c>
      <c r="M1703" s="76"/>
      <c r="N1703" s="71"/>
      <c r="O1703" s="87" t="s">
        <v>179</v>
      </c>
      <c r="P1703" s="90">
        <v>45163.412939814814</v>
      </c>
      <c r="Q1703" s="87" t="s">
        <v>3499</v>
      </c>
      <c r="R1703" s="87">
        <v>1</v>
      </c>
      <c r="S1703" s="87">
        <v>3</v>
      </c>
      <c r="T1703" s="87">
        <v>1</v>
      </c>
      <c r="U1703" s="87">
        <v>0</v>
      </c>
      <c r="V1703" s="87">
        <v>1351</v>
      </c>
      <c r="W1703" s="93" t="s">
        <v>6989</v>
      </c>
      <c r="X1703" s="92" t="str">
        <f>HYPERLINK("https://www.moneytimes.com.br/empresa-fatura-r-1-milhao-apos-2-meses-de-lancamento-conheca-a-peach-up/")</f>
        <v>https://www.moneytimes.com.br/empresa-fatura-r-1-milhao-apos-2-meses-de-lancamento-conheca-a-peach-up/</v>
      </c>
      <c r="Y1703" s="87" t="s">
        <v>8373</v>
      </c>
      <c r="Z1703" s="87"/>
      <c r="AA1703" s="87"/>
      <c r="AB1703" s="87"/>
      <c r="AC1703" s="93" t="s">
        <v>11471</v>
      </c>
      <c r="AD1703" s="87" t="s">
        <v>11519</v>
      </c>
      <c r="AE1703" s="92" t="str">
        <f>HYPERLINK("https://twitter.com/leiamoneytimes/status/1695011795994353692")</f>
        <v>https://twitter.com/leiamoneytimes/status/1695011795994353692</v>
      </c>
      <c r="AF1703" s="90">
        <v>45163.412939814814</v>
      </c>
      <c r="AG1703" s="99">
        <v>45163</v>
      </c>
      <c r="AH1703" s="93" t="s">
        <v>13088</v>
      </c>
      <c r="AI1703" s="87" t="b">
        <v>0</v>
      </c>
      <c r="AJ1703" s="87"/>
      <c r="AK1703" s="87"/>
      <c r="AL1703" s="87"/>
      <c r="AM1703" s="87"/>
      <c r="AN1703" s="87"/>
      <c r="AO1703" s="87"/>
      <c r="AP1703" s="87"/>
      <c r="AQ1703" s="87"/>
      <c r="AR1703" s="87"/>
      <c r="AS1703" s="87"/>
      <c r="AT1703" s="87"/>
      <c r="AU1703" s="87"/>
      <c r="AV1703" s="92" t="str">
        <f>HYPERLINK("https://pbs.twimg.com/profile_images/1559883556846977024/bXHnQFY0_normal.jpg")</f>
        <v>https://pbs.twimg.com/profile_images/1559883556846977024/bXHnQFY0_normal.jpg</v>
      </c>
      <c r="AW1703" s="93" t="s">
        <v>19935</v>
      </c>
      <c r="AX1703" s="93" t="s">
        <v>19935</v>
      </c>
      <c r="AY1703" s="87"/>
      <c r="AZ1703" s="93" t="s">
        <v>22668</v>
      </c>
      <c r="BA1703" s="93" t="s">
        <v>22668</v>
      </c>
      <c r="BB1703" s="93" t="s">
        <v>22668</v>
      </c>
      <c r="BC1703" s="93" t="s">
        <v>19935</v>
      </c>
      <c r="BD1703" s="87">
        <v>51150679</v>
      </c>
      <c r="BE1703" s="87"/>
      <c r="BF1703" s="87"/>
      <c r="BG1703" s="87"/>
      <c r="BH1703" s="87"/>
      <c r="BI1703" s="87"/>
    </row>
    <row r="1704" spans="1:61" x14ac:dyDescent="0.25">
      <c r="A1704" s="63" t="s">
        <v>802</v>
      </c>
      <c r="B1704" s="63" t="s">
        <v>802</v>
      </c>
      <c r="C1704" s="64"/>
      <c r="D1704" s="65"/>
      <c r="E1704" s="66"/>
      <c r="F1704" s="67"/>
      <c r="G1704" s="64"/>
      <c r="H1704" s="68"/>
      <c r="I1704" s="69"/>
      <c r="J1704" s="69"/>
      <c r="K1704" s="32"/>
      <c r="L1704" s="76">
        <v>1704</v>
      </c>
      <c r="M1704" s="76"/>
      <c r="N1704" s="71"/>
      <c r="O1704" s="87" t="s">
        <v>179</v>
      </c>
      <c r="P1704" s="90">
        <v>45162.788680555554</v>
      </c>
      <c r="Q1704" s="87" t="s">
        <v>3500</v>
      </c>
      <c r="R1704" s="87">
        <v>0</v>
      </c>
      <c r="S1704" s="87">
        <v>0</v>
      </c>
      <c r="T1704" s="87">
        <v>1</v>
      </c>
      <c r="U1704" s="87">
        <v>0</v>
      </c>
      <c r="V1704" s="87">
        <v>972</v>
      </c>
      <c r="W1704" s="93" t="s">
        <v>6990</v>
      </c>
      <c r="X1704" s="92" t="str">
        <f>HYPERLINK("https://www.moneytimes.com.br/forum-de-empreendedorismo-torneio-de-tenis-e-blockchain-o-que-movimento-o-mundo-dos-negocios/")</f>
        <v>https://www.moneytimes.com.br/forum-de-empreendedorismo-torneio-de-tenis-e-blockchain-o-que-movimento-o-mundo-dos-negocios/</v>
      </c>
      <c r="Y1704" s="87" t="s">
        <v>8373</v>
      </c>
      <c r="Z1704" s="87"/>
      <c r="AA1704" s="87"/>
      <c r="AB1704" s="87"/>
      <c r="AC1704" s="93" t="s">
        <v>11471</v>
      </c>
      <c r="AD1704" s="87" t="s">
        <v>11519</v>
      </c>
      <c r="AE1704" s="92" t="str">
        <f>HYPERLINK("https://twitter.com/leiamoneytimes/status/1694785572588413253")</f>
        <v>https://twitter.com/leiamoneytimes/status/1694785572588413253</v>
      </c>
      <c r="AF1704" s="90">
        <v>45162.788680555554</v>
      </c>
      <c r="AG1704" s="99">
        <v>45162</v>
      </c>
      <c r="AH1704" s="93" t="s">
        <v>13089</v>
      </c>
      <c r="AI1704" s="87" t="b">
        <v>0</v>
      </c>
      <c r="AJ1704" s="87"/>
      <c r="AK1704" s="87"/>
      <c r="AL1704" s="87"/>
      <c r="AM1704" s="87"/>
      <c r="AN1704" s="87"/>
      <c r="AO1704" s="87"/>
      <c r="AP1704" s="87"/>
      <c r="AQ1704" s="87"/>
      <c r="AR1704" s="87"/>
      <c r="AS1704" s="87"/>
      <c r="AT1704" s="87"/>
      <c r="AU1704" s="87"/>
      <c r="AV1704" s="92" t="str">
        <f>HYPERLINK("https://pbs.twimg.com/profile_images/1559883556846977024/bXHnQFY0_normal.jpg")</f>
        <v>https://pbs.twimg.com/profile_images/1559883556846977024/bXHnQFY0_normal.jpg</v>
      </c>
      <c r="AW1704" s="93" t="s">
        <v>19936</v>
      </c>
      <c r="AX1704" s="93" t="s">
        <v>19936</v>
      </c>
      <c r="AY1704" s="87"/>
      <c r="AZ1704" s="93" t="s">
        <v>22668</v>
      </c>
      <c r="BA1704" s="93" t="s">
        <v>22668</v>
      </c>
      <c r="BB1704" s="93" t="s">
        <v>22668</v>
      </c>
      <c r="BC1704" s="93" t="s">
        <v>19936</v>
      </c>
      <c r="BD1704" s="87">
        <v>51150679</v>
      </c>
      <c r="BE1704" s="87"/>
      <c r="BF1704" s="87"/>
      <c r="BG1704" s="87"/>
      <c r="BH1704" s="87"/>
      <c r="BI1704" s="87"/>
    </row>
    <row r="1705" spans="1:61" x14ac:dyDescent="0.25">
      <c r="A1705" s="63" t="s">
        <v>802</v>
      </c>
      <c r="B1705" s="63" t="s">
        <v>802</v>
      </c>
      <c r="C1705" s="64"/>
      <c r="D1705" s="65"/>
      <c r="E1705" s="66"/>
      <c r="F1705" s="67"/>
      <c r="G1705" s="64"/>
      <c r="H1705" s="68"/>
      <c r="I1705" s="69"/>
      <c r="J1705" s="69"/>
      <c r="K1705" s="32"/>
      <c r="L1705" s="76">
        <v>1705</v>
      </c>
      <c r="M1705" s="76"/>
      <c r="N1705" s="71"/>
      <c r="O1705" s="87" t="s">
        <v>179</v>
      </c>
      <c r="P1705" s="90">
        <v>45149.627210648148</v>
      </c>
      <c r="Q1705" s="87" t="s">
        <v>3501</v>
      </c>
      <c r="R1705" s="87">
        <v>0</v>
      </c>
      <c r="S1705" s="87">
        <v>1</v>
      </c>
      <c r="T1705" s="87">
        <v>1</v>
      </c>
      <c r="U1705" s="87">
        <v>0</v>
      </c>
      <c r="V1705" s="87">
        <v>890</v>
      </c>
      <c r="W1705" s="93" t="s">
        <v>6988</v>
      </c>
      <c r="X1705" s="92" t="str">
        <f>HYPERLINK("https://www.moneytimes.com.br/franquias-baratas-voce-pode-sair-do-brasil-e-ainda-lucrar-ate-r-134-mil-por-mes-com-essas-marcas-veja/")</f>
        <v>https://www.moneytimes.com.br/franquias-baratas-voce-pode-sair-do-brasil-e-ainda-lucrar-ate-r-134-mil-por-mes-com-essas-marcas-veja/</v>
      </c>
      <c r="Y1705" s="87" t="s">
        <v>8373</v>
      </c>
      <c r="Z1705" s="87"/>
      <c r="AA1705" s="87"/>
      <c r="AB1705" s="87"/>
      <c r="AC1705" s="93" t="s">
        <v>11471</v>
      </c>
      <c r="AD1705" s="87" t="s">
        <v>11519</v>
      </c>
      <c r="AE1705" s="92" t="str">
        <f>HYPERLINK("https://twitter.com/leiamoneytimes/status/1690016012526088192")</f>
        <v>https://twitter.com/leiamoneytimes/status/1690016012526088192</v>
      </c>
      <c r="AF1705" s="90">
        <v>45149.627210648148</v>
      </c>
      <c r="AG1705" s="99">
        <v>45149</v>
      </c>
      <c r="AH1705" s="93" t="s">
        <v>11646</v>
      </c>
      <c r="AI1705" s="87" t="b">
        <v>0</v>
      </c>
      <c r="AJ1705" s="87"/>
      <c r="AK1705" s="87"/>
      <c r="AL1705" s="87"/>
      <c r="AM1705" s="87"/>
      <c r="AN1705" s="87"/>
      <c r="AO1705" s="87"/>
      <c r="AP1705" s="87"/>
      <c r="AQ1705" s="87"/>
      <c r="AR1705" s="87"/>
      <c r="AS1705" s="87"/>
      <c r="AT1705" s="87"/>
      <c r="AU1705" s="87"/>
      <c r="AV1705" s="92" t="str">
        <f>HYPERLINK("https://pbs.twimg.com/profile_images/1559883556846977024/bXHnQFY0_normal.jpg")</f>
        <v>https://pbs.twimg.com/profile_images/1559883556846977024/bXHnQFY0_normal.jpg</v>
      </c>
      <c r="AW1705" s="93" t="s">
        <v>19937</v>
      </c>
      <c r="AX1705" s="93" t="s">
        <v>19937</v>
      </c>
      <c r="AY1705" s="87"/>
      <c r="AZ1705" s="93" t="s">
        <v>22668</v>
      </c>
      <c r="BA1705" s="93" t="s">
        <v>22668</v>
      </c>
      <c r="BB1705" s="93" t="s">
        <v>22668</v>
      </c>
      <c r="BC1705" s="93" t="s">
        <v>19937</v>
      </c>
      <c r="BD1705" s="87">
        <v>51150679</v>
      </c>
      <c r="BE1705" s="87"/>
      <c r="BF1705" s="87"/>
      <c r="BG1705" s="87"/>
      <c r="BH1705" s="87"/>
      <c r="BI1705" s="87"/>
    </row>
    <row r="1706" spans="1:61" x14ac:dyDescent="0.25">
      <c r="A1706" s="63" t="s">
        <v>802</v>
      </c>
      <c r="B1706" s="63" t="s">
        <v>802</v>
      </c>
      <c r="C1706" s="64"/>
      <c r="D1706" s="65"/>
      <c r="E1706" s="66"/>
      <c r="F1706" s="67"/>
      <c r="G1706" s="64"/>
      <c r="H1706" s="68"/>
      <c r="I1706" s="69"/>
      <c r="J1706" s="69"/>
      <c r="K1706" s="32"/>
      <c r="L1706" s="76">
        <v>1706</v>
      </c>
      <c r="M1706" s="76"/>
      <c r="N1706" s="71"/>
      <c r="O1706" s="87" t="s">
        <v>179</v>
      </c>
      <c r="P1706" s="90">
        <v>45121.680428240739</v>
      </c>
      <c r="Q1706" s="87" t="s">
        <v>3502</v>
      </c>
      <c r="R1706" s="87">
        <v>0</v>
      </c>
      <c r="S1706" s="87">
        <v>0</v>
      </c>
      <c r="T1706" s="87">
        <v>1</v>
      </c>
      <c r="U1706" s="87">
        <v>0</v>
      </c>
      <c r="V1706" s="87">
        <v>1032</v>
      </c>
      <c r="W1706" s="93" t="s">
        <v>6987</v>
      </c>
      <c r="X1706" s="92" t="str">
        <f>HYPERLINK("https://www.moneytimes.com.br/franquias-de-quiosque-para-investir-arrancar-ganhos-de-ate-r-13-mil-no-mes/")</f>
        <v>https://www.moneytimes.com.br/franquias-de-quiosque-para-investir-arrancar-ganhos-de-ate-r-13-mil-no-mes/</v>
      </c>
      <c r="Y1706" s="87" t="s">
        <v>8373</v>
      </c>
      <c r="Z1706" s="87"/>
      <c r="AA1706" s="87"/>
      <c r="AB1706" s="87"/>
      <c r="AC1706" s="93" t="s">
        <v>11471</v>
      </c>
      <c r="AD1706" s="87" t="s">
        <v>11519</v>
      </c>
      <c r="AE1706" s="92" t="str">
        <f>HYPERLINK("https://twitter.com/leiamoneytimes/status/1679888439003496448")</f>
        <v>https://twitter.com/leiamoneytimes/status/1679888439003496448</v>
      </c>
      <c r="AF1706" s="90">
        <v>45121.680428240739</v>
      </c>
      <c r="AG1706" s="99">
        <v>45121</v>
      </c>
      <c r="AH1706" s="93" t="s">
        <v>13090</v>
      </c>
      <c r="AI1706" s="87" t="b">
        <v>0</v>
      </c>
      <c r="AJ1706" s="87"/>
      <c r="AK1706" s="87"/>
      <c r="AL1706" s="87"/>
      <c r="AM1706" s="87"/>
      <c r="AN1706" s="87"/>
      <c r="AO1706" s="87"/>
      <c r="AP1706" s="87"/>
      <c r="AQ1706" s="87"/>
      <c r="AR1706" s="87"/>
      <c r="AS1706" s="87"/>
      <c r="AT1706" s="87"/>
      <c r="AU1706" s="87"/>
      <c r="AV1706" s="92" t="str">
        <f>HYPERLINK("https://pbs.twimg.com/profile_images/1559883556846977024/bXHnQFY0_normal.jpg")</f>
        <v>https://pbs.twimg.com/profile_images/1559883556846977024/bXHnQFY0_normal.jpg</v>
      </c>
      <c r="AW1706" s="93" t="s">
        <v>19938</v>
      </c>
      <c r="AX1706" s="93" t="s">
        <v>19938</v>
      </c>
      <c r="AY1706" s="87"/>
      <c r="AZ1706" s="93" t="s">
        <v>22668</v>
      </c>
      <c r="BA1706" s="93" t="s">
        <v>22668</v>
      </c>
      <c r="BB1706" s="93" t="s">
        <v>22668</v>
      </c>
      <c r="BC1706" s="93" t="s">
        <v>19938</v>
      </c>
      <c r="BD1706" s="87">
        <v>51150679</v>
      </c>
      <c r="BE1706" s="87"/>
      <c r="BF1706" s="87"/>
      <c r="BG1706" s="87"/>
      <c r="BH1706" s="87"/>
      <c r="BI1706" s="87"/>
    </row>
    <row r="1707" spans="1:61" x14ac:dyDescent="0.25">
      <c r="A1707" s="63" t="s">
        <v>802</v>
      </c>
      <c r="B1707" s="63" t="s">
        <v>802</v>
      </c>
      <c r="C1707" s="64"/>
      <c r="D1707" s="65"/>
      <c r="E1707" s="66"/>
      <c r="F1707" s="67"/>
      <c r="G1707" s="64"/>
      <c r="H1707" s="68"/>
      <c r="I1707" s="69"/>
      <c r="J1707" s="69"/>
      <c r="K1707" s="32"/>
      <c r="L1707" s="76">
        <v>1707</v>
      </c>
      <c r="M1707" s="76"/>
      <c r="N1707" s="71"/>
      <c r="O1707" s="87" t="s">
        <v>179</v>
      </c>
      <c r="P1707" s="90">
        <v>45176.625798611109</v>
      </c>
      <c r="Q1707" s="87" t="s">
        <v>3503</v>
      </c>
      <c r="R1707" s="87">
        <v>0</v>
      </c>
      <c r="S1707" s="87">
        <v>1</v>
      </c>
      <c r="T1707" s="87">
        <v>1</v>
      </c>
      <c r="U1707" s="87">
        <v>0</v>
      </c>
      <c r="V1707" s="87">
        <v>856</v>
      </c>
      <c r="W1707" s="93" t="s">
        <v>6988</v>
      </c>
      <c r="X1707" s="92" t="str">
        <f>HYPERLINK("https://www.moneytimes.com.br/franquias-baratas-ainda-mais-baratas-com-lucro-acima-de-r-16-mil-marcas-tem-condicoes-especiais-e-ate-20-de-desconto/")</f>
        <v>https://www.moneytimes.com.br/franquias-baratas-ainda-mais-baratas-com-lucro-acima-de-r-16-mil-marcas-tem-condicoes-especiais-e-ate-20-de-desconto/</v>
      </c>
      <c r="Y1707" s="87" t="s">
        <v>8373</v>
      </c>
      <c r="Z1707" s="87"/>
      <c r="AA1707" s="87"/>
      <c r="AB1707" s="87"/>
      <c r="AC1707" s="93" t="s">
        <v>11471</v>
      </c>
      <c r="AD1707" s="87" t="s">
        <v>11519</v>
      </c>
      <c r="AE1707" s="92" t="str">
        <f>HYPERLINK("https://twitter.com/leiamoneytimes/status/1699799973448351807")</f>
        <v>https://twitter.com/leiamoneytimes/status/1699799973448351807</v>
      </c>
      <c r="AF1707" s="90">
        <v>45176.625798611109</v>
      </c>
      <c r="AG1707" s="99">
        <v>45176</v>
      </c>
      <c r="AH1707" s="93" t="s">
        <v>13091</v>
      </c>
      <c r="AI1707" s="87" t="b">
        <v>0</v>
      </c>
      <c r="AJ1707" s="87"/>
      <c r="AK1707" s="87"/>
      <c r="AL1707" s="87"/>
      <c r="AM1707" s="87"/>
      <c r="AN1707" s="87"/>
      <c r="AO1707" s="87"/>
      <c r="AP1707" s="87"/>
      <c r="AQ1707" s="87"/>
      <c r="AR1707" s="87"/>
      <c r="AS1707" s="87"/>
      <c r="AT1707" s="87"/>
      <c r="AU1707" s="87"/>
      <c r="AV1707" s="92" t="str">
        <f>HYPERLINK("https://pbs.twimg.com/profile_images/1559883556846977024/bXHnQFY0_normal.jpg")</f>
        <v>https://pbs.twimg.com/profile_images/1559883556846977024/bXHnQFY0_normal.jpg</v>
      </c>
      <c r="AW1707" s="93" t="s">
        <v>19939</v>
      </c>
      <c r="AX1707" s="93" t="s">
        <v>19939</v>
      </c>
      <c r="AY1707" s="87"/>
      <c r="AZ1707" s="93" t="s">
        <v>22668</v>
      </c>
      <c r="BA1707" s="93" t="s">
        <v>22668</v>
      </c>
      <c r="BB1707" s="93" t="s">
        <v>22668</v>
      </c>
      <c r="BC1707" s="93" t="s">
        <v>19939</v>
      </c>
      <c r="BD1707" s="87">
        <v>51150679</v>
      </c>
      <c r="BE1707" s="87"/>
      <c r="BF1707" s="87"/>
      <c r="BG1707" s="87"/>
      <c r="BH1707" s="87"/>
      <c r="BI1707" s="87"/>
    </row>
    <row r="1708" spans="1:61" x14ac:dyDescent="0.25">
      <c r="A1708" s="63" t="s">
        <v>802</v>
      </c>
      <c r="B1708" s="63" t="s">
        <v>802</v>
      </c>
      <c r="C1708" s="64"/>
      <c r="D1708" s="65"/>
      <c r="E1708" s="66"/>
      <c r="F1708" s="67"/>
      <c r="G1708" s="64"/>
      <c r="H1708" s="68"/>
      <c r="I1708" s="69"/>
      <c r="J1708" s="69"/>
      <c r="K1708" s="32"/>
      <c r="L1708" s="76">
        <v>1708</v>
      </c>
      <c r="M1708" s="76"/>
      <c r="N1708" s="71"/>
      <c r="O1708" s="87" t="s">
        <v>179</v>
      </c>
      <c r="P1708" s="90">
        <v>45170.777615740742</v>
      </c>
      <c r="Q1708" s="87" t="s">
        <v>3504</v>
      </c>
      <c r="R1708" s="87">
        <v>1</v>
      </c>
      <c r="S1708" s="87">
        <v>3</v>
      </c>
      <c r="T1708" s="87">
        <v>1</v>
      </c>
      <c r="U1708" s="87">
        <v>0</v>
      </c>
      <c r="V1708" s="87">
        <v>1456</v>
      </c>
      <c r="W1708" s="93" t="s">
        <v>6987</v>
      </c>
      <c r="X1708" s="92" t="str">
        <f>HYPERLINK("https://www.moneytimes.com.br/5-franquias-para-investir-e-colocar-mais-de-r-50-mil-no-bolso-todo-mes-veja-a-lista/")</f>
        <v>https://www.moneytimes.com.br/5-franquias-para-investir-e-colocar-mais-de-r-50-mil-no-bolso-todo-mes-veja-a-lista/</v>
      </c>
      <c r="Y1708" s="87" t="s">
        <v>8373</v>
      </c>
      <c r="Z1708" s="87"/>
      <c r="AA1708" s="87"/>
      <c r="AB1708" s="87"/>
      <c r="AC1708" s="93" t="s">
        <v>11471</v>
      </c>
      <c r="AD1708" s="87" t="s">
        <v>11519</v>
      </c>
      <c r="AE1708" s="92" t="str">
        <f>HYPERLINK("https://twitter.com/leiamoneytimes/status/1697680665750212857")</f>
        <v>https://twitter.com/leiamoneytimes/status/1697680665750212857</v>
      </c>
      <c r="AF1708" s="90">
        <v>45170.777615740742</v>
      </c>
      <c r="AG1708" s="99">
        <v>45170</v>
      </c>
      <c r="AH1708" s="93" t="s">
        <v>13092</v>
      </c>
      <c r="AI1708" s="87" t="b">
        <v>0</v>
      </c>
      <c r="AJ1708" s="87"/>
      <c r="AK1708" s="87"/>
      <c r="AL1708" s="87"/>
      <c r="AM1708" s="87"/>
      <c r="AN1708" s="87"/>
      <c r="AO1708" s="87"/>
      <c r="AP1708" s="87"/>
      <c r="AQ1708" s="87"/>
      <c r="AR1708" s="87"/>
      <c r="AS1708" s="87"/>
      <c r="AT1708" s="87"/>
      <c r="AU1708" s="87"/>
      <c r="AV1708" s="92" t="str">
        <f>HYPERLINK("https://pbs.twimg.com/profile_images/1559883556846977024/bXHnQFY0_normal.jpg")</f>
        <v>https://pbs.twimg.com/profile_images/1559883556846977024/bXHnQFY0_normal.jpg</v>
      </c>
      <c r="AW1708" s="93" t="s">
        <v>19940</v>
      </c>
      <c r="AX1708" s="93" t="s">
        <v>19940</v>
      </c>
      <c r="AY1708" s="87"/>
      <c r="AZ1708" s="93" t="s">
        <v>22668</v>
      </c>
      <c r="BA1708" s="93" t="s">
        <v>22668</v>
      </c>
      <c r="BB1708" s="93" t="s">
        <v>22668</v>
      </c>
      <c r="BC1708" s="93" t="s">
        <v>19940</v>
      </c>
      <c r="BD1708" s="87">
        <v>51150679</v>
      </c>
      <c r="BE1708" s="87"/>
      <c r="BF1708" s="87"/>
      <c r="BG1708" s="87"/>
      <c r="BH1708" s="87"/>
      <c r="BI1708" s="87"/>
    </row>
    <row r="1709" spans="1:61" x14ac:dyDescent="0.25">
      <c r="A1709" s="63" t="s">
        <v>802</v>
      </c>
      <c r="B1709" s="63" t="s">
        <v>802</v>
      </c>
      <c r="C1709" s="64"/>
      <c r="D1709" s="65"/>
      <c r="E1709" s="66"/>
      <c r="F1709" s="67"/>
      <c r="G1709" s="64"/>
      <c r="H1709" s="68"/>
      <c r="I1709" s="69"/>
      <c r="J1709" s="69"/>
      <c r="K1709" s="32"/>
      <c r="L1709" s="76">
        <v>1709</v>
      </c>
      <c r="M1709" s="76"/>
      <c r="N1709" s="71"/>
      <c r="O1709" s="87" t="s">
        <v>179</v>
      </c>
      <c r="P1709" s="90">
        <v>45159.688530092593</v>
      </c>
      <c r="Q1709" s="87" t="s">
        <v>3505</v>
      </c>
      <c r="R1709" s="87">
        <v>0</v>
      </c>
      <c r="S1709" s="87">
        <v>3</v>
      </c>
      <c r="T1709" s="87">
        <v>1</v>
      </c>
      <c r="U1709" s="87">
        <v>0</v>
      </c>
      <c r="V1709" s="87">
        <v>1530</v>
      </c>
      <c r="W1709" s="93" t="s">
        <v>6988</v>
      </c>
      <c r="X1709" s="92" t="str">
        <f>HYPERLINK("https://www.moneytimes.com.br/franquias-baratas-o-quanto-voce-precisa-desembolsar-para-ganhar-mais-de-r-37-mil-todo-mes/")</f>
        <v>https://www.moneytimes.com.br/franquias-baratas-o-quanto-voce-precisa-desembolsar-para-ganhar-mais-de-r-37-mil-todo-mes/</v>
      </c>
      <c r="Y1709" s="87" t="s">
        <v>8373</v>
      </c>
      <c r="Z1709" s="87"/>
      <c r="AA1709" s="87"/>
      <c r="AB1709" s="87"/>
      <c r="AC1709" s="93" t="s">
        <v>11471</v>
      </c>
      <c r="AD1709" s="87" t="s">
        <v>11519</v>
      </c>
      <c r="AE1709" s="92" t="str">
        <f>HYPERLINK("https://twitter.com/leiamoneytimes/status/1693662115930816946")</f>
        <v>https://twitter.com/leiamoneytimes/status/1693662115930816946</v>
      </c>
      <c r="AF1709" s="90">
        <v>45159.688530092593</v>
      </c>
      <c r="AG1709" s="99">
        <v>45159</v>
      </c>
      <c r="AH1709" s="93" t="s">
        <v>13093</v>
      </c>
      <c r="AI1709" s="87" t="b">
        <v>0</v>
      </c>
      <c r="AJ1709" s="87"/>
      <c r="AK1709" s="87"/>
      <c r="AL1709" s="87"/>
      <c r="AM1709" s="87"/>
      <c r="AN1709" s="87"/>
      <c r="AO1709" s="87"/>
      <c r="AP1709" s="87"/>
      <c r="AQ1709" s="87"/>
      <c r="AR1709" s="87"/>
      <c r="AS1709" s="87"/>
      <c r="AT1709" s="87"/>
      <c r="AU1709" s="87"/>
      <c r="AV1709" s="92" t="str">
        <f>HYPERLINK("https://pbs.twimg.com/profile_images/1559883556846977024/bXHnQFY0_normal.jpg")</f>
        <v>https://pbs.twimg.com/profile_images/1559883556846977024/bXHnQFY0_normal.jpg</v>
      </c>
      <c r="AW1709" s="93" t="s">
        <v>19941</v>
      </c>
      <c r="AX1709" s="93" t="s">
        <v>19941</v>
      </c>
      <c r="AY1709" s="87"/>
      <c r="AZ1709" s="93" t="s">
        <v>22668</v>
      </c>
      <c r="BA1709" s="93" t="s">
        <v>22668</v>
      </c>
      <c r="BB1709" s="93" t="s">
        <v>22668</v>
      </c>
      <c r="BC1709" s="93" t="s">
        <v>19941</v>
      </c>
      <c r="BD1709" s="87">
        <v>51150679</v>
      </c>
      <c r="BE1709" s="87"/>
      <c r="BF1709" s="87"/>
      <c r="BG1709" s="87"/>
      <c r="BH1709" s="87"/>
      <c r="BI1709" s="87"/>
    </row>
    <row r="1710" spans="1:61" x14ac:dyDescent="0.25">
      <c r="A1710" s="63" t="s">
        <v>802</v>
      </c>
      <c r="B1710" s="63" t="s">
        <v>802</v>
      </c>
      <c r="C1710" s="64"/>
      <c r="D1710" s="65"/>
      <c r="E1710" s="66"/>
      <c r="F1710" s="67"/>
      <c r="G1710" s="64"/>
      <c r="H1710" s="68"/>
      <c r="I1710" s="69"/>
      <c r="J1710" s="69"/>
      <c r="K1710" s="32"/>
      <c r="L1710" s="76">
        <v>1710</v>
      </c>
      <c r="M1710" s="76"/>
      <c r="N1710" s="71"/>
      <c r="O1710" s="87" t="s">
        <v>179</v>
      </c>
      <c r="P1710" s="90">
        <v>45148.608518518522</v>
      </c>
      <c r="Q1710" s="87" t="s">
        <v>3506</v>
      </c>
      <c r="R1710" s="87">
        <v>0</v>
      </c>
      <c r="S1710" s="87">
        <v>3</v>
      </c>
      <c r="T1710" s="87">
        <v>0</v>
      </c>
      <c r="U1710" s="87">
        <v>0</v>
      </c>
      <c r="V1710" s="87">
        <v>890</v>
      </c>
      <c r="W1710" s="93" t="s">
        <v>6988</v>
      </c>
      <c r="X1710" s="92" t="str">
        <f>HYPERLINK("https://www.moneytimes.com.br/franquias-baratas-rendem-bons-lucros-conheca-a-marca-que-pode-te-fazer-ganhar-mais-de-r-183-mil-por-mes/")</f>
        <v>https://www.moneytimes.com.br/franquias-baratas-rendem-bons-lucros-conheca-a-marca-que-pode-te-fazer-ganhar-mais-de-r-183-mil-por-mes/</v>
      </c>
      <c r="Y1710" s="87" t="s">
        <v>8373</v>
      </c>
      <c r="Z1710" s="87"/>
      <c r="AA1710" s="87"/>
      <c r="AB1710" s="87"/>
      <c r="AC1710" s="93" t="s">
        <v>11471</v>
      </c>
      <c r="AD1710" s="87" t="s">
        <v>11519</v>
      </c>
      <c r="AE1710" s="92" t="str">
        <f>HYPERLINK("https://twitter.com/leiamoneytimes/status/1689646854068465665")</f>
        <v>https://twitter.com/leiamoneytimes/status/1689646854068465665</v>
      </c>
      <c r="AF1710" s="90">
        <v>45148.608518518522</v>
      </c>
      <c r="AG1710" s="99">
        <v>45148</v>
      </c>
      <c r="AH1710" s="93" t="s">
        <v>13094</v>
      </c>
      <c r="AI1710" s="87" t="b">
        <v>0</v>
      </c>
      <c r="AJ1710" s="87"/>
      <c r="AK1710" s="87"/>
      <c r="AL1710" s="87"/>
      <c r="AM1710" s="87"/>
      <c r="AN1710" s="87"/>
      <c r="AO1710" s="87"/>
      <c r="AP1710" s="87"/>
      <c r="AQ1710" s="87"/>
      <c r="AR1710" s="87"/>
      <c r="AS1710" s="87"/>
      <c r="AT1710" s="87"/>
      <c r="AU1710" s="87"/>
      <c r="AV1710" s="92" t="str">
        <f>HYPERLINK("https://pbs.twimg.com/profile_images/1559883556846977024/bXHnQFY0_normal.jpg")</f>
        <v>https://pbs.twimg.com/profile_images/1559883556846977024/bXHnQFY0_normal.jpg</v>
      </c>
      <c r="AW1710" s="93" t="s">
        <v>19942</v>
      </c>
      <c r="AX1710" s="93" t="s">
        <v>19942</v>
      </c>
      <c r="AY1710" s="87"/>
      <c r="AZ1710" s="93" t="s">
        <v>22668</v>
      </c>
      <c r="BA1710" s="93" t="s">
        <v>22668</v>
      </c>
      <c r="BB1710" s="93" t="s">
        <v>22668</v>
      </c>
      <c r="BC1710" s="93" t="s">
        <v>19942</v>
      </c>
      <c r="BD1710" s="87">
        <v>51150679</v>
      </c>
      <c r="BE1710" s="87"/>
      <c r="BF1710" s="87"/>
      <c r="BG1710" s="87"/>
      <c r="BH1710" s="87"/>
      <c r="BI1710" s="87"/>
    </row>
    <row r="1711" spans="1:61" x14ac:dyDescent="0.25">
      <c r="A1711" s="63" t="s">
        <v>802</v>
      </c>
      <c r="B1711" s="63" t="s">
        <v>802</v>
      </c>
      <c r="C1711" s="64"/>
      <c r="D1711" s="65"/>
      <c r="E1711" s="66"/>
      <c r="F1711" s="67"/>
      <c r="G1711" s="64"/>
      <c r="H1711" s="68"/>
      <c r="I1711" s="69"/>
      <c r="J1711" s="69"/>
      <c r="K1711" s="32"/>
      <c r="L1711" s="76">
        <v>1711</v>
      </c>
      <c r="M1711" s="76"/>
      <c r="N1711" s="71"/>
      <c r="O1711" s="87" t="s">
        <v>179</v>
      </c>
      <c r="P1711" s="90">
        <v>45147.412048611113</v>
      </c>
      <c r="Q1711" s="87" t="s">
        <v>3507</v>
      </c>
      <c r="R1711" s="87">
        <v>0</v>
      </c>
      <c r="S1711" s="87">
        <v>2</v>
      </c>
      <c r="T1711" s="87">
        <v>1</v>
      </c>
      <c r="U1711" s="87">
        <v>0</v>
      </c>
      <c r="V1711" s="87">
        <v>1260</v>
      </c>
      <c r="W1711" s="93" t="s">
        <v>6991</v>
      </c>
      <c r="X1711" s="92" t="str">
        <f>HYPERLINK("https://www.moneytimes.com.br/estetica-por-assinatura-a-la-netflix-e-aposta-dos-irmaos-leonardo-e-leandro-castelo/")</f>
        <v>https://www.moneytimes.com.br/estetica-por-assinatura-a-la-netflix-e-aposta-dos-irmaos-leonardo-e-leandro-castelo/</v>
      </c>
      <c r="Y1711" s="87" t="s">
        <v>8373</v>
      </c>
      <c r="Z1711" s="87"/>
      <c r="AA1711" s="87"/>
      <c r="AB1711" s="87"/>
      <c r="AC1711" s="93" t="s">
        <v>11471</v>
      </c>
      <c r="AD1711" s="87" t="s">
        <v>11519</v>
      </c>
      <c r="AE1711" s="92" t="str">
        <f>HYPERLINK("https://twitter.com/leiamoneytimes/status/1689213268559106049")</f>
        <v>https://twitter.com/leiamoneytimes/status/1689213268559106049</v>
      </c>
      <c r="AF1711" s="90">
        <v>45147.412048611113</v>
      </c>
      <c r="AG1711" s="99">
        <v>45147</v>
      </c>
      <c r="AH1711" s="93" t="s">
        <v>13095</v>
      </c>
      <c r="AI1711" s="87" t="b">
        <v>0</v>
      </c>
      <c r="AJ1711" s="87"/>
      <c r="AK1711" s="87"/>
      <c r="AL1711" s="87"/>
      <c r="AM1711" s="87"/>
      <c r="AN1711" s="87"/>
      <c r="AO1711" s="87"/>
      <c r="AP1711" s="87"/>
      <c r="AQ1711" s="87"/>
      <c r="AR1711" s="87"/>
      <c r="AS1711" s="87"/>
      <c r="AT1711" s="87"/>
      <c r="AU1711" s="87"/>
      <c r="AV1711" s="92" t="str">
        <f>HYPERLINK("https://pbs.twimg.com/profile_images/1559883556846977024/bXHnQFY0_normal.jpg")</f>
        <v>https://pbs.twimg.com/profile_images/1559883556846977024/bXHnQFY0_normal.jpg</v>
      </c>
      <c r="AW1711" s="93" t="s">
        <v>19943</v>
      </c>
      <c r="AX1711" s="93" t="s">
        <v>19943</v>
      </c>
      <c r="AY1711" s="87"/>
      <c r="AZ1711" s="93" t="s">
        <v>22668</v>
      </c>
      <c r="BA1711" s="93" t="s">
        <v>22668</v>
      </c>
      <c r="BB1711" s="93" t="s">
        <v>22668</v>
      </c>
      <c r="BC1711" s="93" t="s">
        <v>19943</v>
      </c>
      <c r="BD1711" s="87">
        <v>51150679</v>
      </c>
      <c r="BE1711" s="87"/>
      <c r="BF1711" s="87"/>
      <c r="BG1711" s="87"/>
      <c r="BH1711" s="87"/>
      <c r="BI1711" s="87"/>
    </row>
    <row r="1712" spans="1:61" x14ac:dyDescent="0.25">
      <c r="A1712" s="63" t="s">
        <v>802</v>
      </c>
      <c r="B1712" s="63" t="s">
        <v>802</v>
      </c>
      <c r="C1712" s="64"/>
      <c r="D1712" s="65"/>
      <c r="E1712" s="66"/>
      <c r="F1712" s="67"/>
      <c r="G1712" s="64"/>
      <c r="H1712" s="68"/>
      <c r="I1712" s="69"/>
      <c r="J1712" s="69"/>
      <c r="K1712" s="32"/>
      <c r="L1712" s="76">
        <v>1712</v>
      </c>
      <c r="M1712" s="76"/>
      <c r="N1712" s="71"/>
      <c r="O1712" s="87" t="s">
        <v>179</v>
      </c>
      <c r="P1712" s="90">
        <v>45177.715254629627</v>
      </c>
      <c r="Q1712" s="87" t="s">
        <v>3508</v>
      </c>
      <c r="R1712" s="87">
        <v>0</v>
      </c>
      <c r="S1712" s="87">
        <v>5</v>
      </c>
      <c r="T1712" s="87">
        <v>1</v>
      </c>
      <c r="U1712" s="87">
        <v>0</v>
      </c>
      <c r="V1712" s="87">
        <v>1593</v>
      </c>
      <c r="W1712" s="93" t="s">
        <v>6987</v>
      </c>
      <c r="X1712" s="92" t="str">
        <f>HYPERLINK("https://www.moneytimes.com.br/5-franquias-baratas-para-investir-a-partir-de-r-6-mil-e-lucrar-ate-r-90-mil-por-mes-veja-a-lista/")</f>
        <v>https://www.moneytimes.com.br/5-franquias-baratas-para-investir-a-partir-de-r-6-mil-e-lucrar-ate-r-90-mil-por-mes-veja-a-lista/</v>
      </c>
      <c r="Y1712" s="87" t="s">
        <v>8373</v>
      </c>
      <c r="Z1712" s="87"/>
      <c r="AA1712" s="87"/>
      <c r="AB1712" s="87"/>
      <c r="AC1712" s="93" t="s">
        <v>11471</v>
      </c>
      <c r="AD1712" s="87" t="s">
        <v>11519</v>
      </c>
      <c r="AE1712" s="92" t="str">
        <f>HYPERLINK("https://twitter.com/leiamoneytimes/status/1700194781375123569")</f>
        <v>https://twitter.com/leiamoneytimes/status/1700194781375123569</v>
      </c>
      <c r="AF1712" s="90">
        <v>45177.715254629627</v>
      </c>
      <c r="AG1712" s="99">
        <v>45177</v>
      </c>
      <c r="AH1712" s="93" t="s">
        <v>13096</v>
      </c>
      <c r="AI1712" s="87" t="b">
        <v>0</v>
      </c>
      <c r="AJ1712" s="87"/>
      <c r="AK1712" s="87"/>
      <c r="AL1712" s="87"/>
      <c r="AM1712" s="87"/>
      <c r="AN1712" s="87"/>
      <c r="AO1712" s="87"/>
      <c r="AP1712" s="87"/>
      <c r="AQ1712" s="87"/>
      <c r="AR1712" s="87"/>
      <c r="AS1712" s="87"/>
      <c r="AT1712" s="87"/>
      <c r="AU1712" s="87"/>
      <c r="AV1712" s="92" t="str">
        <f>HYPERLINK("https://pbs.twimg.com/profile_images/1559883556846977024/bXHnQFY0_normal.jpg")</f>
        <v>https://pbs.twimg.com/profile_images/1559883556846977024/bXHnQFY0_normal.jpg</v>
      </c>
      <c r="AW1712" s="93" t="s">
        <v>19944</v>
      </c>
      <c r="AX1712" s="93" t="s">
        <v>19944</v>
      </c>
      <c r="AY1712" s="87"/>
      <c r="AZ1712" s="93" t="s">
        <v>22668</v>
      </c>
      <c r="BA1712" s="93" t="s">
        <v>22668</v>
      </c>
      <c r="BB1712" s="93" t="s">
        <v>22668</v>
      </c>
      <c r="BC1712" s="93" t="s">
        <v>19944</v>
      </c>
      <c r="BD1712" s="87">
        <v>51150679</v>
      </c>
      <c r="BE1712" s="87"/>
      <c r="BF1712" s="87"/>
      <c r="BG1712" s="87"/>
      <c r="BH1712" s="87"/>
      <c r="BI1712" s="87"/>
    </row>
    <row r="1713" spans="1:61" x14ac:dyDescent="0.25">
      <c r="A1713" s="63" t="s">
        <v>802</v>
      </c>
      <c r="B1713" s="63" t="s">
        <v>802</v>
      </c>
      <c r="C1713" s="64"/>
      <c r="D1713" s="65"/>
      <c r="E1713" s="66"/>
      <c r="F1713" s="67"/>
      <c r="G1713" s="64"/>
      <c r="H1713" s="68"/>
      <c r="I1713" s="69"/>
      <c r="J1713" s="69"/>
      <c r="K1713" s="32"/>
      <c r="L1713" s="76">
        <v>1713</v>
      </c>
      <c r="M1713" s="76"/>
      <c r="N1713" s="71"/>
      <c r="O1713" s="87" t="s">
        <v>179</v>
      </c>
      <c r="P1713" s="90">
        <v>45165.708773148152</v>
      </c>
      <c r="Q1713" s="87" t="s">
        <v>3509</v>
      </c>
      <c r="R1713" s="87">
        <v>0</v>
      </c>
      <c r="S1713" s="87">
        <v>3</v>
      </c>
      <c r="T1713" s="87">
        <v>1</v>
      </c>
      <c r="U1713" s="87">
        <v>0</v>
      </c>
      <c r="V1713" s="87">
        <v>2178</v>
      </c>
      <c r="W1713" s="93" t="s">
        <v>6987</v>
      </c>
      <c r="X1713" s="92" t="str">
        <f>HYPERLINK("https://www.moneytimes.com.br/5-franquias-para-investir-a-partir-de-r-6-mil-e-lucrar-ate-r-105-mil-por-mes-veja-a-lista/")</f>
        <v>https://www.moneytimes.com.br/5-franquias-para-investir-a-partir-de-r-6-mil-e-lucrar-ate-r-105-mil-por-mes-veja-a-lista/</v>
      </c>
      <c r="Y1713" s="87" t="s">
        <v>8373</v>
      </c>
      <c r="Z1713" s="87"/>
      <c r="AA1713" s="87"/>
      <c r="AB1713" s="87"/>
      <c r="AC1713" s="93" t="s">
        <v>11471</v>
      </c>
      <c r="AD1713" s="87" t="s">
        <v>11519</v>
      </c>
      <c r="AE1713" s="92" t="str">
        <f>HYPERLINK("https://twitter.com/leiamoneytimes/status/1695843778588713388")</f>
        <v>https://twitter.com/leiamoneytimes/status/1695843778588713388</v>
      </c>
      <c r="AF1713" s="90">
        <v>45165.708773148152</v>
      </c>
      <c r="AG1713" s="99">
        <v>45165</v>
      </c>
      <c r="AH1713" s="93" t="s">
        <v>13097</v>
      </c>
      <c r="AI1713" s="87" t="b">
        <v>0</v>
      </c>
      <c r="AJ1713" s="87"/>
      <c r="AK1713" s="87"/>
      <c r="AL1713" s="87"/>
      <c r="AM1713" s="87"/>
      <c r="AN1713" s="87"/>
      <c r="AO1713" s="87"/>
      <c r="AP1713" s="87"/>
      <c r="AQ1713" s="87"/>
      <c r="AR1713" s="87"/>
      <c r="AS1713" s="87"/>
      <c r="AT1713" s="87"/>
      <c r="AU1713" s="87"/>
      <c r="AV1713" s="92" t="str">
        <f>HYPERLINK("https://pbs.twimg.com/profile_images/1559883556846977024/bXHnQFY0_normal.jpg")</f>
        <v>https://pbs.twimg.com/profile_images/1559883556846977024/bXHnQFY0_normal.jpg</v>
      </c>
      <c r="AW1713" s="93" t="s">
        <v>19945</v>
      </c>
      <c r="AX1713" s="93" t="s">
        <v>19945</v>
      </c>
      <c r="AY1713" s="87"/>
      <c r="AZ1713" s="93" t="s">
        <v>22668</v>
      </c>
      <c r="BA1713" s="93" t="s">
        <v>22668</v>
      </c>
      <c r="BB1713" s="93" t="s">
        <v>22668</v>
      </c>
      <c r="BC1713" s="93" t="s">
        <v>19945</v>
      </c>
      <c r="BD1713" s="87">
        <v>51150679</v>
      </c>
      <c r="BE1713" s="87"/>
      <c r="BF1713" s="87"/>
      <c r="BG1713" s="87"/>
      <c r="BH1713" s="87"/>
      <c r="BI1713" s="87"/>
    </row>
    <row r="1714" spans="1:61" x14ac:dyDescent="0.25">
      <c r="A1714" s="63" t="s">
        <v>802</v>
      </c>
      <c r="B1714" s="63" t="s">
        <v>802</v>
      </c>
      <c r="C1714" s="64"/>
      <c r="D1714" s="65"/>
      <c r="E1714" s="66"/>
      <c r="F1714" s="67"/>
      <c r="G1714" s="64"/>
      <c r="H1714" s="68"/>
      <c r="I1714" s="69"/>
      <c r="J1714" s="69"/>
      <c r="K1714" s="32"/>
      <c r="L1714" s="76">
        <v>1714</v>
      </c>
      <c r="M1714" s="76"/>
      <c r="N1714" s="71"/>
      <c r="O1714" s="87" t="s">
        <v>179</v>
      </c>
      <c r="P1714" s="90">
        <v>45133.413437499999</v>
      </c>
      <c r="Q1714" s="87" t="s">
        <v>3510</v>
      </c>
      <c r="R1714" s="87">
        <v>0</v>
      </c>
      <c r="S1714" s="87">
        <v>3</v>
      </c>
      <c r="T1714" s="87">
        <v>1</v>
      </c>
      <c r="U1714" s="87">
        <v>0</v>
      </c>
      <c r="V1714" s="87">
        <v>1329</v>
      </c>
      <c r="W1714" s="93" t="s">
        <v>6992</v>
      </c>
      <c r="X1714" s="92" t="str">
        <f>HYPERLINK("https://www.moneytimes.com.br/como-administrar-um-restaurante-de-sucesso-conforme-especialista-marcelo-marani/")</f>
        <v>https://www.moneytimes.com.br/como-administrar-um-restaurante-de-sucesso-conforme-especialista-marcelo-marani/</v>
      </c>
      <c r="Y1714" s="87" t="s">
        <v>8373</v>
      </c>
      <c r="Z1714" s="87"/>
      <c r="AA1714" s="87"/>
      <c r="AB1714" s="87"/>
      <c r="AC1714" s="93" t="s">
        <v>11471</v>
      </c>
      <c r="AD1714" s="87" t="s">
        <v>11519</v>
      </c>
      <c r="AE1714" s="92" t="str">
        <f>HYPERLINK("https://twitter.com/leiamoneytimes/status/1684140341048254464")</f>
        <v>https://twitter.com/leiamoneytimes/status/1684140341048254464</v>
      </c>
      <c r="AF1714" s="90">
        <v>45133.413437499999</v>
      </c>
      <c r="AG1714" s="99">
        <v>45133</v>
      </c>
      <c r="AH1714" s="93" t="s">
        <v>13098</v>
      </c>
      <c r="AI1714" s="87" t="b">
        <v>0</v>
      </c>
      <c r="AJ1714" s="87"/>
      <c r="AK1714" s="87"/>
      <c r="AL1714" s="87"/>
      <c r="AM1714" s="87"/>
      <c r="AN1714" s="87"/>
      <c r="AO1714" s="87"/>
      <c r="AP1714" s="87"/>
      <c r="AQ1714" s="87"/>
      <c r="AR1714" s="87"/>
      <c r="AS1714" s="87"/>
      <c r="AT1714" s="87"/>
      <c r="AU1714" s="87"/>
      <c r="AV1714" s="92" t="str">
        <f>HYPERLINK("https://pbs.twimg.com/profile_images/1559883556846977024/bXHnQFY0_normal.jpg")</f>
        <v>https://pbs.twimg.com/profile_images/1559883556846977024/bXHnQFY0_normal.jpg</v>
      </c>
      <c r="AW1714" s="93" t="s">
        <v>19946</v>
      </c>
      <c r="AX1714" s="93" t="s">
        <v>19946</v>
      </c>
      <c r="AY1714" s="87"/>
      <c r="AZ1714" s="93" t="s">
        <v>22668</v>
      </c>
      <c r="BA1714" s="93" t="s">
        <v>22668</v>
      </c>
      <c r="BB1714" s="93" t="s">
        <v>22668</v>
      </c>
      <c r="BC1714" s="93" t="s">
        <v>19946</v>
      </c>
      <c r="BD1714" s="87">
        <v>51150679</v>
      </c>
      <c r="BE1714" s="87"/>
      <c r="BF1714" s="87"/>
      <c r="BG1714" s="87"/>
      <c r="BH1714" s="87"/>
      <c r="BI1714" s="87"/>
    </row>
    <row r="1715" spans="1:61" x14ac:dyDescent="0.25">
      <c r="A1715" s="63" t="s">
        <v>802</v>
      </c>
      <c r="B1715" s="63" t="s">
        <v>802</v>
      </c>
      <c r="C1715" s="64"/>
      <c r="D1715" s="65"/>
      <c r="E1715" s="66"/>
      <c r="F1715" s="67"/>
      <c r="G1715" s="64"/>
      <c r="H1715" s="68"/>
      <c r="I1715" s="69"/>
      <c r="J1715" s="69"/>
      <c r="K1715" s="32"/>
      <c r="L1715" s="76">
        <v>1715</v>
      </c>
      <c r="M1715" s="76"/>
      <c r="N1715" s="71"/>
      <c r="O1715" s="87" t="s">
        <v>179</v>
      </c>
      <c r="P1715" s="90">
        <v>45185.821388888886</v>
      </c>
      <c r="Q1715" s="87" t="s">
        <v>3511</v>
      </c>
      <c r="R1715" s="87">
        <v>1</v>
      </c>
      <c r="S1715" s="87">
        <v>5</v>
      </c>
      <c r="T1715" s="87">
        <v>1</v>
      </c>
      <c r="U1715" s="87">
        <v>0</v>
      </c>
      <c r="V1715" s="87">
        <v>1521</v>
      </c>
      <c r="W1715" s="93" t="s">
        <v>6993</v>
      </c>
      <c r="X1715" s="92" t="str">
        <f>HYPERLINK("https://www.moneytimes.com.br/marketing-o-setor-que-deve-movimentar-mais-de-r-102-bilhoes-ainda-este-ano-confira/?ttmt")</f>
        <v>https://www.moneytimes.com.br/marketing-o-setor-que-deve-movimentar-mais-de-r-102-bilhoes-ainda-este-ano-confira/?ttmt</v>
      </c>
      <c r="Y1715" s="87" t="s">
        <v>8373</v>
      </c>
      <c r="Z1715" s="87"/>
      <c r="AA1715" s="87"/>
      <c r="AB1715" s="87"/>
      <c r="AC1715" s="93" t="s">
        <v>11457</v>
      </c>
      <c r="AD1715" s="87" t="s">
        <v>11519</v>
      </c>
      <c r="AE1715" s="92" t="str">
        <f>HYPERLINK("https://twitter.com/leiamoneytimes/status/1703132344662569397")</f>
        <v>https://twitter.com/leiamoneytimes/status/1703132344662569397</v>
      </c>
      <c r="AF1715" s="90">
        <v>45185.821388888886</v>
      </c>
      <c r="AG1715" s="99">
        <v>45185</v>
      </c>
      <c r="AH1715" s="93" t="s">
        <v>13099</v>
      </c>
      <c r="AI1715" s="87" t="b">
        <v>0</v>
      </c>
      <c r="AJ1715" s="87"/>
      <c r="AK1715" s="87"/>
      <c r="AL1715" s="87"/>
      <c r="AM1715" s="87"/>
      <c r="AN1715" s="87"/>
      <c r="AO1715" s="87"/>
      <c r="AP1715" s="87"/>
      <c r="AQ1715" s="87"/>
      <c r="AR1715" s="87"/>
      <c r="AS1715" s="87"/>
      <c r="AT1715" s="87"/>
      <c r="AU1715" s="87"/>
      <c r="AV1715" s="92" t="str">
        <f>HYPERLINK("https://pbs.twimg.com/profile_images/1559883556846977024/bXHnQFY0_normal.jpg")</f>
        <v>https://pbs.twimg.com/profile_images/1559883556846977024/bXHnQFY0_normal.jpg</v>
      </c>
      <c r="AW1715" s="93" t="s">
        <v>19947</v>
      </c>
      <c r="AX1715" s="93" t="s">
        <v>19947</v>
      </c>
      <c r="AY1715" s="87"/>
      <c r="AZ1715" s="93" t="s">
        <v>22668</v>
      </c>
      <c r="BA1715" s="93" t="s">
        <v>22668</v>
      </c>
      <c r="BB1715" s="93" t="s">
        <v>22668</v>
      </c>
      <c r="BC1715" s="93" t="s">
        <v>19947</v>
      </c>
      <c r="BD1715" s="87">
        <v>51150679</v>
      </c>
      <c r="BE1715" s="87"/>
      <c r="BF1715" s="87"/>
      <c r="BG1715" s="87"/>
      <c r="BH1715" s="87"/>
      <c r="BI1715" s="87"/>
    </row>
    <row r="1716" spans="1:61" x14ac:dyDescent="0.25">
      <c r="A1716" s="63" t="s">
        <v>802</v>
      </c>
      <c r="B1716" s="63" t="s">
        <v>802</v>
      </c>
      <c r="C1716" s="64"/>
      <c r="D1716" s="65"/>
      <c r="E1716" s="66"/>
      <c r="F1716" s="67"/>
      <c r="G1716" s="64"/>
      <c r="H1716" s="68"/>
      <c r="I1716" s="69"/>
      <c r="J1716" s="69"/>
      <c r="K1716" s="32"/>
      <c r="L1716" s="76">
        <v>1716</v>
      </c>
      <c r="M1716" s="76"/>
      <c r="N1716" s="71"/>
      <c r="O1716" s="87" t="s">
        <v>179</v>
      </c>
      <c r="P1716" s="90">
        <v>45173.768333333333</v>
      </c>
      <c r="Q1716" s="87" t="s">
        <v>3512</v>
      </c>
      <c r="R1716" s="87">
        <v>0</v>
      </c>
      <c r="S1716" s="87">
        <v>1</v>
      </c>
      <c r="T1716" s="87">
        <v>1</v>
      </c>
      <c r="U1716" s="87">
        <v>0</v>
      </c>
      <c r="V1716" s="87">
        <v>908</v>
      </c>
      <c r="W1716" s="93" t="s">
        <v>6990</v>
      </c>
      <c r="X1716" s="92" t="str">
        <f>HYPERLINK("https://www.moneytimes.com.br/serie-preservadores-no-brasil-da-eccon-solucoes-ambientais-e-reconhecida-pela-onu/")</f>
        <v>https://www.moneytimes.com.br/serie-preservadores-no-brasil-da-eccon-solucoes-ambientais-e-reconhecida-pela-onu/</v>
      </c>
      <c r="Y1716" s="87" t="s">
        <v>8373</v>
      </c>
      <c r="Z1716" s="87"/>
      <c r="AA1716" s="87"/>
      <c r="AB1716" s="87"/>
      <c r="AC1716" s="93" t="s">
        <v>11471</v>
      </c>
      <c r="AD1716" s="87" t="s">
        <v>11519</v>
      </c>
      <c r="AE1716" s="92" t="str">
        <f>HYPERLINK("https://twitter.com/leiamoneytimes/status/1698764465209020466")</f>
        <v>https://twitter.com/leiamoneytimes/status/1698764465209020466</v>
      </c>
      <c r="AF1716" s="90">
        <v>45173.768333333333</v>
      </c>
      <c r="AG1716" s="99">
        <v>45173</v>
      </c>
      <c r="AH1716" s="93" t="s">
        <v>13100</v>
      </c>
      <c r="AI1716" s="87" t="b">
        <v>0</v>
      </c>
      <c r="AJ1716" s="87"/>
      <c r="AK1716" s="87"/>
      <c r="AL1716" s="87"/>
      <c r="AM1716" s="87"/>
      <c r="AN1716" s="87"/>
      <c r="AO1716" s="87"/>
      <c r="AP1716" s="87"/>
      <c r="AQ1716" s="87"/>
      <c r="AR1716" s="87"/>
      <c r="AS1716" s="87"/>
      <c r="AT1716" s="87"/>
      <c r="AU1716" s="87"/>
      <c r="AV1716" s="92" t="str">
        <f>HYPERLINK("https://pbs.twimg.com/profile_images/1559883556846977024/bXHnQFY0_normal.jpg")</f>
        <v>https://pbs.twimg.com/profile_images/1559883556846977024/bXHnQFY0_normal.jpg</v>
      </c>
      <c r="AW1716" s="93" t="s">
        <v>19948</v>
      </c>
      <c r="AX1716" s="93" t="s">
        <v>19948</v>
      </c>
      <c r="AY1716" s="87"/>
      <c r="AZ1716" s="93" t="s">
        <v>22668</v>
      </c>
      <c r="BA1716" s="93" t="s">
        <v>22668</v>
      </c>
      <c r="BB1716" s="93" t="s">
        <v>22668</v>
      </c>
      <c r="BC1716" s="93" t="s">
        <v>19948</v>
      </c>
      <c r="BD1716" s="87">
        <v>51150679</v>
      </c>
      <c r="BE1716" s="87"/>
      <c r="BF1716" s="87"/>
      <c r="BG1716" s="87"/>
      <c r="BH1716" s="87"/>
      <c r="BI1716" s="87"/>
    </row>
    <row r="1717" spans="1:61" x14ac:dyDescent="0.25">
      <c r="A1717" s="63" t="s">
        <v>802</v>
      </c>
      <c r="B1717" s="63" t="s">
        <v>802</v>
      </c>
      <c r="C1717" s="64"/>
      <c r="D1717" s="65"/>
      <c r="E1717" s="66"/>
      <c r="F1717" s="67"/>
      <c r="G1717" s="64"/>
      <c r="H1717" s="68"/>
      <c r="I1717" s="69"/>
      <c r="J1717" s="69"/>
      <c r="K1717" s="32"/>
      <c r="L1717" s="76">
        <v>1717</v>
      </c>
      <c r="M1717" s="76"/>
      <c r="N1717" s="71"/>
      <c r="O1717" s="87" t="s">
        <v>179</v>
      </c>
      <c r="P1717" s="90">
        <v>45151.517384259256</v>
      </c>
      <c r="Q1717" s="87" t="s">
        <v>3513</v>
      </c>
      <c r="R1717" s="87">
        <v>0</v>
      </c>
      <c r="S1717" s="87">
        <v>2</v>
      </c>
      <c r="T1717" s="87">
        <v>1</v>
      </c>
      <c r="U1717" s="87">
        <v>0</v>
      </c>
      <c r="V1717" s="87">
        <v>1596</v>
      </c>
      <c r="W1717" s="93" t="s">
        <v>6994</v>
      </c>
      <c r="X1717" s="92" t="str">
        <f>HYPERLINK("https://www.moneytimes.com.br/rei-das-franquias-leonardo-e-leandro-castelo-revelam-sucesso-da-atend-ja/")</f>
        <v>https://www.moneytimes.com.br/rei-das-franquias-leonardo-e-leandro-castelo-revelam-sucesso-da-atend-ja/</v>
      </c>
      <c r="Y1717" s="87" t="s">
        <v>8373</v>
      </c>
      <c r="Z1717" s="87"/>
      <c r="AA1717" s="87"/>
      <c r="AB1717" s="87"/>
      <c r="AC1717" s="93" t="s">
        <v>11471</v>
      </c>
      <c r="AD1717" s="87" t="s">
        <v>11519</v>
      </c>
      <c r="AE1717" s="92" t="str">
        <f>HYPERLINK("https://twitter.com/leiamoneytimes/status/1690700990620848128")</f>
        <v>https://twitter.com/leiamoneytimes/status/1690700990620848128</v>
      </c>
      <c r="AF1717" s="90">
        <v>45151.517384259256</v>
      </c>
      <c r="AG1717" s="99">
        <v>45151</v>
      </c>
      <c r="AH1717" s="93" t="s">
        <v>13101</v>
      </c>
      <c r="AI1717" s="87" t="b">
        <v>0</v>
      </c>
      <c r="AJ1717" s="87"/>
      <c r="AK1717" s="87"/>
      <c r="AL1717" s="87"/>
      <c r="AM1717" s="87"/>
      <c r="AN1717" s="87"/>
      <c r="AO1717" s="87"/>
      <c r="AP1717" s="87"/>
      <c r="AQ1717" s="87"/>
      <c r="AR1717" s="87"/>
      <c r="AS1717" s="87"/>
      <c r="AT1717" s="87"/>
      <c r="AU1717" s="87"/>
      <c r="AV1717" s="92" t="str">
        <f>HYPERLINK("https://pbs.twimg.com/profile_images/1559883556846977024/bXHnQFY0_normal.jpg")</f>
        <v>https://pbs.twimg.com/profile_images/1559883556846977024/bXHnQFY0_normal.jpg</v>
      </c>
      <c r="AW1717" s="93" t="s">
        <v>19949</v>
      </c>
      <c r="AX1717" s="93" t="s">
        <v>19949</v>
      </c>
      <c r="AY1717" s="87"/>
      <c r="AZ1717" s="93" t="s">
        <v>22668</v>
      </c>
      <c r="BA1717" s="93" t="s">
        <v>22668</v>
      </c>
      <c r="BB1717" s="93" t="s">
        <v>22668</v>
      </c>
      <c r="BC1717" s="93" t="s">
        <v>19949</v>
      </c>
      <c r="BD1717" s="87">
        <v>51150679</v>
      </c>
      <c r="BE1717" s="87"/>
      <c r="BF1717" s="87"/>
      <c r="BG1717" s="87"/>
      <c r="BH1717" s="87"/>
      <c r="BI1717" s="87"/>
    </row>
    <row r="1718" spans="1:61" x14ac:dyDescent="0.25">
      <c r="A1718" s="63" t="s">
        <v>802</v>
      </c>
      <c r="B1718" s="63" t="s">
        <v>802</v>
      </c>
      <c r="C1718" s="64"/>
      <c r="D1718" s="65"/>
      <c r="E1718" s="66"/>
      <c r="F1718" s="67"/>
      <c r="G1718" s="64"/>
      <c r="H1718" s="68"/>
      <c r="I1718" s="69"/>
      <c r="J1718" s="69"/>
      <c r="K1718" s="32"/>
      <c r="L1718" s="76">
        <v>1718</v>
      </c>
      <c r="M1718" s="76"/>
      <c r="N1718" s="71"/>
      <c r="O1718" s="87" t="s">
        <v>179</v>
      </c>
      <c r="P1718" s="90">
        <v>45150.750787037039</v>
      </c>
      <c r="Q1718" s="87" t="s">
        <v>3514</v>
      </c>
      <c r="R1718" s="87">
        <v>0</v>
      </c>
      <c r="S1718" s="87">
        <v>5</v>
      </c>
      <c r="T1718" s="87">
        <v>1</v>
      </c>
      <c r="U1718" s="87">
        <v>0</v>
      </c>
      <c r="V1718" s="87">
        <v>2186</v>
      </c>
      <c r="W1718" s="93" t="s">
        <v>6988</v>
      </c>
      <c r="X1718" s="92" t="str">
        <f>HYPERLINK("https://www.moneytimes.com.br/5-franquias-baratas-para-investir-a-partir-de-r-500-e-lucrar-ate-r-105-mil-por-mes-veja-a-lista/")</f>
        <v>https://www.moneytimes.com.br/5-franquias-baratas-para-investir-a-partir-de-r-500-e-lucrar-ate-r-105-mil-por-mes-veja-a-lista/</v>
      </c>
      <c r="Y1718" s="87" t="s">
        <v>8373</v>
      </c>
      <c r="Z1718" s="87"/>
      <c r="AA1718" s="87"/>
      <c r="AB1718" s="87"/>
      <c r="AC1718" s="93" t="s">
        <v>11471</v>
      </c>
      <c r="AD1718" s="87" t="s">
        <v>11519</v>
      </c>
      <c r="AE1718" s="92" t="str">
        <f>HYPERLINK("https://twitter.com/leiamoneytimes/status/1690423186452545537")</f>
        <v>https://twitter.com/leiamoneytimes/status/1690423186452545537</v>
      </c>
      <c r="AF1718" s="90">
        <v>45150.750787037039</v>
      </c>
      <c r="AG1718" s="99">
        <v>45150</v>
      </c>
      <c r="AH1718" s="93" t="s">
        <v>13102</v>
      </c>
      <c r="AI1718" s="87" t="b">
        <v>0</v>
      </c>
      <c r="AJ1718" s="87"/>
      <c r="AK1718" s="87"/>
      <c r="AL1718" s="87"/>
      <c r="AM1718" s="87"/>
      <c r="AN1718" s="87"/>
      <c r="AO1718" s="87"/>
      <c r="AP1718" s="87"/>
      <c r="AQ1718" s="87"/>
      <c r="AR1718" s="87"/>
      <c r="AS1718" s="87"/>
      <c r="AT1718" s="87"/>
      <c r="AU1718" s="87"/>
      <c r="AV1718" s="92" t="str">
        <f>HYPERLINK("https://pbs.twimg.com/profile_images/1559883556846977024/bXHnQFY0_normal.jpg")</f>
        <v>https://pbs.twimg.com/profile_images/1559883556846977024/bXHnQFY0_normal.jpg</v>
      </c>
      <c r="AW1718" s="93" t="s">
        <v>19950</v>
      </c>
      <c r="AX1718" s="93" t="s">
        <v>19950</v>
      </c>
      <c r="AY1718" s="87"/>
      <c r="AZ1718" s="93" t="s">
        <v>22668</v>
      </c>
      <c r="BA1718" s="93" t="s">
        <v>22668</v>
      </c>
      <c r="BB1718" s="93" t="s">
        <v>22668</v>
      </c>
      <c r="BC1718" s="93" t="s">
        <v>19950</v>
      </c>
      <c r="BD1718" s="87">
        <v>51150679</v>
      </c>
      <c r="BE1718" s="87"/>
      <c r="BF1718" s="87"/>
      <c r="BG1718" s="87"/>
      <c r="BH1718" s="87"/>
      <c r="BI1718" s="87"/>
    </row>
    <row r="1719" spans="1:61" x14ac:dyDescent="0.25">
      <c r="A1719" s="63" t="s">
        <v>802</v>
      </c>
      <c r="B1719" s="63" t="s">
        <v>802</v>
      </c>
      <c r="C1719" s="64"/>
      <c r="D1719" s="65"/>
      <c r="E1719" s="66"/>
      <c r="F1719" s="67"/>
      <c r="G1719" s="64"/>
      <c r="H1719" s="68"/>
      <c r="I1719" s="69"/>
      <c r="J1719" s="69"/>
      <c r="K1719" s="32"/>
      <c r="L1719" s="76">
        <v>1719</v>
      </c>
      <c r="M1719" s="76"/>
      <c r="N1719" s="71"/>
      <c r="O1719" s="87" t="s">
        <v>179</v>
      </c>
      <c r="P1719" s="90">
        <v>45192.776898148149</v>
      </c>
      <c r="Q1719" s="87" t="s">
        <v>3515</v>
      </c>
      <c r="R1719" s="87">
        <v>0</v>
      </c>
      <c r="S1719" s="87">
        <v>3</v>
      </c>
      <c r="T1719" s="87">
        <v>1</v>
      </c>
      <c r="U1719" s="87">
        <v>0</v>
      </c>
      <c r="V1719" s="87">
        <v>1262</v>
      </c>
      <c r="W1719" s="93" t="s">
        <v>6995</v>
      </c>
      <c r="X1719" s="92" t="str">
        <f>HYPERLINK("https://www.moneytimes.com.br/franquias-quanto-voce-precisa-desembolsar-para-ganhar-ate-r-60-mil-por-mes/?ttmt")</f>
        <v>https://www.moneytimes.com.br/franquias-quanto-voce-precisa-desembolsar-para-ganhar-ate-r-60-mil-por-mes/?ttmt</v>
      </c>
      <c r="Y1719" s="87" t="s">
        <v>8373</v>
      </c>
      <c r="Z1719" s="87"/>
      <c r="AA1719" s="87"/>
      <c r="AB1719" s="87"/>
      <c r="AC1719" s="93" t="s">
        <v>11457</v>
      </c>
      <c r="AD1719" s="87" t="s">
        <v>11519</v>
      </c>
      <c r="AE1719" s="92" t="str">
        <f>HYPERLINK("https://twitter.com/leiamoneytimes/status/1705652938188706291")</f>
        <v>https://twitter.com/leiamoneytimes/status/1705652938188706291</v>
      </c>
      <c r="AF1719" s="90">
        <v>45192.776898148149</v>
      </c>
      <c r="AG1719" s="99">
        <v>45192</v>
      </c>
      <c r="AH1719" s="93" t="s">
        <v>13103</v>
      </c>
      <c r="AI1719" s="87" t="b">
        <v>0</v>
      </c>
      <c r="AJ1719" s="87"/>
      <c r="AK1719" s="87"/>
      <c r="AL1719" s="87"/>
      <c r="AM1719" s="87"/>
      <c r="AN1719" s="87"/>
      <c r="AO1719" s="87"/>
      <c r="AP1719" s="87"/>
      <c r="AQ1719" s="87"/>
      <c r="AR1719" s="87"/>
      <c r="AS1719" s="87"/>
      <c r="AT1719" s="87"/>
      <c r="AU1719" s="87"/>
      <c r="AV1719" s="92" t="str">
        <f>HYPERLINK("https://pbs.twimg.com/profile_images/1559883556846977024/bXHnQFY0_normal.jpg")</f>
        <v>https://pbs.twimg.com/profile_images/1559883556846977024/bXHnQFY0_normal.jpg</v>
      </c>
      <c r="AW1719" s="93" t="s">
        <v>19951</v>
      </c>
      <c r="AX1719" s="93" t="s">
        <v>19951</v>
      </c>
      <c r="AY1719" s="87"/>
      <c r="AZ1719" s="93" t="s">
        <v>22668</v>
      </c>
      <c r="BA1719" s="93" t="s">
        <v>22668</v>
      </c>
      <c r="BB1719" s="93" t="s">
        <v>22668</v>
      </c>
      <c r="BC1719" s="93" t="s">
        <v>19951</v>
      </c>
      <c r="BD1719" s="87">
        <v>51150679</v>
      </c>
      <c r="BE1719" s="87"/>
      <c r="BF1719" s="87"/>
      <c r="BG1719" s="87"/>
      <c r="BH1719" s="87"/>
      <c r="BI1719" s="87"/>
    </row>
    <row r="1720" spans="1:61" x14ac:dyDescent="0.25">
      <c r="A1720" s="63" t="s">
        <v>802</v>
      </c>
      <c r="B1720" s="63" t="s">
        <v>802</v>
      </c>
      <c r="C1720" s="64"/>
      <c r="D1720" s="65"/>
      <c r="E1720" s="66"/>
      <c r="F1720" s="67"/>
      <c r="G1720" s="64"/>
      <c r="H1720" s="68"/>
      <c r="I1720" s="69"/>
      <c r="J1720" s="69"/>
      <c r="K1720" s="32"/>
      <c r="L1720" s="76">
        <v>1720</v>
      </c>
      <c r="M1720" s="76"/>
      <c r="N1720" s="71"/>
      <c r="O1720" s="87" t="s">
        <v>179</v>
      </c>
      <c r="P1720" s="90">
        <v>45152.575127314813</v>
      </c>
      <c r="Q1720" s="87" t="s">
        <v>3516</v>
      </c>
      <c r="R1720" s="87">
        <v>0</v>
      </c>
      <c r="S1720" s="87">
        <v>1</v>
      </c>
      <c r="T1720" s="87">
        <v>1</v>
      </c>
      <c r="U1720" s="87">
        <v>0</v>
      </c>
      <c r="V1720" s="87">
        <v>971</v>
      </c>
      <c r="W1720" s="93" t="s">
        <v>6988</v>
      </c>
      <c r="X1720" s="92" t="str">
        <f>HYPERLINK("https://www.moneytimes.com.br/franquias-baratas-quer-lucrar-alto-invista-nesta-marca-e-ganhe-r-120-mil-todo-mes/")</f>
        <v>https://www.moneytimes.com.br/franquias-baratas-quer-lucrar-alto-invista-nesta-marca-e-ganhe-r-120-mil-todo-mes/</v>
      </c>
      <c r="Y1720" s="87" t="s">
        <v>8373</v>
      </c>
      <c r="Z1720" s="87"/>
      <c r="AA1720" s="87"/>
      <c r="AB1720" s="87"/>
      <c r="AC1720" s="93" t="s">
        <v>11471</v>
      </c>
      <c r="AD1720" s="87" t="s">
        <v>11519</v>
      </c>
      <c r="AE1720" s="92" t="str">
        <f>HYPERLINK("https://twitter.com/leiamoneytimes/status/1691084305714339844")</f>
        <v>https://twitter.com/leiamoneytimes/status/1691084305714339844</v>
      </c>
      <c r="AF1720" s="90">
        <v>45152.575127314813</v>
      </c>
      <c r="AG1720" s="99">
        <v>45152</v>
      </c>
      <c r="AH1720" s="93" t="s">
        <v>13104</v>
      </c>
      <c r="AI1720" s="87" t="b">
        <v>0</v>
      </c>
      <c r="AJ1720" s="87"/>
      <c r="AK1720" s="87"/>
      <c r="AL1720" s="87"/>
      <c r="AM1720" s="87"/>
      <c r="AN1720" s="87"/>
      <c r="AO1720" s="87"/>
      <c r="AP1720" s="87"/>
      <c r="AQ1720" s="87"/>
      <c r="AR1720" s="87"/>
      <c r="AS1720" s="87"/>
      <c r="AT1720" s="87"/>
      <c r="AU1720" s="87"/>
      <c r="AV1720" s="92" t="str">
        <f>HYPERLINK("https://pbs.twimg.com/profile_images/1559883556846977024/bXHnQFY0_normal.jpg")</f>
        <v>https://pbs.twimg.com/profile_images/1559883556846977024/bXHnQFY0_normal.jpg</v>
      </c>
      <c r="AW1720" s="93" t="s">
        <v>19952</v>
      </c>
      <c r="AX1720" s="93" t="s">
        <v>19952</v>
      </c>
      <c r="AY1720" s="87"/>
      <c r="AZ1720" s="93" t="s">
        <v>22668</v>
      </c>
      <c r="BA1720" s="93" t="s">
        <v>22668</v>
      </c>
      <c r="BB1720" s="93" t="s">
        <v>22668</v>
      </c>
      <c r="BC1720" s="93" t="s">
        <v>19952</v>
      </c>
      <c r="BD1720" s="87">
        <v>51150679</v>
      </c>
      <c r="BE1720" s="87"/>
      <c r="BF1720" s="87"/>
      <c r="BG1720" s="87"/>
      <c r="BH1720" s="87"/>
      <c r="BI1720" s="87"/>
    </row>
    <row r="1721" spans="1:61" x14ac:dyDescent="0.25">
      <c r="A1721" s="63" t="s">
        <v>803</v>
      </c>
      <c r="B1721" s="63" t="s">
        <v>1686</v>
      </c>
      <c r="C1721" s="64"/>
      <c r="D1721" s="65"/>
      <c r="E1721" s="66"/>
      <c r="F1721" s="67"/>
      <c r="G1721" s="64"/>
      <c r="H1721" s="68"/>
      <c r="I1721" s="69"/>
      <c r="J1721" s="69"/>
      <c r="K1721" s="32"/>
      <c r="L1721" s="76">
        <v>1721</v>
      </c>
      <c r="M1721" s="76"/>
      <c r="N1721" s="71"/>
      <c r="O1721" s="87" t="s">
        <v>1844</v>
      </c>
      <c r="P1721" s="90">
        <v>45136.383715277778</v>
      </c>
      <c r="Q1721" s="87" t="s">
        <v>3517</v>
      </c>
      <c r="R1721" s="87">
        <v>1</v>
      </c>
      <c r="S1721" s="87">
        <v>1</v>
      </c>
      <c r="T1721" s="87">
        <v>1</v>
      </c>
      <c r="U1721" s="87">
        <v>0</v>
      </c>
      <c r="V1721" s="87">
        <v>121</v>
      </c>
      <c r="W1721" s="93" t="s">
        <v>5897</v>
      </c>
      <c r="X1721" s="87"/>
      <c r="Y1721" s="87"/>
      <c r="Z1721" s="87" t="s">
        <v>8582</v>
      </c>
      <c r="AA1721" s="87"/>
      <c r="AB1721" s="87"/>
      <c r="AC1721" s="93" t="s">
        <v>11459</v>
      </c>
      <c r="AD1721" s="87" t="s">
        <v>11519</v>
      </c>
      <c r="AE1721" s="92" t="str">
        <f>HYPERLINK("https://twitter.com/rfiguralima/status/1685216734192533504")</f>
        <v>https://twitter.com/rfiguralima/status/1685216734192533504</v>
      </c>
      <c r="AF1721" s="90">
        <v>45136.383715277778</v>
      </c>
      <c r="AG1721" s="99">
        <v>45136</v>
      </c>
      <c r="AH1721" s="93" t="s">
        <v>13105</v>
      </c>
      <c r="AI1721" s="87"/>
      <c r="AJ1721" s="87"/>
      <c r="AK1721" s="87"/>
      <c r="AL1721" s="87"/>
      <c r="AM1721" s="87"/>
      <c r="AN1721" s="87"/>
      <c r="AO1721" s="87"/>
      <c r="AP1721" s="87"/>
      <c r="AQ1721" s="87"/>
      <c r="AR1721" s="87"/>
      <c r="AS1721" s="87"/>
      <c r="AT1721" s="87"/>
      <c r="AU1721" s="87"/>
      <c r="AV1721" s="92" t="str">
        <f>HYPERLINK("https://pbs.twimg.com/profile_images/1517993637258436610/D4nEkM4__normal.jpg")</f>
        <v>https://pbs.twimg.com/profile_images/1517993637258436610/D4nEkM4__normal.jpg</v>
      </c>
      <c r="AW1721" s="93" t="s">
        <v>19953</v>
      </c>
      <c r="AX1721" s="93" t="s">
        <v>22395</v>
      </c>
      <c r="AY1721" s="93" t="s">
        <v>22581</v>
      </c>
      <c r="AZ1721" s="93" t="s">
        <v>22721</v>
      </c>
      <c r="BA1721" s="93" t="s">
        <v>22668</v>
      </c>
      <c r="BB1721" s="93" t="s">
        <v>22668</v>
      </c>
      <c r="BC1721" s="93" t="s">
        <v>22721</v>
      </c>
      <c r="BD1721" s="87">
        <v>506676795</v>
      </c>
      <c r="BE1721" s="87"/>
      <c r="BF1721" s="87"/>
      <c r="BG1721" s="87"/>
      <c r="BH1721" s="87"/>
      <c r="BI1721" s="87"/>
    </row>
    <row r="1722" spans="1:61" x14ac:dyDescent="0.25">
      <c r="A1722" s="63" t="s">
        <v>803</v>
      </c>
      <c r="B1722" s="63" t="s">
        <v>1687</v>
      </c>
      <c r="C1722" s="64"/>
      <c r="D1722" s="65"/>
      <c r="E1722" s="66"/>
      <c r="F1722" s="67"/>
      <c r="G1722" s="64"/>
      <c r="H1722" s="68"/>
      <c r="I1722" s="69"/>
      <c r="J1722" s="69"/>
      <c r="K1722" s="32"/>
      <c r="L1722" s="76">
        <v>1722</v>
      </c>
      <c r="M1722" s="76"/>
      <c r="N1722" s="71"/>
      <c r="O1722" s="87" t="s">
        <v>1840</v>
      </c>
      <c r="P1722" s="90">
        <v>45136.383715277778</v>
      </c>
      <c r="Q1722" s="87" t="s">
        <v>3517</v>
      </c>
      <c r="R1722" s="87">
        <v>1</v>
      </c>
      <c r="S1722" s="87">
        <v>1</v>
      </c>
      <c r="T1722" s="87">
        <v>1</v>
      </c>
      <c r="U1722" s="87">
        <v>0</v>
      </c>
      <c r="V1722" s="87">
        <v>121</v>
      </c>
      <c r="W1722" s="93" t="s">
        <v>5897</v>
      </c>
      <c r="X1722" s="87"/>
      <c r="Y1722" s="87"/>
      <c r="Z1722" s="87" t="s">
        <v>8582</v>
      </c>
      <c r="AA1722" s="87"/>
      <c r="AB1722" s="87"/>
      <c r="AC1722" s="93" t="s">
        <v>11459</v>
      </c>
      <c r="AD1722" s="87" t="s">
        <v>11519</v>
      </c>
      <c r="AE1722" s="92" t="str">
        <f>HYPERLINK("https://twitter.com/rfiguralima/status/1685216734192533504")</f>
        <v>https://twitter.com/rfiguralima/status/1685216734192533504</v>
      </c>
      <c r="AF1722" s="90">
        <v>45136.383715277778</v>
      </c>
      <c r="AG1722" s="99">
        <v>45136</v>
      </c>
      <c r="AH1722" s="93" t="s">
        <v>13105</v>
      </c>
      <c r="AI1722" s="87"/>
      <c r="AJ1722" s="87"/>
      <c r="AK1722" s="87"/>
      <c r="AL1722" s="87"/>
      <c r="AM1722" s="87"/>
      <c r="AN1722" s="87"/>
      <c r="AO1722" s="87"/>
      <c r="AP1722" s="87"/>
      <c r="AQ1722" s="87"/>
      <c r="AR1722" s="87"/>
      <c r="AS1722" s="87"/>
      <c r="AT1722" s="87"/>
      <c r="AU1722" s="87"/>
      <c r="AV1722" s="92" t="str">
        <f>HYPERLINK("https://pbs.twimg.com/profile_images/1517993637258436610/D4nEkM4__normal.jpg")</f>
        <v>https://pbs.twimg.com/profile_images/1517993637258436610/D4nEkM4__normal.jpg</v>
      </c>
      <c r="AW1722" s="93" t="s">
        <v>19953</v>
      </c>
      <c r="AX1722" s="93" t="s">
        <v>22395</v>
      </c>
      <c r="AY1722" s="93" t="s">
        <v>22581</v>
      </c>
      <c r="AZ1722" s="93" t="s">
        <v>22721</v>
      </c>
      <c r="BA1722" s="93" t="s">
        <v>22668</v>
      </c>
      <c r="BB1722" s="93" t="s">
        <v>22668</v>
      </c>
      <c r="BC1722" s="93" t="s">
        <v>22721</v>
      </c>
      <c r="BD1722" s="87">
        <v>506676795</v>
      </c>
      <c r="BE1722" s="87"/>
      <c r="BF1722" s="87"/>
      <c r="BG1722" s="87"/>
      <c r="BH1722" s="87"/>
      <c r="BI1722" s="87"/>
    </row>
    <row r="1723" spans="1:61" x14ac:dyDescent="0.25">
      <c r="A1723" s="63" t="s">
        <v>804</v>
      </c>
      <c r="B1723" s="63" t="s">
        <v>1688</v>
      </c>
      <c r="C1723" s="64"/>
      <c r="D1723" s="65"/>
      <c r="E1723" s="66"/>
      <c r="F1723" s="67"/>
      <c r="G1723" s="64"/>
      <c r="H1723" s="68"/>
      <c r="I1723" s="69"/>
      <c r="J1723" s="69"/>
      <c r="K1723" s="32"/>
      <c r="L1723" s="76">
        <v>1723</v>
      </c>
      <c r="M1723" s="76"/>
      <c r="N1723" s="71"/>
      <c r="O1723" s="87" t="s">
        <v>1839</v>
      </c>
      <c r="P1723" s="90">
        <v>45122.551296296297</v>
      </c>
      <c r="Q1723" s="87" t="s">
        <v>3518</v>
      </c>
      <c r="R1723" s="87">
        <v>2</v>
      </c>
      <c r="S1723" s="87">
        <v>5</v>
      </c>
      <c r="T1723" s="87">
        <v>0</v>
      </c>
      <c r="U1723" s="87">
        <v>0</v>
      </c>
      <c r="V1723" s="87">
        <v>2505</v>
      </c>
      <c r="W1723" s="93" t="s">
        <v>6996</v>
      </c>
      <c r="X1723" s="92" t="str">
        <f>HYPERLINK("https://www.sonoticiaboa.com.br/2023/07/15/brasileiro-chega-aos-eua-sem-falar-ingles-e-vira-empresario-de-sucesso-video")</f>
        <v>https://www.sonoticiaboa.com.br/2023/07/15/brasileiro-chega-aos-eua-sem-falar-ingles-e-vira-empresario-de-sucesso-video</v>
      </c>
      <c r="Y1723" s="87" t="s">
        <v>8373</v>
      </c>
      <c r="Z1723" s="87" t="s">
        <v>1688</v>
      </c>
      <c r="AA1723" s="87"/>
      <c r="AB1723" s="87"/>
      <c r="AC1723" s="93" t="s">
        <v>11457</v>
      </c>
      <c r="AD1723" s="87" t="s">
        <v>11519</v>
      </c>
      <c r="AE1723" s="92" t="str">
        <f>HYPERLINK("https://twitter.com/sonoticiaboaofc/status/1680204032076283905")</f>
        <v>https://twitter.com/sonoticiaboaofc/status/1680204032076283905</v>
      </c>
      <c r="AF1723" s="90">
        <v>45122.551296296297</v>
      </c>
      <c r="AG1723" s="99">
        <v>45122</v>
      </c>
      <c r="AH1723" s="93" t="s">
        <v>13106</v>
      </c>
      <c r="AI1723" s="87" t="b">
        <v>1</v>
      </c>
      <c r="AJ1723" s="87"/>
      <c r="AK1723" s="87"/>
      <c r="AL1723" s="87"/>
      <c r="AM1723" s="87"/>
      <c r="AN1723" s="87"/>
      <c r="AO1723" s="87"/>
      <c r="AP1723" s="87"/>
      <c r="AQ1723" s="87"/>
      <c r="AR1723" s="87"/>
      <c r="AS1723" s="87"/>
      <c r="AT1723" s="87"/>
      <c r="AU1723" s="87"/>
      <c r="AV1723" s="92" t="str">
        <f>HYPERLINK("https://pbs.twimg.com/profile_images/1157780273112715264/VrTYn4Si_normal.jpg")</f>
        <v>https://pbs.twimg.com/profile_images/1157780273112715264/VrTYn4Si_normal.jpg</v>
      </c>
      <c r="AW1723" s="93" t="s">
        <v>19954</v>
      </c>
      <c r="AX1723" s="93" t="s">
        <v>19954</v>
      </c>
      <c r="AY1723" s="87"/>
      <c r="AZ1723" s="93" t="s">
        <v>22668</v>
      </c>
      <c r="BA1723" s="93" t="s">
        <v>22668</v>
      </c>
      <c r="BB1723" s="93" t="s">
        <v>22668</v>
      </c>
      <c r="BC1723" s="93" t="s">
        <v>19954</v>
      </c>
      <c r="BD1723" s="87">
        <v>329857969</v>
      </c>
      <c r="BE1723" s="87"/>
      <c r="BF1723" s="87"/>
      <c r="BG1723" s="87"/>
      <c r="BH1723" s="87"/>
      <c r="BI1723" s="87"/>
    </row>
    <row r="1724" spans="1:61" x14ac:dyDescent="0.25">
      <c r="A1724" s="63" t="s">
        <v>804</v>
      </c>
      <c r="B1724" s="63" t="s">
        <v>804</v>
      </c>
      <c r="C1724" s="64"/>
      <c r="D1724" s="65"/>
      <c r="E1724" s="66"/>
      <c r="F1724" s="67"/>
      <c r="G1724" s="64"/>
      <c r="H1724" s="68"/>
      <c r="I1724" s="69"/>
      <c r="J1724" s="69"/>
      <c r="K1724" s="32"/>
      <c r="L1724" s="76">
        <v>1724</v>
      </c>
      <c r="M1724" s="76"/>
      <c r="N1724" s="71"/>
      <c r="O1724" s="87" t="s">
        <v>179</v>
      </c>
      <c r="P1724" s="90">
        <v>45124.59375</v>
      </c>
      <c r="Q1724" s="87" t="s">
        <v>3519</v>
      </c>
      <c r="R1724" s="87">
        <v>1</v>
      </c>
      <c r="S1724" s="87">
        <v>2</v>
      </c>
      <c r="T1724" s="87">
        <v>0</v>
      </c>
      <c r="U1724" s="87">
        <v>0</v>
      </c>
      <c r="V1724" s="87">
        <v>264</v>
      </c>
      <c r="W1724" s="93" t="s">
        <v>6997</v>
      </c>
      <c r="X1724" s="92" t="str">
        <f>HYPERLINK("https://www.sonoticiaboa.com.br/2023/07/17/novo-app-celular-mede-febre-melhor-termometro-ia")</f>
        <v>https://www.sonoticiaboa.com.br/2023/07/17/novo-app-celular-mede-febre-melhor-termometro-ia</v>
      </c>
      <c r="Y1724" s="87" t="s">
        <v>8373</v>
      </c>
      <c r="Z1724" s="87"/>
      <c r="AA1724" s="87"/>
      <c r="AB1724" s="87"/>
      <c r="AC1724" s="93" t="s">
        <v>11457</v>
      </c>
      <c r="AD1724" s="87" t="s">
        <v>11519</v>
      </c>
      <c r="AE1724" s="92" t="str">
        <f>HYPERLINK("https://twitter.com/sonoticiaboaofc/status/1680944191847927808")</f>
        <v>https://twitter.com/sonoticiaboaofc/status/1680944191847927808</v>
      </c>
      <c r="AF1724" s="90">
        <v>45124.59375</v>
      </c>
      <c r="AG1724" s="99">
        <v>45124</v>
      </c>
      <c r="AH1724" s="93" t="s">
        <v>12819</v>
      </c>
      <c r="AI1724" s="87" t="b">
        <v>1</v>
      </c>
      <c r="AJ1724" s="87"/>
      <c r="AK1724" s="87"/>
      <c r="AL1724" s="87"/>
      <c r="AM1724" s="87"/>
      <c r="AN1724" s="87"/>
      <c r="AO1724" s="87"/>
      <c r="AP1724" s="87"/>
      <c r="AQ1724" s="87"/>
      <c r="AR1724" s="87"/>
      <c r="AS1724" s="87"/>
      <c r="AT1724" s="87"/>
      <c r="AU1724" s="87"/>
      <c r="AV1724" s="92" t="str">
        <f>HYPERLINK("https://pbs.twimg.com/profile_images/1157780273112715264/VrTYn4Si_normal.jpg")</f>
        <v>https://pbs.twimg.com/profile_images/1157780273112715264/VrTYn4Si_normal.jpg</v>
      </c>
      <c r="AW1724" s="93" t="s">
        <v>19955</v>
      </c>
      <c r="AX1724" s="93" t="s">
        <v>19955</v>
      </c>
      <c r="AY1724" s="87"/>
      <c r="AZ1724" s="93" t="s">
        <v>22668</v>
      </c>
      <c r="BA1724" s="93" t="s">
        <v>22668</v>
      </c>
      <c r="BB1724" s="93" t="s">
        <v>22668</v>
      </c>
      <c r="BC1724" s="93" t="s">
        <v>19955</v>
      </c>
      <c r="BD1724" s="87">
        <v>329857969</v>
      </c>
      <c r="BE1724" s="87"/>
      <c r="BF1724" s="87"/>
      <c r="BG1724" s="87"/>
      <c r="BH1724" s="87"/>
      <c r="BI1724" s="87"/>
    </row>
    <row r="1725" spans="1:61" x14ac:dyDescent="0.25">
      <c r="A1725" s="63" t="s">
        <v>804</v>
      </c>
      <c r="B1725" s="63" t="s">
        <v>804</v>
      </c>
      <c r="C1725" s="64"/>
      <c r="D1725" s="65"/>
      <c r="E1725" s="66"/>
      <c r="F1725" s="67"/>
      <c r="G1725" s="64"/>
      <c r="H1725" s="68"/>
      <c r="I1725" s="69"/>
      <c r="J1725" s="69"/>
      <c r="K1725" s="32"/>
      <c r="L1725" s="76">
        <v>1725</v>
      </c>
      <c r="M1725" s="76"/>
      <c r="N1725" s="71"/>
      <c r="O1725" s="87" t="s">
        <v>179</v>
      </c>
      <c r="P1725" s="90">
        <v>45149.699108796296</v>
      </c>
      <c r="Q1725" s="87" t="s">
        <v>3520</v>
      </c>
      <c r="R1725" s="87">
        <v>1</v>
      </c>
      <c r="S1725" s="87">
        <v>0</v>
      </c>
      <c r="T1725" s="87">
        <v>0</v>
      </c>
      <c r="U1725" s="87">
        <v>0</v>
      </c>
      <c r="V1725" s="87">
        <v>207</v>
      </c>
      <c r="W1725" s="93" t="s">
        <v>6998</v>
      </c>
      <c r="X1725" s="92" t="str">
        <f>HYPERLINK("https://www.sonoticiaboa.com.br/2023/08/11/amigas-demitidas-anos-90-amigas-empreendem-hoje-megaempresarias")</f>
        <v>https://www.sonoticiaboa.com.br/2023/08/11/amigas-demitidas-anos-90-amigas-empreendem-hoje-megaempresarias</v>
      </c>
      <c r="Y1725" s="87" t="s">
        <v>8373</v>
      </c>
      <c r="Z1725" s="87"/>
      <c r="AA1725" s="87"/>
      <c r="AB1725" s="87"/>
      <c r="AC1725" s="93" t="s">
        <v>11457</v>
      </c>
      <c r="AD1725" s="87" t="s">
        <v>11519</v>
      </c>
      <c r="AE1725" s="92" t="str">
        <f>HYPERLINK("https://twitter.com/sonoticiaboaofc/status/1690042067576139776")</f>
        <v>https://twitter.com/sonoticiaboaofc/status/1690042067576139776</v>
      </c>
      <c r="AF1725" s="90">
        <v>45149.699108796296</v>
      </c>
      <c r="AG1725" s="99">
        <v>45149</v>
      </c>
      <c r="AH1725" s="93" t="s">
        <v>13107</v>
      </c>
      <c r="AI1725" s="87" t="b">
        <v>1</v>
      </c>
      <c r="AJ1725" s="87"/>
      <c r="AK1725" s="87"/>
      <c r="AL1725" s="87"/>
      <c r="AM1725" s="87"/>
      <c r="AN1725" s="87"/>
      <c r="AO1725" s="87"/>
      <c r="AP1725" s="87"/>
      <c r="AQ1725" s="87"/>
      <c r="AR1725" s="87"/>
      <c r="AS1725" s="87"/>
      <c r="AT1725" s="87"/>
      <c r="AU1725" s="87"/>
      <c r="AV1725" s="92" t="str">
        <f>HYPERLINK("https://pbs.twimg.com/profile_images/1157780273112715264/VrTYn4Si_normal.jpg")</f>
        <v>https://pbs.twimg.com/profile_images/1157780273112715264/VrTYn4Si_normal.jpg</v>
      </c>
      <c r="AW1725" s="93" t="s">
        <v>19956</v>
      </c>
      <c r="AX1725" s="93" t="s">
        <v>19956</v>
      </c>
      <c r="AY1725" s="87"/>
      <c r="AZ1725" s="93" t="s">
        <v>22668</v>
      </c>
      <c r="BA1725" s="93" t="s">
        <v>22668</v>
      </c>
      <c r="BB1725" s="93" t="s">
        <v>22668</v>
      </c>
      <c r="BC1725" s="93" t="s">
        <v>19956</v>
      </c>
      <c r="BD1725" s="87">
        <v>329857969</v>
      </c>
      <c r="BE1725" s="87"/>
      <c r="BF1725" s="87"/>
      <c r="BG1725" s="87"/>
      <c r="BH1725" s="87"/>
      <c r="BI1725" s="87"/>
    </row>
    <row r="1726" spans="1:61" x14ac:dyDescent="0.25">
      <c r="A1726" s="63" t="s">
        <v>805</v>
      </c>
      <c r="B1726" s="63" t="s">
        <v>805</v>
      </c>
      <c r="C1726" s="64"/>
      <c r="D1726" s="65"/>
      <c r="E1726" s="66"/>
      <c r="F1726" s="67"/>
      <c r="G1726" s="64"/>
      <c r="H1726" s="68"/>
      <c r="I1726" s="69"/>
      <c r="J1726" s="69"/>
      <c r="K1726" s="32"/>
      <c r="L1726" s="76">
        <v>1726</v>
      </c>
      <c r="M1726" s="76"/>
      <c r="N1726" s="71"/>
      <c r="O1726" s="87" t="s">
        <v>179</v>
      </c>
      <c r="P1726" s="90">
        <v>45130.0469212963</v>
      </c>
      <c r="Q1726" s="87" t="s">
        <v>3521</v>
      </c>
      <c r="R1726" s="87">
        <v>0</v>
      </c>
      <c r="S1726" s="87">
        <v>1</v>
      </c>
      <c r="T1726" s="87">
        <v>0</v>
      </c>
      <c r="U1726" s="87">
        <v>0</v>
      </c>
      <c r="V1726" s="87">
        <v>47</v>
      </c>
      <c r="W1726" s="93" t="s">
        <v>6999</v>
      </c>
      <c r="X1726" s="87"/>
      <c r="Y1726" s="87"/>
      <c r="Z1726" s="87"/>
      <c r="AA1726" s="87" t="s">
        <v>9722</v>
      </c>
      <c r="AB1726" s="87" t="s">
        <v>11447</v>
      </c>
      <c r="AC1726" s="93" t="s">
        <v>11458</v>
      </c>
      <c r="AD1726" s="87" t="s">
        <v>11519</v>
      </c>
      <c r="AE1726" s="92" t="str">
        <f>HYPERLINK("https://twitter.com/pablounindo/status/1682920355046858752")</f>
        <v>https://twitter.com/pablounindo/status/1682920355046858752</v>
      </c>
      <c r="AF1726" s="90">
        <v>45130.0469212963</v>
      </c>
      <c r="AG1726" s="99">
        <v>45130</v>
      </c>
      <c r="AH1726" s="93" t="s">
        <v>13108</v>
      </c>
      <c r="AI1726" s="87" t="b">
        <v>0</v>
      </c>
      <c r="AJ1726" s="87"/>
      <c r="AK1726" s="87"/>
      <c r="AL1726" s="87"/>
      <c r="AM1726" s="87"/>
      <c r="AN1726" s="87"/>
      <c r="AO1726" s="87"/>
      <c r="AP1726" s="87"/>
      <c r="AQ1726" s="87" t="s">
        <v>16535</v>
      </c>
      <c r="AR1726" s="87">
        <v>66900</v>
      </c>
      <c r="AS1726" s="87"/>
      <c r="AT1726" s="87"/>
      <c r="AU1726" s="87"/>
      <c r="AV1726" s="92" t="str">
        <f>HYPERLINK("https://pbs.twimg.com/ext_tw_video_thumb/1682920250319183874/pu/img/JlAzHEiwrG2V2FTZ.jpg")</f>
        <v>https://pbs.twimg.com/ext_tw_video_thumb/1682920250319183874/pu/img/JlAzHEiwrG2V2FTZ.jpg</v>
      </c>
      <c r="AW1726" s="93" t="s">
        <v>19957</v>
      </c>
      <c r="AX1726" s="93" t="s">
        <v>19957</v>
      </c>
      <c r="AY1726" s="87"/>
      <c r="AZ1726" s="93" t="s">
        <v>22668</v>
      </c>
      <c r="BA1726" s="93" t="s">
        <v>22668</v>
      </c>
      <c r="BB1726" s="93" t="s">
        <v>22668</v>
      </c>
      <c r="BC1726" s="93" t="s">
        <v>19957</v>
      </c>
      <c r="BD1726" s="93" t="s">
        <v>23124</v>
      </c>
      <c r="BE1726" s="87"/>
      <c r="BF1726" s="87"/>
      <c r="BG1726" s="87"/>
      <c r="BH1726" s="87"/>
      <c r="BI1726" s="87"/>
    </row>
    <row r="1727" spans="1:61" x14ac:dyDescent="0.25">
      <c r="A1727" s="63" t="s">
        <v>805</v>
      </c>
      <c r="B1727" s="63" t="s">
        <v>805</v>
      </c>
      <c r="C1727" s="64"/>
      <c r="D1727" s="65"/>
      <c r="E1727" s="66"/>
      <c r="F1727" s="67"/>
      <c r="G1727" s="64"/>
      <c r="H1727" s="68"/>
      <c r="I1727" s="69"/>
      <c r="J1727" s="69"/>
      <c r="K1727" s="32"/>
      <c r="L1727" s="76">
        <v>1727</v>
      </c>
      <c r="M1727" s="76"/>
      <c r="N1727" s="71"/>
      <c r="O1727" s="87" t="s">
        <v>179</v>
      </c>
      <c r="P1727" s="90">
        <v>45129.073842592596</v>
      </c>
      <c r="Q1727" s="87" t="s">
        <v>3522</v>
      </c>
      <c r="R1727" s="87">
        <v>0</v>
      </c>
      <c r="S1727" s="87">
        <v>0</v>
      </c>
      <c r="T1727" s="87">
        <v>0</v>
      </c>
      <c r="U1727" s="87">
        <v>0</v>
      </c>
      <c r="V1727" s="87">
        <v>30</v>
      </c>
      <c r="W1727" s="93" t="s">
        <v>7000</v>
      </c>
      <c r="X1727" s="92" t="str">
        <f>HYPERLINK("https://youtu.be/-FFjwtqHAgc")</f>
        <v>https://youtu.be/-FFjwtqHAgc</v>
      </c>
      <c r="Y1727" s="87" t="s">
        <v>8372</v>
      </c>
      <c r="Z1727" s="87"/>
      <c r="AA1727" s="87" t="s">
        <v>9723</v>
      </c>
      <c r="AB1727" s="87" t="s">
        <v>11447</v>
      </c>
      <c r="AC1727" s="93" t="s">
        <v>11458</v>
      </c>
      <c r="AD1727" s="87" t="s">
        <v>11519</v>
      </c>
      <c r="AE1727" s="92" t="str">
        <f>HYPERLINK("https://twitter.com/pablounindo/status/1682567722352214016")</f>
        <v>https://twitter.com/pablounindo/status/1682567722352214016</v>
      </c>
      <c r="AF1727" s="90">
        <v>45129.073842592596</v>
      </c>
      <c r="AG1727" s="99">
        <v>45129</v>
      </c>
      <c r="AH1727" s="93" t="s">
        <v>13109</v>
      </c>
      <c r="AI1727" s="87" t="b">
        <v>0</v>
      </c>
      <c r="AJ1727" s="87"/>
      <c r="AK1727" s="87"/>
      <c r="AL1727" s="87"/>
      <c r="AM1727" s="87"/>
      <c r="AN1727" s="87"/>
      <c r="AO1727" s="87"/>
      <c r="AP1727" s="87"/>
      <c r="AQ1727" s="87" t="s">
        <v>16536</v>
      </c>
      <c r="AR1727" s="87">
        <v>140000</v>
      </c>
      <c r="AS1727" s="87"/>
      <c r="AT1727" s="87"/>
      <c r="AU1727" s="87"/>
      <c r="AV1727" s="92" t="str">
        <f>HYPERLINK("https://pbs.twimg.com/ext_tw_video_thumb/1682565082281115652/pu/img/usfKrMa3QeLV5JJf.jpg")</f>
        <v>https://pbs.twimg.com/ext_tw_video_thumb/1682565082281115652/pu/img/usfKrMa3QeLV5JJf.jpg</v>
      </c>
      <c r="AW1727" s="93" t="s">
        <v>19958</v>
      </c>
      <c r="AX1727" s="93" t="s">
        <v>19958</v>
      </c>
      <c r="AY1727" s="87"/>
      <c r="AZ1727" s="93" t="s">
        <v>22668</v>
      </c>
      <c r="BA1727" s="93" t="s">
        <v>22668</v>
      </c>
      <c r="BB1727" s="93" t="s">
        <v>22668</v>
      </c>
      <c r="BC1727" s="93" t="s">
        <v>19958</v>
      </c>
      <c r="BD1727" s="93" t="s">
        <v>23124</v>
      </c>
      <c r="BE1727" s="87"/>
      <c r="BF1727" s="87"/>
      <c r="BG1727" s="87"/>
      <c r="BH1727" s="87"/>
      <c r="BI1727" s="87"/>
    </row>
    <row r="1728" spans="1:61" x14ac:dyDescent="0.25">
      <c r="A1728" s="63" t="s">
        <v>805</v>
      </c>
      <c r="B1728" s="63" t="s">
        <v>805</v>
      </c>
      <c r="C1728" s="64"/>
      <c r="D1728" s="65"/>
      <c r="E1728" s="66"/>
      <c r="F1728" s="67"/>
      <c r="G1728" s="64"/>
      <c r="H1728" s="68"/>
      <c r="I1728" s="69"/>
      <c r="J1728" s="69"/>
      <c r="K1728" s="32"/>
      <c r="L1728" s="76">
        <v>1728</v>
      </c>
      <c r="M1728" s="76"/>
      <c r="N1728" s="71"/>
      <c r="O1728" s="87" t="s">
        <v>179</v>
      </c>
      <c r="P1728" s="90">
        <v>45128.517534722225</v>
      </c>
      <c r="Q1728" s="87" t="s">
        <v>3523</v>
      </c>
      <c r="R1728" s="87">
        <v>0</v>
      </c>
      <c r="S1728" s="87">
        <v>0</v>
      </c>
      <c r="T1728" s="87">
        <v>0</v>
      </c>
      <c r="U1728" s="87">
        <v>0</v>
      </c>
      <c r="V1728" s="87">
        <v>28</v>
      </c>
      <c r="W1728" s="93" t="s">
        <v>7001</v>
      </c>
      <c r="X1728" s="87"/>
      <c r="Y1728" s="87"/>
      <c r="Z1728" s="87"/>
      <c r="AA1728" s="87" t="s">
        <v>9724</v>
      </c>
      <c r="AB1728" s="87" t="s">
        <v>11447</v>
      </c>
      <c r="AC1728" s="93" t="s">
        <v>11458</v>
      </c>
      <c r="AD1728" s="87" t="s">
        <v>11519</v>
      </c>
      <c r="AE1728" s="92" t="str">
        <f>HYPERLINK("https://twitter.com/pablounindo/status/1682366123419770881")</f>
        <v>https://twitter.com/pablounindo/status/1682366123419770881</v>
      </c>
      <c r="AF1728" s="90">
        <v>45128.517534722225</v>
      </c>
      <c r="AG1728" s="99">
        <v>45128</v>
      </c>
      <c r="AH1728" s="93" t="s">
        <v>13110</v>
      </c>
      <c r="AI1728" s="87" t="b">
        <v>0</v>
      </c>
      <c r="AJ1728" s="87"/>
      <c r="AK1728" s="87"/>
      <c r="AL1728" s="87"/>
      <c r="AM1728" s="87"/>
      <c r="AN1728" s="87"/>
      <c r="AO1728" s="87"/>
      <c r="AP1728" s="87"/>
      <c r="AQ1728" s="87" t="s">
        <v>16537</v>
      </c>
      <c r="AR1728" s="87">
        <v>61100</v>
      </c>
      <c r="AS1728" s="87"/>
      <c r="AT1728" s="87"/>
      <c r="AU1728" s="87"/>
      <c r="AV1728" s="92" t="str">
        <f>HYPERLINK("https://pbs.twimg.com/ext_tw_video_thumb/1682366032462196736/pu/img/s-5nHUOF3SS2Sk5U.jpg")</f>
        <v>https://pbs.twimg.com/ext_tw_video_thumb/1682366032462196736/pu/img/s-5nHUOF3SS2Sk5U.jpg</v>
      </c>
      <c r="AW1728" s="93" t="s">
        <v>19959</v>
      </c>
      <c r="AX1728" s="93" t="s">
        <v>19959</v>
      </c>
      <c r="AY1728" s="87"/>
      <c r="AZ1728" s="93" t="s">
        <v>22668</v>
      </c>
      <c r="BA1728" s="93" t="s">
        <v>22668</v>
      </c>
      <c r="BB1728" s="93" t="s">
        <v>22668</v>
      </c>
      <c r="BC1728" s="93" t="s">
        <v>19959</v>
      </c>
      <c r="BD1728" s="93" t="s">
        <v>23124</v>
      </c>
      <c r="BE1728" s="87"/>
      <c r="BF1728" s="87"/>
      <c r="BG1728" s="87"/>
      <c r="BH1728" s="87"/>
      <c r="BI1728" s="87"/>
    </row>
    <row r="1729" spans="1:61" x14ac:dyDescent="0.25">
      <c r="A1729" s="63" t="s">
        <v>806</v>
      </c>
      <c r="B1729" s="63" t="s">
        <v>806</v>
      </c>
      <c r="C1729" s="64"/>
      <c r="D1729" s="65"/>
      <c r="E1729" s="66"/>
      <c r="F1729" s="67"/>
      <c r="G1729" s="64"/>
      <c r="H1729" s="68"/>
      <c r="I1729" s="69"/>
      <c r="J1729" s="69"/>
      <c r="K1729" s="32"/>
      <c r="L1729" s="76">
        <v>1729</v>
      </c>
      <c r="M1729" s="76"/>
      <c r="N1729" s="71"/>
      <c r="O1729" s="87" t="s">
        <v>179</v>
      </c>
      <c r="P1729" s="90">
        <v>44913.605578703704</v>
      </c>
      <c r="Q1729" s="87" t="s">
        <v>3524</v>
      </c>
      <c r="R1729" s="87">
        <v>3</v>
      </c>
      <c r="S1729" s="87">
        <v>9</v>
      </c>
      <c r="T1729" s="87">
        <v>1</v>
      </c>
      <c r="U1729" s="87">
        <v>0</v>
      </c>
      <c r="V1729" s="87">
        <v>116</v>
      </c>
      <c r="W1729" s="93" t="s">
        <v>7002</v>
      </c>
      <c r="X1729" s="87"/>
      <c r="Y1729" s="87"/>
      <c r="Z1729" s="87"/>
      <c r="AA1729" s="87" t="s">
        <v>9725</v>
      </c>
      <c r="AB1729" s="87" t="s">
        <v>11448</v>
      </c>
      <c r="AC1729" s="93" t="s">
        <v>11457</v>
      </c>
      <c r="AD1729" s="87" t="s">
        <v>11519</v>
      </c>
      <c r="AE1729" s="92" t="str">
        <f>HYPERLINK("https://twitter.com/thetryum/status/1604484640513093632")</f>
        <v>https://twitter.com/thetryum/status/1604484640513093632</v>
      </c>
      <c r="AF1729" s="90">
        <v>44913.605578703704</v>
      </c>
      <c r="AG1729" s="99">
        <v>44913</v>
      </c>
      <c r="AH1729" s="93" t="s">
        <v>13111</v>
      </c>
      <c r="AI1729" s="87" t="b">
        <v>0</v>
      </c>
      <c r="AJ1729" s="87"/>
      <c r="AK1729" s="87"/>
      <c r="AL1729" s="87"/>
      <c r="AM1729" s="87"/>
      <c r="AN1729" s="87"/>
      <c r="AO1729" s="87"/>
      <c r="AP1729" s="87"/>
      <c r="AQ1729" s="87" t="s">
        <v>16538</v>
      </c>
      <c r="AR1729" s="87"/>
      <c r="AS1729" s="87"/>
      <c r="AT1729" s="87"/>
      <c r="AU1729" s="87"/>
      <c r="AV1729" s="92" t="str">
        <f>HYPERLINK("https://pbs.twimg.com/media/FkRE4wjXoAE2WzA.jpg")</f>
        <v>https://pbs.twimg.com/media/FkRE4wjXoAE2WzA.jpg</v>
      </c>
      <c r="AW1729" s="93" t="s">
        <v>19960</v>
      </c>
      <c r="AX1729" s="93" t="s">
        <v>19960</v>
      </c>
      <c r="AY1729" s="87"/>
      <c r="AZ1729" s="93" t="s">
        <v>22668</v>
      </c>
      <c r="BA1729" s="93" t="s">
        <v>22668</v>
      </c>
      <c r="BB1729" s="93" t="s">
        <v>22668</v>
      </c>
      <c r="BC1729" s="93" t="s">
        <v>19960</v>
      </c>
      <c r="BD1729" s="93" t="s">
        <v>23125</v>
      </c>
      <c r="BE1729" s="87"/>
      <c r="BF1729" s="87"/>
      <c r="BG1729" s="87"/>
      <c r="BH1729" s="87"/>
      <c r="BI1729" s="87"/>
    </row>
    <row r="1730" spans="1:61" x14ac:dyDescent="0.25">
      <c r="A1730" s="63" t="s">
        <v>807</v>
      </c>
      <c r="B1730" s="63" t="s">
        <v>806</v>
      </c>
      <c r="C1730" s="64"/>
      <c r="D1730" s="65"/>
      <c r="E1730" s="66"/>
      <c r="F1730" s="67"/>
      <c r="G1730" s="64"/>
      <c r="H1730" s="68"/>
      <c r="I1730" s="69"/>
      <c r="J1730" s="69"/>
      <c r="K1730" s="32"/>
      <c r="L1730" s="76">
        <v>1730</v>
      </c>
      <c r="M1730" s="76"/>
      <c r="N1730" s="71"/>
      <c r="O1730" s="87" t="s">
        <v>1841</v>
      </c>
      <c r="P1730" s="90">
        <v>45196.563460648147</v>
      </c>
      <c r="Q1730" s="87" t="s">
        <v>3525</v>
      </c>
      <c r="R1730" s="87">
        <v>3</v>
      </c>
      <c r="S1730" s="87">
        <v>0</v>
      </c>
      <c r="T1730" s="87">
        <v>0</v>
      </c>
      <c r="U1730" s="87">
        <v>0</v>
      </c>
      <c r="V1730" s="87"/>
      <c r="W1730" s="93" t="s">
        <v>7003</v>
      </c>
      <c r="X1730" s="87"/>
      <c r="Y1730" s="87"/>
      <c r="Z1730" s="87" t="s">
        <v>806</v>
      </c>
      <c r="AA1730" s="87"/>
      <c r="AB1730" s="87"/>
      <c r="AC1730" s="93" t="s">
        <v>11459</v>
      </c>
      <c r="AD1730" s="87" t="s">
        <v>11519</v>
      </c>
      <c r="AE1730" s="92" t="str">
        <f>HYPERLINK("https://twitter.com/peuquerio/status/1707025142126121114")</f>
        <v>https://twitter.com/peuquerio/status/1707025142126121114</v>
      </c>
      <c r="AF1730" s="90">
        <v>45196.563460648147</v>
      </c>
      <c r="AG1730" s="99">
        <v>45196</v>
      </c>
      <c r="AH1730" s="93" t="s">
        <v>13112</v>
      </c>
      <c r="AI1730" s="87"/>
      <c r="AJ1730" s="87"/>
      <c r="AK1730" s="87"/>
      <c r="AL1730" s="87"/>
      <c r="AM1730" s="87"/>
      <c r="AN1730" s="87"/>
      <c r="AO1730" s="87"/>
      <c r="AP1730" s="87"/>
      <c r="AQ1730" s="87"/>
      <c r="AR1730" s="87"/>
      <c r="AS1730" s="87"/>
      <c r="AT1730" s="87"/>
      <c r="AU1730" s="87"/>
      <c r="AV1730" s="92" t="str">
        <f>HYPERLINK("https://pbs.twimg.com/profile_images/1616628862082846724/tJ4OMl8G_normal.jpg")</f>
        <v>https://pbs.twimg.com/profile_images/1616628862082846724/tJ4OMl8G_normal.jpg</v>
      </c>
      <c r="AW1730" s="93" t="s">
        <v>19961</v>
      </c>
      <c r="AX1730" s="93" t="s">
        <v>19961</v>
      </c>
      <c r="AY1730" s="87"/>
      <c r="AZ1730" s="93" t="s">
        <v>22668</v>
      </c>
      <c r="BA1730" s="93" t="s">
        <v>22668</v>
      </c>
      <c r="BB1730" s="93" t="s">
        <v>19960</v>
      </c>
      <c r="BC1730" s="93" t="s">
        <v>19960</v>
      </c>
      <c r="BD1730" s="93" t="s">
        <v>23126</v>
      </c>
      <c r="BE1730" s="87"/>
      <c r="BF1730" s="87"/>
      <c r="BG1730" s="87"/>
      <c r="BH1730" s="87"/>
      <c r="BI1730" s="87"/>
    </row>
    <row r="1731" spans="1:61" x14ac:dyDescent="0.25">
      <c r="A1731" s="63" t="s">
        <v>808</v>
      </c>
      <c r="B1731" s="63" t="s">
        <v>808</v>
      </c>
      <c r="C1731" s="64"/>
      <c r="D1731" s="65"/>
      <c r="E1731" s="66"/>
      <c r="F1731" s="67"/>
      <c r="G1731" s="64"/>
      <c r="H1731" s="68"/>
      <c r="I1731" s="69"/>
      <c r="J1731" s="69"/>
      <c r="K1731" s="32"/>
      <c r="L1731" s="76">
        <v>1731</v>
      </c>
      <c r="M1731" s="76"/>
      <c r="N1731" s="71"/>
      <c r="O1731" s="87" t="s">
        <v>179</v>
      </c>
      <c r="P1731" s="90">
        <v>45121.870185185187</v>
      </c>
      <c r="Q1731" s="87" t="s">
        <v>3526</v>
      </c>
      <c r="R1731" s="87">
        <v>0</v>
      </c>
      <c r="S1731" s="87">
        <v>1</v>
      </c>
      <c r="T1731" s="87">
        <v>0</v>
      </c>
      <c r="U1731" s="87">
        <v>0</v>
      </c>
      <c r="V1731" s="87">
        <v>42</v>
      </c>
      <c r="W1731" s="93" t="s">
        <v>6321</v>
      </c>
      <c r="X1731" s="92" t="str">
        <f>HYPERLINK("https://www.instagram.com/p/CusQOKipYp3/?igshid=YmM0MjE2YWMzOA==")</f>
        <v>https://www.instagram.com/p/CusQOKipYp3/?igshid=YmM0MjE2YWMzOA==</v>
      </c>
      <c r="Y1731" s="87" t="s">
        <v>8383</v>
      </c>
      <c r="Z1731" s="87"/>
      <c r="AA1731" s="87" t="s">
        <v>9726</v>
      </c>
      <c r="AB1731" s="87" t="s">
        <v>11448</v>
      </c>
      <c r="AC1731" s="93" t="s">
        <v>11459</v>
      </c>
      <c r="AD1731" s="87" t="s">
        <v>11519</v>
      </c>
      <c r="AE1731" s="92" t="str">
        <f>HYPERLINK("https://twitter.com/josuemarks_ofc/status/1679957207339741192")</f>
        <v>https://twitter.com/josuemarks_ofc/status/1679957207339741192</v>
      </c>
      <c r="AF1731" s="90">
        <v>45121.870185185187</v>
      </c>
      <c r="AG1731" s="99">
        <v>45121</v>
      </c>
      <c r="AH1731" s="93" t="s">
        <v>13113</v>
      </c>
      <c r="AI1731" s="87" t="b">
        <v>0</v>
      </c>
      <c r="AJ1731" s="87"/>
      <c r="AK1731" s="87"/>
      <c r="AL1731" s="87"/>
      <c r="AM1731" s="87"/>
      <c r="AN1731" s="87"/>
      <c r="AO1731" s="87"/>
      <c r="AP1731" s="87"/>
      <c r="AQ1731" s="87" t="s">
        <v>16539</v>
      </c>
      <c r="AR1731" s="87"/>
      <c r="AS1731" s="87"/>
      <c r="AT1731" s="87"/>
      <c r="AU1731" s="87"/>
      <c r="AV1731" s="92" t="str">
        <f>HYPERLINK("https://pbs.twimg.com/media/F1BoLSZX0Ao0DDq.jpg")</f>
        <v>https://pbs.twimg.com/media/F1BoLSZX0Ao0DDq.jpg</v>
      </c>
      <c r="AW1731" s="93" t="s">
        <v>19962</v>
      </c>
      <c r="AX1731" s="93" t="s">
        <v>19962</v>
      </c>
      <c r="AY1731" s="87"/>
      <c r="AZ1731" s="93" t="s">
        <v>22668</v>
      </c>
      <c r="BA1731" s="93" t="s">
        <v>22668</v>
      </c>
      <c r="BB1731" s="93" t="s">
        <v>22668</v>
      </c>
      <c r="BC1731" s="93" t="s">
        <v>19962</v>
      </c>
      <c r="BD1731" s="93" t="s">
        <v>23127</v>
      </c>
      <c r="BE1731" s="87"/>
      <c r="BF1731" s="87"/>
      <c r="BG1731" s="87"/>
      <c r="BH1731" s="87"/>
      <c r="BI1731" s="87"/>
    </row>
    <row r="1732" spans="1:61" x14ac:dyDescent="0.25">
      <c r="A1732" s="63" t="s">
        <v>809</v>
      </c>
      <c r="B1732" s="63" t="s">
        <v>809</v>
      </c>
      <c r="C1732" s="64"/>
      <c r="D1732" s="65"/>
      <c r="E1732" s="66"/>
      <c r="F1732" s="67"/>
      <c r="G1732" s="64"/>
      <c r="H1732" s="68"/>
      <c r="I1732" s="69"/>
      <c r="J1732" s="69"/>
      <c r="K1732" s="32"/>
      <c r="L1732" s="76">
        <v>1732</v>
      </c>
      <c r="M1732" s="76"/>
      <c r="N1732" s="71"/>
      <c r="O1732" s="87" t="s">
        <v>179</v>
      </c>
      <c r="P1732" s="90">
        <v>45113.934062499997</v>
      </c>
      <c r="Q1732" s="87" t="s">
        <v>3527</v>
      </c>
      <c r="R1732" s="87">
        <v>0</v>
      </c>
      <c r="S1732" s="87">
        <v>0</v>
      </c>
      <c r="T1732" s="87">
        <v>0</v>
      </c>
      <c r="U1732" s="87">
        <v>0</v>
      </c>
      <c r="V1732" s="87">
        <v>11</v>
      </c>
      <c r="W1732" s="93" t="s">
        <v>7004</v>
      </c>
      <c r="X1732" s="87"/>
      <c r="Y1732" s="87"/>
      <c r="Z1732" s="87"/>
      <c r="AA1732" s="87" t="s">
        <v>9727</v>
      </c>
      <c r="AB1732" s="87" t="s">
        <v>11447</v>
      </c>
      <c r="AC1732" s="93" t="s">
        <v>11457</v>
      </c>
      <c r="AD1732" s="87" t="s">
        <v>11519</v>
      </c>
      <c r="AE1732" s="92" t="str">
        <f>HYPERLINK("https://twitter.com/fernandovitolo/status/1677081252401119232")</f>
        <v>https://twitter.com/fernandovitolo/status/1677081252401119232</v>
      </c>
      <c r="AF1732" s="90">
        <v>45113.934062499997</v>
      </c>
      <c r="AG1732" s="99">
        <v>45113</v>
      </c>
      <c r="AH1732" s="93" t="s">
        <v>12207</v>
      </c>
      <c r="AI1732" s="87" t="b">
        <v>0</v>
      </c>
      <c r="AJ1732" s="87"/>
      <c r="AK1732" s="87"/>
      <c r="AL1732" s="87"/>
      <c r="AM1732" s="87"/>
      <c r="AN1732" s="87"/>
      <c r="AO1732" s="87"/>
      <c r="AP1732" s="87"/>
      <c r="AQ1732" s="87" t="s">
        <v>16540</v>
      </c>
      <c r="AR1732" s="87">
        <v>38905</v>
      </c>
      <c r="AS1732" s="87"/>
      <c r="AT1732" s="87"/>
      <c r="AU1732" s="87"/>
      <c r="AV1732" s="92" t="str">
        <f>HYPERLINK("https://pbs.twimg.com/ext_tw_video_thumb/1677080954203000833/pu/img/Mcqalxu0N6K8F3Sh.jpg")</f>
        <v>https://pbs.twimg.com/ext_tw_video_thumb/1677080954203000833/pu/img/Mcqalxu0N6K8F3Sh.jpg</v>
      </c>
      <c r="AW1732" s="93" t="s">
        <v>19963</v>
      </c>
      <c r="AX1732" s="93" t="s">
        <v>19963</v>
      </c>
      <c r="AY1732" s="87"/>
      <c r="AZ1732" s="93" t="s">
        <v>22668</v>
      </c>
      <c r="BA1732" s="93" t="s">
        <v>22668</v>
      </c>
      <c r="BB1732" s="93" t="s">
        <v>22668</v>
      </c>
      <c r="BC1732" s="93" t="s">
        <v>19963</v>
      </c>
      <c r="BD1732" s="87">
        <v>80182692</v>
      </c>
      <c r="BE1732" s="87"/>
      <c r="BF1732" s="87"/>
      <c r="BG1732" s="87"/>
      <c r="BH1732" s="87"/>
      <c r="BI1732" s="87"/>
    </row>
    <row r="1733" spans="1:61" x14ac:dyDescent="0.25">
      <c r="A1733" s="63" t="s">
        <v>810</v>
      </c>
      <c r="B1733" s="63" t="s">
        <v>810</v>
      </c>
      <c r="C1733" s="64"/>
      <c r="D1733" s="65"/>
      <c r="E1733" s="66"/>
      <c r="F1733" s="67"/>
      <c r="G1733" s="64"/>
      <c r="H1733" s="68"/>
      <c r="I1733" s="69"/>
      <c r="J1733" s="69"/>
      <c r="K1733" s="32"/>
      <c r="L1733" s="76">
        <v>1733</v>
      </c>
      <c r="M1733" s="76"/>
      <c r="N1733" s="71"/>
      <c r="O1733" s="87" t="s">
        <v>179</v>
      </c>
      <c r="P1733" s="90">
        <v>45191.542395833334</v>
      </c>
      <c r="Q1733" s="87" t="s">
        <v>3528</v>
      </c>
      <c r="R1733" s="87">
        <v>0</v>
      </c>
      <c r="S1733" s="87">
        <v>0</v>
      </c>
      <c r="T1733" s="87">
        <v>0</v>
      </c>
      <c r="U1733" s="87">
        <v>0</v>
      </c>
      <c r="V1733" s="87">
        <v>8</v>
      </c>
      <c r="W1733" s="93" t="s">
        <v>7005</v>
      </c>
      <c r="X1733" s="92" t="str">
        <f>HYPERLINK("https://www.youtube.com/watch?v=Tk9wii24VbU")</f>
        <v>https://www.youtube.com/watch?v=Tk9wii24VbU</v>
      </c>
      <c r="Y1733" s="87" t="s">
        <v>8380</v>
      </c>
      <c r="Z1733" s="87"/>
      <c r="AA1733" s="87"/>
      <c r="AB1733" s="87"/>
      <c r="AC1733" s="93" t="s">
        <v>11457</v>
      </c>
      <c r="AD1733" s="87" t="s">
        <v>11519</v>
      </c>
      <c r="AE1733" s="92" t="str">
        <f>HYPERLINK("https://twitter.com/execsy/status/1705205569328451762")</f>
        <v>https://twitter.com/execsy/status/1705205569328451762</v>
      </c>
      <c r="AF1733" s="90">
        <v>45191.542395833334</v>
      </c>
      <c r="AG1733" s="99">
        <v>45191</v>
      </c>
      <c r="AH1733" s="93" t="s">
        <v>13114</v>
      </c>
      <c r="AI1733" s="87" t="b">
        <v>0</v>
      </c>
      <c r="AJ1733" s="87"/>
      <c r="AK1733" s="87"/>
      <c r="AL1733" s="87"/>
      <c r="AM1733" s="87"/>
      <c r="AN1733" s="87"/>
      <c r="AO1733" s="87"/>
      <c r="AP1733" s="87"/>
      <c r="AQ1733" s="87"/>
      <c r="AR1733" s="87"/>
      <c r="AS1733" s="87"/>
      <c r="AT1733" s="87"/>
      <c r="AU1733" s="87"/>
      <c r="AV1733" s="92" t="str">
        <f>HYPERLINK("https://pbs.twimg.com/profile_images/1684174757560741892/DxUC4ntO_normal.jpg")</f>
        <v>https://pbs.twimg.com/profile_images/1684174757560741892/DxUC4ntO_normal.jpg</v>
      </c>
      <c r="AW1733" s="93" t="s">
        <v>19964</v>
      </c>
      <c r="AX1733" s="93" t="s">
        <v>19964</v>
      </c>
      <c r="AY1733" s="87"/>
      <c r="AZ1733" s="93" t="s">
        <v>22668</v>
      </c>
      <c r="BA1733" s="93" t="s">
        <v>22668</v>
      </c>
      <c r="BB1733" s="93" t="s">
        <v>22668</v>
      </c>
      <c r="BC1733" s="93" t="s">
        <v>19964</v>
      </c>
      <c r="BD1733" s="87">
        <v>292343529</v>
      </c>
      <c r="BE1733" s="87"/>
      <c r="BF1733" s="87"/>
      <c r="BG1733" s="87"/>
      <c r="BH1733" s="87"/>
      <c r="BI1733" s="87"/>
    </row>
    <row r="1734" spans="1:61" x14ac:dyDescent="0.25">
      <c r="A1734" s="63" t="s">
        <v>811</v>
      </c>
      <c r="B1734" s="63" t="s">
        <v>811</v>
      </c>
      <c r="C1734" s="64"/>
      <c r="D1734" s="65"/>
      <c r="E1734" s="66"/>
      <c r="F1734" s="67"/>
      <c r="G1734" s="64"/>
      <c r="H1734" s="68"/>
      <c r="I1734" s="69"/>
      <c r="J1734" s="69"/>
      <c r="K1734" s="32"/>
      <c r="L1734" s="76">
        <v>1734</v>
      </c>
      <c r="M1734" s="76"/>
      <c r="N1734" s="71"/>
      <c r="O1734" s="87" t="s">
        <v>179</v>
      </c>
      <c r="P1734" s="90">
        <v>45125.909317129626</v>
      </c>
      <c r="Q1734" s="87" t="s">
        <v>3529</v>
      </c>
      <c r="R1734" s="87">
        <v>0</v>
      </c>
      <c r="S1734" s="87">
        <v>0</v>
      </c>
      <c r="T1734" s="87">
        <v>0</v>
      </c>
      <c r="U1734" s="87">
        <v>0</v>
      </c>
      <c r="V1734" s="87">
        <v>179</v>
      </c>
      <c r="W1734" s="93" t="s">
        <v>7006</v>
      </c>
      <c r="X1734" s="92" t="str">
        <f>HYPERLINK("https://conexaoamazonica.com.br/negociador-malvino-salvador-conta-o-caminho-do-sucesso-como-ator-e-empreendedor/")</f>
        <v>https://conexaoamazonica.com.br/negociador-malvino-salvador-conta-o-caminho-do-sucesso-como-ator-e-empreendedor/</v>
      </c>
      <c r="Y1734" s="87" t="s">
        <v>8373</v>
      </c>
      <c r="Z1734" s="87"/>
      <c r="AA1734" s="87" t="s">
        <v>9728</v>
      </c>
      <c r="AB1734" s="87" t="s">
        <v>11448</v>
      </c>
      <c r="AC1734" s="93" t="s">
        <v>11457</v>
      </c>
      <c r="AD1734" s="87" t="s">
        <v>11519</v>
      </c>
      <c r="AE1734" s="92" t="str">
        <f>HYPERLINK("https://twitter.com/conexoamaznica1/status/1681420937848057863")</f>
        <v>https://twitter.com/conexoamaznica1/status/1681420937848057863</v>
      </c>
      <c r="AF1734" s="90">
        <v>45125.909317129626</v>
      </c>
      <c r="AG1734" s="99">
        <v>45125</v>
      </c>
      <c r="AH1734" s="93" t="s">
        <v>13115</v>
      </c>
      <c r="AI1734" s="87" t="b">
        <v>0</v>
      </c>
      <c r="AJ1734" s="87"/>
      <c r="AK1734" s="87"/>
      <c r="AL1734" s="87"/>
      <c r="AM1734" s="87"/>
      <c r="AN1734" s="87"/>
      <c r="AO1734" s="87"/>
      <c r="AP1734" s="87"/>
      <c r="AQ1734" s="87" t="s">
        <v>16541</v>
      </c>
      <c r="AR1734" s="87"/>
      <c r="AS1734" s="87"/>
      <c r="AT1734" s="87"/>
      <c r="AU1734" s="87"/>
      <c r="AV1734" s="92" t="str">
        <f>HYPERLINK("https://pbs.twimg.com/media/F1WbP9kWcAEQA9R.jpg")</f>
        <v>https://pbs.twimg.com/media/F1WbP9kWcAEQA9R.jpg</v>
      </c>
      <c r="AW1734" s="93" t="s">
        <v>19965</v>
      </c>
      <c r="AX1734" s="93" t="s">
        <v>19965</v>
      </c>
      <c r="AY1734" s="87"/>
      <c r="AZ1734" s="93" t="s">
        <v>22668</v>
      </c>
      <c r="BA1734" s="93" t="s">
        <v>22668</v>
      </c>
      <c r="BB1734" s="93" t="s">
        <v>22668</v>
      </c>
      <c r="BC1734" s="93" t="s">
        <v>19965</v>
      </c>
      <c r="BD1734" s="93" t="s">
        <v>23128</v>
      </c>
      <c r="BE1734" s="87"/>
      <c r="BF1734" s="87"/>
      <c r="BG1734" s="87"/>
      <c r="BH1734" s="87"/>
      <c r="BI1734" s="87"/>
    </row>
    <row r="1735" spans="1:61" x14ac:dyDescent="0.25">
      <c r="A1735" s="63" t="s">
        <v>812</v>
      </c>
      <c r="B1735" s="63" t="s">
        <v>812</v>
      </c>
      <c r="C1735" s="64"/>
      <c r="D1735" s="65"/>
      <c r="E1735" s="66"/>
      <c r="F1735" s="67"/>
      <c r="G1735" s="64"/>
      <c r="H1735" s="68"/>
      <c r="I1735" s="69"/>
      <c r="J1735" s="69"/>
      <c r="K1735" s="32"/>
      <c r="L1735" s="76">
        <v>1735</v>
      </c>
      <c r="M1735" s="76"/>
      <c r="N1735" s="71"/>
      <c r="O1735" s="87" t="s">
        <v>179</v>
      </c>
      <c r="P1735" s="90">
        <v>45152.642777777779</v>
      </c>
      <c r="Q1735" s="87" t="s">
        <v>3530</v>
      </c>
      <c r="R1735" s="87">
        <v>0</v>
      </c>
      <c r="S1735" s="87">
        <v>2</v>
      </c>
      <c r="T1735" s="87">
        <v>0</v>
      </c>
      <c r="U1735" s="87">
        <v>0</v>
      </c>
      <c r="V1735" s="87">
        <v>13</v>
      </c>
      <c r="W1735" s="93" t="s">
        <v>7007</v>
      </c>
      <c r="X1735" s="87" t="s">
        <v>8351</v>
      </c>
      <c r="Y1735" s="87" t="s">
        <v>8467</v>
      </c>
      <c r="Z1735" s="87"/>
      <c r="AA1735" s="87" t="s">
        <v>9729</v>
      </c>
      <c r="AB1735" s="87" t="s">
        <v>11448</v>
      </c>
      <c r="AC1735" s="93" t="s">
        <v>11457</v>
      </c>
      <c r="AD1735" s="87" t="s">
        <v>11519</v>
      </c>
      <c r="AE1735" s="92" t="str">
        <f>HYPERLINK("https://twitter.com/bitcoinecashbr/status/1691108819122982912")</f>
        <v>https://twitter.com/bitcoinecashbr/status/1691108819122982912</v>
      </c>
      <c r="AF1735" s="90">
        <v>45152.642777777779</v>
      </c>
      <c r="AG1735" s="99">
        <v>45152</v>
      </c>
      <c r="AH1735" s="93" t="s">
        <v>13116</v>
      </c>
      <c r="AI1735" s="87" t="b">
        <v>0</v>
      </c>
      <c r="AJ1735" s="87"/>
      <c r="AK1735" s="87"/>
      <c r="AL1735" s="87"/>
      <c r="AM1735" s="87"/>
      <c r="AN1735" s="87"/>
      <c r="AO1735" s="87"/>
      <c r="AP1735" s="87"/>
      <c r="AQ1735" s="87" t="s">
        <v>16542</v>
      </c>
      <c r="AR1735" s="87"/>
      <c r="AS1735" s="87"/>
      <c r="AT1735" s="87"/>
      <c r="AU1735" s="87"/>
      <c r="AV1735" s="92" t="str">
        <f>HYPERLINK("https://pbs.twimg.com/media/F3gF8hvWsAAaf_s.png")</f>
        <v>https://pbs.twimg.com/media/F3gF8hvWsAAaf_s.png</v>
      </c>
      <c r="AW1735" s="93" t="s">
        <v>19966</v>
      </c>
      <c r="AX1735" s="93" t="s">
        <v>19966</v>
      </c>
      <c r="AY1735" s="87"/>
      <c r="AZ1735" s="93" t="s">
        <v>22668</v>
      </c>
      <c r="BA1735" s="93" t="s">
        <v>22668</v>
      </c>
      <c r="BB1735" s="93" t="s">
        <v>22668</v>
      </c>
      <c r="BC1735" s="93" t="s">
        <v>19966</v>
      </c>
      <c r="BD1735" s="93" t="s">
        <v>23129</v>
      </c>
      <c r="BE1735" s="87"/>
      <c r="BF1735" s="87"/>
      <c r="BG1735" s="87"/>
      <c r="BH1735" s="87"/>
      <c r="BI1735" s="87"/>
    </row>
    <row r="1736" spans="1:61" x14ac:dyDescent="0.25">
      <c r="A1736" s="63" t="s">
        <v>813</v>
      </c>
      <c r="B1736" s="63" t="s">
        <v>813</v>
      </c>
      <c r="C1736" s="64"/>
      <c r="D1736" s="65"/>
      <c r="E1736" s="66"/>
      <c r="F1736" s="67"/>
      <c r="G1736" s="64"/>
      <c r="H1736" s="68"/>
      <c r="I1736" s="69"/>
      <c r="J1736" s="69"/>
      <c r="K1736" s="32"/>
      <c r="L1736" s="76">
        <v>1736</v>
      </c>
      <c r="M1736" s="76"/>
      <c r="N1736" s="71"/>
      <c r="O1736" s="87" t="s">
        <v>179</v>
      </c>
      <c r="P1736" s="90">
        <v>45156.862951388888</v>
      </c>
      <c r="Q1736" s="87" t="s">
        <v>3531</v>
      </c>
      <c r="R1736" s="87">
        <v>1</v>
      </c>
      <c r="S1736" s="87">
        <v>2</v>
      </c>
      <c r="T1736" s="87">
        <v>0</v>
      </c>
      <c r="U1736" s="87">
        <v>0</v>
      </c>
      <c r="V1736" s="87">
        <v>604</v>
      </c>
      <c r="W1736" s="93" t="s">
        <v>7008</v>
      </c>
      <c r="X1736" s="92" t="str">
        <f>HYPERLINK("https://amzn.to/3OIw7CB")</f>
        <v>https://amzn.to/3OIw7CB</v>
      </c>
      <c r="Y1736" s="87" t="s">
        <v>8415</v>
      </c>
      <c r="Z1736" s="87"/>
      <c r="AA1736" s="87"/>
      <c r="AB1736" s="87"/>
      <c r="AC1736" s="93" t="s">
        <v>11457</v>
      </c>
      <c r="AD1736" s="87" t="s">
        <v>11519</v>
      </c>
      <c r="AE1736" s="92" t="str">
        <f>HYPERLINK("https://twitter.com/mundoprodutos/status/1692638157815112066")</f>
        <v>https://twitter.com/mundoprodutos/status/1692638157815112066</v>
      </c>
      <c r="AF1736" s="90">
        <v>45156.862951388888</v>
      </c>
      <c r="AG1736" s="99">
        <v>45156</v>
      </c>
      <c r="AH1736" s="93" t="s">
        <v>13117</v>
      </c>
      <c r="AI1736" s="87" t="b">
        <v>0</v>
      </c>
      <c r="AJ1736" s="87"/>
      <c r="AK1736" s="87"/>
      <c r="AL1736" s="87"/>
      <c r="AM1736" s="87"/>
      <c r="AN1736" s="87"/>
      <c r="AO1736" s="87"/>
      <c r="AP1736" s="87"/>
      <c r="AQ1736" s="87"/>
      <c r="AR1736" s="87"/>
      <c r="AS1736" s="87"/>
      <c r="AT1736" s="87"/>
      <c r="AU1736" s="87"/>
      <c r="AV1736" s="92" t="str">
        <f>HYPERLINK("https://pbs.twimg.com/profile_images/1259953976574971906/VD1WMPb4_normal.jpg")</f>
        <v>https://pbs.twimg.com/profile_images/1259953976574971906/VD1WMPb4_normal.jpg</v>
      </c>
      <c r="AW1736" s="93" t="s">
        <v>19967</v>
      </c>
      <c r="AX1736" s="93" t="s">
        <v>19967</v>
      </c>
      <c r="AY1736" s="87"/>
      <c r="AZ1736" s="93" t="s">
        <v>22668</v>
      </c>
      <c r="BA1736" s="93" t="s">
        <v>22668</v>
      </c>
      <c r="BB1736" s="93" t="s">
        <v>22668</v>
      </c>
      <c r="BC1736" s="93" t="s">
        <v>19967</v>
      </c>
      <c r="BD1736" s="87">
        <v>3294416938</v>
      </c>
      <c r="BE1736" s="87"/>
      <c r="BF1736" s="87"/>
      <c r="BG1736" s="87"/>
      <c r="BH1736" s="87"/>
      <c r="BI1736" s="87"/>
    </row>
    <row r="1737" spans="1:61" x14ac:dyDescent="0.25">
      <c r="A1737" s="63" t="s">
        <v>813</v>
      </c>
      <c r="B1737" s="63" t="s">
        <v>813</v>
      </c>
      <c r="C1737" s="64"/>
      <c r="D1737" s="65"/>
      <c r="E1737" s="66"/>
      <c r="F1737" s="67"/>
      <c r="G1737" s="64"/>
      <c r="H1737" s="68"/>
      <c r="I1737" s="69"/>
      <c r="J1737" s="69"/>
      <c r="K1737" s="32"/>
      <c r="L1737" s="76">
        <v>1737</v>
      </c>
      <c r="M1737" s="76"/>
      <c r="N1737" s="71"/>
      <c r="O1737" s="87" t="s">
        <v>179</v>
      </c>
      <c r="P1737" s="90">
        <v>45170.554768518516</v>
      </c>
      <c r="Q1737" s="87" t="s">
        <v>3532</v>
      </c>
      <c r="R1737" s="87">
        <v>2</v>
      </c>
      <c r="S1737" s="87">
        <v>2</v>
      </c>
      <c r="T1737" s="87">
        <v>0</v>
      </c>
      <c r="U1737" s="87">
        <v>0</v>
      </c>
      <c r="V1737" s="87">
        <v>159</v>
      </c>
      <c r="W1737" s="93" t="s">
        <v>7009</v>
      </c>
      <c r="X1737" s="92" t="str">
        <f>HYPERLINK("https://amzn.to/45XfkTz")</f>
        <v>https://amzn.to/45XfkTz</v>
      </c>
      <c r="Y1737" s="87" t="s">
        <v>8415</v>
      </c>
      <c r="Z1737" s="87"/>
      <c r="AA1737" s="87" t="s">
        <v>9730</v>
      </c>
      <c r="AB1737" s="87" t="s">
        <v>11451</v>
      </c>
      <c r="AC1737" s="93" t="s">
        <v>11457</v>
      </c>
      <c r="AD1737" s="87" t="s">
        <v>11519</v>
      </c>
      <c r="AE1737" s="92" t="str">
        <f>HYPERLINK("https://twitter.com/mundoprodutos/status/1697599907966669266")</f>
        <v>https://twitter.com/mundoprodutos/status/1697599907966669266</v>
      </c>
      <c r="AF1737" s="90">
        <v>45170.554768518516</v>
      </c>
      <c r="AG1737" s="99">
        <v>45170</v>
      </c>
      <c r="AH1737" s="93" t="s">
        <v>13118</v>
      </c>
      <c r="AI1737" s="87" t="b">
        <v>0</v>
      </c>
      <c r="AJ1737" s="87"/>
      <c r="AK1737" s="87"/>
      <c r="AL1737" s="87"/>
      <c r="AM1737" s="87"/>
      <c r="AN1737" s="87"/>
      <c r="AO1737" s="87"/>
      <c r="AP1737" s="87"/>
      <c r="AQ1737" s="87" t="s">
        <v>16543</v>
      </c>
      <c r="AR1737" s="87"/>
      <c r="AS1737" s="87"/>
      <c r="AT1737" s="87"/>
      <c r="AU1737" s="87"/>
      <c r="AV1737" s="92" t="str">
        <f>HYPERLINK("https://pbs.twimg.com/media/F48WGiJWcAAph4Q.jpg")</f>
        <v>https://pbs.twimg.com/media/F48WGiJWcAAph4Q.jpg</v>
      </c>
      <c r="AW1737" s="93" t="s">
        <v>19968</v>
      </c>
      <c r="AX1737" s="93" t="s">
        <v>19968</v>
      </c>
      <c r="AY1737" s="87"/>
      <c r="AZ1737" s="93" t="s">
        <v>22668</v>
      </c>
      <c r="BA1737" s="93" t="s">
        <v>22668</v>
      </c>
      <c r="BB1737" s="93" t="s">
        <v>22668</v>
      </c>
      <c r="BC1737" s="93" t="s">
        <v>19968</v>
      </c>
      <c r="BD1737" s="87">
        <v>3294416938</v>
      </c>
      <c r="BE1737" s="87"/>
      <c r="BF1737" s="87"/>
      <c r="BG1737" s="87"/>
      <c r="BH1737" s="87"/>
      <c r="BI1737" s="87"/>
    </row>
    <row r="1738" spans="1:61" x14ac:dyDescent="0.25">
      <c r="A1738" s="63" t="s">
        <v>813</v>
      </c>
      <c r="B1738" s="63" t="s">
        <v>813</v>
      </c>
      <c r="C1738" s="64"/>
      <c r="D1738" s="65"/>
      <c r="E1738" s="66"/>
      <c r="F1738" s="67"/>
      <c r="G1738" s="64"/>
      <c r="H1738" s="68"/>
      <c r="I1738" s="69"/>
      <c r="J1738" s="69"/>
      <c r="K1738" s="32"/>
      <c r="L1738" s="76">
        <v>1738</v>
      </c>
      <c r="M1738" s="76"/>
      <c r="N1738" s="71"/>
      <c r="O1738" s="87" t="s">
        <v>179</v>
      </c>
      <c r="P1738" s="90">
        <v>45190.900706018518</v>
      </c>
      <c r="Q1738" s="87" t="s">
        <v>3533</v>
      </c>
      <c r="R1738" s="87">
        <v>2</v>
      </c>
      <c r="S1738" s="87">
        <v>2</v>
      </c>
      <c r="T1738" s="87">
        <v>0</v>
      </c>
      <c r="U1738" s="87">
        <v>0</v>
      </c>
      <c r="V1738" s="87">
        <v>68</v>
      </c>
      <c r="W1738" s="93" t="s">
        <v>7010</v>
      </c>
      <c r="X1738" s="92" t="str">
        <f>HYPERLINK("https://amzn.to/3LyN6GZ")</f>
        <v>https://amzn.to/3LyN6GZ</v>
      </c>
      <c r="Y1738" s="87" t="s">
        <v>8415</v>
      </c>
      <c r="Z1738" s="87"/>
      <c r="AA1738" s="87" t="s">
        <v>9731</v>
      </c>
      <c r="AB1738" s="87" t="s">
        <v>11451</v>
      </c>
      <c r="AC1738" s="93" t="s">
        <v>11457</v>
      </c>
      <c r="AD1738" s="87" t="s">
        <v>11519</v>
      </c>
      <c r="AE1738" s="92" t="str">
        <f>HYPERLINK("https://twitter.com/mundoprodutos/status/1704973029502062758")</f>
        <v>https://twitter.com/mundoprodutos/status/1704973029502062758</v>
      </c>
      <c r="AF1738" s="90">
        <v>45190.900706018518</v>
      </c>
      <c r="AG1738" s="99">
        <v>45190</v>
      </c>
      <c r="AH1738" s="93" t="s">
        <v>13119</v>
      </c>
      <c r="AI1738" s="87" t="b">
        <v>0</v>
      </c>
      <c r="AJ1738" s="87"/>
      <c r="AK1738" s="87"/>
      <c r="AL1738" s="87"/>
      <c r="AM1738" s="87"/>
      <c r="AN1738" s="87"/>
      <c r="AO1738" s="87"/>
      <c r="AP1738" s="87"/>
      <c r="AQ1738" s="87" t="s">
        <v>16544</v>
      </c>
      <c r="AR1738" s="87"/>
      <c r="AS1738" s="87"/>
      <c r="AT1738" s="87"/>
      <c r="AU1738" s="87"/>
      <c r="AV1738" s="92" t="str">
        <f>HYPERLINK("https://pbs.twimg.com/media/F6lH62RXwAANcIu.jpg")</f>
        <v>https://pbs.twimg.com/media/F6lH62RXwAANcIu.jpg</v>
      </c>
      <c r="AW1738" s="93" t="s">
        <v>19969</v>
      </c>
      <c r="AX1738" s="93" t="s">
        <v>19969</v>
      </c>
      <c r="AY1738" s="87"/>
      <c r="AZ1738" s="93" t="s">
        <v>22668</v>
      </c>
      <c r="BA1738" s="93" t="s">
        <v>22668</v>
      </c>
      <c r="BB1738" s="93" t="s">
        <v>22668</v>
      </c>
      <c r="BC1738" s="93" t="s">
        <v>19969</v>
      </c>
      <c r="BD1738" s="87">
        <v>3294416938</v>
      </c>
      <c r="BE1738" s="87"/>
      <c r="BF1738" s="87"/>
      <c r="BG1738" s="87"/>
      <c r="BH1738" s="87"/>
      <c r="BI1738" s="87"/>
    </row>
    <row r="1739" spans="1:61" x14ac:dyDescent="0.25">
      <c r="A1739" s="63" t="s">
        <v>814</v>
      </c>
      <c r="B1739" s="63" t="s">
        <v>813</v>
      </c>
      <c r="C1739" s="64"/>
      <c r="D1739" s="65"/>
      <c r="E1739" s="66"/>
      <c r="F1739" s="67"/>
      <c r="G1739" s="64"/>
      <c r="H1739" s="68"/>
      <c r="I1739" s="69"/>
      <c r="J1739" s="69"/>
      <c r="K1739" s="32"/>
      <c r="L1739" s="76">
        <v>1739</v>
      </c>
      <c r="M1739" s="76"/>
      <c r="N1739" s="71"/>
      <c r="O1739" s="87" t="s">
        <v>1841</v>
      </c>
      <c r="P1739" s="90">
        <v>45191.016481481478</v>
      </c>
      <c r="Q1739" s="87" t="s">
        <v>2487</v>
      </c>
      <c r="R1739" s="87">
        <v>2</v>
      </c>
      <c r="S1739" s="87">
        <v>0</v>
      </c>
      <c r="T1739" s="87">
        <v>0</v>
      </c>
      <c r="U1739" s="87">
        <v>0</v>
      </c>
      <c r="V1739" s="87"/>
      <c r="W1739" s="87"/>
      <c r="X1739" s="87"/>
      <c r="Y1739" s="87"/>
      <c r="Z1739" s="87" t="s">
        <v>813</v>
      </c>
      <c r="AA1739" s="87"/>
      <c r="AB1739" s="87"/>
      <c r="AC1739" s="93" t="s">
        <v>11459</v>
      </c>
      <c r="AD1739" s="87" t="s">
        <v>11519</v>
      </c>
      <c r="AE1739" s="92" t="str">
        <f>HYPERLINK("https://twitter.com/lavidaparada/status/1705014984516739386")</f>
        <v>https://twitter.com/lavidaparada/status/1705014984516739386</v>
      </c>
      <c r="AF1739" s="90">
        <v>45191.016481481478</v>
      </c>
      <c r="AG1739" s="99">
        <v>45191</v>
      </c>
      <c r="AH1739" s="93" t="s">
        <v>13120</v>
      </c>
      <c r="AI1739" s="87"/>
      <c r="AJ1739" s="87"/>
      <c r="AK1739" s="87"/>
      <c r="AL1739" s="87"/>
      <c r="AM1739" s="87"/>
      <c r="AN1739" s="87"/>
      <c r="AO1739" s="87"/>
      <c r="AP1739" s="87"/>
      <c r="AQ1739" s="87"/>
      <c r="AR1739" s="87"/>
      <c r="AS1739" s="87"/>
      <c r="AT1739" s="87"/>
      <c r="AU1739" s="87"/>
      <c r="AV1739" s="92" t="str">
        <f>HYPERLINK("https://pbs.twimg.com/profile_images/1674413627514691584/g_rGN6RI_normal.jpg")</f>
        <v>https://pbs.twimg.com/profile_images/1674413627514691584/g_rGN6RI_normal.jpg</v>
      </c>
      <c r="AW1739" s="93" t="s">
        <v>19970</v>
      </c>
      <c r="AX1739" s="93" t="s">
        <v>19970</v>
      </c>
      <c r="AY1739" s="87"/>
      <c r="AZ1739" s="93" t="s">
        <v>22668</v>
      </c>
      <c r="BA1739" s="93" t="s">
        <v>22668</v>
      </c>
      <c r="BB1739" s="93" t="s">
        <v>19969</v>
      </c>
      <c r="BC1739" s="93" t="s">
        <v>19969</v>
      </c>
      <c r="BD1739" s="93" t="s">
        <v>23130</v>
      </c>
      <c r="BE1739" s="87"/>
      <c r="BF1739" s="87"/>
      <c r="BG1739" s="87"/>
      <c r="BH1739" s="87"/>
      <c r="BI1739" s="87"/>
    </row>
    <row r="1740" spans="1:61" x14ac:dyDescent="0.25">
      <c r="A1740" s="63" t="s">
        <v>815</v>
      </c>
      <c r="B1740" s="63" t="s">
        <v>815</v>
      </c>
      <c r="C1740" s="64"/>
      <c r="D1740" s="65"/>
      <c r="E1740" s="66"/>
      <c r="F1740" s="67"/>
      <c r="G1740" s="64"/>
      <c r="H1740" s="68"/>
      <c r="I1740" s="69"/>
      <c r="J1740" s="69"/>
      <c r="K1740" s="32"/>
      <c r="L1740" s="76">
        <v>1740</v>
      </c>
      <c r="M1740" s="76"/>
      <c r="N1740" s="71"/>
      <c r="O1740" s="87" t="s">
        <v>179</v>
      </c>
      <c r="P1740" s="90">
        <v>45175.992152777777</v>
      </c>
      <c r="Q1740" s="87" t="s">
        <v>3534</v>
      </c>
      <c r="R1740" s="87">
        <v>0</v>
      </c>
      <c r="S1740" s="87">
        <v>1</v>
      </c>
      <c r="T1740" s="87">
        <v>1</v>
      </c>
      <c r="U1740" s="87">
        <v>0</v>
      </c>
      <c r="V1740" s="87">
        <v>8</v>
      </c>
      <c r="W1740" s="93" t="s">
        <v>7011</v>
      </c>
      <c r="X1740" s="87"/>
      <c r="Y1740" s="87"/>
      <c r="Z1740" s="87"/>
      <c r="AA1740" s="87" t="s">
        <v>9732</v>
      </c>
      <c r="AB1740" s="87" t="s">
        <v>11448</v>
      </c>
      <c r="AC1740" s="93" t="s">
        <v>11458</v>
      </c>
      <c r="AD1740" s="87" t="s">
        <v>11519</v>
      </c>
      <c r="AE1740" s="92" t="str">
        <f>HYPERLINK("https://twitter.com/aligombr/status/1699570348511903765")</f>
        <v>https://twitter.com/aligombr/status/1699570348511903765</v>
      </c>
      <c r="AF1740" s="90">
        <v>45175.992152777777</v>
      </c>
      <c r="AG1740" s="99">
        <v>45175</v>
      </c>
      <c r="AH1740" s="93" t="s">
        <v>13121</v>
      </c>
      <c r="AI1740" s="87" t="b">
        <v>0</v>
      </c>
      <c r="AJ1740" s="87"/>
      <c r="AK1740" s="87"/>
      <c r="AL1740" s="87"/>
      <c r="AM1740" s="87"/>
      <c r="AN1740" s="87"/>
      <c r="AO1740" s="87"/>
      <c r="AP1740" s="87"/>
      <c r="AQ1740" s="87" t="s">
        <v>16545</v>
      </c>
      <c r="AR1740" s="87"/>
      <c r="AS1740" s="87"/>
      <c r="AT1740" s="87"/>
      <c r="AU1740" s="87"/>
      <c r="AV1740" s="92" t="str">
        <f>HYPERLINK("https://pbs.twimg.com/media/F5YWOHtXMAAwARI.jpg")</f>
        <v>https://pbs.twimg.com/media/F5YWOHtXMAAwARI.jpg</v>
      </c>
      <c r="AW1740" s="93" t="s">
        <v>19971</v>
      </c>
      <c r="AX1740" s="93" t="s">
        <v>19971</v>
      </c>
      <c r="AY1740" s="87"/>
      <c r="AZ1740" s="93" t="s">
        <v>22668</v>
      </c>
      <c r="BA1740" s="93" t="s">
        <v>22668</v>
      </c>
      <c r="BB1740" s="93" t="s">
        <v>22668</v>
      </c>
      <c r="BC1740" s="93" t="s">
        <v>19971</v>
      </c>
      <c r="BD1740" s="93" t="s">
        <v>23131</v>
      </c>
      <c r="BE1740" s="87"/>
      <c r="BF1740" s="87"/>
      <c r="BG1740" s="87"/>
      <c r="BH1740" s="87"/>
      <c r="BI1740" s="87"/>
    </row>
    <row r="1741" spans="1:61" x14ac:dyDescent="0.25">
      <c r="A1741" s="63" t="s">
        <v>816</v>
      </c>
      <c r="B1741" s="63" t="s">
        <v>816</v>
      </c>
      <c r="C1741" s="64"/>
      <c r="D1741" s="65"/>
      <c r="E1741" s="66"/>
      <c r="F1741" s="67"/>
      <c r="G1741" s="64"/>
      <c r="H1741" s="68"/>
      <c r="I1741" s="69"/>
      <c r="J1741" s="69"/>
      <c r="K1741" s="32"/>
      <c r="L1741" s="76">
        <v>1741</v>
      </c>
      <c r="M1741" s="76"/>
      <c r="N1741" s="71"/>
      <c r="O1741" s="87" t="s">
        <v>179</v>
      </c>
      <c r="P1741" s="90">
        <v>45173.750752314816</v>
      </c>
      <c r="Q1741" s="87" t="s">
        <v>3535</v>
      </c>
      <c r="R1741" s="87">
        <v>0</v>
      </c>
      <c r="S1741" s="87">
        <v>0</v>
      </c>
      <c r="T1741" s="87">
        <v>0</v>
      </c>
      <c r="U1741" s="87">
        <v>0</v>
      </c>
      <c r="V1741" s="87">
        <v>30</v>
      </c>
      <c r="W1741" s="93" t="s">
        <v>7012</v>
      </c>
      <c r="X1741" s="92" t="str">
        <f>HYPERLINK("https://buff.ly/3Eo7jer")</f>
        <v>https://buff.ly/3Eo7jer</v>
      </c>
      <c r="Y1741" s="87" t="s">
        <v>8429</v>
      </c>
      <c r="Z1741" s="87"/>
      <c r="AA1741" s="87"/>
      <c r="AB1741" s="87"/>
      <c r="AC1741" s="93" t="s">
        <v>11467</v>
      </c>
      <c r="AD1741" s="87" t="s">
        <v>11519</v>
      </c>
      <c r="AE1741" s="92" t="str">
        <f>HYPERLINK("https://twitter.com/portalvalentlna/status/1698758093511757987")</f>
        <v>https://twitter.com/portalvalentlna/status/1698758093511757987</v>
      </c>
      <c r="AF1741" s="90">
        <v>45173.750752314816</v>
      </c>
      <c r="AG1741" s="99">
        <v>45173</v>
      </c>
      <c r="AH1741" s="93" t="s">
        <v>13122</v>
      </c>
      <c r="AI1741" s="87" t="b">
        <v>0</v>
      </c>
      <c r="AJ1741" s="87"/>
      <c r="AK1741" s="87"/>
      <c r="AL1741" s="87"/>
      <c r="AM1741" s="87"/>
      <c r="AN1741" s="87"/>
      <c r="AO1741" s="87"/>
      <c r="AP1741" s="87"/>
      <c r="AQ1741" s="87"/>
      <c r="AR1741" s="87"/>
      <c r="AS1741" s="87"/>
      <c r="AT1741" s="87"/>
      <c r="AU1741" s="87"/>
      <c r="AV1741" s="92" t="str">
        <f>HYPERLINK("https://pbs.twimg.com/profile_images/1478452280189927426/pi0GK5yK_normal.jpg")</f>
        <v>https://pbs.twimg.com/profile_images/1478452280189927426/pi0GK5yK_normal.jpg</v>
      </c>
      <c r="AW1741" s="93" t="s">
        <v>19972</v>
      </c>
      <c r="AX1741" s="93" t="s">
        <v>19972</v>
      </c>
      <c r="AY1741" s="87"/>
      <c r="AZ1741" s="93" t="s">
        <v>22668</v>
      </c>
      <c r="BA1741" s="93" t="s">
        <v>22668</v>
      </c>
      <c r="BB1741" s="93" t="s">
        <v>22668</v>
      </c>
      <c r="BC1741" s="93" t="s">
        <v>19972</v>
      </c>
      <c r="BD1741" s="87">
        <v>2358738354</v>
      </c>
      <c r="BE1741" s="87"/>
      <c r="BF1741" s="87"/>
      <c r="BG1741" s="87"/>
      <c r="BH1741" s="87"/>
      <c r="BI1741" s="87"/>
    </row>
    <row r="1742" spans="1:61" x14ac:dyDescent="0.25">
      <c r="A1742" s="63" t="s">
        <v>817</v>
      </c>
      <c r="B1742" s="63" t="s">
        <v>817</v>
      </c>
      <c r="C1742" s="64"/>
      <c r="D1742" s="65"/>
      <c r="E1742" s="66"/>
      <c r="F1742" s="67"/>
      <c r="G1742" s="64"/>
      <c r="H1742" s="68"/>
      <c r="I1742" s="69"/>
      <c r="J1742" s="69"/>
      <c r="K1742" s="32"/>
      <c r="L1742" s="76">
        <v>1742</v>
      </c>
      <c r="M1742" s="76"/>
      <c r="N1742" s="71"/>
      <c r="O1742" s="87" t="s">
        <v>179</v>
      </c>
      <c r="P1742" s="90">
        <v>45146.811111111114</v>
      </c>
      <c r="Q1742" s="87" t="s">
        <v>3536</v>
      </c>
      <c r="R1742" s="87">
        <v>0</v>
      </c>
      <c r="S1742" s="87">
        <v>2</v>
      </c>
      <c r="T1742" s="87">
        <v>1</v>
      </c>
      <c r="U1742" s="87">
        <v>0</v>
      </c>
      <c r="V1742" s="87">
        <v>192</v>
      </c>
      <c r="W1742" s="93" t="s">
        <v>7013</v>
      </c>
      <c r="X1742" s="87"/>
      <c r="Y1742" s="87"/>
      <c r="Z1742" s="87"/>
      <c r="AA1742" s="87"/>
      <c r="AB1742" s="87"/>
      <c r="AC1742" s="93" t="s">
        <v>11459</v>
      </c>
      <c r="AD1742" s="87" t="s">
        <v>11519</v>
      </c>
      <c r="AE1742" s="92" t="str">
        <f>HYPERLINK("https://twitter.com/paullosergioz7/status/1688995495421624320")</f>
        <v>https://twitter.com/paullosergioz7/status/1688995495421624320</v>
      </c>
      <c r="AF1742" s="90">
        <v>45146.811111111114</v>
      </c>
      <c r="AG1742" s="99">
        <v>45146</v>
      </c>
      <c r="AH1742" s="93" t="s">
        <v>13123</v>
      </c>
      <c r="AI1742" s="87"/>
      <c r="AJ1742" s="87"/>
      <c r="AK1742" s="87"/>
      <c r="AL1742" s="87"/>
      <c r="AM1742" s="87"/>
      <c r="AN1742" s="87"/>
      <c r="AO1742" s="87"/>
      <c r="AP1742" s="87"/>
      <c r="AQ1742" s="87"/>
      <c r="AR1742" s="87"/>
      <c r="AS1742" s="87"/>
      <c r="AT1742" s="87"/>
      <c r="AU1742" s="87"/>
      <c r="AV1742" s="92" t="str">
        <f>HYPERLINK("https://pbs.twimg.com/profile_images/1675258532818563073/VW_y3cf0_normal.jpg")</f>
        <v>https://pbs.twimg.com/profile_images/1675258532818563073/VW_y3cf0_normal.jpg</v>
      </c>
      <c r="AW1742" s="93" t="s">
        <v>19973</v>
      </c>
      <c r="AX1742" s="93" t="s">
        <v>19973</v>
      </c>
      <c r="AY1742" s="87"/>
      <c r="AZ1742" s="93" t="s">
        <v>22668</v>
      </c>
      <c r="BA1742" s="93" t="s">
        <v>22668</v>
      </c>
      <c r="BB1742" s="93" t="s">
        <v>22668</v>
      </c>
      <c r="BC1742" s="93" t="s">
        <v>19973</v>
      </c>
      <c r="BD1742" s="93" t="s">
        <v>22553</v>
      </c>
      <c r="BE1742" s="87"/>
      <c r="BF1742" s="87"/>
      <c r="BG1742" s="87"/>
      <c r="BH1742" s="87"/>
      <c r="BI1742" s="87"/>
    </row>
    <row r="1743" spans="1:61" x14ac:dyDescent="0.25">
      <c r="A1743" s="63" t="s">
        <v>818</v>
      </c>
      <c r="B1743" s="63" t="s">
        <v>818</v>
      </c>
      <c r="C1743" s="64"/>
      <c r="D1743" s="65"/>
      <c r="E1743" s="66"/>
      <c r="F1743" s="67"/>
      <c r="G1743" s="64"/>
      <c r="H1743" s="68"/>
      <c r="I1743" s="69"/>
      <c r="J1743" s="69"/>
      <c r="K1743" s="32"/>
      <c r="L1743" s="76">
        <v>1743</v>
      </c>
      <c r="M1743" s="76"/>
      <c r="N1743" s="71"/>
      <c r="O1743" s="87" t="s">
        <v>179</v>
      </c>
      <c r="P1743" s="90">
        <v>45185.796817129631</v>
      </c>
      <c r="Q1743" s="87" t="s">
        <v>3537</v>
      </c>
      <c r="R1743" s="87">
        <v>0</v>
      </c>
      <c r="S1743" s="87">
        <v>1</v>
      </c>
      <c r="T1743" s="87">
        <v>0</v>
      </c>
      <c r="U1743" s="87">
        <v>0</v>
      </c>
      <c r="V1743" s="87">
        <v>12</v>
      </c>
      <c r="W1743" s="93" t="s">
        <v>5897</v>
      </c>
      <c r="X1743" s="87"/>
      <c r="Y1743" s="87"/>
      <c r="Z1743" s="87"/>
      <c r="AA1743" s="87"/>
      <c r="AB1743" s="87"/>
      <c r="AC1743" s="93" t="s">
        <v>11459</v>
      </c>
      <c r="AD1743" s="87" t="s">
        <v>11519</v>
      </c>
      <c r="AE1743" s="92" t="str">
        <f>HYPERLINK("https://twitter.com/ludsonsilva15/status/1703123442474627347")</f>
        <v>https://twitter.com/ludsonsilva15/status/1703123442474627347</v>
      </c>
      <c r="AF1743" s="90">
        <v>45185.796817129631</v>
      </c>
      <c r="AG1743" s="99">
        <v>45185</v>
      </c>
      <c r="AH1743" s="93" t="s">
        <v>13124</v>
      </c>
      <c r="AI1743" s="87"/>
      <c r="AJ1743" s="87"/>
      <c r="AK1743" s="87"/>
      <c r="AL1743" s="87"/>
      <c r="AM1743" s="87"/>
      <c r="AN1743" s="87"/>
      <c r="AO1743" s="87"/>
      <c r="AP1743" s="87"/>
      <c r="AQ1743" s="87"/>
      <c r="AR1743" s="87"/>
      <c r="AS1743" s="87"/>
      <c r="AT1743" s="87"/>
      <c r="AU1743" s="87"/>
      <c r="AV1743" s="92" t="str">
        <f>HYPERLINK("https://pbs.twimg.com/profile_images/1691556203556401152/QS-V3TDx_normal.jpg")</f>
        <v>https://pbs.twimg.com/profile_images/1691556203556401152/QS-V3TDx_normal.jpg</v>
      </c>
      <c r="AW1743" s="93" t="s">
        <v>19974</v>
      </c>
      <c r="AX1743" s="93" t="s">
        <v>19974</v>
      </c>
      <c r="AY1743" s="87"/>
      <c r="AZ1743" s="93" t="s">
        <v>22668</v>
      </c>
      <c r="BA1743" s="93" t="s">
        <v>22668</v>
      </c>
      <c r="BB1743" s="93" t="s">
        <v>22668</v>
      </c>
      <c r="BC1743" s="93" t="s">
        <v>19974</v>
      </c>
      <c r="BD1743" s="93" t="s">
        <v>23132</v>
      </c>
      <c r="BE1743" s="87"/>
      <c r="BF1743" s="87"/>
      <c r="BG1743" s="87"/>
      <c r="BH1743" s="87"/>
      <c r="BI1743" s="87"/>
    </row>
    <row r="1744" spans="1:61" x14ac:dyDescent="0.25">
      <c r="A1744" s="63" t="s">
        <v>819</v>
      </c>
      <c r="B1744" s="63" t="s">
        <v>1383</v>
      </c>
      <c r="C1744" s="64"/>
      <c r="D1744" s="65"/>
      <c r="E1744" s="66"/>
      <c r="F1744" s="67"/>
      <c r="G1744" s="64"/>
      <c r="H1744" s="68"/>
      <c r="I1744" s="69"/>
      <c r="J1744" s="69"/>
      <c r="K1744" s="32"/>
      <c r="L1744" s="76">
        <v>1744</v>
      </c>
      <c r="M1744" s="76"/>
      <c r="N1744" s="71"/>
      <c r="O1744" s="87" t="s">
        <v>1842</v>
      </c>
      <c r="P1744" s="90">
        <v>45154.644201388888</v>
      </c>
      <c r="Q1744" s="87" t="s">
        <v>3538</v>
      </c>
      <c r="R1744" s="87">
        <v>0</v>
      </c>
      <c r="S1744" s="87">
        <v>0</v>
      </c>
      <c r="T1744" s="87">
        <v>0</v>
      </c>
      <c r="U1744" s="87">
        <v>0</v>
      </c>
      <c r="V1744" s="87">
        <v>48</v>
      </c>
      <c r="W1744" s="93" t="s">
        <v>7014</v>
      </c>
      <c r="X1744" s="87"/>
      <c r="Y1744" s="87"/>
      <c r="Z1744" s="87"/>
      <c r="AA1744" s="87"/>
      <c r="AB1744" s="87"/>
      <c r="AC1744" s="93" t="s">
        <v>11459</v>
      </c>
      <c r="AD1744" s="87" t="s">
        <v>11519</v>
      </c>
      <c r="AE1744" s="92" t="str">
        <f>HYPERLINK("https://twitter.com/obrasdigitais/status/1691834111927685409")</f>
        <v>https://twitter.com/obrasdigitais/status/1691834111927685409</v>
      </c>
      <c r="AF1744" s="90">
        <v>45154.644201388888</v>
      </c>
      <c r="AG1744" s="99">
        <v>45154</v>
      </c>
      <c r="AH1744" s="93" t="s">
        <v>13125</v>
      </c>
      <c r="AI1744" s="87"/>
      <c r="AJ1744" s="87" t="s">
        <v>15205</v>
      </c>
      <c r="AK1744" s="87" t="s">
        <v>15234</v>
      </c>
      <c r="AL1744" s="87" t="s">
        <v>15237</v>
      </c>
      <c r="AM1744" s="87" t="s">
        <v>15234</v>
      </c>
      <c r="AN1744" s="87" t="s">
        <v>15343</v>
      </c>
      <c r="AO1744" s="87" t="s">
        <v>15234</v>
      </c>
      <c r="AP1744" s="87" t="s">
        <v>15440</v>
      </c>
      <c r="AQ1744" s="87"/>
      <c r="AR1744" s="87"/>
      <c r="AS1744" s="87"/>
      <c r="AT1744" s="87"/>
      <c r="AU1744" s="87"/>
      <c r="AV1744" s="92" t="str">
        <f>HYPERLINK("https://pbs.twimg.com/profile_images/1687331847590547456/wMSu7Qa8_normal.jpg")</f>
        <v>https://pbs.twimg.com/profile_images/1687331847590547456/wMSu7Qa8_normal.jpg</v>
      </c>
      <c r="AW1744" s="93" t="s">
        <v>19975</v>
      </c>
      <c r="AX1744" s="93" t="s">
        <v>19975</v>
      </c>
      <c r="AY1744" s="87"/>
      <c r="AZ1744" s="93" t="s">
        <v>22668</v>
      </c>
      <c r="BA1744" s="93" t="s">
        <v>21745</v>
      </c>
      <c r="BB1744" s="93" t="s">
        <v>22668</v>
      </c>
      <c r="BC1744" s="93" t="s">
        <v>21745</v>
      </c>
      <c r="BD1744" s="87">
        <v>3293231278</v>
      </c>
      <c r="BE1744" s="87"/>
      <c r="BF1744" s="87"/>
      <c r="BG1744" s="87"/>
      <c r="BH1744" s="87"/>
      <c r="BI1744" s="87"/>
    </row>
    <row r="1745" spans="1:61" x14ac:dyDescent="0.25">
      <c r="A1745" s="63" t="s">
        <v>820</v>
      </c>
      <c r="B1745" s="63" t="s">
        <v>820</v>
      </c>
      <c r="C1745" s="64"/>
      <c r="D1745" s="65"/>
      <c r="E1745" s="66"/>
      <c r="F1745" s="67"/>
      <c r="G1745" s="64"/>
      <c r="H1745" s="68"/>
      <c r="I1745" s="69"/>
      <c r="J1745" s="69"/>
      <c r="K1745" s="32"/>
      <c r="L1745" s="76">
        <v>1745</v>
      </c>
      <c r="M1745" s="76"/>
      <c r="N1745" s="71"/>
      <c r="O1745" s="87" t="s">
        <v>179</v>
      </c>
      <c r="P1745" s="90">
        <v>45186.624224537038</v>
      </c>
      <c r="Q1745" s="87" t="s">
        <v>3539</v>
      </c>
      <c r="R1745" s="87">
        <v>0</v>
      </c>
      <c r="S1745" s="87">
        <v>1</v>
      </c>
      <c r="T1745" s="87">
        <v>0</v>
      </c>
      <c r="U1745" s="87">
        <v>0</v>
      </c>
      <c r="V1745" s="87">
        <v>3</v>
      </c>
      <c r="W1745" s="93" t="s">
        <v>7015</v>
      </c>
      <c r="X1745" s="87"/>
      <c r="Y1745" s="87"/>
      <c r="Z1745" s="87"/>
      <c r="AA1745" s="87" t="s">
        <v>9733</v>
      </c>
      <c r="AB1745" s="87" t="s">
        <v>11447</v>
      </c>
      <c r="AC1745" s="93" t="s">
        <v>11459</v>
      </c>
      <c r="AD1745" s="87" t="s">
        <v>11519</v>
      </c>
      <c r="AE1745" s="92" t="str">
        <f>HYPERLINK("https://twitter.com/valormilionario/status/1703423283335508074")</f>
        <v>https://twitter.com/valormilionario/status/1703423283335508074</v>
      </c>
      <c r="AF1745" s="90">
        <v>45186.624224537038</v>
      </c>
      <c r="AG1745" s="99">
        <v>45186</v>
      </c>
      <c r="AH1745" s="93" t="s">
        <v>13126</v>
      </c>
      <c r="AI1745" s="87" t="b">
        <v>0</v>
      </c>
      <c r="AJ1745" s="87"/>
      <c r="AK1745" s="87"/>
      <c r="AL1745" s="87"/>
      <c r="AM1745" s="87"/>
      <c r="AN1745" s="87"/>
      <c r="AO1745" s="87"/>
      <c r="AP1745" s="87"/>
      <c r="AQ1745" s="87" t="s">
        <v>16546</v>
      </c>
      <c r="AR1745" s="87">
        <v>19596</v>
      </c>
      <c r="AS1745" s="87"/>
      <c r="AT1745" s="87"/>
      <c r="AU1745" s="87"/>
      <c r="AV1745" s="92" t="str">
        <f>HYPERLINK("https://pbs.twimg.com/ext_tw_video_thumb/1703423221976993792/pu/img/5Vxt0OXSGwjXw9xD.jpg")</f>
        <v>https://pbs.twimg.com/ext_tw_video_thumb/1703423221976993792/pu/img/5Vxt0OXSGwjXw9xD.jpg</v>
      </c>
      <c r="AW1745" s="93" t="s">
        <v>19976</v>
      </c>
      <c r="AX1745" s="93" t="s">
        <v>19976</v>
      </c>
      <c r="AY1745" s="87"/>
      <c r="AZ1745" s="93" t="s">
        <v>22668</v>
      </c>
      <c r="BA1745" s="93" t="s">
        <v>22668</v>
      </c>
      <c r="BB1745" s="93" t="s">
        <v>22668</v>
      </c>
      <c r="BC1745" s="93" t="s">
        <v>19976</v>
      </c>
      <c r="BD1745" s="93" t="s">
        <v>23133</v>
      </c>
      <c r="BE1745" s="87"/>
      <c r="BF1745" s="87"/>
      <c r="BG1745" s="87"/>
      <c r="BH1745" s="87"/>
      <c r="BI1745" s="87"/>
    </row>
    <row r="1746" spans="1:61" x14ac:dyDescent="0.25">
      <c r="A1746" s="63" t="s">
        <v>821</v>
      </c>
      <c r="B1746" s="63" t="s">
        <v>821</v>
      </c>
      <c r="C1746" s="64"/>
      <c r="D1746" s="65"/>
      <c r="E1746" s="66"/>
      <c r="F1746" s="67"/>
      <c r="G1746" s="64"/>
      <c r="H1746" s="68"/>
      <c r="I1746" s="69"/>
      <c r="J1746" s="69"/>
      <c r="K1746" s="32"/>
      <c r="L1746" s="76">
        <v>1746</v>
      </c>
      <c r="M1746" s="76"/>
      <c r="N1746" s="71"/>
      <c r="O1746" s="87" t="s">
        <v>179</v>
      </c>
      <c r="P1746" s="90">
        <v>45112.520208333335</v>
      </c>
      <c r="Q1746" s="87" t="s">
        <v>3540</v>
      </c>
      <c r="R1746" s="87">
        <v>0</v>
      </c>
      <c r="S1746" s="87">
        <v>0</v>
      </c>
      <c r="T1746" s="87">
        <v>0</v>
      </c>
      <c r="U1746" s="87">
        <v>0</v>
      </c>
      <c r="V1746" s="87">
        <v>17</v>
      </c>
      <c r="W1746" s="93" t="s">
        <v>5897</v>
      </c>
      <c r="X1746" s="87"/>
      <c r="Y1746" s="87"/>
      <c r="Z1746" s="87"/>
      <c r="AA1746" s="87"/>
      <c r="AB1746" s="87"/>
      <c r="AC1746" s="93" t="s">
        <v>11458</v>
      </c>
      <c r="AD1746" s="87" t="s">
        <v>11519</v>
      </c>
      <c r="AE1746" s="92" t="str">
        <f>HYPERLINK("https://twitter.com/bernardokikuthi/status/1676568889126268928")</f>
        <v>https://twitter.com/bernardokikuthi/status/1676568889126268928</v>
      </c>
      <c r="AF1746" s="90">
        <v>45112.520208333335</v>
      </c>
      <c r="AG1746" s="99">
        <v>45112</v>
      </c>
      <c r="AH1746" s="93" t="s">
        <v>13127</v>
      </c>
      <c r="AI1746" s="87"/>
      <c r="AJ1746" s="87"/>
      <c r="AK1746" s="87"/>
      <c r="AL1746" s="87"/>
      <c r="AM1746" s="87"/>
      <c r="AN1746" s="87"/>
      <c r="AO1746" s="87"/>
      <c r="AP1746" s="87"/>
      <c r="AQ1746" s="87"/>
      <c r="AR1746" s="87"/>
      <c r="AS1746" s="87"/>
      <c r="AT1746" s="87"/>
      <c r="AU1746" s="87"/>
      <c r="AV1746" s="92" t="str">
        <f>HYPERLINK("https://pbs.twimg.com/profile_images/1675920426810200064/AGS_7WzJ_normal.jpg")</f>
        <v>https://pbs.twimg.com/profile_images/1675920426810200064/AGS_7WzJ_normal.jpg</v>
      </c>
      <c r="AW1746" s="93" t="s">
        <v>19977</v>
      </c>
      <c r="AX1746" s="93" t="s">
        <v>19977</v>
      </c>
      <c r="AY1746" s="87"/>
      <c r="AZ1746" s="93" t="s">
        <v>22668</v>
      </c>
      <c r="BA1746" s="93" t="s">
        <v>22668</v>
      </c>
      <c r="BB1746" s="93" t="s">
        <v>22668</v>
      </c>
      <c r="BC1746" s="93" t="s">
        <v>19977</v>
      </c>
      <c r="BD1746" s="93" t="s">
        <v>23134</v>
      </c>
      <c r="BE1746" s="87"/>
      <c r="BF1746" s="87"/>
      <c r="BG1746" s="87"/>
      <c r="BH1746" s="87"/>
      <c r="BI1746" s="87"/>
    </row>
    <row r="1747" spans="1:61" x14ac:dyDescent="0.25">
      <c r="A1747" s="63" t="s">
        <v>822</v>
      </c>
      <c r="B1747" s="63" t="s">
        <v>822</v>
      </c>
      <c r="C1747" s="64"/>
      <c r="D1747" s="65"/>
      <c r="E1747" s="66"/>
      <c r="F1747" s="67"/>
      <c r="G1747" s="64"/>
      <c r="H1747" s="68"/>
      <c r="I1747" s="69"/>
      <c r="J1747" s="69"/>
      <c r="K1747" s="32"/>
      <c r="L1747" s="76">
        <v>1747</v>
      </c>
      <c r="M1747" s="76"/>
      <c r="N1747" s="71"/>
      <c r="O1747" s="87" t="s">
        <v>179</v>
      </c>
      <c r="P1747" s="90">
        <v>45125.105138888888</v>
      </c>
      <c r="Q1747" s="87" t="s">
        <v>3541</v>
      </c>
      <c r="R1747" s="87">
        <v>2</v>
      </c>
      <c r="S1747" s="87">
        <v>3</v>
      </c>
      <c r="T1747" s="87">
        <v>0</v>
      </c>
      <c r="U1747" s="87">
        <v>0</v>
      </c>
      <c r="V1747" s="87">
        <v>16</v>
      </c>
      <c r="W1747" s="93" t="s">
        <v>7016</v>
      </c>
      <c r="X1747" s="92" t="str">
        <f>HYPERLINK("http://futuro.ooo/servicos")</f>
        <v>http://futuro.ooo/servicos</v>
      </c>
      <c r="Y1747" s="87" t="s">
        <v>8468</v>
      </c>
      <c r="Z1747" s="87"/>
      <c r="AA1747" s="87" t="s">
        <v>9734</v>
      </c>
      <c r="AB1747" s="87" t="s">
        <v>11448</v>
      </c>
      <c r="AC1747" s="93" t="s">
        <v>11457</v>
      </c>
      <c r="AD1747" s="87" t="s">
        <v>11520</v>
      </c>
      <c r="AE1747" s="92" t="str">
        <f>HYPERLINK("https://twitter.com/futuroservicos/status/1681129513944481793")</f>
        <v>https://twitter.com/futuroservicos/status/1681129513944481793</v>
      </c>
      <c r="AF1747" s="90">
        <v>45125.105138888888</v>
      </c>
      <c r="AG1747" s="99">
        <v>45125</v>
      </c>
      <c r="AH1747" s="93" t="s">
        <v>13128</v>
      </c>
      <c r="AI1747" s="87" t="b">
        <v>0</v>
      </c>
      <c r="AJ1747" s="87"/>
      <c r="AK1747" s="87"/>
      <c r="AL1747" s="87"/>
      <c r="AM1747" s="87"/>
      <c r="AN1747" s="87"/>
      <c r="AO1747" s="87"/>
      <c r="AP1747" s="87"/>
      <c r="AQ1747" s="87" t="s">
        <v>16547</v>
      </c>
      <c r="AR1747" s="87"/>
      <c r="AS1747" s="87"/>
      <c r="AT1747" s="87"/>
      <c r="AU1747" s="87"/>
      <c r="AV1747" s="92" t="str">
        <f>HYPERLINK("https://pbs.twimg.com/media/F1SSPvdXgAIXSbx.png")</f>
        <v>https://pbs.twimg.com/media/F1SSPvdXgAIXSbx.png</v>
      </c>
      <c r="AW1747" s="93" t="s">
        <v>19978</v>
      </c>
      <c r="AX1747" s="93" t="s">
        <v>19978</v>
      </c>
      <c r="AY1747" s="87"/>
      <c r="AZ1747" s="93" t="s">
        <v>22668</v>
      </c>
      <c r="BA1747" s="93" t="s">
        <v>22668</v>
      </c>
      <c r="BB1747" s="93" t="s">
        <v>22668</v>
      </c>
      <c r="BC1747" s="93" t="s">
        <v>19978</v>
      </c>
      <c r="BD1747" s="93" t="s">
        <v>23135</v>
      </c>
      <c r="BE1747" s="87"/>
      <c r="BF1747" s="87"/>
      <c r="BG1747" s="87"/>
      <c r="BH1747" s="87"/>
      <c r="BI1747" s="87"/>
    </row>
    <row r="1748" spans="1:61" x14ac:dyDescent="0.25">
      <c r="A1748" s="63" t="s">
        <v>823</v>
      </c>
      <c r="B1748" s="63" t="s">
        <v>823</v>
      </c>
      <c r="C1748" s="64"/>
      <c r="D1748" s="65"/>
      <c r="E1748" s="66"/>
      <c r="F1748" s="67"/>
      <c r="G1748" s="64"/>
      <c r="H1748" s="68"/>
      <c r="I1748" s="69"/>
      <c r="J1748" s="69"/>
      <c r="K1748" s="32"/>
      <c r="L1748" s="76">
        <v>1748</v>
      </c>
      <c r="M1748" s="76"/>
      <c r="N1748" s="71"/>
      <c r="O1748" s="87" t="s">
        <v>179</v>
      </c>
      <c r="P1748" s="90">
        <v>45113.843148148146</v>
      </c>
      <c r="Q1748" s="87" t="s">
        <v>3542</v>
      </c>
      <c r="R1748" s="87">
        <v>0</v>
      </c>
      <c r="S1748" s="87">
        <v>0</v>
      </c>
      <c r="T1748" s="87">
        <v>0</v>
      </c>
      <c r="U1748" s="87">
        <v>0</v>
      </c>
      <c r="V1748" s="87">
        <v>5</v>
      </c>
      <c r="W1748" s="93" t="s">
        <v>7017</v>
      </c>
      <c r="X1748" s="87"/>
      <c r="Y1748" s="87"/>
      <c r="Z1748" s="87"/>
      <c r="AA1748" s="87" t="s">
        <v>9735</v>
      </c>
      <c r="AB1748" s="87" t="s">
        <v>11448</v>
      </c>
      <c r="AC1748" s="93" t="s">
        <v>11462</v>
      </c>
      <c r="AD1748" s="87" t="s">
        <v>11519</v>
      </c>
      <c r="AE1748" s="92" t="str">
        <f>HYPERLINK("https://twitter.com/robfelix/status/1677048304364838912")</f>
        <v>https://twitter.com/robfelix/status/1677048304364838912</v>
      </c>
      <c r="AF1748" s="90">
        <v>45113.843148148146</v>
      </c>
      <c r="AG1748" s="99">
        <v>45113</v>
      </c>
      <c r="AH1748" s="93" t="s">
        <v>13129</v>
      </c>
      <c r="AI1748" s="87" t="b">
        <v>0</v>
      </c>
      <c r="AJ1748" s="87"/>
      <c r="AK1748" s="87"/>
      <c r="AL1748" s="87"/>
      <c r="AM1748" s="87"/>
      <c r="AN1748" s="87"/>
      <c r="AO1748" s="87"/>
      <c r="AP1748" s="87"/>
      <c r="AQ1748" s="87" t="s">
        <v>16548</v>
      </c>
      <c r="AR1748" s="87"/>
      <c r="AS1748" s="87"/>
      <c r="AT1748" s="87"/>
      <c r="AU1748" s="87"/>
      <c r="AV1748" s="92" t="str">
        <f>HYPERLINK("https://pbs.twimg.com/media/F0YSi4JWIAc63pL.jpg")</f>
        <v>https://pbs.twimg.com/media/F0YSi4JWIAc63pL.jpg</v>
      </c>
      <c r="AW1748" s="93" t="s">
        <v>19979</v>
      </c>
      <c r="AX1748" s="93" t="s">
        <v>19979</v>
      </c>
      <c r="AY1748" s="87"/>
      <c r="AZ1748" s="93" t="s">
        <v>22668</v>
      </c>
      <c r="BA1748" s="93" t="s">
        <v>22668</v>
      </c>
      <c r="BB1748" s="93" t="s">
        <v>22668</v>
      </c>
      <c r="BC1748" s="93" t="s">
        <v>19979</v>
      </c>
      <c r="BD1748" s="93" t="s">
        <v>23136</v>
      </c>
      <c r="BE1748" s="87"/>
      <c r="BF1748" s="87"/>
      <c r="BG1748" s="87"/>
      <c r="BH1748" s="87"/>
      <c r="BI1748" s="87"/>
    </row>
    <row r="1749" spans="1:61" x14ac:dyDescent="0.25">
      <c r="A1749" s="63" t="s">
        <v>823</v>
      </c>
      <c r="B1749" s="63" t="s">
        <v>823</v>
      </c>
      <c r="C1749" s="64"/>
      <c r="D1749" s="65"/>
      <c r="E1749" s="66"/>
      <c r="F1749" s="67"/>
      <c r="G1749" s="64"/>
      <c r="H1749" s="68"/>
      <c r="I1749" s="69"/>
      <c r="J1749" s="69"/>
      <c r="K1749" s="32"/>
      <c r="L1749" s="76">
        <v>1749</v>
      </c>
      <c r="M1749" s="76"/>
      <c r="N1749" s="71"/>
      <c r="O1749" s="87" t="s">
        <v>179</v>
      </c>
      <c r="P1749" s="90">
        <v>45112.890381944446</v>
      </c>
      <c r="Q1749" s="87" t="s">
        <v>3543</v>
      </c>
      <c r="R1749" s="87">
        <v>0</v>
      </c>
      <c r="S1749" s="87">
        <v>0</v>
      </c>
      <c r="T1749" s="87">
        <v>0</v>
      </c>
      <c r="U1749" s="87">
        <v>0</v>
      </c>
      <c r="V1749" s="87">
        <v>11</v>
      </c>
      <c r="W1749" s="93" t="s">
        <v>7018</v>
      </c>
      <c r="X1749" s="87"/>
      <c r="Y1749" s="87"/>
      <c r="Z1749" s="87"/>
      <c r="AA1749" s="87" t="s">
        <v>9736</v>
      </c>
      <c r="AB1749" s="87" t="s">
        <v>11448</v>
      </c>
      <c r="AC1749" s="93" t="s">
        <v>11462</v>
      </c>
      <c r="AD1749" s="87" t="s">
        <v>11519</v>
      </c>
      <c r="AE1749" s="92" t="str">
        <f>HYPERLINK("https://twitter.com/robfelix/status/1676703032942239745")</f>
        <v>https://twitter.com/robfelix/status/1676703032942239745</v>
      </c>
      <c r="AF1749" s="90">
        <v>45112.890381944446</v>
      </c>
      <c r="AG1749" s="99">
        <v>45112</v>
      </c>
      <c r="AH1749" s="93" t="s">
        <v>13130</v>
      </c>
      <c r="AI1749" s="87" t="b">
        <v>0</v>
      </c>
      <c r="AJ1749" s="87"/>
      <c r="AK1749" s="87"/>
      <c r="AL1749" s="87"/>
      <c r="AM1749" s="87"/>
      <c r="AN1749" s="87"/>
      <c r="AO1749" s="87"/>
      <c r="AP1749" s="87"/>
      <c r="AQ1749" s="87" t="s">
        <v>16549</v>
      </c>
      <c r="AR1749" s="87"/>
      <c r="AS1749" s="87"/>
      <c r="AT1749" s="87"/>
      <c r="AU1749" s="87"/>
      <c r="AV1749" s="92" t="str">
        <f>HYPERLINK("https://pbs.twimg.com/media/F0TYhdcWAAAMaUK.jpg")</f>
        <v>https://pbs.twimg.com/media/F0TYhdcWAAAMaUK.jpg</v>
      </c>
      <c r="AW1749" s="93" t="s">
        <v>19980</v>
      </c>
      <c r="AX1749" s="93" t="s">
        <v>19980</v>
      </c>
      <c r="AY1749" s="87"/>
      <c r="AZ1749" s="93" t="s">
        <v>22668</v>
      </c>
      <c r="BA1749" s="93" t="s">
        <v>22668</v>
      </c>
      <c r="BB1749" s="93" t="s">
        <v>22668</v>
      </c>
      <c r="BC1749" s="93" t="s">
        <v>19980</v>
      </c>
      <c r="BD1749" s="93" t="s">
        <v>23136</v>
      </c>
      <c r="BE1749" s="87"/>
      <c r="BF1749" s="87"/>
      <c r="BG1749" s="87"/>
      <c r="BH1749" s="87"/>
      <c r="BI1749" s="87"/>
    </row>
    <row r="1750" spans="1:61" x14ac:dyDescent="0.25">
      <c r="A1750" s="63" t="s">
        <v>824</v>
      </c>
      <c r="B1750" s="63" t="s">
        <v>824</v>
      </c>
      <c r="C1750" s="64"/>
      <c r="D1750" s="65"/>
      <c r="E1750" s="66"/>
      <c r="F1750" s="67"/>
      <c r="G1750" s="64"/>
      <c r="H1750" s="68"/>
      <c r="I1750" s="69"/>
      <c r="J1750" s="69"/>
      <c r="K1750" s="32"/>
      <c r="L1750" s="76">
        <v>1750</v>
      </c>
      <c r="M1750" s="76"/>
      <c r="N1750" s="71"/>
      <c r="O1750" s="87" t="s">
        <v>1840</v>
      </c>
      <c r="P1750" s="90">
        <v>45148.894965277781</v>
      </c>
      <c r="Q1750" s="87" t="s">
        <v>3544</v>
      </c>
      <c r="R1750" s="87">
        <v>0</v>
      </c>
      <c r="S1750" s="87">
        <v>0</v>
      </c>
      <c r="T1750" s="87">
        <v>0</v>
      </c>
      <c r="U1750" s="87">
        <v>0</v>
      </c>
      <c r="V1750" s="87">
        <v>15</v>
      </c>
      <c r="W1750" s="93" t="s">
        <v>7019</v>
      </c>
      <c r="X1750" s="87"/>
      <c r="Y1750" s="87"/>
      <c r="Z1750" s="87"/>
      <c r="AA1750" s="87"/>
      <c r="AB1750" s="87"/>
      <c r="AC1750" s="93" t="s">
        <v>11459</v>
      </c>
      <c r="AD1750" s="87" t="s">
        <v>11519</v>
      </c>
      <c r="AE1750" s="92" t="str">
        <f>HYPERLINK("https://twitter.com/opretojohn/status/1689750657127899137")</f>
        <v>https://twitter.com/opretojohn/status/1689750657127899137</v>
      </c>
      <c r="AF1750" s="90">
        <v>45148.894965277781</v>
      </c>
      <c r="AG1750" s="99">
        <v>45148</v>
      </c>
      <c r="AH1750" s="93" t="s">
        <v>13131</v>
      </c>
      <c r="AI1750" s="87"/>
      <c r="AJ1750" s="87"/>
      <c r="AK1750" s="87"/>
      <c r="AL1750" s="87"/>
      <c r="AM1750" s="87"/>
      <c r="AN1750" s="87"/>
      <c r="AO1750" s="87"/>
      <c r="AP1750" s="87"/>
      <c r="AQ1750" s="87"/>
      <c r="AR1750" s="87"/>
      <c r="AS1750" s="87"/>
      <c r="AT1750" s="87"/>
      <c r="AU1750" s="87"/>
      <c r="AV1750" s="92" t="str">
        <f>HYPERLINK("https://pbs.twimg.com/profile_images/1247482290709639168/vblszaDz_normal.jpg")</f>
        <v>https://pbs.twimg.com/profile_images/1247482290709639168/vblszaDz_normal.jpg</v>
      </c>
      <c r="AW1750" s="93" t="s">
        <v>19981</v>
      </c>
      <c r="AX1750" s="93" t="s">
        <v>22396</v>
      </c>
      <c r="AY1750" s="93" t="s">
        <v>22582</v>
      </c>
      <c r="AZ1750" s="93" t="s">
        <v>22396</v>
      </c>
      <c r="BA1750" s="93" t="s">
        <v>22668</v>
      </c>
      <c r="BB1750" s="93" t="s">
        <v>22668</v>
      </c>
      <c r="BC1750" s="93" t="s">
        <v>22396</v>
      </c>
      <c r="BD1750" s="93" t="s">
        <v>22582</v>
      </c>
      <c r="BE1750" s="87"/>
      <c r="BF1750" s="87"/>
      <c r="BG1750" s="87"/>
      <c r="BH1750" s="87"/>
      <c r="BI1750" s="87"/>
    </row>
    <row r="1751" spans="1:61" x14ac:dyDescent="0.25">
      <c r="A1751" s="63" t="s">
        <v>825</v>
      </c>
      <c r="B1751" s="63" t="s">
        <v>825</v>
      </c>
      <c r="C1751" s="64"/>
      <c r="D1751" s="65"/>
      <c r="E1751" s="66"/>
      <c r="F1751" s="67"/>
      <c r="G1751" s="64"/>
      <c r="H1751" s="68"/>
      <c r="I1751" s="69"/>
      <c r="J1751" s="69"/>
      <c r="K1751" s="32"/>
      <c r="L1751" s="76">
        <v>1751</v>
      </c>
      <c r="M1751" s="76"/>
      <c r="N1751" s="71"/>
      <c r="O1751" s="87" t="s">
        <v>179</v>
      </c>
      <c r="P1751" s="90">
        <v>45114.458796296298</v>
      </c>
      <c r="Q1751" s="87" t="s">
        <v>3545</v>
      </c>
      <c r="R1751" s="87">
        <v>0</v>
      </c>
      <c r="S1751" s="87">
        <v>0</v>
      </c>
      <c r="T1751" s="87">
        <v>0</v>
      </c>
      <c r="U1751" s="87">
        <v>0</v>
      </c>
      <c r="V1751" s="87">
        <v>26</v>
      </c>
      <c r="W1751" s="93" t="s">
        <v>7020</v>
      </c>
      <c r="X1751" s="87"/>
      <c r="Y1751" s="87"/>
      <c r="Z1751" s="87"/>
      <c r="AA1751" s="87" t="s">
        <v>9737</v>
      </c>
      <c r="AB1751" s="87" t="s">
        <v>11448</v>
      </c>
      <c r="AC1751" s="93" t="s">
        <v>11460</v>
      </c>
      <c r="AD1751" s="87" t="s">
        <v>11519</v>
      </c>
      <c r="AE1751" s="92" t="str">
        <f>HYPERLINK("https://twitter.com/pauloro15660532/status/1677271409452625921")</f>
        <v>https://twitter.com/pauloro15660532/status/1677271409452625921</v>
      </c>
      <c r="AF1751" s="90">
        <v>45114.458796296298</v>
      </c>
      <c r="AG1751" s="99">
        <v>45114</v>
      </c>
      <c r="AH1751" s="93" t="s">
        <v>13132</v>
      </c>
      <c r="AI1751" s="87" t="b">
        <v>0</v>
      </c>
      <c r="AJ1751" s="87"/>
      <c r="AK1751" s="87"/>
      <c r="AL1751" s="87"/>
      <c r="AM1751" s="87"/>
      <c r="AN1751" s="87"/>
      <c r="AO1751" s="87"/>
      <c r="AP1751" s="87"/>
      <c r="AQ1751" s="87" t="s">
        <v>16550</v>
      </c>
      <c r="AR1751" s="87"/>
      <c r="AS1751" s="87"/>
      <c r="AT1751" s="87"/>
      <c r="AU1751" s="87"/>
      <c r="AV1751" s="92" t="str">
        <f>HYPERLINK("https://pbs.twimg.com/media/F0bddXbXsAAT-up.jpg")</f>
        <v>https://pbs.twimg.com/media/F0bddXbXsAAT-up.jpg</v>
      </c>
      <c r="AW1751" s="93" t="s">
        <v>19982</v>
      </c>
      <c r="AX1751" s="93" t="s">
        <v>19982</v>
      </c>
      <c r="AY1751" s="87"/>
      <c r="AZ1751" s="93" t="s">
        <v>22668</v>
      </c>
      <c r="BA1751" s="93" t="s">
        <v>22668</v>
      </c>
      <c r="BB1751" s="93" t="s">
        <v>22668</v>
      </c>
      <c r="BC1751" s="93" t="s">
        <v>19982</v>
      </c>
      <c r="BD1751" s="93" t="s">
        <v>23137</v>
      </c>
      <c r="BE1751" s="87"/>
      <c r="BF1751" s="87"/>
      <c r="BG1751" s="87"/>
      <c r="BH1751" s="87"/>
      <c r="BI1751" s="87"/>
    </row>
    <row r="1752" spans="1:61" x14ac:dyDescent="0.25">
      <c r="A1752" s="63" t="s">
        <v>825</v>
      </c>
      <c r="B1752" s="63" t="s">
        <v>825</v>
      </c>
      <c r="C1752" s="64"/>
      <c r="D1752" s="65"/>
      <c r="E1752" s="66"/>
      <c r="F1752" s="67"/>
      <c r="G1752" s="64"/>
      <c r="H1752" s="68"/>
      <c r="I1752" s="69"/>
      <c r="J1752" s="69"/>
      <c r="K1752" s="32"/>
      <c r="L1752" s="76">
        <v>1752</v>
      </c>
      <c r="M1752" s="76"/>
      <c r="N1752" s="71"/>
      <c r="O1752" s="87" t="s">
        <v>179</v>
      </c>
      <c r="P1752" s="90">
        <v>45113.566099537034</v>
      </c>
      <c r="Q1752" s="87" t="s">
        <v>3546</v>
      </c>
      <c r="R1752" s="87">
        <v>0</v>
      </c>
      <c r="S1752" s="87">
        <v>1</v>
      </c>
      <c r="T1752" s="87">
        <v>0</v>
      </c>
      <c r="U1752" s="87">
        <v>0</v>
      </c>
      <c r="V1752" s="87">
        <v>16</v>
      </c>
      <c r="W1752" s="93" t="s">
        <v>7021</v>
      </c>
      <c r="X1752" s="87"/>
      <c r="Y1752" s="87"/>
      <c r="Z1752" s="87"/>
      <c r="AA1752" s="87" t="s">
        <v>9738</v>
      </c>
      <c r="AB1752" s="87" t="s">
        <v>11448</v>
      </c>
      <c r="AC1752" s="93" t="s">
        <v>11460</v>
      </c>
      <c r="AD1752" s="87" t="s">
        <v>11520</v>
      </c>
      <c r="AE1752" s="92" t="str">
        <f>HYPERLINK("https://twitter.com/pauloro15660532/status/1676947904504778753")</f>
        <v>https://twitter.com/pauloro15660532/status/1676947904504778753</v>
      </c>
      <c r="AF1752" s="90">
        <v>45113.566099537034</v>
      </c>
      <c r="AG1752" s="99">
        <v>45113</v>
      </c>
      <c r="AH1752" s="93" t="s">
        <v>13133</v>
      </c>
      <c r="AI1752" s="87" t="b">
        <v>0</v>
      </c>
      <c r="AJ1752" s="87"/>
      <c r="AK1752" s="87"/>
      <c r="AL1752" s="87"/>
      <c r="AM1752" s="87"/>
      <c r="AN1752" s="87"/>
      <c r="AO1752" s="87"/>
      <c r="AP1752" s="87"/>
      <c r="AQ1752" s="87" t="s">
        <v>16551</v>
      </c>
      <c r="AR1752" s="87"/>
      <c r="AS1752" s="87"/>
      <c r="AT1752" s="87"/>
      <c r="AU1752" s="87"/>
      <c r="AV1752" s="92" t="str">
        <f>HYPERLINK("https://pbs.twimg.com/media/F0W3O5eWYAAnySA.jpg")</f>
        <v>https://pbs.twimg.com/media/F0W3O5eWYAAnySA.jpg</v>
      </c>
      <c r="AW1752" s="93" t="s">
        <v>19983</v>
      </c>
      <c r="AX1752" s="93" t="s">
        <v>19983</v>
      </c>
      <c r="AY1752" s="87"/>
      <c r="AZ1752" s="93" t="s">
        <v>22668</v>
      </c>
      <c r="BA1752" s="93" t="s">
        <v>22668</v>
      </c>
      <c r="BB1752" s="93" t="s">
        <v>22668</v>
      </c>
      <c r="BC1752" s="93" t="s">
        <v>19983</v>
      </c>
      <c r="BD1752" s="93" t="s">
        <v>23137</v>
      </c>
      <c r="BE1752" s="87"/>
      <c r="BF1752" s="87"/>
      <c r="BG1752" s="87"/>
      <c r="BH1752" s="87"/>
      <c r="BI1752" s="87"/>
    </row>
    <row r="1753" spans="1:61" x14ac:dyDescent="0.25">
      <c r="A1753" s="63" t="s">
        <v>826</v>
      </c>
      <c r="B1753" s="63" t="s">
        <v>826</v>
      </c>
      <c r="C1753" s="64"/>
      <c r="D1753" s="65"/>
      <c r="E1753" s="66"/>
      <c r="F1753" s="67"/>
      <c r="G1753" s="64"/>
      <c r="H1753" s="68"/>
      <c r="I1753" s="69"/>
      <c r="J1753" s="69"/>
      <c r="K1753" s="32"/>
      <c r="L1753" s="76">
        <v>1753</v>
      </c>
      <c r="M1753" s="76"/>
      <c r="N1753" s="71"/>
      <c r="O1753" s="87" t="s">
        <v>179</v>
      </c>
      <c r="P1753" s="90">
        <v>45187.499027777776</v>
      </c>
      <c r="Q1753" s="87" t="s">
        <v>3547</v>
      </c>
      <c r="R1753" s="87">
        <v>0</v>
      </c>
      <c r="S1753" s="87">
        <v>0</v>
      </c>
      <c r="T1753" s="87">
        <v>0</v>
      </c>
      <c r="U1753" s="87">
        <v>0</v>
      </c>
      <c r="V1753" s="87">
        <v>51</v>
      </c>
      <c r="W1753" s="93" t="s">
        <v>7022</v>
      </c>
      <c r="X1753" s="87"/>
      <c r="Y1753" s="87"/>
      <c r="Z1753" s="87"/>
      <c r="AA1753" s="87" t="s">
        <v>9739</v>
      </c>
      <c r="AB1753" s="87" t="s">
        <v>11448</v>
      </c>
      <c r="AC1753" s="93" t="s">
        <v>11459</v>
      </c>
      <c r="AD1753" s="87" t="s">
        <v>11519</v>
      </c>
      <c r="AE1753" s="92" t="str">
        <f>HYPERLINK("https://twitter.com/delicias_dmaria/status/1703740300647133660")</f>
        <v>https://twitter.com/delicias_dmaria/status/1703740300647133660</v>
      </c>
      <c r="AF1753" s="90">
        <v>45187.499027777776</v>
      </c>
      <c r="AG1753" s="99">
        <v>45187</v>
      </c>
      <c r="AH1753" s="93" t="s">
        <v>13134</v>
      </c>
      <c r="AI1753" s="87" t="b">
        <v>0</v>
      </c>
      <c r="AJ1753" s="87" t="s">
        <v>15206</v>
      </c>
      <c r="AK1753" s="87" t="s">
        <v>15234</v>
      </c>
      <c r="AL1753" s="87" t="s">
        <v>15237</v>
      </c>
      <c r="AM1753" s="87" t="s">
        <v>15277</v>
      </c>
      <c r="AN1753" s="87" t="s">
        <v>15344</v>
      </c>
      <c r="AO1753" s="87" t="s">
        <v>15409</v>
      </c>
      <c r="AP1753" s="87" t="s">
        <v>15438</v>
      </c>
      <c r="AQ1753" s="87" t="s">
        <v>16552</v>
      </c>
      <c r="AR1753" s="87"/>
      <c r="AS1753" s="87"/>
      <c r="AT1753" s="87"/>
      <c r="AU1753" s="87"/>
      <c r="AV1753" s="92" t="str">
        <f>HYPERLINK("https://pbs.twimg.com/media/F6Tmxi2XAAAcr32.jpg")</f>
        <v>https://pbs.twimg.com/media/F6Tmxi2XAAAcr32.jpg</v>
      </c>
      <c r="AW1753" s="93" t="s">
        <v>19984</v>
      </c>
      <c r="AX1753" s="93" t="s">
        <v>19984</v>
      </c>
      <c r="AY1753" s="87"/>
      <c r="AZ1753" s="93" t="s">
        <v>22668</v>
      </c>
      <c r="BA1753" s="93" t="s">
        <v>22668</v>
      </c>
      <c r="BB1753" s="93" t="s">
        <v>22668</v>
      </c>
      <c r="BC1753" s="93" t="s">
        <v>19984</v>
      </c>
      <c r="BD1753" s="93" t="s">
        <v>23138</v>
      </c>
      <c r="BE1753" s="87"/>
      <c r="BF1753" s="87"/>
      <c r="BG1753" s="87"/>
      <c r="BH1753" s="87"/>
      <c r="BI1753" s="87"/>
    </row>
    <row r="1754" spans="1:61" x14ac:dyDescent="0.25">
      <c r="A1754" s="63" t="s">
        <v>827</v>
      </c>
      <c r="B1754" s="63" t="s">
        <v>827</v>
      </c>
      <c r="C1754" s="64"/>
      <c r="D1754" s="65"/>
      <c r="E1754" s="66"/>
      <c r="F1754" s="67"/>
      <c r="G1754" s="64"/>
      <c r="H1754" s="68"/>
      <c r="I1754" s="69"/>
      <c r="J1754" s="69"/>
      <c r="K1754" s="32"/>
      <c r="L1754" s="76">
        <v>1754</v>
      </c>
      <c r="M1754" s="76"/>
      <c r="N1754" s="71"/>
      <c r="O1754" s="87" t="s">
        <v>179</v>
      </c>
      <c r="P1754" s="90">
        <v>45192.550370370373</v>
      </c>
      <c r="Q1754" s="87" t="s">
        <v>3548</v>
      </c>
      <c r="R1754" s="87">
        <v>0</v>
      </c>
      <c r="S1754" s="87">
        <v>1</v>
      </c>
      <c r="T1754" s="87">
        <v>1</v>
      </c>
      <c r="U1754" s="87">
        <v>0</v>
      </c>
      <c r="V1754" s="87">
        <v>169</v>
      </c>
      <c r="W1754" s="93" t="s">
        <v>1737</v>
      </c>
      <c r="X1754" s="87"/>
      <c r="Y1754" s="87"/>
      <c r="Z1754" s="87"/>
      <c r="AA1754" s="87"/>
      <c r="AB1754" s="87"/>
      <c r="AC1754" s="93" t="s">
        <v>11458</v>
      </c>
      <c r="AD1754" s="87" t="s">
        <v>11519</v>
      </c>
      <c r="AE1754" s="92" t="str">
        <f>HYPERLINK("https://twitter.com/andrecolles/status/1705570844800348523")</f>
        <v>https://twitter.com/andrecolles/status/1705570844800348523</v>
      </c>
      <c r="AF1754" s="90">
        <v>45192.550370370373</v>
      </c>
      <c r="AG1754" s="99">
        <v>45192</v>
      </c>
      <c r="AH1754" s="93" t="s">
        <v>13135</v>
      </c>
      <c r="AI1754" s="87"/>
      <c r="AJ1754" s="87"/>
      <c r="AK1754" s="87"/>
      <c r="AL1754" s="87"/>
      <c r="AM1754" s="87"/>
      <c r="AN1754" s="87"/>
      <c r="AO1754" s="87"/>
      <c r="AP1754" s="87"/>
      <c r="AQ1754" s="87"/>
      <c r="AR1754" s="87"/>
      <c r="AS1754" s="87"/>
      <c r="AT1754" s="87"/>
      <c r="AU1754" s="87"/>
      <c r="AV1754" s="92" t="str">
        <f>HYPERLINK("https://pbs.twimg.com/profile_images/1702501314926690304/ViyXW0hj_normal.jpg")</f>
        <v>https://pbs.twimg.com/profile_images/1702501314926690304/ViyXW0hj_normal.jpg</v>
      </c>
      <c r="AW1754" s="93" t="s">
        <v>19985</v>
      </c>
      <c r="AX1754" s="93" t="s">
        <v>19985</v>
      </c>
      <c r="AY1754" s="87"/>
      <c r="AZ1754" s="93" t="s">
        <v>22668</v>
      </c>
      <c r="BA1754" s="93" t="s">
        <v>22668</v>
      </c>
      <c r="BB1754" s="93" t="s">
        <v>22668</v>
      </c>
      <c r="BC1754" s="93" t="s">
        <v>19985</v>
      </c>
      <c r="BD1754" s="93" t="s">
        <v>23139</v>
      </c>
      <c r="BE1754" s="87"/>
      <c r="BF1754" s="87"/>
      <c r="BG1754" s="87"/>
      <c r="BH1754" s="87"/>
      <c r="BI1754" s="87"/>
    </row>
    <row r="1755" spans="1:61" x14ac:dyDescent="0.25">
      <c r="A1755" s="63" t="s">
        <v>828</v>
      </c>
      <c r="B1755" s="63" t="s">
        <v>828</v>
      </c>
      <c r="C1755" s="64"/>
      <c r="D1755" s="65"/>
      <c r="E1755" s="66"/>
      <c r="F1755" s="67"/>
      <c r="G1755" s="64"/>
      <c r="H1755" s="68"/>
      <c r="I1755" s="69"/>
      <c r="J1755" s="69"/>
      <c r="K1755" s="32"/>
      <c r="L1755" s="76">
        <v>1755</v>
      </c>
      <c r="M1755" s="76"/>
      <c r="N1755" s="71"/>
      <c r="O1755" s="87" t="s">
        <v>179</v>
      </c>
      <c r="P1755" s="90">
        <v>45134.226284722223</v>
      </c>
      <c r="Q1755" s="87" t="s">
        <v>3549</v>
      </c>
      <c r="R1755" s="87">
        <v>0</v>
      </c>
      <c r="S1755" s="87">
        <v>0</v>
      </c>
      <c r="T1755" s="87">
        <v>0</v>
      </c>
      <c r="U1755" s="87">
        <v>0</v>
      </c>
      <c r="V1755" s="87">
        <v>10</v>
      </c>
      <c r="W1755" s="93" t="s">
        <v>7023</v>
      </c>
      <c r="X1755" s="87"/>
      <c r="Y1755" s="87"/>
      <c r="Z1755" s="87"/>
      <c r="AA1755" s="87"/>
      <c r="AB1755" s="87"/>
      <c r="AC1755" s="93" t="s">
        <v>11459</v>
      </c>
      <c r="AD1755" s="87" t="s">
        <v>11519</v>
      </c>
      <c r="AE1755" s="92" t="str">
        <f>HYPERLINK("https://twitter.com/fabriziohraofc/status/1684434907647410184")</f>
        <v>https://twitter.com/fabriziohraofc/status/1684434907647410184</v>
      </c>
      <c r="AF1755" s="90">
        <v>45134.226284722223</v>
      </c>
      <c r="AG1755" s="99">
        <v>45134</v>
      </c>
      <c r="AH1755" s="93" t="s">
        <v>13136</v>
      </c>
      <c r="AI1755" s="87"/>
      <c r="AJ1755" s="87"/>
      <c r="AK1755" s="87"/>
      <c r="AL1755" s="87"/>
      <c r="AM1755" s="87"/>
      <c r="AN1755" s="87"/>
      <c r="AO1755" s="87"/>
      <c r="AP1755" s="87"/>
      <c r="AQ1755" s="87"/>
      <c r="AR1755" s="87"/>
      <c r="AS1755" s="87"/>
      <c r="AT1755" s="87"/>
      <c r="AU1755" s="87"/>
      <c r="AV1755" s="92" t="str">
        <f>HYPERLINK("https://pbs.twimg.com/profile_images/1670715142038773763/bT15rHP1_normal.jpg")</f>
        <v>https://pbs.twimg.com/profile_images/1670715142038773763/bT15rHP1_normal.jpg</v>
      </c>
      <c r="AW1755" s="93" t="s">
        <v>19986</v>
      </c>
      <c r="AX1755" s="93" t="s">
        <v>19986</v>
      </c>
      <c r="AY1755" s="87"/>
      <c r="AZ1755" s="93" t="s">
        <v>22668</v>
      </c>
      <c r="BA1755" s="93" t="s">
        <v>22668</v>
      </c>
      <c r="BB1755" s="93" t="s">
        <v>22668</v>
      </c>
      <c r="BC1755" s="93" t="s">
        <v>19986</v>
      </c>
      <c r="BD1755" s="93" t="s">
        <v>23140</v>
      </c>
      <c r="BE1755" s="87"/>
      <c r="BF1755" s="87"/>
      <c r="BG1755" s="87"/>
      <c r="BH1755" s="87"/>
      <c r="BI1755" s="87"/>
    </row>
    <row r="1756" spans="1:61" x14ac:dyDescent="0.25">
      <c r="A1756" s="63" t="s">
        <v>829</v>
      </c>
      <c r="B1756" s="63" t="s">
        <v>829</v>
      </c>
      <c r="C1756" s="64"/>
      <c r="D1756" s="65"/>
      <c r="E1756" s="66"/>
      <c r="F1756" s="67"/>
      <c r="G1756" s="64"/>
      <c r="H1756" s="68"/>
      <c r="I1756" s="69"/>
      <c r="J1756" s="69"/>
      <c r="K1756" s="32"/>
      <c r="L1756" s="76">
        <v>1756</v>
      </c>
      <c r="M1756" s="76"/>
      <c r="N1756" s="71"/>
      <c r="O1756" s="87" t="s">
        <v>179</v>
      </c>
      <c r="P1756" s="90">
        <v>45175.487557870372</v>
      </c>
      <c r="Q1756" s="87" t="s">
        <v>3550</v>
      </c>
      <c r="R1756" s="87">
        <v>2</v>
      </c>
      <c r="S1756" s="87">
        <v>6</v>
      </c>
      <c r="T1756" s="87">
        <v>0</v>
      </c>
      <c r="U1756" s="87">
        <v>0</v>
      </c>
      <c r="V1756" s="87">
        <v>816</v>
      </c>
      <c r="W1756" s="93" t="s">
        <v>7024</v>
      </c>
      <c r="X1756" s="92" t="str">
        <f>HYPERLINK("https://tinyurl.com/4wb6h2cz")</f>
        <v>https://tinyurl.com/4wb6h2cz</v>
      </c>
      <c r="Y1756" s="87" t="s">
        <v>8388</v>
      </c>
      <c r="Z1756" s="87"/>
      <c r="AA1756" s="87" t="s">
        <v>9740</v>
      </c>
      <c r="AB1756" s="87" t="s">
        <v>11448</v>
      </c>
      <c r="AC1756" s="93" t="s">
        <v>11457</v>
      </c>
      <c r="AD1756" s="87" t="s">
        <v>11519</v>
      </c>
      <c r="AE1756" s="92" t="str">
        <f>HYPERLINK("https://twitter.com/turismoportugal/status/1699387491713687603")</f>
        <v>https://twitter.com/turismoportugal/status/1699387491713687603</v>
      </c>
      <c r="AF1756" s="90">
        <v>45175.487557870372</v>
      </c>
      <c r="AG1756" s="99">
        <v>45175</v>
      </c>
      <c r="AH1756" s="93" t="s">
        <v>13137</v>
      </c>
      <c r="AI1756" s="87" t="b">
        <v>0</v>
      </c>
      <c r="AJ1756" s="87"/>
      <c r="AK1756" s="87"/>
      <c r="AL1756" s="87"/>
      <c r="AM1756" s="87"/>
      <c r="AN1756" s="87"/>
      <c r="AO1756" s="87"/>
      <c r="AP1756" s="87"/>
      <c r="AQ1756" s="87" t="s">
        <v>16553</v>
      </c>
      <c r="AR1756" s="87"/>
      <c r="AS1756" s="87"/>
      <c r="AT1756" s="87"/>
      <c r="AU1756" s="87"/>
      <c r="AV1756" s="92" t="str">
        <f>HYPERLINK("https://pbs.twimg.com/media/F5Vv6FvW8AAR78r.jpg")</f>
        <v>https://pbs.twimg.com/media/F5Vv6FvW8AAR78r.jpg</v>
      </c>
      <c r="AW1756" s="93" t="s">
        <v>19987</v>
      </c>
      <c r="AX1756" s="93" t="s">
        <v>19987</v>
      </c>
      <c r="AY1756" s="87"/>
      <c r="AZ1756" s="93" t="s">
        <v>22668</v>
      </c>
      <c r="BA1756" s="93" t="s">
        <v>22668</v>
      </c>
      <c r="BB1756" s="93" t="s">
        <v>22668</v>
      </c>
      <c r="BC1756" s="93" t="s">
        <v>19987</v>
      </c>
      <c r="BD1756" s="87">
        <v>19903099</v>
      </c>
      <c r="BE1756" s="87"/>
      <c r="BF1756" s="87"/>
      <c r="BG1756" s="87"/>
      <c r="BH1756" s="87"/>
      <c r="BI1756" s="87"/>
    </row>
    <row r="1757" spans="1:61" x14ac:dyDescent="0.25">
      <c r="A1757" s="63" t="s">
        <v>829</v>
      </c>
      <c r="B1757" s="63" t="s">
        <v>829</v>
      </c>
      <c r="C1757" s="64"/>
      <c r="D1757" s="65"/>
      <c r="E1757" s="66"/>
      <c r="F1757" s="67"/>
      <c r="G1757" s="64"/>
      <c r="H1757" s="68"/>
      <c r="I1757" s="69"/>
      <c r="J1757" s="69"/>
      <c r="K1757" s="32"/>
      <c r="L1757" s="76">
        <v>1757</v>
      </c>
      <c r="M1757" s="76"/>
      <c r="N1757" s="71"/>
      <c r="O1757" s="87" t="s">
        <v>179</v>
      </c>
      <c r="P1757" s="90">
        <v>45181.457916666666</v>
      </c>
      <c r="Q1757" s="87" t="s">
        <v>3551</v>
      </c>
      <c r="R1757" s="87">
        <v>1</v>
      </c>
      <c r="S1757" s="87">
        <v>2</v>
      </c>
      <c r="T1757" s="87">
        <v>2</v>
      </c>
      <c r="U1757" s="87">
        <v>0</v>
      </c>
      <c r="V1757" s="87">
        <v>727</v>
      </c>
      <c r="W1757" s="93" t="s">
        <v>7025</v>
      </c>
      <c r="X1757" s="92" t="str">
        <f>HYPERLINK("https://tinyurl.com/3rr3c6nc")</f>
        <v>https://tinyurl.com/3rr3c6nc</v>
      </c>
      <c r="Y1757" s="87" t="s">
        <v>8388</v>
      </c>
      <c r="Z1757" s="87"/>
      <c r="AA1757" s="87" t="s">
        <v>9741</v>
      </c>
      <c r="AB1757" s="87" t="s">
        <v>11448</v>
      </c>
      <c r="AC1757" s="93" t="s">
        <v>11457</v>
      </c>
      <c r="AD1757" s="87" t="s">
        <v>11519</v>
      </c>
      <c r="AE1757" s="92" t="str">
        <f>HYPERLINK("https://twitter.com/turismoportugal/status/1701551074858193141")</f>
        <v>https://twitter.com/turismoportugal/status/1701551074858193141</v>
      </c>
      <c r="AF1757" s="90">
        <v>45181.457916666666</v>
      </c>
      <c r="AG1757" s="99">
        <v>45181</v>
      </c>
      <c r="AH1757" s="93" t="s">
        <v>13138</v>
      </c>
      <c r="AI1757" s="87" t="b">
        <v>0</v>
      </c>
      <c r="AJ1757" s="87"/>
      <c r="AK1757" s="87"/>
      <c r="AL1757" s="87"/>
      <c r="AM1757" s="87"/>
      <c r="AN1757" s="87"/>
      <c r="AO1757" s="87"/>
      <c r="AP1757" s="87"/>
      <c r="AQ1757" s="87" t="s">
        <v>16554</v>
      </c>
      <c r="AR1757" s="87"/>
      <c r="AS1757" s="87"/>
      <c r="AT1757" s="87"/>
      <c r="AU1757" s="87"/>
      <c r="AV1757" s="92" t="str">
        <f>HYPERLINK("https://pbs.twimg.com/media/F50fpLPWcAAwdvQ.png")</f>
        <v>https://pbs.twimg.com/media/F50fpLPWcAAwdvQ.png</v>
      </c>
      <c r="AW1757" s="93" t="s">
        <v>19988</v>
      </c>
      <c r="AX1757" s="93" t="s">
        <v>19988</v>
      </c>
      <c r="AY1757" s="87"/>
      <c r="AZ1757" s="93" t="s">
        <v>22668</v>
      </c>
      <c r="BA1757" s="93" t="s">
        <v>22668</v>
      </c>
      <c r="BB1757" s="93" t="s">
        <v>22668</v>
      </c>
      <c r="BC1757" s="93" t="s">
        <v>19988</v>
      </c>
      <c r="BD1757" s="87">
        <v>19903099</v>
      </c>
      <c r="BE1757" s="87"/>
      <c r="BF1757" s="87"/>
      <c r="BG1757" s="87"/>
      <c r="BH1757" s="87"/>
      <c r="BI1757" s="87"/>
    </row>
    <row r="1758" spans="1:61" x14ac:dyDescent="0.25">
      <c r="A1758" s="63" t="s">
        <v>829</v>
      </c>
      <c r="B1758" s="63" t="s">
        <v>829</v>
      </c>
      <c r="C1758" s="64"/>
      <c r="D1758" s="65"/>
      <c r="E1758" s="66"/>
      <c r="F1758" s="67"/>
      <c r="G1758" s="64"/>
      <c r="H1758" s="68"/>
      <c r="I1758" s="69"/>
      <c r="J1758" s="69"/>
      <c r="K1758" s="32"/>
      <c r="L1758" s="76">
        <v>1758</v>
      </c>
      <c r="M1758" s="76"/>
      <c r="N1758" s="71"/>
      <c r="O1758" s="87" t="s">
        <v>179</v>
      </c>
      <c r="P1758" s="90">
        <v>45176.567326388889</v>
      </c>
      <c r="Q1758" s="87" t="s">
        <v>3552</v>
      </c>
      <c r="R1758" s="87">
        <v>1</v>
      </c>
      <c r="S1758" s="87">
        <v>1</v>
      </c>
      <c r="T1758" s="87">
        <v>0</v>
      </c>
      <c r="U1758" s="87">
        <v>0</v>
      </c>
      <c r="V1758" s="87">
        <v>653</v>
      </c>
      <c r="W1758" s="93" t="s">
        <v>7026</v>
      </c>
      <c r="X1758" s="92" t="str">
        <f>HYPERLINK("https://tinyurl.com/2vx5spjr")</f>
        <v>https://tinyurl.com/2vx5spjr</v>
      </c>
      <c r="Y1758" s="87" t="s">
        <v>8388</v>
      </c>
      <c r="Z1758" s="87"/>
      <c r="AA1758" s="87" t="s">
        <v>9742</v>
      </c>
      <c r="AB1758" s="87" t="s">
        <v>11448</v>
      </c>
      <c r="AC1758" s="93" t="s">
        <v>11457</v>
      </c>
      <c r="AD1758" s="87" t="s">
        <v>11519</v>
      </c>
      <c r="AE1758" s="92" t="str">
        <f>HYPERLINK("https://twitter.com/turismoportugal/status/1699778784562745638")</f>
        <v>https://twitter.com/turismoportugal/status/1699778784562745638</v>
      </c>
      <c r="AF1758" s="90">
        <v>45176.567326388889</v>
      </c>
      <c r="AG1758" s="99">
        <v>45176</v>
      </c>
      <c r="AH1758" s="93" t="s">
        <v>13139</v>
      </c>
      <c r="AI1758" s="87" t="b">
        <v>0</v>
      </c>
      <c r="AJ1758" s="87"/>
      <c r="AK1758" s="87"/>
      <c r="AL1758" s="87"/>
      <c r="AM1758" s="87"/>
      <c r="AN1758" s="87"/>
      <c r="AO1758" s="87"/>
      <c r="AP1758" s="87"/>
      <c r="AQ1758" s="87" t="s">
        <v>16555</v>
      </c>
      <c r="AR1758" s="87"/>
      <c r="AS1758" s="87"/>
      <c r="AT1758" s="87"/>
      <c r="AU1758" s="87"/>
      <c r="AV1758" s="92" t="str">
        <f>HYPERLINK("https://pbs.twimg.com/media/F5bTyskbYAANFWz.png")</f>
        <v>https://pbs.twimg.com/media/F5bTyskbYAANFWz.png</v>
      </c>
      <c r="AW1758" s="93" t="s">
        <v>19989</v>
      </c>
      <c r="AX1758" s="93" t="s">
        <v>19989</v>
      </c>
      <c r="AY1758" s="87"/>
      <c r="AZ1758" s="93" t="s">
        <v>22668</v>
      </c>
      <c r="BA1758" s="93" t="s">
        <v>22668</v>
      </c>
      <c r="BB1758" s="93" t="s">
        <v>22668</v>
      </c>
      <c r="BC1758" s="93" t="s">
        <v>19989</v>
      </c>
      <c r="BD1758" s="87">
        <v>19903099</v>
      </c>
      <c r="BE1758" s="87"/>
      <c r="BF1758" s="87"/>
      <c r="BG1758" s="87"/>
      <c r="BH1758" s="87"/>
      <c r="BI1758" s="87"/>
    </row>
    <row r="1759" spans="1:61" x14ac:dyDescent="0.25">
      <c r="A1759" s="63" t="s">
        <v>829</v>
      </c>
      <c r="B1759" s="63" t="s">
        <v>829</v>
      </c>
      <c r="C1759" s="64"/>
      <c r="D1759" s="65"/>
      <c r="E1759" s="66"/>
      <c r="F1759" s="67"/>
      <c r="G1759" s="64"/>
      <c r="H1759" s="68"/>
      <c r="I1759" s="69"/>
      <c r="J1759" s="69"/>
      <c r="K1759" s="32"/>
      <c r="L1759" s="76">
        <v>1759</v>
      </c>
      <c r="M1759" s="76"/>
      <c r="N1759" s="71"/>
      <c r="O1759" s="87" t="s">
        <v>179</v>
      </c>
      <c r="P1759" s="90">
        <v>45184.574340277781</v>
      </c>
      <c r="Q1759" s="87" t="s">
        <v>3553</v>
      </c>
      <c r="R1759" s="87">
        <v>0</v>
      </c>
      <c r="S1759" s="87">
        <v>1</v>
      </c>
      <c r="T1759" s="87">
        <v>0</v>
      </c>
      <c r="U1759" s="87">
        <v>0</v>
      </c>
      <c r="V1759" s="87">
        <v>651</v>
      </c>
      <c r="W1759" s="93" t="s">
        <v>7027</v>
      </c>
      <c r="X1759" s="92" t="str">
        <f>HYPERLINK("https://tinyurl.com/4pydthwy")</f>
        <v>https://tinyurl.com/4pydthwy</v>
      </c>
      <c r="Y1759" s="87" t="s">
        <v>8388</v>
      </c>
      <c r="Z1759" s="87"/>
      <c r="AA1759" s="87" t="s">
        <v>9743</v>
      </c>
      <c r="AB1759" s="87" t="s">
        <v>11448</v>
      </c>
      <c r="AC1759" s="93" t="s">
        <v>11457</v>
      </c>
      <c r="AD1759" s="87" t="s">
        <v>11519</v>
      </c>
      <c r="AE1759" s="92" t="str">
        <f>HYPERLINK("https://twitter.com/turismoportugal/status/1702680430674145535")</f>
        <v>https://twitter.com/turismoportugal/status/1702680430674145535</v>
      </c>
      <c r="AF1759" s="90">
        <v>45184.574340277781</v>
      </c>
      <c r="AG1759" s="99">
        <v>45184</v>
      </c>
      <c r="AH1759" s="93" t="s">
        <v>13140</v>
      </c>
      <c r="AI1759" s="87" t="b">
        <v>0</v>
      </c>
      <c r="AJ1759" s="87"/>
      <c r="AK1759" s="87"/>
      <c r="AL1759" s="87"/>
      <c r="AM1759" s="87"/>
      <c r="AN1759" s="87"/>
      <c r="AO1759" s="87"/>
      <c r="AP1759" s="87"/>
      <c r="AQ1759" s="87" t="s">
        <v>16556</v>
      </c>
      <c r="AR1759" s="87"/>
      <c r="AS1759" s="87"/>
      <c r="AT1759" s="87"/>
      <c r="AU1759" s="87"/>
      <c r="AV1759" s="92" t="str">
        <f>HYPERLINK("https://pbs.twimg.com/media/F6Ei0wlWMAAVYZ9.png")</f>
        <v>https://pbs.twimg.com/media/F6Ei0wlWMAAVYZ9.png</v>
      </c>
      <c r="AW1759" s="93" t="s">
        <v>19990</v>
      </c>
      <c r="AX1759" s="93" t="s">
        <v>19990</v>
      </c>
      <c r="AY1759" s="87"/>
      <c r="AZ1759" s="93" t="s">
        <v>22668</v>
      </c>
      <c r="BA1759" s="93" t="s">
        <v>22668</v>
      </c>
      <c r="BB1759" s="93" t="s">
        <v>22668</v>
      </c>
      <c r="BC1759" s="93" t="s">
        <v>19990</v>
      </c>
      <c r="BD1759" s="87">
        <v>19903099</v>
      </c>
      <c r="BE1759" s="87"/>
      <c r="BF1759" s="87"/>
      <c r="BG1759" s="87"/>
      <c r="BH1759" s="87"/>
      <c r="BI1759" s="87"/>
    </row>
    <row r="1760" spans="1:61" x14ac:dyDescent="0.25">
      <c r="A1760" s="63" t="s">
        <v>829</v>
      </c>
      <c r="B1760" s="63" t="s">
        <v>829</v>
      </c>
      <c r="C1760" s="64"/>
      <c r="D1760" s="65"/>
      <c r="E1760" s="66"/>
      <c r="F1760" s="67"/>
      <c r="G1760" s="64"/>
      <c r="H1760" s="68"/>
      <c r="I1760" s="69"/>
      <c r="J1760" s="69"/>
      <c r="K1760" s="32"/>
      <c r="L1760" s="76">
        <v>1760</v>
      </c>
      <c r="M1760" s="76"/>
      <c r="N1760" s="71"/>
      <c r="O1760" s="87" t="s">
        <v>179</v>
      </c>
      <c r="P1760" s="90">
        <v>45190.603182870371</v>
      </c>
      <c r="Q1760" s="87" t="s">
        <v>3554</v>
      </c>
      <c r="R1760" s="87">
        <v>0</v>
      </c>
      <c r="S1760" s="87">
        <v>4</v>
      </c>
      <c r="T1760" s="87">
        <v>0</v>
      </c>
      <c r="U1760" s="87">
        <v>0</v>
      </c>
      <c r="V1760" s="87">
        <v>590</v>
      </c>
      <c r="W1760" s="93" t="s">
        <v>7024</v>
      </c>
      <c r="X1760" s="92" t="str">
        <f>HYPERLINK("https://tinyurl.com/4wb6h2cz")</f>
        <v>https://tinyurl.com/4wb6h2cz</v>
      </c>
      <c r="Y1760" s="87" t="s">
        <v>8388</v>
      </c>
      <c r="Z1760" s="87"/>
      <c r="AA1760" s="87" t="s">
        <v>9744</v>
      </c>
      <c r="AB1760" s="87" t="s">
        <v>11448</v>
      </c>
      <c r="AC1760" s="93" t="s">
        <v>11457</v>
      </c>
      <c r="AD1760" s="87" t="s">
        <v>11519</v>
      </c>
      <c r="AE1760" s="92" t="str">
        <f>HYPERLINK("https://twitter.com/turismoportugal/status/1704865208064205287")</f>
        <v>https://twitter.com/turismoportugal/status/1704865208064205287</v>
      </c>
      <c r="AF1760" s="90">
        <v>45190.603182870371</v>
      </c>
      <c r="AG1760" s="99">
        <v>45190</v>
      </c>
      <c r="AH1760" s="93" t="s">
        <v>13141</v>
      </c>
      <c r="AI1760" s="87" t="b">
        <v>0</v>
      </c>
      <c r="AJ1760" s="87"/>
      <c r="AK1760" s="87"/>
      <c r="AL1760" s="87"/>
      <c r="AM1760" s="87"/>
      <c r="AN1760" s="87"/>
      <c r="AO1760" s="87"/>
      <c r="AP1760" s="87"/>
      <c r="AQ1760" s="87" t="s">
        <v>16557</v>
      </c>
      <c r="AR1760" s="87"/>
      <c r="AS1760" s="87"/>
      <c r="AT1760" s="87"/>
      <c r="AU1760" s="87"/>
      <c r="AV1760" s="92" t="str">
        <f>HYPERLINK("https://pbs.twimg.com/media/F6jl3KiXMAARM5n.jpg")</f>
        <v>https://pbs.twimg.com/media/F6jl3KiXMAARM5n.jpg</v>
      </c>
      <c r="AW1760" s="93" t="s">
        <v>19991</v>
      </c>
      <c r="AX1760" s="93" t="s">
        <v>19991</v>
      </c>
      <c r="AY1760" s="87"/>
      <c r="AZ1760" s="93" t="s">
        <v>22668</v>
      </c>
      <c r="BA1760" s="93" t="s">
        <v>22668</v>
      </c>
      <c r="BB1760" s="93" t="s">
        <v>22668</v>
      </c>
      <c r="BC1760" s="93" t="s">
        <v>19991</v>
      </c>
      <c r="BD1760" s="87">
        <v>19903099</v>
      </c>
      <c r="BE1760" s="87"/>
      <c r="BF1760" s="87"/>
      <c r="BG1760" s="87"/>
      <c r="BH1760" s="87"/>
      <c r="BI1760" s="87"/>
    </row>
    <row r="1761" spans="1:61" x14ac:dyDescent="0.25">
      <c r="A1761" s="63" t="s">
        <v>829</v>
      </c>
      <c r="B1761" s="63" t="s">
        <v>829</v>
      </c>
      <c r="C1761" s="64"/>
      <c r="D1761" s="65"/>
      <c r="E1761" s="66"/>
      <c r="F1761" s="67"/>
      <c r="G1761" s="64"/>
      <c r="H1761" s="68"/>
      <c r="I1761" s="69"/>
      <c r="J1761" s="69"/>
      <c r="K1761" s="32"/>
      <c r="L1761" s="76">
        <v>1761</v>
      </c>
      <c r="M1761" s="76"/>
      <c r="N1761" s="71"/>
      <c r="O1761" s="87" t="s">
        <v>179</v>
      </c>
      <c r="P1761" s="90">
        <v>45195.436319444445</v>
      </c>
      <c r="Q1761" s="87" t="s">
        <v>3555</v>
      </c>
      <c r="R1761" s="87">
        <v>0</v>
      </c>
      <c r="S1761" s="87">
        <v>2</v>
      </c>
      <c r="T1761" s="87">
        <v>0</v>
      </c>
      <c r="U1761" s="87">
        <v>0</v>
      </c>
      <c r="V1761" s="87">
        <v>463</v>
      </c>
      <c r="W1761" s="93" t="s">
        <v>7028</v>
      </c>
      <c r="X1761" s="92" t="str">
        <f>HYPERLINK("https://tinyurl.com/9ary9bu8")</f>
        <v>https://tinyurl.com/9ary9bu8</v>
      </c>
      <c r="Y1761" s="87" t="s">
        <v>8388</v>
      </c>
      <c r="Z1761" s="87"/>
      <c r="AA1761" s="87" t="s">
        <v>9745</v>
      </c>
      <c r="AB1761" s="87" t="s">
        <v>11448</v>
      </c>
      <c r="AC1761" s="93" t="s">
        <v>11457</v>
      </c>
      <c r="AD1761" s="87" t="s">
        <v>11519</v>
      </c>
      <c r="AE1761" s="92" t="str">
        <f>HYPERLINK("https://twitter.com/turismoportugal/status/1706616681009730030")</f>
        <v>https://twitter.com/turismoportugal/status/1706616681009730030</v>
      </c>
      <c r="AF1761" s="90">
        <v>45195.436319444445</v>
      </c>
      <c r="AG1761" s="99">
        <v>45195</v>
      </c>
      <c r="AH1761" s="93" t="s">
        <v>13142</v>
      </c>
      <c r="AI1761" s="87" t="b">
        <v>0</v>
      </c>
      <c r="AJ1761" s="87"/>
      <c r="AK1761" s="87"/>
      <c r="AL1761" s="87"/>
      <c r="AM1761" s="87"/>
      <c r="AN1761" s="87"/>
      <c r="AO1761" s="87"/>
      <c r="AP1761" s="87"/>
      <c r="AQ1761" s="87" t="s">
        <v>16558</v>
      </c>
      <c r="AR1761" s="87"/>
      <c r="AS1761" s="87"/>
      <c r="AT1761" s="87"/>
      <c r="AU1761" s="87"/>
      <c r="AV1761" s="92" t="str">
        <f>HYPERLINK("https://pbs.twimg.com/media/F68e0dJW4AA5cwP.jpg")</f>
        <v>https://pbs.twimg.com/media/F68e0dJW4AA5cwP.jpg</v>
      </c>
      <c r="AW1761" s="93" t="s">
        <v>19992</v>
      </c>
      <c r="AX1761" s="93" t="s">
        <v>19992</v>
      </c>
      <c r="AY1761" s="87"/>
      <c r="AZ1761" s="93" t="s">
        <v>22668</v>
      </c>
      <c r="BA1761" s="93" t="s">
        <v>22668</v>
      </c>
      <c r="BB1761" s="93" t="s">
        <v>22668</v>
      </c>
      <c r="BC1761" s="93" t="s">
        <v>19992</v>
      </c>
      <c r="BD1761" s="87">
        <v>19903099</v>
      </c>
      <c r="BE1761" s="87"/>
      <c r="BF1761" s="87"/>
      <c r="BG1761" s="87"/>
      <c r="BH1761" s="87"/>
      <c r="BI1761" s="87"/>
    </row>
    <row r="1762" spans="1:61" x14ac:dyDescent="0.25">
      <c r="A1762" s="63" t="s">
        <v>829</v>
      </c>
      <c r="B1762" s="63" t="s">
        <v>829</v>
      </c>
      <c r="C1762" s="64"/>
      <c r="D1762" s="65"/>
      <c r="E1762" s="66"/>
      <c r="F1762" s="67"/>
      <c r="G1762" s="64"/>
      <c r="H1762" s="68"/>
      <c r="I1762" s="69"/>
      <c r="J1762" s="69"/>
      <c r="K1762" s="32"/>
      <c r="L1762" s="76">
        <v>1762</v>
      </c>
      <c r="M1762" s="76"/>
      <c r="N1762" s="71"/>
      <c r="O1762" s="87" t="s">
        <v>179</v>
      </c>
      <c r="P1762" s="90">
        <v>45167.425034722219</v>
      </c>
      <c r="Q1762" s="87" t="s">
        <v>3556</v>
      </c>
      <c r="R1762" s="87">
        <v>3</v>
      </c>
      <c r="S1762" s="87">
        <v>4</v>
      </c>
      <c r="T1762" s="87">
        <v>0</v>
      </c>
      <c r="U1762" s="87">
        <v>0</v>
      </c>
      <c r="V1762" s="87">
        <v>1302</v>
      </c>
      <c r="W1762" s="93" t="s">
        <v>7029</v>
      </c>
      <c r="X1762" s="92" t="str">
        <f>HYPERLINK("https://tinyurl.com/ydcfcrhz")</f>
        <v>https://tinyurl.com/ydcfcrhz</v>
      </c>
      <c r="Y1762" s="87" t="s">
        <v>8388</v>
      </c>
      <c r="Z1762" s="87"/>
      <c r="AA1762" s="87" t="s">
        <v>9746</v>
      </c>
      <c r="AB1762" s="87" t="s">
        <v>11448</v>
      </c>
      <c r="AC1762" s="93" t="s">
        <v>11457</v>
      </c>
      <c r="AD1762" s="87" t="s">
        <v>11519</v>
      </c>
      <c r="AE1762" s="92" t="str">
        <f>HYPERLINK("https://twitter.com/turismoportugal/status/1696465728398868846")</f>
        <v>https://twitter.com/turismoportugal/status/1696465728398868846</v>
      </c>
      <c r="AF1762" s="90">
        <v>45167.425034722219</v>
      </c>
      <c r="AG1762" s="99">
        <v>45167</v>
      </c>
      <c r="AH1762" s="93" t="s">
        <v>13143</v>
      </c>
      <c r="AI1762" s="87" t="b">
        <v>0</v>
      </c>
      <c r="AJ1762" s="87"/>
      <c r="AK1762" s="87"/>
      <c r="AL1762" s="87"/>
      <c r="AM1762" s="87"/>
      <c r="AN1762" s="87"/>
      <c r="AO1762" s="87"/>
      <c r="AP1762" s="87"/>
      <c r="AQ1762" s="87" t="s">
        <v>16559</v>
      </c>
      <c r="AR1762" s="87"/>
      <c r="AS1762" s="87"/>
      <c r="AT1762" s="87"/>
      <c r="AU1762" s="87"/>
      <c r="AV1762" s="92" t="str">
        <f>HYPERLINK("https://pbs.twimg.com/media/F4sOkGMW0AAPGb8.jpg")</f>
        <v>https://pbs.twimg.com/media/F4sOkGMW0AAPGb8.jpg</v>
      </c>
      <c r="AW1762" s="93" t="s">
        <v>19993</v>
      </c>
      <c r="AX1762" s="93" t="s">
        <v>19993</v>
      </c>
      <c r="AY1762" s="87"/>
      <c r="AZ1762" s="93" t="s">
        <v>22668</v>
      </c>
      <c r="BA1762" s="93" t="s">
        <v>22668</v>
      </c>
      <c r="BB1762" s="93" t="s">
        <v>22668</v>
      </c>
      <c r="BC1762" s="93" t="s">
        <v>19993</v>
      </c>
      <c r="BD1762" s="87">
        <v>19903099</v>
      </c>
      <c r="BE1762" s="87"/>
      <c r="BF1762" s="87"/>
      <c r="BG1762" s="87"/>
      <c r="BH1762" s="87"/>
      <c r="BI1762" s="87"/>
    </row>
    <row r="1763" spans="1:61" x14ac:dyDescent="0.25">
      <c r="A1763" s="63" t="s">
        <v>830</v>
      </c>
      <c r="B1763" s="63" t="s">
        <v>1689</v>
      </c>
      <c r="C1763" s="64"/>
      <c r="D1763" s="65"/>
      <c r="E1763" s="66"/>
      <c r="F1763" s="67"/>
      <c r="G1763" s="64"/>
      <c r="H1763" s="68"/>
      <c r="I1763" s="69"/>
      <c r="J1763" s="69"/>
      <c r="K1763" s="32"/>
      <c r="L1763" s="76">
        <v>1763</v>
      </c>
      <c r="M1763" s="76"/>
      <c r="N1763" s="71"/>
      <c r="O1763" s="87" t="s">
        <v>1839</v>
      </c>
      <c r="P1763" s="90">
        <v>45153.996145833335</v>
      </c>
      <c r="Q1763" s="87" t="s">
        <v>3557</v>
      </c>
      <c r="R1763" s="87">
        <v>1</v>
      </c>
      <c r="S1763" s="87">
        <v>0</v>
      </c>
      <c r="T1763" s="87">
        <v>0</v>
      </c>
      <c r="U1763" s="87">
        <v>0</v>
      </c>
      <c r="V1763" s="87">
        <v>339</v>
      </c>
      <c r="W1763" s="93" t="s">
        <v>7030</v>
      </c>
      <c r="X1763" s="87"/>
      <c r="Y1763" s="87"/>
      <c r="Z1763" s="87" t="s">
        <v>8583</v>
      </c>
      <c r="AA1763" s="87" t="s">
        <v>9747</v>
      </c>
      <c r="AB1763" s="87" t="s">
        <v>11447</v>
      </c>
      <c r="AC1763" s="93" t="s">
        <v>11495</v>
      </c>
      <c r="AD1763" s="87" t="s">
        <v>11519</v>
      </c>
      <c r="AE1763" s="92" t="str">
        <f>HYPERLINK("https://twitter.com/tvsenado/status/1691599262239383933")</f>
        <v>https://twitter.com/tvsenado/status/1691599262239383933</v>
      </c>
      <c r="AF1763" s="90">
        <v>45153.996145833335</v>
      </c>
      <c r="AG1763" s="99">
        <v>45153</v>
      </c>
      <c r="AH1763" s="93" t="s">
        <v>13144</v>
      </c>
      <c r="AI1763" s="87" t="b">
        <v>0</v>
      </c>
      <c r="AJ1763" s="87"/>
      <c r="AK1763" s="87"/>
      <c r="AL1763" s="87"/>
      <c r="AM1763" s="87"/>
      <c r="AN1763" s="87"/>
      <c r="AO1763" s="87"/>
      <c r="AP1763" s="87"/>
      <c r="AQ1763" s="87" t="s">
        <v>16560</v>
      </c>
      <c r="AR1763" s="87">
        <v>59310</v>
      </c>
      <c r="AS1763" s="87"/>
      <c r="AT1763" s="87"/>
      <c r="AU1763" s="87"/>
      <c r="AV1763" s="92" t="str">
        <f>HYPERLINK("https://pbs.twimg.com/amplify_video_thumb/1691597303470080000/img/PHbW7ZgDK-9EPuae.jpg")</f>
        <v>https://pbs.twimg.com/amplify_video_thumb/1691597303470080000/img/PHbW7ZgDK-9EPuae.jpg</v>
      </c>
      <c r="AW1763" s="93" t="s">
        <v>19994</v>
      </c>
      <c r="AX1763" s="93" t="s">
        <v>19994</v>
      </c>
      <c r="AY1763" s="87"/>
      <c r="AZ1763" s="93" t="s">
        <v>22668</v>
      </c>
      <c r="BA1763" s="93" t="s">
        <v>22668</v>
      </c>
      <c r="BB1763" s="93" t="s">
        <v>22668</v>
      </c>
      <c r="BC1763" s="93" t="s">
        <v>19994</v>
      </c>
      <c r="BD1763" s="87">
        <v>51075078</v>
      </c>
      <c r="BE1763" s="87"/>
      <c r="BF1763" s="87"/>
      <c r="BG1763" s="87"/>
      <c r="BH1763" s="87"/>
      <c r="BI1763" s="87"/>
    </row>
    <row r="1764" spans="1:61" x14ac:dyDescent="0.25">
      <c r="A1764" s="63" t="s">
        <v>830</v>
      </c>
      <c r="B1764" s="63" t="s">
        <v>1690</v>
      </c>
      <c r="C1764" s="64"/>
      <c r="D1764" s="65"/>
      <c r="E1764" s="66"/>
      <c r="F1764" s="67"/>
      <c r="G1764" s="64"/>
      <c r="H1764" s="68"/>
      <c r="I1764" s="69"/>
      <c r="J1764" s="69"/>
      <c r="K1764" s="32"/>
      <c r="L1764" s="76">
        <v>1764</v>
      </c>
      <c r="M1764" s="76"/>
      <c r="N1764" s="71"/>
      <c r="O1764" s="87" t="s">
        <v>1839</v>
      </c>
      <c r="P1764" s="90">
        <v>45153.996145833335</v>
      </c>
      <c r="Q1764" s="87" t="s">
        <v>3557</v>
      </c>
      <c r="R1764" s="87">
        <v>1</v>
      </c>
      <c r="S1764" s="87">
        <v>0</v>
      </c>
      <c r="T1764" s="87">
        <v>0</v>
      </c>
      <c r="U1764" s="87">
        <v>0</v>
      </c>
      <c r="V1764" s="87">
        <v>339</v>
      </c>
      <c r="W1764" s="93" t="s">
        <v>7030</v>
      </c>
      <c r="X1764" s="87"/>
      <c r="Y1764" s="87"/>
      <c r="Z1764" s="87" t="s">
        <v>8583</v>
      </c>
      <c r="AA1764" s="87" t="s">
        <v>9747</v>
      </c>
      <c r="AB1764" s="87" t="s">
        <v>11447</v>
      </c>
      <c r="AC1764" s="93" t="s">
        <v>11495</v>
      </c>
      <c r="AD1764" s="87" t="s">
        <v>11519</v>
      </c>
      <c r="AE1764" s="92" t="str">
        <f>HYPERLINK("https://twitter.com/tvsenado/status/1691599262239383933")</f>
        <v>https://twitter.com/tvsenado/status/1691599262239383933</v>
      </c>
      <c r="AF1764" s="90">
        <v>45153.996145833335</v>
      </c>
      <c r="AG1764" s="99">
        <v>45153</v>
      </c>
      <c r="AH1764" s="93" t="s">
        <v>13144</v>
      </c>
      <c r="AI1764" s="87" t="b">
        <v>0</v>
      </c>
      <c r="AJ1764" s="87"/>
      <c r="AK1764" s="87"/>
      <c r="AL1764" s="87"/>
      <c r="AM1764" s="87"/>
      <c r="AN1764" s="87"/>
      <c r="AO1764" s="87"/>
      <c r="AP1764" s="87"/>
      <c r="AQ1764" s="87" t="s">
        <v>16560</v>
      </c>
      <c r="AR1764" s="87">
        <v>59310</v>
      </c>
      <c r="AS1764" s="87"/>
      <c r="AT1764" s="87"/>
      <c r="AU1764" s="87"/>
      <c r="AV1764" s="92" t="str">
        <f>HYPERLINK("https://pbs.twimg.com/amplify_video_thumb/1691597303470080000/img/PHbW7ZgDK-9EPuae.jpg")</f>
        <v>https://pbs.twimg.com/amplify_video_thumb/1691597303470080000/img/PHbW7ZgDK-9EPuae.jpg</v>
      </c>
      <c r="AW1764" s="93" t="s">
        <v>19994</v>
      </c>
      <c r="AX1764" s="93" t="s">
        <v>19994</v>
      </c>
      <c r="AY1764" s="87"/>
      <c r="AZ1764" s="93" t="s">
        <v>22668</v>
      </c>
      <c r="BA1764" s="93" t="s">
        <v>22668</v>
      </c>
      <c r="BB1764" s="93" t="s">
        <v>22668</v>
      </c>
      <c r="BC1764" s="93" t="s">
        <v>19994</v>
      </c>
      <c r="BD1764" s="87">
        <v>51075078</v>
      </c>
      <c r="BE1764" s="87"/>
      <c r="BF1764" s="87"/>
      <c r="BG1764" s="87"/>
      <c r="BH1764" s="87"/>
      <c r="BI1764" s="87"/>
    </row>
    <row r="1765" spans="1:61" x14ac:dyDescent="0.25">
      <c r="A1765" s="63" t="s">
        <v>830</v>
      </c>
      <c r="B1765" s="63" t="s">
        <v>1691</v>
      </c>
      <c r="C1765" s="64"/>
      <c r="D1765" s="65"/>
      <c r="E1765" s="66"/>
      <c r="F1765" s="67"/>
      <c r="G1765" s="64"/>
      <c r="H1765" s="68"/>
      <c r="I1765" s="69"/>
      <c r="J1765" s="69"/>
      <c r="K1765" s="32"/>
      <c r="L1765" s="76">
        <v>1765</v>
      </c>
      <c r="M1765" s="76"/>
      <c r="N1765" s="71"/>
      <c r="O1765" s="87" t="s">
        <v>1839</v>
      </c>
      <c r="P1765" s="90">
        <v>45159.553287037037</v>
      </c>
      <c r="Q1765" s="87" t="s">
        <v>3558</v>
      </c>
      <c r="R1765" s="87">
        <v>1</v>
      </c>
      <c r="S1765" s="87">
        <v>5</v>
      </c>
      <c r="T1765" s="87">
        <v>0</v>
      </c>
      <c r="U1765" s="87">
        <v>0</v>
      </c>
      <c r="V1765" s="87">
        <v>452</v>
      </c>
      <c r="W1765" s="93" t="s">
        <v>7031</v>
      </c>
      <c r="X1765" s="87"/>
      <c r="Y1765" s="87"/>
      <c r="Z1765" s="87" t="s">
        <v>8584</v>
      </c>
      <c r="AA1765" s="87" t="s">
        <v>9748</v>
      </c>
      <c r="AB1765" s="87" t="s">
        <v>11447</v>
      </c>
      <c r="AC1765" s="93" t="s">
        <v>11495</v>
      </c>
      <c r="AD1765" s="87" t="s">
        <v>11519</v>
      </c>
      <c r="AE1765" s="92" t="str">
        <f>HYPERLINK("https://twitter.com/tvsenado/status/1693613104926482482")</f>
        <v>https://twitter.com/tvsenado/status/1693613104926482482</v>
      </c>
      <c r="AF1765" s="90">
        <v>45159.553287037037</v>
      </c>
      <c r="AG1765" s="99">
        <v>45159</v>
      </c>
      <c r="AH1765" s="93" t="s">
        <v>13145</v>
      </c>
      <c r="AI1765" s="87" t="b">
        <v>0</v>
      </c>
      <c r="AJ1765" s="87"/>
      <c r="AK1765" s="87"/>
      <c r="AL1765" s="87"/>
      <c r="AM1765" s="87"/>
      <c r="AN1765" s="87"/>
      <c r="AO1765" s="87"/>
      <c r="AP1765" s="87"/>
      <c r="AQ1765" s="87" t="s">
        <v>16561</v>
      </c>
      <c r="AR1765" s="87">
        <v>124110</v>
      </c>
      <c r="AS1765" s="87"/>
      <c r="AT1765" s="87"/>
      <c r="AU1765" s="87"/>
      <c r="AV1765" s="92" t="str">
        <f>HYPERLINK("https://pbs.twimg.com/media/F4DsX8OawAEVahF.jpg")</f>
        <v>https://pbs.twimg.com/media/F4DsX8OawAEVahF.jpg</v>
      </c>
      <c r="AW1765" s="93" t="s">
        <v>19995</v>
      </c>
      <c r="AX1765" s="93" t="s">
        <v>19995</v>
      </c>
      <c r="AY1765" s="87"/>
      <c r="AZ1765" s="93" t="s">
        <v>22668</v>
      </c>
      <c r="BA1765" s="93" t="s">
        <v>22668</v>
      </c>
      <c r="BB1765" s="93" t="s">
        <v>22668</v>
      </c>
      <c r="BC1765" s="93" t="s">
        <v>19995</v>
      </c>
      <c r="BD1765" s="87">
        <v>51075078</v>
      </c>
      <c r="BE1765" s="87"/>
      <c r="BF1765" s="87"/>
      <c r="BG1765" s="87"/>
      <c r="BH1765" s="87"/>
      <c r="BI1765" s="87"/>
    </row>
    <row r="1766" spans="1:61" x14ac:dyDescent="0.25">
      <c r="A1766" s="63" t="s">
        <v>830</v>
      </c>
      <c r="B1766" s="63" t="s">
        <v>1692</v>
      </c>
      <c r="C1766" s="64"/>
      <c r="D1766" s="65"/>
      <c r="E1766" s="66"/>
      <c r="F1766" s="67"/>
      <c r="G1766" s="64"/>
      <c r="H1766" s="68"/>
      <c r="I1766" s="69"/>
      <c r="J1766" s="69"/>
      <c r="K1766" s="32"/>
      <c r="L1766" s="76">
        <v>1766</v>
      </c>
      <c r="M1766" s="76"/>
      <c r="N1766" s="71"/>
      <c r="O1766" s="87" t="s">
        <v>1839</v>
      </c>
      <c r="P1766" s="90">
        <v>45159.553287037037</v>
      </c>
      <c r="Q1766" s="87" t="s">
        <v>3558</v>
      </c>
      <c r="R1766" s="87">
        <v>1</v>
      </c>
      <c r="S1766" s="87">
        <v>5</v>
      </c>
      <c r="T1766" s="87">
        <v>0</v>
      </c>
      <c r="U1766" s="87">
        <v>0</v>
      </c>
      <c r="V1766" s="87">
        <v>452</v>
      </c>
      <c r="W1766" s="93" t="s">
        <v>7031</v>
      </c>
      <c r="X1766" s="87"/>
      <c r="Y1766" s="87"/>
      <c r="Z1766" s="87" t="s">
        <v>8584</v>
      </c>
      <c r="AA1766" s="87" t="s">
        <v>9748</v>
      </c>
      <c r="AB1766" s="87" t="s">
        <v>11447</v>
      </c>
      <c r="AC1766" s="93" t="s">
        <v>11495</v>
      </c>
      <c r="AD1766" s="87" t="s">
        <v>11519</v>
      </c>
      <c r="AE1766" s="92" t="str">
        <f>HYPERLINK("https://twitter.com/tvsenado/status/1693613104926482482")</f>
        <v>https://twitter.com/tvsenado/status/1693613104926482482</v>
      </c>
      <c r="AF1766" s="90">
        <v>45159.553287037037</v>
      </c>
      <c r="AG1766" s="99">
        <v>45159</v>
      </c>
      <c r="AH1766" s="93" t="s">
        <v>13145</v>
      </c>
      <c r="AI1766" s="87" t="b">
        <v>0</v>
      </c>
      <c r="AJ1766" s="87"/>
      <c r="AK1766" s="87"/>
      <c r="AL1766" s="87"/>
      <c r="AM1766" s="87"/>
      <c r="AN1766" s="87"/>
      <c r="AO1766" s="87"/>
      <c r="AP1766" s="87"/>
      <c r="AQ1766" s="87" t="s">
        <v>16561</v>
      </c>
      <c r="AR1766" s="87">
        <v>124110</v>
      </c>
      <c r="AS1766" s="87"/>
      <c r="AT1766" s="87"/>
      <c r="AU1766" s="87"/>
      <c r="AV1766" s="92" t="str">
        <f>HYPERLINK("https://pbs.twimg.com/media/F4DsX8OawAEVahF.jpg")</f>
        <v>https://pbs.twimg.com/media/F4DsX8OawAEVahF.jpg</v>
      </c>
      <c r="AW1766" s="93" t="s">
        <v>19995</v>
      </c>
      <c r="AX1766" s="93" t="s">
        <v>19995</v>
      </c>
      <c r="AY1766" s="87"/>
      <c r="AZ1766" s="93" t="s">
        <v>22668</v>
      </c>
      <c r="BA1766" s="93" t="s">
        <v>22668</v>
      </c>
      <c r="BB1766" s="93" t="s">
        <v>22668</v>
      </c>
      <c r="BC1766" s="93" t="s">
        <v>19995</v>
      </c>
      <c r="BD1766" s="87">
        <v>51075078</v>
      </c>
      <c r="BE1766" s="87"/>
      <c r="BF1766" s="87"/>
      <c r="BG1766" s="87"/>
      <c r="BH1766" s="87"/>
      <c r="BI1766" s="87"/>
    </row>
    <row r="1767" spans="1:61" x14ac:dyDescent="0.25">
      <c r="A1767" s="63" t="s">
        <v>830</v>
      </c>
      <c r="B1767" s="63" t="s">
        <v>830</v>
      </c>
      <c r="C1767" s="64"/>
      <c r="D1767" s="65"/>
      <c r="E1767" s="66"/>
      <c r="F1767" s="67"/>
      <c r="G1767" s="64"/>
      <c r="H1767" s="68"/>
      <c r="I1767" s="69"/>
      <c r="J1767" s="69"/>
      <c r="K1767" s="32"/>
      <c r="L1767" s="76">
        <v>1767</v>
      </c>
      <c r="M1767" s="76"/>
      <c r="N1767" s="71"/>
      <c r="O1767" s="87" t="s">
        <v>179</v>
      </c>
      <c r="P1767" s="90">
        <v>45112.602071759262</v>
      </c>
      <c r="Q1767" s="87" t="s">
        <v>3559</v>
      </c>
      <c r="R1767" s="87">
        <v>0</v>
      </c>
      <c r="S1767" s="87">
        <v>0</v>
      </c>
      <c r="T1767" s="87">
        <v>0</v>
      </c>
      <c r="U1767" s="87">
        <v>0</v>
      </c>
      <c r="V1767" s="87">
        <v>335</v>
      </c>
      <c r="W1767" s="93" t="s">
        <v>6065</v>
      </c>
      <c r="X1767" s="92" t="str">
        <f>HYPERLINK("https://twitter.com/i/broadcasts/1ypKddErOVRKW")</f>
        <v>https://twitter.com/i/broadcasts/1ypKddErOVRKW</v>
      </c>
      <c r="Y1767" s="87" t="s">
        <v>8469</v>
      </c>
      <c r="Z1767" s="87"/>
      <c r="AA1767" s="87"/>
      <c r="AB1767" s="87"/>
      <c r="AC1767" s="93" t="s">
        <v>11468</v>
      </c>
      <c r="AD1767" s="87" t="s">
        <v>11519</v>
      </c>
      <c r="AE1767" s="92" t="str">
        <f>HYPERLINK("https://twitter.com/tvsenado/status/1676598551541850116")</f>
        <v>https://twitter.com/tvsenado/status/1676598551541850116</v>
      </c>
      <c r="AF1767" s="90">
        <v>45112.602071759262</v>
      </c>
      <c r="AG1767" s="99">
        <v>45112</v>
      </c>
      <c r="AH1767" s="93" t="s">
        <v>13146</v>
      </c>
      <c r="AI1767" s="87" t="b">
        <v>0</v>
      </c>
      <c r="AJ1767" s="87"/>
      <c r="AK1767" s="87"/>
      <c r="AL1767" s="87"/>
      <c r="AM1767" s="87"/>
      <c r="AN1767" s="87"/>
      <c r="AO1767" s="87"/>
      <c r="AP1767" s="87"/>
      <c r="AQ1767" s="87"/>
      <c r="AR1767" s="87"/>
      <c r="AS1767" s="87"/>
      <c r="AT1767" s="87"/>
      <c r="AU1767" s="87"/>
      <c r="AV1767" s="92" t="str">
        <f>HYPERLINK("https://pbs.twimg.com/profile_images/1674207887629983745/wDLk8ehQ_normal.jpg")</f>
        <v>https://pbs.twimg.com/profile_images/1674207887629983745/wDLk8ehQ_normal.jpg</v>
      </c>
      <c r="AW1767" s="93" t="s">
        <v>19996</v>
      </c>
      <c r="AX1767" s="93" t="s">
        <v>19996</v>
      </c>
      <c r="AY1767" s="87"/>
      <c r="AZ1767" s="93" t="s">
        <v>22668</v>
      </c>
      <c r="BA1767" s="93" t="s">
        <v>22668</v>
      </c>
      <c r="BB1767" s="93" t="s">
        <v>22668</v>
      </c>
      <c r="BC1767" s="93" t="s">
        <v>19996</v>
      </c>
      <c r="BD1767" s="87">
        <v>51075078</v>
      </c>
      <c r="BE1767" s="87"/>
      <c r="BF1767" s="87"/>
      <c r="BG1767" s="87"/>
      <c r="BH1767" s="87"/>
      <c r="BI1767" s="87"/>
    </row>
    <row r="1768" spans="1:61" x14ac:dyDescent="0.25">
      <c r="A1768" s="63" t="s">
        <v>830</v>
      </c>
      <c r="B1768" s="63" t="s">
        <v>830</v>
      </c>
      <c r="C1768" s="64"/>
      <c r="D1768" s="65"/>
      <c r="E1768" s="66"/>
      <c r="F1768" s="67"/>
      <c r="G1768" s="64"/>
      <c r="H1768" s="68"/>
      <c r="I1768" s="69"/>
      <c r="J1768" s="69"/>
      <c r="K1768" s="32"/>
      <c r="L1768" s="76">
        <v>1768</v>
      </c>
      <c r="M1768" s="76"/>
      <c r="N1768" s="71"/>
      <c r="O1768" s="87" t="s">
        <v>179</v>
      </c>
      <c r="P1768" s="90">
        <v>45139.719861111109</v>
      </c>
      <c r="Q1768" s="87" t="s">
        <v>3560</v>
      </c>
      <c r="R1768" s="87">
        <v>1</v>
      </c>
      <c r="S1768" s="87">
        <v>2</v>
      </c>
      <c r="T1768" s="87">
        <v>0</v>
      </c>
      <c r="U1768" s="87">
        <v>0</v>
      </c>
      <c r="V1768" s="87">
        <v>370</v>
      </c>
      <c r="W1768" s="93" t="s">
        <v>7032</v>
      </c>
      <c r="X1768" s="87"/>
      <c r="Y1768" s="87"/>
      <c r="Z1768" s="87"/>
      <c r="AA1768" s="87" t="s">
        <v>9749</v>
      </c>
      <c r="AB1768" s="87" t="s">
        <v>11447</v>
      </c>
      <c r="AC1768" s="93" t="s">
        <v>11495</v>
      </c>
      <c r="AD1768" s="87" t="s">
        <v>11519</v>
      </c>
      <c r="AE1768" s="92" t="str">
        <f>HYPERLINK("https://twitter.com/tvsenado/status/1686425709936365570")</f>
        <v>https://twitter.com/tvsenado/status/1686425709936365570</v>
      </c>
      <c r="AF1768" s="90">
        <v>45139.719861111109</v>
      </c>
      <c r="AG1768" s="99">
        <v>45139</v>
      </c>
      <c r="AH1768" s="93" t="s">
        <v>13147</v>
      </c>
      <c r="AI1768" s="87" t="b">
        <v>0</v>
      </c>
      <c r="AJ1768" s="87"/>
      <c r="AK1768" s="87"/>
      <c r="AL1768" s="87"/>
      <c r="AM1768" s="87"/>
      <c r="AN1768" s="87"/>
      <c r="AO1768" s="87"/>
      <c r="AP1768" s="87"/>
      <c r="AQ1768" s="87" t="s">
        <v>16562</v>
      </c>
      <c r="AR1768" s="87">
        <v>96083</v>
      </c>
      <c r="AS1768" s="87"/>
      <c r="AT1768" s="87"/>
      <c r="AU1768" s="87"/>
      <c r="AV1768" s="92" t="str">
        <f>HYPERLINK("https://pbs.twimg.com/amplify_video_thumb/1686421341229010951/img/nhrd1hsW73mn6ZP7.jpg")</f>
        <v>https://pbs.twimg.com/amplify_video_thumb/1686421341229010951/img/nhrd1hsW73mn6ZP7.jpg</v>
      </c>
      <c r="AW1768" s="93" t="s">
        <v>19997</v>
      </c>
      <c r="AX1768" s="93" t="s">
        <v>19997</v>
      </c>
      <c r="AY1768" s="87"/>
      <c r="AZ1768" s="93" t="s">
        <v>22668</v>
      </c>
      <c r="BA1768" s="93" t="s">
        <v>22668</v>
      </c>
      <c r="BB1768" s="93" t="s">
        <v>22668</v>
      </c>
      <c r="BC1768" s="93" t="s">
        <v>19997</v>
      </c>
      <c r="BD1768" s="87">
        <v>51075078</v>
      </c>
      <c r="BE1768" s="87"/>
      <c r="BF1768" s="87"/>
      <c r="BG1768" s="87"/>
      <c r="BH1768" s="87"/>
      <c r="BI1768" s="87"/>
    </row>
    <row r="1769" spans="1:61" x14ac:dyDescent="0.25">
      <c r="A1769" s="63" t="s">
        <v>830</v>
      </c>
      <c r="B1769" s="63" t="s">
        <v>830</v>
      </c>
      <c r="C1769" s="64"/>
      <c r="D1769" s="65"/>
      <c r="E1769" s="66"/>
      <c r="F1769" s="67"/>
      <c r="G1769" s="64"/>
      <c r="H1769" s="68"/>
      <c r="I1769" s="69"/>
      <c r="J1769" s="69"/>
      <c r="K1769" s="32"/>
      <c r="L1769" s="76">
        <v>1769</v>
      </c>
      <c r="M1769" s="76"/>
      <c r="N1769" s="71"/>
      <c r="O1769" s="87" t="s">
        <v>179</v>
      </c>
      <c r="P1769" s="90">
        <v>45141.542118055557</v>
      </c>
      <c r="Q1769" s="87" t="s">
        <v>3561</v>
      </c>
      <c r="R1769" s="87">
        <v>0</v>
      </c>
      <c r="S1769" s="87">
        <v>2</v>
      </c>
      <c r="T1769" s="87">
        <v>0</v>
      </c>
      <c r="U1769" s="87">
        <v>0</v>
      </c>
      <c r="V1769" s="87">
        <v>294</v>
      </c>
      <c r="W1769" s="93" t="s">
        <v>7033</v>
      </c>
      <c r="X1769" s="87"/>
      <c r="Y1769" s="87"/>
      <c r="Z1769" s="87"/>
      <c r="AA1769" s="87" t="s">
        <v>9750</v>
      </c>
      <c r="AB1769" s="87" t="s">
        <v>11447</v>
      </c>
      <c r="AC1769" s="93" t="s">
        <v>11495</v>
      </c>
      <c r="AD1769" s="87" t="s">
        <v>11519</v>
      </c>
      <c r="AE1769" s="92" t="str">
        <f>HYPERLINK("https://twitter.com/tvsenado/status/1687086076035502080")</f>
        <v>https://twitter.com/tvsenado/status/1687086076035502080</v>
      </c>
      <c r="AF1769" s="90">
        <v>45141.542118055557</v>
      </c>
      <c r="AG1769" s="99">
        <v>45141</v>
      </c>
      <c r="AH1769" s="93" t="s">
        <v>13148</v>
      </c>
      <c r="AI1769" s="87" t="b">
        <v>0</v>
      </c>
      <c r="AJ1769" s="87"/>
      <c r="AK1769" s="87"/>
      <c r="AL1769" s="87"/>
      <c r="AM1769" s="87"/>
      <c r="AN1769" s="87"/>
      <c r="AO1769" s="87"/>
      <c r="AP1769" s="87"/>
      <c r="AQ1769" s="87" t="s">
        <v>16563</v>
      </c>
      <c r="AR1769" s="87">
        <v>66410</v>
      </c>
      <c r="AS1769" s="87"/>
      <c r="AT1769" s="87"/>
      <c r="AU1769" s="87"/>
      <c r="AV1769" s="92" t="str">
        <f>HYPERLINK("https://pbs.twimg.com/media/F2m7fixbYAASiqQ.jpg")</f>
        <v>https://pbs.twimg.com/media/F2m7fixbYAASiqQ.jpg</v>
      </c>
      <c r="AW1769" s="93" t="s">
        <v>19998</v>
      </c>
      <c r="AX1769" s="93" t="s">
        <v>19998</v>
      </c>
      <c r="AY1769" s="87"/>
      <c r="AZ1769" s="93" t="s">
        <v>22668</v>
      </c>
      <c r="BA1769" s="93" t="s">
        <v>22668</v>
      </c>
      <c r="BB1769" s="93" t="s">
        <v>22668</v>
      </c>
      <c r="BC1769" s="93" t="s">
        <v>19998</v>
      </c>
      <c r="BD1769" s="87">
        <v>51075078</v>
      </c>
      <c r="BE1769" s="87"/>
      <c r="BF1769" s="87"/>
      <c r="BG1769" s="87"/>
      <c r="BH1769" s="87"/>
      <c r="BI1769" s="87"/>
    </row>
    <row r="1770" spans="1:61" x14ac:dyDescent="0.25">
      <c r="A1770" s="63" t="s">
        <v>830</v>
      </c>
      <c r="B1770" s="63" t="s">
        <v>830</v>
      </c>
      <c r="C1770" s="64"/>
      <c r="D1770" s="65"/>
      <c r="E1770" s="66"/>
      <c r="F1770" s="67"/>
      <c r="G1770" s="64"/>
      <c r="H1770" s="68"/>
      <c r="I1770" s="69"/>
      <c r="J1770" s="69"/>
      <c r="K1770" s="32"/>
      <c r="L1770" s="76">
        <v>1770</v>
      </c>
      <c r="M1770" s="76"/>
      <c r="N1770" s="71"/>
      <c r="O1770" s="87" t="s">
        <v>179</v>
      </c>
      <c r="P1770" s="90">
        <v>45162.960590277777</v>
      </c>
      <c r="Q1770" s="87" t="s">
        <v>3562</v>
      </c>
      <c r="R1770" s="87">
        <v>0</v>
      </c>
      <c r="S1770" s="87">
        <v>1</v>
      </c>
      <c r="T1770" s="87">
        <v>0</v>
      </c>
      <c r="U1770" s="87">
        <v>0</v>
      </c>
      <c r="V1770" s="87">
        <v>309</v>
      </c>
      <c r="W1770" s="93" t="s">
        <v>7034</v>
      </c>
      <c r="X1770" s="87"/>
      <c r="Y1770" s="87"/>
      <c r="Z1770" s="87"/>
      <c r="AA1770" s="87" t="s">
        <v>9751</v>
      </c>
      <c r="AB1770" s="87" t="s">
        <v>11447</v>
      </c>
      <c r="AC1770" s="93" t="s">
        <v>11495</v>
      </c>
      <c r="AD1770" s="87" t="s">
        <v>11519</v>
      </c>
      <c r="AE1770" s="92" t="str">
        <f>HYPERLINK("https://twitter.com/tvsenado/status/1694847870162108774")</f>
        <v>https://twitter.com/tvsenado/status/1694847870162108774</v>
      </c>
      <c r="AF1770" s="90">
        <v>45162.960590277777</v>
      </c>
      <c r="AG1770" s="99">
        <v>45162</v>
      </c>
      <c r="AH1770" s="93" t="s">
        <v>13149</v>
      </c>
      <c r="AI1770" s="87" t="b">
        <v>0</v>
      </c>
      <c r="AJ1770" s="87"/>
      <c r="AK1770" s="87"/>
      <c r="AL1770" s="87"/>
      <c r="AM1770" s="87"/>
      <c r="AN1770" s="87"/>
      <c r="AO1770" s="87"/>
      <c r="AP1770" s="87"/>
      <c r="AQ1770" s="87" t="s">
        <v>16564</v>
      </c>
      <c r="AR1770" s="87">
        <v>114550</v>
      </c>
      <c r="AS1770" s="87"/>
      <c r="AT1770" s="87"/>
      <c r="AU1770" s="87"/>
      <c r="AV1770" s="92" t="str">
        <f>HYPERLINK("https://pbs.twimg.com/amplify_video_thumb/1694847281168850946/img/lTBsFQDLUZJSeT5a.jpg")</f>
        <v>https://pbs.twimg.com/amplify_video_thumb/1694847281168850946/img/lTBsFQDLUZJSeT5a.jpg</v>
      </c>
      <c r="AW1770" s="93" t="s">
        <v>19999</v>
      </c>
      <c r="AX1770" s="93" t="s">
        <v>19999</v>
      </c>
      <c r="AY1770" s="87"/>
      <c r="AZ1770" s="93" t="s">
        <v>22668</v>
      </c>
      <c r="BA1770" s="93" t="s">
        <v>22668</v>
      </c>
      <c r="BB1770" s="93" t="s">
        <v>22668</v>
      </c>
      <c r="BC1770" s="93" t="s">
        <v>19999</v>
      </c>
      <c r="BD1770" s="87">
        <v>51075078</v>
      </c>
      <c r="BE1770" s="87"/>
      <c r="BF1770" s="87"/>
      <c r="BG1770" s="87"/>
      <c r="BH1770" s="87"/>
      <c r="BI1770" s="87"/>
    </row>
    <row r="1771" spans="1:61" x14ac:dyDescent="0.25">
      <c r="A1771" s="63" t="s">
        <v>831</v>
      </c>
      <c r="B1771" s="63" t="s">
        <v>831</v>
      </c>
      <c r="C1771" s="64"/>
      <c r="D1771" s="65"/>
      <c r="E1771" s="66"/>
      <c r="F1771" s="67"/>
      <c r="G1771" s="64"/>
      <c r="H1771" s="68"/>
      <c r="I1771" s="69"/>
      <c r="J1771" s="69"/>
      <c r="K1771" s="32"/>
      <c r="L1771" s="76">
        <v>1771</v>
      </c>
      <c r="M1771" s="76"/>
      <c r="N1771" s="71"/>
      <c r="O1771" s="87" t="s">
        <v>179</v>
      </c>
      <c r="P1771" s="90">
        <v>45127.541666666664</v>
      </c>
      <c r="Q1771" s="87" t="s">
        <v>3563</v>
      </c>
      <c r="R1771" s="87">
        <v>0</v>
      </c>
      <c r="S1771" s="87">
        <v>1</v>
      </c>
      <c r="T1771" s="87">
        <v>0</v>
      </c>
      <c r="U1771" s="87">
        <v>0</v>
      </c>
      <c r="V1771" s="87">
        <v>223</v>
      </c>
      <c r="W1771" s="93" t="s">
        <v>5897</v>
      </c>
      <c r="X1771" s="92" t="str">
        <f>HYPERLINK("https://www.jornaldocomercio.com/jornal-cidades/2023/07/1115719-prefeitura-de-santa-maria-cria-lei-para-oferecer-incentivos-fiscais.html")</f>
        <v>https://www.jornaldocomercio.com/jornal-cidades/2023/07/1115719-prefeitura-de-santa-maria-cria-lei-para-oferecer-incentivos-fiscais.html</v>
      </c>
      <c r="Y1771" s="87" t="s">
        <v>8470</v>
      </c>
      <c r="Z1771" s="87"/>
      <c r="AA1771" s="87"/>
      <c r="AB1771" s="87"/>
      <c r="AC1771" s="93" t="s">
        <v>11464</v>
      </c>
      <c r="AD1771" s="87" t="s">
        <v>11519</v>
      </c>
      <c r="AE1771" s="92" t="str">
        <f>HYPERLINK("https://twitter.com/jc_rs/status/1682012482817126400")</f>
        <v>https://twitter.com/jc_rs/status/1682012482817126400</v>
      </c>
      <c r="AF1771" s="90">
        <v>45127.541666666664</v>
      </c>
      <c r="AG1771" s="99">
        <v>45127</v>
      </c>
      <c r="AH1771" s="93" t="s">
        <v>13150</v>
      </c>
      <c r="AI1771" s="87" t="b">
        <v>0</v>
      </c>
      <c r="AJ1771" s="87"/>
      <c r="AK1771" s="87"/>
      <c r="AL1771" s="87"/>
      <c r="AM1771" s="87"/>
      <c r="AN1771" s="87"/>
      <c r="AO1771" s="87"/>
      <c r="AP1771" s="87"/>
      <c r="AQ1771" s="87"/>
      <c r="AR1771" s="87"/>
      <c r="AS1771" s="87"/>
      <c r="AT1771" s="87"/>
      <c r="AU1771" s="87"/>
      <c r="AV1771" s="92" t="str">
        <f>HYPERLINK("https://pbs.twimg.com/profile_images/1531317937075806210/7oEvwlvr_normal.jpg")</f>
        <v>https://pbs.twimg.com/profile_images/1531317937075806210/7oEvwlvr_normal.jpg</v>
      </c>
      <c r="AW1771" s="93" t="s">
        <v>20000</v>
      </c>
      <c r="AX1771" s="93" t="s">
        <v>20000</v>
      </c>
      <c r="AY1771" s="87"/>
      <c r="AZ1771" s="93" t="s">
        <v>22668</v>
      </c>
      <c r="BA1771" s="93" t="s">
        <v>22668</v>
      </c>
      <c r="BB1771" s="93" t="s">
        <v>22668</v>
      </c>
      <c r="BC1771" s="93" t="s">
        <v>20000</v>
      </c>
      <c r="BD1771" s="87">
        <v>17118982</v>
      </c>
      <c r="BE1771" s="87"/>
      <c r="BF1771" s="87"/>
      <c r="BG1771" s="87"/>
      <c r="BH1771" s="87"/>
      <c r="BI1771" s="87"/>
    </row>
    <row r="1772" spans="1:61" x14ac:dyDescent="0.25">
      <c r="A1772" s="63" t="s">
        <v>831</v>
      </c>
      <c r="B1772" s="63" t="s">
        <v>831</v>
      </c>
      <c r="C1772" s="64"/>
      <c r="D1772" s="65"/>
      <c r="E1772" s="66"/>
      <c r="F1772" s="67"/>
      <c r="G1772" s="64"/>
      <c r="H1772" s="68"/>
      <c r="I1772" s="69"/>
      <c r="J1772" s="69"/>
      <c r="K1772" s="32"/>
      <c r="L1772" s="76">
        <v>1772</v>
      </c>
      <c r="M1772" s="76"/>
      <c r="N1772" s="71"/>
      <c r="O1772" s="87" t="s">
        <v>179</v>
      </c>
      <c r="P1772" s="90">
        <v>45134.875</v>
      </c>
      <c r="Q1772" s="87" t="s">
        <v>3564</v>
      </c>
      <c r="R1772" s="87">
        <v>0</v>
      </c>
      <c r="S1772" s="87">
        <v>1</v>
      </c>
      <c r="T1772" s="87">
        <v>0</v>
      </c>
      <c r="U1772" s="87">
        <v>0</v>
      </c>
      <c r="V1772" s="87">
        <v>279</v>
      </c>
      <c r="W1772" s="93" t="s">
        <v>5897</v>
      </c>
      <c r="X1772" s="92" t="str">
        <f>HYPERLINK("https://www.jornaldocomercio.com/economia/2023/07/1116748-empresario-conta-trajetoria-de-sucesso-em-almoco-da-adce.html")</f>
        <v>https://www.jornaldocomercio.com/economia/2023/07/1116748-empresario-conta-trajetoria-de-sucesso-em-almoco-da-adce.html</v>
      </c>
      <c r="Y1772" s="87" t="s">
        <v>8470</v>
      </c>
      <c r="Z1772" s="87"/>
      <c r="AA1772" s="87"/>
      <c r="AB1772" s="87"/>
      <c r="AC1772" s="93" t="s">
        <v>11464</v>
      </c>
      <c r="AD1772" s="87" t="s">
        <v>11519</v>
      </c>
      <c r="AE1772" s="92" t="str">
        <f>HYPERLINK("https://twitter.com/jc_rs/status/1684669994028658688")</f>
        <v>https://twitter.com/jc_rs/status/1684669994028658688</v>
      </c>
      <c r="AF1772" s="90">
        <v>45134.875</v>
      </c>
      <c r="AG1772" s="99">
        <v>45134</v>
      </c>
      <c r="AH1772" s="93" t="s">
        <v>12349</v>
      </c>
      <c r="AI1772" s="87" t="b">
        <v>0</v>
      </c>
      <c r="AJ1772" s="87"/>
      <c r="AK1772" s="87"/>
      <c r="AL1772" s="87"/>
      <c r="AM1772" s="87"/>
      <c r="AN1772" s="87"/>
      <c r="AO1772" s="87"/>
      <c r="AP1772" s="87"/>
      <c r="AQ1772" s="87"/>
      <c r="AR1772" s="87"/>
      <c r="AS1772" s="87"/>
      <c r="AT1772" s="87"/>
      <c r="AU1772" s="87"/>
      <c r="AV1772" s="92" t="str">
        <f>HYPERLINK("https://pbs.twimg.com/profile_images/1531317937075806210/7oEvwlvr_normal.jpg")</f>
        <v>https://pbs.twimg.com/profile_images/1531317937075806210/7oEvwlvr_normal.jpg</v>
      </c>
      <c r="AW1772" s="93" t="s">
        <v>20001</v>
      </c>
      <c r="AX1772" s="93" t="s">
        <v>20001</v>
      </c>
      <c r="AY1772" s="87"/>
      <c r="AZ1772" s="93" t="s">
        <v>22668</v>
      </c>
      <c r="BA1772" s="93" t="s">
        <v>22668</v>
      </c>
      <c r="BB1772" s="93" t="s">
        <v>22668</v>
      </c>
      <c r="BC1772" s="93" t="s">
        <v>20001</v>
      </c>
      <c r="BD1772" s="87">
        <v>17118982</v>
      </c>
      <c r="BE1772" s="87"/>
      <c r="BF1772" s="87"/>
      <c r="BG1772" s="87"/>
      <c r="BH1772" s="87"/>
      <c r="BI1772" s="87"/>
    </row>
    <row r="1773" spans="1:61" x14ac:dyDescent="0.25">
      <c r="A1773" s="63" t="s">
        <v>831</v>
      </c>
      <c r="B1773" s="63" t="s">
        <v>831</v>
      </c>
      <c r="C1773" s="64"/>
      <c r="D1773" s="65"/>
      <c r="E1773" s="66"/>
      <c r="F1773" s="67"/>
      <c r="G1773" s="64"/>
      <c r="H1773" s="68"/>
      <c r="I1773" s="69"/>
      <c r="J1773" s="69"/>
      <c r="K1773" s="32"/>
      <c r="L1773" s="76">
        <v>1773</v>
      </c>
      <c r="M1773" s="76"/>
      <c r="N1773" s="71"/>
      <c r="O1773" s="87" t="s">
        <v>179</v>
      </c>
      <c r="P1773" s="90">
        <v>45111.527777777781</v>
      </c>
      <c r="Q1773" s="87" t="s">
        <v>3565</v>
      </c>
      <c r="R1773" s="87">
        <v>0</v>
      </c>
      <c r="S1773" s="87">
        <v>0</v>
      </c>
      <c r="T1773" s="87">
        <v>0</v>
      </c>
      <c r="U1773" s="87">
        <v>0</v>
      </c>
      <c r="V1773" s="87">
        <v>245</v>
      </c>
      <c r="W1773" s="93" t="s">
        <v>5897</v>
      </c>
      <c r="X1773" s="92" t="str">
        <f>HYPERLINK("https://www.jornaldocomercio.com/jornal-cidades/2023/07/1113393-primeira-edicao-do-taquara-summit-leva-publico-superior-a-12-mil-pessoas-ao-centro-de-eventos-da-faccat.html")</f>
        <v>https://www.jornaldocomercio.com/jornal-cidades/2023/07/1113393-primeira-edicao-do-taquara-summit-leva-publico-superior-a-12-mil-pessoas-ao-centro-de-eventos-da-faccat.html</v>
      </c>
      <c r="Y1773" s="87" t="s">
        <v>8470</v>
      </c>
      <c r="Z1773" s="87"/>
      <c r="AA1773" s="87"/>
      <c r="AB1773" s="87"/>
      <c r="AC1773" s="93" t="s">
        <v>11464</v>
      </c>
      <c r="AD1773" s="87" t="s">
        <v>11519</v>
      </c>
      <c r="AE1773" s="92" t="str">
        <f>HYPERLINK("https://twitter.com/jc_rs/status/1676209241307197440")</f>
        <v>https://twitter.com/jc_rs/status/1676209241307197440</v>
      </c>
      <c r="AF1773" s="90">
        <v>45111.527777777781</v>
      </c>
      <c r="AG1773" s="99">
        <v>45111</v>
      </c>
      <c r="AH1773" s="93" t="s">
        <v>13151</v>
      </c>
      <c r="AI1773" s="87" t="b">
        <v>0</v>
      </c>
      <c r="AJ1773" s="87"/>
      <c r="AK1773" s="87"/>
      <c r="AL1773" s="87"/>
      <c r="AM1773" s="87"/>
      <c r="AN1773" s="87"/>
      <c r="AO1773" s="87"/>
      <c r="AP1773" s="87"/>
      <c r="AQ1773" s="87"/>
      <c r="AR1773" s="87"/>
      <c r="AS1773" s="87"/>
      <c r="AT1773" s="87"/>
      <c r="AU1773" s="87"/>
      <c r="AV1773" s="92" t="str">
        <f>HYPERLINK("https://pbs.twimg.com/profile_images/1531317937075806210/7oEvwlvr_normal.jpg")</f>
        <v>https://pbs.twimg.com/profile_images/1531317937075806210/7oEvwlvr_normal.jpg</v>
      </c>
      <c r="AW1773" s="93" t="s">
        <v>20002</v>
      </c>
      <c r="AX1773" s="93" t="s">
        <v>20002</v>
      </c>
      <c r="AY1773" s="87"/>
      <c r="AZ1773" s="93" t="s">
        <v>22668</v>
      </c>
      <c r="BA1773" s="93" t="s">
        <v>22668</v>
      </c>
      <c r="BB1773" s="93" t="s">
        <v>22668</v>
      </c>
      <c r="BC1773" s="93" t="s">
        <v>20002</v>
      </c>
      <c r="BD1773" s="87">
        <v>17118982</v>
      </c>
      <c r="BE1773" s="87"/>
      <c r="BF1773" s="87"/>
      <c r="BG1773" s="87"/>
      <c r="BH1773" s="87"/>
      <c r="BI1773" s="87"/>
    </row>
    <row r="1774" spans="1:61" x14ac:dyDescent="0.25">
      <c r="A1774" s="63" t="s">
        <v>831</v>
      </c>
      <c r="B1774" s="63" t="s">
        <v>831</v>
      </c>
      <c r="C1774" s="64"/>
      <c r="D1774" s="65"/>
      <c r="E1774" s="66"/>
      <c r="F1774" s="67"/>
      <c r="G1774" s="64"/>
      <c r="H1774" s="68"/>
      <c r="I1774" s="69"/>
      <c r="J1774" s="69"/>
      <c r="K1774" s="32"/>
      <c r="L1774" s="76">
        <v>1774</v>
      </c>
      <c r="M1774" s="76"/>
      <c r="N1774" s="71"/>
      <c r="O1774" s="87" t="s">
        <v>179</v>
      </c>
      <c r="P1774" s="90">
        <v>45154.944444444445</v>
      </c>
      <c r="Q1774" s="87" t="s">
        <v>3566</v>
      </c>
      <c r="R1774" s="87">
        <v>0</v>
      </c>
      <c r="S1774" s="87">
        <v>3</v>
      </c>
      <c r="T1774" s="87">
        <v>0</v>
      </c>
      <c r="U1774" s="87">
        <v>0</v>
      </c>
      <c r="V1774" s="87">
        <v>285</v>
      </c>
      <c r="W1774" s="93" t="s">
        <v>5897</v>
      </c>
      <c r="X1774" s="92" t="str">
        <f>HYPERLINK("https://www.jornaldocomercio.com/geral/2023/08/1119530-cootravipa-capacitara-trabalhadores-de-cinco-unidades-de-tratamento-de-porto-alegre.html")</f>
        <v>https://www.jornaldocomercio.com/geral/2023/08/1119530-cootravipa-capacitara-trabalhadores-de-cinco-unidades-de-tratamento-de-porto-alegre.html</v>
      </c>
      <c r="Y1774" s="87" t="s">
        <v>8470</v>
      </c>
      <c r="Z1774" s="87"/>
      <c r="AA1774" s="87"/>
      <c r="AB1774" s="87"/>
      <c r="AC1774" s="93" t="s">
        <v>11457</v>
      </c>
      <c r="AD1774" s="87" t="s">
        <v>11519</v>
      </c>
      <c r="AE1774" s="92" t="str">
        <f>HYPERLINK("https://twitter.com/jc_rs/status/1691942914371231903")</f>
        <v>https://twitter.com/jc_rs/status/1691942914371231903</v>
      </c>
      <c r="AF1774" s="90">
        <v>45154.944444444445</v>
      </c>
      <c r="AG1774" s="99">
        <v>45154</v>
      </c>
      <c r="AH1774" s="93" t="s">
        <v>13152</v>
      </c>
      <c r="AI1774" s="87" t="b">
        <v>0</v>
      </c>
      <c r="AJ1774" s="87"/>
      <c r="AK1774" s="87"/>
      <c r="AL1774" s="87"/>
      <c r="AM1774" s="87"/>
      <c r="AN1774" s="87"/>
      <c r="AO1774" s="87"/>
      <c r="AP1774" s="87"/>
      <c r="AQ1774" s="87"/>
      <c r="AR1774" s="87"/>
      <c r="AS1774" s="87"/>
      <c r="AT1774" s="87"/>
      <c r="AU1774" s="87"/>
      <c r="AV1774" s="92" t="str">
        <f>HYPERLINK("https://pbs.twimg.com/profile_images/1531317937075806210/7oEvwlvr_normal.jpg")</f>
        <v>https://pbs.twimg.com/profile_images/1531317937075806210/7oEvwlvr_normal.jpg</v>
      </c>
      <c r="AW1774" s="93" t="s">
        <v>20003</v>
      </c>
      <c r="AX1774" s="93" t="s">
        <v>20003</v>
      </c>
      <c r="AY1774" s="87"/>
      <c r="AZ1774" s="93" t="s">
        <v>22668</v>
      </c>
      <c r="BA1774" s="93" t="s">
        <v>22668</v>
      </c>
      <c r="BB1774" s="93" t="s">
        <v>22668</v>
      </c>
      <c r="BC1774" s="93" t="s">
        <v>20003</v>
      </c>
      <c r="BD1774" s="87">
        <v>17118982</v>
      </c>
      <c r="BE1774" s="87"/>
      <c r="BF1774" s="87"/>
      <c r="BG1774" s="87"/>
      <c r="BH1774" s="87"/>
      <c r="BI1774" s="87"/>
    </row>
    <row r="1775" spans="1:61" x14ac:dyDescent="0.25">
      <c r="A1775" s="63" t="s">
        <v>831</v>
      </c>
      <c r="B1775" s="63" t="s">
        <v>831</v>
      </c>
      <c r="C1775" s="64"/>
      <c r="D1775" s="65"/>
      <c r="E1775" s="66"/>
      <c r="F1775" s="67"/>
      <c r="G1775" s="64"/>
      <c r="H1775" s="68"/>
      <c r="I1775" s="69"/>
      <c r="J1775" s="69"/>
      <c r="K1775" s="32"/>
      <c r="L1775" s="76">
        <v>1775</v>
      </c>
      <c r="M1775" s="76"/>
      <c r="N1775" s="71"/>
      <c r="O1775" s="87" t="s">
        <v>179</v>
      </c>
      <c r="P1775" s="90">
        <v>45114.597222222219</v>
      </c>
      <c r="Q1775" s="87" t="s">
        <v>3567</v>
      </c>
      <c r="R1775" s="87">
        <v>0</v>
      </c>
      <c r="S1775" s="87">
        <v>1</v>
      </c>
      <c r="T1775" s="87">
        <v>0</v>
      </c>
      <c r="U1775" s="87">
        <v>0</v>
      </c>
      <c r="V1775" s="87">
        <v>309</v>
      </c>
      <c r="W1775" s="93" t="s">
        <v>5897</v>
      </c>
      <c r="X1775" s="92" t="str">
        <f>HYPERLINK("https://www.jornaldocomercio.com/jornal-cidades/2023/07/1113989-pelotas-recebe-projeto-estadual-para-micro-e-pequenas-empresas.html")</f>
        <v>https://www.jornaldocomercio.com/jornal-cidades/2023/07/1113989-pelotas-recebe-projeto-estadual-para-micro-e-pequenas-empresas.html</v>
      </c>
      <c r="Y1775" s="87" t="s">
        <v>8470</v>
      </c>
      <c r="Z1775" s="87"/>
      <c r="AA1775" s="87"/>
      <c r="AB1775" s="87"/>
      <c r="AC1775" s="93" t="s">
        <v>11464</v>
      </c>
      <c r="AD1775" s="87" t="s">
        <v>11519</v>
      </c>
      <c r="AE1775" s="92" t="str">
        <f>HYPERLINK("https://twitter.com/jc_rs/status/1677321571419975684")</f>
        <v>https://twitter.com/jc_rs/status/1677321571419975684</v>
      </c>
      <c r="AF1775" s="90">
        <v>45114.597222222219</v>
      </c>
      <c r="AG1775" s="99">
        <v>45114</v>
      </c>
      <c r="AH1775" s="93" t="s">
        <v>12951</v>
      </c>
      <c r="AI1775" s="87" t="b">
        <v>0</v>
      </c>
      <c r="AJ1775" s="87"/>
      <c r="AK1775" s="87"/>
      <c r="AL1775" s="87"/>
      <c r="AM1775" s="87"/>
      <c r="AN1775" s="87"/>
      <c r="AO1775" s="87"/>
      <c r="AP1775" s="87"/>
      <c r="AQ1775" s="87"/>
      <c r="AR1775" s="87"/>
      <c r="AS1775" s="87"/>
      <c r="AT1775" s="87"/>
      <c r="AU1775" s="87"/>
      <c r="AV1775" s="92" t="str">
        <f>HYPERLINK("https://pbs.twimg.com/profile_images/1531317937075806210/7oEvwlvr_normal.jpg")</f>
        <v>https://pbs.twimg.com/profile_images/1531317937075806210/7oEvwlvr_normal.jpg</v>
      </c>
      <c r="AW1775" s="93" t="s">
        <v>20004</v>
      </c>
      <c r="AX1775" s="93" t="s">
        <v>20004</v>
      </c>
      <c r="AY1775" s="87"/>
      <c r="AZ1775" s="93" t="s">
        <v>22668</v>
      </c>
      <c r="BA1775" s="93" t="s">
        <v>22668</v>
      </c>
      <c r="BB1775" s="93" t="s">
        <v>22668</v>
      </c>
      <c r="BC1775" s="93" t="s">
        <v>20004</v>
      </c>
      <c r="BD1775" s="87">
        <v>17118982</v>
      </c>
      <c r="BE1775" s="87"/>
      <c r="BF1775" s="87"/>
      <c r="BG1775" s="87"/>
      <c r="BH1775" s="87"/>
      <c r="BI1775" s="87"/>
    </row>
    <row r="1776" spans="1:61" x14ac:dyDescent="0.25">
      <c r="A1776" s="63" t="s">
        <v>831</v>
      </c>
      <c r="B1776" s="63" t="s">
        <v>831</v>
      </c>
      <c r="C1776" s="64"/>
      <c r="D1776" s="65"/>
      <c r="E1776" s="66"/>
      <c r="F1776" s="67"/>
      <c r="G1776" s="64"/>
      <c r="H1776" s="68"/>
      <c r="I1776" s="69"/>
      <c r="J1776" s="69"/>
      <c r="K1776" s="32"/>
      <c r="L1776" s="76">
        <v>1776</v>
      </c>
      <c r="M1776" s="76"/>
      <c r="N1776" s="71"/>
      <c r="O1776" s="87" t="s">
        <v>179</v>
      </c>
      <c r="P1776" s="90">
        <v>45113.763888888891</v>
      </c>
      <c r="Q1776" s="87" t="s">
        <v>3568</v>
      </c>
      <c r="R1776" s="87">
        <v>1</v>
      </c>
      <c r="S1776" s="87">
        <v>0</v>
      </c>
      <c r="T1776" s="87">
        <v>0</v>
      </c>
      <c r="U1776" s="87">
        <v>1</v>
      </c>
      <c r="V1776" s="87">
        <v>304</v>
      </c>
      <c r="W1776" s="93" t="s">
        <v>5897</v>
      </c>
      <c r="X1776" s="92" t="str">
        <f>HYPERLINK("https://www.jornaldocomercio.com/especiais/nucleo-i/2023/07/1113849-ha-60-anos-presente-nos-caminhos-do-brasil-e-do-mundo.html")</f>
        <v>https://www.jornaldocomercio.com/especiais/nucleo-i/2023/07/1113849-ha-60-anos-presente-nos-caminhos-do-brasil-e-do-mundo.html</v>
      </c>
      <c r="Y1776" s="87" t="s">
        <v>8470</v>
      </c>
      <c r="Z1776" s="87"/>
      <c r="AA1776" s="87"/>
      <c r="AB1776" s="87"/>
      <c r="AC1776" s="93" t="s">
        <v>11464</v>
      </c>
      <c r="AD1776" s="87" t="s">
        <v>11519</v>
      </c>
      <c r="AE1776" s="92" t="str">
        <f>HYPERLINK("https://twitter.com/jc_rs/status/1677019580898631708")</f>
        <v>https://twitter.com/jc_rs/status/1677019580898631708</v>
      </c>
      <c r="AF1776" s="90">
        <v>45113.763888888891</v>
      </c>
      <c r="AG1776" s="99">
        <v>45113</v>
      </c>
      <c r="AH1776" s="93" t="s">
        <v>13153</v>
      </c>
      <c r="AI1776" s="87" t="b">
        <v>0</v>
      </c>
      <c r="AJ1776" s="87"/>
      <c r="AK1776" s="87"/>
      <c r="AL1776" s="87"/>
      <c r="AM1776" s="87"/>
      <c r="AN1776" s="87"/>
      <c r="AO1776" s="87"/>
      <c r="AP1776" s="87"/>
      <c r="AQ1776" s="87"/>
      <c r="AR1776" s="87"/>
      <c r="AS1776" s="87"/>
      <c r="AT1776" s="87"/>
      <c r="AU1776" s="87"/>
      <c r="AV1776" s="92" t="str">
        <f>HYPERLINK("https://pbs.twimg.com/profile_images/1531317937075806210/7oEvwlvr_normal.jpg")</f>
        <v>https://pbs.twimg.com/profile_images/1531317937075806210/7oEvwlvr_normal.jpg</v>
      </c>
      <c r="AW1776" s="93" t="s">
        <v>20005</v>
      </c>
      <c r="AX1776" s="93" t="s">
        <v>20005</v>
      </c>
      <c r="AY1776" s="87"/>
      <c r="AZ1776" s="93" t="s">
        <v>22668</v>
      </c>
      <c r="BA1776" s="93" t="s">
        <v>22668</v>
      </c>
      <c r="BB1776" s="93" t="s">
        <v>22668</v>
      </c>
      <c r="BC1776" s="93" t="s">
        <v>20005</v>
      </c>
      <c r="BD1776" s="87">
        <v>17118982</v>
      </c>
      <c r="BE1776" s="87"/>
      <c r="BF1776" s="87"/>
      <c r="BG1776" s="87"/>
      <c r="BH1776" s="87"/>
      <c r="BI1776" s="87"/>
    </row>
    <row r="1777" spans="1:61" x14ac:dyDescent="0.25">
      <c r="A1777" s="63" t="s">
        <v>831</v>
      </c>
      <c r="B1777" s="63" t="s">
        <v>831</v>
      </c>
      <c r="C1777" s="64"/>
      <c r="D1777" s="65"/>
      <c r="E1777" s="66"/>
      <c r="F1777" s="67"/>
      <c r="G1777" s="64"/>
      <c r="H1777" s="68"/>
      <c r="I1777" s="69"/>
      <c r="J1777" s="69"/>
      <c r="K1777" s="32"/>
      <c r="L1777" s="76">
        <v>1777</v>
      </c>
      <c r="M1777" s="76"/>
      <c r="N1777" s="71"/>
      <c r="O1777" s="87" t="s">
        <v>179</v>
      </c>
      <c r="P1777" s="90">
        <v>45162.775578703702</v>
      </c>
      <c r="Q1777" s="87" t="s">
        <v>3569</v>
      </c>
      <c r="R1777" s="87">
        <v>0</v>
      </c>
      <c r="S1777" s="87">
        <v>1</v>
      </c>
      <c r="T1777" s="87">
        <v>0</v>
      </c>
      <c r="U1777" s="87">
        <v>0</v>
      </c>
      <c r="V1777" s="87">
        <v>263</v>
      </c>
      <c r="W1777" s="93" t="s">
        <v>5897</v>
      </c>
      <c r="X1777" s="92" t="str">
        <f>HYPERLINK("https://www.jornaldocomercio.com/economia/2023/08/1120583-temporada-das-caravanas-rs-criativo-sedac-tem-vagas-abertas.html")</f>
        <v>https://www.jornaldocomercio.com/economia/2023/08/1120583-temporada-das-caravanas-rs-criativo-sedac-tem-vagas-abertas.html</v>
      </c>
      <c r="Y1777" s="87" t="s">
        <v>8470</v>
      </c>
      <c r="Z1777" s="87"/>
      <c r="AA1777" s="87"/>
      <c r="AB1777" s="87"/>
      <c r="AC1777" s="93" t="s">
        <v>11457</v>
      </c>
      <c r="AD1777" s="87" t="s">
        <v>11519</v>
      </c>
      <c r="AE1777" s="92" t="str">
        <f>HYPERLINK("https://twitter.com/jc_rs/status/1694780824137175165")</f>
        <v>https://twitter.com/jc_rs/status/1694780824137175165</v>
      </c>
      <c r="AF1777" s="90">
        <v>45162.775578703702</v>
      </c>
      <c r="AG1777" s="99">
        <v>45162</v>
      </c>
      <c r="AH1777" s="93" t="s">
        <v>13154</v>
      </c>
      <c r="AI1777" s="87" t="b">
        <v>0</v>
      </c>
      <c r="AJ1777" s="87"/>
      <c r="AK1777" s="87"/>
      <c r="AL1777" s="87"/>
      <c r="AM1777" s="87"/>
      <c r="AN1777" s="87"/>
      <c r="AO1777" s="87"/>
      <c r="AP1777" s="87"/>
      <c r="AQ1777" s="87"/>
      <c r="AR1777" s="87"/>
      <c r="AS1777" s="87"/>
      <c r="AT1777" s="87"/>
      <c r="AU1777" s="87"/>
      <c r="AV1777" s="92" t="str">
        <f>HYPERLINK("https://pbs.twimg.com/profile_images/1531317937075806210/7oEvwlvr_normal.jpg")</f>
        <v>https://pbs.twimg.com/profile_images/1531317937075806210/7oEvwlvr_normal.jpg</v>
      </c>
      <c r="AW1777" s="93" t="s">
        <v>20006</v>
      </c>
      <c r="AX1777" s="93" t="s">
        <v>20006</v>
      </c>
      <c r="AY1777" s="87"/>
      <c r="AZ1777" s="93" t="s">
        <v>22668</v>
      </c>
      <c r="BA1777" s="93" t="s">
        <v>22668</v>
      </c>
      <c r="BB1777" s="93" t="s">
        <v>22668</v>
      </c>
      <c r="BC1777" s="93" t="s">
        <v>20006</v>
      </c>
      <c r="BD1777" s="87">
        <v>17118982</v>
      </c>
      <c r="BE1777" s="87"/>
      <c r="BF1777" s="87"/>
      <c r="BG1777" s="87"/>
      <c r="BH1777" s="87"/>
      <c r="BI1777" s="87"/>
    </row>
    <row r="1778" spans="1:61" x14ac:dyDescent="0.25">
      <c r="A1778" s="63" t="s">
        <v>832</v>
      </c>
      <c r="B1778" s="63" t="s">
        <v>1045</v>
      </c>
      <c r="C1778" s="64"/>
      <c r="D1778" s="65"/>
      <c r="E1778" s="66"/>
      <c r="F1778" s="67"/>
      <c r="G1778" s="64"/>
      <c r="H1778" s="68"/>
      <c r="I1778" s="69"/>
      <c r="J1778" s="69"/>
      <c r="K1778" s="32"/>
      <c r="L1778" s="76">
        <v>1778</v>
      </c>
      <c r="M1778" s="76"/>
      <c r="N1778" s="71"/>
      <c r="O1778" s="87" t="s">
        <v>1841</v>
      </c>
      <c r="P1778" s="90">
        <v>45187.753738425927</v>
      </c>
      <c r="Q1778" s="87" t="s">
        <v>3570</v>
      </c>
      <c r="R1778" s="87">
        <v>1</v>
      </c>
      <c r="S1778" s="87">
        <v>0</v>
      </c>
      <c r="T1778" s="87">
        <v>0</v>
      </c>
      <c r="U1778" s="87">
        <v>0</v>
      </c>
      <c r="V1778" s="87"/>
      <c r="W1778" s="93" t="s">
        <v>7035</v>
      </c>
      <c r="X1778" s="87"/>
      <c r="Y1778" s="87"/>
      <c r="Z1778" s="87" t="s">
        <v>1045</v>
      </c>
      <c r="AA1778" s="87"/>
      <c r="AB1778" s="87"/>
      <c r="AC1778" s="93" t="s">
        <v>11459</v>
      </c>
      <c r="AD1778" s="87" t="s">
        <v>11519</v>
      </c>
      <c r="AE1778" s="92" t="str">
        <f>HYPERLINK("https://twitter.com/haruki_br/status/1703832605873832056")</f>
        <v>https://twitter.com/haruki_br/status/1703832605873832056</v>
      </c>
      <c r="AF1778" s="90">
        <v>45187.753738425927</v>
      </c>
      <c r="AG1778" s="99">
        <v>45187</v>
      </c>
      <c r="AH1778" s="93" t="s">
        <v>13155</v>
      </c>
      <c r="AI1778" s="87"/>
      <c r="AJ1778" s="87"/>
      <c r="AK1778" s="87"/>
      <c r="AL1778" s="87"/>
      <c r="AM1778" s="87"/>
      <c r="AN1778" s="87"/>
      <c r="AO1778" s="87"/>
      <c r="AP1778" s="87"/>
      <c r="AQ1778" s="87"/>
      <c r="AR1778" s="87"/>
      <c r="AS1778" s="87"/>
      <c r="AT1778" s="87"/>
      <c r="AU1778" s="87"/>
      <c r="AV1778" s="92" t="str">
        <f>HYPERLINK("https://pbs.twimg.com/profile_images/1696854985873485824/6i8VEgc8_normal.jpg")</f>
        <v>https://pbs.twimg.com/profile_images/1696854985873485824/6i8VEgc8_normal.jpg</v>
      </c>
      <c r="AW1778" s="93" t="s">
        <v>20007</v>
      </c>
      <c r="AX1778" s="93" t="s">
        <v>20007</v>
      </c>
      <c r="AY1778" s="87"/>
      <c r="AZ1778" s="93" t="s">
        <v>22668</v>
      </c>
      <c r="BA1778" s="93" t="s">
        <v>22668</v>
      </c>
      <c r="BB1778" s="93" t="s">
        <v>20561</v>
      </c>
      <c r="BC1778" s="93" t="s">
        <v>20561</v>
      </c>
      <c r="BD1778" s="87">
        <v>937664700</v>
      </c>
      <c r="BE1778" s="87"/>
      <c r="BF1778" s="87"/>
      <c r="BG1778" s="87"/>
      <c r="BH1778" s="87"/>
      <c r="BI1778" s="87"/>
    </row>
    <row r="1779" spans="1:61" x14ac:dyDescent="0.25">
      <c r="A1779" s="63" t="s">
        <v>833</v>
      </c>
      <c r="B1779" s="63" t="s">
        <v>833</v>
      </c>
      <c r="C1779" s="64"/>
      <c r="D1779" s="65"/>
      <c r="E1779" s="66"/>
      <c r="F1779" s="67"/>
      <c r="G1779" s="64"/>
      <c r="H1779" s="68"/>
      <c r="I1779" s="69"/>
      <c r="J1779" s="69"/>
      <c r="K1779" s="32"/>
      <c r="L1779" s="76">
        <v>1779</v>
      </c>
      <c r="M1779" s="76"/>
      <c r="N1779" s="71"/>
      <c r="O1779" s="87" t="s">
        <v>179</v>
      </c>
      <c r="P1779" s="90">
        <v>45187.809120370373</v>
      </c>
      <c r="Q1779" s="87" t="s">
        <v>3571</v>
      </c>
      <c r="R1779" s="87">
        <v>0</v>
      </c>
      <c r="S1779" s="87">
        <v>0</v>
      </c>
      <c r="T1779" s="87">
        <v>0</v>
      </c>
      <c r="U1779" s="87">
        <v>0</v>
      </c>
      <c r="V1779" s="87">
        <v>9</v>
      </c>
      <c r="W1779" s="93" t="s">
        <v>7036</v>
      </c>
      <c r="X1779" s="87"/>
      <c r="Y1779" s="87"/>
      <c r="Z1779" s="87"/>
      <c r="AA1779" s="87" t="s">
        <v>9752</v>
      </c>
      <c r="AB1779" s="87" t="s">
        <v>11448</v>
      </c>
      <c r="AC1779" s="93" t="s">
        <v>11460</v>
      </c>
      <c r="AD1779" s="87" t="s">
        <v>11519</v>
      </c>
      <c r="AE1779" s="92" t="str">
        <f>HYPERLINK("https://twitter.com/tmota_contabil/status/1703852676767760734")</f>
        <v>https://twitter.com/tmota_contabil/status/1703852676767760734</v>
      </c>
      <c r="AF1779" s="90">
        <v>45187.809120370373</v>
      </c>
      <c r="AG1779" s="99">
        <v>45187</v>
      </c>
      <c r="AH1779" s="93" t="s">
        <v>13156</v>
      </c>
      <c r="AI1779" s="87" t="b">
        <v>0</v>
      </c>
      <c r="AJ1779" s="87"/>
      <c r="AK1779" s="87"/>
      <c r="AL1779" s="87"/>
      <c r="AM1779" s="87"/>
      <c r="AN1779" s="87"/>
      <c r="AO1779" s="87"/>
      <c r="AP1779" s="87"/>
      <c r="AQ1779" s="87" t="s">
        <v>16565</v>
      </c>
      <c r="AR1779" s="87"/>
      <c r="AS1779" s="87"/>
      <c r="AT1779" s="87"/>
      <c r="AU1779" s="87"/>
      <c r="AV1779" s="92" t="str">
        <f>HYPERLINK("https://pbs.twimg.com/media/F6VM-uGXUAAzb0z.jpg")</f>
        <v>https://pbs.twimg.com/media/F6VM-uGXUAAzb0z.jpg</v>
      </c>
      <c r="AW1779" s="93" t="s">
        <v>20008</v>
      </c>
      <c r="AX1779" s="93" t="s">
        <v>20008</v>
      </c>
      <c r="AY1779" s="87"/>
      <c r="AZ1779" s="93" t="s">
        <v>22668</v>
      </c>
      <c r="BA1779" s="93" t="s">
        <v>22668</v>
      </c>
      <c r="BB1779" s="93" t="s">
        <v>22668</v>
      </c>
      <c r="BC1779" s="93" t="s">
        <v>20008</v>
      </c>
      <c r="BD1779" s="93" t="s">
        <v>23141</v>
      </c>
      <c r="BE1779" s="87"/>
      <c r="BF1779" s="87"/>
      <c r="BG1779" s="87"/>
      <c r="BH1779" s="87"/>
      <c r="BI1779" s="87"/>
    </row>
    <row r="1780" spans="1:61" x14ac:dyDescent="0.25">
      <c r="A1780" s="63" t="s">
        <v>834</v>
      </c>
      <c r="B1780" s="63" t="s">
        <v>834</v>
      </c>
      <c r="C1780" s="64"/>
      <c r="D1780" s="65"/>
      <c r="E1780" s="66"/>
      <c r="F1780" s="67"/>
      <c r="G1780" s="64"/>
      <c r="H1780" s="68"/>
      <c r="I1780" s="69"/>
      <c r="J1780" s="69"/>
      <c r="K1780" s="32"/>
      <c r="L1780" s="76">
        <v>1780</v>
      </c>
      <c r="M1780" s="76"/>
      <c r="N1780" s="71"/>
      <c r="O1780" s="87" t="s">
        <v>179</v>
      </c>
      <c r="P1780" s="90">
        <v>45160.8828587963</v>
      </c>
      <c r="Q1780" s="87" t="s">
        <v>3572</v>
      </c>
      <c r="R1780" s="87">
        <v>0</v>
      </c>
      <c r="S1780" s="87">
        <v>0</v>
      </c>
      <c r="T1780" s="87">
        <v>0</v>
      </c>
      <c r="U1780" s="87">
        <v>0</v>
      </c>
      <c r="V1780" s="87">
        <v>12</v>
      </c>
      <c r="W1780" s="93" t="s">
        <v>7037</v>
      </c>
      <c r="X1780" s="87" t="s">
        <v>8352</v>
      </c>
      <c r="Y1780" s="87" t="s">
        <v>8413</v>
      </c>
      <c r="Z1780" s="87"/>
      <c r="AA1780" s="87" t="s">
        <v>9753</v>
      </c>
      <c r="AB1780" s="87" t="s">
        <v>11447</v>
      </c>
      <c r="AC1780" s="93" t="s">
        <v>11457</v>
      </c>
      <c r="AD1780" s="87" t="s">
        <v>11519</v>
      </c>
      <c r="AE1780" s="92" t="str">
        <f>HYPERLINK("https://twitter.com/viktorrossa/status/1694094924424040804")</f>
        <v>https://twitter.com/viktorrossa/status/1694094924424040804</v>
      </c>
      <c r="AF1780" s="90">
        <v>45160.8828587963</v>
      </c>
      <c r="AG1780" s="99">
        <v>45160</v>
      </c>
      <c r="AH1780" s="93" t="s">
        <v>13157</v>
      </c>
      <c r="AI1780" s="87" t="b">
        <v>0</v>
      </c>
      <c r="AJ1780" s="87"/>
      <c r="AK1780" s="87"/>
      <c r="AL1780" s="87"/>
      <c r="AM1780" s="87"/>
      <c r="AN1780" s="87"/>
      <c r="AO1780" s="87"/>
      <c r="AP1780" s="87"/>
      <c r="AQ1780" s="87" t="s">
        <v>16566</v>
      </c>
      <c r="AR1780" s="87">
        <v>24288</v>
      </c>
      <c r="AS1780" s="87"/>
      <c r="AT1780" s="87"/>
      <c r="AU1780" s="87"/>
      <c r="AV1780" s="92" t="str">
        <f>HYPERLINK("https://pbs.twimg.com/ext_tw_video_thumb/1694094817205043200/pu/img/HpKir6gXFQFptWYK.jpg")</f>
        <v>https://pbs.twimg.com/ext_tw_video_thumb/1694094817205043200/pu/img/HpKir6gXFQFptWYK.jpg</v>
      </c>
      <c r="AW1780" s="93" t="s">
        <v>20009</v>
      </c>
      <c r="AX1780" s="93" t="s">
        <v>20009</v>
      </c>
      <c r="AY1780" s="87"/>
      <c r="AZ1780" s="93" t="s">
        <v>22668</v>
      </c>
      <c r="BA1780" s="93" t="s">
        <v>22668</v>
      </c>
      <c r="BB1780" s="93" t="s">
        <v>22668</v>
      </c>
      <c r="BC1780" s="93" t="s">
        <v>20009</v>
      </c>
      <c r="BD1780" s="93" t="s">
        <v>23142</v>
      </c>
      <c r="BE1780" s="87"/>
      <c r="BF1780" s="87"/>
      <c r="BG1780" s="87"/>
      <c r="BH1780" s="87"/>
      <c r="BI1780" s="87"/>
    </row>
    <row r="1781" spans="1:61" x14ac:dyDescent="0.25">
      <c r="A1781" s="63" t="s">
        <v>834</v>
      </c>
      <c r="B1781" s="63" t="s">
        <v>834</v>
      </c>
      <c r="C1781" s="64"/>
      <c r="D1781" s="65"/>
      <c r="E1781" s="66"/>
      <c r="F1781" s="67"/>
      <c r="G1781" s="64"/>
      <c r="H1781" s="68"/>
      <c r="I1781" s="69"/>
      <c r="J1781" s="69"/>
      <c r="K1781" s="32"/>
      <c r="L1781" s="76">
        <v>1781</v>
      </c>
      <c r="M1781" s="76"/>
      <c r="N1781" s="71"/>
      <c r="O1781" s="87" t="s">
        <v>179</v>
      </c>
      <c r="P1781" s="90">
        <v>45131.852465277778</v>
      </c>
      <c r="Q1781" s="87" t="s">
        <v>3573</v>
      </c>
      <c r="R1781" s="87">
        <v>0</v>
      </c>
      <c r="S1781" s="87">
        <v>0</v>
      </c>
      <c r="T1781" s="87">
        <v>0</v>
      </c>
      <c r="U1781" s="87">
        <v>0</v>
      </c>
      <c r="V1781" s="87">
        <v>13</v>
      </c>
      <c r="W1781" s="93" t="s">
        <v>7037</v>
      </c>
      <c r="X1781" s="87" t="s">
        <v>8352</v>
      </c>
      <c r="Y1781" s="87" t="s">
        <v>8413</v>
      </c>
      <c r="Z1781" s="87"/>
      <c r="AA1781" s="87" t="s">
        <v>9754</v>
      </c>
      <c r="AB1781" s="87" t="s">
        <v>11447</v>
      </c>
      <c r="AC1781" s="93" t="s">
        <v>11457</v>
      </c>
      <c r="AD1781" s="87" t="s">
        <v>11519</v>
      </c>
      <c r="AE1781" s="92" t="str">
        <f>HYPERLINK("https://twitter.com/viktorrossa/status/1683574660951048198")</f>
        <v>https://twitter.com/viktorrossa/status/1683574660951048198</v>
      </c>
      <c r="AF1781" s="90">
        <v>45131.852465277778</v>
      </c>
      <c r="AG1781" s="99">
        <v>45131</v>
      </c>
      <c r="AH1781" s="93" t="s">
        <v>13158</v>
      </c>
      <c r="AI1781" s="87" t="b">
        <v>0</v>
      </c>
      <c r="AJ1781" s="87"/>
      <c r="AK1781" s="87"/>
      <c r="AL1781" s="87"/>
      <c r="AM1781" s="87"/>
      <c r="AN1781" s="87"/>
      <c r="AO1781" s="87"/>
      <c r="AP1781" s="87"/>
      <c r="AQ1781" s="87" t="s">
        <v>16567</v>
      </c>
      <c r="AR1781" s="87">
        <v>27910</v>
      </c>
      <c r="AS1781" s="87"/>
      <c r="AT1781" s="87"/>
      <c r="AU1781" s="87"/>
      <c r="AV1781" s="92" t="str">
        <f>HYPERLINK("https://pbs.twimg.com/ext_tw_video_thumb/1683574473021091840/pu/img/_17lzyBQX9kvDQWg.jpg")</f>
        <v>https://pbs.twimg.com/ext_tw_video_thumb/1683574473021091840/pu/img/_17lzyBQX9kvDQWg.jpg</v>
      </c>
      <c r="AW1781" s="93" t="s">
        <v>20010</v>
      </c>
      <c r="AX1781" s="93" t="s">
        <v>20010</v>
      </c>
      <c r="AY1781" s="87"/>
      <c r="AZ1781" s="93" t="s">
        <v>22668</v>
      </c>
      <c r="BA1781" s="93" t="s">
        <v>22668</v>
      </c>
      <c r="BB1781" s="93" t="s">
        <v>22668</v>
      </c>
      <c r="BC1781" s="93" t="s">
        <v>20010</v>
      </c>
      <c r="BD1781" s="93" t="s">
        <v>23142</v>
      </c>
      <c r="BE1781" s="87"/>
      <c r="BF1781" s="87"/>
      <c r="BG1781" s="87"/>
      <c r="BH1781" s="87"/>
      <c r="BI1781" s="87"/>
    </row>
    <row r="1782" spans="1:61" x14ac:dyDescent="0.25">
      <c r="A1782" s="63" t="s">
        <v>834</v>
      </c>
      <c r="B1782" s="63" t="s">
        <v>834</v>
      </c>
      <c r="C1782" s="64"/>
      <c r="D1782" s="65"/>
      <c r="E1782" s="66"/>
      <c r="F1782" s="67"/>
      <c r="G1782" s="64"/>
      <c r="H1782" s="68"/>
      <c r="I1782" s="69"/>
      <c r="J1782" s="69"/>
      <c r="K1782" s="32"/>
      <c r="L1782" s="76">
        <v>1782</v>
      </c>
      <c r="M1782" s="76"/>
      <c r="N1782" s="71"/>
      <c r="O1782" s="87" t="s">
        <v>179</v>
      </c>
      <c r="P1782" s="90">
        <v>45117.840833333335</v>
      </c>
      <c r="Q1782" s="87" t="s">
        <v>3574</v>
      </c>
      <c r="R1782" s="87">
        <v>0</v>
      </c>
      <c r="S1782" s="87">
        <v>0</v>
      </c>
      <c r="T1782" s="87">
        <v>0</v>
      </c>
      <c r="U1782" s="87">
        <v>0</v>
      </c>
      <c r="V1782" s="87">
        <v>19</v>
      </c>
      <c r="W1782" s="93" t="s">
        <v>7037</v>
      </c>
      <c r="X1782" s="87" t="s">
        <v>8352</v>
      </c>
      <c r="Y1782" s="87" t="s">
        <v>8413</v>
      </c>
      <c r="Z1782" s="87"/>
      <c r="AA1782" s="87" t="s">
        <v>9755</v>
      </c>
      <c r="AB1782" s="87" t="s">
        <v>11447</v>
      </c>
      <c r="AC1782" s="93" t="s">
        <v>11457</v>
      </c>
      <c r="AD1782" s="87" t="s">
        <v>11519</v>
      </c>
      <c r="AE1782" s="92" t="str">
        <f>HYPERLINK("https://twitter.com/viktorrossa/status/1678497018115661825")</f>
        <v>https://twitter.com/viktorrossa/status/1678497018115661825</v>
      </c>
      <c r="AF1782" s="90">
        <v>45117.840833333335</v>
      </c>
      <c r="AG1782" s="99">
        <v>45117</v>
      </c>
      <c r="AH1782" s="93" t="s">
        <v>13159</v>
      </c>
      <c r="AI1782" s="87" t="b">
        <v>0</v>
      </c>
      <c r="AJ1782" s="87"/>
      <c r="AK1782" s="87"/>
      <c r="AL1782" s="87"/>
      <c r="AM1782" s="87"/>
      <c r="AN1782" s="87"/>
      <c r="AO1782" s="87"/>
      <c r="AP1782" s="87"/>
      <c r="AQ1782" s="87" t="s">
        <v>16568</v>
      </c>
      <c r="AR1782" s="87">
        <v>28235</v>
      </c>
      <c r="AS1782" s="87"/>
      <c r="AT1782" s="87"/>
      <c r="AU1782" s="87"/>
      <c r="AV1782" s="92" t="str">
        <f>HYPERLINK("https://pbs.twimg.com/ext_tw_video_thumb/1678496618159505408/pu/img/-wJGpypSOWVLg1zA.jpg")</f>
        <v>https://pbs.twimg.com/ext_tw_video_thumb/1678496618159505408/pu/img/-wJGpypSOWVLg1zA.jpg</v>
      </c>
      <c r="AW1782" s="93" t="s">
        <v>20011</v>
      </c>
      <c r="AX1782" s="93" t="s">
        <v>20011</v>
      </c>
      <c r="AY1782" s="87"/>
      <c r="AZ1782" s="93" t="s">
        <v>22668</v>
      </c>
      <c r="BA1782" s="93" t="s">
        <v>22668</v>
      </c>
      <c r="BB1782" s="93" t="s">
        <v>22668</v>
      </c>
      <c r="BC1782" s="93" t="s">
        <v>20011</v>
      </c>
      <c r="BD1782" s="93" t="s">
        <v>23142</v>
      </c>
      <c r="BE1782" s="87"/>
      <c r="BF1782" s="87"/>
      <c r="BG1782" s="87"/>
      <c r="BH1782" s="87"/>
      <c r="BI1782" s="87"/>
    </row>
    <row r="1783" spans="1:61" x14ac:dyDescent="0.25">
      <c r="A1783" s="63" t="s">
        <v>834</v>
      </c>
      <c r="B1783" s="63" t="s">
        <v>834</v>
      </c>
      <c r="C1783" s="64"/>
      <c r="D1783" s="65"/>
      <c r="E1783" s="66"/>
      <c r="F1783" s="67"/>
      <c r="G1783" s="64"/>
      <c r="H1783" s="68"/>
      <c r="I1783" s="69"/>
      <c r="J1783" s="69"/>
      <c r="K1783" s="32"/>
      <c r="L1783" s="76">
        <v>1783</v>
      </c>
      <c r="M1783" s="76"/>
      <c r="N1783" s="71"/>
      <c r="O1783" s="87" t="s">
        <v>179</v>
      </c>
      <c r="P1783" s="90">
        <v>45169.887349537035</v>
      </c>
      <c r="Q1783" s="87" t="s">
        <v>3575</v>
      </c>
      <c r="R1783" s="87">
        <v>0</v>
      </c>
      <c r="S1783" s="87">
        <v>0</v>
      </c>
      <c r="T1783" s="87">
        <v>0</v>
      </c>
      <c r="U1783" s="87">
        <v>0</v>
      </c>
      <c r="V1783" s="87">
        <v>58</v>
      </c>
      <c r="W1783" s="93" t="s">
        <v>7037</v>
      </c>
      <c r="X1783" s="87" t="s">
        <v>8352</v>
      </c>
      <c r="Y1783" s="87" t="s">
        <v>8413</v>
      </c>
      <c r="Z1783" s="87"/>
      <c r="AA1783" s="87" t="s">
        <v>9756</v>
      </c>
      <c r="AB1783" s="87" t="s">
        <v>11447</v>
      </c>
      <c r="AC1783" s="93" t="s">
        <v>11457</v>
      </c>
      <c r="AD1783" s="87" t="s">
        <v>11519</v>
      </c>
      <c r="AE1783" s="92" t="str">
        <f>HYPERLINK("https://twitter.com/viktorrossa/status/1697358043380339149")</f>
        <v>https://twitter.com/viktorrossa/status/1697358043380339149</v>
      </c>
      <c r="AF1783" s="90">
        <v>45169.887349537035</v>
      </c>
      <c r="AG1783" s="99">
        <v>45169</v>
      </c>
      <c r="AH1783" s="93" t="s">
        <v>13160</v>
      </c>
      <c r="AI1783" s="87" t="b">
        <v>0</v>
      </c>
      <c r="AJ1783" s="87"/>
      <c r="AK1783" s="87"/>
      <c r="AL1783" s="87"/>
      <c r="AM1783" s="87"/>
      <c r="AN1783" s="87"/>
      <c r="AO1783" s="87"/>
      <c r="AP1783" s="87"/>
      <c r="AQ1783" s="87" t="s">
        <v>16569</v>
      </c>
      <c r="AR1783" s="87">
        <v>31833</v>
      </c>
      <c r="AS1783" s="87"/>
      <c r="AT1783" s="87"/>
      <c r="AU1783" s="87"/>
      <c r="AV1783" s="92" t="str">
        <f>HYPERLINK("https://pbs.twimg.com/ext_tw_video_thumb/1697357946005430272/pu/img/_ZoLLfIGQV76llud.jpg")</f>
        <v>https://pbs.twimg.com/ext_tw_video_thumb/1697357946005430272/pu/img/_ZoLLfIGQV76llud.jpg</v>
      </c>
      <c r="AW1783" s="93" t="s">
        <v>20012</v>
      </c>
      <c r="AX1783" s="93" t="s">
        <v>20012</v>
      </c>
      <c r="AY1783" s="87"/>
      <c r="AZ1783" s="93" t="s">
        <v>22668</v>
      </c>
      <c r="BA1783" s="93" t="s">
        <v>22668</v>
      </c>
      <c r="BB1783" s="93" t="s">
        <v>22668</v>
      </c>
      <c r="BC1783" s="93" t="s">
        <v>20012</v>
      </c>
      <c r="BD1783" s="93" t="s">
        <v>23142</v>
      </c>
      <c r="BE1783" s="87"/>
      <c r="BF1783" s="87"/>
      <c r="BG1783" s="87"/>
      <c r="BH1783" s="87"/>
      <c r="BI1783" s="87"/>
    </row>
    <row r="1784" spans="1:61" x14ac:dyDescent="0.25">
      <c r="A1784" s="63" t="s">
        <v>834</v>
      </c>
      <c r="B1784" s="63" t="s">
        <v>834</v>
      </c>
      <c r="C1784" s="64"/>
      <c r="D1784" s="65"/>
      <c r="E1784" s="66"/>
      <c r="F1784" s="67"/>
      <c r="G1784" s="64"/>
      <c r="H1784" s="68"/>
      <c r="I1784" s="69"/>
      <c r="J1784" s="69"/>
      <c r="K1784" s="32"/>
      <c r="L1784" s="76">
        <v>1784</v>
      </c>
      <c r="M1784" s="76"/>
      <c r="N1784" s="71"/>
      <c r="O1784" s="87" t="s">
        <v>179</v>
      </c>
      <c r="P1784" s="90">
        <v>45155.886747685188</v>
      </c>
      <c r="Q1784" s="87" t="s">
        <v>3576</v>
      </c>
      <c r="R1784" s="87">
        <v>0</v>
      </c>
      <c r="S1784" s="87">
        <v>0</v>
      </c>
      <c r="T1784" s="87">
        <v>0</v>
      </c>
      <c r="U1784" s="87">
        <v>0</v>
      </c>
      <c r="V1784" s="87">
        <v>7</v>
      </c>
      <c r="W1784" s="93" t="s">
        <v>7037</v>
      </c>
      <c r="X1784" s="87" t="s">
        <v>8352</v>
      </c>
      <c r="Y1784" s="87" t="s">
        <v>8413</v>
      </c>
      <c r="Z1784" s="87"/>
      <c r="AA1784" s="87" t="s">
        <v>9757</v>
      </c>
      <c r="AB1784" s="87" t="s">
        <v>11447</v>
      </c>
      <c r="AC1784" s="93" t="s">
        <v>11457</v>
      </c>
      <c r="AD1784" s="87" t="s">
        <v>11519</v>
      </c>
      <c r="AE1784" s="92" t="str">
        <f>HYPERLINK("https://twitter.com/viktorrossa/status/1692284392729653526")</f>
        <v>https://twitter.com/viktorrossa/status/1692284392729653526</v>
      </c>
      <c r="AF1784" s="90">
        <v>45155.886747685188</v>
      </c>
      <c r="AG1784" s="99">
        <v>45155</v>
      </c>
      <c r="AH1784" s="93" t="s">
        <v>13161</v>
      </c>
      <c r="AI1784" s="87" t="b">
        <v>0</v>
      </c>
      <c r="AJ1784" s="87"/>
      <c r="AK1784" s="87"/>
      <c r="AL1784" s="87"/>
      <c r="AM1784" s="87"/>
      <c r="AN1784" s="87"/>
      <c r="AO1784" s="87"/>
      <c r="AP1784" s="87"/>
      <c r="AQ1784" s="87" t="s">
        <v>16570</v>
      </c>
      <c r="AR1784" s="87">
        <v>21802</v>
      </c>
      <c r="AS1784" s="87"/>
      <c r="AT1784" s="87"/>
      <c r="AU1784" s="87"/>
      <c r="AV1784" s="92" t="str">
        <f>HYPERLINK("https://pbs.twimg.com/ext_tw_video_thumb/1692284257652097024/pu/img/fzapgCnVFSq_VErD.jpg")</f>
        <v>https://pbs.twimg.com/ext_tw_video_thumb/1692284257652097024/pu/img/fzapgCnVFSq_VErD.jpg</v>
      </c>
      <c r="AW1784" s="93" t="s">
        <v>20013</v>
      </c>
      <c r="AX1784" s="93" t="s">
        <v>20013</v>
      </c>
      <c r="AY1784" s="87"/>
      <c r="AZ1784" s="93" t="s">
        <v>22668</v>
      </c>
      <c r="BA1784" s="93" t="s">
        <v>22668</v>
      </c>
      <c r="BB1784" s="93" t="s">
        <v>22668</v>
      </c>
      <c r="BC1784" s="93" t="s">
        <v>20013</v>
      </c>
      <c r="BD1784" s="93" t="s">
        <v>23142</v>
      </c>
      <c r="BE1784" s="87"/>
      <c r="BF1784" s="87"/>
      <c r="BG1784" s="87"/>
      <c r="BH1784" s="87"/>
      <c r="BI1784" s="87"/>
    </row>
    <row r="1785" spans="1:61" x14ac:dyDescent="0.25">
      <c r="A1785" s="63" t="s">
        <v>834</v>
      </c>
      <c r="B1785" s="63" t="s">
        <v>834</v>
      </c>
      <c r="C1785" s="64"/>
      <c r="D1785" s="65"/>
      <c r="E1785" s="66"/>
      <c r="F1785" s="67"/>
      <c r="G1785" s="64"/>
      <c r="H1785" s="68"/>
      <c r="I1785" s="69"/>
      <c r="J1785" s="69"/>
      <c r="K1785" s="32"/>
      <c r="L1785" s="76">
        <v>1785</v>
      </c>
      <c r="M1785" s="76"/>
      <c r="N1785" s="71"/>
      <c r="O1785" s="87" t="s">
        <v>179</v>
      </c>
      <c r="P1785" s="90">
        <v>45154.886828703704</v>
      </c>
      <c r="Q1785" s="87" t="s">
        <v>3577</v>
      </c>
      <c r="R1785" s="87">
        <v>0</v>
      </c>
      <c r="S1785" s="87">
        <v>0</v>
      </c>
      <c r="T1785" s="87">
        <v>0</v>
      </c>
      <c r="U1785" s="87">
        <v>0</v>
      </c>
      <c r="V1785" s="87">
        <v>10</v>
      </c>
      <c r="W1785" s="93" t="s">
        <v>7037</v>
      </c>
      <c r="X1785" s="87" t="s">
        <v>8352</v>
      </c>
      <c r="Y1785" s="87" t="s">
        <v>8413</v>
      </c>
      <c r="Z1785" s="87"/>
      <c r="AA1785" s="87" t="s">
        <v>9758</v>
      </c>
      <c r="AB1785" s="87" t="s">
        <v>11447</v>
      </c>
      <c r="AC1785" s="93" t="s">
        <v>11457</v>
      </c>
      <c r="AD1785" s="87" t="s">
        <v>11519</v>
      </c>
      <c r="AE1785" s="92" t="str">
        <f>HYPERLINK("https://twitter.com/viktorrossa/status/1691922035784728853")</f>
        <v>https://twitter.com/viktorrossa/status/1691922035784728853</v>
      </c>
      <c r="AF1785" s="90">
        <v>45154.886828703704</v>
      </c>
      <c r="AG1785" s="99">
        <v>45154</v>
      </c>
      <c r="AH1785" s="93" t="s">
        <v>13162</v>
      </c>
      <c r="AI1785" s="87" t="b">
        <v>0</v>
      </c>
      <c r="AJ1785" s="87"/>
      <c r="AK1785" s="87"/>
      <c r="AL1785" s="87"/>
      <c r="AM1785" s="87"/>
      <c r="AN1785" s="87"/>
      <c r="AO1785" s="87"/>
      <c r="AP1785" s="87"/>
      <c r="AQ1785" s="87" t="s">
        <v>16571</v>
      </c>
      <c r="AR1785" s="87">
        <v>13305</v>
      </c>
      <c r="AS1785" s="87"/>
      <c r="AT1785" s="87"/>
      <c r="AU1785" s="87"/>
      <c r="AV1785" s="92" t="str">
        <f>HYPERLINK("https://pbs.twimg.com/ext_tw_video_thumb/1691921933888114689/pu/img/RRFc3v6MsusEZCIC.jpg")</f>
        <v>https://pbs.twimg.com/ext_tw_video_thumb/1691921933888114689/pu/img/RRFc3v6MsusEZCIC.jpg</v>
      </c>
      <c r="AW1785" s="93" t="s">
        <v>20014</v>
      </c>
      <c r="AX1785" s="93" t="s">
        <v>20014</v>
      </c>
      <c r="AY1785" s="87"/>
      <c r="AZ1785" s="93" t="s">
        <v>22668</v>
      </c>
      <c r="BA1785" s="93" t="s">
        <v>22668</v>
      </c>
      <c r="BB1785" s="93" t="s">
        <v>22668</v>
      </c>
      <c r="BC1785" s="93" t="s">
        <v>20014</v>
      </c>
      <c r="BD1785" s="93" t="s">
        <v>23142</v>
      </c>
      <c r="BE1785" s="87"/>
      <c r="BF1785" s="87"/>
      <c r="BG1785" s="87"/>
      <c r="BH1785" s="87"/>
      <c r="BI1785" s="87"/>
    </row>
    <row r="1786" spans="1:61" x14ac:dyDescent="0.25">
      <c r="A1786" s="63" t="s">
        <v>834</v>
      </c>
      <c r="B1786" s="63" t="s">
        <v>834</v>
      </c>
      <c r="C1786" s="64"/>
      <c r="D1786" s="65"/>
      <c r="E1786" s="66"/>
      <c r="F1786" s="67"/>
      <c r="G1786" s="64"/>
      <c r="H1786" s="68"/>
      <c r="I1786" s="69"/>
      <c r="J1786" s="69"/>
      <c r="K1786" s="32"/>
      <c r="L1786" s="76">
        <v>1786</v>
      </c>
      <c r="M1786" s="76"/>
      <c r="N1786" s="71"/>
      <c r="O1786" s="87" t="s">
        <v>179</v>
      </c>
      <c r="P1786" s="90">
        <v>45141.889930555553</v>
      </c>
      <c r="Q1786" s="87" t="s">
        <v>3578</v>
      </c>
      <c r="R1786" s="87">
        <v>0</v>
      </c>
      <c r="S1786" s="87">
        <v>0</v>
      </c>
      <c r="T1786" s="87">
        <v>0</v>
      </c>
      <c r="U1786" s="87">
        <v>0</v>
      </c>
      <c r="V1786" s="87">
        <v>17</v>
      </c>
      <c r="W1786" s="93" t="s">
        <v>7037</v>
      </c>
      <c r="X1786" s="87" t="s">
        <v>8352</v>
      </c>
      <c r="Y1786" s="87" t="s">
        <v>8413</v>
      </c>
      <c r="Z1786" s="87"/>
      <c r="AA1786" s="87" t="s">
        <v>9759</v>
      </c>
      <c r="AB1786" s="87" t="s">
        <v>11447</v>
      </c>
      <c r="AC1786" s="93" t="s">
        <v>11457</v>
      </c>
      <c r="AD1786" s="87" t="s">
        <v>11519</v>
      </c>
      <c r="AE1786" s="92" t="str">
        <f>HYPERLINK("https://twitter.com/viktorrossa/status/1687212117915750401")</f>
        <v>https://twitter.com/viktorrossa/status/1687212117915750401</v>
      </c>
      <c r="AF1786" s="90">
        <v>45141.889930555553</v>
      </c>
      <c r="AG1786" s="99">
        <v>45141</v>
      </c>
      <c r="AH1786" s="93" t="s">
        <v>13163</v>
      </c>
      <c r="AI1786" s="87" t="b">
        <v>0</v>
      </c>
      <c r="AJ1786" s="87"/>
      <c r="AK1786" s="87"/>
      <c r="AL1786" s="87"/>
      <c r="AM1786" s="87"/>
      <c r="AN1786" s="87"/>
      <c r="AO1786" s="87"/>
      <c r="AP1786" s="87"/>
      <c r="AQ1786" s="87" t="s">
        <v>16572</v>
      </c>
      <c r="AR1786" s="87">
        <v>15789</v>
      </c>
      <c r="AS1786" s="87"/>
      <c r="AT1786" s="87"/>
      <c r="AU1786" s="87"/>
      <c r="AV1786" s="92" t="str">
        <f>HYPERLINK("https://pbs.twimg.com/ext_tw_video_thumb/1687211743490056192/pu/img/YQw7fED7Y1tbfpTy.jpg")</f>
        <v>https://pbs.twimg.com/ext_tw_video_thumb/1687211743490056192/pu/img/YQw7fED7Y1tbfpTy.jpg</v>
      </c>
      <c r="AW1786" s="93" t="s">
        <v>20015</v>
      </c>
      <c r="AX1786" s="93" t="s">
        <v>20015</v>
      </c>
      <c r="AY1786" s="87"/>
      <c r="AZ1786" s="93" t="s">
        <v>22668</v>
      </c>
      <c r="BA1786" s="93" t="s">
        <v>22668</v>
      </c>
      <c r="BB1786" s="93" t="s">
        <v>22668</v>
      </c>
      <c r="BC1786" s="93" t="s">
        <v>20015</v>
      </c>
      <c r="BD1786" s="93" t="s">
        <v>23142</v>
      </c>
      <c r="BE1786" s="87"/>
      <c r="BF1786" s="87"/>
      <c r="BG1786" s="87"/>
      <c r="BH1786" s="87"/>
      <c r="BI1786" s="87"/>
    </row>
    <row r="1787" spans="1:61" x14ac:dyDescent="0.25">
      <c r="A1787" s="63" t="s">
        <v>834</v>
      </c>
      <c r="B1787" s="63" t="s">
        <v>834</v>
      </c>
      <c r="C1787" s="64"/>
      <c r="D1787" s="65"/>
      <c r="E1787" s="66"/>
      <c r="F1787" s="67"/>
      <c r="G1787" s="64"/>
      <c r="H1787" s="68"/>
      <c r="I1787" s="69"/>
      <c r="J1787" s="69"/>
      <c r="K1787" s="32"/>
      <c r="L1787" s="76">
        <v>1787</v>
      </c>
      <c r="M1787" s="76"/>
      <c r="N1787" s="71"/>
      <c r="O1787" s="87" t="s">
        <v>179</v>
      </c>
      <c r="P1787" s="90">
        <v>45114.874074074076</v>
      </c>
      <c r="Q1787" s="87" t="s">
        <v>3579</v>
      </c>
      <c r="R1787" s="87">
        <v>0</v>
      </c>
      <c r="S1787" s="87">
        <v>0</v>
      </c>
      <c r="T1787" s="87">
        <v>0</v>
      </c>
      <c r="U1787" s="87">
        <v>0</v>
      </c>
      <c r="V1787" s="87">
        <v>27</v>
      </c>
      <c r="W1787" s="93" t="s">
        <v>7037</v>
      </c>
      <c r="X1787" s="87" t="s">
        <v>8352</v>
      </c>
      <c r="Y1787" s="87" t="s">
        <v>8413</v>
      </c>
      <c r="Z1787" s="87"/>
      <c r="AA1787" s="87" t="s">
        <v>9760</v>
      </c>
      <c r="AB1787" s="87" t="s">
        <v>11447</v>
      </c>
      <c r="AC1787" s="93" t="s">
        <v>11457</v>
      </c>
      <c r="AD1787" s="87" t="s">
        <v>11519</v>
      </c>
      <c r="AE1787" s="92" t="str">
        <f>HYPERLINK("https://twitter.com/viktorrossa/status/1677421897842081792")</f>
        <v>https://twitter.com/viktorrossa/status/1677421897842081792</v>
      </c>
      <c r="AF1787" s="90">
        <v>45114.874074074076</v>
      </c>
      <c r="AG1787" s="99">
        <v>45114</v>
      </c>
      <c r="AH1787" s="93" t="s">
        <v>13164</v>
      </c>
      <c r="AI1787" s="87" t="b">
        <v>0</v>
      </c>
      <c r="AJ1787" s="87"/>
      <c r="AK1787" s="87"/>
      <c r="AL1787" s="87"/>
      <c r="AM1787" s="87"/>
      <c r="AN1787" s="87"/>
      <c r="AO1787" s="87"/>
      <c r="AP1787" s="87"/>
      <c r="AQ1787" s="87" t="s">
        <v>16573</v>
      </c>
      <c r="AR1787" s="87">
        <v>18135</v>
      </c>
      <c r="AS1787" s="87"/>
      <c r="AT1787" s="87"/>
      <c r="AU1787" s="87"/>
      <c r="AV1787" s="92" t="str">
        <f>HYPERLINK("https://pbs.twimg.com/ext_tw_video_thumb/1677421789968736262/pu/img/X20KPyJ_Y8-_Uett.jpg")</f>
        <v>https://pbs.twimg.com/ext_tw_video_thumb/1677421789968736262/pu/img/X20KPyJ_Y8-_Uett.jpg</v>
      </c>
      <c r="AW1787" s="93" t="s">
        <v>20016</v>
      </c>
      <c r="AX1787" s="93" t="s">
        <v>20016</v>
      </c>
      <c r="AY1787" s="87"/>
      <c r="AZ1787" s="93" t="s">
        <v>22668</v>
      </c>
      <c r="BA1787" s="93" t="s">
        <v>22668</v>
      </c>
      <c r="BB1787" s="93" t="s">
        <v>22668</v>
      </c>
      <c r="BC1787" s="93" t="s">
        <v>20016</v>
      </c>
      <c r="BD1787" s="93" t="s">
        <v>23142</v>
      </c>
      <c r="BE1787" s="87"/>
      <c r="BF1787" s="87"/>
      <c r="BG1787" s="87"/>
      <c r="BH1787" s="87"/>
      <c r="BI1787" s="87"/>
    </row>
    <row r="1788" spans="1:61" x14ac:dyDescent="0.25">
      <c r="A1788" s="63" t="s">
        <v>834</v>
      </c>
      <c r="B1788" s="63" t="s">
        <v>834</v>
      </c>
      <c r="C1788" s="64"/>
      <c r="D1788" s="65"/>
      <c r="E1788" s="66"/>
      <c r="F1788" s="67"/>
      <c r="G1788" s="64"/>
      <c r="H1788" s="68"/>
      <c r="I1788" s="69"/>
      <c r="J1788" s="69"/>
      <c r="K1788" s="32"/>
      <c r="L1788" s="76">
        <v>1788</v>
      </c>
      <c r="M1788" s="76"/>
      <c r="N1788" s="71"/>
      <c r="O1788" s="87" t="s">
        <v>179</v>
      </c>
      <c r="P1788" s="90">
        <v>45113.892326388886</v>
      </c>
      <c r="Q1788" s="87" t="s">
        <v>3580</v>
      </c>
      <c r="R1788" s="87">
        <v>0</v>
      </c>
      <c r="S1788" s="87">
        <v>0</v>
      </c>
      <c r="T1788" s="87">
        <v>0</v>
      </c>
      <c r="U1788" s="87">
        <v>0</v>
      </c>
      <c r="V1788" s="87">
        <v>14</v>
      </c>
      <c r="W1788" s="93" t="s">
        <v>7037</v>
      </c>
      <c r="X1788" s="87" t="s">
        <v>8352</v>
      </c>
      <c r="Y1788" s="87" t="s">
        <v>8413</v>
      </c>
      <c r="Z1788" s="87"/>
      <c r="AA1788" s="87" t="s">
        <v>9761</v>
      </c>
      <c r="AB1788" s="87" t="s">
        <v>11447</v>
      </c>
      <c r="AC1788" s="93" t="s">
        <v>11457</v>
      </c>
      <c r="AD1788" s="87" t="s">
        <v>11519</v>
      </c>
      <c r="AE1788" s="92" t="str">
        <f>HYPERLINK("https://twitter.com/viktorrossa/status/1677066126474264577")</f>
        <v>https://twitter.com/viktorrossa/status/1677066126474264577</v>
      </c>
      <c r="AF1788" s="90">
        <v>45113.892326388886</v>
      </c>
      <c r="AG1788" s="99">
        <v>45113</v>
      </c>
      <c r="AH1788" s="93" t="s">
        <v>13165</v>
      </c>
      <c r="AI1788" s="87" t="b">
        <v>0</v>
      </c>
      <c r="AJ1788" s="87"/>
      <c r="AK1788" s="87"/>
      <c r="AL1788" s="87"/>
      <c r="AM1788" s="87"/>
      <c r="AN1788" s="87"/>
      <c r="AO1788" s="87"/>
      <c r="AP1788" s="87"/>
      <c r="AQ1788" s="87" t="s">
        <v>16574</v>
      </c>
      <c r="AR1788" s="87">
        <v>21013</v>
      </c>
      <c r="AS1788" s="87"/>
      <c r="AT1788" s="87"/>
      <c r="AU1788" s="87"/>
      <c r="AV1788" s="92" t="str">
        <f>HYPERLINK("https://pbs.twimg.com/ext_tw_video_thumb/1677066040231034880/pu/img/BMQfPF-ZgCQs3xTw.jpg")</f>
        <v>https://pbs.twimg.com/ext_tw_video_thumb/1677066040231034880/pu/img/BMQfPF-ZgCQs3xTw.jpg</v>
      </c>
      <c r="AW1788" s="93" t="s">
        <v>20017</v>
      </c>
      <c r="AX1788" s="93" t="s">
        <v>20017</v>
      </c>
      <c r="AY1788" s="87"/>
      <c r="AZ1788" s="93" t="s">
        <v>22668</v>
      </c>
      <c r="BA1788" s="93" t="s">
        <v>22668</v>
      </c>
      <c r="BB1788" s="93" t="s">
        <v>22668</v>
      </c>
      <c r="BC1788" s="93" t="s">
        <v>20017</v>
      </c>
      <c r="BD1788" s="93" t="s">
        <v>23142</v>
      </c>
      <c r="BE1788" s="87"/>
      <c r="BF1788" s="87"/>
      <c r="BG1788" s="87"/>
      <c r="BH1788" s="87"/>
      <c r="BI1788" s="87"/>
    </row>
    <row r="1789" spans="1:61" x14ac:dyDescent="0.25">
      <c r="A1789" s="63" t="s">
        <v>834</v>
      </c>
      <c r="B1789" s="63" t="s">
        <v>834</v>
      </c>
      <c r="C1789" s="64"/>
      <c r="D1789" s="65"/>
      <c r="E1789" s="66"/>
      <c r="F1789" s="67"/>
      <c r="G1789" s="64"/>
      <c r="H1789" s="68"/>
      <c r="I1789" s="69"/>
      <c r="J1789" s="69"/>
      <c r="K1789" s="32"/>
      <c r="L1789" s="76">
        <v>1789</v>
      </c>
      <c r="M1789" s="76"/>
      <c r="N1789" s="71"/>
      <c r="O1789" s="87" t="s">
        <v>179</v>
      </c>
      <c r="P1789" s="90">
        <v>45177.853113425925</v>
      </c>
      <c r="Q1789" s="87" t="s">
        <v>3581</v>
      </c>
      <c r="R1789" s="87">
        <v>0</v>
      </c>
      <c r="S1789" s="87">
        <v>0</v>
      </c>
      <c r="T1789" s="87">
        <v>0</v>
      </c>
      <c r="U1789" s="87">
        <v>0</v>
      </c>
      <c r="V1789" s="87">
        <v>23</v>
      </c>
      <c r="W1789" s="93" t="s">
        <v>7037</v>
      </c>
      <c r="X1789" s="87" t="s">
        <v>8352</v>
      </c>
      <c r="Y1789" s="87" t="s">
        <v>8413</v>
      </c>
      <c r="Z1789" s="87"/>
      <c r="AA1789" s="87" t="s">
        <v>9762</v>
      </c>
      <c r="AB1789" s="87" t="s">
        <v>11447</v>
      </c>
      <c r="AC1789" s="93" t="s">
        <v>11457</v>
      </c>
      <c r="AD1789" s="87" t="s">
        <v>11519</v>
      </c>
      <c r="AE1789" s="92" t="str">
        <f>HYPERLINK("https://twitter.com/viktorrossa/status/1700244741021974561")</f>
        <v>https://twitter.com/viktorrossa/status/1700244741021974561</v>
      </c>
      <c r="AF1789" s="90">
        <v>45177.853113425925</v>
      </c>
      <c r="AG1789" s="99">
        <v>45177</v>
      </c>
      <c r="AH1789" s="93" t="s">
        <v>13166</v>
      </c>
      <c r="AI1789" s="87" t="b">
        <v>0</v>
      </c>
      <c r="AJ1789" s="87"/>
      <c r="AK1789" s="87"/>
      <c r="AL1789" s="87"/>
      <c r="AM1789" s="87"/>
      <c r="AN1789" s="87"/>
      <c r="AO1789" s="87"/>
      <c r="AP1789" s="87"/>
      <c r="AQ1789" s="87" t="s">
        <v>16575</v>
      </c>
      <c r="AR1789" s="87">
        <v>33437</v>
      </c>
      <c r="AS1789" s="87"/>
      <c r="AT1789" s="87"/>
      <c r="AU1789" s="87"/>
      <c r="AV1789" s="92" t="str">
        <f>HYPERLINK("https://pbs.twimg.com/ext_tw_video_thumb/1700244516324745216/pu/img/qCMNTuNyJ03MTpfD.jpg")</f>
        <v>https://pbs.twimg.com/ext_tw_video_thumb/1700244516324745216/pu/img/qCMNTuNyJ03MTpfD.jpg</v>
      </c>
      <c r="AW1789" s="93" t="s">
        <v>20018</v>
      </c>
      <c r="AX1789" s="93" t="s">
        <v>20018</v>
      </c>
      <c r="AY1789" s="87"/>
      <c r="AZ1789" s="93" t="s">
        <v>22668</v>
      </c>
      <c r="BA1789" s="93" t="s">
        <v>22668</v>
      </c>
      <c r="BB1789" s="93" t="s">
        <v>22668</v>
      </c>
      <c r="BC1789" s="93" t="s">
        <v>20018</v>
      </c>
      <c r="BD1789" s="93" t="s">
        <v>23142</v>
      </c>
      <c r="BE1789" s="87"/>
      <c r="BF1789" s="87"/>
      <c r="BG1789" s="87"/>
      <c r="BH1789" s="87"/>
      <c r="BI1789" s="87"/>
    </row>
    <row r="1790" spans="1:61" x14ac:dyDescent="0.25">
      <c r="A1790" s="63" t="s">
        <v>834</v>
      </c>
      <c r="B1790" s="63" t="s">
        <v>834</v>
      </c>
      <c r="C1790" s="64"/>
      <c r="D1790" s="65"/>
      <c r="E1790" s="66"/>
      <c r="F1790" s="67"/>
      <c r="G1790" s="64"/>
      <c r="H1790" s="68"/>
      <c r="I1790" s="69"/>
      <c r="J1790" s="69"/>
      <c r="K1790" s="32"/>
      <c r="L1790" s="76">
        <v>1790</v>
      </c>
      <c r="M1790" s="76"/>
      <c r="N1790" s="71"/>
      <c r="O1790" s="87" t="s">
        <v>179</v>
      </c>
      <c r="P1790" s="90">
        <v>45149.886608796296</v>
      </c>
      <c r="Q1790" s="87" t="s">
        <v>3582</v>
      </c>
      <c r="R1790" s="87">
        <v>0</v>
      </c>
      <c r="S1790" s="87">
        <v>0</v>
      </c>
      <c r="T1790" s="87">
        <v>0</v>
      </c>
      <c r="U1790" s="87">
        <v>0</v>
      </c>
      <c r="V1790" s="87">
        <v>15</v>
      </c>
      <c r="W1790" s="93" t="s">
        <v>7037</v>
      </c>
      <c r="X1790" s="87" t="s">
        <v>8352</v>
      </c>
      <c r="Y1790" s="87" t="s">
        <v>8413</v>
      </c>
      <c r="Z1790" s="87"/>
      <c r="AA1790" s="87" t="s">
        <v>9763</v>
      </c>
      <c r="AB1790" s="87" t="s">
        <v>11447</v>
      </c>
      <c r="AC1790" s="93" t="s">
        <v>11457</v>
      </c>
      <c r="AD1790" s="87" t="s">
        <v>11519</v>
      </c>
      <c r="AE1790" s="92" t="str">
        <f>HYPERLINK("https://twitter.com/viktorrossa/status/1690110019163795456")</f>
        <v>https://twitter.com/viktorrossa/status/1690110019163795456</v>
      </c>
      <c r="AF1790" s="90">
        <v>45149.886608796296</v>
      </c>
      <c r="AG1790" s="99">
        <v>45149</v>
      </c>
      <c r="AH1790" s="93" t="s">
        <v>13167</v>
      </c>
      <c r="AI1790" s="87" t="b">
        <v>0</v>
      </c>
      <c r="AJ1790" s="87"/>
      <c r="AK1790" s="87"/>
      <c r="AL1790" s="87"/>
      <c r="AM1790" s="87"/>
      <c r="AN1790" s="87"/>
      <c r="AO1790" s="87"/>
      <c r="AP1790" s="87"/>
      <c r="AQ1790" s="87" t="s">
        <v>16576</v>
      </c>
      <c r="AR1790" s="87">
        <v>19435</v>
      </c>
      <c r="AS1790" s="87"/>
      <c r="AT1790" s="87"/>
      <c r="AU1790" s="87"/>
      <c r="AV1790" s="92" t="str">
        <f>HYPERLINK("https://pbs.twimg.com/ext_tw_video_thumb/1690109892823003136/pu/img/Q9bS-UDl9Nqz4n3S.jpg")</f>
        <v>https://pbs.twimg.com/ext_tw_video_thumb/1690109892823003136/pu/img/Q9bS-UDl9Nqz4n3S.jpg</v>
      </c>
      <c r="AW1790" s="93" t="s">
        <v>20019</v>
      </c>
      <c r="AX1790" s="93" t="s">
        <v>20019</v>
      </c>
      <c r="AY1790" s="87"/>
      <c r="AZ1790" s="93" t="s">
        <v>22668</v>
      </c>
      <c r="BA1790" s="93" t="s">
        <v>22668</v>
      </c>
      <c r="BB1790" s="93" t="s">
        <v>22668</v>
      </c>
      <c r="BC1790" s="93" t="s">
        <v>20019</v>
      </c>
      <c r="BD1790" s="93" t="s">
        <v>23142</v>
      </c>
      <c r="BE1790" s="87"/>
      <c r="BF1790" s="87"/>
      <c r="BG1790" s="87"/>
      <c r="BH1790" s="87"/>
      <c r="BI1790" s="87"/>
    </row>
    <row r="1791" spans="1:61" x14ac:dyDescent="0.25">
      <c r="A1791" s="63" t="s">
        <v>834</v>
      </c>
      <c r="B1791" s="63" t="s">
        <v>834</v>
      </c>
      <c r="C1791" s="64"/>
      <c r="D1791" s="65"/>
      <c r="E1791" s="66"/>
      <c r="F1791" s="67"/>
      <c r="G1791" s="64"/>
      <c r="H1791" s="68"/>
      <c r="I1791" s="69"/>
      <c r="J1791" s="69"/>
      <c r="K1791" s="32"/>
      <c r="L1791" s="76">
        <v>1791</v>
      </c>
      <c r="M1791" s="76"/>
      <c r="N1791" s="71"/>
      <c r="O1791" s="87" t="s">
        <v>179</v>
      </c>
      <c r="P1791" s="90">
        <v>45148.88784722222</v>
      </c>
      <c r="Q1791" s="87" t="s">
        <v>3583</v>
      </c>
      <c r="R1791" s="87">
        <v>0</v>
      </c>
      <c r="S1791" s="87">
        <v>0</v>
      </c>
      <c r="T1791" s="87">
        <v>0</v>
      </c>
      <c r="U1791" s="87">
        <v>0</v>
      </c>
      <c r="V1791" s="87">
        <v>10</v>
      </c>
      <c r="W1791" s="93" t="s">
        <v>7037</v>
      </c>
      <c r="X1791" s="87" t="s">
        <v>8352</v>
      </c>
      <c r="Y1791" s="87" t="s">
        <v>8413</v>
      </c>
      <c r="Z1791" s="87"/>
      <c r="AA1791" s="87" t="s">
        <v>9764</v>
      </c>
      <c r="AB1791" s="87" t="s">
        <v>11447</v>
      </c>
      <c r="AC1791" s="93" t="s">
        <v>11457</v>
      </c>
      <c r="AD1791" s="87" t="s">
        <v>11519</v>
      </c>
      <c r="AE1791" s="92" t="str">
        <f>HYPERLINK("https://twitter.com/viktorrossa/status/1689748077442179072")</f>
        <v>https://twitter.com/viktorrossa/status/1689748077442179072</v>
      </c>
      <c r="AF1791" s="90">
        <v>45148.88784722222</v>
      </c>
      <c r="AG1791" s="99">
        <v>45148</v>
      </c>
      <c r="AH1791" s="93" t="s">
        <v>13168</v>
      </c>
      <c r="AI1791" s="87" t="b">
        <v>0</v>
      </c>
      <c r="AJ1791" s="87"/>
      <c r="AK1791" s="87"/>
      <c r="AL1791" s="87"/>
      <c r="AM1791" s="87"/>
      <c r="AN1791" s="87"/>
      <c r="AO1791" s="87"/>
      <c r="AP1791" s="87"/>
      <c r="AQ1791" s="87" t="s">
        <v>16577</v>
      </c>
      <c r="AR1791" s="87">
        <v>26076</v>
      </c>
      <c r="AS1791" s="87"/>
      <c r="AT1791" s="87"/>
      <c r="AU1791" s="87"/>
      <c r="AV1791" s="92" t="str">
        <f>HYPERLINK("https://pbs.twimg.com/ext_tw_video_thumb/1689747929035120640/pu/img/zWm7FZJwvWonIJPF.jpg")</f>
        <v>https://pbs.twimg.com/ext_tw_video_thumb/1689747929035120640/pu/img/zWm7FZJwvWonIJPF.jpg</v>
      </c>
      <c r="AW1791" s="93" t="s">
        <v>20020</v>
      </c>
      <c r="AX1791" s="93" t="s">
        <v>20020</v>
      </c>
      <c r="AY1791" s="87"/>
      <c r="AZ1791" s="93" t="s">
        <v>22668</v>
      </c>
      <c r="BA1791" s="93" t="s">
        <v>22668</v>
      </c>
      <c r="BB1791" s="93" t="s">
        <v>22668</v>
      </c>
      <c r="BC1791" s="93" t="s">
        <v>20020</v>
      </c>
      <c r="BD1791" s="93" t="s">
        <v>23142</v>
      </c>
      <c r="BE1791" s="87"/>
      <c r="BF1791" s="87"/>
      <c r="BG1791" s="87"/>
      <c r="BH1791" s="87"/>
      <c r="BI1791" s="87"/>
    </row>
    <row r="1792" spans="1:61" x14ac:dyDescent="0.25">
      <c r="A1792" s="63" t="s">
        <v>834</v>
      </c>
      <c r="B1792" s="63" t="s">
        <v>834</v>
      </c>
      <c r="C1792" s="64"/>
      <c r="D1792" s="65"/>
      <c r="E1792" s="66"/>
      <c r="F1792" s="67"/>
      <c r="G1792" s="64"/>
      <c r="H1792" s="68"/>
      <c r="I1792" s="69"/>
      <c r="J1792" s="69"/>
      <c r="K1792" s="32"/>
      <c r="L1792" s="76">
        <v>1792</v>
      </c>
      <c r="M1792" s="76"/>
      <c r="N1792" s="71"/>
      <c r="O1792" s="87" t="s">
        <v>179</v>
      </c>
      <c r="P1792" s="90">
        <v>45121.730509259258</v>
      </c>
      <c r="Q1792" s="87" t="s">
        <v>3584</v>
      </c>
      <c r="R1792" s="87">
        <v>0</v>
      </c>
      <c r="S1792" s="87">
        <v>0</v>
      </c>
      <c r="T1792" s="87">
        <v>0</v>
      </c>
      <c r="U1792" s="87">
        <v>0</v>
      </c>
      <c r="V1792" s="87">
        <v>26</v>
      </c>
      <c r="W1792" s="93" t="s">
        <v>7037</v>
      </c>
      <c r="X1792" s="87" t="s">
        <v>8352</v>
      </c>
      <c r="Y1792" s="87" t="s">
        <v>8413</v>
      </c>
      <c r="Z1792" s="87"/>
      <c r="AA1792" s="87" t="s">
        <v>9765</v>
      </c>
      <c r="AB1792" s="87" t="s">
        <v>11447</v>
      </c>
      <c r="AC1792" s="93" t="s">
        <v>11457</v>
      </c>
      <c r="AD1792" s="87" t="s">
        <v>11519</v>
      </c>
      <c r="AE1792" s="92" t="str">
        <f>HYPERLINK("https://twitter.com/viktorrossa/status/1679906588167905280")</f>
        <v>https://twitter.com/viktorrossa/status/1679906588167905280</v>
      </c>
      <c r="AF1792" s="90">
        <v>45121.730509259258</v>
      </c>
      <c r="AG1792" s="99">
        <v>45121</v>
      </c>
      <c r="AH1792" s="93" t="s">
        <v>13169</v>
      </c>
      <c r="AI1792" s="87" t="b">
        <v>0</v>
      </c>
      <c r="AJ1792" s="87"/>
      <c r="AK1792" s="87"/>
      <c r="AL1792" s="87"/>
      <c r="AM1792" s="87"/>
      <c r="AN1792" s="87"/>
      <c r="AO1792" s="87"/>
      <c r="AP1792" s="87"/>
      <c r="AQ1792" s="87" t="s">
        <v>16578</v>
      </c>
      <c r="AR1792" s="87">
        <v>39915</v>
      </c>
      <c r="AS1792" s="87"/>
      <c r="AT1792" s="87"/>
      <c r="AU1792" s="87"/>
      <c r="AV1792" s="92" t="str">
        <f>HYPERLINK("https://pbs.twimg.com/ext_tw_video_thumb/1679906043235532806/pu/img/JLglBKbpF_ktI8rb.jpg")</f>
        <v>https://pbs.twimg.com/ext_tw_video_thumb/1679906043235532806/pu/img/JLglBKbpF_ktI8rb.jpg</v>
      </c>
      <c r="AW1792" s="93" t="s">
        <v>20021</v>
      </c>
      <c r="AX1792" s="93" t="s">
        <v>20021</v>
      </c>
      <c r="AY1792" s="87"/>
      <c r="AZ1792" s="93" t="s">
        <v>22668</v>
      </c>
      <c r="BA1792" s="93" t="s">
        <v>22668</v>
      </c>
      <c r="BB1792" s="93" t="s">
        <v>22668</v>
      </c>
      <c r="BC1792" s="93" t="s">
        <v>20021</v>
      </c>
      <c r="BD1792" s="93" t="s">
        <v>23142</v>
      </c>
      <c r="BE1792" s="87"/>
      <c r="BF1792" s="87"/>
      <c r="BG1792" s="87"/>
      <c r="BH1792" s="87"/>
      <c r="BI1792" s="87"/>
    </row>
    <row r="1793" spans="1:61" x14ac:dyDescent="0.25">
      <c r="A1793" s="63" t="s">
        <v>834</v>
      </c>
      <c r="B1793" s="63" t="s">
        <v>834</v>
      </c>
      <c r="C1793" s="64"/>
      <c r="D1793" s="65"/>
      <c r="E1793" s="66"/>
      <c r="F1793" s="67"/>
      <c r="G1793" s="64"/>
      <c r="H1793" s="68"/>
      <c r="I1793" s="69"/>
      <c r="J1793" s="69"/>
      <c r="K1793" s="32"/>
      <c r="L1793" s="76">
        <v>1793</v>
      </c>
      <c r="M1793" s="76"/>
      <c r="N1793" s="71"/>
      <c r="O1793" s="87" t="s">
        <v>179</v>
      </c>
      <c r="P1793" s="90">
        <v>45120.579074074078</v>
      </c>
      <c r="Q1793" s="87" t="s">
        <v>3585</v>
      </c>
      <c r="R1793" s="87">
        <v>0</v>
      </c>
      <c r="S1793" s="87">
        <v>0</v>
      </c>
      <c r="T1793" s="87">
        <v>0</v>
      </c>
      <c r="U1793" s="87">
        <v>0</v>
      </c>
      <c r="V1793" s="87">
        <v>24</v>
      </c>
      <c r="W1793" s="93" t="s">
        <v>7037</v>
      </c>
      <c r="X1793" s="87" t="s">
        <v>8352</v>
      </c>
      <c r="Y1793" s="87" t="s">
        <v>8413</v>
      </c>
      <c r="Z1793" s="87"/>
      <c r="AA1793" s="87" t="s">
        <v>9766</v>
      </c>
      <c r="AB1793" s="87" t="s">
        <v>11447</v>
      </c>
      <c r="AC1793" s="93" t="s">
        <v>11457</v>
      </c>
      <c r="AD1793" s="87" t="s">
        <v>11519</v>
      </c>
      <c r="AE1793" s="92" t="str">
        <f>HYPERLINK("https://twitter.com/viktorrossa/status/1679489321580249088")</f>
        <v>https://twitter.com/viktorrossa/status/1679489321580249088</v>
      </c>
      <c r="AF1793" s="90">
        <v>45120.579074074078</v>
      </c>
      <c r="AG1793" s="99">
        <v>45120</v>
      </c>
      <c r="AH1793" s="93" t="s">
        <v>13170</v>
      </c>
      <c r="AI1793" s="87" t="b">
        <v>0</v>
      </c>
      <c r="AJ1793" s="87"/>
      <c r="AK1793" s="87"/>
      <c r="AL1793" s="87"/>
      <c r="AM1793" s="87"/>
      <c r="AN1793" s="87"/>
      <c r="AO1793" s="87"/>
      <c r="AP1793" s="87"/>
      <c r="AQ1793" s="87" t="s">
        <v>16579</v>
      </c>
      <c r="AR1793" s="87">
        <v>17368</v>
      </c>
      <c r="AS1793" s="87"/>
      <c r="AT1793" s="87"/>
      <c r="AU1793" s="87"/>
      <c r="AV1793" s="92" t="str">
        <f>HYPERLINK("https://pbs.twimg.com/ext_tw_video_thumb/1679488887788544000/pu/img/lfvMCBOT0GBoaAhg.jpg")</f>
        <v>https://pbs.twimg.com/ext_tw_video_thumb/1679488887788544000/pu/img/lfvMCBOT0GBoaAhg.jpg</v>
      </c>
      <c r="AW1793" s="93" t="s">
        <v>20022</v>
      </c>
      <c r="AX1793" s="93" t="s">
        <v>20022</v>
      </c>
      <c r="AY1793" s="87"/>
      <c r="AZ1793" s="93" t="s">
        <v>22668</v>
      </c>
      <c r="BA1793" s="93" t="s">
        <v>22668</v>
      </c>
      <c r="BB1793" s="93" t="s">
        <v>22668</v>
      </c>
      <c r="BC1793" s="93" t="s">
        <v>20022</v>
      </c>
      <c r="BD1793" s="93" t="s">
        <v>23142</v>
      </c>
      <c r="BE1793" s="87"/>
      <c r="BF1793" s="87"/>
      <c r="BG1793" s="87"/>
      <c r="BH1793" s="87"/>
      <c r="BI1793" s="87"/>
    </row>
    <row r="1794" spans="1:61" x14ac:dyDescent="0.25">
      <c r="A1794" s="63" t="s">
        <v>834</v>
      </c>
      <c r="B1794" s="63" t="s">
        <v>834</v>
      </c>
      <c r="C1794" s="64"/>
      <c r="D1794" s="65"/>
      <c r="E1794" s="66"/>
      <c r="F1794" s="67"/>
      <c r="G1794" s="64"/>
      <c r="H1794" s="68"/>
      <c r="I1794" s="69"/>
      <c r="J1794" s="69"/>
      <c r="K1794" s="32"/>
      <c r="L1794" s="76">
        <v>1794</v>
      </c>
      <c r="M1794" s="76"/>
      <c r="N1794" s="71"/>
      <c r="O1794" s="87" t="s">
        <v>179</v>
      </c>
      <c r="P1794" s="90">
        <v>45173.883356481485</v>
      </c>
      <c r="Q1794" s="87" t="s">
        <v>3586</v>
      </c>
      <c r="R1794" s="87">
        <v>0</v>
      </c>
      <c r="S1794" s="87">
        <v>0</v>
      </c>
      <c r="T1794" s="87">
        <v>0</v>
      </c>
      <c r="U1794" s="87">
        <v>0</v>
      </c>
      <c r="V1794" s="87">
        <v>31</v>
      </c>
      <c r="W1794" s="93" t="s">
        <v>7037</v>
      </c>
      <c r="X1794" s="87" t="s">
        <v>8352</v>
      </c>
      <c r="Y1794" s="87" t="s">
        <v>8413</v>
      </c>
      <c r="Z1794" s="87"/>
      <c r="AA1794" s="87" t="s">
        <v>9767</v>
      </c>
      <c r="AB1794" s="87" t="s">
        <v>11447</v>
      </c>
      <c r="AC1794" s="93" t="s">
        <v>11457</v>
      </c>
      <c r="AD1794" s="87" t="s">
        <v>11519</v>
      </c>
      <c r="AE1794" s="92" t="str">
        <f>HYPERLINK("https://twitter.com/viktorrossa/status/1698806145572381007")</f>
        <v>https://twitter.com/viktorrossa/status/1698806145572381007</v>
      </c>
      <c r="AF1794" s="90">
        <v>45173.883356481485</v>
      </c>
      <c r="AG1794" s="99">
        <v>45173</v>
      </c>
      <c r="AH1794" s="93" t="s">
        <v>13171</v>
      </c>
      <c r="AI1794" s="87" t="b">
        <v>0</v>
      </c>
      <c r="AJ1794" s="87"/>
      <c r="AK1794" s="87"/>
      <c r="AL1794" s="87"/>
      <c r="AM1794" s="87"/>
      <c r="AN1794" s="87"/>
      <c r="AO1794" s="87"/>
      <c r="AP1794" s="87"/>
      <c r="AQ1794" s="87" t="s">
        <v>16580</v>
      </c>
      <c r="AR1794" s="87">
        <v>12143</v>
      </c>
      <c r="AS1794" s="87"/>
      <c r="AT1794" s="87"/>
      <c r="AU1794" s="87"/>
      <c r="AV1794" s="92" t="str">
        <f>HYPERLINK("https://pbs.twimg.com/ext_tw_video_thumb/1698806076664111104/pu/img/UJd0XpFKM4WwIEeH.jpg")</f>
        <v>https://pbs.twimg.com/ext_tw_video_thumb/1698806076664111104/pu/img/UJd0XpFKM4WwIEeH.jpg</v>
      </c>
      <c r="AW1794" s="93" t="s">
        <v>20023</v>
      </c>
      <c r="AX1794" s="93" t="s">
        <v>20023</v>
      </c>
      <c r="AY1794" s="87"/>
      <c r="AZ1794" s="93" t="s">
        <v>22668</v>
      </c>
      <c r="BA1794" s="93" t="s">
        <v>22668</v>
      </c>
      <c r="BB1794" s="93" t="s">
        <v>22668</v>
      </c>
      <c r="BC1794" s="93" t="s">
        <v>20023</v>
      </c>
      <c r="BD1794" s="93" t="s">
        <v>23142</v>
      </c>
      <c r="BE1794" s="87"/>
      <c r="BF1794" s="87"/>
      <c r="BG1794" s="87"/>
      <c r="BH1794" s="87"/>
      <c r="BI1794" s="87"/>
    </row>
    <row r="1795" spans="1:61" x14ac:dyDescent="0.25">
      <c r="A1795" s="63" t="s">
        <v>834</v>
      </c>
      <c r="B1795" s="63" t="s">
        <v>834</v>
      </c>
      <c r="C1795" s="64"/>
      <c r="D1795" s="65"/>
      <c r="E1795" s="66"/>
      <c r="F1795" s="67"/>
      <c r="G1795" s="64"/>
      <c r="H1795" s="68"/>
      <c r="I1795" s="69"/>
      <c r="J1795" s="69"/>
      <c r="K1795" s="32"/>
      <c r="L1795" s="76">
        <v>1795</v>
      </c>
      <c r="M1795" s="76"/>
      <c r="N1795" s="71"/>
      <c r="O1795" s="87" t="s">
        <v>179</v>
      </c>
      <c r="P1795" s="90">
        <v>45147.862002314818</v>
      </c>
      <c r="Q1795" s="87" t="s">
        <v>3587</v>
      </c>
      <c r="R1795" s="87">
        <v>0</v>
      </c>
      <c r="S1795" s="87">
        <v>0</v>
      </c>
      <c r="T1795" s="87">
        <v>0</v>
      </c>
      <c r="U1795" s="87">
        <v>0</v>
      </c>
      <c r="V1795" s="87">
        <v>21</v>
      </c>
      <c r="W1795" s="93" t="s">
        <v>7037</v>
      </c>
      <c r="X1795" s="87" t="s">
        <v>8352</v>
      </c>
      <c r="Y1795" s="87" t="s">
        <v>8413</v>
      </c>
      <c r="Z1795" s="87"/>
      <c r="AA1795" s="87" t="s">
        <v>9768</v>
      </c>
      <c r="AB1795" s="87" t="s">
        <v>11447</v>
      </c>
      <c r="AC1795" s="93" t="s">
        <v>11457</v>
      </c>
      <c r="AD1795" s="87" t="s">
        <v>11519</v>
      </c>
      <c r="AE1795" s="92" t="str">
        <f>HYPERLINK("https://twitter.com/viktorrossa/status/1689376324131991553")</f>
        <v>https://twitter.com/viktorrossa/status/1689376324131991553</v>
      </c>
      <c r="AF1795" s="90">
        <v>45147.862002314818</v>
      </c>
      <c r="AG1795" s="99">
        <v>45147</v>
      </c>
      <c r="AH1795" s="93" t="s">
        <v>13172</v>
      </c>
      <c r="AI1795" s="87" t="b">
        <v>0</v>
      </c>
      <c r="AJ1795" s="87"/>
      <c r="AK1795" s="87"/>
      <c r="AL1795" s="87"/>
      <c r="AM1795" s="87"/>
      <c r="AN1795" s="87"/>
      <c r="AO1795" s="87"/>
      <c r="AP1795" s="87"/>
      <c r="AQ1795" s="87" t="s">
        <v>16581</v>
      </c>
      <c r="AR1795" s="87">
        <v>18180</v>
      </c>
      <c r="AS1795" s="87"/>
      <c r="AT1795" s="87"/>
      <c r="AU1795" s="87"/>
      <c r="AV1795" s="92" t="str">
        <f>HYPERLINK("https://pbs.twimg.com/ext_tw_video_thumb/1689376247963373570/pu/img/NSo2qd58ViSzOdmI.jpg")</f>
        <v>https://pbs.twimg.com/ext_tw_video_thumb/1689376247963373570/pu/img/NSo2qd58ViSzOdmI.jpg</v>
      </c>
      <c r="AW1795" s="93" t="s">
        <v>20024</v>
      </c>
      <c r="AX1795" s="93" t="s">
        <v>20024</v>
      </c>
      <c r="AY1795" s="87"/>
      <c r="AZ1795" s="93" t="s">
        <v>22668</v>
      </c>
      <c r="BA1795" s="93" t="s">
        <v>22668</v>
      </c>
      <c r="BB1795" s="93" t="s">
        <v>22668</v>
      </c>
      <c r="BC1795" s="93" t="s">
        <v>20024</v>
      </c>
      <c r="BD1795" s="93" t="s">
        <v>23142</v>
      </c>
      <c r="BE1795" s="87"/>
      <c r="BF1795" s="87"/>
      <c r="BG1795" s="87"/>
      <c r="BH1795" s="87"/>
      <c r="BI1795" s="87"/>
    </row>
    <row r="1796" spans="1:61" x14ac:dyDescent="0.25">
      <c r="A1796" s="63" t="s">
        <v>834</v>
      </c>
      <c r="B1796" s="63" t="s">
        <v>834</v>
      </c>
      <c r="C1796" s="64"/>
      <c r="D1796" s="65"/>
      <c r="E1796" s="66"/>
      <c r="F1796" s="67"/>
      <c r="G1796" s="64"/>
      <c r="H1796" s="68"/>
      <c r="I1796" s="69"/>
      <c r="J1796" s="69"/>
      <c r="K1796" s="32"/>
      <c r="L1796" s="76">
        <v>1796</v>
      </c>
      <c r="M1796" s="76"/>
      <c r="N1796" s="71"/>
      <c r="O1796" s="87" t="s">
        <v>179</v>
      </c>
      <c r="P1796" s="90">
        <v>45132.86346064815</v>
      </c>
      <c r="Q1796" s="87" t="s">
        <v>3588</v>
      </c>
      <c r="R1796" s="87">
        <v>0</v>
      </c>
      <c r="S1796" s="87">
        <v>0</v>
      </c>
      <c r="T1796" s="87">
        <v>0</v>
      </c>
      <c r="U1796" s="87">
        <v>0</v>
      </c>
      <c r="V1796" s="87">
        <v>13</v>
      </c>
      <c r="W1796" s="93" t="s">
        <v>7037</v>
      </c>
      <c r="X1796" s="87" t="s">
        <v>8352</v>
      </c>
      <c r="Y1796" s="87" t="s">
        <v>8413</v>
      </c>
      <c r="Z1796" s="87"/>
      <c r="AA1796" s="87" t="s">
        <v>9769</v>
      </c>
      <c r="AB1796" s="87" t="s">
        <v>11447</v>
      </c>
      <c r="AC1796" s="93" t="s">
        <v>11457</v>
      </c>
      <c r="AD1796" s="87" t="s">
        <v>11519</v>
      </c>
      <c r="AE1796" s="92" t="str">
        <f>HYPERLINK("https://twitter.com/viktorrossa/status/1683941033518804992")</f>
        <v>https://twitter.com/viktorrossa/status/1683941033518804992</v>
      </c>
      <c r="AF1796" s="90">
        <v>45132.86346064815</v>
      </c>
      <c r="AG1796" s="99">
        <v>45132</v>
      </c>
      <c r="AH1796" s="93" t="s">
        <v>13173</v>
      </c>
      <c r="AI1796" s="87" t="b">
        <v>0</v>
      </c>
      <c r="AJ1796" s="87"/>
      <c r="AK1796" s="87"/>
      <c r="AL1796" s="87"/>
      <c r="AM1796" s="87"/>
      <c r="AN1796" s="87"/>
      <c r="AO1796" s="87"/>
      <c r="AP1796" s="87"/>
      <c r="AQ1796" s="87" t="s">
        <v>16582</v>
      </c>
      <c r="AR1796" s="87">
        <v>14489</v>
      </c>
      <c r="AS1796" s="87"/>
      <c r="AT1796" s="87"/>
      <c r="AU1796" s="87"/>
      <c r="AV1796" s="92" t="str">
        <f>HYPERLINK("https://pbs.twimg.com/ext_tw_video_thumb/1683940942410121217/pu/img/rr2vTXvWcE0M7l6T.jpg")</f>
        <v>https://pbs.twimg.com/ext_tw_video_thumb/1683940942410121217/pu/img/rr2vTXvWcE0M7l6T.jpg</v>
      </c>
      <c r="AW1796" s="93" t="s">
        <v>20025</v>
      </c>
      <c r="AX1796" s="93" t="s">
        <v>20025</v>
      </c>
      <c r="AY1796" s="87"/>
      <c r="AZ1796" s="93" t="s">
        <v>22668</v>
      </c>
      <c r="BA1796" s="93" t="s">
        <v>22668</v>
      </c>
      <c r="BB1796" s="93" t="s">
        <v>22668</v>
      </c>
      <c r="BC1796" s="93" t="s">
        <v>20025</v>
      </c>
      <c r="BD1796" s="93" t="s">
        <v>23142</v>
      </c>
      <c r="BE1796" s="87"/>
      <c r="BF1796" s="87"/>
      <c r="BG1796" s="87"/>
      <c r="BH1796" s="87"/>
      <c r="BI1796" s="87"/>
    </row>
    <row r="1797" spans="1:61" x14ac:dyDescent="0.25">
      <c r="A1797" s="63" t="s">
        <v>834</v>
      </c>
      <c r="B1797" s="63" t="s">
        <v>834</v>
      </c>
      <c r="C1797" s="64"/>
      <c r="D1797" s="65"/>
      <c r="E1797" s="66"/>
      <c r="F1797" s="67"/>
      <c r="G1797" s="64"/>
      <c r="H1797" s="68"/>
      <c r="I1797" s="69"/>
      <c r="J1797" s="69"/>
      <c r="K1797" s="32"/>
      <c r="L1797" s="76">
        <v>1797</v>
      </c>
      <c r="M1797" s="76"/>
      <c r="N1797" s="71"/>
      <c r="O1797" s="87" t="s">
        <v>179</v>
      </c>
      <c r="P1797" s="90">
        <v>45119.684247685182</v>
      </c>
      <c r="Q1797" s="87" t="s">
        <v>3589</v>
      </c>
      <c r="R1797" s="87">
        <v>0</v>
      </c>
      <c r="S1797" s="87">
        <v>0</v>
      </c>
      <c r="T1797" s="87">
        <v>0</v>
      </c>
      <c r="U1797" s="87">
        <v>0</v>
      </c>
      <c r="V1797" s="87">
        <v>18</v>
      </c>
      <c r="W1797" s="93" t="s">
        <v>7037</v>
      </c>
      <c r="X1797" s="87" t="s">
        <v>8352</v>
      </c>
      <c r="Y1797" s="87" t="s">
        <v>8413</v>
      </c>
      <c r="Z1797" s="87"/>
      <c r="AA1797" s="87" t="s">
        <v>9770</v>
      </c>
      <c r="AB1797" s="87" t="s">
        <v>11447</v>
      </c>
      <c r="AC1797" s="93" t="s">
        <v>11457</v>
      </c>
      <c r="AD1797" s="87" t="s">
        <v>11519</v>
      </c>
      <c r="AE1797" s="92" t="str">
        <f>HYPERLINK("https://twitter.com/viktorrossa/status/1679165049112281088")</f>
        <v>https://twitter.com/viktorrossa/status/1679165049112281088</v>
      </c>
      <c r="AF1797" s="90">
        <v>45119.684247685182</v>
      </c>
      <c r="AG1797" s="99">
        <v>45119</v>
      </c>
      <c r="AH1797" s="93" t="s">
        <v>13174</v>
      </c>
      <c r="AI1797" s="87" t="b">
        <v>0</v>
      </c>
      <c r="AJ1797" s="87"/>
      <c r="AK1797" s="87"/>
      <c r="AL1797" s="87"/>
      <c r="AM1797" s="87"/>
      <c r="AN1797" s="87"/>
      <c r="AO1797" s="87"/>
      <c r="AP1797" s="87"/>
      <c r="AQ1797" s="87" t="s">
        <v>16583</v>
      </c>
      <c r="AR1797" s="87">
        <v>15069</v>
      </c>
      <c r="AS1797" s="87"/>
      <c r="AT1797" s="87"/>
      <c r="AU1797" s="87"/>
      <c r="AV1797" s="92" t="str">
        <f>HYPERLINK("https://pbs.twimg.com/ext_tw_video_thumb/1679164923044143105/pu/img/ETsr0-6YhfJCrZXO.jpg")</f>
        <v>https://pbs.twimg.com/ext_tw_video_thumb/1679164923044143105/pu/img/ETsr0-6YhfJCrZXO.jpg</v>
      </c>
      <c r="AW1797" s="93" t="s">
        <v>20026</v>
      </c>
      <c r="AX1797" s="93" t="s">
        <v>20026</v>
      </c>
      <c r="AY1797" s="87"/>
      <c r="AZ1797" s="93" t="s">
        <v>22668</v>
      </c>
      <c r="BA1797" s="93" t="s">
        <v>22668</v>
      </c>
      <c r="BB1797" s="93" t="s">
        <v>22668</v>
      </c>
      <c r="BC1797" s="93" t="s">
        <v>20026</v>
      </c>
      <c r="BD1797" s="93" t="s">
        <v>23142</v>
      </c>
      <c r="BE1797" s="87"/>
      <c r="BF1797" s="87"/>
      <c r="BG1797" s="87"/>
      <c r="BH1797" s="87"/>
      <c r="BI1797" s="87"/>
    </row>
    <row r="1798" spans="1:61" x14ac:dyDescent="0.25">
      <c r="A1798" s="63" t="s">
        <v>834</v>
      </c>
      <c r="B1798" s="63" t="s">
        <v>834</v>
      </c>
      <c r="C1798" s="64"/>
      <c r="D1798" s="65"/>
      <c r="E1798" s="66"/>
      <c r="F1798" s="67"/>
      <c r="G1798" s="64"/>
      <c r="H1798" s="68"/>
      <c r="I1798" s="69"/>
      <c r="J1798" s="69"/>
      <c r="K1798" s="32"/>
      <c r="L1798" s="76">
        <v>1798</v>
      </c>
      <c r="M1798" s="76"/>
      <c r="N1798" s="71"/>
      <c r="O1798" s="87" t="s">
        <v>179</v>
      </c>
      <c r="P1798" s="90">
        <v>45112.876377314817</v>
      </c>
      <c r="Q1798" s="87" t="s">
        <v>3590</v>
      </c>
      <c r="R1798" s="87">
        <v>0</v>
      </c>
      <c r="S1798" s="87">
        <v>0</v>
      </c>
      <c r="T1798" s="87">
        <v>0</v>
      </c>
      <c r="U1798" s="87">
        <v>0</v>
      </c>
      <c r="V1798" s="87">
        <v>23</v>
      </c>
      <c r="W1798" s="93" t="s">
        <v>7037</v>
      </c>
      <c r="X1798" s="87" t="s">
        <v>8352</v>
      </c>
      <c r="Y1798" s="87" t="s">
        <v>8413</v>
      </c>
      <c r="Z1798" s="87"/>
      <c r="AA1798" s="87" t="s">
        <v>9771</v>
      </c>
      <c r="AB1798" s="87" t="s">
        <v>11447</v>
      </c>
      <c r="AC1798" s="93" t="s">
        <v>11457</v>
      </c>
      <c r="AD1798" s="87" t="s">
        <v>11519</v>
      </c>
      <c r="AE1798" s="92" t="str">
        <f>HYPERLINK("https://twitter.com/viktorrossa/status/1676697957322612736")</f>
        <v>https://twitter.com/viktorrossa/status/1676697957322612736</v>
      </c>
      <c r="AF1798" s="90">
        <v>45112.876377314817</v>
      </c>
      <c r="AG1798" s="99">
        <v>45112</v>
      </c>
      <c r="AH1798" s="93" t="s">
        <v>13175</v>
      </c>
      <c r="AI1798" s="87" t="b">
        <v>0</v>
      </c>
      <c r="AJ1798" s="87"/>
      <c r="AK1798" s="87"/>
      <c r="AL1798" s="87"/>
      <c r="AM1798" s="87"/>
      <c r="AN1798" s="87"/>
      <c r="AO1798" s="87"/>
      <c r="AP1798" s="87"/>
      <c r="AQ1798" s="87" t="s">
        <v>16584</v>
      </c>
      <c r="AR1798" s="87">
        <v>18645</v>
      </c>
      <c r="AS1798" s="87"/>
      <c r="AT1798" s="87"/>
      <c r="AU1798" s="87"/>
      <c r="AV1798" s="92" t="str">
        <f>HYPERLINK("https://pbs.twimg.com/ext_tw_video_thumb/1676695351850332161/pu/img/1XJ8X2wUZo9FojqP.jpg")</f>
        <v>https://pbs.twimg.com/ext_tw_video_thumb/1676695351850332161/pu/img/1XJ8X2wUZo9FojqP.jpg</v>
      </c>
      <c r="AW1798" s="93" t="s">
        <v>20027</v>
      </c>
      <c r="AX1798" s="93" t="s">
        <v>20027</v>
      </c>
      <c r="AY1798" s="87"/>
      <c r="AZ1798" s="93" t="s">
        <v>22668</v>
      </c>
      <c r="BA1798" s="93" t="s">
        <v>22668</v>
      </c>
      <c r="BB1798" s="93" t="s">
        <v>22668</v>
      </c>
      <c r="BC1798" s="93" t="s">
        <v>20027</v>
      </c>
      <c r="BD1798" s="93" t="s">
        <v>23142</v>
      </c>
      <c r="BE1798" s="87"/>
      <c r="BF1798" s="87"/>
      <c r="BG1798" s="87"/>
      <c r="BH1798" s="87"/>
      <c r="BI1798" s="87"/>
    </row>
    <row r="1799" spans="1:61" x14ac:dyDescent="0.25">
      <c r="A1799" s="63" t="s">
        <v>834</v>
      </c>
      <c r="B1799" s="63" t="s">
        <v>834</v>
      </c>
      <c r="C1799" s="64"/>
      <c r="D1799" s="65"/>
      <c r="E1799" s="66"/>
      <c r="F1799" s="67"/>
      <c r="G1799" s="64"/>
      <c r="H1799" s="68"/>
      <c r="I1799" s="69"/>
      <c r="J1799" s="69"/>
      <c r="K1799" s="32"/>
      <c r="L1799" s="76">
        <v>1799</v>
      </c>
      <c r="M1799" s="76"/>
      <c r="N1799" s="71"/>
      <c r="O1799" s="87" t="s">
        <v>179</v>
      </c>
      <c r="P1799" s="90">
        <v>45111.899560185186</v>
      </c>
      <c r="Q1799" s="87" t="s">
        <v>3591</v>
      </c>
      <c r="R1799" s="87">
        <v>0</v>
      </c>
      <c r="S1799" s="87">
        <v>1</v>
      </c>
      <c r="T1799" s="87">
        <v>0</v>
      </c>
      <c r="U1799" s="87">
        <v>0</v>
      </c>
      <c r="V1799" s="87">
        <v>42</v>
      </c>
      <c r="W1799" s="93" t="s">
        <v>7037</v>
      </c>
      <c r="X1799" s="87" t="s">
        <v>8352</v>
      </c>
      <c r="Y1799" s="87" t="s">
        <v>8413</v>
      </c>
      <c r="Z1799" s="87"/>
      <c r="AA1799" s="87" t="s">
        <v>9772</v>
      </c>
      <c r="AB1799" s="87" t="s">
        <v>11447</v>
      </c>
      <c r="AC1799" s="93" t="s">
        <v>11457</v>
      </c>
      <c r="AD1799" s="87" t="s">
        <v>11519</v>
      </c>
      <c r="AE1799" s="92" t="str">
        <f>HYPERLINK("https://twitter.com/viktorrossa/status/1676343971470090242")</f>
        <v>https://twitter.com/viktorrossa/status/1676343971470090242</v>
      </c>
      <c r="AF1799" s="90">
        <v>45111.899560185186</v>
      </c>
      <c r="AG1799" s="99">
        <v>45111</v>
      </c>
      <c r="AH1799" s="93" t="s">
        <v>13176</v>
      </c>
      <c r="AI1799" s="87" t="b">
        <v>0</v>
      </c>
      <c r="AJ1799" s="87"/>
      <c r="AK1799" s="87"/>
      <c r="AL1799" s="87"/>
      <c r="AM1799" s="87"/>
      <c r="AN1799" s="87"/>
      <c r="AO1799" s="87"/>
      <c r="AP1799" s="87"/>
      <c r="AQ1799" s="87" t="s">
        <v>16585</v>
      </c>
      <c r="AR1799" s="87">
        <v>14907</v>
      </c>
      <c r="AS1799" s="87"/>
      <c r="AT1799" s="87"/>
      <c r="AU1799" s="87"/>
      <c r="AV1799" s="92" t="str">
        <f>HYPERLINK("https://pbs.twimg.com/ext_tw_video_thumb/1676343862439149571/pu/img/yb7aBCx0zkdM5N04.jpg")</f>
        <v>https://pbs.twimg.com/ext_tw_video_thumb/1676343862439149571/pu/img/yb7aBCx0zkdM5N04.jpg</v>
      </c>
      <c r="AW1799" s="93" t="s">
        <v>20028</v>
      </c>
      <c r="AX1799" s="93" t="s">
        <v>20028</v>
      </c>
      <c r="AY1799" s="87"/>
      <c r="AZ1799" s="93" t="s">
        <v>22668</v>
      </c>
      <c r="BA1799" s="93" t="s">
        <v>22668</v>
      </c>
      <c r="BB1799" s="93" t="s">
        <v>22668</v>
      </c>
      <c r="BC1799" s="93" t="s">
        <v>20028</v>
      </c>
      <c r="BD1799" s="93" t="s">
        <v>23142</v>
      </c>
      <c r="BE1799" s="87"/>
      <c r="BF1799" s="87"/>
      <c r="BG1799" s="87"/>
      <c r="BH1799" s="87"/>
      <c r="BI1799" s="87"/>
    </row>
    <row r="1800" spans="1:61" x14ac:dyDescent="0.25">
      <c r="A1800" s="63" t="s">
        <v>834</v>
      </c>
      <c r="B1800" s="63" t="s">
        <v>834</v>
      </c>
      <c r="C1800" s="64"/>
      <c r="D1800" s="65"/>
      <c r="E1800" s="66"/>
      <c r="F1800" s="67"/>
      <c r="G1800" s="64"/>
      <c r="H1800" s="68"/>
      <c r="I1800" s="69"/>
      <c r="J1800" s="69"/>
      <c r="K1800" s="32"/>
      <c r="L1800" s="76">
        <v>1800</v>
      </c>
      <c r="M1800" s="76"/>
      <c r="N1800" s="71"/>
      <c r="O1800" s="87" t="s">
        <v>179</v>
      </c>
      <c r="P1800" s="90">
        <v>45181.868206018517</v>
      </c>
      <c r="Q1800" s="87" t="s">
        <v>3592</v>
      </c>
      <c r="R1800" s="87">
        <v>0</v>
      </c>
      <c r="S1800" s="87">
        <v>0</v>
      </c>
      <c r="T1800" s="87">
        <v>0</v>
      </c>
      <c r="U1800" s="87">
        <v>0</v>
      </c>
      <c r="V1800" s="87">
        <v>29</v>
      </c>
      <c r="W1800" s="93" t="s">
        <v>7037</v>
      </c>
      <c r="X1800" s="87" t="s">
        <v>8352</v>
      </c>
      <c r="Y1800" s="87" t="s">
        <v>8413</v>
      </c>
      <c r="Z1800" s="87"/>
      <c r="AA1800" s="87" t="s">
        <v>9773</v>
      </c>
      <c r="AB1800" s="87" t="s">
        <v>11447</v>
      </c>
      <c r="AC1800" s="93" t="s">
        <v>11457</v>
      </c>
      <c r="AD1800" s="87" t="s">
        <v>11519</v>
      </c>
      <c r="AE1800" s="92" t="str">
        <f>HYPERLINK("https://twitter.com/viktorrossa/status/1701699761139818622")</f>
        <v>https://twitter.com/viktorrossa/status/1701699761139818622</v>
      </c>
      <c r="AF1800" s="90">
        <v>45181.868206018517</v>
      </c>
      <c r="AG1800" s="99">
        <v>45181</v>
      </c>
      <c r="AH1800" s="93" t="s">
        <v>13177</v>
      </c>
      <c r="AI1800" s="87" t="b">
        <v>0</v>
      </c>
      <c r="AJ1800" s="87"/>
      <c r="AK1800" s="87"/>
      <c r="AL1800" s="87"/>
      <c r="AM1800" s="87"/>
      <c r="AN1800" s="87"/>
      <c r="AO1800" s="87"/>
      <c r="AP1800" s="87"/>
      <c r="AQ1800" s="87" t="s">
        <v>16586</v>
      </c>
      <c r="AR1800" s="87">
        <v>26702</v>
      </c>
      <c r="AS1800" s="87"/>
      <c r="AT1800" s="87"/>
      <c r="AU1800" s="87"/>
      <c r="AV1800" s="92" t="str">
        <f>HYPERLINK("https://pbs.twimg.com/ext_tw_video_thumb/1701699668009185280/pu/img/Wdr_JLwdK40pFpXk.jpg")</f>
        <v>https://pbs.twimg.com/ext_tw_video_thumb/1701699668009185280/pu/img/Wdr_JLwdK40pFpXk.jpg</v>
      </c>
      <c r="AW1800" s="93" t="s">
        <v>20029</v>
      </c>
      <c r="AX1800" s="93" t="s">
        <v>20029</v>
      </c>
      <c r="AY1800" s="87"/>
      <c r="AZ1800" s="93" t="s">
        <v>22668</v>
      </c>
      <c r="BA1800" s="93" t="s">
        <v>22668</v>
      </c>
      <c r="BB1800" s="93" t="s">
        <v>22668</v>
      </c>
      <c r="BC1800" s="93" t="s">
        <v>20029</v>
      </c>
      <c r="BD1800" s="93" t="s">
        <v>23142</v>
      </c>
      <c r="BE1800" s="87"/>
      <c r="BF1800" s="87"/>
      <c r="BG1800" s="87"/>
      <c r="BH1800" s="87"/>
      <c r="BI1800" s="87"/>
    </row>
    <row r="1801" spans="1:61" x14ac:dyDescent="0.25">
      <c r="A1801" s="63" t="s">
        <v>834</v>
      </c>
      <c r="B1801" s="63" t="s">
        <v>834</v>
      </c>
      <c r="C1801" s="64"/>
      <c r="D1801" s="65"/>
      <c r="E1801" s="66"/>
      <c r="F1801" s="67"/>
      <c r="G1801" s="64"/>
      <c r="H1801" s="68"/>
      <c r="I1801" s="69"/>
      <c r="J1801" s="69"/>
      <c r="K1801" s="32"/>
      <c r="L1801" s="76">
        <v>1801</v>
      </c>
      <c r="M1801" s="76"/>
      <c r="N1801" s="71"/>
      <c r="O1801" s="87" t="s">
        <v>179</v>
      </c>
      <c r="P1801" s="90">
        <v>45139.744675925926</v>
      </c>
      <c r="Q1801" s="87" t="s">
        <v>3593</v>
      </c>
      <c r="R1801" s="87">
        <v>0</v>
      </c>
      <c r="S1801" s="87">
        <v>0</v>
      </c>
      <c r="T1801" s="87">
        <v>0</v>
      </c>
      <c r="U1801" s="87">
        <v>0</v>
      </c>
      <c r="V1801" s="87">
        <v>24</v>
      </c>
      <c r="W1801" s="93" t="s">
        <v>7037</v>
      </c>
      <c r="X1801" s="87" t="s">
        <v>8352</v>
      </c>
      <c r="Y1801" s="87" t="s">
        <v>8413</v>
      </c>
      <c r="Z1801" s="87"/>
      <c r="AA1801" s="87" t="s">
        <v>9774</v>
      </c>
      <c r="AB1801" s="87" t="s">
        <v>11447</v>
      </c>
      <c r="AC1801" s="93" t="s">
        <v>11457</v>
      </c>
      <c r="AD1801" s="87" t="s">
        <v>11519</v>
      </c>
      <c r="AE1801" s="92" t="str">
        <f>HYPERLINK("https://twitter.com/viktorrossa/status/1686434705523036161")</f>
        <v>https://twitter.com/viktorrossa/status/1686434705523036161</v>
      </c>
      <c r="AF1801" s="90">
        <v>45139.744675925926</v>
      </c>
      <c r="AG1801" s="99">
        <v>45139</v>
      </c>
      <c r="AH1801" s="93" t="s">
        <v>13178</v>
      </c>
      <c r="AI1801" s="87" t="b">
        <v>0</v>
      </c>
      <c r="AJ1801" s="87"/>
      <c r="AK1801" s="87"/>
      <c r="AL1801" s="87"/>
      <c r="AM1801" s="87"/>
      <c r="AN1801" s="87"/>
      <c r="AO1801" s="87"/>
      <c r="AP1801" s="87"/>
      <c r="AQ1801" s="87" t="s">
        <v>16587</v>
      </c>
      <c r="AR1801" s="87">
        <v>45812</v>
      </c>
      <c r="AS1801" s="87"/>
      <c r="AT1801" s="87"/>
      <c r="AU1801" s="87"/>
      <c r="AV1801" s="92" t="str">
        <f>HYPERLINK("https://pbs.twimg.com/ext_tw_video_thumb/1686433924929507344/pu/img/IuFNDFWTM3vUhYZi.jpg")</f>
        <v>https://pbs.twimg.com/ext_tw_video_thumb/1686433924929507344/pu/img/IuFNDFWTM3vUhYZi.jpg</v>
      </c>
      <c r="AW1801" s="93" t="s">
        <v>20030</v>
      </c>
      <c r="AX1801" s="93" t="s">
        <v>20030</v>
      </c>
      <c r="AY1801" s="87"/>
      <c r="AZ1801" s="93" t="s">
        <v>22668</v>
      </c>
      <c r="BA1801" s="93" t="s">
        <v>22668</v>
      </c>
      <c r="BB1801" s="93" t="s">
        <v>22668</v>
      </c>
      <c r="BC1801" s="93" t="s">
        <v>20030</v>
      </c>
      <c r="BD1801" s="93" t="s">
        <v>23142</v>
      </c>
      <c r="BE1801" s="87"/>
      <c r="BF1801" s="87"/>
      <c r="BG1801" s="87"/>
      <c r="BH1801" s="87"/>
      <c r="BI1801" s="87"/>
    </row>
    <row r="1802" spans="1:61" x14ac:dyDescent="0.25">
      <c r="A1802" s="63" t="s">
        <v>834</v>
      </c>
      <c r="B1802" s="63" t="s">
        <v>834</v>
      </c>
      <c r="C1802" s="64"/>
      <c r="D1802" s="65"/>
      <c r="E1802" s="66"/>
      <c r="F1802" s="67"/>
      <c r="G1802" s="64"/>
      <c r="H1802" s="68"/>
      <c r="I1802" s="69"/>
      <c r="J1802" s="69"/>
      <c r="K1802" s="32"/>
      <c r="L1802" s="76">
        <v>1802</v>
      </c>
      <c r="M1802" s="76"/>
      <c r="N1802" s="71"/>
      <c r="O1802" s="87" t="s">
        <v>179</v>
      </c>
      <c r="P1802" s="90">
        <v>45126.731481481482</v>
      </c>
      <c r="Q1802" s="87" t="s">
        <v>3594</v>
      </c>
      <c r="R1802" s="87">
        <v>0</v>
      </c>
      <c r="S1802" s="87">
        <v>0</v>
      </c>
      <c r="T1802" s="87">
        <v>0</v>
      </c>
      <c r="U1802" s="87">
        <v>0</v>
      </c>
      <c r="V1802" s="87">
        <v>15</v>
      </c>
      <c r="W1802" s="93" t="s">
        <v>7037</v>
      </c>
      <c r="X1802" s="87" t="s">
        <v>8352</v>
      </c>
      <c r="Y1802" s="87" t="s">
        <v>8413</v>
      </c>
      <c r="Z1802" s="87"/>
      <c r="AA1802" s="87" t="s">
        <v>9775</v>
      </c>
      <c r="AB1802" s="87" t="s">
        <v>11447</v>
      </c>
      <c r="AC1802" s="93" t="s">
        <v>11457</v>
      </c>
      <c r="AD1802" s="87" t="s">
        <v>11519</v>
      </c>
      <c r="AE1802" s="92" t="str">
        <f>HYPERLINK("https://twitter.com/viktorrossa/status/1681718882149515275")</f>
        <v>https://twitter.com/viktorrossa/status/1681718882149515275</v>
      </c>
      <c r="AF1802" s="90">
        <v>45126.731481481482</v>
      </c>
      <c r="AG1802" s="99">
        <v>45126</v>
      </c>
      <c r="AH1802" s="93" t="s">
        <v>13179</v>
      </c>
      <c r="AI1802" s="87" t="b">
        <v>0</v>
      </c>
      <c r="AJ1802" s="87"/>
      <c r="AK1802" s="87"/>
      <c r="AL1802" s="87"/>
      <c r="AM1802" s="87"/>
      <c r="AN1802" s="87"/>
      <c r="AO1802" s="87"/>
      <c r="AP1802" s="87"/>
      <c r="AQ1802" s="87" t="s">
        <v>16588</v>
      </c>
      <c r="AR1802" s="87">
        <v>8800</v>
      </c>
      <c r="AS1802" s="87"/>
      <c r="AT1802" s="87"/>
      <c r="AU1802" s="87"/>
      <c r="AV1802" s="92" t="str">
        <f>HYPERLINK("https://pbs.twimg.com/ext_tw_video_thumb/1681718824440086529/pu/img/dR4PJLDjyR_iKP0F.jpg")</f>
        <v>https://pbs.twimg.com/ext_tw_video_thumb/1681718824440086529/pu/img/dR4PJLDjyR_iKP0F.jpg</v>
      </c>
      <c r="AW1802" s="93" t="s">
        <v>20031</v>
      </c>
      <c r="AX1802" s="93" t="s">
        <v>20031</v>
      </c>
      <c r="AY1802" s="87"/>
      <c r="AZ1802" s="93" t="s">
        <v>22668</v>
      </c>
      <c r="BA1802" s="93" t="s">
        <v>22668</v>
      </c>
      <c r="BB1802" s="93" t="s">
        <v>22668</v>
      </c>
      <c r="BC1802" s="93" t="s">
        <v>20031</v>
      </c>
      <c r="BD1802" s="93" t="s">
        <v>23142</v>
      </c>
      <c r="BE1802" s="87"/>
      <c r="BF1802" s="87"/>
      <c r="BG1802" s="87"/>
      <c r="BH1802" s="87"/>
      <c r="BI1802" s="87"/>
    </row>
    <row r="1803" spans="1:61" x14ac:dyDescent="0.25">
      <c r="A1803" s="63" t="s">
        <v>834</v>
      </c>
      <c r="B1803" s="63" t="s">
        <v>834</v>
      </c>
      <c r="C1803" s="64"/>
      <c r="D1803" s="65"/>
      <c r="E1803" s="66"/>
      <c r="F1803" s="67"/>
      <c r="G1803" s="64"/>
      <c r="H1803" s="68"/>
      <c r="I1803" s="69"/>
      <c r="J1803" s="69"/>
      <c r="K1803" s="32"/>
      <c r="L1803" s="76">
        <v>1803</v>
      </c>
      <c r="M1803" s="76"/>
      <c r="N1803" s="71"/>
      <c r="O1803" s="87" t="s">
        <v>179</v>
      </c>
      <c r="P1803" s="90">
        <v>45124.869328703702</v>
      </c>
      <c r="Q1803" s="87" t="s">
        <v>3595</v>
      </c>
      <c r="R1803" s="87">
        <v>0</v>
      </c>
      <c r="S1803" s="87">
        <v>0</v>
      </c>
      <c r="T1803" s="87">
        <v>0</v>
      </c>
      <c r="U1803" s="87">
        <v>0</v>
      </c>
      <c r="V1803" s="87">
        <v>11</v>
      </c>
      <c r="W1803" s="93" t="s">
        <v>7037</v>
      </c>
      <c r="X1803" s="87" t="s">
        <v>8352</v>
      </c>
      <c r="Y1803" s="87" t="s">
        <v>8413</v>
      </c>
      <c r="Z1803" s="87"/>
      <c r="AA1803" s="87" t="s">
        <v>9776</v>
      </c>
      <c r="AB1803" s="87" t="s">
        <v>11447</v>
      </c>
      <c r="AC1803" s="93" t="s">
        <v>11457</v>
      </c>
      <c r="AD1803" s="87" t="s">
        <v>11519</v>
      </c>
      <c r="AE1803" s="92" t="str">
        <f>HYPERLINK("https://twitter.com/viktorrossa/status/1681044059681443840")</f>
        <v>https://twitter.com/viktorrossa/status/1681044059681443840</v>
      </c>
      <c r="AF1803" s="90">
        <v>45124.869328703702</v>
      </c>
      <c r="AG1803" s="99">
        <v>45124</v>
      </c>
      <c r="AH1803" s="93" t="s">
        <v>13180</v>
      </c>
      <c r="AI1803" s="87" t="b">
        <v>0</v>
      </c>
      <c r="AJ1803" s="87"/>
      <c r="AK1803" s="87"/>
      <c r="AL1803" s="87"/>
      <c r="AM1803" s="87"/>
      <c r="AN1803" s="87"/>
      <c r="AO1803" s="87"/>
      <c r="AP1803" s="87"/>
      <c r="AQ1803" s="87" t="s">
        <v>16589</v>
      </c>
      <c r="AR1803" s="87">
        <v>21385</v>
      </c>
      <c r="AS1803" s="87"/>
      <c r="AT1803" s="87"/>
      <c r="AU1803" s="87"/>
      <c r="AV1803" s="92" t="str">
        <f>HYPERLINK("https://pbs.twimg.com/ext_tw_video_thumb/1681043931755163651/pu/img/2g-SFt4egifbszf0.jpg")</f>
        <v>https://pbs.twimg.com/ext_tw_video_thumb/1681043931755163651/pu/img/2g-SFt4egifbszf0.jpg</v>
      </c>
      <c r="AW1803" s="93" t="s">
        <v>20032</v>
      </c>
      <c r="AX1803" s="93" t="s">
        <v>20032</v>
      </c>
      <c r="AY1803" s="87"/>
      <c r="AZ1803" s="93" t="s">
        <v>22668</v>
      </c>
      <c r="BA1803" s="93" t="s">
        <v>22668</v>
      </c>
      <c r="BB1803" s="93" t="s">
        <v>22668</v>
      </c>
      <c r="BC1803" s="93" t="s">
        <v>20032</v>
      </c>
      <c r="BD1803" s="93" t="s">
        <v>23142</v>
      </c>
      <c r="BE1803" s="87"/>
      <c r="BF1803" s="87"/>
      <c r="BG1803" s="87"/>
      <c r="BH1803" s="87"/>
      <c r="BI1803" s="87"/>
    </row>
    <row r="1804" spans="1:61" x14ac:dyDescent="0.25">
      <c r="A1804" s="63" t="s">
        <v>834</v>
      </c>
      <c r="B1804" s="63" t="s">
        <v>834</v>
      </c>
      <c r="C1804" s="64"/>
      <c r="D1804" s="65"/>
      <c r="E1804" s="66"/>
      <c r="F1804" s="67"/>
      <c r="G1804" s="64"/>
      <c r="H1804" s="68"/>
      <c r="I1804" s="69"/>
      <c r="J1804" s="69"/>
      <c r="K1804" s="32"/>
      <c r="L1804" s="76">
        <v>1804</v>
      </c>
      <c r="M1804" s="76"/>
      <c r="N1804" s="71"/>
      <c r="O1804" s="87" t="s">
        <v>179</v>
      </c>
      <c r="P1804" s="90">
        <v>45182.885138888887</v>
      </c>
      <c r="Q1804" s="87" t="s">
        <v>3596</v>
      </c>
      <c r="R1804" s="87">
        <v>0</v>
      </c>
      <c r="S1804" s="87">
        <v>0</v>
      </c>
      <c r="T1804" s="87">
        <v>0</v>
      </c>
      <c r="U1804" s="87">
        <v>0</v>
      </c>
      <c r="V1804" s="87">
        <v>30</v>
      </c>
      <c r="W1804" s="93" t="s">
        <v>7037</v>
      </c>
      <c r="X1804" s="87" t="s">
        <v>8352</v>
      </c>
      <c r="Y1804" s="87" t="s">
        <v>8413</v>
      </c>
      <c r="Z1804" s="87"/>
      <c r="AA1804" s="87" t="s">
        <v>9777</v>
      </c>
      <c r="AB1804" s="87" t="s">
        <v>11447</v>
      </c>
      <c r="AC1804" s="93" t="s">
        <v>11457</v>
      </c>
      <c r="AD1804" s="87" t="s">
        <v>11519</v>
      </c>
      <c r="AE1804" s="92" t="str">
        <f>HYPERLINK("https://twitter.com/viktorrossa/status/1702068285083144420")</f>
        <v>https://twitter.com/viktorrossa/status/1702068285083144420</v>
      </c>
      <c r="AF1804" s="90">
        <v>45182.885138888887</v>
      </c>
      <c r="AG1804" s="99">
        <v>45182</v>
      </c>
      <c r="AH1804" s="93" t="s">
        <v>13181</v>
      </c>
      <c r="AI1804" s="87" t="b">
        <v>0</v>
      </c>
      <c r="AJ1804" s="87"/>
      <c r="AK1804" s="87"/>
      <c r="AL1804" s="87"/>
      <c r="AM1804" s="87"/>
      <c r="AN1804" s="87"/>
      <c r="AO1804" s="87"/>
      <c r="AP1804" s="87"/>
      <c r="AQ1804" s="87" t="s">
        <v>16590</v>
      </c>
      <c r="AR1804" s="87">
        <v>21385</v>
      </c>
      <c r="AS1804" s="87"/>
      <c r="AT1804" s="87"/>
      <c r="AU1804" s="87"/>
      <c r="AV1804" s="92" t="str">
        <f>HYPERLINK("https://pbs.twimg.com/ext_tw_video_thumb/1702067783960330240/pu/img/E_-MCeN9e6FBOfvn.jpg")</f>
        <v>https://pbs.twimg.com/ext_tw_video_thumb/1702067783960330240/pu/img/E_-MCeN9e6FBOfvn.jpg</v>
      </c>
      <c r="AW1804" s="93" t="s">
        <v>20033</v>
      </c>
      <c r="AX1804" s="93" t="s">
        <v>20033</v>
      </c>
      <c r="AY1804" s="87"/>
      <c r="AZ1804" s="93" t="s">
        <v>22668</v>
      </c>
      <c r="BA1804" s="93" t="s">
        <v>22668</v>
      </c>
      <c r="BB1804" s="93" t="s">
        <v>22668</v>
      </c>
      <c r="BC1804" s="93" t="s">
        <v>20033</v>
      </c>
      <c r="BD1804" s="93" t="s">
        <v>23142</v>
      </c>
      <c r="BE1804" s="87"/>
      <c r="BF1804" s="87"/>
      <c r="BG1804" s="87"/>
      <c r="BH1804" s="87"/>
      <c r="BI1804" s="87"/>
    </row>
    <row r="1805" spans="1:61" x14ac:dyDescent="0.25">
      <c r="A1805" s="63" t="s">
        <v>834</v>
      </c>
      <c r="B1805" s="63" t="s">
        <v>834</v>
      </c>
      <c r="C1805" s="64"/>
      <c r="D1805" s="65"/>
      <c r="E1805" s="66"/>
      <c r="F1805" s="67"/>
      <c r="G1805" s="64"/>
      <c r="H1805" s="68"/>
      <c r="I1805" s="69"/>
      <c r="J1805" s="69"/>
      <c r="K1805" s="32"/>
      <c r="L1805" s="76">
        <v>1805</v>
      </c>
      <c r="M1805" s="76"/>
      <c r="N1805" s="71"/>
      <c r="O1805" s="87" t="s">
        <v>179</v>
      </c>
      <c r="P1805" s="90">
        <v>45170.88585648148</v>
      </c>
      <c r="Q1805" s="87" t="s">
        <v>3597</v>
      </c>
      <c r="R1805" s="87">
        <v>0</v>
      </c>
      <c r="S1805" s="87">
        <v>0</v>
      </c>
      <c r="T1805" s="87">
        <v>0</v>
      </c>
      <c r="U1805" s="87">
        <v>0</v>
      </c>
      <c r="V1805" s="87">
        <v>27</v>
      </c>
      <c r="W1805" s="93" t="s">
        <v>7037</v>
      </c>
      <c r="X1805" s="87" t="s">
        <v>8352</v>
      </c>
      <c r="Y1805" s="87" t="s">
        <v>8413</v>
      </c>
      <c r="Z1805" s="87"/>
      <c r="AA1805" s="87" t="s">
        <v>9778</v>
      </c>
      <c r="AB1805" s="87" t="s">
        <v>11447</v>
      </c>
      <c r="AC1805" s="93" t="s">
        <v>11457</v>
      </c>
      <c r="AD1805" s="87" t="s">
        <v>11519</v>
      </c>
      <c r="AE1805" s="92" t="str">
        <f>HYPERLINK("https://twitter.com/viktorrossa/status/1697719889736159522")</f>
        <v>https://twitter.com/viktorrossa/status/1697719889736159522</v>
      </c>
      <c r="AF1805" s="90">
        <v>45170.88585648148</v>
      </c>
      <c r="AG1805" s="99">
        <v>45170</v>
      </c>
      <c r="AH1805" s="93" t="s">
        <v>13182</v>
      </c>
      <c r="AI1805" s="87" t="b">
        <v>0</v>
      </c>
      <c r="AJ1805" s="87"/>
      <c r="AK1805" s="87"/>
      <c r="AL1805" s="87"/>
      <c r="AM1805" s="87"/>
      <c r="AN1805" s="87"/>
      <c r="AO1805" s="87"/>
      <c r="AP1805" s="87"/>
      <c r="AQ1805" s="87" t="s">
        <v>16591</v>
      </c>
      <c r="AR1805" s="87">
        <v>22546</v>
      </c>
      <c r="AS1805" s="87"/>
      <c r="AT1805" s="87"/>
      <c r="AU1805" s="87"/>
      <c r="AV1805" s="92" t="str">
        <f>HYPERLINK("https://pbs.twimg.com/ext_tw_video_thumb/1697719832056049664/pu/img/pp0DFfl3gsksbfHA.jpg")</f>
        <v>https://pbs.twimg.com/ext_tw_video_thumb/1697719832056049664/pu/img/pp0DFfl3gsksbfHA.jpg</v>
      </c>
      <c r="AW1805" s="93" t="s">
        <v>20034</v>
      </c>
      <c r="AX1805" s="93" t="s">
        <v>20034</v>
      </c>
      <c r="AY1805" s="87"/>
      <c r="AZ1805" s="93" t="s">
        <v>22668</v>
      </c>
      <c r="BA1805" s="93" t="s">
        <v>22668</v>
      </c>
      <c r="BB1805" s="93" t="s">
        <v>22668</v>
      </c>
      <c r="BC1805" s="93" t="s">
        <v>20034</v>
      </c>
      <c r="BD1805" s="93" t="s">
        <v>23142</v>
      </c>
      <c r="BE1805" s="87"/>
      <c r="BF1805" s="87"/>
      <c r="BG1805" s="87"/>
      <c r="BH1805" s="87"/>
      <c r="BI1805" s="87"/>
    </row>
    <row r="1806" spans="1:61" x14ac:dyDescent="0.25">
      <c r="A1806" s="63" t="s">
        <v>834</v>
      </c>
      <c r="B1806" s="63" t="s">
        <v>834</v>
      </c>
      <c r="C1806" s="64"/>
      <c r="D1806" s="65"/>
      <c r="E1806" s="66"/>
      <c r="F1806" s="67"/>
      <c r="G1806" s="64"/>
      <c r="H1806" s="68"/>
      <c r="I1806" s="69"/>
      <c r="J1806" s="69"/>
      <c r="K1806" s="32"/>
      <c r="L1806" s="76">
        <v>1806</v>
      </c>
      <c r="M1806" s="76"/>
      <c r="N1806" s="71"/>
      <c r="O1806" s="87" t="s">
        <v>179</v>
      </c>
      <c r="P1806" s="90">
        <v>45161.890682870369</v>
      </c>
      <c r="Q1806" s="87" t="s">
        <v>3598</v>
      </c>
      <c r="R1806" s="87">
        <v>0</v>
      </c>
      <c r="S1806" s="87">
        <v>0</v>
      </c>
      <c r="T1806" s="87">
        <v>0</v>
      </c>
      <c r="U1806" s="87">
        <v>0</v>
      </c>
      <c r="V1806" s="87">
        <v>14</v>
      </c>
      <c r="W1806" s="93" t="s">
        <v>7037</v>
      </c>
      <c r="X1806" s="87" t="s">
        <v>8352</v>
      </c>
      <c r="Y1806" s="87" t="s">
        <v>8413</v>
      </c>
      <c r="Z1806" s="87"/>
      <c r="AA1806" s="87" t="s">
        <v>9779</v>
      </c>
      <c r="AB1806" s="87" t="s">
        <v>11447</v>
      </c>
      <c r="AC1806" s="93" t="s">
        <v>11457</v>
      </c>
      <c r="AD1806" s="87" t="s">
        <v>11519</v>
      </c>
      <c r="AE1806" s="92" t="str">
        <f>HYPERLINK("https://twitter.com/viktorrossa/status/1694460146322153659")</f>
        <v>https://twitter.com/viktorrossa/status/1694460146322153659</v>
      </c>
      <c r="AF1806" s="90">
        <v>45161.890682870369</v>
      </c>
      <c r="AG1806" s="99">
        <v>45161</v>
      </c>
      <c r="AH1806" s="93" t="s">
        <v>13183</v>
      </c>
      <c r="AI1806" s="87" t="b">
        <v>0</v>
      </c>
      <c r="AJ1806" s="87"/>
      <c r="AK1806" s="87"/>
      <c r="AL1806" s="87"/>
      <c r="AM1806" s="87"/>
      <c r="AN1806" s="87"/>
      <c r="AO1806" s="87"/>
      <c r="AP1806" s="87"/>
      <c r="AQ1806" s="87" t="s">
        <v>16592</v>
      </c>
      <c r="AR1806" s="87">
        <v>16788</v>
      </c>
      <c r="AS1806" s="87"/>
      <c r="AT1806" s="87"/>
      <c r="AU1806" s="87"/>
      <c r="AV1806" s="92" t="str">
        <f>HYPERLINK("https://pbs.twimg.com/ext_tw_video_thumb/1694460076285714432/pu/img/PRt80pdVr7aE5GVX.jpg")</f>
        <v>https://pbs.twimg.com/ext_tw_video_thumb/1694460076285714432/pu/img/PRt80pdVr7aE5GVX.jpg</v>
      </c>
      <c r="AW1806" s="93" t="s">
        <v>20035</v>
      </c>
      <c r="AX1806" s="93" t="s">
        <v>20035</v>
      </c>
      <c r="AY1806" s="87"/>
      <c r="AZ1806" s="93" t="s">
        <v>22668</v>
      </c>
      <c r="BA1806" s="93" t="s">
        <v>22668</v>
      </c>
      <c r="BB1806" s="93" t="s">
        <v>22668</v>
      </c>
      <c r="BC1806" s="93" t="s">
        <v>20035</v>
      </c>
      <c r="BD1806" s="93" t="s">
        <v>23142</v>
      </c>
      <c r="BE1806" s="87"/>
      <c r="BF1806" s="87"/>
      <c r="BG1806" s="87"/>
      <c r="BH1806" s="87"/>
      <c r="BI1806" s="87"/>
    </row>
    <row r="1807" spans="1:61" x14ac:dyDescent="0.25">
      <c r="A1807" s="63" t="s">
        <v>834</v>
      </c>
      <c r="B1807" s="63" t="s">
        <v>834</v>
      </c>
      <c r="C1807" s="64"/>
      <c r="D1807" s="65"/>
      <c r="E1807" s="66"/>
      <c r="F1807" s="67"/>
      <c r="G1807" s="64"/>
      <c r="H1807" s="68"/>
      <c r="I1807" s="69"/>
      <c r="J1807" s="69"/>
      <c r="K1807" s="32"/>
      <c r="L1807" s="76">
        <v>1807</v>
      </c>
      <c r="M1807" s="76"/>
      <c r="N1807" s="71"/>
      <c r="O1807" s="87" t="s">
        <v>179</v>
      </c>
      <c r="P1807" s="90">
        <v>45159.882291666669</v>
      </c>
      <c r="Q1807" s="87" t="s">
        <v>3599</v>
      </c>
      <c r="R1807" s="87">
        <v>0</v>
      </c>
      <c r="S1807" s="87">
        <v>0</v>
      </c>
      <c r="T1807" s="87">
        <v>0</v>
      </c>
      <c r="U1807" s="87">
        <v>0</v>
      </c>
      <c r="V1807" s="87">
        <v>8</v>
      </c>
      <c r="W1807" s="93" t="s">
        <v>7037</v>
      </c>
      <c r="X1807" s="87" t="s">
        <v>8352</v>
      </c>
      <c r="Y1807" s="87" t="s">
        <v>8413</v>
      </c>
      <c r="Z1807" s="87"/>
      <c r="AA1807" s="87" t="s">
        <v>9780</v>
      </c>
      <c r="AB1807" s="87" t="s">
        <v>11447</v>
      </c>
      <c r="AC1807" s="93" t="s">
        <v>11457</v>
      </c>
      <c r="AD1807" s="87" t="s">
        <v>11519</v>
      </c>
      <c r="AE1807" s="92" t="str">
        <f>HYPERLINK("https://twitter.com/viktorrossa/status/1693732333361271208")</f>
        <v>https://twitter.com/viktorrossa/status/1693732333361271208</v>
      </c>
      <c r="AF1807" s="90">
        <v>45159.882291666669</v>
      </c>
      <c r="AG1807" s="99">
        <v>45159</v>
      </c>
      <c r="AH1807" s="93" t="s">
        <v>13184</v>
      </c>
      <c r="AI1807" s="87" t="b">
        <v>0</v>
      </c>
      <c r="AJ1807" s="87"/>
      <c r="AK1807" s="87"/>
      <c r="AL1807" s="87"/>
      <c r="AM1807" s="87"/>
      <c r="AN1807" s="87"/>
      <c r="AO1807" s="87"/>
      <c r="AP1807" s="87"/>
      <c r="AQ1807" s="87" t="s">
        <v>16593</v>
      </c>
      <c r="AR1807" s="87">
        <v>19411</v>
      </c>
      <c r="AS1807" s="87"/>
      <c r="AT1807" s="87"/>
      <c r="AU1807" s="87"/>
      <c r="AV1807" s="92" t="str">
        <f>HYPERLINK("https://pbs.twimg.com/ext_tw_video_thumb/1693732194194272256/pu/img/KBTaqaFUzTyA37X-.jpg")</f>
        <v>https://pbs.twimg.com/ext_tw_video_thumb/1693732194194272256/pu/img/KBTaqaFUzTyA37X-.jpg</v>
      </c>
      <c r="AW1807" s="93" t="s">
        <v>20036</v>
      </c>
      <c r="AX1807" s="93" t="s">
        <v>20036</v>
      </c>
      <c r="AY1807" s="87"/>
      <c r="AZ1807" s="93" t="s">
        <v>22668</v>
      </c>
      <c r="BA1807" s="93" t="s">
        <v>22668</v>
      </c>
      <c r="BB1807" s="93" t="s">
        <v>22668</v>
      </c>
      <c r="BC1807" s="93" t="s">
        <v>20036</v>
      </c>
      <c r="BD1807" s="93" t="s">
        <v>23142</v>
      </c>
      <c r="BE1807" s="87"/>
      <c r="BF1807" s="87"/>
      <c r="BG1807" s="87"/>
      <c r="BH1807" s="87"/>
      <c r="BI1807" s="87"/>
    </row>
    <row r="1808" spans="1:61" x14ac:dyDescent="0.25">
      <c r="A1808" s="63" t="s">
        <v>834</v>
      </c>
      <c r="B1808" s="63" t="s">
        <v>834</v>
      </c>
      <c r="C1808" s="64"/>
      <c r="D1808" s="65"/>
      <c r="E1808" s="66"/>
      <c r="F1808" s="67"/>
      <c r="G1808" s="64"/>
      <c r="H1808" s="68"/>
      <c r="I1808" s="69"/>
      <c r="J1808" s="69"/>
      <c r="K1808" s="32"/>
      <c r="L1808" s="76">
        <v>1808</v>
      </c>
      <c r="M1808" s="76"/>
      <c r="N1808" s="71"/>
      <c r="O1808" s="87" t="s">
        <v>179</v>
      </c>
      <c r="P1808" s="90">
        <v>45146.897511574076</v>
      </c>
      <c r="Q1808" s="87" t="s">
        <v>3600</v>
      </c>
      <c r="R1808" s="87">
        <v>0</v>
      </c>
      <c r="S1808" s="87">
        <v>0</v>
      </c>
      <c r="T1808" s="87">
        <v>0</v>
      </c>
      <c r="U1808" s="87">
        <v>0</v>
      </c>
      <c r="V1808" s="87">
        <v>10</v>
      </c>
      <c r="W1808" s="93" t="s">
        <v>7037</v>
      </c>
      <c r="X1808" s="87" t="s">
        <v>8352</v>
      </c>
      <c r="Y1808" s="87" t="s">
        <v>8413</v>
      </c>
      <c r="Z1808" s="87"/>
      <c r="AA1808" s="87" t="s">
        <v>9781</v>
      </c>
      <c r="AB1808" s="87" t="s">
        <v>11447</v>
      </c>
      <c r="AC1808" s="93" t="s">
        <v>11457</v>
      </c>
      <c r="AD1808" s="87" t="s">
        <v>11519</v>
      </c>
      <c r="AE1808" s="92" t="str">
        <f>HYPERLINK("https://twitter.com/viktorrossa/status/1689026805473083392")</f>
        <v>https://twitter.com/viktorrossa/status/1689026805473083392</v>
      </c>
      <c r="AF1808" s="90">
        <v>45146.897511574076</v>
      </c>
      <c r="AG1808" s="99">
        <v>45146</v>
      </c>
      <c r="AH1808" s="93" t="s">
        <v>13185</v>
      </c>
      <c r="AI1808" s="87" t="b">
        <v>0</v>
      </c>
      <c r="AJ1808" s="87"/>
      <c r="AK1808" s="87"/>
      <c r="AL1808" s="87"/>
      <c r="AM1808" s="87"/>
      <c r="AN1808" s="87"/>
      <c r="AO1808" s="87"/>
      <c r="AP1808" s="87"/>
      <c r="AQ1808" s="87" t="s">
        <v>16594</v>
      </c>
      <c r="AR1808" s="87">
        <v>12515</v>
      </c>
      <c r="AS1808" s="87"/>
      <c r="AT1808" s="87"/>
      <c r="AU1808" s="87"/>
      <c r="AV1808" s="92" t="str">
        <f>HYPERLINK("https://pbs.twimg.com/ext_tw_video_thumb/1689026672933195777/pu/img/aar07-m8TqK1XzsU.jpg")</f>
        <v>https://pbs.twimg.com/ext_tw_video_thumb/1689026672933195777/pu/img/aar07-m8TqK1XzsU.jpg</v>
      </c>
      <c r="AW1808" s="93" t="s">
        <v>20037</v>
      </c>
      <c r="AX1808" s="93" t="s">
        <v>20037</v>
      </c>
      <c r="AY1808" s="87"/>
      <c r="AZ1808" s="93" t="s">
        <v>22668</v>
      </c>
      <c r="BA1808" s="93" t="s">
        <v>22668</v>
      </c>
      <c r="BB1808" s="93" t="s">
        <v>22668</v>
      </c>
      <c r="BC1808" s="93" t="s">
        <v>20037</v>
      </c>
      <c r="BD1808" s="93" t="s">
        <v>23142</v>
      </c>
      <c r="BE1808" s="87"/>
      <c r="BF1808" s="87"/>
      <c r="BG1808" s="87"/>
      <c r="BH1808" s="87"/>
      <c r="BI1808" s="87"/>
    </row>
    <row r="1809" spans="1:61" x14ac:dyDescent="0.25">
      <c r="A1809" s="63" t="s">
        <v>834</v>
      </c>
      <c r="B1809" s="63" t="s">
        <v>834</v>
      </c>
      <c r="C1809" s="64"/>
      <c r="D1809" s="65"/>
      <c r="E1809" s="66"/>
      <c r="F1809" s="67"/>
      <c r="G1809" s="64"/>
      <c r="H1809" s="68"/>
      <c r="I1809" s="69"/>
      <c r="J1809" s="69"/>
      <c r="K1809" s="32"/>
      <c r="L1809" s="76">
        <v>1809</v>
      </c>
      <c r="M1809" s="76"/>
      <c r="N1809" s="71"/>
      <c r="O1809" s="87" t="s">
        <v>179</v>
      </c>
      <c r="P1809" s="90">
        <v>45134.836099537039</v>
      </c>
      <c r="Q1809" s="87" t="s">
        <v>3601</v>
      </c>
      <c r="R1809" s="87">
        <v>0</v>
      </c>
      <c r="S1809" s="87">
        <v>0</v>
      </c>
      <c r="T1809" s="87">
        <v>0</v>
      </c>
      <c r="U1809" s="87">
        <v>0</v>
      </c>
      <c r="V1809" s="87">
        <v>19</v>
      </c>
      <c r="W1809" s="93" t="s">
        <v>7037</v>
      </c>
      <c r="X1809" s="87" t="s">
        <v>8352</v>
      </c>
      <c r="Y1809" s="87" t="s">
        <v>8413</v>
      </c>
      <c r="Z1809" s="87"/>
      <c r="AA1809" s="87" t="s">
        <v>9782</v>
      </c>
      <c r="AB1809" s="87" t="s">
        <v>11447</v>
      </c>
      <c r="AC1809" s="93" t="s">
        <v>11457</v>
      </c>
      <c r="AD1809" s="87" t="s">
        <v>11519</v>
      </c>
      <c r="AE1809" s="92" t="str">
        <f>HYPERLINK("https://twitter.com/viktorrossa/status/1684655896687792130")</f>
        <v>https://twitter.com/viktorrossa/status/1684655896687792130</v>
      </c>
      <c r="AF1809" s="90">
        <v>45134.836099537039</v>
      </c>
      <c r="AG1809" s="99">
        <v>45134</v>
      </c>
      <c r="AH1809" s="93" t="s">
        <v>13186</v>
      </c>
      <c r="AI1809" s="87" t="b">
        <v>0</v>
      </c>
      <c r="AJ1809" s="87"/>
      <c r="AK1809" s="87"/>
      <c r="AL1809" s="87"/>
      <c r="AM1809" s="87"/>
      <c r="AN1809" s="87"/>
      <c r="AO1809" s="87"/>
      <c r="AP1809" s="87"/>
      <c r="AQ1809" s="87" t="s">
        <v>16595</v>
      </c>
      <c r="AR1809" s="87">
        <v>16788</v>
      </c>
      <c r="AS1809" s="87"/>
      <c r="AT1809" s="87"/>
      <c r="AU1809" s="87"/>
      <c r="AV1809" s="92" t="str">
        <f>HYPERLINK("https://pbs.twimg.com/ext_tw_video_thumb/1684655809878261761/pu/img/HWyzOrdnPs1hTvoR.jpg")</f>
        <v>https://pbs.twimg.com/ext_tw_video_thumb/1684655809878261761/pu/img/HWyzOrdnPs1hTvoR.jpg</v>
      </c>
      <c r="AW1809" s="93" t="s">
        <v>20038</v>
      </c>
      <c r="AX1809" s="93" t="s">
        <v>20038</v>
      </c>
      <c r="AY1809" s="87"/>
      <c r="AZ1809" s="93" t="s">
        <v>22668</v>
      </c>
      <c r="BA1809" s="93" t="s">
        <v>22668</v>
      </c>
      <c r="BB1809" s="93" t="s">
        <v>22668</v>
      </c>
      <c r="BC1809" s="93" t="s">
        <v>20038</v>
      </c>
      <c r="BD1809" s="93" t="s">
        <v>23142</v>
      </c>
      <c r="BE1809" s="87"/>
      <c r="BF1809" s="87"/>
      <c r="BG1809" s="87"/>
      <c r="BH1809" s="87"/>
      <c r="BI1809" s="87"/>
    </row>
    <row r="1810" spans="1:61" x14ac:dyDescent="0.25">
      <c r="A1810" s="63" t="s">
        <v>834</v>
      </c>
      <c r="B1810" s="63" t="s">
        <v>834</v>
      </c>
      <c r="C1810" s="64"/>
      <c r="D1810" s="65"/>
      <c r="E1810" s="66"/>
      <c r="F1810" s="67"/>
      <c r="G1810" s="64"/>
      <c r="H1810" s="68"/>
      <c r="I1810" s="69"/>
      <c r="J1810" s="69"/>
      <c r="K1810" s="32"/>
      <c r="L1810" s="76">
        <v>1810</v>
      </c>
      <c r="M1810" s="76"/>
      <c r="N1810" s="71"/>
      <c r="O1810" s="87" t="s">
        <v>179</v>
      </c>
      <c r="P1810" s="90">
        <v>45118.80195601852</v>
      </c>
      <c r="Q1810" s="87" t="s">
        <v>3602</v>
      </c>
      <c r="R1810" s="87">
        <v>0</v>
      </c>
      <c r="S1810" s="87">
        <v>0</v>
      </c>
      <c r="T1810" s="87">
        <v>0</v>
      </c>
      <c r="U1810" s="87">
        <v>0</v>
      </c>
      <c r="V1810" s="87">
        <v>32</v>
      </c>
      <c r="W1810" s="93" t="s">
        <v>7037</v>
      </c>
      <c r="X1810" s="87" t="s">
        <v>8352</v>
      </c>
      <c r="Y1810" s="87" t="s">
        <v>8413</v>
      </c>
      <c r="Z1810" s="87"/>
      <c r="AA1810" s="87" t="s">
        <v>9783</v>
      </c>
      <c r="AB1810" s="87" t="s">
        <v>11447</v>
      </c>
      <c r="AC1810" s="93" t="s">
        <v>11457</v>
      </c>
      <c r="AD1810" s="87" t="s">
        <v>11519</v>
      </c>
      <c r="AE1810" s="92" t="str">
        <f>HYPERLINK("https://twitter.com/viktorrossa/status/1678845318111154177")</f>
        <v>https://twitter.com/viktorrossa/status/1678845318111154177</v>
      </c>
      <c r="AF1810" s="90">
        <v>45118.80195601852</v>
      </c>
      <c r="AG1810" s="99">
        <v>45118</v>
      </c>
      <c r="AH1810" s="93" t="s">
        <v>11704</v>
      </c>
      <c r="AI1810" s="87" t="b">
        <v>0</v>
      </c>
      <c r="AJ1810" s="87"/>
      <c r="AK1810" s="87"/>
      <c r="AL1810" s="87"/>
      <c r="AM1810" s="87"/>
      <c r="AN1810" s="87"/>
      <c r="AO1810" s="87"/>
      <c r="AP1810" s="87"/>
      <c r="AQ1810" s="87" t="s">
        <v>16596</v>
      </c>
      <c r="AR1810" s="87">
        <v>12376</v>
      </c>
      <c r="AS1810" s="87"/>
      <c r="AT1810" s="87"/>
      <c r="AU1810" s="87"/>
      <c r="AV1810" s="92" t="str">
        <f>HYPERLINK("https://pbs.twimg.com/ext_tw_video_thumb/1678845224708128768/pu/img/zETE3pyPfR2MiTiN.jpg")</f>
        <v>https://pbs.twimg.com/ext_tw_video_thumb/1678845224708128768/pu/img/zETE3pyPfR2MiTiN.jpg</v>
      </c>
      <c r="AW1810" s="93" t="s">
        <v>20039</v>
      </c>
      <c r="AX1810" s="93" t="s">
        <v>20039</v>
      </c>
      <c r="AY1810" s="87"/>
      <c r="AZ1810" s="93" t="s">
        <v>22668</v>
      </c>
      <c r="BA1810" s="93" t="s">
        <v>22668</v>
      </c>
      <c r="BB1810" s="93" t="s">
        <v>22668</v>
      </c>
      <c r="BC1810" s="93" t="s">
        <v>20039</v>
      </c>
      <c r="BD1810" s="93" t="s">
        <v>23142</v>
      </c>
      <c r="BE1810" s="87"/>
      <c r="BF1810" s="87"/>
      <c r="BG1810" s="87"/>
      <c r="BH1810" s="87"/>
      <c r="BI1810" s="87"/>
    </row>
    <row r="1811" spans="1:61" x14ac:dyDescent="0.25">
      <c r="A1811" s="63" t="s">
        <v>834</v>
      </c>
      <c r="B1811" s="63" t="s">
        <v>834</v>
      </c>
      <c r="C1811" s="64"/>
      <c r="D1811" s="65"/>
      <c r="E1811" s="66"/>
      <c r="F1811" s="67"/>
      <c r="G1811" s="64"/>
      <c r="H1811" s="68"/>
      <c r="I1811" s="69"/>
      <c r="J1811" s="69"/>
      <c r="K1811" s="32"/>
      <c r="L1811" s="76">
        <v>1811</v>
      </c>
      <c r="M1811" s="76"/>
      <c r="N1811" s="71"/>
      <c r="O1811" s="87" t="s">
        <v>179</v>
      </c>
      <c r="P1811" s="90">
        <v>45110.891747685186</v>
      </c>
      <c r="Q1811" s="87" t="s">
        <v>3603</v>
      </c>
      <c r="R1811" s="87">
        <v>0</v>
      </c>
      <c r="S1811" s="87">
        <v>0</v>
      </c>
      <c r="T1811" s="87">
        <v>0</v>
      </c>
      <c r="U1811" s="87">
        <v>0</v>
      </c>
      <c r="V1811" s="87">
        <v>20</v>
      </c>
      <c r="W1811" s="93" t="s">
        <v>7037</v>
      </c>
      <c r="X1811" s="87" t="s">
        <v>8352</v>
      </c>
      <c r="Y1811" s="87" t="s">
        <v>8413</v>
      </c>
      <c r="Z1811" s="87"/>
      <c r="AA1811" s="87" t="s">
        <v>9784</v>
      </c>
      <c r="AB1811" s="87" t="s">
        <v>11447</v>
      </c>
      <c r="AC1811" s="93" t="s">
        <v>11457</v>
      </c>
      <c r="AD1811" s="87" t="s">
        <v>11519</v>
      </c>
      <c r="AE1811" s="92" t="str">
        <f>HYPERLINK("https://twitter.com/viktorrossa/status/1675978754407923714")</f>
        <v>https://twitter.com/viktorrossa/status/1675978754407923714</v>
      </c>
      <c r="AF1811" s="90">
        <v>45110.891747685186</v>
      </c>
      <c r="AG1811" s="99">
        <v>45110</v>
      </c>
      <c r="AH1811" s="93" t="s">
        <v>13187</v>
      </c>
      <c r="AI1811" s="87" t="b">
        <v>0</v>
      </c>
      <c r="AJ1811" s="87"/>
      <c r="AK1811" s="87"/>
      <c r="AL1811" s="87"/>
      <c r="AM1811" s="87"/>
      <c r="AN1811" s="87"/>
      <c r="AO1811" s="87"/>
      <c r="AP1811" s="87"/>
      <c r="AQ1811" s="87" t="s">
        <v>16597</v>
      </c>
      <c r="AR1811" s="87">
        <v>32020</v>
      </c>
      <c r="AS1811" s="87"/>
      <c r="AT1811" s="87"/>
      <c r="AU1811" s="87"/>
      <c r="AV1811" s="92" t="str">
        <f>HYPERLINK("https://pbs.twimg.com/ext_tw_video_thumb/1675978361863020551/pu/img/1w5nNuv_8aHTl18a.jpg")</f>
        <v>https://pbs.twimg.com/ext_tw_video_thumb/1675978361863020551/pu/img/1w5nNuv_8aHTl18a.jpg</v>
      </c>
      <c r="AW1811" s="93" t="s">
        <v>20040</v>
      </c>
      <c r="AX1811" s="93" t="s">
        <v>20040</v>
      </c>
      <c r="AY1811" s="87"/>
      <c r="AZ1811" s="93" t="s">
        <v>22668</v>
      </c>
      <c r="BA1811" s="93" t="s">
        <v>22668</v>
      </c>
      <c r="BB1811" s="93" t="s">
        <v>22668</v>
      </c>
      <c r="BC1811" s="93" t="s">
        <v>20040</v>
      </c>
      <c r="BD1811" s="93" t="s">
        <v>23142</v>
      </c>
      <c r="BE1811" s="87"/>
      <c r="BF1811" s="87"/>
      <c r="BG1811" s="87"/>
      <c r="BH1811" s="87"/>
      <c r="BI1811" s="87"/>
    </row>
    <row r="1812" spans="1:61" x14ac:dyDescent="0.25">
      <c r="A1812" s="63" t="s">
        <v>834</v>
      </c>
      <c r="B1812" s="63" t="s">
        <v>834</v>
      </c>
      <c r="C1812" s="64"/>
      <c r="D1812" s="65"/>
      <c r="E1812" s="66"/>
      <c r="F1812" s="67"/>
      <c r="G1812" s="64"/>
      <c r="H1812" s="68"/>
      <c r="I1812" s="69"/>
      <c r="J1812" s="69"/>
      <c r="K1812" s="32"/>
      <c r="L1812" s="76">
        <v>1812</v>
      </c>
      <c r="M1812" s="76"/>
      <c r="N1812" s="71"/>
      <c r="O1812" s="87" t="s">
        <v>179</v>
      </c>
      <c r="P1812" s="90">
        <v>45195.739085648151</v>
      </c>
      <c r="Q1812" s="87" t="s">
        <v>3604</v>
      </c>
      <c r="R1812" s="87">
        <v>0</v>
      </c>
      <c r="S1812" s="87">
        <v>0</v>
      </c>
      <c r="T1812" s="87">
        <v>0</v>
      </c>
      <c r="U1812" s="87">
        <v>0</v>
      </c>
      <c r="V1812" s="87">
        <v>7</v>
      </c>
      <c r="W1812" s="93" t="s">
        <v>7037</v>
      </c>
      <c r="X1812" s="87" t="s">
        <v>8352</v>
      </c>
      <c r="Y1812" s="87" t="s">
        <v>8413</v>
      </c>
      <c r="Z1812" s="87"/>
      <c r="AA1812" s="87" t="s">
        <v>9785</v>
      </c>
      <c r="AB1812" s="87" t="s">
        <v>11447</v>
      </c>
      <c r="AC1812" s="93" t="s">
        <v>11457</v>
      </c>
      <c r="AD1812" s="87" t="s">
        <v>11519</v>
      </c>
      <c r="AE1812" s="92" t="str">
        <f>HYPERLINK("https://twitter.com/viktorrossa/status/1706726399590252610")</f>
        <v>https://twitter.com/viktorrossa/status/1706726399590252610</v>
      </c>
      <c r="AF1812" s="90">
        <v>45195.739085648151</v>
      </c>
      <c r="AG1812" s="99">
        <v>45195</v>
      </c>
      <c r="AH1812" s="93" t="s">
        <v>13188</v>
      </c>
      <c r="AI1812" s="87" t="b">
        <v>0</v>
      </c>
      <c r="AJ1812" s="87"/>
      <c r="AK1812" s="87"/>
      <c r="AL1812" s="87"/>
      <c r="AM1812" s="87"/>
      <c r="AN1812" s="87"/>
      <c r="AO1812" s="87"/>
      <c r="AP1812" s="87"/>
      <c r="AQ1812" s="87" t="s">
        <v>16598</v>
      </c>
      <c r="AR1812" s="87">
        <v>23336</v>
      </c>
      <c r="AS1812" s="87"/>
      <c r="AT1812" s="87"/>
      <c r="AU1812" s="87"/>
      <c r="AV1812" s="92" t="str">
        <f>HYPERLINK("https://pbs.twimg.com/ext_tw_video_thumb/1706726272565477377/pu/img/3BWALnvFGVTFG5Zf.jpg")</f>
        <v>https://pbs.twimg.com/ext_tw_video_thumb/1706726272565477377/pu/img/3BWALnvFGVTFG5Zf.jpg</v>
      </c>
      <c r="AW1812" s="93" t="s">
        <v>20041</v>
      </c>
      <c r="AX1812" s="93" t="s">
        <v>20041</v>
      </c>
      <c r="AY1812" s="87"/>
      <c r="AZ1812" s="93" t="s">
        <v>22668</v>
      </c>
      <c r="BA1812" s="93" t="s">
        <v>22668</v>
      </c>
      <c r="BB1812" s="93" t="s">
        <v>22668</v>
      </c>
      <c r="BC1812" s="93" t="s">
        <v>20041</v>
      </c>
      <c r="BD1812" s="93" t="s">
        <v>23142</v>
      </c>
      <c r="BE1812" s="87"/>
      <c r="BF1812" s="87"/>
      <c r="BG1812" s="87"/>
      <c r="BH1812" s="87"/>
      <c r="BI1812" s="87"/>
    </row>
    <row r="1813" spans="1:61" x14ac:dyDescent="0.25">
      <c r="A1813" s="63" t="s">
        <v>834</v>
      </c>
      <c r="B1813" s="63" t="s">
        <v>834</v>
      </c>
      <c r="C1813" s="64"/>
      <c r="D1813" s="65"/>
      <c r="E1813" s="66"/>
      <c r="F1813" s="67"/>
      <c r="G1813" s="64"/>
      <c r="H1813" s="68"/>
      <c r="I1813" s="69"/>
      <c r="J1813" s="69"/>
      <c r="K1813" s="32"/>
      <c r="L1813" s="76">
        <v>1813</v>
      </c>
      <c r="M1813" s="76"/>
      <c r="N1813" s="71"/>
      <c r="O1813" s="87" t="s">
        <v>179</v>
      </c>
      <c r="P1813" s="90">
        <v>45194.846006944441</v>
      </c>
      <c r="Q1813" s="87" t="s">
        <v>3605</v>
      </c>
      <c r="R1813" s="87">
        <v>0</v>
      </c>
      <c r="S1813" s="87">
        <v>0</v>
      </c>
      <c r="T1813" s="87">
        <v>0</v>
      </c>
      <c r="U1813" s="87">
        <v>0</v>
      </c>
      <c r="V1813" s="87">
        <v>29</v>
      </c>
      <c r="W1813" s="93" t="s">
        <v>7037</v>
      </c>
      <c r="X1813" s="87" t="s">
        <v>8352</v>
      </c>
      <c r="Y1813" s="87" t="s">
        <v>8413</v>
      </c>
      <c r="Z1813" s="87"/>
      <c r="AA1813" s="87" t="s">
        <v>9786</v>
      </c>
      <c r="AB1813" s="87" t="s">
        <v>11447</v>
      </c>
      <c r="AC1813" s="93" t="s">
        <v>11457</v>
      </c>
      <c r="AD1813" s="87" t="s">
        <v>11519</v>
      </c>
      <c r="AE1813" s="92" t="str">
        <f>HYPERLINK("https://twitter.com/viktorrossa/status/1706402759476404669")</f>
        <v>https://twitter.com/viktorrossa/status/1706402759476404669</v>
      </c>
      <c r="AF1813" s="90">
        <v>45194.846006944441</v>
      </c>
      <c r="AG1813" s="99">
        <v>45194</v>
      </c>
      <c r="AH1813" s="93" t="s">
        <v>13189</v>
      </c>
      <c r="AI1813" s="87" t="b">
        <v>0</v>
      </c>
      <c r="AJ1813" s="87"/>
      <c r="AK1813" s="87"/>
      <c r="AL1813" s="87"/>
      <c r="AM1813" s="87"/>
      <c r="AN1813" s="87"/>
      <c r="AO1813" s="87"/>
      <c r="AP1813" s="87"/>
      <c r="AQ1813" s="87" t="s">
        <v>16599</v>
      </c>
      <c r="AR1813" s="87">
        <v>13373</v>
      </c>
      <c r="AS1813" s="87"/>
      <c r="AT1813" s="87"/>
      <c r="AU1813" s="87"/>
      <c r="AV1813" s="92" t="str">
        <f>HYPERLINK("https://pbs.twimg.com/ext_tw_video_thumb/1706402682699685888/pu/img/xMv6RAbspxB1oHYZ.jpg")</f>
        <v>https://pbs.twimg.com/ext_tw_video_thumb/1706402682699685888/pu/img/xMv6RAbspxB1oHYZ.jpg</v>
      </c>
      <c r="AW1813" s="93" t="s">
        <v>20042</v>
      </c>
      <c r="AX1813" s="93" t="s">
        <v>20042</v>
      </c>
      <c r="AY1813" s="87"/>
      <c r="AZ1813" s="93" t="s">
        <v>22668</v>
      </c>
      <c r="BA1813" s="93" t="s">
        <v>22668</v>
      </c>
      <c r="BB1813" s="93" t="s">
        <v>22668</v>
      </c>
      <c r="BC1813" s="93" t="s">
        <v>20042</v>
      </c>
      <c r="BD1813" s="93" t="s">
        <v>23142</v>
      </c>
      <c r="BE1813" s="87"/>
      <c r="BF1813" s="87"/>
      <c r="BG1813" s="87"/>
      <c r="BH1813" s="87"/>
      <c r="BI1813" s="87"/>
    </row>
    <row r="1814" spans="1:61" x14ac:dyDescent="0.25">
      <c r="A1814" s="63" t="s">
        <v>834</v>
      </c>
      <c r="B1814" s="63" t="s">
        <v>834</v>
      </c>
      <c r="C1814" s="64"/>
      <c r="D1814" s="65"/>
      <c r="E1814" s="66"/>
      <c r="F1814" s="67"/>
      <c r="G1814" s="64"/>
      <c r="H1814" s="68"/>
      <c r="I1814" s="69"/>
      <c r="J1814" s="69"/>
      <c r="K1814" s="32"/>
      <c r="L1814" s="76">
        <v>1814</v>
      </c>
      <c r="M1814" s="76"/>
      <c r="N1814" s="71"/>
      <c r="O1814" s="87" t="s">
        <v>179</v>
      </c>
      <c r="P1814" s="90">
        <v>45191.793819444443</v>
      </c>
      <c r="Q1814" s="87" t="s">
        <v>3606</v>
      </c>
      <c r="R1814" s="87">
        <v>0</v>
      </c>
      <c r="S1814" s="87">
        <v>0</v>
      </c>
      <c r="T1814" s="87">
        <v>0</v>
      </c>
      <c r="U1814" s="87">
        <v>0</v>
      </c>
      <c r="V1814" s="87">
        <v>17</v>
      </c>
      <c r="W1814" s="93" t="s">
        <v>7037</v>
      </c>
      <c r="X1814" s="87" t="s">
        <v>8352</v>
      </c>
      <c r="Y1814" s="87" t="s">
        <v>8413</v>
      </c>
      <c r="Z1814" s="87"/>
      <c r="AA1814" s="87" t="s">
        <v>9787</v>
      </c>
      <c r="AB1814" s="87" t="s">
        <v>11447</v>
      </c>
      <c r="AC1814" s="93" t="s">
        <v>11457</v>
      </c>
      <c r="AD1814" s="87" t="s">
        <v>11519</v>
      </c>
      <c r="AE1814" s="92" t="str">
        <f>HYPERLINK("https://twitter.com/viktorrossa/status/1705296681091186964")</f>
        <v>https://twitter.com/viktorrossa/status/1705296681091186964</v>
      </c>
      <c r="AF1814" s="90">
        <v>45191.793819444443</v>
      </c>
      <c r="AG1814" s="99">
        <v>45191</v>
      </c>
      <c r="AH1814" s="93" t="s">
        <v>13190</v>
      </c>
      <c r="AI1814" s="87" t="b">
        <v>0</v>
      </c>
      <c r="AJ1814" s="87"/>
      <c r="AK1814" s="87"/>
      <c r="AL1814" s="87"/>
      <c r="AM1814" s="87"/>
      <c r="AN1814" s="87"/>
      <c r="AO1814" s="87"/>
      <c r="AP1814" s="87"/>
      <c r="AQ1814" s="87" t="s">
        <v>16600</v>
      </c>
      <c r="AR1814" s="87">
        <v>18947</v>
      </c>
      <c r="AS1814" s="87"/>
      <c r="AT1814" s="87"/>
      <c r="AU1814" s="87"/>
      <c r="AV1814" s="92" t="str">
        <f>HYPERLINK("https://pbs.twimg.com/ext_tw_video_thumb/1705296608089300992/pu/img/IhLKWXiI0PXtII9K.jpg")</f>
        <v>https://pbs.twimg.com/ext_tw_video_thumb/1705296608089300992/pu/img/IhLKWXiI0PXtII9K.jpg</v>
      </c>
      <c r="AW1814" s="93" t="s">
        <v>20043</v>
      </c>
      <c r="AX1814" s="93" t="s">
        <v>20043</v>
      </c>
      <c r="AY1814" s="87"/>
      <c r="AZ1814" s="93" t="s">
        <v>22668</v>
      </c>
      <c r="BA1814" s="93" t="s">
        <v>22668</v>
      </c>
      <c r="BB1814" s="93" t="s">
        <v>22668</v>
      </c>
      <c r="BC1814" s="93" t="s">
        <v>20043</v>
      </c>
      <c r="BD1814" s="93" t="s">
        <v>23142</v>
      </c>
      <c r="BE1814" s="87"/>
      <c r="BF1814" s="87"/>
      <c r="BG1814" s="87"/>
      <c r="BH1814" s="87"/>
      <c r="BI1814" s="87"/>
    </row>
    <row r="1815" spans="1:61" x14ac:dyDescent="0.25">
      <c r="A1815" s="63" t="s">
        <v>834</v>
      </c>
      <c r="B1815" s="63" t="s">
        <v>834</v>
      </c>
      <c r="C1815" s="64"/>
      <c r="D1815" s="65"/>
      <c r="E1815" s="66"/>
      <c r="F1815" s="67"/>
      <c r="G1815" s="64"/>
      <c r="H1815" s="68"/>
      <c r="I1815" s="69"/>
      <c r="J1815" s="69"/>
      <c r="K1815" s="32"/>
      <c r="L1815" s="76">
        <v>1815</v>
      </c>
      <c r="M1815" s="76"/>
      <c r="N1815" s="71"/>
      <c r="O1815" s="87" t="s">
        <v>179</v>
      </c>
      <c r="P1815" s="90">
        <v>45188.808599537035</v>
      </c>
      <c r="Q1815" s="87" t="s">
        <v>3607</v>
      </c>
      <c r="R1815" s="87">
        <v>0</v>
      </c>
      <c r="S1815" s="87">
        <v>0</v>
      </c>
      <c r="T1815" s="87">
        <v>0</v>
      </c>
      <c r="U1815" s="87">
        <v>0</v>
      </c>
      <c r="V1815" s="87">
        <v>46</v>
      </c>
      <c r="W1815" s="93" t="s">
        <v>7037</v>
      </c>
      <c r="X1815" s="87" t="s">
        <v>8352</v>
      </c>
      <c r="Y1815" s="87" t="s">
        <v>8413</v>
      </c>
      <c r="Z1815" s="87"/>
      <c r="AA1815" s="87" t="s">
        <v>9788</v>
      </c>
      <c r="AB1815" s="87" t="s">
        <v>11447</v>
      </c>
      <c r="AC1815" s="93" t="s">
        <v>11457</v>
      </c>
      <c r="AD1815" s="87" t="s">
        <v>11519</v>
      </c>
      <c r="AE1815" s="92" t="str">
        <f>HYPERLINK("https://twitter.com/viktorrossa/status/1704214874061001196")</f>
        <v>https://twitter.com/viktorrossa/status/1704214874061001196</v>
      </c>
      <c r="AF1815" s="90">
        <v>45188.808599537035</v>
      </c>
      <c r="AG1815" s="99">
        <v>45188</v>
      </c>
      <c r="AH1815" s="93" t="s">
        <v>13191</v>
      </c>
      <c r="AI1815" s="87" t="b">
        <v>0</v>
      </c>
      <c r="AJ1815" s="87"/>
      <c r="AK1815" s="87"/>
      <c r="AL1815" s="87"/>
      <c r="AM1815" s="87"/>
      <c r="AN1815" s="87"/>
      <c r="AO1815" s="87"/>
      <c r="AP1815" s="87"/>
      <c r="AQ1815" s="87" t="s">
        <v>16601</v>
      </c>
      <c r="AR1815" s="87">
        <v>17182</v>
      </c>
      <c r="AS1815" s="87"/>
      <c r="AT1815" s="87"/>
      <c r="AU1815" s="87"/>
      <c r="AV1815" s="92" t="str">
        <f>HYPERLINK("https://pbs.twimg.com/ext_tw_video_thumb/1704214645165154304/pu/img/l-Wgqwfp4p5n0irk.jpg")</f>
        <v>https://pbs.twimg.com/ext_tw_video_thumb/1704214645165154304/pu/img/l-Wgqwfp4p5n0irk.jpg</v>
      </c>
      <c r="AW1815" s="93" t="s">
        <v>20044</v>
      </c>
      <c r="AX1815" s="93" t="s">
        <v>20044</v>
      </c>
      <c r="AY1815" s="87"/>
      <c r="AZ1815" s="93" t="s">
        <v>22668</v>
      </c>
      <c r="BA1815" s="93" t="s">
        <v>22668</v>
      </c>
      <c r="BB1815" s="93" t="s">
        <v>22668</v>
      </c>
      <c r="BC1815" s="93" t="s">
        <v>20044</v>
      </c>
      <c r="BD1815" s="93" t="s">
        <v>23142</v>
      </c>
      <c r="BE1815" s="87"/>
      <c r="BF1815" s="87"/>
      <c r="BG1815" s="87"/>
      <c r="BH1815" s="87"/>
      <c r="BI1815" s="87"/>
    </row>
    <row r="1816" spans="1:61" x14ac:dyDescent="0.25">
      <c r="A1816" s="63" t="s">
        <v>834</v>
      </c>
      <c r="B1816" s="63" t="s">
        <v>834</v>
      </c>
      <c r="C1816" s="64"/>
      <c r="D1816" s="65"/>
      <c r="E1816" s="66"/>
      <c r="F1816" s="67"/>
      <c r="G1816" s="64"/>
      <c r="H1816" s="68"/>
      <c r="I1816" s="69"/>
      <c r="J1816" s="69"/>
      <c r="K1816" s="32"/>
      <c r="L1816" s="76">
        <v>1816</v>
      </c>
      <c r="M1816" s="76"/>
      <c r="N1816" s="71"/>
      <c r="O1816" s="87" t="s">
        <v>179</v>
      </c>
      <c r="P1816" s="90">
        <v>45180.869664351849</v>
      </c>
      <c r="Q1816" s="87" t="s">
        <v>3608</v>
      </c>
      <c r="R1816" s="87">
        <v>0</v>
      </c>
      <c r="S1816" s="87">
        <v>0</v>
      </c>
      <c r="T1816" s="87">
        <v>0</v>
      </c>
      <c r="U1816" s="87">
        <v>0</v>
      </c>
      <c r="V1816" s="87">
        <v>38</v>
      </c>
      <c r="W1816" s="93" t="s">
        <v>7037</v>
      </c>
      <c r="X1816" s="87" t="s">
        <v>8352</v>
      </c>
      <c r="Y1816" s="87" t="s">
        <v>8413</v>
      </c>
      <c r="Z1816" s="87"/>
      <c r="AA1816" s="87" t="s">
        <v>9789</v>
      </c>
      <c r="AB1816" s="87" t="s">
        <v>11447</v>
      </c>
      <c r="AC1816" s="93" t="s">
        <v>11457</v>
      </c>
      <c r="AD1816" s="87" t="s">
        <v>11519</v>
      </c>
      <c r="AE1816" s="92" t="str">
        <f>HYPERLINK("https://twitter.com/viktorrossa/status/1701337899466182800")</f>
        <v>https://twitter.com/viktorrossa/status/1701337899466182800</v>
      </c>
      <c r="AF1816" s="90">
        <v>45180.869664351849</v>
      </c>
      <c r="AG1816" s="99">
        <v>45180</v>
      </c>
      <c r="AH1816" s="93" t="s">
        <v>13192</v>
      </c>
      <c r="AI1816" s="87" t="b">
        <v>0</v>
      </c>
      <c r="AJ1816" s="87"/>
      <c r="AK1816" s="87"/>
      <c r="AL1816" s="87"/>
      <c r="AM1816" s="87"/>
      <c r="AN1816" s="87"/>
      <c r="AO1816" s="87"/>
      <c r="AP1816" s="87"/>
      <c r="AQ1816" s="87" t="s">
        <v>16602</v>
      </c>
      <c r="AR1816" s="87">
        <v>22243</v>
      </c>
      <c r="AS1816" s="87"/>
      <c r="AT1816" s="87"/>
      <c r="AU1816" s="87"/>
      <c r="AV1816" s="92" t="str">
        <f>HYPERLINK("https://pbs.twimg.com/ext_tw_video_thumb/1701337768310235136/pu/img/WVLvKB-ZrNsbLDrb.jpg")</f>
        <v>https://pbs.twimg.com/ext_tw_video_thumb/1701337768310235136/pu/img/WVLvKB-ZrNsbLDrb.jpg</v>
      </c>
      <c r="AW1816" s="93" t="s">
        <v>20045</v>
      </c>
      <c r="AX1816" s="93" t="s">
        <v>20045</v>
      </c>
      <c r="AY1816" s="87"/>
      <c r="AZ1816" s="93" t="s">
        <v>22668</v>
      </c>
      <c r="BA1816" s="93" t="s">
        <v>22668</v>
      </c>
      <c r="BB1816" s="93" t="s">
        <v>22668</v>
      </c>
      <c r="BC1816" s="93" t="s">
        <v>20045</v>
      </c>
      <c r="BD1816" s="93" t="s">
        <v>23142</v>
      </c>
      <c r="BE1816" s="87"/>
      <c r="BF1816" s="87"/>
      <c r="BG1816" s="87"/>
      <c r="BH1816" s="87"/>
      <c r="BI1816" s="87"/>
    </row>
    <row r="1817" spans="1:61" x14ac:dyDescent="0.25">
      <c r="A1817" s="63" t="s">
        <v>834</v>
      </c>
      <c r="B1817" s="63" t="s">
        <v>834</v>
      </c>
      <c r="C1817" s="64"/>
      <c r="D1817" s="65"/>
      <c r="E1817" s="66"/>
      <c r="F1817" s="67"/>
      <c r="G1817" s="64"/>
      <c r="H1817" s="68"/>
      <c r="I1817" s="69"/>
      <c r="J1817" s="69"/>
      <c r="K1817" s="32"/>
      <c r="L1817" s="76">
        <v>1817</v>
      </c>
      <c r="M1817" s="76"/>
      <c r="N1817" s="71"/>
      <c r="O1817" s="87" t="s">
        <v>179</v>
      </c>
      <c r="P1817" s="90">
        <v>45163.885810185187</v>
      </c>
      <c r="Q1817" s="87" t="s">
        <v>3609</v>
      </c>
      <c r="R1817" s="87">
        <v>0</v>
      </c>
      <c r="S1817" s="87">
        <v>0</v>
      </c>
      <c r="T1817" s="87">
        <v>0</v>
      </c>
      <c r="U1817" s="87">
        <v>0</v>
      </c>
      <c r="V1817" s="87">
        <v>14</v>
      </c>
      <c r="W1817" s="93" t="s">
        <v>7037</v>
      </c>
      <c r="X1817" s="87" t="s">
        <v>8352</v>
      </c>
      <c r="Y1817" s="87" t="s">
        <v>8413</v>
      </c>
      <c r="Z1817" s="87"/>
      <c r="AA1817" s="87" t="s">
        <v>9790</v>
      </c>
      <c r="AB1817" s="87" t="s">
        <v>11447</v>
      </c>
      <c r="AC1817" s="93" t="s">
        <v>11457</v>
      </c>
      <c r="AD1817" s="87" t="s">
        <v>11519</v>
      </c>
      <c r="AE1817" s="92" t="str">
        <f>HYPERLINK("https://twitter.com/viktorrossa/status/1695183157627093212")</f>
        <v>https://twitter.com/viktorrossa/status/1695183157627093212</v>
      </c>
      <c r="AF1817" s="90">
        <v>45163.885810185187</v>
      </c>
      <c r="AG1817" s="99">
        <v>45163</v>
      </c>
      <c r="AH1817" s="93" t="s">
        <v>13193</v>
      </c>
      <c r="AI1817" s="87" t="b">
        <v>0</v>
      </c>
      <c r="AJ1817" s="87"/>
      <c r="AK1817" s="87"/>
      <c r="AL1817" s="87"/>
      <c r="AM1817" s="87"/>
      <c r="AN1817" s="87"/>
      <c r="AO1817" s="87"/>
      <c r="AP1817" s="87"/>
      <c r="AQ1817" s="87" t="s">
        <v>16603</v>
      </c>
      <c r="AR1817" s="87">
        <v>22243</v>
      </c>
      <c r="AS1817" s="87"/>
      <c r="AT1817" s="87"/>
      <c r="AU1817" s="87"/>
      <c r="AV1817" s="92" t="str">
        <f>HYPERLINK("https://pbs.twimg.com/ext_tw_video_thumb/1695183076609921024/pu/img/IYMffMu6VPQ00JC6.jpg")</f>
        <v>https://pbs.twimg.com/ext_tw_video_thumb/1695183076609921024/pu/img/IYMffMu6VPQ00JC6.jpg</v>
      </c>
      <c r="AW1817" s="93" t="s">
        <v>20046</v>
      </c>
      <c r="AX1817" s="93" t="s">
        <v>20046</v>
      </c>
      <c r="AY1817" s="87"/>
      <c r="AZ1817" s="93" t="s">
        <v>22668</v>
      </c>
      <c r="BA1817" s="93" t="s">
        <v>22668</v>
      </c>
      <c r="BB1817" s="93" t="s">
        <v>22668</v>
      </c>
      <c r="BC1817" s="93" t="s">
        <v>20046</v>
      </c>
      <c r="BD1817" s="93" t="s">
        <v>23142</v>
      </c>
      <c r="BE1817" s="87"/>
      <c r="BF1817" s="87"/>
      <c r="BG1817" s="87"/>
      <c r="BH1817" s="87"/>
      <c r="BI1817" s="87"/>
    </row>
    <row r="1818" spans="1:61" x14ac:dyDescent="0.25">
      <c r="A1818" s="63" t="s">
        <v>834</v>
      </c>
      <c r="B1818" s="63" t="s">
        <v>834</v>
      </c>
      <c r="C1818" s="64"/>
      <c r="D1818" s="65"/>
      <c r="E1818" s="66"/>
      <c r="F1818" s="67"/>
      <c r="G1818" s="64"/>
      <c r="H1818" s="68"/>
      <c r="I1818" s="69"/>
      <c r="J1818" s="69"/>
      <c r="K1818" s="32"/>
      <c r="L1818" s="76">
        <v>1818</v>
      </c>
      <c r="M1818" s="76"/>
      <c r="N1818" s="71"/>
      <c r="O1818" s="87" t="s">
        <v>179</v>
      </c>
      <c r="P1818" s="90">
        <v>45196.752743055556</v>
      </c>
      <c r="Q1818" s="87" t="s">
        <v>3610</v>
      </c>
      <c r="R1818" s="87">
        <v>0</v>
      </c>
      <c r="S1818" s="87">
        <v>0</v>
      </c>
      <c r="T1818" s="87">
        <v>0</v>
      </c>
      <c r="U1818" s="87">
        <v>0</v>
      </c>
      <c r="V1818" s="87">
        <v>4</v>
      </c>
      <c r="W1818" s="93" t="s">
        <v>7037</v>
      </c>
      <c r="X1818" s="87" t="s">
        <v>8352</v>
      </c>
      <c r="Y1818" s="87" t="s">
        <v>8413</v>
      </c>
      <c r="Z1818" s="87"/>
      <c r="AA1818" s="87" t="s">
        <v>9791</v>
      </c>
      <c r="AB1818" s="87" t="s">
        <v>11447</v>
      </c>
      <c r="AC1818" s="93" t="s">
        <v>11457</v>
      </c>
      <c r="AD1818" s="87" t="s">
        <v>11519</v>
      </c>
      <c r="AE1818" s="92" t="str">
        <f>HYPERLINK("https://twitter.com/viktorrossa/status/1707093733576228957")</f>
        <v>https://twitter.com/viktorrossa/status/1707093733576228957</v>
      </c>
      <c r="AF1818" s="90">
        <v>45196.752743055556</v>
      </c>
      <c r="AG1818" s="99">
        <v>45196</v>
      </c>
      <c r="AH1818" s="93" t="s">
        <v>13194</v>
      </c>
      <c r="AI1818" s="87" t="b">
        <v>0</v>
      </c>
      <c r="AJ1818" s="87"/>
      <c r="AK1818" s="87"/>
      <c r="AL1818" s="87"/>
      <c r="AM1818" s="87"/>
      <c r="AN1818" s="87"/>
      <c r="AO1818" s="87"/>
      <c r="AP1818" s="87"/>
      <c r="AQ1818" s="87" t="s">
        <v>16604</v>
      </c>
      <c r="AR1818" s="87">
        <v>25286</v>
      </c>
      <c r="AS1818" s="87"/>
      <c r="AT1818" s="87"/>
      <c r="AU1818" s="87"/>
      <c r="AV1818" s="92" t="str">
        <f>HYPERLINK("https://pbs.twimg.com/ext_tw_video_thumb/1707093591414231041/pu/img/vmYPNvyEkXupzYv0.jpg")</f>
        <v>https://pbs.twimg.com/ext_tw_video_thumb/1707093591414231041/pu/img/vmYPNvyEkXupzYv0.jpg</v>
      </c>
      <c r="AW1818" s="93" t="s">
        <v>20047</v>
      </c>
      <c r="AX1818" s="93" t="s">
        <v>20047</v>
      </c>
      <c r="AY1818" s="87"/>
      <c r="AZ1818" s="93" t="s">
        <v>22668</v>
      </c>
      <c r="BA1818" s="93" t="s">
        <v>22668</v>
      </c>
      <c r="BB1818" s="93" t="s">
        <v>22668</v>
      </c>
      <c r="BC1818" s="93" t="s">
        <v>20047</v>
      </c>
      <c r="BD1818" s="93" t="s">
        <v>23142</v>
      </c>
      <c r="BE1818" s="87"/>
      <c r="BF1818" s="87"/>
      <c r="BG1818" s="87"/>
      <c r="BH1818" s="87"/>
      <c r="BI1818" s="87"/>
    </row>
    <row r="1819" spans="1:61" x14ac:dyDescent="0.25">
      <c r="A1819" s="63" t="s">
        <v>834</v>
      </c>
      <c r="B1819" s="63" t="s">
        <v>834</v>
      </c>
      <c r="C1819" s="64"/>
      <c r="D1819" s="65"/>
      <c r="E1819" s="66"/>
      <c r="F1819" s="67"/>
      <c r="G1819" s="64"/>
      <c r="H1819" s="68"/>
      <c r="I1819" s="69"/>
      <c r="J1819" s="69"/>
      <c r="K1819" s="32"/>
      <c r="L1819" s="76">
        <v>1819</v>
      </c>
      <c r="M1819" s="76"/>
      <c r="N1819" s="71"/>
      <c r="O1819" s="87" t="s">
        <v>179</v>
      </c>
      <c r="P1819" s="90">
        <v>45189.779606481483</v>
      </c>
      <c r="Q1819" s="87" t="s">
        <v>3611</v>
      </c>
      <c r="R1819" s="87">
        <v>0</v>
      </c>
      <c r="S1819" s="87">
        <v>0</v>
      </c>
      <c r="T1819" s="87">
        <v>0</v>
      </c>
      <c r="U1819" s="87">
        <v>0</v>
      </c>
      <c r="V1819" s="87">
        <v>25</v>
      </c>
      <c r="W1819" s="93" t="s">
        <v>7037</v>
      </c>
      <c r="X1819" s="87" t="s">
        <v>8352</v>
      </c>
      <c r="Y1819" s="87" t="s">
        <v>8413</v>
      </c>
      <c r="Z1819" s="87"/>
      <c r="AA1819" s="87" t="s">
        <v>9792</v>
      </c>
      <c r="AB1819" s="87" t="s">
        <v>11447</v>
      </c>
      <c r="AC1819" s="93" t="s">
        <v>11457</v>
      </c>
      <c r="AD1819" s="87" t="s">
        <v>11519</v>
      </c>
      <c r="AE1819" s="92" t="str">
        <f>HYPERLINK("https://twitter.com/viktorrossa/status/1704566756658774192")</f>
        <v>https://twitter.com/viktorrossa/status/1704566756658774192</v>
      </c>
      <c r="AF1819" s="90">
        <v>45189.779606481483</v>
      </c>
      <c r="AG1819" s="99">
        <v>45189</v>
      </c>
      <c r="AH1819" s="93" t="s">
        <v>13195</v>
      </c>
      <c r="AI1819" s="87" t="b">
        <v>0</v>
      </c>
      <c r="AJ1819" s="87"/>
      <c r="AK1819" s="87"/>
      <c r="AL1819" s="87"/>
      <c r="AM1819" s="87"/>
      <c r="AN1819" s="87"/>
      <c r="AO1819" s="87"/>
      <c r="AP1819" s="87"/>
      <c r="AQ1819" s="87" t="s">
        <v>16605</v>
      </c>
      <c r="AR1819" s="87">
        <v>15951</v>
      </c>
      <c r="AS1819" s="87"/>
      <c r="AT1819" s="87"/>
      <c r="AU1819" s="87"/>
      <c r="AV1819" s="92" t="str">
        <f>HYPERLINK("https://pbs.twimg.com/ext_tw_video_thumb/1704566661460729856/pu/img/Qu_nBAhtLXGaeARy.jpg")</f>
        <v>https://pbs.twimg.com/ext_tw_video_thumb/1704566661460729856/pu/img/Qu_nBAhtLXGaeARy.jpg</v>
      </c>
      <c r="AW1819" s="93" t="s">
        <v>20048</v>
      </c>
      <c r="AX1819" s="93" t="s">
        <v>20048</v>
      </c>
      <c r="AY1819" s="87"/>
      <c r="AZ1819" s="93" t="s">
        <v>22668</v>
      </c>
      <c r="BA1819" s="93" t="s">
        <v>22668</v>
      </c>
      <c r="BB1819" s="93" t="s">
        <v>22668</v>
      </c>
      <c r="BC1819" s="93" t="s">
        <v>20048</v>
      </c>
      <c r="BD1819" s="93" t="s">
        <v>23142</v>
      </c>
      <c r="BE1819" s="87"/>
      <c r="BF1819" s="87"/>
      <c r="BG1819" s="87"/>
      <c r="BH1819" s="87"/>
      <c r="BI1819" s="87"/>
    </row>
    <row r="1820" spans="1:61" x14ac:dyDescent="0.25">
      <c r="A1820" s="63" t="s">
        <v>834</v>
      </c>
      <c r="B1820" s="63" t="s">
        <v>834</v>
      </c>
      <c r="C1820" s="64"/>
      <c r="D1820" s="65"/>
      <c r="E1820" s="66"/>
      <c r="F1820" s="67"/>
      <c r="G1820" s="64"/>
      <c r="H1820" s="68"/>
      <c r="I1820" s="69"/>
      <c r="J1820" s="69"/>
      <c r="K1820" s="32"/>
      <c r="L1820" s="76">
        <v>1820</v>
      </c>
      <c r="M1820" s="76"/>
      <c r="N1820" s="71"/>
      <c r="O1820" s="87" t="s">
        <v>179</v>
      </c>
      <c r="P1820" s="90">
        <v>45168.897870370369</v>
      </c>
      <c r="Q1820" s="87" t="s">
        <v>3612</v>
      </c>
      <c r="R1820" s="87">
        <v>0</v>
      </c>
      <c r="S1820" s="87">
        <v>0</v>
      </c>
      <c r="T1820" s="87">
        <v>0</v>
      </c>
      <c r="U1820" s="87">
        <v>0</v>
      </c>
      <c r="V1820" s="87">
        <v>23</v>
      </c>
      <c r="W1820" s="93" t="s">
        <v>7037</v>
      </c>
      <c r="X1820" s="87" t="s">
        <v>8352</v>
      </c>
      <c r="Y1820" s="87" t="s">
        <v>8413</v>
      </c>
      <c r="Z1820" s="87"/>
      <c r="AA1820" s="87" t="s">
        <v>9793</v>
      </c>
      <c r="AB1820" s="87" t="s">
        <v>11447</v>
      </c>
      <c r="AC1820" s="93" t="s">
        <v>11457</v>
      </c>
      <c r="AD1820" s="87" t="s">
        <v>11519</v>
      </c>
      <c r="AE1820" s="92" t="str">
        <f>HYPERLINK("https://twitter.com/viktorrossa/status/1696999468845945188")</f>
        <v>https://twitter.com/viktorrossa/status/1696999468845945188</v>
      </c>
      <c r="AF1820" s="90">
        <v>45168.897870370369</v>
      </c>
      <c r="AG1820" s="99">
        <v>45168</v>
      </c>
      <c r="AH1820" s="93" t="s">
        <v>13196</v>
      </c>
      <c r="AI1820" s="87" t="b">
        <v>0</v>
      </c>
      <c r="AJ1820" s="87"/>
      <c r="AK1820" s="87"/>
      <c r="AL1820" s="87"/>
      <c r="AM1820" s="87"/>
      <c r="AN1820" s="87"/>
      <c r="AO1820" s="87"/>
      <c r="AP1820" s="87"/>
      <c r="AQ1820" s="87" t="s">
        <v>16606</v>
      </c>
      <c r="AR1820" s="87">
        <v>29489</v>
      </c>
      <c r="AS1820" s="87"/>
      <c r="AT1820" s="87"/>
      <c r="AU1820" s="87"/>
      <c r="AV1820" s="92" t="str">
        <f>HYPERLINK("https://pbs.twimg.com/ext_tw_video_thumb/1696999214805286912/pu/img/ZxwgYl9DNpzjh3-i.jpg")</f>
        <v>https://pbs.twimg.com/ext_tw_video_thumb/1696999214805286912/pu/img/ZxwgYl9DNpzjh3-i.jpg</v>
      </c>
      <c r="AW1820" s="93" t="s">
        <v>20049</v>
      </c>
      <c r="AX1820" s="93" t="s">
        <v>20049</v>
      </c>
      <c r="AY1820" s="87"/>
      <c r="AZ1820" s="93" t="s">
        <v>22668</v>
      </c>
      <c r="BA1820" s="93" t="s">
        <v>22668</v>
      </c>
      <c r="BB1820" s="93" t="s">
        <v>22668</v>
      </c>
      <c r="BC1820" s="93" t="s">
        <v>20049</v>
      </c>
      <c r="BD1820" s="93" t="s">
        <v>23142</v>
      </c>
      <c r="BE1820" s="87"/>
      <c r="BF1820" s="87"/>
      <c r="BG1820" s="87"/>
      <c r="BH1820" s="87"/>
      <c r="BI1820" s="87"/>
    </row>
    <row r="1821" spans="1:61" x14ac:dyDescent="0.25">
      <c r="A1821" s="63" t="s">
        <v>834</v>
      </c>
      <c r="B1821" s="63" t="s">
        <v>834</v>
      </c>
      <c r="C1821" s="64"/>
      <c r="D1821" s="65"/>
      <c r="E1821" s="66"/>
      <c r="F1821" s="67"/>
      <c r="G1821" s="64"/>
      <c r="H1821" s="68"/>
      <c r="I1821" s="69"/>
      <c r="J1821" s="69"/>
      <c r="K1821" s="32"/>
      <c r="L1821" s="76">
        <v>1821</v>
      </c>
      <c r="M1821" s="76"/>
      <c r="N1821" s="71"/>
      <c r="O1821" s="87" t="s">
        <v>179</v>
      </c>
      <c r="P1821" s="90">
        <v>45167.885891203703</v>
      </c>
      <c r="Q1821" s="87" t="s">
        <v>3613</v>
      </c>
      <c r="R1821" s="87">
        <v>0</v>
      </c>
      <c r="S1821" s="87">
        <v>0</v>
      </c>
      <c r="T1821" s="87">
        <v>0</v>
      </c>
      <c r="U1821" s="87">
        <v>0</v>
      </c>
      <c r="V1821" s="87">
        <v>19</v>
      </c>
      <c r="W1821" s="93" t="s">
        <v>7037</v>
      </c>
      <c r="X1821" s="87" t="s">
        <v>8352</v>
      </c>
      <c r="Y1821" s="87" t="s">
        <v>8413</v>
      </c>
      <c r="Z1821" s="87"/>
      <c r="AA1821" s="87" t="s">
        <v>9794</v>
      </c>
      <c r="AB1821" s="87" t="s">
        <v>11447</v>
      </c>
      <c r="AC1821" s="93" t="s">
        <v>11457</v>
      </c>
      <c r="AD1821" s="87" t="s">
        <v>11519</v>
      </c>
      <c r="AE1821" s="92" t="str">
        <f>HYPERLINK("https://twitter.com/viktorrossa/status/1696632736985845995")</f>
        <v>https://twitter.com/viktorrossa/status/1696632736985845995</v>
      </c>
      <c r="AF1821" s="90">
        <v>45167.885891203703</v>
      </c>
      <c r="AG1821" s="99">
        <v>45167</v>
      </c>
      <c r="AH1821" s="93" t="s">
        <v>13197</v>
      </c>
      <c r="AI1821" s="87" t="b">
        <v>0</v>
      </c>
      <c r="AJ1821" s="87"/>
      <c r="AK1821" s="87"/>
      <c r="AL1821" s="87"/>
      <c r="AM1821" s="87"/>
      <c r="AN1821" s="87"/>
      <c r="AO1821" s="87"/>
      <c r="AP1821" s="87"/>
      <c r="AQ1821" s="87" t="s">
        <v>16607</v>
      </c>
      <c r="AR1821" s="87">
        <v>30301</v>
      </c>
      <c r="AS1821" s="87"/>
      <c r="AT1821" s="87"/>
      <c r="AU1821" s="87"/>
      <c r="AV1821" s="92" t="str">
        <f>HYPERLINK("https://pbs.twimg.com/ext_tw_video_thumb/1696632629343248384/pu/img/1CfpHEoTnp4Q-JbW.jpg")</f>
        <v>https://pbs.twimg.com/ext_tw_video_thumb/1696632629343248384/pu/img/1CfpHEoTnp4Q-JbW.jpg</v>
      </c>
      <c r="AW1821" s="93" t="s">
        <v>20050</v>
      </c>
      <c r="AX1821" s="93" t="s">
        <v>20050</v>
      </c>
      <c r="AY1821" s="87"/>
      <c r="AZ1821" s="93" t="s">
        <v>22668</v>
      </c>
      <c r="BA1821" s="93" t="s">
        <v>22668</v>
      </c>
      <c r="BB1821" s="93" t="s">
        <v>22668</v>
      </c>
      <c r="BC1821" s="93" t="s">
        <v>20050</v>
      </c>
      <c r="BD1821" s="93" t="s">
        <v>23142</v>
      </c>
      <c r="BE1821" s="87"/>
      <c r="BF1821" s="87"/>
      <c r="BG1821" s="87"/>
      <c r="BH1821" s="87"/>
      <c r="BI1821" s="87"/>
    </row>
    <row r="1822" spans="1:61" x14ac:dyDescent="0.25">
      <c r="A1822" s="63" t="s">
        <v>834</v>
      </c>
      <c r="B1822" s="63" t="s">
        <v>834</v>
      </c>
      <c r="C1822" s="64"/>
      <c r="D1822" s="65"/>
      <c r="E1822" s="66"/>
      <c r="F1822" s="67"/>
      <c r="G1822" s="64"/>
      <c r="H1822" s="68"/>
      <c r="I1822" s="69"/>
      <c r="J1822" s="69"/>
      <c r="K1822" s="32"/>
      <c r="L1822" s="76">
        <v>1822</v>
      </c>
      <c r="M1822" s="76"/>
      <c r="N1822" s="71"/>
      <c r="O1822" s="87" t="s">
        <v>179</v>
      </c>
      <c r="P1822" s="90">
        <v>45153.888865740744</v>
      </c>
      <c r="Q1822" s="87" t="s">
        <v>3614</v>
      </c>
      <c r="R1822" s="87">
        <v>0</v>
      </c>
      <c r="S1822" s="87">
        <v>0</v>
      </c>
      <c r="T1822" s="87">
        <v>0</v>
      </c>
      <c r="U1822" s="87">
        <v>0</v>
      </c>
      <c r="V1822" s="87">
        <v>18</v>
      </c>
      <c r="W1822" s="93" t="s">
        <v>7037</v>
      </c>
      <c r="X1822" s="87" t="s">
        <v>8353</v>
      </c>
      <c r="Y1822" s="87" t="s">
        <v>8471</v>
      </c>
      <c r="Z1822" s="87"/>
      <c r="AA1822" s="87" t="s">
        <v>9795</v>
      </c>
      <c r="AB1822" s="87" t="s">
        <v>11447</v>
      </c>
      <c r="AC1822" s="93" t="s">
        <v>11457</v>
      </c>
      <c r="AD1822" s="87" t="s">
        <v>11519</v>
      </c>
      <c r="AE1822" s="92" t="str">
        <f>HYPERLINK("https://twitter.com/viktorrossa/status/1691560385449529846")</f>
        <v>https://twitter.com/viktorrossa/status/1691560385449529846</v>
      </c>
      <c r="AF1822" s="90">
        <v>45153.888865740744</v>
      </c>
      <c r="AG1822" s="99">
        <v>45153</v>
      </c>
      <c r="AH1822" s="93" t="s">
        <v>13198</v>
      </c>
      <c r="AI1822" s="87" t="b">
        <v>0</v>
      </c>
      <c r="AJ1822" s="87"/>
      <c r="AK1822" s="87"/>
      <c r="AL1822" s="87"/>
      <c r="AM1822" s="87"/>
      <c r="AN1822" s="87"/>
      <c r="AO1822" s="87"/>
      <c r="AP1822" s="87"/>
      <c r="AQ1822" s="87" t="s">
        <v>16608</v>
      </c>
      <c r="AR1822" s="87">
        <v>24450</v>
      </c>
      <c r="AS1822" s="87"/>
      <c r="AT1822" s="87"/>
      <c r="AU1822" s="87"/>
      <c r="AV1822" s="92" t="str">
        <f>HYPERLINK("https://pbs.twimg.com/ext_tw_video_thumb/1691560109132988416/pu/img/2jVeAkADPP5o6tNM.jpg")</f>
        <v>https://pbs.twimg.com/ext_tw_video_thumb/1691560109132988416/pu/img/2jVeAkADPP5o6tNM.jpg</v>
      </c>
      <c r="AW1822" s="93" t="s">
        <v>20051</v>
      </c>
      <c r="AX1822" s="93" t="s">
        <v>20051</v>
      </c>
      <c r="AY1822" s="87"/>
      <c r="AZ1822" s="93" t="s">
        <v>22668</v>
      </c>
      <c r="BA1822" s="93" t="s">
        <v>22668</v>
      </c>
      <c r="BB1822" s="93" t="s">
        <v>22668</v>
      </c>
      <c r="BC1822" s="93" t="s">
        <v>20051</v>
      </c>
      <c r="BD1822" s="93" t="s">
        <v>23142</v>
      </c>
      <c r="BE1822" s="87"/>
      <c r="BF1822" s="87"/>
      <c r="BG1822" s="87"/>
      <c r="BH1822" s="87"/>
      <c r="BI1822" s="87"/>
    </row>
    <row r="1823" spans="1:61" x14ac:dyDescent="0.25">
      <c r="A1823" s="63" t="s">
        <v>834</v>
      </c>
      <c r="B1823" s="63" t="s">
        <v>834</v>
      </c>
      <c r="C1823" s="64"/>
      <c r="D1823" s="65"/>
      <c r="E1823" s="66"/>
      <c r="F1823" s="67"/>
      <c r="G1823" s="64"/>
      <c r="H1823" s="68"/>
      <c r="I1823" s="69"/>
      <c r="J1823" s="69"/>
      <c r="K1823" s="32"/>
      <c r="L1823" s="76">
        <v>1823</v>
      </c>
      <c r="M1823" s="76"/>
      <c r="N1823" s="71"/>
      <c r="O1823" s="87" t="s">
        <v>179</v>
      </c>
      <c r="P1823" s="90">
        <v>45128.539780092593</v>
      </c>
      <c r="Q1823" s="87" t="s">
        <v>3615</v>
      </c>
      <c r="R1823" s="87">
        <v>0</v>
      </c>
      <c r="S1823" s="87">
        <v>0</v>
      </c>
      <c r="T1823" s="87">
        <v>0</v>
      </c>
      <c r="U1823" s="87">
        <v>0</v>
      </c>
      <c r="V1823" s="87">
        <v>10</v>
      </c>
      <c r="W1823" s="93" t="s">
        <v>7037</v>
      </c>
      <c r="X1823" s="87" t="s">
        <v>8352</v>
      </c>
      <c r="Y1823" s="87" t="s">
        <v>8413</v>
      </c>
      <c r="Z1823" s="87"/>
      <c r="AA1823" s="87" t="s">
        <v>9796</v>
      </c>
      <c r="AB1823" s="87" t="s">
        <v>11447</v>
      </c>
      <c r="AC1823" s="93" t="s">
        <v>11457</v>
      </c>
      <c r="AD1823" s="87" t="s">
        <v>11519</v>
      </c>
      <c r="AE1823" s="92" t="str">
        <f>HYPERLINK("https://twitter.com/viktorrossa/status/1682374184440152065")</f>
        <v>https://twitter.com/viktorrossa/status/1682374184440152065</v>
      </c>
      <c r="AF1823" s="90">
        <v>45128.539780092593</v>
      </c>
      <c r="AG1823" s="99">
        <v>45128</v>
      </c>
      <c r="AH1823" s="93" t="s">
        <v>13199</v>
      </c>
      <c r="AI1823" s="87" t="b">
        <v>0</v>
      </c>
      <c r="AJ1823" s="87"/>
      <c r="AK1823" s="87"/>
      <c r="AL1823" s="87"/>
      <c r="AM1823" s="87"/>
      <c r="AN1823" s="87"/>
      <c r="AO1823" s="87"/>
      <c r="AP1823" s="87"/>
      <c r="AQ1823" s="87" t="s">
        <v>16609</v>
      </c>
      <c r="AR1823" s="87">
        <v>15255</v>
      </c>
      <c r="AS1823" s="87"/>
      <c r="AT1823" s="87"/>
      <c r="AU1823" s="87"/>
      <c r="AV1823" s="92" t="str">
        <f>HYPERLINK("https://pbs.twimg.com/ext_tw_video_thumb/1682374086100504576/pu/img/07mwcTCf4bhuMi7M.jpg")</f>
        <v>https://pbs.twimg.com/ext_tw_video_thumb/1682374086100504576/pu/img/07mwcTCf4bhuMi7M.jpg</v>
      </c>
      <c r="AW1823" s="93" t="s">
        <v>20052</v>
      </c>
      <c r="AX1823" s="93" t="s">
        <v>20052</v>
      </c>
      <c r="AY1823" s="87"/>
      <c r="AZ1823" s="93" t="s">
        <v>22668</v>
      </c>
      <c r="BA1823" s="93" t="s">
        <v>22668</v>
      </c>
      <c r="BB1823" s="93" t="s">
        <v>22668</v>
      </c>
      <c r="BC1823" s="93" t="s">
        <v>20052</v>
      </c>
      <c r="BD1823" s="93" t="s">
        <v>23142</v>
      </c>
      <c r="BE1823" s="87"/>
      <c r="BF1823" s="87"/>
      <c r="BG1823" s="87"/>
      <c r="BH1823" s="87"/>
      <c r="BI1823" s="87"/>
    </row>
    <row r="1824" spans="1:61" x14ac:dyDescent="0.25">
      <c r="A1824" s="63" t="s">
        <v>834</v>
      </c>
      <c r="B1824" s="63" t="s">
        <v>834</v>
      </c>
      <c r="C1824" s="64"/>
      <c r="D1824" s="65"/>
      <c r="E1824" s="66"/>
      <c r="F1824" s="67"/>
      <c r="G1824" s="64"/>
      <c r="H1824" s="68"/>
      <c r="I1824" s="69"/>
      <c r="J1824" s="69"/>
      <c r="K1824" s="32"/>
      <c r="L1824" s="76">
        <v>1824</v>
      </c>
      <c r="M1824" s="76"/>
      <c r="N1824" s="71"/>
      <c r="O1824" s="87" t="s">
        <v>179</v>
      </c>
      <c r="P1824" s="90">
        <v>45127.872615740744</v>
      </c>
      <c r="Q1824" s="87" t="s">
        <v>3616</v>
      </c>
      <c r="R1824" s="87">
        <v>0</v>
      </c>
      <c r="S1824" s="87">
        <v>1</v>
      </c>
      <c r="T1824" s="87">
        <v>0</v>
      </c>
      <c r="U1824" s="87">
        <v>0</v>
      </c>
      <c r="V1824" s="87">
        <v>16</v>
      </c>
      <c r="W1824" s="93" t="s">
        <v>7037</v>
      </c>
      <c r="X1824" s="87" t="s">
        <v>8352</v>
      </c>
      <c r="Y1824" s="87" t="s">
        <v>8413</v>
      </c>
      <c r="Z1824" s="87"/>
      <c r="AA1824" s="87" t="s">
        <v>9797</v>
      </c>
      <c r="AB1824" s="87" t="s">
        <v>11447</v>
      </c>
      <c r="AC1824" s="93" t="s">
        <v>11457</v>
      </c>
      <c r="AD1824" s="87" t="s">
        <v>11519</v>
      </c>
      <c r="AE1824" s="92" t="str">
        <f>HYPERLINK("https://twitter.com/viktorrossa/status/1682132411750965251")</f>
        <v>https://twitter.com/viktorrossa/status/1682132411750965251</v>
      </c>
      <c r="AF1824" s="90">
        <v>45127.872615740744</v>
      </c>
      <c r="AG1824" s="99">
        <v>45127</v>
      </c>
      <c r="AH1824" s="93" t="s">
        <v>13200</v>
      </c>
      <c r="AI1824" s="87" t="b">
        <v>0</v>
      </c>
      <c r="AJ1824" s="87"/>
      <c r="AK1824" s="87"/>
      <c r="AL1824" s="87"/>
      <c r="AM1824" s="87"/>
      <c r="AN1824" s="87"/>
      <c r="AO1824" s="87"/>
      <c r="AP1824" s="87"/>
      <c r="AQ1824" s="87" t="s">
        <v>16610</v>
      </c>
      <c r="AR1824" s="87">
        <v>18947</v>
      </c>
      <c r="AS1824" s="87"/>
      <c r="AT1824" s="87"/>
      <c r="AU1824" s="87"/>
      <c r="AV1824" s="92" t="str">
        <f>HYPERLINK("https://pbs.twimg.com/ext_tw_video_thumb/1682132229323993089/pu/img/SC3q5u029pIYL_HB.jpg")</f>
        <v>https://pbs.twimg.com/ext_tw_video_thumb/1682132229323993089/pu/img/SC3q5u029pIYL_HB.jpg</v>
      </c>
      <c r="AW1824" s="93" t="s">
        <v>20053</v>
      </c>
      <c r="AX1824" s="93" t="s">
        <v>20053</v>
      </c>
      <c r="AY1824" s="87"/>
      <c r="AZ1824" s="93" t="s">
        <v>22668</v>
      </c>
      <c r="BA1824" s="93" t="s">
        <v>22668</v>
      </c>
      <c r="BB1824" s="93" t="s">
        <v>22668</v>
      </c>
      <c r="BC1824" s="93" t="s">
        <v>20053</v>
      </c>
      <c r="BD1824" s="93" t="s">
        <v>23142</v>
      </c>
      <c r="BE1824" s="87"/>
      <c r="BF1824" s="87"/>
      <c r="BG1824" s="87"/>
      <c r="BH1824" s="87"/>
      <c r="BI1824" s="87"/>
    </row>
    <row r="1825" spans="1:61" x14ac:dyDescent="0.25">
      <c r="A1825" s="63" t="s">
        <v>835</v>
      </c>
      <c r="B1825" s="63" t="s">
        <v>835</v>
      </c>
      <c r="C1825" s="64"/>
      <c r="D1825" s="65"/>
      <c r="E1825" s="66"/>
      <c r="F1825" s="67"/>
      <c r="G1825" s="64"/>
      <c r="H1825" s="68"/>
      <c r="I1825" s="69"/>
      <c r="J1825" s="69"/>
      <c r="K1825" s="32"/>
      <c r="L1825" s="76">
        <v>1825</v>
      </c>
      <c r="M1825" s="76"/>
      <c r="N1825" s="71"/>
      <c r="O1825" s="87" t="s">
        <v>1840</v>
      </c>
      <c r="P1825" s="90">
        <v>45189.861979166664</v>
      </c>
      <c r="Q1825" s="87" t="s">
        <v>3617</v>
      </c>
      <c r="R1825" s="87">
        <v>0</v>
      </c>
      <c r="S1825" s="87">
        <v>0</v>
      </c>
      <c r="T1825" s="87">
        <v>0</v>
      </c>
      <c r="U1825" s="87">
        <v>0</v>
      </c>
      <c r="V1825" s="87">
        <v>38</v>
      </c>
      <c r="W1825" s="93" t="s">
        <v>7038</v>
      </c>
      <c r="X1825" s="87"/>
      <c r="Y1825" s="87"/>
      <c r="Z1825" s="87"/>
      <c r="AA1825" s="87"/>
      <c r="AB1825" s="87"/>
      <c r="AC1825" s="93" t="s">
        <v>11458</v>
      </c>
      <c r="AD1825" s="87" t="s">
        <v>11519</v>
      </c>
      <c r="AE1825" s="92" t="str">
        <f>HYPERLINK("https://twitter.com/todxsbrasil/status/1704596607327478054")</f>
        <v>https://twitter.com/todxsbrasil/status/1704596607327478054</v>
      </c>
      <c r="AF1825" s="90">
        <v>45189.861979166664</v>
      </c>
      <c r="AG1825" s="99">
        <v>45189</v>
      </c>
      <c r="AH1825" s="93" t="s">
        <v>13201</v>
      </c>
      <c r="AI1825" s="87"/>
      <c r="AJ1825" s="87"/>
      <c r="AK1825" s="87"/>
      <c r="AL1825" s="87"/>
      <c r="AM1825" s="87"/>
      <c r="AN1825" s="87"/>
      <c r="AO1825" s="87"/>
      <c r="AP1825" s="87"/>
      <c r="AQ1825" s="87"/>
      <c r="AR1825" s="87"/>
      <c r="AS1825" s="87"/>
      <c r="AT1825" s="87"/>
      <c r="AU1825" s="87"/>
      <c r="AV1825" s="92" t="str">
        <f>HYPERLINK("https://pbs.twimg.com/profile_images/1536400658676449280/Ad2hwIH1_normal.jpg")</f>
        <v>https://pbs.twimg.com/profile_images/1536400658676449280/Ad2hwIH1_normal.jpg</v>
      </c>
      <c r="AW1825" s="93" t="s">
        <v>20054</v>
      </c>
      <c r="AX1825" s="93" t="s">
        <v>22397</v>
      </c>
      <c r="AY1825" s="93" t="s">
        <v>22583</v>
      </c>
      <c r="AZ1825" s="93" t="s">
        <v>22722</v>
      </c>
      <c r="BA1825" s="93" t="s">
        <v>22668</v>
      </c>
      <c r="BB1825" s="93" t="s">
        <v>22668</v>
      </c>
      <c r="BC1825" s="93" t="s">
        <v>22722</v>
      </c>
      <c r="BD1825" s="93" t="s">
        <v>22583</v>
      </c>
      <c r="BE1825" s="87"/>
      <c r="BF1825" s="87"/>
      <c r="BG1825" s="87"/>
      <c r="BH1825" s="87"/>
      <c r="BI1825" s="87"/>
    </row>
    <row r="1826" spans="1:61" x14ac:dyDescent="0.25">
      <c r="A1826" s="63" t="s">
        <v>836</v>
      </c>
      <c r="B1826" s="63" t="s">
        <v>1693</v>
      </c>
      <c r="C1826" s="64"/>
      <c r="D1826" s="65"/>
      <c r="E1826" s="66"/>
      <c r="F1826" s="67"/>
      <c r="G1826" s="64"/>
      <c r="H1826" s="68"/>
      <c r="I1826" s="69"/>
      <c r="J1826" s="69"/>
      <c r="K1826" s="32"/>
      <c r="L1826" s="76">
        <v>1826</v>
      </c>
      <c r="M1826" s="76"/>
      <c r="N1826" s="71"/>
      <c r="O1826" s="87" t="s">
        <v>1840</v>
      </c>
      <c r="P1826" s="90">
        <v>45177.830208333333</v>
      </c>
      <c r="Q1826" s="87" t="s">
        <v>3618</v>
      </c>
      <c r="R1826" s="87">
        <v>0</v>
      </c>
      <c r="S1826" s="87">
        <v>0</v>
      </c>
      <c r="T1826" s="87">
        <v>0</v>
      </c>
      <c r="U1826" s="87">
        <v>0</v>
      </c>
      <c r="V1826" s="87">
        <v>90</v>
      </c>
      <c r="W1826" s="93" t="s">
        <v>5897</v>
      </c>
      <c r="X1826" s="87"/>
      <c r="Y1826" s="87"/>
      <c r="Z1826" s="87" t="s">
        <v>1693</v>
      </c>
      <c r="AA1826" s="87"/>
      <c r="AB1826" s="87"/>
      <c r="AC1826" s="93" t="s">
        <v>11459</v>
      </c>
      <c r="AD1826" s="87" t="s">
        <v>11519</v>
      </c>
      <c r="AE1826" s="92" t="str">
        <f>HYPERLINK("https://twitter.com/tomasacentuado/status/1700236439563153788")</f>
        <v>https://twitter.com/tomasacentuado/status/1700236439563153788</v>
      </c>
      <c r="AF1826" s="90">
        <v>45177.830208333333</v>
      </c>
      <c r="AG1826" s="99">
        <v>45177</v>
      </c>
      <c r="AH1826" s="93" t="s">
        <v>13202</v>
      </c>
      <c r="AI1826" s="87"/>
      <c r="AJ1826" s="87"/>
      <c r="AK1826" s="87"/>
      <c r="AL1826" s="87"/>
      <c r="AM1826" s="87"/>
      <c r="AN1826" s="87"/>
      <c r="AO1826" s="87"/>
      <c r="AP1826" s="87"/>
      <c r="AQ1826" s="87"/>
      <c r="AR1826" s="87"/>
      <c r="AS1826" s="87"/>
      <c r="AT1826" s="87"/>
      <c r="AU1826" s="87"/>
      <c r="AV1826" s="92" t="str">
        <f>HYPERLINK("https://pbs.twimg.com/profile_images/1687437756333441024/zMcokoOM_normal.jpg")</f>
        <v>https://pbs.twimg.com/profile_images/1687437756333441024/zMcokoOM_normal.jpg</v>
      </c>
      <c r="AW1826" s="93" t="s">
        <v>20055</v>
      </c>
      <c r="AX1826" s="93" t="s">
        <v>22398</v>
      </c>
      <c r="AY1826" s="93" t="s">
        <v>22584</v>
      </c>
      <c r="AZ1826" s="93" t="s">
        <v>22723</v>
      </c>
      <c r="BA1826" s="93" t="s">
        <v>22668</v>
      </c>
      <c r="BB1826" s="93" t="s">
        <v>22668</v>
      </c>
      <c r="BC1826" s="93" t="s">
        <v>22723</v>
      </c>
      <c r="BD1826" s="93" t="s">
        <v>23143</v>
      </c>
      <c r="BE1826" s="87"/>
      <c r="BF1826" s="87"/>
      <c r="BG1826" s="87"/>
      <c r="BH1826" s="87"/>
      <c r="BI1826" s="87"/>
    </row>
    <row r="1827" spans="1:61" x14ac:dyDescent="0.25">
      <c r="A1827" s="63" t="s">
        <v>837</v>
      </c>
      <c r="B1827" s="63" t="s">
        <v>837</v>
      </c>
      <c r="C1827" s="64"/>
      <c r="D1827" s="65"/>
      <c r="E1827" s="66"/>
      <c r="F1827" s="67"/>
      <c r="G1827" s="64"/>
      <c r="H1827" s="68"/>
      <c r="I1827" s="69"/>
      <c r="J1827" s="69"/>
      <c r="K1827" s="32"/>
      <c r="L1827" s="76">
        <v>1827</v>
      </c>
      <c r="M1827" s="76"/>
      <c r="N1827" s="71"/>
      <c r="O1827" s="87" t="s">
        <v>179</v>
      </c>
      <c r="P1827" s="90">
        <v>45175.558831018519</v>
      </c>
      <c r="Q1827" s="87" t="s">
        <v>3619</v>
      </c>
      <c r="R1827" s="87">
        <v>0</v>
      </c>
      <c r="S1827" s="87">
        <v>0</v>
      </c>
      <c r="T1827" s="87">
        <v>0</v>
      </c>
      <c r="U1827" s="87">
        <v>0</v>
      </c>
      <c r="V1827" s="87">
        <v>9</v>
      </c>
      <c r="W1827" s="93" t="s">
        <v>7039</v>
      </c>
      <c r="X1827" s="87"/>
      <c r="Y1827" s="87"/>
      <c r="Z1827" s="87"/>
      <c r="AA1827" s="87" t="s">
        <v>9798</v>
      </c>
      <c r="AB1827" s="87" t="s">
        <v>11448</v>
      </c>
      <c r="AC1827" s="93" t="s">
        <v>11458</v>
      </c>
      <c r="AD1827" s="87" t="s">
        <v>11519</v>
      </c>
      <c r="AE1827" s="92" t="str">
        <f>HYPERLINK("https://twitter.com/veritascuritiba/status/1699413319440859273")</f>
        <v>https://twitter.com/veritascuritiba/status/1699413319440859273</v>
      </c>
      <c r="AF1827" s="90">
        <v>45175.558831018519</v>
      </c>
      <c r="AG1827" s="99">
        <v>45175</v>
      </c>
      <c r="AH1827" s="93" t="s">
        <v>13203</v>
      </c>
      <c r="AI1827" s="87" t="b">
        <v>0</v>
      </c>
      <c r="AJ1827" s="87" t="s">
        <v>15177</v>
      </c>
      <c r="AK1827" s="87" t="s">
        <v>15234</v>
      </c>
      <c r="AL1827" s="87" t="s">
        <v>15237</v>
      </c>
      <c r="AM1827" s="87" t="s">
        <v>15249</v>
      </c>
      <c r="AN1827" s="87" t="s">
        <v>15314</v>
      </c>
      <c r="AO1827" s="87" t="s">
        <v>15381</v>
      </c>
      <c r="AP1827" s="87" t="s">
        <v>15438</v>
      </c>
      <c r="AQ1827" s="87" t="s">
        <v>16611</v>
      </c>
      <c r="AR1827" s="87"/>
      <c r="AS1827" s="87"/>
      <c r="AT1827" s="87"/>
      <c r="AU1827" s="87"/>
      <c r="AV1827" s="92" t="str">
        <f>HYPERLINK("https://pbs.twimg.com/media/F5WHZ4YWEAA-Ydd.jpg")</f>
        <v>https://pbs.twimg.com/media/F5WHZ4YWEAA-Ydd.jpg</v>
      </c>
      <c r="AW1827" s="93" t="s">
        <v>20056</v>
      </c>
      <c r="AX1827" s="93" t="s">
        <v>20056</v>
      </c>
      <c r="AY1827" s="87"/>
      <c r="AZ1827" s="93" t="s">
        <v>22668</v>
      </c>
      <c r="BA1827" s="93" t="s">
        <v>22668</v>
      </c>
      <c r="BB1827" s="93" t="s">
        <v>22668</v>
      </c>
      <c r="BC1827" s="93" t="s">
        <v>20056</v>
      </c>
      <c r="BD1827" s="93" t="s">
        <v>23144</v>
      </c>
      <c r="BE1827" s="87"/>
      <c r="BF1827" s="87"/>
      <c r="BG1827" s="87"/>
      <c r="BH1827" s="87"/>
      <c r="BI1827" s="87"/>
    </row>
    <row r="1828" spans="1:61" x14ac:dyDescent="0.25">
      <c r="A1828" s="63" t="s">
        <v>837</v>
      </c>
      <c r="B1828" s="63" t="s">
        <v>837</v>
      </c>
      <c r="C1828" s="64"/>
      <c r="D1828" s="65"/>
      <c r="E1828" s="66"/>
      <c r="F1828" s="67"/>
      <c r="G1828" s="64"/>
      <c r="H1828" s="68"/>
      <c r="I1828" s="69"/>
      <c r="J1828" s="69"/>
      <c r="K1828" s="32"/>
      <c r="L1828" s="76">
        <v>1828</v>
      </c>
      <c r="M1828" s="76"/>
      <c r="N1828" s="71"/>
      <c r="O1828" s="87" t="s">
        <v>179</v>
      </c>
      <c r="P1828" s="90">
        <v>45175.003055555557</v>
      </c>
      <c r="Q1828" s="87" t="s">
        <v>3620</v>
      </c>
      <c r="R1828" s="87">
        <v>0</v>
      </c>
      <c r="S1828" s="87">
        <v>0</v>
      </c>
      <c r="T1828" s="87">
        <v>0</v>
      </c>
      <c r="U1828" s="87">
        <v>0</v>
      </c>
      <c r="V1828" s="87">
        <v>29</v>
      </c>
      <c r="W1828" s="93" t="s">
        <v>7039</v>
      </c>
      <c r="X1828" s="87"/>
      <c r="Y1828" s="87"/>
      <c r="Z1828" s="87"/>
      <c r="AA1828" s="87" t="s">
        <v>9799</v>
      </c>
      <c r="AB1828" s="87" t="s">
        <v>11447</v>
      </c>
      <c r="AC1828" s="93" t="s">
        <v>11458</v>
      </c>
      <c r="AD1828" s="87" t="s">
        <v>11519</v>
      </c>
      <c r="AE1828" s="92" t="str">
        <f>HYPERLINK("https://twitter.com/veritascuritiba/status/1699211913077334511")</f>
        <v>https://twitter.com/veritascuritiba/status/1699211913077334511</v>
      </c>
      <c r="AF1828" s="90">
        <v>45175.003055555557</v>
      </c>
      <c r="AG1828" s="99">
        <v>45175</v>
      </c>
      <c r="AH1828" s="93" t="s">
        <v>13204</v>
      </c>
      <c r="AI1828" s="87" t="b">
        <v>0</v>
      </c>
      <c r="AJ1828" s="87"/>
      <c r="AK1828" s="87"/>
      <c r="AL1828" s="87"/>
      <c r="AM1828" s="87"/>
      <c r="AN1828" s="87"/>
      <c r="AO1828" s="87"/>
      <c r="AP1828" s="87"/>
      <c r="AQ1828" s="87" t="s">
        <v>16612</v>
      </c>
      <c r="AR1828" s="87">
        <v>15350</v>
      </c>
      <c r="AS1828" s="87"/>
      <c r="AT1828" s="87"/>
      <c r="AU1828" s="87"/>
      <c r="AV1828" s="92" t="str">
        <f>HYPERLINK("https://pbs.twimg.com/ext_tw_video_thumb/1699211874871447553/pu/img/zDstwjk6VBIryW1Y.jpg")</f>
        <v>https://pbs.twimg.com/ext_tw_video_thumb/1699211874871447553/pu/img/zDstwjk6VBIryW1Y.jpg</v>
      </c>
      <c r="AW1828" s="93" t="s">
        <v>20057</v>
      </c>
      <c r="AX1828" s="93" t="s">
        <v>20057</v>
      </c>
      <c r="AY1828" s="87"/>
      <c r="AZ1828" s="93" t="s">
        <v>22668</v>
      </c>
      <c r="BA1828" s="93" t="s">
        <v>22668</v>
      </c>
      <c r="BB1828" s="93" t="s">
        <v>22668</v>
      </c>
      <c r="BC1828" s="93" t="s">
        <v>20057</v>
      </c>
      <c r="BD1828" s="93" t="s">
        <v>23144</v>
      </c>
      <c r="BE1828" s="87"/>
      <c r="BF1828" s="87"/>
      <c r="BG1828" s="87"/>
      <c r="BH1828" s="87"/>
      <c r="BI1828" s="87"/>
    </row>
    <row r="1829" spans="1:61" x14ac:dyDescent="0.25">
      <c r="A1829" s="63" t="s">
        <v>838</v>
      </c>
      <c r="B1829" s="63" t="s">
        <v>838</v>
      </c>
      <c r="C1829" s="64"/>
      <c r="D1829" s="65"/>
      <c r="E1829" s="66"/>
      <c r="F1829" s="67"/>
      <c r="G1829" s="64"/>
      <c r="H1829" s="68"/>
      <c r="I1829" s="69"/>
      <c r="J1829" s="69"/>
      <c r="K1829" s="32"/>
      <c r="L1829" s="76">
        <v>1829</v>
      </c>
      <c r="M1829" s="76"/>
      <c r="N1829" s="71"/>
      <c r="O1829" s="87" t="s">
        <v>179</v>
      </c>
      <c r="P1829" s="90">
        <v>45135.96465277778</v>
      </c>
      <c r="Q1829" s="87" t="s">
        <v>3621</v>
      </c>
      <c r="R1829" s="87">
        <v>0</v>
      </c>
      <c r="S1829" s="87">
        <v>0</v>
      </c>
      <c r="T1829" s="87">
        <v>0</v>
      </c>
      <c r="U1829" s="87">
        <v>0</v>
      </c>
      <c r="V1829" s="87">
        <v>11</v>
      </c>
      <c r="W1829" s="93" t="s">
        <v>6801</v>
      </c>
      <c r="X1829" s="92" t="str">
        <f>HYPERLINK("https://agenciagrifo.com.br/empresas-devem-ter-blog-corporativo-no-site/")</f>
        <v>https://agenciagrifo.com.br/empresas-devem-ter-blog-corporativo-no-site/</v>
      </c>
      <c r="Y1829" s="87" t="s">
        <v>8373</v>
      </c>
      <c r="Z1829" s="87"/>
      <c r="AA1829" s="87"/>
      <c r="AB1829" s="87"/>
      <c r="AC1829" s="93" t="s">
        <v>11457</v>
      </c>
      <c r="AD1829" s="87" t="s">
        <v>11519</v>
      </c>
      <c r="AE1829" s="92" t="str">
        <f>HYPERLINK("https://twitter.com/grifoart/status/1685064868829794304")</f>
        <v>https://twitter.com/grifoart/status/1685064868829794304</v>
      </c>
      <c r="AF1829" s="90">
        <v>45135.96465277778</v>
      </c>
      <c r="AG1829" s="99">
        <v>45135</v>
      </c>
      <c r="AH1829" s="93" t="s">
        <v>13205</v>
      </c>
      <c r="AI1829" s="87" t="b">
        <v>0</v>
      </c>
      <c r="AJ1829" s="87"/>
      <c r="AK1829" s="87"/>
      <c r="AL1829" s="87"/>
      <c r="AM1829" s="87"/>
      <c r="AN1829" s="87"/>
      <c r="AO1829" s="87"/>
      <c r="AP1829" s="87"/>
      <c r="AQ1829" s="87"/>
      <c r="AR1829" s="87"/>
      <c r="AS1829" s="87"/>
      <c r="AT1829" s="87"/>
      <c r="AU1829" s="87"/>
      <c r="AV1829" s="92" t="str">
        <f>HYPERLINK("https://pbs.twimg.com/profile_images/1678623715129532418/tAeLP2zk_normal.jpg")</f>
        <v>https://pbs.twimg.com/profile_images/1678623715129532418/tAeLP2zk_normal.jpg</v>
      </c>
      <c r="AW1829" s="93" t="s">
        <v>20058</v>
      </c>
      <c r="AX1829" s="93" t="s">
        <v>20058</v>
      </c>
      <c r="AY1829" s="87"/>
      <c r="AZ1829" s="93" t="s">
        <v>22668</v>
      </c>
      <c r="BA1829" s="93" t="s">
        <v>22668</v>
      </c>
      <c r="BB1829" s="93" t="s">
        <v>22668</v>
      </c>
      <c r="BC1829" s="93" t="s">
        <v>20058</v>
      </c>
      <c r="BD1829" s="93" t="s">
        <v>23145</v>
      </c>
      <c r="BE1829" s="87"/>
      <c r="BF1829" s="87"/>
      <c r="BG1829" s="87"/>
      <c r="BH1829" s="87"/>
      <c r="BI1829" s="87"/>
    </row>
    <row r="1830" spans="1:61" x14ac:dyDescent="0.25">
      <c r="A1830" s="63" t="s">
        <v>839</v>
      </c>
      <c r="B1830" s="63" t="s">
        <v>839</v>
      </c>
      <c r="C1830" s="64"/>
      <c r="D1830" s="65"/>
      <c r="E1830" s="66"/>
      <c r="F1830" s="67"/>
      <c r="G1830" s="64"/>
      <c r="H1830" s="68"/>
      <c r="I1830" s="69"/>
      <c r="J1830" s="69"/>
      <c r="K1830" s="32"/>
      <c r="L1830" s="76">
        <v>1830</v>
      </c>
      <c r="M1830" s="76"/>
      <c r="N1830" s="71"/>
      <c r="O1830" s="87" t="s">
        <v>179</v>
      </c>
      <c r="P1830" s="90">
        <v>45132.656759259262</v>
      </c>
      <c r="Q1830" s="87" t="s">
        <v>3622</v>
      </c>
      <c r="R1830" s="87">
        <v>0</v>
      </c>
      <c r="S1830" s="87">
        <v>1</v>
      </c>
      <c r="T1830" s="87">
        <v>1</v>
      </c>
      <c r="U1830" s="87">
        <v>0</v>
      </c>
      <c r="V1830" s="87">
        <v>24</v>
      </c>
      <c r="W1830" s="93" t="s">
        <v>7040</v>
      </c>
      <c r="X1830" s="87"/>
      <c r="Y1830" s="87"/>
      <c r="Z1830" s="87"/>
      <c r="AA1830" s="87"/>
      <c r="AB1830" s="87"/>
      <c r="AC1830" s="93" t="s">
        <v>11457</v>
      </c>
      <c r="AD1830" s="87" t="s">
        <v>11519</v>
      </c>
      <c r="AE1830" s="92" t="str">
        <f>HYPERLINK("https://twitter.com/buuk_ad/status/1683866126868942848")</f>
        <v>https://twitter.com/buuk_ad/status/1683866126868942848</v>
      </c>
      <c r="AF1830" s="90">
        <v>45132.656759259262</v>
      </c>
      <c r="AG1830" s="99">
        <v>45132</v>
      </c>
      <c r="AH1830" s="93" t="s">
        <v>13206</v>
      </c>
      <c r="AI1830" s="87"/>
      <c r="AJ1830" s="87"/>
      <c r="AK1830" s="87"/>
      <c r="AL1830" s="87"/>
      <c r="AM1830" s="87"/>
      <c r="AN1830" s="87"/>
      <c r="AO1830" s="87"/>
      <c r="AP1830" s="87"/>
      <c r="AQ1830" s="87"/>
      <c r="AR1830" s="87"/>
      <c r="AS1830" s="87"/>
      <c r="AT1830" s="87"/>
      <c r="AU1830" s="87"/>
      <c r="AV1830" s="92" t="str">
        <f>HYPERLINK("https://pbs.twimg.com/profile_images/1660735693709103104/rqfpZox-_normal.jpg")</f>
        <v>https://pbs.twimg.com/profile_images/1660735693709103104/rqfpZox-_normal.jpg</v>
      </c>
      <c r="AW1830" s="93" t="s">
        <v>20059</v>
      </c>
      <c r="AX1830" s="93" t="s">
        <v>20059</v>
      </c>
      <c r="AY1830" s="87"/>
      <c r="AZ1830" s="93" t="s">
        <v>22668</v>
      </c>
      <c r="BA1830" s="93" t="s">
        <v>22668</v>
      </c>
      <c r="BB1830" s="93" t="s">
        <v>22668</v>
      </c>
      <c r="BC1830" s="93" t="s">
        <v>20059</v>
      </c>
      <c r="BD1830" s="93" t="s">
        <v>23146</v>
      </c>
      <c r="BE1830" s="87"/>
      <c r="BF1830" s="87"/>
      <c r="BG1830" s="87"/>
      <c r="BH1830" s="87"/>
      <c r="BI1830" s="87"/>
    </row>
    <row r="1831" spans="1:61" x14ac:dyDescent="0.25">
      <c r="A1831" s="63" t="s">
        <v>840</v>
      </c>
      <c r="B1831" s="63" t="s">
        <v>1367</v>
      </c>
      <c r="C1831" s="64"/>
      <c r="D1831" s="65"/>
      <c r="E1831" s="66"/>
      <c r="F1831" s="67"/>
      <c r="G1831" s="64"/>
      <c r="H1831" s="68"/>
      <c r="I1831" s="69"/>
      <c r="J1831" s="69"/>
      <c r="K1831" s="32"/>
      <c r="L1831" s="76">
        <v>1831</v>
      </c>
      <c r="M1831" s="76"/>
      <c r="N1831" s="71"/>
      <c r="O1831" s="87" t="s">
        <v>1841</v>
      </c>
      <c r="P1831" s="90">
        <v>45189.735347222224</v>
      </c>
      <c r="Q1831" s="87" t="s">
        <v>3623</v>
      </c>
      <c r="R1831" s="87">
        <v>1</v>
      </c>
      <c r="S1831" s="87">
        <v>0</v>
      </c>
      <c r="T1831" s="87">
        <v>0</v>
      </c>
      <c r="U1831" s="87">
        <v>0</v>
      </c>
      <c r="V1831" s="87"/>
      <c r="W1831" s="93" t="s">
        <v>7041</v>
      </c>
      <c r="X1831" s="87"/>
      <c r="Y1831" s="87"/>
      <c r="Z1831" s="87" t="s">
        <v>1367</v>
      </c>
      <c r="AA1831" s="87"/>
      <c r="AB1831" s="87"/>
      <c r="AC1831" s="93" t="s">
        <v>11459</v>
      </c>
      <c r="AD1831" s="87" t="s">
        <v>11519</v>
      </c>
      <c r="AE1831" s="92" t="str">
        <f>HYPERLINK("https://twitter.com/garciaimoveis/status/1704550716042293479")</f>
        <v>https://twitter.com/garciaimoveis/status/1704550716042293479</v>
      </c>
      <c r="AF1831" s="90">
        <v>45189.735347222224</v>
      </c>
      <c r="AG1831" s="99">
        <v>45189</v>
      </c>
      <c r="AH1831" s="93" t="s">
        <v>13207</v>
      </c>
      <c r="AI1831" s="87" t="b">
        <v>0</v>
      </c>
      <c r="AJ1831" s="87"/>
      <c r="AK1831" s="87"/>
      <c r="AL1831" s="87"/>
      <c r="AM1831" s="87"/>
      <c r="AN1831" s="87"/>
      <c r="AO1831" s="87"/>
      <c r="AP1831" s="87"/>
      <c r="AQ1831" s="87"/>
      <c r="AR1831" s="87"/>
      <c r="AS1831" s="87"/>
      <c r="AT1831" s="87"/>
      <c r="AU1831" s="87"/>
      <c r="AV1831" s="92" t="str">
        <f>HYPERLINK("https://pbs.twimg.com/profile_images/1211689228087812096/Gn7stsEq_normal.jpg")</f>
        <v>https://pbs.twimg.com/profile_images/1211689228087812096/Gn7stsEq_normal.jpg</v>
      </c>
      <c r="AW1831" s="93" t="s">
        <v>20060</v>
      </c>
      <c r="AX1831" s="93" t="s">
        <v>20060</v>
      </c>
      <c r="AY1831" s="87"/>
      <c r="AZ1831" s="93" t="s">
        <v>22668</v>
      </c>
      <c r="BA1831" s="93" t="s">
        <v>22668</v>
      </c>
      <c r="BB1831" s="93" t="s">
        <v>21716</v>
      </c>
      <c r="BC1831" s="93" t="s">
        <v>21716</v>
      </c>
      <c r="BD1831" s="87">
        <v>57466798</v>
      </c>
      <c r="BE1831" s="87"/>
      <c r="BF1831" s="87"/>
      <c r="BG1831" s="87"/>
      <c r="BH1831" s="87"/>
      <c r="BI1831" s="87"/>
    </row>
    <row r="1832" spans="1:61" x14ac:dyDescent="0.25">
      <c r="A1832" s="63" t="s">
        <v>840</v>
      </c>
      <c r="B1832" s="63" t="s">
        <v>1367</v>
      </c>
      <c r="C1832" s="64"/>
      <c r="D1832" s="65"/>
      <c r="E1832" s="66"/>
      <c r="F1832" s="67"/>
      <c r="G1832" s="64"/>
      <c r="H1832" s="68"/>
      <c r="I1832" s="69"/>
      <c r="J1832" s="69"/>
      <c r="K1832" s="32"/>
      <c r="L1832" s="76">
        <v>1832</v>
      </c>
      <c r="M1832" s="76"/>
      <c r="N1832" s="71"/>
      <c r="O1832" s="87" t="s">
        <v>1841</v>
      </c>
      <c r="P1832" s="90">
        <v>45190.520474537036</v>
      </c>
      <c r="Q1832" s="87" t="s">
        <v>2090</v>
      </c>
      <c r="R1832" s="87">
        <v>14</v>
      </c>
      <c r="S1832" s="87">
        <v>0</v>
      </c>
      <c r="T1832" s="87">
        <v>0</v>
      </c>
      <c r="U1832" s="87">
        <v>0</v>
      </c>
      <c r="V1832" s="87"/>
      <c r="W1832" s="93" t="s">
        <v>6034</v>
      </c>
      <c r="X1832" s="87"/>
      <c r="Y1832" s="87"/>
      <c r="Z1832" s="87" t="s">
        <v>1367</v>
      </c>
      <c r="AA1832" s="87"/>
      <c r="AB1832" s="87"/>
      <c r="AC1832" s="93" t="s">
        <v>11459</v>
      </c>
      <c r="AD1832" s="87" t="s">
        <v>11519</v>
      </c>
      <c r="AE1832" s="92" t="str">
        <f>HYPERLINK("https://twitter.com/garciaimoveis/status/1704835235370635569")</f>
        <v>https://twitter.com/garciaimoveis/status/1704835235370635569</v>
      </c>
      <c r="AF1832" s="90">
        <v>45190.520474537036</v>
      </c>
      <c r="AG1832" s="99">
        <v>45190</v>
      </c>
      <c r="AH1832" s="93" t="s">
        <v>13208</v>
      </c>
      <c r="AI1832" s="87"/>
      <c r="AJ1832" s="87"/>
      <c r="AK1832" s="87"/>
      <c r="AL1832" s="87"/>
      <c r="AM1832" s="87"/>
      <c r="AN1832" s="87"/>
      <c r="AO1832" s="87"/>
      <c r="AP1832" s="87"/>
      <c r="AQ1832" s="87"/>
      <c r="AR1832" s="87"/>
      <c r="AS1832" s="87"/>
      <c r="AT1832" s="87"/>
      <c r="AU1832" s="87"/>
      <c r="AV1832" s="92" t="str">
        <f>HYPERLINK("https://pbs.twimg.com/profile_images/1211689228087812096/Gn7stsEq_normal.jpg")</f>
        <v>https://pbs.twimg.com/profile_images/1211689228087812096/Gn7stsEq_normal.jpg</v>
      </c>
      <c r="AW1832" s="93" t="s">
        <v>20061</v>
      </c>
      <c r="AX1832" s="93" t="s">
        <v>20061</v>
      </c>
      <c r="AY1832" s="87"/>
      <c r="AZ1832" s="93" t="s">
        <v>22668</v>
      </c>
      <c r="BA1832" s="93" t="s">
        <v>22668</v>
      </c>
      <c r="BB1832" s="93" t="s">
        <v>21717</v>
      </c>
      <c r="BC1832" s="93" t="s">
        <v>21717</v>
      </c>
      <c r="BD1832" s="87">
        <v>57466798</v>
      </c>
      <c r="BE1832" s="87"/>
      <c r="BF1832" s="87"/>
      <c r="BG1832" s="87"/>
      <c r="BH1832" s="87"/>
      <c r="BI1832" s="87"/>
    </row>
    <row r="1833" spans="1:61" x14ac:dyDescent="0.25">
      <c r="A1833" s="63" t="s">
        <v>841</v>
      </c>
      <c r="B1833" s="63" t="s">
        <v>841</v>
      </c>
      <c r="C1833" s="64"/>
      <c r="D1833" s="65"/>
      <c r="E1833" s="66"/>
      <c r="F1833" s="67"/>
      <c r="G1833" s="64"/>
      <c r="H1833" s="68"/>
      <c r="I1833" s="69"/>
      <c r="J1833" s="69"/>
      <c r="K1833" s="32"/>
      <c r="L1833" s="76">
        <v>1833</v>
      </c>
      <c r="M1833" s="76"/>
      <c r="N1833" s="71"/>
      <c r="O1833" s="87" t="s">
        <v>179</v>
      </c>
      <c r="P1833" s="90">
        <v>45119.009212962963</v>
      </c>
      <c r="Q1833" s="87" t="s">
        <v>3624</v>
      </c>
      <c r="R1833" s="87">
        <v>0</v>
      </c>
      <c r="S1833" s="87">
        <v>0</v>
      </c>
      <c r="T1833" s="87">
        <v>0</v>
      </c>
      <c r="U1833" s="87">
        <v>0</v>
      </c>
      <c r="V1833" s="87">
        <v>23</v>
      </c>
      <c r="W1833" s="93" t="s">
        <v>7042</v>
      </c>
      <c r="X1833" s="87"/>
      <c r="Y1833" s="87"/>
      <c r="Z1833" s="87"/>
      <c r="AA1833" s="87" t="s">
        <v>9800</v>
      </c>
      <c r="AB1833" s="87" t="s">
        <v>11448</v>
      </c>
      <c r="AC1833" s="93" t="s">
        <v>11459</v>
      </c>
      <c r="AD1833" s="87" t="s">
        <v>11519</v>
      </c>
      <c r="AE1833" s="92" t="str">
        <f>HYPERLINK("https://twitter.com/passanuma/status/1678920421842857984")</f>
        <v>https://twitter.com/passanuma/status/1678920421842857984</v>
      </c>
      <c r="AF1833" s="90">
        <v>45119.009212962963</v>
      </c>
      <c r="AG1833" s="99">
        <v>45119</v>
      </c>
      <c r="AH1833" s="93" t="s">
        <v>13209</v>
      </c>
      <c r="AI1833" s="87" t="b">
        <v>0</v>
      </c>
      <c r="AJ1833" s="87"/>
      <c r="AK1833" s="87"/>
      <c r="AL1833" s="87"/>
      <c r="AM1833" s="87"/>
      <c r="AN1833" s="87"/>
      <c r="AO1833" s="87"/>
      <c r="AP1833" s="87"/>
      <c r="AQ1833" s="87" t="s">
        <v>16613</v>
      </c>
      <c r="AR1833" s="87"/>
      <c r="AS1833" s="87"/>
      <c r="AT1833" s="87"/>
      <c r="AU1833" s="87"/>
      <c r="AV1833" s="92" t="str">
        <f>HYPERLINK("https://pbs.twimg.com/media/F0y5OZhXwAARqO1.jpg")</f>
        <v>https://pbs.twimg.com/media/F0y5OZhXwAARqO1.jpg</v>
      </c>
      <c r="AW1833" s="93" t="s">
        <v>20062</v>
      </c>
      <c r="AX1833" s="93" t="s">
        <v>20062</v>
      </c>
      <c r="AY1833" s="87"/>
      <c r="AZ1833" s="93" t="s">
        <v>22668</v>
      </c>
      <c r="BA1833" s="93" t="s">
        <v>22668</v>
      </c>
      <c r="BB1833" s="93" t="s">
        <v>22668</v>
      </c>
      <c r="BC1833" s="93" t="s">
        <v>20062</v>
      </c>
      <c r="BD1833" s="93" t="s">
        <v>23147</v>
      </c>
      <c r="BE1833" s="87"/>
      <c r="BF1833" s="87"/>
      <c r="BG1833" s="87"/>
      <c r="BH1833" s="87"/>
      <c r="BI1833" s="87"/>
    </row>
    <row r="1834" spans="1:61" x14ac:dyDescent="0.25">
      <c r="A1834" s="63" t="s">
        <v>841</v>
      </c>
      <c r="B1834" s="63" t="s">
        <v>841</v>
      </c>
      <c r="C1834" s="64"/>
      <c r="D1834" s="65"/>
      <c r="E1834" s="66"/>
      <c r="F1834" s="67"/>
      <c r="G1834" s="64"/>
      <c r="H1834" s="68"/>
      <c r="I1834" s="69"/>
      <c r="J1834" s="69"/>
      <c r="K1834" s="32"/>
      <c r="L1834" s="76">
        <v>1834</v>
      </c>
      <c r="M1834" s="76"/>
      <c r="N1834" s="71"/>
      <c r="O1834" s="87" t="s">
        <v>179</v>
      </c>
      <c r="P1834" s="90">
        <v>45115.506909722222</v>
      </c>
      <c r="Q1834" s="87" t="s">
        <v>3625</v>
      </c>
      <c r="R1834" s="87">
        <v>0</v>
      </c>
      <c r="S1834" s="87">
        <v>0</v>
      </c>
      <c r="T1834" s="87">
        <v>0</v>
      </c>
      <c r="U1834" s="87">
        <v>0</v>
      </c>
      <c r="V1834" s="87">
        <v>43</v>
      </c>
      <c r="W1834" s="93" t="s">
        <v>7043</v>
      </c>
      <c r="X1834" s="87"/>
      <c r="Y1834" s="87"/>
      <c r="Z1834" s="87"/>
      <c r="AA1834" s="87" t="s">
        <v>9801</v>
      </c>
      <c r="AB1834" s="87" t="s">
        <v>11448</v>
      </c>
      <c r="AC1834" s="93" t="s">
        <v>11459</v>
      </c>
      <c r="AD1834" s="87" t="s">
        <v>11519</v>
      </c>
      <c r="AE1834" s="92" t="str">
        <f>HYPERLINK("https://twitter.com/passanuma/status/1677651230363987968")</f>
        <v>https://twitter.com/passanuma/status/1677651230363987968</v>
      </c>
      <c r="AF1834" s="90">
        <v>45115.506909722222</v>
      </c>
      <c r="AG1834" s="99">
        <v>45115</v>
      </c>
      <c r="AH1834" s="93" t="s">
        <v>13210</v>
      </c>
      <c r="AI1834" s="87" t="b">
        <v>0</v>
      </c>
      <c r="AJ1834" s="87"/>
      <c r="AK1834" s="87"/>
      <c r="AL1834" s="87"/>
      <c r="AM1834" s="87"/>
      <c r="AN1834" s="87"/>
      <c r="AO1834" s="87"/>
      <c r="AP1834" s="87"/>
      <c r="AQ1834" s="87" t="s">
        <v>16614</v>
      </c>
      <c r="AR1834" s="87"/>
      <c r="AS1834" s="87"/>
      <c r="AT1834" s="87"/>
      <c r="AU1834" s="87"/>
      <c r="AV1834" s="92" t="str">
        <f>HYPERLINK("https://pbs.twimg.com/media/F0g25ukWwAEwXFc.jpg")</f>
        <v>https://pbs.twimg.com/media/F0g25ukWwAEwXFc.jpg</v>
      </c>
      <c r="AW1834" s="93" t="s">
        <v>20063</v>
      </c>
      <c r="AX1834" s="93" t="s">
        <v>20063</v>
      </c>
      <c r="AY1834" s="87"/>
      <c r="AZ1834" s="93" t="s">
        <v>22668</v>
      </c>
      <c r="BA1834" s="93" t="s">
        <v>22668</v>
      </c>
      <c r="BB1834" s="93" t="s">
        <v>22668</v>
      </c>
      <c r="BC1834" s="93" t="s">
        <v>20063</v>
      </c>
      <c r="BD1834" s="93" t="s">
        <v>23147</v>
      </c>
      <c r="BE1834" s="87"/>
      <c r="BF1834" s="87"/>
      <c r="BG1834" s="87"/>
      <c r="BH1834" s="87"/>
      <c r="BI1834" s="87"/>
    </row>
    <row r="1835" spans="1:61" x14ac:dyDescent="0.25">
      <c r="A1835" s="63" t="s">
        <v>842</v>
      </c>
      <c r="B1835" s="63" t="s">
        <v>842</v>
      </c>
      <c r="C1835" s="64"/>
      <c r="D1835" s="65"/>
      <c r="E1835" s="66"/>
      <c r="F1835" s="67"/>
      <c r="G1835" s="64"/>
      <c r="H1835" s="68"/>
      <c r="I1835" s="69"/>
      <c r="J1835" s="69"/>
      <c r="K1835" s="32"/>
      <c r="L1835" s="76">
        <v>1835</v>
      </c>
      <c r="M1835" s="76"/>
      <c r="N1835" s="71"/>
      <c r="O1835" s="87" t="s">
        <v>179</v>
      </c>
      <c r="P1835" s="90">
        <v>45132.604953703703</v>
      </c>
      <c r="Q1835" s="87" t="s">
        <v>3626</v>
      </c>
      <c r="R1835" s="87">
        <v>0</v>
      </c>
      <c r="S1835" s="87">
        <v>0</v>
      </c>
      <c r="T1835" s="87">
        <v>0</v>
      </c>
      <c r="U1835" s="87">
        <v>0</v>
      </c>
      <c r="V1835" s="87">
        <v>2</v>
      </c>
      <c r="W1835" s="93" t="s">
        <v>7044</v>
      </c>
      <c r="X1835" s="92" t="str">
        <f>HYPERLINK("https://www.instagram.com/reel/CvH1l3_xsTX/?igshid=MTc4MmM1YmI2Ng==")</f>
        <v>https://www.instagram.com/reel/CvH1l3_xsTX/?igshid=MTc4MmM1YmI2Ng==</v>
      </c>
      <c r="Y1835" s="87" t="s">
        <v>8383</v>
      </c>
      <c r="Z1835" s="87"/>
      <c r="AA1835" s="87"/>
      <c r="AB1835" s="87"/>
      <c r="AC1835" s="93" t="s">
        <v>11459</v>
      </c>
      <c r="AD1835" s="87" t="s">
        <v>11519</v>
      </c>
      <c r="AE1835" s="92" t="str">
        <f>HYPERLINK("https://twitter.com/iberezanski/status/1683847357199155200")</f>
        <v>https://twitter.com/iberezanski/status/1683847357199155200</v>
      </c>
      <c r="AF1835" s="90">
        <v>45132.604953703703</v>
      </c>
      <c r="AG1835" s="99">
        <v>45132</v>
      </c>
      <c r="AH1835" s="93" t="s">
        <v>13211</v>
      </c>
      <c r="AI1835" s="87" t="b">
        <v>0</v>
      </c>
      <c r="AJ1835" s="87"/>
      <c r="AK1835" s="87"/>
      <c r="AL1835" s="87"/>
      <c r="AM1835" s="87"/>
      <c r="AN1835" s="87"/>
      <c r="AO1835" s="87"/>
      <c r="AP1835" s="87"/>
      <c r="AQ1835" s="87"/>
      <c r="AR1835" s="87"/>
      <c r="AS1835" s="87"/>
      <c r="AT1835" s="87"/>
      <c r="AU1835" s="87"/>
      <c r="AV1835" s="92" t="str">
        <f>HYPERLINK("https://pbs.twimg.com/profile_images/1667326263093067777/r3PmTWr2_normal.jpg")</f>
        <v>https://pbs.twimg.com/profile_images/1667326263093067777/r3PmTWr2_normal.jpg</v>
      </c>
      <c r="AW1835" s="93" t="s">
        <v>20064</v>
      </c>
      <c r="AX1835" s="93" t="s">
        <v>20064</v>
      </c>
      <c r="AY1835" s="87"/>
      <c r="AZ1835" s="93" t="s">
        <v>22668</v>
      </c>
      <c r="BA1835" s="93" t="s">
        <v>22668</v>
      </c>
      <c r="BB1835" s="93" t="s">
        <v>22668</v>
      </c>
      <c r="BC1835" s="93" t="s">
        <v>20064</v>
      </c>
      <c r="BD1835" s="93" t="s">
        <v>23148</v>
      </c>
      <c r="BE1835" s="87"/>
      <c r="BF1835" s="87"/>
      <c r="BG1835" s="87"/>
      <c r="BH1835" s="87"/>
      <c r="BI1835" s="87"/>
    </row>
    <row r="1836" spans="1:61" x14ac:dyDescent="0.25">
      <c r="A1836" s="63" t="s">
        <v>842</v>
      </c>
      <c r="B1836" s="63" t="s">
        <v>842</v>
      </c>
      <c r="C1836" s="64"/>
      <c r="D1836" s="65"/>
      <c r="E1836" s="66"/>
      <c r="F1836" s="67"/>
      <c r="G1836" s="64"/>
      <c r="H1836" s="68"/>
      <c r="I1836" s="69"/>
      <c r="J1836" s="69"/>
      <c r="K1836" s="32"/>
      <c r="L1836" s="76">
        <v>1836</v>
      </c>
      <c r="M1836" s="76"/>
      <c r="N1836" s="71"/>
      <c r="O1836" s="87" t="s">
        <v>179</v>
      </c>
      <c r="P1836" s="90">
        <v>45188.59039351852</v>
      </c>
      <c r="Q1836" s="87" t="s">
        <v>3627</v>
      </c>
      <c r="R1836" s="87">
        <v>0</v>
      </c>
      <c r="S1836" s="87">
        <v>0</v>
      </c>
      <c r="T1836" s="87">
        <v>0</v>
      </c>
      <c r="U1836" s="87">
        <v>0</v>
      </c>
      <c r="V1836" s="87">
        <v>4</v>
      </c>
      <c r="W1836" s="93" t="s">
        <v>7045</v>
      </c>
      <c r="X1836" s="92" t="str">
        <f>HYPERLINK("https://www.instagram.com/reel")</f>
        <v>https://www.instagram.com/reel</v>
      </c>
      <c r="Y1836" s="87" t="s">
        <v>8383</v>
      </c>
      <c r="Z1836" s="87"/>
      <c r="AA1836" s="87"/>
      <c r="AB1836" s="87"/>
      <c r="AC1836" s="93" t="s">
        <v>11459</v>
      </c>
      <c r="AD1836" s="87" t="s">
        <v>11519</v>
      </c>
      <c r="AE1836" s="92" t="str">
        <f>HYPERLINK("https://twitter.com/iberezanski/status/1704135799954939958")</f>
        <v>https://twitter.com/iberezanski/status/1704135799954939958</v>
      </c>
      <c r="AF1836" s="90">
        <v>45188.59039351852</v>
      </c>
      <c r="AG1836" s="99">
        <v>45188</v>
      </c>
      <c r="AH1836" s="93" t="s">
        <v>13212</v>
      </c>
      <c r="AI1836" s="87" t="b">
        <v>0</v>
      </c>
      <c r="AJ1836" s="87"/>
      <c r="AK1836" s="87"/>
      <c r="AL1836" s="87"/>
      <c r="AM1836" s="87"/>
      <c r="AN1836" s="87"/>
      <c r="AO1836" s="87"/>
      <c r="AP1836" s="87"/>
      <c r="AQ1836" s="87"/>
      <c r="AR1836" s="87"/>
      <c r="AS1836" s="87"/>
      <c r="AT1836" s="87"/>
      <c r="AU1836" s="87"/>
      <c r="AV1836" s="92" t="str">
        <f>HYPERLINK("https://pbs.twimg.com/profile_images/1667326263093067777/r3PmTWr2_normal.jpg")</f>
        <v>https://pbs.twimg.com/profile_images/1667326263093067777/r3PmTWr2_normal.jpg</v>
      </c>
      <c r="AW1836" s="93" t="s">
        <v>20065</v>
      </c>
      <c r="AX1836" s="93" t="s">
        <v>20065</v>
      </c>
      <c r="AY1836" s="87"/>
      <c r="AZ1836" s="93" t="s">
        <v>22668</v>
      </c>
      <c r="BA1836" s="93" t="s">
        <v>22668</v>
      </c>
      <c r="BB1836" s="93" t="s">
        <v>22668</v>
      </c>
      <c r="BC1836" s="93" t="s">
        <v>20065</v>
      </c>
      <c r="BD1836" s="93" t="s">
        <v>23148</v>
      </c>
      <c r="BE1836" s="87"/>
      <c r="BF1836" s="87"/>
      <c r="BG1836" s="87"/>
      <c r="BH1836" s="87"/>
      <c r="BI1836" s="87"/>
    </row>
    <row r="1837" spans="1:61" x14ac:dyDescent="0.25">
      <c r="A1837" s="63" t="s">
        <v>843</v>
      </c>
      <c r="B1837" s="63" t="s">
        <v>843</v>
      </c>
      <c r="C1837" s="64"/>
      <c r="D1837" s="65"/>
      <c r="E1837" s="66"/>
      <c r="F1837" s="67"/>
      <c r="G1837" s="64"/>
      <c r="H1837" s="68"/>
      <c r="I1837" s="69"/>
      <c r="J1837" s="69"/>
      <c r="K1837" s="32"/>
      <c r="L1837" s="76">
        <v>1837</v>
      </c>
      <c r="M1837" s="76"/>
      <c r="N1837" s="71"/>
      <c r="O1837" s="87" t="s">
        <v>179</v>
      </c>
      <c r="P1837" s="90">
        <v>45182.717534722222</v>
      </c>
      <c r="Q1837" s="87" t="s">
        <v>3628</v>
      </c>
      <c r="R1837" s="87">
        <v>0</v>
      </c>
      <c r="S1837" s="87">
        <v>0</v>
      </c>
      <c r="T1837" s="87">
        <v>0</v>
      </c>
      <c r="U1837" s="87">
        <v>0</v>
      </c>
      <c r="V1837" s="87">
        <v>46</v>
      </c>
      <c r="W1837" s="93" t="s">
        <v>7046</v>
      </c>
      <c r="X1837" s="87"/>
      <c r="Y1837" s="87"/>
      <c r="Z1837" s="87"/>
      <c r="AA1837" s="87" t="s">
        <v>9802</v>
      </c>
      <c r="AB1837" s="87" t="s">
        <v>11447</v>
      </c>
      <c r="AC1837" s="93" t="s">
        <v>11457</v>
      </c>
      <c r="AD1837" s="87" t="s">
        <v>11519</v>
      </c>
      <c r="AE1837" s="92" t="str">
        <f>HYPERLINK("https://twitter.com/tax_infinity/status/1702007544707756527")</f>
        <v>https://twitter.com/tax_infinity/status/1702007544707756527</v>
      </c>
      <c r="AF1837" s="90">
        <v>45182.717534722222</v>
      </c>
      <c r="AG1837" s="99">
        <v>45182</v>
      </c>
      <c r="AH1837" s="93" t="s">
        <v>13213</v>
      </c>
      <c r="AI1837" s="87" t="b">
        <v>0</v>
      </c>
      <c r="AJ1837" s="87"/>
      <c r="AK1837" s="87"/>
      <c r="AL1837" s="87"/>
      <c r="AM1837" s="87"/>
      <c r="AN1837" s="87"/>
      <c r="AO1837" s="87"/>
      <c r="AP1837" s="87"/>
      <c r="AQ1837" s="87" t="s">
        <v>16615</v>
      </c>
      <c r="AR1837" s="87">
        <v>56066</v>
      </c>
      <c r="AS1837" s="87"/>
      <c r="AT1837" s="87"/>
      <c r="AU1837" s="87"/>
      <c r="AV1837" s="92" t="str">
        <f>HYPERLINK("https://pbs.twimg.com/ext_tw_video_thumb/1702007381217902592/pu/img/UbsTjrkyD_6u99hS.jpg")</f>
        <v>https://pbs.twimg.com/ext_tw_video_thumb/1702007381217902592/pu/img/UbsTjrkyD_6u99hS.jpg</v>
      </c>
      <c r="AW1837" s="93" t="s">
        <v>20066</v>
      </c>
      <c r="AX1837" s="93" t="s">
        <v>20066</v>
      </c>
      <c r="AY1837" s="87"/>
      <c r="AZ1837" s="93" t="s">
        <v>22668</v>
      </c>
      <c r="BA1837" s="93" t="s">
        <v>22668</v>
      </c>
      <c r="BB1837" s="93" t="s">
        <v>22668</v>
      </c>
      <c r="BC1837" s="93" t="s">
        <v>20066</v>
      </c>
      <c r="BD1837" s="93" t="s">
        <v>23149</v>
      </c>
      <c r="BE1837" s="87"/>
      <c r="BF1837" s="87"/>
      <c r="BG1837" s="87"/>
      <c r="BH1837" s="87"/>
      <c r="BI1837" s="87"/>
    </row>
    <row r="1838" spans="1:61" x14ac:dyDescent="0.25">
      <c r="A1838" s="63" t="s">
        <v>844</v>
      </c>
      <c r="B1838" s="63" t="s">
        <v>844</v>
      </c>
      <c r="C1838" s="64"/>
      <c r="D1838" s="65"/>
      <c r="E1838" s="66"/>
      <c r="F1838" s="67"/>
      <c r="G1838" s="64"/>
      <c r="H1838" s="68"/>
      <c r="I1838" s="69"/>
      <c r="J1838" s="69"/>
      <c r="K1838" s="32"/>
      <c r="L1838" s="76">
        <v>1838</v>
      </c>
      <c r="M1838" s="76"/>
      <c r="N1838" s="71"/>
      <c r="O1838" s="87" t="s">
        <v>179</v>
      </c>
      <c r="P1838" s="90">
        <v>45117.542164351849</v>
      </c>
      <c r="Q1838" s="87" t="s">
        <v>3629</v>
      </c>
      <c r="R1838" s="87">
        <v>0</v>
      </c>
      <c r="S1838" s="87">
        <v>0</v>
      </c>
      <c r="T1838" s="87">
        <v>0</v>
      </c>
      <c r="U1838" s="87">
        <v>0</v>
      </c>
      <c r="V1838" s="87">
        <v>7</v>
      </c>
      <c r="W1838" s="93" t="s">
        <v>7047</v>
      </c>
      <c r="X1838" s="92" t="str">
        <f>HYPERLINK("http://www.tixturismofranquias.com.br")</f>
        <v>http://www.tixturismofranquias.com.br</v>
      </c>
      <c r="Y1838" s="87" t="s">
        <v>8373</v>
      </c>
      <c r="Z1838" s="87"/>
      <c r="AA1838" s="87" t="s">
        <v>9803</v>
      </c>
      <c r="AB1838" s="87" t="s">
        <v>11448</v>
      </c>
      <c r="AC1838" s="93" t="s">
        <v>11460</v>
      </c>
      <c r="AD1838" s="87" t="s">
        <v>11519</v>
      </c>
      <c r="AE1838" s="92" t="str">
        <f>HYPERLINK("https://twitter.com/wkalaes/status/1678388782498816001")</f>
        <v>https://twitter.com/wkalaes/status/1678388782498816001</v>
      </c>
      <c r="AF1838" s="90">
        <v>45117.542164351849</v>
      </c>
      <c r="AG1838" s="99">
        <v>45117</v>
      </c>
      <c r="AH1838" s="93" t="s">
        <v>13214</v>
      </c>
      <c r="AI1838" s="87" t="b">
        <v>0</v>
      </c>
      <c r="AJ1838" s="87"/>
      <c r="AK1838" s="87"/>
      <c r="AL1838" s="87"/>
      <c r="AM1838" s="87"/>
      <c r="AN1838" s="87"/>
      <c r="AO1838" s="87"/>
      <c r="AP1838" s="87"/>
      <c r="AQ1838" s="87" t="s">
        <v>16616</v>
      </c>
      <c r="AR1838" s="87"/>
      <c r="AS1838" s="87"/>
      <c r="AT1838" s="87"/>
      <c r="AU1838" s="87"/>
      <c r="AV1838" s="92" t="str">
        <f>HYPERLINK("https://pbs.twimg.com/media/F0rVs7AXsAAjq9A.jpg")</f>
        <v>https://pbs.twimg.com/media/F0rVs7AXsAAjq9A.jpg</v>
      </c>
      <c r="AW1838" s="93" t="s">
        <v>20067</v>
      </c>
      <c r="AX1838" s="93" t="s">
        <v>20067</v>
      </c>
      <c r="AY1838" s="87"/>
      <c r="AZ1838" s="93" t="s">
        <v>22668</v>
      </c>
      <c r="BA1838" s="93" t="s">
        <v>22668</v>
      </c>
      <c r="BB1838" s="93" t="s">
        <v>22668</v>
      </c>
      <c r="BC1838" s="93" t="s">
        <v>20067</v>
      </c>
      <c r="BD1838" s="87">
        <v>324110720</v>
      </c>
      <c r="BE1838" s="87"/>
      <c r="BF1838" s="87"/>
      <c r="BG1838" s="87"/>
      <c r="BH1838" s="87"/>
      <c r="BI1838" s="87"/>
    </row>
    <row r="1839" spans="1:61" x14ac:dyDescent="0.25">
      <c r="A1839" s="63" t="s">
        <v>844</v>
      </c>
      <c r="B1839" s="63" t="s">
        <v>844</v>
      </c>
      <c r="C1839" s="64"/>
      <c r="D1839" s="65"/>
      <c r="E1839" s="66"/>
      <c r="F1839" s="67"/>
      <c r="G1839" s="64"/>
      <c r="H1839" s="68"/>
      <c r="I1839" s="69"/>
      <c r="J1839" s="69"/>
      <c r="K1839" s="32"/>
      <c r="L1839" s="76">
        <v>1839</v>
      </c>
      <c r="M1839" s="76"/>
      <c r="N1839" s="71"/>
      <c r="O1839" s="87" t="s">
        <v>179</v>
      </c>
      <c r="P1839" s="90">
        <v>45118.500532407408</v>
      </c>
      <c r="Q1839" s="87" t="s">
        <v>3630</v>
      </c>
      <c r="R1839" s="87">
        <v>0</v>
      </c>
      <c r="S1839" s="87">
        <v>0</v>
      </c>
      <c r="T1839" s="87">
        <v>0</v>
      </c>
      <c r="U1839" s="87">
        <v>0</v>
      </c>
      <c r="V1839" s="87">
        <v>6</v>
      </c>
      <c r="W1839" s="93" t="s">
        <v>7048</v>
      </c>
      <c r="X1839" s="92" t="str">
        <f>HYPERLINK("http://www.tixturismofranquias.com.br")</f>
        <v>http://www.tixturismofranquias.com.br</v>
      </c>
      <c r="Y1839" s="87" t="s">
        <v>8373</v>
      </c>
      <c r="Z1839" s="87"/>
      <c r="AA1839" s="87" t="s">
        <v>9804</v>
      </c>
      <c r="AB1839" s="87" t="s">
        <v>11448</v>
      </c>
      <c r="AC1839" s="93" t="s">
        <v>11460</v>
      </c>
      <c r="AD1839" s="87" t="s">
        <v>11519</v>
      </c>
      <c r="AE1839" s="92" t="str">
        <f>HYPERLINK("https://twitter.com/wkalaes/status/1678736085650747392")</f>
        <v>https://twitter.com/wkalaes/status/1678736085650747392</v>
      </c>
      <c r="AF1839" s="90">
        <v>45118.500532407408</v>
      </c>
      <c r="AG1839" s="99">
        <v>45118</v>
      </c>
      <c r="AH1839" s="93" t="s">
        <v>13215</v>
      </c>
      <c r="AI1839" s="87" t="b">
        <v>0</v>
      </c>
      <c r="AJ1839" s="87"/>
      <c r="AK1839" s="87"/>
      <c r="AL1839" s="87"/>
      <c r="AM1839" s="87"/>
      <c r="AN1839" s="87"/>
      <c r="AO1839" s="87"/>
      <c r="AP1839" s="87"/>
      <c r="AQ1839" s="87" t="s">
        <v>16617</v>
      </c>
      <c r="AR1839" s="87"/>
      <c r="AS1839" s="87"/>
      <c r="AT1839" s="87"/>
      <c r="AU1839" s="87"/>
      <c r="AV1839" s="92" t="str">
        <f>HYPERLINK("https://pbs.twimg.com/media/F0wRkr2XwAI4t__.jpg")</f>
        <v>https://pbs.twimg.com/media/F0wRkr2XwAI4t__.jpg</v>
      </c>
      <c r="AW1839" s="93" t="s">
        <v>20068</v>
      </c>
      <c r="AX1839" s="93" t="s">
        <v>20068</v>
      </c>
      <c r="AY1839" s="87"/>
      <c r="AZ1839" s="93" t="s">
        <v>22668</v>
      </c>
      <c r="BA1839" s="93" t="s">
        <v>22668</v>
      </c>
      <c r="BB1839" s="93" t="s">
        <v>22668</v>
      </c>
      <c r="BC1839" s="93" t="s">
        <v>20068</v>
      </c>
      <c r="BD1839" s="87">
        <v>324110720</v>
      </c>
      <c r="BE1839" s="87"/>
      <c r="BF1839" s="87"/>
      <c r="BG1839" s="87"/>
      <c r="BH1839" s="87"/>
      <c r="BI1839" s="87"/>
    </row>
    <row r="1840" spans="1:61" x14ac:dyDescent="0.25">
      <c r="A1840" s="63" t="s">
        <v>844</v>
      </c>
      <c r="B1840" s="63" t="s">
        <v>844</v>
      </c>
      <c r="C1840" s="64"/>
      <c r="D1840" s="65"/>
      <c r="E1840" s="66"/>
      <c r="F1840" s="67"/>
      <c r="G1840" s="64"/>
      <c r="H1840" s="68"/>
      <c r="I1840" s="69"/>
      <c r="J1840" s="69"/>
      <c r="K1840" s="32"/>
      <c r="L1840" s="76">
        <v>1840</v>
      </c>
      <c r="M1840" s="76"/>
      <c r="N1840" s="71"/>
      <c r="O1840" s="87" t="s">
        <v>179</v>
      </c>
      <c r="P1840" s="90">
        <v>45119.507256944446</v>
      </c>
      <c r="Q1840" s="87" t="s">
        <v>3631</v>
      </c>
      <c r="R1840" s="87">
        <v>0</v>
      </c>
      <c r="S1840" s="87">
        <v>0</v>
      </c>
      <c r="T1840" s="87">
        <v>0</v>
      </c>
      <c r="U1840" s="87">
        <v>0</v>
      </c>
      <c r="V1840" s="87">
        <v>8</v>
      </c>
      <c r="W1840" s="93" t="s">
        <v>7048</v>
      </c>
      <c r="X1840" s="92" t="str">
        <f>HYPERLINK("http://www.tixturismofranquias.com.br")</f>
        <v>http://www.tixturismofranquias.com.br</v>
      </c>
      <c r="Y1840" s="87" t="s">
        <v>8373</v>
      </c>
      <c r="Z1840" s="87"/>
      <c r="AA1840" s="87" t="s">
        <v>9805</v>
      </c>
      <c r="AB1840" s="87" t="s">
        <v>11448</v>
      </c>
      <c r="AC1840" s="93" t="s">
        <v>11460</v>
      </c>
      <c r="AD1840" s="87" t="s">
        <v>11519</v>
      </c>
      <c r="AE1840" s="92" t="str">
        <f>HYPERLINK("https://twitter.com/wkalaes/status/1679100910251700224")</f>
        <v>https://twitter.com/wkalaes/status/1679100910251700224</v>
      </c>
      <c r="AF1840" s="90">
        <v>45119.507256944446</v>
      </c>
      <c r="AG1840" s="99">
        <v>45119</v>
      </c>
      <c r="AH1840" s="93" t="s">
        <v>13216</v>
      </c>
      <c r="AI1840" s="87" t="b">
        <v>0</v>
      </c>
      <c r="AJ1840" s="87"/>
      <c r="AK1840" s="87"/>
      <c r="AL1840" s="87"/>
      <c r="AM1840" s="87"/>
      <c r="AN1840" s="87"/>
      <c r="AO1840" s="87"/>
      <c r="AP1840" s="87"/>
      <c r="AQ1840" s="87" t="s">
        <v>16618</v>
      </c>
      <c r="AR1840" s="87"/>
      <c r="AS1840" s="87"/>
      <c r="AT1840" s="87"/>
      <c r="AU1840" s="87"/>
      <c r="AV1840" s="92" t="str">
        <f>HYPERLINK("https://pbs.twimg.com/media/F01dYS-WAAIH_sy.jpg")</f>
        <v>https://pbs.twimg.com/media/F01dYS-WAAIH_sy.jpg</v>
      </c>
      <c r="AW1840" s="93" t="s">
        <v>20069</v>
      </c>
      <c r="AX1840" s="93" t="s">
        <v>20069</v>
      </c>
      <c r="AY1840" s="87"/>
      <c r="AZ1840" s="93" t="s">
        <v>22668</v>
      </c>
      <c r="BA1840" s="93" t="s">
        <v>22668</v>
      </c>
      <c r="BB1840" s="93" t="s">
        <v>22668</v>
      </c>
      <c r="BC1840" s="93" t="s">
        <v>20069</v>
      </c>
      <c r="BD1840" s="87">
        <v>324110720</v>
      </c>
      <c r="BE1840" s="87"/>
      <c r="BF1840" s="87"/>
      <c r="BG1840" s="87"/>
      <c r="BH1840" s="87"/>
      <c r="BI1840" s="87"/>
    </row>
    <row r="1841" spans="1:61" x14ac:dyDescent="0.25">
      <c r="A1841" s="63" t="s">
        <v>844</v>
      </c>
      <c r="B1841" s="63" t="s">
        <v>844</v>
      </c>
      <c r="C1841" s="64"/>
      <c r="D1841" s="65"/>
      <c r="E1841" s="66"/>
      <c r="F1841" s="67"/>
      <c r="G1841" s="64"/>
      <c r="H1841" s="68"/>
      <c r="I1841" s="69"/>
      <c r="J1841" s="69"/>
      <c r="K1841" s="32"/>
      <c r="L1841" s="76">
        <v>1841</v>
      </c>
      <c r="M1841" s="76"/>
      <c r="N1841" s="71"/>
      <c r="O1841" s="87" t="s">
        <v>179</v>
      </c>
      <c r="P1841" s="90">
        <v>45127.792222222219</v>
      </c>
      <c r="Q1841" s="87" t="s">
        <v>3632</v>
      </c>
      <c r="R1841" s="87">
        <v>0</v>
      </c>
      <c r="S1841" s="87">
        <v>0</v>
      </c>
      <c r="T1841" s="87">
        <v>0</v>
      </c>
      <c r="U1841" s="87">
        <v>0</v>
      </c>
      <c r="V1841" s="87">
        <v>4</v>
      </c>
      <c r="W1841" s="93" t="s">
        <v>7048</v>
      </c>
      <c r="X1841" s="92" t="str">
        <f>HYPERLINK("http://www.tixturismofranquias.com.br")</f>
        <v>http://www.tixturismofranquias.com.br</v>
      </c>
      <c r="Y1841" s="87" t="s">
        <v>8373</v>
      </c>
      <c r="Z1841" s="87"/>
      <c r="AA1841" s="87" t="s">
        <v>9806</v>
      </c>
      <c r="AB1841" s="87" t="s">
        <v>11448</v>
      </c>
      <c r="AC1841" s="93" t="s">
        <v>11460</v>
      </c>
      <c r="AD1841" s="87" t="s">
        <v>11519</v>
      </c>
      <c r="AE1841" s="92" t="str">
        <f>HYPERLINK("https://twitter.com/wkalaes/status/1682103277637320705")</f>
        <v>https://twitter.com/wkalaes/status/1682103277637320705</v>
      </c>
      <c r="AF1841" s="90">
        <v>45127.792222222219</v>
      </c>
      <c r="AG1841" s="99">
        <v>45127</v>
      </c>
      <c r="AH1841" s="93" t="s">
        <v>13217</v>
      </c>
      <c r="AI1841" s="87" t="b">
        <v>0</v>
      </c>
      <c r="AJ1841" s="87"/>
      <c r="AK1841" s="87"/>
      <c r="AL1841" s="87"/>
      <c r="AM1841" s="87"/>
      <c r="AN1841" s="87"/>
      <c r="AO1841" s="87"/>
      <c r="AP1841" s="87"/>
      <c r="AQ1841" s="87" t="s">
        <v>16619</v>
      </c>
      <c r="AR1841" s="87"/>
      <c r="AS1841" s="87"/>
      <c r="AT1841" s="87"/>
      <c r="AU1841" s="87"/>
      <c r="AV1841" s="92" t="str">
        <f>HYPERLINK("https://pbs.twimg.com/media/F1gIBBlXwAIS1M5.jpg")</f>
        <v>https://pbs.twimg.com/media/F1gIBBlXwAIS1M5.jpg</v>
      </c>
      <c r="AW1841" s="93" t="s">
        <v>20070</v>
      </c>
      <c r="AX1841" s="93" t="s">
        <v>20070</v>
      </c>
      <c r="AY1841" s="87"/>
      <c r="AZ1841" s="93" t="s">
        <v>22668</v>
      </c>
      <c r="BA1841" s="93" t="s">
        <v>22668</v>
      </c>
      <c r="BB1841" s="93" t="s">
        <v>22668</v>
      </c>
      <c r="BC1841" s="93" t="s">
        <v>20070</v>
      </c>
      <c r="BD1841" s="87">
        <v>324110720</v>
      </c>
      <c r="BE1841" s="87"/>
      <c r="BF1841" s="87"/>
      <c r="BG1841" s="87"/>
      <c r="BH1841" s="87"/>
      <c r="BI1841" s="87"/>
    </row>
    <row r="1842" spans="1:61" x14ac:dyDescent="0.25">
      <c r="A1842" s="63" t="s">
        <v>844</v>
      </c>
      <c r="B1842" s="63" t="s">
        <v>844</v>
      </c>
      <c r="C1842" s="64"/>
      <c r="D1842" s="65"/>
      <c r="E1842" s="66"/>
      <c r="F1842" s="67"/>
      <c r="G1842" s="64"/>
      <c r="H1842" s="68"/>
      <c r="I1842" s="69"/>
      <c r="J1842" s="69"/>
      <c r="K1842" s="32"/>
      <c r="L1842" s="76">
        <v>1842</v>
      </c>
      <c r="M1842" s="76"/>
      <c r="N1842" s="71"/>
      <c r="O1842" s="87" t="s">
        <v>179</v>
      </c>
      <c r="P1842" s="90">
        <v>45121.510694444441</v>
      </c>
      <c r="Q1842" s="87" t="s">
        <v>3633</v>
      </c>
      <c r="R1842" s="87">
        <v>0</v>
      </c>
      <c r="S1842" s="87">
        <v>0</v>
      </c>
      <c r="T1842" s="87">
        <v>0</v>
      </c>
      <c r="U1842" s="87">
        <v>0</v>
      </c>
      <c r="V1842" s="87">
        <v>3</v>
      </c>
      <c r="W1842" s="93" t="s">
        <v>7048</v>
      </c>
      <c r="X1842" s="92" t="str">
        <f>HYPERLINK("http://www.tixturismofranquias.com.br")</f>
        <v>http://www.tixturismofranquias.com.br</v>
      </c>
      <c r="Y1842" s="87" t="s">
        <v>8373</v>
      </c>
      <c r="Z1842" s="87"/>
      <c r="AA1842" s="87" t="s">
        <v>9807</v>
      </c>
      <c r="AB1842" s="87" t="s">
        <v>11448</v>
      </c>
      <c r="AC1842" s="93" t="s">
        <v>11460</v>
      </c>
      <c r="AD1842" s="87" t="s">
        <v>11519</v>
      </c>
      <c r="AE1842" s="92" t="str">
        <f>HYPERLINK("https://twitter.com/wkalaes/status/1679826930466541569")</f>
        <v>https://twitter.com/wkalaes/status/1679826930466541569</v>
      </c>
      <c r="AF1842" s="90">
        <v>45121.510694444441</v>
      </c>
      <c r="AG1842" s="99">
        <v>45121</v>
      </c>
      <c r="AH1842" s="93" t="s">
        <v>13218</v>
      </c>
      <c r="AI1842" s="87" t="b">
        <v>0</v>
      </c>
      <c r="AJ1842" s="87"/>
      <c r="AK1842" s="87"/>
      <c r="AL1842" s="87"/>
      <c r="AM1842" s="87"/>
      <c r="AN1842" s="87"/>
      <c r="AO1842" s="87"/>
      <c r="AP1842" s="87"/>
      <c r="AQ1842" s="87" t="s">
        <v>16620</v>
      </c>
      <c r="AR1842" s="87"/>
      <c r="AS1842" s="87"/>
      <c r="AT1842" s="87"/>
      <c r="AU1842" s="87"/>
      <c r="AV1842" s="92" t="str">
        <f>HYPERLINK("https://pbs.twimg.com/media/F0_xsNTXoAE67c4.jpg")</f>
        <v>https://pbs.twimg.com/media/F0_xsNTXoAE67c4.jpg</v>
      </c>
      <c r="AW1842" s="93" t="s">
        <v>20071</v>
      </c>
      <c r="AX1842" s="93" t="s">
        <v>20071</v>
      </c>
      <c r="AY1842" s="87"/>
      <c r="AZ1842" s="93" t="s">
        <v>22668</v>
      </c>
      <c r="BA1842" s="93" t="s">
        <v>22668</v>
      </c>
      <c r="BB1842" s="93" t="s">
        <v>22668</v>
      </c>
      <c r="BC1842" s="93" t="s">
        <v>20071</v>
      </c>
      <c r="BD1842" s="87">
        <v>324110720</v>
      </c>
      <c r="BE1842" s="87"/>
      <c r="BF1842" s="87"/>
      <c r="BG1842" s="87"/>
      <c r="BH1842" s="87"/>
      <c r="BI1842" s="87"/>
    </row>
    <row r="1843" spans="1:61" x14ac:dyDescent="0.25">
      <c r="A1843" s="63" t="s">
        <v>844</v>
      </c>
      <c r="B1843" s="63" t="s">
        <v>844</v>
      </c>
      <c r="C1843" s="64"/>
      <c r="D1843" s="65"/>
      <c r="E1843" s="66"/>
      <c r="F1843" s="67"/>
      <c r="G1843" s="64"/>
      <c r="H1843" s="68"/>
      <c r="I1843" s="69"/>
      <c r="J1843" s="69"/>
      <c r="K1843" s="32"/>
      <c r="L1843" s="76">
        <v>1843</v>
      </c>
      <c r="M1843" s="76"/>
      <c r="N1843" s="71"/>
      <c r="O1843" s="87" t="s">
        <v>179</v>
      </c>
      <c r="P1843" s="90">
        <v>45120.507175925923</v>
      </c>
      <c r="Q1843" s="87" t="s">
        <v>3634</v>
      </c>
      <c r="R1843" s="87">
        <v>0</v>
      </c>
      <c r="S1843" s="87">
        <v>0</v>
      </c>
      <c r="T1843" s="87">
        <v>0</v>
      </c>
      <c r="U1843" s="87">
        <v>0</v>
      </c>
      <c r="V1843" s="87">
        <v>7</v>
      </c>
      <c r="W1843" s="93" t="s">
        <v>7048</v>
      </c>
      <c r="X1843" s="92" t="str">
        <f>HYPERLINK("http://www.tixturismofranquias.com.br")</f>
        <v>http://www.tixturismofranquias.com.br</v>
      </c>
      <c r="Y1843" s="87" t="s">
        <v>8373</v>
      </c>
      <c r="Z1843" s="87"/>
      <c r="AA1843" s="87" t="s">
        <v>9808</v>
      </c>
      <c r="AB1843" s="87" t="s">
        <v>11448</v>
      </c>
      <c r="AC1843" s="93" t="s">
        <v>11460</v>
      </c>
      <c r="AD1843" s="87" t="s">
        <v>11519</v>
      </c>
      <c r="AE1843" s="92" t="str">
        <f>HYPERLINK("https://twitter.com/wkalaes/status/1679463268086173699")</f>
        <v>https://twitter.com/wkalaes/status/1679463268086173699</v>
      </c>
      <c r="AF1843" s="90">
        <v>45120.507175925923</v>
      </c>
      <c r="AG1843" s="99">
        <v>45120</v>
      </c>
      <c r="AH1843" s="93" t="s">
        <v>13219</v>
      </c>
      <c r="AI1843" s="87" t="b">
        <v>0</v>
      </c>
      <c r="AJ1843" s="87"/>
      <c r="AK1843" s="87"/>
      <c r="AL1843" s="87"/>
      <c r="AM1843" s="87"/>
      <c r="AN1843" s="87"/>
      <c r="AO1843" s="87"/>
      <c r="AP1843" s="87"/>
      <c r="AQ1843" s="87" t="s">
        <v>16621</v>
      </c>
      <c r="AR1843" s="87"/>
      <c r="AS1843" s="87"/>
      <c r="AT1843" s="87"/>
      <c r="AU1843" s="87"/>
      <c r="AV1843" s="92" t="str">
        <f>HYPERLINK("https://pbs.twimg.com/media/F06m8SEWAAAFtJY.jpg")</f>
        <v>https://pbs.twimg.com/media/F06m8SEWAAAFtJY.jpg</v>
      </c>
      <c r="AW1843" s="93" t="s">
        <v>20072</v>
      </c>
      <c r="AX1843" s="93" t="s">
        <v>20072</v>
      </c>
      <c r="AY1843" s="87"/>
      <c r="AZ1843" s="93" t="s">
        <v>22668</v>
      </c>
      <c r="BA1843" s="93" t="s">
        <v>22668</v>
      </c>
      <c r="BB1843" s="93" t="s">
        <v>22668</v>
      </c>
      <c r="BC1843" s="93" t="s">
        <v>20072</v>
      </c>
      <c r="BD1843" s="87">
        <v>324110720</v>
      </c>
      <c r="BE1843" s="87"/>
      <c r="BF1843" s="87"/>
      <c r="BG1843" s="87"/>
      <c r="BH1843" s="87"/>
      <c r="BI1843" s="87"/>
    </row>
    <row r="1844" spans="1:61" x14ac:dyDescent="0.25">
      <c r="A1844" s="63" t="s">
        <v>844</v>
      </c>
      <c r="B1844" s="63" t="s">
        <v>844</v>
      </c>
      <c r="C1844" s="64"/>
      <c r="D1844" s="65"/>
      <c r="E1844" s="66"/>
      <c r="F1844" s="67"/>
      <c r="G1844" s="64"/>
      <c r="H1844" s="68"/>
      <c r="I1844" s="69"/>
      <c r="J1844" s="69"/>
      <c r="K1844" s="32"/>
      <c r="L1844" s="76">
        <v>1844</v>
      </c>
      <c r="M1844" s="76"/>
      <c r="N1844" s="71"/>
      <c r="O1844" s="87" t="s">
        <v>179</v>
      </c>
      <c r="P1844" s="90">
        <v>45124.51421296296</v>
      </c>
      <c r="Q1844" s="87" t="s">
        <v>3635</v>
      </c>
      <c r="R1844" s="87">
        <v>0</v>
      </c>
      <c r="S1844" s="87">
        <v>0</v>
      </c>
      <c r="T1844" s="87">
        <v>0</v>
      </c>
      <c r="U1844" s="87">
        <v>0</v>
      </c>
      <c r="V1844" s="87">
        <v>3</v>
      </c>
      <c r="W1844" s="93" t="s">
        <v>7048</v>
      </c>
      <c r="X1844" s="92" t="str">
        <f>HYPERLINK("http://www.tixturismofranquias.com.br")</f>
        <v>http://www.tixturismofranquias.com.br</v>
      </c>
      <c r="Y1844" s="87" t="s">
        <v>8373</v>
      </c>
      <c r="Z1844" s="87"/>
      <c r="AA1844" s="87" t="s">
        <v>9809</v>
      </c>
      <c r="AB1844" s="87" t="s">
        <v>11448</v>
      </c>
      <c r="AC1844" s="93" t="s">
        <v>11460</v>
      </c>
      <c r="AD1844" s="87" t="s">
        <v>11519</v>
      </c>
      <c r="AE1844" s="92" t="str">
        <f>HYPERLINK("https://twitter.com/wkalaes/status/1680915367869161475")</f>
        <v>https://twitter.com/wkalaes/status/1680915367869161475</v>
      </c>
      <c r="AF1844" s="90">
        <v>45124.51421296296</v>
      </c>
      <c r="AG1844" s="99">
        <v>45124</v>
      </c>
      <c r="AH1844" s="93" t="s">
        <v>13220</v>
      </c>
      <c r="AI1844" s="87" t="b">
        <v>0</v>
      </c>
      <c r="AJ1844" s="87"/>
      <c r="AK1844" s="87"/>
      <c r="AL1844" s="87"/>
      <c r="AM1844" s="87"/>
      <c r="AN1844" s="87"/>
      <c r="AO1844" s="87"/>
      <c r="AP1844" s="87"/>
      <c r="AQ1844" s="87" t="s">
        <v>16622</v>
      </c>
      <c r="AR1844" s="87"/>
      <c r="AS1844" s="87"/>
      <c r="AT1844" s="87"/>
      <c r="AU1844" s="87"/>
      <c r="AV1844" s="92" t="str">
        <f>HYPERLINK("https://pbs.twimg.com/media/F1PPnosXoAEjMqR.jpg")</f>
        <v>https://pbs.twimg.com/media/F1PPnosXoAEjMqR.jpg</v>
      </c>
      <c r="AW1844" s="93" t="s">
        <v>20073</v>
      </c>
      <c r="AX1844" s="93" t="s">
        <v>20073</v>
      </c>
      <c r="AY1844" s="87"/>
      <c r="AZ1844" s="93" t="s">
        <v>22668</v>
      </c>
      <c r="BA1844" s="93" t="s">
        <v>22668</v>
      </c>
      <c r="BB1844" s="93" t="s">
        <v>22668</v>
      </c>
      <c r="BC1844" s="93" t="s">
        <v>20073</v>
      </c>
      <c r="BD1844" s="87">
        <v>324110720</v>
      </c>
      <c r="BE1844" s="87"/>
      <c r="BF1844" s="87"/>
      <c r="BG1844" s="87"/>
      <c r="BH1844" s="87"/>
      <c r="BI1844" s="87"/>
    </row>
    <row r="1845" spans="1:61" x14ac:dyDescent="0.25">
      <c r="A1845" s="63" t="s">
        <v>844</v>
      </c>
      <c r="B1845" s="63" t="s">
        <v>844</v>
      </c>
      <c r="C1845" s="64"/>
      <c r="D1845" s="65"/>
      <c r="E1845" s="66"/>
      <c r="F1845" s="67"/>
      <c r="G1845" s="64"/>
      <c r="H1845" s="68"/>
      <c r="I1845" s="69"/>
      <c r="J1845" s="69"/>
      <c r="K1845" s="32"/>
      <c r="L1845" s="76">
        <v>1845</v>
      </c>
      <c r="M1845" s="76"/>
      <c r="N1845" s="71"/>
      <c r="O1845" s="87" t="s">
        <v>179</v>
      </c>
      <c r="P1845" s="90">
        <v>45123.51394675926</v>
      </c>
      <c r="Q1845" s="87" t="s">
        <v>3636</v>
      </c>
      <c r="R1845" s="87">
        <v>0</v>
      </c>
      <c r="S1845" s="87">
        <v>0</v>
      </c>
      <c r="T1845" s="87">
        <v>0</v>
      </c>
      <c r="U1845" s="87">
        <v>0</v>
      </c>
      <c r="V1845" s="87">
        <v>2</v>
      </c>
      <c r="W1845" s="93" t="s">
        <v>7048</v>
      </c>
      <c r="X1845" s="92" t="str">
        <f>HYPERLINK("http://www.tixturismofranquias.com.br")</f>
        <v>http://www.tixturismofranquias.com.br</v>
      </c>
      <c r="Y1845" s="87" t="s">
        <v>8373</v>
      </c>
      <c r="Z1845" s="87"/>
      <c r="AA1845" s="87" t="s">
        <v>9810</v>
      </c>
      <c r="AB1845" s="87" t="s">
        <v>11448</v>
      </c>
      <c r="AC1845" s="93" t="s">
        <v>11460</v>
      </c>
      <c r="AD1845" s="87" t="s">
        <v>11519</v>
      </c>
      <c r="AE1845" s="92" t="str">
        <f>HYPERLINK("https://twitter.com/wkalaes/status/1680552883232677890")</f>
        <v>https://twitter.com/wkalaes/status/1680552883232677890</v>
      </c>
      <c r="AF1845" s="90">
        <v>45123.51394675926</v>
      </c>
      <c r="AG1845" s="99">
        <v>45123</v>
      </c>
      <c r="AH1845" s="93" t="s">
        <v>13036</v>
      </c>
      <c r="AI1845" s="87" t="b">
        <v>0</v>
      </c>
      <c r="AJ1845" s="87"/>
      <c r="AK1845" s="87"/>
      <c r="AL1845" s="87"/>
      <c r="AM1845" s="87"/>
      <c r="AN1845" s="87"/>
      <c r="AO1845" s="87"/>
      <c r="AP1845" s="87"/>
      <c r="AQ1845" s="87" t="s">
        <v>16623</v>
      </c>
      <c r="AR1845" s="87"/>
      <c r="AS1845" s="87"/>
      <c r="AT1845" s="87"/>
      <c r="AU1845" s="87"/>
      <c r="AV1845" s="92" t="str">
        <f>HYPERLINK("https://pbs.twimg.com/media/F1KF8PeWIAIc4BL.jpg")</f>
        <v>https://pbs.twimg.com/media/F1KF8PeWIAIc4BL.jpg</v>
      </c>
      <c r="AW1845" s="93" t="s">
        <v>20074</v>
      </c>
      <c r="AX1845" s="93" t="s">
        <v>20074</v>
      </c>
      <c r="AY1845" s="87"/>
      <c r="AZ1845" s="93" t="s">
        <v>22668</v>
      </c>
      <c r="BA1845" s="93" t="s">
        <v>22668</v>
      </c>
      <c r="BB1845" s="93" t="s">
        <v>22668</v>
      </c>
      <c r="BC1845" s="93" t="s">
        <v>20074</v>
      </c>
      <c r="BD1845" s="87">
        <v>324110720</v>
      </c>
      <c r="BE1845" s="87"/>
      <c r="BF1845" s="87"/>
      <c r="BG1845" s="87"/>
      <c r="BH1845" s="87"/>
      <c r="BI1845" s="87"/>
    </row>
    <row r="1846" spans="1:61" x14ac:dyDescent="0.25">
      <c r="A1846" s="63" t="s">
        <v>844</v>
      </c>
      <c r="B1846" s="63" t="s">
        <v>844</v>
      </c>
      <c r="C1846" s="64"/>
      <c r="D1846" s="65"/>
      <c r="E1846" s="66"/>
      <c r="F1846" s="67"/>
      <c r="G1846" s="64"/>
      <c r="H1846" s="68"/>
      <c r="I1846" s="69"/>
      <c r="J1846" s="69"/>
      <c r="K1846" s="32"/>
      <c r="L1846" s="76">
        <v>1846</v>
      </c>
      <c r="M1846" s="76"/>
      <c r="N1846" s="71"/>
      <c r="O1846" s="87" t="s">
        <v>179</v>
      </c>
      <c r="P1846" s="90">
        <v>45122.510717592595</v>
      </c>
      <c r="Q1846" s="87" t="s">
        <v>3637</v>
      </c>
      <c r="R1846" s="87">
        <v>0</v>
      </c>
      <c r="S1846" s="87">
        <v>0</v>
      </c>
      <c r="T1846" s="87">
        <v>0</v>
      </c>
      <c r="U1846" s="87">
        <v>0</v>
      </c>
      <c r="V1846" s="87">
        <v>3</v>
      </c>
      <c r="W1846" s="93" t="s">
        <v>7048</v>
      </c>
      <c r="X1846" s="92" t="str">
        <f>HYPERLINK("http://www.tixturismofranquias.com.br")</f>
        <v>http://www.tixturismofranquias.com.br</v>
      </c>
      <c r="Y1846" s="87" t="s">
        <v>8373</v>
      </c>
      <c r="Z1846" s="87"/>
      <c r="AA1846" s="87" t="s">
        <v>9811</v>
      </c>
      <c r="AB1846" s="87" t="s">
        <v>11448</v>
      </c>
      <c r="AC1846" s="93" t="s">
        <v>11460</v>
      </c>
      <c r="AD1846" s="87" t="s">
        <v>11519</v>
      </c>
      <c r="AE1846" s="92" t="str">
        <f>HYPERLINK("https://twitter.com/wkalaes/status/1680189324556419072")</f>
        <v>https://twitter.com/wkalaes/status/1680189324556419072</v>
      </c>
      <c r="AF1846" s="90">
        <v>45122.510717592595</v>
      </c>
      <c r="AG1846" s="99">
        <v>45122</v>
      </c>
      <c r="AH1846" s="93" t="s">
        <v>13221</v>
      </c>
      <c r="AI1846" s="87" t="b">
        <v>0</v>
      </c>
      <c r="AJ1846" s="87"/>
      <c r="AK1846" s="87"/>
      <c r="AL1846" s="87"/>
      <c r="AM1846" s="87"/>
      <c r="AN1846" s="87"/>
      <c r="AO1846" s="87"/>
      <c r="AP1846" s="87"/>
      <c r="AQ1846" s="87" t="s">
        <v>16624</v>
      </c>
      <c r="AR1846" s="87"/>
      <c r="AS1846" s="87"/>
      <c r="AT1846" s="87"/>
      <c r="AU1846" s="87"/>
      <c r="AV1846" s="92" t="str">
        <f>HYPERLINK("https://pbs.twimg.com/media/F1E7SWQXoAEW2lp.jpg")</f>
        <v>https://pbs.twimg.com/media/F1E7SWQXoAEW2lp.jpg</v>
      </c>
      <c r="AW1846" s="93" t="s">
        <v>20075</v>
      </c>
      <c r="AX1846" s="93" t="s">
        <v>20075</v>
      </c>
      <c r="AY1846" s="87"/>
      <c r="AZ1846" s="93" t="s">
        <v>22668</v>
      </c>
      <c r="BA1846" s="93" t="s">
        <v>22668</v>
      </c>
      <c r="BB1846" s="93" t="s">
        <v>22668</v>
      </c>
      <c r="BC1846" s="93" t="s">
        <v>20075</v>
      </c>
      <c r="BD1846" s="87">
        <v>324110720</v>
      </c>
      <c r="BE1846" s="87"/>
      <c r="BF1846" s="87"/>
      <c r="BG1846" s="87"/>
      <c r="BH1846" s="87"/>
      <c r="BI1846" s="87"/>
    </row>
    <row r="1847" spans="1:61" x14ac:dyDescent="0.25">
      <c r="A1847" s="63" t="s">
        <v>844</v>
      </c>
      <c r="B1847" s="63" t="s">
        <v>844</v>
      </c>
      <c r="C1847" s="64"/>
      <c r="D1847" s="65"/>
      <c r="E1847" s="66"/>
      <c r="F1847" s="67"/>
      <c r="G1847" s="64"/>
      <c r="H1847" s="68"/>
      <c r="I1847" s="69"/>
      <c r="J1847" s="69"/>
      <c r="K1847" s="32"/>
      <c r="L1847" s="76">
        <v>1847</v>
      </c>
      <c r="M1847" s="76"/>
      <c r="N1847" s="71"/>
      <c r="O1847" s="87" t="s">
        <v>179</v>
      </c>
      <c r="P1847" s="90">
        <v>45126.677210648151</v>
      </c>
      <c r="Q1847" s="87" t="s">
        <v>3638</v>
      </c>
      <c r="R1847" s="87">
        <v>0</v>
      </c>
      <c r="S1847" s="87">
        <v>0</v>
      </c>
      <c r="T1847" s="87">
        <v>0</v>
      </c>
      <c r="U1847" s="87">
        <v>0</v>
      </c>
      <c r="V1847" s="87">
        <v>7</v>
      </c>
      <c r="W1847" s="93" t="s">
        <v>7048</v>
      </c>
      <c r="X1847" s="92" t="str">
        <f>HYPERLINK("http://www.tixturismofranquias.com.br")</f>
        <v>http://www.tixturismofranquias.com.br</v>
      </c>
      <c r="Y1847" s="87" t="s">
        <v>8373</v>
      </c>
      <c r="Z1847" s="87"/>
      <c r="AA1847" s="87" t="s">
        <v>9812</v>
      </c>
      <c r="AB1847" s="87" t="s">
        <v>11448</v>
      </c>
      <c r="AC1847" s="93" t="s">
        <v>11460</v>
      </c>
      <c r="AD1847" s="87" t="s">
        <v>11519</v>
      </c>
      <c r="AE1847" s="92" t="str">
        <f>HYPERLINK("https://twitter.com/wkalaes/status/1681699214152040451")</f>
        <v>https://twitter.com/wkalaes/status/1681699214152040451</v>
      </c>
      <c r="AF1847" s="90">
        <v>45126.677210648151</v>
      </c>
      <c r="AG1847" s="99">
        <v>45126</v>
      </c>
      <c r="AH1847" s="93" t="s">
        <v>13222</v>
      </c>
      <c r="AI1847" s="87" t="b">
        <v>0</v>
      </c>
      <c r="AJ1847" s="87"/>
      <c r="AK1847" s="87"/>
      <c r="AL1847" s="87"/>
      <c r="AM1847" s="87"/>
      <c r="AN1847" s="87"/>
      <c r="AO1847" s="87"/>
      <c r="AP1847" s="87"/>
      <c r="AQ1847" s="87" t="s">
        <v>16625</v>
      </c>
      <c r="AR1847" s="87"/>
      <c r="AS1847" s="87"/>
      <c r="AT1847" s="87"/>
      <c r="AU1847" s="87"/>
      <c r="AV1847" s="92" t="str">
        <f>HYPERLINK("https://pbs.twimg.com/media/F1aYheRXoAAT_pX.jpg")</f>
        <v>https://pbs.twimg.com/media/F1aYheRXoAAT_pX.jpg</v>
      </c>
      <c r="AW1847" s="93" t="s">
        <v>20076</v>
      </c>
      <c r="AX1847" s="93" t="s">
        <v>20076</v>
      </c>
      <c r="AY1847" s="87"/>
      <c r="AZ1847" s="93" t="s">
        <v>22668</v>
      </c>
      <c r="BA1847" s="93" t="s">
        <v>22668</v>
      </c>
      <c r="BB1847" s="93" t="s">
        <v>22668</v>
      </c>
      <c r="BC1847" s="93" t="s">
        <v>20076</v>
      </c>
      <c r="BD1847" s="87">
        <v>324110720</v>
      </c>
      <c r="BE1847" s="87"/>
      <c r="BF1847" s="87"/>
      <c r="BG1847" s="87"/>
      <c r="BH1847" s="87"/>
      <c r="BI1847" s="87"/>
    </row>
    <row r="1848" spans="1:61" x14ac:dyDescent="0.25">
      <c r="A1848" s="63" t="s">
        <v>844</v>
      </c>
      <c r="B1848" s="63" t="s">
        <v>844</v>
      </c>
      <c r="C1848" s="64"/>
      <c r="D1848" s="65"/>
      <c r="E1848" s="66"/>
      <c r="F1848" s="67"/>
      <c r="G1848" s="64"/>
      <c r="H1848" s="68"/>
      <c r="I1848" s="69"/>
      <c r="J1848" s="69"/>
      <c r="K1848" s="32"/>
      <c r="L1848" s="76">
        <v>1848</v>
      </c>
      <c r="M1848" s="76"/>
      <c r="N1848" s="71"/>
      <c r="O1848" s="87" t="s">
        <v>179</v>
      </c>
      <c r="P1848" s="90">
        <v>45125.534884259258</v>
      </c>
      <c r="Q1848" s="87" t="s">
        <v>3639</v>
      </c>
      <c r="R1848" s="87">
        <v>0</v>
      </c>
      <c r="S1848" s="87">
        <v>0</v>
      </c>
      <c r="T1848" s="87">
        <v>0</v>
      </c>
      <c r="U1848" s="87">
        <v>0</v>
      </c>
      <c r="V1848" s="87">
        <v>6</v>
      </c>
      <c r="W1848" s="93" t="s">
        <v>7048</v>
      </c>
      <c r="X1848" s="92" t="str">
        <f>HYPERLINK("http://www.tixturismofranquias.com.br")</f>
        <v>http://www.tixturismofranquias.com.br</v>
      </c>
      <c r="Y1848" s="87" t="s">
        <v>8373</v>
      </c>
      <c r="Z1848" s="87"/>
      <c r="AA1848" s="87" t="s">
        <v>9813</v>
      </c>
      <c r="AB1848" s="87" t="s">
        <v>11448</v>
      </c>
      <c r="AC1848" s="93" t="s">
        <v>11460</v>
      </c>
      <c r="AD1848" s="87" t="s">
        <v>11519</v>
      </c>
      <c r="AE1848" s="92" t="str">
        <f>HYPERLINK("https://twitter.com/wkalaes/status/1681285245755174912")</f>
        <v>https://twitter.com/wkalaes/status/1681285245755174912</v>
      </c>
      <c r="AF1848" s="90">
        <v>45125.534884259258</v>
      </c>
      <c r="AG1848" s="99">
        <v>45125</v>
      </c>
      <c r="AH1848" s="93" t="s">
        <v>13223</v>
      </c>
      <c r="AI1848" s="87" t="b">
        <v>0</v>
      </c>
      <c r="AJ1848" s="87"/>
      <c r="AK1848" s="87"/>
      <c r="AL1848" s="87"/>
      <c r="AM1848" s="87"/>
      <c r="AN1848" s="87"/>
      <c r="AO1848" s="87"/>
      <c r="AP1848" s="87"/>
      <c r="AQ1848" s="87" t="s">
        <v>16626</v>
      </c>
      <c r="AR1848" s="87"/>
      <c r="AS1848" s="87"/>
      <c r="AT1848" s="87"/>
      <c r="AU1848" s="87"/>
      <c r="AV1848" s="92" t="str">
        <f>HYPERLINK("https://pbs.twimg.com/media/F1UgBViXgAAWUZq.jpg")</f>
        <v>https://pbs.twimg.com/media/F1UgBViXgAAWUZq.jpg</v>
      </c>
      <c r="AW1848" s="93" t="s">
        <v>20077</v>
      </c>
      <c r="AX1848" s="93" t="s">
        <v>20077</v>
      </c>
      <c r="AY1848" s="87"/>
      <c r="AZ1848" s="93" t="s">
        <v>22668</v>
      </c>
      <c r="BA1848" s="93" t="s">
        <v>22668</v>
      </c>
      <c r="BB1848" s="93" t="s">
        <v>22668</v>
      </c>
      <c r="BC1848" s="93" t="s">
        <v>20077</v>
      </c>
      <c r="BD1848" s="87">
        <v>324110720</v>
      </c>
      <c r="BE1848" s="87"/>
      <c r="BF1848" s="87"/>
      <c r="BG1848" s="87"/>
      <c r="BH1848" s="87"/>
      <c r="BI1848" s="87"/>
    </row>
    <row r="1849" spans="1:61" x14ac:dyDescent="0.25">
      <c r="A1849" s="63" t="s">
        <v>845</v>
      </c>
      <c r="B1849" s="63" t="s">
        <v>845</v>
      </c>
      <c r="C1849" s="64"/>
      <c r="D1849" s="65"/>
      <c r="E1849" s="66"/>
      <c r="F1849" s="67"/>
      <c r="G1849" s="64"/>
      <c r="H1849" s="68"/>
      <c r="I1849" s="69"/>
      <c r="J1849" s="69"/>
      <c r="K1849" s="32"/>
      <c r="L1849" s="76">
        <v>1849</v>
      </c>
      <c r="M1849" s="76"/>
      <c r="N1849" s="71"/>
      <c r="O1849" s="87" t="s">
        <v>179</v>
      </c>
      <c r="P1849" s="90">
        <v>45118.613796296297</v>
      </c>
      <c r="Q1849" s="87" t="s">
        <v>3640</v>
      </c>
      <c r="R1849" s="87">
        <v>0</v>
      </c>
      <c r="S1849" s="87">
        <v>0</v>
      </c>
      <c r="T1849" s="87">
        <v>0</v>
      </c>
      <c r="U1849" s="87">
        <v>0</v>
      </c>
      <c r="V1849" s="87">
        <v>7</v>
      </c>
      <c r="W1849" s="93" t="s">
        <v>7049</v>
      </c>
      <c r="X1849" s="87"/>
      <c r="Y1849" s="87"/>
      <c r="Z1849" s="87"/>
      <c r="AA1849" s="87" t="s">
        <v>9814</v>
      </c>
      <c r="AB1849" s="87" t="s">
        <v>11447</v>
      </c>
      <c r="AC1849" s="93" t="s">
        <v>11459</v>
      </c>
      <c r="AD1849" s="87" t="s">
        <v>11520</v>
      </c>
      <c r="AE1849" s="92" t="str">
        <f>HYPERLINK("https://twitter.com/fernandoxucrobr/status/1678777131575410692")</f>
        <v>https://twitter.com/fernandoxucrobr/status/1678777131575410692</v>
      </c>
      <c r="AF1849" s="90">
        <v>45118.613796296297</v>
      </c>
      <c r="AG1849" s="99">
        <v>45118</v>
      </c>
      <c r="AH1849" s="93" t="s">
        <v>13224</v>
      </c>
      <c r="AI1849" s="87" t="b">
        <v>0</v>
      </c>
      <c r="AJ1849" s="87" t="s">
        <v>15174</v>
      </c>
      <c r="AK1849" s="87" t="s">
        <v>15234</v>
      </c>
      <c r="AL1849" s="87" t="s">
        <v>15237</v>
      </c>
      <c r="AM1849" s="87" t="s">
        <v>15246</v>
      </c>
      <c r="AN1849" s="87" t="s">
        <v>15311</v>
      </c>
      <c r="AO1849" s="87" t="s">
        <v>15378</v>
      </c>
      <c r="AP1849" s="87" t="s">
        <v>15438</v>
      </c>
      <c r="AQ1849" s="87" t="s">
        <v>16627</v>
      </c>
      <c r="AR1849" s="87">
        <v>13120</v>
      </c>
      <c r="AS1849" s="87"/>
      <c r="AT1849" s="87"/>
      <c r="AU1849" s="87"/>
      <c r="AV1849" s="92" t="str">
        <f>HYPERLINK("https://pbs.twimg.com/ext_tw_video_thumb/1678777066345603072/pu/img/bIIRB457aIrNljKJ.jpg")</f>
        <v>https://pbs.twimg.com/ext_tw_video_thumb/1678777066345603072/pu/img/bIIRB457aIrNljKJ.jpg</v>
      </c>
      <c r="AW1849" s="93" t="s">
        <v>20078</v>
      </c>
      <c r="AX1849" s="93" t="s">
        <v>20078</v>
      </c>
      <c r="AY1849" s="87"/>
      <c r="AZ1849" s="93" t="s">
        <v>22668</v>
      </c>
      <c r="BA1849" s="93" t="s">
        <v>22668</v>
      </c>
      <c r="BB1849" s="93" t="s">
        <v>22668</v>
      </c>
      <c r="BC1849" s="93" t="s">
        <v>20078</v>
      </c>
      <c r="BD1849" s="93" t="s">
        <v>23150</v>
      </c>
      <c r="BE1849" s="87"/>
      <c r="BF1849" s="87"/>
      <c r="BG1849" s="87"/>
      <c r="BH1849" s="87"/>
      <c r="BI1849" s="87"/>
    </row>
    <row r="1850" spans="1:61" x14ac:dyDescent="0.25">
      <c r="A1850" s="63" t="s">
        <v>845</v>
      </c>
      <c r="B1850" s="63" t="s">
        <v>845</v>
      </c>
      <c r="C1850" s="64"/>
      <c r="D1850" s="65"/>
      <c r="E1850" s="66"/>
      <c r="F1850" s="67"/>
      <c r="G1850" s="64"/>
      <c r="H1850" s="68"/>
      <c r="I1850" s="69"/>
      <c r="J1850" s="69"/>
      <c r="K1850" s="32"/>
      <c r="L1850" s="76">
        <v>1850</v>
      </c>
      <c r="M1850" s="76"/>
      <c r="N1850" s="71"/>
      <c r="O1850" s="87" t="s">
        <v>179</v>
      </c>
      <c r="P1850" s="90">
        <v>45118.512916666667</v>
      </c>
      <c r="Q1850" s="87" t="s">
        <v>3641</v>
      </c>
      <c r="R1850" s="87">
        <v>0</v>
      </c>
      <c r="S1850" s="87">
        <v>0</v>
      </c>
      <c r="T1850" s="87">
        <v>0</v>
      </c>
      <c r="U1850" s="87">
        <v>0</v>
      </c>
      <c r="V1850" s="87">
        <v>6</v>
      </c>
      <c r="W1850" s="93" t="s">
        <v>7049</v>
      </c>
      <c r="X1850" s="87"/>
      <c r="Y1850" s="87"/>
      <c r="Z1850" s="87"/>
      <c r="AA1850" s="87" t="s">
        <v>9815</v>
      </c>
      <c r="AB1850" s="87" t="s">
        <v>11447</v>
      </c>
      <c r="AC1850" s="93" t="s">
        <v>11459</v>
      </c>
      <c r="AD1850" s="87" t="s">
        <v>11520</v>
      </c>
      <c r="AE1850" s="92" t="str">
        <f>HYPERLINK("https://twitter.com/fernandoxucrobr/status/1678740571152687108")</f>
        <v>https://twitter.com/fernandoxucrobr/status/1678740571152687108</v>
      </c>
      <c r="AF1850" s="90">
        <v>45118.512916666667</v>
      </c>
      <c r="AG1850" s="99">
        <v>45118</v>
      </c>
      <c r="AH1850" s="93" t="s">
        <v>13225</v>
      </c>
      <c r="AI1850" s="87" t="b">
        <v>0</v>
      </c>
      <c r="AJ1850" s="87" t="s">
        <v>15174</v>
      </c>
      <c r="AK1850" s="87" t="s">
        <v>15234</v>
      </c>
      <c r="AL1850" s="87" t="s">
        <v>15237</v>
      </c>
      <c r="AM1850" s="87" t="s">
        <v>15246</v>
      </c>
      <c r="AN1850" s="87" t="s">
        <v>15311</v>
      </c>
      <c r="AO1850" s="87" t="s">
        <v>15378</v>
      </c>
      <c r="AP1850" s="87" t="s">
        <v>15438</v>
      </c>
      <c r="AQ1850" s="87" t="s">
        <v>16628</v>
      </c>
      <c r="AR1850" s="87">
        <v>22000</v>
      </c>
      <c r="AS1850" s="87"/>
      <c r="AT1850" s="87"/>
      <c r="AU1850" s="87"/>
      <c r="AV1850" s="92" t="str">
        <f>HYPERLINK("https://pbs.twimg.com/ext_tw_video_thumb/1678740518384152576/pu/img/dPWdCihiWowUrmBq.jpg")</f>
        <v>https://pbs.twimg.com/ext_tw_video_thumb/1678740518384152576/pu/img/dPWdCihiWowUrmBq.jpg</v>
      </c>
      <c r="AW1850" s="93" t="s">
        <v>20079</v>
      </c>
      <c r="AX1850" s="93" t="s">
        <v>20079</v>
      </c>
      <c r="AY1850" s="87"/>
      <c r="AZ1850" s="93" t="s">
        <v>22668</v>
      </c>
      <c r="BA1850" s="93" t="s">
        <v>22668</v>
      </c>
      <c r="BB1850" s="93" t="s">
        <v>22668</v>
      </c>
      <c r="BC1850" s="93" t="s">
        <v>20079</v>
      </c>
      <c r="BD1850" s="93" t="s">
        <v>23150</v>
      </c>
      <c r="BE1850" s="87"/>
      <c r="BF1850" s="87"/>
      <c r="BG1850" s="87"/>
      <c r="BH1850" s="87"/>
      <c r="BI1850" s="87"/>
    </row>
    <row r="1851" spans="1:61" x14ac:dyDescent="0.25">
      <c r="A1851" s="63" t="s">
        <v>846</v>
      </c>
      <c r="B1851" s="63" t="s">
        <v>846</v>
      </c>
      <c r="C1851" s="64"/>
      <c r="D1851" s="65"/>
      <c r="E1851" s="66"/>
      <c r="F1851" s="67"/>
      <c r="G1851" s="64"/>
      <c r="H1851" s="68"/>
      <c r="I1851" s="69"/>
      <c r="J1851" s="69"/>
      <c r="K1851" s="32"/>
      <c r="L1851" s="76">
        <v>1851</v>
      </c>
      <c r="M1851" s="76"/>
      <c r="N1851" s="71"/>
      <c r="O1851" s="87" t="s">
        <v>179</v>
      </c>
      <c r="P1851" s="90">
        <v>45156.854166666664</v>
      </c>
      <c r="Q1851" s="87" t="s">
        <v>3642</v>
      </c>
      <c r="R1851" s="87">
        <v>0</v>
      </c>
      <c r="S1851" s="87">
        <v>0</v>
      </c>
      <c r="T1851" s="87">
        <v>0</v>
      </c>
      <c r="U1851" s="87">
        <v>0</v>
      </c>
      <c r="V1851" s="87">
        <v>135</v>
      </c>
      <c r="W1851" s="93" t="s">
        <v>7050</v>
      </c>
      <c r="X1851" s="87"/>
      <c r="Y1851" s="87"/>
      <c r="Z1851" s="87"/>
      <c r="AA1851" s="87" t="s">
        <v>9816</v>
      </c>
      <c r="AB1851" s="87" t="s">
        <v>11447</v>
      </c>
      <c r="AC1851" s="93" t="s">
        <v>11457</v>
      </c>
      <c r="AD1851" s="87" t="s">
        <v>11519</v>
      </c>
      <c r="AE1851" s="92" t="str">
        <f>HYPERLINK("https://twitter.com/chatguruoficial/status/1692634974464123381")</f>
        <v>https://twitter.com/chatguruoficial/status/1692634974464123381</v>
      </c>
      <c r="AF1851" s="90">
        <v>45156.854166666664</v>
      </c>
      <c r="AG1851" s="99">
        <v>45156</v>
      </c>
      <c r="AH1851" s="93" t="s">
        <v>12307</v>
      </c>
      <c r="AI1851" s="87" t="b">
        <v>0</v>
      </c>
      <c r="AJ1851" s="87"/>
      <c r="AK1851" s="87"/>
      <c r="AL1851" s="87"/>
      <c r="AM1851" s="87"/>
      <c r="AN1851" s="87"/>
      <c r="AO1851" s="87"/>
      <c r="AP1851" s="87"/>
      <c r="AQ1851" s="87" t="s">
        <v>16629</v>
      </c>
      <c r="AR1851" s="87">
        <v>43000</v>
      </c>
      <c r="AS1851" s="87"/>
      <c r="AT1851" s="87"/>
      <c r="AU1851" s="87"/>
      <c r="AV1851" s="92" t="str">
        <f>HYPERLINK("https://pbs.twimg.com/ext_tw_video_thumb/1692287454886137856/pu/img/tIMvYrP0OjqrtRtj.jpg")</f>
        <v>https://pbs.twimg.com/ext_tw_video_thumb/1692287454886137856/pu/img/tIMvYrP0OjqrtRtj.jpg</v>
      </c>
      <c r="AW1851" s="93" t="s">
        <v>20080</v>
      </c>
      <c r="AX1851" s="93" t="s">
        <v>20080</v>
      </c>
      <c r="AY1851" s="87"/>
      <c r="AZ1851" s="93" t="s">
        <v>22668</v>
      </c>
      <c r="BA1851" s="93" t="s">
        <v>22668</v>
      </c>
      <c r="BB1851" s="93" t="s">
        <v>22668</v>
      </c>
      <c r="BC1851" s="93" t="s">
        <v>20080</v>
      </c>
      <c r="BD1851" s="93" t="s">
        <v>23151</v>
      </c>
      <c r="BE1851" s="87"/>
      <c r="BF1851" s="87"/>
      <c r="BG1851" s="87"/>
      <c r="BH1851" s="87"/>
      <c r="BI1851" s="87"/>
    </row>
    <row r="1852" spans="1:61" x14ac:dyDescent="0.25">
      <c r="A1852" s="63" t="s">
        <v>847</v>
      </c>
      <c r="B1852" s="63" t="s">
        <v>847</v>
      </c>
      <c r="C1852" s="64"/>
      <c r="D1852" s="65"/>
      <c r="E1852" s="66"/>
      <c r="F1852" s="67"/>
      <c r="G1852" s="64"/>
      <c r="H1852" s="68"/>
      <c r="I1852" s="69"/>
      <c r="J1852" s="69"/>
      <c r="K1852" s="32"/>
      <c r="L1852" s="76">
        <v>1852</v>
      </c>
      <c r="M1852" s="76"/>
      <c r="N1852" s="71"/>
      <c r="O1852" s="87" t="s">
        <v>179</v>
      </c>
      <c r="P1852" s="90">
        <v>45191.775196759256</v>
      </c>
      <c r="Q1852" s="87" t="s">
        <v>3643</v>
      </c>
      <c r="R1852" s="87">
        <v>0</v>
      </c>
      <c r="S1852" s="87">
        <v>0</v>
      </c>
      <c r="T1852" s="87">
        <v>0</v>
      </c>
      <c r="U1852" s="87">
        <v>0</v>
      </c>
      <c r="V1852" s="87">
        <v>44</v>
      </c>
      <c r="W1852" s="93" t="s">
        <v>7051</v>
      </c>
      <c r="X1852" s="92" t="str">
        <f>HYPERLINK("http://shope.ee/B1QYY7IP3")</f>
        <v>http://shope.ee/B1QYY7IP3</v>
      </c>
      <c r="Y1852" s="87" t="s">
        <v>8472</v>
      </c>
      <c r="Z1852" s="87"/>
      <c r="AA1852" s="87" t="s">
        <v>9817</v>
      </c>
      <c r="AB1852" s="87" t="s">
        <v>11454</v>
      </c>
      <c r="AC1852" s="93" t="s">
        <v>11459</v>
      </c>
      <c r="AD1852" s="87" t="s">
        <v>11519</v>
      </c>
      <c r="AE1852" s="92" t="str">
        <f>HYPERLINK("https://twitter.com/cupomention/status/1705289934716735611")</f>
        <v>https://twitter.com/cupomention/status/1705289934716735611</v>
      </c>
      <c r="AF1852" s="90">
        <v>45191.775196759256</v>
      </c>
      <c r="AG1852" s="99">
        <v>45191</v>
      </c>
      <c r="AH1852" s="93" t="s">
        <v>13226</v>
      </c>
      <c r="AI1852" s="87" t="b">
        <v>0</v>
      </c>
      <c r="AJ1852" s="87"/>
      <c r="AK1852" s="87"/>
      <c r="AL1852" s="87"/>
      <c r="AM1852" s="87"/>
      <c r="AN1852" s="87"/>
      <c r="AO1852" s="87"/>
      <c r="AP1852" s="87"/>
      <c r="AQ1852" s="87" t="s">
        <v>16630</v>
      </c>
      <c r="AR1852" s="87">
        <v>29970</v>
      </c>
      <c r="AS1852" s="87"/>
      <c r="AT1852" s="87"/>
      <c r="AU1852" s="87"/>
      <c r="AV1852" s="92" t="str">
        <f>HYPERLINK("https://pbs.twimg.com/ext_tw_video_thumb/1705289901162254336/pu/img/G0PLQHDHZUVljyF2.jpg")</f>
        <v>https://pbs.twimg.com/ext_tw_video_thumb/1705289901162254336/pu/img/G0PLQHDHZUVljyF2.jpg</v>
      </c>
      <c r="AW1852" s="93" t="s">
        <v>20081</v>
      </c>
      <c r="AX1852" s="93" t="s">
        <v>20081</v>
      </c>
      <c r="AY1852" s="87"/>
      <c r="AZ1852" s="93" t="s">
        <v>22668</v>
      </c>
      <c r="BA1852" s="93" t="s">
        <v>22668</v>
      </c>
      <c r="BB1852" s="93" t="s">
        <v>22668</v>
      </c>
      <c r="BC1852" s="93" t="s">
        <v>20081</v>
      </c>
      <c r="BD1852" s="93" t="s">
        <v>23152</v>
      </c>
      <c r="BE1852" s="87"/>
      <c r="BF1852" s="87"/>
      <c r="BG1852" s="87"/>
      <c r="BH1852" s="87"/>
      <c r="BI1852" s="87"/>
    </row>
    <row r="1853" spans="1:61" x14ac:dyDescent="0.25">
      <c r="A1853" s="63" t="s">
        <v>848</v>
      </c>
      <c r="B1853" s="63" t="s">
        <v>848</v>
      </c>
      <c r="C1853" s="64"/>
      <c r="D1853" s="65"/>
      <c r="E1853" s="66"/>
      <c r="F1853" s="67"/>
      <c r="G1853" s="64"/>
      <c r="H1853" s="68"/>
      <c r="I1853" s="69"/>
      <c r="J1853" s="69"/>
      <c r="K1853" s="32"/>
      <c r="L1853" s="76">
        <v>1853</v>
      </c>
      <c r="M1853" s="76"/>
      <c r="N1853" s="71"/>
      <c r="O1853" s="87" t="s">
        <v>1840</v>
      </c>
      <c r="P1853" s="90">
        <v>45112.568553240744</v>
      </c>
      <c r="Q1853" s="87" t="s">
        <v>3644</v>
      </c>
      <c r="R1853" s="87">
        <v>0</v>
      </c>
      <c r="S1853" s="87">
        <v>1</v>
      </c>
      <c r="T1853" s="87">
        <v>1</v>
      </c>
      <c r="U1853" s="87">
        <v>0</v>
      </c>
      <c r="V1853" s="87">
        <v>13</v>
      </c>
      <c r="W1853" s="93" t="s">
        <v>7052</v>
      </c>
      <c r="X1853" s="87"/>
      <c r="Y1853" s="87"/>
      <c r="Z1853" s="87"/>
      <c r="AA1853" s="87"/>
      <c r="AB1853" s="87"/>
      <c r="AC1853" s="93" t="s">
        <v>11457</v>
      </c>
      <c r="AD1853" s="87" t="s">
        <v>11519</v>
      </c>
      <c r="AE1853" s="92" t="str">
        <f>HYPERLINK("https://twitter.com/profcrisricardo/status/1676586405571469315")</f>
        <v>https://twitter.com/profcrisricardo/status/1676586405571469315</v>
      </c>
      <c r="AF1853" s="90">
        <v>45112.568553240744</v>
      </c>
      <c r="AG1853" s="99">
        <v>45112</v>
      </c>
      <c r="AH1853" s="93" t="s">
        <v>13227</v>
      </c>
      <c r="AI1853" s="87"/>
      <c r="AJ1853" s="87"/>
      <c r="AK1853" s="87"/>
      <c r="AL1853" s="87"/>
      <c r="AM1853" s="87"/>
      <c r="AN1853" s="87"/>
      <c r="AO1853" s="87"/>
      <c r="AP1853" s="87"/>
      <c r="AQ1853" s="87"/>
      <c r="AR1853" s="87"/>
      <c r="AS1853" s="87"/>
      <c r="AT1853" s="87"/>
      <c r="AU1853" s="87"/>
      <c r="AV1853" s="92" t="str">
        <f>HYPERLINK("https://pbs.twimg.com/profile_images/1650878862304083968/NH4NzqFe_normal.jpg")</f>
        <v>https://pbs.twimg.com/profile_images/1650878862304083968/NH4NzqFe_normal.jpg</v>
      </c>
      <c r="AW1853" s="93" t="s">
        <v>20082</v>
      </c>
      <c r="AX1853" s="93" t="s">
        <v>22399</v>
      </c>
      <c r="AY1853" s="93" t="s">
        <v>22585</v>
      </c>
      <c r="AZ1853" s="93" t="s">
        <v>20083</v>
      </c>
      <c r="BA1853" s="93" t="s">
        <v>22668</v>
      </c>
      <c r="BB1853" s="93" t="s">
        <v>22668</v>
      </c>
      <c r="BC1853" s="93" t="s">
        <v>20083</v>
      </c>
      <c r="BD1853" s="87">
        <v>30813029</v>
      </c>
      <c r="BE1853" s="87"/>
      <c r="BF1853" s="87"/>
      <c r="BG1853" s="87"/>
      <c r="BH1853" s="87"/>
      <c r="BI1853" s="87"/>
    </row>
    <row r="1854" spans="1:61" x14ac:dyDescent="0.25">
      <c r="A1854" s="63" t="s">
        <v>848</v>
      </c>
      <c r="B1854" s="63" t="s">
        <v>848</v>
      </c>
      <c r="C1854" s="64"/>
      <c r="D1854" s="65"/>
      <c r="E1854" s="66"/>
      <c r="F1854" s="67"/>
      <c r="G1854" s="64"/>
      <c r="H1854" s="68"/>
      <c r="I1854" s="69"/>
      <c r="J1854" s="69"/>
      <c r="K1854" s="32"/>
      <c r="L1854" s="76">
        <v>1854</v>
      </c>
      <c r="M1854" s="76"/>
      <c r="N1854" s="71"/>
      <c r="O1854" s="87" t="s">
        <v>1840</v>
      </c>
      <c r="P1854" s="90">
        <v>45112.568541666667</v>
      </c>
      <c r="Q1854" s="87" t="s">
        <v>3645</v>
      </c>
      <c r="R1854" s="87">
        <v>0</v>
      </c>
      <c r="S1854" s="87">
        <v>1</v>
      </c>
      <c r="T1854" s="87">
        <v>1</v>
      </c>
      <c r="U1854" s="87">
        <v>0</v>
      </c>
      <c r="V1854" s="87">
        <v>5</v>
      </c>
      <c r="W1854" s="93" t="s">
        <v>7053</v>
      </c>
      <c r="X1854" s="87"/>
      <c r="Y1854" s="87"/>
      <c r="Z1854" s="87"/>
      <c r="AA1854" s="87"/>
      <c r="AB1854" s="87"/>
      <c r="AC1854" s="93" t="s">
        <v>11457</v>
      </c>
      <c r="AD1854" s="87" t="s">
        <v>11519</v>
      </c>
      <c r="AE1854" s="92" t="str">
        <f>HYPERLINK("https://twitter.com/profcrisricardo/status/1676586403453444098")</f>
        <v>https://twitter.com/profcrisricardo/status/1676586403453444098</v>
      </c>
      <c r="AF1854" s="90">
        <v>45112.568541666667</v>
      </c>
      <c r="AG1854" s="99">
        <v>45112</v>
      </c>
      <c r="AH1854" s="93" t="s">
        <v>13228</v>
      </c>
      <c r="AI1854" s="87"/>
      <c r="AJ1854" s="87"/>
      <c r="AK1854" s="87"/>
      <c r="AL1854" s="87"/>
      <c r="AM1854" s="87"/>
      <c r="AN1854" s="87"/>
      <c r="AO1854" s="87"/>
      <c r="AP1854" s="87"/>
      <c r="AQ1854" s="87"/>
      <c r="AR1854" s="87"/>
      <c r="AS1854" s="87"/>
      <c r="AT1854" s="87"/>
      <c r="AU1854" s="87"/>
      <c r="AV1854" s="92" t="str">
        <f>HYPERLINK("https://pbs.twimg.com/profile_images/1650878862304083968/NH4NzqFe_normal.jpg")</f>
        <v>https://pbs.twimg.com/profile_images/1650878862304083968/NH4NzqFe_normal.jpg</v>
      </c>
      <c r="AW1854" s="93" t="s">
        <v>20083</v>
      </c>
      <c r="AX1854" s="93" t="s">
        <v>22399</v>
      </c>
      <c r="AY1854" s="93" t="s">
        <v>22585</v>
      </c>
      <c r="AZ1854" s="93" t="s">
        <v>20084</v>
      </c>
      <c r="BA1854" s="93" t="s">
        <v>22668</v>
      </c>
      <c r="BB1854" s="93" t="s">
        <v>22668</v>
      </c>
      <c r="BC1854" s="93" t="s">
        <v>20084</v>
      </c>
      <c r="BD1854" s="87">
        <v>30813029</v>
      </c>
      <c r="BE1854" s="87"/>
      <c r="BF1854" s="87"/>
      <c r="BG1854" s="87"/>
      <c r="BH1854" s="87"/>
      <c r="BI1854" s="87"/>
    </row>
    <row r="1855" spans="1:61" x14ac:dyDescent="0.25">
      <c r="A1855" s="63" t="s">
        <v>848</v>
      </c>
      <c r="B1855" s="63" t="s">
        <v>848</v>
      </c>
      <c r="C1855" s="64"/>
      <c r="D1855" s="65"/>
      <c r="E1855" s="66"/>
      <c r="F1855" s="67"/>
      <c r="G1855" s="64"/>
      <c r="H1855" s="68"/>
      <c r="I1855" s="69"/>
      <c r="J1855" s="69"/>
      <c r="K1855" s="32"/>
      <c r="L1855" s="76">
        <v>1855</v>
      </c>
      <c r="M1855" s="76"/>
      <c r="N1855" s="71"/>
      <c r="O1855" s="87" t="s">
        <v>1840</v>
      </c>
      <c r="P1855" s="90">
        <v>45112.568541666667</v>
      </c>
      <c r="Q1855" s="87" t="s">
        <v>3646</v>
      </c>
      <c r="R1855" s="87">
        <v>0</v>
      </c>
      <c r="S1855" s="87">
        <v>1</v>
      </c>
      <c r="T1855" s="87">
        <v>1</v>
      </c>
      <c r="U1855" s="87">
        <v>0</v>
      </c>
      <c r="V1855" s="87">
        <v>7</v>
      </c>
      <c r="W1855" s="93" t="s">
        <v>7054</v>
      </c>
      <c r="X1855" s="87"/>
      <c r="Y1855" s="87"/>
      <c r="Z1855" s="87"/>
      <c r="AA1855" s="87"/>
      <c r="AB1855" s="87"/>
      <c r="AC1855" s="93" t="s">
        <v>11457</v>
      </c>
      <c r="AD1855" s="87" t="s">
        <v>11519</v>
      </c>
      <c r="AE1855" s="92" t="str">
        <f>HYPERLINK("https://twitter.com/profcrisricardo/status/1676586401515593728")</f>
        <v>https://twitter.com/profcrisricardo/status/1676586401515593728</v>
      </c>
      <c r="AF1855" s="90">
        <v>45112.568541666667</v>
      </c>
      <c r="AG1855" s="99">
        <v>45112</v>
      </c>
      <c r="AH1855" s="93" t="s">
        <v>13228</v>
      </c>
      <c r="AI1855" s="87"/>
      <c r="AJ1855" s="87"/>
      <c r="AK1855" s="87"/>
      <c r="AL1855" s="87"/>
      <c r="AM1855" s="87"/>
      <c r="AN1855" s="87"/>
      <c r="AO1855" s="87"/>
      <c r="AP1855" s="87"/>
      <c r="AQ1855" s="87"/>
      <c r="AR1855" s="87"/>
      <c r="AS1855" s="87"/>
      <c r="AT1855" s="87"/>
      <c r="AU1855" s="87"/>
      <c r="AV1855" s="92" t="str">
        <f>HYPERLINK("https://pbs.twimg.com/profile_images/1650878862304083968/NH4NzqFe_normal.jpg")</f>
        <v>https://pbs.twimg.com/profile_images/1650878862304083968/NH4NzqFe_normal.jpg</v>
      </c>
      <c r="AW1855" s="93" t="s">
        <v>20084</v>
      </c>
      <c r="AX1855" s="93" t="s">
        <v>22399</v>
      </c>
      <c r="AY1855" s="93" t="s">
        <v>22585</v>
      </c>
      <c r="AZ1855" s="93" t="s">
        <v>20085</v>
      </c>
      <c r="BA1855" s="93" t="s">
        <v>22668</v>
      </c>
      <c r="BB1855" s="93" t="s">
        <v>22668</v>
      </c>
      <c r="BC1855" s="93" t="s">
        <v>20085</v>
      </c>
      <c r="BD1855" s="87">
        <v>30813029</v>
      </c>
      <c r="BE1855" s="87"/>
      <c r="BF1855" s="87"/>
      <c r="BG1855" s="87"/>
      <c r="BH1855" s="87"/>
      <c r="BI1855" s="87"/>
    </row>
    <row r="1856" spans="1:61" x14ac:dyDescent="0.25">
      <c r="A1856" s="63" t="s">
        <v>848</v>
      </c>
      <c r="B1856" s="63" t="s">
        <v>848</v>
      </c>
      <c r="C1856" s="64"/>
      <c r="D1856" s="65"/>
      <c r="E1856" s="66"/>
      <c r="F1856" s="67"/>
      <c r="G1856" s="64"/>
      <c r="H1856" s="68"/>
      <c r="I1856" s="69"/>
      <c r="J1856" s="69"/>
      <c r="K1856" s="32"/>
      <c r="L1856" s="76">
        <v>1856</v>
      </c>
      <c r="M1856" s="76"/>
      <c r="N1856" s="71"/>
      <c r="O1856" s="87" t="s">
        <v>1840</v>
      </c>
      <c r="P1856" s="90">
        <v>45112.568530092591</v>
      </c>
      <c r="Q1856" s="87" t="s">
        <v>3647</v>
      </c>
      <c r="R1856" s="87">
        <v>0</v>
      </c>
      <c r="S1856" s="87">
        <v>1</v>
      </c>
      <c r="T1856" s="87">
        <v>1</v>
      </c>
      <c r="U1856" s="87">
        <v>0</v>
      </c>
      <c r="V1856" s="87">
        <v>9</v>
      </c>
      <c r="W1856" s="93" t="s">
        <v>7055</v>
      </c>
      <c r="X1856" s="87"/>
      <c r="Y1856" s="87"/>
      <c r="Z1856" s="87"/>
      <c r="AA1856" s="87"/>
      <c r="AB1856" s="87"/>
      <c r="AC1856" s="93" t="s">
        <v>11457</v>
      </c>
      <c r="AD1856" s="87" t="s">
        <v>11519</v>
      </c>
      <c r="AE1856" s="92" t="str">
        <f>HYPERLINK("https://twitter.com/profcrisricardo/status/1676586399502409728")</f>
        <v>https://twitter.com/profcrisricardo/status/1676586399502409728</v>
      </c>
      <c r="AF1856" s="90">
        <v>45112.568530092591</v>
      </c>
      <c r="AG1856" s="99">
        <v>45112</v>
      </c>
      <c r="AH1856" s="93" t="s">
        <v>13229</v>
      </c>
      <c r="AI1856" s="87"/>
      <c r="AJ1856" s="87"/>
      <c r="AK1856" s="87"/>
      <c r="AL1856" s="87"/>
      <c r="AM1856" s="87"/>
      <c r="AN1856" s="87"/>
      <c r="AO1856" s="87"/>
      <c r="AP1856" s="87"/>
      <c r="AQ1856" s="87"/>
      <c r="AR1856" s="87"/>
      <c r="AS1856" s="87"/>
      <c r="AT1856" s="87"/>
      <c r="AU1856" s="87"/>
      <c r="AV1856" s="92" t="str">
        <f>HYPERLINK("https://pbs.twimg.com/profile_images/1650878862304083968/NH4NzqFe_normal.jpg")</f>
        <v>https://pbs.twimg.com/profile_images/1650878862304083968/NH4NzqFe_normal.jpg</v>
      </c>
      <c r="AW1856" s="93" t="s">
        <v>20085</v>
      </c>
      <c r="AX1856" s="93" t="s">
        <v>22399</v>
      </c>
      <c r="AY1856" s="93" t="s">
        <v>22585</v>
      </c>
      <c r="AZ1856" s="93" t="s">
        <v>22724</v>
      </c>
      <c r="BA1856" s="93" t="s">
        <v>22668</v>
      </c>
      <c r="BB1856" s="93" t="s">
        <v>22668</v>
      </c>
      <c r="BC1856" s="93" t="s">
        <v>22724</v>
      </c>
      <c r="BD1856" s="87">
        <v>30813029</v>
      </c>
      <c r="BE1856" s="87"/>
      <c r="BF1856" s="87"/>
      <c r="BG1856" s="87"/>
      <c r="BH1856" s="87"/>
      <c r="BI1856" s="87"/>
    </row>
    <row r="1857" spans="1:61" x14ac:dyDescent="0.25">
      <c r="A1857" s="63" t="s">
        <v>849</v>
      </c>
      <c r="B1857" s="63" t="s">
        <v>849</v>
      </c>
      <c r="C1857" s="64"/>
      <c r="D1857" s="65"/>
      <c r="E1857" s="66"/>
      <c r="F1857" s="67"/>
      <c r="G1857" s="64"/>
      <c r="H1857" s="68"/>
      <c r="I1857" s="69"/>
      <c r="J1857" s="69"/>
      <c r="K1857" s="32"/>
      <c r="L1857" s="76">
        <v>1857</v>
      </c>
      <c r="M1857" s="76"/>
      <c r="N1857" s="71"/>
      <c r="O1857" s="87" t="s">
        <v>179</v>
      </c>
      <c r="P1857" s="90">
        <v>45119.753958333335</v>
      </c>
      <c r="Q1857" s="87" t="s">
        <v>3648</v>
      </c>
      <c r="R1857" s="87">
        <v>0</v>
      </c>
      <c r="S1857" s="87">
        <v>0</v>
      </c>
      <c r="T1857" s="87">
        <v>0</v>
      </c>
      <c r="U1857" s="87">
        <v>0</v>
      </c>
      <c r="V1857" s="87">
        <v>9</v>
      </c>
      <c r="W1857" s="93" t="s">
        <v>7056</v>
      </c>
      <c r="X1857" s="87"/>
      <c r="Y1857" s="87"/>
      <c r="Z1857" s="87"/>
      <c r="AA1857" s="87" t="s">
        <v>9818</v>
      </c>
      <c r="AB1857" s="87" t="s">
        <v>11447</v>
      </c>
      <c r="AC1857" s="93" t="s">
        <v>11460</v>
      </c>
      <c r="AD1857" s="87" t="s">
        <v>11519</v>
      </c>
      <c r="AE1857" s="92" t="str">
        <f>HYPERLINK("https://twitter.com/fluir_ibg/status/1679190310147223554")</f>
        <v>https://twitter.com/fluir_ibg/status/1679190310147223554</v>
      </c>
      <c r="AF1857" s="90">
        <v>45119.753958333335</v>
      </c>
      <c r="AG1857" s="99">
        <v>45119</v>
      </c>
      <c r="AH1857" s="93" t="s">
        <v>13230</v>
      </c>
      <c r="AI1857" s="87" t="b">
        <v>0</v>
      </c>
      <c r="AJ1857" s="87"/>
      <c r="AK1857" s="87"/>
      <c r="AL1857" s="87"/>
      <c r="AM1857" s="87"/>
      <c r="AN1857" s="87"/>
      <c r="AO1857" s="87"/>
      <c r="AP1857" s="87"/>
      <c r="AQ1857" s="87" t="s">
        <v>16631</v>
      </c>
      <c r="AR1857" s="87">
        <v>36958</v>
      </c>
      <c r="AS1857" s="87"/>
      <c r="AT1857" s="87"/>
      <c r="AU1857" s="87"/>
      <c r="AV1857" s="92" t="str">
        <f>HYPERLINK("https://pbs.twimg.com/ext_tw_video_thumb/1679190183785250816/pu/img/Qaisman1by3mUh69.jpg")</f>
        <v>https://pbs.twimg.com/ext_tw_video_thumb/1679190183785250816/pu/img/Qaisman1by3mUh69.jpg</v>
      </c>
      <c r="AW1857" s="93" t="s">
        <v>20086</v>
      </c>
      <c r="AX1857" s="93" t="s">
        <v>20086</v>
      </c>
      <c r="AY1857" s="87"/>
      <c r="AZ1857" s="93" t="s">
        <v>22668</v>
      </c>
      <c r="BA1857" s="93" t="s">
        <v>22668</v>
      </c>
      <c r="BB1857" s="93" t="s">
        <v>22668</v>
      </c>
      <c r="BC1857" s="93" t="s">
        <v>20086</v>
      </c>
      <c r="BD1857" s="93" t="s">
        <v>23153</v>
      </c>
      <c r="BE1857" s="87"/>
      <c r="BF1857" s="87"/>
      <c r="BG1857" s="87"/>
      <c r="BH1857" s="87"/>
      <c r="BI1857" s="87"/>
    </row>
    <row r="1858" spans="1:61" x14ac:dyDescent="0.25">
      <c r="A1858" s="63" t="s">
        <v>849</v>
      </c>
      <c r="B1858" s="63" t="s">
        <v>849</v>
      </c>
      <c r="C1858" s="64"/>
      <c r="D1858" s="65"/>
      <c r="E1858" s="66"/>
      <c r="F1858" s="67"/>
      <c r="G1858" s="64"/>
      <c r="H1858" s="68"/>
      <c r="I1858" s="69"/>
      <c r="J1858" s="69"/>
      <c r="K1858" s="32"/>
      <c r="L1858" s="76">
        <v>1858</v>
      </c>
      <c r="M1858" s="76"/>
      <c r="N1858" s="71"/>
      <c r="O1858" s="87" t="s">
        <v>179</v>
      </c>
      <c r="P1858" s="90">
        <v>45171.908321759256</v>
      </c>
      <c r="Q1858" s="87" t="s">
        <v>3649</v>
      </c>
      <c r="R1858" s="87">
        <v>0</v>
      </c>
      <c r="S1858" s="87">
        <v>0</v>
      </c>
      <c r="T1858" s="87">
        <v>0</v>
      </c>
      <c r="U1858" s="87">
        <v>0</v>
      </c>
      <c r="V1858" s="87">
        <v>51</v>
      </c>
      <c r="W1858" s="93" t="s">
        <v>7057</v>
      </c>
      <c r="X1858" s="87"/>
      <c r="Y1858" s="87"/>
      <c r="Z1858" s="87"/>
      <c r="AA1858" s="87" t="s">
        <v>9819</v>
      </c>
      <c r="AB1858" s="87" t="s">
        <v>11447</v>
      </c>
      <c r="AC1858" s="93" t="s">
        <v>11460</v>
      </c>
      <c r="AD1858" s="87" t="s">
        <v>11519</v>
      </c>
      <c r="AE1858" s="92" t="str">
        <f>HYPERLINK("https://twitter.com/fluir_ibg/status/1698090417202311494")</f>
        <v>https://twitter.com/fluir_ibg/status/1698090417202311494</v>
      </c>
      <c r="AF1858" s="90">
        <v>45171.908321759256</v>
      </c>
      <c r="AG1858" s="99">
        <v>45171</v>
      </c>
      <c r="AH1858" s="93" t="s">
        <v>13231</v>
      </c>
      <c r="AI1858" s="87" t="b">
        <v>0</v>
      </c>
      <c r="AJ1858" s="87"/>
      <c r="AK1858" s="87"/>
      <c r="AL1858" s="87"/>
      <c r="AM1858" s="87"/>
      <c r="AN1858" s="87"/>
      <c r="AO1858" s="87"/>
      <c r="AP1858" s="87"/>
      <c r="AQ1858" s="87" t="s">
        <v>16632</v>
      </c>
      <c r="AR1858" s="87">
        <v>50666</v>
      </c>
      <c r="AS1858" s="87"/>
      <c r="AT1858" s="87"/>
      <c r="AU1858" s="87"/>
      <c r="AV1858" s="92" t="str">
        <f>HYPERLINK("https://pbs.twimg.com/ext_tw_video_thumb/1698090312579551232/pu/img/QwuHeHYuluSpHoSB.jpg")</f>
        <v>https://pbs.twimg.com/ext_tw_video_thumb/1698090312579551232/pu/img/QwuHeHYuluSpHoSB.jpg</v>
      </c>
      <c r="AW1858" s="93" t="s">
        <v>20087</v>
      </c>
      <c r="AX1858" s="93" t="s">
        <v>20087</v>
      </c>
      <c r="AY1858" s="87"/>
      <c r="AZ1858" s="93" t="s">
        <v>22668</v>
      </c>
      <c r="BA1858" s="93" t="s">
        <v>22668</v>
      </c>
      <c r="BB1858" s="93" t="s">
        <v>22668</v>
      </c>
      <c r="BC1858" s="93" t="s">
        <v>20087</v>
      </c>
      <c r="BD1858" s="93" t="s">
        <v>23153</v>
      </c>
      <c r="BE1858" s="87"/>
      <c r="BF1858" s="87"/>
      <c r="BG1858" s="87"/>
      <c r="BH1858" s="87"/>
      <c r="BI1858" s="87"/>
    </row>
    <row r="1859" spans="1:61" x14ac:dyDescent="0.25">
      <c r="A1859" s="63" t="s">
        <v>849</v>
      </c>
      <c r="B1859" s="63" t="s">
        <v>849</v>
      </c>
      <c r="C1859" s="64"/>
      <c r="D1859" s="65"/>
      <c r="E1859" s="66"/>
      <c r="F1859" s="67"/>
      <c r="G1859" s="64"/>
      <c r="H1859" s="68"/>
      <c r="I1859" s="69"/>
      <c r="J1859" s="69"/>
      <c r="K1859" s="32"/>
      <c r="L1859" s="76">
        <v>1859</v>
      </c>
      <c r="M1859" s="76"/>
      <c r="N1859" s="71"/>
      <c r="O1859" s="87" t="s">
        <v>179</v>
      </c>
      <c r="P1859" s="90">
        <v>45162.615023148152</v>
      </c>
      <c r="Q1859" s="87" t="s">
        <v>3650</v>
      </c>
      <c r="R1859" s="87">
        <v>0</v>
      </c>
      <c r="S1859" s="87">
        <v>0</v>
      </c>
      <c r="T1859" s="87">
        <v>0</v>
      </c>
      <c r="U1859" s="87">
        <v>0</v>
      </c>
      <c r="V1859" s="87">
        <v>62</v>
      </c>
      <c r="W1859" s="93" t="s">
        <v>7058</v>
      </c>
      <c r="X1859" s="92" t="str">
        <f>HYPERLINK("http://fluir.ibgtaubate.com.br")</f>
        <v>http://fluir.ibgtaubate.com.br</v>
      </c>
      <c r="Y1859" s="87" t="s">
        <v>8373</v>
      </c>
      <c r="Z1859" s="87"/>
      <c r="AA1859" s="87" t="s">
        <v>9820</v>
      </c>
      <c r="AB1859" s="87" t="s">
        <v>11448</v>
      </c>
      <c r="AC1859" s="93" t="s">
        <v>11460</v>
      </c>
      <c r="AD1859" s="87" t="s">
        <v>11519</v>
      </c>
      <c r="AE1859" s="92" t="str">
        <f>HYPERLINK("https://twitter.com/fluir_ibg/status/1694722638265078224")</f>
        <v>https://twitter.com/fluir_ibg/status/1694722638265078224</v>
      </c>
      <c r="AF1859" s="90">
        <v>45162.615023148152</v>
      </c>
      <c r="AG1859" s="99">
        <v>45162</v>
      </c>
      <c r="AH1859" s="93" t="s">
        <v>13232</v>
      </c>
      <c r="AI1859" s="87" t="b">
        <v>0</v>
      </c>
      <c r="AJ1859" s="87"/>
      <c r="AK1859" s="87"/>
      <c r="AL1859" s="87"/>
      <c r="AM1859" s="87"/>
      <c r="AN1859" s="87"/>
      <c r="AO1859" s="87"/>
      <c r="AP1859" s="87"/>
      <c r="AQ1859" s="87" t="s">
        <v>16633</v>
      </c>
      <c r="AR1859" s="87"/>
      <c r="AS1859" s="87"/>
      <c r="AT1859" s="87"/>
      <c r="AU1859" s="87"/>
      <c r="AV1859" s="92" t="str">
        <f>HYPERLINK("https://pbs.twimg.com/media/F4TdQicaAAEdMrL.jpg")</f>
        <v>https://pbs.twimg.com/media/F4TdQicaAAEdMrL.jpg</v>
      </c>
      <c r="AW1859" s="93" t="s">
        <v>20088</v>
      </c>
      <c r="AX1859" s="93" t="s">
        <v>20088</v>
      </c>
      <c r="AY1859" s="87"/>
      <c r="AZ1859" s="93" t="s">
        <v>22668</v>
      </c>
      <c r="BA1859" s="93" t="s">
        <v>22668</v>
      </c>
      <c r="BB1859" s="93" t="s">
        <v>22668</v>
      </c>
      <c r="BC1859" s="93" t="s">
        <v>20088</v>
      </c>
      <c r="BD1859" s="93" t="s">
        <v>23153</v>
      </c>
      <c r="BE1859" s="87"/>
      <c r="BF1859" s="87"/>
      <c r="BG1859" s="87"/>
      <c r="BH1859" s="87"/>
      <c r="BI1859" s="87"/>
    </row>
    <row r="1860" spans="1:61" x14ac:dyDescent="0.25">
      <c r="A1860" s="63" t="s">
        <v>849</v>
      </c>
      <c r="B1860" s="63" t="s">
        <v>849</v>
      </c>
      <c r="C1860" s="64"/>
      <c r="D1860" s="65"/>
      <c r="E1860" s="66"/>
      <c r="F1860" s="67"/>
      <c r="G1860" s="64"/>
      <c r="H1860" s="68"/>
      <c r="I1860" s="69"/>
      <c r="J1860" s="69"/>
      <c r="K1860" s="32"/>
      <c r="L1860" s="76">
        <v>1860</v>
      </c>
      <c r="M1860" s="76"/>
      <c r="N1860" s="71"/>
      <c r="O1860" s="87" t="s">
        <v>179</v>
      </c>
      <c r="P1860" s="90">
        <v>45149.017569444448</v>
      </c>
      <c r="Q1860" s="87" t="s">
        <v>3651</v>
      </c>
      <c r="R1860" s="87">
        <v>0</v>
      </c>
      <c r="S1860" s="87">
        <v>0</v>
      </c>
      <c r="T1860" s="87">
        <v>0</v>
      </c>
      <c r="U1860" s="87">
        <v>0</v>
      </c>
      <c r="V1860" s="87">
        <v>18</v>
      </c>
      <c r="W1860" s="93" t="s">
        <v>7059</v>
      </c>
      <c r="X1860" s="87"/>
      <c r="Y1860" s="87"/>
      <c r="Z1860" s="87"/>
      <c r="AA1860" s="87" t="s">
        <v>9821</v>
      </c>
      <c r="AB1860" s="87" t="s">
        <v>11447</v>
      </c>
      <c r="AC1860" s="93" t="s">
        <v>11460</v>
      </c>
      <c r="AD1860" s="87" t="s">
        <v>11519</v>
      </c>
      <c r="AE1860" s="92" t="str">
        <f>HYPERLINK("https://twitter.com/fluir_ibg/status/1689795089743200256")</f>
        <v>https://twitter.com/fluir_ibg/status/1689795089743200256</v>
      </c>
      <c r="AF1860" s="90">
        <v>45149.017569444448</v>
      </c>
      <c r="AG1860" s="99">
        <v>45149</v>
      </c>
      <c r="AH1860" s="93" t="s">
        <v>13233</v>
      </c>
      <c r="AI1860" s="87" t="b">
        <v>0</v>
      </c>
      <c r="AJ1860" s="87"/>
      <c r="AK1860" s="87"/>
      <c r="AL1860" s="87"/>
      <c r="AM1860" s="87"/>
      <c r="AN1860" s="87"/>
      <c r="AO1860" s="87"/>
      <c r="AP1860" s="87"/>
      <c r="AQ1860" s="87" t="s">
        <v>16634</v>
      </c>
      <c r="AR1860" s="87">
        <v>22041</v>
      </c>
      <c r="AS1860" s="87"/>
      <c r="AT1860" s="87"/>
      <c r="AU1860" s="87"/>
      <c r="AV1860" s="92" t="str">
        <f>HYPERLINK("https://pbs.twimg.com/ext_tw_video_thumb/1689795022680465408/pu/img/x24BEKzNZxQ15fD2.jpg")</f>
        <v>https://pbs.twimg.com/ext_tw_video_thumb/1689795022680465408/pu/img/x24BEKzNZxQ15fD2.jpg</v>
      </c>
      <c r="AW1860" s="93" t="s">
        <v>20089</v>
      </c>
      <c r="AX1860" s="93" t="s">
        <v>20089</v>
      </c>
      <c r="AY1860" s="87"/>
      <c r="AZ1860" s="93" t="s">
        <v>22668</v>
      </c>
      <c r="BA1860" s="93" t="s">
        <v>22668</v>
      </c>
      <c r="BB1860" s="93" t="s">
        <v>22668</v>
      </c>
      <c r="BC1860" s="93" t="s">
        <v>20089</v>
      </c>
      <c r="BD1860" s="93" t="s">
        <v>23153</v>
      </c>
      <c r="BE1860" s="87"/>
      <c r="BF1860" s="87"/>
      <c r="BG1860" s="87"/>
      <c r="BH1860" s="87"/>
      <c r="BI1860" s="87"/>
    </row>
    <row r="1861" spans="1:61" x14ac:dyDescent="0.25">
      <c r="A1861" s="63" t="s">
        <v>849</v>
      </c>
      <c r="B1861" s="63" t="s">
        <v>849</v>
      </c>
      <c r="C1861" s="64"/>
      <c r="D1861" s="65"/>
      <c r="E1861" s="66"/>
      <c r="F1861" s="67"/>
      <c r="G1861" s="64"/>
      <c r="H1861" s="68"/>
      <c r="I1861" s="69"/>
      <c r="J1861" s="69"/>
      <c r="K1861" s="32"/>
      <c r="L1861" s="76">
        <v>1861</v>
      </c>
      <c r="M1861" s="76"/>
      <c r="N1861" s="71"/>
      <c r="O1861" s="87" t="s">
        <v>179</v>
      </c>
      <c r="P1861" s="90">
        <v>45190.861840277779</v>
      </c>
      <c r="Q1861" s="87" t="s">
        <v>3652</v>
      </c>
      <c r="R1861" s="87">
        <v>0</v>
      </c>
      <c r="S1861" s="87">
        <v>0</v>
      </c>
      <c r="T1861" s="87">
        <v>0</v>
      </c>
      <c r="U1861" s="87">
        <v>0</v>
      </c>
      <c r="V1861" s="87">
        <v>19</v>
      </c>
      <c r="W1861" s="93" t="s">
        <v>7060</v>
      </c>
      <c r="X1861" s="87"/>
      <c r="Y1861" s="87"/>
      <c r="Z1861" s="87"/>
      <c r="AA1861" s="87" t="s">
        <v>9822</v>
      </c>
      <c r="AB1861" s="87" t="s">
        <v>11448</v>
      </c>
      <c r="AC1861" s="93" t="s">
        <v>11460</v>
      </c>
      <c r="AD1861" s="87" t="s">
        <v>11519</v>
      </c>
      <c r="AE1861" s="92" t="str">
        <f>HYPERLINK("https://twitter.com/fluir_ibg/status/1704958942118318495")</f>
        <v>https://twitter.com/fluir_ibg/status/1704958942118318495</v>
      </c>
      <c r="AF1861" s="90">
        <v>45190.861840277779</v>
      </c>
      <c r="AG1861" s="99">
        <v>45190</v>
      </c>
      <c r="AH1861" s="93" t="s">
        <v>13234</v>
      </c>
      <c r="AI1861" s="87" t="b">
        <v>0</v>
      </c>
      <c r="AJ1861" s="87"/>
      <c r="AK1861" s="87"/>
      <c r="AL1861" s="87"/>
      <c r="AM1861" s="87"/>
      <c r="AN1861" s="87"/>
      <c r="AO1861" s="87"/>
      <c r="AP1861" s="87"/>
      <c r="AQ1861" s="87" t="s">
        <v>16635</v>
      </c>
      <c r="AR1861" s="87"/>
      <c r="AS1861" s="87"/>
      <c r="AT1861" s="87"/>
      <c r="AU1861" s="87"/>
      <c r="AV1861" s="92" t="str">
        <f>HYPERLINK("https://pbs.twimg.com/media/F6k7HwcXoAAHaIa.jpg")</f>
        <v>https://pbs.twimg.com/media/F6k7HwcXoAAHaIa.jpg</v>
      </c>
      <c r="AW1861" s="93" t="s">
        <v>20090</v>
      </c>
      <c r="AX1861" s="93" t="s">
        <v>20090</v>
      </c>
      <c r="AY1861" s="87"/>
      <c r="AZ1861" s="93" t="s">
        <v>22668</v>
      </c>
      <c r="BA1861" s="93" t="s">
        <v>22668</v>
      </c>
      <c r="BB1861" s="93" t="s">
        <v>22668</v>
      </c>
      <c r="BC1861" s="93" t="s">
        <v>20090</v>
      </c>
      <c r="BD1861" s="93" t="s">
        <v>23153</v>
      </c>
      <c r="BE1861" s="87"/>
      <c r="BF1861" s="87"/>
      <c r="BG1861" s="87"/>
      <c r="BH1861" s="87"/>
      <c r="BI1861" s="87"/>
    </row>
    <row r="1862" spans="1:61" x14ac:dyDescent="0.25">
      <c r="A1862" s="63" t="s">
        <v>849</v>
      </c>
      <c r="B1862" s="63" t="s">
        <v>849</v>
      </c>
      <c r="C1862" s="64"/>
      <c r="D1862" s="65"/>
      <c r="E1862" s="66"/>
      <c r="F1862" s="67"/>
      <c r="G1862" s="64"/>
      <c r="H1862" s="68"/>
      <c r="I1862" s="69"/>
      <c r="J1862" s="69"/>
      <c r="K1862" s="32"/>
      <c r="L1862" s="76">
        <v>1862</v>
      </c>
      <c r="M1862" s="76"/>
      <c r="N1862" s="71"/>
      <c r="O1862" s="87" t="s">
        <v>179</v>
      </c>
      <c r="P1862" s="90">
        <v>45190.857916666668</v>
      </c>
      <c r="Q1862" s="87" t="s">
        <v>3653</v>
      </c>
      <c r="R1862" s="87">
        <v>0</v>
      </c>
      <c r="S1862" s="87">
        <v>0</v>
      </c>
      <c r="T1862" s="87">
        <v>0</v>
      </c>
      <c r="U1862" s="87">
        <v>0</v>
      </c>
      <c r="V1862" s="87">
        <v>3</v>
      </c>
      <c r="W1862" s="93" t="s">
        <v>7061</v>
      </c>
      <c r="X1862" s="87"/>
      <c r="Y1862" s="87"/>
      <c r="Z1862" s="87"/>
      <c r="AA1862" s="87" t="s">
        <v>9823</v>
      </c>
      <c r="AB1862" s="87" t="s">
        <v>11448</v>
      </c>
      <c r="AC1862" s="93" t="s">
        <v>11460</v>
      </c>
      <c r="AD1862" s="87" t="s">
        <v>11519</v>
      </c>
      <c r="AE1862" s="92" t="str">
        <f>HYPERLINK("https://twitter.com/fluir_ibg/status/1704957523013279792")</f>
        <v>https://twitter.com/fluir_ibg/status/1704957523013279792</v>
      </c>
      <c r="AF1862" s="90">
        <v>45190.857916666668</v>
      </c>
      <c r="AG1862" s="99">
        <v>45190</v>
      </c>
      <c r="AH1862" s="93" t="s">
        <v>13235</v>
      </c>
      <c r="AI1862" s="87" t="b">
        <v>0</v>
      </c>
      <c r="AJ1862" s="87"/>
      <c r="AK1862" s="87"/>
      <c r="AL1862" s="87"/>
      <c r="AM1862" s="87"/>
      <c r="AN1862" s="87"/>
      <c r="AO1862" s="87"/>
      <c r="AP1862" s="87"/>
      <c r="AQ1862" s="87" t="s">
        <v>16636</v>
      </c>
      <c r="AR1862" s="87"/>
      <c r="AS1862" s="87"/>
      <c r="AT1862" s="87"/>
      <c r="AU1862" s="87"/>
      <c r="AV1862" s="92" t="str">
        <f>HYPERLINK("https://pbs.twimg.com/media/F6k51MIXAAAsUBT.jpg")</f>
        <v>https://pbs.twimg.com/media/F6k51MIXAAAsUBT.jpg</v>
      </c>
      <c r="AW1862" s="93" t="s">
        <v>20091</v>
      </c>
      <c r="AX1862" s="93" t="s">
        <v>20091</v>
      </c>
      <c r="AY1862" s="87"/>
      <c r="AZ1862" s="93" t="s">
        <v>22668</v>
      </c>
      <c r="BA1862" s="93" t="s">
        <v>22668</v>
      </c>
      <c r="BB1862" s="93" t="s">
        <v>22668</v>
      </c>
      <c r="BC1862" s="93" t="s">
        <v>20091</v>
      </c>
      <c r="BD1862" s="93" t="s">
        <v>23153</v>
      </c>
      <c r="BE1862" s="87"/>
      <c r="BF1862" s="87"/>
      <c r="BG1862" s="87"/>
      <c r="BH1862" s="87"/>
      <c r="BI1862" s="87"/>
    </row>
    <row r="1863" spans="1:61" x14ac:dyDescent="0.25">
      <c r="A1863" s="63" t="s">
        <v>849</v>
      </c>
      <c r="B1863" s="63" t="s">
        <v>849</v>
      </c>
      <c r="C1863" s="64"/>
      <c r="D1863" s="65"/>
      <c r="E1863" s="66"/>
      <c r="F1863" s="67"/>
      <c r="G1863" s="64"/>
      <c r="H1863" s="68"/>
      <c r="I1863" s="69"/>
      <c r="J1863" s="69"/>
      <c r="K1863" s="32"/>
      <c r="L1863" s="76">
        <v>1863</v>
      </c>
      <c r="M1863" s="76"/>
      <c r="N1863" s="71"/>
      <c r="O1863" s="87" t="s">
        <v>179</v>
      </c>
      <c r="P1863" s="90">
        <v>45195.510949074072</v>
      </c>
      <c r="Q1863" s="87" t="s">
        <v>3654</v>
      </c>
      <c r="R1863" s="87">
        <v>0</v>
      </c>
      <c r="S1863" s="87">
        <v>0</v>
      </c>
      <c r="T1863" s="87">
        <v>0</v>
      </c>
      <c r="U1863" s="87">
        <v>0</v>
      </c>
      <c r="V1863" s="87">
        <v>3</v>
      </c>
      <c r="W1863" s="93" t="s">
        <v>7062</v>
      </c>
      <c r="X1863" s="92" t="str">
        <f>HYPERLINK("http://fluir.ibgtaubate.com.br")</f>
        <v>http://fluir.ibgtaubate.com.br</v>
      </c>
      <c r="Y1863" s="87" t="s">
        <v>8373</v>
      </c>
      <c r="Z1863" s="87"/>
      <c r="AA1863" s="87" t="s">
        <v>9824</v>
      </c>
      <c r="AB1863" s="87" t="s">
        <v>11447</v>
      </c>
      <c r="AC1863" s="93" t="s">
        <v>11460</v>
      </c>
      <c r="AD1863" s="87" t="s">
        <v>11519</v>
      </c>
      <c r="AE1863" s="92" t="str">
        <f>HYPERLINK("https://twitter.com/fluir_ibg/status/1706643726259396619")</f>
        <v>https://twitter.com/fluir_ibg/status/1706643726259396619</v>
      </c>
      <c r="AF1863" s="90">
        <v>45195.510949074072</v>
      </c>
      <c r="AG1863" s="99">
        <v>45195</v>
      </c>
      <c r="AH1863" s="93" t="s">
        <v>13236</v>
      </c>
      <c r="AI1863" s="87" t="b">
        <v>0</v>
      </c>
      <c r="AJ1863" s="87"/>
      <c r="AK1863" s="87"/>
      <c r="AL1863" s="87"/>
      <c r="AM1863" s="87"/>
      <c r="AN1863" s="87"/>
      <c r="AO1863" s="87"/>
      <c r="AP1863" s="87"/>
      <c r="AQ1863" s="87" t="s">
        <v>16637</v>
      </c>
      <c r="AR1863" s="87">
        <v>52177</v>
      </c>
      <c r="AS1863" s="87"/>
      <c r="AT1863" s="87"/>
      <c r="AU1863" s="87"/>
      <c r="AV1863" s="92" t="str">
        <f>HYPERLINK("https://pbs.twimg.com/ext_tw_video_thumb/1706643616033026050/pu/img/gzjp1o1VNUcZj_gP.jpg")</f>
        <v>https://pbs.twimg.com/ext_tw_video_thumb/1706643616033026050/pu/img/gzjp1o1VNUcZj_gP.jpg</v>
      </c>
      <c r="AW1863" s="93" t="s">
        <v>20092</v>
      </c>
      <c r="AX1863" s="93" t="s">
        <v>20092</v>
      </c>
      <c r="AY1863" s="87"/>
      <c r="AZ1863" s="93" t="s">
        <v>22668</v>
      </c>
      <c r="BA1863" s="93" t="s">
        <v>22668</v>
      </c>
      <c r="BB1863" s="93" t="s">
        <v>22668</v>
      </c>
      <c r="BC1863" s="93" t="s">
        <v>20092</v>
      </c>
      <c r="BD1863" s="93" t="s">
        <v>23153</v>
      </c>
      <c r="BE1863" s="87"/>
      <c r="BF1863" s="87"/>
      <c r="BG1863" s="87"/>
      <c r="BH1863" s="87"/>
      <c r="BI1863" s="87"/>
    </row>
    <row r="1864" spans="1:61" x14ac:dyDescent="0.25">
      <c r="A1864" s="63" t="s">
        <v>849</v>
      </c>
      <c r="B1864" s="63" t="s">
        <v>849</v>
      </c>
      <c r="C1864" s="64"/>
      <c r="D1864" s="65"/>
      <c r="E1864" s="66"/>
      <c r="F1864" s="67"/>
      <c r="G1864" s="64"/>
      <c r="H1864" s="68"/>
      <c r="I1864" s="69"/>
      <c r="J1864" s="69"/>
      <c r="K1864" s="32"/>
      <c r="L1864" s="76">
        <v>1864</v>
      </c>
      <c r="M1864" s="76"/>
      <c r="N1864" s="71"/>
      <c r="O1864" s="87" t="s">
        <v>179</v>
      </c>
      <c r="P1864" s="90">
        <v>45122.028032407405</v>
      </c>
      <c r="Q1864" s="87" t="s">
        <v>3655</v>
      </c>
      <c r="R1864" s="87">
        <v>0</v>
      </c>
      <c r="S1864" s="87">
        <v>0</v>
      </c>
      <c r="T1864" s="87">
        <v>0</v>
      </c>
      <c r="U1864" s="87">
        <v>0</v>
      </c>
      <c r="V1864" s="87">
        <v>4</v>
      </c>
      <c r="W1864" s="93" t="s">
        <v>7063</v>
      </c>
      <c r="X1864" s="92" t="str">
        <f>HYPERLINK("http://fluir.ibgtaubate.com.br/inscreva-se")</f>
        <v>http://fluir.ibgtaubate.com.br/inscreva-se</v>
      </c>
      <c r="Y1864" s="87" t="s">
        <v>8373</v>
      </c>
      <c r="Z1864" s="87"/>
      <c r="AA1864" s="87" t="s">
        <v>9825</v>
      </c>
      <c r="AB1864" s="87" t="s">
        <v>11447</v>
      </c>
      <c r="AC1864" s="93" t="s">
        <v>11457</v>
      </c>
      <c r="AD1864" s="87" t="s">
        <v>11519</v>
      </c>
      <c r="AE1864" s="92" t="str">
        <f>HYPERLINK("https://twitter.com/fluir_ibg/status/1680014407282114561")</f>
        <v>https://twitter.com/fluir_ibg/status/1680014407282114561</v>
      </c>
      <c r="AF1864" s="90">
        <v>45122.028032407405</v>
      </c>
      <c r="AG1864" s="99">
        <v>45122</v>
      </c>
      <c r="AH1864" s="93" t="s">
        <v>13237</v>
      </c>
      <c r="AI1864" s="87" t="b">
        <v>0</v>
      </c>
      <c r="AJ1864" s="87"/>
      <c r="AK1864" s="87"/>
      <c r="AL1864" s="87"/>
      <c r="AM1864" s="87"/>
      <c r="AN1864" s="87"/>
      <c r="AO1864" s="87"/>
      <c r="AP1864" s="87"/>
      <c r="AQ1864" s="87" t="s">
        <v>16638</v>
      </c>
      <c r="AR1864" s="87">
        <v>56625</v>
      </c>
      <c r="AS1864" s="87"/>
      <c r="AT1864" s="87"/>
      <c r="AU1864" s="87"/>
      <c r="AV1864" s="92" t="str">
        <f>HYPERLINK("https://pbs.twimg.com/ext_tw_video_thumb/1680012872728956929/pu/img/erZ6cMOViwm95upH.jpg")</f>
        <v>https://pbs.twimg.com/ext_tw_video_thumb/1680012872728956929/pu/img/erZ6cMOViwm95upH.jpg</v>
      </c>
      <c r="AW1864" s="93" t="s">
        <v>20093</v>
      </c>
      <c r="AX1864" s="93" t="s">
        <v>20093</v>
      </c>
      <c r="AY1864" s="87"/>
      <c r="AZ1864" s="93" t="s">
        <v>22668</v>
      </c>
      <c r="BA1864" s="93" t="s">
        <v>22668</v>
      </c>
      <c r="BB1864" s="93" t="s">
        <v>22668</v>
      </c>
      <c r="BC1864" s="93" t="s">
        <v>20093</v>
      </c>
      <c r="BD1864" s="93" t="s">
        <v>23153</v>
      </c>
      <c r="BE1864" s="87"/>
      <c r="BF1864" s="87"/>
      <c r="BG1864" s="87"/>
      <c r="BH1864" s="87"/>
      <c r="BI1864" s="87"/>
    </row>
    <row r="1865" spans="1:61" x14ac:dyDescent="0.25">
      <c r="A1865" s="63" t="s">
        <v>850</v>
      </c>
      <c r="B1865" s="63" t="s">
        <v>850</v>
      </c>
      <c r="C1865" s="64"/>
      <c r="D1865" s="65"/>
      <c r="E1865" s="66"/>
      <c r="F1865" s="67"/>
      <c r="G1865" s="64"/>
      <c r="H1865" s="68"/>
      <c r="I1865" s="69"/>
      <c r="J1865" s="69"/>
      <c r="K1865" s="32"/>
      <c r="L1865" s="76">
        <v>1865</v>
      </c>
      <c r="M1865" s="76"/>
      <c r="N1865" s="71"/>
      <c r="O1865" s="87" t="s">
        <v>179</v>
      </c>
      <c r="P1865" s="90">
        <v>45118.472083333334</v>
      </c>
      <c r="Q1865" s="87" t="s">
        <v>3656</v>
      </c>
      <c r="R1865" s="87">
        <v>0</v>
      </c>
      <c r="S1865" s="87">
        <v>1</v>
      </c>
      <c r="T1865" s="87">
        <v>0</v>
      </c>
      <c r="U1865" s="87">
        <v>0</v>
      </c>
      <c r="V1865" s="87">
        <v>14</v>
      </c>
      <c r="W1865" s="93" t="s">
        <v>7064</v>
      </c>
      <c r="X1865" s="87"/>
      <c r="Y1865" s="87"/>
      <c r="Z1865" s="87"/>
      <c r="AA1865" s="87" t="s">
        <v>9826</v>
      </c>
      <c r="AB1865" s="87" t="s">
        <v>11448</v>
      </c>
      <c r="AC1865" s="93" t="s">
        <v>11460</v>
      </c>
      <c r="AD1865" s="87" t="s">
        <v>11519</v>
      </c>
      <c r="AE1865" s="92" t="str">
        <f>HYPERLINK("https://twitter.com/smartweb_info/status/1678725774923247617")</f>
        <v>https://twitter.com/smartweb_info/status/1678725774923247617</v>
      </c>
      <c r="AF1865" s="90">
        <v>45118.472083333334</v>
      </c>
      <c r="AG1865" s="99">
        <v>45118</v>
      </c>
      <c r="AH1865" s="93" t="s">
        <v>13238</v>
      </c>
      <c r="AI1865" s="87" t="b">
        <v>0</v>
      </c>
      <c r="AJ1865" s="87"/>
      <c r="AK1865" s="87"/>
      <c r="AL1865" s="87"/>
      <c r="AM1865" s="87"/>
      <c r="AN1865" s="87"/>
      <c r="AO1865" s="87"/>
      <c r="AP1865" s="87"/>
      <c r="AQ1865" s="87" t="s">
        <v>16639</v>
      </c>
      <c r="AR1865" s="87"/>
      <c r="AS1865" s="87"/>
      <c r="AT1865" s="87"/>
      <c r="AU1865" s="87"/>
      <c r="AV1865" s="92" t="str">
        <f>HYPERLINK("https://pbs.twimg.com/media/F0wIMj-WIAIK5L-.jpg")</f>
        <v>https://pbs.twimg.com/media/F0wIMj-WIAIK5L-.jpg</v>
      </c>
      <c r="AW1865" s="93" t="s">
        <v>20094</v>
      </c>
      <c r="AX1865" s="93" t="s">
        <v>20094</v>
      </c>
      <c r="AY1865" s="87"/>
      <c r="AZ1865" s="93" t="s">
        <v>22668</v>
      </c>
      <c r="BA1865" s="93" t="s">
        <v>22668</v>
      </c>
      <c r="BB1865" s="93" t="s">
        <v>22668</v>
      </c>
      <c r="BC1865" s="93" t="s">
        <v>20094</v>
      </c>
      <c r="BD1865" s="93" t="s">
        <v>23154</v>
      </c>
      <c r="BE1865" s="87"/>
      <c r="BF1865" s="87"/>
      <c r="BG1865" s="87"/>
      <c r="BH1865" s="87"/>
      <c r="BI1865" s="87"/>
    </row>
    <row r="1866" spans="1:61" x14ac:dyDescent="0.25">
      <c r="A1866" s="63" t="s">
        <v>850</v>
      </c>
      <c r="B1866" s="63" t="s">
        <v>850</v>
      </c>
      <c r="C1866" s="64"/>
      <c r="D1866" s="65"/>
      <c r="E1866" s="66"/>
      <c r="F1866" s="67"/>
      <c r="G1866" s="64"/>
      <c r="H1866" s="68"/>
      <c r="I1866" s="69"/>
      <c r="J1866" s="69"/>
      <c r="K1866" s="32"/>
      <c r="L1866" s="76">
        <v>1866</v>
      </c>
      <c r="M1866" s="76"/>
      <c r="N1866" s="71"/>
      <c r="O1866" s="87" t="s">
        <v>179</v>
      </c>
      <c r="P1866" s="90">
        <v>45121.468958333331</v>
      </c>
      <c r="Q1866" s="87" t="s">
        <v>3657</v>
      </c>
      <c r="R1866" s="87">
        <v>0</v>
      </c>
      <c r="S1866" s="87">
        <v>0</v>
      </c>
      <c r="T1866" s="87">
        <v>0</v>
      </c>
      <c r="U1866" s="87">
        <v>0</v>
      </c>
      <c r="V1866" s="87">
        <v>7</v>
      </c>
      <c r="W1866" s="93" t="s">
        <v>7065</v>
      </c>
      <c r="X1866" s="87"/>
      <c r="Y1866" s="87"/>
      <c r="Z1866" s="87"/>
      <c r="AA1866" s="87" t="s">
        <v>9827</v>
      </c>
      <c r="AB1866" s="87" t="s">
        <v>11451</v>
      </c>
      <c r="AC1866" s="93" t="s">
        <v>11460</v>
      </c>
      <c r="AD1866" s="87" t="s">
        <v>11519</v>
      </c>
      <c r="AE1866" s="92" t="str">
        <f>HYPERLINK("https://twitter.com/smartweb_info/status/1679811806762614790")</f>
        <v>https://twitter.com/smartweb_info/status/1679811806762614790</v>
      </c>
      <c r="AF1866" s="90">
        <v>45121.468958333331</v>
      </c>
      <c r="AG1866" s="99">
        <v>45121</v>
      </c>
      <c r="AH1866" s="93" t="s">
        <v>12967</v>
      </c>
      <c r="AI1866" s="87" t="b">
        <v>0</v>
      </c>
      <c r="AJ1866" s="87"/>
      <c r="AK1866" s="87"/>
      <c r="AL1866" s="87"/>
      <c r="AM1866" s="87"/>
      <c r="AN1866" s="87"/>
      <c r="AO1866" s="87"/>
      <c r="AP1866" s="87"/>
      <c r="AQ1866" s="87" t="s">
        <v>16640</v>
      </c>
      <c r="AR1866" s="87"/>
      <c r="AS1866" s="87"/>
      <c r="AT1866" s="87"/>
      <c r="AU1866" s="87"/>
      <c r="AV1866" s="92" t="str">
        <f>HYPERLINK("https://pbs.twimg.com/media/F0_j76HXgAAIVvk.jpg")</f>
        <v>https://pbs.twimg.com/media/F0_j76HXgAAIVvk.jpg</v>
      </c>
      <c r="AW1866" s="93" t="s">
        <v>20095</v>
      </c>
      <c r="AX1866" s="93" t="s">
        <v>20095</v>
      </c>
      <c r="AY1866" s="87"/>
      <c r="AZ1866" s="93" t="s">
        <v>22668</v>
      </c>
      <c r="BA1866" s="93" t="s">
        <v>22668</v>
      </c>
      <c r="BB1866" s="93" t="s">
        <v>22668</v>
      </c>
      <c r="BC1866" s="93" t="s">
        <v>20095</v>
      </c>
      <c r="BD1866" s="93" t="s">
        <v>23154</v>
      </c>
      <c r="BE1866" s="87"/>
      <c r="BF1866" s="87"/>
      <c r="BG1866" s="87"/>
      <c r="BH1866" s="87"/>
      <c r="BI1866" s="87"/>
    </row>
    <row r="1867" spans="1:61" x14ac:dyDescent="0.25">
      <c r="A1867" s="63" t="s">
        <v>850</v>
      </c>
      <c r="B1867" s="63" t="s">
        <v>850</v>
      </c>
      <c r="C1867" s="64"/>
      <c r="D1867" s="65"/>
      <c r="E1867" s="66"/>
      <c r="F1867" s="67"/>
      <c r="G1867" s="64"/>
      <c r="H1867" s="68"/>
      <c r="I1867" s="69"/>
      <c r="J1867" s="69"/>
      <c r="K1867" s="32"/>
      <c r="L1867" s="76">
        <v>1867</v>
      </c>
      <c r="M1867" s="76"/>
      <c r="N1867" s="71"/>
      <c r="O1867" s="87" t="s">
        <v>179</v>
      </c>
      <c r="P1867" s="90">
        <v>45133.959328703706</v>
      </c>
      <c r="Q1867" s="87" t="s">
        <v>3658</v>
      </c>
      <c r="R1867" s="87">
        <v>0</v>
      </c>
      <c r="S1867" s="87">
        <v>0</v>
      </c>
      <c r="T1867" s="87">
        <v>0</v>
      </c>
      <c r="U1867" s="87">
        <v>0</v>
      </c>
      <c r="V1867" s="87">
        <v>4</v>
      </c>
      <c r="W1867" s="93" t="s">
        <v>7066</v>
      </c>
      <c r="X1867" s="87"/>
      <c r="Y1867" s="87"/>
      <c r="Z1867" s="87"/>
      <c r="AA1867" s="87"/>
      <c r="AB1867" s="87"/>
      <c r="AC1867" s="93" t="s">
        <v>11459</v>
      </c>
      <c r="AD1867" s="87" t="s">
        <v>11519</v>
      </c>
      <c r="AE1867" s="92" t="str">
        <f>HYPERLINK("https://twitter.com/smartweb_info/status/1684338163047596034")</f>
        <v>https://twitter.com/smartweb_info/status/1684338163047596034</v>
      </c>
      <c r="AF1867" s="90">
        <v>45133.959328703706</v>
      </c>
      <c r="AG1867" s="99">
        <v>45133</v>
      </c>
      <c r="AH1867" s="93" t="s">
        <v>13239</v>
      </c>
      <c r="AI1867" s="87"/>
      <c r="AJ1867" s="87" t="s">
        <v>15179</v>
      </c>
      <c r="AK1867" s="87" t="s">
        <v>15234</v>
      </c>
      <c r="AL1867" s="87" t="s">
        <v>15237</v>
      </c>
      <c r="AM1867" s="87" t="s">
        <v>15240</v>
      </c>
      <c r="AN1867" s="87" t="s">
        <v>15316</v>
      </c>
      <c r="AO1867" s="87" t="s">
        <v>15372</v>
      </c>
      <c r="AP1867" s="87" t="s">
        <v>15438</v>
      </c>
      <c r="AQ1867" s="87"/>
      <c r="AR1867" s="87"/>
      <c r="AS1867" s="87"/>
      <c r="AT1867" s="87"/>
      <c r="AU1867" s="87"/>
      <c r="AV1867" s="92" t="str">
        <f>HYPERLINK("https://pbs.twimg.com/profile_images/1587862141675212803/si2bBLR9_normal.jpg")</f>
        <v>https://pbs.twimg.com/profile_images/1587862141675212803/si2bBLR9_normal.jpg</v>
      </c>
      <c r="AW1867" s="93" t="s">
        <v>20096</v>
      </c>
      <c r="AX1867" s="93" t="s">
        <v>20096</v>
      </c>
      <c r="AY1867" s="87"/>
      <c r="AZ1867" s="93" t="s">
        <v>22668</v>
      </c>
      <c r="BA1867" s="93" t="s">
        <v>22668</v>
      </c>
      <c r="BB1867" s="93" t="s">
        <v>22668</v>
      </c>
      <c r="BC1867" s="93" t="s">
        <v>20096</v>
      </c>
      <c r="BD1867" s="93" t="s">
        <v>23154</v>
      </c>
      <c r="BE1867" s="87"/>
      <c r="BF1867" s="87"/>
      <c r="BG1867" s="87"/>
      <c r="BH1867" s="87"/>
      <c r="BI1867" s="87"/>
    </row>
    <row r="1868" spans="1:61" x14ac:dyDescent="0.25">
      <c r="A1868" s="63" t="s">
        <v>850</v>
      </c>
      <c r="B1868" s="63" t="s">
        <v>850</v>
      </c>
      <c r="C1868" s="64"/>
      <c r="D1868" s="65"/>
      <c r="E1868" s="66"/>
      <c r="F1868" s="67"/>
      <c r="G1868" s="64"/>
      <c r="H1868" s="68"/>
      <c r="I1868" s="69"/>
      <c r="J1868" s="69"/>
      <c r="K1868" s="32"/>
      <c r="L1868" s="76">
        <v>1868</v>
      </c>
      <c r="M1868" s="76"/>
      <c r="N1868" s="71"/>
      <c r="O1868" s="87" t="s">
        <v>179</v>
      </c>
      <c r="P1868" s="90">
        <v>45118.999826388892</v>
      </c>
      <c r="Q1868" s="87" t="s">
        <v>3659</v>
      </c>
      <c r="R1868" s="87">
        <v>0</v>
      </c>
      <c r="S1868" s="87">
        <v>0</v>
      </c>
      <c r="T1868" s="87">
        <v>0</v>
      </c>
      <c r="U1868" s="87">
        <v>0</v>
      </c>
      <c r="V1868" s="87">
        <v>76</v>
      </c>
      <c r="W1868" s="93" t="s">
        <v>7067</v>
      </c>
      <c r="X1868" s="87"/>
      <c r="Y1868" s="87"/>
      <c r="Z1868" s="87"/>
      <c r="AA1868" s="87" t="s">
        <v>9828</v>
      </c>
      <c r="AB1868" s="87" t="s">
        <v>11447</v>
      </c>
      <c r="AC1868" s="93" t="s">
        <v>11460</v>
      </c>
      <c r="AD1868" s="87" t="s">
        <v>11519</v>
      </c>
      <c r="AE1868" s="92" t="str">
        <f>HYPERLINK("https://twitter.com/smartweb_info/status/1678917024016105474")</f>
        <v>https://twitter.com/smartweb_info/status/1678917024016105474</v>
      </c>
      <c r="AF1868" s="90">
        <v>45118.999826388892</v>
      </c>
      <c r="AG1868" s="99">
        <v>45118</v>
      </c>
      <c r="AH1868" s="93" t="s">
        <v>13240</v>
      </c>
      <c r="AI1868" s="87" t="b">
        <v>0</v>
      </c>
      <c r="AJ1868" s="87"/>
      <c r="AK1868" s="87"/>
      <c r="AL1868" s="87"/>
      <c r="AM1868" s="87"/>
      <c r="AN1868" s="87"/>
      <c r="AO1868" s="87"/>
      <c r="AP1868" s="87"/>
      <c r="AQ1868" s="87" t="s">
        <v>16641</v>
      </c>
      <c r="AR1868" s="87">
        <v>19333</v>
      </c>
      <c r="AS1868" s="87"/>
      <c r="AT1868" s="87"/>
      <c r="AU1868" s="87"/>
      <c r="AV1868" s="92" t="str">
        <f>HYPERLINK("https://pbs.twimg.com/ext_tw_video_thumb/1678916988704366592/pu/img/RqA6avWMRO9KYsat.jpg")</f>
        <v>https://pbs.twimg.com/ext_tw_video_thumb/1678916988704366592/pu/img/RqA6avWMRO9KYsat.jpg</v>
      </c>
      <c r="AW1868" s="93" t="s">
        <v>20097</v>
      </c>
      <c r="AX1868" s="93" t="s">
        <v>20097</v>
      </c>
      <c r="AY1868" s="87"/>
      <c r="AZ1868" s="93" t="s">
        <v>22668</v>
      </c>
      <c r="BA1868" s="93" t="s">
        <v>22668</v>
      </c>
      <c r="BB1868" s="93" t="s">
        <v>22668</v>
      </c>
      <c r="BC1868" s="93" t="s">
        <v>20097</v>
      </c>
      <c r="BD1868" s="93" t="s">
        <v>23154</v>
      </c>
      <c r="BE1868" s="87"/>
      <c r="BF1868" s="87"/>
      <c r="BG1868" s="87"/>
      <c r="BH1868" s="87"/>
      <c r="BI1868" s="87"/>
    </row>
    <row r="1869" spans="1:61" x14ac:dyDescent="0.25">
      <c r="A1869" s="63" t="s">
        <v>851</v>
      </c>
      <c r="B1869" s="63" t="s">
        <v>851</v>
      </c>
      <c r="C1869" s="64"/>
      <c r="D1869" s="65"/>
      <c r="E1869" s="66"/>
      <c r="F1869" s="67"/>
      <c r="G1869" s="64"/>
      <c r="H1869" s="68"/>
      <c r="I1869" s="69"/>
      <c r="J1869" s="69"/>
      <c r="K1869" s="32"/>
      <c r="L1869" s="76">
        <v>1869</v>
      </c>
      <c r="M1869" s="76"/>
      <c r="N1869" s="71"/>
      <c r="O1869" s="87" t="s">
        <v>1840</v>
      </c>
      <c r="P1869" s="90">
        <v>45119.564456018517</v>
      </c>
      <c r="Q1869" s="87" t="s">
        <v>3660</v>
      </c>
      <c r="R1869" s="87">
        <v>0</v>
      </c>
      <c r="S1869" s="87">
        <v>0</v>
      </c>
      <c r="T1869" s="87">
        <v>0</v>
      </c>
      <c r="U1869" s="87">
        <v>0</v>
      </c>
      <c r="V1869" s="87">
        <v>2</v>
      </c>
      <c r="W1869" s="93" t="s">
        <v>7068</v>
      </c>
      <c r="X1869" s="87"/>
      <c r="Y1869" s="87"/>
      <c r="Z1869" s="87"/>
      <c r="AA1869" s="87"/>
      <c r="AB1869" s="87"/>
      <c r="AC1869" s="93" t="s">
        <v>11457</v>
      </c>
      <c r="AD1869" s="87" t="s">
        <v>11519</v>
      </c>
      <c r="AE1869" s="92" t="str">
        <f>HYPERLINK("https://twitter.com/revininvest/status/1679121635469656064")</f>
        <v>https://twitter.com/revininvest/status/1679121635469656064</v>
      </c>
      <c r="AF1869" s="90">
        <v>45119.564456018517</v>
      </c>
      <c r="AG1869" s="99">
        <v>45119</v>
      </c>
      <c r="AH1869" s="93" t="s">
        <v>13241</v>
      </c>
      <c r="AI1869" s="87"/>
      <c r="AJ1869" s="87"/>
      <c r="AK1869" s="87"/>
      <c r="AL1869" s="87"/>
      <c r="AM1869" s="87"/>
      <c r="AN1869" s="87"/>
      <c r="AO1869" s="87"/>
      <c r="AP1869" s="87"/>
      <c r="AQ1869" s="87"/>
      <c r="AR1869" s="87"/>
      <c r="AS1869" s="87"/>
      <c r="AT1869" s="87"/>
      <c r="AU1869" s="87"/>
      <c r="AV1869" s="92" t="str">
        <f>HYPERLINK("https://pbs.twimg.com/profile_images/1401994871209185280/ieg0QOnW_normal.jpg")</f>
        <v>https://pbs.twimg.com/profile_images/1401994871209185280/ieg0QOnW_normal.jpg</v>
      </c>
      <c r="AW1869" s="93" t="s">
        <v>20098</v>
      </c>
      <c r="AX1869" s="93" t="s">
        <v>22400</v>
      </c>
      <c r="AY1869" s="93" t="s">
        <v>22586</v>
      </c>
      <c r="AZ1869" s="93" t="s">
        <v>22725</v>
      </c>
      <c r="BA1869" s="93" t="s">
        <v>22668</v>
      </c>
      <c r="BB1869" s="93" t="s">
        <v>22668</v>
      </c>
      <c r="BC1869" s="93" t="s">
        <v>22725</v>
      </c>
      <c r="BD1869" s="93" t="s">
        <v>22586</v>
      </c>
      <c r="BE1869" s="87"/>
      <c r="BF1869" s="87"/>
      <c r="BG1869" s="87"/>
      <c r="BH1869" s="87"/>
      <c r="BI1869" s="87"/>
    </row>
    <row r="1870" spans="1:61" x14ac:dyDescent="0.25">
      <c r="A1870" s="63" t="s">
        <v>852</v>
      </c>
      <c r="B1870" s="63" t="s">
        <v>852</v>
      </c>
      <c r="C1870" s="64"/>
      <c r="D1870" s="65"/>
      <c r="E1870" s="66"/>
      <c r="F1870" s="67"/>
      <c r="G1870" s="64"/>
      <c r="H1870" s="68"/>
      <c r="I1870" s="69"/>
      <c r="J1870" s="69"/>
      <c r="K1870" s="32"/>
      <c r="L1870" s="76">
        <v>1870</v>
      </c>
      <c r="M1870" s="76"/>
      <c r="N1870" s="71"/>
      <c r="O1870" s="87" t="s">
        <v>179</v>
      </c>
      <c r="P1870" s="90">
        <v>45120.822939814818</v>
      </c>
      <c r="Q1870" s="87" t="s">
        <v>3661</v>
      </c>
      <c r="R1870" s="87">
        <v>0</v>
      </c>
      <c r="S1870" s="87">
        <v>0</v>
      </c>
      <c r="T1870" s="87">
        <v>0</v>
      </c>
      <c r="U1870" s="87">
        <v>0</v>
      </c>
      <c r="V1870" s="87">
        <v>38</v>
      </c>
      <c r="W1870" s="93" t="s">
        <v>7069</v>
      </c>
      <c r="X1870" s="92" t="str">
        <f>HYPERLINK("https://l1nk.dev/palestraempreendedorismo")</f>
        <v>https://l1nk.dev/palestraempreendedorismo</v>
      </c>
      <c r="Y1870" s="87" t="s">
        <v>8473</v>
      </c>
      <c r="Z1870" s="87"/>
      <c r="AA1870" s="87" t="s">
        <v>9829</v>
      </c>
      <c r="AB1870" s="87" t="s">
        <v>11447</v>
      </c>
      <c r="AC1870" s="93" t="s">
        <v>11457</v>
      </c>
      <c r="AD1870" s="87" t="s">
        <v>11519</v>
      </c>
      <c r="AE1870" s="92" t="str">
        <f>HYPERLINK("https://twitter.com/prefesaraquari/status/1679577696022536193")</f>
        <v>https://twitter.com/prefesaraquari/status/1679577696022536193</v>
      </c>
      <c r="AF1870" s="90">
        <v>45120.822939814818</v>
      </c>
      <c r="AG1870" s="99">
        <v>45120</v>
      </c>
      <c r="AH1870" s="93" t="s">
        <v>13242</v>
      </c>
      <c r="AI1870" s="87" t="b">
        <v>0</v>
      </c>
      <c r="AJ1870" s="87"/>
      <c r="AK1870" s="87"/>
      <c r="AL1870" s="87"/>
      <c r="AM1870" s="87"/>
      <c r="AN1870" s="87"/>
      <c r="AO1870" s="87"/>
      <c r="AP1870" s="87"/>
      <c r="AQ1870" s="87" t="s">
        <v>16642</v>
      </c>
      <c r="AR1870" s="87">
        <v>20000</v>
      </c>
      <c r="AS1870" s="87"/>
      <c r="AT1870" s="87"/>
      <c r="AU1870" s="87"/>
      <c r="AV1870" s="92" t="str">
        <f>HYPERLINK("https://pbs.twimg.com/ext_tw_video_thumb/1679577563159461888/pu/img/B3UyD5R5aHHC0xdX.jpg")</f>
        <v>https://pbs.twimg.com/ext_tw_video_thumb/1679577563159461888/pu/img/B3UyD5R5aHHC0xdX.jpg</v>
      </c>
      <c r="AW1870" s="93" t="s">
        <v>20099</v>
      </c>
      <c r="AX1870" s="93" t="s">
        <v>20099</v>
      </c>
      <c r="AY1870" s="87"/>
      <c r="AZ1870" s="93" t="s">
        <v>22668</v>
      </c>
      <c r="BA1870" s="93" t="s">
        <v>22668</v>
      </c>
      <c r="BB1870" s="93" t="s">
        <v>22668</v>
      </c>
      <c r="BC1870" s="93" t="s">
        <v>20099</v>
      </c>
      <c r="BD1870" s="93" t="s">
        <v>23155</v>
      </c>
      <c r="BE1870" s="87"/>
      <c r="BF1870" s="87"/>
      <c r="BG1870" s="87"/>
      <c r="BH1870" s="87"/>
      <c r="BI1870" s="87"/>
    </row>
    <row r="1871" spans="1:61" x14ac:dyDescent="0.25">
      <c r="A1871" s="63" t="s">
        <v>853</v>
      </c>
      <c r="B1871" s="63" t="s">
        <v>853</v>
      </c>
      <c r="C1871" s="64"/>
      <c r="D1871" s="65"/>
      <c r="E1871" s="66"/>
      <c r="F1871" s="67"/>
      <c r="G1871" s="64"/>
      <c r="H1871" s="68"/>
      <c r="I1871" s="69"/>
      <c r="J1871" s="69"/>
      <c r="K1871" s="32"/>
      <c r="L1871" s="76">
        <v>1871</v>
      </c>
      <c r="M1871" s="76"/>
      <c r="N1871" s="71"/>
      <c r="O1871" s="87" t="s">
        <v>179</v>
      </c>
      <c r="P1871" s="90">
        <v>45162.54954861111</v>
      </c>
      <c r="Q1871" s="87" t="s">
        <v>3662</v>
      </c>
      <c r="R1871" s="87">
        <v>0</v>
      </c>
      <c r="S1871" s="87">
        <v>1</v>
      </c>
      <c r="T1871" s="87">
        <v>0</v>
      </c>
      <c r="U1871" s="87">
        <v>0</v>
      </c>
      <c r="V1871" s="87">
        <v>7</v>
      </c>
      <c r="W1871" s="93" t="s">
        <v>7070</v>
      </c>
      <c r="X1871" s="87"/>
      <c r="Y1871" s="87"/>
      <c r="Z1871" s="87"/>
      <c r="AA1871" s="87" t="s">
        <v>9830</v>
      </c>
      <c r="AB1871" s="87" t="s">
        <v>11447</v>
      </c>
      <c r="AC1871" s="93" t="s">
        <v>11457</v>
      </c>
      <c r="AD1871" s="87" t="s">
        <v>11518</v>
      </c>
      <c r="AE1871" s="92" t="str">
        <f>HYPERLINK("https://twitter.com/prodcastexplore/status/1694698911179378764")</f>
        <v>https://twitter.com/prodcastexplore/status/1694698911179378764</v>
      </c>
      <c r="AF1871" s="90">
        <v>45162.54954861111</v>
      </c>
      <c r="AG1871" s="99">
        <v>45162</v>
      </c>
      <c r="AH1871" s="93" t="s">
        <v>13243</v>
      </c>
      <c r="AI1871" s="87" t="b">
        <v>0</v>
      </c>
      <c r="AJ1871" s="87"/>
      <c r="AK1871" s="87"/>
      <c r="AL1871" s="87"/>
      <c r="AM1871" s="87"/>
      <c r="AN1871" s="87"/>
      <c r="AO1871" s="87"/>
      <c r="AP1871" s="87"/>
      <c r="AQ1871" s="87" t="s">
        <v>16643</v>
      </c>
      <c r="AR1871" s="87">
        <v>48066</v>
      </c>
      <c r="AS1871" s="87"/>
      <c r="AT1871" s="87"/>
      <c r="AU1871" s="87"/>
      <c r="AV1871" s="92" t="str">
        <f>HYPERLINK("https://pbs.twimg.com/ext_tw_video_thumb/1694698347322335232/pu/img/B45lOcUGouJaO9Gt.jpg")</f>
        <v>https://pbs.twimg.com/ext_tw_video_thumb/1694698347322335232/pu/img/B45lOcUGouJaO9Gt.jpg</v>
      </c>
      <c r="AW1871" s="93" t="s">
        <v>20100</v>
      </c>
      <c r="AX1871" s="93" t="s">
        <v>20100</v>
      </c>
      <c r="AY1871" s="87"/>
      <c r="AZ1871" s="93" t="s">
        <v>22668</v>
      </c>
      <c r="BA1871" s="93" t="s">
        <v>22668</v>
      </c>
      <c r="BB1871" s="93" t="s">
        <v>22668</v>
      </c>
      <c r="BC1871" s="93" t="s">
        <v>20100</v>
      </c>
      <c r="BD1871" s="93" t="s">
        <v>23156</v>
      </c>
      <c r="BE1871" s="87"/>
      <c r="BF1871" s="87"/>
      <c r="BG1871" s="87"/>
      <c r="BH1871" s="87"/>
      <c r="BI1871" s="87"/>
    </row>
    <row r="1872" spans="1:61" x14ac:dyDescent="0.25">
      <c r="A1872" s="63" t="s">
        <v>854</v>
      </c>
      <c r="B1872" s="63" t="s">
        <v>854</v>
      </c>
      <c r="C1872" s="64"/>
      <c r="D1872" s="65"/>
      <c r="E1872" s="66"/>
      <c r="F1872" s="67"/>
      <c r="G1872" s="64"/>
      <c r="H1872" s="68"/>
      <c r="I1872" s="69"/>
      <c r="J1872" s="69"/>
      <c r="K1872" s="32"/>
      <c r="L1872" s="76">
        <v>1872</v>
      </c>
      <c r="M1872" s="76"/>
      <c r="N1872" s="71"/>
      <c r="O1872" s="87" t="s">
        <v>179</v>
      </c>
      <c r="P1872" s="90">
        <v>45114.159548611111</v>
      </c>
      <c r="Q1872" s="87" t="s">
        <v>3663</v>
      </c>
      <c r="R1872" s="87">
        <v>0</v>
      </c>
      <c r="S1872" s="87">
        <v>0</v>
      </c>
      <c r="T1872" s="87">
        <v>0</v>
      </c>
      <c r="U1872" s="87">
        <v>0</v>
      </c>
      <c r="V1872" s="87">
        <v>197</v>
      </c>
      <c r="W1872" s="93" t="s">
        <v>7071</v>
      </c>
      <c r="X1872" s="87"/>
      <c r="Y1872" s="87"/>
      <c r="Z1872" s="87"/>
      <c r="AA1872" s="87"/>
      <c r="AB1872" s="87"/>
      <c r="AC1872" s="93" t="s">
        <v>11458</v>
      </c>
      <c r="AD1872" s="87" t="s">
        <v>11519</v>
      </c>
      <c r="AE1872" s="92" t="str">
        <f>HYPERLINK("https://twitter.com/samuelg07559905/status/1677162965433307136")</f>
        <v>https://twitter.com/samuelg07559905/status/1677162965433307136</v>
      </c>
      <c r="AF1872" s="90">
        <v>45114.159548611111</v>
      </c>
      <c r="AG1872" s="99">
        <v>45114</v>
      </c>
      <c r="AH1872" s="93" t="s">
        <v>13244</v>
      </c>
      <c r="AI1872" s="87"/>
      <c r="AJ1872" s="87"/>
      <c r="AK1872" s="87"/>
      <c r="AL1872" s="87"/>
      <c r="AM1872" s="87"/>
      <c r="AN1872" s="87"/>
      <c r="AO1872" s="87"/>
      <c r="AP1872" s="87"/>
      <c r="AQ1872" s="87"/>
      <c r="AR1872" s="87"/>
      <c r="AS1872" s="87"/>
      <c r="AT1872" s="87"/>
      <c r="AU1872" s="87"/>
      <c r="AV1872" s="92" t="str">
        <f>HYPERLINK("https://pbs.twimg.com/profile_images/1671020604256911360/o1kxNsDp_normal.jpg")</f>
        <v>https://pbs.twimg.com/profile_images/1671020604256911360/o1kxNsDp_normal.jpg</v>
      </c>
      <c r="AW1872" s="93" t="s">
        <v>20101</v>
      </c>
      <c r="AX1872" s="93" t="s">
        <v>20101</v>
      </c>
      <c r="AY1872" s="87"/>
      <c r="AZ1872" s="93" t="s">
        <v>22668</v>
      </c>
      <c r="BA1872" s="93" t="s">
        <v>22668</v>
      </c>
      <c r="BB1872" s="93" t="s">
        <v>22668</v>
      </c>
      <c r="BC1872" s="93" t="s">
        <v>20101</v>
      </c>
      <c r="BD1872" s="93" t="s">
        <v>23157</v>
      </c>
      <c r="BE1872" s="87"/>
      <c r="BF1872" s="87"/>
      <c r="BG1872" s="87"/>
      <c r="BH1872" s="87"/>
      <c r="BI1872" s="87"/>
    </row>
    <row r="1873" spans="1:61" x14ac:dyDescent="0.25">
      <c r="A1873" s="63" t="s">
        <v>855</v>
      </c>
      <c r="B1873" s="63" t="s">
        <v>855</v>
      </c>
      <c r="C1873" s="64"/>
      <c r="D1873" s="65"/>
      <c r="E1873" s="66"/>
      <c r="F1873" s="67"/>
      <c r="G1873" s="64"/>
      <c r="H1873" s="68"/>
      <c r="I1873" s="69"/>
      <c r="J1873" s="69"/>
      <c r="K1873" s="32"/>
      <c r="L1873" s="76">
        <v>1873</v>
      </c>
      <c r="M1873" s="76"/>
      <c r="N1873" s="71"/>
      <c r="O1873" s="87" t="s">
        <v>179</v>
      </c>
      <c r="P1873" s="90">
        <v>45122.746921296297</v>
      </c>
      <c r="Q1873" s="87" t="s">
        <v>3664</v>
      </c>
      <c r="R1873" s="87">
        <v>0</v>
      </c>
      <c r="S1873" s="87">
        <v>0</v>
      </c>
      <c r="T1873" s="87">
        <v>0</v>
      </c>
      <c r="U1873" s="87">
        <v>0</v>
      </c>
      <c r="V1873" s="87">
        <v>8</v>
      </c>
      <c r="W1873" s="93" t="s">
        <v>7072</v>
      </c>
      <c r="X1873" s="87"/>
      <c r="Y1873" s="87"/>
      <c r="Z1873" s="87"/>
      <c r="AA1873" s="87" t="s">
        <v>9831</v>
      </c>
      <c r="AB1873" s="87" t="s">
        <v>11447</v>
      </c>
      <c r="AC1873" s="93" t="s">
        <v>11459</v>
      </c>
      <c r="AD1873" s="87" t="s">
        <v>11520</v>
      </c>
      <c r="AE1873" s="92" t="str">
        <f>HYPERLINK("https://twitter.com/vegasstore14/status/1680274922415718401")</f>
        <v>https://twitter.com/vegasstore14/status/1680274922415718401</v>
      </c>
      <c r="AF1873" s="90">
        <v>45122.746921296297</v>
      </c>
      <c r="AG1873" s="99">
        <v>45122</v>
      </c>
      <c r="AH1873" s="93" t="s">
        <v>13245</v>
      </c>
      <c r="AI1873" s="87" t="b">
        <v>0</v>
      </c>
      <c r="AJ1873" s="87"/>
      <c r="AK1873" s="87"/>
      <c r="AL1873" s="87"/>
      <c r="AM1873" s="87"/>
      <c r="AN1873" s="87"/>
      <c r="AO1873" s="87"/>
      <c r="AP1873" s="87"/>
      <c r="AQ1873" s="87" t="s">
        <v>16644</v>
      </c>
      <c r="AR1873" s="87">
        <v>44991</v>
      </c>
      <c r="AS1873" s="87"/>
      <c r="AT1873" s="87"/>
      <c r="AU1873" s="87"/>
      <c r="AV1873" s="92" t="str">
        <f>HYPERLINK("https://pbs.twimg.com/ext_tw_video_thumb/1680274869018148867/pu/img/0yC08skYqsf0QTP1.jpg")</f>
        <v>https://pbs.twimg.com/ext_tw_video_thumb/1680274869018148867/pu/img/0yC08skYqsf0QTP1.jpg</v>
      </c>
      <c r="AW1873" s="93" t="s">
        <v>20102</v>
      </c>
      <c r="AX1873" s="93" t="s">
        <v>20102</v>
      </c>
      <c r="AY1873" s="87"/>
      <c r="AZ1873" s="93" t="s">
        <v>22668</v>
      </c>
      <c r="BA1873" s="93" t="s">
        <v>22668</v>
      </c>
      <c r="BB1873" s="93" t="s">
        <v>22668</v>
      </c>
      <c r="BC1873" s="93" t="s">
        <v>20102</v>
      </c>
      <c r="BD1873" s="93" t="s">
        <v>23158</v>
      </c>
      <c r="BE1873" s="87"/>
      <c r="BF1873" s="87"/>
      <c r="BG1873" s="87"/>
      <c r="BH1873" s="87"/>
      <c r="BI1873" s="87"/>
    </row>
    <row r="1874" spans="1:61" x14ac:dyDescent="0.25">
      <c r="A1874" s="63" t="s">
        <v>856</v>
      </c>
      <c r="B1874" s="63" t="s">
        <v>856</v>
      </c>
      <c r="C1874" s="64"/>
      <c r="D1874" s="65"/>
      <c r="E1874" s="66"/>
      <c r="F1874" s="67"/>
      <c r="G1874" s="64"/>
      <c r="H1874" s="68"/>
      <c r="I1874" s="69"/>
      <c r="J1874" s="69"/>
      <c r="K1874" s="32"/>
      <c r="L1874" s="76">
        <v>1874</v>
      </c>
      <c r="M1874" s="76"/>
      <c r="N1874" s="71"/>
      <c r="O1874" s="87" t="s">
        <v>179</v>
      </c>
      <c r="P1874" s="90">
        <v>45182.613587962966</v>
      </c>
      <c r="Q1874" s="87" t="s">
        <v>3665</v>
      </c>
      <c r="R1874" s="87">
        <v>0</v>
      </c>
      <c r="S1874" s="87">
        <v>0</v>
      </c>
      <c r="T1874" s="87">
        <v>0</v>
      </c>
      <c r="U1874" s="87">
        <v>0</v>
      </c>
      <c r="V1874" s="87">
        <v>15</v>
      </c>
      <c r="W1874" s="93" t="s">
        <v>7073</v>
      </c>
      <c r="X1874" s="87"/>
      <c r="Y1874" s="87"/>
      <c r="Z1874" s="87"/>
      <c r="AA1874" s="87" t="s">
        <v>9832</v>
      </c>
      <c r="AB1874" s="87" t="s">
        <v>11448</v>
      </c>
      <c r="AC1874" s="93" t="s">
        <v>11458</v>
      </c>
      <c r="AD1874" s="87" t="s">
        <v>11519</v>
      </c>
      <c r="AE1874" s="92" t="str">
        <f>HYPERLINK("https://twitter.com/ericjolopes/status/1701969879065137371")</f>
        <v>https://twitter.com/ericjolopes/status/1701969879065137371</v>
      </c>
      <c r="AF1874" s="90">
        <v>45182.613587962966</v>
      </c>
      <c r="AG1874" s="99">
        <v>45182</v>
      </c>
      <c r="AH1874" s="93" t="s">
        <v>13246</v>
      </c>
      <c r="AI1874" s="87" t="b">
        <v>0</v>
      </c>
      <c r="AJ1874" s="87"/>
      <c r="AK1874" s="87"/>
      <c r="AL1874" s="87"/>
      <c r="AM1874" s="87"/>
      <c r="AN1874" s="87"/>
      <c r="AO1874" s="87"/>
      <c r="AP1874" s="87"/>
      <c r="AQ1874" s="87" t="s">
        <v>16645</v>
      </c>
      <c r="AR1874" s="87"/>
      <c r="AS1874" s="87"/>
      <c r="AT1874" s="87"/>
      <c r="AU1874" s="87"/>
      <c r="AV1874" s="92" t="str">
        <f>HYPERLINK("https://pbs.twimg.com/media/F56clNSXkAAzDOZ.jpg")</f>
        <v>https://pbs.twimg.com/media/F56clNSXkAAzDOZ.jpg</v>
      </c>
      <c r="AW1874" s="93" t="s">
        <v>20103</v>
      </c>
      <c r="AX1874" s="93" t="s">
        <v>20103</v>
      </c>
      <c r="AY1874" s="87"/>
      <c r="AZ1874" s="93" t="s">
        <v>22668</v>
      </c>
      <c r="BA1874" s="93" t="s">
        <v>22668</v>
      </c>
      <c r="BB1874" s="93" t="s">
        <v>22668</v>
      </c>
      <c r="BC1874" s="93" t="s">
        <v>20103</v>
      </c>
      <c r="BD1874" s="87">
        <v>64722960</v>
      </c>
      <c r="BE1874" s="87"/>
      <c r="BF1874" s="87"/>
      <c r="BG1874" s="87"/>
      <c r="BH1874" s="87"/>
      <c r="BI1874" s="87"/>
    </row>
    <row r="1875" spans="1:61" x14ac:dyDescent="0.25">
      <c r="A1875" s="63" t="s">
        <v>857</v>
      </c>
      <c r="B1875" s="63" t="s">
        <v>857</v>
      </c>
      <c r="C1875" s="64"/>
      <c r="D1875" s="65"/>
      <c r="E1875" s="66"/>
      <c r="F1875" s="67"/>
      <c r="G1875" s="64"/>
      <c r="H1875" s="68"/>
      <c r="I1875" s="69"/>
      <c r="J1875" s="69"/>
      <c r="K1875" s="32"/>
      <c r="L1875" s="76">
        <v>1875</v>
      </c>
      <c r="M1875" s="76"/>
      <c r="N1875" s="71"/>
      <c r="O1875" s="87" t="s">
        <v>1840</v>
      </c>
      <c r="P1875" s="90">
        <v>45163.722986111112</v>
      </c>
      <c r="Q1875" s="87" t="s">
        <v>3666</v>
      </c>
      <c r="R1875" s="87">
        <v>0</v>
      </c>
      <c r="S1875" s="87">
        <v>0</v>
      </c>
      <c r="T1875" s="87">
        <v>0</v>
      </c>
      <c r="U1875" s="87">
        <v>0</v>
      </c>
      <c r="V1875" s="87">
        <v>6</v>
      </c>
      <c r="W1875" s="93" t="s">
        <v>7074</v>
      </c>
      <c r="X1875" s="87"/>
      <c r="Y1875" s="87"/>
      <c r="Z1875" s="87"/>
      <c r="AA1875" s="87"/>
      <c r="AB1875" s="87"/>
      <c r="AC1875" s="93" t="s">
        <v>11457</v>
      </c>
      <c r="AD1875" s="87" t="s">
        <v>11524</v>
      </c>
      <c r="AE1875" s="92" t="str">
        <f>HYPERLINK("https://twitter.com/sing_comunica/status/1695124154566000916")</f>
        <v>https://twitter.com/sing_comunica/status/1695124154566000916</v>
      </c>
      <c r="AF1875" s="90">
        <v>45163.722986111112</v>
      </c>
      <c r="AG1875" s="99">
        <v>45163</v>
      </c>
      <c r="AH1875" s="93" t="s">
        <v>13247</v>
      </c>
      <c r="AI1875" s="87"/>
      <c r="AJ1875" s="87"/>
      <c r="AK1875" s="87"/>
      <c r="AL1875" s="87"/>
      <c r="AM1875" s="87"/>
      <c r="AN1875" s="87"/>
      <c r="AO1875" s="87"/>
      <c r="AP1875" s="87"/>
      <c r="AQ1875" s="87"/>
      <c r="AR1875" s="87"/>
      <c r="AS1875" s="87"/>
      <c r="AT1875" s="87"/>
      <c r="AU1875" s="87"/>
      <c r="AV1875" s="92" t="str">
        <f>HYPERLINK("https://pbs.twimg.com/profile_images/1221221106276696065/XuYVdvf__normal.jpg")</f>
        <v>https://pbs.twimg.com/profile_images/1221221106276696065/XuYVdvf__normal.jpg</v>
      </c>
      <c r="AW1875" s="93" t="s">
        <v>20104</v>
      </c>
      <c r="AX1875" s="93" t="s">
        <v>22401</v>
      </c>
      <c r="AY1875" s="93" t="s">
        <v>22587</v>
      </c>
      <c r="AZ1875" s="93" t="s">
        <v>22401</v>
      </c>
      <c r="BA1875" s="93" t="s">
        <v>22668</v>
      </c>
      <c r="BB1875" s="93" t="s">
        <v>22668</v>
      </c>
      <c r="BC1875" s="93" t="s">
        <v>22401</v>
      </c>
      <c r="BD1875" s="87">
        <v>61044674</v>
      </c>
      <c r="BE1875" s="87"/>
      <c r="BF1875" s="87"/>
      <c r="BG1875" s="87"/>
      <c r="BH1875" s="87"/>
      <c r="BI1875" s="87"/>
    </row>
    <row r="1876" spans="1:61" x14ac:dyDescent="0.25">
      <c r="A1876" s="63" t="s">
        <v>858</v>
      </c>
      <c r="B1876" s="63" t="s">
        <v>858</v>
      </c>
      <c r="C1876" s="64"/>
      <c r="D1876" s="65"/>
      <c r="E1876" s="66"/>
      <c r="F1876" s="67"/>
      <c r="G1876" s="64"/>
      <c r="H1876" s="68"/>
      <c r="I1876" s="69"/>
      <c r="J1876" s="69"/>
      <c r="K1876" s="32"/>
      <c r="L1876" s="76">
        <v>1876</v>
      </c>
      <c r="M1876" s="76"/>
      <c r="N1876" s="71"/>
      <c r="O1876" s="87" t="s">
        <v>179</v>
      </c>
      <c r="P1876" s="90">
        <v>45191.01085648148</v>
      </c>
      <c r="Q1876" s="87" t="s">
        <v>3667</v>
      </c>
      <c r="R1876" s="87">
        <v>0</v>
      </c>
      <c r="S1876" s="87">
        <v>0</v>
      </c>
      <c r="T1876" s="87">
        <v>0</v>
      </c>
      <c r="U1876" s="87">
        <v>0</v>
      </c>
      <c r="V1876" s="87">
        <v>10</v>
      </c>
      <c r="W1876" s="93" t="s">
        <v>7075</v>
      </c>
      <c r="X1876" s="92" t="str">
        <f>HYPERLINK("https://www.mercadoerotico.org/construindo-relacoes-com-as-pessoas-certas-e-impulsionando-seu-crescimento-profissional/")</f>
        <v>https://www.mercadoerotico.org/construindo-relacoes-com-as-pessoas-certas-e-impulsionando-seu-crescimento-profissional/</v>
      </c>
      <c r="Y1876" s="87" t="s">
        <v>8474</v>
      </c>
      <c r="Z1876" s="87"/>
      <c r="AA1876" s="87"/>
      <c r="AB1876" s="87"/>
      <c r="AC1876" s="93" t="s">
        <v>11459</v>
      </c>
      <c r="AD1876" s="87" t="s">
        <v>11519</v>
      </c>
      <c r="AE1876" s="92" t="str">
        <f>HYPERLINK("https://twitter.com/mercadoerotico1/status/1705012946693190013")</f>
        <v>https://twitter.com/mercadoerotico1/status/1705012946693190013</v>
      </c>
      <c r="AF1876" s="90">
        <v>45191.01085648148</v>
      </c>
      <c r="AG1876" s="99">
        <v>45191</v>
      </c>
      <c r="AH1876" s="93" t="s">
        <v>13248</v>
      </c>
      <c r="AI1876" s="87" t="b">
        <v>0</v>
      </c>
      <c r="AJ1876" s="87"/>
      <c r="AK1876" s="87"/>
      <c r="AL1876" s="87"/>
      <c r="AM1876" s="87"/>
      <c r="AN1876" s="87"/>
      <c r="AO1876" s="87"/>
      <c r="AP1876" s="87"/>
      <c r="AQ1876" s="87"/>
      <c r="AR1876" s="87"/>
      <c r="AS1876" s="87"/>
      <c r="AT1876" s="87"/>
      <c r="AU1876" s="87"/>
      <c r="AV1876" s="92" t="str">
        <f>HYPERLINK("https://pbs.twimg.com/profile_images/1166437490883997696/70-ELHCq_normal.png")</f>
        <v>https://pbs.twimg.com/profile_images/1166437490883997696/70-ELHCq_normal.png</v>
      </c>
      <c r="AW1876" s="93" t="s">
        <v>20105</v>
      </c>
      <c r="AX1876" s="93" t="s">
        <v>20105</v>
      </c>
      <c r="AY1876" s="87"/>
      <c r="AZ1876" s="93" t="s">
        <v>22668</v>
      </c>
      <c r="BA1876" s="93" t="s">
        <v>22668</v>
      </c>
      <c r="BB1876" s="93" t="s">
        <v>22668</v>
      </c>
      <c r="BC1876" s="93" t="s">
        <v>20105</v>
      </c>
      <c r="BD1876" s="93" t="s">
        <v>23159</v>
      </c>
      <c r="BE1876" s="87"/>
      <c r="BF1876" s="87"/>
      <c r="BG1876" s="87"/>
      <c r="BH1876" s="87"/>
      <c r="BI1876" s="87"/>
    </row>
    <row r="1877" spans="1:61" x14ac:dyDescent="0.25">
      <c r="A1877" s="63" t="s">
        <v>859</v>
      </c>
      <c r="B1877" s="63" t="s">
        <v>859</v>
      </c>
      <c r="C1877" s="64"/>
      <c r="D1877" s="65"/>
      <c r="E1877" s="66"/>
      <c r="F1877" s="67"/>
      <c r="G1877" s="64"/>
      <c r="H1877" s="68"/>
      <c r="I1877" s="69"/>
      <c r="J1877" s="69"/>
      <c r="K1877" s="32"/>
      <c r="L1877" s="76">
        <v>1877</v>
      </c>
      <c r="M1877" s="76"/>
      <c r="N1877" s="71"/>
      <c r="O1877" s="87" t="s">
        <v>179</v>
      </c>
      <c r="P1877" s="90">
        <v>45162.614004629628</v>
      </c>
      <c r="Q1877" s="87" t="s">
        <v>3668</v>
      </c>
      <c r="R1877" s="87">
        <v>0</v>
      </c>
      <c r="S1877" s="87">
        <v>1</v>
      </c>
      <c r="T1877" s="87">
        <v>0</v>
      </c>
      <c r="U1877" s="87">
        <v>0</v>
      </c>
      <c r="V1877" s="87">
        <v>25</v>
      </c>
      <c r="W1877" s="93" t="s">
        <v>7076</v>
      </c>
      <c r="X1877" s="87"/>
      <c r="Y1877" s="87"/>
      <c r="Z1877" s="87"/>
      <c r="AA1877" s="87"/>
      <c r="AB1877" s="87"/>
      <c r="AC1877" s="93" t="s">
        <v>11458</v>
      </c>
      <c r="AD1877" s="87" t="s">
        <v>11519</v>
      </c>
      <c r="AE1877" s="92" t="str">
        <f>HYPERLINK("https://twitter.com/gabrielispoiler/status/1694722269204160606")</f>
        <v>https://twitter.com/gabrielispoiler/status/1694722269204160606</v>
      </c>
      <c r="AF1877" s="90">
        <v>45162.614004629628</v>
      </c>
      <c r="AG1877" s="99">
        <v>45162</v>
      </c>
      <c r="AH1877" s="93" t="s">
        <v>13249</v>
      </c>
      <c r="AI1877" s="87"/>
      <c r="AJ1877" s="87" t="s">
        <v>15207</v>
      </c>
      <c r="AK1877" s="87" t="s">
        <v>15234</v>
      </c>
      <c r="AL1877" s="87" t="s">
        <v>15237</v>
      </c>
      <c r="AM1877" s="87" t="s">
        <v>15278</v>
      </c>
      <c r="AN1877" s="101" t="s">
        <v>15345</v>
      </c>
      <c r="AO1877" s="87" t="s">
        <v>15410</v>
      </c>
      <c r="AP1877" s="87" t="s">
        <v>15438</v>
      </c>
      <c r="AQ1877" s="87"/>
      <c r="AR1877" s="87"/>
      <c r="AS1877" s="87"/>
      <c r="AT1877" s="87"/>
      <c r="AU1877" s="87"/>
      <c r="AV1877" s="92" t="str">
        <f>HYPERLINK("https://pbs.twimg.com/profile_images/1686711791873581057/b5zjQoai_normal.jpg")</f>
        <v>https://pbs.twimg.com/profile_images/1686711791873581057/b5zjQoai_normal.jpg</v>
      </c>
      <c r="AW1877" s="93" t="s">
        <v>20106</v>
      </c>
      <c r="AX1877" s="93" t="s">
        <v>20106</v>
      </c>
      <c r="AY1877" s="87"/>
      <c r="AZ1877" s="93" t="s">
        <v>22668</v>
      </c>
      <c r="BA1877" s="93" t="s">
        <v>22668</v>
      </c>
      <c r="BB1877" s="93" t="s">
        <v>22668</v>
      </c>
      <c r="BC1877" s="93" t="s">
        <v>20106</v>
      </c>
      <c r="BD1877" s="93" t="s">
        <v>23160</v>
      </c>
      <c r="BE1877" s="87"/>
      <c r="BF1877" s="87"/>
      <c r="BG1877" s="87"/>
      <c r="BH1877" s="87"/>
      <c r="BI1877" s="87"/>
    </row>
    <row r="1878" spans="1:61" x14ac:dyDescent="0.25">
      <c r="A1878" s="63" t="s">
        <v>860</v>
      </c>
      <c r="B1878" s="63" t="s">
        <v>860</v>
      </c>
      <c r="C1878" s="64"/>
      <c r="D1878" s="65"/>
      <c r="E1878" s="66"/>
      <c r="F1878" s="67"/>
      <c r="G1878" s="64"/>
      <c r="H1878" s="68"/>
      <c r="I1878" s="69"/>
      <c r="J1878" s="69"/>
      <c r="K1878" s="32"/>
      <c r="L1878" s="76">
        <v>1878</v>
      </c>
      <c r="M1878" s="76"/>
      <c r="N1878" s="71"/>
      <c r="O1878" s="87" t="s">
        <v>179</v>
      </c>
      <c r="P1878" s="90">
        <v>45112.500034722223</v>
      </c>
      <c r="Q1878" s="87" t="s">
        <v>3669</v>
      </c>
      <c r="R1878" s="87">
        <v>0</v>
      </c>
      <c r="S1878" s="87">
        <v>0</v>
      </c>
      <c r="T1878" s="87">
        <v>0</v>
      </c>
      <c r="U1878" s="87">
        <v>0</v>
      </c>
      <c r="V1878" s="87">
        <v>15</v>
      </c>
      <c r="W1878" s="93" t="s">
        <v>7077</v>
      </c>
      <c r="X1878" s="87"/>
      <c r="Y1878" s="87"/>
      <c r="Z1878" s="87"/>
      <c r="AA1878" s="87" t="s">
        <v>9833</v>
      </c>
      <c r="AB1878" s="87" t="s">
        <v>11447</v>
      </c>
      <c r="AC1878" s="93" t="s">
        <v>11457</v>
      </c>
      <c r="AD1878" s="87" t="s">
        <v>11519</v>
      </c>
      <c r="AE1878" s="92" t="str">
        <f>HYPERLINK("https://twitter.com/galaxpay/status/1676561575858286593")</f>
        <v>https://twitter.com/galaxpay/status/1676561575858286593</v>
      </c>
      <c r="AF1878" s="90">
        <v>45112.500034722223</v>
      </c>
      <c r="AG1878" s="99">
        <v>45112</v>
      </c>
      <c r="AH1878" s="93" t="s">
        <v>13250</v>
      </c>
      <c r="AI1878" s="87" t="b">
        <v>0</v>
      </c>
      <c r="AJ1878" s="87"/>
      <c r="AK1878" s="87"/>
      <c r="AL1878" s="87"/>
      <c r="AM1878" s="87"/>
      <c r="AN1878" s="87"/>
      <c r="AO1878" s="87"/>
      <c r="AP1878" s="87"/>
      <c r="AQ1878" s="87" t="s">
        <v>16646</v>
      </c>
      <c r="AR1878" s="87">
        <v>49966</v>
      </c>
      <c r="AS1878" s="87"/>
      <c r="AT1878" s="87"/>
      <c r="AU1878" s="87"/>
      <c r="AV1878" s="92" t="str">
        <f>HYPERLINK("https://pbs.twimg.com/ext_tw_video_thumb/1675927666875047936/pu/img/NEjZ9VAQhI0wY8IR.jpg")</f>
        <v>https://pbs.twimg.com/ext_tw_video_thumb/1675927666875047936/pu/img/NEjZ9VAQhI0wY8IR.jpg</v>
      </c>
      <c r="AW1878" s="93" t="s">
        <v>20107</v>
      </c>
      <c r="AX1878" s="93" t="s">
        <v>20107</v>
      </c>
      <c r="AY1878" s="87"/>
      <c r="AZ1878" s="93" t="s">
        <v>22668</v>
      </c>
      <c r="BA1878" s="93" t="s">
        <v>22668</v>
      </c>
      <c r="BB1878" s="93" t="s">
        <v>22668</v>
      </c>
      <c r="BC1878" s="93" t="s">
        <v>20107</v>
      </c>
      <c r="BD1878" s="93" t="s">
        <v>23161</v>
      </c>
      <c r="BE1878" s="87"/>
      <c r="BF1878" s="87"/>
      <c r="BG1878" s="87"/>
      <c r="BH1878" s="87"/>
      <c r="BI1878" s="87"/>
    </row>
    <row r="1879" spans="1:61" x14ac:dyDescent="0.25">
      <c r="A1879" s="63" t="s">
        <v>861</v>
      </c>
      <c r="B1879" s="63" t="s">
        <v>861</v>
      </c>
      <c r="C1879" s="64"/>
      <c r="D1879" s="65"/>
      <c r="E1879" s="66"/>
      <c r="F1879" s="67"/>
      <c r="G1879" s="64"/>
      <c r="H1879" s="68"/>
      <c r="I1879" s="69"/>
      <c r="J1879" s="69"/>
      <c r="K1879" s="32"/>
      <c r="L1879" s="76">
        <v>1879</v>
      </c>
      <c r="M1879" s="76"/>
      <c r="N1879" s="71"/>
      <c r="O1879" s="87" t="s">
        <v>179</v>
      </c>
      <c r="P1879" s="90">
        <v>45121.753472222219</v>
      </c>
      <c r="Q1879" s="87" t="s">
        <v>3670</v>
      </c>
      <c r="R1879" s="87">
        <v>0</v>
      </c>
      <c r="S1879" s="87">
        <v>0</v>
      </c>
      <c r="T1879" s="87">
        <v>0</v>
      </c>
      <c r="U1879" s="87">
        <v>0</v>
      </c>
      <c r="V1879" s="87">
        <v>19</v>
      </c>
      <c r="W1879" s="93" t="s">
        <v>7078</v>
      </c>
      <c r="X1879" s="92" t="str">
        <f>HYPERLINK("https://www.jornaldooeste.com.br/economia/cresol-movimenta-r-21-bi-para-fomentar-o-empreendedorismo-feminino-no-brasil/")</f>
        <v>https://www.jornaldooeste.com.br/economia/cresol-movimenta-r-21-bi-para-fomentar-o-empreendedorismo-feminino-no-brasil/</v>
      </c>
      <c r="Y1879" s="87" t="s">
        <v>8373</v>
      </c>
      <c r="Z1879" s="87"/>
      <c r="AA1879" s="87" t="s">
        <v>9834</v>
      </c>
      <c r="AB1879" s="87" t="s">
        <v>11448</v>
      </c>
      <c r="AC1879" s="93" t="s">
        <v>11457</v>
      </c>
      <c r="AD1879" s="87" t="s">
        <v>11519</v>
      </c>
      <c r="AE1879" s="92" t="str">
        <f>HYPERLINK("https://twitter.com/jornaldooeste/status/1679914908979167242")</f>
        <v>https://twitter.com/jornaldooeste/status/1679914908979167242</v>
      </c>
      <c r="AF1879" s="90">
        <v>45121.753472222219</v>
      </c>
      <c r="AG1879" s="99">
        <v>45121</v>
      </c>
      <c r="AH1879" s="93" t="s">
        <v>13251</v>
      </c>
      <c r="AI1879" s="87" t="b">
        <v>0</v>
      </c>
      <c r="AJ1879" s="87"/>
      <c r="AK1879" s="87"/>
      <c r="AL1879" s="87"/>
      <c r="AM1879" s="87"/>
      <c r="AN1879" s="87"/>
      <c r="AO1879" s="87"/>
      <c r="AP1879" s="87"/>
      <c r="AQ1879" s="87" t="s">
        <v>16647</v>
      </c>
      <c r="AR1879" s="87"/>
      <c r="AS1879" s="87"/>
      <c r="AT1879" s="87"/>
      <c r="AU1879" s="87"/>
      <c r="AV1879" s="92" t="str">
        <f>HYPERLINK("https://pbs.twimg.com/media/F0_vki0WwAAggeG.jpg")</f>
        <v>https://pbs.twimg.com/media/F0_vki0WwAAggeG.jpg</v>
      </c>
      <c r="AW1879" s="93" t="s">
        <v>20108</v>
      </c>
      <c r="AX1879" s="93" t="s">
        <v>20108</v>
      </c>
      <c r="AY1879" s="87"/>
      <c r="AZ1879" s="93" t="s">
        <v>22668</v>
      </c>
      <c r="BA1879" s="93" t="s">
        <v>22668</v>
      </c>
      <c r="BB1879" s="93" t="s">
        <v>22668</v>
      </c>
      <c r="BC1879" s="93" t="s">
        <v>20108</v>
      </c>
      <c r="BD1879" s="87">
        <v>46624815</v>
      </c>
      <c r="BE1879" s="87"/>
      <c r="BF1879" s="87"/>
      <c r="BG1879" s="87"/>
      <c r="BH1879" s="87"/>
      <c r="BI1879" s="87"/>
    </row>
    <row r="1880" spans="1:61" x14ac:dyDescent="0.25">
      <c r="A1880" s="63" t="s">
        <v>862</v>
      </c>
      <c r="B1880" s="63" t="s">
        <v>862</v>
      </c>
      <c r="C1880" s="64"/>
      <c r="D1880" s="65"/>
      <c r="E1880" s="66"/>
      <c r="F1880" s="67"/>
      <c r="G1880" s="64"/>
      <c r="H1880" s="68"/>
      <c r="I1880" s="69"/>
      <c r="J1880" s="69"/>
      <c r="K1880" s="32"/>
      <c r="L1880" s="76">
        <v>1880</v>
      </c>
      <c r="M1880" s="76"/>
      <c r="N1880" s="71"/>
      <c r="O1880" s="87" t="s">
        <v>179</v>
      </c>
      <c r="P1880" s="90">
        <v>45173.472893518519</v>
      </c>
      <c r="Q1880" s="87" t="s">
        <v>3671</v>
      </c>
      <c r="R1880" s="87">
        <v>0</v>
      </c>
      <c r="S1880" s="87">
        <v>1</v>
      </c>
      <c r="T1880" s="87">
        <v>0</v>
      </c>
      <c r="U1880" s="87">
        <v>2</v>
      </c>
      <c r="V1880" s="87">
        <v>27</v>
      </c>
      <c r="W1880" s="93" t="s">
        <v>7079</v>
      </c>
      <c r="X1880" s="87"/>
      <c r="Y1880" s="87"/>
      <c r="Z1880" s="87"/>
      <c r="AA1880" s="87" t="s">
        <v>9835</v>
      </c>
      <c r="AB1880" s="87" t="s">
        <v>11448</v>
      </c>
      <c r="AC1880" s="93" t="s">
        <v>11459</v>
      </c>
      <c r="AD1880" s="87" t="s">
        <v>11519</v>
      </c>
      <c r="AE1880" s="92" t="str">
        <f>HYPERLINK("https://twitter.com/gleycontorquato/status/1698657399576371397")</f>
        <v>https://twitter.com/gleycontorquato/status/1698657399576371397</v>
      </c>
      <c r="AF1880" s="90">
        <v>45173.472893518519</v>
      </c>
      <c r="AG1880" s="99">
        <v>45173</v>
      </c>
      <c r="AH1880" s="93" t="s">
        <v>13252</v>
      </c>
      <c r="AI1880" s="87" t="b">
        <v>0</v>
      </c>
      <c r="AJ1880" s="87"/>
      <c r="AK1880" s="87"/>
      <c r="AL1880" s="87"/>
      <c r="AM1880" s="87"/>
      <c r="AN1880" s="87"/>
      <c r="AO1880" s="87"/>
      <c r="AP1880" s="87"/>
      <c r="AQ1880" s="87" t="s">
        <v>16648</v>
      </c>
      <c r="AR1880" s="87"/>
      <c r="AS1880" s="87"/>
      <c r="AT1880" s="87"/>
      <c r="AU1880" s="87"/>
      <c r="AV1880" s="92" t="str">
        <f>HYPERLINK("https://pbs.twimg.com/media/F5LX5yOXkAAmW-S.jpg")</f>
        <v>https://pbs.twimg.com/media/F5LX5yOXkAAmW-S.jpg</v>
      </c>
      <c r="AW1880" s="93" t="s">
        <v>20109</v>
      </c>
      <c r="AX1880" s="93" t="s">
        <v>20109</v>
      </c>
      <c r="AY1880" s="87"/>
      <c r="AZ1880" s="93" t="s">
        <v>22668</v>
      </c>
      <c r="BA1880" s="93" t="s">
        <v>22668</v>
      </c>
      <c r="BB1880" s="93" t="s">
        <v>22668</v>
      </c>
      <c r="BC1880" s="93" t="s">
        <v>20109</v>
      </c>
      <c r="BD1880" s="93" t="s">
        <v>23162</v>
      </c>
      <c r="BE1880" s="87"/>
      <c r="BF1880" s="87"/>
      <c r="BG1880" s="87"/>
      <c r="BH1880" s="87"/>
      <c r="BI1880" s="87"/>
    </row>
    <row r="1881" spans="1:61" x14ac:dyDescent="0.25">
      <c r="A1881" s="63" t="s">
        <v>863</v>
      </c>
      <c r="B1881" s="63" t="s">
        <v>863</v>
      </c>
      <c r="C1881" s="64"/>
      <c r="D1881" s="65"/>
      <c r="E1881" s="66"/>
      <c r="F1881" s="67"/>
      <c r="G1881" s="64"/>
      <c r="H1881" s="68"/>
      <c r="I1881" s="69"/>
      <c r="J1881" s="69"/>
      <c r="K1881" s="32"/>
      <c r="L1881" s="76">
        <v>1881</v>
      </c>
      <c r="M1881" s="76"/>
      <c r="N1881" s="71"/>
      <c r="O1881" s="87" t="s">
        <v>179</v>
      </c>
      <c r="P1881" s="90">
        <v>45131.57136574074</v>
      </c>
      <c r="Q1881" s="87" t="s">
        <v>3672</v>
      </c>
      <c r="R1881" s="87">
        <v>0</v>
      </c>
      <c r="S1881" s="87">
        <v>0</v>
      </c>
      <c r="T1881" s="87">
        <v>0</v>
      </c>
      <c r="U1881" s="87">
        <v>0</v>
      </c>
      <c r="V1881" s="87">
        <v>77</v>
      </c>
      <c r="W1881" s="93" t="s">
        <v>7080</v>
      </c>
      <c r="X1881" s="87"/>
      <c r="Y1881" s="87"/>
      <c r="Z1881" s="87"/>
      <c r="AA1881" s="87" t="s">
        <v>9836</v>
      </c>
      <c r="AB1881" s="87" t="s">
        <v>11447</v>
      </c>
      <c r="AC1881" s="93" t="s">
        <v>11459</v>
      </c>
      <c r="AD1881" s="87" t="s">
        <v>11519</v>
      </c>
      <c r="AE1881" s="92" t="str">
        <f>HYPERLINK("https://twitter.com/giovanimattoss/status/1683472796884647942")</f>
        <v>https://twitter.com/giovanimattoss/status/1683472796884647942</v>
      </c>
      <c r="AF1881" s="90">
        <v>45131.57136574074</v>
      </c>
      <c r="AG1881" s="99">
        <v>45131</v>
      </c>
      <c r="AH1881" s="93" t="s">
        <v>13253</v>
      </c>
      <c r="AI1881" s="87" t="b">
        <v>0</v>
      </c>
      <c r="AJ1881" s="87"/>
      <c r="AK1881" s="87"/>
      <c r="AL1881" s="87"/>
      <c r="AM1881" s="87"/>
      <c r="AN1881" s="87"/>
      <c r="AO1881" s="87"/>
      <c r="AP1881" s="87"/>
      <c r="AQ1881" s="87" t="s">
        <v>16649</v>
      </c>
      <c r="AR1881" s="87">
        <v>44992</v>
      </c>
      <c r="AS1881" s="87"/>
      <c r="AT1881" s="87"/>
      <c r="AU1881" s="87"/>
      <c r="AV1881" s="92" t="str">
        <f>HYPERLINK("https://pbs.twimg.com/ext_tw_video_thumb/1683472751481221125/pu/img/tTgqOinjntBdh3a2.jpg")</f>
        <v>https://pbs.twimg.com/ext_tw_video_thumb/1683472751481221125/pu/img/tTgqOinjntBdh3a2.jpg</v>
      </c>
      <c r="AW1881" s="93" t="s">
        <v>20110</v>
      </c>
      <c r="AX1881" s="93" t="s">
        <v>20110</v>
      </c>
      <c r="AY1881" s="87"/>
      <c r="AZ1881" s="93" t="s">
        <v>22668</v>
      </c>
      <c r="BA1881" s="93" t="s">
        <v>22668</v>
      </c>
      <c r="BB1881" s="93" t="s">
        <v>22668</v>
      </c>
      <c r="BC1881" s="93" t="s">
        <v>20110</v>
      </c>
      <c r="BD1881" s="93" t="s">
        <v>23163</v>
      </c>
      <c r="BE1881" s="87"/>
      <c r="BF1881" s="87"/>
      <c r="BG1881" s="87"/>
      <c r="BH1881" s="87"/>
      <c r="BI1881" s="87"/>
    </row>
    <row r="1882" spans="1:61" x14ac:dyDescent="0.25">
      <c r="A1882" s="63" t="s">
        <v>864</v>
      </c>
      <c r="B1882" s="63" t="s">
        <v>864</v>
      </c>
      <c r="C1882" s="64"/>
      <c r="D1882" s="65"/>
      <c r="E1882" s="66"/>
      <c r="F1882" s="67"/>
      <c r="G1882" s="64"/>
      <c r="H1882" s="68"/>
      <c r="I1882" s="69"/>
      <c r="J1882" s="69"/>
      <c r="K1882" s="32"/>
      <c r="L1882" s="76">
        <v>1882</v>
      </c>
      <c r="M1882" s="76"/>
      <c r="N1882" s="71"/>
      <c r="O1882" s="87" t="s">
        <v>179</v>
      </c>
      <c r="P1882" s="90">
        <v>45184.514814814815</v>
      </c>
      <c r="Q1882" s="87" t="s">
        <v>3673</v>
      </c>
      <c r="R1882" s="87">
        <v>0</v>
      </c>
      <c r="S1882" s="87">
        <v>0</v>
      </c>
      <c r="T1882" s="87">
        <v>0</v>
      </c>
      <c r="U1882" s="87">
        <v>0</v>
      </c>
      <c r="V1882" s="87">
        <v>33</v>
      </c>
      <c r="W1882" s="93" t="s">
        <v>7081</v>
      </c>
      <c r="X1882" s="87"/>
      <c r="Y1882" s="87"/>
      <c r="Z1882" s="87"/>
      <c r="AA1882" s="87" t="s">
        <v>9837</v>
      </c>
      <c r="AB1882" s="87" t="s">
        <v>11448</v>
      </c>
      <c r="AC1882" s="93" t="s">
        <v>11457</v>
      </c>
      <c r="AD1882" s="87" t="s">
        <v>11519</v>
      </c>
      <c r="AE1882" s="92" t="str">
        <f>HYPERLINK("https://twitter.com/nandotosi/status/1702658857237881277")</f>
        <v>https://twitter.com/nandotosi/status/1702658857237881277</v>
      </c>
      <c r="AF1882" s="90">
        <v>45184.514814814815</v>
      </c>
      <c r="AG1882" s="99">
        <v>45184</v>
      </c>
      <c r="AH1882" s="93" t="s">
        <v>13254</v>
      </c>
      <c r="AI1882" s="87" t="b">
        <v>0</v>
      </c>
      <c r="AJ1882" s="87"/>
      <c r="AK1882" s="87"/>
      <c r="AL1882" s="87"/>
      <c r="AM1882" s="87"/>
      <c r="AN1882" s="87"/>
      <c r="AO1882" s="87"/>
      <c r="AP1882" s="87"/>
      <c r="AQ1882" s="87" t="s">
        <v>16650</v>
      </c>
      <c r="AR1882" s="87"/>
      <c r="AS1882" s="87"/>
      <c r="AT1882" s="87"/>
      <c r="AU1882" s="87"/>
      <c r="AV1882" s="92" t="str">
        <f>HYPERLINK("https://pbs.twimg.com/media/F6EOfLOXkAAPj4D.jpg")</f>
        <v>https://pbs.twimg.com/media/F6EOfLOXkAAPj4D.jpg</v>
      </c>
      <c r="AW1882" s="93" t="s">
        <v>20111</v>
      </c>
      <c r="AX1882" s="93" t="s">
        <v>20111</v>
      </c>
      <c r="AY1882" s="87"/>
      <c r="AZ1882" s="93" t="s">
        <v>22668</v>
      </c>
      <c r="BA1882" s="93" t="s">
        <v>22668</v>
      </c>
      <c r="BB1882" s="93" t="s">
        <v>22668</v>
      </c>
      <c r="BC1882" s="93" t="s">
        <v>20111</v>
      </c>
      <c r="BD1882" s="93" t="s">
        <v>23164</v>
      </c>
      <c r="BE1882" s="87"/>
      <c r="BF1882" s="87"/>
      <c r="BG1882" s="87"/>
      <c r="BH1882" s="87"/>
      <c r="BI1882" s="87"/>
    </row>
    <row r="1883" spans="1:61" x14ac:dyDescent="0.25">
      <c r="A1883" s="63" t="s">
        <v>864</v>
      </c>
      <c r="B1883" s="63" t="s">
        <v>864</v>
      </c>
      <c r="C1883" s="64"/>
      <c r="D1883" s="65"/>
      <c r="E1883" s="66"/>
      <c r="F1883" s="67"/>
      <c r="G1883" s="64"/>
      <c r="H1883" s="68"/>
      <c r="I1883" s="69"/>
      <c r="J1883" s="69"/>
      <c r="K1883" s="32"/>
      <c r="L1883" s="76">
        <v>1883</v>
      </c>
      <c r="M1883" s="76"/>
      <c r="N1883" s="71"/>
      <c r="O1883" s="87" t="s">
        <v>179</v>
      </c>
      <c r="P1883" s="90">
        <v>45187.786180555559</v>
      </c>
      <c r="Q1883" s="87" t="s">
        <v>3674</v>
      </c>
      <c r="R1883" s="87">
        <v>0</v>
      </c>
      <c r="S1883" s="87">
        <v>0</v>
      </c>
      <c r="T1883" s="87">
        <v>0</v>
      </c>
      <c r="U1883" s="87">
        <v>0</v>
      </c>
      <c r="V1883" s="87">
        <v>149</v>
      </c>
      <c r="W1883" s="93" t="s">
        <v>7082</v>
      </c>
      <c r="X1883" s="87"/>
      <c r="Y1883" s="87"/>
      <c r="Z1883" s="87"/>
      <c r="AA1883" s="87" t="s">
        <v>9838</v>
      </c>
      <c r="AB1883" s="87" t="s">
        <v>11448</v>
      </c>
      <c r="AC1883" s="93" t="s">
        <v>11457</v>
      </c>
      <c r="AD1883" s="87" t="s">
        <v>11519</v>
      </c>
      <c r="AE1883" s="92" t="str">
        <f>HYPERLINK("https://twitter.com/nandotosi/status/1703844360112967865")</f>
        <v>https://twitter.com/nandotosi/status/1703844360112967865</v>
      </c>
      <c r="AF1883" s="90">
        <v>45187.786180555559</v>
      </c>
      <c r="AG1883" s="99">
        <v>45187</v>
      </c>
      <c r="AH1883" s="93" t="s">
        <v>13255</v>
      </c>
      <c r="AI1883" s="87" t="b">
        <v>0</v>
      </c>
      <c r="AJ1883" s="87"/>
      <c r="AK1883" s="87"/>
      <c r="AL1883" s="87"/>
      <c r="AM1883" s="87"/>
      <c r="AN1883" s="87"/>
      <c r="AO1883" s="87"/>
      <c r="AP1883" s="87"/>
      <c r="AQ1883" s="87" t="s">
        <v>16651</v>
      </c>
      <c r="AR1883" s="87"/>
      <c r="AS1883" s="87"/>
      <c r="AT1883" s="87"/>
      <c r="AU1883" s="87"/>
      <c r="AV1883" s="92" t="str">
        <f>HYPERLINK("https://pbs.twimg.com/media/F6VFVJfXkAAXMcx.jpg")</f>
        <v>https://pbs.twimg.com/media/F6VFVJfXkAAXMcx.jpg</v>
      </c>
      <c r="AW1883" s="93" t="s">
        <v>20112</v>
      </c>
      <c r="AX1883" s="93" t="s">
        <v>20112</v>
      </c>
      <c r="AY1883" s="87"/>
      <c r="AZ1883" s="93" t="s">
        <v>22668</v>
      </c>
      <c r="BA1883" s="93" t="s">
        <v>22668</v>
      </c>
      <c r="BB1883" s="93" t="s">
        <v>22668</v>
      </c>
      <c r="BC1883" s="93" t="s">
        <v>20112</v>
      </c>
      <c r="BD1883" s="93" t="s">
        <v>23164</v>
      </c>
      <c r="BE1883" s="87"/>
      <c r="BF1883" s="87"/>
      <c r="BG1883" s="87"/>
      <c r="BH1883" s="87"/>
      <c r="BI1883" s="87"/>
    </row>
    <row r="1884" spans="1:61" x14ac:dyDescent="0.25">
      <c r="A1884" s="63" t="s">
        <v>864</v>
      </c>
      <c r="B1884" s="63" t="s">
        <v>864</v>
      </c>
      <c r="C1884" s="64"/>
      <c r="D1884" s="65"/>
      <c r="E1884" s="66"/>
      <c r="F1884" s="67"/>
      <c r="G1884" s="64"/>
      <c r="H1884" s="68"/>
      <c r="I1884" s="69"/>
      <c r="J1884" s="69"/>
      <c r="K1884" s="32"/>
      <c r="L1884" s="76">
        <v>1884</v>
      </c>
      <c r="M1884" s="76"/>
      <c r="N1884" s="71"/>
      <c r="O1884" s="87" t="s">
        <v>179</v>
      </c>
      <c r="P1884" s="90">
        <v>45189.41474537037</v>
      </c>
      <c r="Q1884" s="87" t="s">
        <v>3675</v>
      </c>
      <c r="R1884" s="87">
        <v>0</v>
      </c>
      <c r="S1884" s="87">
        <v>0</v>
      </c>
      <c r="T1884" s="87">
        <v>0</v>
      </c>
      <c r="U1884" s="87">
        <v>0</v>
      </c>
      <c r="V1884" s="87">
        <v>12</v>
      </c>
      <c r="W1884" s="93" t="s">
        <v>7083</v>
      </c>
      <c r="X1884" s="87"/>
      <c r="Y1884" s="87"/>
      <c r="Z1884" s="87"/>
      <c r="AA1884" s="87"/>
      <c r="AB1884" s="87"/>
      <c r="AC1884" s="93" t="s">
        <v>11457</v>
      </c>
      <c r="AD1884" s="87" t="s">
        <v>11519</v>
      </c>
      <c r="AE1884" s="92" t="str">
        <f>HYPERLINK("https://twitter.com/nandotosi/status/1704434533435646200")</f>
        <v>https://twitter.com/nandotosi/status/1704434533435646200</v>
      </c>
      <c r="AF1884" s="90">
        <v>45189.41474537037</v>
      </c>
      <c r="AG1884" s="99">
        <v>45189</v>
      </c>
      <c r="AH1884" s="93" t="s">
        <v>13256</v>
      </c>
      <c r="AI1884" s="87"/>
      <c r="AJ1884" s="87"/>
      <c r="AK1884" s="87"/>
      <c r="AL1884" s="87"/>
      <c r="AM1884" s="87"/>
      <c r="AN1884" s="87"/>
      <c r="AO1884" s="87"/>
      <c r="AP1884" s="87"/>
      <c r="AQ1884" s="87"/>
      <c r="AR1884" s="87"/>
      <c r="AS1884" s="87"/>
      <c r="AT1884" s="87"/>
      <c r="AU1884" s="87"/>
      <c r="AV1884" s="92" t="str">
        <f>HYPERLINK("https://pbs.twimg.com/profile_images/1492200969807052801/WmOqsNu4_normal.jpg")</f>
        <v>https://pbs.twimg.com/profile_images/1492200969807052801/WmOqsNu4_normal.jpg</v>
      </c>
      <c r="AW1884" s="93" t="s">
        <v>20113</v>
      </c>
      <c r="AX1884" s="93" t="s">
        <v>20113</v>
      </c>
      <c r="AY1884" s="87"/>
      <c r="AZ1884" s="93" t="s">
        <v>22668</v>
      </c>
      <c r="BA1884" s="93" t="s">
        <v>22668</v>
      </c>
      <c r="BB1884" s="93" t="s">
        <v>22668</v>
      </c>
      <c r="BC1884" s="93" t="s">
        <v>20113</v>
      </c>
      <c r="BD1884" s="93" t="s">
        <v>23164</v>
      </c>
      <c r="BE1884" s="87"/>
      <c r="BF1884" s="87"/>
      <c r="BG1884" s="87"/>
      <c r="BH1884" s="87"/>
      <c r="BI1884" s="87"/>
    </row>
    <row r="1885" spans="1:61" x14ac:dyDescent="0.25">
      <c r="A1885" s="63" t="s">
        <v>864</v>
      </c>
      <c r="B1885" s="63" t="s">
        <v>864</v>
      </c>
      <c r="C1885" s="64"/>
      <c r="D1885" s="65"/>
      <c r="E1885" s="66"/>
      <c r="F1885" s="67"/>
      <c r="G1885" s="64"/>
      <c r="H1885" s="68"/>
      <c r="I1885" s="69"/>
      <c r="J1885" s="69"/>
      <c r="K1885" s="32"/>
      <c r="L1885" s="76">
        <v>1885</v>
      </c>
      <c r="M1885" s="76"/>
      <c r="N1885" s="71"/>
      <c r="O1885" s="87" t="s">
        <v>179</v>
      </c>
      <c r="P1885" s="90">
        <v>45188.529120370367</v>
      </c>
      <c r="Q1885" s="87" t="s">
        <v>3676</v>
      </c>
      <c r="R1885" s="87">
        <v>0</v>
      </c>
      <c r="S1885" s="87">
        <v>0</v>
      </c>
      <c r="T1885" s="87">
        <v>0</v>
      </c>
      <c r="U1885" s="87">
        <v>0</v>
      </c>
      <c r="V1885" s="87">
        <v>8</v>
      </c>
      <c r="W1885" s="93" t="s">
        <v>7084</v>
      </c>
      <c r="X1885" s="87"/>
      <c r="Y1885" s="87"/>
      <c r="Z1885" s="87"/>
      <c r="AA1885" s="87"/>
      <c r="AB1885" s="87"/>
      <c r="AC1885" s="93" t="s">
        <v>11457</v>
      </c>
      <c r="AD1885" s="87" t="s">
        <v>11519</v>
      </c>
      <c r="AE1885" s="92" t="str">
        <f>HYPERLINK("https://twitter.com/nandotosi/status/1704113593157869829")</f>
        <v>https://twitter.com/nandotosi/status/1704113593157869829</v>
      </c>
      <c r="AF1885" s="90">
        <v>45188.529120370367</v>
      </c>
      <c r="AG1885" s="99">
        <v>45188</v>
      </c>
      <c r="AH1885" s="93" t="s">
        <v>13257</v>
      </c>
      <c r="AI1885" s="87"/>
      <c r="AJ1885" s="87"/>
      <c r="AK1885" s="87"/>
      <c r="AL1885" s="87"/>
      <c r="AM1885" s="87"/>
      <c r="AN1885" s="87"/>
      <c r="AO1885" s="87"/>
      <c r="AP1885" s="87"/>
      <c r="AQ1885" s="87"/>
      <c r="AR1885" s="87"/>
      <c r="AS1885" s="87"/>
      <c r="AT1885" s="87"/>
      <c r="AU1885" s="87"/>
      <c r="AV1885" s="92" t="str">
        <f>HYPERLINK("https://pbs.twimg.com/profile_images/1492200969807052801/WmOqsNu4_normal.jpg")</f>
        <v>https://pbs.twimg.com/profile_images/1492200969807052801/WmOqsNu4_normal.jpg</v>
      </c>
      <c r="AW1885" s="93" t="s">
        <v>20114</v>
      </c>
      <c r="AX1885" s="93" t="s">
        <v>20114</v>
      </c>
      <c r="AY1885" s="87"/>
      <c r="AZ1885" s="93" t="s">
        <v>22668</v>
      </c>
      <c r="BA1885" s="93" t="s">
        <v>22668</v>
      </c>
      <c r="BB1885" s="93" t="s">
        <v>22668</v>
      </c>
      <c r="BC1885" s="93" t="s">
        <v>20114</v>
      </c>
      <c r="BD1885" s="93" t="s">
        <v>23164</v>
      </c>
      <c r="BE1885" s="87"/>
      <c r="BF1885" s="87"/>
      <c r="BG1885" s="87"/>
      <c r="BH1885" s="87"/>
      <c r="BI1885" s="87"/>
    </row>
    <row r="1886" spans="1:61" x14ac:dyDescent="0.25">
      <c r="A1886" s="63" t="s">
        <v>865</v>
      </c>
      <c r="B1886" s="63" t="s">
        <v>1694</v>
      </c>
      <c r="C1886" s="64"/>
      <c r="D1886" s="65"/>
      <c r="E1886" s="66"/>
      <c r="F1886" s="67"/>
      <c r="G1886" s="64"/>
      <c r="H1886" s="68"/>
      <c r="I1886" s="69"/>
      <c r="J1886" s="69"/>
      <c r="K1886" s="32"/>
      <c r="L1886" s="76">
        <v>1886</v>
      </c>
      <c r="M1886" s="76"/>
      <c r="N1886" s="71"/>
      <c r="O1886" s="87" t="s">
        <v>1839</v>
      </c>
      <c r="P1886" s="90">
        <v>45164.710451388892</v>
      </c>
      <c r="Q1886" s="87" t="s">
        <v>3677</v>
      </c>
      <c r="R1886" s="87">
        <v>0</v>
      </c>
      <c r="S1886" s="87">
        <v>10</v>
      </c>
      <c r="T1886" s="87">
        <v>0</v>
      </c>
      <c r="U1886" s="87">
        <v>1</v>
      </c>
      <c r="V1886" s="87">
        <v>1603</v>
      </c>
      <c r="W1886" s="87"/>
      <c r="X1886" s="92" t="str">
        <f>HYPERLINK("https://www.programacentelha.com.br/")</f>
        <v>https://www.programacentelha.com.br/</v>
      </c>
      <c r="Y1886" s="87" t="s">
        <v>8373</v>
      </c>
      <c r="Z1886" s="87" t="s">
        <v>8585</v>
      </c>
      <c r="AA1886" s="87" t="s">
        <v>9839</v>
      </c>
      <c r="AB1886" s="87" t="s">
        <v>11448</v>
      </c>
      <c r="AC1886" s="93" t="s">
        <v>11462</v>
      </c>
      <c r="AD1886" s="87" t="s">
        <v>11519</v>
      </c>
      <c r="AE1886" s="92" t="str">
        <f>HYPERLINK("https://twitter.com/uerj_oficial/status/1695481996141613324")</f>
        <v>https://twitter.com/uerj_oficial/status/1695481996141613324</v>
      </c>
      <c r="AF1886" s="90">
        <v>45164.710451388892</v>
      </c>
      <c r="AG1886" s="99">
        <v>45164</v>
      </c>
      <c r="AH1886" s="93" t="s">
        <v>13258</v>
      </c>
      <c r="AI1886" s="87" t="b">
        <v>0</v>
      </c>
      <c r="AJ1886" s="87"/>
      <c r="AK1886" s="87"/>
      <c r="AL1886" s="87"/>
      <c r="AM1886" s="87"/>
      <c r="AN1886" s="87"/>
      <c r="AO1886" s="87"/>
      <c r="AP1886" s="87"/>
      <c r="AQ1886" s="87" t="s">
        <v>16652</v>
      </c>
      <c r="AR1886" s="87"/>
      <c r="AS1886" s="87"/>
      <c r="AT1886" s="87"/>
      <c r="AU1886" s="87"/>
      <c r="AV1886" s="92" t="str">
        <f>HYPERLINK("https://pbs.twimg.com/media/F4eP5BuXYAAn36s.jpg")</f>
        <v>https://pbs.twimg.com/media/F4eP5BuXYAAn36s.jpg</v>
      </c>
      <c r="AW1886" s="93" t="s">
        <v>20115</v>
      </c>
      <c r="AX1886" s="93" t="s">
        <v>20115</v>
      </c>
      <c r="AY1886" s="87"/>
      <c r="AZ1886" s="93" t="s">
        <v>22668</v>
      </c>
      <c r="BA1886" s="93" t="s">
        <v>22668</v>
      </c>
      <c r="BB1886" s="93" t="s">
        <v>22668</v>
      </c>
      <c r="BC1886" s="93" t="s">
        <v>20115</v>
      </c>
      <c r="BD1886" s="87">
        <v>260361481</v>
      </c>
      <c r="BE1886" s="87"/>
      <c r="BF1886" s="87"/>
      <c r="BG1886" s="87"/>
      <c r="BH1886" s="87"/>
      <c r="BI1886" s="87"/>
    </row>
    <row r="1887" spans="1:61" x14ac:dyDescent="0.25">
      <c r="A1887" s="63" t="s">
        <v>865</v>
      </c>
      <c r="B1887" s="63" t="s">
        <v>1695</v>
      </c>
      <c r="C1887" s="64"/>
      <c r="D1887" s="65"/>
      <c r="E1887" s="66"/>
      <c r="F1887" s="67"/>
      <c r="G1887" s="64"/>
      <c r="H1887" s="68"/>
      <c r="I1887" s="69"/>
      <c r="J1887" s="69"/>
      <c r="K1887" s="32"/>
      <c r="L1887" s="76">
        <v>1887</v>
      </c>
      <c r="M1887" s="76"/>
      <c r="N1887" s="71"/>
      <c r="O1887" s="87" t="s">
        <v>1839</v>
      </c>
      <c r="P1887" s="90">
        <v>45164.710451388892</v>
      </c>
      <c r="Q1887" s="87" t="s">
        <v>3677</v>
      </c>
      <c r="R1887" s="87">
        <v>0</v>
      </c>
      <c r="S1887" s="87">
        <v>10</v>
      </c>
      <c r="T1887" s="87">
        <v>0</v>
      </c>
      <c r="U1887" s="87">
        <v>1</v>
      </c>
      <c r="V1887" s="87">
        <v>1603</v>
      </c>
      <c r="W1887" s="87"/>
      <c r="X1887" s="92" t="str">
        <f>HYPERLINK("https://www.programacentelha.com.br/")</f>
        <v>https://www.programacentelha.com.br/</v>
      </c>
      <c r="Y1887" s="87" t="s">
        <v>8373</v>
      </c>
      <c r="Z1887" s="87" t="s">
        <v>8585</v>
      </c>
      <c r="AA1887" s="87" t="s">
        <v>9839</v>
      </c>
      <c r="AB1887" s="87" t="s">
        <v>11448</v>
      </c>
      <c r="AC1887" s="93" t="s">
        <v>11462</v>
      </c>
      <c r="AD1887" s="87" t="s">
        <v>11519</v>
      </c>
      <c r="AE1887" s="92" t="str">
        <f>HYPERLINK("https://twitter.com/uerj_oficial/status/1695481996141613324")</f>
        <v>https://twitter.com/uerj_oficial/status/1695481996141613324</v>
      </c>
      <c r="AF1887" s="90">
        <v>45164.710451388892</v>
      </c>
      <c r="AG1887" s="99">
        <v>45164</v>
      </c>
      <c r="AH1887" s="93" t="s">
        <v>13258</v>
      </c>
      <c r="AI1887" s="87" t="b">
        <v>0</v>
      </c>
      <c r="AJ1887" s="87"/>
      <c r="AK1887" s="87"/>
      <c r="AL1887" s="87"/>
      <c r="AM1887" s="87"/>
      <c r="AN1887" s="87"/>
      <c r="AO1887" s="87"/>
      <c r="AP1887" s="87"/>
      <c r="AQ1887" s="87" t="s">
        <v>16652</v>
      </c>
      <c r="AR1887" s="87"/>
      <c r="AS1887" s="87"/>
      <c r="AT1887" s="87"/>
      <c r="AU1887" s="87"/>
      <c r="AV1887" s="92" t="str">
        <f>HYPERLINK("https://pbs.twimg.com/media/F4eP5BuXYAAn36s.jpg")</f>
        <v>https://pbs.twimg.com/media/F4eP5BuXYAAn36s.jpg</v>
      </c>
      <c r="AW1887" s="93" t="s">
        <v>20115</v>
      </c>
      <c r="AX1887" s="93" t="s">
        <v>20115</v>
      </c>
      <c r="AY1887" s="87"/>
      <c r="AZ1887" s="93" t="s">
        <v>22668</v>
      </c>
      <c r="BA1887" s="93" t="s">
        <v>22668</v>
      </c>
      <c r="BB1887" s="93" t="s">
        <v>22668</v>
      </c>
      <c r="BC1887" s="93" t="s">
        <v>20115</v>
      </c>
      <c r="BD1887" s="87">
        <v>260361481</v>
      </c>
      <c r="BE1887" s="87"/>
      <c r="BF1887" s="87"/>
      <c r="BG1887" s="87"/>
      <c r="BH1887" s="87"/>
      <c r="BI1887" s="87"/>
    </row>
    <row r="1888" spans="1:61" x14ac:dyDescent="0.25">
      <c r="A1888" s="63" t="s">
        <v>866</v>
      </c>
      <c r="B1888" s="63" t="s">
        <v>1696</v>
      </c>
      <c r="C1888" s="64"/>
      <c r="D1888" s="65"/>
      <c r="E1888" s="66"/>
      <c r="F1888" s="67"/>
      <c r="G1888" s="64"/>
      <c r="H1888" s="68"/>
      <c r="I1888" s="69"/>
      <c r="J1888" s="69"/>
      <c r="K1888" s="32"/>
      <c r="L1888" s="76">
        <v>1888</v>
      </c>
      <c r="M1888" s="76"/>
      <c r="N1888" s="71"/>
      <c r="O1888" s="87" t="s">
        <v>1840</v>
      </c>
      <c r="P1888" s="90">
        <v>45118.777870370373</v>
      </c>
      <c r="Q1888" s="87" t="s">
        <v>3678</v>
      </c>
      <c r="R1888" s="87">
        <v>0</v>
      </c>
      <c r="S1888" s="87">
        <v>1</v>
      </c>
      <c r="T1888" s="87">
        <v>0</v>
      </c>
      <c r="U1888" s="87">
        <v>0</v>
      </c>
      <c r="V1888" s="87">
        <v>13</v>
      </c>
      <c r="W1888" s="93" t="s">
        <v>5897</v>
      </c>
      <c r="X1888" s="87"/>
      <c r="Y1888" s="87"/>
      <c r="Z1888" s="87" t="s">
        <v>8586</v>
      </c>
      <c r="AA1888" s="87"/>
      <c r="AB1888" s="87"/>
      <c r="AC1888" s="93" t="s">
        <v>11458</v>
      </c>
      <c r="AD1888" s="87" t="s">
        <v>11520</v>
      </c>
      <c r="AE1888" s="92" t="str">
        <f>HYPERLINK("https://twitter.com/kleber_zonaro/status/1678836588632047618")</f>
        <v>https://twitter.com/kleber_zonaro/status/1678836588632047618</v>
      </c>
      <c r="AF1888" s="90">
        <v>45118.777870370373</v>
      </c>
      <c r="AG1888" s="99">
        <v>45118</v>
      </c>
      <c r="AH1888" s="93" t="s">
        <v>13259</v>
      </c>
      <c r="AI1888" s="87"/>
      <c r="AJ1888" s="87" t="s">
        <v>15208</v>
      </c>
      <c r="AK1888" s="87" t="s">
        <v>15234</v>
      </c>
      <c r="AL1888" s="87" t="s">
        <v>15237</v>
      </c>
      <c r="AM1888" s="87" t="s">
        <v>15279</v>
      </c>
      <c r="AN1888" s="87" t="s">
        <v>15346</v>
      </c>
      <c r="AO1888" s="87" t="s">
        <v>15411</v>
      </c>
      <c r="AP1888" s="87" t="s">
        <v>15438</v>
      </c>
      <c r="AQ1888" s="87"/>
      <c r="AR1888" s="87"/>
      <c r="AS1888" s="87"/>
      <c r="AT1888" s="87"/>
      <c r="AU1888" s="87"/>
      <c r="AV1888" s="92" t="str">
        <f>HYPERLINK("https://pbs.twimg.com/profile_images/1576653194888990721/AnQzJqBr_normal.jpg")</f>
        <v>https://pbs.twimg.com/profile_images/1576653194888990721/AnQzJqBr_normal.jpg</v>
      </c>
      <c r="AW1888" s="93" t="s">
        <v>20116</v>
      </c>
      <c r="AX1888" s="93" t="s">
        <v>22402</v>
      </c>
      <c r="AY1888" s="93" t="s">
        <v>22588</v>
      </c>
      <c r="AZ1888" s="93" t="s">
        <v>22726</v>
      </c>
      <c r="BA1888" s="93" t="s">
        <v>22668</v>
      </c>
      <c r="BB1888" s="93" t="s">
        <v>22668</v>
      </c>
      <c r="BC1888" s="93" t="s">
        <v>22726</v>
      </c>
      <c r="BD1888" s="87">
        <v>273163509</v>
      </c>
      <c r="BE1888" s="87"/>
      <c r="BF1888" s="87"/>
      <c r="BG1888" s="87"/>
      <c r="BH1888" s="87"/>
      <c r="BI1888" s="87"/>
    </row>
    <row r="1889" spans="1:61" x14ac:dyDescent="0.25">
      <c r="A1889" s="63" t="s">
        <v>867</v>
      </c>
      <c r="B1889" s="63" t="s">
        <v>867</v>
      </c>
      <c r="C1889" s="64"/>
      <c r="D1889" s="65"/>
      <c r="E1889" s="66"/>
      <c r="F1889" s="67"/>
      <c r="G1889" s="64"/>
      <c r="H1889" s="68"/>
      <c r="I1889" s="69"/>
      <c r="J1889" s="69"/>
      <c r="K1889" s="32"/>
      <c r="L1889" s="76">
        <v>1889</v>
      </c>
      <c r="M1889" s="76"/>
      <c r="N1889" s="71"/>
      <c r="O1889" s="87" t="s">
        <v>179</v>
      </c>
      <c r="P1889" s="90">
        <v>45152.985578703701</v>
      </c>
      <c r="Q1889" s="87" t="s">
        <v>3679</v>
      </c>
      <c r="R1889" s="87">
        <v>0</v>
      </c>
      <c r="S1889" s="87">
        <v>0</v>
      </c>
      <c r="T1889" s="87">
        <v>0</v>
      </c>
      <c r="U1889" s="87">
        <v>0</v>
      </c>
      <c r="V1889" s="87">
        <v>6</v>
      </c>
      <c r="W1889" s="93" t="s">
        <v>7085</v>
      </c>
      <c r="X1889" s="87"/>
      <c r="Y1889" s="87"/>
      <c r="Z1889" s="87"/>
      <c r="AA1889" s="87" t="s">
        <v>9840</v>
      </c>
      <c r="AB1889" s="87" t="s">
        <v>11452</v>
      </c>
      <c r="AC1889" s="93" t="s">
        <v>11458</v>
      </c>
      <c r="AD1889" s="87" t="s">
        <v>11519</v>
      </c>
      <c r="AE1889" s="92" t="str">
        <f>HYPERLINK("https://twitter.com/rikypai/status/1691233048182792192")</f>
        <v>https://twitter.com/rikypai/status/1691233048182792192</v>
      </c>
      <c r="AF1889" s="90">
        <v>45152.985578703701</v>
      </c>
      <c r="AG1889" s="99">
        <v>45152</v>
      </c>
      <c r="AH1889" s="93" t="s">
        <v>13260</v>
      </c>
      <c r="AI1889" s="87" t="b">
        <v>1</v>
      </c>
      <c r="AJ1889" s="87"/>
      <c r="AK1889" s="87"/>
      <c r="AL1889" s="87"/>
      <c r="AM1889" s="87"/>
      <c r="AN1889" s="87"/>
      <c r="AO1889" s="87"/>
      <c r="AP1889" s="87"/>
      <c r="AQ1889" s="87" t="s">
        <v>16653</v>
      </c>
      <c r="AR1889" s="87"/>
      <c r="AS1889" s="87"/>
      <c r="AT1889" s="87"/>
      <c r="AU1889" s="87"/>
      <c r="AV1889" s="92" t="str">
        <f>HYPERLINK("https://pbs.twimg.com/tweet_video_thumb/F3h3fC3WUAALYhr.jpg")</f>
        <v>https://pbs.twimg.com/tweet_video_thumb/F3h3fC3WUAALYhr.jpg</v>
      </c>
      <c r="AW1889" s="93" t="s">
        <v>20117</v>
      </c>
      <c r="AX1889" s="93" t="s">
        <v>20117</v>
      </c>
      <c r="AY1889" s="87"/>
      <c r="AZ1889" s="93" t="s">
        <v>22668</v>
      </c>
      <c r="BA1889" s="93" t="s">
        <v>22668</v>
      </c>
      <c r="BB1889" s="93" t="s">
        <v>22668</v>
      </c>
      <c r="BC1889" s="93" t="s">
        <v>20117</v>
      </c>
      <c r="BD1889" s="93" t="s">
        <v>23165</v>
      </c>
      <c r="BE1889" s="87"/>
      <c r="BF1889" s="87"/>
      <c r="BG1889" s="87"/>
      <c r="BH1889" s="87"/>
      <c r="BI1889" s="87"/>
    </row>
    <row r="1890" spans="1:61" x14ac:dyDescent="0.25">
      <c r="A1890" s="63" t="s">
        <v>868</v>
      </c>
      <c r="B1890" s="63" t="s">
        <v>868</v>
      </c>
      <c r="C1890" s="64"/>
      <c r="D1890" s="65"/>
      <c r="E1890" s="66"/>
      <c r="F1890" s="67"/>
      <c r="G1890" s="64"/>
      <c r="H1890" s="68"/>
      <c r="I1890" s="69"/>
      <c r="J1890" s="69"/>
      <c r="K1890" s="32"/>
      <c r="L1890" s="76">
        <v>1890</v>
      </c>
      <c r="M1890" s="76"/>
      <c r="N1890" s="71"/>
      <c r="O1890" s="87" t="s">
        <v>1840</v>
      </c>
      <c r="P1890" s="90">
        <v>45156.681087962963</v>
      </c>
      <c r="Q1890" s="87" t="s">
        <v>3680</v>
      </c>
      <c r="R1890" s="87">
        <v>1</v>
      </c>
      <c r="S1890" s="87">
        <v>2</v>
      </c>
      <c r="T1890" s="87">
        <v>0</v>
      </c>
      <c r="U1890" s="87">
        <v>0</v>
      </c>
      <c r="V1890" s="87">
        <v>7</v>
      </c>
      <c r="W1890" s="93" t="s">
        <v>7086</v>
      </c>
      <c r="X1890" s="87"/>
      <c r="Y1890" s="87"/>
      <c r="Z1890" s="87"/>
      <c r="AA1890" s="87"/>
      <c r="AB1890" s="87"/>
      <c r="AC1890" s="93" t="s">
        <v>11457</v>
      </c>
      <c r="AD1890" s="87" t="s">
        <v>11519</v>
      </c>
      <c r="AE1890" s="92" t="str">
        <f>HYPERLINK("https://twitter.com/campos_machado/status/1692572253152592294")</f>
        <v>https://twitter.com/campos_machado/status/1692572253152592294</v>
      </c>
      <c r="AF1890" s="90">
        <v>45156.681087962963</v>
      </c>
      <c r="AG1890" s="99">
        <v>45156</v>
      </c>
      <c r="AH1890" s="93" t="s">
        <v>13261</v>
      </c>
      <c r="AI1890" s="87"/>
      <c r="AJ1890" s="87"/>
      <c r="AK1890" s="87"/>
      <c r="AL1890" s="87"/>
      <c r="AM1890" s="87"/>
      <c r="AN1890" s="87"/>
      <c r="AO1890" s="87"/>
      <c r="AP1890" s="87"/>
      <c r="AQ1890" s="87"/>
      <c r="AR1890" s="87"/>
      <c r="AS1890" s="87"/>
      <c r="AT1890" s="87"/>
      <c r="AU1890" s="87"/>
      <c r="AV1890" s="92" t="str">
        <f>HYPERLINK("https://pbs.twimg.com/profile_images/1579542987813552138/M9n5v8GX_normal.jpg")</f>
        <v>https://pbs.twimg.com/profile_images/1579542987813552138/M9n5v8GX_normal.jpg</v>
      </c>
      <c r="AW1890" s="93" t="s">
        <v>20118</v>
      </c>
      <c r="AX1890" s="93" t="s">
        <v>22403</v>
      </c>
      <c r="AY1890" s="93" t="s">
        <v>22589</v>
      </c>
      <c r="AZ1890" s="93" t="s">
        <v>22727</v>
      </c>
      <c r="BA1890" s="93" t="s">
        <v>22668</v>
      </c>
      <c r="BB1890" s="93" t="s">
        <v>22668</v>
      </c>
      <c r="BC1890" s="93" t="s">
        <v>22727</v>
      </c>
      <c r="BD1890" s="87">
        <v>102469911</v>
      </c>
      <c r="BE1890" s="87"/>
      <c r="BF1890" s="87"/>
      <c r="BG1890" s="87"/>
      <c r="BH1890" s="87"/>
      <c r="BI1890" s="87"/>
    </row>
    <row r="1891" spans="1:61" x14ac:dyDescent="0.25">
      <c r="A1891" s="63" t="s">
        <v>868</v>
      </c>
      <c r="B1891" s="63" t="s">
        <v>868</v>
      </c>
      <c r="C1891" s="64"/>
      <c r="D1891" s="65"/>
      <c r="E1891" s="66"/>
      <c r="F1891" s="67"/>
      <c r="G1891" s="64"/>
      <c r="H1891" s="68"/>
      <c r="I1891" s="69"/>
      <c r="J1891" s="69"/>
      <c r="K1891" s="32"/>
      <c r="L1891" s="76">
        <v>1891</v>
      </c>
      <c r="M1891" s="76"/>
      <c r="N1891" s="71"/>
      <c r="O1891" s="87" t="s">
        <v>1840</v>
      </c>
      <c r="P1891" s="90">
        <v>45167.862835648149</v>
      </c>
      <c r="Q1891" s="87" t="s">
        <v>3681</v>
      </c>
      <c r="R1891" s="87">
        <v>1</v>
      </c>
      <c r="S1891" s="87">
        <v>2</v>
      </c>
      <c r="T1891" s="87">
        <v>0</v>
      </c>
      <c r="U1891" s="87">
        <v>0</v>
      </c>
      <c r="V1891" s="87">
        <v>23</v>
      </c>
      <c r="W1891" s="93" t="s">
        <v>7087</v>
      </c>
      <c r="X1891" s="87"/>
      <c r="Y1891" s="87"/>
      <c r="Z1891" s="87"/>
      <c r="AA1891" s="87"/>
      <c r="AB1891" s="87"/>
      <c r="AC1891" s="93" t="s">
        <v>11457</v>
      </c>
      <c r="AD1891" s="87" t="s">
        <v>11519</v>
      </c>
      <c r="AE1891" s="92" t="str">
        <f>HYPERLINK("https://twitter.com/campos_machado/status/1696624385124192657")</f>
        <v>https://twitter.com/campos_machado/status/1696624385124192657</v>
      </c>
      <c r="AF1891" s="90">
        <v>45167.862835648149</v>
      </c>
      <c r="AG1891" s="99">
        <v>45167</v>
      </c>
      <c r="AH1891" s="93" t="s">
        <v>13262</v>
      </c>
      <c r="AI1891" s="87"/>
      <c r="AJ1891" s="87"/>
      <c r="AK1891" s="87"/>
      <c r="AL1891" s="87"/>
      <c r="AM1891" s="87"/>
      <c r="AN1891" s="87"/>
      <c r="AO1891" s="87"/>
      <c r="AP1891" s="87"/>
      <c r="AQ1891" s="87"/>
      <c r="AR1891" s="87"/>
      <c r="AS1891" s="87"/>
      <c r="AT1891" s="87"/>
      <c r="AU1891" s="87"/>
      <c r="AV1891" s="92" t="str">
        <f>HYPERLINK("https://pbs.twimg.com/profile_images/1579542987813552138/M9n5v8GX_normal.jpg")</f>
        <v>https://pbs.twimg.com/profile_images/1579542987813552138/M9n5v8GX_normal.jpg</v>
      </c>
      <c r="AW1891" s="93" t="s">
        <v>20119</v>
      </c>
      <c r="AX1891" s="93" t="s">
        <v>22404</v>
      </c>
      <c r="AY1891" s="93" t="s">
        <v>22589</v>
      </c>
      <c r="AZ1891" s="93" t="s">
        <v>22728</v>
      </c>
      <c r="BA1891" s="93" t="s">
        <v>22668</v>
      </c>
      <c r="BB1891" s="93" t="s">
        <v>22668</v>
      </c>
      <c r="BC1891" s="93" t="s">
        <v>22728</v>
      </c>
      <c r="BD1891" s="87">
        <v>102469911</v>
      </c>
      <c r="BE1891" s="87"/>
      <c r="BF1891" s="87"/>
      <c r="BG1891" s="87"/>
      <c r="BH1891" s="87"/>
      <c r="BI1891" s="87"/>
    </row>
    <row r="1892" spans="1:61" x14ac:dyDescent="0.25">
      <c r="A1892" s="63" t="s">
        <v>869</v>
      </c>
      <c r="B1892" s="63" t="s">
        <v>869</v>
      </c>
      <c r="C1892" s="64"/>
      <c r="D1892" s="65"/>
      <c r="E1892" s="66"/>
      <c r="F1892" s="67"/>
      <c r="G1892" s="64"/>
      <c r="H1892" s="68"/>
      <c r="I1892" s="69"/>
      <c r="J1892" s="69"/>
      <c r="K1892" s="32"/>
      <c r="L1892" s="76">
        <v>1892</v>
      </c>
      <c r="M1892" s="76"/>
      <c r="N1892" s="71"/>
      <c r="O1892" s="87" t="s">
        <v>1840</v>
      </c>
      <c r="P1892" s="90">
        <v>45113.788668981484</v>
      </c>
      <c r="Q1892" s="87" t="s">
        <v>3682</v>
      </c>
      <c r="R1892" s="87">
        <v>0</v>
      </c>
      <c r="S1892" s="87">
        <v>0</v>
      </c>
      <c r="T1892" s="87">
        <v>0</v>
      </c>
      <c r="U1892" s="87">
        <v>0</v>
      </c>
      <c r="V1892" s="87">
        <v>139</v>
      </c>
      <c r="W1892" s="93" t="s">
        <v>7088</v>
      </c>
      <c r="X1892" s="87"/>
      <c r="Y1892" s="87"/>
      <c r="Z1892" s="87"/>
      <c r="AA1892" s="87"/>
      <c r="AB1892" s="87"/>
      <c r="AC1892" s="93" t="s">
        <v>11458</v>
      </c>
      <c r="AD1892" s="87" t="s">
        <v>11519</v>
      </c>
      <c r="AE1892" s="92" t="str">
        <f>HYPERLINK("https://twitter.com/efraimfilho/status/1677028562560245763")</f>
        <v>https://twitter.com/efraimfilho/status/1677028562560245763</v>
      </c>
      <c r="AF1892" s="90">
        <v>45113.788668981484</v>
      </c>
      <c r="AG1892" s="99">
        <v>45113</v>
      </c>
      <c r="AH1892" s="93" t="s">
        <v>13263</v>
      </c>
      <c r="AI1892" s="87"/>
      <c r="AJ1892" s="87"/>
      <c r="AK1892" s="87"/>
      <c r="AL1892" s="87"/>
      <c r="AM1892" s="87"/>
      <c r="AN1892" s="87"/>
      <c r="AO1892" s="87"/>
      <c r="AP1892" s="87"/>
      <c r="AQ1892" s="87"/>
      <c r="AR1892" s="87"/>
      <c r="AS1892" s="87"/>
      <c r="AT1892" s="87"/>
      <c r="AU1892" s="87"/>
      <c r="AV1892" s="92" t="str">
        <f>HYPERLINK("https://pbs.twimg.com/profile_images/1594474656773406722/BzTwaPbF_normal.jpg")</f>
        <v>https://pbs.twimg.com/profile_images/1594474656773406722/BzTwaPbF_normal.jpg</v>
      </c>
      <c r="AW1892" s="93" t="s">
        <v>20120</v>
      </c>
      <c r="AX1892" s="93" t="s">
        <v>22405</v>
      </c>
      <c r="AY1892" s="93" t="s">
        <v>22590</v>
      </c>
      <c r="AZ1892" s="93" t="s">
        <v>22729</v>
      </c>
      <c r="BA1892" s="93" t="s">
        <v>22668</v>
      </c>
      <c r="BB1892" s="93" t="s">
        <v>22668</v>
      </c>
      <c r="BC1892" s="93" t="s">
        <v>22729</v>
      </c>
      <c r="BD1892" s="87">
        <v>18957078</v>
      </c>
      <c r="BE1892" s="87"/>
      <c r="BF1892" s="87"/>
      <c r="BG1892" s="87"/>
      <c r="BH1892" s="87"/>
      <c r="BI1892" s="87"/>
    </row>
    <row r="1893" spans="1:61" x14ac:dyDescent="0.25">
      <c r="A1893" s="63" t="s">
        <v>870</v>
      </c>
      <c r="B1893" s="63" t="s">
        <v>870</v>
      </c>
      <c r="C1893" s="64"/>
      <c r="D1893" s="65"/>
      <c r="E1893" s="66"/>
      <c r="F1893" s="67"/>
      <c r="G1893" s="64"/>
      <c r="H1893" s="68"/>
      <c r="I1893" s="69"/>
      <c r="J1893" s="69"/>
      <c r="K1893" s="32"/>
      <c r="L1893" s="76">
        <v>1893</v>
      </c>
      <c r="M1893" s="76"/>
      <c r="N1893" s="71"/>
      <c r="O1893" s="87" t="s">
        <v>179</v>
      </c>
      <c r="P1893" s="90">
        <v>45139.40934027778</v>
      </c>
      <c r="Q1893" s="87" t="s">
        <v>3683</v>
      </c>
      <c r="R1893" s="87">
        <v>0</v>
      </c>
      <c r="S1893" s="87">
        <v>3</v>
      </c>
      <c r="T1893" s="87">
        <v>0</v>
      </c>
      <c r="U1893" s="87">
        <v>0</v>
      </c>
      <c r="V1893" s="87">
        <v>118</v>
      </c>
      <c r="W1893" s="93" t="s">
        <v>7089</v>
      </c>
      <c r="X1893" s="92" t="str">
        <f>HYPERLINK("http://bit.ly/rico_mami")</f>
        <v>http://bit.ly/rico_mami</v>
      </c>
      <c r="Y1893" s="87" t="s">
        <v>8374</v>
      </c>
      <c r="Z1893" s="87"/>
      <c r="AA1893" s="87" t="s">
        <v>9841</v>
      </c>
      <c r="AB1893" s="87" t="s">
        <v>11447</v>
      </c>
      <c r="AC1893" s="93" t="s">
        <v>11459</v>
      </c>
      <c r="AD1893" s="87" t="s">
        <v>11518</v>
      </c>
      <c r="AE1893" s="92" t="str">
        <f>HYPERLINK("https://twitter.com/affiliatetiki/status/1686313182573350914")</f>
        <v>https://twitter.com/affiliatetiki/status/1686313182573350914</v>
      </c>
      <c r="AF1893" s="90">
        <v>45139.40934027778</v>
      </c>
      <c r="AG1893" s="99">
        <v>45139</v>
      </c>
      <c r="AH1893" s="93" t="s">
        <v>13264</v>
      </c>
      <c r="AI1893" s="87" t="b">
        <v>0</v>
      </c>
      <c r="AJ1893" s="87"/>
      <c r="AK1893" s="87"/>
      <c r="AL1893" s="87"/>
      <c r="AM1893" s="87"/>
      <c r="AN1893" s="87"/>
      <c r="AO1893" s="87"/>
      <c r="AP1893" s="87"/>
      <c r="AQ1893" s="87" t="s">
        <v>16654</v>
      </c>
      <c r="AR1893" s="87">
        <v>23938</v>
      </c>
      <c r="AS1893" s="87"/>
      <c r="AT1893" s="87"/>
      <c r="AU1893" s="87"/>
      <c r="AV1893" s="92" t="str">
        <f>HYPERLINK("https://pbs.twimg.com/ext_tw_video_thumb/1686313137350295552/pu/img/O9Urn-dDOQVF1hap.jpg")</f>
        <v>https://pbs.twimg.com/ext_tw_video_thumb/1686313137350295552/pu/img/O9Urn-dDOQVF1hap.jpg</v>
      </c>
      <c r="AW1893" s="93" t="s">
        <v>20121</v>
      </c>
      <c r="AX1893" s="93" t="s">
        <v>20121</v>
      </c>
      <c r="AY1893" s="87"/>
      <c r="AZ1893" s="93" t="s">
        <v>22668</v>
      </c>
      <c r="BA1893" s="93" t="s">
        <v>22668</v>
      </c>
      <c r="BB1893" s="93" t="s">
        <v>22668</v>
      </c>
      <c r="BC1893" s="93" t="s">
        <v>20121</v>
      </c>
      <c r="BD1893" s="93" t="s">
        <v>23166</v>
      </c>
      <c r="BE1893" s="87"/>
      <c r="BF1893" s="87"/>
      <c r="BG1893" s="87"/>
      <c r="BH1893" s="87"/>
      <c r="BI1893" s="87"/>
    </row>
    <row r="1894" spans="1:61" x14ac:dyDescent="0.25">
      <c r="A1894" s="63" t="s">
        <v>871</v>
      </c>
      <c r="B1894" s="63" t="s">
        <v>871</v>
      </c>
      <c r="C1894" s="64"/>
      <c r="D1894" s="65"/>
      <c r="E1894" s="66"/>
      <c r="F1894" s="67"/>
      <c r="G1894" s="64"/>
      <c r="H1894" s="68"/>
      <c r="I1894" s="69"/>
      <c r="J1894" s="69"/>
      <c r="K1894" s="32"/>
      <c r="L1894" s="76">
        <v>1894</v>
      </c>
      <c r="M1894" s="76"/>
      <c r="N1894" s="71"/>
      <c r="O1894" s="87" t="s">
        <v>179</v>
      </c>
      <c r="P1894" s="90">
        <v>45165.528020833335</v>
      </c>
      <c r="Q1894" s="87" t="s">
        <v>3684</v>
      </c>
      <c r="R1894" s="87">
        <v>0</v>
      </c>
      <c r="S1894" s="87">
        <v>0</v>
      </c>
      <c r="T1894" s="87">
        <v>0</v>
      </c>
      <c r="U1894" s="87">
        <v>0</v>
      </c>
      <c r="V1894" s="87">
        <v>22</v>
      </c>
      <c r="W1894" s="93" t="s">
        <v>5897</v>
      </c>
      <c r="X1894" s="92" t="str">
        <f>HYPERLINK("https://www.jornalvozdolitoral.com")</f>
        <v>https://www.jornalvozdolitoral.com</v>
      </c>
      <c r="Y1894" s="87" t="s">
        <v>8475</v>
      </c>
      <c r="Z1894" s="87"/>
      <c r="AA1894" s="87" t="s">
        <v>9842</v>
      </c>
      <c r="AB1894" s="87" t="s">
        <v>11448</v>
      </c>
      <c r="AC1894" s="93" t="s">
        <v>11462</v>
      </c>
      <c r="AD1894" s="87" t="s">
        <v>11519</v>
      </c>
      <c r="AE1894" s="92" t="str">
        <f>HYPERLINK("https://twitter.com/voz_do_litoral/status/1695778275514077299")</f>
        <v>https://twitter.com/voz_do_litoral/status/1695778275514077299</v>
      </c>
      <c r="AF1894" s="90">
        <v>45165.528020833335</v>
      </c>
      <c r="AG1894" s="99">
        <v>45165</v>
      </c>
      <c r="AH1894" s="93" t="s">
        <v>13265</v>
      </c>
      <c r="AI1894" s="87" t="b">
        <v>0</v>
      </c>
      <c r="AJ1894" s="87"/>
      <c r="AK1894" s="87"/>
      <c r="AL1894" s="87"/>
      <c r="AM1894" s="87"/>
      <c r="AN1894" s="87"/>
      <c r="AO1894" s="87"/>
      <c r="AP1894" s="87"/>
      <c r="AQ1894" s="87" t="s">
        <v>16655</v>
      </c>
      <c r="AR1894" s="87"/>
      <c r="AS1894" s="87"/>
      <c r="AT1894" s="87"/>
      <c r="AU1894" s="87"/>
      <c r="AV1894" s="92" t="str">
        <f>HYPERLINK("https://pbs.twimg.com/media/F4idWxCWkAEAChZ.jpg")</f>
        <v>https://pbs.twimg.com/media/F4idWxCWkAEAChZ.jpg</v>
      </c>
      <c r="AW1894" s="93" t="s">
        <v>20122</v>
      </c>
      <c r="AX1894" s="93" t="s">
        <v>20122</v>
      </c>
      <c r="AY1894" s="87"/>
      <c r="AZ1894" s="93" t="s">
        <v>22668</v>
      </c>
      <c r="BA1894" s="93" t="s">
        <v>22668</v>
      </c>
      <c r="BB1894" s="93" t="s">
        <v>22668</v>
      </c>
      <c r="BC1894" s="93" t="s">
        <v>20122</v>
      </c>
      <c r="BD1894" s="93" t="s">
        <v>23167</v>
      </c>
      <c r="BE1894" s="87"/>
      <c r="BF1894" s="87"/>
      <c r="BG1894" s="87"/>
      <c r="BH1894" s="87"/>
      <c r="BI1894" s="87"/>
    </row>
    <row r="1895" spans="1:61" x14ac:dyDescent="0.25">
      <c r="A1895" s="63" t="s">
        <v>872</v>
      </c>
      <c r="B1895" s="63" t="s">
        <v>872</v>
      </c>
      <c r="C1895" s="64"/>
      <c r="D1895" s="65"/>
      <c r="E1895" s="66"/>
      <c r="F1895" s="67"/>
      <c r="G1895" s="64"/>
      <c r="H1895" s="68"/>
      <c r="I1895" s="69"/>
      <c r="J1895" s="69"/>
      <c r="K1895" s="32"/>
      <c r="L1895" s="76">
        <v>1895</v>
      </c>
      <c r="M1895" s="76"/>
      <c r="N1895" s="71"/>
      <c r="O1895" s="87" t="s">
        <v>179</v>
      </c>
      <c r="P1895" s="90">
        <v>45117.711435185185</v>
      </c>
      <c r="Q1895" s="87" t="s">
        <v>3685</v>
      </c>
      <c r="R1895" s="87">
        <v>0</v>
      </c>
      <c r="S1895" s="87">
        <v>0</v>
      </c>
      <c r="T1895" s="87">
        <v>0</v>
      </c>
      <c r="U1895" s="87">
        <v>0</v>
      </c>
      <c r="V1895" s="87">
        <v>23</v>
      </c>
      <c r="W1895" s="93" t="s">
        <v>7090</v>
      </c>
      <c r="X1895" s="87"/>
      <c r="Y1895" s="87"/>
      <c r="Z1895" s="87"/>
      <c r="AA1895" s="87"/>
      <c r="AB1895" s="87"/>
      <c r="AC1895" s="93" t="s">
        <v>11459</v>
      </c>
      <c r="AD1895" s="87" t="s">
        <v>11519</v>
      </c>
      <c r="AE1895" s="92" t="str">
        <f>HYPERLINK("https://twitter.com/marciopominaj/status/1678450124651995149")</f>
        <v>https://twitter.com/marciopominaj/status/1678450124651995149</v>
      </c>
      <c r="AF1895" s="90">
        <v>45117.711435185185</v>
      </c>
      <c r="AG1895" s="99">
        <v>45117</v>
      </c>
      <c r="AH1895" s="93" t="s">
        <v>13082</v>
      </c>
      <c r="AI1895" s="87"/>
      <c r="AJ1895" s="87"/>
      <c r="AK1895" s="87"/>
      <c r="AL1895" s="87"/>
      <c r="AM1895" s="87"/>
      <c r="AN1895" s="87"/>
      <c r="AO1895" s="87"/>
      <c r="AP1895" s="87"/>
      <c r="AQ1895" s="87"/>
      <c r="AR1895" s="87"/>
      <c r="AS1895" s="87"/>
      <c r="AT1895" s="87"/>
      <c r="AU1895" s="87"/>
      <c r="AV1895" s="92" t="str">
        <f>HYPERLINK("https://pbs.twimg.com/profile_images/1609509255630962688/UkEBVttw_normal.jpg")</f>
        <v>https://pbs.twimg.com/profile_images/1609509255630962688/UkEBVttw_normal.jpg</v>
      </c>
      <c r="AW1895" s="93" t="s">
        <v>20123</v>
      </c>
      <c r="AX1895" s="93" t="s">
        <v>20123</v>
      </c>
      <c r="AY1895" s="87"/>
      <c r="AZ1895" s="93" t="s">
        <v>22668</v>
      </c>
      <c r="BA1895" s="93" t="s">
        <v>22668</v>
      </c>
      <c r="BB1895" s="93" t="s">
        <v>22668</v>
      </c>
      <c r="BC1895" s="93" t="s">
        <v>20123</v>
      </c>
      <c r="BD1895" s="93" t="s">
        <v>23168</v>
      </c>
      <c r="BE1895" s="87"/>
      <c r="BF1895" s="87"/>
      <c r="BG1895" s="87"/>
      <c r="BH1895" s="87"/>
      <c r="BI1895" s="87"/>
    </row>
    <row r="1896" spans="1:61" x14ac:dyDescent="0.25">
      <c r="A1896" s="63" t="s">
        <v>873</v>
      </c>
      <c r="B1896" s="63" t="s">
        <v>873</v>
      </c>
      <c r="C1896" s="64"/>
      <c r="D1896" s="65"/>
      <c r="E1896" s="66"/>
      <c r="F1896" s="67"/>
      <c r="G1896" s="64"/>
      <c r="H1896" s="68"/>
      <c r="I1896" s="69"/>
      <c r="J1896" s="69"/>
      <c r="K1896" s="32"/>
      <c r="L1896" s="76">
        <v>1896</v>
      </c>
      <c r="M1896" s="76"/>
      <c r="N1896" s="71"/>
      <c r="O1896" s="87" t="s">
        <v>179</v>
      </c>
      <c r="P1896" s="90">
        <v>45168.117361111108</v>
      </c>
      <c r="Q1896" s="87" t="s">
        <v>3686</v>
      </c>
      <c r="R1896" s="87">
        <v>0</v>
      </c>
      <c r="S1896" s="87">
        <v>0</v>
      </c>
      <c r="T1896" s="87">
        <v>0</v>
      </c>
      <c r="U1896" s="87">
        <v>1</v>
      </c>
      <c r="V1896" s="87">
        <v>37</v>
      </c>
      <c r="W1896" s="93" t="s">
        <v>7091</v>
      </c>
      <c r="X1896" s="87"/>
      <c r="Y1896" s="87"/>
      <c r="Z1896" s="87"/>
      <c r="AA1896" s="87"/>
      <c r="AB1896" s="87"/>
      <c r="AC1896" s="93" t="s">
        <v>11457</v>
      </c>
      <c r="AD1896" s="87" t="s">
        <v>11519</v>
      </c>
      <c r="AE1896" s="92" t="str">
        <f>HYPERLINK("https://twitter.com/raquelsampaiors/status/1696716621203534244")</f>
        <v>https://twitter.com/raquelsampaiors/status/1696716621203534244</v>
      </c>
      <c r="AF1896" s="90">
        <v>45168.117361111108</v>
      </c>
      <c r="AG1896" s="99">
        <v>45168</v>
      </c>
      <c r="AH1896" s="93" t="s">
        <v>13266</v>
      </c>
      <c r="AI1896" s="87"/>
      <c r="AJ1896" s="87"/>
      <c r="AK1896" s="87"/>
      <c r="AL1896" s="87"/>
      <c r="AM1896" s="87"/>
      <c r="AN1896" s="87"/>
      <c r="AO1896" s="87"/>
      <c r="AP1896" s="87"/>
      <c r="AQ1896" s="87"/>
      <c r="AR1896" s="87"/>
      <c r="AS1896" s="87"/>
      <c r="AT1896" s="87"/>
      <c r="AU1896" s="87"/>
      <c r="AV1896" s="92" t="str">
        <f>HYPERLINK("https://pbs.twimg.com/profile_images/1695841188048195584/l1GIJ7I2_normal.jpg")</f>
        <v>https://pbs.twimg.com/profile_images/1695841188048195584/l1GIJ7I2_normal.jpg</v>
      </c>
      <c r="AW1896" s="93" t="s">
        <v>20124</v>
      </c>
      <c r="AX1896" s="93" t="s">
        <v>20124</v>
      </c>
      <c r="AY1896" s="87"/>
      <c r="AZ1896" s="93" t="s">
        <v>22668</v>
      </c>
      <c r="BA1896" s="93" t="s">
        <v>22668</v>
      </c>
      <c r="BB1896" s="93" t="s">
        <v>22668</v>
      </c>
      <c r="BC1896" s="93" t="s">
        <v>20124</v>
      </c>
      <c r="BD1896" s="93" t="s">
        <v>23169</v>
      </c>
      <c r="BE1896" s="87"/>
      <c r="BF1896" s="87"/>
      <c r="BG1896" s="87"/>
      <c r="BH1896" s="87"/>
      <c r="BI1896" s="87"/>
    </row>
    <row r="1897" spans="1:61" x14ac:dyDescent="0.25">
      <c r="A1897" s="63" t="s">
        <v>874</v>
      </c>
      <c r="B1897" s="63" t="s">
        <v>874</v>
      </c>
      <c r="C1897" s="64"/>
      <c r="D1897" s="65"/>
      <c r="E1897" s="66"/>
      <c r="F1897" s="67"/>
      <c r="G1897" s="64"/>
      <c r="H1897" s="68"/>
      <c r="I1897" s="69"/>
      <c r="J1897" s="69"/>
      <c r="K1897" s="32"/>
      <c r="L1897" s="76">
        <v>1897</v>
      </c>
      <c r="M1897" s="76"/>
      <c r="N1897" s="71"/>
      <c r="O1897" s="87" t="s">
        <v>179</v>
      </c>
      <c r="P1897" s="90">
        <v>45132.60560185185</v>
      </c>
      <c r="Q1897" s="87" t="s">
        <v>3687</v>
      </c>
      <c r="R1897" s="87">
        <v>0</v>
      </c>
      <c r="S1897" s="87">
        <v>1</v>
      </c>
      <c r="T1897" s="87">
        <v>0</v>
      </c>
      <c r="U1897" s="87">
        <v>0</v>
      </c>
      <c r="V1897" s="87">
        <v>102</v>
      </c>
      <c r="W1897" s="93" t="s">
        <v>5897</v>
      </c>
      <c r="X1897" s="87"/>
      <c r="Y1897" s="87"/>
      <c r="Z1897" s="87"/>
      <c r="AA1897" s="87"/>
      <c r="AB1897" s="87"/>
      <c r="AC1897" s="93" t="s">
        <v>11458</v>
      </c>
      <c r="AD1897" s="87" t="s">
        <v>11519</v>
      </c>
      <c r="AE1897" s="92" t="str">
        <f>HYPERLINK("https://twitter.com/clsomon/status/1683847590310281216")</f>
        <v>https://twitter.com/clsomon/status/1683847590310281216</v>
      </c>
      <c r="AF1897" s="90">
        <v>45132.60560185185</v>
      </c>
      <c r="AG1897" s="99">
        <v>45132</v>
      </c>
      <c r="AH1897" s="93" t="s">
        <v>13267</v>
      </c>
      <c r="AI1897" s="87"/>
      <c r="AJ1897" s="87"/>
      <c r="AK1897" s="87"/>
      <c r="AL1897" s="87"/>
      <c r="AM1897" s="87"/>
      <c r="AN1897" s="87"/>
      <c r="AO1897" s="87"/>
      <c r="AP1897" s="87"/>
      <c r="AQ1897" s="87"/>
      <c r="AR1897" s="87"/>
      <c r="AS1897" s="87"/>
      <c r="AT1897" s="87"/>
      <c r="AU1897" s="87"/>
      <c r="AV1897" s="92" t="str">
        <f>HYPERLINK("https://pbs.twimg.com/profile_images/1676700125496852480/9MaGFni9_normal.jpg")</f>
        <v>https://pbs.twimg.com/profile_images/1676700125496852480/9MaGFni9_normal.jpg</v>
      </c>
      <c r="AW1897" s="93" t="s">
        <v>20125</v>
      </c>
      <c r="AX1897" s="93" t="s">
        <v>20125</v>
      </c>
      <c r="AY1897" s="87"/>
      <c r="AZ1897" s="93" t="s">
        <v>22668</v>
      </c>
      <c r="BA1897" s="93" t="s">
        <v>22668</v>
      </c>
      <c r="BB1897" s="93" t="s">
        <v>22668</v>
      </c>
      <c r="BC1897" s="93" t="s">
        <v>20125</v>
      </c>
      <c r="BD1897" s="93" t="s">
        <v>23170</v>
      </c>
      <c r="BE1897" s="87"/>
      <c r="BF1897" s="87"/>
      <c r="BG1897" s="87"/>
      <c r="BH1897" s="87"/>
      <c r="BI1897" s="87"/>
    </row>
    <row r="1898" spans="1:61" x14ac:dyDescent="0.25">
      <c r="A1898" s="63" t="s">
        <v>875</v>
      </c>
      <c r="B1898" s="63" t="s">
        <v>875</v>
      </c>
      <c r="C1898" s="64"/>
      <c r="D1898" s="65"/>
      <c r="E1898" s="66"/>
      <c r="F1898" s="67"/>
      <c r="G1898" s="64"/>
      <c r="H1898" s="68"/>
      <c r="I1898" s="69"/>
      <c r="J1898" s="69"/>
      <c r="K1898" s="32"/>
      <c r="L1898" s="76">
        <v>1898</v>
      </c>
      <c r="M1898" s="76"/>
      <c r="N1898" s="71"/>
      <c r="O1898" s="87" t="s">
        <v>179</v>
      </c>
      <c r="P1898" s="90">
        <v>45134.606782407405</v>
      </c>
      <c r="Q1898" s="87" t="s">
        <v>3688</v>
      </c>
      <c r="R1898" s="87">
        <v>0</v>
      </c>
      <c r="S1898" s="87">
        <v>0</v>
      </c>
      <c r="T1898" s="87">
        <v>0</v>
      </c>
      <c r="U1898" s="87">
        <v>0</v>
      </c>
      <c r="V1898" s="87">
        <v>201</v>
      </c>
      <c r="W1898" s="93" t="s">
        <v>7092</v>
      </c>
      <c r="X1898" s="92" t="str">
        <f>HYPERLINK("https://dinheirama.com/quase-40-dos-moradores-das-favelas-no-rio-tem-negocio-proprio/")</f>
        <v>https://dinheirama.com/quase-40-dos-moradores-das-favelas-no-rio-tem-negocio-proprio/</v>
      </c>
      <c r="Y1898" s="87" t="s">
        <v>8476</v>
      </c>
      <c r="Z1898" s="87"/>
      <c r="AA1898" s="87"/>
      <c r="AB1898" s="87"/>
      <c r="AC1898" s="93" t="s">
        <v>11457</v>
      </c>
      <c r="AD1898" s="87" t="s">
        <v>11519</v>
      </c>
      <c r="AE1898" s="92" t="str">
        <f>HYPERLINK("https://twitter.com/dinheirama/status/1684572793592233987")</f>
        <v>https://twitter.com/dinheirama/status/1684572793592233987</v>
      </c>
      <c r="AF1898" s="90">
        <v>45134.606782407405</v>
      </c>
      <c r="AG1898" s="99">
        <v>45134</v>
      </c>
      <c r="AH1898" s="93" t="s">
        <v>13268</v>
      </c>
      <c r="AI1898" s="87" t="b">
        <v>0</v>
      </c>
      <c r="AJ1898" s="87"/>
      <c r="AK1898" s="87"/>
      <c r="AL1898" s="87"/>
      <c r="AM1898" s="87"/>
      <c r="AN1898" s="87"/>
      <c r="AO1898" s="87"/>
      <c r="AP1898" s="87"/>
      <c r="AQ1898" s="87"/>
      <c r="AR1898" s="87"/>
      <c r="AS1898" s="87"/>
      <c r="AT1898" s="87"/>
      <c r="AU1898" s="87"/>
      <c r="AV1898" s="92" t="str">
        <f>HYPERLINK("https://pbs.twimg.com/profile_images/1685831655976501248/p4Yj-D92_normal.jpg")</f>
        <v>https://pbs.twimg.com/profile_images/1685831655976501248/p4Yj-D92_normal.jpg</v>
      </c>
      <c r="AW1898" s="93" t="s">
        <v>20126</v>
      </c>
      <c r="AX1898" s="93" t="s">
        <v>20126</v>
      </c>
      <c r="AY1898" s="87"/>
      <c r="AZ1898" s="93" t="s">
        <v>22668</v>
      </c>
      <c r="BA1898" s="93" t="s">
        <v>22668</v>
      </c>
      <c r="BB1898" s="93" t="s">
        <v>22668</v>
      </c>
      <c r="BC1898" s="93" t="s">
        <v>20126</v>
      </c>
      <c r="BD1898" s="87">
        <v>23408209</v>
      </c>
      <c r="BE1898" s="87"/>
      <c r="BF1898" s="87"/>
      <c r="BG1898" s="87"/>
      <c r="BH1898" s="87"/>
      <c r="BI1898" s="87"/>
    </row>
    <row r="1899" spans="1:61" x14ac:dyDescent="0.25">
      <c r="A1899" s="63" t="s">
        <v>875</v>
      </c>
      <c r="B1899" s="63" t="s">
        <v>875</v>
      </c>
      <c r="C1899" s="64"/>
      <c r="D1899" s="65"/>
      <c r="E1899" s="66"/>
      <c r="F1899" s="67"/>
      <c r="G1899" s="64"/>
      <c r="H1899" s="68"/>
      <c r="I1899" s="69"/>
      <c r="J1899" s="69"/>
      <c r="K1899" s="32"/>
      <c r="L1899" s="76">
        <v>1899</v>
      </c>
      <c r="M1899" s="76"/>
      <c r="N1899" s="71"/>
      <c r="O1899" s="87" t="s">
        <v>179</v>
      </c>
      <c r="P1899" s="90">
        <v>45136.712743055556</v>
      </c>
      <c r="Q1899" s="87" t="s">
        <v>3689</v>
      </c>
      <c r="R1899" s="87">
        <v>0</v>
      </c>
      <c r="S1899" s="87">
        <v>0</v>
      </c>
      <c r="T1899" s="87">
        <v>0</v>
      </c>
      <c r="U1899" s="87">
        <v>0</v>
      </c>
      <c r="V1899" s="87">
        <v>282</v>
      </c>
      <c r="W1899" s="93" t="s">
        <v>7093</v>
      </c>
      <c r="X1899" s="92" t="str">
        <f>HYPERLINK("https://dinheirama.com/cae-pode-aprovar-criacao-de-credito-para-jovens-empreendedores/")</f>
        <v>https://dinheirama.com/cae-pode-aprovar-criacao-de-credito-para-jovens-empreendedores/</v>
      </c>
      <c r="Y1899" s="87" t="s">
        <v>8476</v>
      </c>
      <c r="Z1899" s="87"/>
      <c r="AA1899" s="87"/>
      <c r="AB1899" s="87"/>
      <c r="AC1899" s="93" t="s">
        <v>11457</v>
      </c>
      <c r="AD1899" s="87" t="s">
        <v>11519</v>
      </c>
      <c r="AE1899" s="92" t="str">
        <f>HYPERLINK("https://twitter.com/dinheirama/status/1685335966343421952")</f>
        <v>https://twitter.com/dinheirama/status/1685335966343421952</v>
      </c>
      <c r="AF1899" s="90">
        <v>45136.712743055556</v>
      </c>
      <c r="AG1899" s="99">
        <v>45136</v>
      </c>
      <c r="AH1899" s="93" t="s">
        <v>13269</v>
      </c>
      <c r="AI1899" s="87" t="b">
        <v>0</v>
      </c>
      <c r="AJ1899" s="87"/>
      <c r="AK1899" s="87"/>
      <c r="AL1899" s="87"/>
      <c r="AM1899" s="87"/>
      <c r="AN1899" s="87"/>
      <c r="AO1899" s="87"/>
      <c r="AP1899" s="87"/>
      <c r="AQ1899" s="87"/>
      <c r="AR1899" s="87"/>
      <c r="AS1899" s="87"/>
      <c r="AT1899" s="87"/>
      <c r="AU1899" s="87"/>
      <c r="AV1899" s="92" t="str">
        <f>HYPERLINK("https://pbs.twimg.com/profile_images/1685831655976501248/p4Yj-D92_normal.jpg")</f>
        <v>https://pbs.twimg.com/profile_images/1685831655976501248/p4Yj-D92_normal.jpg</v>
      </c>
      <c r="AW1899" s="93" t="s">
        <v>20127</v>
      </c>
      <c r="AX1899" s="93" t="s">
        <v>20127</v>
      </c>
      <c r="AY1899" s="87"/>
      <c r="AZ1899" s="93" t="s">
        <v>22668</v>
      </c>
      <c r="BA1899" s="93" t="s">
        <v>22668</v>
      </c>
      <c r="BB1899" s="93" t="s">
        <v>22668</v>
      </c>
      <c r="BC1899" s="93" t="s">
        <v>20127</v>
      </c>
      <c r="BD1899" s="87">
        <v>23408209</v>
      </c>
      <c r="BE1899" s="87"/>
      <c r="BF1899" s="87"/>
      <c r="BG1899" s="87"/>
      <c r="BH1899" s="87"/>
      <c r="BI1899" s="87"/>
    </row>
    <row r="1900" spans="1:61" x14ac:dyDescent="0.25">
      <c r="A1900" s="63" t="s">
        <v>875</v>
      </c>
      <c r="B1900" s="63" t="s">
        <v>875</v>
      </c>
      <c r="C1900" s="64"/>
      <c r="D1900" s="65"/>
      <c r="E1900" s="66"/>
      <c r="F1900" s="67"/>
      <c r="G1900" s="64"/>
      <c r="H1900" s="68"/>
      <c r="I1900" s="69"/>
      <c r="J1900" s="69"/>
      <c r="K1900" s="32"/>
      <c r="L1900" s="76">
        <v>1900</v>
      </c>
      <c r="M1900" s="76"/>
      <c r="N1900" s="71"/>
      <c r="O1900" s="87" t="s">
        <v>179</v>
      </c>
      <c r="P1900" s="90">
        <v>45164.693402777775</v>
      </c>
      <c r="Q1900" s="87" t="s">
        <v>3690</v>
      </c>
      <c r="R1900" s="87">
        <v>0</v>
      </c>
      <c r="S1900" s="87">
        <v>0</v>
      </c>
      <c r="T1900" s="87">
        <v>0</v>
      </c>
      <c r="U1900" s="87">
        <v>0</v>
      </c>
      <c r="V1900" s="87">
        <v>320</v>
      </c>
      <c r="W1900" s="93" t="s">
        <v>7094</v>
      </c>
      <c r="X1900" s="92" t="str">
        <f>HYPERLINK("https://dinheirama.com/em-2o-lugar-no-ranking-mundial-influenciadores-brasileiros-buscam-se-capacitar-como-empreendedores/")</f>
        <v>https://dinheirama.com/em-2o-lugar-no-ranking-mundial-influenciadores-brasileiros-buscam-se-capacitar-como-empreendedores/</v>
      </c>
      <c r="Y1900" s="87" t="s">
        <v>8476</v>
      </c>
      <c r="Z1900" s="87"/>
      <c r="AA1900" s="87"/>
      <c r="AB1900" s="87"/>
      <c r="AC1900" s="93" t="s">
        <v>11457</v>
      </c>
      <c r="AD1900" s="87" t="s">
        <v>11519</v>
      </c>
      <c r="AE1900" s="92" t="str">
        <f>HYPERLINK("https://twitter.com/dinheirama/status/1695475818690961721")</f>
        <v>https://twitter.com/dinheirama/status/1695475818690961721</v>
      </c>
      <c r="AF1900" s="90">
        <v>45164.693402777775</v>
      </c>
      <c r="AG1900" s="99">
        <v>45164</v>
      </c>
      <c r="AH1900" s="93" t="s">
        <v>13270</v>
      </c>
      <c r="AI1900" s="87" t="b">
        <v>0</v>
      </c>
      <c r="AJ1900" s="87"/>
      <c r="AK1900" s="87"/>
      <c r="AL1900" s="87"/>
      <c r="AM1900" s="87"/>
      <c r="AN1900" s="87"/>
      <c r="AO1900" s="87"/>
      <c r="AP1900" s="87"/>
      <c r="AQ1900" s="87"/>
      <c r="AR1900" s="87"/>
      <c r="AS1900" s="87"/>
      <c r="AT1900" s="87"/>
      <c r="AU1900" s="87"/>
      <c r="AV1900" s="92" t="str">
        <f>HYPERLINK("https://pbs.twimg.com/profile_images/1685831655976501248/p4Yj-D92_normal.jpg")</f>
        <v>https://pbs.twimg.com/profile_images/1685831655976501248/p4Yj-D92_normal.jpg</v>
      </c>
      <c r="AW1900" s="93" t="s">
        <v>20128</v>
      </c>
      <c r="AX1900" s="93" t="s">
        <v>20128</v>
      </c>
      <c r="AY1900" s="87"/>
      <c r="AZ1900" s="93" t="s">
        <v>22668</v>
      </c>
      <c r="BA1900" s="93" t="s">
        <v>22668</v>
      </c>
      <c r="BB1900" s="93" t="s">
        <v>22668</v>
      </c>
      <c r="BC1900" s="93" t="s">
        <v>20128</v>
      </c>
      <c r="BD1900" s="87">
        <v>23408209</v>
      </c>
      <c r="BE1900" s="87"/>
      <c r="BF1900" s="87"/>
      <c r="BG1900" s="87"/>
      <c r="BH1900" s="87"/>
      <c r="BI1900" s="87"/>
    </row>
    <row r="1901" spans="1:61" x14ac:dyDescent="0.25">
      <c r="A1901" s="63" t="s">
        <v>875</v>
      </c>
      <c r="B1901" s="63" t="s">
        <v>875</v>
      </c>
      <c r="C1901" s="64"/>
      <c r="D1901" s="65"/>
      <c r="E1901" s="66"/>
      <c r="F1901" s="67"/>
      <c r="G1901" s="64"/>
      <c r="H1901" s="68"/>
      <c r="I1901" s="69"/>
      <c r="J1901" s="69"/>
      <c r="K1901" s="32"/>
      <c r="L1901" s="76">
        <v>1901</v>
      </c>
      <c r="M1901" s="76"/>
      <c r="N1901" s="71"/>
      <c r="O1901" s="87" t="s">
        <v>179</v>
      </c>
      <c r="P1901" s="90">
        <v>45124.832129629627</v>
      </c>
      <c r="Q1901" s="87" t="s">
        <v>3691</v>
      </c>
      <c r="R1901" s="87">
        <v>0</v>
      </c>
      <c r="S1901" s="87">
        <v>1</v>
      </c>
      <c r="T1901" s="87">
        <v>0</v>
      </c>
      <c r="U1901" s="87">
        <v>0</v>
      </c>
      <c r="V1901" s="87">
        <v>240</v>
      </c>
      <c r="W1901" s="93" t="s">
        <v>7095</v>
      </c>
      <c r="X1901" s="92" t="str">
        <f>HYPERLINK("https://dinheirama.com/academia-amazon-sebrae-alcanca-179-mil-empreendedores-veja-como-se-inscrever/")</f>
        <v>https://dinheirama.com/academia-amazon-sebrae-alcanca-179-mil-empreendedores-veja-como-se-inscrever/</v>
      </c>
      <c r="Y1901" s="87" t="s">
        <v>8476</v>
      </c>
      <c r="Z1901" s="87"/>
      <c r="AA1901" s="87"/>
      <c r="AB1901" s="87"/>
      <c r="AC1901" s="93" t="s">
        <v>11457</v>
      </c>
      <c r="AD1901" s="87" t="s">
        <v>11519</v>
      </c>
      <c r="AE1901" s="92" t="str">
        <f>HYPERLINK("https://twitter.com/dinheirama/status/1681030579171500034")</f>
        <v>https://twitter.com/dinheirama/status/1681030579171500034</v>
      </c>
      <c r="AF1901" s="90">
        <v>45124.832129629627</v>
      </c>
      <c r="AG1901" s="99">
        <v>45124</v>
      </c>
      <c r="AH1901" s="93" t="s">
        <v>13271</v>
      </c>
      <c r="AI1901" s="87" t="b">
        <v>0</v>
      </c>
      <c r="AJ1901" s="87"/>
      <c r="AK1901" s="87"/>
      <c r="AL1901" s="87"/>
      <c r="AM1901" s="87"/>
      <c r="AN1901" s="87"/>
      <c r="AO1901" s="87"/>
      <c r="AP1901" s="87"/>
      <c r="AQ1901" s="87"/>
      <c r="AR1901" s="87"/>
      <c r="AS1901" s="87"/>
      <c r="AT1901" s="87"/>
      <c r="AU1901" s="87"/>
      <c r="AV1901" s="92" t="str">
        <f>HYPERLINK("https://pbs.twimg.com/profile_images/1685831655976501248/p4Yj-D92_normal.jpg")</f>
        <v>https://pbs.twimg.com/profile_images/1685831655976501248/p4Yj-D92_normal.jpg</v>
      </c>
      <c r="AW1901" s="93" t="s">
        <v>20129</v>
      </c>
      <c r="AX1901" s="93" t="s">
        <v>20129</v>
      </c>
      <c r="AY1901" s="87"/>
      <c r="AZ1901" s="93" t="s">
        <v>22668</v>
      </c>
      <c r="BA1901" s="93" t="s">
        <v>22668</v>
      </c>
      <c r="BB1901" s="93" t="s">
        <v>22668</v>
      </c>
      <c r="BC1901" s="93" t="s">
        <v>20129</v>
      </c>
      <c r="BD1901" s="87">
        <v>23408209</v>
      </c>
      <c r="BE1901" s="87"/>
      <c r="BF1901" s="87"/>
      <c r="BG1901" s="87"/>
      <c r="BH1901" s="87"/>
      <c r="BI1901" s="87"/>
    </row>
    <row r="1902" spans="1:61" x14ac:dyDescent="0.25">
      <c r="A1902" s="63" t="s">
        <v>875</v>
      </c>
      <c r="B1902" s="63" t="s">
        <v>875</v>
      </c>
      <c r="C1902" s="64"/>
      <c r="D1902" s="65"/>
      <c r="E1902" s="66"/>
      <c r="F1902" s="67"/>
      <c r="G1902" s="64"/>
      <c r="H1902" s="68"/>
      <c r="I1902" s="69"/>
      <c r="J1902" s="69"/>
      <c r="K1902" s="32"/>
      <c r="L1902" s="76">
        <v>1902</v>
      </c>
      <c r="M1902" s="76"/>
      <c r="N1902" s="71"/>
      <c r="O1902" s="87" t="s">
        <v>179</v>
      </c>
      <c r="P1902" s="90">
        <v>45123.58315972222</v>
      </c>
      <c r="Q1902" s="87" t="s">
        <v>3692</v>
      </c>
      <c r="R1902" s="87">
        <v>0</v>
      </c>
      <c r="S1902" s="87">
        <v>1</v>
      </c>
      <c r="T1902" s="87">
        <v>0</v>
      </c>
      <c r="U1902" s="87">
        <v>0</v>
      </c>
      <c r="V1902" s="87">
        <v>284</v>
      </c>
      <c r="W1902" s="93" t="s">
        <v>7096</v>
      </c>
      <c r="X1902" s="92" t="str">
        <f>HYPERLINK("https://dinheirama.com/ingressos-para-a-expo-favela-innovation-rio-ja-estao-a-venda/")</f>
        <v>https://dinheirama.com/ingressos-para-a-expo-favela-innovation-rio-ja-estao-a-venda/</v>
      </c>
      <c r="Y1902" s="87" t="s">
        <v>8476</v>
      </c>
      <c r="Z1902" s="87"/>
      <c r="AA1902" s="87"/>
      <c r="AB1902" s="87"/>
      <c r="AC1902" s="93" t="s">
        <v>11457</v>
      </c>
      <c r="AD1902" s="87" t="s">
        <v>11519</v>
      </c>
      <c r="AE1902" s="92" t="str">
        <f>HYPERLINK("https://twitter.com/dinheirama/status/1680577966017855488")</f>
        <v>https://twitter.com/dinheirama/status/1680577966017855488</v>
      </c>
      <c r="AF1902" s="90">
        <v>45123.58315972222</v>
      </c>
      <c r="AG1902" s="99">
        <v>45123</v>
      </c>
      <c r="AH1902" s="93" t="s">
        <v>13272</v>
      </c>
      <c r="AI1902" s="87" t="b">
        <v>0</v>
      </c>
      <c r="AJ1902" s="87"/>
      <c r="AK1902" s="87"/>
      <c r="AL1902" s="87"/>
      <c r="AM1902" s="87"/>
      <c r="AN1902" s="87"/>
      <c r="AO1902" s="87"/>
      <c r="AP1902" s="87"/>
      <c r="AQ1902" s="87"/>
      <c r="AR1902" s="87"/>
      <c r="AS1902" s="87"/>
      <c r="AT1902" s="87"/>
      <c r="AU1902" s="87"/>
      <c r="AV1902" s="92" t="str">
        <f>HYPERLINK("https://pbs.twimg.com/profile_images/1685831655976501248/p4Yj-D92_normal.jpg")</f>
        <v>https://pbs.twimg.com/profile_images/1685831655976501248/p4Yj-D92_normal.jpg</v>
      </c>
      <c r="AW1902" s="93" t="s">
        <v>20130</v>
      </c>
      <c r="AX1902" s="93" t="s">
        <v>20130</v>
      </c>
      <c r="AY1902" s="87"/>
      <c r="AZ1902" s="93" t="s">
        <v>22668</v>
      </c>
      <c r="BA1902" s="93" t="s">
        <v>22668</v>
      </c>
      <c r="BB1902" s="93" t="s">
        <v>22668</v>
      </c>
      <c r="BC1902" s="93" t="s">
        <v>20130</v>
      </c>
      <c r="BD1902" s="87">
        <v>23408209</v>
      </c>
      <c r="BE1902" s="87"/>
      <c r="BF1902" s="87"/>
      <c r="BG1902" s="87"/>
      <c r="BH1902" s="87"/>
      <c r="BI1902" s="87"/>
    </row>
    <row r="1903" spans="1:61" x14ac:dyDescent="0.25">
      <c r="A1903" s="63" t="s">
        <v>876</v>
      </c>
      <c r="B1903" s="63" t="s">
        <v>876</v>
      </c>
      <c r="C1903" s="64"/>
      <c r="D1903" s="65"/>
      <c r="E1903" s="66"/>
      <c r="F1903" s="67"/>
      <c r="G1903" s="64"/>
      <c r="H1903" s="68"/>
      <c r="I1903" s="69"/>
      <c r="J1903" s="69"/>
      <c r="K1903" s="32"/>
      <c r="L1903" s="76">
        <v>1903</v>
      </c>
      <c r="M1903" s="76"/>
      <c r="N1903" s="71"/>
      <c r="O1903" s="87" t="s">
        <v>179</v>
      </c>
      <c r="P1903" s="90">
        <v>45162.24790509259</v>
      </c>
      <c r="Q1903" s="87" t="s">
        <v>3693</v>
      </c>
      <c r="R1903" s="87">
        <v>0</v>
      </c>
      <c r="S1903" s="87">
        <v>0</v>
      </c>
      <c r="T1903" s="87">
        <v>0</v>
      </c>
      <c r="U1903" s="87">
        <v>0</v>
      </c>
      <c r="V1903" s="87">
        <v>71</v>
      </c>
      <c r="W1903" s="93" t="s">
        <v>7097</v>
      </c>
      <c r="X1903" s="87"/>
      <c r="Y1903" s="87"/>
      <c r="Z1903" s="87"/>
      <c r="AA1903" s="87" t="s">
        <v>9843</v>
      </c>
      <c r="AB1903" s="87" t="s">
        <v>11447</v>
      </c>
      <c r="AC1903" s="93" t="s">
        <v>11459</v>
      </c>
      <c r="AD1903" s="87" t="s">
        <v>11523</v>
      </c>
      <c r="AE1903" s="92" t="str">
        <f>HYPERLINK("https://twitter.com/negociosenvnzla/status/1694589600910487888")</f>
        <v>https://twitter.com/negociosenvnzla/status/1694589600910487888</v>
      </c>
      <c r="AF1903" s="90">
        <v>45162.24790509259</v>
      </c>
      <c r="AG1903" s="99">
        <v>45162</v>
      </c>
      <c r="AH1903" s="93" t="s">
        <v>13273</v>
      </c>
      <c r="AI1903" s="87" t="b">
        <v>0</v>
      </c>
      <c r="AJ1903" s="87"/>
      <c r="AK1903" s="87"/>
      <c r="AL1903" s="87"/>
      <c r="AM1903" s="87"/>
      <c r="AN1903" s="87"/>
      <c r="AO1903" s="87"/>
      <c r="AP1903" s="87"/>
      <c r="AQ1903" s="87" t="s">
        <v>16656</v>
      </c>
      <c r="AR1903" s="87">
        <v>45000</v>
      </c>
      <c r="AS1903" s="87"/>
      <c r="AT1903" s="87"/>
      <c r="AU1903" s="87"/>
      <c r="AV1903" s="92" t="str">
        <f>HYPERLINK("https://pbs.twimg.com/ext_tw_video_thumb/1694589540336340992/pu/img/oCI6bXRxtXzsp-nZ.jpg")</f>
        <v>https://pbs.twimg.com/ext_tw_video_thumb/1694589540336340992/pu/img/oCI6bXRxtXzsp-nZ.jpg</v>
      </c>
      <c r="AW1903" s="93" t="s">
        <v>20131</v>
      </c>
      <c r="AX1903" s="93" t="s">
        <v>20131</v>
      </c>
      <c r="AY1903" s="87"/>
      <c r="AZ1903" s="93" t="s">
        <v>22668</v>
      </c>
      <c r="BA1903" s="93" t="s">
        <v>22668</v>
      </c>
      <c r="BB1903" s="93" t="s">
        <v>22668</v>
      </c>
      <c r="BC1903" s="93" t="s">
        <v>20131</v>
      </c>
      <c r="BD1903" s="93" t="s">
        <v>23171</v>
      </c>
      <c r="BE1903" s="87"/>
      <c r="BF1903" s="87"/>
      <c r="BG1903" s="87"/>
      <c r="BH1903" s="87"/>
      <c r="BI1903" s="87"/>
    </row>
    <row r="1904" spans="1:61" x14ac:dyDescent="0.25">
      <c r="A1904" s="63" t="s">
        <v>877</v>
      </c>
      <c r="B1904" s="63" t="s">
        <v>877</v>
      </c>
      <c r="C1904" s="64"/>
      <c r="D1904" s="65"/>
      <c r="E1904" s="66"/>
      <c r="F1904" s="67"/>
      <c r="G1904" s="64"/>
      <c r="H1904" s="68"/>
      <c r="I1904" s="69"/>
      <c r="J1904" s="69"/>
      <c r="K1904" s="32"/>
      <c r="L1904" s="76">
        <v>1904</v>
      </c>
      <c r="M1904" s="76"/>
      <c r="N1904" s="71"/>
      <c r="O1904" s="87" t="s">
        <v>179</v>
      </c>
      <c r="P1904" s="90">
        <v>45114.792361111111</v>
      </c>
      <c r="Q1904" s="87" t="s">
        <v>3694</v>
      </c>
      <c r="R1904" s="87">
        <v>0</v>
      </c>
      <c r="S1904" s="87">
        <v>0</v>
      </c>
      <c r="T1904" s="87">
        <v>0</v>
      </c>
      <c r="U1904" s="87">
        <v>0</v>
      </c>
      <c r="V1904" s="87">
        <v>21</v>
      </c>
      <c r="W1904" s="93" t="s">
        <v>7098</v>
      </c>
      <c r="X1904" s="87"/>
      <c r="Y1904" s="87"/>
      <c r="Z1904" s="87"/>
      <c r="AA1904" s="87" t="s">
        <v>9844</v>
      </c>
      <c r="AB1904" s="87" t="s">
        <v>11447</v>
      </c>
      <c r="AC1904" s="93" t="s">
        <v>11460</v>
      </c>
      <c r="AD1904" s="87" t="s">
        <v>11519</v>
      </c>
      <c r="AE1904" s="92" t="str">
        <f>HYPERLINK("https://twitter.com/joaodabipo/status/1677392289163780105")</f>
        <v>https://twitter.com/joaodabipo/status/1677392289163780105</v>
      </c>
      <c r="AF1904" s="90">
        <v>45114.792361111111</v>
      </c>
      <c r="AG1904" s="99">
        <v>45114</v>
      </c>
      <c r="AH1904" s="93" t="s">
        <v>13274</v>
      </c>
      <c r="AI1904" s="87" t="b">
        <v>0</v>
      </c>
      <c r="AJ1904" s="87"/>
      <c r="AK1904" s="87"/>
      <c r="AL1904" s="87"/>
      <c r="AM1904" s="87"/>
      <c r="AN1904" s="87"/>
      <c r="AO1904" s="87"/>
      <c r="AP1904" s="87"/>
      <c r="AQ1904" s="87" t="s">
        <v>16657</v>
      </c>
      <c r="AR1904" s="87">
        <v>56495</v>
      </c>
      <c r="AS1904" s="87"/>
      <c r="AT1904" s="87"/>
      <c r="AU1904" s="87"/>
      <c r="AV1904" s="92" t="str">
        <f>HYPERLINK("https://pbs.twimg.com/ext_tw_video_thumb/1677392237548765185/pu/img/71kORVG_UaOOwnaZ.jpg")</f>
        <v>https://pbs.twimg.com/ext_tw_video_thumb/1677392237548765185/pu/img/71kORVG_UaOOwnaZ.jpg</v>
      </c>
      <c r="AW1904" s="93" t="s">
        <v>20132</v>
      </c>
      <c r="AX1904" s="93" t="s">
        <v>20132</v>
      </c>
      <c r="AY1904" s="87"/>
      <c r="AZ1904" s="93" t="s">
        <v>22668</v>
      </c>
      <c r="BA1904" s="93" t="s">
        <v>22668</v>
      </c>
      <c r="BB1904" s="93" t="s">
        <v>22668</v>
      </c>
      <c r="BC1904" s="93" t="s">
        <v>20132</v>
      </c>
      <c r="BD1904" s="93" t="s">
        <v>23172</v>
      </c>
      <c r="BE1904" s="87"/>
      <c r="BF1904" s="87"/>
      <c r="BG1904" s="87"/>
      <c r="BH1904" s="87"/>
      <c r="BI1904" s="87"/>
    </row>
    <row r="1905" spans="1:61" x14ac:dyDescent="0.25">
      <c r="A1905" s="63" t="s">
        <v>877</v>
      </c>
      <c r="B1905" s="63" t="s">
        <v>877</v>
      </c>
      <c r="C1905" s="64"/>
      <c r="D1905" s="65"/>
      <c r="E1905" s="66"/>
      <c r="F1905" s="67"/>
      <c r="G1905" s="64"/>
      <c r="H1905" s="68"/>
      <c r="I1905" s="69"/>
      <c r="J1905" s="69"/>
      <c r="K1905" s="32"/>
      <c r="L1905" s="76">
        <v>1905</v>
      </c>
      <c r="M1905" s="76"/>
      <c r="N1905" s="71"/>
      <c r="O1905" s="87" t="s">
        <v>179</v>
      </c>
      <c r="P1905" s="90">
        <v>45114.70890046296</v>
      </c>
      <c r="Q1905" s="87" t="s">
        <v>3695</v>
      </c>
      <c r="R1905" s="87">
        <v>0</v>
      </c>
      <c r="S1905" s="87">
        <v>0</v>
      </c>
      <c r="T1905" s="87">
        <v>0</v>
      </c>
      <c r="U1905" s="87">
        <v>0</v>
      </c>
      <c r="V1905" s="87">
        <v>11</v>
      </c>
      <c r="W1905" s="93" t="s">
        <v>7099</v>
      </c>
      <c r="X1905" s="87"/>
      <c r="Y1905" s="87"/>
      <c r="Z1905" s="87"/>
      <c r="AA1905" s="87" t="s">
        <v>9845</v>
      </c>
      <c r="AB1905" s="87" t="s">
        <v>11448</v>
      </c>
      <c r="AC1905" s="93" t="s">
        <v>11460</v>
      </c>
      <c r="AD1905" s="87" t="s">
        <v>11519</v>
      </c>
      <c r="AE1905" s="92" t="str">
        <f>HYPERLINK("https://twitter.com/joaodabipo/status/1677362041613328384")</f>
        <v>https://twitter.com/joaodabipo/status/1677362041613328384</v>
      </c>
      <c r="AF1905" s="90">
        <v>45114.70890046296</v>
      </c>
      <c r="AG1905" s="99">
        <v>45114</v>
      </c>
      <c r="AH1905" s="93" t="s">
        <v>13275</v>
      </c>
      <c r="AI1905" s="87" t="b">
        <v>0</v>
      </c>
      <c r="AJ1905" s="87"/>
      <c r="AK1905" s="87"/>
      <c r="AL1905" s="87"/>
      <c r="AM1905" s="87"/>
      <c r="AN1905" s="87"/>
      <c r="AO1905" s="87"/>
      <c r="AP1905" s="87"/>
      <c r="AQ1905" s="87" t="s">
        <v>16658</v>
      </c>
      <c r="AR1905" s="87"/>
      <c r="AS1905" s="87"/>
      <c r="AT1905" s="87"/>
      <c r="AU1905" s="87"/>
      <c r="AV1905" s="92" t="str">
        <f>HYPERLINK("https://pbs.twimg.com/media/F0cv4yoWYAIHn6C.jpg")</f>
        <v>https://pbs.twimg.com/media/F0cv4yoWYAIHn6C.jpg</v>
      </c>
      <c r="AW1905" s="93" t="s">
        <v>20133</v>
      </c>
      <c r="AX1905" s="93" t="s">
        <v>20133</v>
      </c>
      <c r="AY1905" s="87"/>
      <c r="AZ1905" s="93" t="s">
        <v>22668</v>
      </c>
      <c r="BA1905" s="93" t="s">
        <v>22668</v>
      </c>
      <c r="BB1905" s="93" t="s">
        <v>22668</v>
      </c>
      <c r="BC1905" s="93" t="s">
        <v>20133</v>
      </c>
      <c r="BD1905" s="93" t="s">
        <v>23172</v>
      </c>
      <c r="BE1905" s="87"/>
      <c r="BF1905" s="87"/>
      <c r="BG1905" s="87"/>
      <c r="BH1905" s="87"/>
      <c r="BI1905" s="87"/>
    </row>
    <row r="1906" spans="1:61" x14ac:dyDescent="0.25">
      <c r="A1906" s="63" t="s">
        <v>877</v>
      </c>
      <c r="B1906" s="63" t="s">
        <v>877</v>
      </c>
      <c r="C1906" s="64"/>
      <c r="D1906" s="65"/>
      <c r="E1906" s="66"/>
      <c r="F1906" s="67"/>
      <c r="G1906" s="64"/>
      <c r="H1906" s="68"/>
      <c r="I1906" s="69"/>
      <c r="J1906" s="69"/>
      <c r="K1906" s="32"/>
      <c r="L1906" s="76">
        <v>1906</v>
      </c>
      <c r="M1906" s="76"/>
      <c r="N1906" s="71"/>
      <c r="O1906" s="87" t="s">
        <v>179</v>
      </c>
      <c r="P1906" s="90">
        <v>45113.792303240742</v>
      </c>
      <c r="Q1906" s="87" t="s">
        <v>3696</v>
      </c>
      <c r="R1906" s="87">
        <v>0</v>
      </c>
      <c r="S1906" s="87">
        <v>0</v>
      </c>
      <c r="T1906" s="87">
        <v>0</v>
      </c>
      <c r="U1906" s="87">
        <v>0</v>
      </c>
      <c r="V1906" s="87">
        <v>25</v>
      </c>
      <c r="W1906" s="93" t="s">
        <v>7098</v>
      </c>
      <c r="X1906" s="87"/>
      <c r="Y1906" s="87"/>
      <c r="Z1906" s="87"/>
      <c r="AA1906" s="87" t="s">
        <v>9846</v>
      </c>
      <c r="AB1906" s="87" t="s">
        <v>11447</v>
      </c>
      <c r="AC1906" s="93" t="s">
        <v>11460</v>
      </c>
      <c r="AD1906" s="87" t="s">
        <v>11519</v>
      </c>
      <c r="AE1906" s="92" t="str">
        <f>HYPERLINK("https://twitter.com/joaodabipo/status/1677029878066028545")</f>
        <v>https://twitter.com/joaodabipo/status/1677029878066028545</v>
      </c>
      <c r="AF1906" s="90">
        <v>45113.792303240742</v>
      </c>
      <c r="AG1906" s="99">
        <v>45113</v>
      </c>
      <c r="AH1906" s="93" t="s">
        <v>13276</v>
      </c>
      <c r="AI1906" s="87" t="b">
        <v>0</v>
      </c>
      <c r="AJ1906" s="87"/>
      <c r="AK1906" s="87"/>
      <c r="AL1906" s="87"/>
      <c r="AM1906" s="87"/>
      <c r="AN1906" s="87"/>
      <c r="AO1906" s="87"/>
      <c r="AP1906" s="87"/>
      <c r="AQ1906" s="87" t="s">
        <v>16659</v>
      </c>
      <c r="AR1906" s="87">
        <v>38243</v>
      </c>
      <c r="AS1906" s="87"/>
      <c r="AT1906" s="87"/>
      <c r="AU1906" s="87"/>
      <c r="AV1906" s="92" t="str">
        <f>HYPERLINK("https://pbs.twimg.com/ext_tw_video_thumb/1677029828732637190/pu/img/jMghCNfbA-K13ZVP.jpg")</f>
        <v>https://pbs.twimg.com/ext_tw_video_thumb/1677029828732637190/pu/img/jMghCNfbA-K13ZVP.jpg</v>
      </c>
      <c r="AW1906" s="93" t="s">
        <v>20134</v>
      </c>
      <c r="AX1906" s="93" t="s">
        <v>20134</v>
      </c>
      <c r="AY1906" s="87"/>
      <c r="AZ1906" s="93" t="s">
        <v>22668</v>
      </c>
      <c r="BA1906" s="93" t="s">
        <v>22668</v>
      </c>
      <c r="BB1906" s="93" t="s">
        <v>22668</v>
      </c>
      <c r="BC1906" s="93" t="s">
        <v>20134</v>
      </c>
      <c r="BD1906" s="93" t="s">
        <v>23172</v>
      </c>
      <c r="BE1906" s="87"/>
      <c r="BF1906" s="87"/>
      <c r="BG1906" s="87"/>
      <c r="BH1906" s="87"/>
      <c r="BI1906" s="87"/>
    </row>
    <row r="1907" spans="1:61" x14ac:dyDescent="0.25">
      <c r="A1907" s="63" t="s">
        <v>877</v>
      </c>
      <c r="B1907" s="63" t="s">
        <v>877</v>
      </c>
      <c r="C1907" s="64"/>
      <c r="D1907" s="65"/>
      <c r="E1907" s="66"/>
      <c r="F1907" s="67"/>
      <c r="G1907" s="64"/>
      <c r="H1907" s="68"/>
      <c r="I1907" s="69"/>
      <c r="J1907" s="69"/>
      <c r="K1907" s="32"/>
      <c r="L1907" s="76">
        <v>1907</v>
      </c>
      <c r="M1907" s="76"/>
      <c r="N1907" s="71"/>
      <c r="O1907" s="87" t="s">
        <v>179</v>
      </c>
      <c r="P1907" s="90">
        <v>45127.792349537034</v>
      </c>
      <c r="Q1907" s="87" t="s">
        <v>3697</v>
      </c>
      <c r="R1907" s="87">
        <v>0</v>
      </c>
      <c r="S1907" s="87">
        <v>0</v>
      </c>
      <c r="T1907" s="87">
        <v>0</v>
      </c>
      <c r="U1907" s="87">
        <v>0</v>
      </c>
      <c r="V1907" s="87">
        <v>32</v>
      </c>
      <c r="W1907" s="93" t="s">
        <v>7098</v>
      </c>
      <c r="X1907" s="87"/>
      <c r="Y1907" s="87"/>
      <c r="Z1907" s="87"/>
      <c r="AA1907" s="87" t="s">
        <v>9847</v>
      </c>
      <c r="AB1907" s="87" t="s">
        <v>11447</v>
      </c>
      <c r="AC1907" s="93" t="s">
        <v>11460</v>
      </c>
      <c r="AD1907" s="87" t="s">
        <v>11519</v>
      </c>
      <c r="AE1907" s="92" t="str">
        <f>HYPERLINK("https://twitter.com/joaodabipo/status/1682103325733314562")</f>
        <v>https://twitter.com/joaodabipo/status/1682103325733314562</v>
      </c>
      <c r="AF1907" s="90">
        <v>45127.792349537034</v>
      </c>
      <c r="AG1907" s="99">
        <v>45127</v>
      </c>
      <c r="AH1907" s="93" t="s">
        <v>13277</v>
      </c>
      <c r="AI1907" s="87" t="b">
        <v>0</v>
      </c>
      <c r="AJ1907" s="87"/>
      <c r="AK1907" s="87"/>
      <c r="AL1907" s="87"/>
      <c r="AM1907" s="87"/>
      <c r="AN1907" s="87"/>
      <c r="AO1907" s="87"/>
      <c r="AP1907" s="87"/>
      <c r="AQ1907" s="87" t="s">
        <v>16660</v>
      </c>
      <c r="AR1907" s="87">
        <v>58770</v>
      </c>
      <c r="AS1907" s="87"/>
      <c r="AT1907" s="87"/>
      <c r="AU1907" s="87"/>
      <c r="AV1907" s="92" t="str">
        <f>HYPERLINK("https://pbs.twimg.com/ext_tw_video_thumb/1682103274856407042/pu/img/XMaVe44K8wYpWiIv.jpg")</f>
        <v>https://pbs.twimg.com/ext_tw_video_thumb/1682103274856407042/pu/img/XMaVe44K8wYpWiIv.jpg</v>
      </c>
      <c r="AW1907" s="93" t="s">
        <v>20135</v>
      </c>
      <c r="AX1907" s="93" t="s">
        <v>20135</v>
      </c>
      <c r="AY1907" s="87"/>
      <c r="AZ1907" s="93" t="s">
        <v>22668</v>
      </c>
      <c r="BA1907" s="93" t="s">
        <v>22668</v>
      </c>
      <c r="BB1907" s="93" t="s">
        <v>22668</v>
      </c>
      <c r="BC1907" s="93" t="s">
        <v>20135</v>
      </c>
      <c r="BD1907" s="93" t="s">
        <v>23172</v>
      </c>
      <c r="BE1907" s="87"/>
      <c r="BF1907" s="87"/>
      <c r="BG1907" s="87"/>
      <c r="BH1907" s="87"/>
      <c r="BI1907" s="87"/>
    </row>
    <row r="1908" spans="1:61" x14ac:dyDescent="0.25">
      <c r="A1908" s="63" t="s">
        <v>877</v>
      </c>
      <c r="B1908" s="63" t="s">
        <v>877</v>
      </c>
      <c r="C1908" s="64"/>
      <c r="D1908" s="65"/>
      <c r="E1908" s="66"/>
      <c r="F1908" s="67"/>
      <c r="G1908" s="64"/>
      <c r="H1908" s="68"/>
      <c r="I1908" s="69"/>
      <c r="J1908" s="69"/>
      <c r="K1908" s="32"/>
      <c r="L1908" s="76">
        <v>1908</v>
      </c>
      <c r="M1908" s="76"/>
      <c r="N1908" s="71"/>
      <c r="O1908" s="87" t="s">
        <v>179</v>
      </c>
      <c r="P1908" s="90">
        <v>45123.750740740739</v>
      </c>
      <c r="Q1908" s="87" t="s">
        <v>3698</v>
      </c>
      <c r="R1908" s="87">
        <v>0</v>
      </c>
      <c r="S1908" s="87">
        <v>0</v>
      </c>
      <c r="T1908" s="87">
        <v>0</v>
      </c>
      <c r="U1908" s="87">
        <v>0</v>
      </c>
      <c r="V1908" s="87">
        <v>14</v>
      </c>
      <c r="W1908" s="93" t="s">
        <v>7098</v>
      </c>
      <c r="X1908" s="87"/>
      <c r="Y1908" s="87"/>
      <c r="Z1908" s="87"/>
      <c r="AA1908" s="87" t="s">
        <v>9848</v>
      </c>
      <c r="AB1908" s="87" t="s">
        <v>11447</v>
      </c>
      <c r="AC1908" s="93" t="s">
        <v>11460</v>
      </c>
      <c r="AD1908" s="87" t="s">
        <v>11523</v>
      </c>
      <c r="AE1908" s="92" t="str">
        <f>HYPERLINK("https://twitter.com/joaodabipo/status/1680638695559274497")</f>
        <v>https://twitter.com/joaodabipo/status/1680638695559274497</v>
      </c>
      <c r="AF1908" s="90">
        <v>45123.750740740739</v>
      </c>
      <c r="AG1908" s="99">
        <v>45123</v>
      </c>
      <c r="AH1908" s="93" t="s">
        <v>13278</v>
      </c>
      <c r="AI1908" s="87" t="b">
        <v>0</v>
      </c>
      <c r="AJ1908" s="87"/>
      <c r="AK1908" s="87"/>
      <c r="AL1908" s="87"/>
      <c r="AM1908" s="87"/>
      <c r="AN1908" s="87"/>
      <c r="AO1908" s="87"/>
      <c r="AP1908" s="87"/>
      <c r="AQ1908" s="87" t="s">
        <v>16661</v>
      </c>
      <c r="AR1908" s="87">
        <v>68950</v>
      </c>
      <c r="AS1908" s="87"/>
      <c r="AT1908" s="87"/>
      <c r="AU1908" s="87"/>
      <c r="AV1908" s="92" t="str">
        <f>HYPERLINK("https://pbs.twimg.com/ext_tw_video_thumb/1680638615246741505/pu/img/rgDtl7Tt9o0I1TW2.jpg")</f>
        <v>https://pbs.twimg.com/ext_tw_video_thumb/1680638615246741505/pu/img/rgDtl7Tt9o0I1TW2.jpg</v>
      </c>
      <c r="AW1908" s="93" t="s">
        <v>20136</v>
      </c>
      <c r="AX1908" s="93" t="s">
        <v>20136</v>
      </c>
      <c r="AY1908" s="87"/>
      <c r="AZ1908" s="93" t="s">
        <v>22668</v>
      </c>
      <c r="BA1908" s="93" t="s">
        <v>22668</v>
      </c>
      <c r="BB1908" s="93" t="s">
        <v>22668</v>
      </c>
      <c r="BC1908" s="93" t="s">
        <v>20136</v>
      </c>
      <c r="BD1908" s="93" t="s">
        <v>23172</v>
      </c>
      <c r="BE1908" s="87"/>
      <c r="BF1908" s="87"/>
      <c r="BG1908" s="87"/>
      <c r="BH1908" s="87"/>
      <c r="BI1908" s="87"/>
    </row>
    <row r="1909" spans="1:61" x14ac:dyDescent="0.25">
      <c r="A1909" s="63" t="s">
        <v>877</v>
      </c>
      <c r="B1909" s="63" t="s">
        <v>877</v>
      </c>
      <c r="C1909" s="64"/>
      <c r="D1909" s="65"/>
      <c r="E1909" s="66"/>
      <c r="F1909" s="67"/>
      <c r="G1909" s="64"/>
      <c r="H1909" s="68"/>
      <c r="I1909" s="69"/>
      <c r="J1909" s="69"/>
      <c r="K1909" s="32"/>
      <c r="L1909" s="76">
        <v>1909</v>
      </c>
      <c r="M1909" s="76"/>
      <c r="N1909" s="71"/>
      <c r="O1909" s="87" t="s">
        <v>179</v>
      </c>
      <c r="P1909" s="90">
        <v>45122.750659722224</v>
      </c>
      <c r="Q1909" s="87" t="s">
        <v>3699</v>
      </c>
      <c r="R1909" s="87">
        <v>0</v>
      </c>
      <c r="S1909" s="87">
        <v>0</v>
      </c>
      <c r="T1909" s="87">
        <v>0</v>
      </c>
      <c r="U1909" s="87">
        <v>0</v>
      </c>
      <c r="V1909" s="87">
        <v>22</v>
      </c>
      <c r="W1909" s="93" t="s">
        <v>7098</v>
      </c>
      <c r="X1909" s="87"/>
      <c r="Y1909" s="87"/>
      <c r="Z1909" s="87"/>
      <c r="AA1909" s="87" t="s">
        <v>9849</v>
      </c>
      <c r="AB1909" s="87" t="s">
        <v>11447</v>
      </c>
      <c r="AC1909" s="93" t="s">
        <v>11460</v>
      </c>
      <c r="AD1909" s="87" t="s">
        <v>11519</v>
      </c>
      <c r="AE1909" s="92" t="str">
        <f>HYPERLINK("https://twitter.com/joaodabipo/status/1680276276790063104")</f>
        <v>https://twitter.com/joaodabipo/status/1680276276790063104</v>
      </c>
      <c r="AF1909" s="90">
        <v>45122.750659722224</v>
      </c>
      <c r="AG1909" s="99">
        <v>45122</v>
      </c>
      <c r="AH1909" s="93" t="s">
        <v>13279</v>
      </c>
      <c r="AI1909" s="87" t="b">
        <v>0</v>
      </c>
      <c r="AJ1909" s="87"/>
      <c r="AK1909" s="87"/>
      <c r="AL1909" s="87"/>
      <c r="AM1909" s="87"/>
      <c r="AN1909" s="87"/>
      <c r="AO1909" s="87"/>
      <c r="AP1909" s="87"/>
      <c r="AQ1909" s="87" t="s">
        <v>16662</v>
      </c>
      <c r="AR1909" s="87">
        <v>46462</v>
      </c>
      <c r="AS1909" s="87"/>
      <c r="AT1909" s="87"/>
      <c r="AU1909" s="87"/>
      <c r="AV1909" s="92" t="str">
        <f>HYPERLINK("https://pbs.twimg.com/ext_tw_video_thumb/1680276200587968512/pu/img/Yxyh21d47qB7rliM.jpg")</f>
        <v>https://pbs.twimg.com/ext_tw_video_thumb/1680276200587968512/pu/img/Yxyh21d47qB7rliM.jpg</v>
      </c>
      <c r="AW1909" s="93" t="s">
        <v>20137</v>
      </c>
      <c r="AX1909" s="93" t="s">
        <v>20137</v>
      </c>
      <c r="AY1909" s="87"/>
      <c r="AZ1909" s="93" t="s">
        <v>22668</v>
      </c>
      <c r="BA1909" s="93" t="s">
        <v>22668</v>
      </c>
      <c r="BB1909" s="93" t="s">
        <v>22668</v>
      </c>
      <c r="BC1909" s="93" t="s">
        <v>20137</v>
      </c>
      <c r="BD1909" s="93" t="s">
        <v>23172</v>
      </c>
      <c r="BE1909" s="87"/>
      <c r="BF1909" s="87"/>
      <c r="BG1909" s="87"/>
      <c r="BH1909" s="87"/>
      <c r="BI1909" s="87"/>
    </row>
    <row r="1910" spans="1:61" x14ac:dyDescent="0.25">
      <c r="A1910" s="63" t="s">
        <v>877</v>
      </c>
      <c r="B1910" s="63" t="s">
        <v>877</v>
      </c>
      <c r="C1910" s="64"/>
      <c r="D1910" s="65"/>
      <c r="E1910" s="66"/>
      <c r="F1910" s="67"/>
      <c r="G1910" s="64"/>
      <c r="H1910" s="68"/>
      <c r="I1910" s="69"/>
      <c r="J1910" s="69"/>
      <c r="K1910" s="32"/>
      <c r="L1910" s="76">
        <v>1910</v>
      </c>
      <c r="M1910" s="76"/>
      <c r="N1910" s="71"/>
      <c r="O1910" s="87" t="s">
        <v>179</v>
      </c>
      <c r="P1910" s="90">
        <v>45119.834062499998</v>
      </c>
      <c r="Q1910" s="87" t="s">
        <v>3700</v>
      </c>
      <c r="R1910" s="87">
        <v>0</v>
      </c>
      <c r="S1910" s="87">
        <v>1</v>
      </c>
      <c r="T1910" s="87">
        <v>0</v>
      </c>
      <c r="U1910" s="87">
        <v>0</v>
      </c>
      <c r="V1910" s="87">
        <v>29</v>
      </c>
      <c r="W1910" s="93" t="s">
        <v>7098</v>
      </c>
      <c r="X1910" s="87"/>
      <c r="Y1910" s="87"/>
      <c r="Z1910" s="87"/>
      <c r="AA1910" s="87" t="s">
        <v>9850</v>
      </c>
      <c r="AB1910" s="87" t="s">
        <v>11447</v>
      </c>
      <c r="AC1910" s="93" t="s">
        <v>11460</v>
      </c>
      <c r="AD1910" s="87" t="s">
        <v>11519</v>
      </c>
      <c r="AE1910" s="92" t="str">
        <f>HYPERLINK("https://twitter.com/joaodabipo/status/1679219340829138950")</f>
        <v>https://twitter.com/joaodabipo/status/1679219340829138950</v>
      </c>
      <c r="AF1910" s="90">
        <v>45119.834062499998</v>
      </c>
      <c r="AG1910" s="99">
        <v>45119</v>
      </c>
      <c r="AH1910" s="93" t="s">
        <v>13280</v>
      </c>
      <c r="AI1910" s="87" t="b">
        <v>0</v>
      </c>
      <c r="AJ1910" s="87"/>
      <c r="AK1910" s="87"/>
      <c r="AL1910" s="87"/>
      <c r="AM1910" s="87"/>
      <c r="AN1910" s="87"/>
      <c r="AO1910" s="87"/>
      <c r="AP1910" s="87"/>
      <c r="AQ1910" s="87" t="s">
        <v>16663</v>
      </c>
      <c r="AR1910" s="87">
        <v>54730</v>
      </c>
      <c r="AS1910" s="87"/>
      <c r="AT1910" s="87"/>
      <c r="AU1910" s="87"/>
      <c r="AV1910" s="92" t="str">
        <f>HYPERLINK("https://pbs.twimg.com/ext_tw_video_thumb/1679219289281241090/pu/img/Lw6u882VNqomf3Jt.jpg")</f>
        <v>https://pbs.twimg.com/ext_tw_video_thumb/1679219289281241090/pu/img/Lw6u882VNqomf3Jt.jpg</v>
      </c>
      <c r="AW1910" s="93" t="s">
        <v>20138</v>
      </c>
      <c r="AX1910" s="93" t="s">
        <v>20138</v>
      </c>
      <c r="AY1910" s="87"/>
      <c r="AZ1910" s="93" t="s">
        <v>22668</v>
      </c>
      <c r="BA1910" s="93" t="s">
        <v>22668</v>
      </c>
      <c r="BB1910" s="93" t="s">
        <v>22668</v>
      </c>
      <c r="BC1910" s="93" t="s">
        <v>20138</v>
      </c>
      <c r="BD1910" s="93" t="s">
        <v>23172</v>
      </c>
      <c r="BE1910" s="87"/>
      <c r="BF1910" s="87"/>
      <c r="BG1910" s="87"/>
      <c r="BH1910" s="87"/>
      <c r="BI1910" s="87"/>
    </row>
    <row r="1911" spans="1:61" x14ac:dyDescent="0.25">
      <c r="A1911" s="63" t="s">
        <v>877</v>
      </c>
      <c r="B1911" s="63" t="s">
        <v>877</v>
      </c>
      <c r="C1911" s="64"/>
      <c r="D1911" s="65"/>
      <c r="E1911" s="66"/>
      <c r="F1911" s="67"/>
      <c r="G1911" s="64"/>
      <c r="H1911" s="68"/>
      <c r="I1911" s="69"/>
      <c r="J1911" s="69"/>
      <c r="K1911" s="32"/>
      <c r="L1911" s="76">
        <v>1911</v>
      </c>
      <c r="M1911" s="76"/>
      <c r="N1911" s="71"/>
      <c r="O1911" s="87" t="s">
        <v>179</v>
      </c>
      <c r="P1911" s="90">
        <v>45119.750625000001</v>
      </c>
      <c r="Q1911" s="87" t="s">
        <v>3701</v>
      </c>
      <c r="R1911" s="87">
        <v>0</v>
      </c>
      <c r="S1911" s="87">
        <v>1</v>
      </c>
      <c r="T1911" s="87">
        <v>0</v>
      </c>
      <c r="U1911" s="87">
        <v>0</v>
      </c>
      <c r="V1911" s="87">
        <v>5</v>
      </c>
      <c r="W1911" s="93" t="s">
        <v>7098</v>
      </c>
      <c r="X1911" s="87"/>
      <c r="Y1911" s="87"/>
      <c r="Z1911" s="87"/>
      <c r="AA1911" s="87" t="s">
        <v>9851</v>
      </c>
      <c r="AB1911" s="87" t="s">
        <v>11448</v>
      </c>
      <c r="AC1911" s="93" t="s">
        <v>11460</v>
      </c>
      <c r="AD1911" s="87" t="s">
        <v>11519</v>
      </c>
      <c r="AE1911" s="92" t="str">
        <f>HYPERLINK("https://twitter.com/joaodabipo/status/1679189103244632064")</f>
        <v>https://twitter.com/joaodabipo/status/1679189103244632064</v>
      </c>
      <c r="AF1911" s="90">
        <v>45119.750625000001</v>
      </c>
      <c r="AG1911" s="99">
        <v>45119</v>
      </c>
      <c r="AH1911" s="93" t="s">
        <v>13281</v>
      </c>
      <c r="AI1911" s="87" t="b">
        <v>0</v>
      </c>
      <c r="AJ1911" s="87"/>
      <c r="AK1911" s="87"/>
      <c r="AL1911" s="87"/>
      <c r="AM1911" s="87"/>
      <c r="AN1911" s="87"/>
      <c r="AO1911" s="87"/>
      <c r="AP1911" s="87"/>
      <c r="AQ1911" s="87" t="s">
        <v>16664</v>
      </c>
      <c r="AR1911" s="87"/>
      <c r="AS1911" s="87"/>
      <c r="AT1911" s="87"/>
      <c r="AU1911" s="87"/>
      <c r="AV1911" s="92" t="str">
        <f>HYPERLINK("https://pbs.twimg.com/media/F02tlxwWAAM6W--.jpg")</f>
        <v>https://pbs.twimg.com/media/F02tlxwWAAM6W--.jpg</v>
      </c>
      <c r="AW1911" s="93" t="s">
        <v>20139</v>
      </c>
      <c r="AX1911" s="93" t="s">
        <v>20139</v>
      </c>
      <c r="AY1911" s="87"/>
      <c r="AZ1911" s="93" t="s">
        <v>22668</v>
      </c>
      <c r="BA1911" s="93" t="s">
        <v>22668</v>
      </c>
      <c r="BB1911" s="93" t="s">
        <v>22668</v>
      </c>
      <c r="BC1911" s="93" t="s">
        <v>20139</v>
      </c>
      <c r="BD1911" s="93" t="s">
        <v>23172</v>
      </c>
      <c r="BE1911" s="87"/>
      <c r="BF1911" s="87"/>
      <c r="BG1911" s="87"/>
      <c r="BH1911" s="87"/>
      <c r="BI1911" s="87"/>
    </row>
    <row r="1912" spans="1:61" x14ac:dyDescent="0.25">
      <c r="A1912" s="63" t="s">
        <v>877</v>
      </c>
      <c r="B1912" s="63" t="s">
        <v>877</v>
      </c>
      <c r="C1912" s="64"/>
      <c r="D1912" s="65"/>
      <c r="E1912" s="66"/>
      <c r="F1912" s="67"/>
      <c r="G1912" s="64"/>
      <c r="H1912" s="68"/>
      <c r="I1912" s="69"/>
      <c r="J1912" s="69"/>
      <c r="K1912" s="32"/>
      <c r="L1912" s="76">
        <v>1912</v>
      </c>
      <c r="M1912" s="76"/>
      <c r="N1912" s="71"/>
      <c r="O1912" s="87" t="s">
        <v>179</v>
      </c>
      <c r="P1912" s="90">
        <v>45112.834131944444</v>
      </c>
      <c r="Q1912" s="87" t="s">
        <v>3702</v>
      </c>
      <c r="R1912" s="87">
        <v>0</v>
      </c>
      <c r="S1912" s="87">
        <v>0</v>
      </c>
      <c r="T1912" s="87">
        <v>0</v>
      </c>
      <c r="U1912" s="87">
        <v>0</v>
      </c>
      <c r="V1912" s="87">
        <v>29</v>
      </c>
      <c r="W1912" s="93" t="s">
        <v>7098</v>
      </c>
      <c r="X1912" s="87"/>
      <c r="Y1912" s="87"/>
      <c r="Z1912" s="87"/>
      <c r="AA1912" s="87" t="s">
        <v>9852</v>
      </c>
      <c r="AB1912" s="87" t="s">
        <v>11447</v>
      </c>
      <c r="AC1912" s="93" t="s">
        <v>11460</v>
      </c>
      <c r="AD1912" s="87" t="s">
        <v>11519</v>
      </c>
      <c r="AE1912" s="92" t="str">
        <f>HYPERLINK("https://twitter.com/joaodabipo/status/1676682648675143687")</f>
        <v>https://twitter.com/joaodabipo/status/1676682648675143687</v>
      </c>
      <c r="AF1912" s="90">
        <v>45112.834131944444</v>
      </c>
      <c r="AG1912" s="99">
        <v>45112</v>
      </c>
      <c r="AH1912" s="93" t="s">
        <v>13282</v>
      </c>
      <c r="AI1912" s="87" t="b">
        <v>0</v>
      </c>
      <c r="AJ1912" s="87"/>
      <c r="AK1912" s="87"/>
      <c r="AL1912" s="87"/>
      <c r="AM1912" s="87"/>
      <c r="AN1912" s="87"/>
      <c r="AO1912" s="87"/>
      <c r="AP1912" s="87"/>
      <c r="AQ1912" s="87" t="s">
        <v>16665</v>
      </c>
      <c r="AR1912" s="87">
        <v>59302</v>
      </c>
      <c r="AS1912" s="87"/>
      <c r="AT1912" s="87"/>
      <c r="AU1912" s="87"/>
      <c r="AV1912" s="92" t="str">
        <f>HYPERLINK("https://pbs.twimg.com/ext_tw_video_thumb/1676682567565680648/pu/img/Cyi1KG5V0nSJjmlo.jpg")</f>
        <v>https://pbs.twimg.com/ext_tw_video_thumb/1676682567565680648/pu/img/Cyi1KG5V0nSJjmlo.jpg</v>
      </c>
      <c r="AW1912" s="93" t="s">
        <v>20140</v>
      </c>
      <c r="AX1912" s="93" t="s">
        <v>20140</v>
      </c>
      <c r="AY1912" s="87"/>
      <c r="AZ1912" s="93" t="s">
        <v>22668</v>
      </c>
      <c r="BA1912" s="93" t="s">
        <v>22668</v>
      </c>
      <c r="BB1912" s="93" t="s">
        <v>22668</v>
      </c>
      <c r="BC1912" s="93" t="s">
        <v>20140</v>
      </c>
      <c r="BD1912" s="93" t="s">
        <v>23172</v>
      </c>
      <c r="BE1912" s="87"/>
      <c r="BF1912" s="87"/>
      <c r="BG1912" s="87"/>
      <c r="BH1912" s="87"/>
      <c r="BI1912" s="87"/>
    </row>
    <row r="1913" spans="1:61" x14ac:dyDescent="0.25">
      <c r="A1913" s="63" t="s">
        <v>877</v>
      </c>
      <c r="B1913" s="63" t="s">
        <v>877</v>
      </c>
      <c r="C1913" s="64"/>
      <c r="D1913" s="65"/>
      <c r="E1913" s="66"/>
      <c r="F1913" s="67"/>
      <c r="G1913" s="64"/>
      <c r="H1913" s="68"/>
      <c r="I1913" s="69"/>
      <c r="J1913" s="69"/>
      <c r="K1913" s="32"/>
      <c r="L1913" s="76">
        <v>1913</v>
      </c>
      <c r="M1913" s="76"/>
      <c r="N1913" s="71"/>
      <c r="O1913" s="87" t="s">
        <v>179</v>
      </c>
      <c r="P1913" s="90">
        <v>45112.763981481483</v>
      </c>
      <c r="Q1913" s="87" t="s">
        <v>3703</v>
      </c>
      <c r="R1913" s="87">
        <v>0</v>
      </c>
      <c r="S1913" s="87">
        <v>0</v>
      </c>
      <c r="T1913" s="87">
        <v>0</v>
      </c>
      <c r="U1913" s="87">
        <v>0</v>
      </c>
      <c r="V1913" s="87">
        <v>7</v>
      </c>
      <c r="W1913" s="93" t="s">
        <v>7098</v>
      </c>
      <c r="X1913" s="87"/>
      <c r="Y1913" s="87"/>
      <c r="Z1913" s="87"/>
      <c r="AA1913" s="87" t="s">
        <v>9853</v>
      </c>
      <c r="AB1913" s="87" t="s">
        <v>11450</v>
      </c>
      <c r="AC1913" s="93" t="s">
        <v>11460</v>
      </c>
      <c r="AD1913" s="87" t="s">
        <v>11519</v>
      </c>
      <c r="AE1913" s="92" t="str">
        <f>HYPERLINK("https://twitter.com/joaodabipo/status/1676657229540237334")</f>
        <v>https://twitter.com/joaodabipo/status/1676657229540237334</v>
      </c>
      <c r="AF1913" s="90">
        <v>45112.763981481483</v>
      </c>
      <c r="AG1913" s="99">
        <v>45112</v>
      </c>
      <c r="AH1913" s="93" t="s">
        <v>13283</v>
      </c>
      <c r="AI1913" s="87" t="b">
        <v>0</v>
      </c>
      <c r="AJ1913" s="87"/>
      <c r="AK1913" s="87"/>
      <c r="AL1913" s="87"/>
      <c r="AM1913" s="87"/>
      <c r="AN1913" s="87"/>
      <c r="AO1913" s="87"/>
      <c r="AP1913" s="87"/>
      <c r="AQ1913" s="87" t="s">
        <v>16666</v>
      </c>
      <c r="AR1913" s="87"/>
      <c r="AS1913" s="87"/>
      <c r="AT1913" s="87"/>
      <c r="AU1913" s="87"/>
      <c r="AV1913" s="92" t="str">
        <f>HYPERLINK("https://pbs.twimg.com/media/F0Su3S8WIAYuGSo.jpg")</f>
        <v>https://pbs.twimg.com/media/F0Su3S8WIAYuGSo.jpg</v>
      </c>
      <c r="AW1913" s="93" t="s">
        <v>20141</v>
      </c>
      <c r="AX1913" s="93" t="s">
        <v>20141</v>
      </c>
      <c r="AY1913" s="87"/>
      <c r="AZ1913" s="93" t="s">
        <v>22668</v>
      </c>
      <c r="BA1913" s="93" t="s">
        <v>22668</v>
      </c>
      <c r="BB1913" s="93" t="s">
        <v>22668</v>
      </c>
      <c r="BC1913" s="93" t="s">
        <v>20141</v>
      </c>
      <c r="BD1913" s="93" t="s">
        <v>23172</v>
      </c>
      <c r="BE1913" s="87"/>
      <c r="BF1913" s="87"/>
      <c r="BG1913" s="87"/>
      <c r="BH1913" s="87"/>
      <c r="BI1913" s="87"/>
    </row>
    <row r="1914" spans="1:61" x14ac:dyDescent="0.25">
      <c r="A1914" s="63" t="s">
        <v>877</v>
      </c>
      <c r="B1914" s="63" t="s">
        <v>877</v>
      </c>
      <c r="C1914" s="64"/>
      <c r="D1914" s="65"/>
      <c r="E1914" s="66"/>
      <c r="F1914" s="67"/>
      <c r="G1914" s="64"/>
      <c r="H1914" s="68"/>
      <c r="I1914" s="69"/>
      <c r="J1914" s="69"/>
      <c r="K1914" s="32"/>
      <c r="L1914" s="76">
        <v>1914</v>
      </c>
      <c r="M1914" s="76"/>
      <c r="N1914" s="71"/>
      <c r="O1914" s="87" t="s">
        <v>179</v>
      </c>
      <c r="P1914" s="90">
        <v>45111.833958333336</v>
      </c>
      <c r="Q1914" s="87" t="s">
        <v>3704</v>
      </c>
      <c r="R1914" s="87">
        <v>0</v>
      </c>
      <c r="S1914" s="87">
        <v>0</v>
      </c>
      <c r="T1914" s="87">
        <v>0</v>
      </c>
      <c r="U1914" s="87">
        <v>0</v>
      </c>
      <c r="V1914" s="87">
        <v>27</v>
      </c>
      <c r="W1914" s="93" t="s">
        <v>7098</v>
      </c>
      <c r="X1914" s="87"/>
      <c r="Y1914" s="87"/>
      <c r="Z1914" s="87"/>
      <c r="AA1914" s="87" t="s">
        <v>9854</v>
      </c>
      <c r="AB1914" s="87" t="s">
        <v>11447</v>
      </c>
      <c r="AC1914" s="93" t="s">
        <v>11460</v>
      </c>
      <c r="AD1914" s="87" t="s">
        <v>11519</v>
      </c>
      <c r="AE1914" s="92" t="str">
        <f>HYPERLINK("https://twitter.com/joaodabipo/status/1676320197668372482")</f>
        <v>https://twitter.com/joaodabipo/status/1676320197668372482</v>
      </c>
      <c r="AF1914" s="90">
        <v>45111.833958333336</v>
      </c>
      <c r="AG1914" s="99">
        <v>45111</v>
      </c>
      <c r="AH1914" s="93" t="s">
        <v>11605</v>
      </c>
      <c r="AI1914" s="87" t="b">
        <v>0</v>
      </c>
      <c r="AJ1914" s="87"/>
      <c r="AK1914" s="87"/>
      <c r="AL1914" s="87"/>
      <c r="AM1914" s="87"/>
      <c r="AN1914" s="87"/>
      <c r="AO1914" s="87"/>
      <c r="AP1914" s="87"/>
      <c r="AQ1914" s="87" t="s">
        <v>16667</v>
      </c>
      <c r="AR1914" s="87">
        <v>57796</v>
      </c>
      <c r="AS1914" s="87"/>
      <c r="AT1914" s="87"/>
      <c r="AU1914" s="87"/>
      <c r="AV1914" s="92" t="str">
        <f>HYPERLINK("https://pbs.twimg.com/ext_tw_video_thumb/1676320145474564096/pu/img/3nJcSv2SxAiF1YoF.jpg")</f>
        <v>https://pbs.twimg.com/ext_tw_video_thumb/1676320145474564096/pu/img/3nJcSv2SxAiF1YoF.jpg</v>
      </c>
      <c r="AW1914" s="93" t="s">
        <v>20142</v>
      </c>
      <c r="AX1914" s="93" t="s">
        <v>20142</v>
      </c>
      <c r="AY1914" s="87"/>
      <c r="AZ1914" s="93" t="s">
        <v>22668</v>
      </c>
      <c r="BA1914" s="93" t="s">
        <v>22668</v>
      </c>
      <c r="BB1914" s="93" t="s">
        <v>22668</v>
      </c>
      <c r="BC1914" s="93" t="s">
        <v>20142</v>
      </c>
      <c r="BD1914" s="93" t="s">
        <v>23172</v>
      </c>
      <c r="BE1914" s="87"/>
      <c r="BF1914" s="87"/>
      <c r="BG1914" s="87"/>
      <c r="BH1914" s="87"/>
      <c r="BI1914" s="87"/>
    </row>
    <row r="1915" spans="1:61" x14ac:dyDescent="0.25">
      <c r="A1915" s="63" t="s">
        <v>877</v>
      </c>
      <c r="B1915" s="63" t="s">
        <v>877</v>
      </c>
      <c r="C1915" s="64"/>
      <c r="D1915" s="65"/>
      <c r="E1915" s="66"/>
      <c r="F1915" s="67"/>
      <c r="G1915" s="64"/>
      <c r="H1915" s="68"/>
      <c r="I1915" s="69"/>
      <c r="J1915" s="69"/>
      <c r="K1915" s="32"/>
      <c r="L1915" s="76">
        <v>1915</v>
      </c>
      <c r="M1915" s="76"/>
      <c r="N1915" s="71"/>
      <c r="O1915" s="87" t="s">
        <v>179</v>
      </c>
      <c r="P1915" s="90">
        <v>45121.792453703703</v>
      </c>
      <c r="Q1915" s="87" t="s">
        <v>3705</v>
      </c>
      <c r="R1915" s="87">
        <v>0</v>
      </c>
      <c r="S1915" s="87">
        <v>0</v>
      </c>
      <c r="T1915" s="87">
        <v>0</v>
      </c>
      <c r="U1915" s="87">
        <v>0</v>
      </c>
      <c r="V1915" s="87">
        <v>15</v>
      </c>
      <c r="W1915" s="93" t="s">
        <v>7098</v>
      </c>
      <c r="X1915" s="87"/>
      <c r="Y1915" s="87"/>
      <c r="Z1915" s="87"/>
      <c r="AA1915" s="87" t="s">
        <v>9855</v>
      </c>
      <c r="AB1915" s="87" t="s">
        <v>11447</v>
      </c>
      <c r="AC1915" s="93" t="s">
        <v>11460</v>
      </c>
      <c r="AD1915" s="87" t="s">
        <v>11519</v>
      </c>
      <c r="AE1915" s="92" t="str">
        <f>HYPERLINK("https://twitter.com/joaodabipo/status/1679929038230663168")</f>
        <v>https://twitter.com/joaodabipo/status/1679929038230663168</v>
      </c>
      <c r="AF1915" s="90">
        <v>45121.792453703703</v>
      </c>
      <c r="AG1915" s="99">
        <v>45121</v>
      </c>
      <c r="AH1915" s="93" t="s">
        <v>13284</v>
      </c>
      <c r="AI1915" s="87" t="b">
        <v>0</v>
      </c>
      <c r="AJ1915" s="87"/>
      <c r="AK1915" s="87"/>
      <c r="AL1915" s="87"/>
      <c r="AM1915" s="87"/>
      <c r="AN1915" s="87"/>
      <c r="AO1915" s="87"/>
      <c r="AP1915" s="87"/>
      <c r="AQ1915" s="87" t="s">
        <v>16668</v>
      </c>
      <c r="AR1915" s="87">
        <v>58420</v>
      </c>
      <c r="AS1915" s="87"/>
      <c r="AT1915" s="87"/>
      <c r="AU1915" s="87"/>
      <c r="AV1915" s="92" t="str">
        <f>HYPERLINK("https://pbs.twimg.com/ext_tw_video_thumb/1679928938741547027/pu/img/aNPmO7LwkejDkAHz.jpg")</f>
        <v>https://pbs.twimg.com/ext_tw_video_thumb/1679928938741547027/pu/img/aNPmO7LwkejDkAHz.jpg</v>
      </c>
      <c r="AW1915" s="93" t="s">
        <v>20143</v>
      </c>
      <c r="AX1915" s="93" t="s">
        <v>20143</v>
      </c>
      <c r="AY1915" s="87"/>
      <c r="AZ1915" s="93" t="s">
        <v>22668</v>
      </c>
      <c r="BA1915" s="93" t="s">
        <v>22668</v>
      </c>
      <c r="BB1915" s="93" t="s">
        <v>22668</v>
      </c>
      <c r="BC1915" s="93" t="s">
        <v>20143</v>
      </c>
      <c r="BD1915" s="93" t="s">
        <v>23172</v>
      </c>
      <c r="BE1915" s="87"/>
      <c r="BF1915" s="87"/>
      <c r="BG1915" s="87"/>
      <c r="BH1915" s="87"/>
      <c r="BI1915" s="87"/>
    </row>
    <row r="1916" spans="1:61" x14ac:dyDescent="0.25">
      <c r="A1916" s="63" t="s">
        <v>877</v>
      </c>
      <c r="B1916" s="63" t="s">
        <v>877</v>
      </c>
      <c r="C1916" s="64"/>
      <c r="D1916" s="65"/>
      <c r="E1916" s="66"/>
      <c r="F1916" s="67"/>
      <c r="G1916" s="64"/>
      <c r="H1916" s="68"/>
      <c r="I1916" s="69"/>
      <c r="J1916" s="69"/>
      <c r="K1916" s="32"/>
      <c r="L1916" s="76">
        <v>1916</v>
      </c>
      <c r="M1916" s="76"/>
      <c r="N1916" s="71"/>
      <c r="O1916" s="87" t="s">
        <v>179</v>
      </c>
      <c r="P1916" s="90">
        <v>45121.70884259259</v>
      </c>
      <c r="Q1916" s="87" t="s">
        <v>3706</v>
      </c>
      <c r="R1916" s="87">
        <v>0</v>
      </c>
      <c r="S1916" s="87">
        <v>0</v>
      </c>
      <c r="T1916" s="87">
        <v>0</v>
      </c>
      <c r="U1916" s="87">
        <v>0</v>
      </c>
      <c r="V1916" s="87">
        <v>39</v>
      </c>
      <c r="W1916" s="93" t="s">
        <v>7099</v>
      </c>
      <c r="X1916" s="87"/>
      <c r="Y1916" s="87"/>
      <c r="Z1916" s="87"/>
      <c r="AA1916" s="87" t="s">
        <v>9856</v>
      </c>
      <c r="AB1916" s="87" t="s">
        <v>11448</v>
      </c>
      <c r="AC1916" s="93" t="s">
        <v>11460</v>
      </c>
      <c r="AD1916" s="87" t="s">
        <v>11519</v>
      </c>
      <c r="AE1916" s="92" t="str">
        <f>HYPERLINK("https://twitter.com/joaodabipo/status/1679898734837084164")</f>
        <v>https://twitter.com/joaodabipo/status/1679898734837084164</v>
      </c>
      <c r="AF1916" s="90">
        <v>45121.70884259259</v>
      </c>
      <c r="AG1916" s="99">
        <v>45121</v>
      </c>
      <c r="AH1916" s="93" t="s">
        <v>13285</v>
      </c>
      <c r="AI1916" s="87" t="b">
        <v>0</v>
      </c>
      <c r="AJ1916" s="87"/>
      <c r="AK1916" s="87"/>
      <c r="AL1916" s="87"/>
      <c r="AM1916" s="87"/>
      <c r="AN1916" s="87"/>
      <c r="AO1916" s="87"/>
      <c r="AP1916" s="87"/>
      <c r="AQ1916" s="87" t="s">
        <v>16669</v>
      </c>
      <c r="AR1916" s="87"/>
      <c r="AS1916" s="87"/>
      <c r="AT1916" s="87"/>
      <c r="AU1916" s="87"/>
      <c r="AV1916" s="92" t="str">
        <f>HYPERLINK("https://pbs.twimg.com/media/F1Ay_xUXsCMXXYo.jpg")</f>
        <v>https://pbs.twimg.com/media/F1Ay_xUXsCMXXYo.jpg</v>
      </c>
      <c r="AW1916" s="93" t="s">
        <v>20144</v>
      </c>
      <c r="AX1916" s="93" t="s">
        <v>20144</v>
      </c>
      <c r="AY1916" s="87"/>
      <c r="AZ1916" s="93" t="s">
        <v>22668</v>
      </c>
      <c r="BA1916" s="93" t="s">
        <v>22668</v>
      </c>
      <c r="BB1916" s="93" t="s">
        <v>22668</v>
      </c>
      <c r="BC1916" s="93" t="s">
        <v>20144</v>
      </c>
      <c r="BD1916" s="93" t="s">
        <v>23172</v>
      </c>
      <c r="BE1916" s="87"/>
      <c r="BF1916" s="87"/>
      <c r="BG1916" s="87"/>
      <c r="BH1916" s="87"/>
      <c r="BI1916" s="87"/>
    </row>
    <row r="1917" spans="1:61" x14ac:dyDescent="0.25">
      <c r="A1917" s="63" t="s">
        <v>877</v>
      </c>
      <c r="B1917" s="63" t="s">
        <v>877</v>
      </c>
      <c r="C1917" s="64"/>
      <c r="D1917" s="65"/>
      <c r="E1917" s="66"/>
      <c r="F1917" s="67"/>
      <c r="G1917" s="64"/>
      <c r="H1917" s="68"/>
      <c r="I1917" s="69"/>
      <c r="J1917" s="69"/>
      <c r="K1917" s="32"/>
      <c r="L1917" s="76">
        <v>1917</v>
      </c>
      <c r="M1917" s="76"/>
      <c r="N1917" s="71"/>
      <c r="O1917" s="87" t="s">
        <v>179</v>
      </c>
      <c r="P1917" s="90">
        <v>45120.792280092595</v>
      </c>
      <c r="Q1917" s="87" t="s">
        <v>3707</v>
      </c>
      <c r="R1917" s="87">
        <v>0</v>
      </c>
      <c r="S1917" s="87">
        <v>2</v>
      </c>
      <c r="T1917" s="87">
        <v>0</v>
      </c>
      <c r="U1917" s="87">
        <v>0</v>
      </c>
      <c r="V1917" s="87">
        <v>37</v>
      </c>
      <c r="W1917" s="93" t="s">
        <v>7098</v>
      </c>
      <c r="X1917" s="87"/>
      <c r="Y1917" s="87"/>
      <c r="Z1917" s="87"/>
      <c r="AA1917" s="87" t="s">
        <v>9857</v>
      </c>
      <c r="AB1917" s="87" t="s">
        <v>11447</v>
      </c>
      <c r="AC1917" s="93" t="s">
        <v>11460</v>
      </c>
      <c r="AD1917" s="87" t="s">
        <v>11519</v>
      </c>
      <c r="AE1917" s="92" t="str">
        <f>HYPERLINK("https://twitter.com/joaodabipo/status/1679566587643465728")</f>
        <v>https://twitter.com/joaodabipo/status/1679566587643465728</v>
      </c>
      <c r="AF1917" s="90">
        <v>45120.792280092595</v>
      </c>
      <c r="AG1917" s="99">
        <v>45120</v>
      </c>
      <c r="AH1917" s="93" t="s">
        <v>13286</v>
      </c>
      <c r="AI1917" s="87" t="b">
        <v>0</v>
      </c>
      <c r="AJ1917" s="87"/>
      <c r="AK1917" s="87"/>
      <c r="AL1917" s="87"/>
      <c r="AM1917" s="87"/>
      <c r="AN1917" s="87"/>
      <c r="AO1917" s="87"/>
      <c r="AP1917" s="87"/>
      <c r="AQ1917" s="87" t="s">
        <v>16670</v>
      </c>
      <c r="AR1917" s="87">
        <v>59839</v>
      </c>
      <c r="AS1917" s="87"/>
      <c r="AT1917" s="87"/>
      <c r="AU1917" s="87"/>
      <c r="AV1917" s="92" t="str">
        <f>HYPERLINK("https://pbs.twimg.com/ext_tw_video_thumb/1679566534526529536/pu/img/qnTDg_d4_FObmkGk.jpg")</f>
        <v>https://pbs.twimg.com/ext_tw_video_thumb/1679566534526529536/pu/img/qnTDg_d4_FObmkGk.jpg</v>
      </c>
      <c r="AW1917" s="93" t="s">
        <v>20145</v>
      </c>
      <c r="AX1917" s="93" t="s">
        <v>20145</v>
      </c>
      <c r="AY1917" s="87"/>
      <c r="AZ1917" s="93" t="s">
        <v>22668</v>
      </c>
      <c r="BA1917" s="93" t="s">
        <v>22668</v>
      </c>
      <c r="BB1917" s="93" t="s">
        <v>22668</v>
      </c>
      <c r="BC1917" s="93" t="s">
        <v>20145</v>
      </c>
      <c r="BD1917" s="93" t="s">
        <v>23172</v>
      </c>
      <c r="BE1917" s="87"/>
      <c r="BF1917" s="87"/>
      <c r="BG1917" s="87"/>
      <c r="BH1917" s="87"/>
      <c r="BI1917" s="87"/>
    </row>
    <row r="1918" spans="1:61" x14ac:dyDescent="0.25">
      <c r="A1918" s="63" t="s">
        <v>877</v>
      </c>
      <c r="B1918" s="63" t="s">
        <v>877</v>
      </c>
      <c r="C1918" s="64"/>
      <c r="D1918" s="65"/>
      <c r="E1918" s="66"/>
      <c r="F1918" s="67"/>
      <c r="G1918" s="64"/>
      <c r="H1918" s="68"/>
      <c r="I1918" s="69"/>
      <c r="J1918" s="69"/>
      <c r="K1918" s="32"/>
      <c r="L1918" s="76">
        <v>1918</v>
      </c>
      <c r="M1918" s="76"/>
      <c r="N1918" s="71"/>
      <c r="O1918" s="87" t="s">
        <v>179</v>
      </c>
      <c r="P1918" s="90">
        <v>45132.709062499998</v>
      </c>
      <c r="Q1918" s="87" t="s">
        <v>3708</v>
      </c>
      <c r="R1918" s="87">
        <v>0</v>
      </c>
      <c r="S1918" s="87">
        <v>0</v>
      </c>
      <c r="T1918" s="87">
        <v>0</v>
      </c>
      <c r="U1918" s="87">
        <v>0</v>
      </c>
      <c r="V1918" s="87">
        <v>9</v>
      </c>
      <c r="W1918" s="93" t="s">
        <v>7098</v>
      </c>
      <c r="X1918" s="87"/>
      <c r="Y1918" s="87"/>
      <c r="Z1918" s="87"/>
      <c r="AA1918" s="87" t="s">
        <v>9858</v>
      </c>
      <c r="AB1918" s="87" t="s">
        <v>11448</v>
      </c>
      <c r="AC1918" s="93" t="s">
        <v>11460</v>
      </c>
      <c r="AD1918" s="87" t="s">
        <v>11519</v>
      </c>
      <c r="AE1918" s="92" t="str">
        <f>HYPERLINK("https://twitter.com/joaodabipo/status/1683885084447764482")</f>
        <v>https://twitter.com/joaodabipo/status/1683885084447764482</v>
      </c>
      <c r="AF1918" s="90">
        <v>45132.709062499998</v>
      </c>
      <c r="AG1918" s="99">
        <v>45132</v>
      </c>
      <c r="AH1918" s="93" t="s">
        <v>13287</v>
      </c>
      <c r="AI1918" s="87" t="b">
        <v>0</v>
      </c>
      <c r="AJ1918" s="87"/>
      <c r="AK1918" s="87"/>
      <c r="AL1918" s="87"/>
      <c r="AM1918" s="87"/>
      <c r="AN1918" s="87"/>
      <c r="AO1918" s="87"/>
      <c r="AP1918" s="87"/>
      <c r="AQ1918" s="87" t="s">
        <v>16671</v>
      </c>
      <c r="AR1918" s="87"/>
      <c r="AS1918" s="87"/>
      <c r="AT1918" s="87"/>
      <c r="AU1918" s="87"/>
      <c r="AV1918" s="92" t="str">
        <f>HYPERLINK("https://pbs.twimg.com/media/F15cj4EXsAgQtAh.jpg")</f>
        <v>https://pbs.twimg.com/media/F15cj4EXsAgQtAh.jpg</v>
      </c>
      <c r="AW1918" s="93" t="s">
        <v>20146</v>
      </c>
      <c r="AX1918" s="93" t="s">
        <v>20146</v>
      </c>
      <c r="AY1918" s="87"/>
      <c r="AZ1918" s="93" t="s">
        <v>22668</v>
      </c>
      <c r="BA1918" s="93" t="s">
        <v>22668</v>
      </c>
      <c r="BB1918" s="93" t="s">
        <v>22668</v>
      </c>
      <c r="BC1918" s="93" t="s">
        <v>20146</v>
      </c>
      <c r="BD1918" s="93" t="s">
        <v>23172</v>
      </c>
      <c r="BE1918" s="87"/>
      <c r="BF1918" s="87"/>
      <c r="BG1918" s="87"/>
      <c r="BH1918" s="87"/>
      <c r="BI1918" s="87"/>
    </row>
    <row r="1919" spans="1:61" x14ac:dyDescent="0.25">
      <c r="A1919" s="63" t="s">
        <v>877</v>
      </c>
      <c r="B1919" s="63" t="s">
        <v>877</v>
      </c>
      <c r="C1919" s="64"/>
      <c r="D1919" s="65"/>
      <c r="E1919" s="66"/>
      <c r="F1919" s="67"/>
      <c r="G1919" s="64"/>
      <c r="H1919" s="68"/>
      <c r="I1919" s="69"/>
      <c r="J1919" s="69"/>
      <c r="K1919" s="32"/>
      <c r="L1919" s="76">
        <v>1919</v>
      </c>
      <c r="M1919" s="76"/>
      <c r="N1919" s="71"/>
      <c r="O1919" s="87" t="s">
        <v>179</v>
      </c>
      <c r="P1919" s="90">
        <v>45117.792453703703</v>
      </c>
      <c r="Q1919" s="87" t="s">
        <v>3709</v>
      </c>
      <c r="R1919" s="87">
        <v>0</v>
      </c>
      <c r="S1919" s="87">
        <v>0</v>
      </c>
      <c r="T1919" s="87">
        <v>0</v>
      </c>
      <c r="U1919" s="87">
        <v>0</v>
      </c>
      <c r="V1919" s="87">
        <v>34</v>
      </c>
      <c r="W1919" s="93" t="s">
        <v>7098</v>
      </c>
      <c r="X1919" s="87"/>
      <c r="Y1919" s="87"/>
      <c r="Z1919" s="87"/>
      <c r="AA1919" s="87" t="s">
        <v>9859</v>
      </c>
      <c r="AB1919" s="87" t="s">
        <v>11447</v>
      </c>
      <c r="AC1919" s="93" t="s">
        <v>11460</v>
      </c>
      <c r="AD1919" s="87" t="s">
        <v>11519</v>
      </c>
      <c r="AE1919" s="92" t="str">
        <f>HYPERLINK("https://twitter.com/joaodabipo/status/1678479484154966030")</f>
        <v>https://twitter.com/joaodabipo/status/1678479484154966030</v>
      </c>
      <c r="AF1919" s="90">
        <v>45117.792453703703</v>
      </c>
      <c r="AG1919" s="99">
        <v>45117</v>
      </c>
      <c r="AH1919" s="93" t="s">
        <v>13284</v>
      </c>
      <c r="AI1919" s="87" t="b">
        <v>0</v>
      </c>
      <c r="AJ1919" s="87"/>
      <c r="AK1919" s="87"/>
      <c r="AL1919" s="87"/>
      <c r="AM1919" s="87"/>
      <c r="AN1919" s="87"/>
      <c r="AO1919" s="87"/>
      <c r="AP1919" s="87"/>
      <c r="AQ1919" s="87" t="s">
        <v>16672</v>
      </c>
      <c r="AR1919" s="87">
        <v>45675</v>
      </c>
      <c r="AS1919" s="87"/>
      <c r="AT1919" s="87"/>
      <c r="AU1919" s="87"/>
      <c r="AV1919" s="92" t="str">
        <f>HYPERLINK("https://pbs.twimg.com/ext_tw_video_thumb/1678479434905530369/pu/img/K-7n5KBLq-86Z3gZ.jpg")</f>
        <v>https://pbs.twimg.com/ext_tw_video_thumb/1678479434905530369/pu/img/K-7n5KBLq-86Z3gZ.jpg</v>
      </c>
      <c r="AW1919" s="93" t="s">
        <v>20147</v>
      </c>
      <c r="AX1919" s="93" t="s">
        <v>20147</v>
      </c>
      <c r="AY1919" s="87"/>
      <c r="AZ1919" s="93" t="s">
        <v>22668</v>
      </c>
      <c r="BA1919" s="93" t="s">
        <v>22668</v>
      </c>
      <c r="BB1919" s="93" t="s">
        <v>22668</v>
      </c>
      <c r="BC1919" s="93" t="s">
        <v>20147</v>
      </c>
      <c r="BD1919" s="93" t="s">
        <v>23172</v>
      </c>
      <c r="BE1919" s="87"/>
      <c r="BF1919" s="87"/>
      <c r="BG1919" s="87"/>
      <c r="BH1919" s="87"/>
      <c r="BI1919" s="87"/>
    </row>
    <row r="1920" spans="1:61" x14ac:dyDescent="0.25">
      <c r="A1920" s="63" t="s">
        <v>877</v>
      </c>
      <c r="B1920" s="63" t="s">
        <v>877</v>
      </c>
      <c r="C1920" s="64"/>
      <c r="D1920" s="65"/>
      <c r="E1920" s="66"/>
      <c r="F1920" s="67"/>
      <c r="G1920" s="64"/>
      <c r="H1920" s="68"/>
      <c r="I1920" s="69"/>
      <c r="J1920" s="69"/>
      <c r="K1920" s="32"/>
      <c r="L1920" s="76">
        <v>1920</v>
      </c>
      <c r="M1920" s="76"/>
      <c r="N1920" s="71"/>
      <c r="O1920" s="87" t="s">
        <v>179</v>
      </c>
      <c r="P1920" s="90">
        <v>45135.70894675926</v>
      </c>
      <c r="Q1920" s="87" t="s">
        <v>3710</v>
      </c>
      <c r="R1920" s="87">
        <v>0</v>
      </c>
      <c r="S1920" s="87">
        <v>0</v>
      </c>
      <c r="T1920" s="87">
        <v>0</v>
      </c>
      <c r="U1920" s="87">
        <v>0</v>
      </c>
      <c r="V1920" s="87">
        <v>25</v>
      </c>
      <c r="W1920" s="93" t="s">
        <v>7100</v>
      </c>
      <c r="X1920" s="87"/>
      <c r="Y1920" s="87"/>
      <c r="Z1920" s="87"/>
      <c r="AA1920" s="87" t="s">
        <v>9860</v>
      </c>
      <c r="AB1920" s="87" t="s">
        <v>11448</v>
      </c>
      <c r="AC1920" s="93" t="s">
        <v>11460</v>
      </c>
      <c r="AD1920" s="87" t="s">
        <v>11519</v>
      </c>
      <c r="AE1920" s="92" t="str">
        <f>HYPERLINK("https://twitter.com/joaodabipo/status/1684972204285468672")</f>
        <v>https://twitter.com/joaodabipo/status/1684972204285468672</v>
      </c>
      <c r="AF1920" s="90">
        <v>45135.70894675926</v>
      </c>
      <c r="AG1920" s="99">
        <v>45135</v>
      </c>
      <c r="AH1920" s="93" t="s">
        <v>13288</v>
      </c>
      <c r="AI1920" s="87" t="b">
        <v>0</v>
      </c>
      <c r="AJ1920" s="87"/>
      <c r="AK1920" s="87"/>
      <c r="AL1920" s="87"/>
      <c r="AM1920" s="87"/>
      <c r="AN1920" s="87"/>
      <c r="AO1920" s="87"/>
      <c r="AP1920" s="87"/>
      <c r="AQ1920" s="87" t="s">
        <v>16673</v>
      </c>
      <c r="AR1920" s="87"/>
      <c r="AS1920" s="87"/>
      <c r="AT1920" s="87"/>
      <c r="AU1920" s="87"/>
      <c r="AV1920" s="92" t="str">
        <f>HYPERLINK("https://pbs.twimg.com/media/F2I5SjYXoAog2xV.jpg")</f>
        <v>https://pbs.twimg.com/media/F2I5SjYXoAog2xV.jpg</v>
      </c>
      <c r="AW1920" s="93" t="s">
        <v>20148</v>
      </c>
      <c r="AX1920" s="93" t="s">
        <v>20148</v>
      </c>
      <c r="AY1920" s="87"/>
      <c r="AZ1920" s="93" t="s">
        <v>22668</v>
      </c>
      <c r="BA1920" s="93" t="s">
        <v>22668</v>
      </c>
      <c r="BB1920" s="93" t="s">
        <v>22668</v>
      </c>
      <c r="BC1920" s="93" t="s">
        <v>20148</v>
      </c>
      <c r="BD1920" s="93" t="s">
        <v>23172</v>
      </c>
      <c r="BE1920" s="87"/>
      <c r="BF1920" s="87"/>
      <c r="BG1920" s="87"/>
      <c r="BH1920" s="87"/>
      <c r="BI1920" s="87"/>
    </row>
    <row r="1921" spans="1:61" x14ac:dyDescent="0.25">
      <c r="A1921" s="63" t="s">
        <v>877</v>
      </c>
      <c r="B1921" s="63" t="s">
        <v>877</v>
      </c>
      <c r="C1921" s="64"/>
      <c r="D1921" s="65"/>
      <c r="E1921" s="66"/>
      <c r="F1921" s="67"/>
      <c r="G1921" s="64"/>
      <c r="H1921" s="68"/>
      <c r="I1921" s="69"/>
      <c r="J1921" s="69"/>
      <c r="K1921" s="32"/>
      <c r="L1921" s="76">
        <v>1921</v>
      </c>
      <c r="M1921" s="76"/>
      <c r="N1921" s="71"/>
      <c r="O1921" s="87" t="s">
        <v>179</v>
      </c>
      <c r="P1921" s="90">
        <v>45118.792442129627</v>
      </c>
      <c r="Q1921" s="87" t="s">
        <v>3711</v>
      </c>
      <c r="R1921" s="87">
        <v>0</v>
      </c>
      <c r="S1921" s="87">
        <v>0</v>
      </c>
      <c r="T1921" s="87">
        <v>0</v>
      </c>
      <c r="U1921" s="87">
        <v>0</v>
      </c>
      <c r="V1921" s="87">
        <v>29</v>
      </c>
      <c r="W1921" s="93" t="s">
        <v>7098</v>
      </c>
      <c r="X1921" s="87"/>
      <c r="Y1921" s="87"/>
      <c r="Z1921" s="87"/>
      <c r="AA1921" s="87" t="s">
        <v>9861</v>
      </c>
      <c r="AB1921" s="87" t="s">
        <v>11447</v>
      </c>
      <c r="AC1921" s="93" t="s">
        <v>11460</v>
      </c>
      <c r="AD1921" s="87" t="s">
        <v>11519</v>
      </c>
      <c r="AE1921" s="92" t="str">
        <f>HYPERLINK("https://twitter.com/joaodabipo/status/1678841868723863556")</f>
        <v>https://twitter.com/joaodabipo/status/1678841868723863556</v>
      </c>
      <c r="AF1921" s="90">
        <v>45118.792442129627</v>
      </c>
      <c r="AG1921" s="99">
        <v>45118</v>
      </c>
      <c r="AH1921" s="93" t="s">
        <v>13289</v>
      </c>
      <c r="AI1921" s="87" t="b">
        <v>0</v>
      </c>
      <c r="AJ1921" s="87"/>
      <c r="AK1921" s="87"/>
      <c r="AL1921" s="87"/>
      <c r="AM1921" s="87"/>
      <c r="AN1921" s="87"/>
      <c r="AO1921" s="87"/>
      <c r="AP1921" s="87"/>
      <c r="AQ1921" s="87" t="s">
        <v>16674</v>
      </c>
      <c r="AR1921" s="87">
        <v>54777</v>
      </c>
      <c r="AS1921" s="87"/>
      <c r="AT1921" s="87"/>
      <c r="AU1921" s="87"/>
      <c r="AV1921" s="92" t="str">
        <f>HYPERLINK("https://pbs.twimg.com/ext_tw_video_thumb/1678841818983673857/pu/img/r91egW5H8G5x9dzw.jpg")</f>
        <v>https://pbs.twimg.com/ext_tw_video_thumb/1678841818983673857/pu/img/r91egW5H8G5x9dzw.jpg</v>
      </c>
      <c r="AW1921" s="93" t="s">
        <v>20149</v>
      </c>
      <c r="AX1921" s="93" t="s">
        <v>20149</v>
      </c>
      <c r="AY1921" s="87"/>
      <c r="AZ1921" s="93" t="s">
        <v>22668</v>
      </c>
      <c r="BA1921" s="93" t="s">
        <v>22668</v>
      </c>
      <c r="BB1921" s="93" t="s">
        <v>22668</v>
      </c>
      <c r="BC1921" s="93" t="s">
        <v>20149</v>
      </c>
      <c r="BD1921" s="93" t="s">
        <v>23172</v>
      </c>
      <c r="BE1921" s="87"/>
      <c r="BF1921" s="87"/>
      <c r="BG1921" s="87"/>
      <c r="BH1921" s="87"/>
      <c r="BI1921" s="87"/>
    </row>
    <row r="1922" spans="1:61" x14ac:dyDescent="0.25">
      <c r="A1922" s="63" t="s">
        <v>877</v>
      </c>
      <c r="B1922" s="63" t="s">
        <v>877</v>
      </c>
      <c r="C1922" s="64"/>
      <c r="D1922" s="65"/>
      <c r="E1922" s="66"/>
      <c r="F1922" s="67"/>
      <c r="G1922" s="64"/>
      <c r="H1922" s="68"/>
      <c r="I1922" s="69"/>
      <c r="J1922" s="69"/>
      <c r="K1922" s="32"/>
      <c r="L1922" s="76">
        <v>1922</v>
      </c>
      <c r="M1922" s="76"/>
      <c r="N1922" s="71"/>
      <c r="O1922" s="87" t="s">
        <v>179</v>
      </c>
      <c r="P1922" s="90">
        <v>45118.708761574075</v>
      </c>
      <c r="Q1922" s="87" t="s">
        <v>3712</v>
      </c>
      <c r="R1922" s="87">
        <v>0</v>
      </c>
      <c r="S1922" s="87">
        <v>0</v>
      </c>
      <c r="T1922" s="87">
        <v>0</v>
      </c>
      <c r="U1922" s="87">
        <v>0</v>
      </c>
      <c r="V1922" s="87">
        <v>4</v>
      </c>
      <c r="W1922" s="93" t="s">
        <v>7098</v>
      </c>
      <c r="X1922" s="87"/>
      <c r="Y1922" s="87"/>
      <c r="Z1922" s="87"/>
      <c r="AA1922" s="87" t="s">
        <v>9862</v>
      </c>
      <c r="AB1922" s="87" t="s">
        <v>11448</v>
      </c>
      <c r="AC1922" s="93" t="s">
        <v>11460</v>
      </c>
      <c r="AD1922" s="87" t="s">
        <v>11519</v>
      </c>
      <c r="AE1922" s="92" t="str">
        <f>HYPERLINK("https://twitter.com/joaodabipo/status/1678811541808861185")</f>
        <v>https://twitter.com/joaodabipo/status/1678811541808861185</v>
      </c>
      <c r="AF1922" s="90">
        <v>45118.708761574075</v>
      </c>
      <c r="AG1922" s="99">
        <v>45118</v>
      </c>
      <c r="AH1922" s="93" t="s">
        <v>11904</v>
      </c>
      <c r="AI1922" s="87" t="b">
        <v>0</v>
      </c>
      <c r="AJ1922" s="87"/>
      <c r="AK1922" s="87"/>
      <c r="AL1922" s="87"/>
      <c r="AM1922" s="87"/>
      <c r="AN1922" s="87"/>
      <c r="AO1922" s="87"/>
      <c r="AP1922" s="87"/>
      <c r="AQ1922" s="87" t="s">
        <v>16675</v>
      </c>
      <c r="AR1922" s="87"/>
      <c r="AS1922" s="87"/>
      <c r="AT1922" s="87"/>
      <c r="AU1922" s="87"/>
      <c r="AV1922" s="92" t="str">
        <f>HYPERLINK("https://pbs.twimg.com/media/F0xWM01WAAAZ9xc.jpg")</f>
        <v>https://pbs.twimg.com/media/F0xWM01WAAAZ9xc.jpg</v>
      </c>
      <c r="AW1922" s="93" t="s">
        <v>20150</v>
      </c>
      <c r="AX1922" s="93" t="s">
        <v>20150</v>
      </c>
      <c r="AY1922" s="87"/>
      <c r="AZ1922" s="93" t="s">
        <v>22668</v>
      </c>
      <c r="BA1922" s="93" t="s">
        <v>22668</v>
      </c>
      <c r="BB1922" s="93" t="s">
        <v>22668</v>
      </c>
      <c r="BC1922" s="93" t="s">
        <v>20150</v>
      </c>
      <c r="BD1922" s="93" t="s">
        <v>23172</v>
      </c>
      <c r="BE1922" s="87"/>
      <c r="BF1922" s="87"/>
      <c r="BG1922" s="87"/>
      <c r="BH1922" s="87"/>
      <c r="BI1922" s="87"/>
    </row>
    <row r="1923" spans="1:61" x14ac:dyDescent="0.25">
      <c r="A1923" s="63" t="s">
        <v>877</v>
      </c>
      <c r="B1923" s="63" t="s">
        <v>877</v>
      </c>
      <c r="C1923" s="64"/>
      <c r="D1923" s="65"/>
      <c r="E1923" s="66"/>
      <c r="F1923" s="67"/>
      <c r="G1923" s="64"/>
      <c r="H1923" s="68"/>
      <c r="I1923" s="69"/>
      <c r="J1923" s="69"/>
      <c r="K1923" s="32"/>
      <c r="L1923" s="76">
        <v>1923</v>
      </c>
      <c r="M1923" s="76"/>
      <c r="N1923" s="71"/>
      <c r="O1923" s="87" t="s">
        <v>179</v>
      </c>
      <c r="P1923" s="90">
        <v>45111.708831018521</v>
      </c>
      <c r="Q1923" s="87" t="s">
        <v>3713</v>
      </c>
      <c r="R1923" s="87">
        <v>0</v>
      </c>
      <c r="S1923" s="87">
        <v>0</v>
      </c>
      <c r="T1923" s="87">
        <v>0</v>
      </c>
      <c r="U1923" s="87">
        <v>0</v>
      </c>
      <c r="V1923" s="87">
        <v>7</v>
      </c>
      <c r="W1923" s="93" t="s">
        <v>7098</v>
      </c>
      <c r="X1923" s="87"/>
      <c r="Y1923" s="87"/>
      <c r="Z1923" s="87"/>
      <c r="AA1923" s="87" t="s">
        <v>9863</v>
      </c>
      <c r="AB1923" s="87" t="s">
        <v>11448</v>
      </c>
      <c r="AC1923" s="93" t="s">
        <v>11460</v>
      </c>
      <c r="AD1923" s="87" t="s">
        <v>11519</v>
      </c>
      <c r="AE1923" s="92" t="str">
        <f>HYPERLINK("https://twitter.com/joaodabipo/status/1676274852003553282")</f>
        <v>https://twitter.com/joaodabipo/status/1676274852003553282</v>
      </c>
      <c r="AF1923" s="90">
        <v>45111.708831018521</v>
      </c>
      <c r="AG1923" s="99">
        <v>45111</v>
      </c>
      <c r="AH1923" s="93" t="s">
        <v>13290</v>
      </c>
      <c r="AI1923" s="87" t="b">
        <v>0</v>
      </c>
      <c r="AJ1923" s="87"/>
      <c r="AK1923" s="87"/>
      <c r="AL1923" s="87"/>
      <c r="AM1923" s="87"/>
      <c r="AN1923" s="87"/>
      <c r="AO1923" s="87"/>
      <c r="AP1923" s="87"/>
      <c r="AQ1923" s="87" t="s">
        <v>16676</v>
      </c>
      <c r="AR1923" s="87"/>
      <c r="AS1923" s="87"/>
      <c r="AT1923" s="87"/>
      <c r="AU1923" s="87"/>
      <c r="AV1923" s="92" t="str">
        <f>HYPERLINK("https://pbs.twimg.com/media/F0NTF-kXoAgJmLm.jpg")</f>
        <v>https://pbs.twimg.com/media/F0NTF-kXoAgJmLm.jpg</v>
      </c>
      <c r="AW1923" s="93" t="s">
        <v>20151</v>
      </c>
      <c r="AX1923" s="93" t="s">
        <v>20151</v>
      </c>
      <c r="AY1923" s="87"/>
      <c r="AZ1923" s="93" t="s">
        <v>22668</v>
      </c>
      <c r="BA1923" s="93" t="s">
        <v>22668</v>
      </c>
      <c r="BB1923" s="93" t="s">
        <v>22668</v>
      </c>
      <c r="BC1923" s="93" t="s">
        <v>20151</v>
      </c>
      <c r="BD1923" s="93" t="s">
        <v>23172</v>
      </c>
      <c r="BE1923" s="87"/>
      <c r="BF1923" s="87"/>
      <c r="BG1923" s="87"/>
      <c r="BH1923" s="87"/>
      <c r="BI1923" s="87"/>
    </row>
    <row r="1924" spans="1:61" x14ac:dyDescent="0.25">
      <c r="A1924" s="63" t="s">
        <v>877</v>
      </c>
      <c r="B1924" s="63" t="s">
        <v>877</v>
      </c>
      <c r="C1924" s="64"/>
      <c r="D1924" s="65"/>
      <c r="E1924" s="66"/>
      <c r="F1924" s="67"/>
      <c r="G1924" s="64"/>
      <c r="H1924" s="68"/>
      <c r="I1924" s="69"/>
      <c r="J1924" s="69"/>
      <c r="K1924" s="32"/>
      <c r="L1924" s="76">
        <v>1924</v>
      </c>
      <c r="M1924" s="76"/>
      <c r="N1924" s="71"/>
      <c r="O1924" s="87" t="s">
        <v>179</v>
      </c>
      <c r="P1924" s="90">
        <v>45110.79241898148</v>
      </c>
      <c r="Q1924" s="87" t="s">
        <v>3714</v>
      </c>
      <c r="R1924" s="87">
        <v>0</v>
      </c>
      <c r="S1924" s="87">
        <v>1</v>
      </c>
      <c r="T1924" s="87">
        <v>0</v>
      </c>
      <c r="U1924" s="87">
        <v>0</v>
      </c>
      <c r="V1924" s="87">
        <v>34</v>
      </c>
      <c r="W1924" s="93" t="s">
        <v>7098</v>
      </c>
      <c r="X1924" s="87"/>
      <c r="Y1924" s="87"/>
      <c r="Z1924" s="87"/>
      <c r="AA1924" s="87" t="s">
        <v>9864</v>
      </c>
      <c r="AB1924" s="87" t="s">
        <v>11447</v>
      </c>
      <c r="AC1924" s="93" t="s">
        <v>11460</v>
      </c>
      <c r="AD1924" s="87" t="s">
        <v>11519</v>
      </c>
      <c r="AE1924" s="92" t="str">
        <f>HYPERLINK("https://twitter.com/joaodabipo/status/1675942758614269952")</f>
        <v>https://twitter.com/joaodabipo/status/1675942758614269952</v>
      </c>
      <c r="AF1924" s="90">
        <v>45110.79241898148</v>
      </c>
      <c r="AG1924" s="99">
        <v>45110</v>
      </c>
      <c r="AH1924" s="93" t="s">
        <v>13291</v>
      </c>
      <c r="AI1924" s="87" t="b">
        <v>0</v>
      </c>
      <c r="AJ1924" s="87"/>
      <c r="AK1924" s="87"/>
      <c r="AL1924" s="87"/>
      <c r="AM1924" s="87"/>
      <c r="AN1924" s="87"/>
      <c r="AO1924" s="87"/>
      <c r="AP1924" s="87"/>
      <c r="AQ1924" s="87" t="s">
        <v>16677</v>
      </c>
      <c r="AR1924" s="87">
        <v>58770</v>
      </c>
      <c r="AS1924" s="87"/>
      <c r="AT1924" s="87"/>
      <c r="AU1924" s="87"/>
      <c r="AV1924" s="92" t="str">
        <f>HYPERLINK("https://pbs.twimg.com/ext_tw_video_thumb/1675942705665327104/pu/img/Y_9KoGTHAj43vdMB.jpg")</f>
        <v>https://pbs.twimg.com/ext_tw_video_thumb/1675942705665327104/pu/img/Y_9KoGTHAj43vdMB.jpg</v>
      </c>
      <c r="AW1924" s="93" t="s">
        <v>20152</v>
      </c>
      <c r="AX1924" s="93" t="s">
        <v>20152</v>
      </c>
      <c r="AY1924" s="87"/>
      <c r="AZ1924" s="93" t="s">
        <v>22668</v>
      </c>
      <c r="BA1924" s="93" t="s">
        <v>22668</v>
      </c>
      <c r="BB1924" s="93" t="s">
        <v>22668</v>
      </c>
      <c r="BC1924" s="93" t="s">
        <v>20152</v>
      </c>
      <c r="BD1924" s="93" t="s">
        <v>23172</v>
      </c>
      <c r="BE1924" s="87"/>
      <c r="BF1924" s="87"/>
      <c r="BG1924" s="87"/>
      <c r="BH1924" s="87"/>
      <c r="BI1924" s="87"/>
    </row>
    <row r="1925" spans="1:61" x14ac:dyDescent="0.25">
      <c r="A1925" s="63" t="s">
        <v>877</v>
      </c>
      <c r="B1925" s="63" t="s">
        <v>877</v>
      </c>
      <c r="C1925" s="64"/>
      <c r="D1925" s="65"/>
      <c r="E1925" s="66"/>
      <c r="F1925" s="67"/>
      <c r="G1925" s="64"/>
      <c r="H1925" s="68"/>
      <c r="I1925" s="69"/>
      <c r="J1925" s="69"/>
      <c r="K1925" s="32"/>
      <c r="L1925" s="76">
        <v>1925</v>
      </c>
      <c r="M1925" s="76"/>
      <c r="N1925" s="71"/>
      <c r="O1925" s="87" t="s">
        <v>179</v>
      </c>
      <c r="P1925" s="90">
        <v>45110.718888888892</v>
      </c>
      <c r="Q1925" s="87" t="s">
        <v>3715</v>
      </c>
      <c r="R1925" s="87">
        <v>0</v>
      </c>
      <c r="S1925" s="87">
        <v>0</v>
      </c>
      <c r="T1925" s="87">
        <v>0</v>
      </c>
      <c r="U1925" s="87">
        <v>0</v>
      </c>
      <c r="V1925" s="87">
        <v>9</v>
      </c>
      <c r="W1925" s="93" t="s">
        <v>7101</v>
      </c>
      <c r="X1925" s="87"/>
      <c r="Y1925" s="87"/>
      <c r="Z1925" s="87"/>
      <c r="AA1925" s="87" t="s">
        <v>9865</v>
      </c>
      <c r="AB1925" s="87" t="s">
        <v>11448</v>
      </c>
      <c r="AC1925" s="93" t="s">
        <v>11460</v>
      </c>
      <c r="AD1925" s="87" t="s">
        <v>11519</v>
      </c>
      <c r="AE1925" s="92" t="str">
        <f>HYPERLINK("https://twitter.com/joaodabipo/status/1675916110070263817")</f>
        <v>https://twitter.com/joaodabipo/status/1675916110070263817</v>
      </c>
      <c r="AF1925" s="90">
        <v>45110.718888888892</v>
      </c>
      <c r="AG1925" s="99">
        <v>45110</v>
      </c>
      <c r="AH1925" s="93" t="s">
        <v>13292</v>
      </c>
      <c r="AI1925" s="87" t="b">
        <v>0</v>
      </c>
      <c r="AJ1925" s="87"/>
      <c r="AK1925" s="87"/>
      <c r="AL1925" s="87"/>
      <c r="AM1925" s="87"/>
      <c r="AN1925" s="87"/>
      <c r="AO1925" s="87"/>
      <c r="AP1925" s="87"/>
      <c r="AQ1925" s="87" t="s">
        <v>16678</v>
      </c>
      <c r="AR1925" s="87"/>
      <c r="AS1925" s="87"/>
      <c r="AT1925" s="87"/>
      <c r="AU1925" s="87"/>
      <c r="AV1925" s="92" t="str">
        <f>HYPERLINK("https://pbs.twimg.com/media/F0IM0hLXsBEPzjE.jpg")</f>
        <v>https://pbs.twimg.com/media/F0IM0hLXsBEPzjE.jpg</v>
      </c>
      <c r="AW1925" s="93" t="s">
        <v>20153</v>
      </c>
      <c r="AX1925" s="93" t="s">
        <v>20153</v>
      </c>
      <c r="AY1925" s="87"/>
      <c r="AZ1925" s="93" t="s">
        <v>22668</v>
      </c>
      <c r="BA1925" s="93" t="s">
        <v>22668</v>
      </c>
      <c r="BB1925" s="93" t="s">
        <v>22668</v>
      </c>
      <c r="BC1925" s="93" t="s">
        <v>20153</v>
      </c>
      <c r="BD1925" s="93" t="s">
        <v>23172</v>
      </c>
      <c r="BE1925" s="87"/>
      <c r="BF1925" s="87"/>
      <c r="BG1925" s="87"/>
      <c r="BH1925" s="87"/>
      <c r="BI1925" s="87"/>
    </row>
    <row r="1926" spans="1:61" x14ac:dyDescent="0.25">
      <c r="A1926" s="63" t="s">
        <v>877</v>
      </c>
      <c r="B1926" s="63" t="s">
        <v>877</v>
      </c>
      <c r="C1926" s="64"/>
      <c r="D1926" s="65"/>
      <c r="E1926" s="66"/>
      <c r="F1926" s="67"/>
      <c r="G1926" s="64"/>
      <c r="H1926" s="68"/>
      <c r="I1926" s="69"/>
      <c r="J1926" s="69"/>
      <c r="K1926" s="32"/>
      <c r="L1926" s="76">
        <v>1926</v>
      </c>
      <c r="M1926" s="76"/>
      <c r="N1926" s="71"/>
      <c r="O1926" s="87" t="s">
        <v>179</v>
      </c>
      <c r="P1926" s="90">
        <v>45139.70894675926</v>
      </c>
      <c r="Q1926" s="87" t="s">
        <v>3716</v>
      </c>
      <c r="R1926" s="87">
        <v>0</v>
      </c>
      <c r="S1926" s="87">
        <v>0</v>
      </c>
      <c r="T1926" s="87">
        <v>0</v>
      </c>
      <c r="U1926" s="87">
        <v>0</v>
      </c>
      <c r="V1926" s="87">
        <v>31</v>
      </c>
      <c r="W1926" s="93" t="s">
        <v>7098</v>
      </c>
      <c r="X1926" s="87"/>
      <c r="Y1926" s="87"/>
      <c r="Z1926" s="87"/>
      <c r="AA1926" s="87" t="s">
        <v>9866</v>
      </c>
      <c r="AB1926" s="87" t="s">
        <v>11448</v>
      </c>
      <c r="AC1926" s="93" t="s">
        <v>11460</v>
      </c>
      <c r="AD1926" s="87" t="s">
        <v>11519</v>
      </c>
      <c r="AE1926" s="92" t="str">
        <f>HYPERLINK("https://twitter.com/joaodabipo/status/1686421756406386689")</f>
        <v>https://twitter.com/joaodabipo/status/1686421756406386689</v>
      </c>
      <c r="AF1926" s="90">
        <v>45139.70894675926</v>
      </c>
      <c r="AG1926" s="99">
        <v>45139</v>
      </c>
      <c r="AH1926" s="93" t="s">
        <v>13288</v>
      </c>
      <c r="AI1926" s="87" t="b">
        <v>0</v>
      </c>
      <c r="AJ1926" s="87"/>
      <c r="AK1926" s="87"/>
      <c r="AL1926" s="87"/>
      <c r="AM1926" s="87"/>
      <c r="AN1926" s="87"/>
      <c r="AO1926" s="87"/>
      <c r="AP1926" s="87"/>
      <c r="AQ1926" s="87" t="s">
        <v>16679</v>
      </c>
      <c r="AR1926" s="87"/>
      <c r="AS1926" s="87"/>
      <c r="AT1926" s="87"/>
      <c r="AU1926" s="87"/>
      <c r="AV1926" s="92" t="str">
        <f>HYPERLINK("https://pbs.twimg.com/media/F2dfpl-X0B8vVso.jpg")</f>
        <v>https://pbs.twimg.com/media/F2dfpl-X0B8vVso.jpg</v>
      </c>
      <c r="AW1926" s="93" t="s">
        <v>20154</v>
      </c>
      <c r="AX1926" s="93" t="s">
        <v>20154</v>
      </c>
      <c r="AY1926" s="87"/>
      <c r="AZ1926" s="93" t="s">
        <v>22668</v>
      </c>
      <c r="BA1926" s="93" t="s">
        <v>22668</v>
      </c>
      <c r="BB1926" s="93" t="s">
        <v>22668</v>
      </c>
      <c r="BC1926" s="93" t="s">
        <v>20154</v>
      </c>
      <c r="BD1926" s="93" t="s">
        <v>23172</v>
      </c>
      <c r="BE1926" s="87"/>
      <c r="BF1926" s="87"/>
      <c r="BG1926" s="87"/>
      <c r="BH1926" s="87"/>
      <c r="BI1926" s="87"/>
    </row>
    <row r="1927" spans="1:61" x14ac:dyDescent="0.25">
      <c r="A1927" s="63" t="s">
        <v>877</v>
      </c>
      <c r="B1927" s="63" t="s">
        <v>877</v>
      </c>
      <c r="C1927" s="64"/>
      <c r="D1927" s="65"/>
      <c r="E1927" s="66"/>
      <c r="F1927" s="67"/>
      <c r="G1927" s="64"/>
      <c r="H1927" s="68"/>
      <c r="I1927" s="69"/>
      <c r="J1927" s="69"/>
      <c r="K1927" s="32"/>
      <c r="L1927" s="76">
        <v>1927</v>
      </c>
      <c r="M1927" s="76"/>
      <c r="N1927" s="71"/>
      <c r="O1927" s="87" t="s">
        <v>179</v>
      </c>
      <c r="P1927" s="90">
        <v>45126.750462962962</v>
      </c>
      <c r="Q1927" s="87" t="s">
        <v>3717</v>
      </c>
      <c r="R1927" s="87">
        <v>0</v>
      </c>
      <c r="S1927" s="87">
        <v>0</v>
      </c>
      <c r="T1927" s="87">
        <v>0</v>
      </c>
      <c r="U1927" s="87">
        <v>0</v>
      </c>
      <c r="V1927" s="87">
        <v>3</v>
      </c>
      <c r="W1927" s="93" t="s">
        <v>7098</v>
      </c>
      <c r="X1927" s="87"/>
      <c r="Y1927" s="87"/>
      <c r="Z1927" s="87"/>
      <c r="AA1927" s="87" t="s">
        <v>9867</v>
      </c>
      <c r="AB1927" s="87" t="s">
        <v>11448</v>
      </c>
      <c r="AC1927" s="93" t="s">
        <v>11460</v>
      </c>
      <c r="AD1927" s="87" t="s">
        <v>11519</v>
      </c>
      <c r="AE1927" s="92" t="str">
        <f>HYPERLINK("https://twitter.com/joaodabipo/status/1681725759717556240")</f>
        <v>https://twitter.com/joaodabipo/status/1681725759717556240</v>
      </c>
      <c r="AF1927" s="90">
        <v>45126.750462962962</v>
      </c>
      <c r="AG1927" s="99">
        <v>45126</v>
      </c>
      <c r="AH1927" s="93" t="s">
        <v>13293</v>
      </c>
      <c r="AI1927" s="87" t="b">
        <v>0</v>
      </c>
      <c r="AJ1927" s="87"/>
      <c r="AK1927" s="87"/>
      <c r="AL1927" s="87"/>
      <c r="AM1927" s="87"/>
      <c r="AN1927" s="87"/>
      <c r="AO1927" s="87"/>
      <c r="AP1927" s="87"/>
      <c r="AQ1927" s="87" t="s">
        <v>16680</v>
      </c>
      <c r="AR1927" s="87"/>
      <c r="AS1927" s="87"/>
      <c r="AT1927" s="87"/>
      <c r="AU1927" s="87"/>
      <c r="AV1927" s="92" t="str">
        <f>HYPERLINK("https://pbs.twimg.com/media/F1awqoXWwAsZDDH.jpg")</f>
        <v>https://pbs.twimg.com/media/F1awqoXWwAsZDDH.jpg</v>
      </c>
      <c r="AW1927" s="93" t="s">
        <v>20155</v>
      </c>
      <c r="AX1927" s="93" t="s">
        <v>20155</v>
      </c>
      <c r="AY1927" s="87"/>
      <c r="AZ1927" s="93" t="s">
        <v>22668</v>
      </c>
      <c r="BA1927" s="93" t="s">
        <v>22668</v>
      </c>
      <c r="BB1927" s="93" t="s">
        <v>22668</v>
      </c>
      <c r="BC1927" s="93" t="s">
        <v>20155</v>
      </c>
      <c r="BD1927" s="93" t="s">
        <v>23172</v>
      </c>
      <c r="BE1927" s="87"/>
      <c r="BF1927" s="87"/>
      <c r="BG1927" s="87"/>
      <c r="BH1927" s="87"/>
      <c r="BI1927" s="87"/>
    </row>
    <row r="1928" spans="1:61" x14ac:dyDescent="0.25">
      <c r="A1928" s="63" t="s">
        <v>877</v>
      </c>
      <c r="B1928" s="63" t="s">
        <v>877</v>
      </c>
      <c r="C1928" s="64"/>
      <c r="D1928" s="65"/>
      <c r="E1928" s="66"/>
      <c r="F1928" s="67"/>
      <c r="G1928" s="64"/>
      <c r="H1928" s="68"/>
      <c r="I1928" s="69"/>
      <c r="J1928" s="69"/>
      <c r="K1928" s="32"/>
      <c r="L1928" s="76">
        <v>1928</v>
      </c>
      <c r="M1928" s="76"/>
      <c r="N1928" s="71"/>
      <c r="O1928" s="87" t="s">
        <v>179</v>
      </c>
      <c r="P1928" s="90">
        <v>45125.792291666665</v>
      </c>
      <c r="Q1928" s="87" t="s">
        <v>3718</v>
      </c>
      <c r="R1928" s="87">
        <v>0</v>
      </c>
      <c r="S1928" s="87">
        <v>0</v>
      </c>
      <c r="T1928" s="87">
        <v>0</v>
      </c>
      <c r="U1928" s="87">
        <v>0</v>
      </c>
      <c r="V1928" s="87">
        <v>34</v>
      </c>
      <c r="W1928" s="93" t="s">
        <v>7098</v>
      </c>
      <c r="X1928" s="87"/>
      <c r="Y1928" s="87"/>
      <c r="Z1928" s="87"/>
      <c r="AA1928" s="87" t="s">
        <v>9868</v>
      </c>
      <c r="AB1928" s="87" t="s">
        <v>11447</v>
      </c>
      <c r="AC1928" s="93" t="s">
        <v>11460</v>
      </c>
      <c r="AD1928" s="87" t="s">
        <v>11519</v>
      </c>
      <c r="AE1928" s="92" t="str">
        <f>HYPERLINK("https://twitter.com/joaodabipo/status/1681378529026494465")</f>
        <v>https://twitter.com/joaodabipo/status/1681378529026494465</v>
      </c>
      <c r="AF1928" s="90">
        <v>45125.792291666665</v>
      </c>
      <c r="AG1928" s="99">
        <v>45125</v>
      </c>
      <c r="AH1928" s="93" t="s">
        <v>13294</v>
      </c>
      <c r="AI1928" s="87" t="b">
        <v>0</v>
      </c>
      <c r="AJ1928" s="87"/>
      <c r="AK1928" s="87"/>
      <c r="AL1928" s="87"/>
      <c r="AM1928" s="87"/>
      <c r="AN1928" s="87"/>
      <c r="AO1928" s="87"/>
      <c r="AP1928" s="87"/>
      <c r="AQ1928" s="87" t="s">
        <v>16681</v>
      </c>
      <c r="AR1928" s="87">
        <v>48090</v>
      </c>
      <c r="AS1928" s="87"/>
      <c r="AT1928" s="87"/>
      <c r="AU1928" s="87"/>
      <c r="AV1928" s="92" t="str">
        <f>HYPERLINK("https://pbs.twimg.com/ext_tw_video_thumb/1681378478493409283/pu/img/Z3ZK9wNejlbaxtHH.jpg")</f>
        <v>https://pbs.twimg.com/ext_tw_video_thumb/1681378478493409283/pu/img/Z3ZK9wNejlbaxtHH.jpg</v>
      </c>
      <c r="AW1928" s="93" t="s">
        <v>20156</v>
      </c>
      <c r="AX1928" s="93" t="s">
        <v>20156</v>
      </c>
      <c r="AY1928" s="87"/>
      <c r="AZ1928" s="93" t="s">
        <v>22668</v>
      </c>
      <c r="BA1928" s="93" t="s">
        <v>22668</v>
      </c>
      <c r="BB1928" s="93" t="s">
        <v>22668</v>
      </c>
      <c r="BC1928" s="93" t="s">
        <v>20156</v>
      </c>
      <c r="BD1928" s="93" t="s">
        <v>23172</v>
      </c>
      <c r="BE1928" s="87"/>
      <c r="BF1928" s="87"/>
      <c r="BG1928" s="87"/>
      <c r="BH1928" s="87"/>
      <c r="BI1928" s="87"/>
    </row>
    <row r="1929" spans="1:61" x14ac:dyDescent="0.25">
      <c r="A1929" s="63" t="s">
        <v>877</v>
      </c>
      <c r="B1929" s="63" t="s">
        <v>877</v>
      </c>
      <c r="C1929" s="64"/>
      <c r="D1929" s="65"/>
      <c r="E1929" s="66"/>
      <c r="F1929" s="67"/>
      <c r="G1929" s="64"/>
      <c r="H1929" s="68"/>
      <c r="I1929" s="69"/>
      <c r="J1929" s="69"/>
      <c r="K1929" s="32"/>
      <c r="L1929" s="76">
        <v>1929</v>
      </c>
      <c r="M1929" s="76"/>
      <c r="N1929" s="71"/>
      <c r="O1929" s="87" t="s">
        <v>179</v>
      </c>
      <c r="P1929" s="90">
        <v>45125.70888888889</v>
      </c>
      <c r="Q1929" s="87" t="s">
        <v>3719</v>
      </c>
      <c r="R1929" s="87">
        <v>0</v>
      </c>
      <c r="S1929" s="87">
        <v>0</v>
      </c>
      <c r="T1929" s="87">
        <v>0</v>
      </c>
      <c r="U1929" s="87">
        <v>0</v>
      </c>
      <c r="V1929" s="87">
        <v>10</v>
      </c>
      <c r="W1929" s="93" t="s">
        <v>7098</v>
      </c>
      <c r="X1929" s="87"/>
      <c r="Y1929" s="87"/>
      <c r="Z1929" s="87"/>
      <c r="AA1929" s="87" t="s">
        <v>9869</v>
      </c>
      <c r="AB1929" s="87" t="s">
        <v>11448</v>
      </c>
      <c r="AC1929" s="93" t="s">
        <v>11460</v>
      </c>
      <c r="AD1929" s="87" t="s">
        <v>11519</v>
      </c>
      <c r="AE1929" s="92" t="str">
        <f>HYPERLINK("https://twitter.com/joaodabipo/status/1681348304989290496")</f>
        <v>https://twitter.com/joaodabipo/status/1681348304989290496</v>
      </c>
      <c r="AF1929" s="90">
        <v>45125.70888888889</v>
      </c>
      <c r="AG1929" s="99">
        <v>45125</v>
      </c>
      <c r="AH1929" s="93" t="s">
        <v>13295</v>
      </c>
      <c r="AI1929" s="87" t="b">
        <v>0</v>
      </c>
      <c r="AJ1929" s="87"/>
      <c r="AK1929" s="87"/>
      <c r="AL1929" s="87"/>
      <c r="AM1929" s="87"/>
      <c r="AN1929" s="87"/>
      <c r="AO1929" s="87"/>
      <c r="AP1929" s="87"/>
      <c r="AQ1929" s="87" t="s">
        <v>16682</v>
      </c>
      <c r="AR1929" s="87"/>
      <c r="AS1929" s="87"/>
      <c r="AT1929" s="87"/>
      <c r="AU1929" s="87"/>
      <c r="AV1929" s="92" t="str">
        <f>HYPERLINK("https://pbs.twimg.com/media/F1VZX3rXwA8FbSt.jpg")</f>
        <v>https://pbs.twimg.com/media/F1VZX3rXwA8FbSt.jpg</v>
      </c>
      <c r="AW1929" s="93" t="s">
        <v>20157</v>
      </c>
      <c r="AX1929" s="93" t="s">
        <v>20157</v>
      </c>
      <c r="AY1929" s="87"/>
      <c r="AZ1929" s="93" t="s">
        <v>22668</v>
      </c>
      <c r="BA1929" s="93" t="s">
        <v>22668</v>
      </c>
      <c r="BB1929" s="93" t="s">
        <v>22668</v>
      </c>
      <c r="BC1929" s="93" t="s">
        <v>20157</v>
      </c>
      <c r="BD1929" s="93" t="s">
        <v>23172</v>
      </c>
      <c r="BE1929" s="87"/>
      <c r="BF1929" s="87"/>
      <c r="BG1929" s="87"/>
      <c r="BH1929" s="87"/>
      <c r="BI1929" s="87"/>
    </row>
    <row r="1930" spans="1:61" x14ac:dyDescent="0.25">
      <c r="A1930" s="63" t="s">
        <v>878</v>
      </c>
      <c r="B1930" s="63" t="s">
        <v>878</v>
      </c>
      <c r="C1930" s="64"/>
      <c r="D1930" s="65"/>
      <c r="E1930" s="66"/>
      <c r="F1930" s="67"/>
      <c r="G1930" s="64"/>
      <c r="H1930" s="68"/>
      <c r="I1930" s="69"/>
      <c r="J1930" s="69"/>
      <c r="K1930" s="32"/>
      <c r="L1930" s="76">
        <v>1930</v>
      </c>
      <c r="M1930" s="76"/>
      <c r="N1930" s="71"/>
      <c r="O1930" s="87" t="s">
        <v>179</v>
      </c>
      <c r="P1930" s="90">
        <v>45137.333356481482</v>
      </c>
      <c r="Q1930" s="87" t="s">
        <v>3720</v>
      </c>
      <c r="R1930" s="87">
        <v>0</v>
      </c>
      <c r="S1930" s="87">
        <v>0</v>
      </c>
      <c r="T1930" s="87">
        <v>0</v>
      </c>
      <c r="U1930" s="87">
        <v>0</v>
      </c>
      <c r="V1930" s="87">
        <v>7</v>
      </c>
      <c r="W1930" s="93" t="s">
        <v>7102</v>
      </c>
      <c r="X1930" s="87"/>
      <c r="Y1930" s="87"/>
      <c r="Z1930" s="87"/>
      <c r="AA1930" s="87" t="s">
        <v>9870</v>
      </c>
      <c r="AB1930" s="87" t="s">
        <v>11448</v>
      </c>
      <c r="AC1930" s="93" t="s">
        <v>11496</v>
      </c>
      <c r="AD1930" s="87" t="s">
        <v>11519</v>
      </c>
      <c r="AE1930" s="92" t="str">
        <f>HYPERLINK("https://twitter.com/mpatinha/status/1685560871098220544")</f>
        <v>https://twitter.com/mpatinha/status/1685560871098220544</v>
      </c>
      <c r="AF1930" s="90">
        <v>45137.333356481482</v>
      </c>
      <c r="AG1930" s="99">
        <v>45137</v>
      </c>
      <c r="AH1930" s="93" t="s">
        <v>12370</v>
      </c>
      <c r="AI1930" s="87" t="b">
        <v>0</v>
      </c>
      <c r="AJ1930" s="87"/>
      <c r="AK1930" s="87"/>
      <c r="AL1930" s="87"/>
      <c r="AM1930" s="87"/>
      <c r="AN1930" s="87"/>
      <c r="AO1930" s="87"/>
      <c r="AP1930" s="87"/>
      <c r="AQ1930" s="87" t="s">
        <v>16683</v>
      </c>
      <c r="AR1930" s="87"/>
      <c r="AS1930" s="87"/>
      <c r="AT1930" s="87"/>
      <c r="AU1930" s="87"/>
      <c r="AV1930" s="92" t="str">
        <f>HYPERLINK("https://pbs.twimg.com/media/F2RQrg3aYAA5mUD.jpg")</f>
        <v>https://pbs.twimg.com/media/F2RQrg3aYAA5mUD.jpg</v>
      </c>
      <c r="AW1930" s="93" t="s">
        <v>20158</v>
      </c>
      <c r="AX1930" s="93" t="s">
        <v>20158</v>
      </c>
      <c r="AY1930" s="87"/>
      <c r="AZ1930" s="93" t="s">
        <v>22668</v>
      </c>
      <c r="BA1930" s="93" t="s">
        <v>22668</v>
      </c>
      <c r="BB1930" s="93" t="s">
        <v>22668</v>
      </c>
      <c r="BC1930" s="93" t="s">
        <v>20158</v>
      </c>
      <c r="BD1930" s="93" t="s">
        <v>23173</v>
      </c>
      <c r="BE1930" s="87"/>
      <c r="BF1930" s="87"/>
      <c r="BG1930" s="87"/>
      <c r="BH1930" s="87"/>
      <c r="BI1930" s="87"/>
    </row>
    <row r="1931" spans="1:61" x14ac:dyDescent="0.25">
      <c r="A1931" s="63" t="s">
        <v>879</v>
      </c>
      <c r="B1931" s="63" t="s">
        <v>879</v>
      </c>
      <c r="C1931" s="64"/>
      <c r="D1931" s="65"/>
      <c r="E1931" s="66"/>
      <c r="F1931" s="67"/>
      <c r="G1931" s="64"/>
      <c r="H1931" s="68"/>
      <c r="I1931" s="69"/>
      <c r="J1931" s="69"/>
      <c r="K1931" s="32"/>
      <c r="L1931" s="76">
        <v>1931</v>
      </c>
      <c r="M1931" s="76"/>
      <c r="N1931" s="71"/>
      <c r="O1931" s="87" t="s">
        <v>179</v>
      </c>
      <c r="P1931" s="90">
        <v>45110.746701388889</v>
      </c>
      <c r="Q1931" s="87" t="s">
        <v>3721</v>
      </c>
      <c r="R1931" s="87">
        <v>0</v>
      </c>
      <c r="S1931" s="87">
        <v>0</v>
      </c>
      <c r="T1931" s="87">
        <v>0</v>
      </c>
      <c r="U1931" s="87">
        <v>0</v>
      </c>
      <c r="V1931" s="87">
        <v>23</v>
      </c>
      <c r="W1931" s="93" t="s">
        <v>7103</v>
      </c>
      <c r="X1931" s="87"/>
      <c r="Y1931" s="87"/>
      <c r="Z1931" s="87"/>
      <c r="AA1931" s="87"/>
      <c r="AB1931" s="87"/>
      <c r="AC1931" s="93" t="s">
        <v>11459</v>
      </c>
      <c r="AD1931" s="87" t="s">
        <v>11519</v>
      </c>
      <c r="AE1931" s="92" t="str">
        <f>HYPERLINK("https://twitter.com/lieneide/status/1675926188982673414")</f>
        <v>https://twitter.com/lieneide/status/1675926188982673414</v>
      </c>
      <c r="AF1931" s="90">
        <v>45110.746701388889</v>
      </c>
      <c r="AG1931" s="99">
        <v>45110</v>
      </c>
      <c r="AH1931" s="93" t="s">
        <v>13296</v>
      </c>
      <c r="AI1931" s="87"/>
      <c r="AJ1931" s="87"/>
      <c r="AK1931" s="87"/>
      <c r="AL1931" s="87"/>
      <c r="AM1931" s="87"/>
      <c r="AN1931" s="87"/>
      <c r="AO1931" s="87"/>
      <c r="AP1931" s="87"/>
      <c r="AQ1931" s="87"/>
      <c r="AR1931" s="87"/>
      <c r="AS1931" s="87"/>
      <c r="AT1931" s="87"/>
      <c r="AU1931" s="87"/>
      <c r="AV1931" s="92" t="str">
        <f>HYPERLINK("https://pbs.twimg.com/profile_images/1636090344310816772/PV2slIIL_normal.jpg")</f>
        <v>https://pbs.twimg.com/profile_images/1636090344310816772/PV2slIIL_normal.jpg</v>
      </c>
      <c r="AW1931" s="93" t="s">
        <v>20159</v>
      </c>
      <c r="AX1931" s="93" t="s">
        <v>20159</v>
      </c>
      <c r="AY1931" s="87"/>
      <c r="AZ1931" s="93" t="s">
        <v>22668</v>
      </c>
      <c r="BA1931" s="93" t="s">
        <v>22668</v>
      </c>
      <c r="BB1931" s="93" t="s">
        <v>22668</v>
      </c>
      <c r="BC1931" s="93" t="s">
        <v>20159</v>
      </c>
      <c r="BD1931" s="87">
        <v>33494745</v>
      </c>
      <c r="BE1931" s="87"/>
      <c r="BF1931" s="87"/>
      <c r="BG1931" s="87"/>
      <c r="BH1931" s="87"/>
      <c r="BI1931" s="87"/>
    </row>
    <row r="1932" spans="1:61" x14ac:dyDescent="0.25">
      <c r="A1932" s="63" t="s">
        <v>880</v>
      </c>
      <c r="B1932" s="63" t="s">
        <v>880</v>
      </c>
      <c r="C1932" s="64"/>
      <c r="D1932" s="65"/>
      <c r="E1932" s="66"/>
      <c r="F1932" s="67"/>
      <c r="G1932" s="64"/>
      <c r="H1932" s="68"/>
      <c r="I1932" s="69"/>
      <c r="J1932" s="69"/>
      <c r="K1932" s="32"/>
      <c r="L1932" s="76">
        <v>1932</v>
      </c>
      <c r="M1932" s="76"/>
      <c r="N1932" s="71"/>
      <c r="O1932" s="87" t="s">
        <v>179</v>
      </c>
      <c r="P1932" s="90">
        <v>45178.64402777778</v>
      </c>
      <c r="Q1932" s="87" t="s">
        <v>3722</v>
      </c>
      <c r="R1932" s="87">
        <v>1</v>
      </c>
      <c r="S1932" s="87">
        <v>1</v>
      </c>
      <c r="T1932" s="87">
        <v>0</v>
      </c>
      <c r="U1932" s="87">
        <v>0</v>
      </c>
      <c r="V1932" s="87">
        <v>30</v>
      </c>
      <c r="W1932" s="93" t="s">
        <v>7104</v>
      </c>
      <c r="X1932" s="87"/>
      <c r="Y1932" s="87"/>
      <c r="Z1932" s="87"/>
      <c r="AA1932" s="87" t="s">
        <v>9871</v>
      </c>
      <c r="AB1932" s="87" t="s">
        <v>11447</v>
      </c>
      <c r="AC1932" s="93" t="s">
        <v>11459</v>
      </c>
      <c r="AD1932" s="87" t="s">
        <v>11519</v>
      </c>
      <c r="AE1932" s="92" t="str">
        <f>HYPERLINK("https://twitter.com/paitadoscortes/status/1700531358307594499")</f>
        <v>https://twitter.com/paitadoscortes/status/1700531358307594499</v>
      </c>
      <c r="AF1932" s="90">
        <v>45178.64402777778</v>
      </c>
      <c r="AG1932" s="99">
        <v>45178</v>
      </c>
      <c r="AH1932" s="93" t="s">
        <v>13297</v>
      </c>
      <c r="AI1932" s="87" t="b">
        <v>0</v>
      </c>
      <c r="AJ1932" s="87" t="s">
        <v>15209</v>
      </c>
      <c r="AK1932" s="87" t="s">
        <v>15234</v>
      </c>
      <c r="AL1932" s="87" t="s">
        <v>15237</v>
      </c>
      <c r="AM1932" s="87" t="s">
        <v>15280</v>
      </c>
      <c r="AN1932" s="87" t="s">
        <v>15347</v>
      </c>
      <c r="AO1932" s="87" t="s">
        <v>15412</v>
      </c>
      <c r="AP1932" s="87" t="s">
        <v>15437</v>
      </c>
      <c r="AQ1932" s="87" t="s">
        <v>16684</v>
      </c>
      <c r="AR1932" s="87">
        <v>60833</v>
      </c>
      <c r="AS1932" s="87"/>
      <c r="AT1932" s="87"/>
      <c r="AU1932" s="87"/>
      <c r="AV1932" s="92" t="str">
        <f>HYPERLINK("https://pbs.twimg.com/ext_tw_video_thumb/1700531214652735488/pu/img/h0Pvh_T3tZ2pT4cE.jpg")</f>
        <v>https://pbs.twimg.com/ext_tw_video_thumb/1700531214652735488/pu/img/h0Pvh_T3tZ2pT4cE.jpg</v>
      </c>
      <c r="AW1932" s="93" t="s">
        <v>20160</v>
      </c>
      <c r="AX1932" s="93" t="s">
        <v>20160</v>
      </c>
      <c r="AY1932" s="87"/>
      <c r="AZ1932" s="93" t="s">
        <v>22668</v>
      </c>
      <c r="BA1932" s="93" t="s">
        <v>22668</v>
      </c>
      <c r="BB1932" s="93" t="s">
        <v>22668</v>
      </c>
      <c r="BC1932" s="93" t="s">
        <v>20160</v>
      </c>
      <c r="BD1932" s="93" t="s">
        <v>23174</v>
      </c>
      <c r="BE1932" s="87"/>
      <c r="BF1932" s="87"/>
      <c r="BG1932" s="87"/>
      <c r="BH1932" s="87"/>
      <c r="BI1932" s="87"/>
    </row>
    <row r="1933" spans="1:61" x14ac:dyDescent="0.25">
      <c r="A1933" s="63" t="s">
        <v>880</v>
      </c>
      <c r="B1933" s="63" t="s">
        <v>880</v>
      </c>
      <c r="C1933" s="64"/>
      <c r="D1933" s="65"/>
      <c r="E1933" s="66"/>
      <c r="F1933" s="67"/>
      <c r="G1933" s="64"/>
      <c r="H1933" s="68"/>
      <c r="I1933" s="69"/>
      <c r="J1933" s="69"/>
      <c r="K1933" s="32"/>
      <c r="L1933" s="76">
        <v>1933</v>
      </c>
      <c r="M1933" s="76"/>
      <c r="N1933" s="71"/>
      <c r="O1933" s="87" t="s">
        <v>179</v>
      </c>
      <c r="P1933" s="90">
        <v>45178.637557870374</v>
      </c>
      <c r="Q1933" s="87" t="s">
        <v>3723</v>
      </c>
      <c r="R1933" s="87">
        <v>1</v>
      </c>
      <c r="S1933" s="87">
        <v>1</v>
      </c>
      <c r="T1933" s="87">
        <v>0</v>
      </c>
      <c r="U1933" s="87">
        <v>0</v>
      </c>
      <c r="V1933" s="87">
        <v>18</v>
      </c>
      <c r="W1933" s="93" t="s">
        <v>7105</v>
      </c>
      <c r="X1933" s="87"/>
      <c r="Y1933" s="87"/>
      <c r="Z1933" s="87"/>
      <c r="AA1933" s="87" t="s">
        <v>9872</v>
      </c>
      <c r="AB1933" s="87" t="s">
        <v>11447</v>
      </c>
      <c r="AC1933" s="93" t="s">
        <v>11459</v>
      </c>
      <c r="AD1933" s="87" t="s">
        <v>11519</v>
      </c>
      <c r="AE1933" s="92" t="str">
        <f>HYPERLINK("https://twitter.com/paitadoscortes/status/1700529012806758617")</f>
        <v>https://twitter.com/paitadoscortes/status/1700529012806758617</v>
      </c>
      <c r="AF1933" s="90">
        <v>45178.637557870374</v>
      </c>
      <c r="AG1933" s="99">
        <v>45178</v>
      </c>
      <c r="AH1933" s="93" t="s">
        <v>13298</v>
      </c>
      <c r="AI1933" s="87" t="b">
        <v>0</v>
      </c>
      <c r="AJ1933" s="87" t="s">
        <v>15209</v>
      </c>
      <c r="AK1933" s="87" t="s">
        <v>15234</v>
      </c>
      <c r="AL1933" s="87" t="s">
        <v>15237</v>
      </c>
      <c r="AM1933" s="87" t="s">
        <v>15280</v>
      </c>
      <c r="AN1933" s="87" t="s">
        <v>15347</v>
      </c>
      <c r="AO1933" s="87" t="s">
        <v>15412</v>
      </c>
      <c r="AP1933" s="87" t="s">
        <v>15437</v>
      </c>
      <c r="AQ1933" s="87" t="s">
        <v>16685</v>
      </c>
      <c r="AR1933" s="87">
        <v>16300</v>
      </c>
      <c r="AS1933" s="87"/>
      <c r="AT1933" s="87"/>
      <c r="AU1933" s="87"/>
      <c r="AV1933" s="92" t="str">
        <f>HYPERLINK("https://pbs.twimg.com/ext_tw_video_thumb/1700528929449078784/pu/img/aBCzDAegJH3AtR6y.jpg")</f>
        <v>https://pbs.twimg.com/ext_tw_video_thumb/1700528929449078784/pu/img/aBCzDAegJH3AtR6y.jpg</v>
      </c>
      <c r="AW1933" s="93" t="s">
        <v>20161</v>
      </c>
      <c r="AX1933" s="93" t="s">
        <v>20161</v>
      </c>
      <c r="AY1933" s="87"/>
      <c r="AZ1933" s="93" t="s">
        <v>22668</v>
      </c>
      <c r="BA1933" s="93" t="s">
        <v>22668</v>
      </c>
      <c r="BB1933" s="93" t="s">
        <v>22668</v>
      </c>
      <c r="BC1933" s="93" t="s">
        <v>20161</v>
      </c>
      <c r="BD1933" s="93" t="s">
        <v>23174</v>
      </c>
      <c r="BE1933" s="87"/>
      <c r="BF1933" s="87"/>
      <c r="BG1933" s="87"/>
      <c r="BH1933" s="87"/>
      <c r="BI1933" s="87"/>
    </row>
    <row r="1934" spans="1:61" x14ac:dyDescent="0.25">
      <c r="A1934" s="63" t="s">
        <v>881</v>
      </c>
      <c r="B1934" s="63" t="s">
        <v>881</v>
      </c>
      <c r="C1934" s="64"/>
      <c r="D1934" s="65"/>
      <c r="E1934" s="66"/>
      <c r="F1934" s="67"/>
      <c r="G1934" s="64"/>
      <c r="H1934" s="68"/>
      <c r="I1934" s="69"/>
      <c r="J1934" s="69"/>
      <c r="K1934" s="32"/>
      <c r="L1934" s="76">
        <v>1934</v>
      </c>
      <c r="M1934" s="76"/>
      <c r="N1934" s="71"/>
      <c r="O1934" s="87" t="s">
        <v>179</v>
      </c>
      <c r="P1934" s="90">
        <v>45115.985486111109</v>
      </c>
      <c r="Q1934" s="87" t="s">
        <v>3724</v>
      </c>
      <c r="R1934" s="87">
        <v>0</v>
      </c>
      <c r="S1934" s="87">
        <v>0</v>
      </c>
      <c r="T1934" s="87">
        <v>0</v>
      </c>
      <c r="U1934" s="87">
        <v>0</v>
      </c>
      <c r="V1934" s="87">
        <v>278</v>
      </c>
      <c r="W1934" s="93" t="s">
        <v>7106</v>
      </c>
      <c r="X1934" s="87"/>
      <c r="Y1934" s="87"/>
      <c r="Z1934" s="87"/>
      <c r="AA1934" s="87" t="s">
        <v>9873</v>
      </c>
      <c r="AB1934" s="87" t="s">
        <v>11451</v>
      </c>
      <c r="AC1934" s="93" t="s">
        <v>11458</v>
      </c>
      <c r="AD1934" s="87" t="s">
        <v>11519</v>
      </c>
      <c r="AE1934" s="92" t="str">
        <f>HYPERLINK("https://twitter.com/tecnologiastek/status/1677824663437582339")</f>
        <v>https://twitter.com/tecnologiastek/status/1677824663437582339</v>
      </c>
      <c r="AF1934" s="90">
        <v>45115.985486111109</v>
      </c>
      <c r="AG1934" s="99">
        <v>45115</v>
      </c>
      <c r="AH1934" s="93" t="s">
        <v>13299</v>
      </c>
      <c r="AI1934" s="87" t="b">
        <v>0</v>
      </c>
      <c r="AJ1934" s="87"/>
      <c r="AK1934" s="87"/>
      <c r="AL1934" s="87"/>
      <c r="AM1934" s="87"/>
      <c r="AN1934" s="87"/>
      <c r="AO1934" s="87"/>
      <c r="AP1934" s="87"/>
      <c r="AQ1934" s="87" t="s">
        <v>16686</v>
      </c>
      <c r="AR1934" s="87"/>
      <c r="AS1934" s="87"/>
      <c r="AT1934" s="87"/>
      <c r="AU1934" s="87"/>
      <c r="AV1934" s="92" t="str">
        <f>HYPERLINK("https://pbs.twimg.com/media/F0jUon8WIAEuLYk.jpg")</f>
        <v>https://pbs.twimg.com/media/F0jUon8WIAEuLYk.jpg</v>
      </c>
      <c r="AW1934" s="93" t="s">
        <v>20162</v>
      </c>
      <c r="AX1934" s="93" t="s">
        <v>20162</v>
      </c>
      <c r="AY1934" s="87"/>
      <c r="AZ1934" s="93" t="s">
        <v>22668</v>
      </c>
      <c r="BA1934" s="93" t="s">
        <v>22668</v>
      </c>
      <c r="BB1934" s="93" t="s">
        <v>22668</v>
      </c>
      <c r="BC1934" s="93" t="s">
        <v>20162</v>
      </c>
      <c r="BD1934" s="93" t="s">
        <v>23175</v>
      </c>
      <c r="BE1934" s="87"/>
      <c r="BF1934" s="87"/>
      <c r="BG1934" s="87"/>
      <c r="BH1934" s="87"/>
      <c r="BI1934" s="87"/>
    </row>
    <row r="1935" spans="1:61" x14ac:dyDescent="0.25">
      <c r="A1935" s="63" t="s">
        <v>882</v>
      </c>
      <c r="B1935" s="63" t="s">
        <v>882</v>
      </c>
      <c r="C1935" s="64"/>
      <c r="D1935" s="65"/>
      <c r="E1935" s="66"/>
      <c r="F1935" s="67"/>
      <c r="G1935" s="64"/>
      <c r="H1935" s="68"/>
      <c r="I1935" s="69"/>
      <c r="J1935" s="69"/>
      <c r="K1935" s="32"/>
      <c r="L1935" s="76">
        <v>1935</v>
      </c>
      <c r="M1935" s="76"/>
      <c r="N1935" s="71"/>
      <c r="O1935" s="87" t="s">
        <v>179</v>
      </c>
      <c r="P1935" s="90">
        <v>45117.728472222225</v>
      </c>
      <c r="Q1935" s="87" t="s">
        <v>3725</v>
      </c>
      <c r="R1935" s="87">
        <v>0</v>
      </c>
      <c r="S1935" s="87">
        <v>0</v>
      </c>
      <c r="T1935" s="87">
        <v>0</v>
      </c>
      <c r="U1935" s="87">
        <v>0</v>
      </c>
      <c r="V1935" s="87">
        <v>18</v>
      </c>
      <c r="W1935" s="93" t="s">
        <v>7107</v>
      </c>
      <c r="X1935" s="87"/>
      <c r="Y1935" s="87"/>
      <c r="Z1935" s="87"/>
      <c r="AA1935" s="87" t="s">
        <v>9874</v>
      </c>
      <c r="AB1935" s="87" t="s">
        <v>11448</v>
      </c>
      <c r="AC1935" s="93" t="s">
        <v>11457</v>
      </c>
      <c r="AD1935" s="87" t="s">
        <v>11519</v>
      </c>
      <c r="AE1935" s="92" t="str">
        <f>HYPERLINK("https://twitter.com/prefsjs/status/1678456298394853402")</f>
        <v>https://twitter.com/prefsjs/status/1678456298394853402</v>
      </c>
      <c r="AF1935" s="90">
        <v>45117.728472222225</v>
      </c>
      <c r="AG1935" s="99">
        <v>45117</v>
      </c>
      <c r="AH1935" s="93" t="s">
        <v>13300</v>
      </c>
      <c r="AI1935" s="87" t="b">
        <v>0</v>
      </c>
      <c r="AJ1935" s="87"/>
      <c r="AK1935" s="87"/>
      <c r="AL1935" s="87"/>
      <c r="AM1935" s="87"/>
      <c r="AN1935" s="87"/>
      <c r="AO1935" s="87"/>
      <c r="AP1935" s="87"/>
      <c r="AQ1935" s="87" t="s">
        <v>16687</v>
      </c>
      <c r="AR1935" s="87"/>
      <c r="AS1935" s="87"/>
      <c r="AT1935" s="87"/>
      <c r="AU1935" s="87"/>
      <c r="AV1935" s="92" t="str">
        <f>HYPERLINK("https://pbs.twimg.com/media/F0sTGiGXoCgdyVY.jpg")</f>
        <v>https://pbs.twimg.com/media/F0sTGiGXoCgdyVY.jpg</v>
      </c>
      <c r="AW1935" s="93" t="s">
        <v>20163</v>
      </c>
      <c r="AX1935" s="93" t="s">
        <v>20163</v>
      </c>
      <c r="AY1935" s="87"/>
      <c r="AZ1935" s="93" t="s">
        <v>22668</v>
      </c>
      <c r="BA1935" s="93" t="s">
        <v>22668</v>
      </c>
      <c r="BB1935" s="93" t="s">
        <v>22668</v>
      </c>
      <c r="BC1935" s="93" t="s">
        <v>20163</v>
      </c>
      <c r="BD1935" s="93" t="s">
        <v>23176</v>
      </c>
      <c r="BE1935" s="87"/>
      <c r="BF1935" s="87"/>
      <c r="BG1935" s="87"/>
      <c r="BH1935" s="87"/>
      <c r="BI1935" s="87"/>
    </row>
    <row r="1936" spans="1:61" x14ac:dyDescent="0.25">
      <c r="A1936" s="63" t="s">
        <v>882</v>
      </c>
      <c r="B1936" s="63" t="s">
        <v>882</v>
      </c>
      <c r="C1936" s="64"/>
      <c r="D1936" s="65"/>
      <c r="E1936" s="66"/>
      <c r="F1936" s="67"/>
      <c r="G1936" s="64"/>
      <c r="H1936" s="68"/>
      <c r="I1936" s="69"/>
      <c r="J1936" s="69"/>
      <c r="K1936" s="32"/>
      <c r="L1936" s="76">
        <v>1936</v>
      </c>
      <c r="M1936" s="76"/>
      <c r="N1936" s="71"/>
      <c r="O1936" s="87" t="s">
        <v>179</v>
      </c>
      <c r="P1936" s="90">
        <v>45155.511562500003</v>
      </c>
      <c r="Q1936" s="87" t="s">
        <v>3726</v>
      </c>
      <c r="R1936" s="87">
        <v>1</v>
      </c>
      <c r="S1936" s="87">
        <v>1</v>
      </c>
      <c r="T1936" s="87">
        <v>0</v>
      </c>
      <c r="U1936" s="87">
        <v>0</v>
      </c>
      <c r="V1936" s="87">
        <v>14</v>
      </c>
      <c r="W1936" s="93" t="s">
        <v>7108</v>
      </c>
      <c r="X1936" s="87"/>
      <c r="Y1936" s="87"/>
      <c r="Z1936" s="87"/>
      <c r="AA1936" s="87" t="s">
        <v>9875</v>
      </c>
      <c r="AB1936" s="87" t="s">
        <v>11448</v>
      </c>
      <c r="AC1936" s="93" t="s">
        <v>11457</v>
      </c>
      <c r="AD1936" s="87" t="s">
        <v>11519</v>
      </c>
      <c r="AE1936" s="92" t="str">
        <f>HYPERLINK("https://twitter.com/prefsjs/status/1692148432117305544")</f>
        <v>https://twitter.com/prefsjs/status/1692148432117305544</v>
      </c>
      <c r="AF1936" s="90">
        <v>45155.511562500003</v>
      </c>
      <c r="AG1936" s="99">
        <v>45155</v>
      </c>
      <c r="AH1936" s="93" t="s">
        <v>13301</v>
      </c>
      <c r="AI1936" s="87" t="b">
        <v>0</v>
      </c>
      <c r="AJ1936" s="87"/>
      <c r="AK1936" s="87"/>
      <c r="AL1936" s="87"/>
      <c r="AM1936" s="87"/>
      <c r="AN1936" s="87"/>
      <c r="AO1936" s="87"/>
      <c r="AP1936" s="87"/>
      <c r="AQ1936" s="87" t="s">
        <v>16688</v>
      </c>
      <c r="AR1936" s="87"/>
      <c r="AS1936" s="87"/>
      <c r="AT1936" s="87"/>
      <c r="AU1936" s="87"/>
      <c r="AV1936" s="92" t="str">
        <f>HYPERLINK("https://pbs.twimg.com/media/F3u4Bn_WMAALExz.png")</f>
        <v>https://pbs.twimg.com/media/F3u4Bn_WMAALExz.png</v>
      </c>
      <c r="AW1936" s="93" t="s">
        <v>20164</v>
      </c>
      <c r="AX1936" s="93" t="s">
        <v>20164</v>
      </c>
      <c r="AY1936" s="87"/>
      <c r="AZ1936" s="93" t="s">
        <v>22668</v>
      </c>
      <c r="BA1936" s="93" t="s">
        <v>22668</v>
      </c>
      <c r="BB1936" s="93" t="s">
        <v>22668</v>
      </c>
      <c r="BC1936" s="93" t="s">
        <v>20164</v>
      </c>
      <c r="BD1936" s="93" t="s">
        <v>23176</v>
      </c>
      <c r="BE1936" s="87"/>
      <c r="BF1936" s="87"/>
      <c r="BG1936" s="87"/>
      <c r="BH1936" s="87"/>
      <c r="BI1936" s="87"/>
    </row>
    <row r="1937" spans="1:61" x14ac:dyDescent="0.25">
      <c r="A1937" s="63" t="s">
        <v>883</v>
      </c>
      <c r="B1937" s="63" t="s">
        <v>1095</v>
      </c>
      <c r="C1937" s="64"/>
      <c r="D1937" s="65"/>
      <c r="E1937" s="66"/>
      <c r="F1937" s="67"/>
      <c r="G1937" s="64"/>
      <c r="H1937" s="68"/>
      <c r="I1937" s="69"/>
      <c r="J1937" s="69"/>
      <c r="K1937" s="32"/>
      <c r="L1937" s="76">
        <v>1937</v>
      </c>
      <c r="M1937" s="76"/>
      <c r="N1937" s="71"/>
      <c r="O1937" s="87" t="s">
        <v>1841</v>
      </c>
      <c r="P1937" s="90">
        <v>45192.154097222221</v>
      </c>
      <c r="Q1937" s="87" t="s">
        <v>3727</v>
      </c>
      <c r="R1937" s="87">
        <v>1</v>
      </c>
      <c r="S1937" s="87">
        <v>0</v>
      </c>
      <c r="T1937" s="87">
        <v>0</v>
      </c>
      <c r="U1937" s="87">
        <v>0</v>
      </c>
      <c r="V1937" s="87"/>
      <c r="W1937" s="87"/>
      <c r="X1937" s="87"/>
      <c r="Y1937" s="87"/>
      <c r="Z1937" s="87" t="s">
        <v>1095</v>
      </c>
      <c r="AA1937" s="87"/>
      <c r="AB1937" s="87"/>
      <c r="AC1937" s="93" t="s">
        <v>11459</v>
      </c>
      <c r="AD1937" s="87" t="s">
        <v>11519</v>
      </c>
      <c r="AE1937" s="92" t="str">
        <f>HYPERLINK("https://twitter.com/josiel_at/status/1705427240299770210")</f>
        <v>https://twitter.com/josiel_at/status/1705427240299770210</v>
      </c>
      <c r="AF1937" s="90">
        <v>45192.154097222221</v>
      </c>
      <c r="AG1937" s="99">
        <v>45192</v>
      </c>
      <c r="AH1937" s="93" t="s">
        <v>13302</v>
      </c>
      <c r="AI1937" s="87" t="b">
        <v>0</v>
      </c>
      <c r="AJ1937" s="87"/>
      <c r="AK1937" s="87"/>
      <c r="AL1937" s="87"/>
      <c r="AM1937" s="87"/>
      <c r="AN1937" s="87"/>
      <c r="AO1937" s="87"/>
      <c r="AP1937" s="87"/>
      <c r="AQ1937" s="87"/>
      <c r="AR1937" s="87"/>
      <c r="AS1937" s="87"/>
      <c r="AT1937" s="87"/>
      <c r="AU1937" s="87"/>
      <c r="AV1937" s="92" t="str">
        <f>HYPERLINK("https://pbs.twimg.com/profile_images/1392086029243400193/AQHujfbT_normal.jpg")</f>
        <v>https://pbs.twimg.com/profile_images/1392086029243400193/AQHujfbT_normal.jpg</v>
      </c>
      <c r="AW1937" s="93" t="s">
        <v>20165</v>
      </c>
      <c r="AX1937" s="93" t="s">
        <v>20165</v>
      </c>
      <c r="AY1937" s="87"/>
      <c r="AZ1937" s="93" t="s">
        <v>22668</v>
      </c>
      <c r="BA1937" s="93" t="s">
        <v>22668</v>
      </c>
      <c r="BB1937" s="93" t="s">
        <v>21081</v>
      </c>
      <c r="BC1937" s="93" t="s">
        <v>21081</v>
      </c>
      <c r="BD1937" s="87">
        <v>160063510</v>
      </c>
      <c r="BE1937" s="87"/>
      <c r="BF1937" s="87"/>
      <c r="BG1937" s="87"/>
      <c r="BH1937" s="87"/>
      <c r="BI1937" s="87"/>
    </row>
    <row r="1938" spans="1:61" x14ac:dyDescent="0.25">
      <c r="A1938" s="63" t="s">
        <v>884</v>
      </c>
      <c r="B1938" s="63" t="s">
        <v>884</v>
      </c>
      <c r="C1938" s="64"/>
      <c r="D1938" s="65"/>
      <c r="E1938" s="66"/>
      <c r="F1938" s="67"/>
      <c r="G1938" s="64"/>
      <c r="H1938" s="68"/>
      <c r="I1938" s="69"/>
      <c r="J1938" s="69"/>
      <c r="K1938" s="32"/>
      <c r="L1938" s="76">
        <v>1938</v>
      </c>
      <c r="M1938" s="76"/>
      <c r="N1938" s="71"/>
      <c r="O1938" s="87" t="s">
        <v>179</v>
      </c>
      <c r="P1938" s="90">
        <v>45111.807615740741</v>
      </c>
      <c r="Q1938" s="87" t="s">
        <v>3728</v>
      </c>
      <c r="R1938" s="87">
        <v>0</v>
      </c>
      <c r="S1938" s="87">
        <v>0</v>
      </c>
      <c r="T1938" s="87">
        <v>0</v>
      </c>
      <c r="U1938" s="87">
        <v>0</v>
      </c>
      <c r="V1938" s="87">
        <v>51</v>
      </c>
      <c r="W1938" s="93" t="s">
        <v>7109</v>
      </c>
      <c r="X1938" s="92" t="str">
        <f>HYPERLINK("http://t.ly/gSoMt")</f>
        <v>http://t.ly/gSoMt</v>
      </c>
      <c r="Y1938" s="87" t="s">
        <v>8477</v>
      </c>
      <c r="Z1938" s="87"/>
      <c r="AA1938" s="87" t="s">
        <v>9876</v>
      </c>
      <c r="AB1938" s="87" t="s">
        <v>11448</v>
      </c>
      <c r="AC1938" s="93" t="s">
        <v>11457</v>
      </c>
      <c r="AD1938" s="87" t="s">
        <v>11519</v>
      </c>
      <c r="AE1938" s="92" t="str">
        <f>HYPERLINK("https://twitter.com/sebraenodf/status/1676310653617729538")</f>
        <v>https://twitter.com/sebraenodf/status/1676310653617729538</v>
      </c>
      <c r="AF1938" s="90">
        <v>45111.807615740741</v>
      </c>
      <c r="AG1938" s="99">
        <v>45111</v>
      </c>
      <c r="AH1938" s="93" t="s">
        <v>13303</v>
      </c>
      <c r="AI1938" s="87" t="b">
        <v>0</v>
      </c>
      <c r="AJ1938" s="87"/>
      <c r="AK1938" s="87"/>
      <c r="AL1938" s="87"/>
      <c r="AM1938" s="87"/>
      <c r="AN1938" s="87"/>
      <c r="AO1938" s="87"/>
      <c r="AP1938" s="87"/>
      <c r="AQ1938" s="87" t="s">
        <v>16689</v>
      </c>
      <c r="AR1938" s="87"/>
      <c r="AS1938" s="87"/>
      <c r="AT1938" s="87"/>
      <c r="AU1938" s="87"/>
      <c r="AV1938" s="92" t="str">
        <f>HYPERLINK("https://pbs.twimg.com/media/F0NzNLVWcBclgw2.jpg")</f>
        <v>https://pbs.twimg.com/media/F0NzNLVWcBclgw2.jpg</v>
      </c>
      <c r="AW1938" s="93" t="s">
        <v>20166</v>
      </c>
      <c r="AX1938" s="93" t="s">
        <v>20166</v>
      </c>
      <c r="AY1938" s="87"/>
      <c r="AZ1938" s="93" t="s">
        <v>22668</v>
      </c>
      <c r="BA1938" s="93" t="s">
        <v>22668</v>
      </c>
      <c r="BB1938" s="93" t="s">
        <v>22668</v>
      </c>
      <c r="BC1938" s="93" t="s">
        <v>20166</v>
      </c>
      <c r="BD1938" s="87">
        <v>169120275</v>
      </c>
      <c r="BE1938" s="87"/>
      <c r="BF1938" s="87"/>
      <c r="BG1938" s="87"/>
      <c r="BH1938" s="87"/>
      <c r="BI1938" s="87"/>
    </row>
    <row r="1939" spans="1:61" x14ac:dyDescent="0.25">
      <c r="A1939" s="63" t="s">
        <v>884</v>
      </c>
      <c r="B1939" s="63" t="s">
        <v>884</v>
      </c>
      <c r="C1939" s="64"/>
      <c r="D1939" s="65"/>
      <c r="E1939" s="66"/>
      <c r="F1939" s="67"/>
      <c r="G1939" s="64"/>
      <c r="H1939" s="68"/>
      <c r="I1939" s="69"/>
      <c r="J1939" s="69"/>
      <c r="K1939" s="32"/>
      <c r="L1939" s="76">
        <v>1939</v>
      </c>
      <c r="M1939" s="76"/>
      <c r="N1939" s="71"/>
      <c r="O1939" s="87" t="s">
        <v>179</v>
      </c>
      <c r="P1939" s="90">
        <v>45142.777685185189</v>
      </c>
      <c r="Q1939" s="87" t="s">
        <v>3729</v>
      </c>
      <c r="R1939" s="87">
        <v>0</v>
      </c>
      <c r="S1939" s="87">
        <v>0</v>
      </c>
      <c r="T1939" s="87">
        <v>0</v>
      </c>
      <c r="U1939" s="87">
        <v>0</v>
      </c>
      <c r="V1939" s="87">
        <v>42</v>
      </c>
      <c r="W1939" s="93" t="s">
        <v>7110</v>
      </c>
      <c r="X1939" s="92" t="str">
        <f>HYPERLINK("https://radarsebrae.com.br/")</f>
        <v>https://radarsebrae.com.br/</v>
      </c>
      <c r="Y1939" s="87" t="s">
        <v>8373</v>
      </c>
      <c r="Z1939" s="87"/>
      <c r="AA1939" s="87" t="s">
        <v>9877</v>
      </c>
      <c r="AB1939" s="87" t="s">
        <v>11448</v>
      </c>
      <c r="AC1939" s="93" t="s">
        <v>11457</v>
      </c>
      <c r="AD1939" s="87" t="s">
        <v>11519</v>
      </c>
      <c r="AE1939" s="92" t="str">
        <f>HYPERLINK("https://twitter.com/sebraenodf/status/1687533830490488842")</f>
        <v>https://twitter.com/sebraenodf/status/1687533830490488842</v>
      </c>
      <c r="AF1939" s="90">
        <v>45142.777685185189</v>
      </c>
      <c r="AG1939" s="99">
        <v>45142</v>
      </c>
      <c r="AH1939" s="93" t="s">
        <v>13304</v>
      </c>
      <c r="AI1939" s="87" t="b">
        <v>0</v>
      </c>
      <c r="AJ1939" s="87"/>
      <c r="AK1939" s="87"/>
      <c r="AL1939" s="87"/>
      <c r="AM1939" s="87"/>
      <c r="AN1939" s="87"/>
      <c r="AO1939" s="87"/>
      <c r="AP1939" s="87"/>
      <c r="AQ1939" s="87" t="s">
        <v>16690</v>
      </c>
      <c r="AR1939" s="87"/>
      <c r="AS1939" s="87"/>
      <c r="AT1939" s="87"/>
      <c r="AU1939" s="87"/>
      <c r="AV1939" s="92" t="str">
        <f>HYPERLINK("https://pbs.twimg.com/media/F2tS9w5WMAAnmpQ.jpg")</f>
        <v>https://pbs.twimg.com/media/F2tS9w5WMAAnmpQ.jpg</v>
      </c>
      <c r="AW1939" s="93" t="s">
        <v>20167</v>
      </c>
      <c r="AX1939" s="93" t="s">
        <v>20167</v>
      </c>
      <c r="AY1939" s="87"/>
      <c r="AZ1939" s="93" t="s">
        <v>22668</v>
      </c>
      <c r="BA1939" s="93" t="s">
        <v>22668</v>
      </c>
      <c r="BB1939" s="93" t="s">
        <v>22668</v>
      </c>
      <c r="BC1939" s="93" t="s">
        <v>20167</v>
      </c>
      <c r="BD1939" s="87">
        <v>169120275</v>
      </c>
      <c r="BE1939" s="87"/>
      <c r="BF1939" s="87"/>
      <c r="BG1939" s="87"/>
      <c r="BH1939" s="87"/>
      <c r="BI1939" s="87"/>
    </row>
    <row r="1940" spans="1:61" x14ac:dyDescent="0.25">
      <c r="A1940" s="63" t="s">
        <v>885</v>
      </c>
      <c r="B1940" s="63" t="s">
        <v>885</v>
      </c>
      <c r="C1940" s="64"/>
      <c r="D1940" s="65"/>
      <c r="E1940" s="66"/>
      <c r="F1940" s="67"/>
      <c r="G1940" s="64"/>
      <c r="H1940" s="68"/>
      <c r="I1940" s="69"/>
      <c r="J1940" s="69"/>
      <c r="K1940" s="32"/>
      <c r="L1940" s="76">
        <v>1940</v>
      </c>
      <c r="M1940" s="76"/>
      <c r="N1940" s="71"/>
      <c r="O1940" s="87" t="s">
        <v>179</v>
      </c>
      <c r="P1940" s="90">
        <v>45155.919363425928</v>
      </c>
      <c r="Q1940" s="87" t="s">
        <v>3730</v>
      </c>
      <c r="R1940" s="87">
        <v>0</v>
      </c>
      <c r="S1940" s="87">
        <v>0</v>
      </c>
      <c r="T1940" s="87">
        <v>0</v>
      </c>
      <c r="U1940" s="87">
        <v>0</v>
      </c>
      <c r="V1940" s="87">
        <v>80</v>
      </c>
      <c r="W1940" s="93" t="s">
        <v>7111</v>
      </c>
      <c r="X1940" s="87"/>
      <c r="Y1940" s="87"/>
      <c r="Z1940" s="87"/>
      <c r="AA1940" s="87" t="s">
        <v>9878</v>
      </c>
      <c r="AB1940" s="87" t="s">
        <v>11447</v>
      </c>
      <c r="AC1940" s="93" t="s">
        <v>11457</v>
      </c>
      <c r="AD1940" s="87" t="s">
        <v>11519</v>
      </c>
      <c r="AE1940" s="92" t="str">
        <f>HYPERLINK("https://twitter.com/nerimarmendes/status/1692296212714590663")</f>
        <v>https://twitter.com/nerimarmendes/status/1692296212714590663</v>
      </c>
      <c r="AF1940" s="90">
        <v>45155.919363425928</v>
      </c>
      <c r="AG1940" s="99">
        <v>45155</v>
      </c>
      <c r="AH1940" s="93" t="s">
        <v>12889</v>
      </c>
      <c r="AI1940" s="87" t="b">
        <v>0</v>
      </c>
      <c r="AJ1940" s="87"/>
      <c r="AK1940" s="87"/>
      <c r="AL1940" s="87"/>
      <c r="AM1940" s="87"/>
      <c r="AN1940" s="87"/>
      <c r="AO1940" s="87"/>
      <c r="AP1940" s="87"/>
      <c r="AQ1940" s="87" t="s">
        <v>16691</v>
      </c>
      <c r="AR1940" s="87">
        <v>61206</v>
      </c>
      <c r="AS1940" s="87"/>
      <c r="AT1940" s="87"/>
      <c r="AU1940" s="87"/>
      <c r="AV1940" s="92" t="str">
        <f>HYPERLINK("https://pbs.twimg.com/ext_tw_video_thumb/1692294189587849217/pu/img/T1MR0ah8sptIYI3W.jpg")</f>
        <v>https://pbs.twimg.com/ext_tw_video_thumb/1692294189587849217/pu/img/T1MR0ah8sptIYI3W.jpg</v>
      </c>
      <c r="AW1940" s="93" t="s">
        <v>20168</v>
      </c>
      <c r="AX1940" s="93" t="s">
        <v>20168</v>
      </c>
      <c r="AY1940" s="87"/>
      <c r="AZ1940" s="93" t="s">
        <v>22668</v>
      </c>
      <c r="BA1940" s="93" t="s">
        <v>22668</v>
      </c>
      <c r="BB1940" s="93" t="s">
        <v>22668</v>
      </c>
      <c r="BC1940" s="93" t="s">
        <v>20168</v>
      </c>
      <c r="BD1940" s="87">
        <v>339183332</v>
      </c>
      <c r="BE1940" s="87"/>
      <c r="BF1940" s="87"/>
      <c r="BG1940" s="87"/>
      <c r="BH1940" s="87"/>
      <c r="BI1940" s="87"/>
    </row>
    <row r="1941" spans="1:61" x14ac:dyDescent="0.25">
      <c r="A1941" s="63" t="s">
        <v>885</v>
      </c>
      <c r="B1941" s="63" t="s">
        <v>885</v>
      </c>
      <c r="C1941" s="64"/>
      <c r="D1941" s="65"/>
      <c r="E1941" s="66"/>
      <c r="F1941" s="67"/>
      <c r="G1941" s="64"/>
      <c r="H1941" s="68"/>
      <c r="I1941" s="69"/>
      <c r="J1941" s="69"/>
      <c r="K1941" s="32"/>
      <c r="L1941" s="76">
        <v>1941</v>
      </c>
      <c r="M1941" s="76"/>
      <c r="N1941" s="71"/>
      <c r="O1941" s="87" t="s">
        <v>179</v>
      </c>
      <c r="P1941" s="90">
        <v>45155.062881944446</v>
      </c>
      <c r="Q1941" s="87" t="s">
        <v>3731</v>
      </c>
      <c r="R1941" s="87">
        <v>0</v>
      </c>
      <c r="S1941" s="87">
        <v>0</v>
      </c>
      <c r="T1941" s="87">
        <v>0</v>
      </c>
      <c r="U1941" s="87">
        <v>0</v>
      </c>
      <c r="V1941" s="87">
        <v>44</v>
      </c>
      <c r="W1941" s="93" t="s">
        <v>7112</v>
      </c>
      <c r="X1941" s="87"/>
      <c r="Y1941" s="87"/>
      <c r="Z1941" s="87"/>
      <c r="AA1941" s="87" t="s">
        <v>9879</v>
      </c>
      <c r="AB1941" s="87" t="s">
        <v>11447</v>
      </c>
      <c r="AC1941" s="93" t="s">
        <v>11457</v>
      </c>
      <c r="AD1941" s="87" t="s">
        <v>11519</v>
      </c>
      <c r="AE1941" s="92" t="str">
        <f>HYPERLINK("https://twitter.com/nerimarmendes/status/1691985836475076916")</f>
        <v>https://twitter.com/nerimarmendes/status/1691985836475076916</v>
      </c>
      <c r="AF1941" s="90">
        <v>45155.062881944446</v>
      </c>
      <c r="AG1941" s="99">
        <v>45155</v>
      </c>
      <c r="AH1941" s="93" t="s">
        <v>13305</v>
      </c>
      <c r="AI1941" s="87" t="b">
        <v>0</v>
      </c>
      <c r="AJ1941" s="87"/>
      <c r="AK1941" s="87"/>
      <c r="AL1941" s="87"/>
      <c r="AM1941" s="87"/>
      <c r="AN1941" s="87"/>
      <c r="AO1941" s="87"/>
      <c r="AP1941" s="87"/>
      <c r="AQ1941" s="87" t="s">
        <v>16692</v>
      </c>
      <c r="AR1941" s="87">
        <v>12166</v>
      </c>
      <c r="AS1941" s="87"/>
      <c r="AT1941" s="87"/>
      <c r="AU1941" s="87"/>
      <c r="AV1941" s="92" t="str">
        <f>HYPERLINK("https://pbs.twimg.com/ext_tw_video_thumb/1691985267769344000/pu/img/81qR54KdFtnZqA4p.jpg")</f>
        <v>https://pbs.twimg.com/ext_tw_video_thumb/1691985267769344000/pu/img/81qR54KdFtnZqA4p.jpg</v>
      </c>
      <c r="AW1941" s="93" t="s">
        <v>20169</v>
      </c>
      <c r="AX1941" s="93" t="s">
        <v>20169</v>
      </c>
      <c r="AY1941" s="87"/>
      <c r="AZ1941" s="93" t="s">
        <v>22668</v>
      </c>
      <c r="BA1941" s="93" t="s">
        <v>22668</v>
      </c>
      <c r="BB1941" s="93" t="s">
        <v>22668</v>
      </c>
      <c r="BC1941" s="93" t="s">
        <v>20169</v>
      </c>
      <c r="BD1941" s="87">
        <v>339183332</v>
      </c>
      <c r="BE1941" s="87"/>
      <c r="BF1941" s="87"/>
      <c r="BG1941" s="87"/>
      <c r="BH1941" s="87"/>
      <c r="BI1941" s="87"/>
    </row>
    <row r="1942" spans="1:61" x14ac:dyDescent="0.25">
      <c r="A1942" s="63" t="s">
        <v>885</v>
      </c>
      <c r="B1942" s="63" t="s">
        <v>885</v>
      </c>
      <c r="C1942" s="64"/>
      <c r="D1942" s="65"/>
      <c r="E1942" s="66"/>
      <c r="F1942" s="67"/>
      <c r="G1942" s="64"/>
      <c r="H1942" s="68"/>
      <c r="I1942" s="69"/>
      <c r="J1942" s="69"/>
      <c r="K1942" s="32"/>
      <c r="L1942" s="76">
        <v>1942</v>
      </c>
      <c r="M1942" s="76"/>
      <c r="N1942" s="71"/>
      <c r="O1942" s="87" t="s">
        <v>1840</v>
      </c>
      <c r="P1942" s="90">
        <v>45164.551932870374</v>
      </c>
      <c r="Q1942" s="87" t="s">
        <v>3732</v>
      </c>
      <c r="R1942" s="87">
        <v>0</v>
      </c>
      <c r="S1942" s="87">
        <v>0</v>
      </c>
      <c r="T1942" s="87">
        <v>0</v>
      </c>
      <c r="U1942" s="87">
        <v>0</v>
      </c>
      <c r="V1942" s="87">
        <v>20</v>
      </c>
      <c r="W1942" s="93" t="s">
        <v>7113</v>
      </c>
      <c r="X1942" s="87"/>
      <c r="Y1942" s="87"/>
      <c r="Z1942" s="87"/>
      <c r="AA1942" s="87"/>
      <c r="AB1942" s="87"/>
      <c r="AC1942" s="93" t="s">
        <v>11457</v>
      </c>
      <c r="AD1942" s="87" t="s">
        <v>11519</v>
      </c>
      <c r="AE1942" s="92" t="str">
        <f>HYPERLINK("https://twitter.com/nerimarmendes/status/1695424551604138091")</f>
        <v>https://twitter.com/nerimarmendes/status/1695424551604138091</v>
      </c>
      <c r="AF1942" s="90">
        <v>45164.551932870374</v>
      </c>
      <c r="AG1942" s="99">
        <v>45164</v>
      </c>
      <c r="AH1942" s="93" t="s">
        <v>13306</v>
      </c>
      <c r="AI1942" s="87"/>
      <c r="AJ1942" s="87"/>
      <c r="AK1942" s="87"/>
      <c r="AL1942" s="87"/>
      <c r="AM1942" s="87"/>
      <c r="AN1942" s="87"/>
      <c r="AO1942" s="87"/>
      <c r="AP1942" s="87"/>
      <c r="AQ1942" s="87"/>
      <c r="AR1942" s="87"/>
      <c r="AS1942" s="87"/>
      <c r="AT1942" s="87"/>
      <c r="AU1942" s="87"/>
      <c r="AV1942" s="92" t="str">
        <f>HYPERLINK("https://pbs.twimg.com/profile_images/1683946535619272705/7vtLd0an_normal.jpg")</f>
        <v>https://pbs.twimg.com/profile_images/1683946535619272705/7vtLd0an_normal.jpg</v>
      </c>
      <c r="AW1942" s="93" t="s">
        <v>20170</v>
      </c>
      <c r="AX1942" s="93" t="s">
        <v>22406</v>
      </c>
      <c r="AY1942" s="93" t="s">
        <v>22591</v>
      </c>
      <c r="AZ1942" s="93" t="s">
        <v>22406</v>
      </c>
      <c r="BA1942" s="93" t="s">
        <v>22668</v>
      </c>
      <c r="BB1942" s="93" t="s">
        <v>22668</v>
      </c>
      <c r="BC1942" s="93" t="s">
        <v>22406</v>
      </c>
      <c r="BD1942" s="87">
        <v>339183332</v>
      </c>
      <c r="BE1942" s="87"/>
      <c r="BF1942" s="87"/>
      <c r="BG1942" s="87"/>
      <c r="BH1942" s="87"/>
      <c r="BI1942" s="87"/>
    </row>
    <row r="1943" spans="1:61" x14ac:dyDescent="0.25">
      <c r="A1943" s="63" t="s">
        <v>885</v>
      </c>
      <c r="B1943" s="63" t="s">
        <v>885</v>
      </c>
      <c r="C1943" s="64"/>
      <c r="D1943" s="65"/>
      <c r="E1943" s="66"/>
      <c r="F1943" s="67"/>
      <c r="G1943" s="64"/>
      <c r="H1943" s="68"/>
      <c r="I1943" s="69"/>
      <c r="J1943" s="69"/>
      <c r="K1943" s="32"/>
      <c r="L1943" s="76">
        <v>1943</v>
      </c>
      <c r="M1943" s="76"/>
      <c r="N1943" s="71"/>
      <c r="O1943" s="87" t="s">
        <v>1840</v>
      </c>
      <c r="P1943" s="90">
        <v>45163.920358796298</v>
      </c>
      <c r="Q1943" s="87" t="s">
        <v>3733</v>
      </c>
      <c r="R1943" s="87">
        <v>0</v>
      </c>
      <c r="S1943" s="87">
        <v>0</v>
      </c>
      <c r="T1943" s="87">
        <v>0</v>
      </c>
      <c r="U1943" s="87">
        <v>0</v>
      </c>
      <c r="V1943" s="87">
        <v>23</v>
      </c>
      <c r="W1943" s="93" t="s">
        <v>7111</v>
      </c>
      <c r="X1943" s="87"/>
      <c r="Y1943" s="87"/>
      <c r="Z1943" s="87"/>
      <c r="AA1943" s="87"/>
      <c r="AB1943" s="87"/>
      <c r="AC1943" s="93" t="s">
        <v>11457</v>
      </c>
      <c r="AD1943" s="87" t="s">
        <v>11519</v>
      </c>
      <c r="AE1943" s="92" t="str">
        <f>HYPERLINK("https://twitter.com/nerimarmendes/status/1695195676911501713")</f>
        <v>https://twitter.com/nerimarmendes/status/1695195676911501713</v>
      </c>
      <c r="AF1943" s="90">
        <v>45163.920358796298</v>
      </c>
      <c r="AG1943" s="99">
        <v>45163</v>
      </c>
      <c r="AH1943" s="93" t="s">
        <v>13307</v>
      </c>
      <c r="AI1943" s="87"/>
      <c r="AJ1943" s="87"/>
      <c r="AK1943" s="87"/>
      <c r="AL1943" s="87"/>
      <c r="AM1943" s="87"/>
      <c r="AN1943" s="87"/>
      <c r="AO1943" s="87"/>
      <c r="AP1943" s="87"/>
      <c r="AQ1943" s="87"/>
      <c r="AR1943" s="87"/>
      <c r="AS1943" s="87"/>
      <c r="AT1943" s="87"/>
      <c r="AU1943" s="87"/>
      <c r="AV1943" s="92" t="str">
        <f>HYPERLINK("https://pbs.twimg.com/profile_images/1683946535619272705/7vtLd0an_normal.jpg")</f>
        <v>https://pbs.twimg.com/profile_images/1683946535619272705/7vtLd0an_normal.jpg</v>
      </c>
      <c r="AW1943" s="93" t="s">
        <v>20171</v>
      </c>
      <c r="AX1943" s="93" t="s">
        <v>22407</v>
      </c>
      <c r="AY1943" s="93" t="s">
        <v>22591</v>
      </c>
      <c r="AZ1943" s="93" t="s">
        <v>22730</v>
      </c>
      <c r="BA1943" s="93" t="s">
        <v>22668</v>
      </c>
      <c r="BB1943" s="93" t="s">
        <v>22668</v>
      </c>
      <c r="BC1943" s="93" t="s">
        <v>22730</v>
      </c>
      <c r="BD1943" s="87">
        <v>339183332</v>
      </c>
      <c r="BE1943" s="87"/>
      <c r="BF1943" s="87"/>
      <c r="BG1943" s="87"/>
      <c r="BH1943" s="87"/>
      <c r="BI1943" s="87"/>
    </row>
    <row r="1944" spans="1:61" x14ac:dyDescent="0.25">
      <c r="A1944" s="63" t="s">
        <v>885</v>
      </c>
      <c r="B1944" s="63" t="s">
        <v>885</v>
      </c>
      <c r="C1944" s="64"/>
      <c r="D1944" s="65"/>
      <c r="E1944" s="66"/>
      <c r="F1944" s="67"/>
      <c r="G1944" s="64"/>
      <c r="H1944" s="68"/>
      <c r="I1944" s="69"/>
      <c r="J1944" s="69"/>
      <c r="K1944" s="32"/>
      <c r="L1944" s="76">
        <v>1944</v>
      </c>
      <c r="M1944" s="76"/>
      <c r="N1944" s="71"/>
      <c r="O1944" s="87" t="s">
        <v>179</v>
      </c>
      <c r="P1944" s="90">
        <v>45173.850451388891</v>
      </c>
      <c r="Q1944" s="87" t="s">
        <v>3734</v>
      </c>
      <c r="R1944" s="87">
        <v>0</v>
      </c>
      <c r="S1944" s="87">
        <v>0</v>
      </c>
      <c r="T1944" s="87">
        <v>0</v>
      </c>
      <c r="U1944" s="87">
        <v>0</v>
      </c>
      <c r="V1944" s="87">
        <v>33</v>
      </c>
      <c r="W1944" s="93" t="s">
        <v>7113</v>
      </c>
      <c r="X1944" s="87"/>
      <c r="Y1944" s="87"/>
      <c r="Z1944" s="87"/>
      <c r="AA1944" s="87" t="s">
        <v>9880</v>
      </c>
      <c r="AB1944" s="87" t="s">
        <v>11447</v>
      </c>
      <c r="AC1944" s="93" t="s">
        <v>11457</v>
      </c>
      <c r="AD1944" s="87" t="s">
        <v>11519</v>
      </c>
      <c r="AE1944" s="92" t="str">
        <f>HYPERLINK("https://twitter.com/nerimarmendes/status/1698794221249994825")</f>
        <v>https://twitter.com/nerimarmendes/status/1698794221249994825</v>
      </c>
      <c r="AF1944" s="90">
        <v>45173.850451388891</v>
      </c>
      <c r="AG1944" s="99">
        <v>45173</v>
      </c>
      <c r="AH1944" s="93" t="s">
        <v>12592</v>
      </c>
      <c r="AI1944" s="87" t="b">
        <v>0</v>
      </c>
      <c r="AJ1944" s="87"/>
      <c r="AK1944" s="87"/>
      <c r="AL1944" s="87"/>
      <c r="AM1944" s="87"/>
      <c r="AN1944" s="87"/>
      <c r="AO1944" s="87"/>
      <c r="AP1944" s="87"/>
      <c r="AQ1944" s="87" t="s">
        <v>16693</v>
      </c>
      <c r="AR1944" s="87">
        <v>14025</v>
      </c>
      <c r="AS1944" s="87"/>
      <c r="AT1944" s="87"/>
      <c r="AU1944" s="87"/>
      <c r="AV1944" s="92" t="str">
        <f>HYPERLINK("https://pbs.twimg.com/ext_tw_video_thumb/1698793770441904129/pu/img/uYSRQLDHyoRr4jel.jpg")</f>
        <v>https://pbs.twimg.com/ext_tw_video_thumb/1698793770441904129/pu/img/uYSRQLDHyoRr4jel.jpg</v>
      </c>
      <c r="AW1944" s="93" t="s">
        <v>20172</v>
      </c>
      <c r="AX1944" s="93" t="s">
        <v>20172</v>
      </c>
      <c r="AY1944" s="87"/>
      <c r="AZ1944" s="93" t="s">
        <v>22668</v>
      </c>
      <c r="BA1944" s="93" t="s">
        <v>22668</v>
      </c>
      <c r="BB1944" s="93" t="s">
        <v>22668</v>
      </c>
      <c r="BC1944" s="93" t="s">
        <v>20172</v>
      </c>
      <c r="BD1944" s="87">
        <v>339183332</v>
      </c>
      <c r="BE1944" s="87"/>
      <c r="BF1944" s="87"/>
      <c r="BG1944" s="87"/>
      <c r="BH1944" s="87"/>
      <c r="BI1944" s="87"/>
    </row>
    <row r="1945" spans="1:61" x14ac:dyDescent="0.25">
      <c r="A1945" s="63" t="s">
        <v>885</v>
      </c>
      <c r="B1945" s="63" t="s">
        <v>885</v>
      </c>
      <c r="C1945" s="64"/>
      <c r="D1945" s="65"/>
      <c r="E1945" s="66"/>
      <c r="F1945" s="67"/>
      <c r="G1945" s="64"/>
      <c r="H1945" s="68"/>
      <c r="I1945" s="69"/>
      <c r="J1945" s="69"/>
      <c r="K1945" s="32"/>
      <c r="L1945" s="76">
        <v>1945</v>
      </c>
      <c r="M1945" s="76"/>
      <c r="N1945" s="71"/>
      <c r="O1945" s="87" t="s">
        <v>179</v>
      </c>
      <c r="P1945" s="90">
        <v>45161.042314814818</v>
      </c>
      <c r="Q1945" s="87" t="s">
        <v>3735</v>
      </c>
      <c r="R1945" s="87">
        <v>0</v>
      </c>
      <c r="S1945" s="87">
        <v>0</v>
      </c>
      <c r="T1945" s="87">
        <v>0</v>
      </c>
      <c r="U1945" s="87">
        <v>0</v>
      </c>
      <c r="V1945" s="87">
        <v>23</v>
      </c>
      <c r="W1945" s="93" t="s">
        <v>7114</v>
      </c>
      <c r="X1945" s="87"/>
      <c r="Y1945" s="87"/>
      <c r="Z1945" s="87"/>
      <c r="AA1945" s="87" t="s">
        <v>9881</v>
      </c>
      <c r="AB1945" s="87" t="s">
        <v>11449</v>
      </c>
      <c r="AC1945" s="93" t="s">
        <v>11457</v>
      </c>
      <c r="AD1945" s="87" t="s">
        <v>11519</v>
      </c>
      <c r="AE1945" s="92" t="str">
        <f>HYPERLINK("https://twitter.com/nerimarmendes/status/1694152710138798090")</f>
        <v>https://twitter.com/nerimarmendes/status/1694152710138798090</v>
      </c>
      <c r="AF1945" s="90">
        <v>45161.042314814818</v>
      </c>
      <c r="AG1945" s="99">
        <v>45161</v>
      </c>
      <c r="AH1945" s="93" t="s">
        <v>13308</v>
      </c>
      <c r="AI1945" s="87" t="b">
        <v>0</v>
      </c>
      <c r="AJ1945" s="87"/>
      <c r="AK1945" s="87"/>
      <c r="AL1945" s="87"/>
      <c r="AM1945" s="87"/>
      <c r="AN1945" s="87"/>
      <c r="AO1945" s="87"/>
      <c r="AP1945" s="87"/>
      <c r="AQ1945" s="87" t="s">
        <v>16694</v>
      </c>
      <c r="AR1945" s="87"/>
      <c r="AS1945" s="87"/>
      <c r="AT1945" s="87"/>
      <c r="AU1945" s="87"/>
      <c r="AV1945" s="92" t="str">
        <f>HYPERLINK("https://pbs.twimg.com/media/F4LW3q0WsAADNj9.jpg")</f>
        <v>https://pbs.twimg.com/media/F4LW3q0WsAADNj9.jpg</v>
      </c>
      <c r="AW1945" s="93" t="s">
        <v>20173</v>
      </c>
      <c r="AX1945" s="93" t="s">
        <v>20173</v>
      </c>
      <c r="AY1945" s="87"/>
      <c r="AZ1945" s="93" t="s">
        <v>22668</v>
      </c>
      <c r="BA1945" s="93" t="s">
        <v>22668</v>
      </c>
      <c r="BB1945" s="93" t="s">
        <v>22668</v>
      </c>
      <c r="BC1945" s="93" t="s">
        <v>20173</v>
      </c>
      <c r="BD1945" s="87">
        <v>339183332</v>
      </c>
      <c r="BE1945" s="87"/>
      <c r="BF1945" s="87"/>
      <c r="BG1945" s="87"/>
      <c r="BH1945" s="87"/>
      <c r="BI1945" s="87"/>
    </row>
    <row r="1946" spans="1:61" x14ac:dyDescent="0.25">
      <c r="A1946" s="63" t="s">
        <v>885</v>
      </c>
      <c r="B1946" s="63" t="s">
        <v>885</v>
      </c>
      <c r="C1946" s="64"/>
      <c r="D1946" s="65"/>
      <c r="E1946" s="66"/>
      <c r="F1946" s="67"/>
      <c r="G1946" s="64"/>
      <c r="H1946" s="68"/>
      <c r="I1946" s="69"/>
      <c r="J1946" s="69"/>
      <c r="K1946" s="32"/>
      <c r="L1946" s="76">
        <v>1946</v>
      </c>
      <c r="M1946" s="76"/>
      <c r="N1946" s="71"/>
      <c r="O1946" s="87" t="s">
        <v>179</v>
      </c>
      <c r="P1946" s="90">
        <v>45158.676134259258</v>
      </c>
      <c r="Q1946" s="87" t="s">
        <v>3736</v>
      </c>
      <c r="R1946" s="87">
        <v>0</v>
      </c>
      <c r="S1946" s="87">
        <v>1</v>
      </c>
      <c r="T1946" s="87">
        <v>0</v>
      </c>
      <c r="U1946" s="87">
        <v>0</v>
      </c>
      <c r="V1946" s="87">
        <v>82</v>
      </c>
      <c r="W1946" s="93" t="s">
        <v>7115</v>
      </c>
      <c r="X1946" s="87"/>
      <c r="Y1946" s="87"/>
      <c r="Z1946" s="87"/>
      <c r="AA1946" s="87" t="s">
        <v>9882</v>
      </c>
      <c r="AB1946" s="87" t="s">
        <v>11447</v>
      </c>
      <c r="AC1946" s="93" t="s">
        <v>11457</v>
      </c>
      <c r="AD1946" s="87" t="s">
        <v>11519</v>
      </c>
      <c r="AE1946" s="92" t="str">
        <f>HYPERLINK("https://twitter.com/nerimarmendes/status/1693295235978174611")</f>
        <v>https://twitter.com/nerimarmendes/status/1693295235978174611</v>
      </c>
      <c r="AF1946" s="90">
        <v>45158.676134259258</v>
      </c>
      <c r="AG1946" s="99">
        <v>45158</v>
      </c>
      <c r="AH1946" s="93" t="s">
        <v>13309</v>
      </c>
      <c r="AI1946" s="87" t="b">
        <v>0</v>
      </c>
      <c r="AJ1946" s="87"/>
      <c r="AK1946" s="87"/>
      <c r="AL1946" s="87"/>
      <c r="AM1946" s="87"/>
      <c r="AN1946" s="87"/>
      <c r="AO1946" s="87"/>
      <c r="AP1946" s="87"/>
      <c r="AQ1946" s="87" t="s">
        <v>16695</v>
      </c>
      <c r="AR1946" s="87">
        <v>30509</v>
      </c>
      <c r="AS1946" s="87"/>
      <c r="AT1946" s="87"/>
      <c r="AU1946" s="87"/>
      <c r="AV1946" s="92" t="str">
        <f>HYPERLINK("https://pbs.twimg.com/ext_tw_video_thumb/1693294389534031873/pu/img/f4NSBfGjtrx-VSUr.jpg")</f>
        <v>https://pbs.twimg.com/ext_tw_video_thumb/1693294389534031873/pu/img/f4NSBfGjtrx-VSUr.jpg</v>
      </c>
      <c r="AW1946" s="93" t="s">
        <v>20174</v>
      </c>
      <c r="AX1946" s="93" t="s">
        <v>20174</v>
      </c>
      <c r="AY1946" s="87"/>
      <c r="AZ1946" s="93" t="s">
        <v>22668</v>
      </c>
      <c r="BA1946" s="93" t="s">
        <v>22668</v>
      </c>
      <c r="BB1946" s="93" t="s">
        <v>22668</v>
      </c>
      <c r="BC1946" s="93" t="s">
        <v>20174</v>
      </c>
      <c r="BD1946" s="87">
        <v>339183332</v>
      </c>
      <c r="BE1946" s="87"/>
      <c r="BF1946" s="87"/>
      <c r="BG1946" s="87"/>
      <c r="BH1946" s="87"/>
      <c r="BI1946" s="87"/>
    </row>
    <row r="1947" spans="1:61" x14ac:dyDescent="0.25">
      <c r="A1947" s="63" t="s">
        <v>885</v>
      </c>
      <c r="B1947" s="63" t="s">
        <v>885</v>
      </c>
      <c r="C1947" s="64"/>
      <c r="D1947" s="65"/>
      <c r="E1947" s="66"/>
      <c r="F1947" s="67"/>
      <c r="G1947" s="64"/>
      <c r="H1947" s="68"/>
      <c r="I1947" s="69"/>
      <c r="J1947" s="69"/>
      <c r="K1947" s="32"/>
      <c r="L1947" s="76">
        <v>1947</v>
      </c>
      <c r="M1947" s="76"/>
      <c r="N1947" s="71"/>
      <c r="O1947" s="87" t="s">
        <v>179</v>
      </c>
      <c r="P1947" s="90">
        <v>45177.955995370372</v>
      </c>
      <c r="Q1947" s="87" t="s">
        <v>3737</v>
      </c>
      <c r="R1947" s="87">
        <v>0</v>
      </c>
      <c r="S1947" s="87">
        <v>0</v>
      </c>
      <c r="T1947" s="87">
        <v>0</v>
      </c>
      <c r="U1947" s="87">
        <v>0</v>
      </c>
      <c r="V1947" s="87">
        <v>47</v>
      </c>
      <c r="W1947" s="93" t="s">
        <v>7116</v>
      </c>
      <c r="X1947" s="87"/>
      <c r="Y1947" s="87"/>
      <c r="Z1947" s="87"/>
      <c r="AA1947" s="87" t="s">
        <v>9883</v>
      </c>
      <c r="AB1947" s="87" t="s">
        <v>11448</v>
      </c>
      <c r="AC1947" s="93" t="s">
        <v>11457</v>
      </c>
      <c r="AD1947" s="87" t="s">
        <v>11519</v>
      </c>
      <c r="AE1947" s="92" t="str">
        <f>HYPERLINK("https://twitter.com/nerimarmendes/status/1700282023191912494")</f>
        <v>https://twitter.com/nerimarmendes/status/1700282023191912494</v>
      </c>
      <c r="AF1947" s="90">
        <v>45177.955995370372</v>
      </c>
      <c r="AG1947" s="99">
        <v>45177</v>
      </c>
      <c r="AH1947" s="93" t="s">
        <v>13310</v>
      </c>
      <c r="AI1947" s="87" t="b">
        <v>0</v>
      </c>
      <c r="AJ1947" s="87"/>
      <c r="AK1947" s="87"/>
      <c r="AL1947" s="87"/>
      <c r="AM1947" s="87"/>
      <c r="AN1947" s="87"/>
      <c r="AO1947" s="87"/>
      <c r="AP1947" s="87"/>
      <c r="AQ1947" s="87" t="s">
        <v>16696</v>
      </c>
      <c r="AR1947" s="87"/>
      <c r="AS1947" s="87"/>
      <c r="AT1947" s="87"/>
      <c r="AU1947" s="87"/>
      <c r="AV1947" s="92" t="str">
        <f>HYPERLINK("https://pbs.twimg.com/media/F5idd8zXgAAPgAq.jpg")</f>
        <v>https://pbs.twimg.com/media/F5idd8zXgAAPgAq.jpg</v>
      </c>
      <c r="AW1947" s="93" t="s">
        <v>20175</v>
      </c>
      <c r="AX1947" s="93" t="s">
        <v>20175</v>
      </c>
      <c r="AY1947" s="87"/>
      <c r="AZ1947" s="93" t="s">
        <v>22668</v>
      </c>
      <c r="BA1947" s="93" t="s">
        <v>22668</v>
      </c>
      <c r="BB1947" s="93" t="s">
        <v>22668</v>
      </c>
      <c r="BC1947" s="93" t="s">
        <v>20175</v>
      </c>
      <c r="BD1947" s="87">
        <v>339183332</v>
      </c>
      <c r="BE1947" s="87"/>
      <c r="BF1947" s="87"/>
      <c r="BG1947" s="87"/>
      <c r="BH1947" s="87"/>
      <c r="BI1947" s="87"/>
    </row>
    <row r="1948" spans="1:61" x14ac:dyDescent="0.25">
      <c r="A1948" s="63" t="s">
        <v>885</v>
      </c>
      <c r="B1948" s="63" t="s">
        <v>885</v>
      </c>
      <c r="C1948" s="64"/>
      <c r="D1948" s="65"/>
      <c r="E1948" s="66"/>
      <c r="F1948" s="67"/>
      <c r="G1948" s="64"/>
      <c r="H1948" s="68"/>
      <c r="I1948" s="69"/>
      <c r="J1948" s="69"/>
      <c r="K1948" s="32"/>
      <c r="L1948" s="76">
        <v>1948</v>
      </c>
      <c r="M1948" s="76"/>
      <c r="N1948" s="71"/>
      <c r="O1948" s="87" t="s">
        <v>179</v>
      </c>
      <c r="P1948" s="90">
        <v>45172.88863425926</v>
      </c>
      <c r="Q1948" s="87" t="s">
        <v>3738</v>
      </c>
      <c r="R1948" s="87">
        <v>0</v>
      </c>
      <c r="S1948" s="87">
        <v>0</v>
      </c>
      <c r="T1948" s="87">
        <v>0</v>
      </c>
      <c r="U1948" s="87">
        <v>0</v>
      </c>
      <c r="V1948" s="87">
        <v>58</v>
      </c>
      <c r="W1948" s="93" t="s">
        <v>7113</v>
      </c>
      <c r="X1948" s="87"/>
      <c r="Y1948" s="87"/>
      <c r="Z1948" s="87"/>
      <c r="AA1948" s="87" t="s">
        <v>9884</v>
      </c>
      <c r="AB1948" s="87" t="s">
        <v>11447</v>
      </c>
      <c r="AC1948" s="93" t="s">
        <v>11457</v>
      </c>
      <c r="AD1948" s="87" t="s">
        <v>11519</v>
      </c>
      <c r="AE1948" s="92" t="str">
        <f>HYPERLINK("https://twitter.com/nerimarmendes/status/1698445673606140252")</f>
        <v>https://twitter.com/nerimarmendes/status/1698445673606140252</v>
      </c>
      <c r="AF1948" s="90">
        <v>45172.88863425926</v>
      </c>
      <c r="AG1948" s="99">
        <v>45172</v>
      </c>
      <c r="AH1948" s="93" t="s">
        <v>13311</v>
      </c>
      <c r="AI1948" s="87" t="b">
        <v>0</v>
      </c>
      <c r="AJ1948" s="87"/>
      <c r="AK1948" s="87"/>
      <c r="AL1948" s="87"/>
      <c r="AM1948" s="87"/>
      <c r="AN1948" s="87"/>
      <c r="AO1948" s="87"/>
      <c r="AP1948" s="87"/>
      <c r="AQ1948" s="87" t="s">
        <v>16697</v>
      </c>
      <c r="AR1948" s="87">
        <v>14025</v>
      </c>
      <c r="AS1948" s="87"/>
      <c r="AT1948" s="87"/>
      <c r="AU1948" s="87"/>
      <c r="AV1948" s="92" t="str">
        <f>HYPERLINK("https://pbs.twimg.com/ext_tw_video_thumb/1698445370508939264/pu/img/2xGc-GPrRrAg48Kp.jpg")</f>
        <v>https://pbs.twimg.com/ext_tw_video_thumb/1698445370508939264/pu/img/2xGc-GPrRrAg48Kp.jpg</v>
      </c>
      <c r="AW1948" s="93" t="s">
        <v>20176</v>
      </c>
      <c r="AX1948" s="93" t="s">
        <v>20176</v>
      </c>
      <c r="AY1948" s="87"/>
      <c r="AZ1948" s="93" t="s">
        <v>22668</v>
      </c>
      <c r="BA1948" s="93" t="s">
        <v>22668</v>
      </c>
      <c r="BB1948" s="93" t="s">
        <v>22668</v>
      </c>
      <c r="BC1948" s="93" t="s">
        <v>20176</v>
      </c>
      <c r="BD1948" s="87">
        <v>339183332</v>
      </c>
      <c r="BE1948" s="87"/>
      <c r="BF1948" s="87"/>
      <c r="BG1948" s="87"/>
      <c r="BH1948" s="87"/>
      <c r="BI1948" s="87"/>
    </row>
    <row r="1949" spans="1:61" x14ac:dyDescent="0.25">
      <c r="A1949" s="63" t="s">
        <v>885</v>
      </c>
      <c r="B1949" s="63" t="s">
        <v>885</v>
      </c>
      <c r="C1949" s="64"/>
      <c r="D1949" s="65"/>
      <c r="E1949" s="66"/>
      <c r="F1949" s="67"/>
      <c r="G1949" s="64"/>
      <c r="H1949" s="68"/>
      <c r="I1949" s="69"/>
      <c r="J1949" s="69"/>
      <c r="K1949" s="32"/>
      <c r="L1949" s="76">
        <v>1949</v>
      </c>
      <c r="M1949" s="76"/>
      <c r="N1949" s="71"/>
      <c r="O1949" s="87" t="s">
        <v>179</v>
      </c>
      <c r="P1949" s="90">
        <v>45172.568888888891</v>
      </c>
      <c r="Q1949" s="87" t="s">
        <v>3739</v>
      </c>
      <c r="R1949" s="87">
        <v>0</v>
      </c>
      <c r="S1949" s="87">
        <v>0</v>
      </c>
      <c r="T1949" s="87">
        <v>0</v>
      </c>
      <c r="U1949" s="87">
        <v>0</v>
      </c>
      <c r="V1949" s="87">
        <v>27</v>
      </c>
      <c r="W1949" s="93" t="s">
        <v>7113</v>
      </c>
      <c r="X1949" s="87"/>
      <c r="Y1949" s="87"/>
      <c r="Z1949" s="87"/>
      <c r="AA1949" s="87" t="s">
        <v>9885</v>
      </c>
      <c r="AB1949" s="87" t="s">
        <v>11447</v>
      </c>
      <c r="AC1949" s="93" t="s">
        <v>11457</v>
      </c>
      <c r="AD1949" s="87" t="s">
        <v>11519</v>
      </c>
      <c r="AE1949" s="92" t="str">
        <f>HYPERLINK("https://twitter.com/nerimarmendes/status/1698329799385661468")</f>
        <v>https://twitter.com/nerimarmendes/status/1698329799385661468</v>
      </c>
      <c r="AF1949" s="90">
        <v>45172.568888888891</v>
      </c>
      <c r="AG1949" s="99">
        <v>45172</v>
      </c>
      <c r="AH1949" s="93" t="s">
        <v>13312</v>
      </c>
      <c r="AI1949" s="87" t="b">
        <v>0</v>
      </c>
      <c r="AJ1949" s="87"/>
      <c r="AK1949" s="87"/>
      <c r="AL1949" s="87"/>
      <c r="AM1949" s="87"/>
      <c r="AN1949" s="87"/>
      <c r="AO1949" s="87"/>
      <c r="AP1949" s="87"/>
      <c r="AQ1949" s="87" t="s">
        <v>16698</v>
      </c>
      <c r="AR1949" s="87">
        <v>14025</v>
      </c>
      <c r="AS1949" s="87"/>
      <c r="AT1949" s="87"/>
      <c r="AU1949" s="87"/>
      <c r="AV1949" s="92" t="str">
        <f>HYPERLINK("https://pbs.twimg.com/ext_tw_video_thumb/1698329477669965824/pu/img/kK7dAk8zs9kdTDf6.jpg")</f>
        <v>https://pbs.twimg.com/ext_tw_video_thumb/1698329477669965824/pu/img/kK7dAk8zs9kdTDf6.jpg</v>
      </c>
      <c r="AW1949" s="93" t="s">
        <v>20177</v>
      </c>
      <c r="AX1949" s="93" t="s">
        <v>20177</v>
      </c>
      <c r="AY1949" s="87"/>
      <c r="AZ1949" s="93" t="s">
        <v>22668</v>
      </c>
      <c r="BA1949" s="93" t="s">
        <v>22668</v>
      </c>
      <c r="BB1949" s="93" t="s">
        <v>22668</v>
      </c>
      <c r="BC1949" s="93" t="s">
        <v>20177</v>
      </c>
      <c r="BD1949" s="87">
        <v>339183332</v>
      </c>
      <c r="BE1949" s="87"/>
      <c r="BF1949" s="87"/>
      <c r="BG1949" s="87"/>
      <c r="BH1949" s="87"/>
      <c r="BI1949" s="87"/>
    </row>
    <row r="1950" spans="1:61" x14ac:dyDescent="0.25">
      <c r="A1950" s="63" t="s">
        <v>885</v>
      </c>
      <c r="B1950" s="63" t="s">
        <v>885</v>
      </c>
      <c r="C1950" s="64"/>
      <c r="D1950" s="65"/>
      <c r="E1950" s="66"/>
      <c r="F1950" s="67"/>
      <c r="G1950" s="64"/>
      <c r="H1950" s="68"/>
      <c r="I1950" s="69"/>
      <c r="J1950" s="69"/>
      <c r="K1950" s="32"/>
      <c r="L1950" s="76">
        <v>1950</v>
      </c>
      <c r="M1950" s="76"/>
      <c r="N1950" s="71"/>
      <c r="O1950" s="87" t="s">
        <v>179</v>
      </c>
      <c r="P1950" s="90">
        <v>45163.59207175926</v>
      </c>
      <c r="Q1950" s="87" t="s">
        <v>3740</v>
      </c>
      <c r="R1950" s="87">
        <v>0</v>
      </c>
      <c r="S1950" s="87">
        <v>0</v>
      </c>
      <c r="T1950" s="87">
        <v>0</v>
      </c>
      <c r="U1950" s="87">
        <v>0</v>
      </c>
      <c r="V1950" s="87">
        <v>34</v>
      </c>
      <c r="W1950" s="93" t="s">
        <v>7114</v>
      </c>
      <c r="X1950" s="87"/>
      <c r="Y1950" s="87"/>
      <c r="Z1950" s="87"/>
      <c r="AA1950" s="87" t="s">
        <v>9886</v>
      </c>
      <c r="AB1950" s="87" t="s">
        <v>11447</v>
      </c>
      <c r="AC1950" s="93" t="s">
        <v>11457</v>
      </c>
      <c r="AD1950" s="87" t="s">
        <v>11519</v>
      </c>
      <c r="AE1950" s="92" t="str">
        <f>HYPERLINK("https://twitter.com/nerimarmendes/status/1695076710922756598")</f>
        <v>https://twitter.com/nerimarmendes/status/1695076710922756598</v>
      </c>
      <c r="AF1950" s="90">
        <v>45163.59207175926</v>
      </c>
      <c r="AG1950" s="99">
        <v>45163</v>
      </c>
      <c r="AH1950" s="93" t="s">
        <v>13313</v>
      </c>
      <c r="AI1950" s="87" t="b">
        <v>0</v>
      </c>
      <c r="AJ1950" s="87"/>
      <c r="AK1950" s="87"/>
      <c r="AL1950" s="87"/>
      <c r="AM1950" s="87"/>
      <c r="AN1950" s="87"/>
      <c r="AO1950" s="87"/>
      <c r="AP1950" s="87"/>
      <c r="AQ1950" s="87" t="s">
        <v>16699</v>
      </c>
      <c r="AR1950" s="87">
        <v>24077</v>
      </c>
      <c r="AS1950" s="87"/>
      <c r="AT1950" s="87"/>
      <c r="AU1950" s="87"/>
      <c r="AV1950" s="92" t="str">
        <f>HYPERLINK("https://pbs.twimg.com/ext_tw_video_thumb/1695076358907441152/pu/img/ChaSTXbSyh-SKVZf.jpg")</f>
        <v>https://pbs.twimg.com/ext_tw_video_thumb/1695076358907441152/pu/img/ChaSTXbSyh-SKVZf.jpg</v>
      </c>
      <c r="AW1950" s="93" t="s">
        <v>20178</v>
      </c>
      <c r="AX1950" s="93" t="s">
        <v>20178</v>
      </c>
      <c r="AY1950" s="87"/>
      <c r="AZ1950" s="93" t="s">
        <v>22668</v>
      </c>
      <c r="BA1950" s="93" t="s">
        <v>22668</v>
      </c>
      <c r="BB1950" s="93" t="s">
        <v>22668</v>
      </c>
      <c r="BC1950" s="93" t="s">
        <v>20178</v>
      </c>
      <c r="BD1950" s="87">
        <v>339183332</v>
      </c>
      <c r="BE1950" s="87"/>
      <c r="BF1950" s="87"/>
      <c r="BG1950" s="87"/>
      <c r="BH1950" s="87"/>
      <c r="BI1950" s="87"/>
    </row>
    <row r="1951" spans="1:61" x14ac:dyDescent="0.25">
      <c r="A1951" s="63" t="s">
        <v>885</v>
      </c>
      <c r="B1951" s="63" t="s">
        <v>885</v>
      </c>
      <c r="C1951" s="64"/>
      <c r="D1951" s="65"/>
      <c r="E1951" s="66"/>
      <c r="F1951" s="67"/>
      <c r="G1951" s="64"/>
      <c r="H1951" s="68"/>
      <c r="I1951" s="69"/>
      <c r="J1951" s="69"/>
      <c r="K1951" s="32"/>
      <c r="L1951" s="76">
        <v>1951</v>
      </c>
      <c r="M1951" s="76"/>
      <c r="N1951" s="71"/>
      <c r="O1951" s="87" t="s">
        <v>179</v>
      </c>
      <c r="P1951" s="90">
        <v>45162.983368055553</v>
      </c>
      <c r="Q1951" s="87" t="s">
        <v>3741</v>
      </c>
      <c r="R1951" s="87">
        <v>0</v>
      </c>
      <c r="S1951" s="87">
        <v>1</v>
      </c>
      <c r="T1951" s="87">
        <v>0</v>
      </c>
      <c r="U1951" s="87">
        <v>0</v>
      </c>
      <c r="V1951" s="87">
        <v>23</v>
      </c>
      <c r="W1951" s="93" t="s">
        <v>7115</v>
      </c>
      <c r="X1951" s="87"/>
      <c r="Y1951" s="87"/>
      <c r="Z1951" s="87"/>
      <c r="AA1951" s="87" t="s">
        <v>9887</v>
      </c>
      <c r="AB1951" s="87" t="s">
        <v>11447</v>
      </c>
      <c r="AC1951" s="93" t="s">
        <v>11457</v>
      </c>
      <c r="AD1951" s="87" t="s">
        <v>11520</v>
      </c>
      <c r="AE1951" s="92" t="str">
        <f>HYPERLINK("https://twitter.com/nerimarmendes/status/1694856121981317519")</f>
        <v>https://twitter.com/nerimarmendes/status/1694856121981317519</v>
      </c>
      <c r="AF1951" s="90">
        <v>45162.983368055553</v>
      </c>
      <c r="AG1951" s="99">
        <v>45162</v>
      </c>
      <c r="AH1951" s="93" t="s">
        <v>13314</v>
      </c>
      <c r="AI1951" s="87" t="b">
        <v>0</v>
      </c>
      <c r="AJ1951" s="87"/>
      <c r="AK1951" s="87"/>
      <c r="AL1951" s="87"/>
      <c r="AM1951" s="87"/>
      <c r="AN1951" s="87"/>
      <c r="AO1951" s="87"/>
      <c r="AP1951" s="87"/>
      <c r="AQ1951" s="87" t="s">
        <v>16700</v>
      </c>
      <c r="AR1951" s="87">
        <v>12705</v>
      </c>
      <c r="AS1951" s="87"/>
      <c r="AT1951" s="87"/>
      <c r="AU1951" s="87"/>
      <c r="AV1951" s="92" t="str">
        <f>HYPERLINK("https://pbs.twimg.com/ext_tw_video_thumb/1694855973175693312/pu/img/e18A4dewi8OQ_dZN.jpg")</f>
        <v>https://pbs.twimg.com/ext_tw_video_thumb/1694855973175693312/pu/img/e18A4dewi8OQ_dZN.jpg</v>
      </c>
      <c r="AW1951" s="93" t="s">
        <v>20179</v>
      </c>
      <c r="AX1951" s="93" t="s">
        <v>20179</v>
      </c>
      <c r="AY1951" s="87"/>
      <c r="AZ1951" s="93" t="s">
        <v>22668</v>
      </c>
      <c r="BA1951" s="93" t="s">
        <v>22668</v>
      </c>
      <c r="BB1951" s="93" t="s">
        <v>22668</v>
      </c>
      <c r="BC1951" s="93" t="s">
        <v>20179</v>
      </c>
      <c r="BD1951" s="87">
        <v>339183332</v>
      </c>
      <c r="BE1951" s="87"/>
      <c r="BF1951" s="87"/>
      <c r="BG1951" s="87"/>
      <c r="BH1951" s="87"/>
      <c r="BI1951" s="87"/>
    </row>
    <row r="1952" spans="1:61" x14ac:dyDescent="0.25">
      <c r="A1952" s="63" t="s">
        <v>885</v>
      </c>
      <c r="B1952" s="63" t="s">
        <v>885</v>
      </c>
      <c r="C1952" s="64"/>
      <c r="D1952" s="65"/>
      <c r="E1952" s="66"/>
      <c r="F1952" s="67"/>
      <c r="G1952" s="64"/>
      <c r="H1952" s="68"/>
      <c r="I1952" s="69"/>
      <c r="J1952" s="69"/>
      <c r="K1952" s="32"/>
      <c r="L1952" s="76">
        <v>1952</v>
      </c>
      <c r="M1952" s="76"/>
      <c r="N1952" s="71"/>
      <c r="O1952" s="87" t="s">
        <v>179</v>
      </c>
      <c r="P1952" s="90">
        <v>45162.580081018517</v>
      </c>
      <c r="Q1952" s="87" t="s">
        <v>3742</v>
      </c>
      <c r="R1952" s="87">
        <v>0</v>
      </c>
      <c r="S1952" s="87">
        <v>0</v>
      </c>
      <c r="T1952" s="87">
        <v>0</v>
      </c>
      <c r="U1952" s="87">
        <v>0</v>
      </c>
      <c r="V1952" s="87">
        <v>29</v>
      </c>
      <c r="W1952" s="93" t="s">
        <v>7115</v>
      </c>
      <c r="X1952" s="87"/>
      <c r="Y1952" s="87"/>
      <c r="Z1952" s="87"/>
      <c r="AA1952" s="87" t="s">
        <v>9888</v>
      </c>
      <c r="AB1952" s="87" t="s">
        <v>11447</v>
      </c>
      <c r="AC1952" s="93" t="s">
        <v>11457</v>
      </c>
      <c r="AD1952" s="87" t="s">
        <v>11519</v>
      </c>
      <c r="AE1952" s="92" t="str">
        <f>HYPERLINK("https://twitter.com/nerimarmendes/status/1694709975715815482")</f>
        <v>https://twitter.com/nerimarmendes/status/1694709975715815482</v>
      </c>
      <c r="AF1952" s="90">
        <v>45162.580081018517</v>
      </c>
      <c r="AG1952" s="99">
        <v>45162</v>
      </c>
      <c r="AH1952" s="93" t="s">
        <v>13315</v>
      </c>
      <c r="AI1952" s="87" t="b">
        <v>0</v>
      </c>
      <c r="AJ1952" s="87"/>
      <c r="AK1952" s="87"/>
      <c r="AL1952" s="87"/>
      <c r="AM1952" s="87"/>
      <c r="AN1952" s="87"/>
      <c r="AO1952" s="87"/>
      <c r="AP1952" s="87"/>
      <c r="AQ1952" s="87" t="s">
        <v>16701</v>
      </c>
      <c r="AR1952" s="87">
        <v>23310</v>
      </c>
      <c r="AS1952" s="87"/>
      <c r="AT1952" s="87"/>
      <c r="AU1952" s="87"/>
      <c r="AV1952" s="92" t="str">
        <f>HYPERLINK("https://pbs.twimg.com/ext_tw_video_thumb/1694708913780961281/pu/img/it0CoM9TmEn5EemS.jpg")</f>
        <v>https://pbs.twimg.com/ext_tw_video_thumb/1694708913780961281/pu/img/it0CoM9TmEn5EemS.jpg</v>
      </c>
      <c r="AW1952" s="93" t="s">
        <v>20180</v>
      </c>
      <c r="AX1952" s="93" t="s">
        <v>20180</v>
      </c>
      <c r="AY1952" s="87"/>
      <c r="AZ1952" s="93" t="s">
        <v>22668</v>
      </c>
      <c r="BA1952" s="93" t="s">
        <v>22668</v>
      </c>
      <c r="BB1952" s="93" t="s">
        <v>22668</v>
      </c>
      <c r="BC1952" s="93" t="s">
        <v>20180</v>
      </c>
      <c r="BD1952" s="87">
        <v>339183332</v>
      </c>
      <c r="BE1952" s="87"/>
      <c r="BF1952" s="87"/>
      <c r="BG1952" s="87"/>
      <c r="BH1952" s="87"/>
      <c r="BI1952" s="87"/>
    </row>
    <row r="1953" spans="1:61" x14ac:dyDescent="0.25">
      <c r="A1953" s="63" t="s">
        <v>885</v>
      </c>
      <c r="B1953" s="63" t="s">
        <v>885</v>
      </c>
      <c r="C1953" s="64"/>
      <c r="D1953" s="65"/>
      <c r="E1953" s="66"/>
      <c r="F1953" s="67"/>
      <c r="G1953" s="64"/>
      <c r="H1953" s="68"/>
      <c r="I1953" s="69"/>
      <c r="J1953" s="69"/>
      <c r="K1953" s="32"/>
      <c r="L1953" s="76">
        <v>1953</v>
      </c>
      <c r="M1953" s="76"/>
      <c r="N1953" s="71"/>
      <c r="O1953" s="87" t="s">
        <v>179</v>
      </c>
      <c r="P1953" s="90">
        <v>45149.973946759259</v>
      </c>
      <c r="Q1953" s="87" t="s">
        <v>3743</v>
      </c>
      <c r="R1953" s="87">
        <v>0</v>
      </c>
      <c r="S1953" s="87">
        <v>0</v>
      </c>
      <c r="T1953" s="87">
        <v>0</v>
      </c>
      <c r="U1953" s="87">
        <v>0</v>
      </c>
      <c r="V1953" s="87">
        <v>65</v>
      </c>
      <c r="W1953" s="93" t="s">
        <v>7117</v>
      </c>
      <c r="X1953" s="87"/>
      <c r="Y1953" s="87"/>
      <c r="Z1953" s="87"/>
      <c r="AA1953" s="87" t="s">
        <v>9889</v>
      </c>
      <c r="AB1953" s="87" t="s">
        <v>11447</v>
      </c>
      <c r="AC1953" s="93" t="s">
        <v>11457</v>
      </c>
      <c r="AD1953" s="87" t="s">
        <v>11519</v>
      </c>
      <c r="AE1953" s="92" t="str">
        <f>HYPERLINK("https://twitter.com/nerimarmendes/status/1690141667217575936")</f>
        <v>https://twitter.com/nerimarmendes/status/1690141667217575936</v>
      </c>
      <c r="AF1953" s="90">
        <v>45149.973946759259</v>
      </c>
      <c r="AG1953" s="99">
        <v>45149</v>
      </c>
      <c r="AH1953" s="93" t="s">
        <v>13316</v>
      </c>
      <c r="AI1953" s="87" t="b">
        <v>0</v>
      </c>
      <c r="AJ1953" s="87"/>
      <c r="AK1953" s="87"/>
      <c r="AL1953" s="87"/>
      <c r="AM1953" s="87"/>
      <c r="AN1953" s="87"/>
      <c r="AO1953" s="87"/>
      <c r="AP1953" s="87"/>
      <c r="AQ1953" s="87" t="s">
        <v>16702</v>
      </c>
      <c r="AR1953" s="87">
        <v>53891</v>
      </c>
      <c r="AS1953" s="87"/>
      <c r="AT1953" s="87"/>
      <c r="AU1953" s="87"/>
      <c r="AV1953" s="92" t="str">
        <f>HYPERLINK("https://pbs.twimg.com/ext_tw_video_thumb/1690139842439503872/pu/img/hg81eZFD5R8la2lE.jpg")</f>
        <v>https://pbs.twimg.com/ext_tw_video_thumb/1690139842439503872/pu/img/hg81eZFD5R8la2lE.jpg</v>
      </c>
      <c r="AW1953" s="93" t="s">
        <v>20181</v>
      </c>
      <c r="AX1953" s="93" t="s">
        <v>20181</v>
      </c>
      <c r="AY1953" s="87"/>
      <c r="AZ1953" s="93" t="s">
        <v>22668</v>
      </c>
      <c r="BA1953" s="93" t="s">
        <v>22668</v>
      </c>
      <c r="BB1953" s="93" t="s">
        <v>22668</v>
      </c>
      <c r="BC1953" s="93" t="s">
        <v>20181</v>
      </c>
      <c r="BD1953" s="87">
        <v>339183332</v>
      </c>
      <c r="BE1953" s="87"/>
      <c r="BF1953" s="87"/>
      <c r="BG1953" s="87"/>
      <c r="BH1953" s="87"/>
      <c r="BI1953" s="87"/>
    </row>
    <row r="1954" spans="1:61" x14ac:dyDescent="0.25">
      <c r="A1954" s="63" t="s">
        <v>885</v>
      </c>
      <c r="B1954" s="63" t="s">
        <v>885</v>
      </c>
      <c r="C1954" s="64"/>
      <c r="D1954" s="65"/>
      <c r="E1954" s="66"/>
      <c r="F1954" s="67"/>
      <c r="G1954" s="64"/>
      <c r="H1954" s="68"/>
      <c r="I1954" s="69"/>
      <c r="J1954" s="69"/>
      <c r="K1954" s="32"/>
      <c r="L1954" s="76">
        <v>1954</v>
      </c>
      <c r="M1954" s="76"/>
      <c r="N1954" s="71"/>
      <c r="O1954" s="87" t="s">
        <v>179</v>
      </c>
      <c r="P1954" s="90">
        <v>45178.858773148146</v>
      </c>
      <c r="Q1954" s="87" t="s">
        <v>3744</v>
      </c>
      <c r="R1954" s="87">
        <v>0</v>
      </c>
      <c r="S1954" s="87">
        <v>0</v>
      </c>
      <c r="T1954" s="87">
        <v>0</v>
      </c>
      <c r="U1954" s="87">
        <v>0</v>
      </c>
      <c r="V1954" s="87">
        <v>124</v>
      </c>
      <c r="W1954" s="93" t="s">
        <v>7118</v>
      </c>
      <c r="X1954" s="87"/>
      <c r="Y1954" s="87"/>
      <c r="Z1954" s="87"/>
      <c r="AA1954" s="87" t="s">
        <v>9890</v>
      </c>
      <c r="AB1954" s="87" t="s">
        <v>11447</v>
      </c>
      <c r="AC1954" s="93" t="s">
        <v>11457</v>
      </c>
      <c r="AD1954" s="87" t="s">
        <v>11519</v>
      </c>
      <c r="AE1954" s="92" t="str">
        <f>HYPERLINK("https://twitter.com/nerimarmendes/status/1700609180019601749")</f>
        <v>https://twitter.com/nerimarmendes/status/1700609180019601749</v>
      </c>
      <c r="AF1954" s="90">
        <v>45178.858773148146</v>
      </c>
      <c r="AG1954" s="99">
        <v>45178</v>
      </c>
      <c r="AH1954" s="93" t="s">
        <v>13317</v>
      </c>
      <c r="AI1954" s="87" t="b">
        <v>0</v>
      </c>
      <c r="AJ1954" s="87"/>
      <c r="AK1954" s="87"/>
      <c r="AL1954" s="87"/>
      <c r="AM1954" s="87"/>
      <c r="AN1954" s="87"/>
      <c r="AO1954" s="87"/>
      <c r="AP1954" s="87"/>
      <c r="AQ1954" s="87" t="s">
        <v>16703</v>
      </c>
      <c r="AR1954" s="87">
        <v>25517</v>
      </c>
      <c r="AS1954" s="87"/>
      <c r="AT1954" s="87"/>
      <c r="AU1954" s="87"/>
      <c r="AV1954" s="92" t="str">
        <f>HYPERLINK("https://pbs.twimg.com/ext_tw_video_thumb/1700609096699777025/pu/img/RhH-XwYA67ChJbCU.jpg")</f>
        <v>https://pbs.twimg.com/ext_tw_video_thumb/1700609096699777025/pu/img/RhH-XwYA67ChJbCU.jpg</v>
      </c>
      <c r="AW1954" s="93" t="s">
        <v>20182</v>
      </c>
      <c r="AX1954" s="93" t="s">
        <v>20182</v>
      </c>
      <c r="AY1954" s="87"/>
      <c r="AZ1954" s="93" t="s">
        <v>22668</v>
      </c>
      <c r="BA1954" s="93" t="s">
        <v>22668</v>
      </c>
      <c r="BB1954" s="93" t="s">
        <v>22668</v>
      </c>
      <c r="BC1954" s="93" t="s">
        <v>20182</v>
      </c>
      <c r="BD1954" s="87">
        <v>339183332</v>
      </c>
      <c r="BE1954" s="87"/>
      <c r="BF1954" s="87"/>
      <c r="BG1954" s="87"/>
      <c r="BH1954" s="87"/>
      <c r="BI1954" s="87"/>
    </row>
    <row r="1955" spans="1:61" x14ac:dyDescent="0.25">
      <c r="A1955" s="63" t="s">
        <v>885</v>
      </c>
      <c r="B1955" s="63" t="s">
        <v>885</v>
      </c>
      <c r="C1955" s="64"/>
      <c r="D1955" s="65"/>
      <c r="E1955" s="66"/>
      <c r="F1955" s="67"/>
      <c r="G1955" s="64"/>
      <c r="H1955" s="68"/>
      <c r="I1955" s="69"/>
      <c r="J1955" s="69"/>
      <c r="K1955" s="32"/>
      <c r="L1955" s="76">
        <v>1955</v>
      </c>
      <c r="M1955" s="76"/>
      <c r="N1955" s="71"/>
      <c r="O1955" s="87" t="s">
        <v>179</v>
      </c>
      <c r="P1955" s="90">
        <v>45176.502638888887</v>
      </c>
      <c r="Q1955" s="87" t="s">
        <v>3745</v>
      </c>
      <c r="R1955" s="87">
        <v>0</v>
      </c>
      <c r="S1955" s="87">
        <v>0</v>
      </c>
      <c r="T1955" s="87">
        <v>0</v>
      </c>
      <c r="U1955" s="87">
        <v>0</v>
      </c>
      <c r="V1955" s="87">
        <v>5</v>
      </c>
      <c r="W1955" s="93" t="s">
        <v>7114</v>
      </c>
      <c r="X1955" s="87"/>
      <c r="Y1955" s="87"/>
      <c r="Z1955" s="87"/>
      <c r="AA1955" s="87" t="s">
        <v>9891</v>
      </c>
      <c r="AB1955" s="87" t="s">
        <v>11447</v>
      </c>
      <c r="AC1955" s="93" t="s">
        <v>11457</v>
      </c>
      <c r="AD1955" s="87" t="s">
        <v>11519</v>
      </c>
      <c r="AE1955" s="92" t="str">
        <f>HYPERLINK("https://twitter.com/nerimarmendes/status/1699755345520845139")</f>
        <v>https://twitter.com/nerimarmendes/status/1699755345520845139</v>
      </c>
      <c r="AF1955" s="90">
        <v>45176.502638888887</v>
      </c>
      <c r="AG1955" s="99">
        <v>45176</v>
      </c>
      <c r="AH1955" s="93" t="s">
        <v>13318</v>
      </c>
      <c r="AI1955" s="87" t="b">
        <v>0</v>
      </c>
      <c r="AJ1955" s="87"/>
      <c r="AK1955" s="87"/>
      <c r="AL1955" s="87"/>
      <c r="AM1955" s="87"/>
      <c r="AN1955" s="87"/>
      <c r="AO1955" s="87"/>
      <c r="AP1955" s="87"/>
      <c r="AQ1955" s="87" t="s">
        <v>16704</v>
      </c>
      <c r="AR1955" s="87">
        <v>8481</v>
      </c>
      <c r="AS1955" s="87"/>
      <c r="AT1955" s="87"/>
      <c r="AU1955" s="87"/>
      <c r="AV1955" s="92" t="str">
        <f>HYPERLINK("https://pbs.twimg.com/ext_tw_video_thumb/1699755219888848897/pu/img/J1qLp9RwP0U4-Ur_.jpg")</f>
        <v>https://pbs.twimg.com/ext_tw_video_thumb/1699755219888848897/pu/img/J1qLp9RwP0U4-Ur_.jpg</v>
      </c>
      <c r="AW1955" s="93" t="s">
        <v>20183</v>
      </c>
      <c r="AX1955" s="93" t="s">
        <v>20183</v>
      </c>
      <c r="AY1955" s="87"/>
      <c r="AZ1955" s="93" t="s">
        <v>22668</v>
      </c>
      <c r="BA1955" s="93" t="s">
        <v>22668</v>
      </c>
      <c r="BB1955" s="93" t="s">
        <v>22668</v>
      </c>
      <c r="BC1955" s="93" t="s">
        <v>20183</v>
      </c>
      <c r="BD1955" s="87">
        <v>339183332</v>
      </c>
      <c r="BE1955" s="87"/>
      <c r="BF1955" s="87"/>
      <c r="BG1955" s="87"/>
      <c r="BH1955" s="87"/>
      <c r="BI1955" s="87"/>
    </row>
    <row r="1956" spans="1:61" x14ac:dyDescent="0.25">
      <c r="A1956" s="63" t="s">
        <v>885</v>
      </c>
      <c r="B1956" s="63" t="s">
        <v>885</v>
      </c>
      <c r="C1956" s="64"/>
      <c r="D1956" s="65"/>
      <c r="E1956" s="66"/>
      <c r="F1956" s="67"/>
      <c r="G1956" s="64"/>
      <c r="H1956" s="68"/>
      <c r="I1956" s="69"/>
      <c r="J1956" s="69"/>
      <c r="K1956" s="32"/>
      <c r="L1956" s="76">
        <v>1956</v>
      </c>
      <c r="M1956" s="76"/>
      <c r="N1956" s="71"/>
      <c r="O1956" s="87" t="s">
        <v>179</v>
      </c>
      <c r="P1956" s="90">
        <v>45157.627071759256</v>
      </c>
      <c r="Q1956" s="87" t="s">
        <v>3746</v>
      </c>
      <c r="R1956" s="87">
        <v>0</v>
      </c>
      <c r="S1956" s="87">
        <v>0</v>
      </c>
      <c r="T1956" s="87">
        <v>0</v>
      </c>
      <c r="U1956" s="87">
        <v>0</v>
      </c>
      <c r="V1956" s="87">
        <v>27</v>
      </c>
      <c r="W1956" s="93" t="s">
        <v>7119</v>
      </c>
      <c r="X1956" s="87"/>
      <c r="Y1956" s="87"/>
      <c r="Z1956" s="87"/>
      <c r="AA1956" s="87" t="s">
        <v>9892</v>
      </c>
      <c r="AB1956" s="87" t="s">
        <v>11450</v>
      </c>
      <c r="AC1956" s="93" t="s">
        <v>11457</v>
      </c>
      <c r="AD1956" s="87" t="s">
        <v>11519</v>
      </c>
      <c r="AE1956" s="92" t="str">
        <f>HYPERLINK("https://twitter.com/nerimarmendes/status/1692915067774198104")</f>
        <v>https://twitter.com/nerimarmendes/status/1692915067774198104</v>
      </c>
      <c r="AF1956" s="90">
        <v>45157.627071759256</v>
      </c>
      <c r="AG1956" s="99">
        <v>45157</v>
      </c>
      <c r="AH1956" s="93" t="s">
        <v>13319</v>
      </c>
      <c r="AI1956" s="87" t="b">
        <v>0</v>
      </c>
      <c r="AJ1956" s="87"/>
      <c r="AK1956" s="87"/>
      <c r="AL1956" s="87"/>
      <c r="AM1956" s="87"/>
      <c r="AN1956" s="87"/>
      <c r="AO1956" s="87"/>
      <c r="AP1956" s="87"/>
      <c r="AQ1956" s="87" t="s">
        <v>16705</v>
      </c>
      <c r="AR1956" s="87"/>
      <c r="AS1956" s="87"/>
      <c r="AT1956" s="87"/>
      <c r="AU1956" s="87"/>
      <c r="AV1956" s="92" t="str">
        <f>HYPERLINK("https://pbs.twimg.com/media/F35xIXcXkAA_Tny.jpg")</f>
        <v>https://pbs.twimg.com/media/F35xIXcXkAA_Tny.jpg</v>
      </c>
      <c r="AW1956" s="93" t="s">
        <v>20184</v>
      </c>
      <c r="AX1956" s="93" t="s">
        <v>20184</v>
      </c>
      <c r="AY1956" s="87"/>
      <c r="AZ1956" s="93" t="s">
        <v>22668</v>
      </c>
      <c r="BA1956" s="93" t="s">
        <v>22668</v>
      </c>
      <c r="BB1956" s="93" t="s">
        <v>22668</v>
      </c>
      <c r="BC1956" s="93" t="s">
        <v>20184</v>
      </c>
      <c r="BD1956" s="87">
        <v>339183332</v>
      </c>
      <c r="BE1956" s="87"/>
      <c r="BF1956" s="87"/>
      <c r="BG1956" s="87"/>
      <c r="BH1956" s="87"/>
      <c r="BI1956" s="87"/>
    </row>
    <row r="1957" spans="1:61" x14ac:dyDescent="0.25">
      <c r="A1957" s="63" t="s">
        <v>885</v>
      </c>
      <c r="B1957" s="63" t="s">
        <v>885</v>
      </c>
      <c r="C1957" s="64"/>
      <c r="D1957" s="65"/>
      <c r="E1957" s="66"/>
      <c r="F1957" s="67"/>
      <c r="G1957" s="64"/>
      <c r="H1957" s="68"/>
      <c r="I1957" s="69"/>
      <c r="J1957" s="69"/>
      <c r="K1957" s="32"/>
      <c r="L1957" s="76">
        <v>1957</v>
      </c>
      <c r="M1957" s="76"/>
      <c r="N1957" s="71"/>
      <c r="O1957" s="87" t="s">
        <v>179</v>
      </c>
      <c r="P1957" s="90">
        <v>45156.947615740741</v>
      </c>
      <c r="Q1957" s="87" t="s">
        <v>3747</v>
      </c>
      <c r="R1957" s="87">
        <v>0</v>
      </c>
      <c r="S1957" s="87">
        <v>0</v>
      </c>
      <c r="T1957" s="87">
        <v>0</v>
      </c>
      <c r="U1957" s="87">
        <v>0</v>
      </c>
      <c r="V1957" s="87">
        <v>39</v>
      </c>
      <c r="W1957" s="93" t="s">
        <v>7115</v>
      </c>
      <c r="X1957" s="87"/>
      <c r="Y1957" s="87"/>
      <c r="Z1957" s="87"/>
      <c r="AA1957" s="87" t="s">
        <v>9893</v>
      </c>
      <c r="AB1957" s="87" t="s">
        <v>11447</v>
      </c>
      <c r="AC1957" s="93" t="s">
        <v>11457</v>
      </c>
      <c r="AD1957" s="87" t="s">
        <v>11519</v>
      </c>
      <c r="AE1957" s="92" t="str">
        <f>HYPERLINK("https://twitter.com/nerimarmendes/status/1692668841678000472")</f>
        <v>https://twitter.com/nerimarmendes/status/1692668841678000472</v>
      </c>
      <c r="AF1957" s="90">
        <v>45156.947615740741</v>
      </c>
      <c r="AG1957" s="99">
        <v>45156</v>
      </c>
      <c r="AH1957" s="93" t="s">
        <v>13320</v>
      </c>
      <c r="AI1957" s="87" t="b">
        <v>0</v>
      </c>
      <c r="AJ1957" s="87"/>
      <c r="AK1957" s="87"/>
      <c r="AL1957" s="87"/>
      <c r="AM1957" s="87"/>
      <c r="AN1957" s="87"/>
      <c r="AO1957" s="87"/>
      <c r="AP1957" s="87"/>
      <c r="AQ1957" s="87" t="s">
        <v>16706</v>
      </c>
      <c r="AR1957" s="87">
        <v>11655</v>
      </c>
      <c r="AS1957" s="87"/>
      <c r="AT1957" s="87"/>
      <c r="AU1957" s="87"/>
      <c r="AV1957" s="92" t="str">
        <f>HYPERLINK("https://pbs.twimg.com/ext_tw_video_thumb/1692668713995042816/pu/img/PNQLFYKk8F4K4amF.jpg")</f>
        <v>https://pbs.twimg.com/ext_tw_video_thumb/1692668713995042816/pu/img/PNQLFYKk8F4K4amF.jpg</v>
      </c>
      <c r="AW1957" s="93" t="s">
        <v>20185</v>
      </c>
      <c r="AX1957" s="93" t="s">
        <v>20185</v>
      </c>
      <c r="AY1957" s="87"/>
      <c r="AZ1957" s="93" t="s">
        <v>22668</v>
      </c>
      <c r="BA1957" s="93" t="s">
        <v>22668</v>
      </c>
      <c r="BB1957" s="93" t="s">
        <v>22668</v>
      </c>
      <c r="BC1957" s="93" t="s">
        <v>20185</v>
      </c>
      <c r="BD1957" s="87">
        <v>339183332</v>
      </c>
      <c r="BE1957" s="87"/>
      <c r="BF1957" s="87"/>
      <c r="BG1957" s="87"/>
      <c r="BH1957" s="87"/>
      <c r="BI1957" s="87"/>
    </row>
    <row r="1958" spans="1:61" x14ac:dyDescent="0.25">
      <c r="A1958" s="63" t="s">
        <v>885</v>
      </c>
      <c r="B1958" s="63" t="s">
        <v>885</v>
      </c>
      <c r="C1958" s="64"/>
      <c r="D1958" s="65"/>
      <c r="E1958" s="66"/>
      <c r="F1958" s="67"/>
      <c r="G1958" s="64"/>
      <c r="H1958" s="68"/>
      <c r="I1958" s="69"/>
      <c r="J1958" s="69"/>
      <c r="K1958" s="32"/>
      <c r="L1958" s="76">
        <v>1958</v>
      </c>
      <c r="M1958" s="76"/>
      <c r="N1958" s="71"/>
      <c r="O1958" s="87" t="s">
        <v>179</v>
      </c>
      <c r="P1958" s="90">
        <v>45180.417893518519</v>
      </c>
      <c r="Q1958" s="87" t="s">
        <v>3748</v>
      </c>
      <c r="R1958" s="87">
        <v>0</v>
      </c>
      <c r="S1958" s="87">
        <v>0</v>
      </c>
      <c r="T1958" s="87">
        <v>0</v>
      </c>
      <c r="U1958" s="87">
        <v>0</v>
      </c>
      <c r="V1958" s="87">
        <v>69</v>
      </c>
      <c r="W1958" s="93" t="s">
        <v>7118</v>
      </c>
      <c r="X1958" s="87"/>
      <c r="Y1958" s="87"/>
      <c r="Z1958" s="87"/>
      <c r="AA1958" s="87" t="s">
        <v>9894</v>
      </c>
      <c r="AB1958" s="87" t="s">
        <v>11447</v>
      </c>
      <c r="AC1958" s="93" t="s">
        <v>11457</v>
      </c>
      <c r="AD1958" s="87" t="s">
        <v>11519</v>
      </c>
      <c r="AE1958" s="92" t="str">
        <f>HYPERLINK("https://twitter.com/nerimarmendes/status/1701174184389341338")</f>
        <v>https://twitter.com/nerimarmendes/status/1701174184389341338</v>
      </c>
      <c r="AF1958" s="90">
        <v>45180.417893518519</v>
      </c>
      <c r="AG1958" s="99">
        <v>45180</v>
      </c>
      <c r="AH1958" s="93" t="s">
        <v>13321</v>
      </c>
      <c r="AI1958" s="87" t="b">
        <v>0</v>
      </c>
      <c r="AJ1958" s="87"/>
      <c r="AK1958" s="87"/>
      <c r="AL1958" s="87"/>
      <c r="AM1958" s="87"/>
      <c r="AN1958" s="87"/>
      <c r="AO1958" s="87"/>
      <c r="AP1958" s="87"/>
      <c r="AQ1958" s="87" t="s">
        <v>16707</v>
      </c>
      <c r="AR1958" s="87">
        <v>20361</v>
      </c>
      <c r="AS1958" s="87"/>
      <c r="AT1958" s="87"/>
      <c r="AU1958" s="87"/>
      <c r="AV1958" s="92" t="str">
        <f>HYPERLINK("https://pbs.twimg.com/ext_tw_video_thumb/1701173867358650368/pu/img/hW6Hh2b1erpMAA1m.jpg")</f>
        <v>https://pbs.twimg.com/ext_tw_video_thumb/1701173867358650368/pu/img/hW6Hh2b1erpMAA1m.jpg</v>
      </c>
      <c r="AW1958" s="93" t="s">
        <v>20186</v>
      </c>
      <c r="AX1958" s="93" t="s">
        <v>20186</v>
      </c>
      <c r="AY1958" s="87"/>
      <c r="AZ1958" s="93" t="s">
        <v>22668</v>
      </c>
      <c r="BA1958" s="93" t="s">
        <v>22668</v>
      </c>
      <c r="BB1958" s="93" t="s">
        <v>22668</v>
      </c>
      <c r="BC1958" s="93" t="s">
        <v>20186</v>
      </c>
      <c r="BD1958" s="87">
        <v>339183332</v>
      </c>
      <c r="BE1958" s="87"/>
      <c r="BF1958" s="87"/>
      <c r="BG1958" s="87"/>
      <c r="BH1958" s="87"/>
      <c r="BI1958" s="87"/>
    </row>
    <row r="1959" spans="1:61" x14ac:dyDescent="0.25">
      <c r="A1959" s="63" t="s">
        <v>885</v>
      </c>
      <c r="B1959" s="63" t="s">
        <v>885</v>
      </c>
      <c r="C1959" s="64"/>
      <c r="D1959" s="65"/>
      <c r="E1959" s="66"/>
      <c r="F1959" s="67"/>
      <c r="G1959" s="64"/>
      <c r="H1959" s="68"/>
      <c r="I1959" s="69"/>
      <c r="J1959" s="69"/>
      <c r="K1959" s="32"/>
      <c r="L1959" s="76">
        <v>1959</v>
      </c>
      <c r="M1959" s="76"/>
      <c r="N1959" s="71"/>
      <c r="O1959" s="87" t="s">
        <v>1840</v>
      </c>
      <c r="P1959" s="90">
        <v>45162.415011574078</v>
      </c>
      <c r="Q1959" s="87" t="s">
        <v>3749</v>
      </c>
      <c r="R1959" s="87">
        <v>0</v>
      </c>
      <c r="S1959" s="87">
        <v>0</v>
      </c>
      <c r="T1959" s="87">
        <v>0</v>
      </c>
      <c r="U1959" s="87">
        <v>0</v>
      </c>
      <c r="V1959" s="87">
        <v>14</v>
      </c>
      <c r="W1959" s="93" t="s">
        <v>7115</v>
      </c>
      <c r="X1959" s="87"/>
      <c r="Y1959" s="87"/>
      <c r="Z1959" s="87"/>
      <c r="AA1959" s="87"/>
      <c r="AB1959" s="87"/>
      <c r="AC1959" s="93" t="s">
        <v>11457</v>
      </c>
      <c r="AD1959" s="87" t="s">
        <v>11519</v>
      </c>
      <c r="AE1959" s="92" t="str">
        <f>HYPERLINK("https://twitter.com/nerimarmendes/status/1694650158884016471")</f>
        <v>https://twitter.com/nerimarmendes/status/1694650158884016471</v>
      </c>
      <c r="AF1959" s="90">
        <v>45162.415011574078</v>
      </c>
      <c r="AG1959" s="99">
        <v>45162</v>
      </c>
      <c r="AH1959" s="93" t="s">
        <v>13322</v>
      </c>
      <c r="AI1959" s="87"/>
      <c r="AJ1959" s="87"/>
      <c r="AK1959" s="87"/>
      <c r="AL1959" s="87"/>
      <c r="AM1959" s="87"/>
      <c r="AN1959" s="87"/>
      <c r="AO1959" s="87"/>
      <c r="AP1959" s="87"/>
      <c r="AQ1959" s="87"/>
      <c r="AR1959" s="87"/>
      <c r="AS1959" s="87"/>
      <c r="AT1959" s="87"/>
      <c r="AU1959" s="87"/>
      <c r="AV1959" s="92" t="str">
        <f>HYPERLINK("https://pbs.twimg.com/profile_images/1683946535619272705/7vtLd0an_normal.jpg")</f>
        <v>https://pbs.twimg.com/profile_images/1683946535619272705/7vtLd0an_normal.jpg</v>
      </c>
      <c r="AW1959" s="93" t="s">
        <v>20187</v>
      </c>
      <c r="AX1959" s="93" t="s">
        <v>22408</v>
      </c>
      <c r="AY1959" s="93" t="s">
        <v>22591</v>
      </c>
      <c r="AZ1959" s="93" t="s">
        <v>22731</v>
      </c>
      <c r="BA1959" s="93" t="s">
        <v>22668</v>
      </c>
      <c r="BB1959" s="93" t="s">
        <v>22668</v>
      </c>
      <c r="BC1959" s="93" t="s">
        <v>22731</v>
      </c>
      <c r="BD1959" s="87">
        <v>339183332</v>
      </c>
      <c r="BE1959" s="87"/>
      <c r="BF1959" s="87"/>
      <c r="BG1959" s="87"/>
      <c r="BH1959" s="87"/>
      <c r="BI1959" s="87"/>
    </row>
    <row r="1960" spans="1:61" x14ac:dyDescent="0.25">
      <c r="A1960" s="63" t="s">
        <v>885</v>
      </c>
      <c r="B1960" s="63" t="s">
        <v>885</v>
      </c>
      <c r="C1960" s="64"/>
      <c r="D1960" s="65"/>
      <c r="E1960" s="66"/>
      <c r="F1960" s="67"/>
      <c r="G1960" s="64"/>
      <c r="H1960" s="68"/>
      <c r="I1960" s="69"/>
      <c r="J1960" s="69"/>
      <c r="K1960" s="32"/>
      <c r="L1960" s="76">
        <v>1960</v>
      </c>
      <c r="M1960" s="76"/>
      <c r="N1960" s="71"/>
      <c r="O1960" s="87" t="s">
        <v>179</v>
      </c>
      <c r="P1960" s="90">
        <v>45161.893564814818</v>
      </c>
      <c r="Q1960" s="87" t="s">
        <v>3750</v>
      </c>
      <c r="R1960" s="87">
        <v>0</v>
      </c>
      <c r="S1960" s="87">
        <v>1</v>
      </c>
      <c r="T1960" s="87">
        <v>0</v>
      </c>
      <c r="U1960" s="87">
        <v>0</v>
      </c>
      <c r="V1960" s="87">
        <v>64</v>
      </c>
      <c r="W1960" s="93" t="s">
        <v>7115</v>
      </c>
      <c r="X1960" s="87"/>
      <c r="Y1960" s="87"/>
      <c r="Z1960" s="87"/>
      <c r="AA1960" s="87" t="s">
        <v>9895</v>
      </c>
      <c r="AB1960" s="87" t="s">
        <v>11447</v>
      </c>
      <c r="AC1960" s="93" t="s">
        <v>11457</v>
      </c>
      <c r="AD1960" s="87" t="s">
        <v>11519</v>
      </c>
      <c r="AE1960" s="92" t="str">
        <f>HYPERLINK("https://twitter.com/nerimarmendes/status/1694461192821989658")</f>
        <v>https://twitter.com/nerimarmendes/status/1694461192821989658</v>
      </c>
      <c r="AF1960" s="90">
        <v>45161.893564814818</v>
      </c>
      <c r="AG1960" s="99">
        <v>45161</v>
      </c>
      <c r="AH1960" s="93" t="s">
        <v>13323</v>
      </c>
      <c r="AI1960" s="87" t="b">
        <v>0</v>
      </c>
      <c r="AJ1960" s="87"/>
      <c r="AK1960" s="87"/>
      <c r="AL1960" s="87"/>
      <c r="AM1960" s="87"/>
      <c r="AN1960" s="87"/>
      <c r="AO1960" s="87"/>
      <c r="AP1960" s="87"/>
      <c r="AQ1960" s="87" t="s">
        <v>16708</v>
      </c>
      <c r="AR1960" s="87">
        <v>9009</v>
      </c>
      <c r="AS1960" s="87"/>
      <c r="AT1960" s="87"/>
      <c r="AU1960" s="87"/>
      <c r="AV1960" s="92" t="str">
        <f>HYPERLINK("https://pbs.twimg.com/ext_tw_video_thumb/1694460801245933568/pu/img/6uPdiOy8AEki7LYY.jpg")</f>
        <v>https://pbs.twimg.com/ext_tw_video_thumb/1694460801245933568/pu/img/6uPdiOy8AEki7LYY.jpg</v>
      </c>
      <c r="AW1960" s="93" t="s">
        <v>20188</v>
      </c>
      <c r="AX1960" s="93" t="s">
        <v>20188</v>
      </c>
      <c r="AY1960" s="87"/>
      <c r="AZ1960" s="93" t="s">
        <v>22668</v>
      </c>
      <c r="BA1960" s="93" t="s">
        <v>22668</v>
      </c>
      <c r="BB1960" s="93" t="s">
        <v>22668</v>
      </c>
      <c r="BC1960" s="93" t="s">
        <v>20188</v>
      </c>
      <c r="BD1960" s="87">
        <v>339183332</v>
      </c>
      <c r="BE1960" s="87"/>
      <c r="BF1960" s="87"/>
      <c r="BG1960" s="87"/>
      <c r="BH1960" s="87"/>
      <c r="BI1960" s="87"/>
    </row>
    <row r="1961" spans="1:61" x14ac:dyDescent="0.25">
      <c r="A1961" s="63" t="s">
        <v>885</v>
      </c>
      <c r="B1961" s="63" t="s">
        <v>885</v>
      </c>
      <c r="C1961" s="64"/>
      <c r="D1961" s="65"/>
      <c r="E1961" s="66"/>
      <c r="F1961" s="67"/>
      <c r="G1961" s="64"/>
      <c r="H1961" s="68"/>
      <c r="I1961" s="69"/>
      <c r="J1961" s="69"/>
      <c r="K1961" s="32"/>
      <c r="L1961" s="76">
        <v>1961</v>
      </c>
      <c r="M1961" s="76"/>
      <c r="N1961" s="71"/>
      <c r="O1961" s="87" t="s">
        <v>179</v>
      </c>
      <c r="P1961" s="90">
        <v>45187.615277777775</v>
      </c>
      <c r="Q1961" s="87" t="s">
        <v>3751</v>
      </c>
      <c r="R1961" s="87">
        <v>0</v>
      </c>
      <c r="S1961" s="87">
        <v>0</v>
      </c>
      <c r="T1961" s="87">
        <v>0</v>
      </c>
      <c r="U1961" s="87">
        <v>0</v>
      </c>
      <c r="V1961" s="87">
        <v>20</v>
      </c>
      <c r="W1961" s="93" t="s">
        <v>7116</v>
      </c>
      <c r="X1961" s="87"/>
      <c r="Y1961" s="87"/>
      <c r="Z1961" s="87"/>
      <c r="AA1961" s="87" t="s">
        <v>9896</v>
      </c>
      <c r="AB1961" s="87" t="s">
        <v>11447</v>
      </c>
      <c r="AC1961" s="93" t="s">
        <v>11457</v>
      </c>
      <c r="AD1961" s="87" t="s">
        <v>11519</v>
      </c>
      <c r="AE1961" s="92" t="str">
        <f>HYPERLINK("https://twitter.com/nerimarmendes/status/1703782429683556793")</f>
        <v>https://twitter.com/nerimarmendes/status/1703782429683556793</v>
      </c>
      <c r="AF1961" s="90">
        <v>45187.615277777775</v>
      </c>
      <c r="AG1961" s="99">
        <v>45187</v>
      </c>
      <c r="AH1961" s="93" t="s">
        <v>13324</v>
      </c>
      <c r="AI1961" s="87" t="b">
        <v>0</v>
      </c>
      <c r="AJ1961" s="87"/>
      <c r="AK1961" s="87"/>
      <c r="AL1961" s="87"/>
      <c r="AM1961" s="87"/>
      <c r="AN1961" s="87"/>
      <c r="AO1961" s="87"/>
      <c r="AP1961" s="87"/>
      <c r="AQ1961" s="87" t="s">
        <v>16709</v>
      </c>
      <c r="AR1961" s="87">
        <v>27258</v>
      </c>
      <c r="AS1961" s="87"/>
      <c r="AT1961" s="87"/>
      <c r="AU1961" s="87"/>
      <c r="AV1961" s="92" t="str">
        <f>HYPERLINK("https://pbs.twimg.com/ext_tw_video_thumb/1703782154151317504/pu/img/SN6XnlHVDudhdP6T.jpg")</f>
        <v>https://pbs.twimg.com/ext_tw_video_thumb/1703782154151317504/pu/img/SN6XnlHVDudhdP6T.jpg</v>
      </c>
      <c r="AW1961" s="93" t="s">
        <v>20189</v>
      </c>
      <c r="AX1961" s="93" t="s">
        <v>20189</v>
      </c>
      <c r="AY1961" s="87"/>
      <c r="AZ1961" s="93" t="s">
        <v>22668</v>
      </c>
      <c r="BA1961" s="93" t="s">
        <v>22668</v>
      </c>
      <c r="BB1961" s="93" t="s">
        <v>22668</v>
      </c>
      <c r="BC1961" s="93" t="s">
        <v>20189</v>
      </c>
      <c r="BD1961" s="87">
        <v>339183332</v>
      </c>
      <c r="BE1961" s="87"/>
      <c r="BF1961" s="87"/>
      <c r="BG1961" s="87"/>
      <c r="BH1961" s="87"/>
      <c r="BI1961" s="87"/>
    </row>
    <row r="1962" spans="1:61" x14ac:dyDescent="0.25">
      <c r="A1962" s="63" t="s">
        <v>885</v>
      </c>
      <c r="B1962" s="63" t="s">
        <v>885</v>
      </c>
      <c r="C1962" s="64"/>
      <c r="D1962" s="65"/>
      <c r="E1962" s="66"/>
      <c r="F1962" s="67"/>
      <c r="G1962" s="64"/>
      <c r="H1962" s="68"/>
      <c r="I1962" s="69"/>
      <c r="J1962" s="69"/>
      <c r="K1962" s="32"/>
      <c r="L1962" s="76">
        <v>1962</v>
      </c>
      <c r="M1962" s="76"/>
      <c r="N1962" s="71"/>
      <c r="O1962" s="87" t="s">
        <v>1840</v>
      </c>
      <c r="P1962" s="90">
        <v>45166.491446759261</v>
      </c>
      <c r="Q1962" s="87" t="s">
        <v>3752</v>
      </c>
      <c r="R1962" s="87">
        <v>0</v>
      </c>
      <c r="S1962" s="87">
        <v>0</v>
      </c>
      <c r="T1962" s="87">
        <v>0</v>
      </c>
      <c r="U1962" s="87">
        <v>0</v>
      </c>
      <c r="V1962" s="87">
        <v>13</v>
      </c>
      <c r="W1962" s="93" t="s">
        <v>7113</v>
      </c>
      <c r="X1962" s="87"/>
      <c r="Y1962" s="87"/>
      <c r="Z1962" s="87"/>
      <c r="AA1962" s="87" t="s">
        <v>9897</v>
      </c>
      <c r="AB1962" s="87" t="s">
        <v>11451</v>
      </c>
      <c r="AC1962" s="93" t="s">
        <v>11457</v>
      </c>
      <c r="AD1962" s="87" t="s">
        <v>11521</v>
      </c>
      <c r="AE1962" s="92" t="str">
        <f>HYPERLINK("https://twitter.com/nerimarmendes/status/1696127409001525320")</f>
        <v>https://twitter.com/nerimarmendes/status/1696127409001525320</v>
      </c>
      <c r="AF1962" s="90">
        <v>45166.491446759261</v>
      </c>
      <c r="AG1962" s="99">
        <v>45166</v>
      </c>
      <c r="AH1962" s="93" t="s">
        <v>13325</v>
      </c>
      <c r="AI1962" s="87" t="b">
        <v>0</v>
      </c>
      <c r="AJ1962" s="87"/>
      <c r="AK1962" s="87"/>
      <c r="AL1962" s="87"/>
      <c r="AM1962" s="87"/>
      <c r="AN1962" s="87"/>
      <c r="AO1962" s="87"/>
      <c r="AP1962" s="87"/>
      <c r="AQ1962" s="87" t="s">
        <v>16710</v>
      </c>
      <c r="AR1962" s="87"/>
      <c r="AS1962" s="87"/>
      <c r="AT1962" s="87"/>
      <c r="AU1962" s="87"/>
      <c r="AV1962" s="92" t="str">
        <f>HYPERLINK("https://pbs.twimg.com/media/F4na0p6WcAAEvFq.jpg")</f>
        <v>https://pbs.twimg.com/media/F4na0p6WcAAEvFq.jpg</v>
      </c>
      <c r="AW1962" s="93" t="s">
        <v>20190</v>
      </c>
      <c r="AX1962" s="93" t="s">
        <v>20192</v>
      </c>
      <c r="AY1962" s="93" t="s">
        <v>22591</v>
      </c>
      <c r="AZ1962" s="93" t="s">
        <v>22732</v>
      </c>
      <c r="BA1962" s="93" t="s">
        <v>22668</v>
      </c>
      <c r="BB1962" s="93" t="s">
        <v>22668</v>
      </c>
      <c r="BC1962" s="93" t="s">
        <v>22732</v>
      </c>
      <c r="BD1962" s="87">
        <v>339183332</v>
      </c>
      <c r="BE1962" s="87"/>
      <c r="BF1962" s="87"/>
      <c r="BG1962" s="87"/>
      <c r="BH1962" s="87"/>
      <c r="BI1962" s="87"/>
    </row>
    <row r="1963" spans="1:61" x14ac:dyDescent="0.25">
      <c r="A1963" s="63" t="s">
        <v>885</v>
      </c>
      <c r="B1963" s="63" t="s">
        <v>885</v>
      </c>
      <c r="C1963" s="64"/>
      <c r="D1963" s="65"/>
      <c r="E1963" s="66"/>
      <c r="F1963" s="67"/>
      <c r="G1963" s="64"/>
      <c r="H1963" s="68"/>
      <c r="I1963" s="69"/>
      <c r="J1963" s="69"/>
      <c r="K1963" s="32"/>
      <c r="L1963" s="76">
        <v>1963</v>
      </c>
      <c r="M1963" s="76"/>
      <c r="N1963" s="71"/>
      <c r="O1963" s="87" t="s">
        <v>1840</v>
      </c>
      <c r="P1963" s="90">
        <v>45166.491423611114</v>
      </c>
      <c r="Q1963" s="87" t="s">
        <v>3753</v>
      </c>
      <c r="R1963" s="87">
        <v>0</v>
      </c>
      <c r="S1963" s="87">
        <v>0</v>
      </c>
      <c r="T1963" s="87">
        <v>1</v>
      </c>
      <c r="U1963" s="87">
        <v>0</v>
      </c>
      <c r="V1963" s="87">
        <v>11</v>
      </c>
      <c r="W1963" s="93" t="s">
        <v>7113</v>
      </c>
      <c r="X1963" s="87"/>
      <c r="Y1963" s="87"/>
      <c r="Z1963" s="87"/>
      <c r="AA1963" s="87" t="s">
        <v>9898</v>
      </c>
      <c r="AB1963" s="87" t="s">
        <v>11448</v>
      </c>
      <c r="AC1963" s="93" t="s">
        <v>11457</v>
      </c>
      <c r="AD1963" s="87" t="s">
        <v>11521</v>
      </c>
      <c r="AE1963" s="92" t="str">
        <f>HYPERLINK("https://twitter.com/nerimarmendes/status/1696127398847078402")</f>
        <v>https://twitter.com/nerimarmendes/status/1696127398847078402</v>
      </c>
      <c r="AF1963" s="90">
        <v>45166.491423611114</v>
      </c>
      <c r="AG1963" s="99">
        <v>45166</v>
      </c>
      <c r="AH1963" s="93" t="s">
        <v>13326</v>
      </c>
      <c r="AI1963" s="87" t="b">
        <v>0</v>
      </c>
      <c r="AJ1963" s="87"/>
      <c r="AK1963" s="87"/>
      <c r="AL1963" s="87"/>
      <c r="AM1963" s="87"/>
      <c r="AN1963" s="87"/>
      <c r="AO1963" s="87"/>
      <c r="AP1963" s="87"/>
      <c r="AQ1963" s="87" t="s">
        <v>16711</v>
      </c>
      <c r="AR1963" s="87"/>
      <c r="AS1963" s="87"/>
      <c r="AT1963" s="87"/>
      <c r="AU1963" s="87"/>
      <c r="AV1963" s="92" t="str">
        <f>HYPERLINK("https://pbs.twimg.com/media/F4naqfeWYAArRaT.jpg")</f>
        <v>https://pbs.twimg.com/media/F4naqfeWYAArRaT.jpg</v>
      </c>
      <c r="AW1963" s="93" t="s">
        <v>20191</v>
      </c>
      <c r="AX1963" s="93" t="s">
        <v>20192</v>
      </c>
      <c r="AY1963" s="93" t="s">
        <v>22591</v>
      </c>
      <c r="AZ1963" s="93" t="s">
        <v>20192</v>
      </c>
      <c r="BA1963" s="93" t="s">
        <v>22668</v>
      </c>
      <c r="BB1963" s="93" t="s">
        <v>22668</v>
      </c>
      <c r="BC1963" s="93" t="s">
        <v>20192</v>
      </c>
      <c r="BD1963" s="87">
        <v>339183332</v>
      </c>
      <c r="BE1963" s="87"/>
      <c r="BF1963" s="87"/>
      <c r="BG1963" s="87"/>
      <c r="BH1963" s="87"/>
      <c r="BI1963" s="87"/>
    </row>
    <row r="1964" spans="1:61" x14ac:dyDescent="0.25">
      <c r="A1964" s="63" t="s">
        <v>885</v>
      </c>
      <c r="B1964" s="63" t="s">
        <v>885</v>
      </c>
      <c r="C1964" s="64"/>
      <c r="D1964" s="65"/>
      <c r="E1964" s="66"/>
      <c r="F1964" s="67"/>
      <c r="G1964" s="64"/>
      <c r="H1964" s="68"/>
      <c r="I1964" s="69"/>
      <c r="J1964" s="69"/>
      <c r="K1964" s="32"/>
      <c r="L1964" s="76">
        <v>1964</v>
      </c>
      <c r="M1964" s="76"/>
      <c r="N1964" s="71"/>
      <c r="O1964" s="87" t="s">
        <v>179</v>
      </c>
      <c r="P1964" s="90">
        <v>45166.491412037038</v>
      </c>
      <c r="Q1964" s="87" t="s">
        <v>3754</v>
      </c>
      <c r="R1964" s="87">
        <v>0</v>
      </c>
      <c r="S1964" s="87">
        <v>0</v>
      </c>
      <c r="T1964" s="87">
        <v>1</v>
      </c>
      <c r="U1964" s="87">
        <v>0</v>
      </c>
      <c r="V1964" s="87">
        <v>12</v>
      </c>
      <c r="W1964" s="93" t="s">
        <v>7113</v>
      </c>
      <c r="X1964" s="87"/>
      <c r="Y1964" s="87"/>
      <c r="Z1964" s="87"/>
      <c r="AA1964" s="87" t="s">
        <v>9899</v>
      </c>
      <c r="AB1964" s="87" t="s">
        <v>11448</v>
      </c>
      <c r="AC1964" s="93" t="s">
        <v>11457</v>
      </c>
      <c r="AD1964" s="87" t="s">
        <v>11521</v>
      </c>
      <c r="AE1964" s="92" t="str">
        <f>HYPERLINK("https://twitter.com/nerimarmendes/status/1696127395030343839")</f>
        <v>https://twitter.com/nerimarmendes/status/1696127395030343839</v>
      </c>
      <c r="AF1964" s="90">
        <v>45166.491412037038</v>
      </c>
      <c r="AG1964" s="99">
        <v>45166</v>
      </c>
      <c r="AH1964" s="93" t="s">
        <v>13327</v>
      </c>
      <c r="AI1964" s="87" t="b">
        <v>0</v>
      </c>
      <c r="AJ1964" s="87"/>
      <c r="AK1964" s="87"/>
      <c r="AL1964" s="87"/>
      <c r="AM1964" s="87"/>
      <c r="AN1964" s="87"/>
      <c r="AO1964" s="87"/>
      <c r="AP1964" s="87"/>
      <c r="AQ1964" s="87" t="s">
        <v>16712</v>
      </c>
      <c r="AR1964" s="87"/>
      <c r="AS1964" s="87"/>
      <c r="AT1964" s="87"/>
      <c r="AU1964" s="87"/>
      <c r="AV1964" s="92" t="str">
        <f>HYPERLINK("https://pbs.twimg.com/media/F4name3WYAICtGn.jpg")</f>
        <v>https://pbs.twimg.com/media/F4name3WYAICtGn.jpg</v>
      </c>
      <c r="AW1964" s="93" t="s">
        <v>20192</v>
      </c>
      <c r="AX1964" s="93" t="s">
        <v>20192</v>
      </c>
      <c r="AY1964" s="87"/>
      <c r="AZ1964" s="93" t="s">
        <v>22668</v>
      </c>
      <c r="BA1964" s="93" t="s">
        <v>22668</v>
      </c>
      <c r="BB1964" s="93" t="s">
        <v>22668</v>
      </c>
      <c r="BC1964" s="93" t="s">
        <v>20192</v>
      </c>
      <c r="BD1964" s="87">
        <v>339183332</v>
      </c>
      <c r="BE1964" s="87"/>
      <c r="BF1964" s="87"/>
      <c r="BG1964" s="87"/>
      <c r="BH1964" s="87"/>
      <c r="BI1964" s="87"/>
    </row>
    <row r="1965" spans="1:61" x14ac:dyDescent="0.25">
      <c r="A1965" s="63" t="s">
        <v>885</v>
      </c>
      <c r="B1965" s="63" t="s">
        <v>885</v>
      </c>
      <c r="C1965" s="64"/>
      <c r="D1965" s="65"/>
      <c r="E1965" s="66"/>
      <c r="F1965" s="67"/>
      <c r="G1965" s="64"/>
      <c r="H1965" s="68"/>
      <c r="I1965" s="69"/>
      <c r="J1965" s="69"/>
      <c r="K1965" s="32"/>
      <c r="L1965" s="76">
        <v>1965</v>
      </c>
      <c r="M1965" s="76"/>
      <c r="N1965" s="71"/>
      <c r="O1965" s="87" t="s">
        <v>179</v>
      </c>
      <c r="P1965" s="90">
        <v>45153.43891203704</v>
      </c>
      <c r="Q1965" s="87" t="s">
        <v>3755</v>
      </c>
      <c r="R1965" s="87">
        <v>0</v>
      </c>
      <c r="S1965" s="87">
        <v>0</v>
      </c>
      <c r="T1965" s="87">
        <v>0</v>
      </c>
      <c r="U1965" s="87">
        <v>0</v>
      </c>
      <c r="V1965" s="87">
        <v>43</v>
      </c>
      <c r="W1965" s="93" t="s">
        <v>7115</v>
      </c>
      <c r="X1965" s="87"/>
      <c r="Y1965" s="87"/>
      <c r="Z1965" s="87"/>
      <c r="AA1965" s="87" t="s">
        <v>9900</v>
      </c>
      <c r="AB1965" s="87" t="s">
        <v>11447</v>
      </c>
      <c r="AC1965" s="93" t="s">
        <v>11457</v>
      </c>
      <c r="AD1965" s="87" t="s">
        <v>11519</v>
      </c>
      <c r="AE1965" s="92" t="str">
        <f>HYPERLINK("https://twitter.com/nerimarmendes/status/1691397327553024001")</f>
        <v>https://twitter.com/nerimarmendes/status/1691397327553024001</v>
      </c>
      <c r="AF1965" s="90">
        <v>45153.43891203704</v>
      </c>
      <c r="AG1965" s="99">
        <v>45153</v>
      </c>
      <c r="AH1965" s="93" t="s">
        <v>13328</v>
      </c>
      <c r="AI1965" s="87" t="b">
        <v>0</v>
      </c>
      <c r="AJ1965" s="87"/>
      <c r="AK1965" s="87"/>
      <c r="AL1965" s="87"/>
      <c r="AM1965" s="87"/>
      <c r="AN1965" s="87"/>
      <c r="AO1965" s="87"/>
      <c r="AP1965" s="87"/>
      <c r="AQ1965" s="87" t="s">
        <v>16713</v>
      </c>
      <c r="AR1965" s="87">
        <v>29488</v>
      </c>
      <c r="AS1965" s="87"/>
      <c r="AT1965" s="87"/>
      <c r="AU1965" s="87"/>
      <c r="AV1965" s="92" t="str">
        <f>HYPERLINK("https://pbs.twimg.com/ext_tw_video_thumb/1691397272813146112/pu/img/3MO06dXTU5jMKoCy.jpg")</f>
        <v>https://pbs.twimg.com/ext_tw_video_thumb/1691397272813146112/pu/img/3MO06dXTU5jMKoCy.jpg</v>
      </c>
      <c r="AW1965" s="93" t="s">
        <v>20193</v>
      </c>
      <c r="AX1965" s="93" t="s">
        <v>20193</v>
      </c>
      <c r="AY1965" s="87"/>
      <c r="AZ1965" s="93" t="s">
        <v>22668</v>
      </c>
      <c r="BA1965" s="93" t="s">
        <v>22668</v>
      </c>
      <c r="BB1965" s="93" t="s">
        <v>22668</v>
      </c>
      <c r="BC1965" s="93" t="s">
        <v>20193</v>
      </c>
      <c r="BD1965" s="87">
        <v>339183332</v>
      </c>
      <c r="BE1965" s="87"/>
      <c r="BF1965" s="87"/>
      <c r="BG1965" s="87"/>
      <c r="BH1965" s="87"/>
      <c r="BI1965" s="87"/>
    </row>
    <row r="1966" spans="1:61" x14ac:dyDescent="0.25">
      <c r="A1966" s="63" t="s">
        <v>885</v>
      </c>
      <c r="B1966" s="63" t="s">
        <v>885</v>
      </c>
      <c r="C1966" s="64"/>
      <c r="D1966" s="65"/>
      <c r="E1966" s="66"/>
      <c r="F1966" s="67"/>
      <c r="G1966" s="64"/>
      <c r="H1966" s="68"/>
      <c r="I1966" s="69"/>
      <c r="J1966" s="69"/>
      <c r="K1966" s="32"/>
      <c r="L1966" s="76">
        <v>1966</v>
      </c>
      <c r="M1966" s="76"/>
      <c r="N1966" s="71"/>
      <c r="O1966" s="87" t="s">
        <v>1840</v>
      </c>
      <c r="P1966" s="90">
        <v>45152.900787037041</v>
      </c>
      <c r="Q1966" s="87" t="s">
        <v>3756</v>
      </c>
      <c r="R1966" s="87">
        <v>0</v>
      </c>
      <c r="S1966" s="87">
        <v>0</v>
      </c>
      <c r="T1966" s="87">
        <v>0</v>
      </c>
      <c r="U1966" s="87">
        <v>0</v>
      </c>
      <c r="V1966" s="87">
        <v>10</v>
      </c>
      <c r="W1966" s="93" t="s">
        <v>7112</v>
      </c>
      <c r="X1966" s="87"/>
      <c r="Y1966" s="87"/>
      <c r="Z1966" s="87"/>
      <c r="AA1966" s="87"/>
      <c r="AB1966" s="87"/>
      <c r="AC1966" s="93" t="s">
        <v>11457</v>
      </c>
      <c r="AD1966" s="87" t="s">
        <v>11519</v>
      </c>
      <c r="AE1966" s="92" t="str">
        <f>HYPERLINK("https://twitter.com/nerimarmendes/status/1691202320749465601")</f>
        <v>https://twitter.com/nerimarmendes/status/1691202320749465601</v>
      </c>
      <c r="AF1966" s="90">
        <v>45152.900787037041</v>
      </c>
      <c r="AG1966" s="99">
        <v>45152</v>
      </c>
      <c r="AH1966" s="93" t="s">
        <v>13329</v>
      </c>
      <c r="AI1966" s="87"/>
      <c r="AJ1966" s="87"/>
      <c r="AK1966" s="87"/>
      <c r="AL1966" s="87"/>
      <c r="AM1966" s="87"/>
      <c r="AN1966" s="87"/>
      <c r="AO1966" s="87"/>
      <c r="AP1966" s="87"/>
      <c r="AQ1966" s="87"/>
      <c r="AR1966" s="87"/>
      <c r="AS1966" s="87"/>
      <c r="AT1966" s="87"/>
      <c r="AU1966" s="87"/>
      <c r="AV1966" s="92" t="str">
        <f>HYPERLINK("https://pbs.twimg.com/profile_images/1683946535619272705/7vtLd0an_normal.jpg")</f>
        <v>https://pbs.twimg.com/profile_images/1683946535619272705/7vtLd0an_normal.jpg</v>
      </c>
      <c r="AW1966" s="93" t="s">
        <v>20194</v>
      </c>
      <c r="AX1966" s="93" t="s">
        <v>22409</v>
      </c>
      <c r="AY1966" s="93" t="s">
        <v>22591</v>
      </c>
      <c r="AZ1966" s="93" t="s">
        <v>22733</v>
      </c>
      <c r="BA1966" s="93" t="s">
        <v>22668</v>
      </c>
      <c r="BB1966" s="93" t="s">
        <v>22668</v>
      </c>
      <c r="BC1966" s="93" t="s">
        <v>22733</v>
      </c>
      <c r="BD1966" s="87">
        <v>339183332</v>
      </c>
      <c r="BE1966" s="87"/>
      <c r="BF1966" s="87"/>
      <c r="BG1966" s="87"/>
      <c r="BH1966" s="87"/>
      <c r="BI1966" s="87"/>
    </row>
    <row r="1967" spans="1:61" x14ac:dyDescent="0.25">
      <c r="A1967" s="63" t="s">
        <v>885</v>
      </c>
      <c r="B1967" s="63" t="s">
        <v>885</v>
      </c>
      <c r="C1967" s="64"/>
      <c r="D1967" s="65"/>
      <c r="E1967" s="66"/>
      <c r="F1967" s="67"/>
      <c r="G1967" s="64"/>
      <c r="H1967" s="68"/>
      <c r="I1967" s="69"/>
      <c r="J1967" s="69"/>
      <c r="K1967" s="32"/>
      <c r="L1967" s="76">
        <v>1967</v>
      </c>
      <c r="M1967" s="76"/>
      <c r="N1967" s="71"/>
      <c r="O1967" s="87" t="s">
        <v>179</v>
      </c>
      <c r="P1967" s="90">
        <v>45191.009710648148</v>
      </c>
      <c r="Q1967" s="87" t="s">
        <v>3757</v>
      </c>
      <c r="R1967" s="87">
        <v>0</v>
      </c>
      <c r="S1967" s="87">
        <v>0</v>
      </c>
      <c r="T1967" s="87">
        <v>0</v>
      </c>
      <c r="U1967" s="87">
        <v>0</v>
      </c>
      <c r="V1967" s="87">
        <v>115</v>
      </c>
      <c r="W1967" s="93" t="s">
        <v>7120</v>
      </c>
      <c r="X1967" s="87"/>
      <c r="Y1967" s="87"/>
      <c r="Z1967" s="87"/>
      <c r="AA1967" s="87" t="s">
        <v>9901</v>
      </c>
      <c r="AB1967" s="87" t="s">
        <v>11447</v>
      </c>
      <c r="AC1967" s="93" t="s">
        <v>11457</v>
      </c>
      <c r="AD1967" s="87" t="s">
        <v>11519</v>
      </c>
      <c r="AE1967" s="92" t="str">
        <f>HYPERLINK("https://twitter.com/nerimarmendes/status/1705012528785375737")</f>
        <v>https://twitter.com/nerimarmendes/status/1705012528785375737</v>
      </c>
      <c r="AF1967" s="90">
        <v>45191.009710648148</v>
      </c>
      <c r="AG1967" s="99">
        <v>45191</v>
      </c>
      <c r="AH1967" s="93" t="s">
        <v>13330</v>
      </c>
      <c r="AI1967" s="87" t="b">
        <v>0</v>
      </c>
      <c r="AJ1967" s="87"/>
      <c r="AK1967" s="87"/>
      <c r="AL1967" s="87"/>
      <c r="AM1967" s="87"/>
      <c r="AN1967" s="87"/>
      <c r="AO1967" s="87"/>
      <c r="AP1967" s="87"/>
      <c r="AQ1967" s="87" t="s">
        <v>16714</v>
      </c>
      <c r="AR1967" s="87">
        <v>18280</v>
      </c>
      <c r="AS1967" s="87"/>
      <c r="AT1967" s="87"/>
      <c r="AU1967" s="87"/>
      <c r="AV1967" s="92" t="str">
        <f>HYPERLINK("https://pbs.twimg.com/ext_tw_video_thumb/1705011804789723137/pu/img/lpGf-SDxn1evfrgB.jpg")</f>
        <v>https://pbs.twimg.com/ext_tw_video_thumb/1705011804789723137/pu/img/lpGf-SDxn1evfrgB.jpg</v>
      </c>
      <c r="AW1967" s="93" t="s">
        <v>20195</v>
      </c>
      <c r="AX1967" s="93" t="s">
        <v>20195</v>
      </c>
      <c r="AY1967" s="87"/>
      <c r="AZ1967" s="93" t="s">
        <v>22668</v>
      </c>
      <c r="BA1967" s="93" t="s">
        <v>22668</v>
      </c>
      <c r="BB1967" s="93" t="s">
        <v>22668</v>
      </c>
      <c r="BC1967" s="93" t="s">
        <v>20195</v>
      </c>
      <c r="BD1967" s="87">
        <v>339183332</v>
      </c>
      <c r="BE1967" s="87"/>
      <c r="BF1967" s="87"/>
      <c r="BG1967" s="87"/>
      <c r="BH1967" s="87"/>
      <c r="BI1967" s="87"/>
    </row>
    <row r="1968" spans="1:61" x14ac:dyDescent="0.25">
      <c r="A1968" s="63" t="s">
        <v>885</v>
      </c>
      <c r="B1968" s="63" t="s">
        <v>885</v>
      </c>
      <c r="C1968" s="64"/>
      <c r="D1968" s="65"/>
      <c r="E1968" s="66"/>
      <c r="F1968" s="67"/>
      <c r="G1968" s="64"/>
      <c r="H1968" s="68"/>
      <c r="I1968" s="69"/>
      <c r="J1968" s="69"/>
      <c r="K1968" s="32"/>
      <c r="L1968" s="76">
        <v>1968</v>
      </c>
      <c r="M1968" s="76"/>
      <c r="N1968" s="71"/>
      <c r="O1968" s="87" t="s">
        <v>179</v>
      </c>
      <c r="P1968" s="90">
        <v>45190.943414351852</v>
      </c>
      <c r="Q1968" s="87" t="s">
        <v>3758</v>
      </c>
      <c r="R1968" s="87">
        <v>0</v>
      </c>
      <c r="S1968" s="87">
        <v>0</v>
      </c>
      <c r="T1968" s="87">
        <v>0</v>
      </c>
      <c r="U1968" s="87">
        <v>0</v>
      </c>
      <c r="V1968" s="87">
        <v>43</v>
      </c>
      <c r="W1968" s="93" t="s">
        <v>7121</v>
      </c>
      <c r="X1968" s="87"/>
      <c r="Y1968" s="87"/>
      <c r="Z1968" s="87"/>
      <c r="AA1968" s="87" t="s">
        <v>9902</v>
      </c>
      <c r="AB1968" s="87" t="s">
        <v>11447</v>
      </c>
      <c r="AC1968" s="93" t="s">
        <v>11457</v>
      </c>
      <c r="AD1968" s="87" t="s">
        <v>11519</v>
      </c>
      <c r="AE1968" s="92" t="str">
        <f>HYPERLINK("https://twitter.com/nerimarmendes/status/1704988507322613931")</f>
        <v>https://twitter.com/nerimarmendes/status/1704988507322613931</v>
      </c>
      <c r="AF1968" s="90">
        <v>45190.943414351852</v>
      </c>
      <c r="AG1968" s="99">
        <v>45190</v>
      </c>
      <c r="AH1968" s="93" t="s">
        <v>13331</v>
      </c>
      <c r="AI1968" s="87" t="b">
        <v>0</v>
      </c>
      <c r="AJ1968" s="87"/>
      <c r="AK1968" s="87"/>
      <c r="AL1968" s="87"/>
      <c r="AM1968" s="87"/>
      <c r="AN1968" s="87"/>
      <c r="AO1968" s="87"/>
      <c r="AP1968" s="87"/>
      <c r="AQ1968" s="87" t="s">
        <v>16715</v>
      </c>
      <c r="AR1968" s="87">
        <v>33561</v>
      </c>
      <c r="AS1968" s="87"/>
      <c r="AT1968" s="87"/>
      <c r="AU1968" s="87"/>
      <c r="AV1968" s="92" t="str">
        <f>HYPERLINK("https://pbs.twimg.com/ext_tw_video_thumb/1704988197267079168/pu/img/lW5ZuOek9i2_3bAL.jpg")</f>
        <v>https://pbs.twimg.com/ext_tw_video_thumb/1704988197267079168/pu/img/lW5ZuOek9i2_3bAL.jpg</v>
      </c>
      <c r="AW1968" s="93" t="s">
        <v>20196</v>
      </c>
      <c r="AX1968" s="93" t="s">
        <v>20196</v>
      </c>
      <c r="AY1968" s="87"/>
      <c r="AZ1968" s="93" t="s">
        <v>22668</v>
      </c>
      <c r="BA1968" s="93" t="s">
        <v>22668</v>
      </c>
      <c r="BB1968" s="93" t="s">
        <v>22668</v>
      </c>
      <c r="BC1968" s="93" t="s">
        <v>20196</v>
      </c>
      <c r="BD1968" s="87">
        <v>339183332</v>
      </c>
      <c r="BE1968" s="87"/>
      <c r="BF1968" s="87"/>
      <c r="BG1968" s="87"/>
      <c r="BH1968" s="87"/>
      <c r="BI1968" s="87"/>
    </row>
    <row r="1969" spans="1:61" x14ac:dyDescent="0.25">
      <c r="A1969" s="63" t="s">
        <v>885</v>
      </c>
      <c r="B1969" s="63" t="s">
        <v>885</v>
      </c>
      <c r="C1969" s="64"/>
      <c r="D1969" s="65"/>
      <c r="E1969" s="66"/>
      <c r="F1969" s="67"/>
      <c r="G1969" s="64"/>
      <c r="H1969" s="68"/>
      <c r="I1969" s="69"/>
      <c r="J1969" s="69"/>
      <c r="K1969" s="32"/>
      <c r="L1969" s="76">
        <v>1969</v>
      </c>
      <c r="M1969" s="76"/>
      <c r="N1969" s="71"/>
      <c r="O1969" s="87" t="s">
        <v>179</v>
      </c>
      <c r="P1969" s="90">
        <v>45168.829293981478</v>
      </c>
      <c r="Q1969" s="87" t="s">
        <v>3759</v>
      </c>
      <c r="R1969" s="87">
        <v>0</v>
      </c>
      <c r="S1969" s="87">
        <v>0</v>
      </c>
      <c r="T1969" s="87">
        <v>0</v>
      </c>
      <c r="U1969" s="87">
        <v>0</v>
      </c>
      <c r="V1969" s="87">
        <v>19</v>
      </c>
      <c r="W1969" s="93" t="s">
        <v>7113</v>
      </c>
      <c r="X1969" s="87"/>
      <c r="Y1969" s="87"/>
      <c r="Z1969" s="87"/>
      <c r="AA1969" s="87" t="s">
        <v>9903</v>
      </c>
      <c r="AB1969" s="87" t="s">
        <v>11447</v>
      </c>
      <c r="AC1969" s="93" t="s">
        <v>11457</v>
      </c>
      <c r="AD1969" s="87" t="s">
        <v>11519</v>
      </c>
      <c r="AE1969" s="92" t="str">
        <f>HYPERLINK("https://twitter.com/nerimarmendes/status/1696974618181935418")</f>
        <v>https://twitter.com/nerimarmendes/status/1696974618181935418</v>
      </c>
      <c r="AF1969" s="90">
        <v>45168.829293981478</v>
      </c>
      <c r="AG1969" s="99">
        <v>45168</v>
      </c>
      <c r="AH1969" s="93" t="s">
        <v>13332</v>
      </c>
      <c r="AI1969" s="87" t="b">
        <v>0</v>
      </c>
      <c r="AJ1969" s="87"/>
      <c r="AK1969" s="87"/>
      <c r="AL1969" s="87"/>
      <c r="AM1969" s="87"/>
      <c r="AN1969" s="87"/>
      <c r="AO1969" s="87"/>
      <c r="AP1969" s="87"/>
      <c r="AQ1969" s="87" t="s">
        <v>16716</v>
      </c>
      <c r="AR1969" s="87">
        <v>16042</v>
      </c>
      <c r="AS1969" s="87"/>
      <c r="AT1969" s="87"/>
      <c r="AU1969" s="87"/>
      <c r="AV1969" s="92" t="str">
        <f>HYPERLINK("https://pbs.twimg.com/ext_tw_video_thumb/1696973394195980288/pu/img/90dvg2QLYEBtVQ1O.jpg")</f>
        <v>https://pbs.twimg.com/ext_tw_video_thumb/1696973394195980288/pu/img/90dvg2QLYEBtVQ1O.jpg</v>
      </c>
      <c r="AW1969" s="93" t="s">
        <v>20197</v>
      </c>
      <c r="AX1969" s="93" t="s">
        <v>20197</v>
      </c>
      <c r="AY1969" s="87"/>
      <c r="AZ1969" s="93" t="s">
        <v>22668</v>
      </c>
      <c r="BA1969" s="93" t="s">
        <v>22668</v>
      </c>
      <c r="BB1969" s="93" t="s">
        <v>22668</v>
      </c>
      <c r="BC1969" s="93" t="s">
        <v>20197</v>
      </c>
      <c r="BD1969" s="87">
        <v>339183332</v>
      </c>
      <c r="BE1969" s="87"/>
      <c r="BF1969" s="87"/>
      <c r="BG1969" s="87"/>
      <c r="BH1969" s="87"/>
      <c r="BI1969" s="87"/>
    </row>
    <row r="1970" spans="1:61" x14ac:dyDescent="0.25">
      <c r="A1970" s="63" t="s">
        <v>885</v>
      </c>
      <c r="B1970" s="63" t="s">
        <v>885</v>
      </c>
      <c r="C1970" s="64"/>
      <c r="D1970" s="65"/>
      <c r="E1970" s="66"/>
      <c r="F1970" s="67"/>
      <c r="G1970" s="64"/>
      <c r="H1970" s="68"/>
      <c r="I1970" s="69"/>
      <c r="J1970" s="69"/>
      <c r="K1970" s="32"/>
      <c r="L1970" s="76">
        <v>1970</v>
      </c>
      <c r="M1970" s="76"/>
      <c r="N1970" s="71"/>
      <c r="O1970" s="87" t="s">
        <v>179</v>
      </c>
      <c r="P1970" s="90">
        <v>45153.724074074074</v>
      </c>
      <c r="Q1970" s="87" t="s">
        <v>3760</v>
      </c>
      <c r="R1970" s="87">
        <v>0</v>
      </c>
      <c r="S1970" s="87">
        <v>1</v>
      </c>
      <c r="T1970" s="87">
        <v>0</v>
      </c>
      <c r="U1970" s="87">
        <v>0</v>
      </c>
      <c r="V1970" s="87">
        <v>52</v>
      </c>
      <c r="W1970" s="93" t="s">
        <v>7117</v>
      </c>
      <c r="X1970" s="87"/>
      <c r="Y1970" s="87"/>
      <c r="Z1970" s="87"/>
      <c r="AA1970" s="87" t="s">
        <v>9904</v>
      </c>
      <c r="AB1970" s="87" t="s">
        <v>11447</v>
      </c>
      <c r="AC1970" s="93" t="s">
        <v>11457</v>
      </c>
      <c r="AD1970" s="87" t="s">
        <v>11519</v>
      </c>
      <c r="AE1970" s="92" t="str">
        <f>HYPERLINK("https://twitter.com/nerimarmendes/status/1691500668337397775")</f>
        <v>https://twitter.com/nerimarmendes/status/1691500668337397775</v>
      </c>
      <c r="AF1970" s="90">
        <v>45153.724074074074</v>
      </c>
      <c r="AG1970" s="99">
        <v>45153</v>
      </c>
      <c r="AH1970" s="93" t="s">
        <v>13333</v>
      </c>
      <c r="AI1970" s="87" t="b">
        <v>0</v>
      </c>
      <c r="AJ1970" s="87"/>
      <c r="AK1970" s="87"/>
      <c r="AL1970" s="87"/>
      <c r="AM1970" s="87"/>
      <c r="AN1970" s="87"/>
      <c r="AO1970" s="87"/>
      <c r="AP1970" s="87"/>
      <c r="AQ1970" s="87" t="s">
        <v>16717</v>
      </c>
      <c r="AR1970" s="87">
        <v>10052</v>
      </c>
      <c r="AS1970" s="87"/>
      <c r="AT1970" s="87"/>
      <c r="AU1970" s="87"/>
      <c r="AV1970" s="92" t="str">
        <f>HYPERLINK("https://pbs.twimg.com/ext_tw_video_thumb/1691500570689802241/pu/img/jun50bRxGDlSx6Iz.jpg")</f>
        <v>https://pbs.twimg.com/ext_tw_video_thumb/1691500570689802241/pu/img/jun50bRxGDlSx6Iz.jpg</v>
      </c>
      <c r="AW1970" s="93" t="s">
        <v>20198</v>
      </c>
      <c r="AX1970" s="93" t="s">
        <v>20198</v>
      </c>
      <c r="AY1970" s="87"/>
      <c r="AZ1970" s="93" t="s">
        <v>22668</v>
      </c>
      <c r="BA1970" s="93" t="s">
        <v>22668</v>
      </c>
      <c r="BB1970" s="93" t="s">
        <v>22668</v>
      </c>
      <c r="BC1970" s="93" t="s">
        <v>20198</v>
      </c>
      <c r="BD1970" s="87">
        <v>339183332</v>
      </c>
      <c r="BE1970" s="87"/>
      <c r="BF1970" s="87"/>
      <c r="BG1970" s="87"/>
      <c r="BH1970" s="87"/>
      <c r="BI1970" s="87"/>
    </row>
    <row r="1971" spans="1:61" x14ac:dyDescent="0.25">
      <c r="A1971" s="63" t="s">
        <v>886</v>
      </c>
      <c r="B1971" s="63" t="s">
        <v>886</v>
      </c>
      <c r="C1971" s="64"/>
      <c r="D1971" s="65"/>
      <c r="E1971" s="66"/>
      <c r="F1971" s="67"/>
      <c r="G1971" s="64"/>
      <c r="H1971" s="68"/>
      <c r="I1971" s="69"/>
      <c r="J1971" s="69"/>
      <c r="K1971" s="32"/>
      <c r="L1971" s="76">
        <v>1971</v>
      </c>
      <c r="M1971" s="76"/>
      <c r="N1971" s="71"/>
      <c r="O1971" s="87" t="s">
        <v>179</v>
      </c>
      <c r="P1971" s="90">
        <v>45142.694432870368</v>
      </c>
      <c r="Q1971" s="87" t="s">
        <v>3761</v>
      </c>
      <c r="R1971" s="87">
        <v>0</v>
      </c>
      <c r="S1971" s="87">
        <v>0</v>
      </c>
      <c r="T1971" s="87">
        <v>0</v>
      </c>
      <c r="U1971" s="87">
        <v>0</v>
      </c>
      <c r="V1971" s="87">
        <v>36</v>
      </c>
      <c r="W1971" s="93" t="s">
        <v>7122</v>
      </c>
      <c r="X1971" s="92" t="str">
        <f>HYPERLINK("http://www.delightart.com.br")</f>
        <v>http://www.delightart.com.br</v>
      </c>
      <c r="Y1971" s="87" t="s">
        <v>8373</v>
      </c>
      <c r="Z1971" s="87"/>
      <c r="AA1971" s="87" t="s">
        <v>9905</v>
      </c>
      <c r="AB1971" s="87" t="s">
        <v>11448</v>
      </c>
      <c r="AC1971" s="93" t="s">
        <v>11459</v>
      </c>
      <c r="AD1971" s="87" t="s">
        <v>11519</v>
      </c>
      <c r="AE1971" s="92" t="str">
        <f>HYPERLINK("https://twitter.com/letciamachador3/status/1687503659351908362")</f>
        <v>https://twitter.com/letciamachador3/status/1687503659351908362</v>
      </c>
      <c r="AF1971" s="90">
        <v>45142.694432870368</v>
      </c>
      <c r="AG1971" s="99">
        <v>45142</v>
      </c>
      <c r="AH1971" s="93" t="s">
        <v>13334</v>
      </c>
      <c r="AI1971" s="87" t="b">
        <v>0</v>
      </c>
      <c r="AJ1971" s="87" t="s">
        <v>15210</v>
      </c>
      <c r="AK1971" s="87" t="s">
        <v>15234</v>
      </c>
      <c r="AL1971" s="87" t="s">
        <v>15237</v>
      </c>
      <c r="AM1971" s="87" t="s">
        <v>15281</v>
      </c>
      <c r="AN1971" s="87" t="s">
        <v>15348</v>
      </c>
      <c r="AO1971" s="87" t="s">
        <v>15413</v>
      </c>
      <c r="AP1971" s="87" t="s">
        <v>15438</v>
      </c>
      <c r="AQ1971" s="87" t="s">
        <v>16718</v>
      </c>
      <c r="AR1971" s="87"/>
      <c r="AS1971" s="87"/>
      <c r="AT1971" s="87"/>
      <c r="AU1971" s="87"/>
      <c r="AV1971" s="92" t="str">
        <f>HYPERLINK("https://pbs.twimg.com/media/F2s3onxXoBIGDaX.jpg")</f>
        <v>https://pbs.twimg.com/media/F2s3onxXoBIGDaX.jpg</v>
      </c>
      <c r="AW1971" s="93" t="s">
        <v>20199</v>
      </c>
      <c r="AX1971" s="93" t="s">
        <v>20199</v>
      </c>
      <c r="AY1971" s="87"/>
      <c r="AZ1971" s="93" t="s">
        <v>22668</v>
      </c>
      <c r="BA1971" s="93" t="s">
        <v>22668</v>
      </c>
      <c r="BB1971" s="93" t="s">
        <v>22668</v>
      </c>
      <c r="BC1971" s="93" t="s">
        <v>20199</v>
      </c>
      <c r="BD1971" s="93" t="s">
        <v>23177</v>
      </c>
      <c r="BE1971" s="87"/>
      <c r="BF1971" s="87"/>
      <c r="BG1971" s="87"/>
      <c r="BH1971" s="87"/>
      <c r="BI1971" s="87"/>
    </row>
    <row r="1972" spans="1:61" x14ac:dyDescent="0.25">
      <c r="A1972" s="63" t="s">
        <v>887</v>
      </c>
      <c r="B1972" s="63" t="s">
        <v>887</v>
      </c>
      <c r="C1972" s="64"/>
      <c r="D1972" s="65"/>
      <c r="E1972" s="66"/>
      <c r="F1972" s="67"/>
      <c r="G1972" s="64"/>
      <c r="H1972" s="68"/>
      <c r="I1972" s="69"/>
      <c r="J1972" s="69"/>
      <c r="K1972" s="32"/>
      <c r="L1972" s="76">
        <v>1972</v>
      </c>
      <c r="M1972" s="76"/>
      <c r="N1972" s="71"/>
      <c r="O1972" s="87" t="s">
        <v>179</v>
      </c>
      <c r="P1972" s="90">
        <v>45121.964097222219</v>
      </c>
      <c r="Q1972" s="87" t="s">
        <v>3762</v>
      </c>
      <c r="R1972" s="87">
        <v>0</v>
      </c>
      <c r="S1972" s="87">
        <v>2</v>
      </c>
      <c r="T1972" s="87">
        <v>0</v>
      </c>
      <c r="U1972" s="87">
        <v>0</v>
      </c>
      <c r="V1972" s="87">
        <v>12</v>
      </c>
      <c r="W1972" s="93" t="s">
        <v>7123</v>
      </c>
      <c r="X1972" s="87"/>
      <c r="Y1972" s="87"/>
      <c r="Z1972" s="87"/>
      <c r="AA1972" s="87" t="s">
        <v>9906</v>
      </c>
      <c r="AB1972" s="87" t="s">
        <v>11448</v>
      </c>
      <c r="AC1972" s="93" t="s">
        <v>11459</v>
      </c>
      <c r="AD1972" s="87" t="s">
        <v>11519</v>
      </c>
      <c r="AE1972" s="92" t="str">
        <f>HYPERLINK("https://twitter.com/magnabarbosa10/status/1679991237342904321")</f>
        <v>https://twitter.com/magnabarbosa10/status/1679991237342904321</v>
      </c>
      <c r="AF1972" s="90">
        <v>45121.964097222219</v>
      </c>
      <c r="AG1972" s="99">
        <v>45121</v>
      </c>
      <c r="AH1972" s="93" t="s">
        <v>13335</v>
      </c>
      <c r="AI1972" s="87" t="b">
        <v>0</v>
      </c>
      <c r="AJ1972" s="87"/>
      <c r="AK1972" s="87"/>
      <c r="AL1972" s="87"/>
      <c r="AM1972" s="87"/>
      <c r="AN1972" s="87"/>
      <c r="AO1972" s="87"/>
      <c r="AP1972" s="87"/>
      <c r="AQ1972" s="87" t="s">
        <v>16719</v>
      </c>
      <c r="AR1972" s="87"/>
      <c r="AS1972" s="87"/>
      <c r="AT1972" s="87"/>
      <c r="AU1972" s="87"/>
      <c r="AV1972" s="92" t="str">
        <f>HYPERLINK("https://pbs.twimg.com/media/F1CHIKTWcAAsKa5.jpg")</f>
        <v>https://pbs.twimg.com/media/F1CHIKTWcAAsKa5.jpg</v>
      </c>
      <c r="AW1972" s="93" t="s">
        <v>20200</v>
      </c>
      <c r="AX1972" s="93" t="s">
        <v>20200</v>
      </c>
      <c r="AY1972" s="87"/>
      <c r="AZ1972" s="93" t="s">
        <v>22668</v>
      </c>
      <c r="BA1972" s="93" t="s">
        <v>22668</v>
      </c>
      <c r="BB1972" s="93" t="s">
        <v>22668</v>
      </c>
      <c r="BC1972" s="93" t="s">
        <v>20200</v>
      </c>
      <c r="BD1972" s="93" t="s">
        <v>23178</v>
      </c>
      <c r="BE1972" s="87"/>
      <c r="BF1972" s="87"/>
      <c r="BG1972" s="87"/>
      <c r="BH1972" s="87"/>
      <c r="BI1972" s="87"/>
    </row>
    <row r="1973" spans="1:61" x14ac:dyDescent="0.25">
      <c r="A1973" s="63" t="s">
        <v>888</v>
      </c>
      <c r="B1973" s="63" t="s">
        <v>888</v>
      </c>
      <c r="C1973" s="64"/>
      <c r="D1973" s="65"/>
      <c r="E1973" s="66"/>
      <c r="F1973" s="67"/>
      <c r="G1973" s="64"/>
      <c r="H1973" s="68"/>
      <c r="I1973" s="69"/>
      <c r="J1973" s="69"/>
      <c r="K1973" s="32"/>
      <c r="L1973" s="76">
        <v>1973</v>
      </c>
      <c r="M1973" s="76"/>
      <c r="N1973" s="71"/>
      <c r="O1973" s="87" t="s">
        <v>1840</v>
      </c>
      <c r="P1973" s="90">
        <v>45181.540659722225</v>
      </c>
      <c r="Q1973" s="87" t="s">
        <v>3763</v>
      </c>
      <c r="R1973" s="87">
        <v>0</v>
      </c>
      <c r="S1973" s="87">
        <v>0</v>
      </c>
      <c r="T1973" s="87">
        <v>0</v>
      </c>
      <c r="U1973" s="87">
        <v>0</v>
      </c>
      <c r="V1973" s="87">
        <v>11</v>
      </c>
      <c r="W1973" s="93" t="s">
        <v>7124</v>
      </c>
      <c r="X1973" s="92" t="str">
        <f>HYPERLINK("http://www.exitomentoringday.com.br")</f>
        <v>http://www.exitomentoringday.com.br</v>
      </c>
      <c r="Y1973" s="87" t="s">
        <v>8373</v>
      </c>
      <c r="Z1973" s="87"/>
      <c r="AA1973" s="87"/>
      <c r="AB1973" s="87"/>
      <c r="AC1973" s="93" t="s">
        <v>11457</v>
      </c>
      <c r="AD1973" s="87" t="s">
        <v>11519</v>
      </c>
      <c r="AE1973" s="92" t="str">
        <f>HYPERLINK("https://twitter.com/exito_oficial/status/1701581062789357857")</f>
        <v>https://twitter.com/exito_oficial/status/1701581062789357857</v>
      </c>
      <c r="AF1973" s="90">
        <v>45181.540659722225</v>
      </c>
      <c r="AG1973" s="99">
        <v>45181</v>
      </c>
      <c r="AH1973" s="93" t="s">
        <v>13336</v>
      </c>
      <c r="AI1973" s="87" t="b">
        <v>0</v>
      </c>
      <c r="AJ1973" s="87"/>
      <c r="AK1973" s="87"/>
      <c r="AL1973" s="87"/>
      <c r="AM1973" s="87"/>
      <c r="AN1973" s="87"/>
      <c r="AO1973" s="87"/>
      <c r="AP1973" s="87"/>
      <c r="AQ1973" s="87"/>
      <c r="AR1973" s="87"/>
      <c r="AS1973" s="87"/>
      <c r="AT1973" s="87"/>
      <c r="AU1973" s="87"/>
      <c r="AV1973" s="92" t="str">
        <f>HYPERLINK("https://pbs.twimg.com/profile_images/1261706441330745347/WPpi5_ob_normal.jpg")</f>
        <v>https://pbs.twimg.com/profile_images/1261706441330745347/WPpi5_ob_normal.jpg</v>
      </c>
      <c r="AW1973" s="93" t="s">
        <v>20201</v>
      </c>
      <c r="AX1973" s="93" t="s">
        <v>22410</v>
      </c>
      <c r="AY1973" s="93" t="s">
        <v>22592</v>
      </c>
      <c r="AZ1973" s="93" t="s">
        <v>22734</v>
      </c>
      <c r="BA1973" s="93" t="s">
        <v>22668</v>
      </c>
      <c r="BB1973" s="93" t="s">
        <v>22668</v>
      </c>
      <c r="BC1973" s="93" t="s">
        <v>22734</v>
      </c>
      <c r="BD1973" s="93" t="s">
        <v>22592</v>
      </c>
      <c r="BE1973" s="87"/>
      <c r="BF1973" s="87"/>
      <c r="BG1973" s="87"/>
      <c r="BH1973" s="87"/>
      <c r="BI1973" s="87"/>
    </row>
    <row r="1974" spans="1:61" x14ac:dyDescent="0.25">
      <c r="A1974" s="63" t="s">
        <v>888</v>
      </c>
      <c r="B1974" s="63" t="s">
        <v>888</v>
      </c>
      <c r="C1974" s="64"/>
      <c r="D1974" s="65"/>
      <c r="E1974" s="66"/>
      <c r="F1974" s="67"/>
      <c r="G1974" s="64"/>
      <c r="H1974" s="68"/>
      <c r="I1974" s="69"/>
      <c r="J1974" s="69"/>
      <c r="K1974" s="32"/>
      <c r="L1974" s="76">
        <v>1974</v>
      </c>
      <c r="M1974" s="76"/>
      <c r="N1974" s="71"/>
      <c r="O1974" s="87" t="s">
        <v>1840</v>
      </c>
      <c r="P1974" s="90">
        <v>45134.498391203706</v>
      </c>
      <c r="Q1974" s="87" t="s">
        <v>3764</v>
      </c>
      <c r="R1974" s="87">
        <v>0</v>
      </c>
      <c r="S1974" s="87">
        <v>0</v>
      </c>
      <c r="T1974" s="87">
        <v>0</v>
      </c>
      <c r="U1974" s="87">
        <v>0</v>
      </c>
      <c r="V1974" s="87">
        <v>5</v>
      </c>
      <c r="W1974" s="93" t="s">
        <v>7125</v>
      </c>
      <c r="X1974" s="87"/>
      <c r="Y1974" s="87"/>
      <c r="Z1974" s="87"/>
      <c r="AA1974" s="87" t="s">
        <v>9907</v>
      </c>
      <c r="AB1974" s="87" t="s">
        <v>11450</v>
      </c>
      <c r="AC1974" s="93" t="s">
        <v>11457</v>
      </c>
      <c r="AD1974" s="87" t="s">
        <v>11519</v>
      </c>
      <c r="AE1974" s="92" t="str">
        <f>HYPERLINK("https://twitter.com/exito_oficial/status/1684533513637318656")</f>
        <v>https://twitter.com/exito_oficial/status/1684533513637318656</v>
      </c>
      <c r="AF1974" s="90">
        <v>45134.498391203706</v>
      </c>
      <c r="AG1974" s="99">
        <v>45134</v>
      </c>
      <c r="AH1974" s="93" t="s">
        <v>12753</v>
      </c>
      <c r="AI1974" s="87" t="b">
        <v>0</v>
      </c>
      <c r="AJ1974" s="87"/>
      <c r="AK1974" s="87"/>
      <c r="AL1974" s="87"/>
      <c r="AM1974" s="87"/>
      <c r="AN1974" s="87"/>
      <c r="AO1974" s="87"/>
      <c r="AP1974" s="87"/>
      <c r="AQ1974" s="87" t="s">
        <v>16720</v>
      </c>
      <c r="AR1974" s="87"/>
      <c r="AS1974" s="87"/>
      <c r="AT1974" s="87"/>
      <c r="AU1974" s="87"/>
      <c r="AV1974" s="92" t="str">
        <f>HYPERLINK("https://pbs.twimg.com/media/F2CqOXeWIAA3j6Z.jpg")</f>
        <v>https://pbs.twimg.com/media/F2CqOXeWIAA3j6Z.jpg</v>
      </c>
      <c r="AW1974" s="93" t="s">
        <v>20202</v>
      </c>
      <c r="AX1974" s="93" t="s">
        <v>22411</v>
      </c>
      <c r="AY1974" s="93" t="s">
        <v>22592</v>
      </c>
      <c r="AZ1974" s="93" t="s">
        <v>22411</v>
      </c>
      <c r="BA1974" s="93" t="s">
        <v>22668</v>
      </c>
      <c r="BB1974" s="93" t="s">
        <v>22668</v>
      </c>
      <c r="BC1974" s="93" t="s">
        <v>22411</v>
      </c>
      <c r="BD1974" s="93" t="s">
        <v>22592</v>
      </c>
      <c r="BE1974" s="87"/>
      <c r="BF1974" s="87"/>
      <c r="BG1974" s="87"/>
      <c r="BH1974" s="87"/>
      <c r="BI1974" s="87"/>
    </row>
    <row r="1975" spans="1:61" x14ac:dyDescent="0.25">
      <c r="A1975" s="63" t="s">
        <v>888</v>
      </c>
      <c r="B1975" s="63" t="s">
        <v>888</v>
      </c>
      <c r="C1975" s="64"/>
      <c r="D1975" s="65"/>
      <c r="E1975" s="66"/>
      <c r="F1975" s="67"/>
      <c r="G1975" s="64"/>
      <c r="H1975" s="68"/>
      <c r="I1975" s="69"/>
      <c r="J1975" s="69"/>
      <c r="K1975" s="32"/>
      <c r="L1975" s="76">
        <v>1975</v>
      </c>
      <c r="M1975" s="76"/>
      <c r="N1975" s="71"/>
      <c r="O1975" s="87" t="s">
        <v>179</v>
      </c>
      <c r="P1975" s="90">
        <v>45112.732719907406</v>
      </c>
      <c r="Q1975" s="87" t="s">
        <v>3765</v>
      </c>
      <c r="R1975" s="87">
        <v>0</v>
      </c>
      <c r="S1975" s="87">
        <v>0</v>
      </c>
      <c r="T1975" s="87">
        <v>0</v>
      </c>
      <c r="U1975" s="87">
        <v>0</v>
      </c>
      <c r="V1975" s="87">
        <v>11</v>
      </c>
      <c r="W1975" s="93" t="s">
        <v>7126</v>
      </c>
      <c r="X1975" s="87"/>
      <c r="Y1975" s="87"/>
      <c r="Z1975" s="87"/>
      <c r="AA1975" s="87" t="s">
        <v>9908</v>
      </c>
      <c r="AB1975" s="87" t="s">
        <v>11448</v>
      </c>
      <c r="AC1975" s="93" t="s">
        <v>11460</v>
      </c>
      <c r="AD1975" s="87" t="s">
        <v>11519</v>
      </c>
      <c r="AE1975" s="92" t="str">
        <f>HYPERLINK("https://twitter.com/exito_oficial/status/1676645900855156746")</f>
        <v>https://twitter.com/exito_oficial/status/1676645900855156746</v>
      </c>
      <c r="AF1975" s="90">
        <v>45112.732719907406</v>
      </c>
      <c r="AG1975" s="99">
        <v>45112</v>
      </c>
      <c r="AH1975" s="93" t="s">
        <v>13337</v>
      </c>
      <c r="AI1975" s="87" t="b">
        <v>0</v>
      </c>
      <c r="AJ1975" s="87"/>
      <c r="AK1975" s="87"/>
      <c r="AL1975" s="87"/>
      <c r="AM1975" s="87"/>
      <c r="AN1975" s="87"/>
      <c r="AO1975" s="87"/>
      <c r="AP1975" s="87"/>
      <c r="AQ1975" s="87" t="s">
        <v>16721</v>
      </c>
      <c r="AR1975" s="87"/>
      <c r="AS1975" s="87"/>
      <c r="AT1975" s="87"/>
      <c r="AU1975" s="87"/>
      <c r="AV1975" s="92" t="str">
        <f>HYPERLINK("https://pbs.twimg.com/media/F0Skj-GWAAAOmNl.jpg")</f>
        <v>https://pbs.twimg.com/media/F0Skj-GWAAAOmNl.jpg</v>
      </c>
      <c r="AW1975" s="93" t="s">
        <v>20203</v>
      </c>
      <c r="AX1975" s="93" t="s">
        <v>20203</v>
      </c>
      <c r="AY1975" s="87"/>
      <c r="AZ1975" s="93" t="s">
        <v>22668</v>
      </c>
      <c r="BA1975" s="93" t="s">
        <v>22668</v>
      </c>
      <c r="BB1975" s="93" t="s">
        <v>22668</v>
      </c>
      <c r="BC1975" s="93" t="s">
        <v>20203</v>
      </c>
      <c r="BD1975" s="93" t="s">
        <v>22592</v>
      </c>
      <c r="BE1975" s="87"/>
      <c r="BF1975" s="87"/>
      <c r="BG1975" s="87"/>
      <c r="BH1975" s="87"/>
      <c r="BI1975" s="87"/>
    </row>
    <row r="1976" spans="1:61" x14ac:dyDescent="0.25">
      <c r="A1976" s="63" t="s">
        <v>888</v>
      </c>
      <c r="B1976" s="63" t="s">
        <v>888</v>
      </c>
      <c r="C1976" s="64"/>
      <c r="D1976" s="65"/>
      <c r="E1976" s="66"/>
      <c r="F1976" s="67"/>
      <c r="G1976" s="64"/>
      <c r="H1976" s="68"/>
      <c r="I1976" s="69"/>
      <c r="J1976" s="69"/>
      <c r="K1976" s="32"/>
      <c r="L1976" s="76">
        <v>1976</v>
      </c>
      <c r="M1976" s="76"/>
      <c r="N1976" s="71"/>
      <c r="O1976" s="87" t="s">
        <v>1840</v>
      </c>
      <c r="P1976" s="90">
        <v>45184.500752314816</v>
      </c>
      <c r="Q1976" s="87" t="s">
        <v>3766</v>
      </c>
      <c r="R1976" s="87">
        <v>0</v>
      </c>
      <c r="S1976" s="87">
        <v>0</v>
      </c>
      <c r="T1976" s="87">
        <v>0</v>
      </c>
      <c r="U1976" s="87">
        <v>0</v>
      </c>
      <c r="V1976" s="87">
        <v>7</v>
      </c>
      <c r="W1976" s="93" t="s">
        <v>7124</v>
      </c>
      <c r="X1976" s="92" t="str">
        <f>HYPERLINK("http://www.exitomentoringday.com.br")</f>
        <v>http://www.exitomentoringday.com.br</v>
      </c>
      <c r="Y1976" s="87" t="s">
        <v>8373</v>
      </c>
      <c r="Z1976" s="87"/>
      <c r="AA1976" s="87"/>
      <c r="AB1976" s="87"/>
      <c r="AC1976" s="93" t="s">
        <v>11457</v>
      </c>
      <c r="AD1976" s="87" t="s">
        <v>11519</v>
      </c>
      <c r="AE1976" s="92" t="str">
        <f>HYPERLINK("https://twitter.com/exito_oficial/status/1702653763700347222")</f>
        <v>https://twitter.com/exito_oficial/status/1702653763700347222</v>
      </c>
      <c r="AF1976" s="90">
        <v>45184.500752314816</v>
      </c>
      <c r="AG1976" s="99">
        <v>45184</v>
      </c>
      <c r="AH1976" s="93" t="s">
        <v>13338</v>
      </c>
      <c r="AI1976" s="87" t="b">
        <v>0</v>
      </c>
      <c r="AJ1976" s="87"/>
      <c r="AK1976" s="87"/>
      <c r="AL1976" s="87"/>
      <c r="AM1976" s="87"/>
      <c r="AN1976" s="87"/>
      <c r="AO1976" s="87"/>
      <c r="AP1976" s="87"/>
      <c r="AQ1976" s="87"/>
      <c r="AR1976" s="87"/>
      <c r="AS1976" s="87"/>
      <c r="AT1976" s="87"/>
      <c r="AU1976" s="87"/>
      <c r="AV1976" s="92" t="str">
        <f>HYPERLINK("https://pbs.twimg.com/profile_images/1261706441330745347/WPpi5_ob_normal.jpg")</f>
        <v>https://pbs.twimg.com/profile_images/1261706441330745347/WPpi5_ob_normal.jpg</v>
      </c>
      <c r="AW1976" s="93" t="s">
        <v>20204</v>
      </c>
      <c r="AX1976" s="93" t="s">
        <v>22412</v>
      </c>
      <c r="AY1976" s="93" t="s">
        <v>22592</v>
      </c>
      <c r="AZ1976" s="93" t="s">
        <v>22735</v>
      </c>
      <c r="BA1976" s="93" t="s">
        <v>22668</v>
      </c>
      <c r="BB1976" s="93" t="s">
        <v>22668</v>
      </c>
      <c r="BC1976" s="93" t="s">
        <v>22735</v>
      </c>
      <c r="BD1976" s="93" t="s">
        <v>22592</v>
      </c>
      <c r="BE1976" s="87"/>
      <c r="BF1976" s="87"/>
      <c r="BG1976" s="87"/>
      <c r="BH1976" s="87"/>
      <c r="BI1976" s="87"/>
    </row>
    <row r="1977" spans="1:61" x14ac:dyDescent="0.25">
      <c r="A1977" s="63" t="s">
        <v>888</v>
      </c>
      <c r="B1977" s="63" t="s">
        <v>888</v>
      </c>
      <c r="C1977" s="64"/>
      <c r="D1977" s="65"/>
      <c r="E1977" s="66"/>
      <c r="F1977" s="67"/>
      <c r="G1977" s="64"/>
      <c r="H1977" s="68"/>
      <c r="I1977" s="69"/>
      <c r="J1977" s="69"/>
      <c r="K1977" s="32"/>
      <c r="L1977" s="76">
        <v>1977</v>
      </c>
      <c r="M1977" s="76"/>
      <c r="N1977" s="71"/>
      <c r="O1977" s="87" t="s">
        <v>1840</v>
      </c>
      <c r="P1977" s="90">
        <v>45187.774861111109</v>
      </c>
      <c r="Q1977" s="87" t="s">
        <v>3767</v>
      </c>
      <c r="R1977" s="87">
        <v>0</v>
      </c>
      <c r="S1977" s="87">
        <v>0</v>
      </c>
      <c r="T1977" s="87">
        <v>0</v>
      </c>
      <c r="U1977" s="87">
        <v>0</v>
      </c>
      <c r="V1977" s="87">
        <v>2</v>
      </c>
      <c r="W1977" s="93" t="s">
        <v>7127</v>
      </c>
      <c r="X1977" s="87"/>
      <c r="Y1977" s="87"/>
      <c r="Z1977" s="87"/>
      <c r="AA1977" s="87"/>
      <c r="AB1977" s="87"/>
      <c r="AC1977" s="93" t="s">
        <v>11457</v>
      </c>
      <c r="AD1977" s="87" t="s">
        <v>11519</v>
      </c>
      <c r="AE1977" s="92" t="str">
        <f>HYPERLINK("https://twitter.com/exito_oficial/status/1703840258243051784")</f>
        <v>https://twitter.com/exito_oficial/status/1703840258243051784</v>
      </c>
      <c r="AF1977" s="90">
        <v>45187.774861111109</v>
      </c>
      <c r="AG1977" s="99">
        <v>45187</v>
      </c>
      <c r="AH1977" s="93" t="s">
        <v>13339</v>
      </c>
      <c r="AI1977" s="87"/>
      <c r="AJ1977" s="87"/>
      <c r="AK1977" s="87"/>
      <c r="AL1977" s="87"/>
      <c r="AM1977" s="87"/>
      <c r="AN1977" s="87"/>
      <c r="AO1977" s="87"/>
      <c r="AP1977" s="87"/>
      <c r="AQ1977" s="87"/>
      <c r="AR1977" s="87"/>
      <c r="AS1977" s="87"/>
      <c r="AT1977" s="87"/>
      <c r="AU1977" s="87"/>
      <c r="AV1977" s="92" t="str">
        <f>HYPERLINK("https://pbs.twimg.com/profile_images/1261706441330745347/WPpi5_ob_normal.jpg")</f>
        <v>https://pbs.twimg.com/profile_images/1261706441330745347/WPpi5_ob_normal.jpg</v>
      </c>
      <c r="AW1977" s="93" t="s">
        <v>20205</v>
      </c>
      <c r="AX1977" s="93" t="s">
        <v>22413</v>
      </c>
      <c r="AY1977" s="93" t="s">
        <v>22592</v>
      </c>
      <c r="AZ1977" s="93" t="s">
        <v>22736</v>
      </c>
      <c r="BA1977" s="93" t="s">
        <v>22668</v>
      </c>
      <c r="BB1977" s="93" t="s">
        <v>22668</v>
      </c>
      <c r="BC1977" s="93" t="s">
        <v>22736</v>
      </c>
      <c r="BD1977" s="93" t="s">
        <v>22592</v>
      </c>
      <c r="BE1977" s="87"/>
      <c r="BF1977" s="87"/>
      <c r="BG1977" s="87"/>
      <c r="BH1977" s="87"/>
      <c r="BI1977" s="87"/>
    </row>
    <row r="1978" spans="1:61" x14ac:dyDescent="0.25">
      <c r="A1978" s="63" t="s">
        <v>888</v>
      </c>
      <c r="B1978" s="63" t="s">
        <v>888</v>
      </c>
      <c r="C1978" s="64"/>
      <c r="D1978" s="65"/>
      <c r="E1978" s="66"/>
      <c r="F1978" s="67"/>
      <c r="G1978" s="64"/>
      <c r="H1978" s="68"/>
      <c r="I1978" s="69"/>
      <c r="J1978" s="69"/>
      <c r="K1978" s="32"/>
      <c r="L1978" s="76">
        <v>1978</v>
      </c>
      <c r="M1978" s="76"/>
      <c r="N1978" s="71"/>
      <c r="O1978" s="87" t="s">
        <v>1840</v>
      </c>
      <c r="P1978" s="90">
        <v>45128.579895833333</v>
      </c>
      <c r="Q1978" s="87" t="s">
        <v>3768</v>
      </c>
      <c r="R1978" s="87">
        <v>0</v>
      </c>
      <c r="S1978" s="87">
        <v>0</v>
      </c>
      <c r="T1978" s="87">
        <v>0</v>
      </c>
      <c r="U1978" s="87">
        <v>0</v>
      </c>
      <c r="V1978" s="87">
        <v>4</v>
      </c>
      <c r="W1978" s="93" t="s">
        <v>7128</v>
      </c>
      <c r="X1978" s="87"/>
      <c r="Y1978" s="87"/>
      <c r="Z1978" s="87"/>
      <c r="AA1978" s="87" t="s">
        <v>9909</v>
      </c>
      <c r="AB1978" s="87" t="s">
        <v>11448</v>
      </c>
      <c r="AC1978" s="93" t="s">
        <v>11457</v>
      </c>
      <c r="AD1978" s="87" t="s">
        <v>11519</v>
      </c>
      <c r="AE1978" s="92" t="str">
        <f>HYPERLINK("https://twitter.com/exito_oficial/status/1682388723659419650")</f>
        <v>https://twitter.com/exito_oficial/status/1682388723659419650</v>
      </c>
      <c r="AF1978" s="90">
        <v>45128.579895833333</v>
      </c>
      <c r="AG1978" s="99">
        <v>45128</v>
      </c>
      <c r="AH1978" s="93" t="s">
        <v>13340</v>
      </c>
      <c r="AI1978" s="87" t="b">
        <v>0</v>
      </c>
      <c r="AJ1978" s="87"/>
      <c r="AK1978" s="87"/>
      <c r="AL1978" s="87"/>
      <c r="AM1978" s="87"/>
      <c r="AN1978" s="87"/>
      <c r="AO1978" s="87"/>
      <c r="AP1978" s="87"/>
      <c r="AQ1978" s="87" t="s">
        <v>16722</v>
      </c>
      <c r="AR1978" s="87"/>
      <c r="AS1978" s="87"/>
      <c r="AT1978" s="87"/>
      <c r="AU1978" s="87"/>
      <c r="AV1978" s="92" t="str">
        <f>HYPERLINK("https://pbs.twimg.com/media/F1kLnyKWYAEeM6e.jpg")</f>
        <v>https://pbs.twimg.com/media/F1kLnyKWYAEeM6e.jpg</v>
      </c>
      <c r="AW1978" s="93" t="s">
        <v>20206</v>
      </c>
      <c r="AX1978" s="93" t="s">
        <v>22414</v>
      </c>
      <c r="AY1978" s="93" t="s">
        <v>22592</v>
      </c>
      <c r="AZ1978" s="93" t="s">
        <v>22414</v>
      </c>
      <c r="BA1978" s="93" t="s">
        <v>22668</v>
      </c>
      <c r="BB1978" s="93" t="s">
        <v>22668</v>
      </c>
      <c r="BC1978" s="93" t="s">
        <v>22414</v>
      </c>
      <c r="BD1978" s="93" t="s">
        <v>22592</v>
      </c>
      <c r="BE1978" s="87"/>
      <c r="BF1978" s="87"/>
      <c r="BG1978" s="87"/>
      <c r="BH1978" s="87"/>
      <c r="BI1978" s="87"/>
    </row>
    <row r="1979" spans="1:61" x14ac:dyDescent="0.25">
      <c r="A1979" s="63" t="s">
        <v>888</v>
      </c>
      <c r="B1979" s="63" t="s">
        <v>888</v>
      </c>
      <c r="C1979" s="64"/>
      <c r="D1979" s="65"/>
      <c r="E1979" s="66"/>
      <c r="F1979" s="67"/>
      <c r="G1979" s="64"/>
      <c r="H1979" s="68"/>
      <c r="I1979" s="69"/>
      <c r="J1979" s="69"/>
      <c r="K1979" s="32"/>
      <c r="L1979" s="76">
        <v>1979</v>
      </c>
      <c r="M1979" s="76"/>
      <c r="N1979" s="71"/>
      <c r="O1979" s="87" t="s">
        <v>1840</v>
      </c>
      <c r="P1979" s="90">
        <v>45127.500775462962</v>
      </c>
      <c r="Q1979" s="87" t="s">
        <v>3769</v>
      </c>
      <c r="R1979" s="87">
        <v>0</v>
      </c>
      <c r="S1979" s="87">
        <v>0</v>
      </c>
      <c r="T1979" s="87">
        <v>0</v>
      </c>
      <c r="U1979" s="87">
        <v>0</v>
      </c>
      <c r="V1979" s="87">
        <v>30</v>
      </c>
      <c r="W1979" s="93" t="s">
        <v>7129</v>
      </c>
      <c r="X1979" s="87"/>
      <c r="Y1979" s="87"/>
      <c r="Z1979" s="87"/>
      <c r="AA1979" s="87"/>
      <c r="AB1979" s="87"/>
      <c r="AC1979" s="93" t="s">
        <v>11457</v>
      </c>
      <c r="AD1979" s="87" t="s">
        <v>11519</v>
      </c>
      <c r="AE1979" s="92" t="str">
        <f>HYPERLINK("https://twitter.com/exito_oficial/status/1681997664827633668")</f>
        <v>https://twitter.com/exito_oficial/status/1681997664827633668</v>
      </c>
      <c r="AF1979" s="90">
        <v>45127.500775462962</v>
      </c>
      <c r="AG1979" s="99">
        <v>45127</v>
      </c>
      <c r="AH1979" s="93" t="s">
        <v>13341</v>
      </c>
      <c r="AI1979" s="87"/>
      <c r="AJ1979" s="87"/>
      <c r="AK1979" s="87"/>
      <c r="AL1979" s="87"/>
      <c r="AM1979" s="87"/>
      <c r="AN1979" s="87"/>
      <c r="AO1979" s="87"/>
      <c r="AP1979" s="87"/>
      <c r="AQ1979" s="87"/>
      <c r="AR1979" s="87"/>
      <c r="AS1979" s="87"/>
      <c r="AT1979" s="87"/>
      <c r="AU1979" s="87"/>
      <c r="AV1979" s="92" t="str">
        <f>HYPERLINK("https://pbs.twimg.com/profile_images/1261706441330745347/WPpi5_ob_normal.jpg")</f>
        <v>https://pbs.twimg.com/profile_images/1261706441330745347/WPpi5_ob_normal.jpg</v>
      </c>
      <c r="AW1979" s="93" t="s">
        <v>20207</v>
      </c>
      <c r="AX1979" s="93" t="s">
        <v>22415</v>
      </c>
      <c r="AY1979" s="93" t="s">
        <v>22592</v>
      </c>
      <c r="AZ1979" s="93" t="s">
        <v>22737</v>
      </c>
      <c r="BA1979" s="93" t="s">
        <v>22668</v>
      </c>
      <c r="BB1979" s="93" t="s">
        <v>22668</v>
      </c>
      <c r="BC1979" s="93" t="s">
        <v>22737</v>
      </c>
      <c r="BD1979" s="93" t="s">
        <v>22592</v>
      </c>
      <c r="BE1979" s="87"/>
      <c r="BF1979" s="87"/>
      <c r="BG1979" s="87"/>
      <c r="BH1979" s="87"/>
      <c r="BI1979" s="87"/>
    </row>
    <row r="1980" spans="1:61" x14ac:dyDescent="0.25">
      <c r="A1980" s="63" t="s">
        <v>889</v>
      </c>
      <c r="B1980" s="63" t="s">
        <v>889</v>
      </c>
      <c r="C1980" s="64"/>
      <c r="D1980" s="65"/>
      <c r="E1980" s="66"/>
      <c r="F1980" s="67"/>
      <c r="G1980" s="64"/>
      <c r="H1980" s="68"/>
      <c r="I1980" s="69"/>
      <c r="J1980" s="69"/>
      <c r="K1980" s="32"/>
      <c r="L1980" s="76">
        <v>1980</v>
      </c>
      <c r="M1980" s="76"/>
      <c r="N1980" s="71"/>
      <c r="O1980" s="87" t="s">
        <v>179</v>
      </c>
      <c r="P1980" s="90">
        <v>45172.747835648152</v>
      </c>
      <c r="Q1980" s="87" t="s">
        <v>3770</v>
      </c>
      <c r="R1980" s="87">
        <v>0</v>
      </c>
      <c r="S1980" s="87">
        <v>0</v>
      </c>
      <c r="T1980" s="87">
        <v>0</v>
      </c>
      <c r="U1980" s="87">
        <v>0</v>
      </c>
      <c r="V1980" s="87">
        <v>28</v>
      </c>
      <c r="W1980" s="93" t="s">
        <v>7130</v>
      </c>
      <c r="X1980" s="87"/>
      <c r="Y1980" s="87"/>
      <c r="Z1980" s="87"/>
      <c r="AA1980" s="87" t="s">
        <v>9910</v>
      </c>
      <c r="AB1980" s="87" t="s">
        <v>11448</v>
      </c>
      <c r="AC1980" s="93" t="s">
        <v>11459</v>
      </c>
      <c r="AD1980" s="87" t="s">
        <v>11520</v>
      </c>
      <c r="AE1980" s="92" t="str">
        <f>HYPERLINK("https://twitter.com/crismartinin2/status/1698394647721099417")</f>
        <v>https://twitter.com/crismartinin2/status/1698394647721099417</v>
      </c>
      <c r="AF1980" s="90">
        <v>45172.747835648152</v>
      </c>
      <c r="AG1980" s="99">
        <v>45172</v>
      </c>
      <c r="AH1980" s="93" t="s">
        <v>13342</v>
      </c>
      <c r="AI1980" s="87" t="b">
        <v>0</v>
      </c>
      <c r="AJ1980" s="87"/>
      <c r="AK1980" s="87"/>
      <c r="AL1980" s="87"/>
      <c r="AM1980" s="87"/>
      <c r="AN1980" s="87"/>
      <c r="AO1980" s="87"/>
      <c r="AP1980" s="87"/>
      <c r="AQ1980" s="87" t="s">
        <v>16723</v>
      </c>
      <c r="AR1980" s="87"/>
      <c r="AS1980" s="87"/>
      <c r="AT1980" s="87"/>
      <c r="AU1980" s="87"/>
      <c r="AV1980" s="92" t="str">
        <f>HYPERLINK("https://pbs.twimg.com/media/F5Ho7nEX0AAIOxE.jpg")</f>
        <v>https://pbs.twimg.com/media/F5Ho7nEX0AAIOxE.jpg</v>
      </c>
      <c r="AW1980" s="93" t="s">
        <v>20208</v>
      </c>
      <c r="AX1980" s="93" t="s">
        <v>20208</v>
      </c>
      <c r="AY1980" s="87"/>
      <c r="AZ1980" s="93" t="s">
        <v>22668</v>
      </c>
      <c r="BA1980" s="93" t="s">
        <v>22668</v>
      </c>
      <c r="BB1980" s="93" t="s">
        <v>22668</v>
      </c>
      <c r="BC1980" s="93" t="s">
        <v>20208</v>
      </c>
      <c r="BD1980" s="87">
        <v>2477233950</v>
      </c>
      <c r="BE1980" s="87"/>
      <c r="BF1980" s="87"/>
      <c r="BG1980" s="87"/>
      <c r="BH1980" s="87"/>
      <c r="BI1980" s="87"/>
    </row>
    <row r="1981" spans="1:61" x14ac:dyDescent="0.25">
      <c r="A1981" s="63" t="s">
        <v>890</v>
      </c>
      <c r="B1981" s="63" t="s">
        <v>1697</v>
      </c>
      <c r="C1981" s="64"/>
      <c r="D1981" s="65"/>
      <c r="E1981" s="66"/>
      <c r="F1981" s="67"/>
      <c r="G1981" s="64"/>
      <c r="H1981" s="68"/>
      <c r="I1981" s="69"/>
      <c r="J1981" s="69"/>
      <c r="K1981" s="32"/>
      <c r="L1981" s="76">
        <v>1981</v>
      </c>
      <c r="M1981" s="76"/>
      <c r="N1981" s="71"/>
      <c r="O1981" s="87" t="s">
        <v>1839</v>
      </c>
      <c r="P1981" s="90">
        <v>45152.813530092593</v>
      </c>
      <c r="Q1981" s="87" t="s">
        <v>3771</v>
      </c>
      <c r="R1981" s="87">
        <v>0</v>
      </c>
      <c r="S1981" s="87">
        <v>0</v>
      </c>
      <c r="T1981" s="87">
        <v>0</v>
      </c>
      <c r="U1981" s="87">
        <v>0</v>
      </c>
      <c r="V1981" s="87">
        <v>79</v>
      </c>
      <c r="W1981" s="93" t="s">
        <v>7131</v>
      </c>
      <c r="X1981" s="87"/>
      <c r="Y1981" s="87"/>
      <c r="Z1981" s="87" t="s">
        <v>1697</v>
      </c>
      <c r="AA1981" s="87"/>
      <c r="AB1981" s="87"/>
      <c r="AC1981" s="93" t="s">
        <v>11459</v>
      </c>
      <c r="AD1981" s="87" t="s">
        <v>11519</v>
      </c>
      <c r="AE1981" s="92" t="str">
        <f>HYPERLINK("https://twitter.com/dishumor/status/1691170697307910145")</f>
        <v>https://twitter.com/dishumor/status/1691170697307910145</v>
      </c>
      <c r="AF1981" s="90">
        <v>45152.813530092593</v>
      </c>
      <c r="AG1981" s="99">
        <v>45152</v>
      </c>
      <c r="AH1981" s="93" t="s">
        <v>13343</v>
      </c>
      <c r="AI1981" s="87"/>
      <c r="AJ1981" s="87"/>
      <c r="AK1981" s="87"/>
      <c r="AL1981" s="87"/>
      <c r="AM1981" s="87"/>
      <c r="AN1981" s="87"/>
      <c r="AO1981" s="87"/>
      <c r="AP1981" s="87"/>
      <c r="AQ1981" s="87"/>
      <c r="AR1981" s="87"/>
      <c r="AS1981" s="87"/>
      <c r="AT1981" s="87"/>
      <c r="AU1981" s="87"/>
      <c r="AV1981" s="92" t="str">
        <f>HYPERLINK("https://pbs.twimg.com/profile_images/1201224296019976193/8YFdpwYe_normal.jpg")</f>
        <v>https://pbs.twimg.com/profile_images/1201224296019976193/8YFdpwYe_normal.jpg</v>
      </c>
      <c r="AW1981" s="93" t="s">
        <v>20209</v>
      </c>
      <c r="AX1981" s="93" t="s">
        <v>20209</v>
      </c>
      <c r="AY1981" s="87"/>
      <c r="AZ1981" s="93" t="s">
        <v>22668</v>
      </c>
      <c r="BA1981" s="93" t="s">
        <v>22668</v>
      </c>
      <c r="BB1981" s="93" t="s">
        <v>22668</v>
      </c>
      <c r="BC1981" s="93" t="s">
        <v>20209</v>
      </c>
      <c r="BD1981" s="87">
        <v>18194861</v>
      </c>
      <c r="BE1981" s="87"/>
      <c r="BF1981" s="87"/>
      <c r="BG1981" s="87"/>
      <c r="BH1981" s="87"/>
      <c r="BI1981" s="87"/>
    </row>
    <row r="1982" spans="1:61" x14ac:dyDescent="0.25">
      <c r="A1982" s="63" t="s">
        <v>890</v>
      </c>
      <c r="B1982" s="63" t="s">
        <v>890</v>
      </c>
      <c r="C1982" s="64"/>
      <c r="D1982" s="65"/>
      <c r="E1982" s="66"/>
      <c r="F1982" s="67"/>
      <c r="G1982" s="64"/>
      <c r="H1982" s="68"/>
      <c r="I1982" s="69"/>
      <c r="J1982" s="69"/>
      <c r="K1982" s="32"/>
      <c r="L1982" s="76">
        <v>1982</v>
      </c>
      <c r="M1982" s="76"/>
      <c r="N1982" s="71"/>
      <c r="O1982" s="87" t="s">
        <v>1840</v>
      </c>
      <c r="P1982" s="90">
        <v>45152.812974537039</v>
      </c>
      <c r="Q1982" s="87" t="s">
        <v>3771</v>
      </c>
      <c r="R1982" s="87">
        <v>0</v>
      </c>
      <c r="S1982" s="87">
        <v>0</v>
      </c>
      <c r="T1982" s="87">
        <v>0</v>
      </c>
      <c r="U1982" s="87">
        <v>0</v>
      </c>
      <c r="V1982" s="87">
        <v>67</v>
      </c>
      <c r="W1982" s="93" t="s">
        <v>7131</v>
      </c>
      <c r="X1982" s="87"/>
      <c r="Y1982" s="87"/>
      <c r="Z1982" s="87" t="s">
        <v>1697</v>
      </c>
      <c r="AA1982" s="87"/>
      <c r="AB1982" s="87"/>
      <c r="AC1982" s="93" t="s">
        <v>11459</v>
      </c>
      <c r="AD1982" s="87" t="s">
        <v>11519</v>
      </c>
      <c r="AE1982" s="92" t="str">
        <f>HYPERLINK("https://twitter.com/dishumor/status/1691170495863926784")</f>
        <v>https://twitter.com/dishumor/status/1691170495863926784</v>
      </c>
      <c r="AF1982" s="90">
        <v>45152.812974537039</v>
      </c>
      <c r="AG1982" s="99">
        <v>45152</v>
      </c>
      <c r="AH1982" s="93" t="s">
        <v>13344</v>
      </c>
      <c r="AI1982" s="87"/>
      <c r="AJ1982" s="87"/>
      <c r="AK1982" s="87"/>
      <c r="AL1982" s="87"/>
      <c r="AM1982" s="87"/>
      <c r="AN1982" s="87"/>
      <c r="AO1982" s="87"/>
      <c r="AP1982" s="87"/>
      <c r="AQ1982" s="87"/>
      <c r="AR1982" s="87"/>
      <c r="AS1982" s="87"/>
      <c r="AT1982" s="87"/>
      <c r="AU1982" s="87"/>
      <c r="AV1982" s="92" t="str">
        <f>HYPERLINK("https://pbs.twimg.com/profile_images/1201224296019976193/8YFdpwYe_normal.jpg")</f>
        <v>https://pbs.twimg.com/profile_images/1201224296019976193/8YFdpwYe_normal.jpg</v>
      </c>
      <c r="AW1982" s="93" t="s">
        <v>20210</v>
      </c>
      <c r="AX1982" s="93" t="s">
        <v>22416</v>
      </c>
      <c r="AY1982" s="93" t="s">
        <v>22593</v>
      </c>
      <c r="AZ1982" s="93" t="s">
        <v>22416</v>
      </c>
      <c r="BA1982" s="93" t="s">
        <v>22668</v>
      </c>
      <c r="BB1982" s="93" t="s">
        <v>22668</v>
      </c>
      <c r="BC1982" s="93" t="s">
        <v>22416</v>
      </c>
      <c r="BD1982" s="87">
        <v>18194861</v>
      </c>
      <c r="BE1982" s="87"/>
      <c r="BF1982" s="87"/>
      <c r="BG1982" s="87"/>
      <c r="BH1982" s="87"/>
      <c r="BI1982" s="87"/>
    </row>
    <row r="1983" spans="1:61" x14ac:dyDescent="0.25">
      <c r="A1983" s="63" t="s">
        <v>891</v>
      </c>
      <c r="B1983" s="63" t="s">
        <v>1698</v>
      </c>
      <c r="C1983" s="64"/>
      <c r="D1983" s="65"/>
      <c r="E1983" s="66"/>
      <c r="F1983" s="67"/>
      <c r="G1983" s="64"/>
      <c r="H1983" s="68"/>
      <c r="I1983" s="69"/>
      <c r="J1983" s="69"/>
      <c r="K1983" s="32"/>
      <c r="L1983" s="76">
        <v>1983</v>
      </c>
      <c r="M1983" s="76"/>
      <c r="N1983" s="71"/>
      <c r="O1983" s="87" t="s">
        <v>1840</v>
      </c>
      <c r="P1983" s="90">
        <v>45169.86614583333</v>
      </c>
      <c r="Q1983" s="87" t="s">
        <v>3772</v>
      </c>
      <c r="R1983" s="87">
        <v>0</v>
      </c>
      <c r="S1983" s="87">
        <v>3</v>
      </c>
      <c r="T1983" s="87">
        <v>0</v>
      </c>
      <c r="U1983" s="87">
        <v>0</v>
      </c>
      <c r="V1983" s="87">
        <v>997</v>
      </c>
      <c r="W1983" s="93" t="s">
        <v>1737</v>
      </c>
      <c r="X1983" s="87"/>
      <c r="Y1983" s="87"/>
      <c r="Z1983" s="87" t="s">
        <v>1698</v>
      </c>
      <c r="AA1983" s="87"/>
      <c r="AB1983" s="87"/>
      <c r="AC1983" s="93" t="s">
        <v>11459</v>
      </c>
      <c r="AD1983" s="87" t="s">
        <v>11519</v>
      </c>
      <c r="AE1983" s="92" t="str">
        <f>HYPERLINK("https://twitter.com/acasolhepague/status/1697350359830720989")</f>
        <v>https://twitter.com/acasolhepague/status/1697350359830720989</v>
      </c>
      <c r="AF1983" s="90">
        <v>45169.86614583333</v>
      </c>
      <c r="AG1983" s="99">
        <v>45169</v>
      </c>
      <c r="AH1983" s="93" t="s">
        <v>13345</v>
      </c>
      <c r="AI1983" s="87"/>
      <c r="AJ1983" s="87"/>
      <c r="AK1983" s="87"/>
      <c r="AL1983" s="87"/>
      <c r="AM1983" s="87"/>
      <c r="AN1983" s="87"/>
      <c r="AO1983" s="87"/>
      <c r="AP1983" s="87"/>
      <c r="AQ1983" s="87"/>
      <c r="AR1983" s="87"/>
      <c r="AS1983" s="87"/>
      <c r="AT1983" s="87"/>
      <c r="AU1983" s="87"/>
      <c r="AV1983" s="92" t="str">
        <f>HYPERLINK("https://pbs.twimg.com/profile_images/1516565827197222927/1BjWcpe8_normal.jpg")</f>
        <v>https://pbs.twimg.com/profile_images/1516565827197222927/1BjWcpe8_normal.jpg</v>
      </c>
      <c r="AW1983" s="93" t="s">
        <v>20211</v>
      </c>
      <c r="AX1983" s="93" t="s">
        <v>22417</v>
      </c>
      <c r="AY1983" s="93" t="s">
        <v>22594</v>
      </c>
      <c r="AZ1983" s="93" t="s">
        <v>22417</v>
      </c>
      <c r="BA1983" s="93" t="s">
        <v>22668</v>
      </c>
      <c r="BB1983" s="93" t="s">
        <v>22668</v>
      </c>
      <c r="BC1983" s="93" t="s">
        <v>22417</v>
      </c>
      <c r="BD1983" s="87">
        <v>29988179</v>
      </c>
      <c r="BE1983" s="87"/>
      <c r="BF1983" s="87"/>
      <c r="BG1983" s="87"/>
      <c r="BH1983" s="87"/>
      <c r="BI1983" s="87"/>
    </row>
    <row r="1984" spans="1:61" x14ac:dyDescent="0.25">
      <c r="A1984" s="63" t="s">
        <v>892</v>
      </c>
      <c r="B1984" s="63" t="s">
        <v>892</v>
      </c>
      <c r="C1984" s="64"/>
      <c r="D1984" s="65"/>
      <c r="E1984" s="66"/>
      <c r="F1984" s="67"/>
      <c r="G1984" s="64"/>
      <c r="H1984" s="68"/>
      <c r="I1984" s="69"/>
      <c r="J1984" s="69"/>
      <c r="K1984" s="32"/>
      <c r="L1984" s="76">
        <v>1984</v>
      </c>
      <c r="M1984" s="76"/>
      <c r="N1984" s="71"/>
      <c r="O1984" s="87" t="s">
        <v>179</v>
      </c>
      <c r="P1984" s="90">
        <v>45184.470381944448</v>
      </c>
      <c r="Q1984" s="87" t="s">
        <v>3773</v>
      </c>
      <c r="R1984" s="87">
        <v>0</v>
      </c>
      <c r="S1984" s="87">
        <v>0</v>
      </c>
      <c r="T1984" s="87">
        <v>0</v>
      </c>
      <c r="U1984" s="87">
        <v>0</v>
      </c>
      <c r="V1984" s="87">
        <v>10</v>
      </c>
      <c r="W1984" s="93" t="s">
        <v>5897</v>
      </c>
      <c r="X1984" s="87"/>
      <c r="Y1984" s="87"/>
      <c r="Z1984" s="87"/>
      <c r="AA1984" s="87"/>
      <c r="AB1984" s="87"/>
      <c r="AC1984" s="93" t="s">
        <v>11459</v>
      </c>
      <c r="AD1984" s="87" t="s">
        <v>11519</v>
      </c>
      <c r="AE1984" s="92" t="str">
        <f>HYPERLINK("https://twitter.com/escolariopreto/status/1702642755632070749")</f>
        <v>https://twitter.com/escolariopreto/status/1702642755632070749</v>
      </c>
      <c r="AF1984" s="90">
        <v>45184.470381944448</v>
      </c>
      <c r="AG1984" s="99">
        <v>45184</v>
      </c>
      <c r="AH1984" s="93" t="s">
        <v>13346</v>
      </c>
      <c r="AI1984" s="87"/>
      <c r="AJ1984" s="87"/>
      <c r="AK1984" s="87"/>
      <c r="AL1984" s="87"/>
      <c r="AM1984" s="87"/>
      <c r="AN1984" s="87"/>
      <c r="AO1984" s="87"/>
      <c r="AP1984" s="87"/>
      <c r="AQ1984" s="87"/>
      <c r="AR1984" s="87"/>
      <c r="AS1984" s="87"/>
      <c r="AT1984" s="87"/>
      <c r="AU1984" s="87"/>
      <c r="AV1984" s="92" t="str">
        <f>HYPERLINK("https://pbs.twimg.com/profile_images/1699916097464475648/w96zPj4n_normal.jpg")</f>
        <v>https://pbs.twimg.com/profile_images/1699916097464475648/w96zPj4n_normal.jpg</v>
      </c>
      <c r="AW1984" s="93" t="s">
        <v>20212</v>
      </c>
      <c r="AX1984" s="93" t="s">
        <v>20212</v>
      </c>
      <c r="AY1984" s="87"/>
      <c r="AZ1984" s="93" t="s">
        <v>22668</v>
      </c>
      <c r="BA1984" s="93" t="s">
        <v>22668</v>
      </c>
      <c r="BB1984" s="93" t="s">
        <v>22668</v>
      </c>
      <c r="BC1984" s="93" t="s">
        <v>20212</v>
      </c>
      <c r="BD1984" s="93" t="s">
        <v>23179</v>
      </c>
      <c r="BE1984" s="87"/>
      <c r="BF1984" s="87"/>
      <c r="BG1984" s="87"/>
      <c r="BH1984" s="87"/>
      <c r="BI1984" s="87"/>
    </row>
    <row r="1985" spans="1:61" x14ac:dyDescent="0.25">
      <c r="A1985" s="63" t="s">
        <v>893</v>
      </c>
      <c r="B1985" s="63" t="s">
        <v>893</v>
      </c>
      <c r="C1985" s="64"/>
      <c r="D1985" s="65"/>
      <c r="E1985" s="66"/>
      <c r="F1985" s="67"/>
      <c r="G1985" s="64"/>
      <c r="H1985" s="68"/>
      <c r="I1985" s="69"/>
      <c r="J1985" s="69"/>
      <c r="K1985" s="32"/>
      <c r="L1985" s="76">
        <v>1985</v>
      </c>
      <c r="M1985" s="76"/>
      <c r="N1985" s="71"/>
      <c r="O1985" s="87" t="s">
        <v>179</v>
      </c>
      <c r="P1985" s="90">
        <v>45170.048020833332</v>
      </c>
      <c r="Q1985" s="87" t="s">
        <v>3774</v>
      </c>
      <c r="R1985" s="87">
        <v>0</v>
      </c>
      <c r="S1985" s="87">
        <v>1</v>
      </c>
      <c r="T1985" s="87">
        <v>0</v>
      </c>
      <c r="U1985" s="87">
        <v>0</v>
      </c>
      <c r="V1985" s="87">
        <v>78</v>
      </c>
      <c r="W1985" s="93" t="s">
        <v>7132</v>
      </c>
      <c r="X1985" s="87"/>
      <c r="Y1985" s="87"/>
      <c r="Z1985" s="87"/>
      <c r="AA1985" s="87" t="s">
        <v>9911</v>
      </c>
      <c r="AB1985" s="87" t="s">
        <v>11448</v>
      </c>
      <c r="AC1985" s="93" t="s">
        <v>11457</v>
      </c>
      <c r="AD1985" s="87" t="s">
        <v>11518</v>
      </c>
      <c r="AE1985" s="92" t="str">
        <f>HYPERLINK("https://twitter.com/alamin42213/status/1697416268457058620")</f>
        <v>https://twitter.com/alamin42213/status/1697416268457058620</v>
      </c>
      <c r="AF1985" s="90">
        <v>45170.048020833332</v>
      </c>
      <c r="AG1985" s="99">
        <v>45170</v>
      </c>
      <c r="AH1985" s="93" t="s">
        <v>13347</v>
      </c>
      <c r="AI1985" s="87" t="b">
        <v>0</v>
      </c>
      <c r="AJ1985" s="87"/>
      <c r="AK1985" s="87"/>
      <c r="AL1985" s="87"/>
      <c r="AM1985" s="87"/>
      <c r="AN1985" s="87"/>
      <c r="AO1985" s="87"/>
      <c r="AP1985" s="87"/>
      <c r="AQ1985" s="87" t="s">
        <v>16724</v>
      </c>
      <c r="AR1985" s="87"/>
      <c r="AS1985" s="87"/>
      <c r="AT1985" s="87"/>
      <c r="AU1985" s="87"/>
      <c r="AV1985" s="92" t="str">
        <f>HYPERLINK("https://pbs.twimg.com/media/F45vDx4bEAACGxJ.jpg")</f>
        <v>https://pbs.twimg.com/media/F45vDx4bEAACGxJ.jpg</v>
      </c>
      <c r="AW1985" s="93" t="s">
        <v>20213</v>
      </c>
      <c r="AX1985" s="93" t="s">
        <v>20213</v>
      </c>
      <c r="AY1985" s="87"/>
      <c r="AZ1985" s="93" t="s">
        <v>22668</v>
      </c>
      <c r="BA1985" s="93" t="s">
        <v>22668</v>
      </c>
      <c r="BB1985" s="93" t="s">
        <v>22668</v>
      </c>
      <c r="BC1985" s="93" t="s">
        <v>20213</v>
      </c>
      <c r="BD1985" s="93" t="s">
        <v>23180</v>
      </c>
      <c r="BE1985" s="87"/>
      <c r="BF1985" s="87"/>
      <c r="BG1985" s="87"/>
      <c r="BH1985" s="87"/>
      <c r="BI1985" s="87"/>
    </row>
    <row r="1986" spans="1:61" x14ac:dyDescent="0.25">
      <c r="A1986" s="63" t="s">
        <v>894</v>
      </c>
      <c r="B1986" s="63" t="s">
        <v>894</v>
      </c>
      <c r="C1986" s="64"/>
      <c r="D1986" s="65"/>
      <c r="E1986" s="66"/>
      <c r="F1986" s="67"/>
      <c r="G1986" s="64"/>
      <c r="H1986" s="68"/>
      <c r="I1986" s="69"/>
      <c r="J1986" s="69"/>
      <c r="K1986" s="32"/>
      <c r="L1986" s="76">
        <v>1986</v>
      </c>
      <c r="M1986" s="76"/>
      <c r="N1986" s="71"/>
      <c r="O1986" s="87" t="s">
        <v>179</v>
      </c>
      <c r="P1986" s="90">
        <v>45120.133414351854</v>
      </c>
      <c r="Q1986" s="87" t="s">
        <v>3775</v>
      </c>
      <c r="R1986" s="87">
        <v>0</v>
      </c>
      <c r="S1986" s="87">
        <v>0</v>
      </c>
      <c r="T1986" s="87">
        <v>0</v>
      </c>
      <c r="U1986" s="87">
        <v>0</v>
      </c>
      <c r="V1986" s="87">
        <v>12</v>
      </c>
      <c r="W1986" s="93" t="s">
        <v>7133</v>
      </c>
      <c r="X1986" s="87"/>
      <c r="Y1986" s="87"/>
      <c r="Z1986" s="87"/>
      <c r="AA1986" s="87" t="s">
        <v>9912</v>
      </c>
      <c r="AB1986" s="87" t="s">
        <v>11447</v>
      </c>
      <c r="AC1986" s="93" t="s">
        <v>11458</v>
      </c>
      <c r="AD1986" s="87" t="s">
        <v>11522</v>
      </c>
      <c r="AE1986" s="92" t="str">
        <f>HYPERLINK("https://twitter.com/grupojbg3/status/1679327820139380737")</f>
        <v>https://twitter.com/grupojbg3/status/1679327820139380737</v>
      </c>
      <c r="AF1986" s="90">
        <v>45120.133414351854</v>
      </c>
      <c r="AG1986" s="99">
        <v>45120</v>
      </c>
      <c r="AH1986" s="93" t="s">
        <v>13348</v>
      </c>
      <c r="AI1986" s="87" t="b">
        <v>0</v>
      </c>
      <c r="AJ1986" s="87"/>
      <c r="AK1986" s="87"/>
      <c r="AL1986" s="87"/>
      <c r="AM1986" s="87"/>
      <c r="AN1986" s="87"/>
      <c r="AO1986" s="87"/>
      <c r="AP1986" s="87"/>
      <c r="AQ1986" s="87" t="s">
        <v>16725</v>
      </c>
      <c r="AR1986" s="87">
        <v>35933</v>
      </c>
      <c r="AS1986" s="87"/>
      <c r="AT1986" s="87"/>
      <c r="AU1986" s="87"/>
      <c r="AV1986" s="92" t="str">
        <f>HYPERLINK("https://pbs.twimg.com/ext_tw_video_thumb/1679327749054296064/pu/img/9L7AhFV1esgr6LUJ.jpg")</f>
        <v>https://pbs.twimg.com/ext_tw_video_thumb/1679327749054296064/pu/img/9L7AhFV1esgr6LUJ.jpg</v>
      </c>
      <c r="AW1986" s="93" t="s">
        <v>20214</v>
      </c>
      <c r="AX1986" s="93" t="s">
        <v>20214</v>
      </c>
      <c r="AY1986" s="87"/>
      <c r="AZ1986" s="93" t="s">
        <v>22668</v>
      </c>
      <c r="BA1986" s="93" t="s">
        <v>22668</v>
      </c>
      <c r="BB1986" s="93" t="s">
        <v>22668</v>
      </c>
      <c r="BC1986" s="93" t="s">
        <v>20214</v>
      </c>
      <c r="BD1986" s="93" t="s">
        <v>23181</v>
      </c>
      <c r="BE1986" s="87"/>
      <c r="BF1986" s="87"/>
      <c r="BG1986" s="87"/>
      <c r="BH1986" s="87"/>
      <c r="BI1986" s="87"/>
    </row>
    <row r="1987" spans="1:61" x14ac:dyDescent="0.25">
      <c r="A1987" s="63" t="s">
        <v>894</v>
      </c>
      <c r="B1987" s="63" t="s">
        <v>894</v>
      </c>
      <c r="C1987" s="64"/>
      <c r="D1987" s="65"/>
      <c r="E1987" s="66"/>
      <c r="F1987" s="67"/>
      <c r="G1987" s="64"/>
      <c r="H1987" s="68"/>
      <c r="I1987" s="69"/>
      <c r="J1987" s="69"/>
      <c r="K1987" s="32"/>
      <c r="L1987" s="76">
        <v>1987</v>
      </c>
      <c r="M1987" s="76"/>
      <c r="N1987" s="71"/>
      <c r="O1987" s="87" t="s">
        <v>179</v>
      </c>
      <c r="P1987" s="90">
        <v>45135.533043981479</v>
      </c>
      <c r="Q1987" s="87" t="s">
        <v>3776</v>
      </c>
      <c r="R1987" s="87">
        <v>0</v>
      </c>
      <c r="S1987" s="87">
        <v>1</v>
      </c>
      <c r="T1987" s="87">
        <v>0</v>
      </c>
      <c r="U1987" s="87">
        <v>0</v>
      </c>
      <c r="V1987" s="87">
        <v>20</v>
      </c>
      <c r="W1987" s="93" t="s">
        <v>7134</v>
      </c>
      <c r="X1987" s="87"/>
      <c r="Y1987" s="87"/>
      <c r="Z1987" s="87"/>
      <c r="AA1987" s="87" t="s">
        <v>9913</v>
      </c>
      <c r="AB1987" s="87" t="s">
        <v>11448</v>
      </c>
      <c r="AC1987" s="93" t="s">
        <v>11458</v>
      </c>
      <c r="AD1987" s="87" t="s">
        <v>11519</v>
      </c>
      <c r="AE1987" s="92" t="str">
        <f>HYPERLINK("https://twitter.com/grupojbg3/status/1684908460968706048")</f>
        <v>https://twitter.com/grupojbg3/status/1684908460968706048</v>
      </c>
      <c r="AF1987" s="90">
        <v>45135.533043981479</v>
      </c>
      <c r="AG1987" s="99">
        <v>45135</v>
      </c>
      <c r="AH1987" s="93" t="s">
        <v>13349</v>
      </c>
      <c r="AI1987" s="87" t="b">
        <v>0</v>
      </c>
      <c r="AJ1987" s="87"/>
      <c r="AK1987" s="87"/>
      <c r="AL1987" s="87"/>
      <c r="AM1987" s="87"/>
      <c r="AN1987" s="87"/>
      <c r="AO1987" s="87"/>
      <c r="AP1987" s="87"/>
      <c r="AQ1987" s="87" t="s">
        <v>16726</v>
      </c>
      <c r="AR1987" s="87"/>
      <c r="AS1987" s="87"/>
      <c r="AT1987" s="87"/>
      <c r="AU1987" s="87"/>
      <c r="AV1987" s="92" t="str">
        <f>HYPERLINK("https://pbs.twimg.com/media/F2H_UA2WoAAIVFf.jpg")</f>
        <v>https://pbs.twimg.com/media/F2H_UA2WoAAIVFf.jpg</v>
      </c>
      <c r="AW1987" s="93" t="s">
        <v>20215</v>
      </c>
      <c r="AX1987" s="93" t="s">
        <v>20215</v>
      </c>
      <c r="AY1987" s="87"/>
      <c r="AZ1987" s="93" t="s">
        <v>22668</v>
      </c>
      <c r="BA1987" s="93" t="s">
        <v>22668</v>
      </c>
      <c r="BB1987" s="93" t="s">
        <v>22668</v>
      </c>
      <c r="BC1987" s="93" t="s">
        <v>20215</v>
      </c>
      <c r="BD1987" s="93" t="s">
        <v>23181</v>
      </c>
      <c r="BE1987" s="87"/>
      <c r="BF1987" s="87"/>
      <c r="BG1987" s="87"/>
      <c r="BH1987" s="87"/>
      <c r="BI1987" s="87"/>
    </row>
    <row r="1988" spans="1:61" x14ac:dyDescent="0.25">
      <c r="A1988" s="63" t="s">
        <v>894</v>
      </c>
      <c r="B1988" s="63" t="s">
        <v>894</v>
      </c>
      <c r="C1988" s="64"/>
      <c r="D1988" s="65"/>
      <c r="E1988" s="66"/>
      <c r="F1988" s="67"/>
      <c r="G1988" s="64"/>
      <c r="H1988" s="68"/>
      <c r="I1988" s="69"/>
      <c r="J1988" s="69"/>
      <c r="K1988" s="32"/>
      <c r="L1988" s="76">
        <v>1988</v>
      </c>
      <c r="M1988" s="76"/>
      <c r="N1988" s="71"/>
      <c r="O1988" s="87" t="s">
        <v>179</v>
      </c>
      <c r="P1988" s="90">
        <v>45173.486458333333</v>
      </c>
      <c r="Q1988" s="87" t="s">
        <v>3777</v>
      </c>
      <c r="R1988" s="87">
        <v>0</v>
      </c>
      <c r="S1988" s="87">
        <v>0</v>
      </c>
      <c r="T1988" s="87">
        <v>0</v>
      </c>
      <c r="U1988" s="87">
        <v>0</v>
      </c>
      <c r="V1988" s="87">
        <v>13</v>
      </c>
      <c r="W1988" s="93" t="s">
        <v>7135</v>
      </c>
      <c r="X1988" s="87"/>
      <c r="Y1988" s="87"/>
      <c r="Z1988" s="87"/>
      <c r="AA1988" s="87" t="s">
        <v>9914</v>
      </c>
      <c r="AB1988" s="87" t="s">
        <v>11448</v>
      </c>
      <c r="AC1988" s="93" t="s">
        <v>11458</v>
      </c>
      <c r="AD1988" s="87" t="s">
        <v>11519</v>
      </c>
      <c r="AE1988" s="92" t="str">
        <f>HYPERLINK("https://twitter.com/grupojbg3/status/1698662317104246806")</f>
        <v>https://twitter.com/grupojbg3/status/1698662317104246806</v>
      </c>
      <c r="AF1988" s="90">
        <v>45173.486458333333</v>
      </c>
      <c r="AG1988" s="99">
        <v>45173</v>
      </c>
      <c r="AH1988" s="93" t="s">
        <v>13350</v>
      </c>
      <c r="AI1988" s="87" t="b">
        <v>0</v>
      </c>
      <c r="AJ1988" s="87"/>
      <c r="AK1988" s="87"/>
      <c r="AL1988" s="87"/>
      <c r="AM1988" s="87"/>
      <c r="AN1988" s="87"/>
      <c r="AO1988" s="87"/>
      <c r="AP1988" s="87"/>
      <c r="AQ1988" s="87" t="s">
        <v>16727</v>
      </c>
      <c r="AR1988" s="87"/>
      <c r="AS1988" s="87"/>
      <c r="AT1988" s="87"/>
      <c r="AU1988" s="87"/>
      <c r="AV1988" s="92" t="str">
        <f>HYPERLINK("https://pbs.twimg.com/media/F5LcX4RX0AAX-0A.jpg")</f>
        <v>https://pbs.twimg.com/media/F5LcX4RX0AAX-0A.jpg</v>
      </c>
      <c r="AW1988" s="93" t="s">
        <v>20216</v>
      </c>
      <c r="AX1988" s="93" t="s">
        <v>20216</v>
      </c>
      <c r="AY1988" s="87"/>
      <c r="AZ1988" s="93" t="s">
        <v>22668</v>
      </c>
      <c r="BA1988" s="93" t="s">
        <v>22668</v>
      </c>
      <c r="BB1988" s="93" t="s">
        <v>22668</v>
      </c>
      <c r="BC1988" s="93" t="s">
        <v>20216</v>
      </c>
      <c r="BD1988" s="93" t="s">
        <v>23181</v>
      </c>
      <c r="BE1988" s="87"/>
      <c r="BF1988" s="87"/>
      <c r="BG1988" s="87"/>
      <c r="BH1988" s="87"/>
      <c r="BI1988" s="87"/>
    </row>
    <row r="1989" spans="1:61" x14ac:dyDescent="0.25">
      <c r="A1989" s="63" t="s">
        <v>895</v>
      </c>
      <c r="B1989" s="63" t="s">
        <v>895</v>
      </c>
      <c r="C1989" s="64"/>
      <c r="D1989" s="65"/>
      <c r="E1989" s="66"/>
      <c r="F1989" s="67"/>
      <c r="G1989" s="64"/>
      <c r="H1989" s="68"/>
      <c r="I1989" s="69"/>
      <c r="J1989" s="69"/>
      <c r="K1989" s="32"/>
      <c r="L1989" s="76">
        <v>1989</v>
      </c>
      <c r="M1989" s="76"/>
      <c r="N1989" s="71"/>
      <c r="O1989" s="87" t="s">
        <v>179</v>
      </c>
      <c r="P1989" s="90">
        <v>45157.051620370374</v>
      </c>
      <c r="Q1989" s="87" t="s">
        <v>3778</v>
      </c>
      <c r="R1989" s="87">
        <v>0</v>
      </c>
      <c r="S1989" s="87">
        <v>0</v>
      </c>
      <c r="T1989" s="87">
        <v>0</v>
      </c>
      <c r="U1989" s="87">
        <v>0</v>
      </c>
      <c r="V1989" s="87">
        <v>9</v>
      </c>
      <c r="W1989" s="93" t="s">
        <v>7136</v>
      </c>
      <c r="X1989" s="92" t="str">
        <f>HYPERLINK("https://mastermaverick.com.br/2023/08/aravita-e-selecionada-para-o-scale-up-endeavor-brasil-2023-impulsionando-a-revolucao-da-inteligencia-artificial-no-setor-de-alimentos-frescos-no-varejo/")</f>
        <v>https://mastermaverick.com.br/2023/08/aravita-e-selecionada-para-o-scale-up-endeavor-brasil-2023-impulsionando-a-revolucao-da-inteligencia-artificial-no-setor-de-alimentos-frescos-no-varejo/</v>
      </c>
      <c r="Y1989" s="87" t="s">
        <v>8373</v>
      </c>
      <c r="Z1989" s="87"/>
      <c r="AA1989" s="87"/>
      <c r="AB1989" s="87"/>
      <c r="AC1989" s="93" t="s">
        <v>11457</v>
      </c>
      <c r="AD1989" s="87" t="s">
        <v>11519</v>
      </c>
      <c r="AE1989" s="92" t="str">
        <f>HYPERLINK("https://twitter.com/rafaelr36886877/status/1692706530464870544")</f>
        <v>https://twitter.com/rafaelr36886877/status/1692706530464870544</v>
      </c>
      <c r="AF1989" s="90">
        <v>45157.051620370374</v>
      </c>
      <c r="AG1989" s="99">
        <v>45157</v>
      </c>
      <c r="AH1989" s="93" t="s">
        <v>13351</v>
      </c>
      <c r="AI1989" s="87" t="b">
        <v>0</v>
      </c>
      <c r="AJ1989" s="87"/>
      <c r="AK1989" s="87"/>
      <c r="AL1989" s="87"/>
      <c r="AM1989" s="87"/>
      <c r="AN1989" s="87"/>
      <c r="AO1989" s="87"/>
      <c r="AP1989" s="87"/>
      <c r="AQ1989" s="87"/>
      <c r="AR1989" s="87"/>
      <c r="AS1989" s="87"/>
      <c r="AT1989" s="87"/>
      <c r="AU1989" s="87"/>
      <c r="AV1989" s="92" t="str">
        <f>HYPERLINK("https://pbs.twimg.com/profile_images/1031269592981757952/jq-a1X5A_normal.jpg")</f>
        <v>https://pbs.twimg.com/profile_images/1031269592981757952/jq-a1X5A_normal.jpg</v>
      </c>
      <c r="AW1989" s="93" t="s">
        <v>20217</v>
      </c>
      <c r="AX1989" s="93" t="s">
        <v>20217</v>
      </c>
      <c r="AY1989" s="87"/>
      <c r="AZ1989" s="93" t="s">
        <v>22668</v>
      </c>
      <c r="BA1989" s="93" t="s">
        <v>22668</v>
      </c>
      <c r="BB1989" s="93" t="s">
        <v>22668</v>
      </c>
      <c r="BC1989" s="93" t="s">
        <v>20217</v>
      </c>
      <c r="BD1989" s="93" t="s">
        <v>23182</v>
      </c>
      <c r="BE1989" s="87"/>
      <c r="BF1989" s="87"/>
      <c r="BG1989" s="87"/>
      <c r="BH1989" s="87"/>
      <c r="BI1989" s="87"/>
    </row>
    <row r="1990" spans="1:61" x14ac:dyDescent="0.25">
      <c r="A1990" s="63" t="s">
        <v>895</v>
      </c>
      <c r="B1990" s="63" t="s">
        <v>895</v>
      </c>
      <c r="C1990" s="64"/>
      <c r="D1990" s="65"/>
      <c r="E1990" s="66"/>
      <c r="F1990" s="67"/>
      <c r="G1990" s="64"/>
      <c r="H1990" s="68"/>
      <c r="I1990" s="69"/>
      <c r="J1990" s="69"/>
      <c r="K1990" s="32"/>
      <c r="L1990" s="76">
        <v>1990</v>
      </c>
      <c r="M1990" s="76"/>
      <c r="N1990" s="71"/>
      <c r="O1990" s="87" t="s">
        <v>179</v>
      </c>
      <c r="P1990" s="90">
        <v>45157.025335648148</v>
      </c>
      <c r="Q1990" s="87" t="s">
        <v>3779</v>
      </c>
      <c r="R1990" s="87">
        <v>0</v>
      </c>
      <c r="S1990" s="87">
        <v>0</v>
      </c>
      <c r="T1990" s="87">
        <v>0</v>
      </c>
      <c r="U1990" s="87">
        <v>0</v>
      </c>
      <c r="V1990" s="87">
        <v>13</v>
      </c>
      <c r="W1990" s="93" t="s">
        <v>7137</v>
      </c>
      <c r="X1990" s="92" t="str">
        <f>HYPERLINK("https://mastermaverick.com.br/2023/08/desmistificando-o-processo-de-criacao-e-comercializacao-de-produtos-digitais-a-mentoria-de-bruna-avila/")</f>
        <v>https://mastermaverick.com.br/2023/08/desmistificando-o-processo-de-criacao-e-comercializacao-de-produtos-digitais-a-mentoria-de-bruna-avila/</v>
      </c>
      <c r="Y1990" s="87" t="s">
        <v>8373</v>
      </c>
      <c r="Z1990" s="87"/>
      <c r="AA1990" s="87"/>
      <c r="AB1990" s="87"/>
      <c r="AC1990" s="93" t="s">
        <v>11457</v>
      </c>
      <c r="AD1990" s="87" t="s">
        <v>11519</v>
      </c>
      <c r="AE1990" s="92" t="str">
        <f>HYPERLINK("https://twitter.com/rafaelr36886877/status/1692697003489190331")</f>
        <v>https://twitter.com/rafaelr36886877/status/1692697003489190331</v>
      </c>
      <c r="AF1990" s="90">
        <v>45157.025335648148</v>
      </c>
      <c r="AG1990" s="99">
        <v>45157</v>
      </c>
      <c r="AH1990" s="93" t="s">
        <v>13352</v>
      </c>
      <c r="AI1990" s="87" t="b">
        <v>0</v>
      </c>
      <c r="AJ1990" s="87"/>
      <c r="AK1990" s="87"/>
      <c r="AL1990" s="87"/>
      <c r="AM1990" s="87"/>
      <c r="AN1990" s="87"/>
      <c r="AO1990" s="87"/>
      <c r="AP1990" s="87"/>
      <c r="AQ1990" s="87"/>
      <c r="AR1990" s="87"/>
      <c r="AS1990" s="87"/>
      <c r="AT1990" s="87"/>
      <c r="AU1990" s="87"/>
      <c r="AV1990" s="92" t="str">
        <f>HYPERLINK("https://pbs.twimg.com/profile_images/1031269592981757952/jq-a1X5A_normal.jpg")</f>
        <v>https://pbs.twimg.com/profile_images/1031269592981757952/jq-a1X5A_normal.jpg</v>
      </c>
      <c r="AW1990" s="93" t="s">
        <v>20218</v>
      </c>
      <c r="AX1990" s="93" t="s">
        <v>20218</v>
      </c>
      <c r="AY1990" s="87"/>
      <c r="AZ1990" s="93" t="s">
        <v>22668</v>
      </c>
      <c r="BA1990" s="93" t="s">
        <v>22668</v>
      </c>
      <c r="BB1990" s="93" t="s">
        <v>22668</v>
      </c>
      <c r="BC1990" s="93" t="s">
        <v>20218</v>
      </c>
      <c r="BD1990" s="93" t="s">
        <v>23182</v>
      </c>
      <c r="BE1990" s="87"/>
      <c r="BF1990" s="87"/>
      <c r="BG1990" s="87"/>
      <c r="BH1990" s="87"/>
      <c r="BI1990" s="87"/>
    </row>
    <row r="1991" spans="1:61" x14ac:dyDescent="0.25">
      <c r="A1991" s="63" t="s">
        <v>895</v>
      </c>
      <c r="B1991" s="63" t="s">
        <v>895</v>
      </c>
      <c r="C1991" s="64"/>
      <c r="D1991" s="65"/>
      <c r="E1991" s="66"/>
      <c r="F1991" s="67"/>
      <c r="G1991" s="64"/>
      <c r="H1991" s="68"/>
      <c r="I1991" s="69"/>
      <c r="J1991" s="69"/>
      <c r="K1991" s="32"/>
      <c r="L1991" s="76">
        <v>1991</v>
      </c>
      <c r="M1991" s="76"/>
      <c r="N1991" s="71"/>
      <c r="O1991" s="87" t="s">
        <v>179</v>
      </c>
      <c r="P1991" s="90">
        <v>45160.027384259258</v>
      </c>
      <c r="Q1991" s="87" t="s">
        <v>3780</v>
      </c>
      <c r="R1991" s="87">
        <v>0</v>
      </c>
      <c r="S1991" s="87">
        <v>0</v>
      </c>
      <c r="T1991" s="87">
        <v>0</v>
      </c>
      <c r="U1991" s="87">
        <v>0</v>
      </c>
      <c r="V1991" s="87">
        <v>22</v>
      </c>
      <c r="W1991" s="93" t="s">
        <v>7138</v>
      </c>
      <c r="X1991" s="92" t="str">
        <f>HYPERLINK("https://mastermaverick.com.br/2023/08/apaixone-se-pelo-problema-nao-pela-solucao-licoes-de-uri-levine-sobre-empreendedorismo-e-inovacao/")</f>
        <v>https://mastermaverick.com.br/2023/08/apaixone-se-pelo-problema-nao-pela-solucao-licoes-de-uri-levine-sobre-empreendedorismo-e-inovacao/</v>
      </c>
      <c r="Y1991" s="87" t="s">
        <v>8373</v>
      </c>
      <c r="Z1991" s="87"/>
      <c r="AA1991" s="87"/>
      <c r="AB1991" s="87"/>
      <c r="AC1991" s="93" t="s">
        <v>11457</v>
      </c>
      <c r="AD1991" s="87" t="s">
        <v>11519</v>
      </c>
      <c r="AE1991" s="92" t="str">
        <f>HYPERLINK("https://twitter.com/rafaelr36886877/status/1693784909771330024")</f>
        <v>https://twitter.com/rafaelr36886877/status/1693784909771330024</v>
      </c>
      <c r="AF1991" s="90">
        <v>45160.027384259258</v>
      </c>
      <c r="AG1991" s="99">
        <v>45160</v>
      </c>
      <c r="AH1991" s="93" t="s">
        <v>13353</v>
      </c>
      <c r="AI1991" s="87" t="b">
        <v>0</v>
      </c>
      <c r="AJ1991" s="87"/>
      <c r="AK1991" s="87"/>
      <c r="AL1991" s="87"/>
      <c r="AM1991" s="87"/>
      <c r="AN1991" s="87"/>
      <c r="AO1991" s="87"/>
      <c r="AP1991" s="87"/>
      <c r="AQ1991" s="87"/>
      <c r="AR1991" s="87"/>
      <c r="AS1991" s="87"/>
      <c r="AT1991" s="87"/>
      <c r="AU1991" s="87"/>
      <c r="AV1991" s="92" t="str">
        <f>HYPERLINK("https://pbs.twimg.com/profile_images/1031269592981757952/jq-a1X5A_normal.jpg")</f>
        <v>https://pbs.twimg.com/profile_images/1031269592981757952/jq-a1X5A_normal.jpg</v>
      </c>
      <c r="AW1991" s="93" t="s">
        <v>20219</v>
      </c>
      <c r="AX1991" s="93" t="s">
        <v>20219</v>
      </c>
      <c r="AY1991" s="87"/>
      <c r="AZ1991" s="93" t="s">
        <v>22668</v>
      </c>
      <c r="BA1991" s="93" t="s">
        <v>22668</v>
      </c>
      <c r="BB1991" s="93" t="s">
        <v>22668</v>
      </c>
      <c r="BC1991" s="93" t="s">
        <v>20219</v>
      </c>
      <c r="BD1991" s="93" t="s">
        <v>23182</v>
      </c>
      <c r="BE1991" s="87"/>
      <c r="BF1991" s="87"/>
      <c r="BG1991" s="87"/>
      <c r="BH1991" s="87"/>
      <c r="BI1991" s="87"/>
    </row>
    <row r="1992" spans="1:61" x14ac:dyDescent="0.25">
      <c r="A1992" s="63" t="s">
        <v>895</v>
      </c>
      <c r="B1992" s="63" t="s">
        <v>895</v>
      </c>
      <c r="C1992" s="64"/>
      <c r="D1992" s="65"/>
      <c r="E1992" s="66"/>
      <c r="F1992" s="67"/>
      <c r="G1992" s="64"/>
      <c r="H1992" s="68"/>
      <c r="I1992" s="69"/>
      <c r="J1992" s="69"/>
      <c r="K1992" s="32"/>
      <c r="L1992" s="76">
        <v>1992</v>
      </c>
      <c r="M1992" s="76"/>
      <c r="N1992" s="71"/>
      <c r="O1992" s="87" t="s">
        <v>179</v>
      </c>
      <c r="P1992" s="90">
        <v>45167.9375</v>
      </c>
      <c r="Q1992" s="87" t="s">
        <v>3781</v>
      </c>
      <c r="R1992" s="87">
        <v>0</v>
      </c>
      <c r="S1992" s="87">
        <v>0</v>
      </c>
      <c r="T1992" s="87">
        <v>0</v>
      </c>
      <c r="U1992" s="87">
        <v>0</v>
      </c>
      <c r="V1992" s="87">
        <v>64</v>
      </c>
      <c r="W1992" s="93" t="s">
        <v>7139</v>
      </c>
      <c r="X1992" s="92" t="str">
        <f>HYPERLINK("https://mastermaverick.com.br/2023/08/mercado-livre-experience-2023-o-epicentro-do-e-commerce-na-america-latina/")</f>
        <v>https://mastermaverick.com.br/2023/08/mercado-livre-experience-2023-o-epicentro-do-e-commerce-na-america-latina/</v>
      </c>
      <c r="Y1992" s="87" t="s">
        <v>8373</v>
      </c>
      <c r="Z1992" s="87"/>
      <c r="AA1992" s="87"/>
      <c r="AB1992" s="87"/>
      <c r="AC1992" s="93" t="s">
        <v>11457</v>
      </c>
      <c r="AD1992" s="87" t="s">
        <v>11519</v>
      </c>
      <c r="AE1992" s="92" t="str">
        <f>HYPERLINK("https://twitter.com/rafaelr36886877/status/1696651439207014849")</f>
        <v>https://twitter.com/rafaelr36886877/status/1696651439207014849</v>
      </c>
      <c r="AF1992" s="90">
        <v>45167.9375</v>
      </c>
      <c r="AG1992" s="99">
        <v>45167</v>
      </c>
      <c r="AH1992" s="93" t="s">
        <v>13354</v>
      </c>
      <c r="AI1992" s="87" t="b">
        <v>0</v>
      </c>
      <c r="AJ1992" s="87"/>
      <c r="AK1992" s="87"/>
      <c r="AL1992" s="87"/>
      <c r="AM1992" s="87"/>
      <c r="AN1992" s="87"/>
      <c r="AO1992" s="87"/>
      <c r="AP1992" s="87"/>
      <c r="AQ1992" s="87"/>
      <c r="AR1992" s="87"/>
      <c r="AS1992" s="87"/>
      <c r="AT1992" s="87"/>
      <c r="AU1992" s="87"/>
      <c r="AV1992" s="92" t="str">
        <f>HYPERLINK("https://pbs.twimg.com/profile_images/1031269592981757952/jq-a1X5A_normal.jpg")</f>
        <v>https://pbs.twimg.com/profile_images/1031269592981757952/jq-a1X5A_normal.jpg</v>
      </c>
      <c r="AW1992" s="93" t="s">
        <v>20220</v>
      </c>
      <c r="AX1992" s="93" t="s">
        <v>20220</v>
      </c>
      <c r="AY1992" s="87"/>
      <c r="AZ1992" s="93" t="s">
        <v>22668</v>
      </c>
      <c r="BA1992" s="93" t="s">
        <v>22668</v>
      </c>
      <c r="BB1992" s="93" t="s">
        <v>22668</v>
      </c>
      <c r="BC1992" s="93" t="s">
        <v>20220</v>
      </c>
      <c r="BD1992" s="93" t="s">
        <v>23182</v>
      </c>
      <c r="BE1992" s="87"/>
      <c r="BF1992" s="87"/>
      <c r="BG1992" s="87"/>
      <c r="BH1992" s="87"/>
      <c r="BI1992" s="87"/>
    </row>
    <row r="1993" spans="1:61" x14ac:dyDescent="0.25">
      <c r="A1993" s="63" t="s">
        <v>895</v>
      </c>
      <c r="B1993" s="63" t="s">
        <v>895</v>
      </c>
      <c r="C1993" s="64"/>
      <c r="D1993" s="65"/>
      <c r="E1993" s="66"/>
      <c r="F1993" s="67"/>
      <c r="G1993" s="64"/>
      <c r="H1993" s="68"/>
      <c r="I1993" s="69"/>
      <c r="J1993" s="69"/>
      <c r="K1993" s="32"/>
      <c r="L1993" s="76">
        <v>1993</v>
      </c>
      <c r="M1993" s="76"/>
      <c r="N1993" s="71"/>
      <c r="O1993" s="87" t="s">
        <v>179</v>
      </c>
      <c r="P1993" s="90">
        <v>45165.518680555557</v>
      </c>
      <c r="Q1993" s="87" t="s">
        <v>3782</v>
      </c>
      <c r="R1993" s="87">
        <v>0</v>
      </c>
      <c r="S1993" s="87">
        <v>0</v>
      </c>
      <c r="T1993" s="87">
        <v>0</v>
      </c>
      <c r="U1993" s="87">
        <v>0</v>
      </c>
      <c r="V1993" s="87">
        <v>7</v>
      </c>
      <c r="W1993" s="93" t="s">
        <v>7140</v>
      </c>
      <c r="X1993" s="92" t="str">
        <f>HYPERLINK("https://mastermaverick.com.br/2023/08/franquia-arena-baby-lanca-modelo-para-cidades-de-ate-40-mil-habitantes-empreenda-no-mercado-de-moda-infantil-e-transforme-sonhos-em-lucro")</f>
        <v>https://mastermaverick.com.br/2023/08/franquia-arena-baby-lanca-modelo-para-cidades-de-ate-40-mil-habitantes-empreenda-no-mercado-de-moda-infantil-e-transforme-sonhos-em-lucro</v>
      </c>
      <c r="Y1993" s="87" t="s">
        <v>8373</v>
      </c>
      <c r="Z1993" s="87"/>
      <c r="AA1993" s="87"/>
      <c r="AB1993" s="87"/>
      <c r="AC1993" s="93" t="s">
        <v>11457</v>
      </c>
      <c r="AD1993" s="87" t="s">
        <v>11519</v>
      </c>
      <c r="AE1993" s="92" t="str">
        <f>HYPERLINK("https://twitter.com/rafaelr36886877/status/1695774890459005102")</f>
        <v>https://twitter.com/rafaelr36886877/status/1695774890459005102</v>
      </c>
      <c r="AF1993" s="90">
        <v>45165.518680555557</v>
      </c>
      <c r="AG1993" s="99">
        <v>45165</v>
      </c>
      <c r="AH1993" s="93" t="s">
        <v>13355</v>
      </c>
      <c r="AI1993" s="87" t="b">
        <v>0</v>
      </c>
      <c r="AJ1993" s="87"/>
      <c r="AK1993" s="87"/>
      <c r="AL1993" s="87"/>
      <c r="AM1993" s="87"/>
      <c r="AN1993" s="87"/>
      <c r="AO1993" s="87"/>
      <c r="AP1993" s="87"/>
      <c r="AQ1993" s="87"/>
      <c r="AR1993" s="87"/>
      <c r="AS1993" s="87"/>
      <c r="AT1993" s="87"/>
      <c r="AU1993" s="87"/>
      <c r="AV1993" s="92" t="str">
        <f>HYPERLINK("https://pbs.twimg.com/profile_images/1031269592981757952/jq-a1X5A_normal.jpg")</f>
        <v>https://pbs.twimg.com/profile_images/1031269592981757952/jq-a1X5A_normal.jpg</v>
      </c>
      <c r="AW1993" s="93" t="s">
        <v>20221</v>
      </c>
      <c r="AX1993" s="93" t="s">
        <v>20221</v>
      </c>
      <c r="AY1993" s="87"/>
      <c r="AZ1993" s="93" t="s">
        <v>22668</v>
      </c>
      <c r="BA1993" s="93" t="s">
        <v>22668</v>
      </c>
      <c r="BB1993" s="93" t="s">
        <v>22668</v>
      </c>
      <c r="BC1993" s="93" t="s">
        <v>20221</v>
      </c>
      <c r="BD1993" s="93" t="s">
        <v>23182</v>
      </c>
      <c r="BE1993" s="87"/>
      <c r="BF1993" s="87"/>
      <c r="BG1993" s="87"/>
      <c r="BH1993" s="87"/>
      <c r="BI1993" s="87"/>
    </row>
    <row r="1994" spans="1:61" x14ac:dyDescent="0.25">
      <c r="A1994" s="63" t="s">
        <v>895</v>
      </c>
      <c r="B1994" s="63" t="s">
        <v>895</v>
      </c>
      <c r="C1994" s="64"/>
      <c r="D1994" s="65"/>
      <c r="E1994" s="66"/>
      <c r="F1994" s="67"/>
      <c r="G1994" s="64"/>
      <c r="H1994" s="68"/>
      <c r="I1994" s="69"/>
      <c r="J1994" s="69"/>
      <c r="K1994" s="32"/>
      <c r="L1994" s="76">
        <v>1994</v>
      </c>
      <c r="M1994" s="76"/>
      <c r="N1994" s="71"/>
      <c r="O1994" s="87" t="s">
        <v>179</v>
      </c>
      <c r="P1994" s="90">
        <v>45173.072939814818</v>
      </c>
      <c r="Q1994" s="87" t="s">
        <v>3783</v>
      </c>
      <c r="R1994" s="87">
        <v>0</v>
      </c>
      <c r="S1994" s="87">
        <v>0</v>
      </c>
      <c r="T1994" s="87">
        <v>0</v>
      </c>
      <c r="U1994" s="87">
        <v>0</v>
      </c>
      <c r="V1994" s="87">
        <v>6</v>
      </c>
      <c r="W1994" s="93" t="s">
        <v>7141</v>
      </c>
      <c r="X1994" s="92" t="str">
        <f>HYPERLINK("https://mastermaverick.com.br/2023/09/revolucao-na-emissao-de-notas-fiscais-para-meis-mudancas-significativas-a-partir-de-setembro")</f>
        <v>https://mastermaverick.com.br/2023/09/revolucao-na-emissao-de-notas-fiscais-para-meis-mudancas-significativas-a-partir-de-setembro</v>
      </c>
      <c r="Y1994" s="87" t="s">
        <v>8373</v>
      </c>
      <c r="Z1994" s="87"/>
      <c r="AA1994" s="87"/>
      <c r="AB1994" s="87"/>
      <c r="AC1994" s="93" t="s">
        <v>11457</v>
      </c>
      <c r="AD1994" s="87" t="s">
        <v>11519</v>
      </c>
      <c r="AE1994" s="92" t="str">
        <f>HYPERLINK("https://twitter.com/rafaelr36886877/status/1698512462130114996")</f>
        <v>https://twitter.com/rafaelr36886877/status/1698512462130114996</v>
      </c>
      <c r="AF1994" s="90">
        <v>45173.072939814818</v>
      </c>
      <c r="AG1994" s="99">
        <v>45173</v>
      </c>
      <c r="AH1994" s="93" t="s">
        <v>13356</v>
      </c>
      <c r="AI1994" s="87" t="b">
        <v>0</v>
      </c>
      <c r="AJ1994" s="87"/>
      <c r="AK1994" s="87"/>
      <c r="AL1994" s="87"/>
      <c r="AM1994" s="87"/>
      <c r="AN1994" s="87"/>
      <c r="AO1994" s="87"/>
      <c r="AP1994" s="87"/>
      <c r="AQ1994" s="87"/>
      <c r="AR1994" s="87"/>
      <c r="AS1994" s="87"/>
      <c r="AT1994" s="87"/>
      <c r="AU1994" s="87"/>
      <c r="AV1994" s="92" t="str">
        <f>HYPERLINK("https://pbs.twimg.com/profile_images/1031269592981757952/jq-a1X5A_normal.jpg")</f>
        <v>https://pbs.twimg.com/profile_images/1031269592981757952/jq-a1X5A_normal.jpg</v>
      </c>
      <c r="AW1994" s="93" t="s">
        <v>20222</v>
      </c>
      <c r="AX1994" s="93" t="s">
        <v>20222</v>
      </c>
      <c r="AY1994" s="87"/>
      <c r="AZ1994" s="93" t="s">
        <v>22668</v>
      </c>
      <c r="BA1994" s="93" t="s">
        <v>22668</v>
      </c>
      <c r="BB1994" s="93" t="s">
        <v>22668</v>
      </c>
      <c r="BC1994" s="93" t="s">
        <v>20222</v>
      </c>
      <c r="BD1994" s="93" t="s">
        <v>23182</v>
      </c>
      <c r="BE1994" s="87"/>
      <c r="BF1994" s="87"/>
      <c r="BG1994" s="87"/>
      <c r="BH1994" s="87"/>
      <c r="BI1994" s="87"/>
    </row>
    <row r="1995" spans="1:61" x14ac:dyDescent="0.25">
      <c r="A1995" s="63" t="s">
        <v>895</v>
      </c>
      <c r="B1995" s="63" t="s">
        <v>895</v>
      </c>
      <c r="C1995" s="64"/>
      <c r="D1995" s="65"/>
      <c r="E1995" s="66"/>
      <c r="F1995" s="67"/>
      <c r="G1995" s="64"/>
      <c r="H1995" s="68"/>
      <c r="I1995" s="69"/>
      <c r="J1995" s="69"/>
      <c r="K1995" s="32"/>
      <c r="L1995" s="76">
        <v>1995</v>
      </c>
      <c r="M1995" s="76"/>
      <c r="N1995" s="71"/>
      <c r="O1995" s="87" t="s">
        <v>179</v>
      </c>
      <c r="P1995" s="90">
        <v>45194.993113425924</v>
      </c>
      <c r="Q1995" s="87" t="s">
        <v>3784</v>
      </c>
      <c r="R1995" s="87">
        <v>0</v>
      </c>
      <c r="S1995" s="87">
        <v>0</v>
      </c>
      <c r="T1995" s="87">
        <v>0</v>
      </c>
      <c r="U1995" s="87">
        <v>0</v>
      </c>
      <c r="V1995" s="87">
        <v>7</v>
      </c>
      <c r="W1995" s="93" t="s">
        <v>7142</v>
      </c>
      <c r="X1995" s="92" t="str">
        <f>HYPERLINK("https://mastermaverick.com.br/2023/09/franquias-de-moda-impulsionam-crescimento-do-setor-e-atraem-empreendedores")</f>
        <v>https://mastermaverick.com.br/2023/09/franquias-de-moda-impulsionam-crescimento-do-setor-e-atraem-empreendedores</v>
      </c>
      <c r="Y1995" s="87" t="s">
        <v>8373</v>
      </c>
      <c r="Z1995" s="87"/>
      <c r="AA1995" s="87"/>
      <c r="AB1995" s="87"/>
      <c r="AC1995" s="93" t="s">
        <v>11457</v>
      </c>
      <c r="AD1995" s="87" t="s">
        <v>11519</v>
      </c>
      <c r="AE1995" s="92" t="str">
        <f>HYPERLINK("https://twitter.com/rafaelr36886877/status/1706456065863258469")</f>
        <v>https://twitter.com/rafaelr36886877/status/1706456065863258469</v>
      </c>
      <c r="AF1995" s="90">
        <v>45194.993113425924</v>
      </c>
      <c r="AG1995" s="99">
        <v>45194</v>
      </c>
      <c r="AH1995" s="93" t="s">
        <v>13357</v>
      </c>
      <c r="AI1995" s="87" t="b">
        <v>0</v>
      </c>
      <c r="AJ1995" s="87"/>
      <c r="AK1995" s="87"/>
      <c r="AL1995" s="87"/>
      <c r="AM1995" s="87"/>
      <c r="AN1995" s="87"/>
      <c r="AO1995" s="87"/>
      <c r="AP1995" s="87"/>
      <c r="AQ1995" s="87"/>
      <c r="AR1995" s="87"/>
      <c r="AS1995" s="87"/>
      <c r="AT1995" s="87"/>
      <c r="AU1995" s="87"/>
      <c r="AV1995" s="92" t="str">
        <f>HYPERLINK("https://pbs.twimg.com/profile_images/1031269592981757952/jq-a1X5A_normal.jpg")</f>
        <v>https://pbs.twimg.com/profile_images/1031269592981757952/jq-a1X5A_normal.jpg</v>
      </c>
      <c r="AW1995" s="93" t="s">
        <v>20223</v>
      </c>
      <c r="AX1995" s="93" t="s">
        <v>20223</v>
      </c>
      <c r="AY1995" s="87"/>
      <c r="AZ1995" s="93" t="s">
        <v>22668</v>
      </c>
      <c r="BA1995" s="93" t="s">
        <v>22668</v>
      </c>
      <c r="BB1995" s="93" t="s">
        <v>22668</v>
      </c>
      <c r="BC1995" s="93" t="s">
        <v>20223</v>
      </c>
      <c r="BD1995" s="93" t="s">
        <v>23182</v>
      </c>
      <c r="BE1995" s="87"/>
      <c r="BF1995" s="87"/>
      <c r="BG1995" s="87"/>
      <c r="BH1995" s="87"/>
      <c r="BI1995" s="87"/>
    </row>
    <row r="1996" spans="1:61" x14ac:dyDescent="0.25">
      <c r="A1996" s="63" t="s">
        <v>896</v>
      </c>
      <c r="B1996" s="63" t="s">
        <v>896</v>
      </c>
      <c r="C1996" s="64"/>
      <c r="D1996" s="65"/>
      <c r="E1996" s="66"/>
      <c r="F1996" s="67"/>
      <c r="G1996" s="64"/>
      <c r="H1996" s="68"/>
      <c r="I1996" s="69"/>
      <c r="J1996" s="69"/>
      <c r="K1996" s="32"/>
      <c r="L1996" s="76">
        <v>1996</v>
      </c>
      <c r="M1996" s="76"/>
      <c r="N1996" s="71"/>
      <c r="O1996" s="87" t="s">
        <v>179</v>
      </c>
      <c r="P1996" s="90">
        <v>45118.715428240743</v>
      </c>
      <c r="Q1996" s="87" t="s">
        <v>3785</v>
      </c>
      <c r="R1996" s="87">
        <v>0</v>
      </c>
      <c r="S1996" s="87">
        <v>0</v>
      </c>
      <c r="T1996" s="87">
        <v>0</v>
      </c>
      <c r="U1996" s="87">
        <v>0</v>
      </c>
      <c r="V1996" s="87">
        <v>181</v>
      </c>
      <c r="W1996" s="93" t="s">
        <v>7143</v>
      </c>
      <c r="X1996" s="87"/>
      <c r="Y1996" s="87"/>
      <c r="Z1996" s="87"/>
      <c r="AA1996" s="87" t="s">
        <v>9915</v>
      </c>
      <c r="AB1996" s="87" t="s">
        <v>11448</v>
      </c>
      <c r="AC1996" s="93" t="s">
        <v>11460</v>
      </c>
      <c r="AD1996" s="87" t="s">
        <v>11519</v>
      </c>
      <c r="AE1996" s="92" t="str">
        <f>HYPERLINK("https://twitter.com/bbgtelecom_/status/1678813959267155968")</f>
        <v>https://twitter.com/bbgtelecom_/status/1678813959267155968</v>
      </c>
      <c r="AF1996" s="90">
        <v>45118.715428240743</v>
      </c>
      <c r="AG1996" s="99">
        <v>45118</v>
      </c>
      <c r="AH1996" s="93" t="s">
        <v>13358</v>
      </c>
      <c r="AI1996" s="87" t="b">
        <v>0</v>
      </c>
      <c r="AJ1996" s="87"/>
      <c r="AK1996" s="87"/>
      <c r="AL1996" s="87"/>
      <c r="AM1996" s="87"/>
      <c r="AN1996" s="87"/>
      <c r="AO1996" s="87"/>
      <c r="AP1996" s="87"/>
      <c r="AQ1996" s="87" t="s">
        <v>16728</v>
      </c>
      <c r="AR1996" s="87"/>
      <c r="AS1996" s="87"/>
      <c r="AT1996" s="87"/>
      <c r="AU1996" s="87"/>
      <c r="AV1996" s="92" t="str">
        <f>HYPERLINK("https://pbs.twimg.com/media/F0xYZjmWAAUSrVM.jpg")</f>
        <v>https://pbs.twimg.com/media/F0xYZjmWAAUSrVM.jpg</v>
      </c>
      <c r="AW1996" s="93" t="s">
        <v>20224</v>
      </c>
      <c r="AX1996" s="93" t="s">
        <v>20224</v>
      </c>
      <c r="AY1996" s="87"/>
      <c r="AZ1996" s="93" t="s">
        <v>22668</v>
      </c>
      <c r="BA1996" s="93" t="s">
        <v>22668</v>
      </c>
      <c r="BB1996" s="93" t="s">
        <v>22668</v>
      </c>
      <c r="BC1996" s="93" t="s">
        <v>20224</v>
      </c>
      <c r="BD1996" s="93" t="s">
        <v>23183</v>
      </c>
      <c r="BE1996" s="87"/>
      <c r="BF1996" s="87"/>
      <c r="BG1996" s="87"/>
      <c r="BH1996" s="87"/>
      <c r="BI1996" s="87"/>
    </row>
    <row r="1997" spans="1:61" x14ac:dyDescent="0.25">
      <c r="A1997" s="63" t="s">
        <v>896</v>
      </c>
      <c r="B1997" s="63" t="s">
        <v>896</v>
      </c>
      <c r="C1997" s="64"/>
      <c r="D1997" s="65"/>
      <c r="E1997" s="66"/>
      <c r="F1997" s="67"/>
      <c r="G1997" s="64"/>
      <c r="H1997" s="68"/>
      <c r="I1997" s="69"/>
      <c r="J1997" s="69"/>
      <c r="K1997" s="32"/>
      <c r="L1997" s="76">
        <v>1997</v>
      </c>
      <c r="M1997" s="76"/>
      <c r="N1997" s="71"/>
      <c r="O1997" s="87" t="s">
        <v>179</v>
      </c>
      <c r="P1997" s="90">
        <v>45110.646249999998</v>
      </c>
      <c r="Q1997" s="87" t="s">
        <v>3786</v>
      </c>
      <c r="R1997" s="87">
        <v>0</v>
      </c>
      <c r="S1997" s="87">
        <v>0</v>
      </c>
      <c r="T1997" s="87">
        <v>0</v>
      </c>
      <c r="U1997" s="87">
        <v>0</v>
      </c>
      <c r="V1997" s="87">
        <v>117</v>
      </c>
      <c r="W1997" s="93" t="s">
        <v>7144</v>
      </c>
      <c r="X1997" s="87"/>
      <c r="Y1997" s="87"/>
      <c r="Z1997" s="87"/>
      <c r="AA1997" s="87" t="s">
        <v>9916</v>
      </c>
      <c r="AB1997" s="87" t="s">
        <v>11448</v>
      </c>
      <c r="AC1997" s="93" t="s">
        <v>11460</v>
      </c>
      <c r="AD1997" s="87" t="s">
        <v>11519</v>
      </c>
      <c r="AE1997" s="92" t="str">
        <f>HYPERLINK("https://twitter.com/bbgtelecom_/status/1675889785519460355")</f>
        <v>https://twitter.com/bbgtelecom_/status/1675889785519460355</v>
      </c>
      <c r="AF1997" s="90">
        <v>45110.646249999998</v>
      </c>
      <c r="AG1997" s="99">
        <v>45110</v>
      </c>
      <c r="AH1997" s="93" t="s">
        <v>13359</v>
      </c>
      <c r="AI1997" s="87" t="b">
        <v>0</v>
      </c>
      <c r="AJ1997" s="87"/>
      <c r="AK1997" s="87"/>
      <c r="AL1997" s="87"/>
      <c r="AM1997" s="87"/>
      <c r="AN1997" s="87"/>
      <c r="AO1997" s="87"/>
      <c r="AP1997" s="87"/>
      <c r="AQ1997" s="87" t="s">
        <v>16729</v>
      </c>
      <c r="AR1997" s="87"/>
      <c r="AS1997" s="87"/>
      <c r="AT1997" s="87"/>
      <c r="AU1997" s="87"/>
      <c r="AV1997" s="92" t="str">
        <f>HYPERLINK("https://pbs.twimg.com/media/F0H04O4XoAMpUqb.jpg")</f>
        <v>https://pbs.twimg.com/media/F0H04O4XoAMpUqb.jpg</v>
      </c>
      <c r="AW1997" s="93" t="s">
        <v>20225</v>
      </c>
      <c r="AX1997" s="93" t="s">
        <v>20225</v>
      </c>
      <c r="AY1997" s="87"/>
      <c r="AZ1997" s="93" t="s">
        <v>22668</v>
      </c>
      <c r="BA1997" s="93" t="s">
        <v>22668</v>
      </c>
      <c r="BB1997" s="93" t="s">
        <v>22668</v>
      </c>
      <c r="BC1997" s="93" t="s">
        <v>20225</v>
      </c>
      <c r="BD1997" s="93" t="s">
        <v>23183</v>
      </c>
      <c r="BE1997" s="87"/>
      <c r="BF1997" s="87"/>
      <c r="BG1997" s="87"/>
      <c r="BH1997" s="87"/>
      <c r="BI1997" s="87"/>
    </row>
    <row r="1998" spans="1:61" x14ac:dyDescent="0.25">
      <c r="A1998" s="63" t="s">
        <v>897</v>
      </c>
      <c r="B1998" s="63" t="s">
        <v>897</v>
      </c>
      <c r="C1998" s="64"/>
      <c r="D1998" s="65"/>
      <c r="E1998" s="66"/>
      <c r="F1998" s="67"/>
      <c r="G1998" s="64"/>
      <c r="H1998" s="68"/>
      <c r="I1998" s="69"/>
      <c r="J1998" s="69"/>
      <c r="K1998" s="32"/>
      <c r="L1998" s="76">
        <v>1998</v>
      </c>
      <c r="M1998" s="76"/>
      <c r="N1998" s="71"/>
      <c r="O1998" s="87" t="s">
        <v>179</v>
      </c>
      <c r="P1998" s="90">
        <v>45123.188101851854</v>
      </c>
      <c r="Q1998" s="87" t="s">
        <v>3787</v>
      </c>
      <c r="R1998" s="87">
        <v>0</v>
      </c>
      <c r="S1998" s="87">
        <v>0</v>
      </c>
      <c r="T1998" s="87">
        <v>0</v>
      </c>
      <c r="U1998" s="87">
        <v>0</v>
      </c>
      <c r="V1998" s="87">
        <v>12</v>
      </c>
      <c r="W1998" s="93" t="s">
        <v>7145</v>
      </c>
      <c r="X1998" s="87"/>
      <c r="Y1998" s="87"/>
      <c r="Z1998" s="87"/>
      <c r="AA1998" s="87" t="s">
        <v>9917</v>
      </c>
      <c r="AB1998" s="87" t="s">
        <v>11448</v>
      </c>
      <c r="AC1998" s="93" t="s">
        <v>11458</v>
      </c>
      <c r="AD1998" s="87" t="s">
        <v>11520</v>
      </c>
      <c r="AE1998" s="92" t="str">
        <f>HYPERLINK("https://twitter.com/barbosamari_/status/1680434800723632129")</f>
        <v>https://twitter.com/barbosamari_/status/1680434800723632129</v>
      </c>
      <c r="AF1998" s="90">
        <v>45123.188101851854</v>
      </c>
      <c r="AG1998" s="99">
        <v>45123</v>
      </c>
      <c r="AH1998" s="93" t="s">
        <v>13360</v>
      </c>
      <c r="AI1998" s="87" t="b">
        <v>0</v>
      </c>
      <c r="AJ1998" s="87"/>
      <c r="AK1998" s="87"/>
      <c r="AL1998" s="87"/>
      <c r="AM1998" s="87"/>
      <c r="AN1998" s="87"/>
      <c r="AO1998" s="87"/>
      <c r="AP1998" s="87"/>
      <c r="AQ1998" s="87" t="s">
        <v>16730</v>
      </c>
      <c r="AR1998" s="87"/>
      <c r="AS1998" s="87"/>
      <c r="AT1998" s="87"/>
      <c r="AU1998" s="87"/>
      <c r="AV1998" s="92" t="str">
        <f>HYPERLINK("https://pbs.twimg.com/media/F1IaiQ9XgAELtuu.jpg")</f>
        <v>https://pbs.twimg.com/media/F1IaiQ9XgAELtuu.jpg</v>
      </c>
      <c r="AW1998" s="93" t="s">
        <v>20226</v>
      </c>
      <c r="AX1998" s="93" t="s">
        <v>20226</v>
      </c>
      <c r="AY1998" s="87"/>
      <c r="AZ1998" s="93" t="s">
        <v>22668</v>
      </c>
      <c r="BA1998" s="93" t="s">
        <v>22668</v>
      </c>
      <c r="BB1998" s="93" t="s">
        <v>22668</v>
      </c>
      <c r="BC1998" s="93" t="s">
        <v>20226</v>
      </c>
      <c r="BD1998" s="93" t="s">
        <v>23184</v>
      </c>
      <c r="BE1998" s="87"/>
      <c r="BF1998" s="87"/>
      <c r="BG1998" s="87"/>
      <c r="BH1998" s="87"/>
      <c r="BI1998" s="87"/>
    </row>
    <row r="1999" spans="1:61" x14ac:dyDescent="0.25">
      <c r="A1999" s="63" t="s">
        <v>898</v>
      </c>
      <c r="B1999" s="63" t="s">
        <v>898</v>
      </c>
      <c r="C1999" s="64"/>
      <c r="D1999" s="65"/>
      <c r="E1999" s="66"/>
      <c r="F1999" s="67"/>
      <c r="G1999" s="64"/>
      <c r="H1999" s="68"/>
      <c r="I1999" s="69"/>
      <c r="J1999" s="69"/>
      <c r="K1999" s="32"/>
      <c r="L1999" s="76">
        <v>1999</v>
      </c>
      <c r="M1999" s="76"/>
      <c r="N1999" s="71"/>
      <c r="O1999" s="87" t="s">
        <v>179</v>
      </c>
      <c r="P1999" s="90">
        <v>45196.538645833331</v>
      </c>
      <c r="Q1999" s="87" t="s">
        <v>3788</v>
      </c>
      <c r="R1999" s="87">
        <v>0</v>
      </c>
      <c r="S1999" s="87">
        <v>0</v>
      </c>
      <c r="T1999" s="87">
        <v>0</v>
      </c>
      <c r="U1999" s="87">
        <v>0</v>
      </c>
      <c r="V1999" s="87">
        <v>8</v>
      </c>
      <c r="W1999" s="93" t="s">
        <v>7146</v>
      </c>
      <c r="X1999" s="87"/>
      <c r="Y1999" s="87"/>
      <c r="Z1999" s="87"/>
      <c r="AA1999" s="87" t="s">
        <v>9918</v>
      </c>
      <c r="AB1999" s="87" t="s">
        <v>11448</v>
      </c>
      <c r="AC1999" s="93" t="s">
        <v>11458</v>
      </c>
      <c r="AD1999" s="87" t="s">
        <v>11519</v>
      </c>
      <c r="AE1999" s="92" t="str">
        <f>HYPERLINK("https://twitter.com/josivalbezerra/status/1707016151086043259")</f>
        <v>https://twitter.com/josivalbezerra/status/1707016151086043259</v>
      </c>
      <c r="AF1999" s="90">
        <v>45196.538645833331</v>
      </c>
      <c r="AG1999" s="99">
        <v>45196</v>
      </c>
      <c r="AH1999" s="93" t="s">
        <v>12921</v>
      </c>
      <c r="AI1999" s="87" t="b">
        <v>0</v>
      </c>
      <c r="AJ1999" s="87"/>
      <c r="AK1999" s="87"/>
      <c r="AL1999" s="87"/>
      <c r="AM1999" s="87"/>
      <c r="AN1999" s="87"/>
      <c r="AO1999" s="87"/>
      <c r="AP1999" s="87"/>
      <c r="AQ1999" s="87" t="s">
        <v>16731</v>
      </c>
      <c r="AR1999" s="87"/>
      <c r="AS1999" s="87"/>
      <c r="AT1999" s="87"/>
      <c r="AU1999" s="87"/>
      <c r="AV1999" s="92" t="str">
        <f>HYPERLINK("https://pbs.twimg.com/media/F7CKI9sXkAEHQX9.jpg")</f>
        <v>https://pbs.twimg.com/media/F7CKI9sXkAEHQX9.jpg</v>
      </c>
      <c r="AW1999" s="93" t="s">
        <v>20227</v>
      </c>
      <c r="AX1999" s="93" t="s">
        <v>20227</v>
      </c>
      <c r="AY1999" s="87"/>
      <c r="AZ1999" s="93" t="s">
        <v>22668</v>
      </c>
      <c r="BA1999" s="93" t="s">
        <v>22668</v>
      </c>
      <c r="BB1999" s="93" t="s">
        <v>22668</v>
      </c>
      <c r="BC1999" s="93" t="s">
        <v>20227</v>
      </c>
      <c r="BD1999" s="87">
        <v>76658345</v>
      </c>
      <c r="BE1999" s="87"/>
      <c r="BF1999" s="87"/>
      <c r="BG1999" s="87"/>
      <c r="BH1999" s="87"/>
      <c r="BI1999" s="87"/>
    </row>
    <row r="2000" spans="1:61" x14ac:dyDescent="0.25">
      <c r="A2000" s="63" t="s">
        <v>899</v>
      </c>
      <c r="B2000" s="63" t="s">
        <v>899</v>
      </c>
      <c r="C2000" s="64"/>
      <c r="D2000" s="65"/>
      <c r="E2000" s="66"/>
      <c r="F2000" s="67"/>
      <c r="G2000" s="64"/>
      <c r="H2000" s="68"/>
      <c r="I2000" s="69"/>
      <c r="J2000" s="69"/>
      <c r="K2000" s="32"/>
      <c r="L2000" s="76">
        <v>2000</v>
      </c>
      <c r="M2000" s="76"/>
      <c r="N2000" s="71"/>
      <c r="O2000" s="87" t="s">
        <v>179</v>
      </c>
      <c r="P2000" s="90">
        <v>45159.878483796296</v>
      </c>
      <c r="Q2000" s="87" t="s">
        <v>3789</v>
      </c>
      <c r="R2000" s="87">
        <v>0</v>
      </c>
      <c r="S2000" s="87">
        <v>1</v>
      </c>
      <c r="T2000" s="87">
        <v>0</v>
      </c>
      <c r="U2000" s="87">
        <v>1</v>
      </c>
      <c r="V2000" s="87">
        <v>88</v>
      </c>
      <c r="W2000" s="93" t="s">
        <v>7147</v>
      </c>
      <c r="X2000" s="87"/>
      <c r="Y2000" s="87"/>
      <c r="Z2000" s="87"/>
      <c r="AA2000" s="87" t="s">
        <v>9919</v>
      </c>
      <c r="AB2000" s="87" t="s">
        <v>11448</v>
      </c>
      <c r="AC2000" s="93" t="s">
        <v>11497</v>
      </c>
      <c r="AD2000" s="87" t="s">
        <v>11519</v>
      </c>
      <c r="AE2000" s="92" t="str">
        <f>HYPERLINK("https://twitter.com/alexandre_koch/status/1693730952147866034")</f>
        <v>https://twitter.com/alexandre_koch/status/1693730952147866034</v>
      </c>
      <c r="AF2000" s="90">
        <v>45159.878483796296</v>
      </c>
      <c r="AG2000" s="99">
        <v>45159</v>
      </c>
      <c r="AH2000" s="93" t="s">
        <v>13361</v>
      </c>
      <c r="AI2000" s="87" t="b">
        <v>0</v>
      </c>
      <c r="AJ2000" s="87"/>
      <c r="AK2000" s="87"/>
      <c r="AL2000" s="87"/>
      <c r="AM2000" s="87"/>
      <c r="AN2000" s="87"/>
      <c r="AO2000" s="87"/>
      <c r="AP2000" s="87"/>
      <c r="AQ2000" s="87" t="s">
        <v>16732</v>
      </c>
      <c r="AR2000" s="87"/>
      <c r="AS2000" s="87"/>
      <c r="AT2000" s="87"/>
      <c r="AU2000" s="87"/>
      <c r="AV2000" s="92" t="str">
        <f>HYPERLINK("https://pbs.twimg.com/media/F4FXTCsbkAAoVG7.png")</f>
        <v>https://pbs.twimg.com/media/F4FXTCsbkAAoVG7.png</v>
      </c>
      <c r="AW2000" s="93" t="s">
        <v>20228</v>
      </c>
      <c r="AX2000" s="93" t="s">
        <v>20228</v>
      </c>
      <c r="AY2000" s="87"/>
      <c r="AZ2000" s="93" t="s">
        <v>22668</v>
      </c>
      <c r="BA2000" s="93" t="s">
        <v>22668</v>
      </c>
      <c r="BB2000" s="93" t="s">
        <v>22668</v>
      </c>
      <c r="BC2000" s="93" t="s">
        <v>20228</v>
      </c>
      <c r="BD2000" s="87">
        <v>217150741</v>
      </c>
      <c r="BE2000" s="87"/>
      <c r="BF2000" s="87"/>
      <c r="BG2000" s="87"/>
      <c r="BH2000" s="87"/>
      <c r="BI2000" s="87"/>
    </row>
    <row r="2001" spans="1:61" x14ac:dyDescent="0.25">
      <c r="A2001" s="63" t="s">
        <v>899</v>
      </c>
      <c r="B2001" s="63" t="s">
        <v>899</v>
      </c>
      <c r="C2001" s="64"/>
      <c r="D2001" s="65"/>
      <c r="E2001" s="66"/>
      <c r="F2001" s="67"/>
      <c r="G2001" s="64"/>
      <c r="H2001" s="68"/>
      <c r="I2001" s="69"/>
      <c r="J2001" s="69"/>
      <c r="K2001" s="32"/>
      <c r="L2001" s="76">
        <v>2001</v>
      </c>
      <c r="M2001" s="76"/>
      <c r="N2001" s="71"/>
      <c r="O2001" s="87" t="s">
        <v>179</v>
      </c>
      <c r="P2001" s="90">
        <v>45110.875833333332</v>
      </c>
      <c r="Q2001" s="87" t="s">
        <v>3790</v>
      </c>
      <c r="R2001" s="87">
        <v>0</v>
      </c>
      <c r="S2001" s="87">
        <v>0</v>
      </c>
      <c r="T2001" s="87">
        <v>0</v>
      </c>
      <c r="U2001" s="87">
        <v>0</v>
      </c>
      <c r="V2001" s="87">
        <v>18</v>
      </c>
      <c r="W2001" s="93" t="s">
        <v>7147</v>
      </c>
      <c r="X2001" s="87"/>
      <c r="Y2001" s="87"/>
      <c r="Z2001" s="87"/>
      <c r="AA2001" s="87" t="s">
        <v>9920</v>
      </c>
      <c r="AB2001" s="87" t="s">
        <v>11448</v>
      </c>
      <c r="AC2001" s="93" t="s">
        <v>11497</v>
      </c>
      <c r="AD2001" s="87" t="s">
        <v>11519</v>
      </c>
      <c r="AE2001" s="92" t="str">
        <f>HYPERLINK("https://twitter.com/alexandre_koch/status/1675972984316776449")</f>
        <v>https://twitter.com/alexandre_koch/status/1675972984316776449</v>
      </c>
      <c r="AF2001" s="90">
        <v>45110.875833333332</v>
      </c>
      <c r="AG2001" s="99">
        <v>45110</v>
      </c>
      <c r="AH2001" s="93" t="s">
        <v>13362</v>
      </c>
      <c r="AI2001" s="87" t="b">
        <v>0</v>
      </c>
      <c r="AJ2001" s="87"/>
      <c r="AK2001" s="87"/>
      <c r="AL2001" s="87"/>
      <c r="AM2001" s="87"/>
      <c r="AN2001" s="87"/>
      <c r="AO2001" s="87"/>
      <c r="AP2001" s="87"/>
      <c r="AQ2001" s="87" t="s">
        <v>16733</v>
      </c>
      <c r="AR2001" s="87"/>
      <c r="AS2001" s="87"/>
      <c r="AT2001" s="87"/>
      <c r="AU2001" s="87"/>
      <c r="AV2001" s="92" t="str">
        <f>HYPERLINK("https://pbs.twimg.com/media/F0JAhIBagAAT0uu.png")</f>
        <v>https://pbs.twimg.com/media/F0JAhIBagAAT0uu.png</v>
      </c>
      <c r="AW2001" s="93" t="s">
        <v>20229</v>
      </c>
      <c r="AX2001" s="93" t="s">
        <v>20229</v>
      </c>
      <c r="AY2001" s="87"/>
      <c r="AZ2001" s="93" t="s">
        <v>22668</v>
      </c>
      <c r="BA2001" s="93" t="s">
        <v>22668</v>
      </c>
      <c r="BB2001" s="93" t="s">
        <v>22668</v>
      </c>
      <c r="BC2001" s="93" t="s">
        <v>20229</v>
      </c>
      <c r="BD2001" s="87">
        <v>217150741</v>
      </c>
      <c r="BE2001" s="87"/>
      <c r="BF2001" s="87"/>
      <c r="BG2001" s="87"/>
      <c r="BH2001" s="87"/>
      <c r="BI2001" s="87"/>
    </row>
    <row r="2002" spans="1:61" x14ac:dyDescent="0.25">
      <c r="A2002" s="63" t="s">
        <v>899</v>
      </c>
      <c r="B2002" s="63" t="s">
        <v>899</v>
      </c>
      <c r="C2002" s="64"/>
      <c r="D2002" s="65"/>
      <c r="E2002" s="66"/>
      <c r="F2002" s="67"/>
      <c r="G2002" s="64"/>
      <c r="H2002" s="68"/>
      <c r="I2002" s="69"/>
      <c r="J2002" s="69"/>
      <c r="K2002" s="32"/>
      <c r="L2002" s="76">
        <v>2002</v>
      </c>
      <c r="M2002" s="76"/>
      <c r="N2002" s="71"/>
      <c r="O2002" s="87" t="s">
        <v>179</v>
      </c>
      <c r="P2002" s="90">
        <v>45166.87871527778</v>
      </c>
      <c r="Q2002" s="87" t="s">
        <v>3791</v>
      </c>
      <c r="R2002" s="87">
        <v>0</v>
      </c>
      <c r="S2002" s="87">
        <v>2</v>
      </c>
      <c r="T2002" s="87">
        <v>0</v>
      </c>
      <c r="U2002" s="87">
        <v>0</v>
      </c>
      <c r="V2002" s="87">
        <v>26</v>
      </c>
      <c r="W2002" s="93" t="s">
        <v>7147</v>
      </c>
      <c r="X2002" s="87"/>
      <c r="Y2002" s="87"/>
      <c r="Z2002" s="87"/>
      <c r="AA2002" s="87" t="s">
        <v>9921</v>
      </c>
      <c r="AB2002" s="87" t="s">
        <v>11448</v>
      </c>
      <c r="AC2002" s="93" t="s">
        <v>11497</v>
      </c>
      <c r="AD2002" s="87" t="s">
        <v>11519</v>
      </c>
      <c r="AE2002" s="92" t="str">
        <f>HYPERLINK("https://twitter.com/alexandre_koch/status/1696267749801279662")</f>
        <v>https://twitter.com/alexandre_koch/status/1696267749801279662</v>
      </c>
      <c r="AF2002" s="90">
        <v>45166.87871527778</v>
      </c>
      <c r="AG2002" s="99">
        <v>45166</v>
      </c>
      <c r="AH2002" s="93" t="s">
        <v>13363</v>
      </c>
      <c r="AI2002" s="87" t="b">
        <v>0</v>
      </c>
      <c r="AJ2002" s="87"/>
      <c r="AK2002" s="87"/>
      <c r="AL2002" s="87"/>
      <c r="AM2002" s="87"/>
      <c r="AN2002" s="87"/>
      <c r="AO2002" s="87"/>
      <c r="AP2002" s="87"/>
      <c r="AQ2002" s="87" t="s">
        <v>16734</v>
      </c>
      <c r="AR2002" s="87"/>
      <c r="AS2002" s="87"/>
      <c r="AT2002" s="87"/>
      <c r="AU2002" s="87"/>
      <c r="AV2002" s="92" t="str">
        <f>HYPERLINK("https://pbs.twimg.com/media/F4pagFqbQAMgaFt.png")</f>
        <v>https://pbs.twimg.com/media/F4pagFqbQAMgaFt.png</v>
      </c>
      <c r="AW2002" s="93" t="s">
        <v>20230</v>
      </c>
      <c r="AX2002" s="93" t="s">
        <v>20230</v>
      </c>
      <c r="AY2002" s="87"/>
      <c r="AZ2002" s="93" t="s">
        <v>22668</v>
      </c>
      <c r="BA2002" s="93" t="s">
        <v>22668</v>
      </c>
      <c r="BB2002" s="93" t="s">
        <v>22668</v>
      </c>
      <c r="BC2002" s="93" t="s">
        <v>20230</v>
      </c>
      <c r="BD2002" s="87">
        <v>217150741</v>
      </c>
      <c r="BE2002" s="87"/>
      <c r="BF2002" s="87"/>
      <c r="BG2002" s="87"/>
      <c r="BH2002" s="87"/>
      <c r="BI2002" s="87"/>
    </row>
    <row r="2003" spans="1:61" x14ac:dyDescent="0.25">
      <c r="A2003" s="63" t="s">
        <v>899</v>
      </c>
      <c r="B2003" s="63" t="s">
        <v>899</v>
      </c>
      <c r="C2003" s="64"/>
      <c r="D2003" s="65"/>
      <c r="E2003" s="66"/>
      <c r="F2003" s="67"/>
      <c r="G2003" s="64"/>
      <c r="H2003" s="68"/>
      <c r="I2003" s="69"/>
      <c r="J2003" s="69"/>
      <c r="K2003" s="32"/>
      <c r="L2003" s="76">
        <v>2003</v>
      </c>
      <c r="M2003" s="76"/>
      <c r="N2003" s="71"/>
      <c r="O2003" s="87" t="s">
        <v>179</v>
      </c>
      <c r="P2003" s="90">
        <v>45152.877592592595</v>
      </c>
      <c r="Q2003" s="87" t="s">
        <v>3792</v>
      </c>
      <c r="R2003" s="87">
        <v>0</v>
      </c>
      <c r="S2003" s="87">
        <v>0</v>
      </c>
      <c r="T2003" s="87">
        <v>0</v>
      </c>
      <c r="U2003" s="87">
        <v>0</v>
      </c>
      <c r="V2003" s="87">
        <v>6</v>
      </c>
      <c r="W2003" s="93" t="s">
        <v>7147</v>
      </c>
      <c r="X2003" s="87"/>
      <c r="Y2003" s="87"/>
      <c r="Z2003" s="87"/>
      <c r="AA2003" s="87" t="s">
        <v>9922</v>
      </c>
      <c r="AB2003" s="87" t="s">
        <v>11448</v>
      </c>
      <c r="AC2003" s="93" t="s">
        <v>11497</v>
      </c>
      <c r="AD2003" s="87" t="s">
        <v>11519</v>
      </c>
      <c r="AE2003" s="92" t="str">
        <f>HYPERLINK("https://twitter.com/alexandre_koch/status/1691193912537550848")</f>
        <v>https://twitter.com/alexandre_koch/status/1691193912537550848</v>
      </c>
      <c r="AF2003" s="90">
        <v>45152.877592592595</v>
      </c>
      <c r="AG2003" s="99">
        <v>45152</v>
      </c>
      <c r="AH2003" s="93" t="s">
        <v>13364</v>
      </c>
      <c r="AI2003" s="87" t="b">
        <v>0</v>
      </c>
      <c r="AJ2003" s="87"/>
      <c r="AK2003" s="87"/>
      <c r="AL2003" s="87"/>
      <c r="AM2003" s="87"/>
      <c r="AN2003" s="87"/>
      <c r="AO2003" s="87"/>
      <c r="AP2003" s="87"/>
      <c r="AQ2003" s="87" t="s">
        <v>16735</v>
      </c>
      <c r="AR2003" s="87"/>
      <c r="AS2003" s="87"/>
      <c r="AT2003" s="87"/>
      <c r="AU2003" s="87"/>
      <c r="AV2003" s="92" t="str">
        <f>HYPERLINK("https://pbs.twimg.com/media/F3hT37YakAA7iY0.png")</f>
        <v>https://pbs.twimg.com/media/F3hT37YakAA7iY0.png</v>
      </c>
      <c r="AW2003" s="93" t="s">
        <v>20231</v>
      </c>
      <c r="AX2003" s="93" t="s">
        <v>20231</v>
      </c>
      <c r="AY2003" s="87"/>
      <c r="AZ2003" s="93" t="s">
        <v>22668</v>
      </c>
      <c r="BA2003" s="93" t="s">
        <v>22668</v>
      </c>
      <c r="BB2003" s="93" t="s">
        <v>22668</v>
      </c>
      <c r="BC2003" s="93" t="s">
        <v>20231</v>
      </c>
      <c r="BD2003" s="87">
        <v>217150741</v>
      </c>
      <c r="BE2003" s="87"/>
      <c r="BF2003" s="87"/>
      <c r="BG2003" s="87"/>
      <c r="BH2003" s="87"/>
      <c r="BI2003" s="87"/>
    </row>
    <row r="2004" spans="1:61" x14ac:dyDescent="0.25">
      <c r="A2004" s="63" t="s">
        <v>899</v>
      </c>
      <c r="B2004" s="63" t="s">
        <v>899</v>
      </c>
      <c r="C2004" s="64"/>
      <c r="D2004" s="65"/>
      <c r="E2004" s="66"/>
      <c r="F2004" s="67"/>
      <c r="G2004" s="64"/>
      <c r="H2004" s="68"/>
      <c r="I2004" s="69"/>
      <c r="J2004" s="69"/>
      <c r="K2004" s="32"/>
      <c r="L2004" s="76">
        <v>2004</v>
      </c>
      <c r="M2004" s="76"/>
      <c r="N2004" s="71"/>
      <c r="O2004" s="87" t="s">
        <v>179</v>
      </c>
      <c r="P2004" s="90">
        <v>45124.875891203701</v>
      </c>
      <c r="Q2004" s="87" t="s">
        <v>3793</v>
      </c>
      <c r="R2004" s="87">
        <v>0</v>
      </c>
      <c r="S2004" s="87">
        <v>0</v>
      </c>
      <c r="T2004" s="87">
        <v>0</v>
      </c>
      <c r="U2004" s="87">
        <v>0</v>
      </c>
      <c r="V2004" s="87">
        <v>18</v>
      </c>
      <c r="W2004" s="93" t="s">
        <v>7147</v>
      </c>
      <c r="X2004" s="87"/>
      <c r="Y2004" s="87"/>
      <c r="Z2004" s="87"/>
      <c r="AA2004" s="87" t="s">
        <v>9923</v>
      </c>
      <c r="AB2004" s="87" t="s">
        <v>11448</v>
      </c>
      <c r="AC2004" s="93" t="s">
        <v>11497</v>
      </c>
      <c r="AD2004" s="87" t="s">
        <v>11519</v>
      </c>
      <c r="AE2004" s="92" t="str">
        <f>HYPERLINK("https://twitter.com/alexandre_koch/status/1681046437679988736")</f>
        <v>https://twitter.com/alexandre_koch/status/1681046437679988736</v>
      </c>
      <c r="AF2004" s="90">
        <v>45124.875891203701</v>
      </c>
      <c r="AG2004" s="99">
        <v>45124</v>
      </c>
      <c r="AH2004" s="93" t="s">
        <v>11894</v>
      </c>
      <c r="AI2004" s="87" t="b">
        <v>0</v>
      </c>
      <c r="AJ2004" s="87"/>
      <c r="AK2004" s="87"/>
      <c r="AL2004" s="87"/>
      <c r="AM2004" s="87"/>
      <c r="AN2004" s="87"/>
      <c r="AO2004" s="87"/>
      <c r="AP2004" s="87"/>
      <c r="AQ2004" s="87" t="s">
        <v>16736</v>
      </c>
      <c r="AR2004" s="87"/>
      <c r="AS2004" s="87"/>
      <c r="AT2004" s="87"/>
      <c r="AU2004" s="87"/>
      <c r="AV2004" s="92" t="str">
        <f>HYPERLINK("https://pbs.twimg.com/media/F1RGzJWaYAU4Jny.png")</f>
        <v>https://pbs.twimg.com/media/F1RGzJWaYAU4Jny.png</v>
      </c>
      <c r="AW2004" s="93" t="s">
        <v>20232</v>
      </c>
      <c r="AX2004" s="93" t="s">
        <v>20232</v>
      </c>
      <c r="AY2004" s="87"/>
      <c r="AZ2004" s="93" t="s">
        <v>22668</v>
      </c>
      <c r="BA2004" s="93" t="s">
        <v>22668</v>
      </c>
      <c r="BB2004" s="93" t="s">
        <v>22668</v>
      </c>
      <c r="BC2004" s="93" t="s">
        <v>20232</v>
      </c>
      <c r="BD2004" s="87">
        <v>217150741</v>
      </c>
      <c r="BE2004" s="87"/>
      <c r="BF2004" s="87"/>
      <c r="BG2004" s="87"/>
      <c r="BH2004" s="87"/>
      <c r="BI2004" s="87"/>
    </row>
    <row r="2005" spans="1:61" x14ac:dyDescent="0.25">
      <c r="A2005" s="63" t="s">
        <v>899</v>
      </c>
      <c r="B2005" s="63" t="s">
        <v>899</v>
      </c>
      <c r="C2005" s="64"/>
      <c r="D2005" s="65"/>
      <c r="E2005" s="66"/>
      <c r="F2005" s="67"/>
      <c r="G2005" s="64"/>
      <c r="H2005" s="68"/>
      <c r="I2005" s="69"/>
      <c r="J2005" s="69"/>
      <c r="K2005" s="32"/>
      <c r="L2005" s="76">
        <v>2005</v>
      </c>
      <c r="M2005" s="76"/>
      <c r="N2005" s="71"/>
      <c r="O2005" s="87" t="s">
        <v>179</v>
      </c>
      <c r="P2005" s="90">
        <v>45173.877418981479</v>
      </c>
      <c r="Q2005" s="87" t="s">
        <v>3794</v>
      </c>
      <c r="R2005" s="87">
        <v>1</v>
      </c>
      <c r="S2005" s="87">
        <v>0</v>
      </c>
      <c r="T2005" s="87">
        <v>0</v>
      </c>
      <c r="U2005" s="87">
        <v>0</v>
      </c>
      <c r="V2005" s="87">
        <v>12</v>
      </c>
      <c r="W2005" s="93" t="s">
        <v>7147</v>
      </c>
      <c r="X2005" s="87"/>
      <c r="Y2005" s="87"/>
      <c r="Z2005" s="87"/>
      <c r="AA2005" s="87" t="s">
        <v>9924</v>
      </c>
      <c r="AB2005" s="87" t="s">
        <v>11448</v>
      </c>
      <c r="AC2005" s="93" t="s">
        <v>11497</v>
      </c>
      <c r="AD2005" s="87" t="s">
        <v>11519</v>
      </c>
      <c r="AE2005" s="92" t="str">
        <f>HYPERLINK("https://twitter.com/alexandre_koch/status/1698803994024677504")</f>
        <v>https://twitter.com/alexandre_koch/status/1698803994024677504</v>
      </c>
      <c r="AF2005" s="90">
        <v>45173.877418981479</v>
      </c>
      <c r="AG2005" s="99">
        <v>45173</v>
      </c>
      <c r="AH2005" s="93" t="s">
        <v>13365</v>
      </c>
      <c r="AI2005" s="87" t="b">
        <v>0</v>
      </c>
      <c r="AJ2005" s="87"/>
      <c r="AK2005" s="87"/>
      <c r="AL2005" s="87"/>
      <c r="AM2005" s="87"/>
      <c r="AN2005" s="87"/>
      <c r="AO2005" s="87"/>
      <c r="AP2005" s="87"/>
      <c r="AQ2005" s="87" t="s">
        <v>16737</v>
      </c>
      <c r="AR2005" s="87"/>
      <c r="AS2005" s="87"/>
      <c r="AT2005" s="87"/>
      <c r="AU2005" s="87"/>
      <c r="AV2005" s="92" t="str">
        <f>HYPERLINK("https://pbs.twimg.com/media/F5NdM8YbwAALykQ.png")</f>
        <v>https://pbs.twimg.com/media/F5NdM8YbwAALykQ.png</v>
      </c>
      <c r="AW2005" s="93" t="s">
        <v>20233</v>
      </c>
      <c r="AX2005" s="93" t="s">
        <v>20233</v>
      </c>
      <c r="AY2005" s="87"/>
      <c r="AZ2005" s="93" t="s">
        <v>22668</v>
      </c>
      <c r="BA2005" s="93" t="s">
        <v>22668</v>
      </c>
      <c r="BB2005" s="93" t="s">
        <v>22668</v>
      </c>
      <c r="BC2005" s="93" t="s">
        <v>20233</v>
      </c>
      <c r="BD2005" s="87">
        <v>217150741</v>
      </c>
      <c r="BE2005" s="87"/>
      <c r="BF2005" s="87"/>
      <c r="BG2005" s="87"/>
      <c r="BH2005" s="87"/>
      <c r="BI2005" s="87"/>
    </row>
    <row r="2006" spans="1:61" x14ac:dyDescent="0.25">
      <c r="A2006" s="63" t="s">
        <v>899</v>
      </c>
      <c r="B2006" s="63" t="s">
        <v>899</v>
      </c>
      <c r="C2006" s="64"/>
      <c r="D2006" s="65"/>
      <c r="E2006" s="66"/>
      <c r="F2006" s="67"/>
      <c r="G2006" s="64"/>
      <c r="H2006" s="68"/>
      <c r="I2006" s="69"/>
      <c r="J2006" s="69"/>
      <c r="K2006" s="32"/>
      <c r="L2006" s="76">
        <v>2006</v>
      </c>
      <c r="M2006" s="76"/>
      <c r="N2006" s="71"/>
      <c r="O2006" s="87" t="s">
        <v>179</v>
      </c>
      <c r="P2006" s="90">
        <v>45145.876736111109</v>
      </c>
      <c r="Q2006" s="87" t="s">
        <v>3795</v>
      </c>
      <c r="R2006" s="87">
        <v>0</v>
      </c>
      <c r="S2006" s="87">
        <v>1</v>
      </c>
      <c r="T2006" s="87">
        <v>0</v>
      </c>
      <c r="U2006" s="87">
        <v>0</v>
      </c>
      <c r="V2006" s="87">
        <v>16</v>
      </c>
      <c r="W2006" s="93" t="s">
        <v>7147</v>
      </c>
      <c r="X2006" s="87"/>
      <c r="Y2006" s="87"/>
      <c r="Z2006" s="87"/>
      <c r="AA2006" s="87" t="s">
        <v>9925</v>
      </c>
      <c r="AB2006" s="87" t="s">
        <v>11448</v>
      </c>
      <c r="AC2006" s="93" t="s">
        <v>11497</v>
      </c>
      <c r="AD2006" s="87" t="s">
        <v>11519</v>
      </c>
      <c r="AE2006" s="92" t="str">
        <f>HYPERLINK("https://twitter.com/alexandre_koch/status/1688656886692982786")</f>
        <v>https://twitter.com/alexandre_koch/status/1688656886692982786</v>
      </c>
      <c r="AF2006" s="90">
        <v>45145.876736111109</v>
      </c>
      <c r="AG2006" s="99">
        <v>45145</v>
      </c>
      <c r="AH2006" s="93" t="s">
        <v>13366</v>
      </c>
      <c r="AI2006" s="87" t="b">
        <v>0</v>
      </c>
      <c r="AJ2006" s="87"/>
      <c r="AK2006" s="87"/>
      <c r="AL2006" s="87"/>
      <c r="AM2006" s="87"/>
      <c r="AN2006" s="87"/>
      <c r="AO2006" s="87"/>
      <c r="AP2006" s="87"/>
      <c r="AQ2006" s="87" t="s">
        <v>16738</v>
      </c>
      <c r="AR2006" s="87"/>
      <c r="AS2006" s="87"/>
      <c r="AT2006" s="87"/>
      <c r="AU2006" s="87"/>
      <c r="AV2006" s="92" t="str">
        <f>HYPERLINK("https://pbs.twimg.com/media/F29QdlMaMAAj11s.png")</f>
        <v>https://pbs.twimg.com/media/F29QdlMaMAAj11s.png</v>
      </c>
      <c r="AW2006" s="93" t="s">
        <v>20234</v>
      </c>
      <c r="AX2006" s="93" t="s">
        <v>20234</v>
      </c>
      <c r="AY2006" s="87"/>
      <c r="AZ2006" s="93" t="s">
        <v>22668</v>
      </c>
      <c r="BA2006" s="93" t="s">
        <v>22668</v>
      </c>
      <c r="BB2006" s="93" t="s">
        <v>22668</v>
      </c>
      <c r="BC2006" s="93" t="s">
        <v>20234</v>
      </c>
      <c r="BD2006" s="87">
        <v>217150741</v>
      </c>
      <c r="BE2006" s="87"/>
      <c r="BF2006" s="87"/>
      <c r="BG2006" s="87"/>
      <c r="BH2006" s="87"/>
      <c r="BI2006" s="87"/>
    </row>
    <row r="2007" spans="1:61" x14ac:dyDescent="0.25">
      <c r="A2007" s="63" t="s">
        <v>899</v>
      </c>
      <c r="B2007" s="63" t="s">
        <v>899</v>
      </c>
      <c r="C2007" s="64"/>
      <c r="D2007" s="65"/>
      <c r="E2007" s="66"/>
      <c r="F2007" s="67"/>
      <c r="G2007" s="64"/>
      <c r="H2007" s="68"/>
      <c r="I2007" s="69"/>
      <c r="J2007" s="69"/>
      <c r="K2007" s="32"/>
      <c r="L2007" s="76">
        <v>2007</v>
      </c>
      <c r="M2007" s="76"/>
      <c r="N2007" s="71"/>
      <c r="O2007" s="87" t="s">
        <v>179</v>
      </c>
      <c r="P2007" s="90">
        <v>45187.876226851855</v>
      </c>
      <c r="Q2007" s="87" t="s">
        <v>3796</v>
      </c>
      <c r="R2007" s="87">
        <v>0</v>
      </c>
      <c r="S2007" s="87">
        <v>0</v>
      </c>
      <c r="T2007" s="87">
        <v>0</v>
      </c>
      <c r="U2007" s="87">
        <v>0</v>
      </c>
      <c r="V2007" s="87">
        <v>12</v>
      </c>
      <c r="W2007" s="93" t="s">
        <v>7147</v>
      </c>
      <c r="X2007" s="87"/>
      <c r="Y2007" s="87"/>
      <c r="Z2007" s="87"/>
      <c r="AA2007" s="87" t="s">
        <v>9926</v>
      </c>
      <c r="AB2007" s="87" t="s">
        <v>11448</v>
      </c>
      <c r="AC2007" s="93" t="s">
        <v>11497</v>
      </c>
      <c r="AD2007" s="87" t="s">
        <v>11519</v>
      </c>
      <c r="AE2007" s="92" t="str">
        <f>HYPERLINK("https://twitter.com/alexandre_koch/status/1703876992989626376")</f>
        <v>https://twitter.com/alexandre_koch/status/1703876992989626376</v>
      </c>
      <c r="AF2007" s="90">
        <v>45187.876226851855</v>
      </c>
      <c r="AG2007" s="99">
        <v>45187</v>
      </c>
      <c r="AH2007" s="93" t="s">
        <v>13367</v>
      </c>
      <c r="AI2007" s="87" t="b">
        <v>0</v>
      </c>
      <c r="AJ2007" s="87"/>
      <c r="AK2007" s="87"/>
      <c r="AL2007" s="87"/>
      <c r="AM2007" s="87"/>
      <c r="AN2007" s="87"/>
      <c r="AO2007" s="87"/>
      <c r="AP2007" s="87"/>
      <c r="AQ2007" s="87" t="s">
        <v>16739</v>
      </c>
      <c r="AR2007" s="87"/>
      <c r="AS2007" s="87"/>
      <c r="AT2007" s="87"/>
      <c r="AU2007" s="87"/>
      <c r="AV2007" s="92" t="str">
        <f>HYPERLINK("https://pbs.twimg.com/media/F6VjEYRa0AEJy-5.png")</f>
        <v>https://pbs.twimg.com/media/F6VjEYRa0AEJy-5.png</v>
      </c>
      <c r="AW2007" s="93" t="s">
        <v>20235</v>
      </c>
      <c r="AX2007" s="93" t="s">
        <v>20235</v>
      </c>
      <c r="AY2007" s="87"/>
      <c r="AZ2007" s="93" t="s">
        <v>22668</v>
      </c>
      <c r="BA2007" s="93" t="s">
        <v>22668</v>
      </c>
      <c r="BB2007" s="93" t="s">
        <v>22668</v>
      </c>
      <c r="BC2007" s="93" t="s">
        <v>20235</v>
      </c>
      <c r="BD2007" s="87">
        <v>217150741</v>
      </c>
      <c r="BE2007" s="87"/>
      <c r="BF2007" s="87"/>
      <c r="BG2007" s="87"/>
      <c r="BH2007" s="87"/>
      <c r="BI2007" s="87"/>
    </row>
    <row r="2008" spans="1:61" x14ac:dyDescent="0.25">
      <c r="A2008" s="63" t="s">
        <v>899</v>
      </c>
      <c r="B2008" s="63" t="s">
        <v>899</v>
      </c>
      <c r="C2008" s="64"/>
      <c r="D2008" s="65"/>
      <c r="E2008" s="66"/>
      <c r="F2008" s="67"/>
      <c r="G2008" s="64"/>
      <c r="H2008" s="68"/>
      <c r="I2008" s="69"/>
      <c r="J2008" s="69"/>
      <c r="K2008" s="32"/>
      <c r="L2008" s="76">
        <v>2008</v>
      </c>
      <c r="M2008" s="76"/>
      <c r="N2008" s="71"/>
      <c r="O2008" s="87" t="s">
        <v>179</v>
      </c>
      <c r="P2008" s="90">
        <v>45131.876342592594</v>
      </c>
      <c r="Q2008" s="87" t="s">
        <v>3797</v>
      </c>
      <c r="R2008" s="87">
        <v>0</v>
      </c>
      <c r="S2008" s="87">
        <v>0</v>
      </c>
      <c r="T2008" s="87">
        <v>0</v>
      </c>
      <c r="U2008" s="87">
        <v>0</v>
      </c>
      <c r="V2008" s="87">
        <v>17</v>
      </c>
      <c r="W2008" s="93" t="s">
        <v>7147</v>
      </c>
      <c r="X2008" s="87"/>
      <c r="Y2008" s="87"/>
      <c r="Z2008" s="87"/>
      <c r="AA2008" s="87" t="s">
        <v>9927</v>
      </c>
      <c r="AB2008" s="87" t="s">
        <v>11448</v>
      </c>
      <c r="AC2008" s="93" t="s">
        <v>11497</v>
      </c>
      <c r="AD2008" s="87" t="s">
        <v>11519</v>
      </c>
      <c r="AE2008" s="92" t="str">
        <f>HYPERLINK("https://twitter.com/alexandre_koch/status/1683583316539342848")</f>
        <v>https://twitter.com/alexandre_koch/status/1683583316539342848</v>
      </c>
      <c r="AF2008" s="90">
        <v>45131.876342592594</v>
      </c>
      <c r="AG2008" s="99">
        <v>45131</v>
      </c>
      <c r="AH2008" s="93" t="s">
        <v>13368</v>
      </c>
      <c r="AI2008" s="87" t="b">
        <v>0</v>
      </c>
      <c r="AJ2008" s="87"/>
      <c r="AK2008" s="87"/>
      <c r="AL2008" s="87"/>
      <c r="AM2008" s="87"/>
      <c r="AN2008" s="87"/>
      <c r="AO2008" s="87"/>
      <c r="AP2008" s="87"/>
      <c r="AQ2008" s="87" t="s">
        <v>16740</v>
      </c>
      <c r="AR2008" s="87"/>
      <c r="AS2008" s="87"/>
      <c r="AT2008" s="87"/>
      <c r="AU2008" s="87"/>
      <c r="AV2008" s="92" t="str">
        <f>HYPERLINK("https://pbs.twimg.com/media/F11KExTaAAATtpg.png")</f>
        <v>https://pbs.twimg.com/media/F11KExTaAAATtpg.png</v>
      </c>
      <c r="AW2008" s="93" t="s">
        <v>20236</v>
      </c>
      <c r="AX2008" s="93" t="s">
        <v>20236</v>
      </c>
      <c r="AY2008" s="87"/>
      <c r="AZ2008" s="93" t="s">
        <v>22668</v>
      </c>
      <c r="BA2008" s="93" t="s">
        <v>22668</v>
      </c>
      <c r="BB2008" s="93" t="s">
        <v>22668</v>
      </c>
      <c r="BC2008" s="93" t="s">
        <v>20236</v>
      </c>
      <c r="BD2008" s="87">
        <v>217150741</v>
      </c>
      <c r="BE2008" s="87"/>
      <c r="BF2008" s="87"/>
      <c r="BG2008" s="87"/>
      <c r="BH2008" s="87"/>
      <c r="BI2008" s="87"/>
    </row>
    <row r="2009" spans="1:61" x14ac:dyDescent="0.25">
      <c r="A2009" s="63" t="s">
        <v>899</v>
      </c>
      <c r="B2009" s="63" t="s">
        <v>899</v>
      </c>
      <c r="C2009" s="64"/>
      <c r="D2009" s="65"/>
      <c r="E2009" s="66"/>
      <c r="F2009" s="67"/>
      <c r="G2009" s="64"/>
      <c r="H2009" s="68"/>
      <c r="I2009" s="69"/>
      <c r="J2009" s="69"/>
      <c r="K2009" s="32"/>
      <c r="L2009" s="76">
        <v>2009</v>
      </c>
      <c r="M2009" s="76"/>
      <c r="N2009" s="71"/>
      <c r="O2009" s="87" t="s">
        <v>179</v>
      </c>
      <c r="P2009" s="90">
        <v>45117.875856481478</v>
      </c>
      <c r="Q2009" s="87" t="s">
        <v>3798</v>
      </c>
      <c r="R2009" s="87">
        <v>0</v>
      </c>
      <c r="S2009" s="87">
        <v>0</v>
      </c>
      <c r="T2009" s="87">
        <v>0</v>
      </c>
      <c r="U2009" s="87">
        <v>0</v>
      </c>
      <c r="V2009" s="87">
        <v>16</v>
      </c>
      <c r="W2009" s="93" t="s">
        <v>7147</v>
      </c>
      <c r="X2009" s="87"/>
      <c r="Y2009" s="87"/>
      <c r="Z2009" s="87"/>
      <c r="AA2009" s="87" t="s">
        <v>9928</v>
      </c>
      <c r="AB2009" s="87" t="s">
        <v>11448</v>
      </c>
      <c r="AC2009" s="93" t="s">
        <v>11497</v>
      </c>
      <c r="AD2009" s="87" t="s">
        <v>11519</v>
      </c>
      <c r="AE2009" s="92" t="str">
        <f>HYPERLINK("https://twitter.com/alexandre_koch/status/1678509707223519232")</f>
        <v>https://twitter.com/alexandre_koch/status/1678509707223519232</v>
      </c>
      <c r="AF2009" s="90">
        <v>45117.875856481478</v>
      </c>
      <c r="AG2009" s="99">
        <v>45117</v>
      </c>
      <c r="AH2009" s="93" t="s">
        <v>12664</v>
      </c>
      <c r="AI2009" s="87" t="b">
        <v>0</v>
      </c>
      <c r="AJ2009" s="87"/>
      <c r="AK2009" s="87"/>
      <c r="AL2009" s="87"/>
      <c r="AM2009" s="87"/>
      <c r="AN2009" s="87"/>
      <c r="AO2009" s="87"/>
      <c r="AP2009" s="87"/>
      <c r="AQ2009" s="87" t="s">
        <v>16741</v>
      </c>
      <c r="AR2009" s="87"/>
      <c r="AS2009" s="87"/>
      <c r="AT2009" s="87"/>
      <c r="AU2009" s="87"/>
      <c r="AV2009" s="92" t="str">
        <f>HYPERLINK("https://pbs.twimg.com/media/F0tDp6faMAAru7L.png")</f>
        <v>https://pbs.twimg.com/media/F0tDp6faMAAru7L.png</v>
      </c>
      <c r="AW2009" s="93" t="s">
        <v>20237</v>
      </c>
      <c r="AX2009" s="93" t="s">
        <v>20237</v>
      </c>
      <c r="AY2009" s="87"/>
      <c r="AZ2009" s="93" t="s">
        <v>22668</v>
      </c>
      <c r="BA2009" s="93" t="s">
        <v>22668</v>
      </c>
      <c r="BB2009" s="93" t="s">
        <v>22668</v>
      </c>
      <c r="BC2009" s="93" t="s">
        <v>20237</v>
      </c>
      <c r="BD2009" s="87">
        <v>217150741</v>
      </c>
      <c r="BE2009" s="87"/>
      <c r="BF2009" s="87"/>
      <c r="BG2009" s="87"/>
      <c r="BH2009" s="87"/>
      <c r="BI2009" s="87"/>
    </row>
    <row r="2010" spans="1:61" x14ac:dyDescent="0.25">
      <c r="A2010" s="63" t="s">
        <v>899</v>
      </c>
      <c r="B2010" s="63" t="s">
        <v>899</v>
      </c>
      <c r="C2010" s="64"/>
      <c r="D2010" s="65"/>
      <c r="E2010" s="66"/>
      <c r="F2010" s="67"/>
      <c r="G2010" s="64"/>
      <c r="H2010" s="68"/>
      <c r="I2010" s="69"/>
      <c r="J2010" s="69"/>
      <c r="K2010" s="32"/>
      <c r="L2010" s="76">
        <v>2010</v>
      </c>
      <c r="M2010" s="76"/>
      <c r="N2010" s="71"/>
      <c r="O2010" s="87" t="s">
        <v>179</v>
      </c>
      <c r="P2010" s="90">
        <v>45194.876886574071</v>
      </c>
      <c r="Q2010" s="87" t="s">
        <v>3799</v>
      </c>
      <c r="R2010" s="87">
        <v>0</v>
      </c>
      <c r="S2010" s="87">
        <v>0</v>
      </c>
      <c r="T2010" s="87">
        <v>0</v>
      </c>
      <c r="U2010" s="87">
        <v>0</v>
      </c>
      <c r="V2010" s="87">
        <v>7</v>
      </c>
      <c r="W2010" s="93" t="s">
        <v>7147</v>
      </c>
      <c r="X2010" s="87"/>
      <c r="Y2010" s="87"/>
      <c r="Z2010" s="87"/>
      <c r="AA2010" s="87" t="s">
        <v>9929</v>
      </c>
      <c r="AB2010" s="87" t="s">
        <v>11448</v>
      </c>
      <c r="AC2010" s="93" t="s">
        <v>11497</v>
      </c>
      <c r="AD2010" s="87" t="s">
        <v>11519</v>
      </c>
      <c r="AE2010" s="92" t="str">
        <f>HYPERLINK("https://twitter.com/alexandre_koch/status/1706413947182854145")</f>
        <v>https://twitter.com/alexandre_koch/status/1706413947182854145</v>
      </c>
      <c r="AF2010" s="90">
        <v>45194.876886574071</v>
      </c>
      <c r="AG2010" s="99">
        <v>45194</v>
      </c>
      <c r="AH2010" s="93" t="s">
        <v>13369</v>
      </c>
      <c r="AI2010" s="87" t="b">
        <v>0</v>
      </c>
      <c r="AJ2010" s="87"/>
      <c r="AK2010" s="87"/>
      <c r="AL2010" s="87"/>
      <c r="AM2010" s="87"/>
      <c r="AN2010" s="87"/>
      <c r="AO2010" s="87"/>
      <c r="AP2010" s="87"/>
      <c r="AQ2010" s="87" t="s">
        <v>16742</v>
      </c>
      <c r="AR2010" s="87"/>
      <c r="AS2010" s="87"/>
      <c r="AT2010" s="87"/>
      <c r="AU2010" s="87"/>
      <c r="AV2010" s="92" t="str">
        <f>HYPERLINK("https://pbs.twimg.com/media/F65mag6a4AANHMe.png")</f>
        <v>https://pbs.twimg.com/media/F65mag6a4AANHMe.png</v>
      </c>
      <c r="AW2010" s="93" t="s">
        <v>20238</v>
      </c>
      <c r="AX2010" s="93" t="s">
        <v>20238</v>
      </c>
      <c r="AY2010" s="87"/>
      <c r="AZ2010" s="93" t="s">
        <v>22668</v>
      </c>
      <c r="BA2010" s="93" t="s">
        <v>22668</v>
      </c>
      <c r="BB2010" s="93" t="s">
        <v>22668</v>
      </c>
      <c r="BC2010" s="93" t="s">
        <v>20238</v>
      </c>
      <c r="BD2010" s="87">
        <v>217150741</v>
      </c>
      <c r="BE2010" s="87"/>
      <c r="BF2010" s="87"/>
      <c r="BG2010" s="87"/>
      <c r="BH2010" s="87"/>
      <c r="BI2010" s="87"/>
    </row>
    <row r="2011" spans="1:61" x14ac:dyDescent="0.25">
      <c r="A2011" s="63" t="s">
        <v>899</v>
      </c>
      <c r="B2011" s="63" t="s">
        <v>899</v>
      </c>
      <c r="C2011" s="64"/>
      <c r="D2011" s="65"/>
      <c r="E2011" s="66"/>
      <c r="F2011" s="67"/>
      <c r="G2011" s="64"/>
      <c r="H2011" s="68"/>
      <c r="I2011" s="69"/>
      <c r="J2011" s="69"/>
      <c r="K2011" s="32"/>
      <c r="L2011" s="76">
        <v>2011</v>
      </c>
      <c r="M2011" s="76"/>
      <c r="N2011" s="71"/>
      <c r="O2011" s="87" t="s">
        <v>179</v>
      </c>
      <c r="P2011" s="90">
        <v>45180.877881944441</v>
      </c>
      <c r="Q2011" s="87" t="s">
        <v>3800</v>
      </c>
      <c r="R2011" s="87">
        <v>0</v>
      </c>
      <c r="S2011" s="87">
        <v>0</v>
      </c>
      <c r="T2011" s="87">
        <v>0</v>
      </c>
      <c r="U2011" s="87">
        <v>0</v>
      </c>
      <c r="V2011" s="87">
        <v>6</v>
      </c>
      <c r="W2011" s="93" t="s">
        <v>7147</v>
      </c>
      <c r="X2011" s="87"/>
      <c r="Y2011" s="87"/>
      <c r="Z2011" s="87"/>
      <c r="AA2011" s="87" t="s">
        <v>9930</v>
      </c>
      <c r="AB2011" s="87" t="s">
        <v>11448</v>
      </c>
      <c r="AC2011" s="93" t="s">
        <v>11497</v>
      </c>
      <c r="AD2011" s="87" t="s">
        <v>11519</v>
      </c>
      <c r="AE2011" s="92" t="str">
        <f>HYPERLINK("https://twitter.com/alexandre_koch/status/1701340877434782161")</f>
        <v>https://twitter.com/alexandre_koch/status/1701340877434782161</v>
      </c>
      <c r="AF2011" s="90">
        <v>45180.877881944441</v>
      </c>
      <c r="AG2011" s="99">
        <v>45180</v>
      </c>
      <c r="AH2011" s="93" t="s">
        <v>13370</v>
      </c>
      <c r="AI2011" s="87" t="b">
        <v>0</v>
      </c>
      <c r="AJ2011" s="87"/>
      <c r="AK2011" s="87"/>
      <c r="AL2011" s="87"/>
      <c r="AM2011" s="87"/>
      <c r="AN2011" s="87"/>
      <c r="AO2011" s="87"/>
      <c r="AP2011" s="87"/>
      <c r="AQ2011" s="87" t="s">
        <v>16743</v>
      </c>
      <c r="AR2011" s="87"/>
      <c r="AS2011" s="87"/>
      <c r="AT2011" s="87"/>
      <c r="AU2011" s="87"/>
      <c r="AV2011" s="92" t="str">
        <f>HYPERLINK("https://pbs.twimg.com/media/F5xge9jbUAAiz8j.png")</f>
        <v>https://pbs.twimg.com/media/F5xge9jbUAAiz8j.png</v>
      </c>
      <c r="AW2011" s="93" t="s">
        <v>20239</v>
      </c>
      <c r="AX2011" s="93" t="s">
        <v>20239</v>
      </c>
      <c r="AY2011" s="87"/>
      <c r="AZ2011" s="93" t="s">
        <v>22668</v>
      </c>
      <c r="BA2011" s="93" t="s">
        <v>22668</v>
      </c>
      <c r="BB2011" s="93" t="s">
        <v>22668</v>
      </c>
      <c r="BC2011" s="93" t="s">
        <v>20239</v>
      </c>
      <c r="BD2011" s="87">
        <v>217150741</v>
      </c>
      <c r="BE2011" s="87"/>
      <c r="BF2011" s="87"/>
      <c r="BG2011" s="87"/>
      <c r="BH2011" s="87"/>
      <c r="BI2011" s="87"/>
    </row>
    <row r="2012" spans="1:61" x14ac:dyDescent="0.25">
      <c r="A2012" s="63" t="s">
        <v>899</v>
      </c>
      <c r="B2012" s="63" t="s">
        <v>899</v>
      </c>
      <c r="C2012" s="64"/>
      <c r="D2012" s="65"/>
      <c r="E2012" s="66"/>
      <c r="F2012" s="67"/>
      <c r="G2012" s="64"/>
      <c r="H2012" s="68"/>
      <c r="I2012" s="69"/>
      <c r="J2012" s="69"/>
      <c r="K2012" s="32"/>
      <c r="L2012" s="76">
        <v>2012</v>
      </c>
      <c r="M2012" s="76"/>
      <c r="N2012" s="71"/>
      <c r="O2012" s="87" t="s">
        <v>179</v>
      </c>
      <c r="P2012" s="90">
        <v>45138.876377314817</v>
      </c>
      <c r="Q2012" s="87" t="s">
        <v>3801</v>
      </c>
      <c r="R2012" s="87">
        <v>0</v>
      </c>
      <c r="S2012" s="87">
        <v>0</v>
      </c>
      <c r="T2012" s="87">
        <v>1</v>
      </c>
      <c r="U2012" s="87">
        <v>0</v>
      </c>
      <c r="V2012" s="87">
        <v>6</v>
      </c>
      <c r="W2012" s="93" t="s">
        <v>7147</v>
      </c>
      <c r="X2012" s="87"/>
      <c r="Y2012" s="87"/>
      <c r="Z2012" s="87"/>
      <c r="AA2012" s="87" t="s">
        <v>9931</v>
      </c>
      <c r="AB2012" s="87" t="s">
        <v>11448</v>
      </c>
      <c r="AC2012" s="93" t="s">
        <v>11497</v>
      </c>
      <c r="AD2012" s="87" t="s">
        <v>11519</v>
      </c>
      <c r="AE2012" s="92" t="str">
        <f>HYPERLINK("https://twitter.com/alexandre_koch/status/1686120044135342081")</f>
        <v>https://twitter.com/alexandre_koch/status/1686120044135342081</v>
      </c>
      <c r="AF2012" s="90">
        <v>45138.876377314817</v>
      </c>
      <c r="AG2012" s="99">
        <v>45138</v>
      </c>
      <c r="AH2012" s="93" t="s">
        <v>13175</v>
      </c>
      <c r="AI2012" s="87" t="b">
        <v>0</v>
      </c>
      <c r="AJ2012" s="87"/>
      <c r="AK2012" s="87"/>
      <c r="AL2012" s="87"/>
      <c r="AM2012" s="87"/>
      <c r="AN2012" s="87"/>
      <c r="AO2012" s="87"/>
      <c r="AP2012" s="87"/>
      <c r="AQ2012" s="87" t="s">
        <v>16744</v>
      </c>
      <c r="AR2012" s="87"/>
      <c r="AS2012" s="87"/>
      <c r="AT2012" s="87"/>
      <c r="AU2012" s="87"/>
      <c r="AV2012" s="92" t="str">
        <f>HYPERLINK("https://pbs.twimg.com/media/F2ZNN4SaYAE9lii.png")</f>
        <v>https://pbs.twimg.com/media/F2ZNN4SaYAE9lii.png</v>
      </c>
      <c r="AW2012" s="93" t="s">
        <v>20240</v>
      </c>
      <c r="AX2012" s="93" t="s">
        <v>20240</v>
      </c>
      <c r="AY2012" s="87"/>
      <c r="AZ2012" s="93" t="s">
        <v>22668</v>
      </c>
      <c r="BA2012" s="93" t="s">
        <v>22668</v>
      </c>
      <c r="BB2012" s="93" t="s">
        <v>22668</v>
      </c>
      <c r="BC2012" s="93" t="s">
        <v>20240</v>
      </c>
      <c r="BD2012" s="87">
        <v>217150741</v>
      </c>
      <c r="BE2012" s="87"/>
      <c r="BF2012" s="87"/>
      <c r="BG2012" s="87"/>
      <c r="BH2012" s="87"/>
      <c r="BI2012" s="87"/>
    </row>
    <row r="2013" spans="1:61" x14ac:dyDescent="0.25">
      <c r="A2013" s="63" t="s">
        <v>900</v>
      </c>
      <c r="B2013" s="63" t="s">
        <v>900</v>
      </c>
      <c r="C2013" s="64"/>
      <c r="D2013" s="65"/>
      <c r="E2013" s="66"/>
      <c r="F2013" s="67"/>
      <c r="G2013" s="64"/>
      <c r="H2013" s="68"/>
      <c r="I2013" s="69"/>
      <c r="J2013" s="69"/>
      <c r="K2013" s="32"/>
      <c r="L2013" s="76">
        <v>2013</v>
      </c>
      <c r="M2013" s="76"/>
      <c r="N2013" s="71"/>
      <c r="O2013" s="87" t="s">
        <v>179</v>
      </c>
      <c r="P2013" s="90">
        <v>45139.537453703706</v>
      </c>
      <c r="Q2013" s="87" t="s">
        <v>3802</v>
      </c>
      <c r="R2013" s="87">
        <v>0</v>
      </c>
      <c r="S2013" s="87">
        <v>0</v>
      </c>
      <c r="T2013" s="87">
        <v>0</v>
      </c>
      <c r="U2013" s="87">
        <v>0</v>
      </c>
      <c r="V2013" s="87">
        <v>7</v>
      </c>
      <c r="W2013" s="93" t="s">
        <v>7148</v>
      </c>
      <c r="X2013" s="92" t="str">
        <f>HYPERLINK("https://www.instagram.com/p/CvXOhSrOZ74/?igshid=M2MyMzgzODVlNw==")</f>
        <v>https://www.instagram.com/p/CvXOhSrOZ74/?igshid=M2MyMzgzODVlNw==</v>
      </c>
      <c r="Y2013" s="87" t="s">
        <v>8383</v>
      </c>
      <c r="Z2013" s="87"/>
      <c r="AA2013" s="87"/>
      <c r="AB2013" s="87"/>
      <c r="AC2013" s="93" t="s">
        <v>11459</v>
      </c>
      <c r="AD2013" s="87" t="s">
        <v>11519</v>
      </c>
      <c r="AE2013" s="92" t="str">
        <f>HYPERLINK("https://twitter.com/ricgaldino/status/1686359610469326849")</f>
        <v>https://twitter.com/ricgaldino/status/1686359610469326849</v>
      </c>
      <c r="AF2013" s="90">
        <v>45139.537453703706</v>
      </c>
      <c r="AG2013" s="99">
        <v>45139</v>
      </c>
      <c r="AH2013" s="93" t="s">
        <v>13371</v>
      </c>
      <c r="AI2013" s="87" t="b">
        <v>0</v>
      </c>
      <c r="AJ2013" s="87" t="s">
        <v>15211</v>
      </c>
      <c r="AK2013" s="87" t="s">
        <v>15234</v>
      </c>
      <c r="AL2013" s="87" t="s">
        <v>15237</v>
      </c>
      <c r="AM2013" s="87" t="s">
        <v>15282</v>
      </c>
      <c r="AN2013" s="87" t="s">
        <v>15349</v>
      </c>
      <c r="AO2013" s="87" t="s">
        <v>15414</v>
      </c>
      <c r="AP2013" s="87" t="s">
        <v>15438</v>
      </c>
      <c r="AQ2013" s="87"/>
      <c r="AR2013" s="87"/>
      <c r="AS2013" s="87"/>
      <c r="AT2013" s="87"/>
      <c r="AU2013" s="87"/>
      <c r="AV2013" s="92" t="str">
        <f>HYPERLINK("https://pbs.twimg.com/profile_images/1666864261216256000/OmjCgPM2_normal.jpg")</f>
        <v>https://pbs.twimg.com/profile_images/1666864261216256000/OmjCgPM2_normal.jpg</v>
      </c>
      <c r="AW2013" s="93" t="s">
        <v>20241</v>
      </c>
      <c r="AX2013" s="93" t="s">
        <v>20241</v>
      </c>
      <c r="AY2013" s="87"/>
      <c r="AZ2013" s="93" t="s">
        <v>22668</v>
      </c>
      <c r="BA2013" s="93" t="s">
        <v>22668</v>
      </c>
      <c r="BB2013" s="93" t="s">
        <v>22668</v>
      </c>
      <c r="BC2013" s="93" t="s">
        <v>20241</v>
      </c>
      <c r="BD2013" s="87">
        <v>41479382</v>
      </c>
      <c r="BE2013" s="87"/>
      <c r="BF2013" s="87"/>
      <c r="BG2013" s="87"/>
      <c r="BH2013" s="87"/>
      <c r="BI2013" s="87"/>
    </row>
    <row r="2014" spans="1:61" x14ac:dyDescent="0.25">
      <c r="A2014" s="63" t="s">
        <v>901</v>
      </c>
      <c r="B2014" s="63" t="s">
        <v>901</v>
      </c>
      <c r="C2014" s="64"/>
      <c r="D2014" s="65"/>
      <c r="E2014" s="66"/>
      <c r="F2014" s="67"/>
      <c r="G2014" s="64"/>
      <c r="H2014" s="68"/>
      <c r="I2014" s="69"/>
      <c r="J2014" s="69"/>
      <c r="K2014" s="32"/>
      <c r="L2014" s="76">
        <v>2014</v>
      </c>
      <c r="M2014" s="76"/>
      <c r="N2014" s="71"/>
      <c r="O2014" s="87" t="s">
        <v>179</v>
      </c>
      <c r="P2014" s="90">
        <v>45122.282465277778</v>
      </c>
      <c r="Q2014" s="87" t="s">
        <v>3803</v>
      </c>
      <c r="R2014" s="87">
        <v>0</v>
      </c>
      <c r="S2014" s="87">
        <v>0</v>
      </c>
      <c r="T2014" s="87">
        <v>0</v>
      </c>
      <c r="U2014" s="87">
        <v>0</v>
      </c>
      <c r="V2014" s="87">
        <v>41</v>
      </c>
      <c r="W2014" s="93" t="s">
        <v>7149</v>
      </c>
      <c r="X2014" s="92" t="str">
        <f>HYPERLINK("https://tribunahoje.com/noticias/cidades/2023/07/15/123329-mais-de-700-mulheres-ja-tiveram-acesso-ao-credito-social-do-banco-da-mulher-empreendedora")</f>
        <v>https://tribunahoje.com/noticias/cidades/2023/07/15/123329-mais-de-700-mulheres-ja-tiveram-acesso-ao-credito-social-do-banco-da-mulher-empreendedora</v>
      </c>
      <c r="Y2014" s="87" t="s">
        <v>8478</v>
      </c>
      <c r="Z2014" s="87"/>
      <c r="AA2014" s="87"/>
      <c r="AB2014" s="87"/>
      <c r="AC2014" s="93" t="s">
        <v>11459</v>
      </c>
      <c r="AD2014" s="87" t="s">
        <v>11519</v>
      </c>
      <c r="AE2014" s="92" t="str">
        <f>HYPERLINK("https://twitter.com/tribuna_hoje/status/1680106609140269056")</f>
        <v>https://twitter.com/tribuna_hoje/status/1680106609140269056</v>
      </c>
      <c r="AF2014" s="90">
        <v>45122.282465277778</v>
      </c>
      <c r="AG2014" s="99">
        <v>45122</v>
      </c>
      <c r="AH2014" s="93" t="s">
        <v>13372</v>
      </c>
      <c r="AI2014" s="87" t="b">
        <v>0</v>
      </c>
      <c r="AJ2014" s="87"/>
      <c r="AK2014" s="87"/>
      <c r="AL2014" s="87"/>
      <c r="AM2014" s="87"/>
      <c r="AN2014" s="87"/>
      <c r="AO2014" s="87"/>
      <c r="AP2014" s="87"/>
      <c r="AQ2014" s="87"/>
      <c r="AR2014" s="87"/>
      <c r="AS2014" s="87"/>
      <c r="AT2014" s="87"/>
      <c r="AU2014" s="87"/>
      <c r="AV2014" s="92" t="str">
        <f>HYPERLINK("https://pbs.twimg.com/profile_images/1494829803626811392/phBdjYCS_normal.jpg")</f>
        <v>https://pbs.twimg.com/profile_images/1494829803626811392/phBdjYCS_normal.jpg</v>
      </c>
      <c r="AW2014" s="93" t="s">
        <v>20242</v>
      </c>
      <c r="AX2014" s="93" t="s">
        <v>20242</v>
      </c>
      <c r="AY2014" s="87"/>
      <c r="AZ2014" s="93" t="s">
        <v>22668</v>
      </c>
      <c r="BA2014" s="93" t="s">
        <v>22668</v>
      </c>
      <c r="BB2014" s="93" t="s">
        <v>22668</v>
      </c>
      <c r="BC2014" s="93" t="s">
        <v>20242</v>
      </c>
      <c r="BD2014" s="93" t="s">
        <v>23185</v>
      </c>
      <c r="BE2014" s="87"/>
      <c r="BF2014" s="87"/>
      <c r="BG2014" s="87"/>
      <c r="BH2014" s="87"/>
      <c r="BI2014" s="87"/>
    </row>
    <row r="2015" spans="1:61" x14ac:dyDescent="0.25">
      <c r="A2015" s="63" t="s">
        <v>902</v>
      </c>
      <c r="B2015" s="63" t="s">
        <v>902</v>
      </c>
      <c r="C2015" s="64"/>
      <c r="D2015" s="65"/>
      <c r="E2015" s="66"/>
      <c r="F2015" s="67"/>
      <c r="G2015" s="64"/>
      <c r="H2015" s="68"/>
      <c r="I2015" s="69"/>
      <c r="J2015" s="69"/>
      <c r="K2015" s="32"/>
      <c r="L2015" s="76">
        <v>2015</v>
      </c>
      <c r="M2015" s="76"/>
      <c r="N2015" s="71"/>
      <c r="O2015" s="87" t="s">
        <v>179</v>
      </c>
      <c r="P2015" s="90">
        <v>45149.607407407406</v>
      </c>
      <c r="Q2015" s="87" t="s">
        <v>3804</v>
      </c>
      <c r="R2015" s="87">
        <v>0</v>
      </c>
      <c r="S2015" s="87">
        <v>0</v>
      </c>
      <c r="T2015" s="87">
        <v>0</v>
      </c>
      <c r="U2015" s="87">
        <v>0</v>
      </c>
      <c r="V2015" s="87">
        <v>50</v>
      </c>
      <c r="W2015" s="93" t="s">
        <v>7150</v>
      </c>
      <c r="X2015" s="87"/>
      <c r="Y2015" s="87"/>
      <c r="Z2015" s="87"/>
      <c r="AA2015" s="87" t="s">
        <v>9932</v>
      </c>
      <c r="AB2015" s="87" t="s">
        <v>11447</v>
      </c>
      <c r="AC2015" s="93" t="s">
        <v>11457</v>
      </c>
      <c r="AD2015" s="87" t="s">
        <v>11518</v>
      </c>
      <c r="AE2015" s="92" t="str">
        <f>HYPERLINK("https://twitter.com/tipzar_io/status/1690008836596195328")</f>
        <v>https://twitter.com/tipzar_io/status/1690008836596195328</v>
      </c>
      <c r="AF2015" s="90">
        <v>45149.607407407406</v>
      </c>
      <c r="AG2015" s="99">
        <v>45149</v>
      </c>
      <c r="AH2015" s="93" t="s">
        <v>12816</v>
      </c>
      <c r="AI2015" s="87" t="b">
        <v>0</v>
      </c>
      <c r="AJ2015" s="87"/>
      <c r="AK2015" s="87"/>
      <c r="AL2015" s="87"/>
      <c r="AM2015" s="87"/>
      <c r="AN2015" s="87"/>
      <c r="AO2015" s="87"/>
      <c r="AP2015" s="87"/>
      <c r="AQ2015" s="87" t="s">
        <v>16745</v>
      </c>
      <c r="AR2015" s="87">
        <v>44536</v>
      </c>
      <c r="AS2015" s="87"/>
      <c r="AT2015" s="87"/>
      <c r="AU2015" s="87"/>
      <c r="AV2015" s="92" t="str">
        <f>HYPERLINK("https://pbs.twimg.com/ext_tw_video_thumb/1690008624473530368/pu/img/oXCMHu9z8hFcf3Fc.jpg")</f>
        <v>https://pbs.twimg.com/ext_tw_video_thumb/1690008624473530368/pu/img/oXCMHu9z8hFcf3Fc.jpg</v>
      </c>
      <c r="AW2015" s="93" t="s">
        <v>20243</v>
      </c>
      <c r="AX2015" s="93" t="s">
        <v>20243</v>
      </c>
      <c r="AY2015" s="87"/>
      <c r="AZ2015" s="93" t="s">
        <v>22668</v>
      </c>
      <c r="BA2015" s="93" t="s">
        <v>22668</v>
      </c>
      <c r="BB2015" s="93" t="s">
        <v>22668</v>
      </c>
      <c r="BC2015" s="93" t="s">
        <v>20243</v>
      </c>
      <c r="BD2015" s="93" t="s">
        <v>23186</v>
      </c>
      <c r="BE2015" s="87"/>
      <c r="BF2015" s="87"/>
      <c r="BG2015" s="87"/>
      <c r="BH2015" s="87"/>
      <c r="BI2015" s="87"/>
    </row>
    <row r="2016" spans="1:61" x14ac:dyDescent="0.25">
      <c r="A2016" s="63" t="s">
        <v>902</v>
      </c>
      <c r="B2016" s="63" t="s">
        <v>902</v>
      </c>
      <c r="C2016" s="64"/>
      <c r="D2016" s="65"/>
      <c r="E2016" s="66"/>
      <c r="F2016" s="67"/>
      <c r="G2016" s="64"/>
      <c r="H2016" s="68"/>
      <c r="I2016" s="69"/>
      <c r="J2016" s="69"/>
      <c r="K2016" s="32"/>
      <c r="L2016" s="76">
        <v>2016</v>
      </c>
      <c r="M2016" s="76"/>
      <c r="N2016" s="71"/>
      <c r="O2016" s="87" t="s">
        <v>179</v>
      </c>
      <c r="P2016" s="90">
        <v>45166.768495370372</v>
      </c>
      <c r="Q2016" s="87" t="s">
        <v>3805</v>
      </c>
      <c r="R2016" s="87">
        <v>0</v>
      </c>
      <c r="S2016" s="87">
        <v>0</v>
      </c>
      <c r="T2016" s="87">
        <v>0</v>
      </c>
      <c r="U2016" s="87">
        <v>0</v>
      </c>
      <c r="V2016" s="87">
        <v>62</v>
      </c>
      <c r="W2016" s="93" t="s">
        <v>7151</v>
      </c>
      <c r="X2016" s="87"/>
      <c r="Y2016" s="87"/>
      <c r="Z2016" s="87"/>
      <c r="AA2016" s="87" t="s">
        <v>9933</v>
      </c>
      <c r="AB2016" s="87" t="s">
        <v>11447</v>
      </c>
      <c r="AC2016" s="93" t="s">
        <v>11457</v>
      </c>
      <c r="AD2016" s="87" t="s">
        <v>11519</v>
      </c>
      <c r="AE2016" s="92" t="str">
        <f>HYPERLINK("https://twitter.com/tipzar_io/status/1696227810098974795")</f>
        <v>https://twitter.com/tipzar_io/status/1696227810098974795</v>
      </c>
      <c r="AF2016" s="90">
        <v>45166.768495370372</v>
      </c>
      <c r="AG2016" s="99">
        <v>45166</v>
      </c>
      <c r="AH2016" s="93" t="s">
        <v>13373</v>
      </c>
      <c r="AI2016" s="87" t="b">
        <v>0</v>
      </c>
      <c r="AJ2016" s="87"/>
      <c r="AK2016" s="87"/>
      <c r="AL2016" s="87"/>
      <c r="AM2016" s="87"/>
      <c r="AN2016" s="87"/>
      <c r="AO2016" s="87"/>
      <c r="AP2016" s="87"/>
      <c r="AQ2016" s="87" t="s">
        <v>16746</v>
      </c>
      <c r="AR2016" s="87">
        <v>89466</v>
      </c>
      <c r="AS2016" s="87"/>
      <c r="AT2016" s="87"/>
      <c r="AU2016" s="87"/>
      <c r="AV2016" s="92" t="str">
        <f>HYPERLINK("https://pbs.twimg.com/ext_tw_video_thumb/1696227496880992256/pu/img/SOOra6KJsSqjY_He.jpg")</f>
        <v>https://pbs.twimg.com/ext_tw_video_thumb/1696227496880992256/pu/img/SOOra6KJsSqjY_He.jpg</v>
      </c>
      <c r="AW2016" s="93" t="s">
        <v>20244</v>
      </c>
      <c r="AX2016" s="93" t="s">
        <v>20244</v>
      </c>
      <c r="AY2016" s="87"/>
      <c r="AZ2016" s="93" t="s">
        <v>22668</v>
      </c>
      <c r="BA2016" s="93" t="s">
        <v>22668</v>
      </c>
      <c r="BB2016" s="93" t="s">
        <v>22668</v>
      </c>
      <c r="BC2016" s="93" t="s">
        <v>20244</v>
      </c>
      <c r="BD2016" s="93" t="s">
        <v>23186</v>
      </c>
      <c r="BE2016" s="87"/>
      <c r="BF2016" s="87"/>
      <c r="BG2016" s="87"/>
      <c r="BH2016" s="87"/>
      <c r="BI2016" s="87"/>
    </row>
    <row r="2017" spans="1:61" x14ac:dyDescent="0.25">
      <c r="A2017" s="63" t="s">
        <v>902</v>
      </c>
      <c r="B2017" s="63" t="s">
        <v>902</v>
      </c>
      <c r="C2017" s="64"/>
      <c r="D2017" s="65"/>
      <c r="E2017" s="66"/>
      <c r="F2017" s="67"/>
      <c r="G2017" s="64"/>
      <c r="H2017" s="68"/>
      <c r="I2017" s="69"/>
      <c r="J2017" s="69"/>
      <c r="K2017" s="32"/>
      <c r="L2017" s="76">
        <v>2017</v>
      </c>
      <c r="M2017" s="76"/>
      <c r="N2017" s="71"/>
      <c r="O2017" s="87" t="s">
        <v>179</v>
      </c>
      <c r="P2017" s="90">
        <v>45152.749479166669</v>
      </c>
      <c r="Q2017" s="87" t="s">
        <v>3806</v>
      </c>
      <c r="R2017" s="87">
        <v>0</v>
      </c>
      <c r="S2017" s="87">
        <v>0</v>
      </c>
      <c r="T2017" s="87">
        <v>0</v>
      </c>
      <c r="U2017" s="87">
        <v>0</v>
      </c>
      <c r="V2017" s="87">
        <v>13</v>
      </c>
      <c r="W2017" s="93" t="s">
        <v>7152</v>
      </c>
      <c r="X2017" s="87"/>
      <c r="Y2017" s="87"/>
      <c r="Z2017" s="87"/>
      <c r="AA2017" s="87" t="s">
        <v>9934</v>
      </c>
      <c r="AB2017" s="87" t="s">
        <v>11447</v>
      </c>
      <c r="AC2017" s="93" t="s">
        <v>11457</v>
      </c>
      <c r="AD2017" s="87" t="s">
        <v>11519</v>
      </c>
      <c r="AE2017" s="92" t="str">
        <f>HYPERLINK("https://twitter.com/tipzar_io/status/1691147486402850832")</f>
        <v>https://twitter.com/tipzar_io/status/1691147486402850832</v>
      </c>
      <c r="AF2017" s="90">
        <v>45152.749479166669</v>
      </c>
      <c r="AG2017" s="99">
        <v>45152</v>
      </c>
      <c r="AH2017" s="93" t="s">
        <v>13374</v>
      </c>
      <c r="AI2017" s="87" t="b">
        <v>0</v>
      </c>
      <c r="AJ2017" s="87"/>
      <c r="AK2017" s="87"/>
      <c r="AL2017" s="87"/>
      <c r="AM2017" s="87"/>
      <c r="AN2017" s="87"/>
      <c r="AO2017" s="87"/>
      <c r="AP2017" s="87"/>
      <c r="AQ2017" s="87" t="s">
        <v>16747</v>
      </c>
      <c r="AR2017" s="87">
        <v>73816</v>
      </c>
      <c r="AS2017" s="87"/>
      <c r="AT2017" s="87"/>
      <c r="AU2017" s="87"/>
      <c r="AV2017" s="92" t="str">
        <f>HYPERLINK("https://pbs.twimg.com/ext_tw_video_thumb/1691146961884164108/pu/img/j9C6Gc5kqKEl375D.jpg")</f>
        <v>https://pbs.twimg.com/ext_tw_video_thumb/1691146961884164108/pu/img/j9C6Gc5kqKEl375D.jpg</v>
      </c>
      <c r="AW2017" s="93" t="s">
        <v>20245</v>
      </c>
      <c r="AX2017" s="93" t="s">
        <v>20245</v>
      </c>
      <c r="AY2017" s="87"/>
      <c r="AZ2017" s="93" t="s">
        <v>22668</v>
      </c>
      <c r="BA2017" s="93" t="s">
        <v>22668</v>
      </c>
      <c r="BB2017" s="93" t="s">
        <v>22668</v>
      </c>
      <c r="BC2017" s="93" t="s">
        <v>20245</v>
      </c>
      <c r="BD2017" s="93" t="s">
        <v>23186</v>
      </c>
      <c r="BE2017" s="87"/>
      <c r="BF2017" s="87"/>
      <c r="BG2017" s="87"/>
      <c r="BH2017" s="87"/>
      <c r="BI2017" s="87"/>
    </row>
    <row r="2018" spans="1:61" x14ac:dyDescent="0.25">
      <c r="A2018" s="63" t="s">
        <v>902</v>
      </c>
      <c r="B2018" s="63" t="s">
        <v>902</v>
      </c>
      <c r="C2018" s="64"/>
      <c r="D2018" s="65"/>
      <c r="E2018" s="66"/>
      <c r="F2018" s="67"/>
      <c r="G2018" s="64"/>
      <c r="H2018" s="68"/>
      <c r="I2018" s="69"/>
      <c r="J2018" s="69"/>
      <c r="K2018" s="32"/>
      <c r="L2018" s="76">
        <v>2018</v>
      </c>
      <c r="M2018" s="76"/>
      <c r="N2018" s="71"/>
      <c r="O2018" s="87" t="s">
        <v>179</v>
      </c>
      <c r="P2018" s="90">
        <v>45160.583449074074</v>
      </c>
      <c r="Q2018" s="87" t="s">
        <v>3807</v>
      </c>
      <c r="R2018" s="87">
        <v>0</v>
      </c>
      <c r="S2018" s="87">
        <v>0</v>
      </c>
      <c r="T2018" s="87">
        <v>0</v>
      </c>
      <c r="U2018" s="87">
        <v>0</v>
      </c>
      <c r="V2018" s="87">
        <v>8</v>
      </c>
      <c r="W2018" s="93" t="s">
        <v>7153</v>
      </c>
      <c r="X2018" s="87"/>
      <c r="Y2018" s="87"/>
      <c r="Z2018" s="87"/>
      <c r="AA2018" s="87" t="s">
        <v>9935</v>
      </c>
      <c r="AB2018" s="87" t="s">
        <v>11447</v>
      </c>
      <c r="AC2018" s="93" t="s">
        <v>11457</v>
      </c>
      <c r="AD2018" s="87" t="s">
        <v>11519</v>
      </c>
      <c r="AE2018" s="92" t="str">
        <f>HYPERLINK("https://twitter.com/tipzar_io/status/1693986420980072554")</f>
        <v>https://twitter.com/tipzar_io/status/1693986420980072554</v>
      </c>
      <c r="AF2018" s="90">
        <v>45160.583449074074</v>
      </c>
      <c r="AG2018" s="99">
        <v>45160</v>
      </c>
      <c r="AH2018" s="93" t="s">
        <v>13375</v>
      </c>
      <c r="AI2018" s="87" t="b">
        <v>0</v>
      </c>
      <c r="AJ2018" s="87"/>
      <c r="AK2018" s="87"/>
      <c r="AL2018" s="87"/>
      <c r="AM2018" s="87"/>
      <c r="AN2018" s="87"/>
      <c r="AO2018" s="87"/>
      <c r="AP2018" s="87"/>
      <c r="AQ2018" s="87" t="s">
        <v>16748</v>
      </c>
      <c r="AR2018" s="87">
        <v>70402</v>
      </c>
      <c r="AS2018" s="87"/>
      <c r="AT2018" s="87"/>
      <c r="AU2018" s="87"/>
      <c r="AV2018" s="92" t="str">
        <f>HYPERLINK("https://pbs.twimg.com/ext_tw_video_thumb/1693982874511507456/pu/img/9VRrbWGMNlkelwPo.jpg")</f>
        <v>https://pbs.twimg.com/ext_tw_video_thumb/1693982874511507456/pu/img/9VRrbWGMNlkelwPo.jpg</v>
      </c>
      <c r="AW2018" s="93" t="s">
        <v>20246</v>
      </c>
      <c r="AX2018" s="93" t="s">
        <v>20246</v>
      </c>
      <c r="AY2018" s="87"/>
      <c r="AZ2018" s="93" t="s">
        <v>22668</v>
      </c>
      <c r="BA2018" s="93" t="s">
        <v>22668</v>
      </c>
      <c r="BB2018" s="93" t="s">
        <v>22668</v>
      </c>
      <c r="BC2018" s="93" t="s">
        <v>20246</v>
      </c>
      <c r="BD2018" s="93" t="s">
        <v>23186</v>
      </c>
      <c r="BE2018" s="87"/>
      <c r="BF2018" s="87"/>
      <c r="BG2018" s="87"/>
      <c r="BH2018" s="87"/>
      <c r="BI2018" s="87"/>
    </row>
    <row r="2019" spans="1:61" x14ac:dyDescent="0.25">
      <c r="A2019" s="63" t="s">
        <v>902</v>
      </c>
      <c r="B2019" s="63" t="s">
        <v>902</v>
      </c>
      <c r="C2019" s="64"/>
      <c r="D2019" s="65"/>
      <c r="E2019" s="66"/>
      <c r="F2019" s="67"/>
      <c r="G2019" s="64"/>
      <c r="H2019" s="68"/>
      <c r="I2019" s="69"/>
      <c r="J2019" s="69"/>
      <c r="K2019" s="32"/>
      <c r="L2019" s="76">
        <v>2019</v>
      </c>
      <c r="M2019" s="76"/>
      <c r="N2019" s="71"/>
      <c r="O2019" s="87" t="s">
        <v>179</v>
      </c>
      <c r="P2019" s="90">
        <v>45168.817395833335</v>
      </c>
      <c r="Q2019" s="87" t="s">
        <v>3808</v>
      </c>
      <c r="R2019" s="87">
        <v>0</v>
      </c>
      <c r="S2019" s="87">
        <v>0</v>
      </c>
      <c r="T2019" s="87">
        <v>0</v>
      </c>
      <c r="U2019" s="87">
        <v>0</v>
      </c>
      <c r="V2019" s="87">
        <v>59</v>
      </c>
      <c r="W2019" s="93" t="s">
        <v>7151</v>
      </c>
      <c r="X2019" s="87"/>
      <c r="Y2019" s="87"/>
      <c r="Z2019" s="87"/>
      <c r="AA2019" s="87" t="s">
        <v>9936</v>
      </c>
      <c r="AB2019" s="87" t="s">
        <v>11447</v>
      </c>
      <c r="AC2019" s="93" t="s">
        <v>11457</v>
      </c>
      <c r="AD2019" s="87" t="s">
        <v>11519</v>
      </c>
      <c r="AE2019" s="92" t="str">
        <f>HYPERLINK("https://twitter.com/tipzar_io/status/1696970305229533621")</f>
        <v>https://twitter.com/tipzar_io/status/1696970305229533621</v>
      </c>
      <c r="AF2019" s="90">
        <v>45168.817395833335</v>
      </c>
      <c r="AG2019" s="99">
        <v>45168</v>
      </c>
      <c r="AH2019" s="93" t="s">
        <v>13376</v>
      </c>
      <c r="AI2019" s="87" t="b">
        <v>0</v>
      </c>
      <c r="AJ2019" s="87"/>
      <c r="AK2019" s="87"/>
      <c r="AL2019" s="87"/>
      <c r="AM2019" s="87"/>
      <c r="AN2019" s="87"/>
      <c r="AO2019" s="87"/>
      <c r="AP2019" s="87"/>
      <c r="AQ2019" s="87" t="s">
        <v>16749</v>
      </c>
      <c r="AR2019" s="87">
        <v>76903</v>
      </c>
      <c r="AS2019" s="87"/>
      <c r="AT2019" s="87"/>
      <c r="AU2019" s="87"/>
      <c r="AV2019" s="92" t="str">
        <f>HYPERLINK("https://pbs.twimg.com/ext_tw_video_thumb/1696969590616530944/pu/img/4GgKGbXiqGmBEZ7n.jpg")</f>
        <v>https://pbs.twimg.com/ext_tw_video_thumb/1696969590616530944/pu/img/4GgKGbXiqGmBEZ7n.jpg</v>
      </c>
      <c r="AW2019" s="93" t="s">
        <v>20247</v>
      </c>
      <c r="AX2019" s="93" t="s">
        <v>20247</v>
      </c>
      <c r="AY2019" s="87"/>
      <c r="AZ2019" s="93" t="s">
        <v>22668</v>
      </c>
      <c r="BA2019" s="93" t="s">
        <v>22668</v>
      </c>
      <c r="BB2019" s="93" t="s">
        <v>22668</v>
      </c>
      <c r="BC2019" s="93" t="s">
        <v>20247</v>
      </c>
      <c r="BD2019" s="93" t="s">
        <v>23186</v>
      </c>
      <c r="BE2019" s="87"/>
      <c r="BF2019" s="87"/>
      <c r="BG2019" s="87"/>
      <c r="BH2019" s="87"/>
      <c r="BI2019" s="87"/>
    </row>
    <row r="2020" spans="1:61" x14ac:dyDescent="0.25">
      <c r="A2020" s="63" t="s">
        <v>902</v>
      </c>
      <c r="B2020" s="63" t="s">
        <v>902</v>
      </c>
      <c r="C2020" s="64"/>
      <c r="D2020" s="65"/>
      <c r="E2020" s="66"/>
      <c r="F2020" s="67"/>
      <c r="G2020" s="64"/>
      <c r="H2020" s="68"/>
      <c r="I2020" s="69"/>
      <c r="J2020" s="69"/>
      <c r="K2020" s="32"/>
      <c r="L2020" s="76">
        <v>2020</v>
      </c>
      <c r="M2020" s="76"/>
      <c r="N2020" s="71"/>
      <c r="O2020" s="87" t="s">
        <v>179</v>
      </c>
      <c r="P2020" s="90">
        <v>45154.563009259262</v>
      </c>
      <c r="Q2020" s="87" t="s">
        <v>3809</v>
      </c>
      <c r="R2020" s="87">
        <v>0</v>
      </c>
      <c r="S2020" s="87">
        <v>0</v>
      </c>
      <c r="T2020" s="87">
        <v>0</v>
      </c>
      <c r="U2020" s="87">
        <v>0</v>
      </c>
      <c r="V2020" s="87">
        <v>7</v>
      </c>
      <c r="W2020" s="93" t="s">
        <v>7152</v>
      </c>
      <c r="X2020" s="87"/>
      <c r="Y2020" s="87"/>
      <c r="Z2020" s="87"/>
      <c r="AA2020" s="87" t="s">
        <v>9937</v>
      </c>
      <c r="AB2020" s="87" t="s">
        <v>11447</v>
      </c>
      <c r="AC2020" s="93" t="s">
        <v>11457</v>
      </c>
      <c r="AD2020" s="87" t="s">
        <v>11519</v>
      </c>
      <c r="AE2020" s="92" t="str">
        <f>HYPERLINK("https://twitter.com/tipzar_io/status/1691804686150467831")</f>
        <v>https://twitter.com/tipzar_io/status/1691804686150467831</v>
      </c>
      <c r="AF2020" s="90">
        <v>45154.563009259262</v>
      </c>
      <c r="AG2020" s="99">
        <v>45154</v>
      </c>
      <c r="AH2020" s="93" t="s">
        <v>13377</v>
      </c>
      <c r="AI2020" s="87" t="b">
        <v>0</v>
      </c>
      <c r="AJ2020" s="87"/>
      <c r="AK2020" s="87"/>
      <c r="AL2020" s="87"/>
      <c r="AM2020" s="87"/>
      <c r="AN2020" s="87"/>
      <c r="AO2020" s="87"/>
      <c r="AP2020" s="87"/>
      <c r="AQ2020" s="87" t="s">
        <v>16750</v>
      </c>
      <c r="AR2020" s="87">
        <v>50248</v>
      </c>
      <c r="AS2020" s="87"/>
      <c r="AT2020" s="87"/>
      <c r="AU2020" s="87"/>
      <c r="AV2020" s="92" t="str">
        <f>HYPERLINK("https://pbs.twimg.com/ext_tw_video_thumb/1691804513861083137/pu/img/cuUn6L1fKRDHYtQW.jpg")</f>
        <v>https://pbs.twimg.com/ext_tw_video_thumb/1691804513861083137/pu/img/cuUn6L1fKRDHYtQW.jpg</v>
      </c>
      <c r="AW2020" s="93" t="s">
        <v>20248</v>
      </c>
      <c r="AX2020" s="93" t="s">
        <v>20248</v>
      </c>
      <c r="AY2020" s="87"/>
      <c r="AZ2020" s="93" t="s">
        <v>22668</v>
      </c>
      <c r="BA2020" s="93" t="s">
        <v>22668</v>
      </c>
      <c r="BB2020" s="93" t="s">
        <v>22668</v>
      </c>
      <c r="BC2020" s="93" t="s">
        <v>20248</v>
      </c>
      <c r="BD2020" s="93" t="s">
        <v>23186</v>
      </c>
      <c r="BE2020" s="87"/>
      <c r="BF2020" s="87"/>
      <c r="BG2020" s="87"/>
      <c r="BH2020" s="87"/>
      <c r="BI2020" s="87"/>
    </row>
    <row r="2021" spans="1:61" x14ac:dyDescent="0.25">
      <c r="A2021" s="63" t="s">
        <v>902</v>
      </c>
      <c r="B2021" s="63" t="s">
        <v>902</v>
      </c>
      <c r="C2021" s="64"/>
      <c r="D2021" s="65"/>
      <c r="E2021" s="66"/>
      <c r="F2021" s="67"/>
      <c r="G2021" s="64"/>
      <c r="H2021" s="68"/>
      <c r="I2021" s="69"/>
      <c r="J2021" s="69"/>
      <c r="K2021" s="32"/>
      <c r="L2021" s="76">
        <v>2021</v>
      </c>
      <c r="M2021" s="76"/>
      <c r="N2021" s="71"/>
      <c r="O2021" s="87" t="s">
        <v>179</v>
      </c>
      <c r="P2021" s="90">
        <v>45153.779710648145</v>
      </c>
      <c r="Q2021" s="87" t="s">
        <v>3810</v>
      </c>
      <c r="R2021" s="87">
        <v>0</v>
      </c>
      <c r="S2021" s="87">
        <v>0</v>
      </c>
      <c r="T2021" s="87">
        <v>0</v>
      </c>
      <c r="U2021" s="87">
        <v>0</v>
      </c>
      <c r="V2021" s="87">
        <v>72</v>
      </c>
      <c r="W2021" s="93" t="s">
        <v>7150</v>
      </c>
      <c r="X2021" s="87"/>
      <c r="Y2021" s="87"/>
      <c r="Z2021" s="87"/>
      <c r="AA2021" s="87" t="s">
        <v>9938</v>
      </c>
      <c r="AB2021" s="87" t="s">
        <v>11447</v>
      </c>
      <c r="AC2021" s="93" t="s">
        <v>11457</v>
      </c>
      <c r="AD2021" s="87" t="s">
        <v>11519</v>
      </c>
      <c r="AE2021" s="92" t="str">
        <f>HYPERLINK("https://twitter.com/tipzar_io/status/1691520831619301377")</f>
        <v>https://twitter.com/tipzar_io/status/1691520831619301377</v>
      </c>
      <c r="AF2021" s="90">
        <v>45153.779710648145</v>
      </c>
      <c r="AG2021" s="99">
        <v>45153</v>
      </c>
      <c r="AH2021" s="93" t="s">
        <v>13378</v>
      </c>
      <c r="AI2021" s="87" t="b">
        <v>0</v>
      </c>
      <c r="AJ2021" s="87"/>
      <c r="AK2021" s="87"/>
      <c r="AL2021" s="87"/>
      <c r="AM2021" s="87"/>
      <c r="AN2021" s="87"/>
      <c r="AO2021" s="87"/>
      <c r="AP2021" s="87"/>
      <c r="AQ2021" s="87" t="s">
        <v>16751</v>
      </c>
      <c r="AR2021" s="87">
        <v>15000</v>
      </c>
      <c r="AS2021" s="87"/>
      <c r="AT2021" s="87"/>
      <c r="AU2021" s="87"/>
      <c r="AV2021" s="92" t="str">
        <f>HYPERLINK("https://pbs.twimg.com/ext_tw_video_thumb/1691520247554068483/pu/img/yOPWv_kAtni80YIg.jpg")</f>
        <v>https://pbs.twimg.com/ext_tw_video_thumb/1691520247554068483/pu/img/yOPWv_kAtni80YIg.jpg</v>
      </c>
      <c r="AW2021" s="93" t="s">
        <v>20249</v>
      </c>
      <c r="AX2021" s="93" t="s">
        <v>20249</v>
      </c>
      <c r="AY2021" s="87"/>
      <c r="AZ2021" s="93" t="s">
        <v>22668</v>
      </c>
      <c r="BA2021" s="93" t="s">
        <v>22668</v>
      </c>
      <c r="BB2021" s="93" t="s">
        <v>22668</v>
      </c>
      <c r="BC2021" s="93" t="s">
        <v>20249</v>
      </c>
      <c r="BD2021" s="93" t="s">
        <v>23186</v>
      </c>
      <c r="BE2021" s="87"/>
      <c r="BF2021" s="87"/>
      <c r="BG2021" s="87"/>
      <c r="BH2021" s="87"/>
      <c r="BI2021" s="87"/>
    </row>
    <row r="2022" spans="1:61" x14ac:dyDescent="0.25">
      <c r="A2022" s="63" t="s">
        <v>902</v>
      </c>
      <c r="B2022" s="63" t="s">
        <v>902</v>
      </c>
      <c r="C2022" s="64"/>
      <c r="D2022" s="65"/>
      <c r="E2022" s="66"/>
      <c r="F2022" s="67"/>
      <c r="G2022" s="64"/>
      <c r="H2022" s="68"/>
      <c r="I2022" s="69"/>
      <c r="J2022" s="69"/>
      <c r="K2022" s="32"/>
      <c r="L2022" s="76">
        <v>2022</v>
      </c>
      <c r="M2022" s="76"/>
      <c r="N2022" s="71"/>
      <c r="O2022" s="87" t="s">
        <v>179</v>
      </c>
      <c r="P2022" s="90">
        <v>45161.770682870374</v>
      </c>
      <c r="Q2022" s="87" t="s">
        <v>3811</v>
      </c>
      <c r="R2022" s="87">
        <v>0</v>
      </c>
      <c r="S2022" s="87">
        <v>1</v>
      </c>
      <c r="T2022" s="87">
        <v>0</v>
      </c>
      <c r="U2022" s="87">
        <v>0</v>
      </c>
      <c r="V2022" s="87">
        <v>75</v>
      </c>
      <c r="W2022" s="93" t="s">
        <v>7151</v>
      </c>
      <c r="X2022" s="87"/>
      <c r="Y2022" s="87"/>
      <c r="Z2022" s="87"/>
      <c r="AA2022" s="87" t="s">
        <v>9939</v>
      </c>
      <c r="AB2022" s="87" t="s">
        <v>11447</v>
      </c>
      <c r="AC2022" s="93" t="s">
        <v>11457</v>
      </c>
      <c r="AD2022" s="87" t="s">
        <v>11519</v>
      </c>
      <c r="AE2022" s="92" t="str">
        <f>HYPERLINK("https://twitter.com/tipzar_io/status/1694416660625571923")</f>
        <v>https://twitter.com/tipzar_io/status/1694416660625571923</v>
      </c>
      <c r="AF2022" s="90">
        <v>45161.770682870374</v>
      </c>
      <c r="AG2022" s="99">
        <v>45161</v>
      </c>
      <c r="AH2022" s="93" t="s">
        <v>13379</v>
      </c>
      <c r="AI2022" s="87" t="b">
        <v>0</v>
      </c>
      <c r="AJ2022" s="87"/>
      <c r="AK2022" s="87"/>
      <c r="AL2022" s="87"/>
      <c r="AM2022" s="87"/>
      <c r="AN2022" s="87"/>
      <c r="AO2022" s="87"/>
      <c r="AP2022" s="87"/>
      <c r="AQ2022" s="87" t="s">
        <v>16752</v>
      </c>
      <c r="AR2022" s="87">
        <v>14533</v>
      </c>
      <c r="AS2022" s="87"/>
      <c r="AT2022" s="87"/>
      <c r="AU2022" s="87"/>
      <c r="AV2022" s="92" t="str">
        <f>HYPERLINK("https://pbs.twimg.com/ext_tw_video_thumb/1694412195277242368/pu/img/1QkAtsuEjYRi7rtL.jpg")</f>
        <v>https://pbs.twimg.com/ext_tw_video_thumb/1694412195277242368/pu/img/1QkAtsuEjYRi7rtL.jpg</v>
      </c>
      <c r="AW2022" s="93" t="s">
        <v>20250</v>
      </c>
      <c r="AX2022" s="93" t="s">
        <v>20250</v>
      </c>
      <c r="AY2022" s="87"/>
      <c r="AZ2022" s="93" t="s">
        <v>22668</v>
      </c>
      <c r="BA2022" s="93" t="s">
        <v>22668</v>
      </c>
      <c r="BB2022" s="93" t="s">
        <v>22668</v>
      </c>
      <c r="BC2022" s="93" t="s">
        <v>20250</v>
      </c>
      <c r="BD2022" s="93" t="s">
        <v>23186</v>
      </c>
      <c r="BE2022" s="87"/>
      <c r="BF2022" s="87"/>
      <c r="BG2022" s="87"/>
      <c r="BH2022" s="87"/>
      <c r="BI2022" s="87"/>
    </row>
    <row r="2023" spans="1:61" x14ac:dyDescent="0.25">
      <c r="A2023" s="63" t="s">
        <v>902</v>
      </c>
      <c r="B2023" s="63" t="s">
        <v>902</v>
      </c>
      <c r="C2023" s="64"/>
      <c r="D2023" s="65"/>
      <c r="E2023" s="66"/>
      <c r="F2023" s="67"/>
      <c r="G2023" s="64"/>
      <c r="H2023" s="68"/>
      <c r="I2023" s="69"/>
      <c r="J2023" s="69"/>
      <c r="K2023" s="32"/>
      <c r="L2023" s="76">
        <v>2023</v>
      </c>
      <c r="M2023" s="76"/>
      <c r="N2023" s="71"/>
      <c r="O2023" s="87" t="s">
        <v>179</v>
      </c>
      <c r="P2023" s="90">
        <v>45167.727442129632</v>
      </c>
      <c r="Q2023" s="87" t="s">
        <v>3812</v>
      </c>
      <c r="R2023" s="87">
        <v>0</v>
      </c>
      <c r="S2023" s="87">
        <v>0</v>
      </c>
      <c r="T2023" s="87">
        <v>0</v>
      </c>
      <c r="U2023" s="87">
        <v>0</v>
      </c>
      <c r="V2023" s="87">
        <v>55</v>
      </c>
      <c r="W2023" s="93" t="s">
        <v>7151</v>
      </c>
      <c r="X2023" s="87"/>
      <c r="Y2023" s="87"/>
      <c r="Z2023" s="87"/>
      <c r="AA2023" s="87" t="s">
        <v>9940</v>
      </c>
      <c r="AB2023" s="87" t="s">
        <v>11447</v>
      </c>
      <c r="AC2023" s="93" t="s">
        <v>11457</v>
      </c>
      <c r="AD2023" s="87" t="s">
        <v>11519</v>
      </c>
      <c r="AE2023" s="92" t="str">
        <f>HYPERLINK("https://twitter.com/tipzar_io/status/1696575317157048672")</f>
        <v>https://twitter.com/tipzar_io/status/1696575317157048672</v>
      </c>
      <c r="AF2023" s="90">
        <v>45167.727442129632</v>
      </c>
      <c r="AG2023" s="99">
        <v>45167</v>
      </c>
      <c r="AH2023" s="93" t="s">
        <v>13380</v>
      </c>
      <c r="AI2023" s="87" t="b">
        <v>0</v>
      </c>
      <c r="AJ2023" s="87"/>
      <c r="AK2023" s="87"/>
      <c r="AL2023" s="87"/>
      <c r="AM2023" s="87"/>
      <c r="AN2023" s="87"/>
      <c r="AO2023" s="87"/>
      <c r="AP2023" s="87"/>
      <c r="AQ2023" s="87" t="s">
        <v>16753</v>
      </c>
      <c r="AR2023" s="87">
        <v>83666</v>
      </c>
      <c r="AS2023" s="87"/>
      <c r="AT2023" s="87"/>
      <c r="AU2023" s="87"/>
      <c r="AV2023" s="92" t="str">
        <f>HYPERLINK("https://pbs.twimg.com/ext_tw_video_thumb/1696574306568859650/pu/img/tVn7BH7Ml15Co8PA.jpg")</f>
        <v>https://pbs.twimg.com/ext_tw_video_thumb/1696574306568859650/pu/img/tVn7BH7Ml15Co8PA.jpg</v>
      </c>
      <c r="AW2023" s="93" t="s">
        <v>20251</v>
      </c>
      <c r="AX2023" s="93" t="s">
        <v>20251</v>
      </c>
      <c r="AY2023" s="87"/>
      <c r="AZ2023" s="93" t="s">
        <v>22668</v>
      </c>
      <c r="BA2023" s="93" t="s">
        <v>22668</v>
      </c>
      <c r="BB2023" s="93" t="s">
        <v>22668</v>
      </c>
      <c r="BC2023" s="93" t="s">
        <v>20251</v>
      </c>
      <c r="BD2023" s="93" t="s">
        <v>23186</v>
      </c>
      <c r="BE2023" s="87"/>
      <c r="BF2023" s="87"/>
      <c r="BG2023" s="87"/>
      <c r="BH2023" s="87"/>
      <c r="BI2023" s="87"/>
    </row>
    <row r="2024" spans="1:61" x14ac:dyDescent="0.25">
      <c r="A2024" s="63" t="s">
        <v>902</v>
      </c>
      <c r="B2024" s="63" t="s">
        <v>902</v>
      </c>
      <c r="C2024" s="64"/>
      <c r="D2024" s="65"/>
      <c r="E2024" s="66"/>
      <c r="F2024" s="67"/>
      <c r="G2024" s="64"/>
      <c r="H2024" s="68"/>
      <c r="I2024" s="69"/>
      <c r="J2024" s="69"/>
      <c r="K2024" s="32"/>
      <c r="L2024" s="76">
        <v>2024</v>
      </c>
      <c r="M2024" s="76"/>
      <c r="N2024" s="71"/>
      <c r="O2024" s="87" t="s">
        <v>179</v>
      </c>
      <c r="P2024" s="90">
        <v>45148.610115740739</v>
      </c>
      <c r="Q2024" s="87" t="s">
        <v>3813</v>
      </c>
      <c r="R2024" s="87">
        <v>0</v>
      </c>
      <c r="S2024" s="87">
        <v>0</v>
      </c>
      <c r="T2024" s="87">
        <v>0</v>
      </c>
      <c r="U2024" s="87">
        <v>0</v>
      </c>
      <c r="V2024" s="87">
        <v>53</v>
      </c>
      <c r="W2024" s="93" t="s">
        <v>7150</v>
      </c>
      <c r="X2024" s="87"/>
      <c r="Y2024" s="87"/>
      <c r="Z2024" s="87"/>
      <c r="AA2024" s="87" t="s">
        <v>9941</v>
      </c>
      <c r="AB2024" s="87" t="s">
        <v>11447</v>
      </c>
      <c r="AC2024" s="93" t="s">
        <v>11457</v>
      </c>
      <c r="AD2024" s="87" t="s">
        <v>11518</v>
      </c>
      <c r="AE2024" s="92" t="str">
        <f>HYPERLINK("https://twitter.com/tipzar_io/status/1689647430814650369")</f>
        <v>https://twitter.com/tipzar_io/status/1689647430814650369</v>
      </c>
      <c r="AF2024" s="90">
        <v>45148.610115740739</v>
      </c>
      <c r="AG2024" s="99">
        <v>45148</v>
      </c>
      <c r="AH2024" s="93" t="s">
        <v>13381</v>
      </c>
      <c r="AI2024" s="87" t="b">
        <v>0</v>
      </c>
      <c r="AJ2024" s="87"/>
      <c r="AK2024" s="87"/>
      <c r="AL2024" s="87"/>
      <c r="AM2024" s="87"/>
      <c r="AN2024" s="87"/>
      <c r="AO2024" s="87"/>
      <c r="AP2024" s="87"/>
      <c r="AQ2024" s="87" t="s">
        <v>16754</v>
      </c>
      <c r="AR2024" s="87">
        <v>72585</v>
      </c>
      <c r="AS2024" s="87"/>
      <c r="AT2024" s="87"/>
      <c r="AU2024" s="87"/>
      <c r="AV2024" s="92" t="str">
        <f>HYPERLINK("https://pbs.twimg.com/ext_tw_video_thumb/1689646183063621632/pu/img/jeCjFfTx-TbgqGFa.jpg")</f>
        <v>https://pbs.twimg.com/ext_tw_video_thumb/1689646183063621632/pu/img/jeCjFfTx-TbgqGFa.jpg</v>
      </c>
      <c r="AW2024" s="93" t="s">
        <v>20252</v>
      </c>
      <c r="AX2024" s="93" t="s">
        <v>20252</v>
      </c>
      <c r="AY2024" s="87"/>
      <c r="AZ2024" s="93" t="s">
        <v>22668</v>
      </c>
      <c r="BA2024" s="93" t="s">
        <v>22668</v>
      </c>
      <c r="BB2024" s="93" t="s">
        <v>22668</v>
      </c>
      <c r="BC2024" s="93" t="s">
        <v>20252</v>
      </c>
      <c r="BD2024" s="93" t="s">
        <v>23186</v>
      </c>
      <c r="BE2024" s="87"/>
      <c r="BF2024" s="87"/>
      <c r="BG2024" s="87"/>
      <c r="BH2024" s="87"/>
      <c r="BI2024" s="87"/>
    </row>
    <row r="2025" spans="1:61" x14ac:dyDescent="0.25">
      <c r="A2025" s="63" t="s">
        <v>902</v>
      </c>
      <c r="B2025" s="63" t="s">
        <v>902</v>
      </c>
      <c r="C2025" s="64"/>
      <c r="D2025" s="65"/>
      <c r="E2025" s="66"/>
      <c r="F2025" s="67"/>
      <c r="G2025" s="64"/>
      <c r="H2025" s="68"/>
      <c r="I2025" s="69"/>
      <c r="J2025" s="69"/>
      <c r="K2025" s="32"/>
      <c r="L2025" s="76">
        <v>2025</v>
      </c>
      <c r="M2025" s="76"/>
      <c r="N2025" s="71"/>
      <c r="O2025" s="87" t="s">
        <v>179</v>
      </c>
      <c r="P2025" s="90">
        <v>45169.690069444441</v>
      </c>
      <c r="Q2025" s="87" t="s">
        <v>3814</v>
      </c>
      <c r="R2025" s="87">
        <v>0</v>
      </c>
      <c r="S2025" s="87">
        <v>0</v>
      </c>
      <c r="T2025" s="87">
        <v>0</v>
      </c>
      <c r="U2025" s="87">
        <v>0</v>
      </c>
      <c r="V2025" s="87">
        <v>56</v>
      </c>
      <c r="W2025" s="93" t="s">
        <v>7151</v>
      </c>
      <c r="X2025" s="87"/>
      <c r="Y2025" s="87"/>
      <c r="Z2025" s="87"/>
      <c r="AA2025" s="87" t="s">
        <v>9942</v>
      </c>
      <c r="AB2025" s="87" t="s">
        <v>11447</v>
      </c>
      <c r="AC2025" s="93" t="s">
        <v>11457</v>
      </c>
      <c r="AD2025" s="87" t="s">
        <v>11519</v>
      </c>
      <c r="AE2025" s="92" t="str">
        <f>HYPERLINK("https://twitter.com/tipzar_io/status/1697286550348808341")</f>
        <v>https://twitter.com/tipzar_io/status/1697286550348808341</v>
      </c>
      <c r="AF2025" s="90">
        <v>45169.690069444441</v>
      </c>
      <c r="AG2025" s="99">
        <v>45169</v>
      </c>
      <c r="AH2025" s="93" t="s">
        <v>13382</v>
      </c>
      <c r="AI2025" s="87" t="b">
        <v>0</v>
      </c>
      <c r="AJ2025" s="87"/>
      <c r="AK2025" s="87"/>
      <c r="AL2025" s="87"/>
      <c r="AM2025" s="87"/>
      <c r="AN2025" s="87"/>
      <c r="AO2025" s="87"/>
      <c r="AP2025" s="87"/>
      <c r="AQ2025" s="87" t="s">
        <v>16755</v>
      </c>
      <c r="AR2025" s="87">
        <v>89066</v>
      </c>
      <c r="AS2025" s="87"/>
      <c r="AT2025" s="87"/>
      <c r="AU2025" s="87"/>
      <c r="AV2025" s="92" t="str">
        <f>HYPERLINK("https://pbs.twimg.com/ext_tw_video_thumb/1697285251448360960/pu/img/p9oTLc3T917HM2P0.jpg")</f>
        <v>https://pbs.twimg.com/ext_tw_video_thumb/1697285251448360960/pu/img/p9oTLc3T917HM2P0.jpg</v>
      </c>
      <c r="AW2025" s="93" t="s">
        <v>20253</v>
      </c>
      <c r="AX2025" s="93" t="s">
        <v>20253</v>
      </c>
      <c r="AY2025" s="87"/>
      <c r="AZ2025" s="93" t="s">
        <v>22668</v>
      </c>
      <c r="BA2025" s="93" t="s">
        <v>22668</v>
      </c>
      <c r="BB2025" s="93" t="s">
        <v>22668</v>
      </c>
      <c r="BC2025" s="93" t="s">
        <v>20253</v>
      </c>
      <c r="BD2025" s="93" t="s">
        <v>23186</v>
      </c>
      <c r="BE2025" s="87"/>
      <c r="BF2025" s="87"/>
      <c r="BG2025" s="87"/>
      <c r="BH2025" s="87"/>
      <c r="BI2025" s="87"/>
    </row>
    <row r="2026" spans="1:61" x14ac:dyDescent="0.25">
      <c r="A2026" s="63" t="s">
        <v>902</v>
      </c>
      <c r="B2026" s="63" t="s">
        <v>902</v>
      </c>
      <c r="C2026" s="64"/>
      <c r="D2026" s="65"/>
      <c r="E2026" s="66"/>
      <c r="F2026" s="67"/>
      <c r="G2026" s="64"/>
      <c r="H2026" s="68"/>
      <c r="I2026" s="69"/>
      <c r="J2026" s="69"/>
      <c r="K2026" s="32"/>
      <c r="L2026" s="76">
        <v>2026</v>
      </c>
      <c r="M2026" s="76"/>
      <c r="N2026" s="71"/>
      <c r="O2026" s="87" t="s">
        <v>179</v>
      </c>
      <c r="P2026" s="90">
        <v>45156.790289351855</v>
      </c>
      <c r="Q2026" s="87" t="s">
        <v>3815</v>
      </c>
      <c r="R2026" s="87">
        <v>0</v>
      </c>
      <c r="S2026" s="87">
        <v>0</v>
      </c>
      <c r="T2026" s="87">
        <v>0</v>
      </c>
      <c r="U2026" s="87">
        <v>0</v>
      </c>
      <c r="V2026" s="87">
        <v>14</v>
      </c>
      <c r="W2026" s="93" t="s">
        <v>7152</v>
      </c>
      <c r="X2026" s="87"/>
      <c r="Y2026" s="87"/>
      <c r="Z2026" s="87"/>
      <c r="AA2026" s="87" t="s">
        <v>9943</v>
      </c>
      <c r="AB2026" s="87" t="s">
        <v>11447</v>
      </c>
      <c r="AC2026" s="93" t="s">
        <v>11457</v>
      </c>
      <c r="AD2026" s="87" t="s">
        <v>11519</v>
      </c>
      <c r="AE2026" s="92" t="str">
        <f>HYPERLINK("https://twitter.com/tipzar_io/status/1692611826070995251")</f>
        <v>https://twitter.com/tipzar_io/status/1692611826070995251</v>
      </c>
      <c r="AF2026" s="90">
        <v>45156.790289351855</v>
      </c>
      <c r="AG2026" s="99">
        <v>45156</v>
      </c>
      <c r="AH2026" s="93" t="s">
        <v>13383</v>
      </c>
      <c r="AI2026" s="87" t="b">
        <v>0</v>
      </c>
      <c r="AJ2026" s="87"/>
      <c r="AK2026" s="87"/>
      <c r="AL2026" s="87"/>
      <c r="AM2026" s="87"/>
      <c r="AN2026" s="87"/>
      <c r="AO2026" s="87"/>
      <c r="AP2026" s="87"/>
      <c r="AQ2026" s="87" t="s">
        <v>16756</v>
      </c>
      <c r="AR2026" s="87">
        <v>84403</v>
      </c>
      <c r="AS2026" s="87"/>
      <c r="AT2026" s="87"/>
      <c r="AU2026" s="87"/>
      <c r="AV2026" s="92" t="str">
        <f>HYPERLINK("https://pbs.twimg.com/ext_tw_video_thumb/1692611068244144128/pu/img/wV7CK0fb1biZ7buV.jpg")</f>
        <v>https://pbs.twimg.com/ext_tw_video_thumb/1692611068244144128/pu/img/wV7CK0fb1biZ7buV.jpg</v>
      </c>
      <c r="AW2026" s="93" t="s">
        <v>20254</v>
      </c>
      <c r="AX2026" s="93" t="s">
        <v>20254</v>
      </c>
      <c r="AY2026" s="87"/>
      <c r="AZ2026" s="93" t="s">
        <v>22668</v>
      </c>
      <c r="BA2026" s="93" t="s">
        <v>22668</v>
      </c>
      <c r="BB2026" s="93" t="s">
        <v>22668</v>
      </c>
      <c r="BC2026" s="93" t="s">
        <v>20254</v>
      </c>
      <c r="BD2026" s="93" t="s">
        <v>23186</v>
      </c>
      <c r="BE2026" s="87"/>
      <c r="BF2026" s="87"/>
      <c r="BG2026" s="87"/>
      <c r="BH2026" s="87"/>
      <c r="BI2026" s="87"/>
    </row>
    <row r="2027" spans="1:61" x14ac:dyDescent="0.25">
      <c r="A2027" s="63" t="s">
        <v>903</v>
      </c>
      <c r="B2027" s="63" t="s">
        <v>903</v>
      </c>
      <c r="C2027" s="64"/>
      <c r="D2027" s="65"/>
      <c r="E2027" s="66"/>
      <c r="F2027" s="67"/>
      <c r="G2027" s="64"/>
      <c r="H2027" s="68"/>
      <c r="I2027" s="69"/>
      <c r="J2027" s="69"/>
      <c r="K2027" s="32"/>
      <c r="L2027" s="76">
        <v>2027</v>
      </c>
      <c r="M2027" s="76"/>
      <c r="N2027" s="71"/>
      <c r="O2027" s="87" t="s">
        <v>179</v>
      </c>
      <c r="P2027" s="90">
        <v>45121.669479166667</v>
      </c>
      <c r="Q2027" s="87" t="s">
        <v>3816</v>
      </c>
      <c r="R2027" s="87">
        <v>1</v>
      </c>
      <c r="S2027" s="87">
        <v>2</v>
      </c>
      <c r="T2027" s="87">
        <v>0</v>
      </c>
      <c r="U2027" s="87">
        <v>0</v>
      </c>
      <c r="V2027" s="87">
        <v>120</v>
      </c>
      <c r="W2027" s="93" t="s">
        <v>7154</v>
      </c>
      <c r="X2027" s="87"/>
      <c r="Y2027" s="87"/>
      <c r="Z2027" s="87"/>
      <c r="AA2027" s="87" t="s">
        <v>9944</v>
      </c>
      <c r="AB2027" s="87" t="s">
        <v>11448</v>
      </c>
      <c r="AC2027" s="93" t="s">
        <v>11458</v>
      </c>
      <c r="AD2027" s="87" t="s">
        <v>11519</v>
      </c>
      <c r="AE2027" s="92" t="str">
        <f>HYPERLINK("https://twitter.com/santannareal_/status/1679884472559206401")</f>
        <v>https://twitter.com/santannareal_/status/1679884472559206401</v>
      </c>
      <c r="AF2027" s="90">
        <v>45121.669479166667</v>
      </c>
      <c r="AG2027" s="99">
        <v>45121</v>
      </c>
      <c r="AH2027" s="93" t="s">
        <v>13384</v>
      </c>
      <c r="AI2027" s="87" t="b">
        <v>0</v>
      </c>
      <c r="AJ2027" s="87"/>
      <c r="AK2027" s="87"/>
      <c r="AL2027" s="87"/>
      <c r="AM2027" s="87"/>
      <c r="AN2027" s="87"/>
      <c r="AO2027" s="87"/>
      <c r="AP2027" s="87"/>
      <c r="AQ2027" s="87" t="s">
        <v>16757</v>
      </c>
      <c r="AR2027" s="87"/>
      <c r="AS2027" s="87"/>
      <c r="AT2027" s="87"/>
      <c r="AU2027" s="87"/>
      <c r="AV2027" s="92" t="str">
        <f>HYPERLINK("https://pbs.twimg.com/media/F1AmBcAWAAE5lNQ.jpg")</f>
        <v>https://pbs.twimg.com/media/F1AmBcAWAAE5lNQ.jpg</v>
      </c>
      <c r="AW2027" s="93" t="s">
        <v>20255</v>
      </c>
      <c r="AX2027" s="93" t="s">
        <v>20255</v>
      </c>
      <c r="AY2027" s="87"/>
      <c r="AZ2027" s="93" t="s">
        <v>22668</v>
      </c>
      <c r="BA2027" s="93" t="s">
        <v>22668</v>
      </c>
      <c r="BB2027" s="93" t="s">
        <v>22668</v>
      </c>
      <c r="BC2027" s="93" t="s">
        <v>20255</v>
      </c>
      <c r="BD2027" s="87">
        <v>2523063850</v>
      </c>
      <c r="BE2027" s="87"/>
      <c r="BF2027" s="87"/>
      <c r="BG2027" s="87"/>
      <c r="BH2027" s="87"/>
      <c r="BI2027" s="87"/>
    </row>
    <row r="2028" spans="1:61" x14ac:dyDescent="0.25">
      <c r="A2028" s="63" t="s">
        <v>903</v>
      </c>
      <c r="B2028" s="63" t="s">
        <v>903</v>
      </c>
      <c r="C2028" s="64"/>
      <c r="D2028" s="65"/>
      <c r="E2028" s="66"/>
      <c r="F2028" s="67"/>
      <c r="G2028" s="64"/>
      <c r="H2028" s="68"/>
      <c r="I2028" s="69"/>
      <c r="J2028" s="69"/>
      <c r="K2028" s="32"/>
      <c r="L2028" s="76">
        <v>2028</v>
      </c>
      <c r="M2028" s="76"/>
      <c r="N2028" s="71"/>
      <c r="O2028" s="87" t="s">
        <v>179</v>
      </c>
      <c r="P2028" s="90">
        <v>45135.775092592594</v>
      </c>
      <c r="Q2028" s="87" t="s">
        <v>3817</v>
      </c>
      <c r="R2028" s="87">
        <v>0</v>
      </c>
      <c r="S2028" s="87">
        <v>0</v>
      </c>
      <c r="T2028" s="87">
        <v>0</v>
      </c>
      <c r="U2028" s="87">
        <v>0</v>
      </c>
      <c r="V2028" s="87">
        <v>52</v>
      </c>
      <c r="W2028" s="93" t="s">
        <v>7155</v>
      </c>
      <c r="X2028" s="87"/>
      <c r="Y2028" s="87"/>
      <c r="Z2028" s="87"/>
      <c r="AA2028" s="87" t="s">
        <v>9945</v>
      </c>
      <c r="AB2028" s="87" t="s">
        <v>11450</v>
      </c>
      <c r="AC2028" s="93" t="s">
        <v>11458</v>
      </c>
      <c r="AD2028" s="87" t="s">
        <v>11520</v>
      </c>
      <c r="AE2028" s="92" t="str">
        <f>HYPERLINK("https://twitter.com/santannareal_/status/1684996175823360000")</f>
        <v>https://twitter.com/santannareal_/status/1684996175823360000</v>
      </c>
      <c r="AF2028" s="90">
        <v>45135.775092592594</v>
      </c>
      <c r="AG2028" s="99">
        <v>45135</v>
      </c>
      <c r="AH2028" s="93" t="s">
        <v>13385</v>
      </c>
      <c r="AI2028" s="87" t="b">
        <v>0</v>
      </c>
      <c r="AJ2028" s="87" t="s">
        <v>15212</v>
      </c>
      <c r="AK2028" s="87" t="s">
        <v>15234</v>
      </c>
      <c r="AL2028" s="87" t="s">
        <v>15237</v>
      </c>
      <c r="AM2028" s="87" t="s">
        <v>15283</v>
      </c>
      <c r="AN2028" s="87" t="s">
        <v>15350</v>
      </c>
      <c r="AO2028" s="87" t="s">
        <v>15415</v>
      </c>
      <c r="AP2028" s="87" t="s">
        <v>15438</v>
      </c>
      <c r="AQ2028" s="87" t="s">
        <v>16758</v>
      </c>
      <c r="AR2028" s="87"/>
      <c r="AS2028" s="87"/>
      <c r="AT2028" s="87"/>
      <c r="AU2028" s="87"/>
      <c r="AV2028" s="92" t="str">
        <f>HYPERLINK("https://pbs.twimg.com/media/F2JPFu8XYAAM3wQ.jpg")</f>
        <v>https://pbs.twimg.com/media/F2JPFu8XYAAM3wQ.jpg</v>
      </c>
      <c r="AW2028" s="93" t="s">
        <v>20256</v>
      </c>
      <c r="AX2028" s="93" t="s">
        <v>20256</v>
      </c>
      <c r="AY2028" s="87"/>
      <c r="AZ2028" s="93" t="s">
        <v>22668</v>
      </c>
      <c r="BA2028" s="93" t="s">
        <v>22668</v>
      </c>
      <c r="BB2028" s="93" t="s">
        <v>22668</v>
      </c>
      <c r="BC2028" s="93" t="s">
        <v>20256</v>
      </c>
      <c r="BD2028" s="87">
        <v>2523063850</v>
      </c>
      <c r="BE2028" s="87"/>
      <c r="BF2028" s="87"/>
      <c r="BG2028" s="87"/>
      <c r="BH2028" s="87"/>
      <c r="BI2028" s="87"/>
    </row>
    <row r="2029" spans="1:61" x14ac:dyDescent="0.25">
      <c r="A2029" s="63" t="s">
        <v>903</v>
      </c>
      <c r="B2029" s="63" t="s">
        <v>903</v>
      </c>
      <c r="C2029" s="64"/>
      <c r="D2029" s="65"/>
      <c r="E2029" s="66"/>
      <c r="F2029" s="67"/>
      <c r="G2029" s="64"/>
      <c r="H2029" s="68"/>
      <c r="I2029" s="69"/>
      <c r="J2029" s="69"/>
      <c r="K2029" s="32"/>
      <c r="L2029" s="76">
        <v>2029</v>
      </c>
      <c r="M2029" s="76"/>
      <c r="N2029" s="71"/>
      <c r="O2029" s="87" t="s">
        <v>179</v>
      </c>
      <c r="P2029" s="90">
        <v>45142.942395833335</v>
      </c>
      <c r="Q2029" s="87" t="s">
        <v>3818</v>
      </c>
      <c r="R2029" s="87">
        <v>0</v>
      </c>
      <c r="S2029" s="87">
        <v>0</v>
      </c>
      <c r="T2029" s="87">
        <v>0</v>
      </c>
      <c r="U2029" s="87">
        <v>0</v>
      </c>
      <c r="V2029" s="87">
        <v>48</v>
      </c>
      <c r="W2029" s="93" t="s">
        <v>7156</v>
      </c>
      <c r="X2029" s="87"/>
      <c r="Y2029" s="87"/>
      <c r="Z2029" s="87"/>
      <c r="AA2029" s="87" t="s">
        <v>9946</v>
      </c>
      <c r="AB2029" s="87" t="s">
        <v>11449</v>
      </c>
      <c r="AC2029" s="93" t="s">
        <v>11458</v>
      </c>
      <c r="AD2029" s="87" t="s">
        <v>11520</v>
      </c>
      <c r="AE2029" s="92" t="str">
        <f>HYPERLINK("https://twitter.com/santannareal_/status/1687593518515040257")</f>
        <v>https://twitter.com/santannareal_/status/1687593518515040257</v>
      </c>
      <c r="AF2029" s="90">
        <v>45142.942395833335</v>
      </c>
      <c r="AG2029" s="99">
        <v>45142</v>
      </c>
      <c r="AH2029" s="93" t="s">
        <v>13386</v>
      </c>
      <c r="AI2029" s="87" t="b">
        <v>0</v>
      </c>
      <c r="AJ2029" s="87"/>
      <c r="AK2029" s="87"/>
      <c r="AL2029" s="87"/>
      <c r="AM2029" s="87"/>
      <c r="AN2029" s="87"/>
      <c r="AO2029" s="87"/>
      <c r="AP2029" s="87"/>
      <c r="AQ2029" s="87" t="s">
        <v>16759</v>
      </c>
      <c r="AR2029" s="87"/>
      <c r="AS2029" s="87"/>
      <c r="AT2029" s="87"/>
      <c r="AU2029" s="87"/>
      <c r="AV2029" s="92" t="str">
        <f>HYPERLINK("https://pbs.twimg.com/media/F2uJW0xXYAAehS9.jpg")</f>
        <v>https://pbs.twimg.com/media/F2uJW0xXYAAehS9.jpg</v>
      </c>
      <c r="AW2029" s="93" t="s">
        <v>20257</v>
      </c>
      <c r="AX2029" s="93" t="s">
        <v>20257</v>
      </c>
      <c r="AY2029" s="87"/>
      <c r="AZ2029" s="93" t="s">
        <v>22668</v>
      </c>
      <c r="BA2029" s="93" t="s">
        <v>22668</v>
      </c>
      <c r="BB2029" s="93" t="s">
        <v>22668</v>
      </c>
      <c r="BC2029" s="93" t="s">
        <v>20257</v>
      </c>
      <c r="BD2029" s="87">
        <v>2523063850</v>
      </c>
      <c r="BE2029" s="87"/>
      <c r="BF2029" s="87"/>
      <c r="BG2029" s="87"/>
      <c r="BH2029" s="87"/>
      <c r="BI2029" s="87"/>
    </row>
    <row r="2030" spans="1:61" x14ac:dyDescent="0.25">
      <c r="A2030" s="63" t="s">
        <v>904</v>
      </c>
      <c r="B2030" s="63" t="s">
        <v>904</v>
      </c>
      <c r="C2030" s="64"/>
      <c r="D2030" s="65"/>
      <c r="E2030" s="66"/>
      <c r="F2030" s="67"/>
      <c r="G2030" s="64"/>
      <c r="H2030" s="68"/>
      <c r="I2030" s="69"/>
      <c r="J2030" s="69"/>
      <c r="K2030" s="32"/>
      <c r="L2030" s="76">
        <v>2030</v>
      </c>
      <c r="M2030" s="76"/>
      <c r="N2030" s="71"/>
      <c r="O2030" s="87" t="s">
        <v>179</v>
      </c>
      <c r="P2030" s="90">
        <v>45121.395833333336</v>
      </c>
      <c r="Q2030" s="87" t="s">
        <v>3819</v>
      </c>
      <c r="R2030" s="87">
        <v>0</v>
      </c>
      <c r="S2030" s="87">
        <v>3</v>
      </c>
      <c r="T2030" s="87">
        <v>2</v>
      </c>
      <c r="U2030" s="87">
        <v>0</v>
      </c>
      <c r="V2030" s="87">
        <v>19</v>
      </c>
      <c r="W2030" s="93" t="s">
        <v>7157</v>
      </c>
      <c r="X2030" s="87"/>
      <c r="Y2030" s="87"/>
      <c r="Z2030" s="87"/>
      <c r="AA2030" s="87" t="s">
        <v>9947</v>
      </c>
      <c r="AB2030" s="87" t="s">
        <v>11448</v>
      </c>
      <c r="AC2030" s="93" t="s">
        <v>11457</v>
      </c>
      <c r="AD2030" s="87" t="s">
        <v>11519</v>
      </c>
      <c r="AE2030" s="92" t="str">
        <f>HYPERLINK("https://twitter.com/lfscontadora/status/1679785307653435393")</f>
        <v>https://twitter.com/lfscontadora/status/1679785307653435393</v>
      </c>
      <c r="AF2030" s="90">
        <v>45121.395833333336</v>
      </c>
      <c r="AG2030" s="99">
        <v>45121</v>
      </c>
      <c r="AH2030" s="93" t="s">
        <v>13387</v>
      </c>
      <c r="AI2030" s="87" t="b">
        <v>0</v>
      </c>
      <c r="AJ2030" s="87"/>
      <c r="AK2030" s="87"/>
      <c r="AL2030" s="87"/>
      <c r="AM2030" s="87"/>
      <c r="AN2030" s="87"/>
      <c r="AO2030" s="87"/>
      <c r="AP2030" s="87"/>
      <c r="AQ2030" s="87" t="s">
        <v>16760</v>
      </c>
      <c r="AR2030" s="87"/>
      <c r="AS2030" s="87"/>
      <c r="AT2030" s="87"/>
      <c r="AU2030" s="87"/>
      <c r="AV2030" s="92" t="str">
        <f>HYPERLINK("https://pbs.twimg.com/media/F02b29kWcAAa92h.jpg")</f>
        <v>https://pbs.twimg.com/media/F02b29kWcAAa92h.jpg</v>
      </c>
      <c r="AW2030" s="93" t="s">
        <v>20258</v>
      </c>
      <c r="AX2030" s="93" t="s">
        <v>20258</v>
      </c>
      <c r="AY2030" s="87"/>
      <c r="AZ2030" s="93" t="s">
        <v>22668</v>
      </c>
      <c r="BA2030" s="93" t="s">
        <v>22668</v>
      </c>
      <c r="BB2030" s="93" t="s">
        <v>22668</v>
      </c>
      <c r="BC2030" s="93" t="s">
        <v>20258</v>
      </c>
      <c r="BD2030" s="93" t="s">
        <v>23187</v>
      </c>
      <c r="BE2030" s="87"/>
      <c r="BF2030" s="87"/>
      <c r="BG2030" s="87"/>
      <c r="BH2030" s="87"/>
      <c r="BI2030" s="87"/>
    </row>
    <row r="2031" spans="1:61" x14ac:dyDescent="0.25">
      <c r="A2031" s="63" t="s">
        <v>904</v>
      </c>
      <c r="B2031" s="63" t="s">
        <v>904</v>
      </c>
      <c r="C2031" s="64"/>
      <c r="D2031" s="65"/>
      <c r="E2031" s="66"/>
      <c r="F2031" s="67"/>
      <c r="G2031" s="64"/>
      <c r="H2031" s="68"/>
      <c r="I2031" s="69"/>
      <c r="J2031" s="69"/>
      <c r="K2031" s="32"/>
      <c r="L2031" s="76">
        <v>2031</v>
      </c>
      <c r="M2031" s="76"/>
      <c r="N2031" s="71"/>
      <c r="O2031" s="87" t="s">
        <v>179</v>
      </c>
      <c r="P2031" s="90">
        <v>45120.395833333336</v>
      </c>
      <c r="Q2031" s="87" t="s">
        <v>3820</v>
      </c>
      <c r="R2031" s="87">
        <v>0</v>
      </c>
      <c r="S2031" s="87">
        <v>3</v>
      </c>
      <c r="T2031" s="87">
        <v>0</v>
      </c>
      <c r="U2031" s="87">
        <v>0</v>
      </c>
      <c r="V2031" s="87">
        <v>15</v>
      </c>
      <c r="W2031" s="93" t="s">
        <v>7157</v>
      </c>
      <c r="X2031" s="87"/>
      <c r="Y2031" s="87"/>
      <c r="Z2031" s="87"/>
      <c r="AA2031" s="87" t="s">
        <v>9948</v>
      </c>
      <c r="AB2031" s="87" t="s">
        <v>11448</v>
      </c>
      <c r="AC2031" s="93" t="s">
        <v>11457</v>
      </c>
      <c r="AD2031" s="87" t="s">
        <v>11519</v>
      </c>
      <c r="AE2031" s="92" t="str">
        <f>HYPERLINK("https://twitter.com/lfscontadora/status/1679422917447147521")</f>
        <v>https://twitter.com/lfscontadora/status/1679422917447147521</v>
      </c>
      <c r="AF2031" s="90">
        <v>45120.395833333336</v>
      </c>
      <c r="AG2031" s="99">
        <v>45120</v>
      </c>
      <c r="AH2031" s="93" t="s">
        <v>13387</v>
      </c>
      <c r="AI2031" s="87" t="b">
        <v>0</v>
      </c>
      <c r="AJ2031" s="87"/>
      <c r="AK2031" s="87"/>
      <c r="AL2031" s="87"/>
      <c r="AM2031" s="87"/>
      <c r="AN2031" s="87"/>
      <c r="AO2031" s="87"/>
      <c r="AP2031" s="87"/>
      <c r="AQ2031" s="87" t="s">
        <v>16761</v>
      </c>
      <c r="AR2031" s="87"/>
      <c r="AS2031" s="87"/>
      <c r="AT2031" s="87"/>
      <c r="AU2031" s="87"/>
      <c r="AV2031" s="92" t="str">
        <f>HYPERLINK("https://pbs.twimg.com/media/F01z6czWYAATzsw.jpg")</f>
        <v>https://pbs.twimg.com/media/F01z6czWYAATzsw.jpg</v>
      </c>
      <c r="AW2031" s="93" t="s">
        <v>20259</v>
      </c>
      <c r="AX2031" s="93" t="s">
        <v>20259</v>
      </c>
      <c r="AY2031" s="87"/>
      <c r="AZ2031" s="93" t="s">
        <v>22668</v>
      </c>
      <c r="BA2031" s="93" t="s">
        <v>22668</v>
      </c>
      <c r="BB2031" s="93" t="s">
        <v>22668</v>
      </c>
      <c r="BC2031" s="93" t="s">
        <v>20259</v>
      </c>
      <c r="BD2031" s="93" t="s">
        <v>23187</v>
      </c>
      <c r="BE2031" s="87"/>
      <c r="BF2031" s="87"/>
      <c r="BG2031" s="87"/>
      <c r="BH2031" s="87"/>
      <c r="BI2031" s="87"/>
    </row>
    <row r="2032" spans="1:61" x14ac:dyDescent="0.25">
      <c r="A2032" s="63" t="s">
        <v>904</v>
      </c>
      <c r="B2032" s="63" t="s">
        <v>904</v>
      </c>
      <c r="C2032" s="64"/>
      <c r="D2032" s="65"/>
      <c r="E2032" s="66"/>
      <c r="F2032" s="67"/>
      <c r="G2032" s="64"/>
      <c r="H2032" s="68"/>
      <c r="I2032" s="69"/>
      <c r="J2032" s="69"/>
      <c r="K2032" s="32"/>
      <c r="L2032" s="76">
        <v>2032</v>
      </c>
      <c r="M2032" s="76"/>
      <c r="N2032" s="71"/>
      <c r="O2032" s="87" t="s">
        <v>179</v>
      </c>
      <c r="P2032" s="90">
        <v>45124.395833333336</v>
      </c>
      <c r="Q2032" s="87" t="s">
        <v>3821</v>
      </c>
      <c r="R2032" s="87">
        <v>0</v>
      </c>
      <c r="S2032" s="87">
        <v>3</v>
      </c>
      <c r="T2032" s="87">
        <v>0</v>
      </c>
      <c r="U2032" s="87">
        <v>0</v>
      </c>
      <c r="V2032" s="87">
        <v>24</v>
      </c>
      <c r="W2032" s="93" t="s">
        <v>7157</v>
      </c>
      <c r="X2032" s="87"/>
      <c r="Y2032" s="87"/>
      <c r="Z2032" s="87"/>
      <c r="AA2032" s="87" t="s">
        <v>9949</v>
      </c>
      <c r="AB2032" s="87" t="s">
        <v>11448</v>
      </c>
      <c r="AC2032" s="93" t="s">
        <v>11457</v>
      </c>
      <c r="AD2032" s="87" t="s">
        <v>11519</v>
      </c>
      <c r="AE2032" s="92" t="str">
        <f>HYPERLINK("https://twitter.com/lfscontadora/status/1680872468704264193")</f>
        <v>https://twitter.com/lfscontadora/status/1680872468704264193</v>
      </c>
      <c r="AF2032" s="90">
        <v>45124.395833333336</v>
      </c>
      <c r="AG2032" s="99">
        <v>45124</v>
      </c>
      <c r="AH2032" s="93" t="s">
        <v>13387</v>
      </c>
      <c r="AI2032" s="87" t="b">
        <v>0</v>
      </c>
      <c r="AJ2032" s="87"/>
      <c r="AK2032" s="87"/>
      <c r="AL2032" s="87"/>
      <c r="AM2032" s="87"/>
      <c r="AN2032" s="87"/>
      <c r="AO2032" s="87"/>
      <c r="AP2032" s="87"/>
      <c r="AQ2032" s="87" t="s">
        <v>16762</v>
      </c>
      <c r="AR2032" s="87"/>
      <c r="AS2032" s="87"/>
      <c r="AT2032" s="87"/>
      <c r="AU2032" s="87"/>
      <c r="AV2032" s="92" t="str">
        <f>HYPERLINK("https://pbs.twimg.com/media/F02ccYNXwAwTm5H.jpg")</f>
        <v>https://pbs.twimg.com/media/F02ccYNXwAwTm5H.jpg</v>
      </c>
      <c r="AW2032" s="93" t="s">
        <v>20260</v>
      </c>
      <c r="AX2032" s="93" t="s">
        <v>20260</v>
      </c>
      <c r="AY2032" s="87"/>
      <c r="AZ2032" s="93" t="s">
        <v>22668</v>
      </c>
      <c r="BA2032" s="93" t="s">
        <v>22668</v>
      </c>
      <c r="BB2032" s="93" t="s">
        <v>22668</v>
      </c>
      <c r="BC2032" s="93" t="s">
        <v>20260</v>
      </c>
      <c r="BD2032" s="93" t="s">
        <v>23187</v>
      </c>
      <c r="BE2032" s="87"/>
      <c r="BF2032" s="87"/>
      <c r="BG2032" s="87"/>
      <c r="BH2032" s="87"/>
      <c r="BI2032" s="87"/>
    </row>
    <row r="2033" spans="1:61" x14ac:dyDescent="0.25">
      <c r="A2033" s="63" t="s">
        <v>904</v>
      </c>
      <c r="B2033" s="63" t="s">
        <v>904</v>
      </c>
      <c r="C2033" s="64"/>
      <c r="D2033" s="65"/>
      <c r="E2033" s="66"/>
      <c r="F2033" s="67"/>
      <c r="G2033" s="64"/>
      <c r="H2033" s="68"/>
      <c r="I2033" s="69"/>
      <c r="J2033" s="69"/>
      <c r="K2033" s="32"/>
      <c r="L2033" s="76">
        <v>2033</v>
      </c>
      <c r="M2033" s="76"/>
      <c r="N2033" s="71"/>
      <c r="O2033" s="87" t="s">
        <v>179</v>
      </c>
      <c r="P2033" s="90">
        <v>45122.395833333336</v>
      </c>
      <c r="Q2033" s="87" t="s">
        <v>3822</v>
      </c>
      <c r="R2033" s="87">
        <v>0</v>
      </c>
      <c r="S2033" s="87">
        <v>3</v>
      </c>
      <c r="T2033" s="87">
        <v>0</v>
      </c>
      <c r="U2033" s="87">
        <v>0</v>
      </c>
      <c r="V2033" s="87">
        <v>33</v>
      </c>
      <c r="W2033" s="93" t="s">
        <v>7157</v>
      </c>
      <c r="X2033" s="87"/>
      <c r="Y2033" s="87"/>
      <c r="Z2033" s="87"/>
      <c r="AA2033" s="87" t="s">
        <v>9950</v>
      </c>
      <c r="AB2033" s="87" t="s">
        <v>11448</v>
      </c>
      <c r="AC2033" s="93" t="s">
        <v>11457</v>
      </c>
      <c r="AD2033" s="87" t="s">
        <v>11519</v>
      </c>
      <c r="AE2033" s="92" t="str">
        <f>HYPERLINK("https://twitter.com/lfscontadora/status/1680147694805819392")</f>
        <v>https://twitter.com/lfscontadora/status/1680147694805819392</v>
      </c>
      <c r="AF2033" s="90">
        <v>45122.395833333336</v>
      </c>
      <c r="AG2033" s="99">
        <v>45122</v>
      </c>
      <c r="AH2033" s="93" t="s">
        <v>13387</v>
      </c>
      <c r="AI2033" s="87" t="b">
        <v>0</v>
      </c>
      <c r="AJ2033" s="87"/>
      <c r="AK2033" s="87"/>
      <c r="AL2033" s="87"/>
      <c r="AM2033" s="87"/>
      <c r="AN2033" s="87"/>
      <c r="AO2033" s="87"/>
      <c r="AP2033" s="87"/>
      <c r="AQ2033" s="87" t="s">
        <v>16763</v>
      </c>
      <c r="AR2033" s="87"/>
      <c r="AS2033" s="87"/>
      <c r="AT2033" s="87"/>
      <c r="AU2033" s="87"/>
      <c r="AV2033" s="92" t="str">
        <f>HYPERLINK("https://pbs.twimg.com/media/F02b_PKXwBcTzls.jpg")</f>
        <v>https://pbs.twimg.com/media/F02b_PKXwBcTzls.jpg</v>
      </c>
      <c r="AW2033" s="93" t="s">
        <v>20261</v>
      </c>
      <c r="AX2033" s="93" t="s">
        <v>20261</v>
      </c>
      <c r="AY2033" s="87"/>
      <c r="AZ2033" s="93" t="s">
        <v>22668</v>
      </c>
      <c r="BA2033" s="93" t="s">
        <v>22668</v>
      </c>
      <c r="BB2033" s="93" t="s">
        <v>22668</v>
      </c>
      <c r="BC2033" s="93" t="s">
        <v>20261</v>
      </c>
      <c r="BD2033" s="93" t="s">
        <v>23187</v>
      </c>
      <c r="BE2033" s="87"/>
      <c r="BF2033" s="87"/>
      <c r="BG2033" s="87"/>
      <c r="BH2033" s="87"/>
      <c r="BI2033" s="87"/>
    </row>
    <row r="2034" spans="1:61" x14ac:dyDescent="0.25">
      <c r="A2034" s="63" t="s">
        <v>904</v>
      </c>
      <c r="B2034" s="63" t="s">
        <v>904</v>
      </c>
      <c r="C2034" s="64"/>
      <c r="D2034" s="65"/>
      <c r="E2034" s="66"/>
      <c r="F2034" s="67"/>
      <c r="G2034" s="64"/>
      <c r="H2034" s="68"/>
      <c r="I2034" s="69"/>
      <c r="J2034" s="69"/>
      <c r="K2034" s="32"/>
      <c r="L2034" s="76">
        <v>2034</v>
      </c>
      <c r="M2034" s="76"/>
      <c r="N2034" s="71"/>
      <c r="O2034" s="87" t="s">
        <v>179</v>
      </c>
      <c r="P2034" s="90">
        <v>45126.395833333336</v>
      </c>
      <c r="Q2034" s="87" t="s">
        <v>3823</v>
      </c>
      <c r="R2034" s="87">
        <v>0</v>
      </c>
      <c r="S2034" s="87">
        <v>3</v>
      </c>
      <c r="T2034" s="87">
        <v>0</v>
      </c>
      <c r="U2034" s="87">
        <v>0</v>
      </c>
      <c r="V2034" s="87">
        <v>34</v>
      </c>
      <c r="W2034" s="93" t="s">
        <v>7157</v>
      </c>
      <c r="X2034" s="87"/>
      <c r="Y2034" s="87"/>
      <c r="Z2034" s="87"/>
      <c r="AA2034" s="87" t="s">
        <v>9951</v>
      </c>
      <c r="AB2034" s="87" t="s">
        <v>11448</v>
      </c>
      <c r="AC2034" s="93" t="s">
        <v>11457</v>
      </c>
      <c r="AD2034" s="87" t="s">
        <v>11519</v>
      </c>
      <c r="AE2034" s="92" t="str">
        <f>HYPERLINK("https://twitter.com/lfscontadora/status/1681597245878091779")</f>
        <v>https://twitter.com/lfscontadora/status/1681597245878091779</v>
      </c>
      <c r="AF2034" s="90">
        <v>45126.395833333336</v>
      </c>
      <c r="AG2034" s="99">
        <v>45126</v>
      </c>
      <c r="AH2034" s="93" t="s">
        <v>13387</v>
      </c>
      <c r="AI2034" s="87" t="b">
        <v>0</v>
      </c>
      <c r="AJ2034" s="87"/>
      <c r="AK2034" s="87"/>
      <c r="AL2034" s="87"/>
      <c r="AM2034" s="87"/>
      <c r="AN2034" s="87"/>
      <c r="AO2034" s="87"/>
      <c r="AP2034" s="87"/>
      <c r="AQ2034" s="87" t="s">
        <v>16764</v>
      </c>
      <c r="AR2034" s="87"/>
      <c r="AS2034" s="87"/>
      <c r="AT2034" s="87"/>
      <c r="AU2034" s="87"/>
      <c r="AV2034" s="92" t="str">
        <f>HYPERLINK("https://pbs.twimg.com/media/F02d6vKWwAAaz3T.jpg")</f>
        <v>https://pbs.twimg.com/media/F02d6vKWwAAaz3T.jpg</v>
      </c>
      <c r="AW2034" s="93" t="s">
        <v>20262</v>
      </c>
      <c r="AX2034" s="93" t="s">
        <v>20262</v>
      </c>
      <c r="AY2034" s="87"/>
      <c r="AZ2034" s="93" t="s">
        <v>22668</v>
      </c>
      <c r="BA2034" s="93" t="s">
        <v>22668</v>
      </c>
      <c r="BB2034" s="93" t="s">
        <v>22668</v>
      </c>
      <c r="BC2034" s="93" t="s">
        <v>20262</v>
      </c>
      <c r="BD2034" s="93" t="s">
        <v>23187</v>
      </c>
      <c r="BE2034" s="87"/>
      <c r="BF2034" s="87"/>
      <c r="BG2034" s="87"/>
      <c r="BH2034" s="87"/>
      <c r="BI2034" s="87"/>
    </row>
    <row r="2035" spans="1:61" x14ac:dyDescent="0.25">
      <c r="A2035" s="63" t="s">
        <v>904</v>
      </c>
      <c r="B2035" s="63" t="s">
        <v>904</v>
      </c>
      <c r="C2035" s="64"/>
      <c r="D2035" s="65"/>
      <c r="E2035" s="66"/>
      <c r="F2035" s="67"/>
      <c r="G2035" s="64"/>
      <c r="H2035" s="68"/>
      <c r="I2035" s="69"/>
      <c r="J2035" s="69"/>
      <c r="K2035" s="32"/>
      <c r="L2035" s="76">
        <v>2035</v>
      </c>
      <c r="M2035" s="76"/>
      <c r="N2035" s="71"/>
      <c r="O2035" s="87" t="s">
        <v>179</v>
      </c>
      <c r="P2035" s="90">
        <v>45125.395833333336</v>
      </c>
      <c r="Q2035" s="87" t="s">
        <v>3824</v>
      </c>
      <c r="R2035" s="87">
        <v>0</v>
      </c>
      <c r="S2035" s="87">
        <v>3</v>
      </c>
      <c r="T2035" s="87">
        <v>0</v>
      </c>
      <c r="U2035" s="87">
        <v>0</v>
      </c>
      <c r="V2035" s="87">
        <v>22</v>
      </c>
      <c r="W2035" s="93" t="s">
        <v>7157</v>
      </c>
      <c r="X2035" s="87"/>
      <c r="Y2035" s="87"/>
      <c r="Z2035" s="87"/>
      <c r="AA2035" s="87" t="s">
        <v>9952</v>
      </c>
      <c r="AB2035" s="87" t="s">
        <v>11448</v>
      </c>
      <c r="AC2035" s="93" t="s">
        <v>11457</v>
      </c>
      <c r="AD2035" s="87" t="s">
        <v>11519</v>
      </c>
      <c r="AE2035" s="92" t="str">
        <f>HYPERLINK("https://twitter.com/lfscontadora/status/1681234857039659009")</f>
        <v>https://twitter.com/lfscontadora/status/1681234857039659009</v>
      </c>
      <c r="AF2035" s="90">
        <v>45125.395833333336</v>
      </c>
      <c r="AG2035" s="99">
        <v>45125</v>
      </c>
      <c r="AH2035" s="93" t="s">
        <v>13387</v>
      </c>
      <c r="AI2035" s="87" t="b">
        <v>0</v>
      </c>
      <c r="AJ2035" s="87"/>
      <c r="AK2035" s="87"/>
      <c r="AL2035" s="87"/>
      <c r="AM2035" s="87"/>
      <c r="AN2035" s="87"/>
      <c r="AO2035" s="87"/>
      <c r="AP2035" s="87"/>
      <c r="AQ2035" s="87" t="s">
        <v>16765</v>
      </c>
      <c r="AR2035" s="87"/>
      <c r="AS2035" s="87"/>
      <c r="AT2035" s="87"/>
      <c r="AU2035" s="87"/>
      <c r="AV2035" s="92" t="str">
        <f>HYPERLINK("https://pbs.twimg.com/media/F02d2ZpXwBQ3dAo.jpg")</f>
        <v>https://pbs.twimg.com/media/F02d2ZpXwBQ3dAo.jpg</v>
      </c>
      <c r="AW2035" s="93" t="s">
        <v>20263</v>
      </c>
      <c r="AX2035" s="93" t="s">
        <v>20263</v>
      </c>
      <c r="AY2035" s="87"/>
      <c r="AZ2035" s="93" t="s">
        <v>22668</v>
      </c>
      <c r="BA2035" s="93" t="s">
        <v>22668</v>
      </c>
      <c r="BB2035" s="93" t="s">
        <v>22668</v>
      </c>
      <c r="BC2035" s="93" t="s">
        <v>20263</v>
      </c>
      <c r="BD2035" s="93" t="s">
        <v>23187</v>
      </c>
      <c r="BE2035" s="87"/>
      <c r="BF2035" s="87"/>
      <c r="BG2035" s="87"/>
      <c r="BH2035" s="87"/>
      <c r="BI2035" s="87"/>
    </row>
    <row r="2036" spans="1:61" x14ac:dyDescent="0.25">
      <c r="A2036" s="63" t="s">
        <v>904</v>
      </c>
      <c r="B2036" s="63" t="s">
        <v>904</v>
      </c>
      <c r="C2036" s="64"/>
      <c r="D2036" s="65"/>
      <c r="E2036" s="66"/>
      <c r="F2036" s="67"/>
      <c r="G2036" s="64"/>
      <c r="H2036" s="68"/>
      <c r="I2036" s="69"/>
      <c r="J2036" s="69"/>
      <c r="K2036" s="32"/>
      <c r="L2036" s="76">
        <v>2036</v>
      </c>
      <c r="M2036" s="76"/>
      <c r="N2036" s="71"/>
      <c r="O2036" s="87" t="s">
        <v>179</v>
      </c>
      <c r="P2036" s="90">
        <v>45131.395833333336</v>
      </c>
      <c r="Q2036" s="87" t="s">
        <v>3825</v>
      </c>
      <c r="R2036" s="87">
        <v>0</v>
      </c>
      <c r="S2036" s="87">
        <v>2</v>
      </c>
      <c r="T2036" s="87">
        <v>0</v>
      </c>
      <c r="U2036" s="87">
        <v>0</v>
      </c>
      <c r="V2036" s="87">
        <v>22</v>
      </c>
      <c r="W2036" s="93" t="s">
        <v>7157</v>
      </c>
      <c r="X2036" s="87"/>
      <c r="Y2036" s="87"/>
      <c r="Z2036" s="87"/>
      <c r="AA2036" s="87" t="s">
        <v>9953</v>
      </c>
      <c r="AB2036" s="87" t="s">
        <v>11448</v>
      </c>
      <c r="AC2036" s="93" t="s">
        <v>11457</v>
      </c>
      <c r="AD2036" s="87" t="s">
        <v>11519</v>
      </c>
      <c r="AE2036" s="92" t="str">
        <f>HYPERLINK("https://twitter.com/lfscontadora/status/1683409184778502144")</f>
        <v>https://twitter.com/lfscontadora/status/1683409184778502144</v>
      </c>
      <c r="AF2036" s="90">
        <v>45131.395833333336</v>
      </c>
      <c r="AG2036" s="99">
        <v>45131</v>
      </c>
      <c r="AH2036" s="93" t="s">
        <v>13387</v>
      </c>
      <c r="AI2036" s="87" t="b">
        <v>0</v>
      </c>
      <c r="AJ2036" s="87"/>
      <c r="AK2036" s="87"/>
      <c r="AL2036" s="87"/>
      <c r="AM2036" s="87"/>
      <c r="AN2036" s="87"/>
      <c r="AO2036" s="87"/>
      <c r="AP2036" s="87"/>
      <c r="AQ2036" s="87" t="s">
        <v>16766</v>
      </c>
      <c r="AR2036" s="87"/>
      <c r="AS2036" s="87"/>
      <c r="AT2036" s="87"/>
      <c r="AU2036" s="87"/>
      <c r="AV2036" s="92" t="str">
        <f>HYPERLINK("https://pbs.twimg.com/media/F02eS04XwAs2Ihm.jpg")</f>
        <v>https://pbs.twimg.com/media/F02eS04XwAs2Ihm.jpg</v>
      </c>
      <c r="AW2036" s="93" t="s">
        <v>20264</v>
      </c>
      <c r="AX2036" s="93" t="s">
        <v>20264</v>
      </c>
      <c r="AY2036" s="87"/>
      <c r="AZ2036" s="93" t="s">
        <v>22668</v>
      </c>
      <c r="BA2036" s="93" t="s">
        <v>22668</v>
      </c>
      <c r="BB2036" s="93" t="s">
        <v>22668</v>
      </c>
      <c r="BC2036" s="93" t="s">
        <v>20264</v>
      </c>
      <c r="BD2036" s="93" t="s">
        <v>23187</v>
      </c>
      <c r="BE2036" s="87"/>
      <c r="BF2036" s="87"/>
      <c r="BG2036" s="87"/>
      <c r="BH2036" s="87"/>
      <c r="BI2036" s="87"/>
    </row>
    <row r="2037" spans="1:61" x14ac:dyDescent="0.25">
      <c r="A2037" s="63" t="s">
        <v>904</v>
      </c>
      <c r="B2037" s="63" t="s">
        <v>904</v>
      </c>
      <c r="C2037" s="64"/>
      <c r="D2037" s="65"/>
      <c r="E2037" s="66"/>
      <c r="F2037" s="67"/>
      <c r="G2037" s="64"/>
      <c r="H2037" s="68"/>
      <c r="I2037" s="69"/>
      <c r="J2037" s="69"/>
      <c r="K2037" s="32"/>
      <c r="L2037" s="76">
        <v>2037</v>
      </c>
      <c r="M2037" s="76"/>
      <c r="N2037" s="71"/>
      <c r="O2037" s="87" t="s">
        <v>179</v>
      </c>
      <c r="P2037" s="90">
        <v>45133.395833333336</v>
      </c>
      <c r="Q2037" s="87" t="s">
        <v>3826</v>
      </c>
      <c r="R2037" s="87">
        <v>0</v>
      </c>
      <c r="S2037" s="87">
        <v>2</v>
      </c>
      <c r="T2037" s="87">
        <v>0</v>
      </c>
      <c r="U2037" s="87">
        <v>0</v>
      </c>
      <c r="V2037" s="87">
        <v>25</v>
      </c>
      <c r="W2037" s="93" t="s">
        <v>7157</v>
      </c>
      <c r="X2037" s="87"/>
      <c r="Y2037" s="87"/>
      <c r="Z2037" s="87"/>
      <c r="AA2037" s="87" t="s">
        <v>9954</v>
      </c>
      <c r="AB2037" s="87" t="s">
        <v>11448</v>
      </c>
      <c r="AC2037" s="93" t="s">
        <v>11457</v>
      </c>
      <c r="AD2037" s="87" t="s">
        <v>11519</v>
      </c>
      <c r="AE2037" s="92" t="str">
        <f>HYPERLINK("https://twitter.com/lfscontadora/status/1684133960257884160")</f>
        <v>https://twitter.com/lfscontadora/status/1684133960257884160</v>
      </c>
      <c r="AF2037" s="90">
        <v>45133.395833333336</v>
      </c>
      <c r="AG2037" s="99">
        <v>45133</v>
      </c>
      <c r="AH2037" s="93" t="s">
        <v>13387</v>
      </c>
      <c r="AI2037" s="87" t="b">
        <v>0</v>
      </c>
      <c r="AJ2037" s="87"/>
      <c r="AK2037" s="87"/>
      <c r="AL2037" s="87"/>
      <c r="AM2037" s="87"/>
      <c r="AN2037" s="87"/>
      <c r="AO2037" s="87"/>
      <c r="AP2037" s="87"/>
      <c r="AQ2037" s="87" t="s">
        <v>16767</v>
      </c>
      <c r="AR2037" s="87"/>
      <c r="AS2037" s="87"/>
      <c r="AT2037" s="87"/>
      <c r="AU2037" s="87"/>
      <c r="AV2037" s="92" t="str">
        <f>HYPERLINK("https://pbs.twimg.com/media/F02egdKXwBM0eyH.jpg")</f>
        <v>https://pbs.twimg.com/media/F02egdKXwBM0eyH.jpg</v>
      </c>
      <c r="AW2037" s="93" t="s">
        <v>20265</v>
      </c>
      <c r="AX2037" s="93" t="s">
        <v>20265</v>
      </c>
      <c r="AY2037" s="87"/>
      <c r="AZ2037" s="93" t="s">
        <v>22668</v>
      </c>
      <c r="BA2037" s="93" t="s">
        <v>22668</v>
      </c>
      <c r="BB2037" s="93" t="s">
        <v>22668</v>
      </c>
      <c r="BC2037" s="93" t="s">
        <v>20265</v>
      </c>
      <c r="BD2037" s="93" t="s">
        <v>23187</v>
      </c>
      <c r="BE2037" s="87"/>
      <c r="BF2037" s="87"/>
      <c r="BG2037" s="87"/>
      <c r="BH2037" s="87"/>
      <c r="BI2037" s="87"/>
    </row>
    <row r="2038" spans="1:61" x14ac:dyDescent="0.25">
      <c r="A2038" s="63" t="s">
        <v>904</v>
      </c>
      <c r="B2038" s="63" t="s">
        <v>904</v>
      </c>
      <c r="C2038" s="64"/>
      <c r="D2038" s="65"/>
      <c r="E2038" s="66"/>
      <c r="F2038" s="67"/>
      <c r="G2038" s="64"/>
      <c r="H2038" s="68"/>
      <c r="I2038" s="69"/>
      <c r="J2038" s="69"/>
      <c r="K2038" s="32"/>
      <c r="L2038" s="76">
        <v>2038</v>
      </c>
      <c r="M2038" s="76"/>
      <c r="N2038" s="71"/>
      <c r="O2038" s="87" t="s">
        <v>179</v>
      </c>
      <c r="P2038" s="90">
        <v>45119.575046296297</v>
      </c>
      <c r="Q2038" s="87" t="s">
        <v>3827</v>
      </c>
      <c r="R2038" s="87">
        <v>0</v>
      </c>
      <c r="S2038" s="87">
        <v>3</v>
      </c>
      <c r="T2038" s="87">
        <v>0</v>
      </c>
      <c r="U2038" s="87">
        <v>0</v>
      </c>
      <c r="V2038" s="87">
        <v>19</v>
      </c>
      <c r="W2038" s="93" t="s">
        <v>7157</v>
      </c>
      <c r="X2038" s="87"/>
      <c r="Y2038" s="87"/>
      <c r="Z2038" s="87"/>
      <c r="AA2038" s="87" t="s">
        <v>9955</v>
      </c>
      <c r="AB2038" s="87" t="s">
        <v>11448</v>
      </c>
      <c r="AC2038" s="93" t="s">
        <v>11457</v>
      </c>
      <c r="AD2038" s="87" t="s">
        <v>11519</v>
      </c>
      <c r="AE2038" s="92" t="str">
        <f>HYPERLINK("https://twitter.com/lfscontadora/status/1679125475044605953")</f>
        <v>https://twitter.com/lfscontadora/status/1679125475044605953</v>
      </c>
      <c r="AF2038" s="90">
        <v>45119.575046296297</v>
      </c>
      <c r="AG2038" s="99">
        <v>45119</v>
      </c>
      <c r="AH2038" s="93" t="s">
        <v>13388</v>
      </c>
      <c r="AI2038" s="87" t="b">
        <v>0</v>
      </c>
      <c r="AJ2038" s="87"/>
      <c r="AK2038" s="87"/>
      <c r="AL2038" s="87"/>
      <c r="AM2038" s="87"/>
      <c r="AN2038" s="87"/>
      <c r="AO2038" s="87"/>
      <c r="AP2038" s="87"/>
      <c r="AQ2038" s="87" t="s">
        <v>16768</v>
      </c>
      <c r="AR2038" s="87"/>
      <c r="AS2038" s="87"/>
      <c r="AT2038" s="87"/>
      <c r="AU2038" s="87"/>
      <c r="AV2038" s="92" t="str">
        <f>HYPERLINK("https://pbs.twimg.com/media/F01zKGQWwAga_R4.jpg")</f>
        <v>https://pbs.twimg.com/media/F01zKGQWwAga_R4.jpg</v>
      </c>
      <c r="AW2038" s="93" t="s">
        <v>20266</v>
      </c>
      <c r="AX2038" s="93" t="s">
        <v>20266</v>
      </c>
      <c r="AY2038" s="87"/>
      <c r="AZ2038" s="93" t="s">
        <v>22668</v>
      </c>
      <c r="BA2038" s="93" t="s">
        <v>22668</v>
      </c>
      <c r="BB2038" s="93" t="s">
        <v>22668</v>
      </c>
      <c r="BC2038" s="93" t="s">
        <v>20266</v>
      </c>
      <c r="BD2038" s="93" t="s">
        <v>23187</v>
      </c>
      <c r="BE2038" s="87"/>
      <c r="BF2038" s="87"/>
      <c r="BG2038" s="87"/>
      <c r="BH2038" s="87"/>
      <c r="BI2038" s="87"/>
    </row>
    <row r="2039" spans="1:61" x14ac:dyDescent="0.25">
      <c r="A2039" s="63" t="s">
        <v>904</v>
      </c>
      <c r="B2039" s="63" t="s">
        <v>904</v>
      </c>
      <c r="C2039" s="64"/>
      <c r="D2039" s="65"/>
      <c r="E2039" s="66"/>
      <c r="F2039" s="67"/>
      <c r="G2039" s="64"/>
      <c r="H2039" s="68"/>
      <c r="I2039" s="69"/>
      <c r="J2039" s="69"/>
      <c r="K2039" s="32"/>
      <c r="L2039" s="76">
        <v>2039</v>
      </c>
      <c r="M2039" s="76"/>
      <c r="N2039" s="71"/>
      <c r="O2039" s="87" t="s">
        <v>179</v>
      </c>
      <c r="P2039" s="90">
        <v>45129.395833333336</v>
      </c>
      <c r="Q2039" s="87" t="s">
        <v>3828</v>
      </c>
      <c r="R2039" s="87">
        <v>0</v>
      </c>
      <c r="S2039" s="87">
        <v>2</v>
      </c>
      <c r="T2039" s="87">
        <v>0</v>
      </c>
      <c r="U2039" s="87">
        <v>0</v>
      </c>
      <c r="V2039" s="87">
        <v>56</v>
      </c>
      <c r="W2039" s="93" t="s">
        <v>7157</v>
      </c>
      <c r="X2039" s="87"/>
      <c r="Y2039" s="87"/>
      <c r="Z2039" s="87"/>
      <c r="AA2039" s="87" t="s">
        <v>9956</v>
      </c>
      <c r="AB2039" s="87" t="s">
        <v>11448</v>
      </c>
      <c r="AC2039" s="93" t="s">
        <v>11457</v>
      </c>
      <c r="AD2039" s="87" t="s">
        <v>11519</v>
      </c>
      <c r="AE2039" s="92" t="str">
        <f>HYPERLINK("https://twitter.com/lfscontadora/status/1682684409261223936")</f>
        <v>https://twitter.com/lfscontadora/status/1682684409261223936</v>
      </c>
      <c r="AF2039" s="90">
        <v>45129.395833333336</v>
      </c>
      <c r="AG2039" s="99">
        <v>45129</v>
      </c>
      <c r="AH2039" s="93" t="s">
        <v>13387</v>
      </c>
      <c r="AI2039" s="87" t="b">
        <v>0</v>
      </c>
      <c r="AJ2039" s="87"/>
      <c r="AK2039" s="87"/>
      <c r="AL2039" s="87"/>
      <c r="AM2039" s="87"/>
      <c r="AN2039" s="87"/>
      <c r="AO2039" s="87"/>
      <c r="AP2039" s="87"/>
      <c r="AQ2039" s="87" t="s">
        <v>16769</v>
      </c>
      <c r="AR2039" s="87"/>
      <c r="AS2039" s="87"/>
      <c r="AT2039" s="87"/>
      <c r="AU2039" s="87"/>
      <c r="AV2039" s="92" t="str">
        <f>HYPERLINK("https://pbs.twimg.com/media/F02eNLRXwAclDRB.jpg")</f>
        <v>https://pbs.twimg.com/media/F02eNLRXwAclDRB.jpg</v>
      </c>
      <c r="AW2039" s="93" t="s">
        <v>20267</v>
      </c>
      <c r="AX2039" s="93" t="s">
        <v>20267</v>
      </c>
      <c r="AY2039" s="87"/>
      <c r="AZ2039" s="93" t="s">
        <v>22668</v>
      </c>
      <c r="BA2039" s="93" t="s">
        <v>22668</v>
      </c>
      <c r="BB2039" s="93" t="s">
        <v>22668</v>
      </c>
      <c r="BC2039" s="93" t="s">
        <v>20267</v>
      </c>
      <c r="BD2039" s="93" t="s">
        <v>23187</v>
      </c>
      <c r="BE2039" s="87"/>
      <c r="BF2039" s="87"/>
      <c r="BG2039" s="87"/>
      <c r="BH2039" s="87"/>
      <c r="BI2039" s="87"/>
    </row>
    <row r="2040" spans="1:61" x14ac:dyDescent="0.25">
      <c r="A2040" s="63" t="s">
        <v>904</v>
      </c>
      <c r="B2040" s="63" t="s">
        <v>904</v>
      </c>
      <c r="C2040" s="64"/>
      <c r="D2040" s="65"/>
      <c r="E2040" s="66"/>
      <c r="F2040" s="67"/>
      <c r="G2040" s="64"/>
      <c r="H2040" s="68"/>
      <c r="I2040" s="69"/>
      <c r="J2040" s="69"/>
      <c r="K2040" s="32"/>
      <c r="L2040" s="76">
        <v>2040</v>
      </c>
      <c r="M2040" s="76"/>
      <c r="N2040" s="71"/>
      <c r="O2040" s="87" t="s">
        <v>179</v>
      </c>
      <c r="P2040" s="90">
        <v>45128.395833333336</v>
      </c>
      <c r="Q2040" s="87" t="s">
        <v>3829</v>
      </c>
      <c r="R2040" s="87">
        <v>0</v>
      </c>
      <c r="S2040" s="87">
        <v>3</v>
      </c>
      <c r="T2040" s="87">
        <v>0</v>
      </c>
      <c r="U2040" s="87">
        <v>0</v>
      </c>
      <c r="V2040" s="87">
        <v>51</v>
      </c>
      <c r="W2040" s="93" t="s">
        <v>7157</v>
      </c>
      <c r="X2040" s="87"/>
      <c r="Y2040" s="87"/>
      <c r="Z2040" s="87"/>
      <c r="AA2040" s="87" t="s">
        <v>9957</v>
      </c>
      <c r="AB2040" s="87" t="s">
        <v>11448</v>
      </c>
      <c r="AC2040" s="93" t="s">
        <v>11457</v>
      </c>
      <c r="AD2040" s="87" t="s">
        <v>11519</v>
      </c>
      <c r="AE2040" s="92" t="str">
        <f>HYPERLINK("https://twitter.com/lfscontadora/status/1682322019755659266")</f>
        <v>https://twitter.com/lfscontadora/status/1682322019755659266</v>
      </c>
      <c r="AF2040" s="90">
        <v>45128.395833333336</v>
      </c>
      <c r="AG2040" s="99">
        <v>45128</v>
      </c>
      <c r="AH2040" s="93" t="s">
        <v>13387</v>
      </c>
      <c r="AI2040" s="87" t="b">
        <v>0</v>
      </c>
      <c r="AJ2040" s="87"/>
      <c r="AK2040" s="87"/>
      <c r="AL2040" s="87"/>
      <c r="AM2040" s="87"/>
      <c r="AN2040" s="87"/>
      <c r="AO2040" s="87"/>
      <c r="AP2040" s="87"/>
      <c r="AQ2040" s="87" t="s">
        <v>16770</v>
      </c>
      <c r="AR2040" s="87"/>
      <c r="AS2040" s="87"/>
      <c r="AT2040" s="87"/>
      <c r="AU2040" s="87"/>
      <c r="AV2040" s="92" t="str">
        <f>HYPERLINK("https://pbs.twimg.com/media/F02eFjJXwBAi34Y.jpg")</f>
        <v>https://pbs.twimg.com/media/F02eFjJXwBAi34Y.jpg</v>
      </c>
      <c r="AW2040" s="93" t="s">
        <v>20268</v>
      </c>
      <c r="AX2040" s="93" t="s">
        <v>20268</v>
      </c>
      <c r="AY2040" s="87"/>
      <c r="AZ2040" s="93" t="s">
        <v>22668</v>
      </c>
      <c r="BA2040" s="93" t="s">
        <v>22668</v>
      </c>
      <c r="BB2040" s="93" t="s">
        <v>22668</v>
      </c>
      <c r="BC2040" s="93" t="s">
        <v>20268</v>
      </c>
      <c r="BD2040" s="93" t="s">
        <v>23187</v>
      </c>
      <c r="BE2040" s="87"/>
      <c r="BF2040" s="87"/>
      <c r="BG2040" s="87"/>
      <c r="BH2040" s="87"/>
      <c r="BI2040" s="87"/>
    </row>
    <row r="2041" spans="1:61" x14ac:dyDescent="0.25">
      <c r="A2041" s="63" t="s">
        <v>904</v>
      </c>
      <c r="B2041" s="63" t="s">
        <v>904</v>
      </c>
      <c r="C2041" s="64"/>
      <c r="D2041" s="65"/>
      <c r="E2041" s="66"/>
      <c r="F2041" s="67"/>
      <c r="G2041" s="64"/>
      <c r="H2041" s="68"/>
      <c r="I2041" s="69"/>
      <c r="J2041" s="69"/>
      <c r="K2041" s="32"/>
      <c r="L2041" s="76">
        <v>2041</v>
      </c>
      <c r="M2041" s="76"/>
      <c r="N2041" s="71"/>
      <c r="O2041" s="87" t="s">
        <v>179</v>
      </c>
      <c r="P2041" s="90">
        <v>45127.395833333336</v>
      </c>
      <c r="Q2041" s="87" t="s">
        <v>3830</v>
      </c>
      <c r="R2041" s="87">
        <v>0</v>
      </c>
      <c r="S2041" s="87">
        <v>3</v>
      </c>
      <c r="T2041" s="87">
        <v>0</v>
      </c>
      <c r="U2041" s="87">
        <v>0</v>
      </c>
      <c r="V2041" s="87">
        <v>39</v>
      </c>
      <c r="W2041" s="93" t="s">
        <v>7157</v>
      </c>
      <c r="X2041" s="87"/>
      <c r="Y2041" s="87"/>
      <c r="Z2041" s="87"/>
      <c r="AA2041" s="87" t="s">
        <v>9958</v>
      </c>
      <c r="AB2041" s="87" t="s">
        <v>11448</v>
      </c>
      <c r="AC2041" s="93" t="s">
        <v>11457</v>
      </c>
      <c r="AD2041" s="87" t="s">
        <v>11519</v>
      </c>
      <c r="AE2041" s="92" t="str">
        <f>HYPERLINK("https://twitter.com/lfscontadora/status/1681959632795848705")</f>
        <v>https://twitter.com/lfscontadora/status/1681959632795848705</v>
      </c>
      <c r="AF2041" s="90">
        <v>45127.395833333336</v>
      </c>
      <c r="AG2041" s="99">
        <v>45127</v>
      </c>
      <c r="AH2041" s="93" t="s">
        <v>13387</v>
      </c>
      <c r="AI2041" s="87" t="b">
        <v>0</v>
      </c>
      <c r="AJ2041" s="87"/>
      <c r="AK2041" s="87"/>
      <c r="AL2041" s="87"/>
      <c r="AM2041" s="87"/>
      <c r="AN2041" s="87"/>
      <c r="AO2041" s="87"/>
      <c r="AP2041" s="87"/>
      <c r="AQ2041" s="87" t="s">
        <v>16771</v>
      </c>
      <c r="AR2041" s="87"/>
      <c r="AS2041" s="87"/>
      <c r="AT2041" s="87"/>
      <c r="AU2041" s="87"/>
      <c r="AV2041" s="92" t="str">
        <f>HYPERLINK("https://pbs.twimg.com/media/F02d_lHXoAAVv7z.jpg")</f>
        <v>https://pbs.twimg.com/media/F02d_lHXoAAVv7z.jpg</v>
      </c>
      <c r="AW2041" s="93" t="s">
        <v>20269</v>
      </c>
      <c r="AX2041" s="93" t="s">
        <v>20269</v>
      </c>
      <c r="AY2041" s="87"/>
      <c r="AZ2041" s="93" t="s">
        <v>22668</v>
      </c>
      <c r="BA2041" s="93" t="s">
        <v>22668</v>
      </c>
      <c r="BB2041" s="93" t="s">
        <v>22668</v>
      </c>
      <c r="BC2041" s="93" t="s">
        <v>20269</v>
      </c>
      <c r="BD2041" s="93" t="s">
        <v>23187</v>
      </c>
      <c r="BE2041" s="87"/>
      <c r="BF2041" s="87"/>
      <c r="BG2041" s="87"/>
      <c r="BH2041" s="87"/>
      <c r="BI2041" s="87"/>
    </row>
    <row r="2042" spans="1:61" x14ac:dyDescent="0.25">
      <c r="A2042" s="63" t="s">
        <v>904</v>
      </c>
      <c r="B2042" s="63" t="s">
        <v>904</v>
      </c>
      <c r="C2042" s="64"/>
      <c r="D2042" s="65"/>
      <c r="E2042" s="66"/>
      <c r="F2042" s="67"/>
      <c r="G2042" s="64"/>
      <c r="H2042" s="68"/>
      <c r="I2042" s="69"/>
      <c r="J2042" s="69"/>
      <c r="K2042" s="32"/>
      <c r="L2042" s="76">
        <v>2042</v>
      </c>
      <c r="M2042" s="76"/>
      <c r="N2042" s="71"/>
      <c r="O2042" s="87" t="s">
        <v>179</v>
      </c>
      <c r="P2042" s="90">
        <v>45132.395833333336</v>
      </c>
      <c r="Q2042" s="87" t="s">
        <v>3831</v>
      </c>
      <c r="R2042" s="87">
        <v>0</v>
      </c>
      <c r="S2042" s="87">
        <v>2</v>
      </c>
      <c r="T2042" s="87">
        <v>0</v>
      </c>
      <c r="U2042" s="87">
        <v>0</v>
      </c>
      <c r="V2042" s="87">
        <v>27</v>
      </c>
      <c r="W2042" s="93" t="s">
        <v>7157</v>
      </c>
      <c r="X2042" s="87"/>
      <c r="Y2042" s="87"/>
      <c r="Z2042" s="87"/>
      <c r="AA2042" s="87" t="s">
        <v>9959</v>
      </c>
      <c r="AB2042" s="87" t="s">
        <v>11448</v>
      </c>
      <c r="AC2042" s="93" t="s">
        <v>11457</v>
      </c>
      <c r="AD2042" s="87" t="s">
        <v>11519</v>
      </c>
      <c r="AE2042" s="92" t="str">
        <f>HYPERLINK("https://twitter.com/lfscontadora/status/1683771571763294208")</f>
        <v>https://twitter.com/lfscontadora/status/1683771571763294208</v>
      </c>
      <c r="AF2042" s="90">
        <v>45132.395833333336</v>
      </c>
      <c r="AG2042" s="99">
        <v>45132</v>
      </c>
      <c r="AH2042" s="93" t="s">
        <v>13387</v>
      </c>
      <c r="AI2042" s="87" t="b">
        <v>0</v>
      </c>
      <c r="AJ2042" s="87"/>
      <c r="AK2042" s="87"/>
      <c r="AL2042" s="87"/>
      <c r="AM2042" s="87"/>
      <c r="AN2042" s="87"/>
      <c r="AO2042" s="87"/>
      <c r="AP2042" s="87"/>
      <c r="AQ2042" s="87" t="s">
        <v>16772</v>
      </c>
      <c r="AR2042" s="87"/>
      <c r="AS2042" s="87"/>
      <c r="AT2042" s="87"/>
      <c r="AU2042" s="87"/>
      <c r="AV2042" s="92" t="str">
        <f>HYPERLINK("https://pbs.twimg.com/media/F02eXkzXwBQNIok.jpg")</f>
        <v>https://pbs.twimg.com/media/F02eXkzXwBQNIok.jpg</v>
      </c>
      <c r="AW2042" s="93" t="s">
        <v>20270</v>
      </c>
      <c r="AX2042" s="93" t="s">
        <v>20270</v>
      </c>
      <c r="AY2042" s="87"/>
      <c r="AZ2042" s="93" t="s">
        <v>22668</v>
      </c>
      <c r="BA2042" s="93" t="s">
        <v>22668</v>
      </c>
      <c r="BB2042" s="93" t="s">
        <v>22668</v>
      </c>
      <c r="BC2042" s="93" t="s">
        <v>20270</v>
      </c>
      <c r="BD2042" s="93" t="s">
        <v>23187</v>
      </c>
      <c r="BE2042" s="87"/>
      <c r="BF2042" s="87"/>
      <c r="BG2042" s="87"/>
      <c r="BH2042" s="87"/>
      <c r="BI2042" s="87"/>
    </row>
    <row r="2043" spans="1:61" x14ac:dyDescent="0.25">
      <c r="A2043" s="63" t="s">
        <v>905</v>
      </c>
      <c r="B2043" s="63" t="s">
        <v>905</v>
      </c>
      <c r="C2043" s="64"/>
      <c r="D2043" s="65"/>
      <c r="E2043" s="66"/>
      <c r="F2043" s="67"/>
      <c r="G2043" s="64"/>
      <c r="H2043" s="68"/>
      <c r="I2043" s="69"/>
      <c r="J2043" s="69"/>
      <c r="K2043" s="32"/>
      <c r="L2043" s="76">
        <v>2043</v>
      </c>
      <c r="M2043" s="76"/>
      <c r="N2043" s="71"/>
      <c r="O2043" s="87" t="s">
        <v>179</v>
      </c>
      <c r="P2043" s="90">
        <v>45142.765902777777</v>
      </c>
      <c r="Q2043" s="87" t="s">
        <v>3832</v>
      </c>
      <c r="R2043" s="87">
        <v>0</v>
      </c>
      <c r="S2043" s="87">
        <v>1</v>
      </c>
      <c r="T2043" s="87">
        <v>0</v>
      </c>
      <c r="U2043" s="87">
        <v>0</v>
      </c>
      <c r="V2043" s="87">
        <v>44</v>
      </c>
      <c r="W2043" s="93" t="s">
        <v>7158</v>
      </c>
      <c r="X2043" s="87"/>
      <c r="Y2043" s="87"/>
      <c r="Z2043" s="87"/>
      <c r="AA2043" s="87" t="s">
        <v>9960</v>
      </c>
      <c r="AB2043" s="87" t="s">
        <v>11447</v>
      </c>
      <c r="AC2043" s="93" t="s">
        <v>11459</v>
      </c>
      <c r="AD2043" s="87" t="s">
        <v>11519</v>
      </c>
      <c r="AE2043" s="92" t="str">
        <f>HYPERLINK("https://twitter.com/beto9andrades/status/1687529561783730183")</f>
        <v>https://twitter.com/beto9andrades/status/1687529561783730183</v>
      </c>
      <c r="AF2043" s="90">
        <v>45142.765902777777</v>
      </c>
      <c r="AG2043" s="99">
        <v>45142</v>
      </c>
      <c r="AH2043" s="93" t="s">
        <v>13389</v>
      </c>
      <c r="AI2043" s="87" t="b">
        <v>0</v>
      </c>
      <c r="AJ2043" s="87"/>
      <c r="AK2043" s="87"/>
      <c r="AL2043" s="87"/>
      <c r="AM2043" s="87"/>
      <c r="AN2043" s="87"/>
      <c r="AO2043" s="87"/>
      <c r="AP2043" s="87"/>
      <c r="AQ2043" s="87" t="s">
        <v>16773</v>
      </c>
      <c r="AR2043" s="87">
        <v>42931</v>
      </c>
      <c r="AS2043" s="87"/>
      <c r="AT2043" s="87"/>
      <c r="AU2043" s="87"/>
      <c r="AV2043" s="92" t="str">
        <f>HYPERLINK("https://pbs.twimg.com/ext_tw_video_thumb/1687529482561716248/pu/img/2gQnP6XbfktI-g9M.jpg")</f>
        <v>https://pbs.twimg.com/ext_tw_video_thumb/1687529482561716248/pu/img/2gQnP6XbfktI-g9M.jpg</v>
      </c>
      <c r="AW2043" s="93" t="s">
        <v>20271</v>
      </c>
      <c r="AX2043" s="93" t="s">
        <v>20271</v>
      </c>
      <c r="AY2043" s="87"/>
      <c r="AZ2043" s="93" t="s">
        <v>22668</v>
      </c>
      <c r="BA2043" s="93" t="s">
        <v>22668</v>
      </c>
      <c r="BB2043" s="93" t="s">
        <v>22668</v>
      </c>
      <c r="BC2043" s="93" t="s">
        <v>20271</v>
      </c>
      <c r="BD2043" s="87">
        <v>168320813</v>
      </c>
      <c r="BE2043" s="87"/>
      <c r="BF2043" s="87"/>
      <c r="BG2043" s="87"/>
      <c r="BH2043" s="87"/>
      <c r="BI2043" s="87"/>
    </row>
    <row r="2044" spans="1:61" x14ac:dyDescent="0.25">
      <c r="A2044" s="63" t="s">
        <v>906</v>
      </c>
      <c r="B2044" s="63" t="s">
        <v>906</v>
      </c>
      <c r="C2044" s="64"/>
      <c r="D2044" s="65"/>
      <c r="E2044" s="66"/>
      <c r="F2044" s="67"/>
      <c r="G2044" s="64"/>
      <c r="H2044" s="68"/>
      <c r="I2044" s="69"/>
      <c r="J2044" s="69"/>
      <c r="K2044" s="32"/>
      <c r="L2044" s="76">
        <v>2044</v>
      </c>
      <c r="M2044" s="76"/>
      <c r="N2044" s="71"/>
      <c r="O2044" s="87" t="s">
        <v>179</v>
      </c>
      <c r="P2044" s="90">
        <v>45120.528020833335</v>
      </c>
      <c r="Q2044" s="87" t="s">
        <v>3833</v>
      </c>
      <c r="R2044" s="87">
        <v>0</v>
      </c>
      <c r="S2044" s="87">
        <v>0</v>
      </c>
      <c r="T2044" s="87">
        <v>0</v>
      </c>
      <c r="U2044" s="87">
        <v>0</v>
      </c>
      <c r="V2044" s="87">
        <v>12</v>
      </c>
      <c r="W2044" s="93" t="s">
        <v>7159</v>
      </c>
      <c r="X2044" s="87"/>
      <c r="Y2044" s="87"/>
      <c r="Z2044" s="87"/>
      <c r="AA2044" s="87" t="s">
        <v>9961</v>
      </c>
      <c r="AB2044" s="87" t="s">
        <v>11448</v>
      </c>
      <c r="AC2044" s="93" t="s">
        <v>11460</v>
      </c>
      <c r="AD2044" s="87" t="s">
        <v>11519</v>
      </c>
      <c r="AE2044" s="92" t="str">
        <f>HYPERLINK("https://twitter.com/viccarijonny/status/1679470820698071042")</f>
        <v>https://twitter.com/viccarijonny/status/1679470820698071042</v>
      </c>
      <c r="AF2044" s="90">
        <v>45120.528020833335</v>
      </c>
      <c r="AG2044" s="99">
        <v>45120</v>
      </c>
      <c r="AH2044" s="93" t="s">
        <v>13265</v>
      </c>
      <c r="AI2044" s="87" t="b">
        <v>0</v>
      </c>
      <c r="AJ2044" s="87"/>
      <c r="AK2044" s="87"/>
      <c r="AL2044" s="87"/>
      <c r="AM2044" s="87"/>
      <c r="AN2044" s="87"/>
      <c r="AO2044" s="87"/>
      <c r="AP2044" s="87"/>
      <c r="AQ2044" s="87" t="s">
        <v>16774</v>
      </c>
      <c r="AR2044" s="87"/>
      <c r="AS2044" s="87"/>
      <c r="AT2044" s="87"/>
      <c r="AU2044" s="87"/>
      <c r="AV2044" s="92" t="str">
        <f>HYPERLINK("https://pbs.twimg.com/media/F06tz81XoAIVaer.jpg")</f>
        <v>https://pbs.twimg.com/media/F06tz81XoAIVaer.jpg</v>
      </c>
      <c r="AW2044" s="93" t="s">
        <v>20272</v>
      </c>
      <c r="AX2044" s="93" t="s">
        <v>20272</v>
      </c>
      <c r="AY2044" s="87"/>
      <c r="AZ2044" s="93" t="s">
        <v>22668</v>
      </c>
      <c r="BA2044" s="93" t="s">
        <v>22668</v>
      </c>
      <c r="BB2044" s="93" t="s">
        <v>22668</v>
      </c>
      <c r="BC2044" s="93" t="s">
        <v>20272</v>
      </c>
      <c r="BD2044" s="93" t="s">
        <v>23188</v>
      </c>
      <c r="BE2044" s="87"/>
      <c r="BF2044" s="87"/>
      <c r="BG2044" s="87"/>
      <c r="BH2044" s="87"/>
      <c r="BI2044" s="87"/>
    </row>
    <row r="2045" spans="1:61" x14ac:dyDescent="0.25">
      <c r="A2045" s="63" t="s">
        <v>906</v>
      </c>
      <c r="B2045" s="63" t="s">
        <v>906</v>
      </c>
      <c r="C2045" s="64"/>
      <c r="D2045" s="65"/>
      <c r="E2045" s="66"/>
      <c r="F2045" s="67"/>
      <c r="G2045" s="64"/>
      <c r="H2045" s="68"/>
      <c r="I2045" s="69"/>
      <c r="J2045" s="69"/>
      <c r="K2045" s="32"/>
      <c r="L2045" s="76">
        <v>2045</v>
      </c>
      <c r="M2045" s="76"/>
      <c r="N2045" s="71"/>
      <c r="O2045" s="87" t="s">
        <v>179</v>
      </c>
      <c r="P2045" s="90">
        <v>45119.52443287037</v>
      </c>
      <c r="Q2045" s="87" t="s">
        <v>3834</v>
      </c>
      <c r="R2045" s="87">
        <v>0</v>
      </c>
      <c r="S2045" s="87">
        <v>0</v>
      </c>
      <c r="T2045" s="87">
        <v>0</v>
      </c>
      <c r="U2045" s="87">
        <v>0</v>
      </c>
      <c r="V2045" s="87">
        <v>13</v>
      </c>
      <c r="W2045" s="93" t="s">
        <v>7160</v>
      </c>
      <c r="X2045" s="87"/>
      <c r="Y2045" s="87"/>
      <c r="Z2045" s="87"/>
      <c r="AA2045" s="87" t="s">
        <v>9962</v>
      </c>
      <c r="AB2045" s="87" t="s">
        <v>11448</v>
      </c>
      <c r="AC2045" s="93" t="s">
        <v>11460</v>
      </c>
      <c r="AD2045" s="87" t="s">
        <v>11519</v>
      </c>
      <c r="AE2045" s="92" t="str">
        <f>HYPERLINK("https://twitter.com/viccarijonny/status/1679107133684457472")</f>
        <v>https://twitter.com/viccarijonny/status/1679107133684457472</v>
      </c>
      <c r="AF2045" s="90">
        <v>45119.52443287037</v>
      </c>
      <c r="AG2045" s="99">
        <v>45119</v>
      </c>
      <c r="AH2045" s="93" t="s">
        <v>13390</v>
      </c>
      <c r="AI2045" s="87" t="b">
        <v>0</v>
      </c>
      <c r="AJ2045" s="87"/>
      <c r="AK2045" s="87"/>
      <c r="AL2045" s="87"/>
      <c r="AM2045" s="87"/>
      <c r="AN2045" s="87"/>
      <c r="AO2045" s="87"/>
      <c r="AP2045" s="87"/>
      <c r="AQ2045" s="87" t="s">
        <v>16775</v>
      </c>
      <c r="AR2045" s="87"/>
      <c r="AS2045" s="87"/>
      <c r="AT2045" s="87"/>
      <c r="AU2045" s="87"/>
      <c r="AV2045" s="92" t="str">
        <f>HYPERLINK("https://pbs.twimg.com/media/F01jCiYXwAMZSJ5.jpg")</f>
        <v>https://pbs.twimg.com/media/F01jCiYXwAMZSJ5.jpg</v>
      </c>
      <c r="AW2045" s="93" t="s">
        <v>20273</v>
      </c>
      <c r="AX2045" s="93" t="s">
        <v>20273</v>
      </c>
      <c r="AY2045" s="87"/>
      <c r="AZ2045" s="93" t="s">
        <v>22668</v>
      </c>
      <c r="BA2045" s="93" t="s">
        <v>22668</v>
      </c>
      <c r="BB2045" s="93" t="s">
        <v>22668</v>
      </c>
      <c r="BC2045" s="93" t="s">
        <v>20273</v>
      </c>
      <c r="BD2045" s="93" t="s">
        <v>23188</v>
      </c>
      <c r="BE2045" s="87"/>
      <c r="BF2045" s="87"/>
      <c r="BG2045" s="87"/>
      <c r="BH2045" s="87"/>
      <c r="BI2045" s="87"/>
    </row>
    <row r="2046" spans="1:61" x14ac:dyDescent="0.25">
      <c r="A2046" s="63" t="s">
        <v>906</v>
      </c>
      <c r="B2046" s="63" t="s">
        <v>906</v>
      </c>
      <c r="C2046" s="64"/>
      <c r="D2046" s="65"/>
      <c r="E2046" s="66"/>
      <c r="F2046" s="67"/>
      <c r="G2046" s="64"/>
      <c r="H2046" s="68"/>
      <c r="I2046" s="69"/>
      <c r="J2046" s="69"/>
      <c r="K2046" s="32"/>
      <c r="L2046" s="76">
        <v>2046</v>
      </c>
      <c r="M2046" s="76"/>
      <c r="N2046" s="71"/>
      <c r="O2046" s="87" t="s">
        <v>179</v>
      </c>
      <c r="P2046" s="90">
        <v>45124.528009259258</v>
      </c>
      <c r="Q2046" s="87" t="s">
        <v>3835</v>
      </c>
      <c r="R2046" s="87">
        <v>0</v>
      </c>
      <c r="S2046" s="87">
        <v>1</v>
      </c>
      <c r="T2046" s="87">
        <v>0</v>
      </c>
      <c r="U2046" s="87">
        <v>0</v>
      </c>
      <c r="V2046" s="87">
        <v>18</v>
      </c>
      <c r="W2046" s="93" t="s">
        <v>7161</v>
      </c>
      <c r="X2046" s="87"/>
      <c r="Y2046" s="87"/>
      <c r="Z2046" s="87"/>
      <c r="AA2046" s="87" t="s">
        <v>9963</v>
      </c>
      <c r="AB2046" s="87" t="s">
        <v>11448</v>
      </c>
      <c r="AC2046" s="93" t="s">
        <v>11460</v>
      </c>
      <c r="AD2046" s="87" t="s">
        <v>11519</v>
      </c>
      <c r="AE2046" s="92" t="str">
        <f>HYPERLINK("https://twitter.com/viccarijonny/status/1680920367903256578")</f>
        <v>https://twitter.com/viccarijonny/status/1680920367903256578</v>
      </c>
      <c r="AF2046" s="90">
        <v>45124.528009259258</v>
      </c>
      <c r="AG2046" s="99">
        <v>45124</v>
      </c>
      <c r="AH2046" s="93" t="s">
        <v>13391</v>
      </c>
      <c r="AI2046" s="87" t="b">
        <v>0</v>
      </c>
      <c r="AJ2046" s="87"/>
      <c r="AK2046" s="87"/>
      <c r="AL2046" s="87"/>
      <c r="AM2046" s="87"/>
      <c r="AN2046" s="87"/>
      <c r="AO2046" s="87"/>
      <c r="AP2046" s="87"/>
      <c r="AQ2046" s="87" t="s">
        <v>16776</v>
      </c>
      <c r="AR2046" s="87"/>
      <c r="AS2046" s="87"/>
      <c r="AT2046" s="87"/>
      <c r="AU2046" s="87"/>
      <c r="AV2046" s="92" t="str">
        <f>HYPERLINK("https://pbs.twimg.com/media/F1PUKspXoAAR2QB.jpg")</f>
        <v>https://pbs.twimg.com/media/F1PUKspXoAAR2QB.jpg</v>
      </c>
      <c r="AW2046" s="93" t="s">
        <v>20274</v>
      </c>
      <c r="AX2046" s="93" t="s">
        <v>20274</v>
      </c>
      <c r="AY2046" s="87"/>
      <c r="AZ2046" s="93" t="s">
        <v>22668</v>
      </c>
      <c r="BA2046" s="93" t="s">
        <v>22668</v>
      </c>
      <c r="BB2046" s="93" t="s">
        <v>22668</v>
      </c>
      <c r="BC2046" s="93" t="s">
        <v>20274</v>
      </c>
      <c r="BD2046" s="93" t="s">
        <v>23188</v>
      </c>
      <c r="BE2046" s="87"/>
      <c r="BF2046" s="87"/>
      <c r="BG2046" s="87"/>
      <c r="BH2046" s="87"/>
      <c r="BI2046" s="87"/>
    </row>
    <row r="2047" spans="1:61" x14ac:dyDescent="0.25">
      <c r="A2047" s="63" t="s">
        <v>907</v>
      </c>
      <c r="B2047" s="63" t="s">
        <v>1202</v>
      </c>
      <c r="C2047" s="64"/>
      <c r="D2047" s="65"/>
      <c r="E2047" s="66"/>
      <c r="F2047" s="67"/>
      <c r="G2047" s="64"/>
      <c r="H2047" s="68"/>
      <c r="I2047" s="69"/>
      <c r="J2047" s="69"/>
      <c r="K2047" s="32"/>
      <c r="L2047" s="76">
        <v>2047</v>
      </c>
      <c r="M2047" s="76"/>
      <c r="N2047" s="71"/>
      <c r="O2047" s="87" t="s">
        <v>1839</v>
      </c>
      <c r="P2047" s="90">
        <v>45128.726134259261</v>
      </c>
      <c r="Q2047" s="87" t="s">
        <v>3836</v>
      </c>
      <c r="R2047" s="87">
        <v>0</v>
      </c>
      <c r="S2047" s="87">
        <v>0</v>
      </c>
      <c r="T2047" s="87">
        <v>0</v>
      </c>
      <c r="U2047" s="87">
        <v>0</v>
      </c>
      <c r="V2047" s="87">
        <v>15</v>
      </c>
      <c r="W2047" s="93" t="s">
        <v>7162</v>
      </c>
      <c r="X2047" s="92" t="str">
        <f>HYPERLINK("https://youtu.be/0B4Dhz8-rWU")</f>
        <v>https://youtu.be/0B4Dhz8-rWU</v>
      </c>
      <c r="Y2047" s="87" t="s">
        <v>8372</v>
      </c>
      <c r="Z2047" s="87" t="s">
        <v>1202</v>
      </c>
      <c r="AA2047" s="87" t="s">
        <v>9964</v>
      </c>
      <c r="AB2047" s="87" t="s">
        <v>11448</v>
      </c>
      <c r="AC2047" s="93" t="s">
        <v>11457</v>
      </c>
      <c r="AD2047" s="87" t="s">
        <v>11519</v>
      </c>
      <c r="AE2047" s="92" t="str">
        <f>HYPERLINK("https://twitter.com/smartdefenceidd/status/1682441716035383323")</f>
        <v>https://twitter.com/smartdefenceidd/status/1682441716035383323</v>
      </c>
      <c r="AF2047" s="90">
        <v>45128.726134259261</v>
      </c>
      <c r="AG2047" s="99">
        <v>45128</v>
      </c>
      <c r="AH2047" s="93" t="s">
        <v>13392</v>
      </c>
      <c r="AI2047" s="87" t="b">
        <v>0</v>
      </c>
      <c r="AJ2047" s="87"/>
      <c r="AK2047" s="87"/>
      <c r="AL2047" s="87"/>
      <c r="AM2047" s="87"/>
      <c r="AN2047" s="87"/>
      <c r="AO2047" s="87"/>
      <c r="AP2047" s="87"/>
      <c r="AQ2047" s="87" t="s">
        <v>16777</v>
      </c>
      <c r="AR2047" s="87"/>
      <c r="AS2047" s="87"/>
      <c r="AT2047" s="87"/>
      <c r="AU2047" s="87"/>
      <c r="AV2047" s="92" t="str">
        <f>HYPERLINK("https://pbs.twimg.com/media/F1k6fL4WIBM2ZZF.jpg")</f>
        <v>https://pbs.twimg.com/media/F1k6fL4WIBM2ZZF.jpg</v>
      </c>
      <c r="AW2047" s="93" t="s">
        <v>20275</v>
      </c>
      <c r="AX2047" s="93" t="s">
        <v>20275</v>
      </c>
      <c r="AY2047" s="87"/>
      <c r="AZ2047" s="93" t="s">
        <v>22668</v>
      </c>
      <c r="BA2047" s="93" t="s">
        <v>22668</v>
      </c>
      <c r="BB2047" s="93" t="s">
        <v>22668</v>
      </c>
      <c r="BC2047" s="93" t="s">
        <v>20275</v>
      </c>
      <c r="BD2047" s="93" t="s">
        <v>23189</v>
      </c>
      <c r="BE2047" s="87"/>
      <c r="BF2047" s="87"/>
      <c r="BG2047" s="87"/>
      <c r="BH2047" s="87"/>
      <c r="BI2047" s="87"/>
    </row>
    <row r="2048" spans="1:61" x14ac:dyDescent="0.25">
      <c r="A2048" s="63" t="s">
        <v>908</v>
      </c>
      <c r="B2048" s="63" t="s">
        <v>908</v>
      </c>
      <c r="C2048" s="64"/>
      <c r="D2048" s="65"/>
      <c r="E2048" s="66"/>
      <c r="F2048" s="67"/>
      <c r="G2048" s="64"/>
      <c r="H2048" s="68"/>
      <c r="I2048" s="69"/>
      <c r="J2048" s="69"/>
      <c r="K2048" s="32"/>
      <c r="L2048" s="76">
        <v>2048</v>
      </c>
      <c r="M2048" s="76"/>
      <c r="N2048" s="71"/>
      <c r="O2048" s="87" t="s">
        <v>179</v>
      </c>
      <c r="P2048" s="90">
        <v>45181.367361111108</v>
      </c>
      <c r="Q2048" s="87" t="s">
        <v>3837</v>
      </c>
      <c r="R2048" s="87">
        <v>0</v>
      </c>
      <c r="S2048" s="87">
        <v>0</v>
      </c>
      <c r="T2048" s="87">
        <v>0</v>
      </c>
      <c r="U2048" s="87">
        <v>0</v>
      </c>
      <c r="V2048" s="87">
        <v>51</v>
      </c>
      <c r="W2048" s="93" t="s">
        <v>7163</v>
      </c>
      <c r="X2048" s="87"/>
      <c r="Y2048" s="87"/>
      <c r="Z2048" s="87"/>
      <c r="AA2048" s="87" t="s">
        <v>9965</v>
      </c>
      <c r="AB2048" s="87" t="s">
        <v>11447</v>
      </c>
      <c r="AC2048" s="93" t="s">
        <v>11459</v>
      </c>
      <c r="AD2048" s="87" t="s">
        <v>11520</v>
      </c>
      <c r="AE2048" s="92" t="str">
        <f>HYPERLINK("https://twitter.com/caiiohenriquetv/status/1701518258480759083")</f>
        <v>https://twitter.com/caiiohenriquetv/status/1701518258480759083</v>
      </c>
      <c r="AF2048" s="90">
        <v>45181.367361111108</v>
      </c>
      <c r="AG2048" s="99">
        <v>45181</v>
      </c>
      <c r="AH2048" s="93" t="s">
        <v>13393</v>
      </c>
      <c r="AI2048" s="87" t="b">
        <v>0</v>
      </c>
      <c r="AJ2048" s="87" t="s">
        <v>15213</v>
      </c>
      <c r="AK2048" s="87" t="s">
        <v>15234</v>
      </c>
      <c r="AL2048" s="87" t="s">
        <v>15237</v>
      </c>
      <c r="AM2048" s="87" t="s">
        <v>15284</v>
      </c>
      <c r="AN2048" s="87" t="s">
        <v>15351</v>
      </c>
      <c r="AO2048" s="87" t="s">
        <v>15416</v>
      </c>
      <c r="AP2048" s="87" t="s">
        <v>15438</v>
      </c>
      <c r="AQ2048" s="87" t="s">
        <v>16778</v>
      </c>
      <c r="AR2048" s="87">
        <v>11818</v>
      </c>
      <c r="AS2048" s="87"/>
      <c r="AT2048" s="87"/>
      <c r="AU2048" s="87"/>
      <c r="AV2048" s="92" t="str">
        <f>HYPERLINK("https://pbs.twimg.com/ext_tw_video_thumb/1701518206249078784/pu/img/TSkSfqLgaeyUJnqE.jpg")</f>
        <v>https://pbs.twimg.com/ext_tw_video_thumb/1701518206249078784/pu/img/TSkSfqLgaeyUJnqE.jpg</v>
      </c>
      <c r="AW2048" s="93" t="s">
        <v>20276</v>
      </c>
      <c r="AX2048" s="93" t="s">
        <v>20276</v>
      </c>
      <c r="AY2048" s="87"/>
      <c r="AZ2048" s="93" t="s">
        <v>22668</v>
      </c>
      <c r="BA2048" s="93" t="s">
        <v>22668</v>
      </c>
      <c r="BB2048" s="93" t="s">
        <v>22668</v>
      </c>
      <c r="BC2048" s="93" t="s">
        <v>20276</v>
      </c>
      <c r="BD2048" s="93" t="s">
        <v>23190</v>
      </c>
      <c r="BE2048" s="87"/>
      <c r="BF2048" s="87"/>
      <c r="BG2048" s="87"/>
      <c r="BH2048" s="87"/>
      <c r="BI2048" s="87"/>
    </row>
    <row r="2049" spans="1:61" x14ac:dyDescent="0.25">
      <c r="A2049" s="63" t="s">
        <v>909</v>
      </c>
      <c r="B2049" s="63" t="s">
        <v>909</v>
      </c>
      <c r="C2049" s="64"/>
      <c r="D2049" s="65"/>
      <c r="E2049" s="66"/>
      <c r="F2049" s="67"/>
      <c r="G2049" s="64"/>
      <c r="H2049" s="68"/>
      <c r="I2049" s="69"/>
      <c r="J2049" s="69"/>
      <c r="K2049" s="32"/>
      <c r="L2049" s="76">
        <v>2049</v>
      </c>
      <c r="M2049" s="76"/>
      <c r="N2049" s="71"/>
      <c r="O2049" s="87" t="s">
        <v>179</v>
      </c>
      <c r="P2049" s="90">
        <v>45162.605034722219</v>
      </c>
      <c r="Q2049" s="87" t="s">
        <v>3838</v>
      </c>
      <c r="R2049" s="87">
        <v>0</v>
      </c>
      <c r="S2049" s="87">
        <v>0</v>
      </c>
      <c r="T2049" s="87">
        <v>0</v>
      </c>
      <c r="U2049" s="87">
        <v>0</v>
      </c>
      <c r="V2049" s="87">
        <v>38</v>
      </c>
      <c r="W2049" s="93" t="s">
        <v>7164</v>
      </c>
      <c r="X2049" s="92" t="str">
        <f>HYPERLINK("http://www.sindpdce.org.br")</f>
        <v>http://www.sindpdce.org.br</v>
      </c>
      <c r="Y2049" s="87" t="s">
        <v>8463</v>
      </c>
      <c r="Z2049" s="87"/>
      <c r="AA2049" s="87" t="s">
        <v>9966</v>
      </c>
      <c r="AB2049" s="87" t="s">
        <v>11448</v>
      </c>
      <c r="AC2049" s="93" t="s">
        <v>11457</v>
      </c>
      <c r="AD2049" s="87" t="s">
        <v>11519</v>
      </c>
      <c r="AE2049" s="92" t="str">
        <f>HYPERLINK("https://twitter.com/sindpdce/status/1694719019973226885")</f>
        <v>https://twitter.com/sindpdce/status/1694719019973226885</v>
      </c>
      <c r="AF2049" s="90">
        <v>45162.605034722219</v>
      </c>
      <c r="AG2049" s="99">
        <v>45162</v>
      </c>
      <c r="AH2049" s="93" t="s">
        <v>13394</v>
      </c>
      <c r="AI2049" s="87" t="b">
        <v>0</v>
      </c>
      <c r="AJ2049" s="87"/>
      <c r="AK2049" s="87"/>
      <c r="AL2049" s="87"/>
      <c r="AM2049" s="87"/>
      <c r="AN2049" s="87"/>
      <c r="AO2049" s="87"/>
      <c r="AP2049" s="87"/>
      <c r="AQ2049" s="87" t="s">
        <v>16779</v>
      </c>
      <c r="AR2049" s="87"/>
      <c r="AS2049" s="87"/>
      <c r="AT2049" s="87"/>
      <c r="AU2049" s="87"/>
      <c r="AV2049" s="92" t="str">
        <f>HYPERLINK("https://pbs.twimg.com/media/F4TZ9eja0AEymh3.jpg")</f>
        <v>https://pbs.twimg.com/media/F4TZ9eja0AEymh3.jpg</v>
      </c>
      <c r="AW2049" s="93" t="s">
        <v>20277</v>
      </c>
      <c r="AX2049" s="93" t="s">
        <v>20277</v>
      </c>
      <c r="AY2049" s="87"/>
      <c r="AZ2049" s="93" t="s">
        <v>22668</v>
      </c>
      <c r="BA2049" s="93" t="s">
        <v>22668</v>
      </c>
      <c r="BB2049" s="93" t="s">
        <v>22668</v>
      </c>
      <c r="BC2049" s="93" t="s">
        <v>20277</v>
      </c>
      <c r="BD2049" s="87">
        <v>85865113</v>
      </c>
      <c r="BE2049" s="87"/>
      <c r="BF2049" s="87"/>
      <c r="BG2049" s="87"/>
      <c r="BH2049" s="87"/>
      <c r="BI2049" s="87"/>
    </row>
    <row r="2050" spans="1:61" x14ac:dyDescent="0.25">
      <c r="A2050" s="63" t="s">
        <v>910</v>
      </c>
      <c r="B2050" s="63" t="s">
        <v>1699</v>
      </c>
      <c r="C2050" s="64"/>
      <c r="D2050" s="65"/>
      <c r="E2050" s="66"/>
      <c r="F2050" s="67"/>
      <c r="G2050" s="64"/>
      <c r="H2050" s="68"/>
      <c r="I2050" s="69"/>
      <c r="J2050" s="69"/>
      <c r="K2050" s="32"/>
      <c r="L2050" s="76">
        <v>2050</v>
      </c>
      <c r="M2050" s="76"/>
      <c r="N2050" s="71"/>
      <c r="O2050" s="87" t="s">
        <v>1839</v>
      </c>
      <c r="P2050" s="90">
        <v>45168.881435185183</v>
      </c>
      <c r="Q2050" s="87" t="s">
        <v>3839</v>
      </c>
      <c r="R2050" s="87">
        <v>0</v>
      </c>
      <c r="S2050" s="87">
        <v>0</v>
      </c>
      <c r="T2050" s="87">
        <v>0</v>
      </c>
      <c r="U2050" s="87">
        <v>0</v>
      </c>
      <c r="V2050" s="87">
        <v>24</v>
      </c>
      <c r="W2050" s="93" t="s">
        <v>7165</v>
      </c>
      <c r="X2050" s="92" t="str">
        <f>HYPERLINK("https://youtube.com/shorts/hRY660u89Ls?feature=share")</f>
        <v>https://youtube.com/shorts/hRY660u89Ls?feature=share</v>
      </c>
      <c r="Y2050" s="87" t="s">
        <v>8380</v>
      </c>
      <c r="Z2050" s="87" t="s">
        <v>1699</v>
      </c>
      <c r="AA2050" s="87"/>
      <c r="AB2050" s="87"/>
      <c r="AC2050" s="93" t="s">
        <v>11458</v>
      </c>
      <c r="AD2050" s="87" t="s">
        <v>11519</v>
      </c>
      <c r="AE2050" s="92" t="str">
        <f>HYPERLINK("https://twitter.com/hiltonboss90841/status/1696993511311040823")</f>
        <v>https://twitter.com/hiltonboss90841/status/1696993511311040823</v>
      </c>
      <c r="AF2050" s="90">
        <v>45168.881435185183</v>
      </c>
      <c r="AG2050" s="99">
        <v>45168</v>
      </c>
      <c r="AH2050" s="93" t="s">
        <v>13395</v>
      </c>
      <c r="AI2050" s="87" t="b">
        <v>0</v>
      </c>
      <c r="AJ2050" s="87"/>
      <c r="AK2050" s="87"/>
      <c r="AL2050" s="87"/>
      <c r="AM2050" s="87"/>
      <c r="AN2050" s="87"/>
      <c r="AO2050" s="87"/>
      <c r="AP2050" s="87"/>
      <c r="AQ2050" s="87"/>
      <c r="AR2050" s="87"/>
      <c r="AS2050" s="87"/>
      <c r="AT2050" s="87"/>
      <c r="AU2050" s="87"/>
      <c r="AV2050" s="92" t="str">
        <f>HYPERLINK("https://pbs.twimg.com/profile_images/1656338467096330241/us9nGBbn_normal.jpg")</f>
        <v>https://pbs.twimg.com/profile_images/1656338467096330241/us9nGBbn_normal.jpg</v>
      </c>
      <c r="AW2050" s="93" t="s">
        <v>20278</v>
      </c>
      <c r="AX2050" s="93" t="s">
        <v>20278</v>
      </c>
      <c r="AY2050" s="87"/>
      <c r="AZ2050" s="93" t="s">
        <v>22668</v>
      </c>
      <c r="BA2050" s="93" t="s">
        <v>22668</v>
      </c>
      <c r="BB2050" s="93" t="s">
        <v>22668</v>
      </c>
      <c r="BC2050" s="93" t="s">
        <v>20278</v>
      </c>
      <c r="BD2050" s="93" t="s">
        <v>23191</v>
      </c>
      <c r="BE2050" s="87"/>
      <c r="BF2050" s="87"/>
      <c r="BG2050" s="87"/>
      <c r="BH2050" s="87"/>
      <c r="BI2050" s="87"/>
    </row>
    <row r="2051" spans="1:61" x14ac:dyDescent="0.25">
      <c r="A2051" s="63" t="s">
        <v>910</v>
      </c>
      <c r="B2051" s="63" t="s">
        <v>1624</v>
      </c>
      <c r="C2051" s="64"/>
      <c r="D2051" s="65"/>
      <c r="E2051" s="66"/>
      <c r="F2051" s="67"/>
      <c r="G2051" s="64"/>
      <c r="H2051" s="68"/>
      <c r="I2051" s="69"/>
      <c r="J2051" s="69"/>
      <c r="K2051" s="32"/>
      <c r="L2051" s="76">
        <v>2051</v>
      </c>
      <c r="M2051" s="76"/>
      <c r="N2051" s="71"/>
      <c r="O2051" s="87" t="s">
        <v>1839</v>
      </c>
      <c r="P2051" s="90">
        <v>45175.882893518516</v>
      </c>
      <c r="Q2051" s="87" t="s">
        <v>3840</v>
      </c>
      <c r="R2051" s="87">
        <v>0</v>
      </c>
      <c r="S2051" s="87">
        <v>0</v>
      </c>
      <c r="T2051" s="87">
        <v>0</v>
      </c>
      <c r="U2051" s="87">
        <v>0</v>
      </c>
      <c r="V2051" s="87">
        <v>18</v>
      </c>
      <c r="W2051" s="93" t="s">
        <v>7166</v>
      </c>
      <c r="X2051" s="92" t="str">
        <f>HYPERLINK("https://youtube.com/shorts/2-Z30YUBn7U?si=ntIi2_N0LXnrs2Ii")</f>
        <v>https://youtube.com/shorts/2-Z30YUBn7U?si=ntIi2_N0LXnrs2Ii</v>
      </c>
      <c r="Y2051" s="87" t="s">
        <v>8380</v>
      </c>
      <c r="Z2051" s="87" t="s">
        <v>1624</v>
      </c>
      <c r="AA2051" s="87"/>
      <c r="AB2051" s="87"/>
      <c r="AC2051" s="93" t="s">
        <v>11458</v>
      </c>
      <c r="AD2051" s="87" t="s">
        <v>11519</v>
      </c>
      <c r="AE2051" s="92" t="str">
        <f>HYPERLINK("https://twitter.com/hiltonboss90841/status/1699530754705768706")</f>
        <v>https://twitter.com/hiltonboss90841/status/1699530754705768706</v>
      </c>
      <c r="AF2051" s="90">
        <v>45175.882893518516</v>
      </c>
      <c r="AG2051" s="99">
        <v>45175</v>
      </c>
      <c r="AH2051" s="93" t="s">
        <v>13396</v>
      </c>
      <c r="AI2051" s="87" t="b">
        <v>0</v>
      </c>
      <c r="AJ2051" s="87" t="s">
        <v>15187</v>
      </c>
      <c r="AK2051" s="87" t="s">
        <v>15234</v>
      </c>
      <c r="AL2051" s="87" t="s">
        <v>15237</v>
      </c>
      <c r="AM2051" s="87" t="s">
        <v>15259</v>
      </c>
      <c r="AN2051" s="87" t="s">
        <v>15325</v>
      </c>
      <c r="AO2051" s="87" t="s">
        <v>15391</v>
      </c>
      <c r="AP2051" s="87" t="s">
        <v>15438</v>
      </c>
      <c r="AQ2051" s="87"/>
      <c r="AR2051" s="87"/>
      <c r="AS2051" s="87"/>
      <c r="AT2051" s="87"/>
      <c r="AU2051" s="87"/>
      <c r="AV2051" s="92" t="str">
        <f>HYPERLINK("https://pbs.twimg.com/profile_images/1656338467096330241/us9nGBbn_normal.jpg")</f>
        <v>https://pbs.twimg.com/profile_images/1656338467096330241/us9nGBbn_normal.jpg</v>
      </c>
      <c r="AW2051" s="93" t="s">
        <v>20279</v>
      </c>
      <c r="AX2051" s="93" t="s">
        <v>20279</v>
      </c>
      <c r="AY2051" s="87"/>
      <c r="AZ2051" s="93" t="s">
        <v>22668</v>
      </c>
      <c r="BA2051" s="93" t="s">
        <v>22668</v>
      </c>
      <c r="BB2051" s="93" t="s">
        <v>22668</v>
      </c>
      <c r="BC2051" s="93" t="s">
        <v>20279</v>
      </c>
      <c r="BD2051" s="93" t="s">
        <v>23191</v>
      </c>
      <c r="BE2051" s="87"/>
      <c r="BF2051" s="87"/>
      <c r="BG2051" s="87"/>
      <c r="BH2051" s="87"/>
      <c r="BI2051" s="87"/>
    </row>
    <row r="2052" spans="1:61" x14ac:dyDescent="0.25">
      <c r="A2052" s="63" t="s">
        <v>911</v>
      </c>
      <c r="B2052" s="63" t="s">
        <v>911</v>
      </c>
      <c r="C2052" s="64"/>
      <c r="D2052" s="65"/>
      <c r="E2052" s="66"/>
      <c r="F2052" s="67"/>
      <c r="G2052" s="64"/>
      <c r="H2052" s="68"/>
      <c r="I2052" s="69"/>
      <c r="J2052" s="69"/>
      <c r="K2052" s="32"/>
      <c r="L2052" s="76">
        <v>2052</v>
      </c>
      <c r="M2052" s="76"/>
      <c r="N2052" s="71"/>
      <c r="O2052" s="87" t="s">
        <v>179</v>
      </c>
      <c r="P2052" s="90">
        <v>45167.046215277776</v>
      </c>
      <c r="Q2052" s="87" t="s">
        <v>3841</v>
      </c>
      <c r="R2052" s="87">
        <v>0</v>
      </c>
      <c r="S2052" s="87">
        <v>0</v>
      </c>
      <c r="T2052" s="87">
        <v>0</v>
      </c>
      <c r="U2052" s="87">
        <v>0</v>
      </c>
      <c r="V2052" s="87">
        <v>36</v>
      </c>
      <c r="W2052" s="93" t="s">
        <v>7167</v>
      </c>
      <c r="X2052" s="87"/>
      <c r="Y2052" s="87"/>
      <c r="Z2052" s="87"/>
      <c r="AA2052" s="87" t="s">
        <v>9967</v>
      </c>
      <c r="AB2052" s="87" t="s">
        <v>11447</v>
      </c>
      <c r="AC2052" s="93" t="s">
        <v>11458</v>
      </c>
      <c r="AD2052" s="87" t="s">
        <v>11519</v>
      </c>
      <c r="AE2052" s="92" t="str">
        <f>HYPERLINK("https://twitter.com/lincoln2pac/status/1696328452339569124")</f>
        <v>https://twitter.com/lincoln2pac/status/1696328452339569124</v>
      </c>
      <c r="AF2052" s="90">
        <v>45167.046215277776</v>
      </c>
      <c r="AG2052" s="99">
        <v>45167</v>
      </c>
      <c r="AH2052" s="93" t="s">
        <v>13397</v>
      </c>
      <c r="AI2052" s="87" t="b">
        <v>0</v>
      </c>
      <c r="AJ2052" s="87"/>
      <c r="AK2052" s="87"/>
      <c r="AL2052" s="87"/>
      <c r="AM2052" s="87"/>
      <c r="AN2052" s="87"/>
      <c r="AO2052" s="87"/>
      <c r="AP2052" s="87"/>
      <c r="AQ2052" s="87" t="s">
        <v>16780</v>
      </c>
      <c r="AR2052" s="87">
        <v>42188</v>
      </c>
      <c r="AS2052" s="87"/>
      <c r="AT2052" s="87"/>
      <c r="AU2052" s="87"/>
      <c r="AV2052" s="92" t="str">
        <f>HYPERLINK("https://pbs.twimg.com/ext_tw_video_thumb/1696328416490872832/pu/img/fdeOm5tGEl2sHo-8.jpg")</f>
        <v>https://pbs.twimg.com/ext_tw_video_thumb/1696328416490872832/pu/img/fdeOm5tGEl2sHo-8.jpg</v>
      </c>
      <c r="AW2052" s="93" t="s">
        <v>20280</v>
      </c>
      <c r="AX2052" s="93" t="s">
        <v>20280</v>
      </c>
      <c r="AY2052" s="87"/>
      <c r="AZ2052" s="93" t="s">
        <v>22668</v>
      </c>
      <c r="BA2052" s="93" t="s">
        <v>22668</v>
      </c>
      <c r="BB2052" s="93" t="s">
        <v>22668</v>
      </c>
      <c r="BC2052" s="93" t="s">
        <v>20280</v>
      </c>
      <c r="BD2052" s="93" t="s">
        <v>23192</v>
      </c>
      <c r="BE2052" s="87"/>
      <c r="BF2052" s="87"/>
      <c r="BG2052" s="87"/>
      <c r="BH2052" s="87"/>
      <c r="BI2052" s="87"/>
    </row>
    <row r="2053" spans="1:61" x14ac:dyDescent="0.25">
      <c r="A2053" s="63" t="s">
        <v>912</v>
      </c>
      <c r="B2053" s="63" t="s">
        <v>912</v>
      </c>
      <c r="C2053" s="64"/>
      <c r="D2053" s="65"/>
      <c r="E2053" s="66"/>
      <c r="F2053" s="67"/>
      <c r="G2053" s="64"/>
      <c r="H2053" s="68"/>
      <c r="I2053" s="69"/>
      <c r="J2053" s="69"/>
      <c r="K2053" s="32"/>
      <c r="L2053" s="76">
        <v>2053</v>
      </c>
      <c r="M2053" s="76"/>
      <c r="N2053" s="71"/>
      <c r="O2053" s="87" t="s">
        <v>179</v>
      </c>
      <c r="P2053" s="90">
        <v>45183.530289351853</v>
      </c>
      <c r="Q2053" s="87" t="s">
        <v>3842</v>
      </c>
      <c r="R2053" s="87">
        <v>0</v>
      </c>
      <c r="S2053" s="87">
        <v>1</v>
      </c>
      <c r="T2053" s="87">
        <v>0</v>
      </c>
      <c r="U2053" s="87">
        <v>0</v>
      </c>
      <c r="V2053" s="87">
        <v>61</v>
      </c>
      <c r="W2053" s="93" t="s">
        <v>5897</v>
      </c>
      <c r="X2053" s="87"/>
      <c r="Y2053" s="87"/>
      <c r="Z2053" s="87"/>
      <c r="AA2053" s="87"/>
      <c r="AB2053" s="87"/>
      <c r="AC2053" s="93" t="s">
        <v>11458</v>
      </c>
      <c r="AD2053" s="87" t="s">
        <v>11519</v>
      </c>
      <c r="AE2053" s="92" t="str">
        <f>HYPERLINK("https://twitter.com/angelomcanuto/status/1702302079719498041")</f>
        <v>https://twitter.com/angelomcanuto/status/1702302079719498041</v>
      </c>
      <c r="AF2053" s="90">
        <v>45183.530289351853</v>
      </c>
      <c r="AG2053" s="99">
        <v>45183</v>
      </c>
      <c r="AH2053" s="93" t="s">
        <v>13398</v>
      </c>
      <c r="AI2053" s="87"/>
      <c r="AJ2053" s="87"/>
      <c r="AK2053" s="87"/>
      <c r="AL2053" s="87"/>
      <c r="AM2053" s="87"/>
      <c r="AN2053" s="87"/>
      <c r="AO2053" s="87"/>
      <c r="AP2053" s="87"/>
      <c r="AQ2053" s="87"/>
      <c r="AR2053" s="87"/>
      <c r="AS2053" s="87"/>
      <c r="AT2053" s="87"/>
      <c r="AU2053" s="87"/>
      <c r="AV2053" s="92" t="str">
        <f>HYPERLINK("https://pbs.twimg.com/profile_images/1659356416035962881/dZi3gnfP_normal.jpg")</f>
        <v>https://pbs.twimg.com/profile_images/1659356416035962881/dZi3gnfP_normal.jpg</v>
      </c>
      <c r="AW2053" s="93" t="s">
        <v>20281</v>
      </c>
      <c r="AX2053" s="93" t="s">
        <v>20281</v>
      </c>
      <c r="AY2053" s="87"/>
      <c r="AZ2053" s="93" t="s">
        <v>22668</v>
      </c>
      <c r="BA2053" s="93" t="s">
        <v>22668</v>
      </c>
      <c r="BB2053" s="93" t="s">
        <v>22668</v>
      </c>
      <c r="BC2053" s="93" t="s">
        <v>20281</v>
      </c>
      <c r="BD2053" s="93" t="s">
        <v>23193</v>
      </c>
      <c r="BE2053" s="87"/>
      <c r="BF2053" s="87"/>
      <c r="BG2053" s="87"/>
      <c r="BH2053" s="87"/>
      <c r="BI2053" s="87"/>
    </row>
    <row r="2054" spans="1:61" x14ac:dyDescent="0.25">
      <c r="A2054" s="63" t="s">
        <v>913</v>
      </c>
      <c r="B2054" s="63" t="s">
        <v>913</v>
      </c>
      <c r="C2054" s="64"/>
      <c r="D2054" s="65"/>
      <c r="E2054" s="66"/>
      <c r="F2054" s="67"/>
      <c r="G2054" s="64"/>
      <c r="H2054" s="68"/>
      <c r="I2054" s="69"/>
      <c r="J2054" s="69"/>
      <c r="K2054" s="32"/>
      <c r="L2054" s="76">
        <v>2054</v>
      </c>
      <c r="M2054" s="76"/>
      <c r="N2054" s="71"/>
      <c r="O2054" s="87" t="s">
        <v>179</v>
      </c>
      <c r="P2054" s="90">
        <v>45111.718495370369</v>
      </c>
      <c r="Q2054" s="87" t="s">
        <v>3843</v>
      </c>
      <c r="R2054" s="87">
        <v>0</v>
      </c>
      <c r="S2054" s="87">
        <v>2</v>
      </c>
      <c r="T2054" s="87">
        <v>0</v>
      </c>
      <c r="U2054" s="87">
        <v>0</v>
      </c>
      <c r="V2054" s="87">
        <v>298</v>
      </c>
      <c r="W2054" s="93" t="s">
        <v>7168</v>
      </c>
      <c r="X2054" s="87"/>
      <c r="Y2054" s="87"/>
      <c r="Z2054" s="87"/>
      <c r="AA2054" s="87" t="s">
        <v>9968</v>
      </c>
      <c r="AB2054" s="87" t="s">
        <v>11447</v>
      </c>
      <c r="AC2054" s="93" t="s">
        <v>11458</v>
      </c>
      <c r="AD2054" s="87" t="s">
        <v>11519</v>
      </c>
      <c r="AE2054" s="92" t="str">
        <f>HYPERLINK("https://twitter.com/maraisamatos/status/1676278355258220559")</f>
        <v>https://twitter.com/maraisamatos/status/1676278355258220559</v>
      </c>
      <c r="AF2054" s="90">
        <v>45111.718495370369</v>
      </c>
      <c r="AG2054" s="99">
        <v>45111</v>
      </c>
      <c r="AH2054" s="93" t="s">
        <v>13399</v>
      </c>
      <c r="AI2054" s="87" t="b">
        <v>0</v>
      </c>
      <c r="AJ2054" s="87"/>
      <c r="AK2054" s="87"/>
      <c r="AL2054" s="87"/>
      <c r="AM2054" s="87"/>
      <c r="AN2054" s="87"/>
      <c r="AO2054" s="87"/>
      <c r="AP2054" s="87"/>
      <c r="AQ2054" s="87" t="s">
        <v>16781</v>
      </c>
      <c r="AR2054" s="87">
        <v>15566</v>
      </c>
      <c r="AS2054" s="87"/>
      <c r="AT2054" s="87"/>
      <c r="AU2054" s="87"/>
      <c r="AV2054" s="92" t="str">
        <f>HYPERLINK("https://pbs.twimg.com/ext_tw_video_thumb/1676278320973979653/pu/img/p8uLERQ8pAaTXw3e.jpg")</f>
        <v>https://pbs.twimg.com/ext_tw_video_thumb/1676278320973979653/pu/img/p8uLERQ8pAaTXw3e.jpg</v>
      </c>
      <c r="AW2054" s="93" t="s">
        <v>20282</v>
      </c>
      <c r="AX2054" s="93" t="s">
        <v>20282</v>
      </c>
      <c r="AY2054" s="87"/>
      <c r="AZ2054" s="93" t="s">
        <v>22668</v>
      </c>
      <c r="BA2054" s="93" t="s">
        <v>22668</v>
      </c>
      <c r="BB2054" s="93" t="s">
        <v>22668</v>
      </c>
      <c r="BC2054" s="93" t="s">
        <v>20282</v>
      </c>
      <c r="BD2054" s="87">
        <v>38321097</v>
      </c>
      <c r="BE2054" s="87"/>
      <c r="BF2054" s="87"/>
      <c r="BG2054" s="87"/>
      <c r="BH2054" s="87"/>
      <c r="BI2054" s="87"/>
    </row>
    <row r="2055" spans="1:61" x14ac:dyDescent="0.25">
      <c r="A2055" s="63" t="s">
        <v>914</v>
      </c>
      <c r="B2055" s="63" t="s">
        <v>914</v>
      </c>
      <c r="C2055" s="64"/>
      <c r="D2055" s="65"/>
      <c r="E2055" s="66"/>
      <c r="F2055" s="67"/>
      <c r="G2055" s="64"/>
      <c r="H2055" s="68"/>
      <c r="I2055" s="69"/>
      <c r="J2055" s="69"/>
      <c r="K2055" s="32"/>
      <c r="L2055" s="76">
        <v>2055</v>
      </c>
      <c r="M2055" s="76"/>
      <c r="N2055" s="71"/>
      <c r="O2055" s="87" t="s">
        <v>179</v>
      </c>
      <c r="P2055" s="90">
        <v>45167.558321759258</v>
      </c>
      <c r="Q2055" s="87" t="s">
        <v>3844</v>
      </c>
      <c r="R2055" s="87">
        <v>0</v>
      </c>
      <c r="S2055" s="87">
        <v>0</v>
      </c>
      <c r="T2055" s="87">
        <v>0</v>
      </c>
      <c r="U2055" s="87">
        <v>0</v>
      </c>
      <c r="V2055" s="87">
        <v>31</v>
      </c>
      <c r="W2055" s="93" t="s">
        <v>7169</v>
      </c>
      <c r="X2055" s="87"/>
      <c r="Y2055" s="87"/>
      <c r="Z2055" s="87"/>
      <c r="AA2055" s="87" t="s">
        <v>9969</v>
      </c>
      <c r="AB2055" s="87" t="s">
        <v>11448</v>
      </c>
      <c r="AC2055" s="93" t="s">
        <v>11459</v>
      </c>
      <c r="AD2055" s="87" t="s">
        <v>11518</v>
      </c>
      <c r="AE2055" s="92" t="str">
        <f>HYPERLINK("https://twitter.com/learnknowd/status/1696514033447567863")</f>
        <v>https://twitter.com/learnknowd/status/1696514033447567863</v>
      </c>
      <c r="AF2055" s="90">
        <v>45167.558321759258</v>
      </c>
      <c r="AG2055" s="99">
        <v>45167</v>
      </c>
      <c r="AH2055" s="93" t="s">
        <v>13400</v>
      </c>
      <c r="AI2055" s="87" t="b">
        <v>0</v>
      </c>
      <c r="AJ2055" s="87"/>
      <c r="AK2055" s="87"/>
      <c r="AL2055" s="87"/>
      <c r="AM2055" s="87"/>
      <c r="AN2055" s="87"/>
      <c r="AO2055" s="87"/>
      <c r="AP2055" s="87"/>
      <c r="AQ2055" s="87" t="s">
        <v>16782</v>
      </c>
      <c r="AR2055" s="87"/>
      <c r="AS2055" s="87"/>
      <c r="AT2055" s="87"/>
      <c r="AU2055" s="87"/>
      <c r="AV2055" s="92" t="str">
        <f>HYPERLINK("https://pbs.twimg.com/media/F4s6hX-b0AEZgEz.jpg")</f>
        <v>https://pbs.twimg.com/media/F4s6hX-b0AEZgEz.jpg</v>
      </c>
      <c r="AW2055" s="93" t="s">
        <v>20283</v>
      </c>
      <c r="AX2055" s="93" t="s">
        <v>20283</v>
      </c>
      <c r="AY2055" s="87"/>
      <c r="AZ2055" s="93" t="s">
        <v>22668</v>
      </c>
      <c r="BA2055" s="93" t="s">
        <v>22668</v>
      </c>
      <c r="BB2055" s="93" t="s">
        <v>22668</v>
      </c>
      <c r="BC2055" s="93" t="s">
        <v>20283</v>
      </c>
      <c r="BD2055" s="93" t="s">
        <v>23194</v>
      </c>
      <c r="BE2055" s="87"/>
      <c r="BF2055" s="87"/>
      <c r="BG2055" s="87"/>
      <c r="BH2055" s="87"/>
      <c r="BI2055" s="87"/>
    </row>
    <row r="2056" spans="1:61" x14ac:dyDescent="0.25">
      <c r="A2056" s="63" t="s">
        <v>915</v>
      </c>
      <c r="B2056" s="63" t="s">
        <v>1367</v>
      </c>
      <c r="C2056" s="64"/>
      <c r="D2056" s="65"/>
      <c r="E2056" s="66"/>
      <c r="F2056" s="67"/>
      <c r="G2056" s="64"/>
      <c r="H2056" s="68"/>
      <c r="I2056" s="69"/>
      <c r="J2056" s="69"/>
      <c r="K2056" s="32"/>
      <c r="L2056" s="76">
        <v>2056</v>
      </c>
      <c r="M2056" s="76"/>
      <c r="N2056" s="71"/>
      <c r="O2056" s="87" t="s">
        <v>1841</v>
      </c>
      <c r="P2056" s="90">
        <v>45190.706956018519</v>
      </c>
      <c r="Q2056" s="87" t="s">
        <v>2090</v>
      </c>
      <c r="R2056" s="87">
        <v>14</v>
      </c>
      <c r="S2056" s="87">
        <v>0</v>
      </c>
      <c r="T2056" s="87">
        <v>0</v>
      </c>
      <c r="U2056" s="87">
        <v>0</v>
      </c>
      <c r="V2056" s="87"/>
      <c r="W2056" s="93" t="s">
        <v>6034</v>
      </c>
      <c r="X2056" s="87"/>
      <c r="Y2056" s="87"/>
      <c r="Z2056" s="87" t="s">
        <v>1367</v>
      </c>
      <c r="AA2056" s="87"/>
      <c r="AB2056" s="87"/>
      <c r="AC2056" s="93" t="s">
        <v>11458</v>
      </c>
      <c r="AD2056" s="87" t="s">
        <v>11519</v>
      </c>
      <c r="AE2056" s="92" t="str">
        <f>HYPERLINK("https://twitter.com/tiagofr29/status/1704902814793617858")</f>
        <v>https://twitter.com/tiagofr29/status/1704902814793617858</v>
      </c>
      <c r="AF2056" s="90">
        <v>45190.706956018519</v>
      </c>
      <c r="AG2056" s="99">
        <v>45190</v>
      </c>
      <c r="AH2056" s="93" t="s">
        <v>13401</v>
      </c>
      <c r="AI2056" s="87"/>
      <c r="AJ2056" s="87"/>
      <c r="AK2056" s="87"/>
      <c r="AL2056" s="87"/>
      <c r="AM2056" s="87"/>
      <c r="AN2056" s="87"/>
      <c r="AO2056" s="87"/>
      <c r="AP2056" s="87"/>
      <c r="AQ2056" s="87"/>
      <c r="AR2056" s="87"/>
      <c r="AS2056" s="87"/>
      <c r="AT2056" s="87"/>
      <c r="AU2056" s="87"/>
      <c r="AV2056" s="92" t="str">
        <f>HYPERLINK("https://pbs.twimg.com/profile_images/1701942118455861248/xBJU1fAj_normal.jpg")</f>
        <v>https://pbs.twimg.com/profile_images/1701942118455861248/xBJU1fAj_normal.jpg</v>
      </c>
      <c r="AW2056" s="93" t="s">
        <v>20284</v>
      </c>
      <c r="AX2056" s="93" t="s">
        <v>20284</v>
      </c>
      <c r="AY2056" s="87"/>
      <c r="AZ2056" s="93" t="s">
        <v>22668</v>
      </c>
      <c r="BA2056" s="93" t="s">
        <v>22668</v>
      </c>
      <c r="BB2056" s="93" t="s">
        <v>21717</v>
      </c>
      <c r="BC2056" s="93" t="s">
        <v>21717</v>
      </c>
      <c r="BD2056" s="87">
        <v>2676824358</v>
      </c>
      <c r="BE2056" s="87"/>
      <c r="BF2056" s="87"/>
      <c r="BG2056" s="87"/>
      <c r="BH2056" s="87"/>
      <c r="BI2056" s="87"/>
    </row>
    <row r="2057" spans="1:61" x14ac:dyDescent="0.25">
      <c r="A2057" s="63" t="s">
        <v>916</v>
      </c>
      <c r="B2057" s="63" t="s">
        <v>916</v>
      </c>
      <c r="C2057" s="64"/>
      <c r="D2057" s="65"/>
      <c r="E2057" s="66"/>
      <c r="F2057" s="67"/>
      <c r="G2057" s="64"/>
      <c r="H2057" s="68"/>
      <c r="I2057" s="69"/>
      <c r="J2057" s="69"/>
      <c r="K2057" s="32"/>
      <c r="L2057" s="76">
        <v>2057</v>
      </c>
      <c r="M2057" s="76"/>
      <c r="N2057" s="71"/>
      <c r="O2057" s="87" t="s">
        <v>179</v>
      </c>
      <c r="P2057" s="90">
        <v>45135.83489583333</v>
      </c>
      <c r="Q2057" s="87" t="s">
        <v>3845</v>
      </c>
      <c r="R2057" s="87">
        <v>0</v>
      </c>
      <c r="S2057" s="87">
        <v>0</v>
      </c>
      <c r="T2057" s="87">
        <v>0</v>
      </c>
      <c r="U2057" s="87">
        <v>0</v>
      </c>
      <c r="V2057" s="87">
        <v>21</v>
      </c>
      <c r="W2057" s="93" t="s">
        <v>7170</v>
      </c>
      <c r="X2057" s="87"/>
      <c r="Y2057" s="87"/>
      <c r="Z2057" s="87"/>
      <c r="AA2057" s="87"/>
      <c r="AB2057" s="87"/>
      <c r="AC2057" s="93" t="s">
        <v>11457</v>
      </c>
      <c r="AD2057" s="87" t="s">
        <v>11519</v>
      </c>
      <c r="AE2057" s="92" t="str">
        <f>HYPERLINK("https://twitter.com/allandonega/status/1685017847284547584")</f>
        <v>https://twitter.com/allandonega/status/1685017847284547584</v>
      </c>
      <c r="AF2057" s="90">
        <v>45135.83489583333</v>
      </c>
      <c r="AG2057" s="99">
        <v>45135</v>
      </c>
      <c r="AH2057" s="93" t="s">
        <v>13402</v>
      </c>
      <c r="AI2057" s="87"/>
      <c r="AJ2057" s="87"/>
      <c r="AK2057" s="87"/>
      <c r="AL2057" s="87"/>
      <c r="AM2057" s="87"/>
      <c r="AN2057" s="87"/>
      <c r="AO2057" s="87"/>
      <c r="AP2057" s="87"/>
      <c r="AQ2057" s="87"/>
      <c r="AR2057" s="87"/>
      <c r="AS2057" s="87"/>
      <c r="AT2057" s="87"/>
      <c r="AU2057" s="87"/>
      <c r="AV2057" s="92" t="str">
        <f>HYPERLINK("https://pbs.twimg.com/profile_images/1580300183929331728/-kf-FNd4_normal.jpg")</f>
        <v>https://pbs.twimg.com/profile_images/1580300183929331728/-kf-FNd4_normal.jpg</v>
      </c>
      <c r="AW2057" s="93" t="s">
        <v>20285</v>
      </c>
      <c r="AX2057" s="93" t="s">
        <v>20285</v>
      </c>
      <c r="AY2057" s="87"/>
      <c r="AZ2057" s="93" t="s">
        <v>22668</v>
      </c>
      <c r="BA2057" s="93" t="s">
        <v>22668</v>
      </c>
      <c r="BB2057" s="93" t="s">
        <v>22668</v>
      </c>
      <c r="BC2057" s="93" t="s">
        <v>20285</v>
      </c>
      <c r="BD2057" s="87">
        <v>500342735</v>
      </c>
      <c r="BE2057" s="87"/>
      <c r="BF2057" s="87"/>
      <c r="BG2057" s="87"/>
      <c r="BH2057" s="87"/>
      <c r="BI2057" s="87"/>
    </row>
    <row r="2058" spans="1:61" x14ac:dyDescent="0.25">
      <c r="A2058" s="63" t="s">
        <v>916</v>
      </c>
      <c r="B2058" s="63" t="s">
        <v>916</v>
      </c>
      <c r="C2058" s="64"/>
      <c r="D2058" s="65"/>
      <c r="E2058" s="66"/>
      <c r="F2058" s="67"/>
      <c r="G2058" s="64"/>
      <c r="H2058" s="68"/>
      <c r="I2058" s="69"/>
      <c r="J2058" s="69"/>
      <c r="K2058" s="32"/>
      <c r="L2058" s="76">
        <v>2058</v>
      </c>
      <c r="M2058" s="76"/>
      <c r="N2058" s="71"/>
      <c r="O2058" s="87" t="s">
        <v>179</v>
      </c>
      <c r="P2058" s="90">
        <v>45135.833483796298</v>
      </c>
      <c r="Q2058" s="87" t="s">
        <v>3846</v>
      </c>
      <c r="R2058" s="87">
        <v>0</v>
      </c>
      <c r="S2058" s="87">
        <v>0</v>
      </c>
      <c r="T2058" s="87">
        <v>0</v>
      </c>
      <c r="U2058" s="87">
        <v>0</v>
      </c>
      <c r="V2058" s="87">
        <v>9</v>
      </c>
      <c r="W2058" s="93" t="s">
        <v>7171</v>
      </c>
      <c r="X2058" s="87"/>
      <c r="Y2058" s="87"/>
      <c r="Z2058" s="87"/>
      <c r="AA2058" s="87"/>
      <c r="AB2058" s="87"/>
      <c r="AC2058" s="93" t="s">
        <v>11457</v>
      </c>
      <c r="AD2058" s="87" t="s">
        <v>11519</v>
      </c>
      <c r="AE2058" s="92" t="str">
        <f>HYPERLINK("https://twitter.com/allandonega/status/1685017334233096193")</f>
        <v>https://twitter.com/allandonega/status/1685017334233096193</v>
      </c>
      <c r="AF2058" s="90">
        <v>45135.833483796298</v>
      </c>
      <c r="AG2058" s="99">
        <v>45135</v>
      </c>
      <c r="AH2058" s="93" t="s">
        <v>13403</v>
      </c>
      <c r="AI2058" s="87"/>
      <c r="AJ2058" s="87"/>
      <c r="AK2058" s="87"/>
      <c r="AL2058" s="87"/>
      <c r="AM2058" s="87"/>
      <c r="AN2058" s="87"/>
      <c r="AO2058" s="87"/>
      <c r="AP2058" s="87"/>
      <c r="AQ2058" s="87"/>
      <c r="AR2058" s="87"/>
      <c r="AS2058" s="87"/>
      <c r="AT2058" s="87"/>
      <c r="AU2058" s="87"/>
      <c r="AV2058" s="92" t="str">
        <f>HYPERLINK("https://pbs.twimg.com/profile_images/1580300183929331728/-kf-FNd4_normal.jpg")</f>
        <v>https://pbs.twimg.com/profile_images/1580300183929331728/-kf-FNd4_normal.jpg</v>
      </c>
      <c r="AW2058" s="93" t="s">
        <v>20286</v>
      </c>
      <c r="AX2058" s="93" t="s">
        <v>20286</v>
      </c>
      <c r="AY2058" s="87"/>
      <c r="AZ2058" s="93" t="s">
        <v>22668</v>
      </c>
      <c r="BA2058" s="93" t="s">
        <v>22668</v>
      </c>
      <c r="BB2058" s="93" t="s">
        <v>22668</v>
      </c>
      <c r="BC2058" s="93" t="s">
        <v>20286</v>
      </c>
      <c r="BD2058" s="87">
        <v>500342735</v>
      </c>
      <c r="BE2058" s="87"/>
      <c r="BF2058" s="87"/>
      <c r="BG2058" s="87"/>
      <c r="BH2058" s="87"/>
      <c r="BI2058" s="87"/>
    </row>
    <row r="2059" spans="1:61" x14ac:dyDescent="0.25">
      <c r="A2059" s="63" t="s">
        <v>917</v>
      </c>
      <c r="B2059" s="63" t="s">
        <v>917</v>
      </c>
      <c r="C2059" s="64"/>
      <c r="D2059" s="65"/>
      <c r="E2059" s="66"/>
      <c r="F2059" s="67"/>
      <c r="G2059" s="64"/>
      <c r="H2059" s="68"/>
      <c r="I2059" s="69"/>
      <c r="J2059" s="69"/>
      <c r="K2059" s="32"/>
      <c r="L2059" s="76">
        <v>2059</v>
      </c>
      <c r="M2059" s="76"/>
      <c r="N2059" s="71"/>
      <c r="O2059" s="87" t="s">
        <v>1840</v>
      </c>
      <c r="P2059" s="90">
        <v>45194.500983796293</v>
      </c>
      <c r="Q2059" s="87" t="s">
        <v>3847</v>
      </c>
      <c r="R2059" s="87">
        <v>0</v>
      </c>
      <c r="S2059" s="87">
        <v>0</v>
      </c>
      <c r="T2059" s="87">
        <v>0</v>
      </c>
      <c r="U2059" s="87">
        <v>0</v>
      </c>
      <c r="V2059" s="87">
        <v>40</v>
      </c>
      <c r="W2059" s="93" t="s">
        <v>7172</v>
      </c>
      <c r="X2059" s="87"/>
      <c r="Y2059" s="87"/>
      <c r="Z2059" s="87"/>
      <c r="AA2059" s="87"/>
      <c r="AB2059" s="87"/>
      <c r="AC2059" s="93" t="s">
        <v>11459</v>
      </c>
      <c r="AD2059" s="87" t="s">
        <v>11524</v>
      </c>
      <c r="AE2059" s="92" t="str">
        <f>HYPERLINK("https://twitter.com/jhonata0ficial/status/1706277727353901397")</f>
        <v>https://twitter.com/jhonata0ficial/status/1706277727353901397</v>
      </c>
      <c r="AF2059" s="90">
        <v>45194.500983796293</v>
      </c>
      <c r="AG2059" s="99">
        <v>45194</v>
      </c>
      <c r="AH2059" s="93" t="s">
        <v>11901</v>
      </c>
      <c r="AI2059" s="87"/>
      <c r="AJ2059" s="87"/>
      <c r="AK2059" s="87"/>
      <c r="AL2059" s="87"/>
      <c r="AM2059" s="87"/>
      <c r="AN2059" s="87"/>
      <c r="AO2059" s="87"/>
      <c r="AP2059" s="87"/>
      <c r="AQ2059" s="87"/>
      <c r="AR2059" s="87"/>
      <c r="AS2059" s="87"/>
      <c r="AT2059" s="87"/>
      <c r="AU2059" s="87"/>
      <c r="AV2059" s="92" t="str">
        <f>HYPERLINK("https://pbs.twimg.com/profile_images/1551318165308821504/fW0At9te_normal.jpg")</f>
        <v>https://pbs.twimg.com/profile_images/1551318165308821504/fW0At9te_normal.jpg</v>
      </c>
      <c r="AW2059" s="93" t="s">
        <v>20287</v>
      </c>
      <c r="AX2059" s="93" t="s">
        <v>22418</v>
      </c>
      <c r="AY2059" s="93" t="s">
        <v>22595</v>
      </c>
      <c r="AZ2059" s="93" t="s">
        <v>22418</v>
      </c>
      <c r="BA2059" s="93" t="s">
        <v>22668</v>
      </c>
      <c r="BB2059" s="93" t="s">
        <v>22668</v>
      </c>
      <c r="BC2059" s="93" t="s">
        <v>22418</v>
      </c>
      <c r="BD2059" s="93" t="s">
        <v>22595</v>
      </c>
      <c r="BE2059" s="87"/>
      <c r="BF2059" s="87"/>
      <c r="BG2059" s="87"/>
      <c r="BH2059" s="87"/>
      <c r="BI2059" s="87"/>
    </row>
    <row r="2060" spans="1:61" x14ac:dyDescent="0.25">
      <c r="A2060" s="63" t="s">
        <v>918</v>
      </c>
      <c r="B2060" s="63" t="s">
        <v>918</v>
      </c>
      <c r="C2060" s="64"/>
      <c r="D2060" s="65"/>
      <c r="E2060" s="66"/>
      <c r="F2060" s="67"/>
      <c r="G2060" s="64"/>
      <c r="H2060" s="68"/>
      <c r="I2060" s="69"/>
      <c r="J2060" s="69"/>
      <c r="K2060" s="32"/>
      <c r="L2060" s="76">
        <v>2060</v>
      </c>
      <c r="M2060" s="76"/>
      <c r="N2060" s="71"/>
      <c r="O2060" s="87" t="s">
        <v>179</v>
      </c>
      <c r="P2060" s="90">
        <v>45174.909247685187</v>
      </c>
      <c r="Q2060" s="87" t="s">
        <v>3848</v>
      </c>
      <c r="R2060" s="87">
        <v>0</v>
      </c>
      <c r="S2060" s="87">
        <v>0</v>
      </c>
      <c r="T2060" s="87">
        <v>0</v>
      </c>
      <c r="U2060" s="87">
        <v>0</v>
      </c>
      <c r="V2060" s="87">
        <v>14</v>
      </c>
      <c r="W2060" s="93" t="s">
        <v>7173</v>
      </c>
      <c r="X2060" s="92" t="str">
        <f>HYPERLINK("https://youtu.be/vNSSaDn-4CI")</f>
        <v>https://youtu.be/vNSSaDn-4CI</v>
      </c>
      <c r="Y2060" s="87" t="s">
        <v>8372</v>
      </c>
      <c r="Z2060" s="87"/>
      <c r="AA2060" s="87"/>
      <c r="AB2060" s="87"/>
      <c r="AC2060" s="93" t="s">
        <v>11457</v>
      </c>
      <c r="AD2060" s="87" t="s">
        <v>11519</v>
      </c>
      <c r="AE2060" s="92" t="str">
        <f>HYPERLINK("https://twitter.com/carufernandes/status/1699177918855778568")</f>
        <v>https://twitter.com/carufernandes/status/1699177918855778568</v>
      </c>
      <c r="AF2060" s="90">
        <v>45174.909247685187</v>
      </c>
      <c r="AG2060" s="99">
        <v>45174</v>
      </c>
      <c r="AH2060" s="93" t="s">
        <v>13404</v>
      </c>
      <c r="AI2060" s="87" t="b">
        <v>0</v>
      </c>
      <c r="AJ2060" s="87"/>
      <c r="AK2060" s="87"/>
      <c r="AL2060" s="87"/>
      <c r="AM2060" s="87"/>
      <c r="AN2060" s="87"/>
      <c r="AO2060" s="87"/>
      <c r="AP2060" s="87"/>
      <c r="AQ2060" s="87"/>
      <c r="AR2060" s="87"/>
      <c r="AS2060" s="87"/>
      <c r="AT2060" s="87"/>
      <c r="AU2060" s="87"/>
      <c r="AV2060" s="92" t="str">
        <f>HYPERLINK("https://pbs.twimg.com/profile_images/1625150507408039937/yQ47c-X2_normal.jpg")</f>
        <v>https://pbs.twimg.com/profile_images/1625150507408039937/yQ47c-X2_normal.jpg</v>
      </c>
      <c r="AW2060" s="93" t="s">
        <v>20288</v>
      </c>
      <c r="AX2060" s="93" t="s">
        <v>20288</v>
      </c>
      <c r="AY2060" s="87"/>
      <c r="AZ2060" s="93" t="s">
        <v>22668</v>
      </c>
      <c r="BA2060" s="93" t="s">
        <v>22668</v>
      </c>
      <c r="BB2060" s="93" t="s">
        <v>22668</v>
      </c>
      <c r="BC2060" s="93" t="s">
        <v>20288</v>
      </c>
      <c r="BD2060" s="87">
        <v>44992008</v>
      </c>
      <c r="BE2060" s="87"/>
      <c r="BF2060" s="87"/>
      <c r="BG2060" s="87"/>
      <c r="BH2060" s="87"/>
      <c r="BI2060" s="87"/>
    </row>
    <row r="2061" spans="1:61" x14ac:dyDescent="0.25">
      <c r="A2061" s="63" t="s">
        <v>918</v>
      </c>
      <c r="B2061" s="63" t="s">
        <v>918</v>
      </c>
      <c r="C2061" s="64"/>
      <c r="D2061" s="65"/>
      <c r="E2061" s="66"/>
      <c r="F2061" s="67"/>
      <c r="G2061" s="64"/>
      <c r="H2061" s="68"/>
      <c r="I2061" s="69"/>
      <c r="J2061" s="69"/>
      <c r="K2061" s="32"/>
      <c r="L2061" s="76">
        <v>2061</v>
      </c>
      <c r="M2061" s="76"/>
      <c r="N2061" s="71"/>
      <c r="O2061" s="87" t="s">
        <v>179</v>
      </c>
      <c r="P2061" s="90">
        <v>45175.75</v>
      </c>
      <c r="Q2061" s="87" t="s">
        <v>3849</v>
      </c>
      <c r="R2061" s="87">
        <v>0</v>
      </c>
      <c r="S2061" s="87">
        <v>0</v>
      </c>
      <c r="T2061" s="87">
        <v>0</v>
      </c>
      <c r="U2061" s="87">
        <v>0</v>
      </c>
      <c r="V2061" s="87">
        <v>39</v>
      </c>
      <c r="W2061" s="93" t="s">
        <v>7174</v>
      </c>
      <c r="X2061" s="92" t="str">
        <f>HYPERLINK("https://youtu.be/DMKTis0NUBo")</f>
        <v>https://youtu.be/DMKTis0NUBo</v>
      </c>
      <c r="Y2061" s="87" t="s">
        <v>8372</v>
      </c>
      <c r="Z2061" s="87"/>
      <c r="AA2061" s="87" t="s">
        <v>9970</v>
      </c>
      <c r="AB2061" s="87" t="s">
        <v>11448</v>
      </c>
      <c r="AC2061" s="93" t="s">
        <v>11457</v>
      </c>
      <c r="AD2061" s="87" t="s">
        <v>11519</v>
      </c>
      <c r="AE2061" s="92" t="str">
        <f>HYPERLINK("https://twitter.com/carufernandes/status/1699482598383202618")</f>
        <v>https://twitter.com/carufernandes/status/1699482598383202618</v>
      </c>
      <c r="AF2061" s="90">
        <v>45175.75</v>
      </c>
      <c r="AG2061" s="99">
        <v>45175</v>
      </c>
      <c r="AH2061" s="93" t="s">
        <v>12129</v>
      </c>
      <c r="AI2061" s="87" t="b">
        <v>0</v>
      </c>
      <c r="AJ2061" s="87"/>
      <c r="AK2061" s="87"/>
      <c r="AL2061" s="87"/>
      <c r="AM2061" s="87"/>
      <c r="AN2061" s="87"/>
      <c r="AO2061" s="87"/>
      <c r="AP2061" s="87"/>
      <c r="AQ2061" s="87" t="s">
        <v>16783</v>
      </c>
      <c r="AR2061" s="87"/>
      <c r="AS2061" s="87"/>
      <c r="AT2061" s="87"/>
      <c r="AU2061" s="87"/>
      <c r="AV2061" s="92" t="str">
        <f>HYPERLINK("https://pbs.twimg.com/media/F5W86yvXgAAFEEL.jpg")</f>
        <v>https://pbs.twimg.com/media/F5W86yvXgAAFEEL.jpg</v>
      </c>
      <c r="AW2061" s="93" t="s">
        <v>20289</v>
      </c>
      <c r="AX2061" s="93" t="s">
        <v>20289</v>
      </c>
      <c r="AY2061" s="87"/>
      <c r="AZ2061" s="93" t="s">
        <v>22668</v>
      </c>
      <c r="BA2061" s="93" t="s">
        <v>22668</v>
      </c>
      <c r="BB2061" s="93" t="s">
        <v>22668</v>
      </c>
      <c r="BC2061" s="93" t="s">
        <v>20289</v>
      </c>
      <c r="BD2061" s="87">
        <v>44992008</v>
      </c>
      <c r="BE2061" s="87"/>
      <c r="BF2061" s="87"/>
      <c r="BG2061" s="87"/>
      <c r="BH2061" s="87"/>
      <c r="BI2061" s="87"/>
    </row>
    <row r="2062" spans="1:61" x14ac:dyDescent="0.25">
      <c r="A2062" s="63" t="s">
        <v>918</v>
      </c>
      <c r="B2062" s="63" t="s">
        <v>918</v>
      </c>
      <c r="C2062" s="64"/>
      <c r="D2062" s="65"/>
      <c r="E2062" s="66"/>
      <c r="F2062" s="67"/>
      <c r="G2062" s="64"/>
      <c r="H2062" s="68"/>
      <c r="I2062" s="69"/>
      <c r="J2062" s="69"/>
      <c r="K2062" s="32"/>
      <c r="L2062" s="76">
        <v>2062</v>
      </c>
      <c r="M2062" s="76"/>
      <c r="N2062" s="71"/>
      <c r="O2062" s="87" t="s">
        <v>179</v>
      </c>
      <c r="P2062" s="90">
        <v>45170.741805555554</v>
      </c>
      <c r="Q2062" s="87" t="s">
        <v>3850</v>
      </c>
      <c r="R2062" s="87">
        <v>0</v>
      </c>
      <c r="S2062" s="87">
        <v>0</v>
      </c>
      <c r="T2062" s="87">
        <v>0</v>
      </c>
      <c r="U2062" s="87">
        <v>0</v>
      </c>
      <c r="V2062" s="87">
        <v>519</v>
      </c>
      <c r="W2062" s="93" t="s">
        <v>7175</v>
      </c>
      <c r="X2062" s="92" t="str">
        <f>HYPERLINK("https://youtu.be/HxV2FEdLuIY")</f>
        <v>https://youtu.be/HxV2FEdLuIY</v>
      </c>
      <c r="Y2062" s="87" t="s">
        <v>8372</v>
      </c>
      <c r="Z2062" s="87"/>
      <c r="AA2062" s="87" t="s">
        <v>9971</v>
      </c>
      <c r="AB2062" s="87" t="s">
        <v>11447</v>
      </c>
      <c r="AC2062" s="93" t="s">
        <v>11457</v>
      </c>
      <c r="AD2062" s="87" t="s">
        <v>11519</v>
      </c>
      <c r="AE2062" s="92" t="str">
        <f>HYPERLINK("https://twitter.com/carufernandes/status/1697667685566320804")</f>
        <v>https://twitter.com/carufernandes/status/1697667685566320804</v>
      </c>
      <c r="AF2062" s="90">
        <v>45170.741805555554</v>
      </c>
      <c r="AG2062" s="99">
        <v>45170</v>
      </c>
      <c r="AH2062" s="93" t="s">
        <v>13405</v>
      </c>
      <c r="AI2062" s="87" t="b">
        <v>0</v>
      </c>
      <c r="AJ2062" s="87"/>
      <c r="AK2062" s="87"/>
      <c r="AL2062" s="87"/>
      <c r="AM2062" s="87"/>
      <c r="AN2062" s="87"/>
      <c r="AO2062" s="87"/>
      <c r="AP2062" s="87"/>
      <c r="AQ2062" s="87" t="s">
        <v>16784</v>
      </c>
      <c r="AR2062" s="87">
        <v>86267</v>
      </c>
      <c r="AS2062" s="87"/>
      <c r="AT2062" s="87"/>
      <c r="AU2062" s="87"/>
      <c r="AV2062" s="92" t="str">
        <f>HYPERLINK("https://pbs.twimg.com/ext_tw_video_thumb/1697667278710476800/pu/img/au3rlsas66rNkveL.jpg")</f>
        <v>https://pbs.twimg.com/ext_tw_video_thumb/1697667278710476800/pu/img/au3rlsas66rNkveL.jpg</v>
      </c>
      <c r="AW2062" s="93" t="s">
        <v>20290</v>
      </c>
      <c r="AX2062" s="93" t="s">
        <v>20290</v>
      </c>
      <c r="AY2062" s="87"/>
      <c r="AZ2062" s="93" t="s">
        <v>22668</v>
      </c>
      <c r="BA2062" s="93" t="s">
        <v>22668</v>
      </c>
      <c r="BB2062" s="93" t="s">
        <v>22668</v>
      </c>
      <c r="BC2062" s="93" t="s">
        <v>20290</v>
      </c>
      <c r="BD2062" s="87">
        <v>44992008</v>
      </c>
      <c r="BE2062" s="87"/>
      <c r="BF2062" s="87"/>
      <c r="BG2062" s="87"/>
      <c r="BH2062" s="87"/>
      <c r="BI2062" s="87"/>
    </row>
    <row r="2063" spans="1:61" x14ac:dyDescent="0.25">
      <c r="A2063" s="63" t="s">
        <v>918</v>
      </c>
      <c r="B2063" s="63" t="s">
        <v>918</v>
      </c>
      <c r="C2063" s="64"/>
      <c r="D2063" s="65"/>
      <c r="E2063" s="66"/>
      <c r="F2063" s="67"/>
      <c r="G2063" s="64"/>
      <c r="H2063" s="68"/>
      <c r="I2063" s="69"/>
      <c r="J2063" s="69"/>
      <c r="K2063" s="32"/>
      <c r="L2063" s="76">
        <v>2063</v>
      </c>
      <c r="M2063" s="76"/>
      <c r="N2063" s="71"/>
      <c r="O2063" s="87" t="s">
        <v>179</v>
      </c>
      <c r="P2063" s="90">
        <v>45161.740416666667</v>
      </c>
      <c r="Q2063" s="87" t="s">
        <v>3851</v>
      </c>
      <c r="R2063" s="87">
        <v>0</v>
      </c>
      <c r="S2063" s="87">
        <v>0</v>
      </c>
      <c r="T2063" s="87">
        <v>0</v>
      </c>
      <c r="U2063" s="87">
        <v>0</v>
      </c>
      <c r="V2063" s="87">
        <v>17</v>
      </c>
      <c r="W2063" s="93" t="s">
        <v>7176</v>
      </c>
      <c r="X2063" s="92" t="str">
        <f>HYPERLINK("https://www.youtube.com/watch?v=IeXjcxapa20")</f>
        <v>https://www.youtube.com/watch?v=IeXjcxapa20</v>
      </c>
      <c r="Y2063" s="87" t="s">
        <v>8380</v>
      </c>
      <c r="Z2063" s="87"/>
      <c r="AA2063" s="87"/>
      <c r="AB2063" s="87"/>
      <c r="AC2063" s="93" t="s">
        <v>11457</v>
      </c>
      <c r="AD2063" s="87" t="s">
        <v>11519</v>
      </c>
      <c r="AE2063" s="92" t="str">
        <f>HYPERLINK("https://twitter.com/carufernandes/status/1694405692684443815")</f>
        <v>https://twitter.com/carufernandes/status/1694405692684443815</v>
      </c>
      <c r="AF2063" s="90">
        <v>45161.740416666667</v>
      </c>
      <c r="AG2063" s="99">
        <v>45161</v>
      </c>
      <c r="AH2063" s="93" t="s">
        <v>13406</v>
      </c>
      <c r="AI2063" s="87" t="b">
        <v>0</v>
      </c>
      <c r="AJ2063" s="87"/>
      <c r="AK2063" s="87"/>
      <c r="AL2063" s="87"/>
      <c r="AM2063" s="87"/>
      <c r="AN2063" s="87"/>
      <c r="AO2063" s="87"/>
      <c r="AP2063" s="87"/>
      <c r="AQ2063" s="87"/>
      <c r="AR2063" s="87"/>
      <c r="AS2063" s="87"/>
      <c r="AT2063" s="87"/>
      <c r="AU2063" s="87"/>
      <c r="AV2063" s="92" t="str">
        <f>HYPERLINK("https://pbs.twimg.com/profile_images/1625150507408039937/yQ47c-X2_normal.jpg")</f>
        <v>https://pbs.twimg.com/profile_images/1625150507408039937/yQ47c-X2_normal.jpg</v>
      </c>
      <c r="AW2063" s="93" t="s">
        <v>20291</v>
      </c>
      <c r="AX2063" s="93" t="s">
        <v>20291</v>
      </c>
      <c r="AY2063" s="87"/>
      <c r="AZ2063" s="93" t="s">
        <v>22668</v>
      </c>
      <c r="BA2063" s="93" t="s">
        <v>22668</v>
      </c>
      <c r="BB2063" s="93" t="s">
        <v>22668</v>
      </c>
      <c r="BC2063" s="93" t="s">
        <v>20291</v>
      </c>
      <c r="BD2063" s="87">
        <v>44992008</v>
      </c>
      <c r="BE2063" s="87"/>
      <c r="BF2063" s="87"/>
      <c r="BG2063" s="87"/>
      <c r="BH2063" s="87"/>
      <c r="BI2063" s="87"/>
    </row>
    <row r="2064" spans="1:61" x14ac:dyDescent="0.25">
      <c r="A2064" s="63" t="s">
        <v>918</v>
      </c>
      <c r="B2064" s="63" t="s">
        <v>918</v>
      </c>
      <c r="C2064" s="64"/>
      <c r="D2064" s="65"/>
      <c r="E2064" s="66"/>
      <c r="F2064" s="67"/>
      <c r="G2064" s="64"/>
      <c r="H2064" s="68"/>
      <c r="I2064" s="69"/>
      <c r="J2064" s="69"/>
      <c r="K2064" s="32"/>
      <c r="L2064" s="76">
        <v>2064</v>
      </c>
      <c r="M2064" s="76"/>
      <c r="N2064" s="71"/>
      <c r="O2064" s="87" t="s">
        <v>179</v>
      </c>
      <c r="P2064" s="90">
        <v>45161.000844907408</v>
      </c>
      <c r="Q2064" s="87" t="s">
        <v>3852</v>
      </c>
      <c r="R2064" s="87">
        <v>0</v>
      </c>
      <c r="S2064" s="87">
        <v>0</v>
      </c>
      <c r="T2064" s="87">
        <v>0</v>
      </c>
      <c r="U2064" s="87">
        <v>0</v>
      </c>
      <c r="V2064" s="87">
        <v>8</v>
      </c>
      <c r="W2064" s="93" t="s">
        <v>7177</v>
      </c>
      <c r="X2064" s="92" t="str">
        <f>HYPERLINK("https://youtu.be/vNSSaDn-4CI")</f>
        <v>https://youtu.be/vNSSaDn-4CI</v>
      </c>
      <c r="Y2064" s="87" t="s">
        <v>8372</v>
      </c>
      <c r="Z2064" s="87"/>
      <c r="AA2064" s="87" t="s">
        <v>9972</v>
      </c>
      <c r="AB2064" s="87" t="s">
        <v>11447</v>
      </c>
      <c r="AC2064" s="93" t="s">
        <v>11457</v>
      </c>
      <c r="AD2064" s="87" t="s">
        <v>11519</v>
      </c>
      <c r="AE2064" s="92" t="str">
        <f>HYPERLINK("https://twitter.com/carufernandes/status/1694137680592810060")</f>
        <v>https://twitter.com/carufernandes/status/1694137680592810060</v>
      </c>
      <c r="AF2064" s="90">
        <v>45161.000844907408</v>
      </c>
      <c r="AG2064" s="99">
        <v>45161</v>
      </c>
      <c r="AH2064" s="93" t="s">
        <v>13407</v>
      </c>
      <c r="AI2064" s="87" t="b">
        <v>0</v>
      </c>
      <c r="AJ2064" s="87"/>
      <c r="AK2064" s="87"/>
      <c r="AL2064" s="87"/>
      <c r="AM2064" s="87"/>
      <c r="AN2064" s="87"/>
      <c r="AO2064" s="87"/>
      <c r="AP2064" s="87"/>
      <c r="AQ2064" s="87" t="s">
        <v>16785</v>
      </c>
      <c r="AR2064" s="87">
        <v>38639</v>
      </c>
      <c r="AS2064" s="87"/>
      <c r="AT2064" s="87"/>
      <c r="AU2064" s="87"/>
      <c r="AV2064" s="92" t="str">
        <f>HYPERLINK("https://pbs.twimg.com/ext_tw_video_thumb/1694137368599490560/pu/img/wIMgpITsuTcIczyt.jpg")</f>
        <v>https://pbs.twimg.com/ext_tw_video_thumb/1694137368599490560/pu/img/wIMgpITsuTcIczyt.jpg</v>
      </c>
      <c r="AW2064" s="93" t="s">
        <v>20292</v>
      </c>
      <c r="AX2064" s="93" t="s">
        <v>20292</v>
      </c>
      <c r="AY2064" s="87"/>
      <c r="AZ2064" s="93" t="s">
        <v>22668</v>
      </c>
      <c r="BA2064" s="93" t="s">
        <v>22668</v>
      </c>
      <c r="BB2064" s="93" t="s">
        <v>22668</v>
      </c>
      <c r="BC2064" s="93" t="s">
        <v>20292</v>
      </c>
      <c r="BD2064" s="87">
        <v>44992008</v>
      </c>
      <c r="BE2064" s="87"/>
      <c r="BF2064" s="87"/>
      <c r="BG2064" s="87"/>
      <c r="BH2064" s="87"/>
      <c r="BI2064" s="87"/>
    </row>
    <row r="2065" spans="1:61" x14ac:dyDescent="0.25">
      <c r="A2065" s="63" t="s">
        <v>918</v>
      </c>
      <c r="B2065" s="63" t="s">
        <v>918</v>
      </c>
      <c r="C2065" s="64"/>
      <c r="D2065" s="65"/>
      <c r="E2065" s="66"/>
      <c r="F2065" s="67"/>
      <c r="G2065" s="64"/>
      <c r="H2065" s="68"/>
      <c r="I2065" s="69"/>
      <c r="J2065" s="69"/>
      <c r="K2065" s="32"/>
      <c r="L2065" s="76">
        <v>2065</v>
      </c>
      <c r="M2065" s="76"/>
      <c r="N2065" s="71"/>
      <c r="O2065" s="87" t="s">
        <v>179</v>
      </c>
      <c r="P2065" s="90">
        <v>45186.91684027778</v>
      </c>
      <c r="Q2065" s="87" t="s">
        <v>3853</v>
      </c>
      <c r="R2065" s="87">
        <v>0</v>
      </c>
      <c r="S2065" s="87">
        <v>0</v>
      </c>
      <c r="T2065" s="87">
        <v>0</v>
      </c>
      <c r="U2065" s="87">
        <v>0</v>
      </c>
      <c r="V2065" s="87">
        <v>6</v>
      </c>
      <c r="W2065" s="93" t="s">
        <v>7178</v>
      </c>
      <c r="X2065" s="92" t="str">
        <f>HYPERLINK("https://www.youtube.com/watch?v=IeXjcxapa20")</f>
        <v>https://www.youtube.com/watch?v=IeXjcxapa20</v>
      </c>
      <c r="Y2065" s="87" t="s">
        <v>8380</v>
      </c>
      <c r="Z2065" s="87"/>
      <c r="AA2065" s="87" t="s">
        <v>9973</v>
      </c>
      <c r="AB2065" s="87" t="s">
        <v>11447</v>
      </c>
      <c r="AC2065" s="93" t="s">
        <v>11462</v>
      </c>
      <c r="AD2065" s="87" t="s">
        <v>11519</v>
      </c>
      <c r="AE2065" s="92" t="str">
        <f>HYPERLINK("https://twitter.com/carufernandes/status/1703529321724260438")</f>
        <v>https://twitter.com/carufernandes/status/1703529321724260438</v>
      </c>
      <c r="AF2065" s="90">
        <v>45186.91684027778</v>
      </c>
      <c r="AG2065" s="99">
        <v>45186</v>
      </c>
      <c r="AH2065" s="93" t="s">
        <v>13408</v>
      </c>
      <c r="AI2065" s="87" t="b">
        <v>0</v>
      </c>
      <c r="AJ2065" s="87"/>
      <c r="AK2065" s="87"/>
      <c r="AL2065" s="87"/>
      <c r="AM2065" s="87"/>
      <c r="AN2065" s="87"/>
      <c r="AO2065" s="87"/>
      <c r="AP2065" s="87"/>
      <c r="AQ2065" s="87" t="s">
        <v>16786</v>
      </c>
      <c r="AR2065" s="87">
        <v>9900</v>
      </c>
      <c r="AS2065" s="87"/>
      <c r="AT2065" s="87"/>
      <c r="AU2065" s="87"/>
      <c r="AV2065" s="92" t="str">
        <f>HYPERLINK("https://pbs.twimg.com/ext_tw_video_thumb/1703529276899831808/pu/img/wCsjFFL37ooJ6TSI.jpg")</f>
        <v>https://pbs.twimg.com/ext_tw_video_thumb/1703529276899831808/pu/img/wCsjFFL37ooJ6TSI.jpg</v>
      </c>
      <c r="AW2065" s="93" t="s">
        <v>20293</v>
      </c>
      <c r="AX2065" s="93" t="s">
        <v>20293</v>
      </c>
      <c r="AY2065" s="87"/>
      <c r="AZ2065" s="93" t="s">
        <v>22668</v>
      </c>
      <c r="BA2065" s="93" t="s">
        <v>22668</v>
      </c>
      <c r="BB2065" s="93" t="s">
        <v>22668</v>
      </c>
      <c r="BC2065" s="93" t="s">
        <v>20293</v>
      </c>
      <c r="BD2065" s="87">
        <v>44992008</v>
      </c>
      <c r="BE2065" s="87"/>
      <c r="BF2065" s="87"/>
      <c r="BG2065" s="87"/>
      <c r="BH2065" s="87"/>
      <c r="BI2065" s="87"/>
    </row>
    <row r="2066" spans="1:61" x14ac:dyDescent="0.25">
      <c r="A2066" s="63" t="s">
        <v>918</v>
      </c>
      <c r="B2066" s="63" t="s">
        <v>918</v>
      </c>
      <c r="C2066" s="64"/>
      <c r="D2066" s="65"/>
      <c r="E2066" s="66"/>
      <c r="F2066" s="67"/>
      <c r="G2066" s="64"/>
      <c r="H2066" s="68"/>
      <c r="I2066" s="69"/>
      <c r="J2066" s="69"/>
      <c r="K2066" s="32"/>
      <c r="L2066" s="76">
        <v>2066</v>
      </c>
      <c r="M2066" s="76"/>
      <c r="N2066" s="71"/>
      <c r="O2066" s="87" t="s">
        <v>179</v>
      </c>
      <c r="P2066" s="90">
        <v>45154.831643518519</v>
      </c>
      <c r="Q2066" s="87" t="s">
        <v>3854</v>
      </c>
      <c r="R2066" s="87">
        <v>0</v>
      </c>
      <c r="S2066" s="87">
        <v>0</v>
      </c>
      <c r="T2066" s="87">
        <v>0</v>
      </c>
      <c r="U2066" s="87">
        <v>0</v>
      </c>
      <c r="V2066" s="87">
        <v>9</v>
      </c>
      <c r="W2066" s="93" t="s">
        <v>7179</v>
      </c>
      <c r="X2066" s="92" t="str">
        <f>HYPERLINK("https://youtu.be/vNSSaDn-4CI")</f>
        <v>https://youtu.be/vNSSaDn-4CI</v>
      </c>
      <c r="Y2066" s="87" t="s">
        <v>8372</v>
      </c>
      <c r="Z2066" s="87"/>
      <c r="AA2066" s="87" t="s">
        <v>9974</v>
      </c>
      <c r="AB2066" s="87" t="s">
        <v>11448</v>
      </c>
      <c r="AC2066" s="93" t="s">
        <v>11457</v>
      </c>
      <c r="AD2066" s="87" t="s">
        <v>11519</v>
      </c>
      <c r="AE2066" s="92" t="str">
        <f>HYPERLINK("https://twitter.com/carufernandes/status/1691902036990636235")</f>
        <v>https://twitter.com/carufernandes/status/1691902036990636235</v>
      </c>
      <c r="AF2066" s="90">
        <v>45154.831643518519</v>
      </c>
      <c r="AG2066" s="99">
        <v>45154</v>
      </c>
      <c r="AH2066" s="93" t="s">
        <v>13409</v>
      </c>
      <c r="AI2066" s="87" t="b">
        <v>0</v>
      </c>
      <c r="AJ2066" s="87"/>
      <c r="AK2066" s="87"/>
      <c r="AL2066" s="87"/>
      <c r="AM2066" s="87"/>
      <c r="AN2066" s="87"/>
      <c r="AO2066" s="87"/>
      <c r="AP2066" s="87"/>
      <c r="AQ2066" s="87" t="s">
        <v>16787</v>
      </c>
      <c r="AR2066" s="87"/>
      <c r="AS2066" s="87"/>
      <c r="AT2066" s="87"/>
      <c r="AU2066" s="87"/>
      <c r="AV2066" s="92" t="str">
        <f>HYPERLINK("https://pbs.twimg.com/media/F3rXOsDWkAAzR18.jpg")</f>
        <v>https://pbs.twimg.com/media/F3rXOsDWkAAzR18.jpg</v>
      </c>
      <c r="AW2066" s="93" t="s">
        <v>20294</v>
      </c>
      <c r="AX2066" s="93" t="s">
        <v>20294</v>
      </c>
      <c r="AY2066" s="87"/>
      <c r="AZ2066" s="93" t="s">
        <v>22668</v>
      </c>
      <c r="BA2066" s="93" t="s">
        <v>22668</v>
      </c>
      <c r="BB2066" s="93" t="s">
        <v>22668</v>
      </c>
      <c r="BC2066" s="93" t="s">
        <v>20294</v>
      </c>
      <c r="BD2066" s="87">
        <v>44992008</v>
      </c>
      <c r="BE2066" s="87"/>
      <c r="BF2066" s="87"/>
      <c r="BG2066" s="87"/>
      <c r="BH2066" s="87"/>
      <c r="BI2066" s="87"/>
    </row>
    <row r="2067" spans="1:61" x14ac:dyDescent="0.25">
      <c r="A2067" s="63" t="s">
        <v>919</v>
      </c>
      <c r="B2067" s="63" t="s">
        <v>919</v>
      </c>
      <c r="C2067" s="64"/>
      <c r="D2067" s="65"/>
      <c r="E2067" s="66"/>
      <c r="F2067" s="67"/>
      <c r="G2067" s="64"/>
      <c r="H2067" s="68"/>
      <c r="I2067" s="69"/>
      <c r="J2067" s="69"/>
      <c r="K2067" s="32"/>
      <c r="L2067" s="76">
        <v>2067</v>
      </c>
      <c r="M2067" s="76"/>
      <c r="N2067" s="71"/>
      <c r="O2067" s="87" t="s">
        <v>179</v>
      </c>
      <c r="P2067" s="90">
        <v>45170.332557870373</v>
      </c>
      <c r="Q2067" s="87" t="s">
        <v>3855</v>
      </c>
      <c r="R2067" s="87">
        <v>0</v>
      </c>
      <c r="S2067" s="87">
        <v>0</v>
      </c>
      <c r="T2067" s="87">
        <v>0</v>
      </c>
      <c r="U2067" s="87">
        <v>0</v>
      </c>
      <c r="V2067" s="87">
        <v>13</v>
      </c>
      <c r="W2067" s="93" t="s">
        <v>7180</v>
      </c>
      <c r="X2067" s="92" t="str">
        <f>HYPERLINK("http://www.imcubaangola.com")</f>
        <v>http://www.imcubaangola.com</v>
      </c>
      <c r="Y2067" s="87" t="s">
        <v>8479</v>
      </c>
      <c r="Z2067" s="87"/>
      <c r="AA2067" s="87" t="s">
        <v>9975</v>
      </c>
      <c r="AB2067" s="87" t="s">
        <v>11448</v>
      </c>
      <c r="AC2067" s="93" t="s">
        <v>11458</v>
      </c>
      <c r="AD2067" s="87" t="s">
        <v>11519</v>
      </c>
      <c r="AE2067" s="92" t="str">
        <f>HYPERLINK("https://twitter.com/imcubaangola/status/1697519382006542844")</f>
        <v>https://twitter.com/imcubaangola/status/1697519382006542844</v>
      </c>
      <c r="AF2067" s="90">
        <v>45170.332557870373</v>
      </c>
      <c r="AG2067" s="99">
        <v>45170</v>
      </c>
      <c r="AH2067" s="93" t="s">
        <v>13410</v>
      </c>
      <c r="AI2067" s="87" t="b">
        <v>0</v>
      </c>
      <c r="AJ2067" s="87"/>
      <c r="AK2067" s="87"/>
      <c r="AL2067" s="87"/>
      <c r="AM2067" s="87"/>
      <c r="AN2067" s="87"/>
      <c r="AO2067" s="87"/>
      <c r="AP2067" s="87"/>
      <c r="AQ2067" s="87" t="s">
        <v>16788</v>
      </c>
      <c r="AR2067" s="87"/>
      <c r="AS2067" s="87"/>
      <c r="AT2067" s="87"/>
      <c r="AU2067" s="87"/>
      <c r="AV2067" s="92" t="str">
        <f>HYPERLINK("https://pbs.twimg.com/media/F47M31-XUAAHNa-.jpg")</f>
        <v>https://pbs.twimg.com/media/F47M31-XUAAHNa-.jpg</v>
      </c>
      <c r="AW2067" s="93" t="s">
        <v>20295</v>
      </c>
      <c r="AX2067" s="93" t="s">
        <v>20295</v>
      </c>
      <c r="AY2067" s="87"/>
      <c r="AZ2067" s="93" t="s">
        <v>22668</v>
      </c>
      <c r="BA2067" s="93" t="s">
        <v>22668</v>
      </c>
      <c r="BB2067" s="93" t="s">
        <v>22668</v>
      </c>
      <c r="BC2067" s="93" t="s">
        <v>20295</v>
      </c>
      <c r="BD2067" s="93" t="s">
        <v>23195</v>
      </c>
      <c r="BE2067" s="87"/>
      <c r="BF2067" s="87"/>
      <c r="BG2067" s="87"/>
      <c r="BH2067" s="87"/>
      <c r="BI2067" s="87"/>
    </row>
    <row r="2068" spans="1:61" x14ac:dyDescent="0.25">
      <c r="A2068" s="63" t="s">
        <v>920</v>
      </c>
      <c r="B2068" s="63" t="s">
        <v>920</v>
      </c>
      <c r="C2068" s="64"/>
      <c r="D2068" s="65"/>
      <c r="E2068" s="66"/>
      <c r="F2068" s="67"/>
      <c r="G2068" s="64"/>
      <c r="H2068" s="68"/>
      <c r="I2068" s="69"/>
      <c r="J2068" s="69"/>
      <c r="K2068" s="32"/>
      <c r="L2068" s="76">
        <v>2068</v>
      </c>
      <c r="M2068" s="76"/>
      <c r="N2068" s="71"/>
      <c r="O2068" s="87" t="s">
        <v>179</v>
      </c>
      <c r="P2068" s="90">
        <v>45115.457372685189</v>
      </c>
      <c r="Q2068" s="87" t="s">
        <v>3856</v>
      </c>
      <c r="R2068" s="87">
        <v>0</v>
      </c>
      <c r="S2068" s="87">
        <v>0</v>
      </c>
      <c r="T2068" s="87">
        <v>0</v>
      </c>
      <c r="U2068" s="87">
        <v>0</v>
      </c>
      <c r="V2068" s="87">
        <v>78</v>
      </c>
      <c r="W2068" s="93" t="s">
        <v>7181</v>
      </c>
      <c r="X2068" s="87"/>
      <c r="Y2068" s="87"/>
      <c r="Z2068" s="87"/>
      <c r="AA2068" s="87" t="s">
        <v>9976</v>
      </c>
      <c r="AB2068" s="87" t="s">
        <v>11447</v>
      </c>
      <c r="AC2068" s="93" t="s">
        <v>11459</v>
      </c>
      <c r="AD2068" s="87" t="s">
        <v>11519</v>
      </c>
      <c r="AE2068" s="92" t="str">
        <f>HYPERLINK("https://twitter.com/zacombisk/status/1677633278386352128")</f>
        <v>https://twitter.com/zacombisk/status/1677633278386352128</v>
      </c>
      <c r="AF2068" s="90">
        <v>45115.457372685189</v>
      </c>
      <c r="AG2068" s="99">
        <v>45115</v>
      </c>
      <c r="AH2068" s="93" t="s">
        <v>13411</v>
      </c>
      <c r="AI2068" s="87" t="b">
        <v>0</v>
      </c>
      <c r="AJ2068" s="87"/>
      <c r="AK2068" s="87"/>
      <c r="AL2068" s="87"/>
      <c r="AM2068" s="87"/>
      <c r="AN2068" s="87"/>
      <c r="AO2068" s="87"/>
      <c r="AP2068" s="87"/>
      <c r="AQ2068" s="87" t="s">
        <v>16789</v>
      </c>
      <c r="AR2068" s="87">
        <v>16880</v>
      </c>
      <c r="AS2068" s="87"/>
      <c r="AT2068" s="87"/>
      <c r="AU2068" s="87"/>
      <c r="AV2068" s="92" t="str">
        <f>HYPERLINK("https://pbs.twimg.com/ext_tw_video_thumb/1677633241023430656/pu/img/dM04XzfLgmeKdSVy.jpg")</f>
        <v>https://pbs.twimg.com/ext_tw_video_thumb/1677633241023430656/pu/img/dM04XzfLgmeKdSVy.jpg</v>
      </c>
      <c r="AW2068" s="93" t="s">
        <v>20296</v>
      </c>
      <c r="AX2068" s="93" t="s">
        <v>20296</v>
      </c>
      <c r="AY2068" s="87"/>
      <c r="AZ2068" s="93" t="s">
        <v>22668</v>
      </c>
      <c r="BA2068" s="93" t="s">
        <v>22668</v>
      </c>
      <c r="BB2068" s="93" t="s">
        <v>22668</v>
      </c>
      <c r="BC2068" s="93" t="s">
        <v>20296</v>
      </c>
      <c r="BD2068" s="93" t="s">
        <v>23196</v>
      </c>
      <c r="BE2068" s="87"/>
      <c r="BF2068" s="87"/>
      <c r="BG2068" s="87"/>
      <c r="BH2068" s="87"/>
      <c r="BI2068" s="87"/>
    </row>
    <row r="2069" spans="1:61" x14ac:dyDescent="0.25">
      <c r="A2069" s="63" t="s">
        <v>920</v>
      </c>
      <c r="B2069" s="63" t="s">
        <v>920</v>
      </c>
      <c r="C2069" s="64"/>
      <c r="D2069" s="65"/>
      <c r="E2069" s="66"/>
      <c r="F2069" s="67"/>
      <c r="G2069" s="64"/>
      <c r="H2069" s="68"/>
      <c r="I2069" s="69"/>
      <c r="J2069" s="69"/>
      <c r="K2069" s="32"/>
      <c r="L2069" s="76">
        <v>2069</v>
      </c>
      <c r="M2069" s="76"/>
      <c r="N2069" s="71"/>
      <c r="O2069" s="87" t="s">
        <v>179</v>
      </c>
      <c r="P2069" s="90">
        <v>45115.082175925927</v>
      </c>
      <c r="Q2069" s="87" t="s">
        <v>3857</v>
      </c>
      <c r="R2069" s="87">
        <v>0</v>
      </c>
      <c r="S2069" s="87">
        <v>0</v>
      </c>
      <c r="T2069" s="87">
        <v>0</v>
      </c>
      <c r="U2069" s="87">
        <v>0</v>
      </c>
      <c r="V2069" s="87">
        <v>65</v>
      </c>
      <c r="W2069" s="93" t="s">
        <v>7181</v>
      </c>
      <c r="X2069" s="87"/>
      <c r="Y2069" s="87"/>
      <c r="Z2069" s="87"/>
      <c r="AA2069" s="87" t="s">
        <v>9977</v>
      </c>
      <c r="AB2069" s="87" t="s">
        <v>11447</v>
      </c>
      <c r="AC2069" s="93" t="s">
        <v>11459</v>
      </c>
      <c r="AD2069" s="87" t="s">
        <v>11519</v>
      </c>
      <c r="AE2069" s="92" t="str">
        <f>HYPERLINK("https://twitter.com/zacombisk/status/1677497311495176192")</f>
        <v>https://twitter.com/zacombisk/status/1677497311495176192</v>
      </c>
      <c r="AF2069" s="90">
        <v>45115.082175925927</v>
      </c>
      <c r="AG2069" s="99">
        <v>45115</v>
      </c>
      <c r="AH2069" s="93" t="s">
        <v>13412</v>
      </c>
      <c r="AI2069" s="87" t="b">
        <v>0</v>
      </c>
      <c r="AJ2069" s="87"/>
      <c r="AK2069" s="87"/>
      <c r="AL2069" s="87"/>
      <c r="AM2069" s="87"/>
      <c r="AN2069" s="87"/>
      <c r="AO2069" s="87"/>
      <c r="AP2069" s="87"/>
      <c r="AQ2069" s="87" t="s">
        <v>16790</v>
      </c>
      <c r="AR2069" s="87">
        <v>6942</v>
      </c>
      <c r="AS2069" s="87"/>
      <c r="AT2069" s="87"/>
      <c r="AU2069" s="87"/>
      <c r="AV2069" s="92" t="str">
        <f>HYPERLINK("https://pbs.twimg.com/ext_tw_video_thumb/1677497284962009089/pu/img/YyGoxAbSFazhFBwJ.jpg")</f>
        <v>https://pbs.twimg.com/ext_tw_video_thumb/1677497284962009089/pu/img/YyGoxAbSFazhFBwJ.jpg</v>
      </c>
      <c r="AW2069" s="93" t="s">
        <v>20297</v>
      </c>
      <c r="AX2069" s="93" t="s">
        <v>20297</v>
      </c>
      <c r="AY2069" s="87"/>
      <c r="AZ2069" s="93" t="s">
        <v>22668</v>
      </c>
      <c r="BA2069" s="93" t="s">
        <v>22668</v>
      </c>
      <c r="BB2069" s="93" t="s">
        <v>22668</v>
      </c>
      <c r="BC2069" s="93" t="s">
        <v>20297</v>
      </c>
      <c r="BD2069" s="93" t="s">
        <v>23196</v>
      </c>
      <c r="BE2069" s="87"/>
      <c r="BF2069" s="87"/>
      <c r="BG2069" s="87"/>
      <c r="BH2069" s="87"/>
      <c r="BI2069" s="87"/>
    </row>
    <row r="2070" spans="1:61" x14ac:dyDescent="0.25">
      <c r="A2070" s="63" t="s">
        <v>920</v>
      </c>
      <c r="B2070" s="63" t="s">
        <v>920</v>
      </c>
      <c r="C2070" s="64"/>
      <c r="D2070" s="65"/>
      <c r="E2070" s="66"/>
      <c r="F2070" s="67"/>
      <c r="G2070" s="64"/>
      <c r="H2070" s="68"/>
      <c r="I2070" s="69"/>
      <c r="J2070" s="69"/>
      <c r="K2070" s="32"/>
      <c r="L2070" s="76">
        <v>2070</v>
      </c>
      <c r="M2070" s="76"/>
      <c r="N2070" s="71"/>
      <c r="O2070" s="87" t="s">
        <v>179</v>
      </c>
      <c r="P2070" s="90">
        <v>45114.925393518519</v>
      </c>
      <c r="Q2070" s="87" t="s">
        <v>3858</v>
      </c>
      <c r="R2070" s="87">
        <v>0</v>
      </c>
      <c r="S2070" s="87">
        <v>0</v>
      </c>
      <c r="T2070" s="87">
        <v>0</v>
      </c>
      <c r="U2070" s="87">
        <v>0</v>
      </c>
      <c r="V2070" s="87">
        <v>117</v>
      </c>
      <c r="W2070" s="93" t="s">
        <v>7181</v>
      </c>
      <c r="X2070" s="87"/>
      <c r="Y2070" s="87"/>
      <c r="Z2070" s="87"/>
      <c r="AA2070" s="87" t="s">
        <v>9978</v>
      </c>
      <c r="AB2070" s="87" t="s">
        <v>11447</v>
      </c>
      <c r="AC2070" s="93" t="s">
        <v>11459</v>
      </c>
      <c r="AD2070" s="87" t="s">
        <v>11519</v>
      </c>
      <c r="AE2070" s="92" t="str">
        <f>HYPERLINK("https://twitter.com/zacombisk/status/1677440496296394752")</f>
        <v>https://twitter.com/zacombisk/status/1677440496296394752</v>
      </c>
      <c r="AF2070" s="90">
        <v>45114.925393518519</v>
      </c>
      <c r="AG2070" s="99">
        <v>45114</v>
      </c>
      <c r="AH2070" s="93" t="s">
        <v>13413</v>
      </c>
      <c r="AI2070" s="87" t="b">
        <v>0</v>
      </c>
      <c r="AJ2070" s="87"/>
      <c r="AK2070" s="87"/>
      <c r="AL2070" s="87"/>
      <c r="AM2070" s="87"/>
      <c r="AN2070" s="87"/>
      <c r="AO2070" s="87"/>
      <c r="AP2070" s="87"/>
      <c r="AQ2070" s="87" t="s">
        <v>16791</v>
      </c>
      <c r="AR2070" s="87">
        <v>6431</v>
      </c>
      <c r="AS2070" s="87"/>
      <c r="AT2070" s="87"/>
      <c r="AU2070" s="87"/>
      <c r="AV2070" s="92" t="str">
        <f>HYPERLINK("https://pbs.twimg.com/ext_tw_video_thumb/1677440463949778944/pu/img/386116OzPy0vS8vw.jpg")</f>
        <v>https://pbs.twimg.com/ext_tw_video_thumb/1677440463949778944/pu/img/386116OzPy0vS8vw.jpg</v>
      </c>
      <c r="AW2070" s="93" t="s">
        <v>20298</v>
      </c>
      <c r="AX2070" s="93" t="s">
        <v>20298</v>
      </c>
      <c r="AY2070" s="87"/>
      <c r="AZ2070" s="93" t="s">
        <v>22668</v>
      </c>
      <c r="BA2070" s="93" t="s">
        <v>22668</v>
      </c>
      <c r="BB2070" s="93" t="s">
        <v>22668</v>
      </c>
      <c r="BC2070" s="93" t="s">
        <v>20298</v>
      </c>
      <c r="BD2070" s="93" t="s">
        <v>23196</v>
      </c>
      <c r="BE2070" s="87"/>
      <c r="BF2070" s="87"/>
      <c r="BG2070" s="87"/>
      <c r="BH2070" s="87"/>
      <c r="BI2070" s="87"/>
    </row>
    <row r="2071" spans="1:61" x14ac:dyDescent="0.25">
      <c r="A2071" s="63" t="s">
        <v>920</v>
      </c>
      <c r="B2071" s="63" t="s">
        <v>920</v>
      </c>
      <c r="C2071" s="64"/>
      <c r="D2071" s="65"/>
      <c r="E2071" s="66"/>
      <c r="F2071" s="67"/>
      <c r="G2071" s="64"/>
      <c r="H2071" s="68"/>
      <c r="I2071" s="69"/>
      <c r="J2071" s="69"/>
      <c r="K2071" s="32"/>
      <c r="L2071" s="76">
        <v>2071</v>
      </c>
      <c r="M2071" s="76"/>
      <c r="N2071" s="71"/>
      <c r="O2071" s="87" t="s">
        <v>179</v>
      </c>
      <c r="P2071" s="90">
        <v>45113.568680555552</v>
      </c>
      <c r="Q2071" s="87" t="s">
        <v>3859</v>
      </c>
      <c r="R2071" s="87">
        <v>0</v>
      </c>
      <c r="S2071" s="87">
        <v>1</v>
      </c>
      <c r="T2071" s="87">
        <v>0</v>
      </c>
      <c r="U2071" s="87">
        <v>0</v>
      </c>
      <c r="V2071" s="87">
        <v>132</v>
      </c>
      <c r="W2071" s="93" t="s">
        <v>7181</v>
      </c>
      <c r="X2071" s="87"/>
      <c r="Y2071" s="87"/>
      <c r="Z2071" s="87"/>
      <c r="AA2071" s="87" t="s">
        <v>9979</v>
      </c>
      <c r="AB2071" s="87" t="s">
        <v>11447</v>
      </c>
      <c r="AC2071" s="93" t="s">
        <v>11459</v>
      </c>
      <c r="AD2071" s="87" t="s">
        <v>11519</v>
      </c>
      <c r="AE2071" s="92" t="str">
        <f>HYPERLINK("https://twitter.com/zacombisk/status/1676948839012634625")</f>
        <v>https://twitter.com/zacombisk/status/1676948839012634625</v>
      </c>
      <c r="AF2071" s="90">
        <v>45113.568680555552</v>
      </c>
      <c r="AG2071" s="99">
        <v>45113</v>
      </c>
      <c r="AH2071" s="93" t="s">
        <v>13414</v>
      </c>
      <c r="AI2071" s="87" t="b">
        <v>0</v>
      </c>
      <c r="AJ2071" s="87"/>
      <c r="AK2071" s="87"/>
      <c r="AL2071" s="87"/>
      <c r="AM2071" s="87"/>
      <c r="AN2071" s="87"/>
      <c r="AO2071" s="87"/>
      <c r="AP2071" s="87"/>
      <c r="AQ2071" s="87" t="s">
        <v>16792</v>
      </c>
      <c r="AR2071" s="87">
        <v>22174</v>
      </c>
      <c r="AS2071" s="87"/>
      <c r="AT2071" s="87"/>
      <c r="AU2071" s="87"/>
      <c r="AV2071" s="92" t="str">
        <f>HYPERLINK("https://pbs.twimg.com/ext_tw_video_thumb/1676948652961693700/pu/img/S4Hm3YZT0y2N-k-p.jpg")</f>
        <v>https://pbs.twimg.com/ext_tw_video_thumb/1676948652961693700/pu/img/S4Hm3YZT0y2N-k-p.jpg</v>
      </c>
      <c r="AW2071" s="93" t="s">
        <v>20299</v>
      </c>
      <c r="AX2071" s="93" t="s">
        <v>20299</v>
      </c>
      <c r="AY2071" s="87"/>
      <c r="AZ2071" s="93" t="s">
        <v>22668</v>
      </c>
      <c r="BA2071" s="93" t="s">
        <v>22668</v>
      </c>
      <c r="BB2071" s="93" t="s">
        <v>22668</v>
      </c>
      <c r="BC2071" s="93" t="s">
        <v>20299</v>
      </c>
      <c r="BD2071" s="93" t="s">
        <v>23196</v>
      </c>
      <c r="BE2071" s="87"/>
      <c r="BF2071" s="87"/>
      <c r="BG2071" s="87"/>
      <c r="BH2071" s="87"/>
      <c r="BI2071" s="87"/>
    </row>
    <row r="2072" spans="1:61" x14ac:dyDescent="0.25">
      <c r="A2072" s="63" t="s">
        <v>921</v>
      </c>
      <c r="B2072" s="63" t="s">
        <v>921</v>
      </c>
      <c r="C2072" s="64"/>
      <c r="D2072" s="65"/>
      <c r="E2072" s="66"/>
      <c r="F2072" s="67"/>
      <c r="G2072" s="64"/>
      <c r="H2072" s="68"/>
      <c r="I2072" s="69"/>
      <c r="J2072" s="69"/>
      <c r="K2072" s="32"/>
      <c r="L2072" s="76">
        <v>2072</v>
      </c>
      <c r="M2072" s="76"/>
      <c r="N2072" s="71"/>
      <c r="O2072" s="87" t="s">
        <v>179</v>
      </c>
      <c r="P2072" s="90">
        <v>45133.776655092595</v>
      </c>
      <c r="Q2072" s="87" t="s">
        <v>3860</v>
      </c>
      <c r="R2072" s="87">
        <v>0</v>
      </c>
      <c r="S2072" s="87">
        <v>0</v>
      </c>
      <c r="T2072" s="87">
        <v>0</v>
      </c>
      <c r="U2072" s="87">
        <v>0</v>
      </c>
      <c r="V2072" s="87">
        <v>10</v>
      </c>
      <c r="W2072" s="93" t="s">
        <v>7182</v>
      </c>
      <c r="X2072" s="92" t="str">
        <f>HYPERLINK("http://www.easybiz.com.br")</f>
        <v>http://www.easybiz.com.br</v>
      </c>
      <c r="Y2072" s="87" t="s">
        <v>8373</v>
      </c>
      <c r="Z2072" s="87"/>
      <c r="AA2072" s="87" t="s">
        <v>9980</v>
      </c>
      <c r="AB2072" s="87" t="s">
        <v>11448</v>
      </c>
      <c r="AC2072" s="93" t="s">
        <v>11457</v>
      </c>
      <c r="AD2072" s="87" t="s">
        <v>11519</v>
      </c>
      <c r="AE2072" s="92" t="str">
        <f>HYPERLINK("https://twitter.com/easybiznegocios/status/1684271965102563339")</f>
        <v>https://twitter.com/easybiznegocios/status/1684271965102563339</v>
      </c>
      <c r="AF2072" s="90">
        <v>45133.776655092595</v>
      </c>
      <c r="AG2072" s="99">
        <v>45133</v>
      </c>
      <c r="AH2072" s="93" t="s">
        <v>13415</v>
      </c>
      <c r="AI2072" s="87" t="b">
        <v>0</v>
      </c>
      <c r="AJ2072" s="87"/>
      <c r="AK2072" s="87"/>
      <c r="AL2072" s="87"/>
      <c r="AM2072" s="87"/>
      <c r="AN2072" s="87"/>
      <c r="AO2072" s="87"/>
      <c r="AP2072" s="87"/>
      <c r="AQ2072" s="87" t="s">
        <v>16793</v>
      </c>
      <c r="AR2072" s="87"/>
      <c r="AS2072" s="87"/>
      <c r="AT2072" s="87"/>
      <c r="AU2072" s="87"/>
      <c r="AV2072" s="92" t="str">
        <f>HYPERLINK("https://pbs.twimg.com/media/F1-7-WKXgAAhjLK.png")</f>
        <v>https://pbs.twimg.com/media/F1-7-WKXgAAhjLK.png</v>
      </c>
      <c r="AW2072" s="93" t="s">
        <v>20300</v>
      </c>
      <c r="AX2072" s="93" t="s">
        <v>20300</v>
      </c>
      <c r="AY2072" s="87"/>
      <c r="AZ2072" s="93" t="s">
        <v>22668</v>
      </c>
      <c r="BA2072" s="93" t="s">
        <v>22668</v>
      </c>
      <c r="BB2072" s="93" t="s">
        <v>22668</v>
      </c>
      <c r="BC2072" s="93" t="s">
        <v>20300</v>
      </c>
      <c r="BD2072" s="93" t="s">
        <v>23197</v>
      </c>
      <c r="BE2072" s="87"/>
      <c r="BF2072" s="87"/>
      <c r="BG2072" s="87"/>
      <c r="BH2072" s="87"/>
      <c r="BI2072" s="87"/>
    </row>
    <row r="2073" spans="1:61" x14ac:dyDescent="0.25">
      <c r="A2073" s="63" t="s">
        <v>921</v>
      </c>
      <c r="B2073" s="63" t="s">
        <v>921</v>
      </c>
      <c r="C2073" s="64"/>
      <c r="D2073" s="65"/>
      <c r="E2073" s="66"/>
      <c r="F2073" s="67"/>
      <c r="G2073" s="64"/>
      <c r="H2073" s="68"/>
      <c r="I2073" s="69"/>
      <c r="J2073" s="69"/>
      <c r="K2073" s="32"/>
      <c r="L2073" s="76">
        <v>2073</v>
      </c>
      <c r="M2073" s="76"/>
      <c r="N2073" s="71"/>
      <c r="O2073" s="87" t="s">
        <v>179</v>
      </c>
      <c r="P2073" s="90">
        <v>45135.708541666667</v>
      </c>
      <c r="Q2073" s="87" t="s">
        <v>3861</v>
      </c>
      <c r="R2073" s="87">
        <v>0</v>
      </c>
      <c r="S2073" s="87">
        <v>1</v>
      </c>
      <c r="T2073" s="87">
        <v>0</v>
      </c>
      <c r="U2073" s="87">
        <v>0</v>
      </c>
      <c r="V2073" s="87">
        <v>13</v>
      </c>
      <c r="W2073" s="93" t="s">
        <v>7183</v>
      </c>
      <c r="X2073" s="92" t="str">
        <f>HYPERLINK("http://www.easybiz.com.br")</f>
        <v>http://www.easybiz.com.br</v>
      </c>
      <c r="Y2073" s="87" t="s">
        <v>8373</v>
      </c>
      <c r="Z2073" s="87"/>
      <c r="AA2073" s="87" t="s">
        <v>9981</v>
      </c>
      <c r="AB2073" s="87" t="s">
        <v>11448</v>
      </c>
      <c r="AC2073" s="93" t="s">
        <v>11458</v>
      </c>
      <c r="AD2073" s="87" t="s">
        <v>11519</v>
      </c>
      <c r="AE2073" s="92" t="str">
        <f>HYPERLINK("https://twitter.com/easybiznegocios/status/1684972058336272388")</f>
        <v>https://twitter.com/easybiznegocios/status/1684972058336272388</v>
      </c>
      <c r="AF2073" s="90">
        <v>45135.708541666667</v>
      </c>
      <c r="AG2073" s="99">
        <v>45135</v>
      </c>
      <c r="AH2073" s="93" t="s">
        <v>13416</v>
      </c>
      <c r="AI2073" s="87" t="b">
        <v>0</v>
      </c>
      <c r="AJ2073" s="87"/>
      <c r="AK2073" s="87"/>
      <c r="AL2073" s="87"/>
      <c r="AM2073" s="87"/>
      <c r="AN2073" s="87"/>
      <c r="AO2073" s="87"/>
      <c r="AP2073" s="87"/>
      <c r="AQ2073" s="87" t="s">
        <v>16794</v>
      </c>
      <c r="AR2073" s="87"/>
      <c r="AS2073" s="87"/>
      <c r="AT2073" s="87"/>
      <c r="AU2073" s="87"/>
      <c r="AV2073" s="92" t="str">
        <f>HYPERLINK("https://pbs.twimg.com/media/F2I5J6pXoAYrDJH.jpg")</f>
        <v>https://pbs.twimg.com/media/F2I5J6pXoAYrDJH.jpg</v>
      </c>
      <c r="AW2073" s="93" t="s">
        <v>20301</v>
      </c>
      <c r="AX2073" s="93" t="s">
        <v>20301</v>
      </c>
      <c r="AY2073" s="87"/>
      <c r="AZ2073" s="93" t="s">
        <v>22668</v>
      </c>
      <c r="BA2073" s="93" t="s">
        <v>22668</v>
      </c>
      <c r="BB2073" s="93" t="s">
        <v>22668</v>
      </c>
      <c r="BC2073" s="93" t="s">
        <v>20301</v>
      </c>
      <c r="BD2073" s="93" t="s">
        <v>23197</v>
      </c>
      <c r="BE2073" s="87"/>
      <c r="BF2073" s="87"/>
      <c r="BG2073" s="87"/>
      <c r="BH2073" s="87"/>
      <c r="BI2073" s="87"/>
    </row>
    <row r="2074" spans="1:61" x14ac:dyDescent="0.25">
      <c r="A2074" s="63" t="s">
        <v>921</v>
      </c>
      <c r="B2074" s="63" t="s">
        <v>921</v>
      </c>
      <c r="C2074" s="64"/>
      <c r="D2074" s="65"/>
      <c r="E2074" s="66"/>
      <c r="F2074" s="67"/>
      <c r="G2074" s="64"/>
      <c r="H2074" s="68"/>
      <c r="I2074" s="69"/>
      <c r="J2074" s="69"/>
      <c r="K2074" s="32"/>
      <c r="L2074" s="76">
        <v>2074</v>
      </c>
      <c r="M2074" s="76"/>
      <c r="N2074" s="71"/>
      <c r="O2074" s="87" t="s">
        <v>179</v>
      </c>
      <c r="P2074" s="90">
        <v>45137.677222222221</v>
      </c>
      <c r="Q2074" s="87" t="s">
        <v>3862</v>
      </c>
      <c r="R2074" s="87">
        <v>0</v>
      </c>
      <c r="S2074" s="87">
        <v>0</v>
      </c>
      <c r="T2074" s="87">
        <v>0</v>
      </c>
      <c r="U2074" s="87">
        <v>0</v>
      </c>
      <c r="V2074" s="87">
        <v>16</v>
      </c>
      <c r="W2074" s="93" t="s">
        <v>7184</v>
      </c>
      <c r="X2074" s="92" t="str">
        <f>HYPERLINK("http://www.easybiz.com.br")</f>
        <v>http://www.easybiz.com.br</v>
      </c>
      <c r="Y2074" s="87" t="s">
        <v>8373</v>
      </c>
      <c r="Z2074" s="87"/>
      <c r="AA2074" s="87" t="s">
        <v>9982</v>
      </c>
      <c r="AB2074" s="87" t="s">
        <v>11448</v>
      </c>
      <c r="AC2074" s="93" t="s">
        <v>11458</v>
      </c>
      <c r="AD2074" s="87" t="s">
        <v>11519</v>
      </c>
      <c r="AE2074" s="92" t="str">
        <f>HYPERLINK("https://twitter.com/easybiznegocios/status/1685685483551051778")</f>
        <v>https://twitter.com/easybiznegocios/status/1685685483551051778</v>
      </c>
      <c r="AF2074" s="90">
        <v>45137.677222222221</v>
      </c>
      <c r="AG2074" s="99">
        <v>45137</v>
      </c>
      <c r="AH2074" s="93" t="s">
        <v>13417</v>
      </c>
      <c r="AI2074" s="87" t="b">
        <v>0</v>
      </c>
      <c r="AJ2074" s="87"/>
      <c r="AK2074" s="87"/>
      <c r="AL2074" s="87"/>
      <c r="AM2074" s="87"/>
      <c r="AN2074" s="87"/>
      <c r="AO2074" s="87"/>
      <c r="AP2074" s="87"/>
      <c r="AQ2074" s="87" t="s">
        <v>16795</v>
      </c>
      <c r="AR2074" s="87"/>
      <c r="AS2074" s="87"/>
      <c r="AT2074" s="87"/>
      <c r="AU2074" s="87"/>
      <c r="AV2074" s="92" t="str">
        <f>HYPERLINK("https://pbs.twimg.com/media/F2TCAowWUAMTEC1.jpg")</f>
        <v>https://pbs.twimg.com/media/F2TCAowWUAMTEC1.jpg</v>
      </c>
      <c r="AW2074" s="93" t="s">
        <v>20302</v>
      </c>
      <c r="AX2074" s="93" t="s">
        <v>20302</v>
      </c>
      <c r="AY2074" s="87"/>
      <c r="AZ2074" s="93" t="s">
        <v>22668</v>
      </c>
      <c r="BA2074" s="93" t="s">
        <v>22668</v>
      </c>
      <c r="BB2074" s="93" t="s">
        <v>22668</v>
      </c>
      <c r="BC2074" s="93" t="s">
        <v>20302</v>
      </c>
      <c r="BD2074" s="93" t="s">
        <v>23197</v>
      </c>
      <c r="BE2074" s="87"/>
      <c r="BF2074" s="87"/>
      <c r="BG2074" s="87"/>
      <c r="BH2074" s="87"/>
      <c r="BI2074" s="87"/>
    </row>
    <row r="2075" spans="1:61" x14ac:dyDescent="0.25">
      <c r="A2075" s="63" t="s">
        <v>921</v>
      </c>
      <c r="B2075" s="63" t="s">
        <v>921</v>
      </c>
      <c r="C2075" s="64"/>
      <c r="D2075" s="65"/>
      <c r="E2075" s="66"/>
      <c r="F2075" s="67"/>
      <c r="G2075" s="64"/>
      <c r="H2075" s="68"/>
      <c r="I2075" s="69"/>
      <c r="J2075" s="69"/>
      <c r="K2075" s="32"/>
      <c r="L2075" s="76">
        <v>2075</v>
      </c>
      <c r="M2075" s="76"/>
      <c r="N2075" s="71"/>
      <c r="O2075" s="87" t="s">
        <v>179</v>
      </c>
      <c r="P2075" s="90">
        <v>45181.893831018519</v>
      </c>
      <c r="Q2075" s="87" t="s">
        <v>3863</v>
      </c>
      <c r="R2075" s="87">
        <v>0</v>
      </c>
      <c r="S2075" s="87">
        <v>0</v>
      </c>
      <c r="T2075" s="87">
        <v>0</v>
      </c>
      <c r="U2075" s="87">
        <v>0</v>
      </c>
      <c r="V2075" s="87">
        <v>7</v>
      </c>
      <c r="W2075" s="93" t="s">
        <v>7185</v>
      </c>
      <c r="X2075" s="92" t="str">
        <f>HYPERLINK("https://www.easybiz.com.br/contato-easy")</f>
        <v>https://www.easybiz.com.br/contato-easy</v>
      </c>
      <c r="Y2075" s="87" t="s">
        <v>8373</v>
      </c>
      <c r="Z2075" s="87"/>
      <c r="AA2075" s="87" t="s">
        <v>9983</v>
      </c>
      <c r="AB2075" s="87" t="s">
        <v>11448</v>
      </c>
      <c r="AC2075" s="93" t="s">
        <v>11458</v>
      </c>
      <c r="AD2075" s="87" t="s">
        <v>11519</v>
      </c>
      <c r="AE2075" s="92" t="str">
        <f>HYPERLINK("https://twitter.com/easybiznegocios/status/1701709046603198491")</f>
        <v>https://twitter.com/easybiznegocios/status/1701709046603198491</v>
      </c>
      <c r="AF2075" s="90">
        <v>45181.893831018519</v>
      </c>
      <c r="AG2075" s="99">
        <v>45181</v>
      </c>
      <c r="AH2075" s="93" t="s">
        <v>13418</v>
      </c>
      <c r="AI2075" s="87" t="b">
        <v>0</v>
      </c>
      <c r="AJ2075" s="87"/>
      <c r="AK2075" s="87"/>
      <c r="AL2075" s="87"/>
      <c r="AM2075" s="87"/>
      <c r="AN2075" s="87"/>
      <c r="AO2075" s="87"/>
      <c r="AP2075" s="87"/>
      <c r="AQ2075" s="87" t="s">
        <v>16796</v>
      </c>
      <c r="AR2075" s="87"/>
      <c r="AS2075" s="87"/>
      <c r="AT2075" s="87"/>
      <c r="AU2075" s="87"/>
      <c r="AV2075" s="92" t="str">
        <f>HYPERLINK("https://pbs.twimg.com/media/F52vWs5XkAAAFEj.jpg")</f>
        <v>https://pbs.twimg.com/media/F52vWs5XkAAAFEj.jpg</v>
      </c>
      <c r="AW2075" s="93" t="s">
        <v>20303</v>
      </c>
      <c r="AX2075" s="93" t="s">
        <v>20303</v>
      </c>
      <c r="AY2075" s="87"/>
      <c r="AZ2075" s="93" t="s">
        <v>22668</v>
      </c>
      <c r="BA2075" s="93" t="s">
        <v>22668</v>
      </c>
      <c r="BB2075" s="93" t="s">
        <v>22668</v>
      </c>
      <c r="BC2075" s="93" t="s">
        <v>20303</v>
      </c>
      <c r="BD2075" s="93" t="s">
        <v>23197</v>
      </c>
      <c r="BE2075" s="87"/>
      <c r="BF2075" s="87"/>
      <c r="BG2075" s="87"/>
      <c r="BH2075" s="87"/>
      <c r="BI2075" s="87"/>
    </row>
    <row r="2076" spans="1:61" x14ac:dyDescent="0.25">
      <c r="A2076" s="63" t="s">
        <v>921</v>
      </c>
      <c r="B2076" s="63" t="s">
        <v>921</v>
      </c>
      <c r="C2076" s="64"/>
      <c r="D2076" s="65"/>
      <c r="E2076" s="66"/>
      <c r="F2076" s="67"/>
      <c r="G2076" s="64"/>
      <c r="H2076" s="68"/>
      <c r="I2076" s="69"/>
      <c r="J2076" s="69"/>
      <c r="K2076" s="32"/>
      <c r="L2076" s="76">
        <v>2076</v>
      </c>
      <c r="M2076" s="76"/>
      <c r="N2076" s="71"/>
      <c r="O2076" s="87" t="s">
        <v>179</v>
      </c>
      <c r="P2076" s="90">
        <v>45190.962500000001</v>
      </c>
      <c r="Q2076" s="87" t="s">
        <v>3864</v>
      </c>
      <c r="R2076" s="87">
        <v>0</v>
      </c>
      <c r="S2076" s="87">
        <v>0</v>
      </c>
      <c r="T2076" s="87">
        <v>0</v>
      </c>
      <c r="U2076" s="87">
        <v>0</v>
      </c>
      <c r="V2076" s="87">
        <v>5</v>
      </c>
      <c r="W2076" s="93" t="s">
        <v>7186</v>
      </c>
      <c r="X2076" s="92" t="str">
        <f>HYPERLINK("http://www.easybiz.com.br")</f>
        <v>http://www.easybiz.com.br</v>
      </c>
      <c r="Y2076" s="87" t="s">
        <v>8373</v>
      </c>
      <c r="Z2076" s="87"/>
      <c r="AA2076" s="87" t="s">
        <v>9984</v>
      </c>
      <c r="AB2076" s="87" t="s">
        <v>11448</v>
      </c>
      <c r="AC2076" s="93" t="s">
        <v>11458</v>
      </c>
      <c r="AD2076" s="87" t="s">
        <v>11519</v>
      </c>
      <c r="AE2076" s="92" t="str">
        <f>HYPERLINK("https://twitter.com/easybiznegocios/status/1704995422651998697")</f>
        <v>https://twitter.com/easybiznegocios/status/1704995422651998697</v>
      </c>
      <c r="AF2076" s="90">
        <v>45190.962500000001</v>
      </c>
      <c r="AG2076" s="99">
        <v>45190</v>
      </c>
      <c r="AH2076" s="93" t="s">
        <v>13419</v>
      </c>
      <c r="AI2076" s="87" t="b">
        <v>0</v>
      </c>
      <c r="AJ2076" s="87"/>
      <c r="AK2076" s="87"/>
      <c r="AL2076" s="87"/>
      <c r="AM2076" s="87"/>
      <c r="AN2076" s="87"/>
      <c r="AO2076" s="87"/>
      <c r="AP2076" s="87"/>
      <c r="AQ2076" s="87" t="s">
        <v>16797</v>
      </c>
      <c r="AR2076" s="87"/>
      <c r="AS2076" s="87"/>
      <c r="AT2076" s="87"/>
      <c r="AU2076" s="87"/>
      <c r="AV2076" s="92" t="str">
        <f>HYPERLINK("https://pbs.twimg.com/media/F6lcS7SWsAMO_cv.jpg")</f>
        <v>https://pbs.twimg.com/media/F6lcS7SWsAMO_cv.jpg</v>
      </c>
      <c r="AW2076" s="93" t="s">
        <v>20304</v>
      </c>
      <c r="AX2076" s="93" t="s">
        <v>20304</v>
      </c>
      <c r="AY2076" s="87"/>
      <c r="AZ2076" s="93" t="s">
        <v>22668</v>
      </c>
      <c r="BA2076" s="93" t="s">
        <v>22668</v>
      </c>
      <c r="BB2076" s="93" t="s">
        <v>22668</v>
      </c>
      <c r="BC2076" s="93" t="s">
        <v>20304</v>
      </c>
      <c r="BD2076" s="93" t="s">
        <v>23197</v>
      </c>
      <c r="BE2076" s="87"/>
      <c r="BF2076" s="87"/>
      <c r="BG2076" s="87"/>
      <c r="BH2076" s="87"/>
      <c r="BI2076" s="87"/>
    </row>
    <row r="2077" spans="1:61" x14ac:dyDescent="0.25">
      <c r="A2077" s="63" t="s">
        <v>922</v>
      </c>
      <c r="B2077" s="63" t="s">
        <v>1700</v>
      </c>
      <c r="C2077" s="64"/>
      <c r="D2077" s="65"/>
      <c r="E2077" s="66"/>
      <c r="F2077" s="67"/>
      <c r="G2077" s="64"/>
      <c r="H2077" s="68"/>
      <c r="I2077" s="69"/>
      <c r="J2077" s="69"/>
      <c r="K2077" s="32"/>
      <c r="L2077" s="76">
        <v>2077</v>
      </c>
      <c r="M2077" s="76"/>
      <c r="N2077" s="71"/>
      <c r="O2077" s="87" t="s">
        <v>1839</v>
      </c>
      <c r="P2077" s="90">
        <v>45167.071712962963</v>
      </c>
      <c r="Q2077" s="87" t="s">
        <v>3865</v>
      </c>
      <c r="R2077" s="87">
        <v>0</v>
      </c>
      <c r="S2077" s="87">
        <v>0</v>
      </c>
      <c r="T2077" s="87">
        <v>0</v>
      </c>
      <c r="U2077" s="87">
        <v>0</v>
      </c>
      <c r="V2077" s="87">
        <v>25</v>
      </c>
      <c r="W2077" s="93" t="s">
        <v>7187</v>
      </c>
      <c r="X2077" s="92" t="str">
        <f>HYPERLINK("https://setorsaude.com.br/hcpa-fomenta-oportunidades-para-novas-ideias-de-solucoes-em-saude-com-programa-inedito/")</f>
        <v>https://setorsaude.com.br/hcpa-fomenta-oportunidades-para-novas-ideias-de-solucoes-em-saude-com-programa-inedito/</v>
      </c>
      <c r="Y2077" s="87" t="s">
        <v>8373</v>
      </c>
      <c r="Z2077" s="87" t="s">
        <v>8587</v>
      </c>
      <c r="AA2077" s="87"/>
      <c r="AB2077" s="87"/>
      <c r="AC2077" s="93" t="s">
        <v>11457</v>
      </c>
      <c r="AD2077" s="87" t="s">
        <v>11519</v>
      </c>
      <c r="AE2077" s="92" t="str">
        <f>HYPERLINK("https://twitter.com/setor_saude/status/1696337689878863935")</f>
        <v>https://twitter.com/setor_saude/status/1696337689878863935</v>
      </c>
      <c r="AF2077" s="90">
        <v>45167.071712962963</v>
      </c>
      <c r="AG2077" s="99">
        <v>45167</v>
      </c>
      <c r="AH2077" s="93" t="s">
        <v>13420</v>
      </c>
      <c r="AI2077" s="87" t="b">
        <v>0</v>
      </c>
      <c r="AJ2077" s="87"/>
      <c r="AK2077" s="87"/>
      <c r="AL2077" s="87"/>
      <c r="AM2077" s="87"/>
      <c r="AN2077" s="87"/>
      <c r="AO2077" s="87"/>
      <c r="AP2077" s="87"/>
      <c r="AQ2077" s="87"/>
      <c r="AR2077" s="87"/>
      <c r="AS2077" s="87"/>
      <c r="AT2077" s="87"/>
      <c r="AU2077" s="87"/>
      <c r="AV2077" s="92" t="str">
        <f>HYPERLINK("https://pbs.twimg.com/profile_images/1455017869520121861/xAUnhapA_normal.jpg")</f>
        <v>https://pbs.twimg.com/profile_images/1455017869520121861/xAUnhapA_normal.jpg</v>
      </c>
      <c r="AW2077" s="93" t="s">
        <v>20305</v>
      </c>
      <c r="AX2077" s="93" t="s">
        <v>20305</v>
      </c>
      <c r="AY2077" s="87"/>
      <c r="AZ2077" s="93" t="s">
        <v>22668</v>
      </c>
      <c r="BA2077" s="93" t="s">
        <v>22668</v>
      </c>
      <c r="BB2077" s="93" t="s">
        <v>22668</v>
      </c>
      <c r="BC2077" s="93" t="s">
        <v>20305</v>
      </c>
      <c r="BD2077" s="87">
        <v>823749648</v>
      </c>
      <c r="BE2077" s="87"/>
      <c r="BF2077" s="87"/>
      <c r="BG2077" s="87"/>
      <c r="BH2077" s="87"/>
      <c r="BI2077" s="87"/>
    </row>
    <row r="2078" spans="1:61" x14ac:dyDescent="0.25">
      <c r="A2078" s="63" t="s">
        <v>922</v>
      </c>
      <c r="B2078" s="63" t="s">
        <v>922</v>
      </c>
      <c r="C2078" s="64"/>
      <c r="D2078" s="65"/>
      <c r="E2078" s="66"/>
      <c r="F2078" s="67"/>
      <c r="G2078" s="64"/>
      <c r="H2078" s="68"/>
      <c r="I2078" s="69"/>
      <c r="J2078" s="69"/>
      <c r="K2078" s="32"/>
      <c r="L2078" s="76">
        <v>2078</v>
      </c>
      <c r="M2078" s="76"/>
      <c r="N2078" s="71"/>
      <c r="O2078" s="87" t="s">
        <v>179</v>
      </c>
      <c r="P2078" s="90">
        <v>45160.800925925927</v>
      </c>
      <c r="Q2078" s="87" t="s">
        <v>3866</v>
      </c>
      <c r="R2078" s="87">
        <v>0</v>
      </c>
      <c r="S2078" s="87">
        <v>0</v>
      </c>
      <c r="T2078" s="87">
        <v>0</v>
      </c>
      <c r="U2078" s="87">
        <v>0</v>
      </c>
      <c r="V2078" s="87">
        <v>15</v>
      </c>
      <c r="W2078" s="93" t="s">
        <v>7188</v>
      </c>
      <c r="X2078" s="92" t="str">
        <f>HYPERLINK("https://setorsaude.com.br/batalha-de-startups-oferece-r200-mil-em-investimentos-durante-a-health-meeting-business-innovation/")</f>
        <v>https://setorsaude.com.br/batalha-de-startups-oferece-r200-mil-em-investimentos-durante-a-health-meeting-business-innovation/</v>
      </c>
      <c r="Y2078" s="87" t="s">
        <v>8373</v>
      </c>
      <c r="Z2078" s="87"/>
      <c r="AA2078" s="87"/>
      <c r="AB2078" s="87"/>
      <c r="AC2078" s="93" t="s">
        <v>11457</v>
      </c>
      <c r="AD2078" s="87" t="s">
        <v>11519</v>
      </c>
      <c r="AE2078" s="92" t="str">
        <f>HYPERLINK("https://twitter.com/setor_saude/status/1694065234191826972")</f>
        <v>https://twitter.com/setor_saude/status/1694065234191826972</v>
      </c>
      <c r="AF2078" s="90">
        <v>45160.800925925927</v>
      </c>
      <c r="AG2078" s="99">
        <v>45160</v>
      </c>
      <c r="AH2078" s="93" t="s">
        <v>13421</v>
      </c>
      <c r="AI2078" s="87" t="b">
        <v>0</v>
      </c>
      <c r="AJ2078" s="87"/>
      <c r="AK2078" s="87"/>
      <c r="AL2078" s="87"/>
      <c r="AM2078" s="87"/>
      <c r="AN2078" s="87"/>
      <c r="AO2078" s="87"/>
      <c r="AP2078" s="87"/>
      <c r="AQ2078" s="87"/>
      <c r="AR2078" s="87"/>
      <c r="AS2078" s="87"/>
      <c r="AT2078" s="87"/>
      <c r="AU2078" s="87"/>
      <c r="AV2078" s="92" t="str">
        <f>HYPERLINK("https://pbs.twimg.com/profile_images/1455017869520121861/xAUnhapA_normal.jpg")</f>
        <v>https://pbs.twimg.com/profile_images/1455017869520121861/xAUnhapA_normal.jpg</v>
      </c>
      <c r="AW2078" s="93" t="s">
        <v>20306</v>
      </c>
      <c r="AX2078" s="93" t="s">
        <v>20306</v>
      </c>
      <c r="AY2078" s="87"/>
      <c r="AZ2078" s="93" t="s">
        <v>22668</v>
      </c>
      <c r="BA2078" s="93" t="s">
        <v>22668</v>
      </c>
      <c r="BB2078" s="93" t="s">
        <v>22668</v>
      </c>
      <c r="BC2078" s="93" t="s">
        <v>20306</v>
      </c>
      <c r="BD2078" s="87">
        <v>823749648</v>
      </c>
      <c r="BE2078" s="87"/>
      <c r="BF2078" s="87"/>
      <c r="BG2078" s="87"/>
      <c r="BH2078" s="87"/>
      <c r="BI2078" s="87"/>
    </row>
    <row r="2079" spans="1:61" x14ac:dyDescent="0.25">
      <c r="A2079" s="63" t="s">
        <v>922</v>
      </c>
      <c r="B2079" s="63" t="s">
        <v>922</v>
      </c>
      <c r="C2079" s="64"/>
      <c r="D2079" s="65"/>
      <c r="E2079" s="66"/>
      <c r="F2079" s="67"/>
      <c r="G2079" s="64"/>
      <c r="H2079" s="68"/>
      <c r="I2079" s="69"/>
      <c r="J2079" s="69"/>
      <c r="K2079" s="32"/>
      <c r="L2079" s="76">
        <v>2079</v>
      </c>
      <c r="M2079" s="76"/>
      <c r="N2079" s="71"/>
      <c r="O2079" s="87" t="s">
        <v>179</v>
      </c>
      <c r="P2079" s="90">
        <v>45174.547222222223</v>
      </c>
      <c r="Q2079" s="87" t="s">
        <v>3867</v>
      </c>
      <c r="R2079" s="87">
        <v>0</v>
      </c>
      <c r="S2079" s="87">
        <v>0</v>
      </c>
      <c r="T2079" s="87">
        <v>0</v>
      </c>
      <c r="U2079" s="87">
        <v>0</v>
      </c>
      <c r="V2079" s="87">
        <v>15</v>
      </c>
      <c r="W2079" s="93" t="s">
        <v>7189</v>
      </c>
      <c r="X2079" s="92" t="str">
        <f>HYPERLINK("https://setorsaude.com.br/gestao-inovacao-e-assistencia-4-0-sao-os-temas-do-forum-health-meeting/")</f>
        <v>https://setorsaude.com.br/gestao-inovacao-e-assistencia-4-0-sao-os-temas-do-forum-health-meeting/</v>
      </c>
      <c r="Y2079" s="87" t="s">
        <v>8373</v>
      </c>
      <c r="Z2079" s="87"/>
      <c r="AA2079" s="87"/>
      <c r="AB2079" s="87"/>
      <c r="AC2079" s="93" t="s">
        <v>11457</v>
      </c>
      <c r="AD2079" s="87" t="s">
        <v>11519</v>
      </c>
      <c r="AE2079" s="92" t="str">
        <f>HYPERLINK("https://twitter.com/setor_saude/status/1699046723178598797")</f>
        <v>https://twitter.com/setor_saude/status/1699046723178598797</v>
      </c>
      <c r="AF2079" s="90">
        <v>45174.547222222223</v>
      </c>
      <c r="AG2079" s="99">
        <v>45174</v>
      </c>
      <c r="AH2079" s="93" t="s">
        <v>12934</v>
      </c>
      <c r="AI2079" s="87" t="b">
        <v>0</v>
      </c>
      <c r="AJ2079" s="87"/>
      <c r="AK2079" s="87"/>
      <c r="AL2079" s="87"/>
      <c r="AM2079" s="87"/>
      <c r="AN2079" s="87"/>
      <c r="AO2079" s="87"/>
      <c r="AP2079" s="87"/>
      <c r="AQ2079" s="87"/>
      <c r="AR2079" s="87"/>
      <c r="AS2079" s="87"/>
      <c r="AT2079" s="87"/>
      <c r="AU2079" s="87"/>
      <c r="AV2079" s="92" t="str">
        <f>HYPERLINK("https://pbs.twimg.com/profile_images/1455017869520121861/xAUnhapA_normal.jpg")</f>
        <v>https://pbs.twimg.com/profile_images/1455017869520121861/xAUnhapA_normal.jpg</v>
      </c>
      <c r="AW2079" s="93" t="s">
        <v>20307</v>
      </c>
      <c r="AX2079" s="93" t="s">
        <v>20307</v>
      </c>
      <c r="AY2079" s="87"/>
      <c r="AZ2079" s="93" t="s">
        <v>22668</v>
      </c>
      <c r="BA2079" s="93" t="s">
        <v>22668</v>
      </c>
      <c r="BB2079" s="93" t="s">
        <v>22668</v>
      </c>
      <c r="BC2079" s="93" t="s">
        <v>20307</v>
      </c>
      <c r="BD2079" s="87">
        <v>823749648</v>
      </c>
      <c r="BE2079" s="87"/>
      <c r="BF2079" s="87"/>
      <c r="BG2079" s="87"/>
      <c r="BH2079" s="87"/>
      <c r="BI2079" s="87"/>
    </row>
    <row r="2080" spans="1:61" x14ac:dyDescent="0.25">
      <c r="A2080" s="63" t="s">
        <v>922</v>
      </c>
      <c r="B2080" s="63" t="s">
        <v>1406</v>
      </c>
      <c r="C2080" s="64"/>
      <c r="D2080" s="65"/>
      <c r="E2080" s="66"/>
      <c r="F2080" s="67"/>
      <c r="G2080" s="64"/>
      <c r="H2080" s="68"/>
      <c r="I2080" s="69"/>
      <c r="J2080" s="69"/>
      <c r="K2080" s="32"/>
      <c r="L2080" s="76">
        <v>2080</v>
      </c>
      <c r="M2080" s="76"/>
      <c r="N2080" s="71"/>
      <c r="O2080" s="87" t="s">
        <v>1839</v>
      </c>
      <c r="P2080" s="90">
        <v>45167.071712962963</v>
      </c>
      <c r="Q2080" s="87" t="s">
        <v>3865</v>
      </c>
      <c r="R2080" s="87">
        <v>0</v>
      </c>
      <c r="S2080" s="87">
        <v>0</v>
      </c>
      <c r="T2080" s="87">
        <v>0</v>
      </c>
      <c r="U2080" s="87">
        <v>0</v>
      </c>
      <c r="V2080" s="87">
        <v>25</v>
      </c>
      <c r="W2080" s="93" t="s">
        <v>7187</v>
      </c>
      <c r="X2080" s="92" t="str">
        <f>HYPERLINK("https://setorsaude.com.br/hcpa-fomenta-oportunidades-para-novas-ideias-de-solucoes-em-saude-com-programa-inedito/")</f>
        <v>https://setorsaude.com.br/hcpa-fomenta-oportunidades-para-novas-ideias-de-solucoes-em-saude-com-programa-inedito/</v>
      </c>
      <c r="Y2080" s="87" t="s">
        <v>8373</v>
      </c>
      <c r="Z2080" s="87" t="s">
        <v>8587</v>
      </c>
      <c r="AA2080" s="87"/>
      <c r="AB2080" s="87"/>
      <c r="AC2080" s="93" t="s">
        <v>11457</v>
      </c>
      <c r="AD2080" s="87" t="s">
        <v>11519</v>
      </c>
      <c r="AE2080" s="92" t="str">
        <f>HYPERLINK("https://twitter.com/setor_saude/status/1696337689878863935")</f>
        <v>https://twitter.com/setor_saude/status/1696337689878863935</v>
      </c>
      <c r="AF2080" s="90">
        <v>45167.071712962963</v>
      </c>
      <c r="AG2080" s="99">
        <v>45167</v>
      </c>
      <c r="AH2080" s="93" t="s">
        <v>13420</v>
      </c>
      <c r="AI2080" s="87" t="b">
        <v>0</v>
      </c>
      <c r="AJ2080" s="87"/>
      <c r="AK2080" s="87"/>
      <c r="AL2080" s="87"/>
      <c r="AM2080" s="87"/>
      <c r="AN2080" s="87"/>
      <c r="AO2080" s="87"/>
      <c r="AP2080" s="87"/>
      <c r="AQ2080" s="87"/>
      <c r="AR2080" s="87"/>
      <c r="AS2080" s="87"/>
      <c r="AT2080" s="87"/>
      <c r="AU2080" s="87"/>
      <c r="AV2080" s="92" t="str">
        <f>HYPERLINK("https://pbs.twimg.com/profile_images/1455017869520121861/xAUnhapA_normal.jpg")</f>
        <v>https://pbs.twimg.com/profile_images/1455017869520121861/xAUnhapA_normal.jpg</v>
      </c>
      <c r="AW2080" s="93" t="s">
        <v>20305</v>
      </c>
      <c r="AX2080" s="93" t="s">
        <v>20305</v>
      </c>
      <c r="AY2080" s="87"/>
      <c r="AZ2080" s="93" t="s">
        <v>22668</v>
      </c>
      <c r="BA2080" s="93" t="s">
        <v>22668</v>
      </c>
      <c r="BB2080" s="93" t="s">
        <v>22668</v>
      </c>
      <c r="BC2080" s="93" t="s">
        <v>20305</v>
      </c>
      <c r="BD2080" s="87">
        <v>823749648</v>
      </c>
      <c r="BE2080" s="87"/>
      <c r="BF2080" s="87"/>
      <c r="BG2080" s="87"/>
      <c r="BH2080" s="87"/>
      <c r="BI2080" s="87"/>
    </row>
    <row r="2081" spans="1:61" x14ac:dyDescent="0.25">
      <c r="A2081" s="63" t="s">
        <v>922</v>
      </c>
      <c r="B2081" s="63" t="s">
        <v>1406</v>
      </c>
      <c r="C2081" s="64"/>
      <c r="D2081" s="65"/>
      <c r="E2081" s="66"/>
      <c r="F2081" s="67"/>
      <c r="G2081" s="64"/>
      <c r="H2081" s="68"/>
      <c r="I2081" s="69"/>
      <c r="J2081" s="69"/>
      <c r="K2081" s="32"/>
      <c r="L2081" s="76">
        <v>2081</v>
      </c>
      <c r="M2081" s="76"/>
      <c r="N2081" s="71"/>
      <c r="O2081" s="87" t="s">
        <v>1839</v>
      </c>
      <c r="P2081" s="90">
        <v>45188.856226851851</v>
      </c>
      <c r="Q2081" s="87" t="s">
        <v>3868</v>
      </c>
      <c r="R2081" s="87">
        <v>0</v>
      </c>
      <c r="S2081" s="87">
        <v>0</v>
      </c>
      <c r="T2081" s="87">
        <v>0</v>
      </c>
      <c r="U2081" s="87">
        <v>0</v>
      </c>
      <c r="V2081" s="87">
        <v>45</v>
      </c>
      <c r="W2081" s="93" t="s">
        <v>7190</v>
      </c>
      <c r="X2081" s="92" t="str">
        <f>HYPERLINK("https://setorsaude.com.br/sebraex-traz-inovacoes-em-saude-para-a-health-meeting-business-innovation/")</f>
        <v>https://setorsaude.com.br/sebraex-traz-inovacoes-em-saude-para-a-health-meeting-business-innovation/</v>
      </c>
      <c r="Y2081" s="87" t="s">
        <v>8373</v>
      </c>
      <c r="Z2081" s="87" t="s">
        <v>1406</v>
      </c>
      <c r="AA2081" s="87"/>
      <c r="AB2081" s="87"/>
      <c r="AC2081" s="93" t="s">
        <v>11457</v>
      </c>
      <c r="AD2081" s="87" t="s">
        <v>11519</v>
      </c>
      <c r="AE2081" s="92" t="str">
        <f>HYPERLINK("https://twitter.com/setor_saude/status/1704232134292992362")</f>
        <v>https://twitter.com/setor_saude/status/1704232134292992362</v>
      </c>
      <c r="AF2081" s="90">
        <v>45188.856226851851</v>
      </c>
      <c r="AG2081" s="99">
        <v>45188</v>
      </c>
      <c r="AH2081" s="93" t="s">
        <v>13422</v>
      </c>
      <c r="AI2081" s="87" t="b">
        <v>0</v>
      </c>
      <c r="AJ2081" s="87"/>
      <c r="AK2081" s="87"/>
      <c r="AL2081" s="87"/>
      <c r="AM2081" s="87"/>
      <c r="AN2081" s="87"/>
      <c r="AO2081" s="87"/>
      <c r="AP2081" s="87"/>
      <c r="AQ2081" s="87"/>
      <c r="AR2081" s="87"/>
      <c r="AS2081" s="87"/>
      <c r="AT2081" s="87"/>
      <c r="AU2081" s="87"/>
      <c r="AV2081" s="92" t="str">
        <f>HYPERLINK("https://pbs.twimg.com/profile_images/1455017869520121861/xAUnhapA_normal.jpg")</f>
        <v>https://pbs.twimg.com/profile_images/1455017869520121861/xAUnhapA_normal.jpg</v>
      </c>
      <c r="AW2081" s="93" t="s">
        <v>20308</v>
      </c>
      <c r="AX2081" s="93" t="s">
        <v>20308</v>
      </c>
      <c r="AY2081" s="87"/>
      <c r="AZ2081" s="93" t="s">
        <v>22668</v>
      </c>
      <c r="BA2081" s="93" t="s">
        <v>22668</v>
      </c>
      <c r="BB2081" s="93" t="s">
        <v>22668</v>
      </c>
      <c r="BC2081" s="93" t="s">
        <v>20308</v>
      </c>
      <c r="BD2081" s="87">
        <v>823749648</v>
      </c>
      <c r="BE2081" s="87"/>
      <c r="BF2081" s="87"/>
      <c r="BG2081" s="87"/>
      <c r="BH2081" s="87"/>
      <c r="BI2081" s="87"/>
    </row>
    <row r="2082" spans="1:61" x14ac:dyDescent="0.25">
      <c r="A2082" s="63" t="s">
        <v>922</v>
      </c>
      <c r="B2082" s="63" t="s">
        <v>922</v>
      </c>
      <c r="C2082" s="64"/>
      <c r="D2082" s="65"/>
      <c r="E2082" s="66"/>
      <c r="F2082" s="67"/>
      <c r="G2082" s="64"/>
      <c r="H2082" s="68"/>
      <c r="I2082" s="69"/>
      <c r="J2082" s="69"/>
      <c r="K2082" s="32"/>
      <c r="L2082" s="76">
        <v>2082</v>
      </c>
      <c r="M2082" s="76"/>
      <c r="N2082" s="71"/>
      <c r="O2082" s="87" t="s">
        <v>179</v>
      </c>
      <c r="P2082" s="90">
        <v>45191.713923611111</v>
      </c>
      <c r="Q2082" s="87" t="s">
        <v>3869</v>
      </c>
      <c r="R2082" s="87">
        <v>0</v>
      </c>
      <c r="S2082" s="87">
        <v>0</v>
      </c>
      <c r="T2082" s="87">
        <v>0</v>
      </c>
      <c r="U2082" s="87">
        <v>0</v>
      </c>
      <c r="V2082" s="87">
        <v>16</v>
      </c>
      <c r="W2082" s="93" t="s">
        <v>7191</v>
      </c>
      <c r="X2082" s="92" t="str">
        <f>HYPERLINK("https://setorsaude.com.br/unicred-porto-alegre-e-uni4life-marcarao-presenca-no-health-meeting-business-innovation/")</f>
        <v>https://setorsaude.com.br/unicred-porto-alegre-e-uni4life-marcarao-presenca-no-health-meeting-business-innovation/</v>
      </c>
      <c r="Y2082" s="87" t="s">
        <v>8373</v>
      </c>
      <c r="Z2082" s="87"/>
      <c r="AA2082" s="87"/>
      <c r="AB2082" s="87"/>
      <c r="AC2082" s="93" t="s">
        <v>11457</v>
      </c>
      <c r="AD2082" s="87" t="s">
        <v>11519</v>
      </c>
      <c r="AE2082" s="92" t="str">
        <f>HYPERLINK("https://twitter.com/setor_saude/status/1705267729610035572")</f>
        <v>https://twitter.com/setor_saude/status/1705267729610035572</v>
      </c>
      <c r="AF2082" s="90">
        <v>45191.713923611111</v>
      </c>
      <c r="AG2082" s="99">
        <v>45191</v>
      </c>
      <c r="AH2082" s="93" t="s">
        <v>13423</v>
      </c>
      <c r="AI2082" s="87" t="b">
        <v>0</v>
      </c>
      <c r="AJ2082" s="87"/>
      <c r="AK2082" s="87"/>
      <c r="AL2082" s="87"/>
      <c r="AM2082" s="87"/>
      <c r="AN2082" s="87"/>
      <c r="AO2082" s="87"/>
      <c r="AP2082" s="87"/>
      <c r="AQ2082" s="87"/>
      <c r="AR2082" s="87"/>
      <c r="AS2082" s="87"/>
      <c r="AT2082" s="87"/>
      <c r="AU2082" s="87"/>
      <c r="AV2082" s="92" t="str">
        <f>HYPERLINK("https://pbs.twimg.com/profile_images/1455017869520121861/xAUnhapA_normal.jpg")</f>
        <v>https://pbs.twimg.com/profile_images/1455017869520121861/xAUnhapA_normal.jpg</v>
      </c>
      <c r="AW2082" s="93" t="s">
        <v>20309</v>
      </c>
      <c r="AX2082" s="93" t="s">
        <v>20309</v>
      </c>
      <c r="AY2082" s="87"/>
      <c r="AZ2082" s="93" t="s">
        <v>22668</v>
      </c>
      <c r="BA2082" s="93" t="s">
        <v>22668</v>
      </c>
      <c r="BB2082" s="93" t="s">
        <v>22668</v>
      </c>
      <c r="BC2082" s="93" t="s">
        <v>20309</v>
      </c>
      <c r="BD2082" s="87">
        <v>823749648</v>
      </c>
      <c r="BE2082" s="87"/>
      <c r="BF2082" s="87"/>
      <c r="BG2082" s="87"/>
      <c r="BH2082" s="87"/>
      <c r="BI2082" s="87"/>
    </row>
    <row r="2083" spans="1:61" x14ac:dyDescent="0.25">
      <c r="A2083" s="63" t="s">
        <v>922</v>
      </c>
      <c r="B2083" s="63" t="s">
        <v>922</v>
      </c>
      <c r="C2083" s="64"/>
      <c r="D2083" s="65"/>
      <c r="E2083" s="66"/>
      <c r="F2083" s="67"/>
      <c r="G2083" s="64"/>
      <c r="H2083" s="68"/>
      <c r="I2083" s="69"/>
      <c r="J2083" s="69"/>
      <c r="K2083" s="32"/>
      <c r="L2083" s="76">
        <v>2083</v>
      </c>
      <c r="M2083" s="76"/>
      <c r="N2083" s="71"/>
      <c r="O2083" s="87" t="s">
        <v>179</v>
      </c>
      <c r="P2083" s="90">
        <v>45171.809791666667</v>
      </c>
      <c r="Q2083" s="87" t="s">
        <v>3870</v>
      </c>
      <c r="R2083" s="87">
        <v>0</v>
      </c>
      <c r="S2083" s="87">
        <v>1</v>
      </c>
      <c r="T2083" s="87">
        <v>0</v>
      </c>
      <c r="U2083" s="87">
        <v>0</v>
      </c>
      <c r="V2083" s="87">
        <v>25</v>
      </c>
      <c r="W2083" s="93" t="s">
        <v>7192</v>
      </c>
      <c r="X2083" s="92" t="str">
        <f>HYPERLINK("https://setorsaude.com.br/batalha-de-startups-oferece-r200-mil-em-investimentos-durante-a-health-meeting-business-innovation/")</f>
        <v>https://setorsaude.com.br/batalha-de-startups-oferece-r200-mil-em-investimentos-durante-a-health-meeting-business-innovation/</v>
      </c>
      <c r="Y2083" s="87" t="s">
        <v>8373</v>
      </c>
      <c r="Z2083" s="87"/>
      <c r="AA2083" s="87"/>
      <c r="AB2083" s="87"/>
      <c r="AC2083" s="93" t="s">
        <v>11457</v>
      </c>
      <c r="AD2083" s="87" t="s">
        <v>11519</v>
      </c>
      <c r="AE2083" s="92" t="str">
        <f>HYPERLINK("https://twitter.com/setor_saude/status/1698054712271024161")</f>
        <v>https://twitter.com/setor_saude/status/1698054712271024161</v>
      </c>
      <c r="AF2083" s="90">
        <v>45171.809791666667</v>
      </c>
      <c r="AG2083" s="99">
        <v>45171</v>
      </c>
      <c r="AH2083" s="93" t="s">
        <v>13424</v>
      </c>
      <c r="AI2083" s="87" t="b">
        <v>0</v>
      </c>
      <c r="AJ2083" s="87"/>
      <c r="AK2083" s="87"/>
      <c r="AL2083" s="87"/>
      <c r="AM2083" s="87"/>
      <c r="AN2083" s="87"/>
      <c r="AO2083" s="87"/>
      <c r="AP2083" s="87"/>
      <c r="AQ2083" s="87"/>
      <c r="AR2083" s="87"/>
      <c r="AS2083" s="87"/>
      <c r="AT2083" s="87"/>
      <c r="AU2083" s="87"/>
      <c r="AV2083" s="92" t="str">
        <f>HYPERLINK("https://pbs.twimg.com/profile_images/1455017869520121861/xAUnhapA_normal.jpg")</f>
        <v>https://pbs.twimg.com/profile_images/1455017869520121861/xAUnhapA_normal.jpg</v>
      </c>
      <c r="AW2083" s="93" t="s">
        <v>20310</v>
      </c>
      <c r="AX2083" s="93" t="s">
        <v>20310</v>
      </c>
      <c r="AY2083" s="87"/>
      <c r="AZ2083" s="93" t="s">
        <v>22668</v>
      </c>
      <c r="BA2083" s="93" t="s">
        <v>22668</v>
      </c>
      <c r="BB2083" s="93" t="s">
        <v>22668</v>
      </c>
      <c r="BC2083" s="93" t="s">
        <v>20310</v>
      </c>
      <c r="BD2083" s="87">
        <v>823749648</v>
      </c>
      <c r="BE2083" s="87"/>
      <c r="BF2083" s="87"/>
      <c r="BG2083" s="87"/>
      <c r="BH2083" s="87"/>
      <c r="BI2083" s="87"/>
    </row>
    <row r="2084" spans="1:61" x14ac:dyDescent="0.25">
      <c r="A2084" s="63" t="s">
        <v>922</v>
      </c>
      <c r="B2084" s="63" t="s">
        <v>922</v>
      </c>
      <c r="C2084" s="64"/>
      <c r="D2084" s="65"/>
      <c r="E2084" s="66"/>
      <c r="F2084" s="67"/>
      <c r="G2084" s="64"/>
      <c r="H2084" s="68"/>
      <c r="I2084" s="69"/>
      <c r="J2084" s="69"/>
      <c r="K2084" s="32"/>
      <c r="L2084" s="76">
        <v>2084</v>
      </c>
      <c r="M2084" s="76"/>
      <c r="N2084" s="71"/>
      <c r="O2084" s="87" t="s">
        <v>179</v>
      </c>
      <c r="P2084" s="90">
        <v>45195.483344907407</v>
      </c>
      <c r="Q2084" s="87" t="s">
        <v>3871</v>
      </c>
      <c r="R2084" s="87">
        <v>0</v>
      </c>
      <c r="S2084" s="87">
        <v>0</v>
      </c>
      <c r="T2084" s="87">
        <v>0</v>
      </c>
      <c r="U2084" s="87">
        <v>0</v>
      </c>
      <c r="V2084" s="87">
        <v>148</v>
      </c>
      <c r="W2084" s="93" t="s">
        <v>7193</v>
      </c>
      <c r="X2084" s="92" t="str">
        <f>HYPERLINK("https://setorsaude.com.br/4-motivos-para-participar-da-health-meeting-business-innovation/")</f>
        <v>https://setorsaude.com.br/4-motivos-para-participar-da-health-meeting-business-innovation/</v>
      </c>
      <c r="Y2084" s="87" t="s">
        <v>8373</v>
      </c>
      <c r="Z2084" s="87"/>
      <c r="AA2084" s="87"/>
      <c r="AB2084" s="87"/>
      <c r="AC2084" s="93" t="s">
        <v>11457</v>
      </c>
      <c r="AD2084" s="87" t="s">
        <v>11519</v>
      </c>
      <c r="AE2084" s="92" t="str">
        <f>HYPERLINK("https://twitter.com/setor_saude/status/1706633719690244279")</f>
        <v>https://twitter.com/setor_saude/status/1706633719690244279</v>
      </c>
      <c r="AF2084" s="90">
        <v>45195.483344907407</v>
      </c>
      <c r="AG2084" s="99">
        <v>45195</v>
      </c>
      <c r="AH2084" s="93" t="s">
        <v>13425</v>
      </c>
      <c r="AI2084" s="87" t="b">
        <v>0</v>
      </c>
      <c r="AJ2084" s="87"/>
      <c r="AK2084" s="87"/>
      <c r="AL2084" s="87"/>
      <c r="AM2084" s="87"/>
      <c r="AN2084" s="87"/>
      <c r="AO2084" s="87"/>
      <c r="AP2084" s="87"/>
      <c r="AQ2084" s="87"/>
      <c r="AR2084" s="87"/>
      <c r="AS2084" s="87"/>
      <c r="AT2084" s="87"/>
      <c r="AU2084" s="87"/>
      <c r="AV2084" s="92" t="str">
        <f>HYPERLINK("https://pbs.twimg.com/profile_images/1455017869520121861/xAUnhapA_normal.jpg")</f>
        <v>https://pbs.twimg.com/profile_images/1455017869520121861/xAUnhapA_normal.jpg</v>
      </c>
      <c r="AW2084" s="93" t="s">
        <v>20311</v>
      </c>
      <c r="AX2084" s="93" t="s">
        <v>20311</v>
      </c>
      <c r="AY2084" s="87"/>
      <c r="AZ2084" s="93" t="s">
        <v>22668</v>
      </c>
      <c r="BA2084" s="93" t="s">
        <v>22668</v>
      </c>
      <c r="BB2084" s="93" t="s">
        <v>22668</v>
      </c>
      <c r="BC2084" s="93" t="s">
        <v>20311</v>
      </c>
      <c r="BD2084" s="87">
        <v>823749648</v>
      </c>
      <c r="BE2084" s="87"/>
      <c r="BF2084" s="87"/>
      <c r="BG2084" s="87"/>
      <c r="BH2084" s="87"/>
      <c r="BI2084" s="87"/>
    </row>
    <row r="2085" spans="1:61" x14ac:dyDescent="0.25">
      <c r="A2085" s="63" t="s">
        <v>922</v>
      </c>
      <c r="B2085" s="63" t="s">
        <v>922</v>
      </c>
      <c r="C2085" s="64"/>
      <c r="D2085" s="65"/>
      <c r="E2085" s="66"/>
      <c r="F2085" s="67"/>
      <c r="G2085" s="64"/>
      <c r="H2085" s="68"/>
      <c r="I2085" s="69"/>
      <c r="J2085" s="69"/>
      <c r="K2085" s="32"/>
      <c r="L2085" s="76">
        <v>2085</v>
      </c>
      <c r="M2085" s="76"/>
      <c r="N2085" s="71"/>
      <c r="O2085" s="87" t="s">
        <v>179</v>
      </c>
      <c r="P2085" s="90">
        <v>45182.776493055557</v>
      </c>
      <c r="Q2085" s="87" t="s">
        <v>3872</v>
      </c>
      <c r="R2085" s="87">
        <v>0</v>
      </c>
      <c r="S2085" s="87">
        <v>1</v>
      </c>
      <c r="T2085" s="87">
        <v>0</v>
      </c>
      <c r="U2085" s="87">
        <v>0</v>
      </c>
      <c r="V2085" s="87">
        <v>112</v>
      </c>
      <c r="W2085" s="93" t="s">
        <v>7194</v>
      </c>
      <c r="X2085" s="92" t="str">
        <f>HYPERLINK("https://setorsaude.com.br/feira-inedita-no-sul-do-brasil-traz-eventos-de-saude-para-porto-alegre/")</f>
        <v>https://setorsaude.com.br/feira-inedita-no-sul-do-brasil-traz-eventos-de-saude-para-porto-alegre/</v>
      </c>
      <c r="Y2085" s="87" t="s">
        <v>8373</v>
      </c>
      <c r="Z2085" s="87"/>
      <c r="AA2085" s="87"/>
      <c r="AB2085" s="87"/>
      <c r="AC2085" s="93" t="s">
        <v>11457</v>
      </c>
      <c r="AD2085" s="87" t="s">
        <v>11519</v>
      </c>
      <c r="AE2085" s="92" t="str">
        <f>HYPERLINK("https://twitter.com/setor_saude/status/1702028913583562910")</f>
        <v>https://twitter.com/setor_saude/status/1702028913583562910</v>
      </c>
      <c r="AF2085" s="90">
        <v>45182.776493055557</v>
      </c>
      <c r="AG2085" s="99">
        <v>45182</v>
      </c>
      <c r="AH2085" s="93" t="s">
        <v>13426</v>
      </c>
      <c r="AI2085" s="87" t="b">
        <v>0</v>
      </c>
      <c r="AJ2085" s="87"/>
      <c r="AK2085" s="87"/>
      <c r="AL2085" s="87"/>
      <c r="AM2085" s="87"/>
      <c r="AN2085" s="87"/>
      <c r="AO2085" s="87"/>
      <c r="AP2085" s="87"/>
      <c r="AQ2085" s="87"/>
      <c r="AR2085" s="87"/>
      <c r="AS2085" s="87"/>
      <c r="AT2085" s="87"/>
      <c r="AU2085" s="87"/>
      <c r="AV2085" s="92" t="str">
        <f>HYPERLINK("https://pbs.twimg.com/profile_images/1455017869520121861/xAUnhapA_normal.jpg")</f>
        <v>https://pbs.twimg.com/profile_images/1455017869520121861/xAUnhapA_normal.jpg</v>
      </c>
      <c r="AW2085" s="93" t="s">
        <v>20312</v>
      </c>
      <c r="AX2085" s="93" t="s">
        <v>20312</v>
      </c>
      <c r="AY2085" s="87"/>
      <c r="AZ2085" s="93" t="s">
        <v>22668</v>
      </c>
      <c r="BA2085" s="93" t="s">
        <v>22668</v>
      </c>
      <c r="BB2085" s="93" t="s">
        <v>22668</v>
      </c>
      <c r="BC2085" s="93" t="s">
        <v>20312</v>
      </c>
      <c r="BD2085" s="87">
        <v>823749648</v>
      </c>
      <c r="BE2085" s="87"/>
      <c r="BF2085" s="87"/>
      <c r="BG2085" s="87"/>
      <c r="BH2085" s="87"/>
      <c r="BI2085" s="87"/>
    </row>
    <row r="2086" spans="1:61" x14ac:dyDescent="0.25">
      <c r="A2086" s="63" t="s">
        <v>922</v>
      </c>
      <c r="B2086" s="63" t="s">
        <v>922</v>
      </c>
      <c r="C2086" s="64"/>
      <c r="D2086" s="65"/>
      <c r="E2086" s="66"/>
      <c r="F2086" s="67"/>
      <c r="G2086" s="64"/>
      <c r="H2086" s="68"/>
      <c r="I2086" s="69"/>
      <c r="J2086" s="69"/>
      <c r="K2086" s="32"/>
      <c r="L2086" s="76">
        <v>2086</v>
      </c>
      <c r="M2086" s="76"/>
      <c r="N2086" s="71"/>
      <c r="O2086" s="87" t="s">
        <v>179</v>
      </c>
      <c r="P2086" s="90">
        <v>45154.096342592595</v>
      </c>
      <c r="Q2086" s="87" t="s">
        <v>3873</v>
      </c>
      <c r="R2086" s="87">
        <v>0</v>
      </c>
      <c r="S2086" s="87">
        <v>0</v>
      </c>
      <c r="T2086" s="87">
        <v>0</v>
      </c>
      <c r="U2086" s="87">
        <v>0</v>
      </c>
      <c r="V2086" s="87">
        <v>18</v>
      </c>
      <c r="W2086" s="93" t="s">
        <v>7195</v>
      </c>
      <c r="X2086" s="92" t="str">
        <f>HYPERLINK("https://setorsaude.com.br/feira-inedita-no-sul-do-brasil-fomenta-debates-sobre-negocios-e-o-futuro-da-saude/")</f>
        <v>https://setorsaude.com.br/feira-inedita-no-sul-do-brasil-fomenta-debates-sobre-negocios-e-o-futuro-da-saude/</v>
      </c>
      <c r="Y2086" s="87" t="s">
        <v>8373</v>
      </c>
      <c r="Z2086" s="87"/>
      <c r="AA2086" s="87"/>
      <c r="AB2086" s="87"/>
      <c r="AC2086" s="93" t="s">
        <v>11457</v>
      </c>
      <c r="AD2086" s="87" t="s">
        <v>11519</v>
      </c>
      <c r="AE2086" s="92" t="str">
        <f>HYPERLINK("https://twitter.com/setor_saude/status/1691635575776764187")</f>
        <v>https://twitter.com/setor_saude/status/1691635575776764187</v>
      </c>
      <c r="AF2086" s="90">
        <v>45154.096342592595</v>
      </c>
      <c r="AG2086" s="99">
        <v>45154</v>
      </c>
      <c r="AH2086" s="93" t="s">
        <v>13427</v>
      </c>
      <c r="AI2086" s="87" t="b">
        <v>0</v>
      </c>
      <c r="AJ2086" s="87"/>
      <c r="AK2086" s="87"/>
      <c r="AL2086" s="87"/>
      <c r="AM2086" s="87"/>
      <c r="AN2086" s="87"/>
      <c r="AO2086" s="87"/>
      <c r="AP2086" s="87"/>
      <c r="AQ2086" s="87"/>
      <c r="AR2086" s="87"/>
      <c r="AS2086" s="87"/>
      <c r="AT2086" s="87"/>
      <c r="AU2086" s="87"/>
      <c r="AV2086" s="92" t="str">
        <f>HYPERLINK("https://pbs.twimg.com/profile_images/1455017869520121861/xAUnhapA_normal.jpg")</f>
        <v>https://pbs.twimg.com/profile_images/1455017869520121861/xAUnhapA_normal.jpg</v>
      </c>
      <c r="AW2086" s="93" t="s">
        <v>20313</v>
      </c>
      <c r="AX2086" s="93" t="s">
        <v>20313</v>
      </c>
      <c r="AY2086" s="87"/>
      <c r="AZ2086" s="93" t="s">
        <v>22668</v>
      </c>
      <c r="BA2086" s="93" t="s">
        <v>22668</v>
      </c>
      <c r="BB2086" s="93" t="s">
        <v>22668</v>
      </c>
      <c r="BC2086" s="93" t="s">
        <v>20313</v>
      </c>
      <c r="BD2086" s="87">
        <v>823749648</v>
      </c>
      <c r="BE2086" s="87"/>
      <c r="BF2086" s="87"/>
      <c r="BG2086" s="87"/>
      <c r="BH2086" s="87"/>
      <c r="BI2086" s="87"/>
    </row>
    <row r="2087" spans="1:61" x14ac:dyDescent="0.25">
      <c r="A2087" s="63" t="s">
        <v>923</v>
      </c>
      <c r="B2087" s="63" t="s">
        <v>923</v>
      </c>
      <c r="C2087" s="64"/>
      <c r="D2087" s="65"/>
      <c r="E2087" s="66"/>
      <c r="F2087" s="67"/>
      <c r="G2087" s="64"/>
      <c r="H2087" s="68"/>
      <c r="I2087" s="69"/>
      <c r="J2087" s="69"/>
      <c r="K2087" s="32"/>
      <c r="L2087" s="76">
        <v>2087</v>
      </c>
      <c r="M2087" s="76"/>
      <c r="N2087" s="71"/>
      <c r="O2087" s="87" t="s">
        <v>179</v>
      </c>
      <c r="P2087" s="90">
        <v>45123.10255787037</v>
      </c>
      <c r="Q2087" s="87" t="s">
        <v>3874</v>
      </c>
      <c r="R2087" s="87">
        <v>1</v>
      </c>
      <c r="S2087" s="87">
        <v>3</v>
      </c>
      <c r="T2087" s="87">
        <v>1</v>
      </c>
      <c r="U2087" s="87">
        <v>0</v>
      </c>
      <c r="V2087" s="87">
        <v>681</v>
      </c>
      <c r="W2087" s="93" t="s">
        <v>7196</v>
      </c>
      <c r="X2087" s="87"/>
      <c r="Y2087" s="87"/>
      <c r="Z2087" s="87"/>
      <c r="AA2087" s="87" t="s">
        <v>9985</v>
      </c>
      <c r="AB2087" s="87" t="s">
        <v>11447</v>
      </c>
      <c r="AC2087" s="93" t="s">
        <v>11459</v>
      </c>
      <c r="AD2087" s="87" t="s">
        <v>11519</v>
      </c>
      <c r="AE2087" s="92" t="str">
        <f>HYPERLINK("https://twitter.com/jerlan_7/status/1680403800799039488")</f>
        <v>https://twitter.com/jerlan_7/status/1680403800799039488</v>
      </c>
      <c r="AF2087" s="90">
        <v>45123.10255787037</v>
      </c>
      <c r="AG2087" s="99">
        <v>45123</v>
      </c>
      <c r="AH2087" s="93" t="s">
        <v>13428</v>
      </c>
      <c r="AI2087" s="87" t="b">
        <v>0</v>
      </c>
      <c r="AJ2087" s="87"/>
      <c r="AK2087" s="87"/>
      <c r="AL2087" s="87"/>
      <c r="AM2087" s="87"/>
      <c r="AN2087" s="87"/>
      <c r="AO2087" s="87"/>
      <c r="AP2087" s="87"/>
      <c r="AQ2087" s="87" t="s">
        <v>16798</v>
      </c>
      <c r="AR2087" s="87">
        <v>23480</v>
      </c>
      <c r="AS2087" s="87"/>
      <c r="AT2087" s="87"/>
      <c r="AU2087" s="87"/>
      <c r="AV2087" s="92" t="str">
        <f>HYPERLINK("https://pbs.twimg.com/ext_tw_video_thumb/1680403769928941569/pu/img/u5SYb-18lYSA6JqO.jpg")</f>
        <v>https://pbs.twimg.com/ext_tw_video_thumb/1680403769928941569/pu/img/u5SYb-18lYSA6JqO.jpg</v>
      </c>
      <c r="AW2087" s="93" t="s">
        <v>20314</v>
      </c>
      <c r="AX2087" s="93" t="s">
        <v>20314</v>
      </c>
      <c r="AY2087" s="87"/>
      <c r="AZ2087" s="93" t="s">
        <v>22668</v>
      </c>
      <c r="BA2087" s="93" t="s">
        <v>22668</v>
      </c>
      <c r="BB2087" s="93" t="s">
        <v>22668</v>
      </c>
      <c r="BC2087" s="93" t="s">
        <v>20314</v>
      </c>
      <c r="BD2087" s="93" t="s">
        <v>23198</v>
      </c>
      <c r="BE2087" s="87"/>
      <c r="BF2087" s="87"/>
      <c r="BG2087" s="87"/>
      <c r="BH2087" s="87"/>
      <c r="BI2087" s="87"/>
    </row>
    <row r="2088" spans="1:61" x14ac:dyDescent="0.25">
      <c r="A2088" s="63" t="s">
        <v>924</v>
      </c>
      <c r="B2088" s="63" t="s">
        <v>924</v>
      </c>
      <c r="C2088" s="64"/>
      <c r="D2088" s="65"/>
      <c r="E2088" s="66"/>
      <c r="F2088" s="67"/>
      <c r="G2088" s="64"/>
      <c r="H2088" s="68"/>
      <c r="I2088" s="69"/>
      <c r="J2088" s="69"/>
      <c r="K2088" s="32"/>
      <c r="L2088" s="76">
        <v>2088</v>
      </c>
      <c r="M2088" s="76"/>
      <c r="N2088" s="71"/>
      <c r="O2088" s="87" t="s">
        <v>179</v>
      </c>
      <c r="P2088" s="90">
        <v>45152.51966435185</v>
      </c>
      <c r="Q2088" s="87" t="s">
        <v>3875</v>
      </c>
      <c r="R2088" s="87">
        <v>2</v>
      </c>
      <c r="S2088" s="87">
        <v>2</v>
      </c>
      <c r="T2088" s="87">
        <v>0</v>
      </c>
      <c r="U2088" s="87">
        <v>0</v>
      </c>
      <c r="V2088" s="87">
        <v>29</v>
      </c>
      <c r="W2088" s="93" t="s">
        <v>7197</v>
      </c>
      <c r="X2088" s="92" t="str">
        <f>HYPERLINK("https://www.mindtek.com.br/2023/08/guia-inovacao-tecnologica-empresas/")</f>
        <v>https://www.mindtek.com.br/2023/08/guia-inovacao-tecnologica-empresas/</v>
      </c>
      <c r="Y2088" s="87" t="s">
        <v>8373</v>
      </c>
      <c r="Z2088" s="87"/>
      <c r="AA2088" s="87"/>
      <c r="AB2088" s="87"/>
      <c r="AC2088" s="93" t="s">
        <v>11457</v>
      </c>
      <c r="AD2088" s="87" t="s">
        <v>11519</v>
      </c>
      <c r="AE2088" s="92" t="str">
        <f>HYPERLINK("https://twitter.com/mindtekbr/status/1691064206513053696")</f>
        <v>https://twitter.com/mindtekbr/status/1691064206513053696</v>
      </c>
      <c r="AF2088" s="90">
        <v>45152.51966435185</v>
      </c>
      <c r="AG2088" s="99">
        <v>45152</v>
      </c>
      <c r="AH2088" s="93" t="s">
        <v>13429</v>
      </c>
      <c r="AI2088" s="87" t="b">
        <v>0</v>
      </c>
      <c r="AJ2088" s="87"/>
      <c r="AK2088" s="87"/>
      <c r="AL2088" s="87"/>
      <c r="AM2088" s="87"/>
      <c r="AN2088" s="87"/>
      <c r="AO2088" s="87"/>
      <c r="AP2088" s="87"/>
      <c r="AQ2088" s="87"/>
      <c r="AR2088" s="87"/>
      <c r="AS2088" s="87"/>
      <c r="AT2088" s="87"/>
      <c r="AU2088" s="87"/>
      <c r="AV2088" s="92" t="str">
        <f>HYPERLINK("https://pbs.twimg.com/profile_images/1620770353969614848/ncv6mtE1_normal.jpg")</f>
        <v>https://pbs.twimg.com/profile_images/1620770353969614848/ncv6mtE1_normal.jpg</v>
      </c>
      <c r="AW2088" s="93" t="s">
        <v>20315</v>
      </c>
      <c r="AX2088" s="93" t="s">
        <v>20315</v>
      </c>
      <c r="AY2088" s="87"/>
      <c r="AZ2088" s="93" t="s">
        <v>22668</v>
      </c>
      <c r="BA2088" s="93" t="s">
        <v>22668</v>
      </c>
      <c r="BB2088" s="93" t="s">
        <v>22668</v>
      </c>
      <c r="BC2088" s="93" t="s">
        <v>20315</v>
      </c>
      <c r="BD2088" s="87">
        <v>1186422144</v>
      </c>
      <c r="BE2088" s="87"/>
      <c r="BF2088" s="87"/>
      <c r="BG2088" s="87"/>
      <c r="BH2088" s="87"/>
      <c r="BI2088" s="87"/>
    </row>
    <row r="2089" spans="1:61" x14ac:dyDescent="0.25">
      <c r="A2089" s="63" t="s">
        <v>925</v>
      </c>
      <c r="B2089" s="63" t="s">
        <v>925</v>
      </c>
      <c r="C2089" s="64"/>
      <c r="D2089" s="65"/>
      <c r="E2089" s="66"/>
      <c r="F2089" s="67"/>
      <c r="G2089" s="64"/>
      <c r="H2089" s="68"/>
      <c r="I2089" s="69"/>
      <c r="J2089" s="69"/>
      <c r="K2089" s="32"/>
      <c r="L2089" s="76">
        <v>2089</v>
      </c>
      <c r="M2089" s="76"/>
      <c r="N2089" s="71"/>
      <c r="O2089" s="87" t="s">
        <v>179</v>
      </c>
      <c r="P2089" s="90">
        <v>45126.458460648151</v>
      </c>
      <c r="Q2089" s="87" t="s">
        <v>3876</v>
      </c>
      <c r="R2089" s="87">
        <v>0</v>
      </c>
      <c r="S2089" s="87">
        <v>0</v>
      </c>
      <c r="T2089" s="87">
        <v>1</v>
      </c>
      <c r="U2089" s="87">
        <v>0</v>
      </c>
      <c r="V2089" s="87">
        <v>21</v>
      </c>
      <c r="W2089" s="93" t="s">
        <v>7198</v>
      </c>
      <c r="X2089" s="87"/>
      <c r="Y2089" s="87"/>
      <c r="Z2089" s="87"/>
      <c r="AA2089" s="87" t="s">
        <v>9986</v>
      </c>
      <c r="AB2089" s="87" t="s">
        <v>11448</v>
      </c>
      <c r="AC2089" s="93" t="s">
        <v>11457</v>
      </c>
      <c r="AD2089" s="87" t="s">
        <v>11519</v>
      </c>
      <c r="AE2089" s="92" t="str">
        <f>HYPERLINK("https://twitter.com/awebmor/status/1681619940732698626")</f>
        <v>https://twitter.com/awebmor/status/1681619940732698626</v>
      </c>
      <c r="AF2089" s="90">
        <v>45126.458460648151</v>
      </c>
      <c r="AG2089" s="99">
        <v>45126</v>
      </c>
      <c r="AH2089" s="93" t="s">
        <v>13430</v>
      </c>
      <c r="AI2089" s="87" t="b">
        <v>0</v>
      </c>
      <c r="AJ2089" s="87"/>
      <c r="AK2089" s="87"/>
      <c r="AL2089" s="87"/>
      <c r="AM2089" s="87"/>
      <c r="AN2089" s="87"/>
      <c r="AO2089" s="87"/>
      <c r="AP2089" s="87"/>
      <c r="AQ2089" s="87" t="s">
        <v>16799</v>
      </c>
      <c r="AR2089" s="87"/>
      <c r="AS2089" s="87"/>
      <c r="AT2089" s="87"/>
      <c r="AU2089" s="87"/>
      <c r="AV2089" s="92" t="str">
        <f>HYPERLINK("https://pbs.twimg.com/media/F1ZP69iWAAALHgo.jpg")</f>
        <v>https://pbs.twimg.com/media/F1ZP69iWAAALHgo.jpg</v>
      </c>
      <c r="AW2089" s="93" t="s">
        <v>20316</v>
      </c>
      <c r="AX2089" s="93" t="s">
        <v>20316</v>
      </c>
      <c r="AY2089" s="87"/>
      <c r="AZ2089" s="93" t="s">
        <v>22668</v>
      </c>
      <c r="BA2089" s="93" t="s">
        <v>22668</v>
      </c>
      <c r="BB2089" s="93" t="s">
        <v>22668</v>
      </c>
      <c r="BC2089" s="93" t="s">
        <v>20316</v>
      </c>
      <c r="BD2089" s="93" t="s">
        <v>23199</v>
      </c>
      <c r="BE2089" s="87"/>
      <c r="BF2089" s="87"/>
      <c r="BG2089" s="87"/>
      <c r="BH2089" s="87"/>
      <c r="BI2089" s="87"/>
    </row>
    <row r="2090" spans="1:61" x14ac:dyDescent="0.25">
      <c r="A2090" s="63" t="s">
        <v>926</v>
      </c>
      <c r="B2090" s="63" t="s">
        <v>926</v>
      </c>
      <c r="C2090" s="64"/>
      <c r="D2090" s="65"/>
      <c r="E2090" s="66"/>
      <c r="F2090" s="67"/>
      <c r="G2090" s="64"/>
      <c r="H2090" s="68"/>
      <c r="I2090" s="69"/>
      <c r="J2090" s="69"/>
      <c r="K2090" s="32"/>
      <c r="L2090" s="76">
        <v>2090</v>
      </c>
      <c r="M2090" s="76"/>
      <c r="N2090" s="71"/>
      <c r="O2090" s="87" t="s">
        <v>179</v>
      </c>
      <c r="P2090" s="90">
        <v>45118.874479166669</v>
      </c>
      <c r="Q2090" s="87" t="s">
        <v>3877</v>
      </c>
      <c r="R2090" s="87">
        <v>0</v>
      </c>
      <c r="S2090" s="87">
        <v>0</v>
      </c>
      <c r="T2090" s="87">
        <v>0</v>
      </c>
      <c r="U2090" s="87">
        <v>0</v>
      </c>
      <c r="V2090" s="87">
        <v>7</v>
      </c>
      <c r="W2090" s="93" t="s">
        <v>7199</v>
      </c>
      <c r="X2090" s="92" t="str">
        <f>HYPERLINK("https://bit.ly/3OatquL")</f>
        <v>https://bit.ly/3OatquL</v>
      </c>
      <c r="Y2090" s="87" t="s">
        <v>8374</v>
      </c>
      <c r="Z2090" s="87"/>
      <c r="AA2090" s="87"/>
      <c r="AB2090" s="87"/>
      <c r="AC2090" s="93" t="s">
        <v>11457</v>
      </c>
      <c r="AD2090" s="87" t="s">
        <v>11519</v>
      </c>
      <c r="AE2090" s="92" t="str">
        <f>HYPERLINK("https://twitter.com/dolcarajas/status/1678871596621000704")</f>
        <v>https://twitter.com/dolcarajas/status/1678871596621000704</v>
      </c>
      <c r="AF2090" s="90">
        <v>45118.874479166669</v>
      </c>
      <c r="AG2090" s="99">
        <v>45118</v>
      </c>
      <c r="AH2090" s="93" t="s">
        <v>13431</v>
      </c>
      <c r="AI2090" s="87" t="b">
        <v>0</v>
      </c>
      <c r="AJ2090" s="87"/>
      <c r="AK2090" s="87"/>
      <c r="AL2090" s="87"/>
      <c r="AM2090" s="87"/>
      <c r="AN2090" s="87"/>
      <c r="AO2090" s="87"/>
      <c r="AP2090" s="87"/>
      <c r="AQ2090" s="87"/>
      <c r="AR2090" s="87"/>
      <c r="AS2090" s="87"/>
      <c r="AT2090" s="87"/>
      <c r="AU2090" s="87"/>
      <c r="AV2090" s="92" t="str">
        <f>HYPERLINK("https://pbs.twimg.com/profile_images/1598322970006634500/3Yujn1Iq_normal.jpg")</f>
        <v>https://pbs.twimg.com/profile_images/1598322970006634500/3Yujn1Iq_normal.jpg</v>
      </c>
      <c r="AW2090" s="93" t="s">
        <v>20317</v>
      </c>
      <c r="AX2090" s="93" t="s">
        <v>20317</v>
      </c>
      <c r="AY2090" s="87"/>
      <c r="AZ2090" s="93" t="s">
        <v>22668</v>
      </c>
      <c r="BA2090" s="93" t="s">
        <v>22668</v>
      </c>
      <c r="BB2090" s="93" t="s">
        <v>22668</v>
      </c>
      <c r="BC2090" s="93" t="s">
        <v>20317</v>
      </c>
      <c r="BD2090" s="93" t="s">
        <v>23200</v>
      </c>
      <c r="BE2090" s="87"/>
      <c r="BF2090" s="87"/>
      <c r="BG2090" s="87"/>
      <c r="BH2090" s="87"/>
      <c r="BI2090" s="87"/>
    </row>
    <row r="2091" spans="1:61" x14ac:dyDescent="0.25">
      <c r="A2091" s="63" t="s">
        <v>927</v>
      </c>
      <c r="B2091" s="63" t="s">
        <v>1701</v>
      </c>
      <c r="C2091" s="64"/>
      <c r="D2091" s="65"/>
      <c r="E2091" s="66"/>
      <c r="F2091" s="67"/>
      <c r="G2091" s="64"/>
      <c r="H2091" s="68"/>
      <c r="I2091" s="69"/>
      <c r="J2091" s="69"/>
      <c r="K2091" s="32"/>
      <c r="L2091" s="76">
        <v>2091</v>
      </c>
      <c r="M2091" s="76"/>
      <c r="N2091" s="71"/>
      <c r="O2091" s="87" t="s">
        <v>1839</v>
      </c>
      <c r="P2091" s="90">
        <v>45123.575324074074</v>
      </c>
      <c r="Q2091" s="87" t="s">
        <v>3878</v>
      </c>
      <c r="R2091" s="87">
        <v>1</v>
      </c>
      <c r="S2091" s="87">
        <v>2</v>
      </c>
      <c r="T2091" s="87">
        <v>0</v>
      </c>
      <c r="U2091" s="87">
        <v>0</v>
      </c>
      <c r="V2091" s="87">
        <v>17</v>
      </c>
      <c r="W2091" s="93" t="s">
        <v>7200</v>
      </c>
      <c r="X2091" s="92" t="str">
        <f>HYPERLINK("https://youtu.be/oxM7MMCbkvQ")</f>
        <v>https://youtu.be/oxM7MMCbkvQ</v>
      </c>
      <c r="Y2091" s="87" t="s">
        <v>8372</v>
      </c>
      <c r="Z2091" s="87" t="s">
        <v>8588</v>
      </c>
      <c r="AA2091" s="87"/>
      <c r="AB2091" s="87"/>
      <c r="AC2091" s="93" t="s">
        <v>11457</v>
      </c>
      <c r="AD2091" s="87" t="s">
        <v>11519</v>
      </c>
      <c r="AE2091" s="92" t="str">
        <f>HYPERLINK("https://twitter.com/victorgaete/status/1680575127874854912")</f>
        <v>https://twitter.com/victorgaete/status/1680575127874854912</v>
      </c>
      <c r="AF2091" s="90">
        <v>45123.575324074074</v>
      </c>
      <c r="AG2091" s="99">
        <v>45123</v>
      </c>
      <c r="AH2091" s="93" t="s">
        <v>13432</v>
      </c>
      <c r="AI2091" s="87" t="b">
        <v>0</v>
      </c>
      <c r="AJ2091" s="87"/>
      <c r="AK2091" s="87"/>
      <c r="AL2091" s="87"/>
      <c r="AM2091" s="87"/>
      <c r="AN2091" s="87"/>
      <c r="AO2091" s="87"/>
      <c r="AP2091" s="87"/>
      <c r="AQ2091" s="87"/>
      <c r="AR2091" s="87"/>
      <c r="AS2091" s="87"/>
      <c r="AT2091" s="87"/>
      <c r="AU2091" s="87"/>
      <c r="AV2091" s="92" t="str">
        <f>HYPERLINK("https://pbs.twimg.com/profile_images/1483038877384425474/8Kl4p-Eu_normal.jpg")</f>
        <v>https://pbs.twimg.com/profile_images/1483038877384425474/8Kl4p-Eu_normal.jpg</v>
      </c>
      <c r="AW2091" s="93" t="s">
        <v>20318</v>
      </c>
      <c r="AX2091" s="93" t="s">
        <v>20318</v>
      </c>
      <c r="AY2091" s="87"/>
      <c r="AZ2091" s="93" t="s">
        <v>22668</v>
      </c>
      <c r="BA2091" s="93" t="s">
        <v>22668</v>
      </c>
      <c r="BB2091" s="93" t="s">
        <v>22668</v>
      </c>
      <c r="BC2091" s="93" t="s">
        <v>20318</v>
      </c>
      <c r="BD2091" s="87">
        <v>32441551</v>
      </c>
      <c r="BE2091" s="87"/>
      <c r="BF2091" s="87"/>
      <c r="BG2091" s="87"/>
      <c r="BH2091" s="87"/>
      <c r="BI2091" s="87"/>
    </row>
    <row r="2092" spans="1:61" x14ac:dyDescent="0.25">
      <c r="A2092" s="63" t="s">
        <v>927</v>
      </c>
      <c r="B2092" s="63" t="s">
        <v>1701</v>
      </c>
      <c r="C2092" s="64"/>
      <c r="D2092" s="65"/>
      <c r="E2092" s="66"/>
      <c r="F2092" s="67"/>
      <c r="G2092" s="64"/>
      <c r="H2092" s="68"/>
      <c r="I2092" s="69"/>
      <c r="J2092" s="69"/>
      <c r="K2092" s="32"/>
      <c r="L2092" s="76">
        <v>2092</v>
      </c>
      <c r="M2092" s="76"/>
      <c r="N2092" s="71"/>
      <c r="O2092" s="87" t="s">
        <v>1839</v>
      </c>
      <c r="P2092" s="90">
        <v>45122.614155092589</v>
      </c>
      <c r="Q2092" s="87" t="s">
        <v>3878</v>
      </c>
      <c r="R2092" s="87">
        <v>0</v>
      </c>
      <c r="S2092" s="87">
        <v>2</v>
      </c>
      <c r="T2092" s="87">
        <v>0</v>
      </c>
      <c r="U2092" s="87">
        <v>0</v>
      </c>
      <c r="V2092" s="87">
        <v>16</v>
      </c>
      <c r="W2092" s="93" t="s">
        <v>7200</v>
      </c>
      <c r="X2092" s="92" t="str">
        <f>HYPERLINK("https://youtu.be/oxM7MMCbkvQ")</f>
        <v>https://youtu.be/oxM7MMCbkvQ</v>
      </c>
      <c r="Y2092" s="87" t="s">
        <v>8372</v>
      </c>
      <c r="Z2092" s="87" t="s">
        <v>8588</v>
      </c>
      <c r="AA2092" s="87"/>
      <c r="AB2092" s="87"/>
      <c r="AC2092" s="93" t="s">
        <v>11457</v>
      </c>
      <c r="AD2092" s="87" t="s">
        <v>11519</v>
      </c>
      <c r="AE2092" s="92" t="str">
        <f>HYPERLINK("https://twitter.com/victorgaete/status/1680226811723108355")</f>
        <v>https://twitter.com/victorgaete/status/1680226811723108355</v>
      </c>
      <c r="AF2092" s="90">
        <v>45122.614155092589</v>
      </c>
      <c r="AG2092" s="99">
        <v>45122</v>
      </c>
      <c r="AH2092" s="93" t="s">
        <v>13433</v>
      </c>
      <c r="AI2092" s="87" t="b">
        <v>0</v>
      </c>
      <c r="AJ2092" s="87"/>
      <c r="AK2092" s="87"/>
      <c r="AL2092" s="87"/>
      <c r="AM2092" s="87"/>
      <c r="AN2092" s="87"/>
      <c r="AO2092" s="87"/>
      <c r="AP2092" s="87"/>
      <c r="AQ2092" s="87"/>
      <c r="AR2092" s="87"/>
      <c r="AS2092" s="87"/>
      <c r="AT2092" s="87"/>
      <c r="AU2092" s="87"/>
      <c r="AV2092" s="92" t="str">
        <f>HYPERLINK("https://pbs.twimg.com/profile_images/1483038877384425474/8Kl4p-Eu_normal.jpg")</f>
        <v>https://pbs.twimg.com/profile_images/1483038877384425474/8Kl4p-Eu_normal.jpg</v>
      </c>
      <c r="AW2092" s="93" t="s">
        <v>20319</v>
      </c>
      <c r="AX2092" s="93" t="s">
        <v>20319</v>
      </c>
      <c r="AY2092" s="87"/>
      <c r="AZ2092" s="93" t="s">
        <v>22668</v>
      </c>
      <c r="BA2092" s="93" t="s">
        <v>22668</v>
      </c>
      <c r="BB2092" s="93" t="s">
        <v>22668</v>
      </c>
      <c r="BC2092" s="93" t="s">
        <v>20319</v>
      </c>
      <c r="BD2092" s="87">
        <v>32441551</v>
      </c>
      <c r="BE2092" s="87"/>
      <c r="BF2092" s="87"/>
      <c r="BG2092" s="87"/>
      <c r="BH2092" s="87"/>
      <c r="BI2092" s="87"/>
    </row>
    <row r="2093" spans="1:61" x14ac:dyDescent="0.25">
      <c r="A2093" s="63" t="s">
        <v>928</v>
      </c>
      <c r="B2093" s="63" t="s">
        <v>928</v>
      </c>
      <c r="C2093" s="64"/>
      <c r="D2093" s="65"/>
      <c r="E2093" s="66"/>
      <c r="F2093" s="67"/>
      <c r="G2093" s="64"/>
      <c r="H2093" s="68"/>
      <c r="I2093" s="69"/>
      <c r="J2093" s="69"/>
      <c r="K2093" s="32"/>
      <c r="L2093" s="76">
        <v>2093</v>
      </c>
      <c r="M2093" s="76"/>
      <c r="N2093" s="71"/>
      <c r="O2093" s="87" t="s">
        <v>179</v>
      </c>
      <c r="P2093" s="90">
        <v>45159.618055555555</v>
      </c>
      <c r="Q2093" s="87" t="s">
        <v>3879</v>
      </c>
      <c r="R2093" s="87">
        <v>0</v>
      </c>
      <c r="S2093" s="87">
        <v>4</v>
      </c>
      <c r="T2093" s="87">
        <v>0</v>
      </c>
      <c r="U2093" s="87">
        <v>1</v>
      </c>
      <c r="V2093" s="87">
        <v>1527</v>
      </c>
      <c r="W2093" s="93" t="s">
        <v>7201</v>
      </c>
      <c r="X2093" s="92" t="str">
        <f>HYPERLINK("https://www.em.com.br/app/colunistas/mundo-startup/2023/08/21/noticia-mundo-startup,1549189/mineiras-desenvolvem-game-na-saude-e-revolucionam-o-rh.shtml")</f>
        <v>https://www.em.com.br/app/colunistas/mundo-startup/2023/08/21/noticia-mundo-startup,1549189/mineiras-desenvolvem-game-na-saude-e-revolucionam-o-rh.shtml</v>
      </c>
      <c r="Y2093" s="87" t="s">
        <v>8373</v>
      </c>
      <c r="Z2093" s="87"/>
      <c r="AA2093" s="87"/>
      <c r="AB2093" s="87"/>
      <c r="AC2093" s="93" t="s">
        <v>11457</v>
      </c>
      <c r="AD2093" s="87" t="s">
        <v>11519</v>
      </c>
      <c r="AE2093" s="92" t="str">
        <f>HYPERLINK("https://twitter.com/em_com/status/1693636574234444086")</f>
        <v>https://twitter.com/em_com/status/1693636574234444086</v>
      </c>
      <c r="AF2093" s="90">
        <v>45159.618055555555</v>
      </c>
      <c r="AG2093" s="99">
        <v>45159</v>
      </c>
      <c r="AH2093" s="93" t="s">
        <v>12455</v>
      </c>
      <c r="AI2093" s="87" t="b">
        <v>0</v>
      </c>
      <c r="AJ2093" s="87"/>
      <c r="AK2093" s="87"/>
      <c r="AL2093" s="87"/>
      <c r="AM2093" s="87"/>
      <c r="AN2093" s="87"/>
      <c r="AO2093" s="87"/>
      <c r="AP2093" s="87"/>
      <c r="AQ2093" s="87"/>
      <c r="AR2093" s="87"/>
      <c r="AS2093" s="87"/>
      <c r="AT2093" s="87"/>
      <c r="AU2093" s="87"/>
      <c r="AV2093" s="92" t="str">
        <f>HYPERLINK("https://pbs.twimg.com/profile_images/1409816346737664000/dIZle52U_normal.jpg")</f>
        <v>https://pbs.twimg.com/profile_images/1409816346737664000/dIZle52U_normal.jpg</v>
      </c>
      <c r="AW2093" s="93" t="s">
        <v>20320</v>
      </c>
      <c r="AX2093" s="93" t="s">
        <v>20320</v>
      </c>
      <c r="AY2093" s="87"/>
      <c r="AZ2093" s="93" t="s">
        <v>22668</v>
      </c>
      <c r="BA2093" s="93" t="s">
        <v>22668</v>
      </c>
      <c r="BB2093" s="93" t="s">
        <v>22668</v>
      </c>
      <c r="BC2093" s="93" t="s">
        <v>20320</v>
      </c>
      <c r="BD2093" s="87">
        <v>183398510</v>
      </c>
      <c r="BE2093" s="87"/>
      <c r="BF2093" s="87"/>
      <c r="BG2093" s="87"/>
      <c r="BH2093" s="87"/>
      <c r="BI2093" s="87"/>
    </row>
    <row r="2094" spans="1:61" x14ac:dyDescent="0.25">
      <c r="A2094" s="63" t="s">
        <v>927</v>
      </c>
      <c r="B2094" s="63" t="s">
        <v>928</v>
      </c>
      <c r="C2094" s="64"/>
      <c r="D2094" s="65"/>
      <c r="E2094" s="66"/>
      <c r="F2094" s="67"/>
      <c r="G2094" s="64"/>
      <c r="H2094" s="68"/>
      <c r="I2094" s="69"/>
      <c r="J2094" s="69"/>
      <c r="K2094" s="32"/>
      <c r="L2094" s="76">
        <v>2094</v>
      </c>
      <c r="M2094" s="76"/>
      <c r="N2094" s="71"/>
      <c r="O2094" s="87" t="s">
        <v>1842</v>
      </c>
      <c r="P2094" s="90">
        <v>45159.699837962966</v>
      </c>
      <c r="Q2094" s="87" t="s">
        <v>3880</v>
      </c>
      <c r="R2094" s="87">
        <v>0</v>
      </c>
      <c r="S2094" s="87">
        <v>0</v>
      </c>
      <c r="T2094" s="87">
        <v>0</v>
      </c>
      <c r="U2094" s="87">
        <v>0</v>
      </c>
      <c r="V2094" s="87">
        <v>1</v>
      </c>
      <c r="W2094" s="93" t="s">
        <v>7202</v>
      </c>
      <c r="X2094" s="87"/>
      <c r="Y2094" s="87"/>
      <c r="Z2094" s="87"/>
      <c r="AA2094" s="87"/>
      <c r="AB2094" s="87"/>
      <c r="AC2094" s="93" t="s">
        <v>11459</v>
      </c>
      <c r="AD2094" s="87" t="s">
        <v>11519</v>
      </c>
      <c r="AE2094" s="92" t="str">
        <f>HYPERLINK("https://twitter.com/victorgaete/status/1693666214227083387")</f>
        <v>https://twitter.com/victorgaete/status/1693666214227083387</v>
      </c>
      <c r="AF2094" s="90">
        <v>45159.699837962966</v>
      </c>
      <c r="AG2094" s="99">
        <v>45159</v>
      </c>
      <c r="AH2094" s="93" t="s">
        <v>13434</v>
      </c>
      <c r="AI2094" s="87"/>
      <c r="AJ2094" s="87" t="s">
        <v>15170</v>
      </c>
      <c r="AK2094" s="87" t="s">
        <v>15234</v>
      </c>
      <c r="AL2094" s="87" t="s">
        <v>15237</v>
      </c>
      <c r="AM2094" s="87" t="s">
        <v>15242</v>
      </c>
      <c r="AN2094" s="87" t="s">
        <v>15307</v>
      </c>
      <c r="AO2094" s="87" t="s">
        <v>15374</v>
      </c>
      <c r="AP2094" s="87" t="s">
        <v>15438</v>
      </c>
      <c r="AQ2094" s="87"/>
      <c r="AR2094" s="87"/>
      <c r="AS2094" s="87"/>
      <c r="AT2094" s="87"/>
      <c r="AU2094" s="87"/>
      <c r="AV2094" s="92" t="str">
        <f>HYPERLINK("https://pbs.twimg.com/profile_images/1483038877384425474/8Kl4p-Eu_normal.jpg")</f>
        <v>https://pbs.twimg.com/profile_images/1483038877384425474/8Kl4p-Eu_normal.jpg</v>
      </c>
      <c r="AW2094" s="93" t="s">
        <v>20321</v>
      </c>
      <c r="AX2094" s="93" t="s">
        <v>20321</v>
      </c>
      <c r="AY2094" s="87"/>
      <c r="AZ2094" s="93" t="s">
        <v>22668</v>
      </c>
      <c r="BA2094" s="93" t="s">
        <v>20320</v>
      </c>
      <c r="BB2094" s="93" t="s">
        <v>22668</v>
      </c>
      <c r="BC2094" s="93" t="s">
        <v>20320</v>
      </c>
      <c r="BD2094" s="87">
        <v>32441551</v>
      </c>
      <c r="BE2094" s="87"/>
      <c r="BF2094" s="87"/>
      <c r="BG2094" s="87"/>
      <c r="BH2094" s="87"/>
      <c r="BI2094" s="87"/>
    </row>
    <row r="2095" spans="1:61" x14ac:dyDescent="0.25">
      <c r="A2095" s="63" t="s">
        <v>927</v>
      </c>
      <c r="B2095" s="63" t="s">
        <v>1624</v>
      </c>
      <c r="C2095" s="64"/>
      <c r="D2095" s="65"/>
      <c r="E2095" s="66"/>
      <c r="F2095" s="67"/>
      <c r="G2095" s="64"/>
      <c r="H2095" s="68"/>
      <c r="I2095" s="69"/>
      <c r="J2095" s="69"/>
      <c r="K2095" s="32"/>
      <c r="L2095" s="76">
        <v>2095</v>
      </c>
      <c r="M2095" s="76"/>
      <c r="N2095" s="71"/>
      <c r="O2095" s="87" t="s">
        <v>1839</v>
      </c>
      <c r="P2095" s="90">
        <v>45123.575324074074</v>
      </c>
      <c r="Q2095" s="87" t="s">
        <v>3878</v>
      </c>
      <c r="R2095" s="87">
        <v>1</v>
      </c>
      <c r="S2095" s="87">
        <v>2</v>
      </c>
      <c r="T2095" s="87">
        <v>0</v>
      </c>
      <c r="U2095" s="87">
        <v>0</v>
      </c>
      <c r="V2095" s="87">
        <v>17</v>
      </c>
      <c r="W2095" s="93" t="s">
        <v>7200</v>
      </c>
      <c r="X2095" s="92" t="str">
        <f>HYPERLINK("https://youtu.be/oxM7MMCbkvQ")</f>
        <v>https://youtu.be/oxM7MMCbkvQ</v>
      </c>
      <c r="Y2095" s="87" t="s">
        <v>8372</v>
      </c>
      <c r="Z2095" s="87" t="s">
        <v>8588</v>
      </c>
      <c r="AA2095" s="87"/>
      <c r="AB2095" s="87"/>
      <c r="AC2095" s="93" t="s">
        <v>11457</v>
      </c>
      <c r="AD2095" s="87" t="s">
        <v>11519</v>
      </c>
      <c r="AE2095" s="92" t="str">
        <f>HYPERLINK("https://twitter.com/victorgaete/status/1680575127874854912")</f>
        <v>https://twitter.com/victorgaete/status/1680575127874854912</v>
      </c>
      <c r="AF2095" s="90">
        <v>45123.575324074074</v>
      </c>
      <c r="AG2095" s="99">
        <v>45123</v>
      </c>
      <c r="AH2095" s="93" t="s">
        <v>13432</v>
      </c>
      <c r="AI2095" s="87" t="b">
        <v>0</v>
      </c>
      <c r="AJ2095" s="87"/>
      <c r="AK2095" s="87"/>
      <c r="AL2095" s="87"/>
      <c r="AM2095" s="87"/>
      <c r="AN2095" s="87"/>
      <c r="AO2095" s="87"/>
      <c r="AP2095" s="87"/>
      <c r="AQ2095" s="87"/>
      <c r="AR2095" s="87"/>
      <c r="AS2095" s="87"/>
      <c r="AT2095" s="87"/>
      <c r="AU2095" s="87"/>
      <c r="AV2095" s="92" t="str">
        <f>HYPERLINK("https://pbs.twimg.com/profile_images/1483038877384425474/8Kl4p-Eu_normal.jpg")</f>
        <v>https://pbs.twimg.com/profile_images/1483038877384425474/8Kl4p-Eu_normal.jpg</v>
      </c>
      <c r="AW2095" s="93" t="s">
        <v>20318</v>
      </c>
      <c r="AX2095" s="93" t="s">
        <v>20318</v>
      </c>
      <c r="AY2095" s="87"/>
      <c r="AZ2095" s="93" t="s">
        <v>22668</v>
      </c>
      <c r="BA2095" s="93" t="s">
        <v>22668</v>
      </c>
      <c r="BB2095" s="93" t="s">
        <v>22668</v>
      </c>
      <c r="BC2095" s="93" t="s">
        <v>20318</v>
      </c>
      <c r="BD2095" s="87">
        <v>32441551</v>
      </c>
      <c r="BE2095" s="87"/>
      <c r="BF2095" s="87"/>
      <c r="BG2095" s="87"/>
      <c r="BH2095" s="87"/>
      <c r="BI2095" s="87"/>
    </row>
    <row r="2096" spans="1:61" x14ac:dyDescent="0.25">
      <c r="A2096" s="63" t="s">
        <v>927</v>
      </c>
      <c r="B2096" s="63" t="s">
        <v>1624</v>
      </c>
      <c r="C2096" s="64"/>
      <c r="D2096" s="65"/>
      <c r="E2096" s="66"/>
      <c r="F2096" s="67"/>
      <c r="G2096" s="64"/>
      <c r="H2096" s="68"/>
      <c r="I2096" s="69"/>
      <c r="J2096" s="69"/>
      <c r="K2096" s="32"/>
      <c r="L2096" s="76">
        <v>2096</v>
      </c>
      <c r="M2096" s="76"/>
      <c r="N2096" s="71"/>
      <c r="O2096" s="87" t="s">
        <v>1839</v>
      </c>
      <c r="P2096" s="90">
        <v>45122.614155092589</v>
      </c>
      <c r="Q2096" s="87" t="s">
        <v>3878</v>
      </c>
      <c r="R2096" s="87">
        <v>0</v>
      </c>
      <c r="S2096" s="87">
        <v>2</v>
      </c>
      <c r="T2096" s="87">
        <v>0</v>
      </c>
      <c r="U2096" s="87">
        <v>0</v>
      </c>
      <c r="V2096" s="87">
        <v>16</v>
      </c>
      <c r="W2096" s="93" t="s">
        <v>7200</v>
      </c>
      <c r="X2096" s="92" t="str">
        <f>HYPERLINK("https://youtu.be/oxM7MMCbkvQ")</f>
        <v>https://youtu.be/oxM7MMCbkvQ</v>
      </c>
      <c r="Y2096" s="87" t="s">
        <v>8372</v>
      </c>
      <c r="Z2096" s="87" t="s">
        <v>8588</v>
      </c>
      <c r="AA2096" s="87"/>
      <c r="AB2096" s="87"/>
      <c r="AC2096" s="93" t="s">
        <v>11457</v>
      </c>
      <c r="AD2096" s="87" t="s">
        <v>11519</v>
      </c>
      <c r="AE2096" s="92" t="str">
        <f>HYPERLINK("https://twitter.com/victorgaete/status/1680226811723108355")</f>
        <v>https://twitter.com/victorgaete/status/1680226811723108355</v>
      </c>
      <c r="AF2096" s="90">
        <v>45122.614155092589</v>
      </c>
      <c r="AG2096" s="99">
        <v>45122</v>
      </c>
      <c r="AH2096" s="93" t="s">
        <v>13433</v>
      </c>
      <c r="AI2096" s="87" t="b">
        <v>0</v>
      </c>
      <c r="AJ2096" s="87"/>
      <c r="AK2096" s="87"/>
      <c r="AL2096" s="87"/>
      <c r="AM2096" s="87"/>
      <c r="AN2096" s="87"/>
      <c r="AO2096" s="87"/>
      <c r="AP2096" s="87"/>
      <c r="AQ2096" s="87"/>
      <c r="AR2096" s="87"/>
      <c r="AS2096" s="87"/>
      <c r="AT2096" s="87"/>
      <c r="AU2096" s="87"/>
      <c r="AV2096" s="92" t="str">
        <f>HYPERLINK("https://pbs.twimg.com/profile_images/1483038877384425474/8Kl4p-Eu_normal.jpg")</f>
        <v>https://pbs.twimg.com/profile_images/1483038877384425474/8Kl4p-Eu_normal.jpg</v>
      </c>
      <c r="AW2096" s="93" t="s">
        <v>20319</v>
      </c>
      <c r="AX2096" s="93" t="s">
        <v>20319</v>
      </c>
      <c r="AY2096" s="87"/>
      <c r="AZ2096" s="93" t="s">
        <v>22668</v>
      </c>
      <c r="BA2096" s="93" t="s">
        <v>22668</v>
      </c>
      <c r="BB2096" s="93" t="s">
        <v>22668</v>
      </c>
      <c r="BC2096" s="93" t="s">
        <v>20319</v>
      </c>
      <c r="BD2096" s="87">
        <v>32441551</v>
      </c>
      <c r="BE2096" s="87"/>
      <c r="BF2096" s="87"/>
      <c r="BG2096" s="87"/>
      <c r="BH2096" s="87"/>
      <c r="BI2096" s="87"/>
    </row>
    <row r="2097" spans="1:61" x14ac:dyDescent="0.25">
      <c r="A2097" s="63" t="s">
        <v>927</v>
      </c>
      <c r="B2097" s="63" t="s">
        <v>1624</v>
      </c>
      <c r="C2097" s="64"/>
      <c r="D2097" s="65"/>
      <c r="E2097" s="66"/>
      <c r="F2097" s="67"/>
      <c r="G2097" s="64"/>
      <c r="H2097" s="68"/>
      <c r="I2097" s="69"/>
      <c r="J2097" s="69"/>
      <c r="K2097" s="32"/>
      <c r="L2097" s="76">
        <v>2097</v>
      </c>
      <c r="M2097" s="76"/>
      <c r="N2097" s="71"/>
      <c r="O2097" s="87" t="s">
        <v>1839</v>
      </c>
      <c r="P2097" s="90">
        <v>45131.67324074074</v>
      </c>
      <c r="Q2097" s="87" t="s">
        <v>3881</v>
      </c>
      <c r="R2097" s="87">
        <v>0</v>
      </c>
      <c r="S2097" s="87">
        <v>0</v>
      </c>
      <c r="T2097" s="87">
        <v>0</v>
      </c>
      <c r="U2097" s="87">
        <v>0</v>
      </c>
      <c r="V2097" s="87">
        <v>4</v>
      </c>
      <c r="W2097" s="93" t="s">
        <v>7203</v>
      </c>
      <c r="X2097" s="92" t="str">
        <f>HYPERLINK("https://youtube.com/shorts/ILeSLmEQATA?feature=share")</f>
        <v>https://youtube.com/shorts/ILeSLmEQATA?feature=share</v>
      </c>
      <c r="Y2097" s="87" t="s">
        <v>8380</v>
      </c>
      <c r="Z2097" s="87" t="s">
        <v>1624</v>
      </c>
      <c r="AA2097" s="87"/>
      <c r="AB2097" s="87"/>
      <c r="AC2097" s="93" t="s">
        <v>11457</v>
      </c>
      <c r="AD2097" s="87" t="s">
        <v>11519</v>
      </c>
      <c r="AE2097" s="92" t="str">
        <f>HYPERLINK("https://twitter.com/victorgaete/status/1683509714993258496")</f>
        <v>https://twitter.com/victorgaete/status/1683509714993258496</v>
      </c>
      <c r="AF2097" s="90">
        <v>45131.67324074074</v>
      </c>
      <c r="AG2097" s="99">
        <v>45131</v>
      </c>
      <c r="AH2097" s="93" t="s">
        <v>13435</v>
      </c>
      <c r="AI2097" s="87" t="b">
        <v>0</v>
      </c>
      <c r="AJ2097" s="87"/>
      <c r="AK2097" s="87"/>
      <c r="AL2097" s="87"/>
      <c r="AM2097" s="87"/>
      <c r="AN2097" s="87"/>
      <c r="AO2097" s="87"/>
      <c r="AP2097" s="87"/>
      <c r="AQ2097" s="87"/>
      <c r="AR2097" s="87"/>
      <c r="AS2097" s="87"/>
      <c r="AT2097" s="87"/>
      <c r="AU2097" s="87"/>
      <c r="AV2097" s="92" t="str">
        <f>HYPERLINK("https://pbs.twimg.com/profile_images/1483038877384425474/8Kl4p-Eu_normal.jpg")</f>
        <v>https://pbs.twimg.com/profile_images/1483038877384425474/8Kl4p-Eu_normal.jpg</v>
      </c>
      <c r="AW2097" s="93" t="s">
        <v>20322</v>
      </c>
      <c r="AX2097" s="93" t="s">
        <v>20322</v>
      </c>
      <c r="AY2097" s="87"/>
      <c r="AZ2097" s="93" t="s">
        <v>22668</v>
      </c>
      <c r="BA2097" s="93" t="s">
        <v>22668</v>
      </c>
      <c r="BB2097" s="93" t="s">
        <v>22668</v>
      </c>
      <c r="BC2097" s="93" t="s">
        <v>20322</v>
      </c>
      <c r="BD2097" s="87">
        <v>32441551</v>
      </c>
      <c r="BE2097" s="87"/>
      <c r="BF2097" s="87"/>
      <c r="BG2097" s="87"/>
      <c r="BH2097" s="87"/>
      <c r="BI2097" s="87"/>
    </row>
    <row r="2098" spans="1:61" x14ac:dyDescent="0.25">
      <c r="A2098" s="63" t="s">
        <v>929</v>
      </c>
      <c r="B2098" s="63" t="s">
        <v>1702</v>
      </c>
      <c r="C2098" s="64"/>
      <c r="D2098" s="65"/>
      <c r="E2098" s="66"/>
      <c r="F2098" s="67"/>
      <c r="G2098" s="64"/>
      <c r="H2098" s="68"/>
      <c r="I2098" s="69"/>
      <c r="J2098" s="69"/>
      <c r="K2098" s="32"/>
      <c r="L2098" s="76">
        <v>2098</v>
      </c>
      <c r="M2098" s="76"/>
      <c r="N2098" s="71"/>
      <c r="O2098" s="87" t="s">
        <v>1839</v>
      </c>
      <c r="P2098" s="90">
        <v>45012.057291666664</v>
      </c>
      <c r="Q2098" s="87" t="s">
        <v>3882</v>
      </c>
      <c r="R2098" s="87">
        <v>8301</v>
      </c>
      <c r="S2098" s="87">
        <v>27920</v>
      </c>
      <c r="T2098" s="87">
        <v>902</v>
      </c>
      <c r="U2098" s="87">
        <v>166</v>
      </c>
      <c r="V2098" s="87">
        <v>10579595</v>
      </c>
      <c r="W2098" s="93" t="s">
        <v>7204</v>
      </c>
      <c r="X2098" s="87"/>
      <c r="Y2098" s="87"/>
      <c r="Z2098" s="87" t="s">
        <v>8589</v>
      </c>
      <c r="AA2098" s="87" t="s">
        <v>9987</v>
      </c>
      <c r="AB2098" s="87" t="s">
        <v>11448</v>
      </c>
      <c r="AC2098" s="93" t="s">
        <v>11458</v>
      </c>
      <c r="AD2098" s="87" t="s">
        <v>11518</v>
      </c>
      <c r="AE2098" s="92" t="str">
        <f>HYPERLINK("https://twitter.com/briandordevic/status/1640162346516578306")</f>
        <v>https://twitter.com/briandordevic/status/1640162346516578306</v>
      </c>
      <c r="AF2098" s="90">
        <v>45012.057291666664</v>
      </c>
      <c r="AG2098" s="99">
        <v>45012</v>
      </c>
      <c r="AH2098" s="93" t="s">
        <v>13436</v>
      </c>
      <c r="AI2098" s="87" t="b">
        <v>0</v>
      </c>
      <c r="AJ2098" s="87"/>
      <c r="AK2098" s="87"/>
      <c r="AL2098" s="87"/>
      <c r="AM2098" s="87"/>
      <c r="AN2098" s="87"/>
      <c r="AO2098" s="87"/>
      <c r="AP2098" s="87"/>
      <c r="AQ2098" s="87" t="s">
        <v>16800</v>
      </c>
      <c r="AR2098" s="87"/>
      <c r="AS2098" s="87"/>
      <c r="AT2098" s="87"/>
      <c r="AU2098" s="87"/>
      <c r="AV2098" s="92" t="str">
        <f>HYPERLINK("https://pbs.twimg.com/media/FsMG9eQXgAEJKnS.jpg")</f>
        <v>https://pbs.twimg.com/media/FsMG9eQXgAEJKnS.jpg</v>
      </c>
      <c r="AW2098" s="93" t="s">
        <v>20323</v>
      </c>
      <c r="AX2098" s="93" t="s">
        <v>20323</v>
      </c>
      <c r="AY2098" s="87"/>
      <c r="AZ2098" s="93" t="s">
        <v>22668</v>
      </c>
      <c r="BA2098" s="93" t="s">
        <v>22668</v>
      </c>
      <c r="BB2098" s="93" t="s">
        <v>22668</v>
      </c>
      <c r="BC2098" s="93" t="s">
        <v>20323</v>
      </c>
      <c r="BD2098" s="87">
        <v>146037421</v>
      </c>
      <c r="BE2098" s="87"/>
      <c r="BF2098" s="87"/>
      <c r="BG2098" s="87"/>
      <c r="BH2098" s="87"/>
      <c r="BI2098" s="87"/>
    </row>
    <row r="2099" spans="1:61" x14ac:dyDescent="0.25">
      <c r="A2099" s="63" t="s">
        <v>929</v>
      </c>
      <c r="B2099" s="63" t="s">
        <v>1703</v>
      </c>
      <c r="C2099" s="64"/>
      <c r="D2099" s="65"/>
      <c r="E2099" s="66"/>
      <c r="F2099" s="67"/>
      <c r="G2099" s="64"/>
      <c r="H2099" s="68"/>
      <c r="I2099" s="69"/>
      <c r="J2099" s="69"/>
      <c r="K2099" s="32"/>
      <c r="L2099" s="76">
        <v>2099</v>
      </c>
      <c r="M2099" s="76"/>
      <c r="N2099" s="71"/>
      <c r="O2099" s="87" t="s">
        <v>1839</v>
      </c>
      <c r="P2099" s="90">
        <v>45012.057291666664</v>
      </c>
      <c r="Q2099" s="87" t="s">
        <v>3882</v>
      </c>
      <c r="R2099" s="87">
        <v>8301</v>
      </c>
      <c r="S2099" s="87">
        <v>27920</v>
      </c>
      <c r="T2099" s="87">
        <v>902</v>
      </c>
      <c r="U2099" s="87">
        <v>166</v>
      </c>
      <c r="V2099" s="87">
        <v>10579595</v>
      </c>
      <c r="W2099" s="93" t="s">
        <v>7204</v>
      </c>
      <c r="X2099" s="87"/>
      <c r="Y2099" s="87"/>
      <c r="Z2099" s="87" t="s">
        <v>8589</v>
      </c>
      <c r="AA2099" s="87" t="s">
        <v>9987</v>
      </c>
      <c r="AB2099" s="87" t="s">
        <v>11448</v>
      </c>
      <c r="AC2099" s="93" t="s">
        <v>11458</v>
      </c>
      <c r="AD2099" s="87" t="s">
        <v>11518</v>
      </c>
      <c r="AE2099" s="92" t="str">
        <f>HYPERLINK("https://twitter.com/briandordevic/status/1640162346516578306")</f>
        <v>https://twitter.com/briandordevic/status/1640162346516578306</v>
      </c>
      <c r="AF2099" s="90">
        <v>45012.057291666664</v>
      </c>
      <c r="AG2099" s="99">
        <v>45012</v>
      </c>
      <c r="AH2099" s="93" t="s">
        <v>13436</v>
      </c>
      <c r="AI2099" s="87" t="b">
        <v>0</v>
      </c>
      <c r="AJ2099" s="87"/>
      <c r="AK2099" s="87"/>
      <c r="AL2099" s="87"/>
      <c r="AM2099" s="87"/>
      <c r="AN2099" s="87"/>
      <c r="AO2099" s="87"/>
      <c r="AP2099" s="87"/>
      <c r="AQ2099" s="87" t="s">
        <v>16800</v>
      </c>
      <c r="AR2099" s="87"/>
      <c r="AS2099" s="87"/>
      <c r="AT2099" s="87"/>
      <c r="AU2099" s="87"/>
      <c r="AV2099" s="92" t="str">
        <f>HYPERLINK("https://pbs.twimg.com/media/FsMG9eQXgAEJKnS.jpg")</f>
        <v>https://pbs.twimg.com/media/FsMG9eQXgAEJKnS.jpg</v>
      </c>
      <c r="AW2099" s="93" t="s">
        <v>20323</v>
      </c>
      <c r="AX2099" s="93" t="s">
        <v>20323</v>
      </c>
      <c r="AY2099" s="87"/>
      <c r="AZ2099" s="93" t="s">
        <v>22668</v>
      </c>
      <c r="BA2099" s="93" t="s">
        <v>22668</v>
      </c>
      <c r="BB2099" s="93" t="s">
        <v>22668</v>
      </c>
      <c r="BC2099" s="93" t="s">
        <v>20323</v>
      </c>
      <c r="BD2099" s="87">
        <v>146037421</v>
      </c>
      <c r="BE2099" s="87"/>
      <c r="BF2099" s="87"/>
      <c r="BG2099" s="87"/>
      <c r="BH2099" s="87"/>
      <c r="BI2099" s="87"/>
    </row>
    <row r="2100" spans="1:61" x14ac:dyDescent="0.25">
      <c r="A2100" s="63" t="s">
        <v>929</v>
      </c>
      <c r="B2100" s="63" t="s">
        <v>1704</v>
      </c>
      <c r="C2100" s="64"/>
      <c r="D2100" s="65"/>
      <c r="E2100" s="66"/>
      <c r="F2100" s="67"/>
      <c r="G2100" s="64"/>
      <c r="H2100" s="68"/>
      <c r="I2100" s="69"/>
      <c r="J2100" s="69"/>
      <c r="K2100" s="32"/>
      <c r="L2100" s="76">
        <v>2100</v>
      </c>
      <c r="M2100" s="76"/>
      <c r="N2100" s="71"/>
      <c r="O2100" s="87" t="s">
        <v>1839</v>
      </c>
      <c r="P2100" s="90">
        <v>45012.057291666664</v>
      </c>
      <c r="Q2100" s="87" t="s">
        <v>3882</v>
      </c>
      <c r="R2100" s="87">
        <v>8301</v>
      </c>
      <c r="S2100" s="87">
        <v>27920</v>
      </c>
      <c r="T2100" s="87">
        <v>902</v>
      </c>
      <c r="U2100" s="87">
        <v>166</v>
      </c>
      <c r="V2100" s="87">
        <v>10579595</v>
      </c>
      <c r="W2100" s="93" t="s">
        <v>7204</v>
      </c>
      <c r="X2100" s="87"/>
      <c r="Y2100" s="87"/>
      <c r="Z2100" s="87" t="s">
        <v>8589</v>
      </c>
      <c r="AA2100" s="87" t="s">
        <v>9987</v>
      </c>
      <c r="AB2100" s="87" t="s">
        <v>11448</v>
      </c>
      <c r="AC2100" s="93" t="s">
        <v>11458</v>
      </c>
      <c r="AD2100" s="87" t="s">
        <v>11518</v>
      </c>
      <c r="AE2100" s="92" t="str">
        <f>HYPERLINK("https://twitter.com/briandordevic/status/1640162346516578306")</f>
        <v>https://twitter.com/briandordevic/status/1640162346516578306</v>
      </c>
      <c r="AF2100" s="90">
        <v>45012.057291666664</v>
      </c>
      <c r="AG2100" s="99">
        <v>45012</v>
      </c>
      <c r="AH2100" s="93" t="s">
        <v>13436</v>
      </c>
      <c r="AI2100" s="87" t="b">
        <v>0</v>
      </c>
      <c r="AJ2100" s="87"/>
      <c r="AK2100" s="87"/>
      <c r="AL2100" s="87"/>
      <c r="AM2100" s="87"/>
      <c r="AN2100" s="87"/>
      <c r="AO2100" s="87"/>
      <c r="AP2100" s="87"/>
      <c r="AQ2100" s="87" t="s">
        <v>16800</v>
      </c>
      <c r="AR2100" s="87"/>
      <c r="AS2100" s="87"/>
      <c r="AT2100" s="87"/>
      <c r="AU2100" s="87"/>
      <c r="AV2100" s="92" t="str">
        <f>HYPERLINK("https://pbs.twimg.com/media/FsMG9eQXgAEJKnS.jpg")</f>
        <v>https://pbs.twimg.com/media/FsMG9eQXgAEJKnS.jpg</v>
      </c>
      <c r="AW2100" s="93" t="s">
        <v>20323</v>
      </c>
      <c r="AX2100" s="93" t="s">
        <v>20323</v>
      </c>
      <c r="AY2100" s="87"/>
      <c r="AZ2100" s="93" t="s">
        <v>22668</v>
      </c>
      <c r="BA2100" s="93" t="s">
        <v>22668</v>
      </c>
      <c r="BB2100" s="93" t="s">
        <v>22668</v>
      </c>
      <c r="BC2100" s="93" t="s">
        <v>20323</v>
      </c>
      <c r="BD2100" s="87">
        <v>146037421</v>
      </c>
      <c r="BE2100" s="87"/>
      <c r="BF2100" s="87"/>
      <c r="BG2100" s="87"/>
      <c r="BH2100" s="87"/>
      <c r="BI2100" s="87"/>
    </row>
    <row r="2101" spans="1:61" x14ac:dyDescent="0.25">
      <c r="A2101" s="63" t="s">
        <v>929</v>
      </c>
      <c r="B2101" s="63" t="s">
        <v>1705</v>
      </c>
      <c r="C2101" s="64"/>
      <c r="D2101" s="65"/>
      <c r="E2101" s="66"/>
      <c r="F2101" s="67"/>
      <c r="G2101" s="64"/>
      <c r="H2101" s="68"/>
      <c r="I2101" s="69"/>
      <c r="J2101" s="69"/>
      <c r="K2101" s="32"/>
      <c r="L2101" s="76">
        <v>2101</v>
      </c>
      <c r="M2101" s="76"/>
      <c r="N2101" s="71"/>
      <c r="O2101" s="87" t="s">
        <v>1839</v>
      </c>
      <c r="P2101" s="90">
        <v>45012.057291666664</v>
      </c>
      <c r="Q2101" s="87" t="s">
        <v>3882</v>
      </c>
      <c r="R2101" s="87">
        <v>8301</v>
      </c>
      <c r="S2101" s="87">
        <v>27920</v>
      </c>
      <c r="T2101" s="87">
        <v>902</v>
      </c>
      <c r="U2101" s="87">
        <v>166</v>
      </c>
      <c r="V2101" s="87">
        <v>10579595</v>
      </c>
      <c r="W2101" s="93" t="s">
        <v>7204</v>
      </c>
      <c r="X2101" s="87"/>
      <c r="Y2101" s="87"/>
      <c r="Z2101" s="87" t="s">
        <v>8589</v>
      </c>
      <c r="AA2101" s="87" t="s">
        <v>9987</v>
      </c>
      <c r="AB2101" s="87" t="s">
        <v>11448</v>
      </c>
      <c r="AC2101" s="93" t="s">
        <v>11458</v>
      </c>
      <c r="AD2101" s="87" t="s">
        <v>11518</v>
      </c>
      <c r="AE2101" s="92" t="str">
        <f>HYPERLINK("https://twitter.com/briandordevic/status/1640162346516578306")</f>
        <v>https://twitter.com/briandordevic/status/1640162346516578306</v>
      </c>
      <c r="AF2101" s="90">
        <v>45012.057291666664</v>
      </c>
      <c r="AG2101" s="99">
        <v>45012</v>
      </c>
      <c r="AH2101" s="93" t="s">
        <v>13436</v>
      </c>
      <c r="AI2101" s="87" t="b">
        <v>0</v>
      </c>
      <c r="AJ2101" s="87"/>
      <c r="AK2101" s="87"/>
      <c r="AL2101" s="87"/>
      <c r="AM2101" s="87"/>
      <c r="AN2101" s="87"/>
      <c r="AO2101" s="87"/>
      <c r="AP2101" s="87"/>
      <c r="AQ2101" s="87" t="s">
        <v>16800</v>
      </c>
      <c r="AR2101" s="87"/>
      <c r="AS2101" s="87"/>
      <c r="AT2101" s="87"/>
      <c r="AU2101" s="87"/>
      <c r="AV2101" s="92" t="str">
        <f>HYPERLINK("https://pbs.twimg.com/media/FsMG9eQXgAEJKnS.jpg")</f>
        <v>https://pbs.twimg.com/media/FsMG9eQXgAEJKnS.jpg</v>
      </c>
      <c r="AW2101" s="93" t="s">
        <v>20323</v>
      </c>
      <c r="AX2101" s="93" t="s">
        <v>20323</v>
      </c>
      <c r="AY2101" s="87"/>
      <c r="AZ2101" s="93" t="s">
        <v>22668</v>
      </c>
      <c r="BA2101" s="93" t="s">
        <v>22668</v>
      </c>
      <c r="BB2101" s="93" t="s">
        <v>22668</v>
      </c>
      <c r="BC2101" s="93" t="s">
        <v>20323</v>
      </c>
      <c r="BD2101" s="87">
        <v>146037421</v>
      </c>
      <c r="BE2101" s="87"/>
      <c r="BF2101" s="87"/>
      <c r="BG2101" s="87"/>
      <c r="BH2101" s="87"/>
      <c r="BI2101" s="87"/>
    </row>
    <row r="2102" spans="1:61" x14ac:dyDescent="0.25">
      <c r="A2102" s="63" t="s">
        <v>929</v>
      </c>
      <c r="B2102" s="63" t="s">
        <v>1706</v>
      </c>
      <c r="C2102" s="64"/>
      <c r="D2102" s="65"/>
      <c r="E2102" s="66"/>
      <c r="F2102" s="67"/>
      <c r="G2102" s="64"/>
      <c r="H2102" s="68"/>
      <c r="I2102" s="69"/>
      <c r="J2102" s="69"/>
      <c r="K2102" s="32"/>
      <c r="L2102" s="76">
        <v>2102</v>
      </c>
      <c r="M2102" s="76"/>
      <c r="N2102" s="71"/>
      <c r="O2102" s="87" t="s">
        <v>1839</v>
      </c>
      <c r="P2102" s="90">
        <v>45012.057291666664</v>
      </c>
      <c r="Q2102" s="87" t="s">
        <v>3882</v>
      </c>
      <c r="R2102" s="87">
        <v>8301</v>
      </c>
      <c r="S2102" s="87">
        <v>27920</v>
      </c>
      <c r="T2102" s="87">
        <v>902</v>
      </c>
      <c r="U2102" s="87">
        <v>166</v>
      </c>
      <c r="V2102" s="87">
        <v>10579595</v>
      </c>
      <c r="W2102" s="93" t="s">
        <v>7204</v>
      </c>
      <c r="X2102" s="87"/>
      <c r="Y2102" s="87"/>
      <c r="Z2102" s="87" t="s">
        <v>8589</v>
      </c>
      <c r="AA2102" s="87" t="s">
        <v>9987</v>
      </c>
      <c r="AB2102" s="87" t="s">
        <v>11448</v>
      </c>
      <c r="AC2102" s="93" t="s">
        <v>11458</v>
      </c>
      <c r="AD2102" s="87" t="s">
        <v>11518</v>
      </c>
      <c r="AE2102" s="92" t="str">
        <f>HYPERLINK("https://twitter.com/briandordevic/status/1640162346516578306")</f>
        <v>https://twitter.com/briandordevic/status/1640162346516578306</v>
      </c>
      <c r="AF2102" s="90">
        <v>45012.057291666664</v>
      </c>
      <c r="AG2102" s="99">
        <v>45012</v>
      </c>
      <c r="AH2102" s="93" t="s">
        <v>13436</v>
      </c>
      <c r="AI2102" s="87" t="b">
        <v>0</v>
      </c>
      <c r="AJ2102" s="87"/>
      <c r="AK2102" s="87"/>
      <c r="AL2102" s="87"/>
      <c r="AM2102" s="87"/>
      <c r="AN2102" s="87"/>
      <c r="AO2102" s="87"/>
      <c r="AP2102" s="87"/>
      <c r="AQ2102" s="87" t="s">
        <v>16800</v>
      </c>
      <c r="AR2102" s="87"/>
      <c r="AS2102" s="87"/>
      <c r="AT2102" s="87"/>
      <c r="AU2102" s="87"/>
      <c r="AV2102" s="92" t="str">
        <f>HYPERLINK("https://pbs.twimg.com/media/FsMG9eQXgAEJKnS.jpg")</f>
        <v>https://pbs.twimg.com/media/FsMG9eQXgAEJKnS.jpg</v>
      </c>
      <c r="AW2102" s="93" t="s">
        <v>20323</v>
      </c>
      <c r="AX2102" s="93" t="s">
        <v>20323</v>
      </c>
      <c r="AY2102" s="87"/>
      <c r="AZ2102" s="93" t="s">
        <v>22668</v>
      </c>
      <c r="BA2102" s="93" t="s">
        <v>22668</v>
      </c>
      <c r="BB2102" s="93" t="s">
        <v>22668</v>
      </c>
      <c r="BC2102" s="93" t="s">
        <v>20323</v>
      </c>
      <c r="BD2102" s="87">
        <v>146037421</v>
      </c>
      <c r="BE2102" s="87"/>
      <c r="BF2102" s="87"/>
      <c r="BG2102" s="87"/>
      <c r="BH2102" s="87"/>
      <c r="BI2102" s="87"/>
    </row>
    <row r="2103" spans="1:61" x14ac:dyDescent="0.25">
      <c r="A2103" s="63" t="s">
        <v>929</v>
      </c>
      <c r="B2103" s="63" t="s">
        <v>1707</v>
      </c>
      <c r="C2103" s="64"/>
      <c r="D2103" s="65"/>
      <c r="E2103" s="66"/>
      <c r="F2103" s="67"/>
      <c r="G2103" s="64"/>
      <c r="H2103" s="68"/>
      <c r="I2103" s="69"/>
      <c r="J2103" s="69"/>
      <c r="K2103" s="32"/>
      <c r="L2103" s="76">
        <v>2103</v>
      </c>
      <c r="M2103" s="76"/>
      <c r="N2103" s="71"/>
      <c r="O2103" s="87" t="s">
        <v>1839</v>
      </c>
      <c r="P2103" s="90">
        <v>45012.057291666664</v>
      </c>
      <c r="Q2103" s="87" t="s">
        <v>3882</v>
      </c>
      <c r="R2103" s="87">
        <v>8301</v>
      </c>
      <c r="S2103" s="87">
        <v>27920</v>
      </c>
      <c r="T2103" s="87">
        <v>902</v>
      </c>
      <c r="U2103" s="87">
        <v>166</v>
      </c>
      <c r="V2103" s="87">
        <v>10579595</v>
      </c>
      <c r="W2103" s="93" t="s">
        <v>7204</v>
      </c>
      <c r="X2103" s="87"/>
      <c r="Y2103" s="87"/>
      <c r="Z2103" s="87" t="s">
        <v>8589</v>
      </c>
      <c r="AA2103" s="87" t="s">
        <v>9987</v>
      </c>
      <c r="AB2103" s="87" t="s">
        <v>11448</v>
      </c>
      <c r="AC2103" s="93" t="s">
        <v>11458</v>
      </c>
      <c r="AD2103" s="87" t="s">
        <v>11518</v>
      </c>
      <c r="AE2103" s="92" t="str">
        <f>HYPERLINK("https://twitter.com/briandordevic/status/1640162346516578306")</f>
        <v>https://twitter.com/briandordevic/status/1640162346516578306</v>
      </c>
      <c r="AF2103" s="90">
        <v>45012.057291666664</v>
      </c>
      <c r="AG2103" s="99">
        <v>45012</v>
      </c>
      <c r="AH2103" s="93" t="s">
        <v>13436</v>
      </c>
      <c r="AI2103" s="87" t="b">
        <v>0</v>
      </c>
      <c r="AJ2103" s="87"/>
      <c r="AK2103" s="87"/>
      <c r="AL2103" s="87"/>
      <c r="AM2103" s="87"/>
      <c r="AN2103" s="87"/>
      <c r="AO2103" s="87"/>
      <c r="AP2103" s="87"/>
      <c r="AQ2103" s="87" t="s">
        <v>16800</v>
      </c>
      <c r="AR2103" s="87"/>
      <c r="AS2103" s="87"/>
      <c r="AT2103" s="87"/>
      <c r="AU2103" s="87"/>
      <c r="AV2103" s="92" t="str">
        <f>HYPERLINK("https://pbs.twimg.com/media/FsMG9eQXgAEJKnS.jpg")</f>
        <v>https://pbs.twimg.com/media/FsMG9eQXgAEJKnS.jpg</v>
      </c>
      <c r="AW2103" s="93" t="s">
        <v>20323</v>
      </c>
      <c r="AX2103" s="93" t="s">
        <v>20323</v>
      </c>
      <c r="AY2103" s="87"/>
      <c r="AZ2103" s="93" t="s">
        <v>22668</v>
      </c>
      <c r="BA2103" s="93" t="s">
        <v>22668</v>
      </c>
      <c r="BB2103" s="93" t="s">
        <v>22668</v>
      </c>
      <c r="BC2103" s="93" t="s">
        <v>20323</v>
      </c>
      <c r="BD2103" s="87">
        <v>146037421</v>
      </c>
      <c r="BE2103" s="87"/>
      <c r="BF2103" s="87"/>
      <c r="BG2103" s="87"/>
      <c r="BH2103" s="87"/>
      <c r="BI2103" s="87"/>
    </row>
    <row r="2104" spans="1:61" x14ac:dyDescent="0.25">
      <c r="A2104" s="63" t="s">
        <v>929</v>
      </c>
      <c r="B2104" s="63" t="s">
        <v>1708</v>
      </c>
      <c r="C2104" s="64"/>
      <c r="D2104" s="65"/>
      <c r="E2104" s="66"/>
      <c r="F2104" s="67"/>
      <c r="G2104" s="64"/>
      <c r="H2104" s="68"/>
      <c r="I2104" s="69"/>
      <c r="J2104" s="69"/>
      <c r="K2104" s="32"/>
      <c r="L2104" s="76">
        <v>2104</v>
      </c>
      <c r="M2104" s="76"/>
      <c r="N2104" s="71"/>
      <c r="O2104" s="87" t="s">
        <v>1839</v>
      </c>
      <c r="P2104" s="90">
        <v>45012.057291666664</v>
      </c>
      <c r="Q2104" s="87" t="s">
        <v>3882</v>
      </c>
      <c r="R2104" s="87">
        <v>8301</v>
      </c>
      <c r="S2104" s="87">
        <v>27920</v>
      </c>
      <c r="T2104" s="87">
        <v>902</v>
      </c>
      <c r="U2104" s="87">
        <v>166</v>
      </c>
      <c r="V2104" s="87">
        <v>10579595</v>
      </c>
      <c r="W2104" s="93" t="s">
        <v>7204</v>
      </c>
      <c r="X2104" s="87"/>
      <c r="Y2104" s="87"/>
      <c r="Z2104" s="87" t="s">
        <v>8589</v>
      </c>
      <c r="AA2104" s="87" t="s">
        <v>9987</v>
      </c>
      <c r="AB2104" s="87" t="s">
        <v>11448</v>
      </c>
      <c r="AC2104" s="93" t="s">
        <v>11458</v>
      </c>
      <c r="AD2104" s="87" t="s">
        <v>11518</v>
      </c>
      <c r="AE2104" s="92" t="str">
        <f>HYPERLINK("https://twitter.com/briandordevic/status/1640162346516578306")</f>
        <v>https://twitter.com/briandordevic/status/1640162346516578306</v>
      </c>
      <c r="AF2104" s="90">
        <v>45012.057291666664</v>
      </c>
      <c r="AG2104" s="99">
        <v>45012</v>
      </c>
      <c r="AH2104" s="93" t="s">
        <v>13436</v>
      </c>
      <c r="AI2104" s="87" t="b">
        <v>0</v>
      </c>
      <c r="AJ2104" s="87"/>
      <c r="AK2104" s="87"/>
      <c r="AL2104" s="87"/>
      <c r="AM2104" s="87"/>
      <c r="AN2104" s="87"/>
      <c r="AO2104" s="87"/>
      <c r="AP2104" s="87"/>
      <c r="AQ2104" s="87" t="s">
        <v>16800</v>
      </c>
      <c r="AR2104" s="87"/>
      <c r="AS2104" s="87"/>
      <c r="AT2104" s="87"/>
      <c r="AU2104" s="87"/>
      <c r="AV2104" s="92" t="str">
        <f>HYPERLINK("https://pbs.twimg.com/media/FsMG9eQXgAEJKnS.jpg")</f>
        <v>https://pbs.twimg.com/media/FsMG9eQXgAEJKnS.jpg</v>
      </c>
      <c r="AW2104" s="93" t="s">
        <v>20323</v>
      </c>
      <c r="AX2104" s="93" t="s">
        <v>20323</v>
      </c>
      <c r="AY2104" s="87"/>
      <c r="AZ2104" s="93" t="s">
        <v>22668</v>
      </c>
      <c r="BA2104" s="93" t="s">
        <v>22668</v>
      </c>
      <c r="BB2104" s="93" t="s">
        <v>22668</v>
      </c>
      <c r="BC2104" s="93" t="s">
        <v>20323</v>
      </c>
      <c r="BD2104" s="87">
        <v>146037421</v>
      </c>
      <c r="BE2104" s="87"/>
      <c r="BF2104" s="87"/>
      <c r="BG2104" s="87"/>
      <c r="BH2104" s="87"/>
      <c r="BI2104" s="87"/>
    </row>
    <row r="2105" spans="1:61" x14ac:dyDescent="0.25">
      <c r="A2105" s="63" t="s">
        <v>929</v>
      </c>
      <c r="B2105" s="63" t="s">
        <v>1657</v>
      </c>
      <c r="C2105" s="64"/>
      <c r="D2105" s="65"/>
      <c r="E2105" s="66"/>
      <c r="F2105" s="67"/>
      <c r="G2105" s="64"/>
      <c r="H2105" s="68"/>
      <c r="I2105" s="69"/>
      <c r="J2105" s="69"/>
      <c r="K2105" s="32"/>
      <c r="L2105" s="76">
        <v>2105</v>
      </c>
      <c r="M2105" s="76"/>
      <c r="N2105" s="71"/>
      <c r="O2105" s="87" t="s">
        <v>1839</v>
      </c>
      <c r="P2105" s="90">
        <v>45012.057291666664</v>
      </c>
      <c r="Q2105" s="87" t="s">
        <v>3882</v>
      </c>
      <c r="R2105" s="87">
        <v>8301</v>
      </c>
      <c r="S2105" s="87">
        <v>27920</v>
      </c>
      <c r="T2105" s="87">
        <v>902</v>
      </c>
      <c r="U2105" s="87">
        <v>166</v>
      </c>
      <c r="V2105" s="87">
        <v>10579595</v>
      </c>
      <c r="W2105" s="93" t="s">
        <v>7204</v>
      </c>
      <c r="X2105" s="87"/>
      <c r="Y2105" s="87"/>
      <c r="Z2105" s="87" t="s">
        <v>8589</v>
      </c>
      <c r="AA2105" s="87" t="s">
        <v>9987</v>
      </c>
      <c r="AB2105" s="87" t="s">
        <v>11448</v>
      </c>
      <c r="AC2105" s="93" t="s">
        <v>11458</v>
      </c>
      <c r="AD2105" s="87" t="s">
        <v>11518</v>
      </c>
      <c r="AE2105" s="92" t="str">
        <f>HYPERLINK("https://twitter.com/briandordevic/status/1640162346516578306")</f>
        <v>https://twitter.com/briandordevic/status/1640162346516578306</v>
      </c>
      <c r="AF2105" s="90">
        <v>45012.057291666664</v>
      </c>
      <c r="AG2105" s="99">
        <v>45012</v>
      </c>
      <c r="AH2105" s="93" t="s">
        <v>13436</v>
      </c>
      <c r="AI2105" s="87" t="b">
        <v>0</v>
      </c>
      <c r="AJ2105" s="87"/>
      <c r="AK2105" s="87"/>
      <c r="AL2105" s="87"/>
      <c r="AM2105" s="87"/>
      <c r="AN2105" s="87"/>
      <c r="AO2105" s="87"/>
      <c r="AP2105" s="87"/>
      <c r="AQ2105" s="87" t="s">
        <v>16800</v>
      </c>
      <c r="AR2105" s="87"/>
      <c r="AS2105" s="87"/>
      <c r="AT2105" s="87"/>
      <c r="AU2105" s="87"/>
      <c r="AV2105" s="92" t="str">
        <f>HYPERLINK("https://pbs.twimg.com/media/FsMG9eQXgAEJKnS.jpg")</f>
        <v>https://pbs.twimg.com/media/FsMG9eQXgAEJKnS.jpg</v>
      </c>
      <c r="AW2105" s="93" t="s">
        <v>20323</v>
      </c>
      <c r="AX2105" s="93" t="s">
        <v>20323</v>
      </c>
      <c r="AY2105" s="87"/>
      <c r="AZ2105" s="93" t="s">
        <v>22668</v>
      </c>
      <c r="BA2105" s="93" t="s">
        <v>22668</v>
      </c>
      <c r="BB2105" s="93" t="s">
        <v>22668</v>
      </c>
      <c r="BC2105" s="93" t="s">
        <v>20323</v>
      </c>
      <c r="BD2105" s="87">
        <v>146037421</v>
      </c>
      <c r="BE2105" s="87"/>
      <c r="BF2105" s="87"/>
      <c r="BG2105" s="87"/>
      <c r="BH2105" s="87"/>
      <c r="BI2105" s="87"/>
    </row>
    <row r="2106" spans="1:61" x14ac:dyDescent="0.25">
      <c r="A2106" s="63" t="s">
        <v>930</v>
      </c>
      <c r="B2106" s="63" t="s">
        <v>930</v>
      </c>
      <c r="C2106" s="64"/>
      <c r="D2106" s="65"/>
      <c r="E2106" s="66"/>
      <c r="F2106" s="67"/>
      <c r="G2106" s="64"/>
      <c r="H2106" s="68"/>
      <c r="I2106" s="69"/>
      <c r="J2106" s="69"/>
      <c r="K2106" s="32"/>
      <c r="L2106" s="76">
        <v>2106</v>
      </c>
      <c r="M2106" s="76"/>
      <c r="N2106" s="71"/>
      <c r="O2106" s="87" t="s">
        <v>179</v>
      </c>
      <c r="P2106" s="90">
        <v>45148.497488425928</v>
      </c>
      <c r="Q2106" s="87" t="s">
        <v>3883</v>
      </c>
      <c r="R2106" s="87">
        <v>0</v>
      </c>
      <c r="S2106" s="87">
        <v>0</v>
      </c>
      <c r="T2106" s="87">
        <v>0</v>
      </c>
      <c r="U2106" s="87">
        <v>0</v>
      </c>
      <c r="V2106" s="87">
        <v>1</v>
      </c>
      <c r="W2106" s="93" t="s">
        <v>7205</v>
      </c>
      <c r="X2106" s="92" t="str">
        <f>HYPERLINK("https://youtu.be/eehYk9euvf4")</f>
        <v>https://youtu.be/eehYk9euvf4</v>
      </c>
      <c r="Y2106" s="87" t="s">
        <v>8372</v>
      </c>
      <c r="Z2106" s="87"/>
      <c r="AA2106" s="87"/>
      <c r="AB2106" s="87"/>
      <c r="AC2106" s="93" t="s">
        <v>11457</v>
      </c>
      <c r="AD2106" s="87" t="s">
        <v>11519</v>
      </c>
      <c r="AE2106" s="92" t="str">
        <f>HYPERLINK("https://twitter.com/jbcanovas/status/1689606618239954949")</f>
        <v>https://twitter.com/jbcanovas/status/1689606618239954949</v>
      </c>
      <c r="AF2106" s="90">
        <v>45148.497488425928</v>
      </c>
      <c r="AG2106" s="99">
        <v>45148</v>
      </c>
      <c r="AH2106" s="93" t="s">
        <v>12293</v>
      </c>
      <c r="AI2106" s="87" t="b">
        <v>0</v>
      </c>
      <c r="AJ2106" s="87"/>
      <c r="AK2106" s="87"/>
      <c r="AL2106" s="87"/>
      <c r="AM2106" s="87"/>
      <c r="AN2106" s="87"/>
      <c r="AO2106" s="87"/>
      <c r="AP2106" s="87"/>
      <c r="AQ2106" s="87"/>
      <c r="AR2106" s="87"/>
      <c r="AS2106" s="87"/>
      <c r="AT2106" s="87"/>
      <c r="AU2106" s="87"/>
      <c r="AV2106" s="92" t="str">
        <f>HYPERLINK("https://pbs.twimg.com/profile_images/1607433920374513664/Gy97f-Vp_normal.jpg")</f>
        <v>https://pbs.twimg.com/profile_images/1607433920374513664/Gy97f-Vp_normal.jpg</v>
      </c>
      <c r="AW2106" s="93" t="s">
        <v>20324</v>
      </c>
      <c r="AX2106" s="93" t="s">
        <v>20324</v>
      </c>
      <c r="AY2106" s="87"/>
      <c r="AZ2106" s="93" t="s">
        <v>22668</v>
      </c>
      <c r="BA2106" s="93" t="s">
        <v>22668</v>
      </c>
      <c r="BB2106" s="93" t="s">
        <v>22668</v>
      </c>
      <c r="BC2106" s="93" t="s">
        <v>20324</v>
      </c>
      <c r="BD2106" s="87">
        <v>67931727</v>
      </c>
      <c r="BE2106" s="87"/>
      <c r="BF2106" s="87"/>
      <c r="BG2106" s="87"/>
      <c r="BH2106" s="87"/>
      <c r="BI2106" s="87"/>
    </row>
    <row r="2107" spans="1:61" x14ac:dyDescent="0.25">
      <c r="A2107" s="63" t="s">
        <v>930</v>
      </c>
      <c r="B2107" s="63" t="s">
        <v>930</v>
      </c>
      <c r="C2107" s="64"/>
      <c r="D2107" s="65"/>
      <c r="E2107" s="66"/>
      <c r="F2107" s="67"/>
      <c r="G2107" s="64"/>
      <c r="H2107" s="68"/>
      <c r="I2107" s="69"/>
      <c r="J2107" s="69"/>
      <c r="K2107" s="32"/>
      <c r="L2107" s="76">
        <v>2107</v>
      </c>
      <c r="M2107" s="76"/>
      <c r="N2107" s="71"/>
      <c r="O2107" s="87" t="s">
        <v>179</v>
      </c>
      <c r="P2107" s="90">
        <v>45181.103726851848</v>
      </c>
      <c r="Q2107" s="87" t="s">
        <v>3884</v>
      </c>
      <c r="R2107" s="87">
        <v>0</v>
      </c>
      <c r="S2107" s="87">
        <v>0</v>
      </c>
      <c r="T2107" s="87">
        <v>0</v>
      </c>
      <c r="U2107" s="87">
        <v>0</v>
      </c>
      <c r="V2107" s="87">
        <v>15</v>
      </c>
      <c r="W2107" s="93" t="s">
        <v>7206</v>
      </c>
      <c r="X2107" s="87" t="s">
        <v>8354</v>
      </c>
      <c r="Y2107" s="87" t="s">
        <v>8480</v>
      </c>
      <c r="Z2107" s="87"/>
      <c r="AA2107" s="87"/>
      <c r="AB2107" s="87"/>
      <c r="AC2107" s="93" t="s">
        <v>11458</v>
      </c>
      <c r="AD2107" s="87" t="s">
        <v>11519</v>
      </c>
      <c r="AE2107" s="92" t="str">
        <f>HYPERLINK("https://twitter.com/jbcanovas/status/1701422720053817688")</f>
        <v>https://twitter.com/jbcanovas/status/1701422720053817688</v>
      </c>
      <c r="AF2107" s="90">
        <v>45181.103726851848</v>
      </c>
      <c r="AG2107" s="99">
        <v>45181</v>
      </c>
      <c r="AH2107" s="93" t="s">
        <v>13437</v>
      </c>
      <c r="AI2107" s="87" t="b">
        <v>0</v>
      </c>
      <c r="AJ2107" s="87"/>
      <c r="AK2107" s="87"/>
      <c r="AL2107" s="87"/>
      <c r="AM2107" s="87"/>
      <c r="AN2107" s="87"/>
      <c r="AO2107" s="87"/>
      <c r="AP2107" s="87"/>
      <c r="AQ2107" s="87"/>
      <c r="AR2107" s="87"/>
      <c r="AS2107" s="87"/>
      <c r="AT2107" s="87"/>
      <c r="AU2107" s="87"/>
      <c r="AV2107" s="92" t="str">
        <f>HYPERLINK("https://pbs.twimg.com/profile_images/1607433920374513664/Gy97f-Vp_normal.jpg")</f>
        <v>https://pbs.twimg.com/profile_images/1607433920374513664/Gy97f-Vp_normal.jpg</v>
      </c>
      <c r="AW2107" s="93" t="s">
        <v>20325</v>
      </c>
      <c r="AX2107" s="93" t="s">
        <v>20325</v>
      </c>
      <c r="AY2107" s="87"/>
      <c r="AZ2107" s="93" t="s">
        <v>22668</v>
      </c>
      <c r="BA2107" s="93" t="s">
        <v>22668</v>
      </c>
      <c r="BB2107" s="93" t="s">
        <v>22668</v>
      </c>
      <c r="BC2107" s="93" t="s">
        <v>20325</v>
      </c>
      <c r="BD2107" s="87">
        <v>67931727</v>
      </c>
      <c r="BE2107" s="87"/>
      <c r="BF2107" s="87"/>
      <c r="BG2107" s="87"/>
      <c r="BH2107" s="87"/>
      <c r="BI2107" s="87"/>
    </row>
    <row r="2108" spans="1:61" x14ac:dyDescent="0.25">
      <c r="A2108" s="63" t="s">
        <v>930</v>
      </c>
      <c r="B2108" s="63" t="s">
        <v>942</v>
      </c>
      <c r="C2108" s="64"/>
      <c r="D2108" s="65"/>
      <c r="E2108" s="66"/>
      <c r="F2108" s="67"/>
      <c r="G2108" s="64"/>
      <c r="H2108" s="68"/>
      <c r="I2108" s="69"/>
      <c r="J2108" s="69"/>
      <c r="K2108" s="32"/>
      <c r="L2108" s="76">
        <v>2108</v>
      </c>
      <c r="M2108" s="76"/>
      <c r="N2108" s="71"/>
      <c r="O2108" s="87" t="s">
        <v>1841</v>
      </c>
      <c r="P2108" s="90">
        <v>45187.488993055558</v>
      </c>
      <c r="Q2108" s="87" t="s">
        <v>3885</v>
      </c>
      <c r="R2108" s="87">
        <v>1</v>
      </c>
      <c r="S2108" s="87">
        <v>0</v>
      </c>
      <c r="T2108" s="87">
        <v>0</v>
      </c>
      <c r="U2108" s="87">
        <v>0</v>
      </c>
      <c r="V2108" s="87"/>
      <c r="W2108" s="87"/>
      <c r="X2108" s="87"/>
      <c r="Y2108" s="87"/>
      <c r="Z2108" s="87" t="s">
        <v>942</v>
      </c>
      <c r="AA2108" s="87"/>
      <c r="AB2108" s="87"/>
      <c r="AC2108" s="93" t="s">
        <v>11458</v>
      </c>
      <c r="AD2108" s="87" t="s">
        <v>11519</v>
      </c>
      <c r="AE2108" s="92" t="str">
        <f>HYPERLINK("https://twitter.com/jbcanovas/status/1703736665049571751")</f>
        <v>https://twitter.com/jbcanovas/status/1703736665049571751</v>
      </c>
      <c r="AF2108" s="90">
        <v>45187.488993055558</v>
      </c>
      <c r="AG2108" s="99">
        <v>45187</v>
      </c>
      <c r="AH2108" s="93" t="s">
        <v>13438</v>
      </c>
      <c r="AI2108" s="87"/>
      <c r="AJ2108" s="87"/>
      <c r="AK2108" s="87"/>
      <c r="AL2108" s="87"/>
      <c r="AM2108" s="87"/>
      <c r="AN2108" s="87"/>
      <c r="AO2108" s="87"/>
      <c r="AP2108" s="87"/>
      <c r="AQ2108" s="87"/>
      <c r="AR2108" s="87"/>
      <c r="AS2108" s="87"/>
      <c r="AT2108" s="87"/>
      <c r="AU2108" s="87"/>
      <c r="AV2108" s="92" t="str">
        <f>HYPERLINK("https://pbs.twimg.com/profile_images/1607433920374513664/Gy97f-Vp_normal.jpg")</f>
        <v>https://pbs.twimg.com/profile_images/1607433920374513664/Gy97f-Vp_normal.jpg</v>
      </c>
      <c r="AW2108" s="93" t="s">
        <v>20326</v>
      </c>
      <c r="AX2108" s="93" t="s">
        <v>20326</v>
      </c>
      <c r="AY2108" s="87"/>
      <c r="AZ2108" s="93" t="s">
        <v>22668</v>
      </c>
      <c r="BA2108" s="93" t="s">
        <v>22668</v>
      </c>
      <c r="BB2108" s="93" t="s">
        <v>20353</v>
      </c>
      <c r="BC2108" s="93" t="s">
        <v>20353</v>
      </c>
      <c r="BD2108" s="87">
        <v>67931727</v>
      </c>
      <c r="BE2108" s="87"/>
      <c r="BF2108" s="87"/>
      <c r="BG2108" s="87"/>
      <c r="BH2108" s="87"/>
      <c r="BI2108" s="87"/>
    </row>
    <row r="2109" spans="1:61" x14ac:dyDescent="0.25">
      <c r="A2109" s="63" t="s">
        <v>930</v>
      </c>
      <c r="B2109" s="63" t="s">
        <v>930</v>
      </c>
      <c r="C2109" s="64"/>
      <c r="D2109" s="65"/>
      <c r="E2109" s="66"/>
      <c r="F2109" s="67"/>
      <c r="G2109" s="64"/>
      <c r="H2109" s="68"/>
      <c r="I2109" s="69"/>
      <c r="J2109" s="69"/>
      <c r="K2109" s="32"/>
      <c r="L2109" s="76">
        <v>2109</v>
      </c>
      <c r="M2109" s="76"/>
      <c r="N2109" s="71"/>
      <c r="O2109" s="87" t="s">
        <v>179</v>
      </c>
      <c r="P2109" s="90">
        <v>45152.535763888889</v>
      </c>
      <c r="Q2109" s="87" t="s">
        <v>3886</v>
      </c>
      <c r="R2109" s="87">
        <v>0</v>
      </c>
      <c r="S2109" s="87">
        <v>1</v>
      </c>
      <c r="T2109" s="87">
        <v>0</v>
      </c>
      <c r="U2109" s="87">
        <v>0</v>
      </c>
      <c r="V2109" s="87">
        <v>3</v>
      </c>
      <c r="W2109" s="93" t="s">
        <v>7207</v>
      </c>
      <c r="X2109" s="92" t="str">
        <f>HYPERLINK("https://www.youtube.com/watch?v=JLCi2BmmXiY")</f>
        <v>https://www.youtube.com/watch?v=JLCi2BmmXiY</v>
      </c>
      <c r="Y2109" s="87" t="s">
        <v>8380</v>
      </c>
      <c r="Z2109" s="87"/>
      <c r="AA2109" s="87"/>
      <c r="AB2109" s="87"/>
      <c r="AC2109" s="93" t="s">
        <v>11457</v>
      </c>
      <c r="AD2109" s="87" t="s">
        <v>11519</v>
      </c>
      <c r="AE2109" s="92" t="str">
        <f>HYPERLINK("https://twitter.com/jbcanovas/status/1691070037870682112")</f>
        <v>https://twitter.com/jbcanovas/status/1691070037870682112</v>
      </c>
      <c r="AF2109" s="90">
        <v>45152.535763888889</v>
      </c>
      <c r="AG2109" s="99">
        <v>45152</v>
      </c>
      <c r="AH2109" s="93" t="s">
        <v>13439</v>
      </c>
      <c r="AI2109" s="87" t="b">
        <v>0</v>
      </c>
      <c r="AJ2109" s="87"/>
      <c r="AK2109" s="87"/>
      <c r="AL2109" s="87"/>
      <c r="AM2109" s="87"/>
      <c r="AN2109" s="87"/>
      <c r="AO2109" s="87"/>
      <c r="AP2109" s="87"/>
      <c r="AQ2109" s="87"/>
      <c r="AR2109" s="87"/>
      <c r="AS2109" s="87"/>
      <c r="AT2109" s="87"/>
      <c r="AU2109" s="87"/>
      <c r="AV2109" s="92" t="str">
        <f>HYPERLINK("https://pbs.twimg.com/profile_images/1607433920374513664/Gy97f-Vp_normal.jpg")</f>
        <v>https://pbs.twimg.com/profile_images/1607433920374513664/Gy97f-Vp_normal.jpg</v>
      </c>
      <c r="AW2109" s="93" t="s">
        <v>20327</v>
      </c>
      <c r="AX2109" s="93" t="s">
        <v>20327</v>
      </c>
      <c r="AY2109" s="87"/>
      <c r="AZ2109" s="93" t="s">
        <v>22668</v>
      </c>
      <c r="BA2109" s="93" t="s">
        <v>22668</v>
      </c>
      <c r="BB2109" s="93" t="s">
        <v>22668</v>
      </c>
      <c r="BC2109" s="93" t="s">
        <v>20327</v>
      </c>
      <c r="BD2109" s="87">
        <v>67931727</v>
      </c>
      <c r="BE2109" s="87"/>
      <c r="BF2109" s="87"/>
      <c r="BG2109" s="87"/>
      <c r="BH2109" s="87"/>
      <c r="BI2109" s="87"/>
    </row>
    <row r="2110" spans="1:61" x14ac:dyDescent="0.25">
      <c r="A2110" s="63" t="s">
        <v>931</v>
      </c>
      <c r="B2110" s="63" t="s">
        <v>931</v>
      </c>
      <c r="C2110" s="64"/>
      <c r="D2110" s="65"/>
      <c r="E2110" s="66"/>
      <c r="F2110" s="67"/>
      <c r="G2110" s="64"/>
      <c r="H2110" s="68"/>
      <c r="I2110" s="69"/>
      <c r="J2110" s="69"/>
      <c r="K2110" s="32"/>
      <c r="L2110" s="76">
        <v>2110</v>
      </c>
      <c r="M2110" s="76"/>
      <c r="N2110" s="71"/>
      <c r="O2110" s="87" t="s">
        <v>179</v>
      </c>
      <c r="P2110" s="90">
        <v>45146.667118055557</v>
      </c>
      <c r="Q2110" s="87" t="s">
        <v>3887</v>
      </c>
      <c r="R2110" s="87">
        <v>0</v>
      </c>
      <c r="S2110" s="87">
        <v>0</v>
      </c>
      <c r="T2110" s="87">
        <v>0</v>
      </c>
      <c r="U2110" s="87">
        <v>0</v>
      </c>
      <c r="V2110" s="87">
        <v>65</v>
      </c>
      <c r="W2110" s="93" t="s">
        <v>7208</v>
      </c>
      <c r="X2110" s="87"/>
      <c r="Y2110" s="87"/>
      <c r="Z2110" s="87"/>
      <c r="AA2110" s="87" t="s">
        <v>9988</v>
      </c>
      <c r="AB2110" s="87" t="s">
        <v>11447</v>
      </c>
      <c r="AC2110" s="93" t="s">
        <v>11459</v>
      </c>
      <c r="AD2110" s="87" t="s">
        <v>11519</v>
      </c>
      <c r="AE2110" s="92" t="str">
        <f>HYPERLINK("https://twitter.com/universidaderat/status/1688943312676298753")</f>
        <v>https://twitter.com/universidaderat/status/1688943312676298753</v>
      </c>
      <c r="AF2110" s="90">
        <v>45146.667118055557</v>
      </c>
      <c r="AG2110" s="99">
        <v>45146</v>
      </c>
      <c r="AH2110" s="93" t="s">
        <v>13440</v>
      </c>
      <c r="AI2110" s="87" t="b">
        <v>0</v>
      </c>
      <c r="AJ2110" s="87"/>
      <c r="AK2110" s="87"/>
      <c r="AL2110" s="87"/>
      <c r="AM2110" s="87"/>
      <c r="AN2110" s="87"/>
      <c r="AO2110" s="87"/>
      <c r="AP2110" s="87"/>
      <c r="AQ2110" s="87" t="s">
        <v>16801</v>
      </c>
      <c r="AR2110" s="87">
        <v>60566</v>
      </c>
      <c r="AS2110" s="87"/>
      <c r="AT2110" s="87"/>
      <c r="AU2110" s="87"/>
      <c r="AV2110" s="92" t="str">
        <f>HYPERLINK("https://pbs.twimg.com/ext_tw_video_thumb/1688943217784262657/pu/img/ZEa4V-_gscxgBtC_.jpg")</f>
        <v>https://pbs.twimg.com/ext_tw_video_thumb/1688943217784262657/pu/img/ZEa4V-_gscxgBtC_.jpg</v>
      </c>
      <c r="AW2110" s="93" t="s">
        <v>20328</v>
      </c>
      <c r="AX2110" s="93" t="s">
        <v>20328</v>
      </c>
      <c r="AY2110" s="87"/>
      <c r="AZ2110" s="93" t="s">
        <v>22668</v>
      </c>
      <c r="BA2110" s="93" t="s">
        <v>22668</v>
      </c>
      <c r="BB2110" s="93" t="s">
        <v>22668</v>
      </c>
      <c r="BC2110" s="93" t="s">
        <v>20328</v>
      </c>
      <c r="BD2110" s="93" t="s">
        <v>23201</v>
      </c>
      <c r="BE2110" s="87"/>
      <c r="BF2110" s="87"/>
      <c r="BG2110" s="87"/>
      <c r="BH2110" s="87"/>
      <c r="BI2110" s="87"/>
    </row>
    <row r="2111" spans="1:61" x14ac:dyDescent="0.25">
      <c r="A2111" s="63" t="s">
        <v>932</v>
      </c>
      <c r="B2111" s="63" t="s">
        <v>932</v>
      </c>
      <c r="C2111" s="64"/>
      <c r="D2111" s="65"/>
      <c r="E2111" s="66"/>
      <c r="F2111" s="67"/>
      <c r="G2111" s="64"/>
      <c r="H2111" s="68"/>
      <c r="I2111" s="69"/>
      <c r="J2111" s="69"/>
      <c r="K2111" s="32"/>
      <c r="L2111" s="76">
        <v>2111</v>
      </c>
      <c r="M2111" s="76"/>
      <c r="N2111" s="71"/>
      <c r="O2111" s="87" t="s">
        <v>179</v>
      </c>
      <c r="P2111" s="90">
        <v>45127.77547453704</v>
      </c>
      <c r="Q2111" s="87" t="s">
        <v>3888</v>
      </c>
      <c r="R2111" s="87">
        <v>0</v>
      </c>
      <c r="S2111" s="87">
        <v>0</v>
      </c>
      <c r="T2111" s="87">
        <v>0</v>
      </c>
      <c r="U2111" s="87">
        <v>0</v>
      </c>
      <c r="V2111" s="87">
        <v>20</v>
      </c>
      <c r="W2111" s="93" t="s">
        <v>7209</v>
      </c>
      <c r="X2111" s="87"/>
      <c r="Y2111" s="87"/>
      <c r="Z2111" s="87"/>
      <c r="AA2111" s="87"/>
      <c r="AB2111" s="87"/>
      <c r="AC2111" s="93" t="s">
        <v>11458</v>
      </c>
      <c r="AD2111" s="87" t="s">
        <v>11519</v>
      </c>
      <c r="AE2111" s="92" t="str">
        <f>HYPERLINK("https://twitter.com/thiagoireland/status/1682097208659673089")</f>
        <v>https://twitter.com/thiagoireland/status/1682097208659673089</v>
      </c>
      <c r="AF2111" s="90">
        <v>45127.77547453704</v>
      </c>
      <c r="AG2111" s="99">
        <v>45127</v>
      </c>
      <c r="AH2111" s="93" t="s">
        <v>13441</v>
      </c>
      <c r="AI2111" s="87"/>
      <c r="AJ2111" s="87"/>
      <c r="AK2111" s="87"/>
      <c r="AL2111" s="87"/>
      <c r="AM2111" s="87"/>
      <c r="AN2111" s="87"/>
      <c r="AO2111" s="87"/>
      <c r="AP2111" s="87"/>
      <c r="AQ2111" s="87"/>
      <c r="AR2111" s="87"/>
      <c r="AS2111" s="87"/>
      <c r="AT2111" s="87"/>
      <c r="AU2111" s="87"/>
      <c r="AV2111" s="92" t="str">
        <f>HYPERLINK("https://pbs.twimg.com/profile_images/1674078476616323072/gjYRjmaG_normal.png")</f>
        <v>https://pbs.twimg.com/profile_images/1674078476616323072/gjYRjmaG_normal.png</v>
      </c>
      <c r="AW2111" s="93" t="s">
        <v>20329</v>
      </c>
      <c r="AX2111" s="93" t="s">
        <v>20329</v>
      </c>
      <c r="AY2111" s="87"/>
      <c r="AZ2111" s="93" t="s">
        <v>22668</v>
      </c>
      <c r="BA2111" s="93" t="s">
        <v>22668</v>
      </c>
      <c r="BB2111" s="93" t="s">
        <v>22668</v>
      </c>
      <c r="BC2111" s="93" t="s">
        <v>20329</v>
      </c>
      <c r="BD2111" s="93" t="s">
        <v>23202</v>
      </c>
      <c r="BE2111" s="87"/>
      <c r="BF2111" s="87"/>
      <c r="BG2111" s="87"/>
      <c r="BH2111" s="87"/>
      <c r="BI2111" s="87"/>
    </row>
    <row r="2112" spans="1:61" x14ac:dyDescent="0.25">
      <c r="A2112" s="63" t="s">
        <v>933</v>
      </c>
      <c r="B2112" s="63" t="s">
        <v>933</v>
      </c>
      <c r="C2112" s="64"/>
      <c r="D2112" s="65"/>
      <c r="E2112" s="66"/>
      <c r="F2112" s="67"/>
      <c r="G2112" s="64"/>
      <c r="H2112" s="68"/>
      <c r="I2112" s="69"/>
      <c r="J2112" s="69"/>
      <c r="K2112" s="32"/>
      <c r="L2112" s="76">
        <v>2112</v>
      </c>
      <c r="M2112" s="76"/>
      <c r="N2112" s="71"/>
      <c r="O2112" s="87" t="s">
        <v>179</v>
      </c>
      <c r="P2112" s="90">
        <v>45193.958912037036</v>
      </c>
      <c r="Q2112" s="87" t="s">
        <v>3889</v>
      </c>
      <c r="R2112" s="87">
        <v>0</v>
      </c>
      <c r="S2112" s="87">
        <v>0</v>
      </c>
      <c r="T2112" s="87">
        <v>0</v>
      </c>
      <c r="U2112" s="87">
        <v>0</v>
      </c>
      <c r="V2112" s="87">
        <v>4</v>
      </c>
      <c r="W2112" s="93" t="s">
        <v>7210</v>
      </c>
      <c r="X2112" s="92" t="str">
        <f>HYPERLINK("https://youtu.be/c03M_TNx4k0?feature=shared")</f>
        <v>https://youtu.be/c03M_TNx4k0?feature=shared</v>
      </c>
      <c r="Y2112" s="87" t="s">
        <v>8372</v>
      </c>
      <c r="Z2112" s="87"/>
      <c r="AA2112" s="87" t="s">
        <v>9989</v>
      </c>
      <c r="AB2112" s="87" t="s">
        <v>11448</v>
      </c>
      <c r="AC2112" s="93" t="s">
        <v>11458</v>
      </c>
      <c r="AD2112" s="87" t="s">
        <v>11519</v>
      </c>
      <c r="AE2112" s="92" t="str">
        <f>HYPERLINK("https://twitter.com/nimzoindia__/status/1706081285523779758")</f>
        <v>https://twitter.com/nimzoindia__/status/1706081285523779758</v>
      </c>
      <c r="AF2112" s="90">
        <v>45193.958912037036</v>
      </c>
      <c r="AG2112" s="99">
        <v>45193</v>
      </c>
      <c r="AH2112" s="93" t="s">
        <v>13442</v>
      </c>
      <c r="AI2112" s="87" t="b">
        <v>0</v>
      </c>
      <c r="AJ2112" s="87"/>
      <c r="AK2112" s="87"/>
      <c r="AL2112" s="87"/>
      <c r="AM2112" s="87"/>
      <c r="AN2112" s="87"/>
      <c r="AO2112" s="87"/>
      <c r="AP2112" s="87"/>
      <c r="AQ2112" s="87" t="s">
        <v>16802</v>
      </c>
      <c r="AR2112" s="87"/>
      <c r="AS2112" s="87"/>
      <c r="AT2112" s="87"/>
      <c r="AU2112" s="87"/>
      <c r="AV2112" s="92" t="str">
        <f>HYPERLINK("https://pbs.twimg.com/media/F6034p9WMAAP6dx.jpg")</f>
        <v>https://pbs.twimg.com/media/F6034p9WMAAP6dx.jpg</v>
      </c>
      <c r="AW2112" s="93" t="s">
        <v>20330</v>
      </c>
      <c r="AX2112" s="93" t="s">
        <v>20330</v>
      </c>
      <c r="AY2112" s="87"/>
      <c r="AZ2112" s="93" t="s">
        <v>22668</v>
      </c>
      <c r="BA2112" s="93" t="s">
        <v>22668</v>
      </c>
      <c r="BB2112" s="93" t="s">
        <v>22668</v>
      </c>
      <c r="BC2112" s="93" t="s">
        <v>20330</v>
      </c>
      <c r="BD2112" s="93" t="s">
        <v>23203</v>
      </c>
      <c r="BE2112" s="87"/>
      <c r="BF2112" s="87"/>
      <c r="BG2112" s="87"/>
      <c r="BH2112" s="87"/>
      <c r="BI2112" s="87"/>
    </row>
    <row r="2113" spans="1:61" x14ac:dyDescent="0.25">
      <c r="A2113" s="63" t="s">
        <v>934</v>
      </c>
      <c r="B2113" s="63" t="s">
        <v>1624</v>
      </c>
      <c r="C2113" s="64"/>
      <c r="D2113" s="65"/>
      <c r="E2113" s="66"/>
      <c r="F2113" s="67"/>
      <c r="G2113" s="64"/>
      <c r="H2113" s="68"/>
      <c r="I2113" s="69"/>
      <c r="J2113" s="69"/>
      <c r="K2113" s="32"/>
      <c r="L2113" s="76">
        <v>2113</v>
      </c>
      <c r="M2113" s="76"/>
      <c r="N2113" s="71"/>
      <c r="O2113" s="87" t="s">
        <v>1839</v>
      </c>
      <c r="P2113" s="90">
        <v>45177.680810185186</v>
      </c>
      <c r="Q2113" s="87" t="s">
        <v>3890</v>
      </c>
      <c r="R2113" s="87">
        <v>0</v>
      </c>
      <c r="S2113" s="87">
        <v>0</v>
      </c>
      <c r="T2113" s="87">
        <v>0</v>
      </c>
      <c r="U2113" s="87">
        <v>0</v>
      </c>
      <c r="V2113" s="87">
        <v>2</v>
      </c>
      <c r="W2113" s="93" t="s">
        <v>7211</v>
      </c>
      <c r="X2113" s="92" t="str">
        <f>HYPERLINK("https://youtube.com/shorts/jB2VeMlCV6Q?si=-dhl8OtLpYMjojfp")</f>
        <v>https://youtube.com/shorts/jB2VeMlCV6Q?si=-dhl8OtLpYMjojfp</v>
      </c>
      <c r="Y2113" s="87" t="s">
        <v>8380</v>
      </c>
      <c r="Z2113" s="87" t="s">
        <v>1624</v>
      </c>
      <c r="AA2113" s="87"/>
      <c r="AB2113" s="87"/>
      <c r="AC2113" s="93" t="s">
        <v>11457</v>
      </c>
      <c r="AD2113" s="87" t="s">
        <v>11519</v>
      </c>
      <c r="AE2113" s="92" t="str">
        <f>HYPERLINK("https://twitter.com/radunz_carlos/status/1700182296844767356")</f>
        <v>https://twitter.com/radunz_carlos/status/1700182296844767356</v>
      </c>
      <c r="AF2113" s="90">
        <v>45177.680810185186</v>
      </c>
      <c r="AG2113" s="99">
        <v>45177</v>
      </c>
      <c r="AH2113" s="93" t="s">
        <v>13443</v>
      </c>
      <c r="AI2113" s="87" t="b">
        <v>0</v>
      </c>
      <c r="AJ2113" s="87"/>
      <c r="AK2113" s="87"/>
      <c r="AL2113" s="87"/>
      <c r="AM2113" s="87"/>
      <c r="AN2113" s="87"/>
      <c r="AO2113" s="87"/>
      <c r="AP2113" s="87"/>
      <c r="AQ2113" s="87"/>
      <c r="AR2113" s="87"/>
      <c r="AS2113" s="87"/>
      <c r="AT2113" s="87"/>
      <c r="AU2113" s="87"/>
      <c r="AV2113" s="92" t="str">
        <f>HYPERLINK("https://pbs.twimg.com/profile_images/1595427363713650689/rEcoLsTW_normal.jpg")</f>
        <v>https://pbs.twimg.com/profile_images/1595427363713650689/rEcoLsTW_normal.jpg</v>
      </c>
      <c r="AW2113" s="93" t="s">
        <v>20331</v>
      </c>
      <c r="AX2113" s="93" t="s">
        <v>20331</v>
      </c>
      <c r="AY2113" s="87"/>
      <c r="AZ2113" s="93" t="s">
        <v>22668</v>
      </c>
      <c r="BA2113" s="93" t="s">
        <v>22668</v>
      </c>
      <c r="BB2113" s="93" t="s">
        <v>22668</v>
      </c>
      <c r="BC2113" s="93" t="s">
        <v>20331</v>
      </c>
      <c r="BD2113" s="93" t="s">
        <v>23204</v>
      </c>
      <c r="BE2113" s="87"/>
      <c r="BF2113" s="87"/>
      <c r="BG2113" s="87"/>
      <c r="BH2113" s="87"/>
      <c r="BI2113" s="87"/>
    </row>
    <row r="2114" spans="1:61" x14ac:dyDescent="0.25">
      <c r="A2114" s="63" t="s">
        <v>935</v>
      </c>
      <c r="B2114" s="63" t="s">
        <v>935</v>
      </c>
      <c r="C2114" s="64"/>
      <c r="D2114" s="65"/>
      <c r="E2114" s="66"/>
      <c r="F2114" s="67"/>
      <c r="G2114" s="64"/>
      <c r="H2114" s="68"/>
      <c r="I2114" s="69"/>
      <c r="J2114" s="69"/>
      <c r="K2114" s="32"/>
      <c r="L2114" s="76">
        <v>2114</v>
      </c>
      <c r="M2114" s="76"/>
      <c r="N2114" s="71"/>
      <c r="O2114" s="87" t="s">
        <v>179</v>
      </c>
      <c r="P2114" s="90">
        <v>45136.702592592592</v>
      </c>
      <c r="Q2114" s="87" t="s">
        <v>3891</v>
      </c>
      <c r="R2114" s="87">
        <v>0</v>
      </c>
      <c r="S2114" s="87">
        <v>2</v>
      </c>
      <c r="T2114" s="87">
        <v>0</v>
      </c>
      <c r="U2114" s="87">
        <v>0</v>
      </c>
      <c r="V2114" s="87">
        <v>18</v>
      </c>
      <c r="W2114" s="93" t="s">
        <v>7212</v>
      </c>
      <c r="X2114" s="92" t="str">
        <f>HYPERLINK("https://www.basicosstore.com.br/p/contador-home-office.html")</f>
        <v>https://www.basicosstore.com.br/p/contador-home-office.html</v>
      </c>
      <c r="Y2114" s="87" t="s">
        <v>8373</v>
      </c>
      <c r="Z2114" s="87"/>
      <c r="AA2114" s="87" t="s">
        <v>9990</v>
      </c>
      <c r="AB2114" s="87" t="s">
        <v>11448</v>
      </c>
      <c r="AC2114" s="93" t="s">
        <v>11457</v>
      </c>
      <c r="AD2114" s="87" t="s">
        <v>11520</v>
      </c>
      <c r="AE2114" s="92" t="str">
        <f>HYPERLINK("https://twitter.com/diogo_andreia32/status/1685332289801101313")</f>
        <v>https://twitter.com/diogo_andreia32/status/1685332289801101313</v>
      </c>
      <c r="AF2114" s="90">
        <v>45136.702592592592</v>
      </c>
      <c r="AG2114" s="99">
        <v>45136</v>
      </c>
      <c r="AH2114" s="93" t="s">
        <v>13444</v>
      </c>
      <c r="AI2114" s="87" t="b">
        <v>0</v>
      </c>
      <c r="AJ2114" s="87"/>
      <c r="AK2114" s="87"/>
      <c r="AL2114" s="87"/>
      <c r="AM2114" s="87"/>
      <c r="AN2114" s="87"/>
      <c r="AO2114" s="87"/>
      <c r="AP2114" s="87"/>
      <c r="AQ2114" s="87" t="s">
        <v>16803</v>
      </c>
      <c r="AR2114" s="87"/>
      <c r="AS2114" s="87"/>
      <c r="AT2114" s="87"/>
      <c r="AU2114" s="87"/>
      <c r="AV2114" s="92" t="str">
        <f>HYPERLINK("https://pbs.twimg.com/media/F2OAv3VWwAA-_nJ.jpg")</f>
        <v>https://pbs.twimg.com/media/F2OAv3VWwAA-_nJ.jpg</v>
      </c>
      <c r="AW2114" s="93" t="s">
        <v>20332</v>
      </c>
      <c r="AX2114" s="93" t="s">
        <v>20332</v>
      </c>
      <c r="AY2114" s="87"/>
      <c r="AZ2114" s="93" t="s">
        <v>22668</v>
      </c>
      <c r="BA2114" s="93" t="s">
        <v>22668</v>
      </c>
      <c r="BB2114" s="93" t="s">
        <v>22668</v>
      </c>
      <c r="BC2114" s="93" t="s">
        <v>20332</v>
      </c>
      <c r="BD2114" s="93" t="s">
        <v>23205</v>
      </c>
      <c r="BE2114" s="87"/>
      <c r="BF2114" s="87"/>
      <c r="BG2114" s="87"/>
      <c r="BH2114" s="87"/>
      <c r="BI2114" s="87"/>
    </row>
    <row r="2115" spans="1:61" x14ac:dyDescent="0.25">
      <c r="A2115" s="63" t="s">
        <v>936</v>
      </c>
      <c r="B2115" s="63" t="s">
        <v>936</v>
      </c>
      <c r="C2115" s="64"/>
      <c r="D2115" s="65"/>
      <c r="E2115" s="66"/>
      <c r="F2115" s="67"/>
      <c r="G2115" s="64"/>
      <c r="H2115" s="68"/>
      <c r="I2115" s="69"/>
      <c r="J2115" s="69"/>
      <c r="K2115" s="32"/>
      <c r="L2115" s="76">
        <v>2115</v>
      </c>
      <c r="M2115" s="76"/>
      <c r="N2115" s="71"/>
      <c r="O2115" s="87" t="s">
        <v>179</v>
      </c>
      <c r="P2115" s="90">
        <v>45175.957280092596</v>
      </c>
      <c r="Q2115" s="87" t="s">
        <v>3892</v>
      </c>
      <c r="R2115" s="87">
        <v>0</v>
      </c>
      <c r="S2115" s="87">
        <v>0</v>
      </c>
      <c r="T2115" s="87">
        <v>0</v>
      </c>
      <c r="U2115" s="87">
        <v>0</v>
      </c>
      <c r="V2115" s="87">
        <v>29</v>
      </c>
      <c r="W2115" s="93" t="s">
        <v>7213</v>
      </c>
      <c r="X2115" s="87"/>
      <c r="Y2115" s="87"/>
      <c r="Z2115" s="87"/>
      <c r="AA2115" s="87" t="s">
        <v>9991</v>
      </c>
      <c r="AB2115" s="87" t="s">
        <v>11448</v>
      </c>
      <c r="AC2115" s="93" t="s">
        <v>11459</v>
      </c>
      <c r="AD2115" s="87" t="s">
        <v>11518</v>
      </c>
      <c r="AE2115" s="92" t="str">
        <f>HYPERLINK("https://twitter.com/andrea0170/status/1699557713921900657")</f>
        <v>https://twitter.com/andrea0170/status/1699557713921900657</v>
      </c>
      <c r="AF2115" s="90">
        <v>45175.957280092596</v>
      </c>
      <c r="AG2115" s="99">
        <v>45175</v>
      </c>
      <c r="AH2115" s="93" t="s">
        <v>13445</v>
      </c>
      <c r="AI2115" s="87" t="b">
        <v>0</v>
      </c>
      <c r="AJ2115" s="87" t="s">
        <v>15174</v>
      </c>
      <c r="AK2115" s="87" t="s">
        <v>15234</v>
      </c>
      <c r="AL2115" s="87" t="s">
        <v>15237</v>
      </c>
      <c r="AM2115" s="87" t="s">
        <v>15246</v>
      </c>
      <c r="AN2115" s="87" t="s">
        <v>15311</v>
      </c>
      <c r="AO2115" s="87" t="s">
        <v>15378</v>
      </c>
      <c r="AP2115" s="87" t="s">
        <v>15438</v>
      </c>
      <c r="AQ2115" s="87" t="s">
        <v>16804</v>
      </c>
      <c r="AR2115" s="87"/>
      <c r="AS2115" s="87"/>
      <c r="AT2115" s="87"/>
      <c r="AU2115" s="87"/>
      <c r="AV2115" s="92" t="str">
        <f>HYPERLINK("https://pbs.twimg.com/media/F5YKu-MWcAAEn2_.jpg")</f>
        <v>https://pbs.twimg.com/media/F5YKu-MWcAAEn2_.jpg</v>
      </c>
      <c r="AW2115" s="93" t="s">
        <v>20333</v>
      </c>
      <c r="AX2115" s="93" t="s">
        <v>20333</v>
      </c>
      <c r="AY2115" s="87"/>
      <c r="AZ2115" s="93" t="s">
        <v>22668</v>
      </c>
      <c r="BA2115" s="93" t="s">
        <v>22668</v>
      </c>
      <c r="BB2115" s="93" t="s">
        <v>22668</v>
      </c>
      <c r="BC2115" s="93" t="s">
        <v>20333</v>
      </c>
      <c r="BD2115" s="87">
        <v>338324185</v>
      </c>
      <c r="BE2115" s="87"/>
      <c r="BF2115" s="87"/>
      <c r="BG2115" s="87"/>
      <c r="BH2115" s="87"/>
      <c r="BI2115" s="87"/>
    </row>
    <row r="2116" spans="1:61" x14ac:dyDescent="0.25">
      <c r="A2116" s="63" t="s">
        <v>937</v>
      </c>
      <c r="B2116" s="63" t="s">
        <v>937</v>
      </c>
      <c r="C2116" s="64"/>
      <c r="D2116" s="65"/>
      <c r="E2116" s="66"/>
      <c r="F2116" s="67"/>
      <c r="G2116" s="64"/>
      <c r="H2116" s="68"/>
      <c r="I2116" s="69"/>
      <c r="J2116" s="69"/>
      <c r="K2116" s="32"/>
      <c r="L2116" s="76">
        <v>2116</v>
      </c>
      <c r="M2116" s="76"/>
      <c r="N2116" s="71"/>
      <c r="O2116" s="87" t="s">
        <v>179</v>
      </c>
      <c r="P2116" s="90">
        <v>45119.601678240739</v>
      </c>
      <c r="Q2116" s="87" t="s">
        <v>3893</v>
      </c>
      <c r="R2116" s="87">
        <v>0</v>
      </c>
      <c r="S2116" s="87">
        <v>0</v>
      </c>
      <c r="T2116" s="87">
        <v>0</v>
      </c>
      <c r="U2116" s="87">
        <v>0</v>
      </c>
      <c r="V2116" s="87">
        <v>21</v>
      </c>
      <c r="W2116" s="93" t="s">
        <v>7214</v>
      </c>
      <c r="X2116" s="92" t="str">
        <f>HYPERLINK("https://www.instagram.com/reel/CumbuSlIo4Q/?igshid=MTc4MmM1YmI2Ng==")</f>
        <v>https://www.instagram.com/reel/CumbuSlIo4Q/?igshid=MTc4MmM1YmI2Ng==</v>
      </c>
      <c r="Y2116" s="87" t="s">
        <v>8383</v>
      </c>
      <c r="Z2116" s="87"/>
      <c r="AA2116" s="87"/>
      <c r="AB2116" s="87"/>
      <c r="AC2116" s="93" t="s">
        <v>11459</v>
      </c>
      <c r="AD2116" s="87" t="s">
        <v>11519</v>
      </c>
      <c r="AE2116" s="92" t="str">
        <f>HYPERLINK("https://twitter.com/henriquearake/status/1679135126150627337")</f>
        <v>https://twitter.com/henriquearake/status/1679135126150627337</v>
      </c>
      <c r="AF2116" s="90">
        <v>45119.601678240739</v>
      </c>
      <c r="AG2116" s="99">
        <v>45119</v>
      </c>
      <c r="AH2116" s="93" t="s">
        <v>13446</v>
      </c>
      <c r="AI2116" s="87" t="b">
        <v>0</v>
      </c>
      <c r="AJ2116" s="87"/>
      <c r="AK2116" s="87"/>
      <c r="AL2116" s="87"/>
      <c r="AM2116" s="87"/>
      <c r="AN2116" s="87"/>
      <c r="AO2116" s="87"/>
      <c r="AP2116" s="87"/>
      <c r="AQ2116" s="87"/>
      <c r="AR2116" s="87"/>
      <c r="AS2116" s="87"/>
      <c r="AT2116" s="87"/>
      <c r="AU2116" s="87"/>
      <c r="AV2116" s="92" t="str">
        <f>HYPERLINK("https://pbs.twimg.com/profile_images/1628806068687065092/J8qfrZd3_normal.jpg")</f>
        <v>https://pbs.twimg.com/profile_images/1628806068687065092/J8qfrZd3_normal.jpg</v>
      </c>
      <c r="AW2116" s="93" t="s">
        <v>20334</v>
      </c>
      <c r="AX2116" s="93" t="s">
        <v>20334</v>
      </c>
      <c r="AY2116" s="87"/>
      <c r="AZ2116" s="93" t="s">
        <v>22668</v>
      </c>
      <c r="BA2116" s="93" t="s">
        <v>22668</v>
      </c>
      <c r="BB2116" s="93" t="s">
        <v>22668</v>
      </c>
      <c r="BC2116" s="93" t="s">
        <v>20334</v>
      </c>
      <c r="BD2116" s="87">
        <v>23017164</v>
      </c>
      <c r="BE2116" s="87"/>
      <c r="BF2116" s="87"/>
      <c r="BG2116" s="87"/>
      <c r="BH2116" s="87"/>
      <c r="BI2116" s="87"/>
    </row>
    <row r="2117" spans="1:61" x14ac:dyDescent="0.25">
      <c r="A2117" s="63" t="s">
        <v>938</v>
      </c>
      <c r="B2117" s="63" t="s">
        <v>1268</v>
      </c>
      <c r="C2117" s="64"/>
      <c r="D2117" s="65"/>
      <c r="E2117" s="66"/>
      <c r="F2117" s="67"/>
      <c r="G2117" s="64"/>
      <c r="H2117" s="68"/>
      <c r="I2117" s="69"/>
      <c r="J2117" s="69"/>
      <c r="K2117" s="32"/>
      <c r="L2117" s="76">
        <v>2117</v>
      </c>
      <c r="M2117" s="76"/>
      <c r="N2117" s="71"/>
      <c r="O2117" s="87" t="s">
        <v>1841</v>
      </c>
      <c r="P2117" s="90">
        <v>45189.409421296295</v>
      </c>
      <c r="Q2117" s="87" t="s">
        <v>3894</v>
      </c>
      <c r="R2117" s="87">
        <v>2</v>
      </c>
      <c r="S2117" s="87">
        <v>0</v>
      </c>
      <c r="T2117" s="87">
        <v>0</v>
      </c>
      <c r="U2117" s="87">
        <v>0</v>
      </c>
      <c r="V2117" s="87"/>
      <c r="W2117" s="87"/>
      <c r="X2117" s="87"/>
      <c r="Y2117" s="87"/>
      <c r="Z2117" s="87" t="s">
        <v>1268</v>
      </c>
      <c r="AA2117" s="87"/>
      <c r="AB2117" s="87"/>
      <c r="AC2117" s="93" t="s">
        <v>11459</v>
      </c>
      <c r="AD2117" s="87" t="s">
        <v>11519</v>
      </c>
      <c r="AE2117" s="92" t="str">
        <f>HYPERLINK("https://twitter.com/wagnerreisch/status/1704432603778924679")</f>
        <v>https://twitter.com/wagnerreisch/status/1704432603778924679</v>
      </c>
      <c r="AF2117" s="90">
        <v>45189.409421296295</v>
      </c>
      <c r="AG2117" s="99">
        <v>45189</v>
      </c>
      <c r="AH2117" s="93" t="s">
        <v>13447</v>
      </c>
      <c r="AI2117" s="87"/>
      <c r="AJ2117" s="87"/>
      <c r="AK2117" s="87"/>
      <c r="AL2117" s="87"/>
      <c r="AM2117" s="87"/>
      <c r="AN2117" s="87"/>
      <c r="AO2117" s="87"/>
      <c r="AP2117" s="87"/>
      <c r="AQ2117" s="87"/>
      <c r="AR2117" s="87"/>
      <c r="AS2117" s="87"/>
      <c r="AT2117" s="87"/>
      <c r="AU2117" s="87"/>
      <c r="AV2117" s="92" t="str">
        <f>HYPERLINK("https://pbs.twimg.com/profile_images/862775196280926208/Kkv1rGUT_normal.jpg")</f>
        <v>https://pbs.twimg.com/profile_images/862775196280926208/Kkv1rGUT_normal.jpg</v>
      </c>
      <c r="AW2117" s="93" t="s">
        <v>20335</v>
      </c>
      <c r="AX2117" s="93" t="s">
        <v>20335</v>
      </c>
      <c r="AY2117" s="87"/>
      <c r="AZ2117" s="93" t="s">
        <v>22668</v>
      </c>
      <c r="BA2117" s="93" t="s">
        <v>22668</v>
      </c>
      <c r="BB2117" s="93" t="s">
        <v>21463</v>
      </c>
      <c r="BC2117" s="93" t="s">
        <v>21463</v>
      </c>
      <c r="BD2117" s="87">
        <v>260459956</v>
      </c>
      <c r="BE2117" s="87"/>
      <c r="BF2117" s="87"/>
      <c r="BG2117" s="87"/>
      <c r="BH2117" s="87"/>
      <c r="BI2117" s="87"/>
    </row>
    <row r="2118" spans="1:61" x14ac:dyDescent="0.25">
      <c r="A2118" s="63" t="s">
        <v>939</v>
      </c>
      <c r="B2118" s="63" t="s">
        <v>1367</v>
      </c>
      <c r="C2118" s="64"/>
      <c r="D2118" s="65"/>
      <c r="E2118" s="66"/>
      <c r="F2118" s="67"/>
      <c r="G2118" s="64"/>
      <c r="H2118" s="68"/>
      <c r="I2118" s="69"/>
      <c r="J2118" s="69"/>
      <c r="K2118" s="32"/>
      <c r="L2118" s="76">
        <v>2118</v>
      </c>
      <c r="M2118" s="76"/>
      <c r="N2118" s="71"/>
      <c r="O2118" s="87" t="s">
        <v>1841</v>
      </c>
      <c r="P2118" s="90">
        <v>45190.53496527778</v>
      </c>
      <c r="Q2118" s="87" t="s">
        <v>2090</v>
      </c>
      <c r="R2118" s="87">
        <v>14</v>
      </c>
      <c r="S2118" s="87">
        <v>0</v>
      </c>
      <c r="T2118" s="87">
        <v>0</v>
      </c>
      <c r="U2118" s="87">
        <v>0</v>
      </c>
      <c r="V2118" s="87"/>
      <c r="W2118" s="93" t="s">
        <v>6034</v>
      </c>
      <c r="X2118" s="87"/>
      <c r="Y2118" s="87"/>
      <c r="Z2118" s="87" t="s">
        <v>1367</v>
      </c>
      <c r="AA2118" s="87"/>
      <c r="AB2118" s="87"/>
      <c r="AC2118" s="93" t="s">
        <v>11457</v>
      </c>
      <c r="AD2118" s="87" t="s">
        <v>11519</v>
      </c>
      <c r="AE2118" s="92" t="str">
        <f>HYPERLINK("https://twitter.com/byjonesarruda/status/1704840489260749040")</f>
        <v>https://twitter.com/byjonesarruda/status/1704840489260749040</v>
      </c>
      <c r="AF2118" s="90">
        <v>45190.53496527778</v>
      </c>
      <c r="AG2118" s="99">
        <v>45190</v>
      </c>
      <c r="AH2118" s="93" t="s">
        <v>13448</v>
      </c>
      <c r="AI2118" s="87"/>
      <c r="AJ2118" s="87"/>
      <c r="AK2118" s="87"/>
      <c r="AL2118" s="87"/>
      <c r="AM2118" s="87"/>
      <c r="AN2118" s="87"/>
      <c r="AO2118" s="87"/>
      <c r="AP2118" s="87"/>
      <c r="AQ2118" s="87"/>
      <c r="AR2118" s="87"/>
      <c r="AS2118" s="87"/>
      <c r="AT2118" s="87"/>
      <c r="AU2118" s="87"/>
      <c r="AV2118" s="92" t="str">
        <f>HYPERLINK("https://pbs.twimg.com/profile_images/1692224259974705160/Je24WTUj_normal.jpg")</f>
        <v>https://pbs.twimg.com/profile_images/1692224259974705160/Je24WTUj_normal.jpg</v>
      </c>
      <c r="AW2118" s="93" t="s">
        <v>20336</v>
      </c>
      <c r="AX2118" s="93" t="s">
        <v>20336</v>
      </c>
      <c r="AY2118" s="87"/>
      <c r="AZ2118" s="93" t="s">
        <v>22668</v>
      </c>
      <c r="BA2118" s="93" t="s">
        <v>22668</v>
      </c>
      <c r="BB2118" s="93" t="s">
        <v>21717</v>
      </c>
      <c r="BC2118" s="93" t="s">
        <v>21717</v>
      </c>
      <c r="BD2118" s="93" t="s">
        <v>23206</v>
      </c>
      <c r="BE2118" s="87"/>
      <c r="BF2118" s="87"/>
      <c r="BG2118" s="87"/>
      <c r="BH2118" s="87"/>
      <c r="BI2118" s="87"/>
    </row>
    <row r="2119" spans="1:61" x14ac:dyDescent="0.25">
      <c r="A2119" s="63" t="s">
        <v>940</v>
      </c>
      <c r="B2119" s="63" t="s">
        <v>1709</v>
      </c>
      <c r="C2119" s="64"/>
      <c r="D2119" s="65"/>
      <c r="E2119" s="66"/>
      <c r="F2119" s="67"/>
      <c r="G2119" s="64"/>
      <c r="H2119" s="68"/>
      <c r="I2119" s="69"/>
      <c r="J2119" s="69"/>
      <c r="K2119" s="32"/>
      <c r="L2119" s="76">
        <v>2119</v>
      </c>
      <c r="M2119" s="76"/>
      <c r="N2119" s="71"/>
      <c r="O2119" s="87" t="s">
        <v>1840</v>
      </c>
      <c r="P2119" s="90">
        <v>45126.035844907405</v>
      </c>
      <c r="Q2119" s="87" t="s">
        <v>3895</v>
      </c>
      <c r="R2119" s="87">
        <v>0</v>
      </c>
      <c r="S2119" s="87">
        <v>1</v>
      </c>
      <c r="T2119" s="87">
        <v>1</v>
      </c>
      <c r="U2119" s="87">
        <v>0</v>
      </c>
      <c r="V2119" s="87">
        <v>127</v>
      </c>
      <c r="W2119" s="93" t="s">
        <v>5897</v>
      </c>
      <c r="X2119" s="87"/>
      <c r="Y2119" s="87"/>
      <c r="Z2119" s="87" t="s">
        <v>1709</v>
      </c>
      <c r="AA2119" s="87"/>
      <c r="AB2119" s="87"/>
      <c r="AC2119" s="93" t="s">
        <v>11458</v>
      </c>
      <c r="AD2119" s="87" t="s">
        <v>11519</v>
      </c>
      <c r="AE2119" s="92" t="str">
        <f>HYPERLINK("https://twitter.com/pedrohcmeira/status/1681466789866110976")</f>
        <v>https://twitter.com/pedrohcmeira/status/1681466789866110976</v>
      </c>
      <c r="AF2119" s="90">
        <v>45126.035844907405</v>
      </c>
      <c r="AG2119" s="99">
        <v>45126</v>
      </c>
      <c r="AH2119" s="93" t="s">
        <v>13449</v>
      </c>
      <c r="AI2119" s="87"/>
      <c r="AJ2119" s="87"/>
      <c r="AK2119" s="87"/>
      <c r="AL2119" s="87"/>
      <c r="AM2119" s="87"/>
      <c r="AN2119" s="87"/>
      <c r="AO2119" s="87"/>
      <c r="AP2119" s="87"/>
      <c r="AQ2119" s="87"/>
      <c r="AR2119" s="87"/>
      <c r="AS2119" s="87"/>
      <c r="AT2119" s="87"/>
      <c r="AU2119" s="87"/>
      <c r="AV2119" s="92" t="str">
        <f>HYPERLINK("https://pbs.twimg.com/profile_images/1702012204306886656/HTe9rmOc_normal.jpg")</f>
        <v>https://pbs.twimg.com/profile_images/1702012204306886656/HTe9rmOc_normal.jpg</v>
      </c>
      <c r="AW2119" s="93" t="s">
        <v>20337</v>
      </c>
      <c r="AX2119" s="93" t="s">
        <v>22419</v>
      </c>
      <c r="AY2119" s="93" t="s">
        <v>22596</v>
      </c>
      <c r="AZ2119" s="93" t="s">
        <v>22738</v>
      </c>
      <c r="BA2119" s="93" t="s">
        <v>22668</v>
      </c>
      <c r="BB2119" s="93" t="s">
        <v>22668</v>
      </c>
      <c r="BC2119" s="93" t="s">
        <v>22738</v>
      </c>
      <c r="BD2119" s="93" t="s">
        <v>23207</v>
      </c>
      <c r="BE2119" s="87"/>
      <c r="BF2119" s="87"/>
      <c r="BG2119" s="87"/>
      <c r="BH2119" s="87"/>
      <c r="BI2119" s="87"/>
    </row>
    <row r="2120" spans="1:61" x14ac:dyDescent="0.25">
      <c r="A2120" s="63" t="s">
        <v>941</v>
      </c>
      <c r="B2120" s="63" t="s">
        <v>941</v>
      </c>
      <c r="C2120" s="64"/>
      <c r="D2120" s="65"/>
      <c r="E2120" s="66"/>
      <c r="F2120" s="67"/>
      <c r="G2120" s="64"/>
      <c r="H2120" s="68"/>
      <c r="I2120" s="69"/>
      <c r="J2120" s="69"/>
      <c r="K2120" s="32"/>
      <c r="L2120" s="76">
        <v>2120</v>
      </c>
      <c r="M2120" s="76"/>
      <c r="N2120" s="71"/>
      <c r="O2120" s="87" t="s">
        <v>179</v>
      </c>
      <c r="P2120" s="90">
        <v>45149.686759259261</v>
      </c>
      <c r="Q2120" s="87" t="s">
        <v>3896</v>
      </c>
      <c r="R2120" s="87">
        <v>0</v>
      </c>
      <c r="S2120" s="87">
        <v>1</v>
      </c>
      <c r="T2120" s="87">
        <v>0</v>
      </c>
      <c r="U2120" s="87">
        <v>0</v>
      </c>
      <c r="V2120" s="87">
        <v>27</v>
      </c>
      <c r="W2120" s="93" t="s">
        <v>7215</v>
      </c>
      <c r="X2120" s="92" t="str">
        <f>HYPERLINK("https://tso.fanlink.to/tudosoonline")</f>
        <v>https://tso.fanlink.to/tudosoonline</v>
      </c>
      <c r="Y2120" s="87" t="s">
        <v>8481</v>
      </c>
      <c r="Z2120" s="87"/>
      <c r="AA2120" s="87" t="s">
        <v>9992</v>
      </c>
      <c r="AB2120" s="87" t="s">
        <v>11448</v>
      </c>
      <c r="AC2120" s="93" t="s">
        <v>11457</v>
      </c>
      <c r="AD2120" s="87" t="s">
        <v>11519</v>
      </c>
      <c r="AE2120" s="92" t="str">
        <f>HYPERLINK("https://twitter.com/tudosoonline/status/1690037592530595842")</f>
        <v>https://twitter.com/tudosoonline/status/1690037592530595842</v>
      </c>
      <c r="AF2120" s="90">
        <v>45149.686759259261</v>
      </c>
      <c r="AG2120" s="99">
        <v>45149</v>
      </c>
      <c r="AH2120" s="93" t="s">
        <v>13450</v>
      </c>
      <c r="AI2120" s="87" t="b">
        <v>0</v>
      </c>
      <c r="AJ2120" s="87"/>
      <c r="AK2120" s="87"/>
      <c r="AL2120" s="87"/>
      <c r="AM2120" s="87"/>
      <c r="AN2120" s="87"/>
      <c r="AO2120" s="87"/>
      <c r="AP2120" s="87"/>
      <c r="AQ2120" s="87" t="s">
        <v>16805</v>
      </c>
      <c r="AR2120" s="87"/>
      <c r="AS2120" s="87"/>
      <c r="AT2120" s="87"/>
      <c r="AU2120" s="87"/>
      <c r="AV2120" s="92" t="str">
        <f>HYPERLINK("https://pbs.twimg.com/media/F3Q4KdzWYAAwRdr.jpg")</f>
        <v>https://pbs.twimg.com/media/F3Q4KdzWYAAwRdr.jpg</v>
      </c>
      <c r="AW2120" s="93" t="s">
        <v>20338</v>
      </c>
      <c r="AX2120" s="93" t="s">
        <v>20338</v>
      </c>
      <c r="AY2120" s="87"/>
      <c r="AZ2120" s="93" t="s">
        <v>22668</v>
      </c>
      <c r="BA2120" s="93" t="s">
        <v>22668</v>
      </c>
      <c r="BB2120" s="93" t="s">
        <v>22668</v>
      </c>
      <c r="BC2120" s="93" t="s">
        <v>20338</v>
      </c>
      <c r="BD2120" s="93" t="s">
        <v>23208</v>
      </c>
      <c r="BE2120" s="87"/>
      <c r="BF2120" s="87"/>
      <c r="BG2120" s="87"/>
      <c r="BH2120" s="87"/>
      <c r="BI2120" s="87"/>
    </row>
    <row r="2121" spans="1:61" x14ac:dyDescent="0.25">
      <c r="A2121" s="63" t="s">
        <v>941</v>
      </c>
      <c r="B2121" s="63" t="s">
        <v>941</v>
      </c>
      <c r="C2121" s="64"/>
      <c r="D2121" s="65"/>
      <c r="E2121" s="66"/>
      <c r="F2121" s="67"/>
      <c r="G2121" s="64"/>
      <c r="H2121" s="68"/>
      <c r="I2121" s="69"/>
      <c r="J2121" s="69"/>
      <c r="K2121" s="32"/>
      <c r="L2121" s="76">
        <v>2121</v>
      </c>
      <c r="M2121" s="76"/>
      <c r="N2121" s="71"/>
      <c r="O2121" s="87" t="s">
        <v>179</v>
      </c>
      <c r="P2121" s="90">
        <v>45159.0625462963</v>
      </c>
      <c r="Q2121" s="87" t="s">
        <v>3897</v>
      </c>
      <c r="R2121" s="87">
        <v>0</v>
      </c>
      <c r="S2121" s="87">
        <v>3</v>
      </c>
      <c r="T2121" s="87">
        <v>0</v>
      </c>
      <c r="U2121" s="87">
        <v>0</v>
      </c>
      <c r="V2121" s="87">
        <v>109</v>
      </c>
      <c r="W2121" s="93" t="s">
        <v>7216</v>
      </c>
      <c r="X2121" s="92" t="str">
        <f>HYPERLINK("https://linktr.ee/tungalabel")</f>
        <v>https://linktr.ee/tungalabel</v>
      </c>
      <c r="Y2121" s="87" t="s">
        <v>8482</v>
      </c>
      <c r="Z2121" s="87"/>
      <c r="AA2121" s="87" t="s">
        <v>9993</v>
      </c>
      <c r="AB2121" s="87" t="s">
        <v>11447</v>
      </c>
      <c r="AC2121" s="93" t="s">
        <v>11457</v>
      </c>
      <c r="AD2121" s="87" t="s">
        <v>11519</v>
      </c>
      <c r="AE2121" s="92" t="str">
        <f>HYPERLINK("https://twitter.com/tudosoonline/status/1693435266956976518")</f>
        <v>https://twitter.com/tudosoonline/status/1693435266956976518</v>
      </c>
      <c r="AF2121" s="90">
        <v>45159.0625462963</v>
      </c>
      <c r="AG2121" s="99">
        <v>45159</v>
      </c>
      <c r="AH2121" s="93" t="s">
        <v>13451</v>
      </c>
      <c r="AI2121" s="87" t="b">
        <v>0</v>
      </c>
      <c r="AJ2121" s="87"/>
      <c r="AK2121" s="87"/>
      <c r="AL2121" s="87"/>
      <c r="AM2121" s="87"/>
      <c r="AN2121" s="87"/>
      <c r="AO2121" s="87"/>
      <c r="AP2121" s="87"/>
      <c r="AQ2121" s="87" t="s">
        <v>16806</v>
      </c>
      <c r="AR2121" s="87">
        <v>18516</v>
      </c>
      <c r="AS2121" s="87"/>
      <c r="AT2121" s="87"/>
      <c r="AU2121" s="87"/>
      <c r="AV2121" s="92" t="str">
        <f>HYPERLINK("https://pbs.twimg.com/ext_tw_video_thumb/1693435115668480000/pu/img/sKWEidh_kcBpueX9.jpg")</f>
        <v>https://pbs.twimg.com/ext_tw_video_thumb/1693435115668480000/pu/img/sKWEidh_kcBpueX9.jpg</v>
      </c>
      <c r="AW2121" s="93" t="s">
        <v>20339</v>
      </c>
      <c r="AX2121" s="93" t="s">
        <v>20339</v>
      </c>
      <c r="AY2121" s="87"/>
      <c r="AZ2121" s="93" t="s">
        <v>22668</v>
      </c>
      <c r="BA2121" s="93" t="s">
        <v>22668</v>
      </c>
      <c r="BB2121" s="93" t="s">
        <v>22668</v>
      </c>
      <c r="BC2121" s="93" t="s">
        <v>20339</v>
      </c>
      <c r="BD2121" s="93" t="s">
        <v>23208</v>
      </c>
      <c r="BE2121" s="87"/>
      <c r="BF2121" s="87"/>
      <c r="BG2121" s="87"/>
      <c r="BH2121" s="87"/>
      <c r="BI2121" s="87"/>
    </row>
    <row r="2122" spans="1:61" x14ac:dyDescent="0.25">
      <c r="A2122" s="63" t="s">
        <v>942</v>
      </c>
      <c r="B2122" s="63" t="s">
        <v>1679</v>
      </c>
      <c r="C2122" s="64"/>
      <c r="D2122" s="65"/>
      <c r="E2122" s="66"/>
      <c r="F2122" s="67"/>
      <c r="G2122" s="64"/>
      <c r="H2122" s="68"/>
      <c r="I2122" s="69"/>
      <c r="J2122" s="69"/>
      <c r="K2122" s="32"/>
      <c r="L2122" s="76">
        <v>2122</v>
      </c>
      <c r="M2122" s="76"/>
      <c r="N2122" s="71"/>
      <c r="O2122" s="87" t="s">
        <v>1839</v>
      </c>
      <c r="P2122" s="90">
        <v>45113.417037037034</v>
      </c>
      <c r="Q2122" s="87" t="s">
        <v>3898</v>
      </c>
      <c r="R2122" s="87">
        <v>0</v>
      </c>
      <c r="S2122" s="87">
        <v>0</v>
      </c>
      <c r="T2122" s="87">
        <v>0</v>
      </c>
      <c r="U2122" s="87">
        <v>0</v>
      </c>
      <c r="V2122" s="87">
        <v>1</v>
      </c>
      <c r="W2122" s="93" t="s">
        <v>7217</v>
      </c>
      <c r="X2122" s="92" t="str">
        <f>HYPERLINK("https://www.spreaker.com/user/novaera/entrevista-revista-franquia-feira-abf-20")</f>
        <v>https://www.spreaker.com/user/novaera/entrevista-revista-franquia-feira-abf-20</v>
      </c>
      <c r="Y2122" s="87" t="s">
        <v>8449</v>
      </c>
      <c r="Z2122" s="87" t="s">
        <v>1679</v>
      </c>
      <c r="AA2122" s="87"/>
      <c r="AB2122" s="87"/>
      <c r="AC2122" s="93" t="s">
        <v>11488</v>
      </c>
      <c r="AD2122" s="87" t="s">
        <v>11519</v>
      </c>
      <c r="AE2122" s="92" t="str">
        <f>HYPERLINK("https://twitter.com/novaeraestrateg/status/1676893886294155264")</f>
        <v>https://twitter.com/novaeraestrateg/status/1676893886294155264</v>
      </c>
      <c r="AF2122" s="90">
        <v>45113.417037037034</v>
      </c>
      <c r="AG2122" s="99">
        <v>45113</v>
      </c>
      <c r="AH2122" s="93" t="s">
        <v>13452</v>
      </c>
      <c r="AI2122" s="87" t="b">
        <v>0</v>
      </c>
      <c r="AJ2122" s="87"/>
      <c r="AK2122" s="87"/>
      <c r="AL2122" s="87"/>
      <c r="AM2122" s="87"/>
      <c r="AN2122" s="87"/>
      <c r="AO2122" s="87"/>
      <c r="AP2122" s="87"/>
      <c r="AQ2122" s="87"/>
      <c r="AR2122" s="87"/>
      <c r="AS2122" s="87"/>
      <c r="AT2122" s="87"/>
      <c r="AU2122" s="87"/>
      <c r="AV2122" s="92" t="str">
        <f>HYPERLINK("https://pbs.twimg.com/profile_images/1607433526156181507/dFZ8cWcP_normal.jpg")</f>
        <v>https://pbs.twimg.com/profile_images/1607433526156181507/dFZ8cWcP_normal.jpg</v>
      </c>
      <c r="AW2122" s="93" t="s">
        <v>20340</v>
      </c>
      <c r="AX2122" s="93" t="s">
        <v>20340</v>
      </c>
      <c r="AY2122" s="87"/>
      <c r="AZ2122" s="93" t="s">
        <v>22668</v>
      </c>
      <c r="BA2122" s="93" t="s">
        <v>22668</v>
      </c>
      <c r="BB2122" s="93" t="s">
        <v>22668</v>
      </c>
      <c r="BC2122" s="93" t="s">
        <v>20340</v>
      </c>
      <c r="BD2122" s="93" t="s">
        <v>23209</v>
      </c>
      <c r="BE2122" s="87"/>
      <c r="BF2122" s="87"/>
      <c r="BG2122" s="87"/>
      <c r="BH2122" s="87"/>
      <c r="BI2122" s="87"/>
    </row>
    <row r="2123" spans="1:61" x14ac:dyDescent="0.25">
      <c r="A2123" s="63" t="s">
        <v>942</v>
      </c>
      <c r="B2123" s="63" t="s">
        <v>1679</v>
      </c>
      <c r="C2123" s="64"/>
      <c r="D2123" s="65"/>
      <c r="E2123" s="66"/>
      <c r="F2123" s="67"/>
      <c r="G2123" s="64"/>
      <c r="H2123" s="68"/>
      <c r="I2123" s="69"/>
      <c r="J2123" s="69"/>
      <c r="K2123" s="32"/>
      <c r="L2123" s="76">
        <v>2123</v>
      </c>
      <c r="M2123" s="76"/>
      <c r="N2123" s="71"/>
      <c r="O2123" s="87" t="s">
        <v>1839</v>
      </c>
      <c r="P2123" s="90">
        <v>45117.442777777775</v>
      </c>
      <c r="Q2123" s="87" t="s">
        <v>3899</v>
      </c>
      <c r="R2123" s="87">
        <v>0</v>
      </c>
      <c r="S2123" s="87">
        <v>0</v>
      </c>
      <c r="T2123" s="87">
        <v>0</v>
      </c>
      <c r="U2123" s="87">
        <v>0</v>
      </c>
      <c r="V2123" s="87">
        <v>11</v>
      </c>
      <c r="W2123" s="93" t="s">
        <v>7218</v>
      </c>
      <c r="X2123" s="92" t="str">
        <f>HYPERLINK("https://www.spreaker.com/user/novaera/caique-lima-frutaria-ipiranga")</f>
        <v>https://www.spreaker.com/user/novaera/caique-lima-frutaria-ipiranga</v>
      </c>
      <c r="Y2123" s="87" t="s">
        <v>8449</v>
      </c>
      <c r="Z2123" s="87" t="s">
        <v>1679</v>
      </c>
      <c r="AA2123" s="87"/>
      <c r="AB2123" s="87"/>
      <c r="AC2123" s="93" t="s">
        <v>11488</v>
      </c>
      <c r="AD2123" s="87" t="s">
        <v>11519</v>
      </c>
      <c r="AE2123" s="92" t="str">
        <f>HYPERLINK("https://twitter.com/novaeraestrateg/status/1678352765263785985")</f>
        <v>https://twitter.com/novaeraestrateg/status/1678352765263785985</v>
      </c>
      <c r="AF2123" s="90">
        <v>45117.442777777775</v>
      </c>
      <c r="AG2123" s="99">
        <v>45117</v>
      </c>
      <c r="AH2123" s="93" t="s">
        <v>13453</v>
      </c>
      <c r="AI2123" s="87" t="b">
        <v>0</v>
      </c>
      <c r="AJ2123" s="87"/>
      <c r="AK2123" s="87"/>
      <c r="AL2123" s="87"/>
      <c r="AM2123" s="87"/>
      <c r="AN2123" s="87"/>
      <c r="AO2123" s="87"/>
      <c r="AP2123" s="87"/>
      <c r="AQ2123" s="87"/>
      <c r="AR2123" s="87"/>
      <c r="AS2123" s="87"/>
      <c r="AT2123" s="87"/>
      <c r="AU2123" s="87"/>
      <c r="AV2123" s="92" t="str">
        <f>HYPERLINK("https://pbs.twimg.com/profile_images/1607433526156181507/dFZ8cWcP_normal.jpg")</f>
        <v>https://pbs.twimg.com/profile_images/1607433526156181507/dFZ8cWcP_normal.jpg</v>
      </c>
      <c r="AW2123" s="93" t="s">
        <v>20341</v>
      </c>
      <c r="AX2123" s="93" t="s">
        <v>20341</v>
      </c>
      <c r="AY2123" s="87"/>
      <c r="AZ2123" s="93" t="s">
        <v>22668</v>
      </c>
      <c r="BA2123" s="93" t="s">
        <v>22668</v>
      </c>
      <c r="BB2123" s="93" t="s">
        <v>22668</v>
      </c>
      <c r="BC2123" s="93" t="s">
        <v>20341</v>
      </c>
      <c r="BD2123" s="93" t="s">
        <v>23209</v>
      </c>
      <c r="BE2123" s="87"/>
      <c r="BF2123" s="87"/>
      <c r="BG2123" s="87"/>
      <c r="BH2123" s="87"/>
      <c r="BI2123" s="87"/>
    </row>
    <row r="2124" spans="1:61" x14ac:dyDescent="0.25">
      <c r="A2124" s="63" t="s">
        <v>942</v>
      </c>
      <c r="B2124" s="63" t="s">
        <v>1679</v>
      </c>
      <c r="C2124" s="64"/>
      <c r="D2124" s="65"/>
      <c r="E2124" s="66"/>
      <c r="F2124" s="67"/>
      <c r="G2124" s="64"/>
      <c r="H2124" s="68"/>
      <c r="I2124" s="69"/>
      <c r="J2124" s="69"/>
      <c r="K2124" s="32"/>
      <c r="L2124" s="76">
        <v>2124</v>
      </c>
      <c r="M2124" s="76"/>
      <c r="N2124" s="71"/>
      <c r="O2124" s="87" t="s">
        <v>1839</v>
      </c>
      <c r="P2124" s="90">
        <v>45155.54923611111</v>
      </c>
      <c r="Q2124" s="87" t="s">
        <v>3900</v>
      </c>
      <c r="R2124" s="87">
        <v>0</v>
      </c>
      <c r="S2124" s="87">
        <v>0</v>
      </c>
      <c r="T2124" s="87">
        <v>0</v>
      </c>
      <c r="U2124" s="87">
        <v>0</v>
      </c>
      <c r="V2124" s="87">
        <v>4</v>
      </c>
      <c r="W2124" s="93" t="s">
        <v>7219</v>
      </c>
      <c r="X2124" s="92" t="str">
        <f>HYPERLINK("https://www.spreaker.com/user/novaera/entrevista-falae-podcast")</f>
        <v>https://www.spreaker.com/user/novaera/entrevista-falae-podcast</v>
      </c>
      <c r="Y2124" s="87" t="s">
        <v>8449</v>
      </c>
      <c r="Z2124" s="87" t="s">
        <v>1679</v>
      </c>
      <c r="AA2124" s="87"/>
      <c r="AB2124" s="87"/>
      <c r="AC2124" s="93" t="s">
        <v>11488</v>
      </c>
      <c r="AD2124" s="87" t="s">
        <v>11518</v>
      </c>
      <c r="AE2124" s="92" t="str">
        <f>HYPERLINK("https://twitter.com/novaeraestrateg/status/1692162085793230953")</f>
        <v>https://twitter.com/novaeraestrateg/status/1692162085793230953</v>
      </c>
      <c r="AF2124" s="90">
        <v>45155.54923611111</v>
      </c>
      <c r="AG2124" s="99">
        <v>45155</v>
      </c>
      <c r="AH2124" s="93" t="s">
        <v>13454</v>
      </c>
      <c r="AI2124" s="87" t="b">
        <v>0</v>
      </c>
      <c r="AJ2124" s="87"/>
      <c r="AK2124" s="87"/>
      <c r="AL2124" s="87"/>
      <c r="AM2124" s="87"/>
      <c r="AN2124" s="87"/>
      <c r="AO2124" s="87"/>
      <c r="AP2124" s="87"/>
      <c r="AQ2124" s="87"/>
      <c r="AR2124" s="87"/>
      <c r="AS2124" s="87"/>
      <c r="AT2124" s="87"/>
      <c r="AU2124" s="87"/>
      <c r="AV2124" s="92" t="str">
        <f>HYPERLINK("https://pbs.twimg.com/profile_images/1607433526156181507/dFZ8cWcP_normal.jpg")</f>
        <v>https://pbs.twimg.com/profile_images/1607433526156181507/dFZ8cWcP_normal.jpg</v>
      </c>
      <c r="AW2124" s="93" t="s">
        <v>20342</v>
      </c>
      <c r="AX2124" s="93" t="s">
        <v>20342</v>
      </c>
      <c r="AY2124" s="87"/>
      <c r="AZ2124" s="93" t="s">
        <v>22668</v>
      </c>
      <c r="BA2124" s="93" t="s">
        <v>22668</v>
      </c>
      <c r="BB2124" s="93" t="s">
        <v>22668</v>
      </c>
      <c r="BC2124" s="93" t="s">
        <v>20342</v>
      </c>
      <c r="BD2124" s="93" t="s">
        <v>23209</v>
      </c>
      <c r="BE2124" s="87"/>
      <c r="BF2124" s="87"/>
      <c r="BG2124" s="87"/>
      <c r="BH2124" s="87"/>
      <c r="BI2124" s="87"/>
    </row>
    <row r="2125" spans="1:61" x14ac:dyDescent="0.25">
      <c r="A2125" s="63" t="s">
        <v>942</v>
      </c>
      <c r="B2125" s="63" t="s">
        <v>1679</v>
      </c>
      <c r="C2125" s="64"/>
      <c r="D2125" s="65"/>
      <c r="E2125" s="66"/>
      <c r="F2125" s="67"/>
      <c r="G2125" s="64"/>
      <c r="H2125" s="68"/>
      <c r="I2125" s="69"/>
      <c r="J2125" s="69"/>
      <c r="K2125" s="32"/>
      <c r="L2125" s="76">
        <v>2125</v>
      </c>
      <c r="M2125" s="76"/>
      <c r="N2125" s="71"/>
      <c r="O2125" s="87" t="s">
        <v>1839</v>
      </c>
      <c r="P2125" s="90">
        <v>45115.50644675926</v>
      </c>
      <c r="Q2125" s="87" t="s">
        <v>3901</v>
      </c>
      <c r="R2125" s="87">
        <v>0</v>
      </c>
      <c r="S2125" s="87">
        <v>1</v>
      </c>
      <c r="T2125" s="87">
        <v>0</v>
      </c>
      <c r="U2125" s="87">
        <v>0</v>
      </c>
      <c r="V2125" s="87">
        <v>6</v>
      </c>
      <c r="W2125" s="93" t="s">
        <v>7220</v>
      </c>
      <c r="X2125" s="92" t="str">
        <f>HYPERLINK("https://www.spreaker.com/user/novaera/entrevista-planet-franchise")</f>
        <v>https://www.spreaker.com/user/novaera/entrevista-planet-franchise</v>
      </c>
      <c r="Y2125" s="87" t="s">
        <v>8449</v>
      </c>
      <c r="Z2125" s="87" t="s">
        <v>1679</v>
      </c>
      <c r="AA2125" s="87"/>
      <c r="AB2125" s="87"/>
      <c r="AC2125" s="93" t="s">
        <v>11488</v>
      </c>
      <c r="AD2125" s="87" t="s">
        <v>11518</v>
      </c>
      <c r="AE2125" s="92" t="str">
        <f>HYPERLINK("https://twitter.com/novaeraestrateg/status/1677651064433016832")</f>
        <v>https://twitter.com/novaeraestrateg/status/1677651064433016832</v>
      </c>
      <c r="AF2125" s="90">
        <v>45115.50644675926</v>
      </c>
      <c r="AG2125" s="99">
        <v>45115</v>
      </c>
      <c r="AH2125" s="93" t="s">
        <v>13455</v>
      </c>
      <c r="AI2125" s="87" t="b">
        <v>0</v>
      </c>
      <c r="AJ2125" s="87"/>
      <c r="AK2125" s="87"/>
      <c r="AL2125" s="87"/>
      <c r="AM2125" s="87"/>
      <c r="AN2125" s="87"/>
      <c r="AO2125" s="87"/>
      <c r="AP2125" s="87"/>
      <c r="AQ2125" s="87"/>
      <c r="AR2125" s="87"/>
      <c r="AS2125" s="87"/>
      <c r="AT2125" s="87"/>
      <c r="AU2125" s="87"/>
      <c r="AV2125" s="92" t="str">
        <f>HYPERLINK("https://pbs.twimg.com/profile_images/1607433526156181507/dFZ8cWcP_normal.jpg")</f>
        <v>https://pbs.twimg.com/profile_images/1607433526156181507/dFZ8cWcP_normal.jpg</v>
      </c>
      <c r="AW2125" s="93" t="s">
        <v>20343</v>
      </c>
      <c r="AX2125" s="93" t="s">
        <v>20343</v>
      </c>
      <c r="AY2125" s="87"/>
      <c r="AZ2125" s="93" t="s">
        <v>22668</v>
      </c>
      <c r="BA2125" s="93" t="s">
        <v>22668</v>
      </c>
      <c r="BB2125" s="93" t="s">
        <v>22668</v>
      </c>
      <c r="BC2125" s="93" t="s">
        <v>20343</v>
      </c>
      <c r="BD2125" s="93" t="s">
        <v>23209</v>
      </c>
      <c r="BE2125" s="87"/>
      <c r="BF2125" s="87"/>
      <c r="BG2125" s="87"/>
      <c r="BH2125" s="87"/>
      <c r="BI2125" s="87"/>
    </row>
    <row r="2126" spans="1:61" x14ac:dyDescent="0.25">
      <c r="A2126" s="63" t="s">
        <v>942</v>
      </c>
      <c r="B2126" s="63" t="s">
        <v>1679</v>
      </c>
      <c r="C2126" s="64"/>
      <c r="D2126" s="65"/>
      <c r="E2126" s="66"/>
      <c r="F2126" s="67"/>
      <c r="G2126" s="64"/>
      <c r="H2126" s="68"/>
      <c r="I2126" s="69"/>
      <c r="J2126" s="69"/>
      <c r="K2126" s="32"/>
      <c r="L2126" s="76">
        <v>2126</v>
      </c>
      <c r="M2126" s="76"/>
      <c r="N2126" s="71"/>
      <c r="O2126" s="87" t="s">
        <v>1839</v>
      </c>
      <c r="P2126" s="90">
        <v>45141.437708333331</v>
      </c>
      <c r="Q2126" s="87" t="s">
        <v>3902</v>
      </c>
      <c r="R2126" s="87">
        <v>0</v>
      </c>
      <c r="S2126" s="87">
        <v>0</v>
      </c>
      <c r="T2126" s="87">
        <v>0</v>
      </c>
      <c r="U2126" s="87">
        <v>0</v>
      </c>
      <c r="V2126" s="87">
        <v>13</v>
      </c>
      <c r="W2126" s="93" t="s">
        <v>7221</v>
      </c>
      <c r="X2126" s="92" t="str">
        <f>HYPERLINK("https://www.spreaker.com/user/novaera/fabiana-cavassan-ok")</f>
        <v>https://www.spreaker.com/user/novaera/fabiana-cavassan-ok</v>
      </c>
      <c r="Y2126" s="87" t="s">
        <v>8449</v>
      </c>
      <c r="Z2126" s="87" t="s">
        <v>1679</v>
      </c>
      <c r="AA2126" s="87"/>
      <c r="AB2126" s="87"/>
      <c r="AC2126" s="93" t="s">
        <v>11488</v>
      </c>
      <c r="AD2126" s="87" t="s">
        <v>11519</v>
      </c>
      <c r="AE2126" s="92" t="str">
        <f>HYPERLINK("https://twitter.com/novaeraestrateg/status/1687048239080484864")</f>
        <v>https://twitter.com/novaeraestrateg/status/1687048239080484864</v>
      </c>
      <c r="AF2126" s="90">
        <v>45141.437708333331</v>
      </c>
      <c r="AG2126" s="99">
        <v>45141</v>
      </c>
      <c r="AH2126" s="93" t="s">
        <v>13456</v>
      </c>
      <c r="AI2126" s="87" t="b">
        <v>0</v>
      </c>
      <c r="AJ2126" s="87"/>
      <c r="AK2126" s="87"/>
      <c r="AL2126" s="87"/>
      <c r="AM2126" s="87"/>
      <c r="AN2126" s="87"/>
      <c r="AO2126" s="87"/>
      <c r="AP2126" s="87"/>
      <c r="AQ2126" s="87"/>
      <c r="AR2126" s="87"/>
      <c r="AS2126" s="87"/>
      <c r="AT2126" s="87"/>
      <c r="AU2126" s="87"/>
      <c r="AV2126" s="92" t="str">
        <f>HYPERLINK("https://pbs.twimg.com/profile_images/1607433526156181507/dFZ8cWcP_normal.jpg")</f>
        <v>https://pbs.twimg.com/profile_images/1607433526156181507/dFZ8cWcP_normal.jpg</v>
      </c>
      <c r="AW2126" s="93" t="s">
        <v>20344</v>
      </c>
      <c r="AX2126" s="93" t="s">
        <v>20344</v>
      </c>
      <c r="AY2126" s="87"/>
      <c r="AZ2126" s="93" t="s">
        <v>22668</v>
      </c>
      <c r="BA2126" s="93" t="s">
        <v>22668</v>
      </c>
      <c r="BB2126" s="93" t="s">
        <v>22668</v>
      </c>
      <c r="BC2126" s="93" t="s">
        <v>20344</v>
      </c>
      <c r="BD2126" s="93" t="s">
        <v>23209</v>
      </c>
      <c r="BE2126" s="87"/>
      <c r="BF2126" s="87"/>
      <c r="BG2126" s="87"/>
      <c r="BH2126" s="87"/>
      <c r="BI2126" s="87"/>
    </row>
    <row r="2127" spans="1:61" x14ac:dyDescent="0.25">
      <c r="A2127" s="63" t="s">
        <v>942</v>
      </c>
      <c r="B2127" s="63" t="s">
        <v>1679</v>
      </c>
      <c r="C2127" s="64"/>
      <c r="D2127" s="65"/>
      <c r="E2127" s="66"/>
      <c r="F2127" s="67"/>
      <c r="G2127" s="64"/>
      <c r="H2127" s="68"/>
      <c r="I2127" s="69"/>
      <c r="J2127" s="69"/>
      <c r="K2127" s="32"/>
      <c r="L2127" s="76">
        <v>2127</v>
      </c>
      <c r="M2127" s="76"/>
      <c r="N2127" s="71"/>
      <c r="O2127" s="87" t="s">
        <v>1839</v>
      </c>
      <c r="P2127" s="90">
        <v>45181.437581018516</v>
      </c>
      <c r="Q2127" s="87" t="s">
        <v>3903</v>
      </c>
      <c r="R2127" s="87">
        <v>0</v>
      </c>
      <c r="S2127" s="87">
        <v>0</v>
      </c>
      <c r="T2127" s="87">
        <v>0</v>
      </c>
      <c r="U2127" s="87">
        <v>0</v>
      </c>
      <c r="V2127" s="87">
        <v>1</v>
      </c>
      <c r="W2127" s="93" t="s">
        <v>7222</v>
      </c>
      <c r="X2127" s="92" t="str">
        <f>HYPERLINK("https://www.spreaker.com/user/novaera/analise-do-franchising-no-segundo-trimes")</f>
        <v>https://www.spreaker.com/user/novaera/analise-do-franchising-no-segundo-trimes</v>
      </c>
      <c r="Y2127" s="87" t="s">
        <v>8449</v>
      </c>
      <c r="Z2127" s="87" t="s">
        <v>1679</v>
      </c>
      <c r="AA2127" s="87"/>
      <c r="AB2127" s="87"/>
      <c r="AC2127" s="93" t="s">
        <v>11488</v>
      </c>
      <c r="AD2127" s="87" t="s">
        <v>11519</v>
      </c>
      <c r="AE2127" s="92" t="str">
        <f>HYPERLINK("https://twitter.com/novaeraestrateg/status/1701543708506640504")</f>
        <v>https://twitter.com/novaeraestrateg/status/1701543708506640504</v>
      </c>
      <c r="AF2127" s="90">
        <v>45181.437581018516</v>
      </c>
      <c r="AG2127" s="99">
        <v>45181</v>
      </c>
      <c r="AH2127" s="93" t="s">
        <v>13457</v>
      </c>
      <c r="AI2127" s="87" t="b">
        <v>0</v>
      </c>
      <c r="AJ2127" s="87"/>
      <c r="AK2127" s="87"/>
      <c r="AL2127" s="87"/>
      <c r="AM2127" s="87"/>
      <c r="AN2127" s="87"/>
      <c r="AO2127" s="87"/>
      <c r="AP2127" s="87"/>
      <c r="AQ2127" s="87"/>
      <c r="AR2127" s="87"/>
      <c r="AS2127" s="87"/>
      <c r="AT2127" s="87"/>
      <c r="AU2127" s="87"/>
      <c r="AV2127" s="92" t="str">
        <f>HYPERLINK("https://pbs.twimg.com/profile_images/1607433526156181507/dFZ8cWcP_normal.jpg")</f>
        <v>https://pbs.twimg.com/profile_images/1607433526156181507/dFZ8cWcP_normal.jpg</v>
      </c>
      <c r="AW2127" s="93" t="s">
        <v>20345</v>
      </c>
      <c r="AX2127" s="93" t="s">
        <v>20345</v>
      </c>
      <c r="AY2127" s="87"/>
      <c r="AZ2127" s="93" t="s">
        <v>22668</v>
      </c>
      <c r="BA2127" s="93" t="s">
        <v>22668</v>
      </c>
      <c r="BB2127" s="93" t="s">
        <v>22668</v>
      </c>
      <c r="BC2127" s="93" t="s">
        <v>20345</v>
      </c>
      <c r="BD2127" s="93" t="s">
        <v>23209</v>
      </c>
      <c r="BE2127" s="87"/>
      <c r="BF2127" s="87"/>
      <c r="BG2127" s="87"/>
      <c r="BH2127" s="87"/>
      <c r="BI2127" s="87"/>
    </row>
    <row r="2128" spans="1:61" x14ac:dyDescent="0.25">
      <c r="A2128" s="63" t="s">
        <v>942</v>
      </c>
      <c r="B2128" s="63" t="s">
        <v>1679</v>
      </c>
      <c r="C2128" s="64"/>
      <c r="D2128" s="65"/>
      <c r="E2128" s="66"/>
      <c r="F2128" s="67"/>
      <c r="G2128" s="64"/>
      <c r="H2128" s="68"/>
      <c r="I2128" s="69"/>
      <c r="J2128" s="69"/>
      <c r="K2128" s="32"/>
      <c r="L2128" s="76">
        <v>2128</v>
      </c>
      <c r="M2128" s="76"/>
      <c r="N2128" s="71"/>
      <c r="O2128" s="87" t="s">
        <v>1839</v>
      </c>
      <c r="P2128" s="90">
        <v>45148.750972222224</v>
      </c>
      <c r="Q2128" s="87" t="s">
        <v>3904</v>
      </c>
      <c r="R2128" s="87">
        <v>0</v>
      </c>
      <c r="S2128" s="87">
        <v>0</v>
      </c>
      <c r="T2128" s="87">
        <v>0</v>
      </c>
      <c r="U2128" s="87">
        <v>0</v>
      </c>
      <c r="V2128" s="87"/>
      <c r="W2128" s="93" t="s">
        <v>7223</v>
      </c>
      <c r="X2128" s="92" t="str">
        <f>HYPERLINK("https://www.spreaker.com/user/novaera/equity-e-valuation-pense-e-jogue-como-os")</f>
        <v>https://www.spreaker.com/user/novaera/equity-e-valuation-pense-e-jogue-como-os</v>
      </c>
      <c r="Y2128" s="87" t="s">
        <v>8449</v>
      </c>
      <c r="Z2128" s="87" t="s">
        <v>1679</v>
      </c>
      <c r="AA2128" s="87"/>
      <c r="AB2128" s="87"/>
      <c r="AC2128" s="93" t="s">
        <v>11488</v>
      </c>
      <c r="AD2128" s="87" t="s">
        <v>11519</v>
      </c>
      <c r="AE2128" s="92" t="str">
        <f>HYPERLINK("https://twitter.com/novaeraestrateg/status/1689698476542554112")</f>
        <v>https://twitter.com/novaeraestrateg/status/1689698476542554112</v>
      </c>
      <c r="AF2128" s="90">
        <v>45148.750972222224</v>
      </c>
      <c r="AG2128" s="99">
        <v>45148</v>
      </c>
      <c r="AH2128" s="93" t="s">
        <v>13458</v>
      </c>
      <c r="AI2128" s="87" t="b">
        <v>0</v>
      </c>
      <c r="AJ2128" s="87"/>
      <c r="AK2128" s="87"/>
      <c r="AL2128" s="87"/>
      <c r="AM2128" s="87"/>
      <c r="AN2128" s="87"/>
      <c r="AO2128" s="87"/>
      <c r="AP2128" s="87"/>
      <c r="AQ2128" s="87"/>
      <c r="AR2128" s="87"/>
      <c r="AS2128" s="87"/>
      <c r="AT2128" s="87"/>
      <c r="AU2128" s="87"/>
      <c r="AV2128" s="92" t="str">
        <f>HYPERLINK("https://pbs.twimg.com/profile_images/1607433526156181507/dFZ8cWcP_normal.jpg")</f>
        <v>https://pbs.twimg.com/profile_images/1607433526156181507/dFZ8cWcP_normal.jpg</v>
      </c>
      <c r="AW2128" s="93" t="s">
        <v>20346</v>
      </c>
      <c r="AX2128" s="93" t="s">
        <v>20346</v>
      </c>
      <c r="AY2128" s="87"/>
      <c r="AZ2128" s="93" t="s">
        <v>22668</v>
      </c>
      <c r="BA2128" s="93" t="s">
        <v>22668</v>
      </c>
      <c r="BB2128" s="93" t="s">
        <v>22668</v>
      </c>
      <c r="BC2128" s="93" t="s">
        <v>20346</v>
      </c>
      <c r="BD2128" s="93" t="s">
        <v>23209</v>
      </c>
      <c r="BE2128" s="87"/>
      <c r="BF2128" s="87"/>
      <c r="BG2128" s="87"/>
      <c r="BH2128" s="87"/>
      <c r="BI2128" s="87"/>
    </row>
    <row r="2129" spans="1:61" x14ac:dyDescent="0.25">
      <c r="A2129" s="63" t="s">
        <v>942</v>
      </c>
      <c r="B2129" s="63" t="s">
        <v>942</v>
      </c>
      <c r="C2129" s="64"/>
      <c r="D2129" s="65"/>
      <c r="E2129" s="66"/>
      <c r="F2129" s="67"/>
      <c r="G2129" s="64"/>
      <c r="H2129" s="68"/>
      <c r="I2129" s="69"/>
      <c r="J2129" s="69"/>
      <c r="K2129" s="32"/>
      <c r="L2129" s="76">
        <v>2129</v>
      </c>
      <c r="M2129" s="76"/>
      <c r="N2129" s="71"/>
      <c r="O2129" s="87" t="s">
        <v>179</v>
      </c>
      <c r="P2129" s="90">
        <v>45182.504571759258</v>
      </c>
      <c r="Q2129" s="87" t="s">
        <v>3905</v>
      </c>
      <c r="R2129" s="87">
        <v>1</v>
      </c>
      <c r="S2129" s="87">
        <v>1</v>
      </c>
      <c r="T2129" s="87">
        <v>0</v>
      </c>
      <c r="U2129" s="87">
        <v>0</v>
      </c>
      <c r="V2129" s="87">
        <v>31</v>
      </c>
      <c r="W2129" s="93" t="s">
        <v>7224</v>
      </c>
      <c r="X2129" s="87"/>
      <c r="Y2129" s="87"/>
      <c r="Z2129" s="87"/>
      <c r="AA2129" s="87" t="s">
        <v>9994</v>
      </c>
      <c r="AB2129" s="87" t="s">
        <v>11447</v>
      </c>
      <c r="AC2129" s="93" t="s">
        <v>11462</v>
      </c>
      <c r="AD2129" s="87" t="s">
        <v>11519</v>
      </c>
      <c r="AE2129" s="92" t="str">
        <f>HYPERLINK("https://twitter.com/novaeraestrateg/status/1701930369925198199")</f>
        <v>https://twitter.com/novaeraestrateg/status/1701930369925198199</v>
      </c>
      <c r="AF2129" s="90">
        <v>45182.504571759258</v>
      </c>
      <c r="AG2129" s="99">
        <v>45182</v>
      </c>
      <c r="AH2129" s="93" t="s">
        <v>13459</v>
      </c>
      <c r="AI2129" s="87" t="b">
        <v>0</v>
      </c>
      <c r="AJ2129" s="87"/>
      <c r="AK2129" s="87"/>
      <c r="AL2129" s="87"/>
      <c r="AM2129" s="87"/>
      <c r="AN2129" s="87"/>
      <c r="AO2129" s="87"/>
      <c r="AP2129" s="87"/>
      <c r="AQ2129" s="87" t="s">
        <v>16807</v>
      </c>
      <c r="AR2129" s="87">
        <v>79366</v>
      </c>
      <c r="AS2129" s="87"/>
      <c r="AT2129" s="87"/>
      <c r="AU2129" s="87"/>
      <c r="AV2129" s="92" t="str">
        <f>HYPERLINK("https://pbs.twimg.com/ext_tw_video_thumb/1701930303390957571/pu/img/CyX5gMU1h2rnKwfK.jpg")</f>
        <v>https://pbs.twimg.com/ext_tw_video_thumb/1701930303390957571/pu/img/CyX5gMU1h2rnKwfK.jpg</v>
      </c>
      <c r="AW2129" s="93" t="s">
        <v>20347</v>
      </c>
      <c r="AX2129" s="93" t="s">
        <v>20347</v>
      </c>
      <c r="AY2129" s="87"/>
      <c r="AZ2129" s="93" t="s">
        <v>22668</v>
      </c>
      <c r="BA2129" s="93" t="s">
        <v>22668</v>
      </c>
      <c r="BB2129" s="93" t="s">
        <v>22668</v>
      </c>
      <c r="BC2129" s="93" t="s">
        <v>20347</v>
      </c>
      <c r="BD2129" s="93" t="s">
        <v>23209</v>
      </c>
      <c r="BE2129" s="87"/>
      <c r="BF2129" s="87"/>
      <c r="BG2129" s="87"/>
      <c r="BH2129" s="87"/>
      <c r="BI2129" s="87"/>
    </row>
    <row r="2130" spans="1:61" x14ac:dyDescent="0.25">
      <c r="A2130" s="63" t="s">
        <v>942</v>
      </c>
      <c r="B2130" s="63" t="s">
        <v>942</v>
      </c>
      <c r="C2130" s="64"/>
      <c r="D2130" s="65"/>
      <c r="E2130" s="66"/>
      <c r="F2130" s="67"/>
      <c r="G2130" s="64"/>
      <c r="H2130" s="68"/>
      <c r="I2130" s="69"/>
      <c r="J2130" s="69"/>
      <c r="K2130" s="32"/>
      <c r="L2130" s="76">
        <v>2130</v>
      </c>
      <c r="M2130" s="76"/>
      <c r="N2130" s="71"/>
      <c r="O2130" s="87" t="s">
        <v>179</v>
      </c>
      <c r="P2130" s="90">
        <v>45181.104733796295</v>
      </c>
      <c r="Q2130" s="87" t="s">
        <v>3906</v>
      </c>
      <c r="R2130" s="87">
        <v>0</v>
      </c>
      <c r="S2130" s="87">
        <v>0</v>
      </c>
      <c r="T2130" s="87">
        <v>0</v>
      </c>
      <c r="U2130" s="87">
        <v>0</v>
      </c>
      <c r="V2130" s="87">
        <v>16</v>
      </c>
      <c r="W2130" s="93" t="s">
        <v>7206</v>
      </c>
      <c r="X2130" s="87" t="s">
        <v>8354</v>
      </c>
      <c r="Y2130" s="87" t="s">
        <v>8480</v>
      </c>
      <c r="Z2130" s="87"/>
      <c r="AA2130" s="87"/>
      <c r="AB2130" s="87"/>
      <c r="AC2130" s="93" t="s">
        <v>11458</v>
      </c>
      <c r="AD2130" s="87" t="s">
        <v>11519</v>
      </c>
      <c r="AE2130" s="92" t="str">
        <f>HYPERLINK("https://twitter.com/novaeraestrateg/status/1701423087852392948")</f>
        <v>https://twitter.com/novaeraestrateg/status/1701423087852392948</v>
      </c>
      <c r="AF2130" s="90">
        <v>45181.104733796295</v>
      </c>
      <c r="AG2130" s="99">
        <v>45181</v>
      </c>
      <c r="AH2130" s="93" t="s">
        <v>13460</v>
      </c>
      <c r="AI2130" s="87" t="b">
        <v>0</v>
      </c>
      <c r="AJ2130" s="87"/>
      <c r="AK2130" s="87"/>
      <c r="AL2130" s="87"/>
      <c r="AM2130" s="87"/>
      <c r="AN2130" s="87"/>
      <c r="AO2130" s="87"/>
      <c r="AP2130" s="87"/>
      <c r="AQ2130" s="87"/>
      <c r="AR2130" s="87"/>
      <c r="AS2130" s="87"/>
      <c r="AT2130" s="87"/>
      <c r="AU2130" s="87"/>
      <c r="AV2130" s="92" t="str">
        <f>HYPERLINK("https://pbs.twimg.com/profile_images/1607433526156181507/dFZ8cWcP_normal.jpg")</f>
        <v>https://pbs.twimg.com/profile_images/1607433526156181507/dFZ8cWcP_normal.jpg</v>
      </c>
      <c r="AW2130" s="93" t="s">
        <v>20348</v>
      </c>
      <c r="AX2130" s="93" t="s">
        <v>20348</v>
      </c>
      <c r="AY2130" s="87"/>
      <c r="AZ2130" s="93" t="s">
        <v>22668</v>
      </c>
      <c r="BA2130" s="93" t="s">
        <v>22668</v>
      </c>
      <c r="BB2130" s="93" t="s">
        <v>22668</v>
      </c>
      <c r="BC2130" s="93" t="s">
        <v>20348</v>
      </c>
      <c r="BD2130" s="93" t="s">
        <v>23209</v>
      </c>
      <c r="BE2130" s="87"/>
      <c r="BF2130" s="87"/>
      <c r="BG2130" s="87"/>
      <c r="BH2130" s="87"/>
      <c r="BI2130" s="87"/>
    </row>
    <row r="2131" spans="1:61" x14ac:dyDescent="0.25">
      <c r="A2131" s="63" t="s">
        <v>942</v>
      </c>
      <c r="B2131" s="63" t="s">
        <v>942</v>
      </c>
      <c r="C2131" s="64"/>
      <c r="D2131" s="65"/>
      <c r="E2131" s="66"/>
      <c r="F2131" s="67"/>
      <c r="G2131" s="64"/>
      <c r="H2131" s="68"/>
      <c r="I2131" s="69"/>
      <c r="J2131" s="69"/>
      <c r="K2131" s="32"/>
      <c r="L2131" s="76">
        <v>2131</v>
      </c>
      <c r="M2131" s="76"/>
      <c r="N2131" s="71"/>
      <c r="O2131" s="87" t="s">
        <v>179</v>
      </c>
      <c r="P2131" s="90">
        <v>45148.497071759259</v>
      </c>
      <c r="Q2131" s="87" t="s">
        <v>3907</v>
      </c>
      <c r="R2131" s="87">
        <v>0</v>
      </c>
      <c r="S2131" s="87">
        <v>0</v>
      </c>
      <c r="T2131" s="87">
        <v>0</v>
      </c>
      <c r="U2131" s="87">
        <v>0</v>
      </c>
      <c r="V2131" s="87">
        <v>4</v>
      </c>
      <c r="W2131" s="93" t="s">
        <v>7205</v>
      </c>
      <c r="X2131" s="92" t="str">
        <f>HYPERLINK("https://youtu.be/eehYk9euvf4")</f>
        <v>https://youtu.be/eehYk9euvf4</v>
      </c>
      <c r="Y2131" s="87" t="s">
        <v>8372</v>
      </c>
      <c r="Z2131" s="87"/>
      <c r="AA2131" s="87"/>
      <c r="AB2131" s="87"/>
      <c r="AC2131" s="93" t="s">
        <v>11457</v>
      </c>
      <c r="AD2131" s="87" t="s">
        <v>11519</v>
      </c>
      <c r="AE2131" s="92" t="str">
        <f>HYPERLINK("https://twitter.com/novaeraestrateg/status/1689606464975843330")</f>
        <v>https://twitter.com/novaeraestrateg/status/1689606464975843330</v>
      </c>
      <c r="AF2131" s="90">
        <v>45148.497071759259</v>
      </c>
      <c r="AG2131" s="99">
        <v>45148</v>
      </c>
      <c r="AH2131" s="93" t="s">
        <v>13461</v>
      </c>
      <c r="AI2131" s="87" t="b">
        <v>0</v>
      </c>
      <c r="AJ2131" s="87"/>
      <c r="AK2131" s="87"/>
      <c r="AL2131" s="87"/>
      <c r="AM2131" s="87"/>
      <c r="AN2131" s="87"/>
      <c r="AO2131" s="87"/>
      <c r="AP2131" s="87"/>
      <c r="AQ2131" s="87"/>
      <c r="AR2131" s="87"/>
      <c r="AS2131" s="87"/>
      <c r="AT2131" s="87"/>
      <c r="AU2131" s="87"/>
      <c r="AV2131" s="92" t="str">
        <f>HYPERLINK("https://pbs.twimg.com/profile_images/1607433526156181507/dFZ8cWcP_normal.jpg")</f>
        <v>https://pbs.twimg.com/profile_images/1607433526156181507/dFZ8cWcP_normal.jpg</v>
      </c>
      <c r="AW2131" s="93" t="s">
        <v>20349</v>
      </c>
      <c r="AX2131" s="93" t="s">
        <v>20349</v>
      </c>
      <c r="AY2131" s="87"/>
      <c r="AZ2131" s="93" t="s">
        <v>22668</v>
      </c>
      <c r="BA2131" s="93" t="s">
        <v>22668</v>
      </c>
      <c r="BB2131" s="93" t="s">
        <v>22668</v>
      </c>
      <c r="BC2131" s="93" t="s">
        <v>20349</v>
      </c>
      <c r="BD2131" s="93" t="s">
        <v>23209</v>
      </c>
      <c r="BE2131" s="87"/>
      <c r="BF2131" s="87"/>
      <c r="BG2131" s="87"/>
      <c r="BH2131" s="87"/>
      <c r="BI2131" s="87"/>
    </row>
    <row r="2132" spans="1:61" x14ac:dyDescent="0.25">
      <c r="A2132" s="63" t="s">
        <v>942</v>
      </c>
      <c r="B2132" s="63" t="s">
        <v>942</v>
      </c>
      <c r="C2132" s="64"/>
      <c r="D2132" s="65"/>
      <c r="E2132" s="66"/>
      <c r="F2132" s="67"/>
      <c r="G2132" s="64"/>
      <c r="H2132" s="68"/>
      <c r="I2132" s="69"/>
      <c r="J2132" s="69"/>
      <c r="K2132" s="32"/>
      <c r="L2132" s="76">
        <v>2132</v>
      </c>
      <c r="M2132" s="76"/>
      <c r="N2132" s="71"/>
      <c r="O2132" s="87" t="s">
        <v>179</v>
      </c>
      <c r="P2132" s="90">
        <v>45184.582372685189</v>
      </c>
      <c r="Q2132" s="87" t="s">
        <v>3908</v>
      </c>
      <c r="R2132" s="87">
        <v>1</v>
      </c>
      <c r="S2132" s="87">
        <v>1</v>
      </c>
      <c r="T2132" s="87">
        <v>0</v>
      </c>
      <c r="U2132" s="87">
        <v>0</v>
      </c>
      <c r="V2132" s="87">
        <v>9</v>
      </c>
      <c r="W2132" s="93" t="s">
        <v>7225</v>
      </c>
      <c r="X2132" s="87"/>
      <c r="Y2132" s="87"/>
      <c r="Z2132" s="87"/>
      <c r="AA2132" s="87" t="s">
        <v>9995</v>
      </c>
      <c r="AB2132" s="87" t="s">
        <v>11447</v>
      </c>
      <c r="AC2132" s="93" t="s">
        <v>11462</v>
      </c>
      <c r="AD2132" s="87" t="s">
        <v>11519</v>
      </c>
      <c r="AE2132" s="92" t="str">
        <f>HYPERLINK("https://twitter.com/novaeraestrateg/status/1702683339012878471")</f>
        <v>https://twitter.com/novaeraestrateg/status/1702683339012878471</v>
      </c>
      <c r="AF2132" s="90">
        <v>45184.582372685189</v>
      </c>
      <c r="AG2132" s="99">
        <v>45184</v>
      </c>
      <c r="AH2132" s="93" t="s">
        <v>13462</v>
      </c>
      <c r="AI2132" s="87" t="b">
        <v>0</v>
      </c>
      <c r="AJ2132" s="87"/>
      <c r="AK2132" s="87"/>
      <c r="AL2132" s="87"/>
      <c r="AM2132" s="87"/>
      <c r="AN2132" s="87"/>
      <c r="AO2132" s="87"/>
      <c r="AP2132" s="87"/>
      <c r="AQ2132" s="87" t="s">
        <v>16808</v>
      </c>
      <c r="AR2132" s="87">
        <v>88133</v>
      </c>
      <c r="AS2132" s="87"/>
      <c r="AT2132" s="87"/>
      <c r="AU2132" s="87"/>
      <c r="AV2132" s="92" t="str">
        <f>HYPERLINK("https://pbs.twimg.com/ext_tw_video_thumb/1702683265952358400/pu/img/QUeXkpZrhzvZdJT9.jpg")</f>
        <v>https://pbs.twimg.com/ext_tw_video_thumb/1702683265952358400/pu/img/QUeXkpZrhzvZdJT9.jpg</v>
      </c>
      <c r="AW2132" s="93" t="s">
        <v>20350</v>
      </c>
      <c r="AX2132" s="93" t="s">
        <v>20350</v>
      </c>
      <c r="AY2132" s="87"/>
      <c r="AZ2132" s="93" t="s">
        <v>22668</v>
      </c>
      <c r="BA2132" s="93" t="s">
        <v>22668</v>
      </c>
      <c r="BB2132" s="93" t="s">
        <v>22668</v>
      </c>
      <c r="BC2132" s="93" t="s">
        <v>20350</v>
      </c>
      <c r="BD2132" s="93" t="s">
        <v>23209</v>
      </c>
      <c r="BE2132" s="87"/>
      <c r="BF2132" s="87"/>
      <c r="BG2132" s="87"/>
      <c r="BH2132" s="87"/>
      <c r="BI2132" s="87"/>
    </row>
    <row r="2133" spans="1:61" x14ac:dyDescent="0.25">
      <c r="A2133" s="63" t="s">
        <v>942</v>
      </c>
      <c r="B2133" s="63" t="s">
        <v>942</v>
      </c>
      <c r="C2133" s="64"/>
      <c r="D2133" s="65"/>
      <c r="E2133" s="66"/>
      <c r="F2133" s="67"/>
      <c r="G2133" s="64"/>
      <c r="H2133" s="68"/>
      <c r="I2133" s="69"/>
      <c r="J2133" s="69"/>
      <c r="K2133" s="32"/>
      <c r="L2133" s="76">
        <v>2133</v>
      </c>
      <c r="M2133" s="76"/>
      <c r="N2133" s="71"/>
      <c r="O2133" s="87" t="s">
        <v>179</v>
      </c>
      <c r="P2133" s="90">
        <v>45191.438668981478</v>
      </c>
      <c r="Q2133" s="87" t="s">
        <v>3909</v>
      </c>
      <c r="R2133" s="87">
        <v>0</v>
      </c>
      <c r="S2133" s="87">
        <v>0</v>
      </c>
      <c r="T2133" s="87">
        <v>0</v>
      </c>
      <c r="U2133" s="87">
        <v>0</v>
      </c>
      <c r="V2133" s="87">
        <v>7</v>
      </c>
      <c r="W2133" s="93" t="s">
        <v>7226</v>
      </c>
      <c r="X2133" s="87"/>
      <c r="Y2133" s="87"/>
      <c r="Z2133" s="87"/>
      <c r="AA2133" s="87" t="s">
        <v>9996</v>
      </c>
      <c r="AB2133" s="87" t="s">
        <v>11447</v>
      </c>
      <c r="AC2133" s="93" t="s">
        <v>11462</v>
      </c>
      <c r="AD2133" s="87" t="s">
        <v>11519</v>
      </c>
      <c r="AE2133" s="92" t="str">
        <f>HYPERLINK("https://twitter.com/novaeraestrateg/status/1705167980667994373")</f>
        <v>https://twitter.com/novaeraestrateg/status/1705167980667994373</v>
      </c>
      <c r="AF2133" s="90">
        <v>45191.438668981478</v>
      </c>
      <c r="AG2133" s="99">
        <v>45191</v>
      </c>
      <c r="AH2133" s="93" t="s">
        <v>13463</v>
      </c>
      <c r="AI2133" s="87" t="b">
        <v>0</v>
      </c>
      <c r="AJ2133" s="87"/>
      <c r="AK2133" s="87"/>
      <c r="AL2133" s="87"/>
      <c r="AM2133" s="87"/>
      <c r="AN2133" s="87"/>
      <c r="AO2133" s="87"/>
      <c r="AP2133" s="87"/>
      <c r="AQ2133" s="87" t="s">
        <v>16809</v>
      </c>
      <c r="AR2133" s="87">
        <v>98766</v>
      </c>
      <c r="AS2133" s="87"/>
      <c r="AT2133" s="87"/>
      <c r="AU2133" s="87"/>
      <c r="AV2133" s="92" t="str">
        <f>HYPERLINK("https://pbs.twimg.com/ext_tw_video_thumb/1705167908844736512/pu/img/-EJSv3X-Gys19La6.jpg")</f>
        <v>https://pbs.twimg.com/ext_tw_video_thumb/1705167908844736512/pu/img/-EJSv3X-Gys19La6.jpg</v>
      </c>
      <c r="AW2133" s="93" t="s">
        <v>20351</v>
      </c>
      <c r="AX2133" s="93" t="s">
        <v>20351</v>
      </c>
      <c r="AY2133" s="87"/>
      <c r="AZ2133" s="93" t="s">
        <v>22668</v>
      </c>
      <c r="BA2133" s="93" t="s">
        <v>22668</v>
      </c>
      <c r="BB2133" s="93" t="s">
        <v>22668</v>
      </c>
      <c r="BC2133" s="93" t="s">
        <v>20351</v>
      </c>
      <c r="BD2133" s="93" t="s">
        <v>23209</v>
      </c>
      <c r="BE2133" s="87"/>
      <c r="BF2133" s="87"/>
      <c r="BG2133" s="87"/>
      <c r="BH2133" s="87"/>
      <c r="BI2133" s="87"/>
    </row>
    <row r="2134" spans="1:61" x14ac:dyDescent="0.25">
      <c r="A2134" s="63" t="s">
        <v>942</v>
      </c>
      <c r="B2134" s="63" t="s">
        <v>942</v>
      </c>
      <c r="C2134" s="64"/>
      <c r="D2134" s="65"/>
      <c r="E2134" s="66"/>
      <c r="F2134" s="67"/>
      <c r="G2134" s="64"/>
      <c r="H2134" s="68"/>
      <c r="I2134" s="69"/>
      <c r="J2134" s="69"/>
      <c r="K2134" s="32"/>
      <c r="L2134" s="76">
        <v>2134</v>
      </c>
      <c r="M2134" s="76"/>
      <c r="N2134" s="71"/>
      <c r="O2134" s="87" t="s">
        <v>179</v>
      </c>
      <c r="P2134" s="90">
        <v>45189.439363425925</v>
      </c>
      <c r="Q2134" s="87" t="s">
        <v>3910</v>
      </c>
      <c r="R2134" s="87">
        <v>0</v>
      </c>
      <c r="S2134" s="87">
        <v>0</v>
      </c>
      <c r="T2134" s="87">
        <v>0</v>
      </c>
      <c r="U2134" s="87">
        <v>0</v>
      </c>
      <c r="V2134" s="87">
        <v>38</v>
      </c>
      <c r="W2134" s="93" t="s">
        <v>7227</v>
      </c>
      <c r="X2134" s="87"/>
      <c r="Y2134" s="87"/>
      <c r="Z2134" s="87"/>
      <c r="AA2134" s="87" t="s">
        <v>9997</v>
      </c>
      <c r="AB2134" s="87" t="s">
        <v>11447</v>
      </c>
      <c r="AC2134" s="93" t="s">
        <v>11462</v>
      </c>
      <c r="AD2134" s="87" t="s">
        <v>11519</v>
      </c>
      <c r="AE2134" s="92" t="str">
        <f>HYPERLINK("https://twitter.com/novaeraestrateg/status/1704443455370362986")</f>
        <v>https://twitter.com/novaeraestrateg/status/1704443455370362986</v>
      </c>
      <c r="AF2134" s="90">
        <v>45189.439363425925</v>
      </c>
      <c r="AG2134" s="99">
        <v>45189</v>
      </c>
      <c r="AH2134" s="93" t="s">
        <v>13464</v>
      </c>
      <c r="AI2134" s="87" t="b">
        <v>0</v>
      </c>
      <c r="AJ2134" s="87"/>
      <c r="AK2134" s="87"/>
      <c r="AL2134" s="87"/>
      <c r="AM2134" s="87"/>
      <c r="AN2134" s="87"/>
      <c r="AO2134" s="87"/>
      <c r="AP2134" s="87"/>
      <c r="AQ2134" s="87" t="s">
        <v>16810</v>
      </c>
      <c r="AR2134" s="87">
        <v>104433</v>
      </c>
      <c r="AS2134" s="87"/>
      <c r="AT2134" s="87"/>
      <c r="AU2134" s="87"/>
      <c r="AV2134" s="92" t="str">
        <f>HYPERLINK("https://pbs.twimg.com/ext_tw_video_thumb/1704443382678835200/pu/img/WTYG-3UFAqPs4KYs.jpg")</f>
        <v>https://pbs.twimg.com/ext_tw_video_thumb/1704443382678835200/pu/img/WTYG-3UFAqPs4KYs.jpg</v>
      </c>
      <c r="AW2134" s="93" t="s">
        <v>20352</v>
      </c>
      <c r="AX2134" s="93" t="s">
        <v>20352</v>
      </c>
      <c r="AY2134" s="87"/>
      <c r="AZ2134" s="93" t="s">
        <v>22668</v>
      </c>
      <c r="BA2134" s="93" t="s">
        <v>22668</v>
      </c>
      <c r="BB2134" s="93" t="s">
        <v>22668</v>
      </c>
      <c r="BC2134" s="93" t="s">
        <v>20352</v>
      </c>
      <c r="BD2134" s="93" t="s">
        <v>23209</v>
      </c>
      <c r="BE2134" s="87"/>
      <c r="BF2134" s="87"/>
      <c r="BG2134" s="87"/>
      <c r="BH2134" s="87"/>
      <c r="BI2134" s="87"/>
    </row>
    <row r="2135" spans="1:61" x14ac:dyDescent="0.25">
      <c r="A2135" s="63" t="s">
        <v>942</v>
      </c>
      <c r="B2135" s="63" t="s">
        <v>942</v>
      </c>
      <c r="C2135" s="64"/>
      <c r="D2135" s="65"/>
      <c r="E2135" s="66"/>
      <c r="F2135" s="67"/>
      <c r="G2135" s="64"/>
      <c r="H2135" s="68"/>
      <c r="I2135" s="69"/>
      <c r="J2135" s="69"/>
      <c r="K2135" s="32"/>
      <c r="L2135" s="76">
        <v>2135</v>
      </c>
      <c r="M2135" s="76"/>
      <c r="N2135" s="71"/>
      <c r="O2135" s="87" t="s">
        <v>179</v>
      </c>
      <c r="P2135" s="90">
        <v>45187.438796296294</v>
      </c>
      <c r="Q2135" s="87" t="s">
        <v>3911</v>
      </c>
      <c r="R2135" s="87">
        <v>1</v>
      </c>
      <c r="S2135" s="87">
        <v>1</v>
      </c>
      <c r="T2135" s="87">
        <v>0</v>
      </c>
      <c r="U2135" s="87">
        <v>0</v>
      </c>
      <c r="V2135" s="87">
        <v>39</v>
      </c>
      <c r="W2135" s="93" t="s">
        <v>7228</v>
      </c>
      <c r="X2135" s="87"/>
      <c r="Y2135" s="87"/>
      <c r="Z2135" s="87"/>
      <c r="AA2135" s="87" t="s">
        <v>9998</v>
      </c>
      <c r="AB2135" s="87" t="s">
        <v>11447</v>
      </c>
      <c r="AC2135" s="93" t="s">
        <v>11462</v>
      </c>
      <c r="AD2135" s="87" t="s">
        <v>11519</v>
      </c>
      <c r="AE2135" s="92" t="str">
        <f>HYPERLINK("https://twitter.com/novaeraestrateg/status/1703718475821162626")</f>
        <v>https://twitter.com/novaeraestrateg/status/1703718475821162626</v>
      </c>
      <c r="AF2135" s="90">
        <v>45187.438796296294</v>
      </c>
      <c r="AG2135" s="99">
        <v>45187</v>
      </c>
      <c r="AH2135" s="93" t="s">
        <v>11723</v>
      </c>
      <c r="AI2135" s="87" t="b">
        <v>0</v>
      </c>
      <c r="AJ2135" s="87"/>
      <c r="AK2135" s="87"/>
      <c r="AL2135" s="87"/>
      <c r="AM2135" s="87"/>
      <c r="AN2135" s="87"/>
      <c r="AO2135" s="87"/>
      <c r="AP2135" s="87"/>
      <c r="AQ2135" s="87" t="s">
        <v>16811</v>
      </c>
      <c r="AR2135" s="87">
        <v>80800</v>
      </c>
      <c r="AS2135" s="87"/>
      <c r="AT2135" s="87"/>
      <c r="AU2135" s="87"/>
      <c r="AV2135" s="92" t="str">
        <f>HYPERLINK("https://pbs.twimg.com/ext_tw_video_thumb/1703718366458875904/pu/img/uRm1P97_FX_vWbDx.jpg")</f>
        <v>https://pbs.twimg.com/ext_tw_video_thumb/1703718366458875904/pu/img/uRm1P97_FX_vWbDx.jpg</v>
      </c>
      <c r="AW2135" s="93" t="s">
        <v>20353</v>
      </c>
      <c r="AX2135" s="93" t="s">
        <v>20353</v>
      </c>
      <c r="AY2135" s="87"/>
      <c r="AZ2135" s="93" t="s">
        <v>22668</v>
      </c>
      <c r="BA2135" s="93" t="s">
        <v>22668</v>
      </c>
      <c r="BB2135" s="93" t="s">
        <v>22668</v>
      </c>
      <c r="BC2135" s="93" t="s">
        <v>20353</v>
      </c>
      <c r="BD2135" s="93" t="s">
        <v>23209</v>
      </c>
      <c r="BE2135" s="87"/>
      <c r="BF2135" s="87"/>
      <c r="BG2135" s="87"/>
      <c r="BH2135" s="87"/>
      <c r="BI2135" s="87"/>
    </row>
    <row r="2136" spans="1:61" x14ac:dyDescent="0.25">
      <c r="A2136" s="63" t="s">
        <v>942</v>
      </c>
      <c r="B2136" s="63" t="s">
        <v>942</v>
      </c>
      <c r="C2136" s="64"/>
      <c r="D2136" s="65"/>
      <c r="E2136" s="66"/>
      <c r="F2136" s="67"/>
      <c r="G2136" s="64"/>
      <c r="H2136" s="68"/>
      <c r="I2136" s="69"/>
      <c r="J2136" s="69"/>
      <c r="K2136" s="32"/>
      <c r="L2136" s="76">
        <v>2136</v>
      </c>
      <c r="M2136" s="76"/>
      <c r="N2136" s="71"/>
      <c r="O2136" s="87" t="s">
        <v>179</v>
      </c>
      <c r="P2136" s="90">
        <v>45152.536180555559</v>
      </c>
      <c r="Q2136" s="87" t="s">
        <v>3912</v>
      </c>
      <c r="R2136" s="87">
        <v>0</v>
      </c>
      <c r="S2136" s="87">
        <v>1</v>
      </c>
      <c r="T2136" s="87">
        <v>0</v>
      </c>
      <c r="U2136" s="87">
        <v>0</v>
      </c>
      <c r="V2136" s="87">
        <v>3</v>
      </c>
      <c r="W2136" s="93" t="s">
        <v>7207</v>
      </c>
      <c r="X2136" s="92" t="str">
        <f>HYPERLINK("https://www.youtube.com/watch?v=JLCi2BmmXiY")</f>
        <v>https://www.youtube.com/watch?v=JLCi2BmmXiY</v>
      </c>
      <c r="Y2136" s="87" t="s">
        <v>8380</v>
      </c>
      <c r="Z2136" s="87"/>
      <c r="AA2136" s="87"/>
      <c r="AB2136" s="87"/>
      <c r="AC2136" s="93" t="s">
        <v>11457</v>
      </c>
      <c r="AD2136" s="87" t="s">
        <v>11519</v>
      </c>
      <c r="AE2136" s="92" t="str">
        <f>HYPERLINK("https://twitter.com/novaeraestrateg/status/1691070189385752577")</f>
        <v>https://twitter.com/novaeraestrateg/status/1691070189385752577</v>
      </c>
      <c r="AF2136" s="90">
        <v>45152.536180555559</v>
      </c>
      <c r="AG2136" s="99">
        <v>45152</v>
      </c>
      <c r="AH2136" s="93" t="s">
        <v>13465</v>
      </c>
      <c r="AI2136" s="87" t="b">
        <v>0</v>
      </c>
      <c r="AJ2136" s="87"/>
      <c r="AK2136" s="87"/>
      <c r="AL2136" s="87"/>
      <c r="AM2136" s="87"/>
      <c r="AN2136" s="87"/>
      <c r="AO2136" s="87"/>
      <c r="AP2136" s="87"/>
      <c r="AQ2136" s="87"/>
      <c r="AR2136" s="87"/>
      <c r="AS2136" s="87"/>
      <c r="AT2136" s="87"/>
      <c r="AU2136" s="87"/>
      <c r="AV2136" s="92" t="str">
        <f>HYPERLINK("https://pbs.twimg.com/profile_images/1607433526156181507/dFZ8cWcP_normal.jpg")</f>
        <v>https://pbs.twimg.com/profile_images/1607433526156181507/dFZ8cWcP_normal.jpg</v>
      </c>
      <c r="AW2136" s="93" t="s">
        <v>20354</v>
      </c>
      <c r="AX2136" s="93" t="s">
        <v>20354</v>
      </c>
      <c r="AY2136" s="87"/>
      <c r="AZ2136" s="93" t="s">
        <v>22668</v>
      </c>
      <c r="BA2136" s="93" t="s">
        <v>22668</v>
      </c>
      <c r="BB2136" s="93" t="s">
        <v>22668</v>
      </c>
      <c r="BC2136" s="93" t="s">
        <v>20354</v>
      </c>
      <c r="BD2136" s="93" t="s">
        <v>23209</v>
      </c>
      <c r="BE2136" s="87"/>
      <c r="BF2136" s="87"/>
      <c r="BG2136" s="87"/>
      <c r="BH2136" s="87"/>
      <c r="BI2136" s="87"/>
    </row>
    <row r="2137" spans="1:61" x14ac:dyDescent="0.25">
      <c r="A2137" s="63" t="s">
        <v>943</v>
      </c>
      <c r="B2137" s="63" t="s">
        <v>943</v>
      </c>
      <c r="C2137" s="64"/>
      <c r="D2137" s="65"/>
      <c r="E2137" s="66"/>
      <c r="F2137" s="67"/>
      <c r="G2137" s="64"/>
      <c r="H2137" s="68"/>
      <c r="I2137" s="69"/>
      <c r="J2137" s="69"/>
      <c r="K2137" s="32"/>
      <c r="L2137" s="76">
        <v>2137</v>
      </c>
      <c r="M2137" s="76"/>
      <c r="N2137" s="71"/>
      <c r="O2137" s="87" t="s">
        <v>179</v>
      </c>
      <c r="P2137" s="90">
        <v>45140.749722222223</v>
      </c>
      <c r="Q2137" s="87" t="s">
        <v>3913</v>
      </c>
      <c r="R2137" s="87">
        <v>0</v>
      </c>
      <c r="S2137" s="87">
        <v>1</v>
      </c>
      <c r="T2137" s="87">
        <v>0</v>
      </c>
      <c r="U2137" s="87">
        <v>0</v>
      </c>
      <c r="V2137" s="87">
        <v>6</v>
      </c>
      <c r="W2137" s="93" t="s">
        <v>7229</v>
      </c>
      <c r="X2137" s="87"/>
      <c r="Y2137" s="87"/>
      <c r="Z2137" s="87"/>
      <c r="AA2137" s="87" t="s">
        <v>9999</v>
      </c>
      <c r="AB2137" s="87" t="s">
        <v>11448</v>
      </c>
      <c r="AC2137" s="93" t="s">
        <v>11459</v>
      </c>
      <c r="AD2137" s="87" t="s">
        <v>11523</v>
      </c>
      <c r="AE2137" s="92" t="str">
        <f>HYPERLINK("https://twitter.com/sorayaguillenl/status/1686798920368746502")</f>
        <v>https://twitter.com/sorayaguillenl/status/1686798920368746502</v>
      </c>
      <c r="AF2137" s="90">
        <v>45140.749722222223</v>
      </c>
      <c r="AG2137" s="99">
        <v>45140</v>
      </c>
      <c r="AH2137" s="93" t="s">
        <v>13466</v>
      </c>
      <c r="AI2137" s="87" t="b">
        <v>0</v>
      </c>
      <c r="AJ2137" s="87"/>
      <c r="AK2137" s="87"/>
      <c r="AL2137" s="87"/>
      <c r="AM2137" s="87"/>
      <c r="AN2137" s="87"/>
      <c r="AO2137" s="87"/>
      <c r="AP2137" s="87"/>
      <c r="AQ2137" s="87" t="s">
        <v>16812</v>
      </c>
      <c r="AR2137" s="87"/>
      <c r="AS2137" s="87"/>
      <c r="AT2137" s="87"/>
      <c r="AU2137" s="87"/>
      <c r="AV2137" s="92" t="str">
        <f>HYPERLINK("https://pbs.twimg.com/media/F2i2redXcAwSYDa.jpg")</f>
        <v>https://pbs.twimg.com/media/F2i2redXcAwSYDa.jpg</v>
      </c>
      <c r="AW2137" s="93" t="s">
        <v>20355</v>
      </c>
      <c r="AX2137" s="93" t="s">
        <v>20355</v>
      </c>
      <c r="AY2137" s="87"/>
      <c r="AZ2137" s="93" t="s">
        <v>22668</v>
      </c>
      <c r="BA2137" s="93" t="s">
        <v>22668</v>
      </c>
      <c r="BB2137" s="93" t="s">
        <v>22668</v>
      </c>
      <c r="BC2137" s="93" t="s">
        <v>20355</v>
      </c>
      <c r="BD2137" s="87">
        <v>145095756</v>
      </c>
      <c r="BE2137" s="87"/>
      <c r="BF2137" s="87"/>
      <c r="BG2137" s="87"/>
      <c r="BH2137" s="87"/>
      <c r="BI2137" s="87"/>
    </row>
    <row r="2138" spans="1:61" x14ac:dyDescent="0.25">
      <c r="A2138" s="63" t="s">
        <v>944</v>
      </c>
      <c r="B2138" s="63" t="s">
        <v>944</v>
      </c>
      <c r="C2138" s="64"/>
      <c r="D2138" s="65"/>
      <c r="E2138" s="66"/>
      <c r="F2138" s="67"/>
      <c r="G2138" s="64"/>
      <c r="H2138" s="68"/>
      <c r="I2138" s="69"/>
      <c r="J2138" s="69"/>
      <c r="K2138" s="32"/>
      <c r="L2138" s="76">
        <v>2138</v>
      </c>
      <c r="M2138" s="76"/>
      <c r="N2138" s="71"/>
      <c r="O2138" s="87" t="s">
        <v>179</v>
      </c>
      <c r="P2138" s="90">
        <v>45114.699282407404</v>
      </c>
      <c r="Q2138" s="87" t="s">
        <v>3914</v>
      </c>
      <c r="R2138" s="87">
        <v>0</v>
      </c>
      <c r="S2138" s="87">
        <v>0</v>
      </c>
      <c r="T2138" s="87">
        <v>0</v>
      </c>
      <c r="U2138" s="87">
        <v>0</v>
      </c>
      <c r="V2138" s="87">
        <v>40</v>
      </c>
      <c r="W2138" s="93" t="s">
        <v>7230</v>
      </c>
      <c r="X2138" s="92" t="str">
        <f>HYPERLINK("https://www.linkedin.com/posts/alanpernanchini_contratando-oportunidades-carreira-activity-7083082328666742785-4BiU?utm_source=share&amp;utm_medium=member_ios")</f>
        <v>https://www.linkedin.com/posts/alanpernanchini_contratando-oportunidades-carreira-activity-7083082328666742785-4BiU?utm_source=share&amp;utm_medium=member_ios</v>
      </c>
      <c r="Y2138" s="87" t="s">
        <v>8377</v>
      </c>
      <c r="Z2138" s="87"/>
      <c r="AA2138" s="87"/>
      <c r="AB2138" s="87"/>
      <c r="AC2138" s="93" t="s">
        <v>11458</v>
      </c>
      <c r="AD2138" s="87" t="s">
        <v>11519</v>
      </c>
      <c r="AE2138" s="92" t="str">
        <f>HYPERLINK("https://twitter.com/alanpernanchini/status/1677358557195378695")</f>
        <v>https://twitter.com/alanpernanchini/status/1677358557195378695</v>
      </c>
      <c r="AF2138" s="90">
        <v>45114.699282407404</v>
      </c>
      <c r="AG2138" s="99">
        <v>45114</v>
      </c>
      <c r="AH2138" s="93" t="s">
        <v>13467</v>
      </c>
      <c r="AI2138" s="87" t="b">
        <v>0</v>
      </c>
      <c r="AJ2138" s="87"/>
      <c r="AK2138" s="87"/>
      <c r="AL2138" s="87"/>
      <c r="AM2138" s="87"/>
      <c r="AN2138" s="87"/>
      <c r="AO2138" s="87"/>
      <c r="AP2138" s="87"/>
      <c r="AQ2138" s="87"/>
      <c r="AR2138" s="87"/>
      <c r="AS2138" s="87"/>
      <c r="AT2138" s="87"/>
      <c r="AU2138" s="87"/>
      <c r="AV2138" s="92" t="str">
        <f>HYPERLINK("https://pbs.twimg.com/profile_images/1490479855821111299/xXmuF76M_normal.jpg")</f>
        <v>https://pbs.twimg.com/profile_images/1490479855821111299/xXmuF76M_normal.jpg</v>
      </c>
      <c r="AW2138" s="93" t="s">
        <v>20356</v>
      </c>
      <c r="AX2138" s="93" t="s">
        <v>20356</v>
      </c>
      <c r="AY2138" s="87"/>
      <c r="AZ2138" s="93" t="s">
        <v>22668</v>
      </c>
      <c r="BA2138" s="93" t="s">
        <v>22668</v>
      </c>
      <c r="BB2138" s="93" t="s">
        <v>22668</v>
      </c>
      <c r="BC2138" s="93" t="s">
        <v>20356</v>
      </c>
      <c r="BD2138" s="87">
        <v>158909997</v>
      </c>
      <c r="BE2138" s="87"/>
      <c r="BF2138" s="87"/>
      <c r="BG2138" s="87"/>
      <c r="BH2138" s="87"/>
      <c r="BI2138" s="87"/>
    </row>
    <row r="2139" spans="1:61" x14ac:dyDescent="0.25">
      <c r="A2139" s="63" t="s">
        <v>945</v>
      </c>
      <c r="B2139" s="63" t="s">
        <v>945</v>
      </c>
      <c r="C2139" s="64"/>
      <c r="D2139" s="65"/>
      <c r="E2139" s="66"/>
      <c r="F2139" s="67"/>
      <c r="G2139" s="64"/>
      <c r="H2139" s="68"/>
      <c r="I2139" s="69"/>
      <c r="J2139" s="69"/>
      <c r="K2139" s="32"/>
      <c r="L2139" s="76">
        <v>2139</v>
      </c>
      <c r="M2139" s="76"/>
      <c r="N2139" s="71"/>
      <c r="O2139" s="87" t="s">
        <v>179</v>
      </c>
      <c r="P2139" s="90">
        <v>45192.955231481479</v>
      </c>
      <c r="Q2139" s="87" t="s">
        <v>3915</v>
      </c>
      <c r="R2139" s="87">
        <v>0</v>
      </c>
      <c r="S2139" s="87">
        <v>0</v>
      </c>
      <c r="T2139" s="87">
        <v>0</v>
      </c>
      <c r="U2139" s="87">
        <v>0</v>
      </c>
      <c r="V2139" s="87">
        <v>5</v>
      </c>
      <c r="W2139" s="93" t="s">
        <v>7231</v>
      </c>
      <c r="X2139" s="87"/>
      <c r="Y2139" s="87"/>
      <c r="Z2139" s="87"/>
      <c r="AA2139" s="87"/>
      <c r="AB2139" s="87"/>
      <c r="AC2139" s="93" t="s">
        <v>11457</v>
      </c>
      <c r="AD2139" s="87" t="s">
        <v>11519</v>
      </c>
      <c r="AE2139" s="92" t="str">
        <f>HYPERLINK("https://twitter.com/roabreu93/status/1705717563613732935")</f>
        <v>https://twitter.com/roabreu93/status/1705717563613732935</v>
      </c>
      <c r="AF2139" s="90">
        <v>45192.955231481479</v>
      </c>
      <c r="AG2139" s="99">
        <v>45192</v>
      </c>
      <c r="AH2139" s="93" t="s">
        <v>13468</v>
      </c>
      <c r="AI2139" s="87"/>
      <c r="AJ2139" s="87"/>
      <c r="AK2139" s="87"/>
      <c r="AL2139" s="87"/>
      <c r="AM2139" s="87"/>
      <c r="AN2139" s="87"/>
      <c r="AO2139" s="87"/>
      <c r="AP2139" s="87"/>
      <c r="AQ2139" s="87"/>
      <c r="AR2139" s="87"/>
      <c r="AS2139" s="87"/>
      <c r="AT2139" s="87"/>
      <c r="AU2139" s="87"/>
      <c r="AV2139" s="92" t="str">
        <f>HYPERLINK("https://pbs.twimg.com/profile_images/1705717405417127936/Det3LB-f_normal.jpg")</f>
        <v>https://pbs.twimg.com/profile_images/1705717405417127936/Det3LB-f_normal.jpg</v>
      </c>
      <c r="AW2139" s="93" t="s">
        <v>20357</v>
      </c>
      <c r="AX2139" s="93" t="s">
        <v>20357</v>
      </c>
      <c r="AY2139" s="87"/>
      <c r="AZ2139" s="93" t="s">
        <v>22668</v>
      </c>
      <c r="BA2139" s="93" t="s">
        <v>22668</v>
      </c>
      <c r="BB2139" s="93" t="s">
        <v>22668</v>
      </c>
      <c r="BC2139" s="93" t="s">
        <v>20357</v>
      </c>
      <c r="BD2139" s="93" t="s">
        <v>23210</v>
      </c>
      <c r="BE2139" s="87"/>
      <c r="BF2139" s="87"/>
      <c r="BG2139" s="87"/>
      <c r="BH2139" s="87"/>
      <c r="BI2139" s="87"/>
    </row>
    <row r="2140" spans="1:61" x14ac:dyDescent="0.25">
      <c r="A2140" s="63" t="s">
        <v>945</v>
      </c>
      <c r="B2140" s="63" t="s">
        <v>945</v>
      </c>
      <c r="C2140" s="64"/>
      <c r="D2140" s="65"/>
      <c r="E2140" s="66"/>
      <c r="F2140" s="67"/>
      <c r="G2140" s="64"/>
      <c r="H2140" s="68"/>
      <c r="I2140" s="69"/>
      <c r="J2140" s="69"/>
      <c r="K2140" s="32"/>
      <c r="L2140" s="76">
        <v>2140</v>
      </c>
      <c r="M2140" s="76"/>
      <c r="N2140" s="71"/>
      <c r="O2140" s="87" t="s">
        <v>179</v>
      </c>
      <c r="P2140" s="90">
        <v>45193.708333333336</v>
      </c>
      <c r="Q2140" s="87" t="s">
        <v>3916</v>
      </c>
      <c r="R2140" s="87">
        <v>0</v>
      </c>
      <c r="S2140" s="87">
        <v>0</v>
      </c>
      <c r="T2140" s="87">
        <v>0</v>
      </c>
      <c r="U2140" s="87">
        <v>0</v>
      </c>
      <c r="V2140" s="87">
        <v>3</v>
      </c>
      <c r="W2140" s="93" t="s">
        <v>7232</v>
      </c>
      <c r="X2140" s="87"/>
      <c r="Y2140" s="87"/>
      <c r="Z2140" s="87"/>
      <c r="AA2140" s="87"/>
      <c r="AB2140" s="87"/>
      <c r="AC2140" s="93" t="s">
        <v>11457</v>
      </c>
      <c r="AD2140" s="87" t="s">
        <v>11519</v>
      </c>
      <c r="AE2140" s="92" t="str">
        <f>HYPERLINK("https://twitter.com/roabreu93/status/1705990479748514136")</f>
        <v>https://twitter.com/roabreu93/status/1705990479748514136</v>
      </c>
      <c r="AF2140" s="90">
        <v>45193.708333333336</v>
      </c>
      <c r="AG2140" s="99">
        <v>45193</v>
      </c>
      <c r="AH2140" s="93" t="s">
        <v>11675</v>
      </c>
      <c r="AI2140" s="87"/>
      <c r="AJ2140" s="87"/>
      <c r="AK2140" s="87"/>
      <c r="AL2140" s="87"/>
      <c r="AM2140" s="87"/>
      <c r="AN2140" s="87"/>
      <c r="AO2140" s="87"/>
      <c r="AP2140" s="87"/>
      <c r="AQ2140" s="87"/>
      <c r="AR2140" s="87"/>
      <c r="AS2140" s="87"/>
      <c r="AT2140" s="87"/>
      <c r="AU2140" s="87"/>
      <c r="AV2140" s="92" t="str">
        <f>HYPERLINK("https://pbs.twimg.com/profile_images/1705717405417127936/Det3LB-f_normal.jpg")</f>
        <v>https://pbs.twimg.com/profile_images/1705717405417127936/Det3LB-f_normal.jpg</v>
      </c>
      <c r="AW2140" s="93" t="s">
        <v>20358</v>
      </c>
      <c r="AX2140" s="93" t="s">
        <v>20358</v>
      </c>
      <c r="AY2140" s="87"/>
      <c r="AZ2140" s="93" t="s">
        <v>22668</v>
      </c>
      <c r="BA2140" s="93" t="s">
        <v>22668</v>
      </c>
      <c r="BB2140" s="93" t="s">
        <v>22668</v>
      </c>
      <c r="BC2140" s="93" t="s">
        <v>20358</v>
      </c>
      <c r="BD2140" s="93" t="s">
        <v>23210</v>
      </c>
      <c r="BE2140" s="87"/>
      <c r="BF2140" s="87"/>
      <c r="BG2140" s="87"/>
      <c r="BH2140" s="87"/>
      <c r="BI2140" s="87"/>
    </row>
    <row r="2141" spans="1:61" x14ac:dyDescent="0.25">
      <c r="A2141" s="63" t="s">
        <v>945</v>
      </c>
      <c r="B2141" s="63" t="s">
        <v>945</v>
      </c>
      <c r="C2141" s="64"/>
      <c r="D2141" s="65"/>
      <c r="E2141" s="66"/>
      <c r="F2141" s="67"/>
      <c r="G2141" s="64"/>
      <c r="H2141" s="68"/>
      <c r="I2141" s="69"/>
      <c r="J2141" s="69"/>
      <c r="K2141" s="32"/>
      <c r="L2141" s="76">
        <v>2141</v>
      </c>
      <c r="M2141" s="76"/>
      <c r="N2141" s="71"/>
      <c r="O2141" s="87" t="s">
        <v>179</v>
      </c>
      <c r="P2141" s="90">
        <v>45193.896608796298</v>
      </c>
      <c r="Q2141" s="87" t="s">
        <v>3917</v>
      </c>
      <c r="R2141" s="87">
        <v>0</v>
      </c>
      <c r="S2141" s="87">
        <v>0</v>
      </c>
      <c r="T2141" s="87">
        <v>0</v>
      </c>
      <c r="U2141" s="87">
        <v>0</v>
      </c>
      <c r="V2141" s="87">
        <v>4</v>
      </c>
      <c r="W2141" s="93" t="s">
        <v>7233</v>
      </c>
      <c r="X2141" s="87"/>
      <c r="Y2141" s="87"/>
      <c r="Z2141" s="87"/>
      <c r="AA2141" s="87" t="s">
        <v>10000</v>
      </c>
      <c r="AB2141" s="87" t="s">
        <v>11448</v>
      </c>
      <c r="AC2141" s="93" t="s">
        <v>11457</v>
      </c>
      <c r="AD2141" s="87" t="s">
        <v>11519</v>
      </c>
      <c r="AE2141" s="92" t="str">
        <f>HYPERLINK("https://twitter.com/roabreu93/status/1706058708336234901")</f>
        <v>https://twitter.com/roabreu93/status/1706058708336234901</v>
      </c>
      <c r="AF2141" s="90">
        <v>45193.896608796298</v>
      </c>
      <c r="AG2141" s="99">
        <v>45193</v>
      </c>
      <c r="AH2141" s="93" t="s">
        <v>13469</v>
      </c>
      <c r="AI2141" s="87" t="b">
        <v>0</v>
      </c>
      <c r="AJ2141" s="87"/>
      <c r="AK2141" s="87"/>
      <c r="AL2141" s="87"/>
      <c r="AM2141" s="87"/>
      <c r="AN2141" s="87"/>
      <c r="AO2141" s="87"/>
      <c r="AP2141" s="87"/>
      <c r="AQ2141" s="87" t="s">
        <v>16813</v>
      </c>
      <c r="AR2141" s="87"/>
      <c r="AS2141" s="87"/>
      <c r="AT2141" s="87"/>
      <c r="AU2141" s="87"/>
      <c r="AV2141" s="92" t="str">
        <f>HYPERLINK("https://pbs.twimg.com/media/F60jU62WcAATEm3.jpg")</f>
        <v>https://pbs.twimg.com/media/F60jU62WcAATEm3.jpg</v>
      </c>
      <c r="AW2141" s="93" t="s">
        <v>20359</v>
      </c>
      <c r="AX2141" s="93" t="s">
        <v>20359</v>
      </c>
      <c r="AY2141" s="87"/>
      <c r="AZ2141" s="93" t="s">
        <v>22668</v>
      </c>
      <c r="BA2141" s="93" t="s">
        <v>22668</v>
      </c>
      <c r="BB2141" s="93" t="s">
        <v>22668</v>
      </c>
      <c r="BC2141" s="93" t="s">
        <v>20359</v>
      </c>
      <c r="BD2141" s="93" t="s">
        <v>23210</v>
      </c>
      <c r="BE2141" s="87"/>
      <c r="BF2141" s="87"/>
      <c r="BG2141" s="87"/>
      <c r="BH2141" s="87"/>
      <c r="BI2141" s="87"/>
    </row>
    <row r="2142" spans="1:61" x14ac:dyDescent="0.25">
      <c r="A2142" s="63" t="s">
        <v>946</v>
      </c>
      <c r="B2142" s="63" t="s">
        <v>946</v>
      </c>
      <c r="C2142" s="64"/>
      <c r="D2142" s="65"/>
      <c r="E2142" s="66"/>
      <c r="F2142" s="67"/>
      <c r="G2142" s="64"/>
      <c r="H2142" s="68"/>
      <c r="I2142" s="69"/>
      <c r="J2142" s="69"/>
      <c r="K2142" s="32"/>
      <c r="L2142" s="76">
        <v>2142</v>
      </c>
      <c r="M2142" s="76"/>
      <c r="N2142" s="71"/>
      <c r="O2142" s="87" t="s">
        <v>179</v>
      </c>
      <c r="P2142" s="90">
        <v>45187.497256944444</v>
      </c>
      <c r="Q2142" s="87" t="s">
        <v>3918</v>
      </c>
      <c r="R2142" s="87">
        <v>0</v>
      </c>
      <c r="S2142" s="87">
        <v>0</v>
      </c>
      <c r="T2142" s="87">
        <v>0</v>
      </c>
      <c r="U2142" s="87">
        <v>0</v>
      </c>
      <c r="V2142" s="87">
        <v>42</v>
      </c>
      <c r="W2142" s="93" t="s">
        <v>6423</v>
      </c>
      <c r="X2142" s="92" t="str">
        <f>HYPERLINK("http://www.universidadefm.ufma.br/jornalismo106/empresaemacao/ii-seminario-papos-com-cafe-discutira-empreendedorismo-em-sao-luis/")</f>
        <v>http://www.universidadefm.ufma.br/jornalismo106/empresaemacao/ii-seminario-papos-com-cafe-discutira-empreendedorismo-em-sao-luis/</v>
      </c>
      <c r="Y2142" s="87" t="s">
        <v>8424</v>
      </c>
      <c r="Z2142" s="87"/>
      <c r="AA2142" s="87"/>
      <c r="AB2142" s="87"/>
      <c r="AC2142" s="93" t="s">
        <v>11457</v>
      </c>
      <c r="AD2142" s="87" t="s">
        <v>11519</v>
      </c>
      <c r="AE2142" s="92" t="str">
        <f>HYPERLINK("https://twitter.com/universidadefm/status/1703739658343993853")</f>
        <v>https://twitter.com/universidadefm/status/1703739658343993853</v>
      </c>
      <c r="AF2142" s="90">
        <v>45187.497256944444</v>
      </c>
      <c r="AG2142" s="99">
        <v>45187</v>
      </c>
      <c r="AH2142" s="93" t="s">
        <v>13470</v>
      </c>
      <c r="AI2142" s="87" t="b">
        <v>0</v>
      </c>
      <c r="AJ2142" s="87"/>
      <c r="AK2142" s="87"/>
      <c r="AL2142" s="87"/>
      <c r="AM2142" s="87"/>
      <c r="AN2142" s="87"/>
      <c r="AO2142" s="87"/>
      <c r="AP2142" s="87"/>
      <c r="AQ2142" s="87"/>
      <c r="AR2142" s="87"/>
      <c r="AS2142" s="87"/>
      <c r="AT2142" s="87"/>
      <c r="AU2142" s="87"/>
      <c r="AV2142" s="92" t="str">
        <f>HYPERLINK("https://pbs.twimg.com/profile_images/1415512895694192642/XJzUsfr9_normal.jpg")</f>
        <v>https://pbs.twimg.com/profile_images/1415512895694192642/XJzUsfr9_normal.jpg</v>
      </c>
      <c r="AW2142" s="93" t="s">
        <v>20360</v>
      </c>
      <c r="AX2142" s="93" t="s">
        <v>20360</v>
      </c>
      <c r="AY2142" s="87"/>
      <c r="AZ2142" s="93" t="s">
        <v>22668</v>
      </c>
      <c r="BA2142" s="93" t="s">
        <v>22668</v>
      </c>
      <c r="BB2142" s="93" t="s">
        <v>22668</v>
      </c>
      <c r="BC2142" s="93" t="s">
        <v>20360</v>
      </c>
      <c r="BD2142" s="87">
        <v>40299874</v>
      </c>
      <c r="BE2142" s="87"/>
      <c r="BF2142" s="87"/>
      <c r="BG2142" s="87"/>
      <c r="BH2142" s="87"/>
      <c r="BI2142" s="87"/>
    </row>
    <row r="2143" spans="1:61" x14ac:dyDescent="0.25">
      <c r="A2143" s="63" t="s">
        <v>947</v>
      </c>
      <c r="B2143" s="63" t="s">
        <v>947</v>
      </c>
      <c r="C2143" s="64"/>
      <c r="D2143" s="65"/>
      <c r="E2143" s="66"/>
      <c r="F2143" s="67"/>
      <c r="G2143" s="64"/>
      <c r="H2143" s="68"/>
      <c r="I2143" s="69"/>
      <c r="J2143" s="69"/>
      <c r="K2143" s="32"/>
      <c r="L2143" s="76">
        <v>2143</v>
      </c>
      <c r="M2143" s="76"/>
      <c r="N2143" s="71"/>
      <c r="O2143" s="87" t="s">
        <v>179</v>
      </c>
      <c r="P2143" s="90">
        <v>45126.60664351852</v>
      </c>
      <c r="Q2143" s="87" t="s">
        <v>3919</v>
      </c>
      <c r="R2143" s="87">
        <v>0</v>
      </c>
      <c r="S2143" s="87">
        <v>0</v>
      </c>
      <c r="T2143" s="87">
        <v>0</v>
      </c>
      <c r="U2143" s="87">
        <v>0</v>
      </c>
      <c r="V2143" s="87">
        <v>39</v>
      </c>
      <c r="W2143" s="93" t="s">
        <v>7234</v>
      </c>
      <c r="X2143" s="87"/>
      <c r="Y2143" s="87"/>
      <c r="Z2143" s="87"/>
      <c r="AA2143" s="87" t="s">
        <v>10001</v>
      </c>
      <c r="AB2143" s="87" t="s">
        <v>11447</v>
      </c>
      <c r="AC2143" s="93" t="s">
        <v>11457</v>
      </c>
      <c r="AD2143" s="87" t="s">
        <v>11519</v>
      </c>
      <c r="AE2143" s="92" t="str">
        <f>HYPERLINK("https://twitter.com/eclcontabil/status/1681673641442811911")</f>
        <v>https://twitter.com/eclcontabil/status/1681673641442811911</v>
      </c>
      <c r="AF2143" s="90">
        <v>45126.60664351852</v>
      </c>
      <c r="AG2143" s="99">
        <v>45126</v>
      </c>
      <c r="AH2143" s="93" t="s">
        <v>13471</v>
      </c>
      <c r="AI2143" s="87" t="b">
        <v>0</v>
      </c>
      <c r="AJ2143" s="87"/>
      <c r="AK2143" s="87"/>
      <c r="AL2143" s="87"/>
      <c r="AM2143" s="87"/>
      <c r="AN2143" s="87"/>
      <c r="AO2143" s="87"/>
      <c r="AP2143" s="87"/>
      <c r="AQ2143" s="87" t="s">
        <v>16814</v>
      </c>
      <c r="AR2143" s="87">
        <v>27133</v>
      </c>
      <c r="AS2143" s="87"/>
      <c r="AT2143" s="87"/>
      <c r="AU2143" s="87"/>
      <c r="AV2143" s="92" t="str">
        <f>HYPERLINK("https://pbs.twimg.com/ext_tw_video_thumb/1681673297463857159/pu/img/urwgrCTJD2LpRrIQ.jpg")</f>
        <v>https://pbs.twimg.com/ext_tw_video_thumb/1681673297463857159/pu/img/urwgrCTJD2LpRrIQ.jpg</v>
      </c>
      <c r="AW2143" s="93" t="s">
        <v>20361</v>
      </c>
      <c r="AX2143" s="93" t="s">
        <v>20361</v>
      </c>
      <c r="AY2143" s="87"/>
      <c r="AZ2143" s="93" t="s">
        <v>22668</v>
      </c>
      <c r="BA2143" s="93" t="s">
        <v>22668</v>
      </c>
      <c r="BB2143" s="93" t="s">
        <v>22668</v>
      </c>
      <c r="BC2143" s="93" t="s">
        <v>20361</v>
      </c>
      <c r="BD2143" s="93" t="s">
        <v>23211</v>
      </c>
      <c r="BE2143" s="87"/>
      <c r="BF2143" s="87"/>
      <c r="BG2143" s="87"/>
      <c r="BH2143" s="87"/>
      <c r="BI2143" s="87"/>
    </row>
    <row r="2144" spans="1:61" x14ac:dyDescent="0.25">
      <c r="A2144" s="63" t="s">
        <v>947</v>
      </c>
      <c r="B2144" s="63" t="s">
        <v>947</v>
      </c>
      <c r="C2144" s="64"/>
      <c r="D2144" s="65"/>
      <c r="E2144" s="66"/>
      <c r="F2144" s="67"/>
      <c r="G2144" s="64"/>
      <c r="H2144" s="68"/>
      <c r="I2144" s="69"/>
      <c r="J2144" s="69"/>
      <c r="K2144" s="32"/>
      <c r="L2144" s="76">
        <v>2144</v>
      </c>
      <c r="M2144" s="76"/>
      <c r="N2144" s="71"/>
      <c r="O2144" s="87" t="s">
        <v>179</v>
      </c>
      <c r="P2144" s="90">
        <v>45133.921041666668</v>
      </c>
      <c r="Q2144" s="87" t="s">
        <v>3920</v>
      </c>
      <c r="R2144" s="87">
        <v>0</v>
      </c>
      <c r="S2144" s="87">
        <v>0</v>
      </c>
      <c r="T2144" s="87">
        <v>0</v>
      </c>
      <c r="U2144" s="87">
        <v>0</v>
      </c>
      <c r="V2144" s="87">
        <v>28</v>
      </c>
      <c r="W2144" s="93" t="s">
        <v>7235</v>
      </c>
      <c r="X2144" s="87"/>
      <c r="Y2144" s="87"/>
      <c r="Z2144" s="87"/>
      <c r="AA2144" s="87" t="s">
        <v>10002</v>
      </c>
      <c r="AB2144" s="87" t="s">
        <v>11447</v>
      </c>
      <c r="AC2144" s="93" t="s">
        <v>11457</v>
      </c>
      <c r="AD2144" s="87" t="s">
        <v>11519</v>
      </c>
      <c r="AE2144" s="92" t="str">
        <f>HYPERLINK("https://twitter.com/eclcontabil/status/1684324288889757704")</f>
        <v>https://twitter.com/eclcontabil/status/1684324288889757704</v>
      </c>
      <c r="AF2144" s="90">
        <v>45133.921041666668</v>
      </c>
      <c r="AG2144" s="99">
        <v>45133</v>
      </c>
      <c r="AH2144" s="93" t="s">
        <v>13472</v>
      </c>
      <c r="AI2144" s="87" t="b">
        <v>0</v>
      </c>
      <c r="AJ2144" s="87"/>
      <c r="AK2144" s="87"/>
      <c r="AL2144" s="87"/>
      <c r="AM2144" s="87"/>
      <c r="AN2144" s="87"/>
      <c r="AO2144" s="87"/>
      <c r="AP2144" s="87"/>
      <c r="AQ2144" s="87" t="s">
        <v>16815</v>
      </c>
      <c r="AR2144" s="87">
        <v>45533</v>
      </c>
      <c r="AS2144" s="87"/>
      <c r="AT2144" s="87"/>
      <c r="AU2144" s="87"/>
      <c r="AV2144" s="92" t="str">
        <f>HYPERLINK("https://pbs.twimg.com/ext_tw_video_thumb/1684323722251890690/pu/img/0mk0U9TyTCKWUspd.jpg")</f>
        <v>https://pbs.twimg.com/ext_tw_video_thumb/1684323722251890690/pu/img/0mk0U9TyTCKWUspd.jpg</v>
      </c>
      <c r="AW2144" s="93" t="s">
        <v>20362</v>
      </c>
      <c r="AX2144" s="93" t="s">
        <v>20362</v>
      </c>
      <c r="AY2144" s="87"/>
      <c r="AZ2144" s="93" t="s">
        <v>22668</v>
      </c>
      <c r="BA2144" s="93" t="s">
        <v>22668</v>
      </c>
      <c r="BB2144" s="93" t="s">
        <v>22668</v>
      </c>
      <c r="BC2144" s="93" t="s">
        <v>20362</v>
      </c>
      <c r="BD2144" s="93" t="s">
        <v>23211</v>
      </c>
      <c r="BE2144" s="87"/>
      <c r="BF2144" s="87"/>
      <c r="BG2144" s="87"/>
      <c r="BH2144" s="87"/>
      <c r="BI2144" s="87"/>
    </row>
    <row r="2145" spans="1:61" x14ac:dyDescent="0.25">
      <c r="A2145" s="63" t="s">
        <v>947</v>
      </c>
      <c r="B2145" s="63" t="s">
        <v>947</v>
      </c>
      <c r="C2145" s="64"/>
      <c r="D2145" s="65"/>
      <c r="E2145" s="66"/>
      <c r="F2145" s="67"/>
      <c r="G2145" s="64"/>
      <c r="H2145" s="68"/>
      <c r="I2145" s="69"/>
      <c r="J2145" s="69"/>
      <c r="K2145" s="32"/>
      <c r="L2145" s="76">
        <v>2145</v>
      </c>
      <c r="M2145" s="76"/>
      <c r="N2145" s="71"/>
      <c r="O2145" s="87" t="s">
        <v>179</v>
      </c>
      <c r="P2145" s="90">
        <v>45119.585046296299</v>
      </c>
      <c r="Q2145" s="87" t="s">
        <v>3921</v>
      </c>
      <c r="R2145" s="87">
        <v>0</v>
      </c>
      <c r="S2145" s="87">
        <v>0</v>
      </c>
      <c r="T2145" s="87">
        <v>0</v>
      </c>
      <c r="U2145" s="87">
        <v>0</v>
      </c>
      <c r="V2145" s="87">
        <v>48</v>
      </c>
      <c r="W2145" s="93" t="s">
        <v>7236</v>
      </c>
      <c r="X2145" s="87"/>
      <c r="Y2145" s="87"/>
      <c r="Z2145" s="87"/>
      <c r="AA2145" s="87" t="s">
        <v>10003</v>
      </c>
      <c r="AB2145" s="87" t="s">
        <v>11447</v>
      </c>
      <c r="AC2145" s="93" t="s">
        <v>11457</v>
      </c>
      <c r="AD2145" s="87" t="s">
        <v>11519</v>
      </c>
      <c r="AE2145" s="92" t="str">
        <f>HYPERLINK("https://twitter.com/eclcontabil/status/1679129096662441984")</f>
        <v>https://twitter.com/eclcontabil/status/1679129096662441984</v>
      </c>
      <c r="AF2145" s="90">
        <v>45119.585046296299</v>
      </c>
      <c r="AG2145" s="99">
        <v>45119</v>
      </c>
      <c r="AH2145" s="93" t="s">
        <v>11923</v>
      </c>
      <c r="AI2145" s="87" t="b">
        <v>0</v>
      </c>
      <c r="AJ2145" s="87"/>
      <c r="AK2145" s="87"/>
      <c r="AL2145" s="87"/>
      <c r="AM2145" s="87"/>
      <c r="AN2145" s="87"/>
      <c r="AO2145" s="87"/>
      <c r="AP2145" s="87"/>
      <c r="AQ2145" s="87" t="s">
        <v>16816</v>
      </c>
      <c r="AR2145" s="87">
        <v>34033</v>
      </c>
      <c r="AS2145" s="87"/>
      <c r="AT2145" s="87"/>
      <c r="AU2145" s="87"/>
      <c r="AV2145" s="92" t="str">
        <f>HYPERLINK("https://pbs.twimg.com/ext_tw_video_thumb/1679129005725827074/pu/img/vgAboqwzCTGOd_lc.jpg")</f>
        <v>https://pbs.twimg.com/ext_tw_video_thumb/1679129005725827074/pu/img/vgAboqwzCTGOd_lc.jpg</v>
      </c>
      <c r="AW2145" s="93" t="s">
        <v>20363</v>
      </c>
      <c r="AX2145" s="93" t="s">
        <v>20363</v>
      </c>
      <c r="AY2145" s="87"/>
      <c r="AZ2145" s="93" t="s">
        <v>22668</v>
      </c>
      <c r="BA2145" s="93" t="s">
        <v>22668</v>
      </c>
      <c r="BB2145" s="93" t="s">
        <v>22668</v>
      </c>
      <c r="BC2145" s="93" t="s">
        <v>20363</v>
      </c>
      <c r="BD2145" s="93" t="s">
        <v>23211</v>
      </c>
      <c r="BE2145" s="87"/>
      <c r="BF2145" s="87"/>
      <c r="BG2145" s="87"/>
      <c r="BH2145" s="87"/>
      <c r="BI2145" s="87"/>
    </row>
    <row r="2146" spans="1:61" x14ac:dyDescent="0.25">
      <c r="A2146" s="63" t="s">
        <v>947</v>
      </c>
      <c r="B2146" s="63" t="s">
        <v>947</v>
      </c>
      <c r="C2146" s="64"/>
      <c r="D2146" s="65"/>
      <c r="E2146" s="66"/>
      <c r="F2146" s="67"/>
      <c r="G2146" s="64"/>
      <c r="H2146" s="68"/>
      <c r="I2146" s="69"/>
      <c r="J2146" s="69"/>
      <c r="K2146" s="32"/>
      <c r="L2146" s="76">
        <v>2146</v>
      </c>
      <c r="M2146" s="76"/>
      <c r="N2146" s="71"/>
      <c r="O2146" s="87" t="s">
        <v>179</v>
      </c>
      <c r="P2146" s="90">
        <v>45135.627500000002</v>
      </c>
      <c r="Q2146" s="87" t="s">
        <v>3922</v>
      </c>
      <c r="R2146" s="87">
        <v>0</v>
      </c>
      <c r="S2146" s="87">
        <v>0</v>
      </c>
      <c r="T2146" s="87">
        <v>0</v>
      </c>
      <c r="U2146" s="87">
        <v>0</v>
      </c>
      <c r="V2146" s="87">
        <v>9</v>
      </c>
      <c r="W2146" s="93" t="s">
        <v>7237</v>
      </c>
      <c r="X2146" s="87"/>
      <c r="Y2146" s="87"/>
      <c r="Z2146" s="87"/>
      <c r="AA2146" s="87" t="s">
        <v>10004</v>
      </c>
      <c r="AB2146" s="87" t="s">
        <v>11448</v>
      </c>
      <c r="AC2146" s="93" t="s">
        <v>11457</v>
      </c>
      <c r="AD2146" s="87" t="s">
        <v>11519</v>
      </c>
      <c r="AE2146" s="92" t="str">
        <f>HYPERLINK("https://twitter.com/eclcontabil/status/1684942688766840832")</f>
        <v>https://twitter.com/eclcontabil/status/1684942688766840832</v>
      </c>
      <c r="AF2146" s="90">
        <v>45135.627500000002</v>
      </c>
      <c r="AG2146" s="99">
        <v>45135</v>
      </c>
      <c r="AH2146" s="93" t="s">
        <v>13473</v>
      </c>
      <c r="AI2146" s="87" t="b">
        <v>0</v>
      </c>
      <c r="AJ2146" s="87"/>
      <c r="AK2146" s="87"/>
      <c r="AL2146" s="87"/>
      <c r="AM2146" s="87"/>
      <c r="AN2146" s="87"/>
      <c r="AO2146" s="87"/>
      <c r="AP2146" s="87"/>
      <c r="AQ2146" s="87" t="s">
        <v>16817</v>
      </c>
      <c r="AR2146" s="87"/>
      <c r="AS2146" s="87"/>
      <c r="AT2146" s="87"/>
      <c r="AU2146" s="87"/>
      <c r="AV2146" s="92" t="str">
        <f>HYPERLINK("https://pbs.twimg.com/media/F2IeK6hWoAAPQO_.jpg")</f>
        <v>https://pbs.twimg.com/media/F2IeK6hWoAAPQO_.jpg</v>
      </c>
      <c r="AW2146" s="93" t="s">
        <v>20364</v>
      </c>
      <c r="AX2146" s="93" t="s">
        <v>20364</v>
      </c>
      <c r="AY2146" s="87"/>
      <c r="AZ2146" s="93" t="s">
        <v>22668</v>
      </c>
      <c r="BA2146" s="93" t="s">
        <v>22668</v>
      </c>
      <c r="BB2146" s="93" t="s">
        <v>22668</v>
      </c>
      <c r="BC2146" s="93" t="s">
        <v>20364</v>
      </c>
      <c r="BD2146" s="93" t="s">
        <v>23211</v>
      </c>
      <c r="BE2146" s="87"/>
      <c r="BF2146" s="87"/>
      <c r="BG2146" s="87"/>
      <c r="BH2146" s="87"/>
      <c r="BI2146" s="87"/>
    </row>
    <row r="2147" spans="1:61" x14ac:dyDescent="0.25">
      <c r="A2147" s="63" t="s">
        <v>948</v>
      </c>
      <c r="B2147" s="63" t="s">
        <v>948</v>
      </c>
      <c r="C2147" s="64"/>
      <c r="D2147" s="65"/>
      <c r="E2147" s="66"/>
      <c r="F2147" s="67"/>
      <c r="G2147" s="64"/>
      <c r="H2147" s="68"/>
      <c r="I2147" s="69"/>
      <c r="J2147" s="69"/>
      <c r="K2147" s="32"/>
      <c r="L2147" s="76">
        <v>2147</v>
      </c>
      <c r="M2147" s="76"/>
      <c r="N2147" s="71"/>
      <c r="O2147" s="87" t="s">
        <v>179</v>
      </c>
      <c r="P2147" s="90">
        <v>45123.71733796296</v>
      </c>
      <c r="Q2147" s="87" t="s">
        <v>3923</v>
      </c>
      <c r="R2147" s="87">
        <v>0</v>
      </c>
      <c r="S2147" s="87">
        <v>2</v>
      </c>
      <c r="T2147" s="87">
        <v>1</v>
      </c>
      <c r="U2147" s="87">
        <v>0</v>
      </c>
      <c r="V2147" s="87">
        <v>36</v>
      </c>
      <c r="W2147" s="93" t="s">
        <v>7238</v>
      </c>
      <c r="X2147" s="87"/>
      <c r="Y2147" s="87"/>
      <c r="Z2147" s="87"/>
      <c r="AA2147" s="87"/>
      <c r="AB2147" s="87"/>
      <c r="AC2147" s="93" t="s">
        <v>11458</v>
      </c>
      <c r="AD2147" s="87" t="s">
        <v>11519</v>
      </c>
      <c r="AE2147" s="92" t="str">
        <f>HYPERLINK("https://twitter.com/murilogaldinopb/status/1680626590613401601")</f>
        <v>https://twitter.com/murilogaldinopb/status/1680626590613401601</v>
      </c>
      <c r="AF2147" s="90">
        <v>45123.71733796296</v>
      </c>
      <c r="AG2147" s="99">
        <v>45123</v>
      </c>
      <c r="AH2147" s="93" t="s">
        <v>13474</v>
      </c>
      <c r="AI2147" s="87"/>
      <c r="AJ2147" s="87"/>
      <c r="AK2147" s="87"/>
      <c r="AL2147" s="87"/>
      <c r="AM2147" s="87"/>
      <c r="AN2147" s="87"/>
      <c r="AO2147" s="87"/>
      <c r="AP2147" s="87"/>
      <c r="AQ2147" s="87"/>
      <c r="AR2147" s="87"/>
      <c r="AS2147" s="87"/>
      <c r="AT2147" s="87"/>
      <c r="AU2147" s="87"/>
      <c r="AV2147" s="92" t="str">
        <f>HYPERLINK("https://pbs.twimg.com/profile_images/1587581443294781441/1mCepP3x_normal.jpg")</f>
        <v>https://pbs.twimg.com/profile_images/1587581443294781441/1mCepP3x_normal.jpg</v>
      </c>
      <c r="AW2147" s="93" t="s">
        <v>20365</v>
      </c>
      <c r="AX2147" s="93" t="s">
        <v>20365</v>
      </c>
      <c r="AY2147" s="87"/>
      <c r="AZ2147" s="93" t="s">
        <v>22668</v>
      </c>
      <c r="BA2147" s="93" t="s">
        <v>22668</v>
      </c>
      <c r="BB2147" s="93" t="s">
        <v>22668</v>
      </c>
      <c r="BC2147" s="93" t="s">
        <v>20365</v>
      </c>
      <c r="BD2147" s="87">
        <v>40040727</v>
      </c>
      <c r="BE2147" s="87"/>
      <c r="BF2147" s="87"/>
      <c r="BG2147" s="87"/>
      <c r="BH2147" s="87"/>
      <c r="BI2147" s="87"/>
    </row>
    <row r="2148" spans="1:61" x14ac:dyDescent="0.25">
      <c r="A2148" s="63" t="s">
        <v>949</v>
      </c>
      <c r="B2148" s="63" t="s">
        <v>949</v>
      </c>
      <c r="C2148" s="64"/>
      <c r="D2148" s="65"/>
      <c r="E2148" s="66"/>
      <c r="F2148" s="67"/>
      <c r="G2148" s="64"/>
      <c r="H2148" s="68"/>
      <c r="I2148" s="69"/>
      <c r="J2148" s="69"/>
      <c r="K2148" s="32"/>
      <c r="L2148" s="76">
        <v>2148</v>
      </c>
      <c r="M2148" s="76"/>
      <c r="N2148" s="71"/>
      <c r="O2148" s="87" t="s">
        <v>179</v>
      </c>
      <c r="P2148" s="90">
        <v>45114.013402777775</v>
      </c>
      <c r="Q2148" s="87" t="s">
        <v>3924</v>
      </c>
      <c r="R2148" s="87">
        <v>0</v>
      </c>
      <c r="S2148" s="87">
        <v>0</v>
      </c>
      <c r="T2148" s="87">
        <v>0</v>
      </c>
      <c r="U2148" s="87">
        <v>0</v>
      </c>
      <c r="V2148" s="87">
        <v>10</v>
      </c>
      <c r="W2148" s="93" t="s">
        <v>7239</v>
      </c>
      <c r="X2148" s="87"/>
      <c r="Y2148" s="87"/>
      <c r="Z2148" s="87"/>
      <c r="AA2148" s="87" t="s">
        <v>10005</v>
      </c>
      <c r="AB2148" s="87" t="s">
        <v>11448</v>
      </c>
      <c r="AC2148" s="93" t="s">
        <v>11457</v>
      </c>
      <c r="AD2148" s="87" t="s">
        <v>11519</v>
      </c>
      <c r="AE2148" s="92" t="str">
        <f>HYPERLINK("https://twitter.com/hofmkt/status/1677110001171591168")</f>
        <v>https://twitter.com/hofmkt/status/1677110001171591168</v>
      </c>
      <c r="AF2148" s="90">
        <v>45114.013402777775</v>
      </c>
      <c r="AG2148" s="99">
        <v>45114</v>
      </c>
      <c r="AH2148" s="93" t="s">
        <v>13475</v>
      </c>
      <c r="AI2148" s="87" t="b">
        <v>0</v>
      </c>
      <c r="AJ2148" s="87"/>
      <c r="AK2148" s="87"/>
      <c r="AL2148" s="87"/>
      <c r="AM2148" s="87"/>
      <c r="AN2148" s="87"/>
      <c r="AO2148" s="87"/>
      <c r="AP2148" s="87"/>
      <c r="AQ2148" s="87" t="s">
        <v>16818</v>
      </c>
      <c r="AR2148" s="87"/>
      <c r="AS2148" s="87"/>
      <c r="AT2148" s="87"/>
      <c r="AU2148" s="87"/>
      <c r="AV2148" s="92" t="str">
        <f>HYPERLINK("https://pbs.twimg.com/media/F0ZKmpQWIAAT0br.jpg")</f>
        <v>https://pbs.twimg.com/media/F0ZKmpQWIAAT0br.jpg</v>
      </c>
      <c r="AW2148" s="93" t="s">
        <v>20366</v>
      </c>
      <c r="AX2148" s="93" t="s">
        <v>20366</v>
      </c>
      <c r="AY2148" s="87"/>
      <c r="AZ2148" s="93" t="s">
        <v>22668</v>
      </c>
      <c r="BA2148" s="93" t="s">
        <v>22668</v>
      </c>
      <c r="BB2148" s="93" t="s">
        <v>22668</v>
      </c>
      <c r="BC2148" s="93" t="s">
        <v>20366</v>
      </c>
      <c r="BD2148" s="93" t="s">
        <v>23212</v>
      </c>
      <c r="BE2148" s="87"/>
      <c r="BF2148" s="87"/>
      <c r="BG2148" s="87"/>
      <c r="BH2148" s="87"/>
      <c r="BI2148" s="87"/>
    </row>
    <row r="2149" spans="1:61" x14ac:dyDescent="0.25">
      <c r="A2149" s="63" t="s">
        <v>949</v>
      </c>
      <c r="B2149" s="63" t="s">
        <v>949</v>
      </c>
      <c r="C2149" s="64"/>
      <c r="D2149" s="65"/>
      <c r="E2149" s="66"/>
      <c r="F2149" s="67"/>
      <c r="G2149" s="64"/>
      <c r="H2149" s="68"/>
      <c r="I2149" s="69"/>
      <c r="J2149" s="69"/>
      <c r="K2149" s="32"/>
      <c r="L2149" s="76">
        <v>2149</v>
      </c>
      <c r="M2149" s="76"/>
      <c r="N2149" s="71"/>
      <c r="O2149" s="87" t="s">
        <v>179</v>
      </c>
      <c r="P2149" s="90">
        <v>45173.909201388888</v>
      </c>
      <c r="Q2149" s="87" t="s">
        <v>3925</v>
      </c>
      <c r="R2149" s="87">
        <v>0</v>
      </c>
      <c r="S2149" s="87">
        <v>0</v>
      </c>
      <c r="T2149" s="87">
        <v>0</v>
      </c>
      <c r="U2149" s="87">
        <v>0</v>
      </c>
      <c r="V2149" s="87">
        <v>8</v>
      </c>
      <c r="W2149" s="93" t="s">
        <v>7239</v>
      </c>
      <c r="X2149" s="87"/>
      <c r="Y2149" s="87"/>
      <c r="Z2149" s="87"/>
      <c r="AA2149" s="87" t="s">
        <v>10006</v>
      </c>
      <c r="AB2149" s="87" t="s">
        <v>11448</v>
      </c>
      <c r="AC2149" s="93" t="s">
        <v>11457</v>
      </c>
      <c r="AD2149" s="87" t="s">
        <v>11519</v>
      </c>
      <c r="AE2149" s="92" t="str">
        <f>HYPERLINK("https://twitter.com/hofmkt/status/1698815512338219362")</f>
        <v>https://twitter.com/hofmkt/status/1698815512338219362</v>
      </c>
      <c r="AF2149" s="90">
        <v>45173.909201388888</v>
      </c>
      <c r="AG2149" s="99">
        <v>45173</v>
      </c>
      <c r="AH2149" s="93" t="s">
        <v>13476</v>
      </c>
      <c r="AI2149" s="87" t="b">
        <v>0</v>
      </c>
      <c r="AJ2149" s="87"/>
      <c r="AK2149" s="87"/>
      <c r="AL2149" s="87"/>
      <c r="AM2149" s="87"/>
      <c r="AN2149" s="87"/>
      <c r="AO2149" s="87"/>
      <c r="AP2149" s="87"/>
      <c r="AQ2149" s="87" t="s">
        <v>16819</v>
      </c>
      <c r="AR2149" s="87"/>
      <c r="AS2149" s="87"/>
      <c r="AT2149" s="87"/>
      <c r="AU2149" s="87"/>
      <c r="AV2149" s="92" t="str">
        <f>HYPERLINK("https://pbs.twimg.com/media/F5NnqE4XkAA7gFm.jpg")</f>
        <v>https://pbs.twimg.com/media/F5NnqE4XkAA7gFm.jpg</v>
      </c>
      <c r="AW2149" s="93" t="s">
        <v>20367</v>
      </c>
      <c r="AX2149" s="93" t="s">
        <v>20367</v>
      </c>
      <c r="AY2149" s="87"/>
      <c r="AZ2149" s="93" t="s">
        <v>22668</v>
      </c>
      <c r="BA2149" s="93" t="s">
        <v>22668</v>
      </c>
      <c r="BB2149" s="93" t="s">
        <v>22668</v>
      </c>
      <c r="BC2149" s="93" t="s">
        <v>20367</v>
      </c>
      <c r="BD2149" s="93" t="s">
        <v>23212</v>
      </c>
      <c r="BE2149" s="87"/>
      <c r="BF2149" s="87"/>
      <c r="BG2149" s="87"/>
      <c r="BH2149" s="87"/>
      <c r="BI2149" s="87"/>
    </row>
    <row r="2150" spans="1:61" x14ac:dyDescent="0.25">
      <c r="A2150" s="63" t="s">
        <v>950</v>
      </c>
      <c r="B2150" s="63" t="s">
        <v>950</v>
      </c>
      <c r="C2150" s="64"/>
      <c r="D2150" s="65"/>
      <c r="E2150" s="66"/>
      <c r="F2150" s="67"/>
      <c r="G2150" s="64"/>
      <c r="H2150" s="68"/>
      <c r="I2150" s="69"/>
      <c r="J2150" s="69"/>
      <c r="K2150" s="32"/>
      <c r="L2150" s="76">
        <v>2150</v>
      </c>
      <c r="M2150" s="76"/>
      <c r="N2150" s="71"/>
      <c r="O2150" s="87" t="s">
        <v>179</v>
      </c>
      <c r="P2150" s="90">
        <v>45125.013252314813</v>
      </c>
      <c r="Q2150" s="87" t="s">
        <v>3926</v>
      </c>
      <c r="R2150" s="87">
        <v>0</v>
      </c>
      <c r="S2150" s="87">
        <v>0</v>
      </c>
      <c r="T2150" s="87">
        <v>0</v>
      </c>
      <c r="U2150" s="87">
        <v>0</v>
      </c>
      <c r="V2150" s="87">
        <v>7</v>
      </c>
      <c r="W2150" s="93" t="s">
        <v>7240</v>
      </c>
      <c r="X2150" s="87"/>
      <c r="Y2150" s="87"/>
      <c r="Z2150" s="87"/>
      <c r="AA2150" s="87"/>
      <c r="AB2150" s="87"/>
      <c r="AC2150" s="93" t="s">
        <v>11458</v>
      </c>
      <c r="AD2150" s="87" t="s">
        <v>11519</v>
      </c>
      <c r="AE2150" s="92" t="str">
        <f>HYPERLINK("https://twitter.com/proffavoretto/status/1681096215289528320")</f>
        <v>https://twitter.com/proffavoretto/status/1681096215289528320</v>
      </c>
      <c r="AF2150" s="90">
        <v>45125.013252314813</v>
      </c>
      <c r="AG2150" s="99">
        <v>45125</v>
      </c>
      <c r="AH2150" s="93" t="s">
        <v>13477</v>
      </c>
      <c r="AI2150" s="87"/>
      <c r="AJ2150" s="87"/>
      <c r="AK2150" s="87"/>
      <c r="AL2150" s="87"/>
      <c r="AM2150" s="87"/>
      <c r="AN2150" s="87"/>
      <c r="AO2150" s="87"/>
      <c r="AP2150" s="87"/>
      <c r="AQ2150" s="87"/>
      <c r="AR2150" s="87"/>
      <c r="AS2150" s="87"/>
      <c r="AT2150" s="87"/>
      <c r="AU2150" s="87"/>
      <c r="AV2150" s="92" t="str">
        <f>HYPERLINK("https://pbs.twimg.com/profile_images/1693462355424714752/Ymc13L7a_normal.jpg")</f>
        <v>https://pbs.twimg.com/profile_images/1693462355424714752/Ymc13L7a_normal.jpg</v>
      </c>
      <c r="AW2150" s="93" t="s">
        <v>20368</v>
      </c>
      <c r="AX2150" s="93" t="s">
        <v>20368</v>
      </c>
      <c r="AY2150" s="87"/>
      <c r="AZ2150" s="93" t="s">
        <v>22668</v>
      </c>
      <c r="BA2150" s="93" t="s">
        <v>22668</v>
      </c>
      <c r="BB2150" s="93" t="s">
        <v>22668</v>
      </c>
      <c r="BC2150" s="93" t="s">
        <v>20368</v>
      </c>
      <c r="BD2150" s="87">
        <v>50050828</v>
      </c>
      <c r="BE2150" s="87"/>
      <c r="BF2150" s="87"/>
      <c r="BG2150" s="87"/>
      <c r="BH2150" s="87"/>
      <c r="BI2150" s="87"/>
    </row>
    <row r="2151" spans="1:61" x14ac:dyDescent="0.25">
      <c r="A2151" s="63" t="s">
        <v>951</v>
      </c>
      <c r="B2151" s="63" t="s">
        <v>1710</v>
      </c>
      <c r="C2151" s="64"/>
      <c r="D2151" s="65"/>
      <c r="E2151" s="66"/>
      <c r="F2151" s="67"/>
      <c r="G2151" s="64"/>
      <c r="H2151" s="68"/>
      <c r="I2151" s="69"/>
      <c r="J2151" s="69"/>
      <c r="K2151" s="32"/>
      <c r="L2151" s="76">
        <v>2151</v>
      </c>
      <c r="M2151" s="76"/>
      <c r="N2151" s="71"/>
      <c r="O2151" s="87" t="s">
        <v>1839</v>
      </c>
      <c r="P2151" s="90">
        <v>45160.004571759258</v>
      </c>
      <c r="Q2151" s="87" t="s">
        <v>3927</v>
      </c>
      <c r="R2151" s="87">
        <v>0</v>
      </c>
      <c r="S2151" s="87">
        <v>1</v>
      </c>
      <c r="T2151" s="87">
        <v>1</v>
      </c>
      <c r="U2151" s="87">
        <v>0</v>
      </c>
      <c r="V2151" s="87">
        <v>73</v>
      </c>
      <c r="W2151" s="93" t="s">
        <v>7241</v>
      </c>
      <c r="X2151" s="87"/>
      <c r="Y2151" s="87"/>
      <c r="Z2151" s="87" t="s">
        <v>1710</v>
      </c>
      <c r="AA2151" s="87" t="s">
        <v>10007</v>
      </c>
      <c r="AB2151" s="87" t="s">
        <v>11448</v>
      </c>
      <c r="AC2151" s="93" t="s">
        <v>11459</v>
      </c>
      <c r="AD2151" s="87" t="s">
        <v>11519</v>
      </c>
      <c r="AE2151" s="92" t="str">
        <f>HYPERLINK("https://twitter.com/metalomega/status/1693776645834908046")</f>
        <v>https://twitter.com/metalomega/status/1693776645834908046</v>
      </c>
      <c r="AF2151" s="90">
        <v>45160.004571759258</v>
      </c>
      <c r="AG2151" s="99">
        <v>45160</v>
      </c>
      <c r="AH2151" s="93" t="s">
        <v>13478</v>
      </c>
      <c r="AI2151" s="87" t="b">
        <v>0</v>
      </c>
      <c r="AJ2151" s="87" t="s">
        <v>15184</v>
      </c>
      <c r="AK2151" s="87" t="s">
        <v>15234</v>
      </c>
      <c r="AL2151" s="87" t="s">
        <v>15237</v>
      </c>
      <c r="AM2151" s="87" t="s">
        <v>15256</v>
      </c>
      <c r="AN2151" s="87" t="s">
        <v>15322</v>
      </c>
      <c r="AO2151" s="87" t="s">
        <v>15388</v>
      </c>
      <c r="AP2151" s="87" t="s">
        <v>15438</v>
      </c>
      <c r="AQ2151" s="87" t="s">
        <v>16820</v>
      </c>
      <c r="AR2151" s="87"/>
      <c r="AS2151" s="87"/>
      <c r="AT2151" s="87"/>
      <c r="AU2151" s="87"/>
      <c r="AV2151" s="92" t="str">
        <f>HYPERLINK("https://pbs.twimg.com/media/F4GA4gpXYAAFIAz.jpg")</f>
        <v>https://pbs.twimg.com/media/F4GA4gpXYAAFIAz.jpg</v>
      </c>
      <c r="AW2151" s="93" t="s">
        <v>20369</v>
      </c>
      <c r="AX2151" s="93" t="s">
        <v>20369</v>
      </c>
      <c r="AY2151" s="87"/>
      <c r="AZ2151" s="93" t="s">
        <v>22668</v>
      </c>
      <c r="BA2151" s="93" t="s">
        <v>22668</v>
      </c>
      <c r="BB2151" s="93" t="s">
        <v>22668</v>
      </c>
      <c r="BC2151" s="93" t="s">
        <v>20369</v>
      </c>
      <c r="BD2151" s="87">
        <v>14607858</v>
      </c>
      <c r="BE2151" s="87"/>
      <c r="BF2151" s="87"/>
      <c r="BG2151" s="87"/>
      <c r="BH2151" s="87"/>
      <c r="BI2151" s="87"/>
    </row>
    <row r="2152" spans="1:61" x14ac:dyDescent="0.25">
      <c r="A2152" s="63" t="s">
        <v>951</v>
      </c>
      <c r="B2152" s="63" t="s">
        <v>951</v>
      </c>
      <c r="C2152" s="64"/>
      <c r="D2152" s="65"/>
      <c r="E2152" s="66"/>
      <c r="F2152" s="67"/>
      <c r="G2152" s="64"/>
      <c r="H2152" s="68"/>
      <c r="I2152" s="69"/>
      <c r="J2152" s="69"/>
      <c r="K2152" s="32"/>
      <c r="L2152" s="76">
        <v>2152</v>
      </c>
      <c r="M2152" s="76"/>
      <c r="N2152" s="71"/>
      <c r="O2152" s="87" t="s">
        <v>1840</v>
      </c>
      <c r="P2152" s="90">
        <v>45160.004895833335</v>
      </c>
      <c r="Q2152" s="87" t="s">
        <v>3928</v>
      </c>
      <c r="R2152" s="87">
        <v>0</v>
      </c>
      <c r="S2152" s="87">
        <v>0</v>
      </c>
      <c r="T2152" s="87">
        <v>0</v>
      </c>
      <c r="U2152" s="87">
        <v>0</v>
      </c>
      <c r="V2152" s="87">
        <v>53</v>
      </c>
      <c r="W2152" s="93" t="s">
        <v>7241</v>
      </c>
      <c r="X2152" s="87"/>
      <c r="Y2152" s="87"/>
      <c r="Z2152" s="87" t="s">
        <v>1710</v>
      </c>
      <c r="AA2152" s="87" t="s">
        <v>10008</v>
      </c>
      <c r="AB2152" s="87" t="s">
        <v>11448</v>
      </c>
      <c r="AC2152" s="93" t="s">
        <v>11459</v>
      </c>
      <c r="AD2152" s="87" t="s">
        <v>11519</v>
      </c>
      <c r="AE2152" s="92" t="str">
        <f>HYPERLINK("https://twitter.com/metalomega/status/1693776761517940929")</f>
        <v>https://twitter.com/metalomega/status/1693776761517940929</v>
      </c>
      <c r="AF2152" s="90">
        <v>45160.004895833335</v>
      </c>
      <c r="AG2152" s="99">
        <v>45160</v>
      </c>
      <c r="AH2152" s="93" t="s">
        <v>13479</v>
      </c>
      <c r="AI2152" s="87" t="b">
        <v>0</v>
      </c>
      <c r="AJ2152" s="87" t="s">
        <v>15184</v>
      </c>
      <c r="AK2152" s="87" t="s">
        <v>15234</v>
      </c>
      <c r="AL2152" s="87" t="s">
        <v>15237</v>
      </c>
      <c r="AM2152" s="87" t="s">
        <v>15256</v>
      </c>
      <c r="AN2152" s="87" t="s">
        <v>15322</v>
      </c>
      <c r="AO2152" s="87" t="s">
        <v>15388</v>
      </c>
      <c r="AP2152" s="87" t="s">
        <v>15438</v>
      </c>
      <c r="AQ2152" s="87" t="s">
        <v>16821</v>
      </c>
      <c r="AR2152" s="87"/>
      <c r="AS2152" s="87"/>
      <c r="AT2152" s="87"/>
      <c r="AU2152" s="87"/>
      <c r="AV2152" s="92" t="str">
        <f>HYPERLINK("https://pbs.twimg.com/media/F4GA_QUWMAAN0AG.jpg")</f>
        <v>https://pbs.twimg.com/media/F4GA_QUWMAAN0AG.jpg</v>
      </c>
      <c r="AW2152" s="93" t="s">
        <v>20370</v>
      </c>
      <c r="AX2152" s="93" t="s">
        <v>20369</v>
      </c>
      <c r="AY2152" s="93" t="s">
        <v>22597</v>
      </c>
      <c r="AZ2152" s="93" t="s">
        <v>20369</v>
      </c>
      <c r="BA2152" s="93" t="s">
        <v>22668</v>
      </c>
      <c r="BB2152" s="93" t="s">
        <v>22668</v>
      </c>
      <c r="BC2152" s="93" t="s">
        <v>20369</v>
      </c>
      <c r="BD2152" s="87">
        <v>14607858</v>
      </c>
      <c r="BE2152" s="87"/>
      <c r="BF2152" s="87"/>
      <c r="BG2152" s="87"/>
      <c r="BH2152" s="87"/>
      <c r="BI2152" s="87"/>
    </row>
    <row r="2153" spans="1:61" x14ac:dyDescent="0.25">
      <c r="A2153" s="63" t="s">
        <v>951</v>
      </c>
      <c r="B2153" s="63" t="s">
        <v>951</v>
      </c>
      <c r="C2153" s="64"/>
      <c r="D2153" s="65"/>
      <c r="E2153" s="66"/>
      <c r="F2153" s="67"/>
      <c r="G2153" s="64"/>
      <c r="H2153" s="68"/>
      <c r="I2153" s="69"/>
      <c r="J2153" s="69"/>
      <c r="K2153" s="32"/>
      <c r="L2153" s="76">
        <v>2153</v>
      </c>
      <c r="M2153" s="76"/>
      <c r="N2153" s="71"/>
      <c r="O2153" s="87" t="s">
        <v>179</v>
      </c>
      <c r="P2153" s="90">
        <v>45161.033900462964</v>
      </c>
      <c r="Q2153" s="87" t="s">
        <v>3929</v>
      </c>
      <c r="R2153" s="87">
        <v>0</v>
      </c>
      <c r="S2153" s="87">
        <v>0</v>
      </c>
      <c r="T2153" s="87">
        <v>1</v>
      </c>
      <c r="U2153" s="87">
        <v>0</v>
      </c>
      <c r="V2153" s="87">
        <v>124</v>
      </c>
      <c r="W2153" s="93" t="s">
        <v>7242</v>
      </c>
      <c r="X2153" s="87"/>
      <c r="Y2153" s="87"/>
      <c r="Z2153" s="87"/>
      <c r="AA2153" s="87" t="s">
        <v>10009</v>
      </c>
      <c r="AB2153" s="87" t="s">
        <v>11448</v>
      </c>
      <c r="AC2153" s="93" t="s">
        <v>11459</v>
      </c>
      <c r="AD2153" s="87" t="s">
        <v>11519</v>
      </c>
      <c r="AE2153" s="92" t="str">
        <f>HYPERLINK("https://twitter.com/metalomega/status/1694149658778419505")</f>
        <v>https://twitter.com/metalomega/status/1694149658778419505</v>
      </c>
      <c r="AF2153" s="90">
        <v>45161.033900462964</v>
      </c>
      <c r="AG2153" s="99">
        <v>45161</v>
      </c>
      <c r="AH2153" s="93" t="s">
        <v>13480</v>
      </c>
      <c r="AI2153" s="87" t="b">
        <v>0</v>
      </c>
      <c r="AJ2153" s="87" t="s">
        <v>15184</v>
      </c>
      <c r="AK2153" s="87" t="s">
        <v>15234</v>
      </c>
      <c r="AL2153" s="87" t="s">
        <v>15237</v>
      </c>
      <c r="AM2153" s="87" t="s">
        <v>15256</v>
      </c>
      <c r="AN2153" s="87" t="s">
        <v>15322</v>
      </c>
      <c r="AO2153" s="87" t="s">
        <v>15388</v>
      </c>
      <c r="AP2153" s="87" t="s">
        <v>15438</v>
      </c>
      <c r="AQ2153" s="87" t="s">
        <v>16822</v>
      </c>
      <c r="AR2153" s="87"/>
      <c r="AS2153" s="87"/>
      <c r="AT2153" s="87"/>
      <c r="AU2153" s="87"/>
      <c r="AV2153" s="92" t="str">
        <f>HYPERLINK("https://pbs.twimg.com/media/F4LUIucWwAAM7_1.jpg")</f>
        <v>https://pbs.twimg.com/media/F4LUIucWwAAM7_1.jpg</v>
      </c>
      <c r="AW2153" s="93" t="s">
        <v>20371</v>
      </c>
      <c r="AX2153" s="93" t="s">
        <v>20371</v>
      </c>
      <c r="AY2153" s="87"/>
      <c r="AZ2153" s="93" t="s">
        <v>22668</v>
      </c>
      <c r="BA2153" s="93" t="s">
        <v>22668</v>
      </c>
      <c r="BB2153" s="93" t="s">
        <v>22668</v>
      </c>
      <c r="BC2153" s="93" t="s">
        <v>20371</v>
      </c>
      <c r="BD2153" s="87">
        <v>14607858</v>
      </c>
      <c r="BE2153" s="87"/>
      <c r="BF2153" s="87"/>
      <c r="BG2153" s="87"/>
      <c r="BH2153" s="87"/>
      <c r="BI2153" s="87"/>
    </row>
    <row r="2154" spans="1:61" x14ac:dyDescent="0.25">
      <c r="A2154" s="63" t="s">
        <v>952</v>
      </c>
      <c r="B2154" s="63" t="s">
        <v>952</v>
      </c>
      <c r="C2154" s="64"/>
      <c r="D2154" s="65"/>
      <c r="E2154" s="66"/>
      <c r="F2154" s="67"/>
      <c r="G2154" s="64"/>
      <c r="H2154" s="68"/>
      <c r="I2154" s="69"/>
      <c r="J2154" s="69"/>
      <c r="K2154" s="32"/>
      <c r="L2154" s="76">
        <v>2154</v>
      </c>
      <c r="M2154" s="76"/>
      <c r="N2154" s="71"/>
      <c r="O2154" s="87" t="s">
        <v>179</v>
      </c>
      <c r="P2154" s="90">
        <v>45194.72246527778</v>
      </c>
      <c r="Q2154" s="87" t="s">
        <v>3930</v>
      </c>
      <c r="R2154" s="87">
        <v>0</v>
      </c>
      <c r="S2154" s="87">
        <v>0</v>
      </c>
      <c r="T2154" s="87">
        <v>0</v>
      </c>
      <c r="U2154" s="87">
        <v>0</v>
      </c>
      <c r="V2154" s="87">
        <v>16</v>
      </c>
      <c r="W2154" s="93" t="s">
        <v>7243</v>
      </c>
      <c r="X2154" s="87"/>
      <c r="Y2154" s="87"/>
      <c r="Z2154" s="87"/>
      <c r="AA2154" s="87" t="s">
        <v>10010</v>
      </c>
      <c r="AB2154" s="87" t="s">
        <v>11447</v>
      </c>
      <c r="AC2154" s="93" t="s">
        <v>11462</v>
      </c>
      <c r="AD2154" s="87" t="s">
        <v>11519</v>
      </c>
      <c r="AE2154" s="92" t="str">
        <f>HYPERLINK("https://twitter.com/ricardorocha_rr/status/1706357989500768273")</f>
        <v>https://twitter.com/ricardorocha_rr/status/1706357989500768273</v>
      </c>
      <c r="AF2154" s="90">
        <v>45194.72246527778</v>
      </c>
      <c r="AG2154" s="99">
        <v>45194</v>
      </c>
      <c r="AH2154" s="93" t="s">
        <v>13481</v>
      </c>
      <c r="AI2154" s="87" t="b">
        <v>0</v>
      </c>
      <c r="AJ2154" s="87"/>
      <c r="AK2154" s="87"/>
      <c r="AL2154" s="87"/>
      <c r="AM2154" s="87"/>
      <c r="AN2154" s="87"/>
      <c r="AO2154" s="87"/>
      <c r="AP2154" s="87"/>
      <c r="AQ2154" s="87" t="s">
        <v>16823</v>
      </c>
      <c r="AR2154" s="87">
        <v>59800</v>
      </c>
      <c r="AS2154" s="87"/>
      <c r="AT2154" s="87"/>
      <c r="AU2154" s="87"/>
      <c r="AV2154" s="92" t="str">
        <f>HYPERLINK("https://pbs.twimg.com/ext_tw_video_thumb/1706357940137918464/pu/img/d-zD6yUuK5St2ZJX.jpg")</f>
        <v>https://pbs.twimg.com/ext_tw_video_thumb/1706357940137918464/pu/img/d-zD6yUuK5St2ZJX.jpg</v>
      </c>
      <c r="AW2154" s="93" t="s">
        <v>20372</v>
      </c>
      <c r="AX2154" s="93" t="s">
        <v>20372</v>
      </c>
      <c r="AY2154" s="87"/>
      <c r="AZ2154" s="93" t="s">
        <v>22668</v>
      </c>
      <c r="BA2154" s="93" t="s">
        <v>22668</v>
      </c>
      <c r="BB2154" s="93" t="s">
        <v>22668</v>
      </c>
      <c r="BC2154" s="93" t="s">
        <v>20372</v>
      </c>
      <c r="BD2154" s="87">
        <v>438508804</v>
      </c>
      <c r="BE2154" s="87"/>
      <c r="BF2154" s="87"/>
      <c r="BG2154" s="87"/>
      <c r="BH2154" s="87"/>
      <c r="BI2154" s="87"/>
    </row>
    <row r="2155" spans="1:61" x14ac:dyDescent="0.25">
      <c r="A2155" s="63" t="s">
        <v>953</v>
      </c>
      <c r="B2155" s="63" t="s">
        <v>953</v>
      </c>
      <c r="C2155" s="64"/>
      <c r="D2155" s="65"/>
      <c r="E2155" s="66"/>
      <c r="F2155" s="67"/>
      <c r="G2155" s="64"/>
      <c r="H2155" s="68"/>
      <c r="I2155" s="69"/>
      <c r="J2155" s="69"/>
      <c r="K2155" s="32"/>
      <c r="L2155" s="76">
        <v>2155</v>
      </c>
      <c r="M2155" s="76"/>
      <c r="N2155" s="71"/>
      <c r="O2155" s="87" t="s">
        <v>179</v>
      </c>
      <c r="P2155" s="90">
        <v>45167.833344907405</v>
      </c>
      <c r="Q2155" s="87" t="s">
        <v>3931</v>
      </c>
      <c r="R2155" s="87">
        <v>0</v>
      </c>
      <c r="S2155" s="87">
        <v>0</v>
      </c>
      <c r="T2155" s="87">
        <v>0</v>
      </c>
      <c r="U2155" s="87">
        <v>0</v>
      </c>
      <c r="V2155" s="87">
        <v>62</v>
      </c>
      <c r="W2155" s="93" t="s">
        <v>7244</v>
      </c>
      <c r="X2155" s="92" t="str">
        <f>HYPERLINK("https://mla.bs/196ff3ac")</f>
        <v>https://mla.bs/196ff3ac</v>
      </c>
      <c r="Y2155" s="87" t="s">
        <v>8396</v>
      </c>
      <c r="Z2155" s="87"/>
      <c r="AA2155" s="87" t="s">
        <v>10011</v>
      </c>
      <c r="AB2155" s="87" t="s">
        <v>11449</v>
      </c>
      <c r="AC2155" s="93" t="s">
        <v>11457</v>
      </c>
      <c r="AD2155" s="87" t="s">
        <v>11519</v>
      </c>
      <c r="AE2155" s="92" t="str">
        <f>HYPERLINK("https://twitter.com/orcose/status/1696613696783691806")</f>
        <v>https://twitter.com/orcose/status/1696613696783691806</v>
      </c>
      <c r="AF2155" s="90">
        <v>45167.833344907405</v>
      </c>
      <c r="AG2155" s="99">
        <v>45167</v>
      </c>
      <c r="AH2155" s="93" t="s">
        <v>12348</v>
      </c>
      <c r="AI2155" s="87" t="b">
        <v>0</v>
      </c>
      <c r="AJ2155" s="87"/>
      <c r="AK2155" s="87"/>
      <c r="AL2155" s="87"/>
      <c r="AM2155" s="87"/>
      <c r="AN2155" s="87"/>
      <c r="AO2155" s="87"/>
      <c r="AP2155" s="87"/>
      <c r="AQ2155" s="87" t="s">
        <v>16824</v>
      </c>
      <c r="AR2155" s="87"/>
      <c r="AS2155" s="87"/>
      <c r="AT2155" s="87"/>
      <c r="AU2155" s="87"/>
      <c r="AV2155" s="92" t="str">
        <f>HYPERLINK("https://pbs.twimg.com/media/F30sivvWsAEv99X.jpg")</f>
        <v>https://pbs.twimg.com/media/F30sivvWsAEv99X.jpg</v>
      </c>
      <c r="AW2155" s="93" t="s">
        <v>20373</v>
      </c>
      <c r="AX2155" s="93" t="s">
        <v>20373</v>
      </c>
      <c r="AY2155" s="87"/>
      <c r="AZ2155" s="93" t="s">
        <v>22668</v>
      </c>
      <c r="BA2155" s="93" t="s">
        <v>22668</v>
      </c>
      <c r="BB2155" s="93" t="s">
        <v>22668</v>
      </c>
      <c r="BC2155" s="93" t="s">
        <v>20373</v>
      </c>
      <c r="BD2155" s="87">
        <v>96743223</v>
      </c>
      <c r="BE2155" s="87"/>
      <c r="BF2155" s="87"/>
      <c r="BG2155" s="87"/>
      <c r="BH2155" s="87"/>
      <c r="BI2155" s="87"/>
    </row>
    <row r="2156" spans="1:61" x14ac:dyDescent="0.25">
      <c r="A2156" s="63" t="s">
        <v>954</v>
      </c>
      <c r="B2156" s="63" t="s">
        <v>954</v>
      </c>
      <c r="C2156" s="64"/>
      <c r="D2156" s="65"/>
      <c r="E2156" s="66"/>
      <c r="F2156" s="67"/>
      <c r="G2156" s="64"/>
      <c r="H2156" s="68"/>
      <c r="I2156" s="69"/>
      <c r="J2156" s="69"/>
      <c r="K2156" s="32"/>
      <c r="L2156" s="76">
        <v>2156</v>
      </c>
      <c r="M2156" s="76"/>
      <c r="N2156" s="71"/>
      <c r="O2156" s="87" t="s">
        <v>179</v>
      </c>
      <c r="P2156" s="90">
        <v>45149.455416666664</v>
      </c>
      <c r="Q2156" s="87" t="s">
        <v>3932</v>
      </c>
      <c r="R2156" s="87">
        <v>0</v>
      </c>
      <c r="S2156" s="87">
        <v>0</v>
      </c>
      <c r="T2156" s="87">
        <v>0</v>
      </c>
      <c r="U2156" s="87">
        <v>0</v>
      </c>
      <c r="V2156" s="87">
        <v>19</v>
      </c>
      <c r="W2156" s="93" t="s">
        <v>7245</v>
      </c>
      <c r="X2156" s="87"/>
      <c r="Y2156" s="87"/>
      <c r="Z2156" s="87"/>
      <c r="AA2156" s="87" t="s">
        <v>10012</v>
      </c>
      <c r="AB2156" s="87" t="s">
        <v>11448</v>
      </c>
      <c r="AC2156" s="93" t="s">
        <v>11458</v>
      </c>
      <c r="AD2156" s="87" t="s">
        <v>11523</v>
      </c>
      <c r="AE2156" s="92" t="str">
        <f>HYPERLINK("https://twitter.com/andlopezga/status/1689953759273582592")</f>
        <v>https://twitter.com/andlopezga/status/1689953759273582592</v>
      </c>
      <c r="AF2156" s="90">
        <v>45149.455416666664</v>
      </c>
      <c r="AG2156" s="99">
        <v>45149</v>
      </c>
      <c r="AH2156" s="93" t="s">
        <v>13482</v>
      </c>
      <c r="AI2156" s="87" t="b">
        <v>0</v>
      </c>
      <c r="AJ2156" s="87"/>
      <c r="AK2156" s="87"/>
      <c r="AL2156" s="87"/>
      <c r="AM2156" s="87"/>
      <c r="AN2156" s="87"/>
      <c r="AO2156" s="87"/>
      <c r="AP2156" s="87"/>
      <c r="AQ2156" s="87" t="s">
        <v>16825</v>
      </c>
      <c r="AR2156" s="87"/>
      <c r="AS2156" s="87"/>
      <c r="AT2156" s="87"/>
      <c r="AU2156" s="87"/>
      <c r="AV2156" s="92" t="str">
        <f>HYPERLINK("https://pbs.twimg.com/media/F3Pr_JUX0AATNmt.jpg")</f>
        <v>https://pbs.twimg.com/media/F3Pr_JUX0AATNmt.jpg</v>
      </c>
      <c r="AW2156" s="93" t="s">
        <v>20374</v>
      </c>
      <c r="AX2156" s="93" t="s">
        <v>20374</v>
      </c>
      <c r="AY2156" s="87"/>
      <c r="AZ2156" s="93" t="s">
        <v>22668</v>
      </c>
      <c r="BA2156" s="93" t="s">
        <v>22668</v>
      </c>
      <c r="BB2156" s="93" t="s">
        <v>22668</v>
      </c>
      <c r="BC2156" s="93" t="s">
        <v>20374</v>
      </c>
      <c r="BD2156" s="87">
        <v>304018689</v>
      </c>
      <c r="BE2156" s="87"/>
      <c r="BF2156" s="87"/>
      <c r="BG2156" s="87"/>
      <c r="BH2156" s="87"/>
      <c r="BI2156" s="87"/>
    </row>
    <row r="2157" spans="1:61" x14ac:dyDescent="0.25">
      <c r="A2157" s="63" t="s">
        <v>954</v>
      </c>
      <c r="B2157" s="63" t="s">
        <v>954</v>
      </c>
      <c r="C2157" s="64"/>
      <c r="D2157" s="65"/>
      <c r="E2157" s="66"/>
      <c r="F2157" s="67"/>
      <c r="G2157" s="64"/>
      <c r="H2157" s="68"/>
      <c r="I2157" s="69"/>
      <c r="J2157" s="69"/>
      <c r="K2157" s="32"/>
      <c r="L2157" s="76">
        <v>2157</v>
      </c>
      <c r="M2157" s="76"/>
      <c r="N2157" s="71"/>
      <c r="O2157" s="87" t="s">
        <v>179</v>
      </c>
      <c r="P2157" s="90">
        <v>45167.459062499998</v>
      </c>
      <c r="Q2157" s="87" t="s">
        <v>3933</v>
      </c>
      <c r="R2157" s="87">
        <v>0</v>
      </c>
      <c r="S2157" s="87">
        <v>0</v>
      </c>
      <c r="T2157" s="87">
        <v>0</v>
      </c>
      <c r="U2157" s="87">
        <v>0</v>
      </c>
      <c r="V2157" s="87">
        <v>4</v>
      </c>
      <c r="W2157" s="93" t="s">
        <v>7246</v>
      </c>
      <c r="X2157" s="87"/>
      <c r="Y2157" s="87"/>
      <c r="Z2157" s="87"/>
      <c r="AA2157" s="87" t="s">
        <v>10013</v>
      </c>
      <c r="AB2157" s="87" t="s">
        <v>11448</v>
      </c>
      <c r="AC2157" s="93" t="s">
        <v>11458</v>
      </c>
      <c r="AD2157" s="87" t="s">
        <v>11523</v>
      </c>
      <c r="AE2157" s="92" t="str">
        <f>HYPERLINK("https://twitter.com/andlopezga/status/1696478062215340425")</f>
        <v>https://twitter.com/andlopezga/status/1696478062215340425</v>
      </c>
      <c r="AF2157" s="90">
        <v>45167.459062499998</v>
      </c>
      <c r="AG2157" s="99">
        <v>45167</v>
      </c>
      <c r="AH2157" s="93" t="s">
        <v>13483</v>
      </c>
      <c r="AI2157" s="87" t="b">
        <v>0</v>
      </c>
      <c r="AJ2157" s="87"/>
      <c r="AK2157" s="87"/>
      <c r="AL2157" s="87"/>
      <c r="AM2157" s="87"/>
      <c r="AN2157" s="87"/>
      <c r="AO2157" s="87"/>
      <c r="AP2157" s="87"/>
      <c r="AQ2157" s="87" t="s">
        <v>16826</v>
      </c>
      <c r="AR2157" s="87"/>
      <c r="AS2157" s="87"/>
      <c r="AT2157" s="87"/>
      <c r="AU2157" s="87"/>
      <c r="AV2157" s="92" t="str">
        <f>HYPERLINK("https://pbs.twimg.com/media/F4sZzkqWwAAC9uQ.jpg")</f>
        <v>https://pbs.twimg.com/media/F4sZzkqWwAAC9uQ.jpg</v>
      </c>
      <c r="AW2157" s="93" t="s">
        <v>20375</v>
      </c>
      <c r="AX2157" s="93" t="s">
        <v>20375</v>
      </c>
      <c r="AY2157" s="87"/>
      <c r="AZ2157" s="93" t="s">
        <v>22668</v>
      </c>
      <c r="BA2157" s="93" t="s">
        <v>22668</v>
      </c>
      <c r="BB2157" s="93" t="s">
        <v>22668</v>
      </c>
      <c r="BC2157" s="93" t="s">
        <v>20375</v>
      </c>
      <c r="BD2157" s="87">
        <v>304018689</v>
      </c>
      <c r="BE2157" s="87"/>
      <c r="BF2157" s="87"/>
      <c r="BG2157" s="87"/>
      <c r="BH2157" s="87"/>
      <c r="BI2157" s="87"/>
    </row>
    <row r="2158" spans="1:61" x14ac:dyDescent="0.25">
      <c r="A2158" s="63" t="s">
        <v>955</v>
      </c>
      <c r="B2158" s="63" t="s">
        <v>1077</v>
      </c>
      <c r="C2158" s="64"/>
      <c r="D2158" s="65"/>
      <c r="E2158" s="66"/>
      <c r="F2158" s="67"/>
      <c r="G2158" s="64"/>
      <c r="H2158" s="68"/>
      <c r="I2158" s="69"/>
      <c r="J2158" s="69"/>
      <c r="K2158" s="32"/>
      <c r="L2158" s="76">
        <v>2158</v>
      </c>
      <c r="M2158" s="76"/>
      <c r="N2158" s="71"/>
      <c r="O2158" s="87" t="s">
        <v>1841</v>
      </c>
      <c r="P2158" s="90">
        <v>45188.800393518519</v>
      </c>
      <c r="Q2158" s="87" t="s">
        <v>3934</v>
      </c>
      <c r="R2158" s="87">
        <v>3</v>
      </c>
      <c r="S2158" s="87">
        <v>0</v>
      </c>
      <c r="T2158" s="87">
        <v>0</v>
      </c>
      <c r="U2158" s="87">
        <v>0</v>
      </c>
      <c r="V2158" s="87"/>
      <c r="W2158" s="93" t="s">
        <v>7247</v>
      </c>
      <c r="X2158" s="92" t="str">
        <f>HYPERLINK("https://bit.ly/2NkoGFs")</f>
        <v>https://bit.ly/2NkoGFs</v>
      </c>
      <c r="Y2158" s="87" t="s">
        <v>8374</v>
      </c>
      <c r="Z2158" s="87" t="s">
        <v>1077</v>
      </c>
      <c r="AA2158" s="87"/>
      <c r="AB2158" s="87"/>
      <c r="AC2158" s="93" t="s">
        <v>11457</v>
      </c>
      <c r="AD2158" s="87" t="s">
        <v>11518</v>
      </c>
      <c r="AE2158" s="92" t="str">
        <f>HYPERLINK("https://twitter.com/markj_ohnson/status/1704211902614692090")</f>
        <v>https://twitter.com/markj_ohnson/status/1704211902614692090</v>
      </c>
      <c r="AF2158" s="90">
        <v>45188.800393518519</v>
      </c>
      <c r="AG2158" s="99">
        <v>45188</v>
      </c>
      <c r="AH2158" s="93" t="s">
        <v>13484</v>
      </c>
      <c r="AI2158" s="87" t="b">
        <v>0</v>
      </c>
      <c r="AJ2158" s="87"/>
      <c r="AK2158" s="87"/>
      <c r="AL2158" s="87"/>
      <c r="AM2158" s="87"/>
      <c r="AN2158" s="87"/>
      <c r="AO2158" s="87"/>
      <c r="AP2158" s="87"/>
      <c r="AQ2158" s="87"/>
      <c r="AR2158" s="87"/>
      <c r="AS2158" s="87"/>
      <c r="AT2158" s="87"/>
      <c r="AU2158" s="87"/>
      <c r="AV2158" s="92" t="str">
        <f>HYPERLINK("https://pbs.twimg.com/profile_images/1039966314960437248/yKL_4LvX_normal.jpg")</f>
        <v>https://pbs.twimg.com/profile_images/1039966314960437248/yKL_4LvX_normal.jpg</v>
      </c>
      <c r="AW2158" s="93" t="s">
        <v>20376</v>
      </c>
      <c r="AX2158" s="93" t="s">
        <v>20376</v>
      </c>
      <c r="AY2158" s="87"/>
      <c r="AZ2158" s="93" t="s">
        <v>22668</v>
      </c>
      <c r="BA2158" s="93" t="s">
        <v>22668</v>
      </c>
      <c r="BB2158" s="93" t="s">
        <v>21039</v>
      </c>
      <c r="BC2158" s="93" t="s">
        <v>21039</v>
      </c>
      <c r="BD2158" s="93" t="s">
        <v>23213</v>
      </c>
      <c r="BE2158" s="87"/>
      <c r="BF2158" s="87"/>
      <c r="BG2158" s="87"/>
      <c r="BH2158" s="87"/>
      <c r="BI2158" s="87"/>
    </row>
    <row r="2159" spans="1:61" x14ac:dyDescent="0.25">
      <c r="A2159" s="63" t="s">
        <v>955</v>
      </c>
      <c r="B2159" s="63" t="s">
        <v>1077</v>
      </c>
      <c r="C2159" s="64"/>
      <c r="D2159" s="65"/>
      <c r="E2159" s="66"/>
      <c r="F2159" s="67"/>
      <c r="G2159" s="64"/>
      <c r="H2159" s="68"/>
      <c r="I2159" s="69"/>
      <c r="J2159" s="69"/>
      <c r="K2159" s="32"/>
      <c r="L2159" s="76">
        <v>2159</v>
      </c>
      <c r="M2159" s="76"/>
      <c r="N2159" s="71"/>
      <c r="O2159" s="87" t="s">
        <v>1841</v>
      </c>
      <c r="P2159" s="90">
        <v>45188.795162037037</v>
      </c>
      <c r="Q2159" s="87" t="s">
        <v>3934</v>
      </c>
      <c r="R2159" s="87">
        <v>3</v>
      </c>
      <c r="S2159" s="87">
        <v>0</v>
      </c>
      <c r="T2159" s="87">
        <v>0</v>
      </c>
      <c r="U2159" s="87">
        <v>0</v>
      </c>
      <c r="V2159" s="87"/>
      <c r="W2159" s="93" t="s">
        <v>7247</v>
      </c>
      <c r="X2159" s="92" t="str">
        <f>HYPERLINK("https://bit.ly/2NkoGFs")</f>
        <v>https://bit.ly/2NkoGFs</v>
      </c>
      <c r="Y2159" s="87" t="s">
        <v>8374</v>
      </c>
      <c r="Z2159" s="87" t="s">
        <v>1077</v>
      </c>
      <c r="AA2159" s="87"/>
      <c r="AB2159" s="87"/>
      <c r="AC2159" s="93" t="s">
        <v>11457</v>
      </c>
      <c r="AD2159" s="87" t="s">
        <v>11518</v>
      </c>
      <c r="AE2159" s="92" t="str">
        <f>HYPERLINK("https://twitter.com/markj_ohnson/status/1704210005002420486")</f>
        <v>https://twitter.com/markj_ohnson/status/1704210005002420486</v>
      </c>
      <c r="AF2159" s="90">
        <v>45188.795162037037</v>
      </c>
      <c r="AG2159" s="99">
        <v>45188</v>
      </c>
      <c r="AH2159" s="93" t="s">
        <v>13485</v>
      </c>
      <c r="AI2159" s="87" t="b">
        <v>0</v>
      </c>
      <c r="AJ2159" s="87"/>
      <c r="AK2159" s="87"/>
      <c r="AL2159" s="87"/>
      <c r="AM2159" s="87"/>
      <c r="AN2159" s="87"/>
      <c r="AO2159" s="87"/>
      <c r="AP2159" s="87"/>
      <c r="AQ2159" s="87"/>
      <c r="AR2159" s="87"/>
      <c r="AS2159" s="87"/>
      <c r="AT2159" s="87"/>
      <c r="AU2159" s="87"/>
      <c r="AV2159" s="92" t="str">
        <f>HYPERLINK("https://pbs.twimg.com/profile_images/1039966314960437248/yKL_4LvX_normal.jpg")</f>
        <v>https://pbs.twimg.com/profile_images/1039966314960437248/yKL_4LvX_normal.jpg</v>
      </c>
      <c r="AW2159" s="93" t="s">
        <v>20377</v>
      </c>
      <c r="AX2159" s="93" t="s">
        <v>20377</v>
      </c>
      <c r="AY2159" s="87"/>
      <c r="AZ2159" s="93" t="s">
        <v>22668</v>
      </c>
      <c r="BA2159" s="93" t="s">
        <v>22668</v>
      </c>
      <c r="BB2159" s="93" t="s">
        <v>21040</v>
      </c>
      <c r="BC2159" s="93" t="s">
        <v>21040</v>
      </c>
      <c r="BD2159" s="93" t="s">
        <v>23213</v>
      </c>
      <c r="BE2159" s="87"/>
      <c r="BF2159" s="87"/>
      <c r="BG2159" s="87"/>
      <c r="BH2159" s="87"/>
      <c r="BI2159" s="87"/>
    </row>
    <row r="2160" spans="1:61" x14ac:dyDescent="0.25">
      <c r="A2160" s="63" t="s">
        <v>956</v>
      </c>
      <c r="B2160" s="63" t="s">
        <v>956</v>
      </c>
      <c r="C2160" s="64"/>
      <c r="D2160" s="65"/>
      <c r="E2160" s="66"/>
      <c r="F2160" s="67"/>
      <c r="G2160" s="64"/>
      <c r="H2160" s="68"/>
      <c r="I2160" s="69"/>
      <c r="J2160" s="69"/>
      <c r="K2160" s="32"/>
      <c r="L2160" s="76">
        <v>2160</v>
      </c>
      <c r="M2160" s="76"/>
      <c r="N2160" s="71"/>
      <c r="O2160" s="87" t="s">
        <v>179</v>
      </c>
      <c r="P2160" s="90">
        <v>45137.120856481481</v>
      </c>
      <c r="Q2160" s="87" t="s">
        <v>3935</v>
      </c>
      <c r="R2160" s="87">
        <v>0</v>
      </c>
      <c r="S2160" s="87">
        <v>0</v>
      </c>
      <c r="T2160" s="87">
        <v>0</v>
      </c>
      <c r="U2160" s="87">
        <v>0</v>
      </c>
      <c r="V2160" s="87">
        <v>52</v>
      </c>
      <c r="W2160" s="93" t="s">
        <v>7248</v>
      </c>
      <c r="X2160" s="87"/>
      <c r="Y2160" s="87"/>
      <c r="Z2160" s="87"/>
      <c r="AA2160" s="87" t="s">
        <v>10014</v>
      </c>
      <c r="AB2160" s="87" t="s">
        <v>11448</v>
      </c>
      <c r="AC2160" s="93" t="s">
        <v>11457</v>
      </c>
      <c r="AD2160" s="87" t="s">
        <v>11519</v>
      </c>
      <c r="AE2160" s="92" t="str">
        <f>HYPERLINK("https://twitter.com/fernando_fotos/status/1685483861566734336")</f>
        <v>https://twitter.com/fernando_fotos/status/1685483861566734336</v>
      </c>
      <c r="AF2160" s="90">
        <v>45137.120856481481</v>
      </c>
      <c r="AG2160" s="99">
        <v>45137</v>
      </c>
      <c r="AH2160" s="93" t="s">
        <v>13486</v>
      </c>
      <c r="AI2160" s="87" t="b">
        <v>0</v>
      </c>
      <c r="AJ2160" s="87"/>
      <c r="AK2160" s="87"/>
      <c r="AL2160" s="87"/>
      <c r="AM2160" s="87"/>
      <c r="AN2160" s="87"/>
      <c r="AO2160" s="87"/>
      <c r="AP2160" s="87"/>
      <c r="AQ2160" s="87" t="s">
        <v>16827</v>
      </c>
      <c r="AR2160" s="87"/>
      <c r="AS2160" s="87"/>
      <c r="AT2160" s="87"/>
      <c r="AU2160" s="87"/>
      <c r="AV2160" s="92" t="str">
        <f>HYPERLINK("https://pbs.twimg.com/media/F2QKmwkXQAAq35f.jpg")</f>
        <v>https://pbs.twimg.com/media/F2QKmwkXQAAq35f.jpg</v>
      </c>
      <c r="AW2160" s="93" t="s">
        <v>20378</v>
      </c>
      <c r="AX2160" s="93" t="s">
        <v>20378</v>
      </c>
      <c r="AY2160" s="87"/>
      <c r="AZ2160" s="93" t="s">
        <v>22668</v>
      </c>
      <c r="BA2160" s="93" t="s">
        <v>22668</v>
      </c>
      <c r="BB2160" s="93" t="s">
        <v>22668</v>
      </c>
      <c r="BC2160" s="93" t="s">
        <v>20378</v>
      </c>
      <c r="BD2160" s="87">
        <v>259216179</v>
      </c>
      <c r="BE2160" s="87"/>
      <c r="BF2160" s="87"/>
      <c r="BG2160" s="87"/>
      <c r="BH2160" s="87"/>
      <c r="BI2160" s="87"/>
    </row>
    <row r="2161" spans="1:61" x14ac:dyDescent="0.25">
      <c r="A2161" s="63" t="s">
        <v>957</v>
      </c>
      <c r="B2161" s="63" t="s">
        <v>957</v>
      </c>
      <c r="C2161" s="64"/>
      <c r="D2161" s="65"/>
      <c r="E2161" s="66"/>
      <c r="F2161" s="67"/>
      <c r="G2161" s="64"/>
      <c r="H2161" s="68"/>
      <c r="I2161" s="69"/>
      <c r="J2161" s="69"/>
      <c r="K2161" s="32"/>
      <c r="L2161" s="76">
        <v>2161</v>
      </c>
      <c r="M2161" s="76"/>
      <c r="N2161" s="71"/>
      <c r="O2161" s="87" t="s">
        <v>179</v>
      </c>
      <c r="P2161" s="90">
        <v>45168.821516203701</v>
      </c>
      <c r="Q2161" s="87" t="s">
        <v>3936</v>
      </c>
      <c r="R2161" s="87">
        <v>0</v>
      </c>
      <c r="S2161" s="87">
        <v>1</v>
      </c>
      <c r="T2161" s="87">
        <v>0</v>
      </c>
      <c r="U2161" s="87">
        <v>0</v>
      </c>
      <c r="V2161" s="87">
        <v>27</v>
      </c>
      <c r="W2161" s="93" t="s">
        <v>7249</v>
      </c>
      <c r="X2161" s="87"/>
      <c r="Y2161" s="87"/>
      <c r="Z2161" s="87"/>
      <c r="AA2161" s="87" t="s">
        <v>10015</v>
      </c>
      <c r="AB2161" s="87" t="s">
        <v>11448</v>
      </c>
      <c r="AC2161" s="93" t="s">
        <v>11457</v>
      </c>
      <c r="AD2161" s="87" t="s">
        <v>11519</v>
      </c>
      <c r="AE2161" s="92" t="str">
        <f>HYPERLINK("https://twitter.com/brunogomez_ofc/status/1696971796119969917")</f>
        <v>https://twitter.com/brunogomez_ofc/status/1696971796119969917</v>
      </c>
      <c r="AF2161" s="90">
        <v>45168.821516203701</v>
      </c>
      <c r="AG2161" s="99">
        <v>45168</v>
      </c>
      <c r="AH2161" s="93" t="s">
        <v>13487</v>
      </c>
      <c r="AI2161" s="87" t="b">
        <v>0</v>
      </c>
      <c r="AJ2161" s="87"/>
      <c r="AK2161" s="87"/>
      <c r="AL2161" s="87"/>
      <c r="AM2161" s="87"/>
      <c r="AN2161" s="87"/>
      <c r="AO2161" s="87"/>
      <c r="AP2161" s="87"/>
      <c r="AQ2161" s="87" t="s">
        <v>16828</v>
      </c>
      <c r="AR2161" s="87"/>
      <c r="AS2161" s="87"/>
      <c r="AT2161" s="87"/>
      <c r="AU2161" s="87"/>
      <c r="AV2161" s="92" t="str">
        <f>HYPERLINK("https://pbs.twimg.com/media/F4zazboXkAAWys7.jpg")</f>
        <v>https://pbs.twimg.com/media/F4zazboXkAAWys7.jpg</v>
      </c>
      <c r="AW2161" s="93" t="s">
        <v>20379</v>
      </c>
      <c r="AX2161" s="93" t="s">
        <v>20379</v>
      </c>
      <c r="AY2161" s="87"/>
      <c r="AZ2161" s="93" t="s">
        <v>22668</v>
      </c>
      <c r="BA2161" s="93" t="s">
        <v>22668</v>
      </c>
      <c r="BB2161" s="93" t="s">
        <v>22668</v>
      </c>
      <c r="BC2161" s="93" t="s">
        <v>20379</v>
      </c>
      <c r="BD2161" s="93" t="s">
        <v>23214</v>
      </c>
      <c r="BE2161" s="87"/>
      <c r="BF2161" s="87"/>
      <c r="BG2161" s="87"/>
      <c r="BH2161" s="87"/>
      <c r="BI2161" s="87"/>
    </row>
    <row r="2162" spans="1:61" x14ac:dyDescent="0.25">
      <c r="A2162" s="63" t="s">
        <v>957</v>
      </c>
      <c r="B2162" s="63" t="s">
        <v>957</v>
      </c>
      <c r="C2162" s="64"/>
      <c r="D2162" s="65"/>
      <c r="E2162" s="66"/>
      <c r="F2162" s="67"/>
      <c r="G2162" s="64"/>
      <c r="H2162" s="68"/>
      <c r="I2162" s="69"/>
      <c r="J2162" s="69"/>
      <c r="K2162" s="32"/>
      <c r="L2162" s="76">
        <v>2162</v>
      </c>
      <c r="M2162" s="76"/>
      <c r="N2162" s="71"/>
      <c r="O2162" s="87" t="s">
        <v>179</v>
      </c>
      <c r="P2162" s="90">
        <v>45166.055578703701</v>
      </c>
      <c r="Q2162" s="87" t="s">
        <v>3937</v>
      </c>
      <c r="R2162" s="87">
        <v>1</v>
      </c>
      <c r="S2162" s="87">
        <v>2</v>
      </c>
      <c r="T2162" s="87">
        <v>0</v>
      </c>
      <c r="U2162" s="87">
        <v>0</v>
      </c>
      <c r="V2162" s="87">
        <v>34</v>
      </c>
      <c r="W2162" s="93" t="s">
        <v>7250</v>
      </c>
      <c r="X2162" s="87"/>
      <c r="Y2162" s="87"/>
      <c r="Z2162" s="87"/>
      <c r="AA2162" s="87" t="s">
        <v>10016</v>
      </c>
      <c r="AB2162" s="87" t="s">
        <v>11448</v>
      </c>
      <c r="AC2162" s="93" t="s">
        <v>11457</v>
      </c>
      <c r="AD2162" s="87" t="s">
        <v>11523</v>
      </c>
      <c r="AE2162" s="92" t="str">
        <f>HYPERLINK("https://twitter.com/brunogomez_ofc/status/1695969456592175350")</f>
        <v>https://twitter.com/brunogomez_ofc/status/1695969456592175350</v>
      </c>
      <c r="AF2162" s="90">
        <v>45166.055578703701</v>
      </c>
      <c r="AG2162" s="99">
        <v>45166</v>
      </c>
      <c r="AH2162" s="93" t="s">
        <v>13488</v>
      </c>
      <c r="AI2162" s="87" t="b">
        <v>0</v>
      </c>
      <c r="AJ2162" s="87"/>
      <c r="AK2162" s="87"/>
      <c r="AL2162" s="87"/>
      <c r="AM2162" s="87"/>
      <c r="AN2162" s="87"/>
      <c r="AO2162" s="87"/>
      <c r="AP2162" s="87"/>
      <c r="AQ2162" s="87" t="s">
        <v>16829</v>
      </c>
      <c r="AR2162" s="87"/>
      <c r="AS2162" s="87"/>
      <c r="AT2162" s="87"/>
      <c r="AU2162" s="87"/>
      <c r="AV2162" s="92" t="str">
        <f>HYPERLINK("https://pbs.twimg.com/media/F4lKtRMXIAAvEqs.jpg")</f>
        <v>https://pbs.twimg.com/media/F4lKtRMXIAAvEqs.jpg</v>
      </c>
      <c r="AW2162" s="93" t="s">
        <v>20380</v>
      </c>
      <c r="AX2162" s="93" t="s">
        <v>20380</v>
      </c>
      <c r="AY2162" s="87"/>
      <c r="AZ2162" s="93" t="s">
        <v>22668</v>
      </c>
      <c r="BA2162" s="93" t="s">
        <v>22668</v>
      </c>
      <c r="BB2162" s="93" t="s">
        <v>22668</v>
      </c>
      <c r="BC2162" s="93" t="s">
        <v>20380</v>
      </c>
      <c r="BD2162" s="93" t="s">
        <v>23214</v>
      </c>
      <c r="BE2162" s="87"/>
      <c r="BF2162" s="87"/>
      <c r="BG2162" s="87"/>
      <c r="BH2162" s="87"/>
      <c r="BI2162" s="87"/>
    </row>
    <row r="2163" spans="1:61" x14ac:dyDescent="0.25">
      <c r="A2163" s="63" t="s">
        <v>958</v>
      </c>
      <c r="B2163" s="63" t="s">
        <v>958</v>
      </c>
      <c r="C2163" s="64"/>
      <c r="D2163" s="65"/>
      <c r="E2163" s="66"/>
      <c r="F2163" s="67"/>
      <c r="G2163" s="64"/>
      <c r="H2163" s="68"/>
      <c r="I2163" s="69"/>
      <c r="J2163" s="69"/>
      <c r="K2163" s="32"/>
      <c r="L2163" s="76">
        <v>2163</v>
      </c>
      <c r="M2163" s="76"/>
      <c r="N2163" s="71"/>
      <c r="O2163" s="87" t="s">
        <v>1839</v>
      </c>
      <c r="P2163" s="90">
        <v>45141.602789351855</v>
      </c>
      <c r="Q2163" s="87" t="s">
        <v>3938</v>
      </c>
      <c r="R2163" s="87">
        <v>0</v>
      </c>
      <c r="S2163" s="87">
        <v>0</v>
      </c>
      <c r="T2163" s="87">
        <v>0</v>
      </c>
      <c r="U2163" s="87">
        <v>0</v>
      </c>
      <c r="V2163" s="87">
        <v>262</v>
      </c>
      <c r="W2163" s="93" t="s">
        <v>7251</v>
      </c>
      <c r="X2163" s="87"/>
      <c r="Y2163" s="87"/>
      <c r="Z2163" s="87" t="s">
        <v>958</v>
      </c>
      <c r="AA2163" s="87" t="s">
        <v>10017</v>
      </c>
      <c r="AB2163" s="87" t="s">
        <v>11447</v>
      </c>
      <c r="AC2163" s="93" t="s">
        <v>11457</v>
      </c>
      <c r="AD2163" s="87" t="s">
        <v>11519</v>
      </c>
      <c r="AE2163" s="92" t="str">
        <f>HYPERLINK("https://twitter.com/u_madeira/status/1687108061016768513")</f>
        <v>https://twitter.com/u_madeira/status/1687108061016768513</v>
      </c>
      <c r="AF2163" s="90">
        <v>45141.602789351855</v>
      </c>
      <c r="AG2163" s="99">
        <v>45141</v>
      </c>
      <c r="AH2163" s="93" t="s">
        <v>13489</v>
      </c>
      <c r="AI2163" s="87" t="b">
        <v>0</v>
      </c>
      <c r="AJ2163" s="87"/>
      <c r="AK2163" s="87"/>
      <c r="AL2163" s="87"/>
      <c r="AM2163" s="87"/>
      <c r="AN2163" s="87"/>
      <c r="AO2163" s="87"/>
      <c r="AP2163" s="87"/>
      <c r="AQ2163" s="87" t="s">
        <v>16830</v>
      </c>
      <c r="AR2163" s="87">
        <v>30783</v>
      </c>
      <c r="AS2163" s="87"/>
      <c r="AT2163" s="87"/>
      <c r="AU2163" s="87"/>
      <c r="AV2163" s="92" t="str">
        <f>HYPERLINK("https://pbs.twimg.com/ext_tw_video_thumb/1687107257518141444/pu/img/awRFiYOuwVXIt3r4.jpg")</f>
        <v>https://pbs.twimg.com/ext_tw_video_thumb/1687107257518141444/pu/img/awRFiYOuwVXIt3r4.jpg</v>
      </c>
      <c r="AW2163" s="93" t="s">
        <v>20381</v>
      </c>
      <c r="AX2163" s="93" t="s">
        <v>20381</v>
      </c>
      <c r="AY2163" s="87"/>
      <c r="AZ2163" s="93" t="s">
        <v>22668</v>
      </c>
      <c r="BA2163" s="93" t="s">
        <v>22668</v>
      </c>
      <c r="BB2163" s="93" t="s">
        <v>22668</v>
      </c>
      <c r="BC2163" s="93" t="s">
        <v>20381</v>
      </c>
      <c r="BD2163" s="87">
        <v>88694049</v>
      </c>
      <c r="BE2163" s="87"/>
      <c r="BF2163" s="87"/>
      <c r="BG2163" s="87"/>
      <c r="BH2163" s="87"/>
      <c r="BI2163" s="87"/>
    </row>
    <row r="2164" spans="1:61" x14ac:dyDescent="0.25">
      <c r="A2164" s="63" t="s">
        <v>959</v>
      </c>
      <c r="B2164" s="63" t="s">
        <v>959</v>
      </c>
      <c r="C2164" s="64"/>
      <c r="D2164" s="65"/>
      <c r="E2164" s="66"/>
      <c r="F2164" s="67"/>
      <c r="G2164" s="64"/>
      <c r="H2164" s="68"/>
      <c r="I2164" s="69"/>
      <c r="J2164" s="69"/>
      <c r="K2164" s="32"/>
      <c r="L2164" s="76">
        <v>2164</v>
      </c>
      <c r="M2164" s="76"/>
      <c r="N2164" s="71"/>
      <c r="O2164" s="87" t="s">
        <v>179</v>
      </c>
      <c r="P2164" s="90">
        <v>45141.463622685187</v>
      </c>
      <c r="Q2164" s="87" t="s">
        <v>3939</v>
      </c>
      <c r="R2164" s="87">
        <v>0</v>
      </c>
      <c r="S2164" s="87">
        <v>0</v>
      </c>
      <c r="T2164" s="87">
        <v>0</v>
      </c>
      <c r="U2164" s="87">
        <v>0</v>
      </c>
      <c r="V2164" s="87">
        <v>18</v>
      </c>
      <c r="W2164" s="93" t="s">
        <v>7252</v>
      </c>
      <c r="X2164" s="92" t="str">
        <f>HYPERLINK("https://youtu.be/kLe8FCP7Qqc")</f>
        <v>https://youtu.be/kLe8FCP7Qqc</v>
      </c>
      <c r="Y2164" s="87" t="s">
        <v>8372</v>
      </c>
      <c r="Z2164" s="87"/>
      <c r="AA2164" s="87"/>
      <c r="AB2164" s="87"/>
      <c r="AC2164" s="93" t="s">
        <v>11459</v>
      </c>
      <c r="AD2164" s="87" t="s">
        <v>11519</v>
      </c>
      <c r="AE2164" s="92" t="str">
        <f>HYPERLINK("https://twitter.com/vaniofortes/status/1687057631255429122")</f>
        <v>https://twitter.com/vaniofortes/status/1687057631255429122</v>
      </c>
      <c r="AF2164" s="90">
        <v>45141.463622685187</v>
      </c>
      <c r="AG2164" s="99">
        <v>45141</v>
      </c>
      <c r="AH2164" s="93" t="s">
        <v>13490</v>
      </c>
      <c r="AI2164" s="87" t="b">
        <v>0</v>
      </c>
      <c r="AJ2164" s="87"/>
      <c r="AK2164" s="87"/>
      <c r="AL2164" s="87"/>
      <c r="AM2164" s="87"/>
      <c r="AN2164" s="87"/>
      <c r="AO2164" s="87"/>
      <c r="AP2164" s="87"/>
      <c r="AQ2164" s="87"/>
      <c r="AR2164" s="87"/>
      <c r="AS2164" s="87"/>
      <c r="AT2164" s="87"/>
      <c r="AU2164" s="87"/>
      <c r="AV2164" s="92" t="str">
        <f>HYPERLINK("https://pbs.twimg.com/profile_images/1522171388492140545/civO4FcV_normal.jpg")</f>
        <v>https://pbs.twimg.com/profile_images/1522171388492140545/civO4FcV_normal.jpg</v>
      </c>
      <c r="AW2164" s="93" t="s">
        <v>20382</v>
      </c>
      <c r="AX2164" s="93" t="s">
        <v>20382</v>
      </c>
      <c r="AY2164" s="87"/>
      <c r="AZ2164" s="93" t="s">
        <v>22668</v>
      </c>
      <c r="BA2164" s="93" t="s">
        <v>22668</v>
      </c>
      <c r="BB2164" s="93" t="s">
        <v>22668</v>
      </c>
      <c r="BC2164" s="93" t="s">
        <v>20382</v>
      </c>
      <c r="BD2164" s="87">
        <v>15077308</v>
      </c>
      <c r="BE2164" s="87"/>
      <c r="BF2164" s="87"/>
      <c r="BG2164" s="87"/>
      <c r="BH2164" s="87"/>
      <c r="BI2164" s="87"/>
    </row>
    <row r="2165" spans="1:61" x14ac:dyDescent="0.25">
      <c r="A2165" s="63" t="s">
        <v>960</v>
      </c>
      <c r="B2165" s="63" t="s">
        <v>1711</v>
      </c>
      <c r="C2165" s="64"/>
      <c r="D2165" s="65"/>
      <c r="E2165" s="66"/>
      <c r="F2165" s="67"/>
      <c r="G2165" s="64"/>
      <c r="H2165" s="68"/>
      <c r="I2165" s="69"/>
      <c r="J2165" s="69"/>
      <c r="K2165" s="32"/>
      <c r="L2165" s="76">
        <v>2165</v>
      </c>
      <c r="M2165" s="76"/>
      <c r="N2165" s="71"/>
      <c r="O2165" s="87" t="s">
        <v>1840</v>
      </c>
      <c r="P2165" s="90">
        <v>45173.75068287037</v>
      </c>
      <c r="Q2165" s="87" t="s">
        <v>3940</v>
      </c>
      <c r="R2165" s="87">
        <v>0</v>
      </c>
      <c r="S2165" s="87">
        <v>0</v>
      </c>
      <c r="T2165" s="87">
        <v>0</v>
      </c>
      <c r="U2165" s="87">
        <v>0</v>
      </c>
      <c r="V2165" s="87">
        <v>56</v>
      </c>
      <c r="W2165" s="93" t="s">
        <v>1737</v>
      </c>
      <c r="X2165" s="87"/>
      <c r="Y2165" s="87"/>
      <c r="Z2165" s="87" t="s">
        <v>1711</v>
      </c>
      <c r="AA2165" s="87"/>
      <c r="AB2165" s="87"/>
      <c r="AC2165" s="93" t="s">
        <v>11459</v>
      </c>
      <c r="AD2165" s="87" t="s">
        <v>11519</v>
      </c>
      <c r="AE2165" s="92" t="str">
        <f>HYPERLINK("https://twitter.com/mj_empreendedor/status/1698758068404646252")</f>
        <v>https://twitter.com/mj_empreendedor/status/1698758068404646252</v>
      </c>
      <c r="AF2165" s="90">
        <v>45173.75068287037</v>
      </c>
      <c r="AG2165" s="99">
        <v>45173</v>
      </c>
      <c r="AH2165" s="93" t="s">
        <v>13491</v>
      </c>
      <c r="AI2165" s="87"/>
      <c r="AJ2165" s="87"/>
      <c r="AK2165" s="87"/>
      <c r="AL2165" s="87"/>
      <c r="AM2165" s="87"/>
      <c r="AN2165" s="87"/>
      <c r="AO2165" s="87"/>
      <c r="AP2165" s="87"/>
      <c r="AQ2165" s="87"/>
      <c r="AR2165" s="87"/>
      <c r="AS2165" s="87"/>
      <c r="AT2165" s="87"/>
      <c r="AU2165" s="87"/>
      <c r="AV2165" s="92" t="str">
        <f>HYPERLINK("https://pbs.twimg.com/profile_images/1698755662107312128/hxkisNLu_normal.jpg")</f>
        <v>https://pbs.twimg.com/profile_images/1698755662107312128/hxkisNLu_normal.jpg</v>
      </c>
      <c r="AW2165" s="93" t="s">
        <v>20383</v>
      </c>
      <c r="AX2165" s="93" t="s">
        <v>22420</v>
      </c>
      <c r="AY2165" s="93" t="s">
        <v>22598</v>
      </c>
      <c r="AZ2165" s="93" t="s">
        <v>22420</v>
      </c>
      <c r="BA2165" s="93" t="s">
        <v>22668</v>
      </c>
      <c r="BB2165" s="93" t="s">
        <v>22668</v>
      </c>
      <c r="BC2165" s="93" t="s">
        <v>22420</v>
      </c>
      <c r="BD2165" s="93" t="s">
        <v>23215</v>
      </c>
      <c r="BE2165" s="87"/>
      <c r="BF2165" s="87"/>
      <c r="BG2165" s="87"/>
      <c r="BH2165" s="87"/>
      <c r="BI2165" s="87"/>
    </row>
    <row r="2166" spans="1:61" x14ac:dyDescent="0.25">
      <c r="A2166" s="63" t="s">
        <v>961</v>
      </c>
      <c r="B2166" s="63" t="s">
        <v>961</v>
      </c>
      <c r="C2166" s="64"/>
      <c r="D2166" s="65"/>
      <c r="E2166" s="66"/>
      <c r="F2166" s="67"/>
      <c r="G2166" s="64"/>
      <c r="H2166" s="68"/>
      <c r="I2166" s="69"/>
      <c r="J2166" s="69"/>
      <c r="K2166" s="32"/>
      <c r="L2166" s="76">
        <v>2166</v>
      </c>
      <c r="M2166" s="76"/>
      <c r="N2166" s="71"/>
      <c r="O2166" s="87" t="s">
        <v>179</v>
      </c>
      <c r="P2166" s="90">
        <v>45117.807916666665</v>
      </c>
      <c r="Q2166" s="87" t="s">
        <v>3941</v>
      </c>
      <c r="R2166" s="87">
        <v>0</v>
      </c>
      <c r="S2166" s="87">
        <v>1</v>
      </c>
      <c r="T2166" s="87">
        <v>0</v>
      </c>
      <c r="U2166" s="87">
        <v>0</v>
      </c>
      <c r="V2166" s="87">
        <v>58</v>
      </c>
      <c r="W2166" s="93" t="s">
        <v>7253</v>
      </c>
      <c r="X2166" s="92" t="str">
        <f>HYPERLINK("https://conta.cc/3rjQA94")</f>
        <v>https://conta.cc/3rjQA94</v>
      </c>
      <c r="Y2166" s="87" t="s">
        <v>8483</v>
      </c>
      <c r="Z2166" s="87"/>
      <c r="AA2166" s="87" t="s">
        <v>10018</v>
      </c>
      <c r="AB2166" s="87" t="s">
        <v>11448</v>
      </c>
      <c r="AC2166" s="93" t="s">
        <v>11498</v>
      </c>
      <c r="AD2166" s="87" t="s">
        <v>11523</v>
      </c>
      <c r="AE2166" s="92" t="str">
        <f>HYPERLINK("https://twitter.com/centrosbdc/status/1678485086818148352")</f>
        <v>https://twitter.com/centrosbdc/status/1678485086818148352</v>
      </c>
      <c r="AF2166" s="90">
        <v>45117.807916666665</v>
      </c>
      <c r="AG2166" s="99">
        <v>45117</v>
      </c>
      <c r="AH2166" s="93" t="s">
        <v>13492</v>
      </c>
      <c r="AI2166" s="87" t="b">
        <v>0</v>
      </c>
      <c r="AJ2166" s="87"/>
      <c r="AK2166" s="87"/>
      <c r="AL2166" s="87"/>
      <c r="AM2166" s="87"/>
      <c r="AN2166" s="87"/>
      <c r="AO2166" s="87"/>
      <c r="AP2166" s="87"/>
      <c r="AQ2166" s="87" t="s">
        <v>16831</v>
      </c>
      <c r="AR2166" s="87"/>
      <c r="AS2166" s="87"/>
      <c r="AT2166" s="87"/>
      <c r="AU2166" s="87"/>
      <c r="AV2166" s="92" t="str">
        <f>HYPERLINK("https://pbs.twimg.com/media/F0stSt-WcAElNV6.png")</f>
        <v>https://pbs.twimg.com/media/F0stSt-WcAElNV6.png</v>
      </c>
      <c r="AW2166" s="93" t="s">
        <v>20384</v>
      </c>
      <c r="AX2166" s="93" t="s">
        <v>20384</v>
      </c>
      <c r="AY2166" s="87"/>
      <c r="AZ2166" s="93" t="s">
        <v>22668</v>
      </c>
      <c r="BA2166" s="93" t="s">
        <v>22668</v>
      </c>
      <c r="BB2166" s="93" t="s">
        <v>22668</v>
      </c>
      <c r="BC2166" s="93" t="s">
        <v>20384</v>
      </c>
      <c r="BD2166" s="87">
        <v>37987486</v>
      </c>
      <c r="BE2166" s="87"/>
      <c r="BF2166" s="87"/>
      <c r="BG2166" s="87"/>
      <c r="BH2166" s="87"/>
      <c r="BI2166" s="87"/>
    </row>
    <row r="2167" spans="1:61" x14ac:dyDescent="0.25">
      <c r="A2167" s="63" t="s">
        <v>962</v>
      </c>
      <c r="B2167" s="63" t="s">
        <v>962</v>
      </c>
      <c r="C2167" s="64"/>
      <c r="D2167" s="65"/>
      <c r="E2167" s="66"/>
      <c r="F2167" s="67"/>
      <c r="G2167" s="64"/>
      <c r="H2167" s="68"/>
      <c r="I2167" s="69"/>
      <c r="J2167" s="69"/>
      <c r="K2167" s="32"/>
      <c r="L2167" s="76">
        <v>2167</v>
      </c>
      <c r="M2167" s="76"/>
      <c r="N2167" s="71"/>
      <c r="O2167" s="87" t="s">
        <v>179</v>
      </c>
      <c r="P2167" s="90">
        <v>45124.473969907405</v>
      </c>
      <c r="Q2167" s="87" t="s">
        <v>3942</v>
      </c>
      <c r="R2167" s="87">
        <v>1</v>
      </c>
      <c r="S2167" s="87">
        <v>1</v>
      </c>
      <c r="T2167" s="87">
        <v>0</v>
      </c>
      <c r="U2167" s="87">
        <v>0</v>
      </c>
      <c r="V2167" s="87">
        <v>30</v>
      </c>
      <c r="W2167" s="93" t="s">
        <v>7254</v>
      </c>
      <c r="X2167" s="87"/>
      <c r="Y2167" s="87"/>
      <c r="Z2167" s="87"/>
      <c r="AA2167" s="87" t="s">
        <v>10019</v>
      </c>
      <c r="AB2167" s="87" t="s">
        <v>11448</v>
      </c>
      <c r="AC2167" s="93" t="s">
        <v>11459</v>
      </c>
      <c r="AD2167" s="87" t="s">
        <v>11519</v>
      </c>
      <c r="AE2167" s="92" t="str">
        <f>HYPERLINK("https://twitter.com/expandindo23/status/1680900784861466626")</f>
        <v>https://twitter.com/expandindo23/status/1680900784861466626</v>
      </c>
      <c r="AF2167" s="90">
        <v>45124.473969907405</v>
      </c>
      <c r="AG2167" s="99">
        <v>45124</v>
      </c>
      <c r="AH2167" s="93" t="s">
        <v>13493</v>
      </c>
      <c r="AI2167" s="87" t="b">
        <v>0</v>
      </c>
      <c r="AJ2167" s="87"/>
      <c r="AK2167" s="87"/>
      <c r="AL2167" s="87"/>
      <c r="AM2167" s="87"/>
      <c r="AN2167" s="87"/>
      <c r="AO2167" s="87"/>
      <c r="AP2167" s="87"/>
      <c r="AQ2167" s="87" t="s">
        <v>16832</v>
      </c>
      <c r="AR2167" s="87"/>
      <c r="AS2167" s="87"/>
      <c r="AT2167" s="87"/>
      <c r="AU2167" s="87"/>
      <c r="AV2167" s="92" t="str">
        <f>HYPERLINK("https://pbs.twimg.com/media/F1PCWu2WwAIP9YK.jpg")</f>
        <v>https://pbs.twimg.com/media/F1PCWu2WwAIP9YK.jpg</v>
      </c>
      <c r="AW2167" s="93" t="s">
        <v>20385</v>
      </c>
      <c r="AX2167" s="93" t="s">
        <v>20385</v>
      </c>
      <c r="AY2167" s="87"/>
      <c r="AZ2167" s="93" t="s">
        <v>22668</v>
      </c>
      <c r="BA2167" s="93" t="s">
        <v>22668</v>
      </c>
      <c r="BB2167" s="93" t="s">
        <v>22668</v>
      </c>
      <c r="BC2167" s="93" t="s">
        <v>20385</v>
      </c>
      <c r="BD2167" s="93" t="s">
        <v>23216</v>
      </c>
      <c r="BE2167" s="87"/>
      <c r="BF2167" s="87"/>
      <c r="BG2167" s="87"/>
      <c r="BH2167" s="87"/>
      <c r="BI2167" s="87"/>
    </row>
    <row r="2168" spans="1:61" x14ac:dyDescent="0.25">
      <c r="A2168" s="63" t="s">
        <v>963</v>
      </c>
      <c r="B2168" s="63" t="s">
        <v>963</v>
      </c>
      <c r="C2168" s="64"/>
      <c r="D2168" s="65"/>
      <c r="E2168" s="66"/>
      <c r="F2168" s="67"/>
      <c r="G2168" s="64"/>
      <c r="H2168" s="68"/>
      <c r="I2168" s="69"/>
      <c r="J2168" s="69"/>
      <c r="K2168" s="32"/>
      <c r="L2168" s="76">
        <v>2168</v>
      </c>
      <c r="M2168" s="76"/>
      <c r="N2168" s="71"/>
      <c r="O2168" s="87" t="s">
        <v>179</v>
      </c>
      <c r="P2168" s="90">
        <v>45195.615300925929</v>
      </c>
      <c r="Q2168" s="87" t="s">
        <v>3943</v>
      </c>
      <c r="R2168" s="87">
        <v>0</v>
      </c>
      <c r="S2168" s="87">
        <v>0</v>
      </c>
      <c r="T2168" s="87">
        <v>0</v>
      </c>
      <c r="U2168" s="87">
        <v>0</v>
      </c>
      <c r="V2168" s="87">
        <v>7</v>
      </c>
      <c r="W2168" s="93" t="s">
        <v>7255</v>
      </c>
      <c r="X2168" s="92" t="str">
        <f>HYPERLINK("https://www.linkedin.com/pulse/10-anos-de-caminhada-celebrando-uma-d%25C3%25A9cada-paix%25C3%25A3o-pelo-agostinho")</f>
        <v>https://www.linkedin.com/pulse/10-anos-de-caminhada-celebrando-uma-d%25C3%25A9cada-paix%25C3%25A3o-pelo-agostinho</v>
      </c>
      <c r="Y2168" s="87" t="s">
        <v>8377</v>
      </c>
      <c r="Z2168" s="87"/>
      <c r="AA2168" s="87" t="s">
        <v>10020</v>
      </c>
      <c r="AB2168" s="87" t="s">
        <v>11448</v>
      </c>
      <c r="AC2168" s="93" t="s">
        <v>11457</v>
      </c>
      <c r="AD2168" s="87" t="s">
        <v>11519</v>
      </c>
      <c r="AE2168" s="92" t="str">
        <f>HYPERLINK("https://twitter.com/ricard0agt/status/1706681538853712339")</f>
        <v>https://twitter.com/ricard0agt/status/1706681538853712339</v>
      </c>
      <c r="AF2168" s="90">
        <v>45195.615300925929</v>
      </c>
      <c r="AG2168" s="99">
        <v>45195</v>
      </c>
      <c r="AH2168" s="93" t="s">
        <v>13494</v>
      </c>
      <c r="AI2168" s="87" t="b">
        <v>0</v>
      </c>
      <c r="AJ2168" s="87"/>
      <c r="AK2168" s="87"/>
      <c r="AL2168" s="87"/>
      <c r="AM2168" s="87"/>
      <c r="AN2168" s="87"/>
      <c r="AO2168" s="87"/>
      <c r="AP2168" s="87"/>
      <c r="AQ2168" s="87" t="s">
        <v>16833</v>
      </c>
      <c r="AR2168" s="87"/>
      <c r="AS2168" s="87"/>
      <c r="AT2168" s="87"/>
      <c r="AU2168" s="87"/>
      <c r="AV2168" s="92" t="str">
        <f>HYPERLINK("https://pbs.twimg.com/media/F69ZRYRWMAAWFDi.jpg")</f>
        <v>https://pbs.twimg.com/media/F69ZRYRWMAAWFDi.jpg</v>
      </c>
      <c r="AW2168" s="93" t="s">
        <v>20386</v>
      </c>
      <c r="AX2168" s="93" t="s">
        <v>20386</v>
      </c>
      <c r="AY2168" s="87"/>
      <c r="AZ2168" s="93" t="s">
        <v>22668</v>
      </c>
      <c r="BA2168" s="93" t="s">
        <v>22668</v>
      </c>
      <c r="BB2168" s="93" t="s">
        <v>22668</v>
      </c>
      <c r="BC2168" s="93" t="s">
        <v>20386</v>
      </c>
      <c r="BD2168" s="87">
        <v>1850031788</v>
      </c>
      <c r="BE2168" s="87"/>
      <c r="BF2168" s="87"/>
      <c r="BG2168" s="87"/>
      <c r="BH2168" s="87"/>
      <c r="BI2168" s="87"/>
    </row>
    <row r="2169" spans="1:61" x14ac:dyDescent="0.25">
      <c r="A2169" s="63" t="s">
        <v>964</v>
      </c>
      <c r="B2169" s="63" t="s">
        <v>1712</v>
      </c>
      <c r="C2169" s="64"/>
      <c r="D2169" s="65"/>
      <c r="E2169" s="66"/>
      <c r="F2169" s="67"/>
      <c r="G2169" s="64"/>
      <c r="H2169" s="68"/>
      <c r="I2169" s="69"/>
      <c r="J2169" s="69"/>
      <c r="K2169" s="32"/>
      <c r="L2169" s="76">
        <v>2169</v>
      </c>
      <c r="M2169" s="76"/>
      <c r="N2169" s="71"/>
      <c r="O2169" s="87" t="s">
        <v>1839</v>
      </c>
      <c r="P2169" s="90">
        <v>45145.654398148145</v>
      </c>
      <c r="Q2169" s="87" t="s">
        <v>3944</v>
      </c>
      <c r="R2169" s="87">
        <v>0</v>
      </c>
      <c r="S2169" s="87">
        <v>1</v>
      </c>
      <c r="T2169" s="87">
        <v>0</v>
      </c>
      <c r="U2169" s="87">
        <v>0</v>
      </c>
      <c r="V2169" s="87">
        <v>53</v>
      </c>
      <c r="W2169" s="93" t="s">
        <v>7256</v>
      </c>
      <c r="X2169" s="87"/>
      <c r="Y2169" s="87"/>
      <c r="Z2169" s="87" t="s">
        <v>1712</v>
      </c>
      <c r="AA2169" s="87" t="s">
        <v>10021</v>
      </c>
      <c r="AB2169" s="87" t="s">
        <v>11448</v>
      </c>
      <c r="AC2169" s="93" t="s">
        <v>11458</v>
      </c>
      <c r="AD2169" s="87" t="s">
        <v>11519</v>
      </c>
      <c r="AE2169" s="92" t="str">
        <f>HYPERLINK("https://twitter.com/baruerinaweb/status/1688576316893798400")</f>
        <v>https://twitter.com/baruerinaweb/status/1688576316893798400</v>
      </c>
      <c r="AF2169" s="90">
        <v>45145.654398148145</v>
      </c>
      <c r="AG2169" s="99">
        <v>45145</v>
      </c>
      <c r="AH2169" s="93" t="s">
        <v>13495</v>
      </c>
      <c r="AI2169" s="87" t="b">
        <v>0</v>
      </c>
      <c r="AJ2169" s="87"/>
      <c r="AK2169" s="87"/>
      <c r="AL2169" s="87"/>
      <c r="AM2169" s="87"/>
      <c r="AN2169" s="87"/>
      <c r="AO2169" s="87"/>
      <c r="AP2169" s="87"/>
      <c r="AQ2169" s="87" t="s">
        <v>16834</v>
      </c>
      <c r="AR2169" s="87"/>
      <c r="AS2169" s="87"/>
      <c r="AT2169" s="87"/>
      <c r="AU2169" s="87"/>
      <c r="AV2169" s="92" t="str">
        <f>HYPERLINK("https://pbs.twimg.com/media/F28HNafXoAEqlQC.jpg")</f>
        <v>https://pbs.twimg.com/media/F28HNafXoAEqlQC.jpg</v>
      </c>
      <c r="AW2169" s="93" t="s">
        <v>20387</v>
      </c>
      <c r="AX2169" s="93" t="s">
        <v>20387</v>
      </c>
      <c r="AY2169" s="87"/>
      <c r="AZ2169" s="93" t="s">
        <v>22668</v>
      </c>
      <c r="BA2169" s="93" t="s">
        <v>22668</v>
      </c>
      <c r="BB2169" s="93" t="s">
        <v>22668</v>
      </c>
      <c r="BC2169" s="93" t="s">
        <v>20387</v>
      </c>
      <c r="BD2169" s="87">
        <v>90755686</v>
      </c>
      <c r="BE2169" s="87"/>
      <c r="BF2169" s="87"/>
      <c r="BG2169" s="87"/>
      <c r="BH2169" s="87"/>
      <c r="BI2169" s="87"/>
    </row>
    <row r="2170" spans="1:61" x14ac:dyDescent="0.25">
      <c r="A2170" s="63" t="s">
        <v>964</v>
      </c>
      <c r="B2170" s="63" t="s">
        <v>1713</v>
      </c>
      <c r="C2170" s="64"/>
      <c r="D2170" s="65"/>
      <c r="E2170" s="66"/>
      <c r="F2170" s="67"/>
      <c r="G2170" s="64"/>
      <c r="H2170" s="68"/>
      <c r="I2170" s="69"/>
      <c r="J2170" s="69"/>
      <c r="K2170" s="32"/>
      <c r="L2170" s="76">
        <v>2170</v>
      </c>
      <c r="M2170" s="76"/>
      <c r="N2170" s="71"/>
      <c r="O2170" s="87" t="s">
        <v>1839</v>
      </c>
      <c r="P2170" s="90">
        <v>45165.596990740742</v>
      </c>
      <c r="Q2170" s="87" t="s">
        <v>3945</v>
      </c>
      <c r="R2170" s="87">
        <v>0</v>
      </c>
      <c r="S2170" s="87">
        <v>1</v>
      </c>
      <c r="T2170" s="87">
        <v>0</v>
      </c>
      <c r="U2170" s="87">
        <v>0</v>
      </c>
      <c r="V2170" s="87">
        <v>75</v>
      </c>
      <c r="W2170" s="93" t="s">
        <v>7257</v>
      </c>
      <c r="X2170" s="87"/>
      <c r="Y2170" s="87"/>
      <c r="Z2170" s="87" t="s">
        <v>1713</v>
      </c>
      <c r="AA2170" s="87" t="s">
        <v>10022</v>
      </c>
      <c r="AB2170" s="87" t="s">
        <v>11448</v>
      </c>
      <c r="AC2170" s="93" t="s">
        <v>11458</v>
      </c>
      <c r="AD2170" s="87" t="s">
        <v>11519</v>
      </c>
      <c r="AE2170" s="92" t="str">
        <f>HYPERLINK("https://twitter.com/baruerinaweb/status/1695803266989240499")</f>
        <v>https://twitter.com/baruerinaweb/status/1695803266989240499</v>
      </c>
      <c r="AF2170" s="90">
        <v>45165.596990740742</v>
      </c>
      <c r="AG2170" s="99">
        <v>45165</v>
      </c>
      <c r="AH2170" s="93" t="s">
        <v>13496</v>
      </c>
      <c r="AI2170" s="87" t="b">
        <v>0</v>
      </c>
      <c r="AJ2170" s="87"/>
      <c r="AK2170" s="87"/>
      <c r="AL2170" s="87"/>
      <c r="AM2170" s="87"/>
      <c r="AN2170" s="87"/>
      <c r="AO2170" s="87"/>
      <c r="AP2170" s="87"/>
      <c r="AQ2170" s="87" t="s">
        <v>16835</v>
      </c>
      <c r="AR2170" s="87"/>
      <c r="AS2170" s="87"/>
      <c r="AT2170" s="87"/>
      <c r="AU2170" s="87"/>
      <c r="AV2170" s="92" t="str">
        <f>HYPERLINK("https://pbs.twimg.com/media/F4i0FS_XYAA5TyT.jpg")</f>
        <v>https://pbs.twimg.com/media/F4i0FS_XYAA5TyT.jpg</v>
      </c>
      <c r="AW2170" s="93" t="s">
        <v>20388</v>
      </c>
      <c r="AX2170" s="93" t="s">
        <v>20388</v>
      </c>
      <c r="AY2170" s="87"/>
      <c r="AZ2170" s="93" t="s">
        <v>22668</v>
      </c>
      <c r="BA2170" s="93" t="s">
        <v>22668</v>
      </c>
      <c r="BB2170" s="93" t="s">
        <v>22668</v>
      </c>
      <c r="BC2170" s="93" t="s">
        <v>20388</v>
      </c>
      <c r="BD2170" s="87">
        <v>90755686</v>
      </c>
      <c r="BE2170" s="87"/>
      <c r="BF2170" s="87"/>
      <c r="BG2170" s="87"/>
      <c r="BH2170" s="87"/>
      <c r="BI2170" s="87"/>
    </row>
    <row r="2171" spans="1:61" x14ac:dyDescent="0.25">
      <c r="A2171" s="63" t="s">
        <v>964</v>
      </c>
      <c r="B2171" s="63" t="s">
        <v>1714</v>
      </c>
      <c r="C2171" s="64"/>
      <c r="D2171" s="65"/>
      <c r="E2171" s="66"/>
      <c r="F2171" s="67"/>
      <c r="G2171" s="64"/>
      <c r="H2171" s="68"/>
      <c r="I2171" s="69"/>
      <c r="J2171" s="69"/>
      <c r="K2171" s="32"/>
      <c r="L2171" s="76">
        <v>2171</v>
      </c>
      <c r="M2171" s="76"/>
      <c r="N2171" s="71"/>
      <c r="O2171" s="87" t="s">
        <v>1839</v>
      </c>
      <c r="P2171" s="90">
        <v>45180.613298611112</v>
      </c>
      <c r="Q2171" s="87" t="s">
        <v>3946</v>
      </c>
      <c r="R2171" s="87">
        <v>0</v>
      </c>
      <c r="S2171" s="87">
        <v>1</v>
      </c>
      <c r="T2171" s="87">
        <v>0</v>
      </c>
      <c r="U2171" s="87">
        <v>0</v>
      </c>
      <c r="V2171" s="87">
        <v>49</v>
      </c>
      <c r="W2171" s="93" t="s">
        <v>7258</v>
      </c>
      <c r="X2171" s="87"/>
      <c r="Y2171" s="87"/>
      <c r="Z2171" s="87" t="s">
        <v>1714</v>
      </c>
      <c r="AA2171" s="87" t="s">
        <v>10023</v>
      </c>
      <c r="AB2171" s="87" t="s">
        <v>11448</v>
      </c>
      <c r="AC2171" s="93" t="s">
        <v>11458</v>
      </c>
      <c r="AD2171" s="87" t="s">
        <v>11519</v>
      </c>
      <c r="AE2171" s="92" t="str">
        <f>HYPERLINK("https://twitter.com/baruerinaweb/status/1701244998866403694")</f>
        <v>https://twitter.com/baruerinaweb/status/1701244998866403694</v>
      </c>
      <c r="AF2171" s="90">
        <v>45180.613298611112</v>
      </c>
      <c r="AG2171" s="99">
        <v>45180</v>
      </c>
      <c r="AH2171" s="93" t="s">
        <v>13497</v>
      </c>
      <c r="AI2171" s="87" t="b">
        <v>0</v>
      </c>
      <c r="AJ2171" s="87"/>
      <c r="AK2171" s="87"/>
      <c r="AL2171" s="87"/>
      <c r="AM2171" s="87"/>
      <c r="AN2171" s="87"/>
      <c r="AO2171" s="87"/>
      <c r="AP2171" s="87"/>
      <c r="AQ2171" s="87" t="s">
        <v>16836</v>
      </c>
      <c r="AR2171" s="87"/>
      <c r="AS2171" s="87"/>
      <c r="AT2171" s="87"/>
      <c r="AU2171" s="87"/>
      <c r="AV2171" s="92" t="str">
        <f>HYPERLINK("https://pbs.twimg.com/media/F5wJTgsXMAAIkzJ.jpg")</f>
        <v>https://pbs.twimg.com/media/F5wJTgsXMAAIkzJ.jpg</v>
      </c>
      <c r="AW2171" s="93" t="s">
        <v>20389</v>
      </c>
      <c r="AX2171" s="93" t="s">
        <v>20389</v>
      </c>
      <c r="AY2171" s="87"/>
      <c r="AZ2171" s="93" t="s">
        <v>22668</v>
      </c>
      <c r="BA2171" s="93" t="s">
        <v>22668</v>
      </c>
      <c r="BB2171" s="93" t="s">
        <v>22668</v>
      </c>
      <c r="BC2171" s="93" t="s">
        <v>20389</v>
      </c>
      <c r="BD2171" s="87">
        <v>90755686</v>
      </c>
      <c r="BE2171" s="87"/>
      <c r="BF2171" s="87"/>
      <c r="BG2171" s="87"/>
      <c r="BH2171" s="87"/>
      <c r="BI2171" s="87"/>
    </row>
    <row r="2172" spans="1:61" x14ac:dyDescent="0.25">
      <c r="A2172" s="63" t="s">
        <v>964</v>
      </c>
      <c r="B2172" s="63" t="s">
        <v>964</v>
      </c>
      <c r="C2172" s="64"/>
      <c r="D2172" s="65"/>
      <c r="E2172" s="66"/>
      <c r="F2172" s="67"/>
      <c r="G2172" s="64"/>
      <c r="H2172" s="68"/>
      <c r="I2172" s="69"/>
      <c r="J2172" s="69"/>
      <c r="K2172" s="32"/>
      <c r="L2172" s="76">
        <v>2172</v>
      </c>
      <c r="M2172" s="76"/>
      <c r="N2172" s="71"/>
      <c r="O2172" s="87" t="s">
        <v>179</v>
      </c>
      <c r="P2172" s="90">
        <v>45137.538819444446</v>
      </c>
      <c r="Q2172" s="87" t="s">
        <v>3947</v>
      </c>
      <c r="R2172" s="87">
        <v>0</v>
      </c>
      <c r="S2172" s="87">
        <v>2</v>
      </c>
      <c r="T2172" s="87">
        <v>0</v>
      </c>
      <c r="U2172" s="87">
        <v>0</v>
      </c>
      <c r="V2172" s="87">
        <v>61</v>
      </c>
      <c r="W2172" s="93" t="s">
        <v>7259</v>
      </c>
      <c r="X2172" s="87"/>
      <c r="Y2172" s="87"/>
      <c r="Z2172" s="87"/>
      <c r="AA2172" s="87" t="s">
        <v>10024</v>
      </c>
      <c r="AB2172" s="87" t="s">
        <v>11448</v>
      </c>
      <c r="AC2172" s="93" t="s">
        <v>11458</v>
      </c>
      <c r="AD2172" s="87" t="s">
        <v>11519</v>
      </c>
      <c r="AE2172" s="92" t="str">
        <f>HYPERLINK("https://twitter.com/baruerinaweb/status/1685635329422761984")</f>
        <v>https://twitter.com/baruerinaweb/status/1685635329422761984</v>
      </c>
      <c r="AF2172" s="90">
        <v>45137.538819444446</v>
      </c>
      <c r="AG2172" s="99">
        <v>45137</v>
      </c>
      <c r="AH2172" s="93" t="s">
        <v>13498</v>
      </c>
      <c r="AI2172" s="87" t="b">
        <v>0</v>
      </c>
      <c r="AJ2172" s="87"/>
      <c r="AK2172" s="87"/>
      <c r="AL2172" s="87"/>
      <c r="AM2172" s="87"/>
      <c r="AN2172" s="87"/>
      <c r="AO2172" s="87"/>
      <c r="AP2172" s="87"/>
      <c r="AQ2172" s="87" t="s">
        <v>16837</v>
      </c>
      <c r="AR2172" s="87"/>
      <c r="AS2172" s="87"/>
      <c r="AT2172" s="87"/>
      <c r="AU2172" s="87"/>
      <c r="AV2172" s="92" t="str">
        <f>HYPERLINK("https://pbs.twimg.com/media/F2SUZXxWUAAVrNC.jpg")</f>
        <v>https://pbs.twimg.com/media/F2SUZXxWUAAVrNC.jpg</v>
      </c>
      <c r="AW2172" s="93" t="s">
        <v>20390</v>
      </c>
      <c r="AX2172" s="93" t="s">
        <v>20390</v>
      </c>
      <c r="AY2172" s="87"/>
      <c r="AZ2172" s="93" t="s">
        <v>22668</v>
      </c>
      <c r="BA2172" s="93" t="s">
        <v>22668</v>
      </c>
      <c r="BB2172" s="93" t="s">
        <v>22668</v>
      </c>
      <c r="BC2172" s="93" t="s">
        <v>20390</v>
      </c>
      <c r="BD2172" s="87">
        <v>90755686</v>
      </c>
      <c r="BE2172" s="87"/>
      <c r="BF2172" s="87"/>
      <c r="BG2172" s="87"/>
      <c r="BH2172" s="87"/>
      <c r="BI2172" s="87"/>
    </row>
    <row r="2173" spans="1:61" x14ac:dyDescent="0.25">
      <c r="A2173" s="63" t="s">
        <v>964</v>
      </c>
      <c r="B2173" s="63" t="s">
        <v>964</v>
      </c>
      <c r="C2173" s="64"/>
      <c r="D2173" s="65"/>
      <c r="E2173" s="66"/>
      <c r="F2173" s="67"/>
      <c r="G2173" s="64"/>
      <c r="H2173" s="68"/>
      <c r="I2173" s="69"/>
      <c r="J2173" s="69"/>
      <c r="K2173" s="32"/>
      <c r="L2173" s="76">
        <v>2173</v>
      </c>
      <c r="M2173" s="76"/>
      <c r="N2173" s="71"/>
      <c r="O2173" s="87" t="s">
        <v>179</v>
      </c>
      <c r="P2173" s="90">
        <v>45152.60255787037</v>
      </c>
      <c r="Q2173" s="87" t="s">
        <v>3948</v>
      </c>
      <c r="R2173" s="87">
        <v>0</v>
      </c>
      <c r="S2173" s="87">
        <v>1</v>
      </c>
      <c r="T2173" s="87">
        <v>0</v>
      </c>
      <c r="U2173" s="87">
        <v>0</v>
      </c>
      <c r="V2173" s="87">
        <v>52</v>
      </c>
      <c r="W2173" s="93" t="s">
        <v>7260</v>
      </c>
      <c r="X2173" s="87"/>
      <c r="Y2173" s="87"/>
      <c r="Z2173" s="87"/>
      <c r="AA2173" s="87" t="s">
        <v>10025</v>
      </c>
      <c r="AB2173" s="87" t="s">
        <v>11448</v>
      </c>
      <c r="AC2173" s="93" t="s">
        <v>11458</v>
      </c>
      <c r="AD2173" s="87" t="s">
        <v>11519</v>
      </c>
      <c r="AE2173" s="92" t="str">
        <f>HYPERLINK("https://twitter.com/baruerinaweb/status/1691094245200027648")</f>
        <v>https://twitter.com/baruerinaweb/status/1691094245200027648</v>
      </c>
      <c r="AF2173" s="90">
        <v>45152.60255787037</v>
      </c>
      <c r="AG2173" s="99">
        <v>45152</v>
      </c>
      <c r="AH2173" s="93" t="s">
        <v>13499</v>
      </c>
      <c r="AI2173" s="87" t="b">
        <v>0</v>
      </c>
      <c r="AJ2173" s="87"/>
      <c r="AK2173" s="87"/>
      <c r="AL2173" s="87"/>
      <c r="AM2173" s="87"/>
      <c r="AN2173" s="87"/>
      <c r="AO2173" s="87"/>
      <c r="AP2173" s="87"/>
      <c r="AQ2173" s="87" t="s">
        <v>16838</v>
      </c>
      <c r="AR2173" s="87"/>
      <c r="AS2173" s="87"/>
      <c r="AT2173" s="87"/>
      <c r="AU2173" s="87"/>
      <c r="AV2173" s="92" t="str">
        <f>HYPERLINK("https://pbs.twimg.com/media/F3f5QKaXAAAJ5fZ.jpg")</f>
        <v>https://pbs.twimg.com/media/F3f5QKaXAAAJ5fZ.jpg</v>
      </c>
      <c r="AW2173" s="93" t="s">
        <v>20391</v>
      </c>
      <c r="AX2173" s="93" t="s">
        <v>20391</v>
      </c>
      <c r="AY2173" s="87"/>
      <c r="AZ2173" s="93" t="s">
        <v>22668</v>
      </c>
      <c r="BA2173" s="93" t="s">
        <v>22668</v>
      </c>
      <c r="BB2173" s="93" t="s">
        <v>22668</v>
      </c>
      <c r="BC2173" s="93" t="s">
        <v>20391</v>
      </c>
      <c r="BD2173" s="87">
        <v>90755686</v>
      </c>
      <c r="BE2173" s="87"/>
      <c r="BF2173" s="87"/>
      <c r="BG2173" s="87"/>
      <c r="BH2173" s="87"/>
      <c r="BI2173" s="87"/>
    </row>
    <row r="2174" spans="1:61" x14ac:dyDescent="0.25">
      <c r="A2174" s="63" t="s">
        <v>965</v>
      </c>
      <c r="B2174" s="63" t="s">
        <v>965</v>
      </c>
      <c r="C2174" s="64"/>
      <c r="D2174" s="65"/>
      <c r="E2174" s="66"/>
      <c r="F2174" s="67"/>
      <c r="G2174" s="64"/>
      <c r="H2174" s="68"/>
      <c r="I2174" s="69"/>
      <c r="J2174" s="69"/>
      <c r="K2174" s="32"/>
      <c r="L2174" s="76">
        <v>2174</v>
      </c>
      <c r="M2174" s="76"/>
      <c r="N2174" s="71"/>
      <c r="O2174" s="87" t="s">
        <v>179</v>
      </c>
      <c r="P2174" s="90">
        <v>45110.726504629631</v>
      </c>
      <c r="Q2174" s="87" t="s">
        <v>3949</v>
      </c>
      <c r="R2174" s="87">
        <v>0</v>
      </c>
      <c r="S2174" s="87">
        <v>0</v>
      </c>
      <c r="T2174" s="87">
        <v>0</v>
      </c>
      <c r="U2174" s="87">
        <v>0</v>
      </c>
      <c r="V2174" s="87">
        <v>2</v>
      </c>
      <c r="W2174" s="93" t="s">
        <v>7261</v>
      </c>
      <c r="X2174" s="92" t="str">
        <f>HYPERLINK("https://tinyurl.com/mrynhext")</f>
        <v>https://tinyurl.com/mrynhext</v>
      </c>
      <c r="Y2174" s="87" t="s">
        <v>8388</v>
      </c>
      <c r="Z2174" s="87"/>
      <c r="AA2174" s="87"/>
      <c r="AB2174" s="87"/>
      <c r="AC2174" s="93" t="s">
        <v>11457</v>
      </c>
      <c r="AD2174" s="87" t="s">
        <v>11519</v>
      </c>
      <c r="AE2174" s="92" t="str">
        <f>HYPERLINK("https://twitter.com/correa899/status/1675918872589770766")</f>
        <v>https://twitter.com/correa899/status/1675918872589770766</v>
      </c>
      <c r="AF2174" s="90">
        <v>45110.726504629631</v>
      </c>
      <c r="AG2174" s="99">
        <v>45110</v>
      </c>
      <c r="AH2174" s="93" t="s">
        <v>13500</v>
      </c>
      <c r="AI2174" s="87" t="b">
        <v>0</v>
      </c>
      <c r="AJ2174" s="87"/>
      <c r="AK2174" s="87"/>
      <c r="AL2174" s="87"/>
      <c r="AM2174" s="87"/>
      <c r="AN2174" s="87"/>
      <c r="AO2174" s="87"/>
      <c r="AP2174" s="87"/>
      <c r="AQ2174" s="87"/>
      <c r="AR2174" s="87"/>
      <c r="AS2174" s="87"/>
      <c r="AT2174" s="87"/>
      <c r="AU2174" s="87"/>
      <c r="AV2174" s="92" t="str">
        <f>HYPERLINK("https://pbs.twimg.com/profile_images/2725090237/018522894a55aca0ed6cdbc82f9eb1de_normal.png")</f>
        <v>https://pbs.twimg.com/profile_images/2725090237/018522894a55aca0ed6cdbc82f9eb1de_normal.png</v>
      </c>
      <c r="AW2174" s="93" t="s">
        <v>20392</v>
      </c>
      <c r="AX2174" s="93" t="s">
        <v>20392</v>
      </c>
      <c r="AY2174" s="87"/>
      <c r="AZ2174" s="93" t="s">
        <v>22668</v>
      </c>
      <c r="BA2174" s="93" t="s">
        <v>22668</v>
      </c>
      <c r="BB2174" s="93" t="s">
        <v>22668</v>
      </c>
      <c r="BC2174" s="93" t="s">
        <v>20392</v>
      </c>
      <c r="BD2174" s="87">
        <v>360619751</v>
      </c>
      <c r="BE2174" s="87"/>
      <c r="BF2174" s="87"/>
      <c r="BG2174" s="87"/>
      <c r="BH2174" s="87"/>
      <c r="BI2174" s="87"/>
    </row>
    <row r="2175" spans="1:61" x14ac:dyDescent="0.25">
      <c r="A2175" s="63" t="s">
        <v>965</v>
      </c>
      <c r="B2175" s="63" t="s">
        <v>965</v>
      </c>
      <c r="C2175" s="64"/>
      <c r="D2175" s="65"/>
      <c r="E2175" s="66"/>
      <c r="F2175" s="67"/>
      <c r="G2175" s="64"/>
      <c r="H2175" s="68"/>
      <c r="I2175" s="69"/>
      <c r="J2175" s="69"/>
      <c r="K2175" s="32"/>
      <c r="L2175" s="76">
        <v>2175</v>
      </c>
      <c r="M2175" s="76"/>
      <c r="N2175" s="71"/>
      <c r="O2175" s="87" t="s">
        <v>179</v>
      </c>
      <c r="P2175" s="90">
        <v>45140.982094907406</v>
      </c>
      <c r="Q2175" s="87" t="s">
        <v>3950</v>
      </c>
      <c r="R2175" s="87">
        <v>0</v>
      </c>
      <c r="S2175" s="87">
        <v>0</v>
      </c>
      <c r="T2175" s="87">
        <v>0</v>
      </c>
      <c r="U2175" s="87">
        <v>0</v>
      </c>
      <c r="V2175" s="87">
        <v>5</v>
      </c>
      <c r="W2175" s="93" t="s">
        <v>7262</v>
      </c>
      <c r="X2175" s="92" t="str">
        <f>HYPERLINK("https://tinyurl.com/3u6x83ms")</f>
        <v>https://tinyurl.com/3u6x83ms</v>
      </c>
      <c r="Y2175" s="87" t="s">
        <v>8388</v>
      </c>
      <c r="Z2175" s="87"/>
      <c r="AA2175" s="87"/>
      <c r="AB2175" s="87"/>
      <c r="AC2175" s="93" t="s">
        <v>11457</v>
      </c>
      <c r="AD2175" s="87" t="s">
        <v>11519</v>
      </c>
      <c r="AE2175" s="92" t="str">
        <f>HYPERLINK("https://twitter.com/correa899/status/1686883130441908224")</f>
        <v>https://twitter.com/correa899/status/1686883130441908224</v>
      </c>
      <c r="AF2175" s="90">
        <v>45140.982094907406</v>
      </c>
      <c r="AG2175" s="99">
        <v>45140</v>
      </c>
      <c r="AH2175" s="93" t="s">
        <v>13501</v>
      </c>
      <c r="AI2175" s="87" t="b">
        <v>0</v>
      </c>
      <c r="AJ2175" s="87"/>
      <c r="AK2175" s="87"/>
      <c r="AL2175" s="87"/>
      <c r="AM2175" s="87"/>
      <c r="AN2175" s="87"/>
      <c r="AO2175" s="87"/>
      <c r="AP2175" s="87"/>
      <c r="AQ2175" s="87"/>
      <c r="AR2175" s="87"/>
      <c r="AS2175" s="87"/>
      <c r="AT2175" s="87"/>
      <c r="AU2175" s="87"/>
      <c r="AV2175" s="92" t="str">
        <f>HYPERLINK("https://pbs.twimg.com/profile_images/2725090237/018522894a55aca0ed6cdbc82f9eb1de_normal.png")</f>
        <v>https://pbs.twimg.com/profile_images/2725090237/018522894a55aca0ed6cdbc82f9eb1de_normal.png</v>
      </c>
      <c r="AW2175" s="93" t="s">
        <v>20393</v>
      </c>
      <c r="AX2175" s="93" t="s">
        <v>20393</v>
      </c>
      <c r="AY2175" s="87"/>
      <c r="AZ2175" s="93" t="s">
        <v>22668</v>
      </c>
      <c r="BA2175" s="93" t="s">
        <v>22668</v>
      </c>
      <c r="BB2175" s="93" t="s">
        <v>22668</v>
      </c>
      <c r="BC2175" s="93" t="s">
        <v>20393</v>
      </c>
      <c r="BD2175" s="87">
        <v>360619751</v>
      </c>
      <c r="BE2175" s="87"/>
      <c r="BF2175" s="87"/>
      <c r="BG2175" s="87"/>
      <c r="BH2175" s="87"/>
      <c r="BI2175" s="87"/>
    </row>
    <row r="2176" spans="1:61" x14ac:dyDescent="0.25">
      <c r="A2176" s="63" t="s">
        <v>965</v>
      </c>
      <c r="B2176" s="63" t="s">
        <v>965</v>
      </c>
      <c r="C2176" s="64"/>
      <c r="D2176" s="65"/>
      <c r="E2176" s="66"/>
      <c r="F2176" s="67"/>
      <c r="G2176" s="64"/>
      <c r="H2176" s="68"/>
      <c r="I2176" s="69"/>
      <c r="J2176" s="69"/>
      <c r="K2176" s="32"/>
      <c r="L2176" s="76">
        <v>2176</v>
      </c>
      <c r="M2176" s="76"/>
      <c r="N2176" s="71"/>
      <c r="O2176" s="87" t="s">
        <v>179</v>
      </c>
      <c r="P2176" s="90">
        <v>45163.938125000001</v>
      </c>
      <c r="Q2176" s="87" t="s">
        <v>3951</v>
      </c>
      <c r="R2176" s="87">
        <v>0</v>
      </c>
      <c r="S2176" s="87">
        <v>0</v>
      </c>
      <c r="T2176" s="87">
        <v>0</v>
      </c>
      <c r="U2176" s="87">
        <v>0</v>
      </c>
      <c r="V2176" s="87">
        <v>9</v>
      </c>
      <c r="W2176" s="93" t="s">
        <v>7263</v>
      </c>
      <c r="X2176" s="92" t="str">
        <f>HYPERLINK("https://tinyurl.com/3w9js75c")</f>
        <v>https://tinyurl.com/3w9js75c</v>
      </c>
      <c r="Y2176" s="87" t="s">
        <v>8388</v>
      </c>
      <c r="Z2176" s="87"/>
      <c r="AA2176" s="87"/>
      <c r="AB2176" s="87"/>
      <c r="AC2176" s="93" t="s">
        <v>11457</v>
      </c>
      <c r="AD2176" s="87" t="s">
        <v>11519</v>
      </c>
      <c r="AE2176" s="92" t="str">
        <f>HYPERLINK("https://twitter.com/correa899/status/1695202116128698827")</f>
        <v>https://twitter.com/correa899/status/1695202116128698827</v>
      </c>
      <c r="AF2176" s="90">
        <v>45163.938125000001</v>
      </c>
      <c r="AG2176" s="99">
        <v>45163</v>
      </c>
      <c r="AH2176" s="93" t="s">
        <v>13502</v>
      </c>
      <c r="AI2176" s="87" t="b">
        <v>0</v>
      </c>
      <c r="AJ2176" s="87"/>
      <c r="AK2176" s="87"/>
      <c r="AL2176" s="87"/>
      <c r="AM2176" s="87"/>
      <c r="AN2176" s="87"/>
      <c r="AO2176" s="87"/>
      <c r="AP2176" s="87"/>
      <c r="AQ2176" s="87"/>
      <c r="AR2176" s="87"/>
      <c r="AS2176" s="87"/>
      <c r="AT2176" s="87"/>
      <c r="AU2176" s="87"/>
      <c r="AV2176" s="92" t="str">
        <f>HYPERLINK("https://pbs.twimg.com/profile_images/2725090237/018522894a55aca0ed6cdbc82f9eb1de_normal.png")</f>
        <v>https://pbs.twimg.com/profile_images/2725090237/018522894a55aca0ed6cdbc82f9eb1de_normal.png</v>
      </c>
      <c r="AW2176" s="93" t="s">
        <v>20394</v>
      </c>
      <c r="AX2176" s="93" t="s">
        <v>20394</v>
      </c>
      <c r="AY2176" s="87"/>
      <c r="AZ2176" s="93" t="s">
        <v>22668</v>
      </c>
      <c r="BA2176" s="93" t="s">
        <v>22668</v>
      </c>
      <c r="BB2176" s="93" t="s">
        <v>22668</v>
      </c>
      <c r="BC2176" s="93" t="s">
        <v>20394</v>
      </c>
      <c r="BD2176" s="87">
        <v>360619751</v>
      </c>
      <c r="BE2176" s="87"/>
      <c r="BF2176" s="87"/>
      <c r="BG2176" s="87"/>
      <c r="BH2176" s="87"/>
      <c r="BI2176" s="87"/>
    </row>
    <row r="2177" spans="1:61" x14ac:dyDescent="0.25">
      <c r="A2177" s="63" t="s">
        <v>965</v>
      </c>
      <c r="B2177" s="63" t="s">
        <v>965</v>
      </c>
      <c r="C2177" s="64"/>
      <c r="D2177" s="65"/>
      <c r="E2177" s="66"/>
      <c r="F2177" s="67"/>
      <c r="G2177" s="64"/>
      <c r="H2177" s="68"/>
      <c r="I2177" s="69"/>
      <c r="J2177" s="69"/>
      <c r="K2177" s="32"/>
      <c r="L2177" s="76">
        <v>2177</v>
      </c>
      <c r="M2177" s="76"/>
      <c r="N2177" s="71"/>
      <c r="O2177" s="87" t="s">
        <v>179</v>
      </c>
      <c r="P2177" s="90">
        <v>45138.736562500002</v>
      </c>
      <c r="Q2177" s="87" t="s">
        <v>3952</v>
      </c>
      <c r="R2177" s="87">
        <v>0</v>
      </c>
      <c r="S2177" s="87">
        <v>0</v>
      </c>
      <c r="T2177" s="87">
        <v>0</v>
      </c>
      <c r="U2177" s="87">
        <v>0</v>
      </c>
      <c r="V2177" s="87">
        <v>3</v>
      </c>
      <c r="W2177" s="93" t="s">
        <v>7264</v>
      </c>
      <c r="X2177" s="92" t="str">
        <f>HYPERLINK("https://tinyurl.com/mwnsbm85")</f>
        <v>https://tinyurl.com/mwnsbm85</v>
      </c>
      <c r="Y2177" s="87" t="s">
        <v>8388</v>
      </c>
      <c r="Z2177" s="87"/>
      <c r="AA2177" s="87"/>
      <c r="AB2177" s="87"/>
      <c r="AC2177" s="93" t="s">
        <v>11457</v>
      </c>
      <c r="AD2177" s="87" t="s">
        <v>11519</v>
      </c>
      <c r="AE2177" s="92" t="str">
        <f>HYPERLINK("https://twitter.com/correa899/status/1686069373843226626")</f>
        <v>https://twitter.com/correa899/status/1686069373843226626</v>
      </c>
      <c r="AF2177" s="90">
        <v>45138.736562500002</v>
      </c>
      <c r="AG2177" s="99">
        <v>45138</v>
      </c>
      <c r="AH2177" s="93" t="s">
        <v>13503</v>
      </c>
      <c r="AI2177" s="87" t="b">
        <v>0</v>
      </c>
      <c r="AJ2177" s="87"/>
      <c r="AK2177" s="87"/>
      <c r="AL2177" s="87"/>
      <c r="AM2177" s="87"/>
      <c r="AN2177" s="87"/>
      <c r="AO2177" s="87"/>
      <c r="AP2177" s="87"/>
      <c r="AQ2177" s="87"/>
      <c r="AR2177" s="87"/>
      <c r="AS2177" s="87"/>
      <c r="AT2177" s="87"/>
      <c r="AU2177" s="87"/>
      <c r="AV2177" s="92" t="str">
        <f>HYPERLINK("https://pbs.twimg.com/profile_images/2725090237/018522894a55aca0ed6cdbc82f9eb1de_normal.png")</f>
        <v>https://pbs.twimg.com/profile_images/2725090237/018522894a55aca0ed6cdbc82f9eb1de_normal.png</v>
      </c>
      <c r="AW2177" s="93" t="s">
        <v>20395</v>
      </c>
      <c r="AX2177" s="93" t="s">
        <v>20395</v>
      </c>
      <c r="AY2177" s="87"/>
      <c r="AZ2177" s="93" t="s">
        <v>22668</v>
      </c>
      <c r="BA2177" s="93" t="s">
        <v>22668</v>
      </c>
      <c r="BB2177" s="93" t="s">
        <v>22668</v>
      </c>
      <c r="BC2177" s="93" t="s">
        <v>20395</v>
      </c>
      <c r="BD2177" s="87">
        <v>360619751</v>
      </c>
      <c r="BE2177" s="87"/>
      <c r="BF2177" s="87"/>
      <c r="BG2177" s="87"/>
      <c r="BH2177" s="87"/>
      <c r="BI2177" s="87"/>
    </row>
    <row r="2178" spans="1:61" x14ac:dyDescent="0.25">
      <c r="A2178" s="63" t="s">
        <v>965</v>
      </c>
      <c r="B2178" s="63" t="s">
        <v>965</v>
      </c>
      <c r="C2178" s="64"/>
      <c r="D2178" s="65"/>
      <c r="E2178" s="66"/>
      <c r="F2178" s="67"/>
      <c r="G2178" s="64"/>
      <c r="H2178" s="68"/>
      <c r="I2178" s="69"/>
      <c r="J2178" s="69"/>
      <c r="K2178" s="32"/>
      <c r="L2178" s="76">
        <v>2178</v>
      </c>
      <c r="M2178" s="76"/>
      <c r="N2178" s="71"/>
      <c r="O2178" s="87" t="s">
        <v>179</v>
      </c>
      <c r="P2178" s="90">
        <v>45174.743113425924</v>
      </c>
      <c r="Q2178" s="87" t="s">
        <v>3953</v>
      </c>
      <c r="R2178" s="87">
        <v>0</v>
      </c>
      <c r="S2178" s="87">
        <v>0</v>
      </c>
      <c r="T2178" s="87">
        <v>0</v>
      </c>
      <c r="U2178" s="87">
        <v>0</v>
      </c>
      <c r="V2178" s="87">
        <v>2</v>
      </c>
      <c r="W2178" s="93" t="s">
        <v>7265</v>
      </c>
      <c r="X2178" s="92" t="str">
        <f>HYPERLINK("http://tinyurl.com/ync2xmvt")</f>
        <v>http://tinyurl.com/ync2xmvt</v>
      </c>
      <c r="Y2178" s="87" t="s">
        <v>8388</v>
      </c>
      <c r="Z2178" s="87"/>
      <c r="AA2178" s="87"/>
      <c r="AB2178" s="87"/>
      <c r="AC2178" s="93" t="s">
        <v>11457</v>
      </c>
      <c r="AD2178" s="87" t="s">
        <v>11519</v>
      </c>
      <c r="AE2178" s="92" t="str">
        <f>HYPERLINK("https://twitter.com/correa899/status/1699117714894205253")</f>
        <v>https://twitter.com/correa899/status/1699117714894205253</v>
      </c>
      <c r="AF2178" s="90">
        <v>45174.743113425924</v>
      </c>
      <c r="AG2178" s="99">
        <v>45174</v>
      </c>
      <c r="AH2178" s="93" t="s">
        <v>13504</v>
      </c>
      <c r="AI2178" s="87" t="b">
        <v>0</v>
      </c>
      <c r="AJ2178" s="87"/>
      <c r="AK2178" s="87"/>
      <c r="AL2178" s="87"/>
      <c r="AM2178" s="87"/>
      <c r="AN2178" s="87"/>
      <c r="AO2178" s="87"/>
      <c r="AP2178" s="87"/>
      <c r="AQ2178" s="87"/>
      <c r="AR2178" s="87"/>
      <c r="AS2178" s="87"/>
      <c r="AT2178" s="87"/>
      <c r="AU2178" s="87"/>
      <c r="AV2178" s="92" t="str">
        <f>HYPERLINK("https://pbs.twimg.com/profile_images/2725090237/018522894a55aca0ed6cdbc82f9eb1de_normal.png")</f>
        <v>https://pbs.twimg.com/profile_images/2725090237/018522894a55aca0ed6cdbc82f9eb1de_normal.png</v>
      </c>
      <c r="AW2178" s="93" t="s">
        <v>20396</v>
      </c>
      <c r="AX2178" s="93" t="s">
        <v>20396</v>
      </c>
      <c r="AY2178" s="87"/>
      <c r="AZ2178" s="93" t="s">
        <v>22668</v>
      </c>
      <c r="BA2178" s="93" t="s">
        <v>22668</v>
      </c>
      <c r="BB2178" s="93" t="s">
        <v>22668</v>
      </c>
      <c r="BC2178" s="93" t="s">
        <v>20396</v>
      </c>
      <c r="BD2178" s="87">
        <v>360619751</v>
      </c>
      <c r="BE2178" s="87"/>
      <c r="BF2178" s="87"/>
      <c r="BG2178" s="87"/>
      <c r="BH2178" s="87"/>
      <c r="BI2178" s="87"/>
    </row>
    <row r="2179" spans="1:61" x14ac:dyDescent="0.25">
      <c r="A2179" s="63" t="s">
        <v>965</v>
      </c>
      <c r="B2179" s="63" t="s">
        <v>965</v>
      </c>
      <c r="C2179" s="64"/>
      <c r="D2179" s="65"/>
      <c r="E2179" s="66"/>
      <c r="F2179" s="67"/>
      <c r="G2179" s="64"/>
      <c r="H2179" s="68"/>
      <c r="I2179" s="69"/>
      <c r="J2179" s="69"/>
      <c r="K2179" s="32"/>
      <c r="L2179" s="76">
        <v>2179</v>
      </c>
      <c r="M2179" s="76"/>
      <c r="N2179" s="71"/>
      <c r="O2179" s="87" t="s">
        <v>179</v>
      </c>
      <c r="P2179" s="90">
        <v>45152.735474537039</v>
      </c>
      <c r="Q2179" s="87" t="s">
        <v>3954</v>
      </c>
      <c r="R2179" s="87">
        <v>0</v>
      </c>
      <c r="S2179" s="87">
        <v>0</v>
      </c>
      <c r="T2179" s="87">
        <v>0</v>
      </c>
      <c r="U2179" s="87">
        <v>0</v>
      </c>
      <c r="V2179" s="87">
        <v>35</v>
      </c>
      <c r="W2179" s="93" t="s">
        <v>6296</v>
      </c>
      <c r="X2179" s="92" t="str">
        <f>HYPERLINK("https://tinyurl.com/bd2972km")</f>
        <v>https://tinyurl.com/bd2972km</v>
      </c>
      <c r="Y2179" s="87" t="s">
        <v>8388</v>
      </c>
      <c r="Z2179" s="87"/>
      <c r="AA2179" s="87"/>
      <c r="AB2179" s="87"/>
      <c r="AC2179" s="93" t="s">
        <v>11457</v>
      </c>
      <c r="AD2179" s="87" t="s">
        <v>11519</v>
      </c>
      <c r="AE2179" s="92" t="str">
        <f>HYPERLINK("https://twitter.com/correa899/status/1691142411018186760")</f>
        <v>https://twitter.com/correa899/status/1691142411018186760</v>
      </c>
      <c r="AF2179" s="90">
        <v>45152.735474537039</v>
      </c>
      <c r="AG2179" s="99">
        <v>45152</v>
      </c>
      <c r="AH2179" s="93" t="s">
        <v>13505</v>
      </c>
      <c r="AI2179" s="87" t="b">
        <v>0</v>
      </c>
      <c r="AJ2179" s="87"/>
      <c r="AK2179" s="87"/>
      <c r="AL2179" s="87"/>
      <c r="AM2179" s="87"/>
      <c r="AN2179" s="87"/>
      <c r="AO2179" s="87"/>
      <c r="AP2179" s="87"/>
      <c r="AQ2179" s="87"/>
      <c r="AR2179" s="87"/>
      <c r="AS2179" s="87"/>
      <c r="AT2179" s="87"/>
      <c r="AU2179" s="87"/>
      <c r="AV2179" s="92" t="str">
        <f>HYPERLINK("https://pbs.twimg.com/profile_images/2725090237/018522894a55aca0ed6cdbc82f9eb1de_normal.png")</f>
        <v>https://pbs.twimg.com/profile_images/2725090237/018522894a55aca0ed6cdbc82f9eb1de_normal.png</v>
      </c>
      <c r="AW2179" s="93" t="s">
        <v>20397</v>
      </c>
      <c r="AX2179" s="93" t="s">
        <v>20397</v>
      </c>
      <c r="AY2179" s="87"/>
      <c r="AZ2179" s="93" t="s">
        <v>22668</v>
      </c>
      <c r="BA2179" s="93" t="s">
        <v>22668</v>
      </c>
      <c r="BB2179" s="93" t="s">
        <v>22668</v>
      </c>
      <c r="BC2179" s="93" t="s">
        <v>20397</v>
      </c>
      <c r="BD2179" s="87">
        <v>360619751</v>
      </c>
      <c r="BE2179" s="87"/>
      <c r="BF2179" s="87"/>
      <c r="BG2179" s="87"/>
      <c r="BH2179" s="87"/>
      <c r="BI2179" s="87"/>
    </row>
    <row r="2180" spans="1:61" x14ac:dyDescent="0.25">
      <c r="A2180" s="63" t="s">
        <v>965</v>
      </c>
      <c r="B2180" s="63" t="s">
        <v>965</v>
      </c>
      <c r="C2180" s="64"/>
      <c r="D2180" s="65"/>
      <c r="E2180" s="66"/>
      <c r="F2180" s="67"/>
      <c r="G2180" s="64"/>
      <c r="H2180" s="68"/>
      <c r="I2180" s="69"/>
      <c r="J2180" s="69"/>
      <c r="K2180" s="32"/>
      <c r="L2180" s="76">
        <v>2180</v>
      </c>
      <c r="M2180" s="76"/>
      <c r="N2180" s="71"/>
      <c r="O2180" s="87" t="s">
        <v>179</v>
      </c>
      <c r="P2180" s="90">
        <v>45183.843599537038</v>
      </c>
      <c r="Q2180" s="87" t="s">
        <v>3955</v>
      </c>
      <c r="R2180" s="87">
        <v>0</v>
      </c>
      <c r="S2180" s="87">
        <v>0</v>
      </c>
      <c r="T2180" s="87">
        <v>0</v>
      </c>
      <c r="U2180" s="87">
        <v>0</v>
      </c>
      <c r="V2180" s="87">
        <v>8</v>
      </c>
      <c r="W2180" s="93" t="s">
        <v>7266</v>
      </c>
      <c r="X2180" s="92" t="str">
        <f>HYPERLINK("https://tinyurl.com/26jycn5r")</f>
        <v>https://tinyurl.com/26jycn5r</v>
      </c>
      <c r="Y2180" s="87" t="s">
        <v>8388</v>
      </c>
      <c r="Z2180" s="87"/>
      <c r="AA2180" s="87"/>
      <c r="AB2180" s="87"/>
      <c r="AC2180" s="93" t="s">
        <v>11457</v>
      </c>
      <c r="AD2180" s="87" t="s">
        <v>11519</v>
      </c>
      <c r="AE2180" s="92" t="str">
        <f>HYPERLINK("https://twitter.com/correa899/status/1702415618039755130")</f>
        <v>https://twitter.com/correa899/status/1702415618039755130</v>
      </c>
      <c r="AF2180" s="90">
        <v>45183.843599537038</v>
      </c>
      <c r="AG2180" s="99">
        <v>45183</v>
      </c>
      <c r="AH2180" s="93" t="s">
        <v>13506</v>
      </c>
      <c r="AI2180" s="87" t="b">
        <v>0</v>
      </c>
      <c r="AJ2180" s="87"/>
      <c r="AK2180" s="87"/>
      <c r="AL2180" s="87"/>
      <c r="AM2180" s="87"/>
      <c r="AN2180" s="87"/>
      <c r="AO2180" s="87"/>
      <c r="AP2180" s="87"/>
      <c r="AQ2180" s="87"/>
      <c r="AR2180" s="87"/>
      <c r="AS2180" s="87"/>
      <c r="AT2180" s="87"/>
      <c r="AU2180" s="87"/>
      <c r="AV2180" s="92" t="str">
        <f>HYPERLINK("https://pbs.twimg.com/profile_images/2725090237/018522894a55aca0ed6cdbc82f9eb1de_normal.png")</f>
        <v>https://pbs.twimg.com/profile_images/2725090237/018522894a55aca0ed6cdbc82f9eb1de_normal.png</v>
      </c>
      <c r="AW2180" s="93" t="s">
        <v>20398</v>
      </c>
      <c r="AX2180" s="93" t="s">
        <v>20398</v>
      </c>
      <c r="AY2180" s="87"/>
      <c r="AZ2180" s="93" t="s">
        <v>22668</v>
      </c>
      <c r="BA2180" s="93" t="s">
        <v>22668</v>
      </c>
      <c r="BB2180" s="93" t="s">
        <v>22668</v>
      </c>
      <c r="BC2180" s="93" t="s">
        <v>20398</v>
      </c>
      <c r="BD2180" s="87">
        <v>360619751</v>
      </c>
      <c r="BE2180" s="87"/>
      <c r="BF2180" s="87"/>
      <c r="BG2180" s="87"/>
      <c r="BH2180" s="87"/>
      <c r="BI2180" s="87"/>
    </row>
    <row r="2181" spans="1:61" x14ac:dyDescent="0.25">
      <c r="A2181" s="63" t="s">
        <v>965</v>
      </c>
      <c r="B2181" s="63" t="s">
        <v>965</v>
      </c>
      <c r="C2181" s="64"/>
      <c r="D2181" s="65"/>
      <c r="E2181" s="66"/>
      <c r="F2181" s="67"/>
      <c r="G2181" s="64"/>
      <c r="H2181" s="68"/>
      <c r="I2181" s="69"/>
      <c r="J2181" s="69"/>
      <c r="K2181" s="32"/>
      <c r="L2181" s="76">
        <v>2181</v>
      </c>
      <c r="M2181" s="76"/>
      <c r="N2181" s="71"/>
      <c r="O2181" s="87" t="s">
        <v>179</v>
      </c>
      <c r="P2181" s="90">
        <v>45157.702673611115</v>
      </c>
      <c r="Q2181" s="87" t="s">
        <v>3956</v>
      </c>
      <c r="R2181" s="87">
        <v>0</v>
      </c>
      <c r="S2181" s="87">
        <v>0</v>
      </c>
      <c r="T2181" s="87">
        <v>0</v>
      </c>
      <c r="U2181" s="87">
        <v>0</v>
      </c>
      <c r="V2181" s="87">
        <v>4</v>
      </c>
      <c r="W2181" s="93" t="s">
        <v>6296</v>
      </c>
      <c r="X2181" s="92" t="str">
        <f>HYPERLINK("https://tinyurl.com/5n8s9c9p")</f>
        <v>https://tinyurl.com/5n8s9c9p</v>
      </c>
      <c r="Y2181" s="87" t="s">
        <v>8388</v>
      </c>
      <c r="Z2181" s="87"/>
      <c r="AA2181" s="87"/>
      <c r="AB2181" s="87"/>
      <c r="AC2181" s="93" t="s">
        <v>11457</v>
      </c>
      <c r="AD2181" s="87" t="s">
        <v>11519</v>
      </c>
      <c r="AE2181" s="92" t="str">
        <f>HYPERLINK("https://twitter.com/correa899/status/1692942464242290768")</f>
        <v>https://twitter.com/correa899/status/1692942464242290768</v>
      </c>
      <c r="AF2181" s="90">
        <v>45157.702673611115</v>
      </c>
      <c r="AG2181" s="99">
        <v>45157</v>
      </c>
      <c r="AH2181" s="93" t="s">
        <v>13507</v>
      </c>
      <c r="AI2181" s="87" t="b">
        <v>0</v>
      </c>
      <c r="AJ2181" s="87"/>
      <c r="AK2181" s="87"/>
      <c r="AL2181" s="87"/>
      <c r="AM2181" s="87"/>
      <c r="AN2181" s="87"/>
      <c r="AO2181" s="87"/>
      <c r="AP2181" s="87"/>
      <c r="AQ2181" s="87"/>
      <c r="AR2181" s="87"/>
      <c r="AS2181" s="87"/>
      <c r="AT2181" s="87"/>
      <c r="AU2181" s="87"/>
      <c r="AV2181" s="92" t="str">
        <f>HYPERLINK("https://pbs.twimg.com/profile_images/2725090237/018522894a55aca0ed6cdbc82f9eb1de_normal.png")</f>
        <v>https://pbs.twimg.com/profile_images/2725090237/018522894a55aca0ed6cdbc82f9eb1de_normal.png</v>
      </c>
      <c r="AW2181" s="93" t="s">
        <v>20399</v>
      </c>
      <c r="AX2181" s="93" t="s">
        <v>20399</v>
      </c>
      <c r="AY2181" s="87"/>
      <c r="AZ2181" s="93" t="s">
        <v>22668</v>
      </c>
      <c r="BA2181" s="93" t="s">
        <v>22668</v>
      </c>
      <c r="BB2181" s="93" t="s">
        <v>22668</v>
      </c>
      <c r="BC2181" s="93" t="s">
        <v>20399</v>
      </c>
      <c r="BD2181" s="87">
        <v>360619751</v>
      </c>
      <c r="BE2181" s="87"/>
      <c r="BF2181" s="87"/>
      <c r="BG2181" s="87"/>
      <c r="BH2181" s="87"/>
      <c r="BI2181" s="87"/>
    </row>
    <row r="2182" spans="1:61" x14ac:dyDescent="0.25">
      <c r="A2182" s="63" t="s">
        <v>965</v>
      </c>
      <c r="B2182" s="63" t="s">
        <v>965</v>
      </c>
      <c r="C2182" s="64"/>
      <c r="D2182" s="65"/>
      <c r="E2182" s="66"/>
      <c r="F2182" s="67"/>
      <c r="G2182" s="64"/>
      <c r="H2182" s="68"/>
      <c r="I2182" s="69"/>
      <c r="J2182" s="69"/>
      <c r="K2182" s="32"/>
      <c r="L2182" s="76">
        <v>2182</v>
      </c>
      <c r="M2182" s="76"/>
      <c r="N2182" s="71"/>
      <c r="O2182" s="87" t="s">
        <v>179</v>
      </c>
      <c r="P2182" s="90">
        <v>45116.75540509259</v>
      </c>
      <c r="Q2182" s="87" t="s">
        <v>3957</v>
      </c>
      <c r="R2182" s="87">
        <v>0</v>
      </c>
      <c r="S2182" s="87">
        <v>0</v>
      </c>
      <c r="T2182" s="87">
        <v>0</v>
      </c>
      <c r="U2182" s="87">
        <v>0</v>
      </c>
      <c r="V2182" s="87">
        <v>3</v>
      </c>
      <c r="W2182" s="93" t="s">
        <v>7267</v>
      </c>
      <c r="X2182" s="92" t="str">
        <f>HYPERLINK("https://tinyurl.com/aehy5x3b")</f>
        <v>https://tinyurl.com/aehy5x3b</v>
      </c>
      <c r="Y2182" s="87" t="s">
        <v>8388</v>
      </c>
      <c r="Z2182" s="87"/>
      <c r="AA2182" s="87"/>
      <c r="AB2182" s="87"/>
      <c r="AC2182" s="93" t="s">
        <v>11457</v>
      </c>
      <c r="AD2182" s="87" t="s">
        <v>11519</v>
      </c>
      <c r="AE2182" s="92" t="str">
        <f>HYPERLINK("https://twitter.com/correa899/status/1678103670246744069")</f>
        <v>https://twitter.com/correa899/status/1678103670246744069</v>
      </c>
      <c r="AF2182" s="90">
        <v>45116.75540509259</v>
      </c>
      <c r="AG2182" s="99">
        <v>45116</v>
      </c>
      <c r="AH2182" s="93" t="s">
        <v>13508</v>
      </c>
      <c r="AI2182" s="87" t="b">
        <v>0</v>
      </c>
      <c r="AJ2182" s="87"/>
      <c r="AK2182" s="87"/>
      <c r="AL2182" s="87"/>
      <c r="AM2182" s="87"/>
      <c r="AN2182" s="87"/>
      <c r="AO2182" s="87"/>
      <c r="AP2182" s="87"/>
      <c r="AQ2182" s="87"/>
      <c r="AR2182" s="87"/>
      <c r="AS2182" s="87"/>
      <c r="AT2182" s="87"/>
      <c r="AU2182" s="87"/>
      <c r="AV2182" s="92" t="str">
        <f>HYPERLINK("https://pbs.twimg.com/profile_images/2725090237/018522894a55aca0ed6cdbc82f9eb1de_normal.png")</f>
        <v>https://pbs.twimg.com/profile_images/2725090237/018522894a55aca0ed6cdbc82f9eb1de_normal.png</v>
      </c>
      <c r="AW2182" s="93" t="s">
        <v>20400</v>
      </c>
      <c r="AX2182" s="93" t="s">
        <v>20400</v>
      </c>
      <c r="AY2182" s="87"/>
      <c r="AZ2182" s="93" t="s">
        <v>22668</v>
      </c>
      <c r="BA2182" s="93" t="s">
        <v>22668</v>
      </c>
      <c r="BB2182" s="93" t="s">
        <v>22668</v>
      </c>
      <c r="BC2182" s="93" t="s">
        <v>20400</v>
      </c>
      <c r="BD2182" s="87">
        <v>360619751</v>
      </c>
      <c r="BE2182" s="87"/>
      <c r="BF2182" s="87"/>
      <c r="BG2182" s="87"/>
      <c r="BH2182" s="87"/>
      <c r="BI2182" s="87"/>
    </row>
    <row r="2183" spans="1:61" x14ac:dyDescent="0.25">
      <c r="A2183" s="63" t="s">
        <v>966</v>
      </c>
      <c r="B2183" s="63" t="s">
        <v>966</v>
      </c>
      <c r="C2183" s="64"/>
      <c r="D2183" s="65"/>
      <c r="E2183" s="66"/>
      <c r="F2183" s="67"/>
      <c r="G2183" s="64"/>
      <c r="H2183" s="68"/>
      <c r="I2183" s="69"/>
      <c r="J2183" s="69"/>
      <c r="K2183" s="32"/>
      <c r="L2183" s="76">
        <v>2183</v>
      </c>
      <c r="M2183" s="76"/>
      <c r="N2183" s="71"/>
      <c r="O2183" s="87" t="s">
        <v>179</v>
      </c>
      <c r="P2183" s="90">
        <v>45125.041898148149</v>
      </c>
      <c r="Q2183" s="87" t="s">
        <v>3958</v>
      </c>
      <c r="R2183" s="87">
        <v>0</v>
      </c>
      <c r="S2183" s="87">
        <v>3</v>
      </c>
      <c r="T2183" s="87">
        <v>0</v>
      </c>
      <c r="U2183" s="87">
        <v>0</v>
      </c>
      <c r="V2183" s="87">
        <v>55</v>
      </c>
      <c r="W2183" s="93" t="s">
        <v>7268</v>
      </c>
      <c r="X2183" s="87"/>
      <c r="Y2183" s="87"/>
      <c r="Z2183" s="87"/>
      <c r="AA2183" s="87" t="s">
        <v>10026</v>
      </c>
      <c r="AB2183" s="87" t="s">
        <v>11448</v>
      </c>
      <c r="AC2183" s="93" t="s">
        <v>11458</v>
      </c>
      <c r="AD2183" s="87" t="s">
        <v>11519</v>
      </c>
      <c r="AE2183" s="92" t="str">
        <f>HYPERLINK("https://twitter.com/presleyson/status/1681106595244023809")</f>
        <v>https://twitter.com/presleyson/status/1681106595244023809</v>
      </c>
      <c r="AF2183" s="90">
        <v>45125.041898148149</v>
      </c>
      <c r="AG2183" s="99">
        <v>45125</v>
      </c>
      <c r="AH2183" s="93" t="s">
        <v>13509</v>
      </c>
      <c r="AI2183" s="87" t="b">
        <v>0</v>
      </c>
      <c r="AJ2183" s="87"/>
      <c r="AK2183" s="87"/>
      <c r="AL2183" s="87"/>
      <c r="AM2183" s="87"/>
      <c r="AN2183" s="87"/>
      <c r="AO2183" s="87"/>
      <c r="AP2183" s="87"/>
      <c r="AQ2183" s="87" t="s">
        <v>16839</v>
      </c>
      <c r="AR2183" s="87"/>
      <c r="AS2183" s="87"/>
      <c r="AT2183" s="87"/>
      <c r="AU2183" s="87"/>
      <c r="AV2183" s="92" t="str">
        <f>HYPERLINK("https://pbs.twimg.com/media/F1R9iRVX0AAlwvg.jpg")</f>
        <v>https://pbs.twimg.com/media/F1R9iRVX0AAlwvg.jpg</v>
      </c>
      <c r="AW2183" s="93" t="s">
        <v>20401</v>
      </c>
      <c r="AX2183" s="93" t="s">
        <v>20401</v>
      </c>
      <c r="AY2183" s="87"/>
      <c r="AZ2183" s="93" t="s">
        <v>22668</v>
      </c>
      <c r="BA2183" s="93" t="s">
        <v>22668</v>
      </c>
      <c r="BB2183" s="93" t="s">
        <v>22668</v>
      </c>
      <c r="BC2183" s="93" t="s">
        <v>20401</v>
      </c>
      <c r="BD2183" s="87">
        <v>18582320</v>
      </c>
      <c r="BE2183" s="87"/>
      <c r="BF2183" s="87"/>
      <c r="BG2183" s="87"/>
      <c r="BH2183" s="87"/>
      <c r="BI2183" s="87"/>
    </row>
    <row r="2184" spans="1:61" x14ac:dyDescent="0.25">
      <c r="A2184" s="63" t="s">
        <v>967</v>
      </c>
      <c r="B2184" s="63" t="s">
        <v>967</v>
      </c>
      <c r="C2184" s="64"/>
      <c r="D2184" s="65"/>
      <c r="E2184" s="66"/>
      <c r="F2184" s="67"/>
      <c r="G2184" s="64"/>
      <c r="H2184" s="68"/>
      <c r="I2184" s="69"/>
      <c r="J2184" s="69"/>
      <c r="K2184" s="32"/>
      <c r="L2184" s="76">
        <v>2184</v>
      </c>
      <c r="M2184" s="76"/>
      <c r="N2184" s="71"/>
      <c r="O2184" s="87" t="s">
        <v>179</v>
      </c>
      <c r="P2184" s="90">
        <v>45194.594699074078</v>
      </c>
      <c r="Q2184" s="87" t="s">
        <v>3959</v>
      </c>
      <c r="R2184" s="87">
        <v>0</v>
      </c>
      <c r="S2184" s="87">
        <v>0</v>
      </c>
      <c r="T2184" s="87">
        <v>0</v>
      </c>
      <c r="U2184" s="87">
        <v>0</v>
      </c>
      <c r="V2184" s="87">
        <v>6</v>
      </c>
      <c r="W2184" s="93" t="s">
        <v>7269</v>
      </c>
      <c r="X2184" s="92" t="str">
        <f>HYPERLINK("https://linkbio.co/DraRenataMatias")</f>
        <v>https://linkbio.co/DraRenataMatias</v>
      </c>
      <c r="Y2184" s="87" t="s">
        <v>8484</v>
      </c>
      <c r="Z2184" s="87"/>
      <c r="AA2184" s="87" t="s">
        <v>10027</v>
      </c>
      <c r="AB2184" s="87" t="s">
        <v>11448</v>
      </c>
      <c r="AC2184" s="93" t="s">
        <v>11457</v>
      </c>
      <c r="AD2184" s="87" t="s">
        <v>11519</v>
      </c>
      <c r="AE2184" s="92" t="str">
        <f>HYPERLINK("https://twitter.com/drarenatamatias/status/1706311685181493552")</f>
        <v>https://twitter.com/drarenatamatias/status/1706311685181493552</v>
      </c>
      <c r="AF2184" s="90">
        <v>45194.594699074078</v>
      </c>
      <c r="AG2184" s="99">
        <v>45194</v>
      </c>
      <c r="AH2184" s="93" t="s">
        <v>13510</v>
      </c>
      <c r="AI2184" s="87" t="b">
        <v>0</v>
      </c>
      <c r="AJ2184" s="87"/>
      <c r="AK2184" s="87"/>
      <c r="AL2184" s="87"/>
      <c r="AM2184" s="87"/>
      <c r="AN2184" s="87"/>
      <c r="AO2184" s="87"/>
      <c r="AP2184" s="87"/>
      <c r="AQ2184" s="87" t="s">
        <v>16840</v>
      </c>
      <c r="AR2184" s="87"/>
      <c r="AS2184" s="87"/>
      <c r="AT2184" s="87"/>
      <c r="AU2184" s="87"/>
      <c r="AV2184" s="92" t="str">
        <f>HYPERLINK("https://pbs.twimg.com/media/F64JNxtXAAAN-Cf.jpg")</f>
        <v>https://pbs.twimg.com/media/F64JNxtXAAAN-Cf.jpg</v>
      </c>
      <c r="AW2184" s="93" t="s">
        <v>20402</v>
      </c>
      <c r="AX2184" s="93" t="s">
        <v>20402</v>
      </c>
      <c r="AY2184" s="87"/>
      <c r="AZ2184" s="93" t="s">
        <v>22668</v>
      </c>
      <c r="BA2184" s="93" t="s">
        <v>22668</v>
      </c>
      <c r="BB2184" s="93" t="s">
        <v>22668</v>
      </c>
      <c r="BC2184" s="93" t="s">
        <v>20402</v>
      </c>
      <c r="BD2184" s="93" t="s">
        <v>23217</v>
      </c>
      <c r="BE2184" s="87"/>
      <c r="BF2184" s="87"/>
      <c r="BG2184" s="87"/>
      <c r="BH2184" s="87"/>
      <c r="BI2184" s="87"/>
    </row>
    <row r="2185" spans="1:61" x14ac:dyDescent="0.25">
      <c r="A2185" s="63" t="s">
        <v>968</v>
      </c>
      <c r="B2185" s="63" t="s">
        <v>968</v>
      </c>
      <c r="C2185" s="64"/>
      <c r="D2185" s="65"/>
      <c r="E2185" s="66"/>
      <c r="F2185" s="67"/>
      <c r="G2185" s="64"/>
      <c r="H2185" s="68"/>
      <c r="I2185" s="69"/>
      <c r="J2185" s="69"/>
      <c r="K2185" s="32"/>
      <c r="L2185" s="76">
        <v>2185</v>
      </c>
      <c r="M2185" s="76"/>
      <c r="N2185" s="71"/>
      <c r="O2185" s="87" t="s">
        <v>179</v>
      </c>
      <c r="P2185" s="90">
        <v>45161.324513888889</v>
      </c>
      <c r="Q2185" s="87" t="s">
        <v>3960</v>
      </c>
      <c r="R2185" s="87">
        <v>0</v>
      </c>
      <c r="S2185" s="87">
        <v>0</v>
      </c>
      <c r="T2185" s="87">
        <v>0</v>
      </c>
      <c r="U2185" s="87">
        <v>0</v>
      </c>
      <c r="V2185" s="87">
        <v>29</v>
      </c>
      <c r="W2185" s="93" t="s">
        <v>7270</v>
      </c>
      <c r="X2185" s="92" t="str">
        <f>HYPERLINK("https://bit.ly/3KTfFi2")</f>
        <v>https://bit.ly/3KTfFi2</v>
      </c>
      <c r="Y2185" s="87" t="s">
        <v>8374</v>
      </c>
      <c r="Z2185" s="87"/>
      <c r="AA2185" s="87"/>
      <c r="AB2185" s="87"/>
      <c r="AC2185" s="93" t="s">
        <v>11457</v>
      </c>
      <c r="AD2185" s="87" t="s">
        <v>11519</v>
      </c>
      <c r="AE2185" s="92" t="str">
        <f>HYPERLINK("https://twitter.com/paulodallanoram/status/1694254975751172224")</f>
        <v>https://twitter.com/paulodallanoram/status/1694254975751172224</v>
      </c>
      <c r="AF2185" s="90">
        <v>45161.324513888889</v>
      </c>
      <c r="AG2185" s="99">
        <v>45161</v>
      </c>
      <c r="AH2185" s="93" t="s">
        <v>13511</v>
      </c>
      <c r="AI2185" s="87" t="b">
        <v>0</v>
      </c>
      <c r="AJ2185" s="87"/>
      <c r="AK2185" s="87"/>
      <c r="AL2185" s="87"/>
      <c r="AM2185" s="87"/>
      <c r="AN2185" s="87"/>
      <c r="AO2185" s="87"/>
      <c r="AP2185" s="87"/>
      <c r="AQ2185" s="87"/>
      <c r="AR2185" s="87"/>
      <c r="AS2185" s="87"/>
      <c r="AT2185" s="87"/>
      <c r="AU2185" s="87"/>
      <c r="AV2185" s="92" t="str">
        <f>HYPERLINK("https://pbs.twimg.com/profile_images/1428228385268928516/SEN3IOrz_normal.jpg")</f>
        <v>https://pbs.twimg.com/profile_images/1428228385268928516/SEN3IOrz_normal.jpg</v>
      </c>
      <c r="AW2185" s="93" t="s">
        <v>20403</v>
      </c>
      <c r="AX2185" s="93" t="s">
        <v>20403</v>
      </c>
      <c r="AY2185" s="87"/>
      <c r="AZ2185" s="93" t="s">
        <v>22668</v>
      </c>
      <c r="BA2185" s="93" t="s">
        <v>22668</v>
      </c>
      <c r="BB2185" s="93" t="s">
        <v>22668</v>
      </c>
      <c r="BC2185" s="93" t="s">
        <v>20403</v>
      </c>
      <c r="BD2185" s="93" t="s">
        <v>23218</v>
      </c>
      <c r="BE2185" s="87"/>
      <c r="BF2185" s="87"/>
      <c r="BG2185" s="87"/>
      <c r="BH2185" s="87"/>
      <c r="BI2185" s="87"/>
    </row>
    <row r="2186" spans="1:61" x14ac:dyDescent="0.25">
      <c r="A2186" s="63" t="s">
        <v>968</v>
      </c>
      <c r="B2186" s="63" t="s">
        <v>968</v>
      </c>
      <c r="C2186" s="64"/>
      <c r="D2186" s="65"/>
      <c r="E2186" s="66"/>
      <c r="F2186" s="67"/>
      <c r="G2186" s="64"/>
      <c r="H2186" s="68"/>
      <c r="I2186" s="69"/>
      <c r="J2186" s="69"/>
      <c r="K2186" s="32"/>
      <c r="L2186" s="76">
        <v>2186</v>
      </c>
      <c r="M2186" s="76"/>
      <c r="N2186" s="71"/>
      <c r="O2186" s="87" t="s">
        <v>179</v>
      </c>
      <c r="P2186" s="90">
        <v>45163.485439814816</v>
      </c>
      <c r="Q2186" s="87" t="s">
        <v>3961</v>
      </c>
      <c r="R2186" s="87">
        <v>0</v>
      </c>
      <c r="S2186" s="87">
        <v>1</v>
      </c>
      <c r="T2186" s="87">
        <v>0</v>
      </c>
      <c r="U2186" s="87">
        <v>0</v>
      </c>
      <c r="V2186" s="87">
        <v>23</v>
      </c>
      <c r="W2186" s="93" t="s">
        <v>7271</v>
      </c>
      <c r="X2186" s="92" t="str">
        <f>HYPERLINK("https://gerador.eu/quem-tem-medo-do-sul-global/")</f>
        <v>https://gerador.eu/quem-tem-medo-do-sul-global/</v>
      </c>
      <c r="Y2186" s="87" t="s">
        <v>8485</v>
      </c>
      <c r="Z2186" s="87"/>
      <c r="AA2186" s="87"/>
      <c r="AB2186" s="87"/>
      <c r="AC2186" s="93" t="s">
        <v>11457</v>
      </c>
      <c r="AD2186" s="87" t="s">
        <v>11519</v>
      </c>
      <c r="AE2186" s="92" t="str">
        <f>HYPERLINK("https://twitter.com/paulodallanoram/status/1695038070268031383")</f>
        <v>https://twitter.com/paulodallanoram/status/1695038070268031383</v>
      </c>
      <c r="AF2186" s="90">
        <v>45163.485439814816</v>
      </c>
      <c r="AG2186" s="99">
        <v>45163</v>
      </c>
      <c r="AH2186" s="93" t="s">
        <v>13512</v>
      </c>
      <c r="AI2186" s="87" t="b">
        <v>0</v>
      </c>
      <c r="AJ2186" s="87"/>
      <c r="AK2186" s="87"/>
      <c r="AL2186" s="87"/>
      <c r="AM2186" s="87"/>
      <c r="AN2186" s="87"/>
      <c r="AO2186" s="87"/>
      <c r="AP2186" s="87"/>
      <c r="AQ2186" s="87"/>
      <c r="AR2186" s="87"/>
      <c r="AS2186" s="87"/>
      <c r="AT2186" s="87"/>
      <c r="AU2186" s="87"/>
      <c r="AV2186" s="92" t="str">
        <f>HYPERLINK("https://pbs.twimg.com/profile_images/1428228385268928516/SEN3IOrz_normal.jpg")</f>
        <v>https://pbs.twimg.com/profile_images/1428228385268928516/SEN3IOrz_normal.jpg</v>
      </c>
      <c r="AW2186" s="93" t="s">
        <v>20404</v>
      </c>
      <c r="AX2186" s="93" t="s">
        <v>20404</v>
      </c>
      <c r="AY2186" s="87"/>
      <c r="AZ2186" s="93" t="s">
        <v>22668</v>
      </c>
      <c r="BA2186" s="93" t="s">
        <v>22668</v>
      </c>
      <c r="BB2186" s="93" t="s">
        <v>22668</v>
      </c>
      <c r="BC2186" s="93" t="s">
        <v>20404</v>
      </c>
      <c r="BD2186" s="93" t="s">
        <v>23218</v>
      </c>
      <c r="BE2186" s="87"/>
      <c r="BF2186" s="87"/>
      <c r="BG2186" s="87"/>
      <c r="BH2186" s="87"/>
      <c r="BI2186" s="87"/>
    </row>
    <row r="2187" spans="1:61" x14ac:dyDescent="0.25">
      <c r="A2187" s="63" t="s">
        <v>968</v>
      </c>
      <c r="B2187" s="63" t="s">
        <v>968</v>
      </c>
      <c r="C2187" s="64"/>
      <c r="D2187" s="65"/>
      <c r="E2187" s="66"/>
      <c r="F2187" s="67"/>
      <c r="G2187" s="64"/>
      <c r="H2187" s="68"/>
      <c r="I2187" s="69"/>
      <c r="J2187" s="69"/>
      <c r="K2187" s="32"/>
      <c r="L2187" s="76">
        <v>2187</v>
      </c>
      <c r="M2187" s="76"/>
      <c r="N2187" s="71"/>
      <c r="O2187" s="87" t="s">
        <v>179</v>
      </c>
      <c r="P2187" s="90">
        <v>45181.294895833336</v>
      </c>
      <c r="Q2187" s="87" t="s">
        <v>3962</v>
      </c>
      <c r="R2187" s="87">
        <v>0</v>
      </c>
      <c r="S2187" s="87">
        <v>0</v>
      </c>
      <c r="T2187" s="87">
        <v>0</v>
      </c>
      <c r="U2187" s="87">
        <v>0</v>
      </c>
      <c r="V2187" s="87">
        <v>18</v>
      </c>
      <c r="W2187" s="93" t="s">
        <v>7272</v>
      </c>
      <c r="X2187" s="92" t="str">
        <f>HYPERLINK("https://bit.ly/467ByCo")</f>
        <v>https://bit.ly/467ByCo</v>
      </c>
      <c r="Y2187" s="87" t="s">
        <v>8374</v>
      </c>
      <c r="Z2187" s="87"/>
      <c r="AA2187" s="87"/>
      <c r="AB2187" s="87"/>
      <c r="AC2187" s="93" t="s">
        <v>11457</v>
      </c>
      <c r="AD2187" s="87" t="s">
        <v>11519</v>
      </c>
      <c r="AE2187" s="92" t="str">
        <f>HYPERLINK("https://twitter.com/paulodallanoram/status/1701491997473730575")</f>
        <v>https://twitter.com/paulodallanoram/status/1701491997473730575</v>
      </c>
      <c r="AF2187" s="90">
        <v>45181.294895833336</v>
      </c>
      <c r="AG2187" s="99">
        <v>45181</v>
      </c>
      <c r="AH2187" s="93" t="s">
        <v>13513</v>
      </c>
      <c r="AI2187" s="87" t="b">
        <v>0</v>
      </c>
      <c r="AJ2187" s="87"/>
      <c r="AK2187" s="87"/>
      <c r="AL2187" s="87"/>
      <c r="AM2187" s="87"/>
      <c r="AN2187" s="87"/>
      <c r="AO2187" s="87"/>
      <c r="AP2187" s="87"/>
      <c r="AQ2187" s="87"/>
      <c r="AR2187" s="87"/>
      <c r="AS2187" s="87"/>
      <c r="AT2187" s="87"/>
      <c r="AU2187" s="87"/>
      <c r="AV2187" s="92" t="str">
        <f>HYPERLINK("https://pbs.twimg.com/profile_images/1428228385268928516/SEN3IOrz_normal.jpg")</f>
        <v>https://pbs.twimg.com/profile_images/1428228385268928516/SEN3IOrz_normal.jpg</v>
      </c>
      <c r="AW2187" s="93" t="s">
        <v>20405</v>
      </c>
      <c r="AX2187" s="93" t="s">
        <v>20405</v>
      </c>
      <c r="AY2187" s="87"/>
      <c r="AZ2187" s="93" t="s">
        <v>22668</v>
      </c>
      <c r="BA2187" s="93" t="s">
        <v>22668</v>
      </c>
      <c r="BB2187" s="93" t="s">
        <v>22668</v>
      </c>
      <c r="BC2187" s="93" t="s">
        <v>20405</v>
      </c>
      <c r="BD2187" s="93" t="s">
        <v>23218</v>
      </c>
      <c r="BE2187" s="87"/>
      <c r="BF2187" s="87"/>
      <c r="BG2187" s="87"/>
      <c r="BH2187" s="87"/>
      <c r="BI2187" s="87"/>
    </row>
    <row r="2188" spans="1:61" x14ac:dyDescent="0.25">
      <c r="A2188" s="63" t="s">
        <v>968</v>
      </c>
      <c r="B2188" s="63" t="s">
        <v>968</v>
      </c>
      <c r="C2188" s="64"/>
      <c r="D2188" s="65"/>
      <c r="E2188" s="66"/>
      <c r="F2188" s="67"/>
      <c r="G2188" s="64"/>
      <c r="H2188" s="68"/>
      <c r="I2188" s="69"/>
      <c r="J2188" s="69"/>
      <c r="K2188" s="32"/>
      <c r="L2188" s="76">
        <v>2188</v>
      </c>
      <c r="M2188" s="76"/>
      <c r="N2188" s="71"/>
      <c r="O2188" s="87" t="s">
        <v>179</v>
      </c>
      <c r="P2188" s="90">
        <v>45183.222662037035</v>
      </c>
      <c r="Q2188" s="87" t="s">
        <v>3963</v>
      </c>
      <c r="R2188" s="87">
        <v>0</v>
      </c>
      <c r="S2188" s="87">
        <v>0</v>
      </c>
      <c r="T2188" s="87">
        <v>0</v>
      </c>
      <c r="U2188" s="87">
        <v>0</v>
      </c>
      <c r="V2188" s="87">
        <v>17</v>
      </c>
      <c r="W2188" s="93" t="s">
        <v>7270</v>
      </c>
      <c r="X2188" s="92" t="str">
        <f>HYPERLINK("https://bit.ly/45S7P0m")</f>
        <v>https://bit.ly/45S7P0m</v>
      </c>
      <c r="Y2188" s="87" t="s">
        <v>8374</v>
      </c>
      <c r="Z2188" s="87"/>
      <c r="AA2188" s="87"/>
      <c r="AB2188" s="87"/>
      <c r="AC2188" s="93" t="s">
        <v>11457</v>
      </c>
      <c r="AD2188" s="87" t="s">
        <v>11519</v>
      </c>
      <c r="AE2188" s="92" t="str">
        <f>HYPERLINK("https://twitter.com/paulodallanoram/status/1702190598122349012")</f>
        <v>https://twitter.com/paulodallanoram/status/1702190598122349012</v>
      </c>
      <c r="AF2188" s="90">
        <v>45183.222662037035</v>
      </c>
      <c r="AG2188" s="99">
        <v>45183</v>
      </c>
      <c r="AH2188" s="93" t="s">
        <v>13514</v>
      </c>
      <c r="AI2188" s="87" t="b">
        <v>0</v>
      </c>
      <c r="AJ2188" s="87"/>
      <c r="AK2188" s="87"/>
      <c r="AL2188" s="87"/>
      <c r="AM2188" s="87"/>
      <c r="AN2188" s="87"/>
      <c r="AO2188" s="87"/>
      <c r="AP2188" s="87"/>
      <c r="AQ2188" s="87"/>
      <c r="AR2188" s="87"/>
      <c r="AS2188" s="87"/>
      <c r="AT2188" s="87"/>
      <c r="AU2188" s="87"/>
      <c r="AV2188" s="92" t="str">
        <f>HYPERLINK("https://pbs.twimg.com/profile_images/1428228385268928516/SEN3IOrz_normal.jpg")</f>
        <v>https://pbs.twimg.com/profile_images/1428228385268928516/SEN3IOrz_normal.jpg</v>
      </c>
      <c r="AW2188" s="93" t="s">
        <v>20406</v>
      </c>
      <c r="AX2188" s="93" t="s">
        <v>20406</v>
      </c>
      <c r="AY2188" s="87"/>
      <c r="AZ2188" s="93" t="s">
        <v>22668</v>
      </c>
      <c r="BA2188" s="93" t="s">
        <v>22668</v>
      </c>
      <c r="BB2188" s="93" t="s">
        <v>22668</v>
      </c>
      <c r="BC2188" s="93" t="s">
        <v>20406</v>
      </c>
      <c r="BD2188" s="93" t="s">
        <v>23218</v>
      </c>
      <c r="BE2188" s="87"/>
      <c r="BF2188" s="87"/>
      <c r="BG2188" s="87"/>
      <c r="BH2188" s="87"/>
      <c r="BI2188" s="87"/>
    </row>
    <row r="2189" spans="1:61" x14ac:dyDescent="0.25">
      <c r="A2189" s="63" t="s">
        <v>968</v>
      </c>
      <c r="B2189" s="63" t="s">
        <v>968</v>
      </c>
      <c r="C2189" s="64"/>
      <c r="D2189" s="65"/>
      <c r="E2189" s="66"/>
      <c r="F2189" s="67"/>
      <c r="G2189" s="64"/>
      <c r="H2189" s="68"/>
      <c r="I2189" s="69"/>
      <c r="J2189" s="69"/>
      <c r="K2189" s="32"/>
      <c r="L2189" s="76">
        <v>2189</v>
      </c>
      <c r="M2189" s="76"/>
      <c r="N2189" s="71"/>
      <c r="O2189" s="87" t="s">
        <v>179</v>
      </c>
      <c r="P2189" s="90">
        <v>45169.351203703707</v>
      </c>
      <c r="Q2189" s="87" t="s">
        <v>3964</v>
      </c>
      <c r="R2189" s="87">
        <v>0</v>
      </c>
      <c r="S2189" s="87">
        <v>0</v>
      </c>
      <c r="T2189" s="87">
        <v>0</v>
      </c>
      <c r="U2189" s="87">
        <v>0</v>
      </c>
      <c r="V2189" s="87">
        <v>23</v>
      </c>
      <c r="W2189" s="93" t="s">
        <v>7271</v>
      </c>
      <c r="X2189" s="92" t="str">
        <f>HYPERLINK("https://twitter.com/paulodallanoram")</f>
        <v>https://twitter.com/paulodallanoram</v>
      </c>
      <c r="Y2189" s="87" t="s">
        <v>8469</v>
      </c>
      <c r="Z2189" s="87"/>
      <c r="AA2189" s="87" t="s">
        <v>10028</v>
      </c>
      <c r="AB2189" s="87" t="s">
        <v>11448</v>
      </c>
      <c r="AC2189" s="93" t="s">
        <v>11457</v>
      </c>
      <c r="AD2189" s="87" t="s">
        <v>11519</v>
      </c>
      <c r="AE2189" s="92" t="str">
        <f>HYPERLINK("https://twitter.com/paulodallanoram/status/1697163752171258330")</f>
        <v>https://twitter.com/paulodallanoram/status/1697163752171258330</v>
      </c>
      <c r="AF2189" s="90">
        <v>45169.351203703707</v>
      </c>
      <c r="AG2189" s="99">
        <v>45169</v>
      </c>
      <c r="AH2189" s="93" t="s">
        <v>13515</v>
      </c>
      <c r="AI2189" s="87" t="b">
        <v>0</v>
      </c>
      <c r="AJ2189" s="87"/>
      <c r="AK2189" s="87"/>
      <c r="AL2189" s="87"/>
      <c r="AM2189" s="87"/>
      <c r="AN2189" s="87"/>
      <c r="AO2189" s="87"/>
      <c r="AP2189" s="87"/>
      <c r="AQ2189" s="87" t="s">
        <v>16841</v>
      </c>
      <c r="AR2189" s="87"/>
      <c r="AS2189" s="87"/>
      <c r="AT2189" s="87"/>
      <c r="AU2189" s="87"/>
      <c r="AV2189" s="92" t="str">
        <f>HYPERLINK("https://pbs.twimg.com/media/F42JaMYXIAAEhUa.jpg")</f>
        <v>https://pbs.twimg.com/media/F42JaMYXIAAEhUa.jpg</v>
      </c>
      <c r="AW2189" s="93" t="s">
        <v>20407</v>
      </c>
      <c r="AX2189" s="93" t="s">
        <v>20407</v>
      </c>
      <c r="AY2189" s="87"/>
      <c r="AZ2189" s="93" t="s">
        <v>22668</v>
      </c>
      <c r="BA2189" s="93" t="s">
        <v>22668</v>
      </c>
      <c r="BB2189" s="93" t="s">
        <v>22668</v>
      </c>
      <c r="BC2189" s="93" t="s">
        <v>20407</v>
      </c>
      <c r="BD2189" s="93" t="s">
        <v>23218</v>
      </c>
      <c r="BE2189" s="87"/>
      <c r="BF2189" s="87"/>
      <c r="BG2189" s="87"/>
      <c r="BH2189" s="87"/>
      <c r="BI2189" s="87"/>
    </row>
    <row r="2190" spans="1:61" x14ac:dyDescent="0.25">
      <c r="A2190" s="63" t="s">
        <v>968</v>
      </c>
      <c r="B2190" s="63" t="s">
        <v>968</v>
      </c>
      <c r="C2190" s="64"/>
      <c r="D2190" s="65"/>
      <c r="E2190" s="66"/>
      <c r="F2190" s="67"/>
      <c r="G2190" s="64"/>
      <c r="H2190" s="68"/>
      <c r="I2190" s="69"/>
      <c r="J2190" s="69"/>
      <c r="K2190" s="32"/>
      <c r="L2190" s="76">
        <v>2190</v>
      </c>
      <c r="M2190" s="76"/>
      <c r="N2190" s="71"/>
      <c r="O2190" s="87" t="s">
        <v>179</v>
      </c>
      <c r="P2190" s="90">
        <v>45145.342268518521</v>
      </c>
      <c r="Q2190" s="87" t="s">
        <v>3965</v>
      </c>
      <c r="R2190" s="87">
        <v>0</v>
      </c>
      <c r="S2190" s="87">
        <v>0</v>
      </c>
      <c r="T2190" s="87">
        <v>0</v>
      </c>
      <c r="U2190" s="87">
        <v>0</v>
      </c>
      <c r="V2190" s="87">
        <v>19</v>
      </c>
      <c r="W2190" s="93" t="s">
        <v>7270</v>
      </c>
      <c r="X2190" s="92" t="str">
        <f>HYPERLINK("https://bit.ly/47iVhQX")</f>
        <v>https://bit.ly/47iVhQX</v>
      </c>
      <c r="Y2190" s="87" t="s">
        <v>8374</v>
      </c>
      <c r="Z2190" s="87"/>
      <c r="AA2190" s="87"/>
      <c r="AB2190" s="87"/>
      <c r="AC2190" s="93" t="s">
        <v>11457</v>
      </c>
      <c r="AD2190" s="87" t="s">
        <v>11519</v>
      </c>
      <c r="AE2190" s="92" t="str">
        <f>HYPERLINK("https://twitter.com/paulodallanoram/status/1688463202567213056")</f>
        <v>https://twitter.com/paulodallanoram/status/1688463202567213056</v>
      </c>
      <c r="AF2190" s="90">
        <v>45145.342268518521</v>
      </c>
      <c r="AG2190" s="99">
        <v>45145</v>
      </c>
      <c r="AH2190" s="93" t="s">
        <v>13516</v>
      </c>
      <c r="AI2190" s="87" t="b">
        <v>0</v>
      </c>
      <c r="AJ2190" s="87"/>
      <c r="AK2190" s="87"/>
      <c r="AL2190" s="87"/>
      <c r="AM2190" s="87"/>
      <c r="AN2190" s="87"/>
      <c r="AO2190" s="87"/>
      <c r="AP2190" s="87"/>
      <c r="AQ2190" s="87"/>
      <c r="AR2190" s="87"/>
      <c r="AS2190" s="87"/>
      <c r="AT2190" s="87"/>
      <c r="AU2190" s="87"/>
      <c r="AV2190" s="92" t="str">
        <f>HYPERLINK("https://pbs.twimg.com/profile_images/1428228385268928516/SEN3IOrz_normal.jpg")</f>
        <v>https://pbs.twimg.com/profile_images/1428228385268928516/SEN3IOrz_normal.jpg</v>
      </c>
      <c r="AW2190" s="93" t="s">
        <v>20408</v>
      </c>
      <c r="AX2190" s="93" t="s">
        <v>20408</v>
      </c>
      <c r="AY2190" s="87"/>
      <c r="AZ2190" s="93" t="s">
        <v>22668</v>
      </c>
      <c r="BA2190" s="93" t="s">
        <v>22668</v>
      </c>
      <c r="BB2190" s="93" t="s">
        <v>22668</v>
      </c>
      <c r="BC2190" s="93" t="s">
        <v>20408</v>
      </c>
      <c r="BD2190" s="93" t="s">
        <v>23218</v>
      </c>
      <c r="BE2190" s="87"/>
      <c r="BF2190" s="87"/>
      <c r="BG2190" s="87"/>
      <c r="BH2190" s="87"/>
      <c r="BI2190" s="87"/>
    </row>
    <row r="2191" spans="1:61" x14ac:dyDescent="0.25">
      <c r="A2191" s="63" t="s">
        <v>968</v>
      </c>
      <c r="B2191" s="63" t="s">
        <v>968</v>
      </c>
      <c r="C2191" s="64"/>
      <c r="D2191" s="65"/>
      <c r="E2191" s="66"/>
      <c r="F2191" s="67"/>
      <c r="G2191" s="64"/>
      <c r="H2191" s="68"/>
      <c r="I2191" s="69"/>
      <c r="J2191" s="69"/>
      <c r="K2191" s="32"/>
      <c r="L2191" s="76">
        <v>2191</v>
      </c>
      <c r="M2191" s="76"/>
      <c r="N2191" s="71"/>
      <c r="O2191" s="87" t="s">
        <v>179</v>
      </c>
      <c r="P2191" s="90">
        <v>45189.267395833333</v>
      </c>
      <c r="Q2191" s="87" t="s">
        <v>3966</v>
      </c>
      <c r="R2191" s="87">
        <v>0</v>
      </c>
      <c r="S2191" s="87">
        <v>0</v>
      </c>
      <c r="T2191" s="87">
        <v>0</v>
      </c>
      <c r="U2191" s="87">
        <v>0</v>
      </c>
      <c r="V2191" s="87">
        <v>16</v>
      </c>
      <c r="W2191" s="93" t="s">
        <v>7270</v>
      </c>
      <c r="X2191" s="92" t="str">
        <f>HYPERLINK("https://bit.ly/3LruloI")</f>
        <v>https://bit.ly/3LruloI</v>
      </c>
      <c r="Y2191" s="87" t="s">
        <v>8374</v>
      </c>
      <c r="Z2191" s="87"/>
      <c r="AA2191" s="87"/>
      <c r="AB2191" s="87"/>
      <c r="AC2191" s="93" t="s">
        <v>11457</v>
      </c>
      <c r="AD2191" s="87" t="s">
        <v>11519</v>
      </c>
      <c r="AE2191" s="92" t="str">
        <f>HYPERLINK("https://twitter.com/paulodallanoram/status/1704381135935914475")</f>
        <v>https://twitter.com/paulodallanoram/status/1704381135935914475</v>
      </c>
      <c r="AF2191" s="90">
        <v>45189.267395833333</v>
      </c>
      <c r="AG2191" s="99">
        <v>45189</v>
      </c>
      <c r="AH2191" s="93" t="s">
        <v>13517</v>
      </c>
      <c r="AI2191" s="87" t="b">
        <v>0</v>
      </c>
      <c r="AJ2191" s="87"/>
      <c r="AK2191" s="87"/>
      <c r="AL2191" s="87"/>
      <c r="AM2191" s="87"/>
      <c r="AN2191" s="87"/>
      <c r="AO2191" s="87"/>
      <c r="AP2191" s="87"/>
      <c r="AQ2191" s="87"/>
      <c r="AR2191" s="87"/>
      <c r="AS2191" s="87"/>
      <c r="AT2191" s="87"/>
      <c r="AU2191" s="87"/>
      <c r="AV2191" s="92" t="str">
        <f>HYPERLINK("https://pbs.twimg.com/profile_images/1428228385268928516/SEN3IOrz_normal.jpg")</f>
        <v>https://pbs.twimg.com/profile_images/1428228385268928516/SEN3IOrz_normal.jpg</v>
      </c>
      <c r="AW2191" s="93" t="s">
        <v>20409</v>
      </c>
      <c r="AX2191" s="93" t="s">
        <v>20409</v>
      </c>
      <c r="AY2191" s="87"/>
      <c r="AZ2191" s="93" t="s">
        <v>22668</v>
      </c>
      <c r="BA2191" s="93" t="s">
        <v>22668</v>
      </c>
      <c r="BB2191" s="93" t="s">
        <v>22668</v>
      </c>
      <c r="BC2191" s="93" t="s">
        <v>20409</v>
      </c>
      <c r="BD2191" s="93" t="s">
        <v>23218</v>
      </c>
      <c r="BE2191" s="87"/>
      <c r="BF2191" s="87"/>
      <c r="BG2191" s="87"/>
      <c r="BH2191" s="87"/>
      <c r="BI2191" s="87"/>
    </row>
    <row r="2192" spans="1:61" x14ac:dyDescent="0.25">
      <c r="A2192" s="63" t="s">
        <v>968</v>
      </c>
      <c r="B2192" s="63" t="s">
        <v>968</v>
      </c>
      <c r="C2192" s="64"/>
      <c r="D2192" s="65"/>
      <c r="E2192" s="66"/>
      <c r="F2192" s="67"/>
      <c r="G2192" s="64"/>
      <c r="H2192" s="68"/>
      <c r="I2192" s="69"/>
      <c r="J2192" s="69"/>
      <c r="K2192" s="32"/>
      <c r="L2192" s="76">
        <v>2192</v>
      </c>
      <c r="M2192" s="76"/>
      <c r="N2192" s="71"/>
      <c r="O2192" s="87" t="s">
        <v>179</v>
      </c>
      <c r="P2192" s="90">
        <v>45184.421238425923</v>
      </c>
      <c r="Q2192" s="87" t="s">
        <v>3967</v>
      </c>
      <c r="R2192" s="87">
        <v>0</v>
      </c>
      <c r="S2192" s="87">
        <v>0</v>
      </c>
      <c r="T2192" s="87">
        <v>0</v>
      </c>
      <c r="U2192" s="87">
        <v>0</v>
      </c>
      <c r="V2192" s="87">
        <v>23</v>
      </c>
      <c r="W2192" s="93" t="s">
        <v>7270</v>
      </c>
      <c r="X2192" s="92" t="str">
        <f>HYPERLINK("https://bit.ly/3PkI165")</f>
        <v>https://bit.ly/3PkI165</v>
      </c>
      <c r="Y2192" s="87" t="s">
        <v>8374</v>
      </c>
      <c r="Z2192" s="87"/>
      <c r="AA2192" s="87"/>
      <c r="AB2192" s="87"/>
      <c r="AC2192" s="93" t="s">
        <v>11457</v>
      </c>
      <c r="AD2192" s="87" t="s">
        <v>11523</v>
      </c>
      <c r="AE2192" s="92" t="str">
        <f>HYPERLINK("https://twitter.com/paulodallanoram/status/1702624950006186001")</f>
        <v>https://twitter.com/paulodallanoram/status/1702624950006186001</v>
      </c>
      <c r="AF2192" s="90">
        <v>45184.421238425923</v>
      </c>
      <c r="AG2192" s="99">
        <v>45184</v>
      </c>
      <c r="AH2192" s="93" t="s">
        <v>13518</v>
      </c>
      <c r="AI2192" s="87" t="b">
        <v>0</v>
      </c>
      <c r="AJ2192" s="87"/>
      <c r="AK2192" s="87"/>
      <c r="AL2192" s="87"/>
      <c r="AM2192" s="87"/>
      <c r="AN2192" s="87"/>
      <c r="AO2192" s="87"/>
      <c r="AP2192" s="87"/>
      <c r="AQ2192" s="87"/>
      <c r="AR2192" s="87"/>
      <c r="AS2192" s="87"/>
      <c r="AT2192" s="87"/>
      <c r="AU2192" s="87"/>
      <c r="AV2192" s="92" t="str">
        <f>HYPERLINK("https://pbs.twimg.com/profile_images/1428228385268928516/SEN3IOrz_normal.jpg")</f>
        <v>https://pbs.twimg.com/profile_images/1428228385268928516/SEN3IOrz_normal.jpg</v>
      </c>
      <c r="AW2192" s="93" t="s">
        <v>20410</v>
      </c>
      <c r="AX2192" s="93" t="s">
        <v>20410</v>
      </c>
      <c r="AY2192" s="87"/>
      <c r="AZ2192" s="93" t="s">
        <v>22668</v>
      </c>
      <c r="BA2192" s="93" t="s">
        <v>22668</v>
      </c>
      <c r="BB2192" s="93" t="s">
        <v>22668</v>
      </c>
      <c r="BC2192" s="93" t="s">
        <v>20410</v>
      </c>
      <c r="BD2192" s="93" t="s">
        <v>23218</v>
      </c>
      <c r="BE2192" s="87"/>
      <c r="BF2192" s="87"/>
      <c r="BG2192" s="87"/>
      <c r="BH2192" s="87"/>
      <c r="BI2192" s="87"/>
    </row>
    <row r="2193" spans="1:61" x14ac:dyDescent="0.25">
      <c r="A2193" s="63" t="s">
        <v>968</v>
      </c>
      <c r="B2193" s="63" t="s">
        <v>968</v>
      </c>
      <c r="C2193" s="64"/>
      <c r="D2193" s="65"/>
      <c r="E2193" s="66"/>
      <c r="F2193" s="67"/>
      <c r="G2193" s="64"/>
      <c r="H2193" s="68"/>
      <c r="I2193" s="69"/>
      <c r="J2193" s="69"/>
      <c r="K2193" s="32"/>
      <c r="L2193" s="76">
        <v>2193</v>
      </c>
      <c r="M2193" s="76"/>
      <c r="N2193" s="71"/>
      <c r="O2193" s="87" t="s">
        <v>179</v>
      </c>
      <c r="P2193" s="90">
        <v>45156.257175925923</v>
      </c>
      <c r="Q2193" s="87" t="s">
        <v>3968</v>
      </c>
      <c r="R2193" s="87">
        <v>0</v>
      </c>
      <c r="S2193" s="87">
        <v>0</v>
      </c>
      <c r="T2193" s="87">
        <v>0</v>
      </c>
      <c r="U2193" s="87">
        <v>0</v>
      </c>
      <c r="V2193" s="87">
        <v>9</v>
      </c>
      <c r="W2193" s="93" t="s">
        <v>7273</v>
      </c>
      <c r="X2193" s="92" t="str">
        <f>HYPERLINK("https://bit.ly/3P2PZSD")</f>
        <v>https://bit.ly/3P2PZSD</v>
      </c>
      <c r="Y2193" s="87" t="s">
        <v>8374</v>
      </c>
      <c r="Z2193" s="87"/>
      <c r="AA2193" s="87"/>
      <c r="AB2193" s="87"/>
      <c r="AC2193" s="93" t="s">
        <v>11457</v>
      </c>
      <c r="AD2193" s="87" t="s">
        <v>11519</v>
      </c>
      <c r="AE2193" s="92" t="str">
        <f>HYPERLINK("https://twitter.com/paulodallanoram/status/1692418632884552001")</f>
        <v>https://twitter.com/paulodallanoram/status/1692418632884552001</v>
      </c>
      <c r="AF2193" s="90">
        <v>45156.257175925923</v>
      </c>
      <c r="AG2193" s="99">
        <v>45156</v>
      </c>
      <c r="AH2193" s="93" t="s">
        <v>13519</v>
      </c>
      <c r="AI2193" s="87" t="b">
        <v>0</v>
      </c>
      <c r="AJ2193" s="87"/>
      <c r="AK2193" s="87"/>
      <c r="AL2193" s="87"/>
      <c r="AM2193" s="87"/>
      <c r="AN2193" s="87"/>
      <c r="AO2193" s="87"/>
      <c r="AP2193" s="87"/>
      <c r="AQ2193" s="87"/>
      <c r="AR2193" s="87"/>
      <c r="AS2193" s="87"/>
      <c r="AT2193" s="87"/>
      <c r="AU2193" s="87"/>
      <c r="AV2193" s="92" t="str">
        <f>HYPERLINK("https://pbs.twimg.com/profile_images/1428228385268928516/SEN3IOrz_normal.jpg")</f>
        <v>https://pbs.twimg.com/profile_images/1428228385268928516/SEN3IOrz_normal.jpg</v>
      </c>
      <c r="AW2193" s="93" t="s">
        <v>20411</v>
      </c>
      <c r="AX2193" s="93" t="s">
        <v>20411</v>
      </c>
      <c r="AY2193" s="87"/>
      <c r="AZ2193" s="93" t="s">
        <v>22668</v>
      </c>
      <c r="BA2193" s="93" t="s">
        <v>22668</v>
      </c>
      <c r="BB2193" s="93" t="s">
        <v>22668</v>
      </c>
      <c r="BC2193" s="93" t="s">
        <v>20411</v>
      </c>
      <c r="BD2193" s="93" t="s">
        <v>23218</v>
      </c>
      <c r="BE2193" s="87"/>
      <c r="BF2193" s="87"/>
      <c r="BG2193" s="87"/>
      <c r="BH2193" s="87"/>
      <c r="BI2193" s="87"/>
    </row>
    <row r="2194" spans="1:61" x14ac:dyDescent="0.25">
      <c r="A2194" s="63" t="s">
        <v>968</v>
      </c>
      <c r="B2194" s="63" t="s">
        <v>968</v>
      </c>
      <c r="C2194" s="64"/>
      <c r="D2194" s="65"/>
      <c r="E2194" s="66"/>
      <c r="F2194" s="67"/>
      <c r="G2194" s="64"/>
      <c r="H2194" s="68"/>
      <c r="I2194" s="69"/>
      <c r="J2194" s="69"/>
      <c r="K2194" s="32"/>
      <c r="L2194" s="76">
        <v>2194</v>
      </c>
      <c r="M2194" s="76"/>
      <c r="N2194" s="71"/>
      <c r="O2194" s="87" t="s">
        <v>179</v>
      </c>
      <c r="P2194" s="90">
        <v>45195.290601851855</v>
      </c>
      <c r="Q2194" s="87" t="s">
        <v>3969</v>
      </c>
      <c r="R2194" s="87">
        <v>0</v>
      </c>
      <c r="S2194" s="87">
        <v>1</v>
      </c>
      <c r="T2194" s="87">
        <v>0</v>
      </c>
      <c r="U2194" s="87">
        <v>0</v>
      </c>
      <c r="V2194" s="87">
        <v>34</v>
      </c>
      <c r="W2194" s="93" t="s">
        <v>7270</v>
      </c>
      <c r="X2194" s="92" t="str">
        <f>HYPERLINK("https://bit.ly/46nQEDY")</f>
        <v>https://bit.ly/46nQEDY</v>
      </c>
      <c r="Y2194" s="87" t="s">
        <v>8374</v>
      </c>
      <c r="Z2194" s="87"/>
      <c r="AA2194" s="87"/>
      <c r="AB2194" s="87"/>
      <c r="AC2194" s="93" t="s">
        <v>11457</v>
      </c>
      <c r="AD2194" s="87" t="s">
        <v>11519</v>
      </c>
      <c r="AE2194" s="92" t="str">
        <f>HYPERLINK("https://twitter.com/paulodallanoram/status/1706563874206404728")</f>
        <v>https://twitter.com/paulodallanoram/status/1706563874206404728</v>
      </c>
      <c r="AF2194" s="90">
        <v>45195.290601851855</v>
      </c>
      <c r="AG2194" s="99">
        <v>45195</v>
      </c>
      <c r="AH2194" s="93" t="s">
        <v>13520</v>
      </c>
      <c r="AI2194" s="87" t="b">
        <v>0</v>
      </c>
      <c r="AJ2194" s="87"/>
      <c r="AK2194" s="87"/>
      <c r="AL2194" s="87"/>
      <c r="AM2194" s="87"/>
      <c r="AN2194" s="87"/>
      <c r="AO2194" s="87"/>
      <c r="AP2194" s="87"/>
      <c r="AQ2194" s="87"/>
      <c r="AR2194" s="87"/>
      <c r="AS2194" s="87"/>
      <c r="AT2194" s="87"/>
      <c r="AU2194" s="87"/>
      <c r="AV2194" s="92" t="str">
        <f>HYPERLINK("https://pbs.twimg.com/profile_images/1428228385268928516/SEN3IOrz_normal.jpg")</f>
        <v>https://pbs.twimg.com/profile_images/1428228385268928516/SEN3IOrz_normal.jpg</v>
      </c>
      <c r="AW2194" s="93" t="s">
        <v>20412</v>
      </c>
      <c r="AX2194" s="93" t="s">
        <v>20412</v>
      </c>
      <c r="AY2194" s="87"/>
      <c r="AZ2194" s="93" t="s">
        <v>22668</v>
      </c>
      <c r="BA2194" s="93" t="s">
        <v>22668</v>
      </c>
      <c r="BB2194" s="93" t="s">
        <v>22668</v>
      </c>
      <c r="BC2194" s="93" t="s">
        <v>20412</v>
      </c>
      <c r="BD2194" s="93" t="s">
        <v>23218</v>
      </c>
      <c r="BE2194" s="87"/>
      <c r="BF2194" s="87"/>
      <c r="BG2194" s="87"/>
      <c r="BH2194" s="87"/>
      <c r="BI2194" s="87"/>
    </row>
    <row r="2195" spans="1:61" x14ac:dyDescent="0.25">
      <c r="A2195" s="63" t="s">
        <v>968</v>
      </c>
      <c r="B2195" s="63" t="s">
        <v>968</v>
      </c>
      <c r="C2195" s="64"/>
      <c r="D2195" s="65"/>
      <c r="E2195" s="66"/>
      <c r="F2195" s="67"/>
      <c r="G2195" s="64"/>
      <c r="H2195" s="68"/>
      <c r="I2195" s="69"/>
      <c r="J2195" s="69"/>
      <c r="K2195" s="32"/>
      <c r="L2195" s="76">
        <v>2195</v>
      </c>
      <c r="M2195" s="76"/>
      <c r="N2195" s="71"/>
      <c r="O2195" s="87" t="s">
        <v>179</v>
      </c>
      <c r="P2195" s="90">
        <v>45191.208483796298</v>
      </c>
      <c r="Q2195" s="87" t="s">
        <v>3970</v>
      </c>
      <c r="R2195" s="87">
        <v>0</v>
      </c>
      <c r="S2195" s="87">
        <v>0</v>
      </c>
      <c r="T2195" s="87">
        <v>0</v>
      </c>
      <c r="U2195" s="87">
        <v>0</v>
      </c>
      <c r="V2195" s="87">
        <v>23</v>
      </c>
      <c r="W2195" s="93" t="s">
        <v>7270</v>
      </c>
      <c r="X2195" s="92" t="str">
        <f>HYPERLINK("https://bit.ly/463M1iw")</f>
        <v>https://bit.ly/463M1iw</v>
      </c>
      <c r="Y2195" s="87" t="s">
        <v>8374</v>
      </c>
      <c r="Z2195" s="87"/>
      <c r="AA2195" s="87"/>
      <c r="AB2195" s="87"/>
      <c r="AC2195" s="93" t="s">
        <v>11457</v>
      </c>
      <c r="AD2195" s="87" t="s">
        <v>11519</v>
      </c>
      <c r="AE2195" s="92" t="str">
        <f>HYPERLINK("https://twitter.com/paulodallanoram/status/1705084562022232073")</f>
        <v>https://twitter.com/paulodallanoram/status/1705084562022232073</v>
      </c>
      <c r="AF2195" s="90">
        <v>45191.208483796298</v>
      </c>
      <c r="AG2195" s="99">
        <v>45191</v>
      </c>
      <c r="AH2195" s="93" t="s">
        <v>13521</v>
      </c>
      <c r="AI2195" s="87" t="b">
        <v>0</v>
      </c>
      <c r="AJ2195" s="87"/>
      <c r="AK2195" s="87"/>
      <c r="AL2195" s="87"/>
      <c r="AM2195" s="87"/>
      <c r="AN2195" s="87"/>
      <c r="AO2195" s="87"/>
      <c r="AP2195" s="87"/>
      <c r="AQ2195" s="87"/>
      <c r="AR2195" s="87"/>
      <c r="AS2195" s="87"/>
      <c r="AT2195" s="87"/>
      <c r="AU2195" s="87"/>
      <c r="AV2195" s="92" t="str">
        <f>HYPERLINK("https://pbs.twimg.com/profile_images/1428228385268928516/SEN3IOrz_normal.jpg")</f>
        <v>https://pbs.twimg.com/profile_images/1428228385268928516/SEN3IOrz_normal.jpg</v>
      </c>
      <c r="AW2195" s="93" t="s">
        <v>20413</v>
      </c>
      <c r="AX2195" s="93" t="s">
        <v>20413</v>
      </c>
      <c r="AY2195" s="87"/>
      <c r="AZ2195" s="93" t="s">
        <v>22668</v>
      </c>
      <c r="BA2195" s="93" t="s">
        <v>22668</v>
      </c>
      <c r="BB2195" s="93" t="s">
        <v>22668</v>
      </c>
      <c r="BC2195" s="93" t="s">
        <v>20413</v>
      </c>
      <c r="BD2195" s="93" t="s">
        <v>23218</v>
      </c>
      <c r="BE2195" s="87"/>
      <c r="BF2195" s="87"/>
      <c r="BG2195" s="87"/>
      <c r="BH2195" s="87"/>
      <c r="BI2195" s="87"/>
    </row>
    <row r="2196" spans="1:61" x14ac:dyDescent="0.25">
      <c r="A2196" s="63" t="s">
        <v>968</v>
      </c>
      <c r="B2196" s="63" t="s">
        <v>968</v>
      </c>
      <c r="C2196" s="64"/>
      <c r="D2196" s="65"/>
      <c r="E2196" s="66"/>
      <c r="F2196" s="67"/>
      <c r="G2196" s="64"/>
      <c r="H2196" s="68"/>
      <c r="I2196" s="69"/>
      <c r="J2196" s="69"/>
      <c r="K2196" s="32"/>
      <c r="L2196" s="76">
        <v>2196</v>
      </c>
      <c r="M2196" s="76"/>
      <c r="N2196" s="71"/>
      <c r="O2196" s="87" t="s">
        <v>179</v>
      </c>
      <c r="P2196" s="90">
        <v>45174.346446759257</v>
      </c>
      <c r="Q2196" s="87" t="s">
        <v>3971</v>
      </c>
      <c r="R2196" s="87">
        <v>0</v>
      </c>
      <c r="S2196" s="87">
        <v>1</v>
      </c>
      <c r="T2196" s="87">
        <v>0</v>
      </c>
      <c r="U2196" s="87">
        <v>0</v>
      </c>
      <c r="V2196" s="87">
        <v>34</v>
      </c>
      <c r="W2196" s="93" t="s">
        <v>7270</v>
      </c>
      <c r="X2196" s="92" t="str">
        <f>HYPERLINK("https://bit.ly/3Z5bSE7")</f>
        <v>https://bit.ly/3Z5bSE7</v>
      </c>
      <c r="Y2196" s="87" t="s">
        <v>8374</v>
      </c>
      <c r="Z2196" s="87"/>
      <c r="AA2196" s="87"/>
      <c r="AB2196" s="87"/>
      <c r="AC2196" s="93" t="s">
        <v>11457</v>
      </c>
      <c r="AD2196" s="87" t="s">
        <v>11519</v>
      </c>
      <c r="AE2196" s="92" t="str">
        <f>HYPERLINK("https://twitter.com/paulodallanoram/status/1698973966583357716")</f>
        <v>https://twitter.com/paulodallanoram/status/1698973966583357716</v>
      </c>
      <c r="AF2196" s="90">
        <v>45174.346446759257</v>
      </c>
      <c r="AG2196" s="99">
        <v>45174</v>
      </c>
      <c r="AH2196" s="93" t="s">
        <v>13522</v>
      </c>
      <c r="AI2196" s="87" t="b">
        <v>0</v>
      </c>
      <c r="AJ2196" s="87"/>
      <c r="AK2196" s="87"/>
      <c r="AL2196" s="87"/>
      <c r="AM2196" s="87"/>
      <c r="AN2196" s="87"/>
      <c r="AO2196" s="87"/>
      <c r="AP2196" s="87"/>
      <c r="AQ2196" s="87"/>
      <c r="AR2196" s="87"/>
      <c r="AS2196" s="87"/>
      <c r="AT2196" s="87"/>
      <c r="AU2196" s="87"/>
      <c r="AV2196" s="92" t="str">
        <f>HYPERLINK("https://pbs.twimg.com/profile_images/1428228385268928516/SEN3IOrz_normal.jpg")</f>
        <v>https://pbs.twimg.com/profile_images/1428228385268928516/SEN3IOrz_normal.jpg</v>
      </c>
      <c r="AW2196" s="93" t="s">
        <v>20414</v>
      </c>
      <c r="AX2196" s="93" t="s">
        <v>20414</v>
      </c>
      <c r="AY2196" s="87"/>
      <c r="AZ2196" s="93" t="s">
        <v>22668</v>
      </c>
      <c r="BA2196" s="93" t="s">
        <v>22668</v>
      </c>
      <c r="BB2196" s="93" t="s">
        <v>22668</v>
      </c>
      <c r="BC2196" s="93" t="s">
        <v>20414</v>
      </c>
      <c r="BD2196" s="93" t="s">
        <v>23218</v>
      </c>
      <c r="BE2196" s="87"/>
      <c r="BF2196" s="87"/>
      <c r="BG2196" s="87"/>
      <c r="BH2196" s="87"/>
      <c r="BI2196" s="87"/>
    </row>
    <row r="2197" spans="1:61" x14ac:dyDescent="0.25">
      <c r="A2197" s="63" t="s">
        <v>968</v>
      </c>
      <c r="B2197" s="63" t="s">
        <v>968</v>
      </c>
      <c r="C2197" s="64"/>
      <c r="D2197" s="65"/>
      <c r="E2197" s="66"/>
      <c r="F2197" s="67"/>
      <c r="G2197" s="64"/>
      <c r="H2197" s="68"/>
      <c r="I2197" s="69"/>
      <c r="J2197" s="69"/>
      <c r="K2197" s="32"/>
      <c r="L2197" s="76">
        <v>2197</v>
      </c>
      <c r="M2197" s="76"/>
      <c r="N2197" s="71"/>
      <c r="O2197" s="87" t="s">
        <v>179</v>
      </c>
      <c r="P2197" s="90">
        <v>45196.416689814818</v>
      </c>
      <c r="Q2197" s="87" t="s">
        <v>3972</v>
      </c>
      <c r="R2197" s="87">
        <v>0</v>
      </c>
      <c r="S2197" s="87">
        <v>0</v>
      </c>
      <c r="T2197" s="87">
        <v>0</v>
      </c>
      <c r="U2197" s="87">
        <v>0</v>
      </c>
      <c r="V2197" s="87">
        <v>17</v>
      </c>
      <c r="W2197" s="93" t="s">
        <v>7270</v>
      </c>
      <c r="X2197" s="92" t="str">
        <f>HYPERLINK("https://bit.ly/45S7P0m")</f>
        <v>https://bit.ly/45S7P0m</v>
      </c>
      <c r="Y2197" s="87" t="s">
        <v>8374</v>
      </c>
      <c r="Z2197" s="87"/>
      <c r="AA2197" s="87" t="s">
        <v>10029</v>
      </c>
      <c r="AB2197" s="87" t="s">
        <v>11448</v>
      </c>
      <c r="AC2197" s="93" t="s">
        <v>11457</v>
      </c>
      <c r="AD2197" s="87" t="s">
        <v>11519</v>
      </c>
      <c r="AE2197" s="92" t="str">
        <f>HYPERLINK("https://twitter.com/paulodallanoram/status/1706971952500334796")</f>
        <v>https://twitter.com/paulodallanoram/status/1706971952500334796</v>
      </c>
      <c r="AF2197" s="90">
        <v>45196.416689814818</v>
      </c>
      <c r="AG2197" s="99">
        <v>45196</v>
      </c>
      <c r="AH2197" s="93" t="s">
        <v>13523</v>
      </c>
      <c r="AI2197" s="87" t="b">
        <v>0</v>
      </c>
      <c r="AJ2197" s="87"/>
      <c r="AK2197" s="87"/>
      <c r="AL2197" s="87"/>
      <c r="AM2197" s="87"/>
      <c r="AN2197" s="87"/>
      <c r="AO2197" s="87"/>
      <c r="AP2197" s="87"/>
      <c r="AQ2197" s="87" t="s">
        <v>16842</v>
      </c>
      <c r="AR2197" s="87"/>
      <c r="AS2197" s="87"/>
      <c r="AT2197" s="87"/>
      <c r="AU2197" s="87"/>
      <c r="AV2197" s="92" t="str">
        <f>HYPERLINK("https://pbs.twimg.com/media/F7Bh7fbXcAAkw0b.jpg")</f>
        <v>https://pbs.twimg.com/media/F7Bh7fbXcAAkw0b.jpg</v>
      </c>
      <c r="AW2197" s="93" t="s">
        <v>20415</v>
      </c>
      <c r="AX2197" s="93" t="s">
        <v>20415</v>
      </c>
      <c r="AY2197" s="87"/>
      <c r="AZ2197" s="93" t="s">
        <v>22668</v>
      </c>
      <c r="BA2197" s="93" t="s">
        <v>22668</v>
      </c>
      <c r="BB2197" s="93" t="s">
        <v>22668</v>
      </c>
      <c r="BC2197" s="93" t="s">
        <v>20415</v>
      </c>
      <c r="BD2197" s="93" t="s">
        <v>23218</v>
      </c>
      <c r="BE2197" s="87"/>
      <c r="BF2197" s="87"/>
      <c r="BG2197" s="87"/>
      <c r="BH2197" s="87"/>
      <c r="BI2197" s="87"/>
    </row>
    <row r="2198" spans="1:61" x14ac:dyDescent="0.25">
      <c r="A2198" s="63" t="s">
        <v>969</v>
      </c>
      <c r="B2198" s="63" t="s">
        <v>969</v>
      </c>
      <c r="C2198" s="64"/>
      <c r="D2198" s="65"/>
      <c r="E2198" s="66"/>
      <c r="F2198" s="67"/>
      <c r="G2198" s="64"/>
      <c r="H2198" s="68"/>
      <c r="I2198" s="69"/>
      <c r="J2198" s="69"/>
      <c r="K2198" s="32"/>
      <c r="L2198" s="76">
        <v>2198</v>
      </c>
      <c r="M2198" s="76"/>
      <c r="N2198" s="71"/>
      <c r="O2198" s="87" t="s">
        <v>179</v>
      </c>
      <c r="P2198" s="90">
        <v>45183.834837962961</v>
      </c>
      <c r="Q2198" s="87" t="s">
        <v>3973</v>
      </c>
      <c r="R2198" s="87">
        <v>0</v>
      </c>
      <c r="S2198" s="87">
        <v>0</v>
      </c>
      <c r="T2198" s="87">
        <v>0</v>
      </c>
      <c r="U2198" s="87">
        <v>0</v>
      </c>
      <c r="V2198" s="87">
        <v>8</v>
      </c>
      <c r="W2198" s="93" t="s">
        <v>7274</v>
      </c>
      <c r="X2198" s="92" t="str">
        <f>HYPERLINK("https://www.instagram.com/franchise.store/")</f>
        <v>https://www.instagram.com/franchise.store/</v>
      </c>
      <c r="Y2198" s="87" t="s">
        <v>8383</v>
      </c>
      <c r="Z2198" s="87"/>
      <c r="AA2198" s="87" t="s">
        <v>10030</v>
      </c>
      <c r="AB2198" s="87" t="s">
        <v>11447</v>
      </c>
      <c r="AC2198" s="93" t="s">
        <v>11462</v>
      </c>
      <c r="AD2198" s="87" t="s">
        <v>11519</v>
      </c>
      <c r="AE2198" s="92" t="str">
        <f>HYPERLINK("https://twitter.com/franchise_store/status/1702412445493375099")</f>
        <v>https://twitter.com/franchise_store/status/1702412445493375099</v>
      </c>
      <c r="AF2198" s="90">
        <v>45183.834837962961</v>
      </c>
      <c r="AG2198" s="99">
        <v>45183</v>
      </c>
      <c r="AH2198" s="93" t="s">
        <v>13524</v>
      </c>
      <c r="AI2198" s="87" t="b">
        <v>0</v>
      </c>
      <c r="AJ2198" s="87"/>
      <c r="AK2198" s="87"/>
      <c r="AL2198" s="87"/>
      <c r="AM2198" s="87"/>
      <c r="AN2198" s="87"/>
      <c r="AO2198" s="87"/>
      <c r="AP2198" s="87"/>
      <c r="AQ2198" s="87" t="s">
        <v>16843</v>
      </c>
      <c r="AR2198" s="87">
        <v>28733</v>
      </c>
      <c r="AS2198" s="87"/>
      <c r="AT2198" s="87"/>
      <c r="AU2198" s="87"/>
      <c r="AV2198" s="92" t="str">
        <f>HYPERLINK("https://pbs.twimg.com/ext_tw_video_thumb/1702412393874128896/pu/img/IgZkWWoigkCjdRqA.jpg")</f>
        <v>https://pbs.twimg.com/ext_tw_video_thumb/1702412393874128896/pu/img/IgZkWWoigkCjdRqA.jpg</v>
      </c>
      <c r="AW2198" s="93" t="s">
        <v>20416</v>
      </c>
      <c r="AX2198" s="93" t="s">
        <v>20416</v>
      </c>
      <c r="AY2198" s="87"/>
      <c r="AZ2198" s="93" t="s">
        <v>22668</v>
      </c>
      <c r="BA2198" s="93" t="s">
        <v>22668</v>
      </c>
      <c r="BB2198" s="93" t="s">
        <v>22668</v>
      </c>
      <c r="BC2198" s="93" t="s">
        <v>20416</v>
      </c>
      <c r="BD2198" s="87">
        <v>28864636</v>
      </c>
      <c r="BE2198" s="87"/>
      <c r="BF2198" s="87"/>
      <c r="BG2198" s="87"/>
      <c r="BH2198" s="87"/>
      <c r="BI2198" s="87"/>
    </row>
    <row r="2199" spans="1:61" x14ac:dyDescent="0.25">
      <c r="A2199" s="63" t="s">
        <v>969</v>
      </c>
      <c r="B2199" s="63" t="s">
        <v>969</v>
      </c>
      <c r="C2199" s="64"/>
      <c r="D2199" s="65"/>
      <c r="E2199" s="66"/>
      <c r="F2199" s="67"/>
      <c r="G2199" s="64"/>
      <c r="H2199" s="68"/>
      <c r="I2199" s="69"/>
      <c r="J2199" s="69"/>
      <c r="K2199" s="32"/>
      <c r="L2199" s="76">
        <v>2199</v>
      </c>
      <c r="M2199" s="76"/>
      <c r="N2199" s="71"/>
      <c r="O2199" s="87" t="s">
        <v>179</v>
      </c>
      <c r="P2199" s="90">
        <v>45112.748680555553</v>
      </c>
      <c r="Q2199" s="87" t="s">
        <v>3974</v>
      </c>
      <c r="R2199" s="87">
        <v>0</v>
      </c>
      <c r="S2199" s="87">
        <v>0</v>
      </c>
      <c r="T2199" s="87">
        <v>0</v>
      </c>
      <c r="U2199" s="87">
        <v>0</v>
      </c>
      <c r="V2199" s="87">
        <v>13</v>
      </c>
      <c r="W2199" s="93" t="s">
        <v>7275</v>
      </c>
      <c r="X2199" s="87"/>
      <c r="Y2199" s="87"/>
      <c r="Z2199" s="87"/>
      <c r="AA2199" s="87" t="s">
        <v>10031</v>
      </c>
      <c r="AB2199" s="87" t="s">
        <v>11447</v>
      </c>
      <c r="AC2199" s="93" t="s">
        <v>11462</v>
      </c>
      <c r="AD2199" s="87" t="s">
        <v>11519</v>
      </c>
      <c r="AE2199" s="92" t="str">
        <f>HYPERLINK("https://twitter.com/franchise_store/status/1676651684200587275")</f>
        <v>https://twitter.com/franchise_store/status/1676651684200587275</v>
      </c>
      <c r="AF2199" s="90">
        <v>45112.748680555553</v>
      </c>
      <c r="AG2199" s="99">
        <v>45112</v>
      </c>
      <c r="AH2199" s="93" t="s">
        <v>13525</v>
      </c>
      <c r="AI2199" s="87" t="b">
        <v>0</v>
      </c>
      <c r="AJ2199" s="87"/>
      <c r="AK2199" s="87"/>
      <c r="AL2199" s="87"/>
      <c r="AM2199" s="87"/>
      <c r="AN2199" s="87"/>
      <c r="AO2199" s="87"/>
      <c r="AP2199" s="87"/>
      <c r="AQ2199" s="87" t="s">
        <v>16844</v>
      </c>
      <c r="AR2199" s="87">
        <v>20000</v>
      </c>
      <c r="AS2199" s="87"/>
      <c r="AT2199" s="87"/>
      <c r="AU2199" s="87"/>
      <c r="AV2199" s="92" t="str">
        <f>HYPERLINK("https://pbs.twimg.com/ext_tw_video_thumb/1676651637522178048/pu/img/aFlfFw5YSwDJ-OPa.jpg")</f>
        <v>https://pbs.twimg.com/ext_tw_video_thumb/1676651637522178048/pu/img/aFlfFw5YSwDJ-OPa.jpg</v>
      </c>
      <c r="AW2199" s="93" t="s">
        <v>20417</v>
      </c>
      <c r="AX2199" s="93" t="s">
        <v>20417</v>
      </c>
      <c r="AY2199" s="87"/>
      <c r="AZ2199" s="93" t="s">
        <v>22668</v>
      </c>
      <c r="BA2199" s="93" t="s">
        <v>22668</v>
      </c>
      <c r="BB2199" s="93" t="s">
        <v>22668</v>
      </c>
      <c r="BC2199" s="93" t="s">
        <v>20417</v>
      </c>
      <c r="BD2199" s="87">
        <v>28864636</v>
      </c>
      <c r="BE2199" s="87"/>
      <c r="BF2199" s="87"/>
      <c r="BG2199" s="87"/>
      <c r="BH2199" s="87"/>
      <c r="BI2199" s="87"/>
    </row>
    <row r="2200" spans="1:61" x14ac:dyDescent="0.25">
      <c r="A2200" s="63" t="s">
        <v>969</v>
      </c>
      <c r="B2200" s="63" t="s">
        <v>969</v>
      </c>
      <c r="C2200" s="64"/>
      <c r="D2200" s="65"/>
      <c r="E2200" s="66"/>
      <c r="F2200" s="67"/>
      <c r="G2200" s="64"/>
      <c r="H2200" s="68"/>
      <c r="I2200" s="69"/>
      <c r="J2200" s="69"/>
      <c r="K2200" s="32"/>
      <c r="L2200" s="76">
        <v>2200</v>
      </c>
      <c r="M2200" s="76"/>
      <c r="N2200" s="71"/>
      <c r="O2200" s="87" t="s">
        <v>179</v>
      </c>
      <c r="P2200" s="90">
        <v>45191.702118055553</v>
      </c>
      <c r="Q2200" s="87" t="s">
        <v>3975</v>
      </c>
      <c r="R2200" s="87">
        <v>0</v>
      </c>
      <c r="S2200" s="87">
        <v>0</v>
      </c>
      <c r="T2200" s="87">
        <v>0</v>
      </c>
      <c r="U2200" s="87">
        <v>0</v>
      </c>
      <c r="V2200" s="87">
        <v>10</v>
      </c>
      <c r="W2200" s="93" t="s">
        <v>7276</v>
      </c>
      <c r="X2200" s="87"/>
      <c r="Y2200" s="87"/>
      <c r="Z2200" s="87"/>
      <c r="AA2200" s="87" t="s">
        <v>10032</v>
      </c>
      <c r="AB2200" s="87" t="s">
        <v>11449</v>
      </c>
      <c r="AC2200" s="93" t="s">
        <v>11457</v>
      </c>
      <c r="AD2200" s="87" t="s">
        <v>11519</v>
      </c>
      <c r="AE2200" s="92" t="str">
        <f>HYPERLINK("https://twitter.com/franchise_store/status/1705263448559398979")</f>
        <v>https://twitter.com/franchise_store/status/1705263448559398979</v>
      </c>
      <c r="AF2200" s="90">
        <v>45191.702118055553</v>
      </c>
      <c r="AG2200" s="99">
        <v>45191</v>
      </c>
      <c r="AH2200" s="93" t="s">
        <v>13526</v>
      </c>
      <c r="AI2200" s="87" t="b">
        <v>0</v>
      </c>
      <c r="AJ2200" s="87"/>
      <c r="AK2200" s="87"/>
      <c r="AL2200" s="87"/>
      <c r="AM2200" s="87"/>
      <c r="AN2200" s="87"/>
      <c r="AO2200" s="87"/>
      <c r="AP2200" s="87"/>
      <c r="AQ2200" s="87" t="s">
        <v>16845</v>
      </c>
      <c r="AR2200" s="87"/>
      <c r="AS2200" s="87"/>
      <c r="AT2200" s="87"/>
      <c r="AU2200" s="87"/>
      <c r="AV2200" s="92" t="str">
        <f>HYPERLINK("https://pbs.twimg.com/media/F6pP_-1XoAAeb9v.jpg")</f>
        <v>https://pbs.twimg.com/media/F6pP_-1XoAAeb9v.jpg</v>
      </c>
      <c r="AW2200" s="93" t="s">
        <v>20418</v>
      </c>
      <c r="AX2200" s="93" t="s">
        <v>20418</v>
      </c>
      <c r="AY2200" s="87"/>
      <c r="AZ2200" s="93" t="s">
        <v>22668</v>
      </c>
      <c r="BA2200" s="93" t="s">
        <v>22668</v>
      </c>
      <c r="BB2200" s="93" t="s">
        <v>22668</v>
      </c>
      <c r="BC2200" s="93" t="s">
        <v>20418</v>
      </c>
      <c r="BD2200" s="87">
        <v>28864636</v>
      </c>
      <c r="BE2200" s="87"/>
      <c r="BF2200" s="87"/>
      <c r="BG2200" s="87"/>
      <c r="BH2200" s="87"/>
      <c r="BI2200" s="87"/>
    </row>
    <row r="2201" spans="1:61" x14ac:dyDescent="0.25">
      <c r="A2201" s="63" t="s">
        <v>969</v>
      </c>
      <c r="B2201" s="63" t="s">
        <v>969</v>
      </c>
      <c r="C2201" s="64"/>
      <c r="D2201" s="65"/>
      <c r="E2201" s="66"/>
      <c r="F2201" s="67"/>
      <c r="G2201" s="64"/>
      <c r="H2201" s="68"/>
      <c r="I2201" s="69"/>
      <c r="J2201" s="69"/>
      <c r="K2201" s="32"/>
      <c r="L2201" s="76">
        <v>2201</v>
      </c>
      <c r="M2201" s="76"/>
      <c r="N2201" s="71"/>
      <c r="O2201" s="87" t="s">
        <v>179</v>
      </c>
      <c r="P2201" s="90">
        <v>45184.626770833333</v>
      </c>
      <c r="Q2201" s="87" t="s">
        <v>3976</v>
      </c>
      <c r="R2201" s="87">
        <v>0</v>
      </c>
      <c r="S2201" s="87">
        <v>0</v>
      </c>
      <c r="T2201" s="87">
        <v>0</v>
      </c>
      <c r="U2201" s="87">
        <v>0</v>
      </c>
      <c r="V2201" s="87">
        <v>32</v>
      </c>
      <c r="W2201" s="93" t="s">
        <v>7277</v>
      </c>
      <c r="X2201" s="87"/>
      <c r="Y2201" s="87"/>
      <c r="Z2201" s="87"/>
      <c r="AA2201" s="87" t="s">
        <v>10033</v>
      </c>
      <c r="AB2201" s="87" t="s">
        <v>11448</v>
      </c>
      <c r="AC2201" s="93" t="s">
        <v>11462</v>
      </c>
      <c r="AD2201" s="87" t="s">
        <v>11519</v>
      </c>
      <c r="AE2201" s="92" t="str">
        <f>HYPERLINK("https://twitter.com/franchise_store/status/1702699428375560530")</f>
        <v>https://twitter.com/franchise_store/status/1702699428375560530</v>
      </c>
      <c r="AF2201" s="90">
        <v>45184.626770833333</v>
      </c>
      <c r="AG2201" s="99">
        <v>45184</v>
      </c>
      <c r="AH2201" s="93" t="s">
        <v>13527</v>
      </c>
      <c r="AI2201" s="87" t="b">
        <v>0</v>
      </c>
      <c r="AJ2201" s="87"/>
      <c r="AK2201" s="87"/>
      <c r="AL2201" s="87"/>
      <c r="AM2201" s="87"/>
      <c r="AN2201" s="87"/>
      <c r="AO2201" s="87"/>
      <c r="AP2201" s="87"/>
      <c r="AQ2201" s="87" t="s">
        <v>16846</v>
      </c>
      <c r="AR2201" s="87"/>
      <c r="AS2201" s="87"/>
      <c r="AT2201" s="87"/>
      <c r="AU2201" s="87"/>
      <c r="AV2201" s="92" t="str">
        <f>HYPERLINK("https://pbs.twimg.com/media/F6E0G0iXkAAcB57.jpg")</f>
        <v>https://pbs.twimg.com/media/F6E0G0iXkAAcB57.jpg</v>
      </c>
      <c r="AW2201" s="93" t="s">
        <v>20419</v>
      </c>
      <c r="AX2201" s="93" t="s">
        <v>20419</v>
      </c>
      <c r="AY2201" s="87"/>
      <c r="AZ2201" s="93" t="s">
        <v>22668</v>
      </c>
      <c r="BA2201" s="93" t="s">
        <v>22668</v>
      </c>
      <c r="BB2201" s="93" t="s">
        <v>22668</v>
      </c>
      <c r="BC2201" s="93" t="s">
        <v>20419</v>
      </c>
      <c r="BD2201" s="87">
        <v>28864636</v>
      </c>
      <c r="BE2201" s="87"/>
      <c r="BF2201" s="87"/>
      <c r="BG2201" s="87"/>
      <c r="BH2201" s="87"/>
      <c r="BI2201" s="87"/>
    </row>
    <row r="2202" spans="1:61" x14ac:dyDescent="0.25">
      <c r="A2202" s="63" t="s">
        <v>969</v>
      </c>
      <c r="B2202" s="63" t="s">
        <v>969</v>
      </c>
      <c r="C2202" s="64"/>
      <c r="D2202" s="65"/>
      <c r="E2202" s="66"/>
      <c r="F2202" s="67"/>
      <c r="G2202" s="64"/>
      <c r="H2202" s="68"/>
      <c r="I2202" s="69"/>
      <c r="J2202" s="69"/>
      <c r="K2202" s="32"/>
      <c r="L2202" s="76">
        <v>2202</v>
      </c>
      <c r="M2202" s="76"/>
      <c r="N2202" s="71"/>
      <c r="O2202" s="87" t="s">
        <v>179</v>
      </c>
      <c r="P2202" s="90">
        <v>45192.833645833336</v>
      </c>
      <c r="Q2202" s="87" t="s">
        <v>3977</v>
      </c>
      <c r="R2202" s="87">
        <v>0</v>
      </c>
      <c r="S2202" s="87">
        <v>0</v>
      </c>
      <c r="T2202" s="87">
        <v>0</v>
      </c>
      <c r="U2202" s="87">
        <v>0</v>
      </c>
      <c r="V2202" s="87">
        <v>9</v>
      </c>
      <c r="W2202" s="93" t="s">
        <v>7278</v>
      </c>
      <c r="X2202" s="87"/>
      <c r="Y2202" s="87"/>
      <c r="Z2202" s="87"/>
      <c r="AA2202" s="87" t="s">
        <v>10034</v>
      </c>
      <c r="AB2202" s="87" t="s">
        <v>11448</v>
      </c>
      <c r="AC2202" s="93" t="s">
        <v>11462</v>
      </c>
      <c r="AD2202" s="87" t="s">
        <v>11519</v>
      </c>
      <c r="AE2202" s="92" t="str">
        <f>HYPERLINK("https://twitter.com/franchise_store/status/1705673500873171211")</f>
        <v>https://twitter.com/franchise_store/status/1705673500873171211</v>
      </c>
      <c r="AF2202" s="90">
        <v>45192.833645833336</v>
      </c>
      <c r="AG2202" s="99">
        <v>45192</v>
      </c>
      <c r="AH2202" s="93" t="s">
        <v>13528</v>
      </c>
      <c r="AI2202" s="87" t="b">
        <v>0</v>
      </c>
      <c r="AJ2202" s="87"/>
      <c r="AK2202" s="87"/>
      <c r="AL2202" s="87"/>
      <c r="AM2202" s="87"/>
      <c r="AN2202" s="87"/>
      <c r="AO2202" s="87"/>
      <c r="AP2202" s="87"/>
      <c r="AQ2202" s="87" t="s">
        <v>16847</v>
      </c>
      <c r="AR2202" s="87"/>
      <c r="AS2202" s="87"/>
      <c r="AT2202" s="87"/>
      <c r="AU2202" s="87"/>
      <c r="AV2202" s="92" t="str">
        <f>HYPERLINK("https://pbs.twimg.com/media/F6vFAoLW0AAzIlu.jpg")</f>
        <v>https://pbs.twimg.com/media/F6vFAoLW0AAzIlu.jpg</v>
      </c>
      <c r="AW2202" s="93" t="s">
        <v>20420</v>
      </c>
      <c r="AX2202" s="93" t="s">
        <v>20420</v>
      </c>
      <c r="AY2202" s="87"/>
      <c r="AZ2202" s="93" t="s">
        <v>22668</v>
      </c>
      <c r="BA2202" s="93" t="s">
        <v>22668</v>
      </c>
      <c r="BB2202" s="93" t="s">
        <v>22668</v>
      </c>
      <c r="BC2202" s="93" t="s">
        <v>20420</v>
      </c>
      <c r="BD2202" s="87">
        <v>28864636</v>
      </c>
      <c r="BE2202" s="87"/>
      <c r="BF2202" s="87"/>
      <c r="BG2202" s="87"/>
      <c r="BH2202" s="87"/>
      <c r="BI2202" s="87"/>
    </row>
    <row r="2203" spans="1:61" x14ac:dyDescent="0.25">
      <c r="A2203" s="63" t="s">
        <v>969</v>
      </c>
      <c r="B2203" s="63" t="s">
        <v>969</v>
      </c>
      <c r="C2203" s="64"/>
      <c r="D2203" s="65"/>
      <c r="E2203" s="66"/>
      <c r="F2203" s="67"/>
      <c r="G2203" s="64"/>
      <c r="H2203" s="68"/>
      <c r="I2203" s="69"/>
      <c r="J2203" s="69"/>
      <c r="K2203" s="32"/>
      <c r="L2203" s="76">
        <v>2203</v>
      </c>
      <c r="M2203" s="76"/>
      <c r="N2203" s="71"/>
      <c r="O2203" s="87" t="s">
        <v>179</v>
      </c>
      <c r="P2203" s="90">
        <v>45125.519363425927</v>
      </c>
      <c r="Q2203" s="87" t="s">
        <v>3978</v>
      </c>
      <c r="R2203" s="87">
        <v>0</v>
      </c>
      <c r="S2203" s="87">
        <v>0</v>
      </c>
      <c r="T2203" s="87">
        <v>0</v>
      </c>
      <c r="U2203" s="87">
        <v>0</v>
      </c>
      <c r="V2203" s="87">
        <v>9</v>
      </c>
      <c r="W2203" s="93" t="s">
        <v>6200</v>
      </c>
      <c r="X2203" s="87"/>
      <c r="Y2203" s="87"/>
      <c r="Z2203" s="87"/>
      <c r="AA2203" s="87" t="s">
        <v>10035</v>
      </c>
      <c r="AB2203" s="87" t="s">
        <v>11448</v>
      </c>
      <c r="AC2203" s="93" t="s">
        <v>11457</v>
      </c>
      <c r="AD2203" s="87" t="s">
        <v>11519</v>
      </c>
      <c r="AE2203" s="92" t="str">
        <f>HYPERLINK("https://twitter.com/franchise_store/status/1681279624251158529")</f>
        <v>https://twitter.com/franchise_store/status/1681279624251158529</v>
      </c>
      <c r="AF2203" s="90">
        <v>45125.519363425927</v>
      </c>
      <c r="AG2203" s="99">
        <v>45125</v>
      </c>
      <c r="AH2203" s="93" t="s">
        <v>13529</v>
      </c>
      <c r="AI2203" s="87" t="b">
        <v>0</v>
      </c>
      <c r="AJ2203" s="87"/>
      <c r="AK2203" s="87"/>
      <c r="AL2203" s="87"/>
      <c r="AM2203" s="87"/>
      <c r="AN2203" s="87"/>
      <c r="AO2203" s="87"/>
      <c r="AP2203" s="87"/>
      <c r="AQ2203" s="87" t="s">
        <v>16848</v>
      </c>
      <c r="AR2203" s="87"/>
      <c r="AS2203" s="87"/>
      <c r="AT2203" s="87"/>
      <c r="AU2203" s="87"/>
      <c r="AV2203" s="92" t="str">
        <f>HYPERLINK("https://pbs.twimg.com/media/F1Ua1b4XgAAEKMw.jpg")</f>
        <v>https://pbs.twimg.com/media/F1Ua1b4XgAAEKMw.jpg</v>
      </c>
      <c r="AW2203" s="93" t="s">
        <v>20421</v>
      </c>
      <c r="AX2203" s="93" t="s">
        <v>20421</v>
      </c>
      <c r="AY2203" s="87"/>
      <c r="AZ2203" s="93" t="s">
        <v>22668</v>
      </c>
      <c r="BA2203" s="93" t="s">
        <v>22668</v>
      </c>
      <c r="BB2203" s="93" t="s">
        <v>22668</v>
      </c>
      <c r="BC2203" s="93" t="s">
        <v>20421</v>
      </c>
      <c r="BD2203" s="87">
        <v>28864636</v>
      </c>
      <c r="BE2203" s="87"/>
      <c r="BF2203" s="87"/>
      <c r="BG2203" s="87"/>
      <c r="BH2203" s="87"/>
      <c r="BI2203" s="87"/>
    </row>
    <row r="2204" spans="1:61" x14ac:dyDescent="0.25">
      <c r="A2204" s="63" t="s">
        <v>969</v>
      </c>
      <c r="B2204" s="63" t="s">
        <v>969</v>
      </c>
      <c r="C2204" s="64"/>
      <c r="D2204" s="65"/>
      <c r="E2204" s="66"/>
      <c r="F2204" s="67"/>
      <c r="G2204" s="64"/>
      <c r="H2204" s="68"/>
      <c r="I2204" s="69"/>
      <c r="J2204" s="69"/>
      <c r="K2204" s="32"/>
      <c r="L2204" s="76">
        <v>2204</v>
      </c>
      <c r="M2204" s="76"/>
      <c r="N2204" s="71"/>
      <c r="O2204" s="87" t="s">
        <v>179</v>
      </c>
      <c r="P2204" s="90">
        <v>45194.473865740743</v>
      </c>
      <c r="Q2204" s="87" t="s">
        <v>3979</v>
      </c>
      <c r="R2204" s="87">
        <v>0</v>
      </c>
      <c r="S2204" s="87">
        <v>0</v>
      </c>
      <c r="T2204" s="87">
        <v>0</v>
      </c>
      <c r="U2204" s="87">
        <v>0</v>
      </c>
      <c r="V2204" s="87">
        <v>18</v>
      </c>
      <c r="W2204" s="93" t="s">
        <v>7279</v>
      </c>
      <c r="X2204" s="87"/>
      <c r="Y2204" s="87"/>
      <c r="Z2204" s="87"/>
      <c r="AA2204" s="87" t="s">
        <v>10036</v>
      </c>
      <c r="AB2204" s="87" t="s">
        <v>11449</v>
      </c>
      <c r="AC2204" s="93" t="s">
        <v>11457</v>
      </c>
      <c r="AD2204" s="87" t="s">
        <v>11519</v>
      </c>
      <c r="AE2204" s="92" t="str">
        <f>HYPERLINK("https://twitter.com/franchise_store/status/1706267899319525583")</f>
        <v>https://twitter.com/franchise_store/status/1706267899319525583</v>
      </c>
      <c r="AF2204" s="90">
        <v>45194.473865740743</v>
      </c>
      <c r="AG2204" s="99">
        <v>45194</v>
      </c>
      <c r="AH2204" s="93" t="s">
        <v>13530</v>
      </c>
      <c r="AI2204" s="87" t="b">
        <v>0</v>
      </c>
      <c r="AJ2204" s="87"/>
      <c r="AK2204" s="87"/>
      <c r="AL2204" s="87"/>
      <c r="AM2204" s="87"/>
      <c r="AN2204" s="87"/>
      <c r="AO2204" s="87"/>
      <c r="AP2204" s="87"/>
      <c r="AQ2204" s="87" t="s">
        <v>16849</v>
      </c>
      <c r="AR2204" s="87"/>
      <c r="AS2204" s="87"/>
      <c r="AT2204" s="87"/>
      <c r="AU2204" s="87"/>
      <c r="AV2204" s="92" t="str">
        <f>HYPERLINK("https://pbs.twimg.com/media/F63hkpnXUAArx0g.jpg")</f>
        <v>https://pbs.twimg.com/media/F63hkpnXUAArx0g.jpg</v>
      </c>
      <c r="AW2204" s="93" t="s">
        <v>20422</v>
      </c>
      <c r="AX2204" s="93" t="s">
        <v>20422</v>
      </c>
      <c r="AY2204" s="87"/>
      <c r="AZ2204" s="93" t="s">
        <v>22668</v>
      </c>
      <c r="BA2204" s="93" t="s">
        <v>22668</v>
      </c>
      <c r="BB2204" s="93" t="s">
        <v>22668</v>
      </c>
      <c r="BC2204" s="93" t="s">
        <v>20422</v>
      </c>
      <c r="BD2204" s="87">
        <v>28864636</v>
      </c>
      <c r="BE2204" s="87"/>
      <c r="BF2204" s="87"/>
      <c r="BG2204" s="87"/>
      <c r="BH2204" s="87"/>
      <c r="BI2204" s="87"/>
    </row>
    <row r="2205" spans="1:61" x14ac:dyDescent="0.25">
      <c r="A2205" s="63" t="s">
        <v>969</v>
      </c>
      <c r="B2205" s="63" t="s">
        <v>969</v>
      </c>
      <c r="C2205" s="64"/>
      <c r="D2205" s="65"/>
      <c r="E2205" s="66"/>
      <c r="F2205" s="67"/>
      <c r="G2205" s="64"/>
      <c r="H2205" s="68"/>
      <c r="I2205" s="69"/>
      <c r="J2205" s="69"/>
      <c r="K2205" s="32"/>
      <c r="L2205" s="76">
        <v>2205</v>
      </c>
      <c r="M2205" s="76"/>
      <c r="N2205" s="71"/>
      <c r="O2205" s="87" t="s">
        <v>179</v>
      </c>
      <c r="P2205" s="90">
        <v>45188.834293981483</v>
      </c>
      <c r="Q2205" s="87" t="s">
        <v>3980</v>
      </c>
      <c r="R2205" s="87">
        <v>0</v>
      </c>
      <c r="S2205" s="87">
        <v>0</v>
      </c>
      <c r="T2205" s="87">
        <v>0</v>
      </c>
      <c r="U2205" s="87">
        <v>0</v>
      </c>
      <c r="V2205" s="87">
        <v>12</v>
      </c>
      <c r="W2205" s="93" t="s">
        <v>7280</v>
      </c>
      <c r="X2205" s="92" t="str">
        <f>HYPERLINK("https://franquia.com.br/")</f>
        <v>https://franquia.com.br/</v>
      </c>
      <c r="Y2205" s="87" t="s">
        <v>8373</v>
      </c>
      <c r="Z2205" s="87"/>
      <c r="AA2205" s="87" t="s">
        <v>10037</v>
      </c>
      <c r="AB2205" s="87" t="s">
        <v>11448</v>
      </c>
      <c r="AC2205" s="93" t="s">
        <v>11462</v>
      </c>
      <c r="AD2205" s="87" t="s">
        <v>11519</v>
      </c>
      <c r="AE2205" s="92" t="str">
        <f>HYPERLINK("https://twitter.com/franchise_store/status/1704224184027476412")</f>
        <v>https://twitter.com/franchise_store/status/1704224184027476412</v>
      </c>
      <c r="AF2205" s="90">
        <v>45188.834293981483</v>
      </c>
      <c r="AG2205" s="99">
        <v>45188</v>
      </c>
      <c r="AH2205" s="93" t="s">
        <v>13531</v>
      </c>
      <c r="AI2205" s="87" t="b">
        <v>0</v>
      </c>
      <c r="AJ2205" s="87"/>
      <c r="AK2205" s="87"/>
      <c r="AL2205" s="87"/>
      <c r="AM2205" s="87"/>
      <c r="AN2205" s="87"/>
      <c r="AO2205" s="87"/>
      <c r="AP2205" s="87"/>
      <c r="AQ2205" s="87" t="s">
        <v>16850</v>
      </c>
      <c r="AR2205" s="87"/>
      <c r="AS2205" s="87"/>
      <c r="AT2205" s="87"/>
      <c r="AU2205" s="87"/>
      <c r="AV2205" s="92" t="str">
        <f>HYPERLINK("https://pbs.twimg.com/media/F6ae3TYX0AA-OWw.jpg")</f>
        <v>https://pbs.twimg.com/media/F6ae3TYX0AA-OWw.jpg</v>
      </c>
      <c r="AW2205" s="93" t="s">
        <v>20423</v>
      </c>
      <c r="AX2205" s="93" t="s">
        <v>20423</v>
      </c>
      <c r="AY2205" s="87"/>
      <c r="AZ2205" s="93" t="s">
        <v>22668</v>
      </c>
      <c r="BA2205" s="93" t="s">
        <v>22668</v>
      </c>
      <c r="BB2205" s="93" t="s">
        <v>22668</v>
      </c>
      <c r="BC2205" s="93" t="s">
        <v>20423</v>
      </c>
      <c r="BD2205" s="87">
        <v>28864636</v>
      </c>
      <c r="BE2205" s="87"/>
      <c r="BF2205" s="87"/>
      <c r="BG2205" s="87"/>
      <c r="BH2205" s="87"/>
      <c r="BI2205" s="87"/>
    </row>
    <row r="2206" spans="1:61" x14ac:dyDescent="0.25">
      <c r="A2206" s="63" t="s">
        <v>969</v>
      </c>
      <c r="B2206" s="63" t="s">
        <v>969</v>
      </c>
      <c r="C2206" s="64"/>
      <c r="D2206" s="65"/>
      <c r="E2206" s="66"/>
      <c r="F2206" s="67"/>
      <c r="G2206" s="64"/>
      <c r="H2206" s="68"/>
      <c r="I2206" s="69"/>
      <c r="J2206" s="69"/>
      <c r="K2206" s="32"/>
      <c r="L2206" s="76">
        <v>2206</v>
      </c>
      <c r="M2206" s="76"/>
      <c r="N2206" s="71"/>
      <c r="O2206" s="87" t="s">
        <v>179</v>
      </c>
      <c r="P2206" s="90">
        <v>45195.498055555552</v>
      </c>
      <c r="Q2206" s="87" t="s">
        <v>3981</v>
      </c>
      <c r="R2206" s="87">
        <v>0</v>
      </c>
      <c r="S2206" s="87">
        <v>0</v>
      </c>
      <c r="T2206" s="87">
        <v>0</v>
      </c>
      <c r="U2206" s="87">
        <v>0</v>
      </c>
      <c r="V2206" s="87">
        <v>6</v>
      </c>
      <c r="W2206" s="93" t="s">
        <v>7281</v>
      </c>
      <c r="X2206" s="87"/>
      <c r="Y2206" s="87"/>
      <c r="Z2206" s="87"/>
      <c r="AA2206" s="87" t="s">
        <v>10038</v>
      </c>
      <c r="AB2206" s="87" t="s">
        <v>11449</v>
      </c>
      <c r="AC2206" s="93" t="s">
        <v>11457</v>
      </c>
      <c r="AD2206" s="87" t="s">
        <v>11519</v>
      </c>
      <c r="AE2206" s="92" t="str">
        <f>HYPERLINK("https://twitter.com/franchise_store/status/1706639052819038656")</f>
        <v>https://twitter.com/franchise_store/status/1706639052819038656</v>
      </c>
      <c r="AF2206" s="90">
        <v>45195.498055555552</v>
      </c>
      <c r="AG2206" s="99">
        <v>45195</v>
      </c>
      <c r="AH2206" s="93" t="s">
        <v>13532</v>
      </c>
      <c r="AI2206" s="87" t="b">
        <v>0</v>
      </c>
      <c r="AJ2206" s="87"/>
      <c r="AK2206" s="87"/>
      <c r="AL2206" s="87"/>
      <c r="AM2206" s="87"/>
      <c r="AN2206" s="87"/>
      <c r="AO2206" s="87"/>
      <c r="AP2206" s="87"/>
      <c r="AQ2206" s="87" t="s">
        <v>16851</v>
      </c>
      <c r="AR2206" s="87"/>
      <c r="AS2206" s="87"/>
      <c r="AT2206" s="87"/>
      <c r="AU2206" s="87"/>
      <c r="AV2206" s="92" t="str">
        <f>HYPERLINK("https://pbs.twimg.com/media/F68zHV1WUAAdPcV.jpg")</f>
        <v>https://pbs.twimg.com/media/F68zHV1WUAAdPcV.jpg</v>
      </c>
      <c r="AW2206" s="93" t="s">
        <v>20424</v>
      </c>
      <c r="AX2206" s="93" t="s">
        <v>20424</v>
      </c>
      <c r="AY2206" s="87"/>
      <c r="AZ2206" s="93" t="s">
        <v>22668</v>
      </c>
      <c r="BA2206" s="93" t="s">
        <v>22668</v>
      </c>
      <c r="BB2206" s="93" t="s">
        <v>22668</v>
      </c>
      <c r="BC2206" s="93" t="s">
        <v>20424</v>
      </c>
      <c r="BD2206" s="87">
        <v>28864636</v>
      </c>
      <c r="BE2206" s="87"/>
      <c r="BF2206" s="87"/>
      <c r="BG2206" s="87"/>
      <c r="BH2206" s="87"/>
      <c r="BI2206" s="87"/>
    </row>
    <row r="2207" spans="1:61" x14ac:dyDescent="0.25">
      <c r="A2207" s="63" t="s">
        <v>969</v>
      </c>
      <c r="B2207" s="63" t="s">
        <v>969</v>
      </c>
      <c r="C2207" s="64"/>
      <c r="D2207" s="65"/>
      <c r="E2207" s="66"/>
      <c r="F2207" s="67"/>
      <c r="G2207" s="64"/>
      <c r="H2207" s="68"/>
      <c r="I2207" s="69"/>
      <c r="J2207" s="69"/>
      <c r="K2207" s="32"/>
      <c r="L2207" s="76">
        <v>2207</v>
      </c>
      <c r="M2207" s="76"/>
      <c r="N2207" s="71"/>
      <c r="O2207" s="87" t="s">
        <v>179</v>
      </c>
      <c r="P2207" s="90">
        <v>45194.833784722221</v>
      </c>
      <c r="Q2207" s="87" t="s">
        <v>3982</v>
      </c>
      <c r="R2207" s="87">
        <v>0</v>
      </c>
      <c r="S2207" s="87">
        <v>0</v>
      </c>
      <c r="T2207" s="87">
        <v>0</v>
      </c>
      <c r="U2207" s="87">
        <v>0</v>
      </c>
      <c r="V2207" s="87">
        <v>8</v>
      </c>
      <c r="W2207" s="93" t="s">
        <v>7282</v>
      </c>
      <c r="X2207" s="87"/>
      <c r="Y2207" s="87"/>
      <c r="Z2207" s="87"/>
      <c r="AA2207" s="87" t="s">
        <v>10039</v>
      </c>
      <c r="AB2207" s="87" t="s">
        <v>11448</v>
      </c>
      <c r="AC2207" s="93" t="s">
        <v>11462</v>
      </c>
      <c r="AD2207" s="87" t="s">
        <v>11519</v>
      </c>
      <c r="AE2207" s="92" t="str">
        <f>HYPERLINK("https://twitter.com/franchise_store/status/1706398329192550696")</f>
        <v>https://twitter.com/franchise_store/status/1706398329192550696</v>
      </c>
      <c r="AF2207" s="90">
        <v>45194.833784722221</v>
      </c>
      <c r="AG2207" s="99">
        <v>45194</v>
      </c>
      <c r="AH2207" s="93" t="s">
        <v>13533</v>
      </c>
      <c r="AI2207" s="87" t="b">
        <v>0</v>
      </c>
      <c r="AJ2207" s="87"/>
      <c r="AK2207" s="87"/>
      <c r="AL2207" s="87"/>
      <c r="AM2207" s="87"/>
      <c r="AN2207" s="87"/>
      <c r="AO2207" s="87"/>
      <c r="AP2207" s="87"/>
      <c r="AQ2207" s="87" t="s">
        <v>16852</v>
      </c>
      <c r="AR2207" s="87"/>
      <c r="AS2207" s="87"/>
      <c r="AT2207" s="87"/>
      <c r="AU2207" s="87"/>
      <c r="AV2207" s="92" t="str">
        <f>HYPERLINK("https://pbs.twimg.com/media/F65YPOTXYAAWJZw.jpg")</f>
        <v>https://pbs.twimg.com/media/F65YPOTXYAAWJZw.jpg</v>
      </c>
      <c r="AW2207" s="93" t="s">
        <v>20425</v>
      </c>
      <c r="AX2207" s="93" t="s">
        <v>20425</v>
      </c>
      <c r="AY2207" s="87"/>
      <c r="AZ2207" s="93" t="s">
        <v>22668</v>
      </c>
      <c r="BA2207" s="93" t="s">
        <v>22668</v>
      </c>
      <c r="BB2207" s="93" t="s">
        <v>22668</v>
      </c>
      <c r="BC2207" s="93" t="s">
        <v>20425</v>
      </c>
      <c r="BD2207" s="87">
        <v>28864636</v>
      </c>
      <c r="BE2207" s="87"/>
      <c r="BF2207" s="87"/>
      <c r="BG2207" s="87"/>
      <c r="BH2207" s="87"/>
      <c r="BI2207" s="87"/>
    </row>
    <row r="2208" spans="1:61" x14ac:dyDescent="0.25">
      <c r="A2208" s="63" t="s">
        <v>969</v>
      </c>
      <c r="B2208" s="63" t="s">
        <v>969</v>
      </c>
      <c r="C2208" s="64"/>
      <c r="D2208" s="65"/>
      <c r="E2208" s="66"/>
      <c r="F2208" s="67"/>
      <c r="G2208" s="64"/>
      <c r="H2208" s="68"/>
      <c r="I2208" s="69"/>
      <c r="J2208" s="69"/>
      <c r="K2208" s="32"/>
      <c r="L2208" s="76">
        <v>2208</v>
      </c>
      <c r="M2208" s="76"/>
      <c r="N2208" s="71"/>
      <c r="O2208" s="87" t="s">
        <v>179</v>
      </c>
      <c r="P2208" s="90">
        <v>45189.824814814812</v>
      </c>
      <c r="Q2208" s="87" t="s">
        <v>3983</v>
      </c>
      <c r="R2208" s="87">
        <v>0</v>
      </c>
      <c r="S2208" s="87">
        <v>0</v>
      </c>
      <c r="T2208" s="87">
        <v>1</v>
      </c>
      <c r="U2208" s="87">
        <v>0</v>
      </c>
      <c r="V2208" s="87">
        <v>15</v>
      </c>
      <c r="W2208" s="93" t="s">
        <v>7283</v>
      </c>
      <c r="X2208" s="92" t="str">
        <f>HYPERLINK("https://www.instagram.com/franchise.store/")</f>
        <v>https://www.instagram.com/franchise.store/</v>
      </c>
      <c r="Y2208" s="87" t="s">
        <v>8383</v>
      </c>
      <c r="Z2208" s="87"/>
      <c r="AA2208" s="87" t="s">
        <v>10040</v>
      </c>
      <c r="AB2208" s="87" t="s">
        <v>11449</v>
      </c>
      <c r="AC2208" s="93" t="s">
        <v>11457</v>
      </c>
      <c r="AD2208" s="87" t="s">
        <v>11519</v>
      </c>
      <c r="AE2208" s="92" t="str">
        <f>HYPERLINK("https://twitter.com/franchise_store/status/1704583137148182871")</f>
        <v>https://twitter.com/franchise_store/status/1704583137148182871</v>
      </c>
      <c r="AF2208" s="90">
        <v>45189.824814814812</v>
      </c>
      <c r="AG2208" s="99">
        <v>45189</v>
      </c>
      <c r="AH2208" s="93" t="s">
        <v>13534</v>
      </c>
      <c r="AI2208" s="87" t="b">
        <v>0</v>
      </c>
      <c r="AJ2208" s="87"/>
      <c r="AK2208" s="87"/>
      <c r="AL2208" s="87"/>
      <c r="AM2208" s="87"/>
      <c r="AN2208" s="87"/>
      <c r="AO2208" s="87"/>
      <c r="AP2208" s="87"/>
      <c r="AQ2208" s="87" t="s">
        <v>16853</v>
      </c>
      <c r="AR2208" s="87"/>
      <c r="AS2208" s="87"/>
      <c r="AT2208" s="87"/>
      <c r="AU2208" s="87"/>
      <c r="AV2208" s="92" t="str">
        <f>HYPERLINK("https://pbs.twimg.com/media/F6flOmaXoAAJ6QN.jpg")</f>
        <v>https://pbs.twimg.com/media/F6flOmaXoAAJ6QN.jpg</v>
      </c>
      <c r="AW2208" s="93" t="s">
        <v>20426</v>
      </c>
      <c r="AX2208" s="93" t="s">
        <v>20426</v>
      </c>
      <c r="AY2208" s="87"/>
      <c r="AZ2208" s="93" t="s">
        <v>22668</v>
      </c>
      <c r="BA2208" s="93" t="s">
        <v>22668</v>
      </c>
      <c r="BB2208" s="93" t="s">
        <v>22668</v>
      </c>
      <c r="BC2208" s="93" t="s">
        <v>20426</v>
      </c>
      <c r="BD2208" s="87">
        <v>28864636</v>
      </c>
      <c r="BE2208" s="87"/>
      <c r="BF2208" s="87"/>
      <c r="BG2208" s="87"/>
      <c r="BH2208" s="87"/>
      <c r="BI2208" s="87"/>
    </row>
    <row r="2209" spans="1:61" x14ac:dyDescent="0.25">
      <c r="A2209" s="63" t="s">
        <v>969</v>
      </c>
      <c r="B2209" s="63" t="s">
        <v>969</v>
      </c>
      <c r="C2209" s="64"/>
      <c r="D2209" s="65"/>
      <c r="E2209" s="66"/>
      <c r="F2209" s="67"/>
      <c r="G2209" s="64"/>
      <c r="H2209" s="68"/>
      <c r="I2209" s="69"/>
      <c r="J2209" s="69"/>
      <c r="K2209" s="32"/>
      <c r="L2209" s="76">
        <v>2209</v>
      </c>
      <c r="M2209" s="76"/>
      <c r="N2209" s="71"/>
      <c r="O2209" s="87" t="s">
        <v>179</v>
      </c>
      <c r="P2209" s="90">
        <v>45127.876076388886</v>
      </c>
      <c r="Q2209" s="87" t="s">
        <v>3984</v>
      </c>
      <c r="R2209" s="87">
        <v>1</v>
      </c>
      <c r="S2209" s="87">
        <v>0</v>
      </c>
      <c r="T2209" s="87">
        <v>0</v>
      </c>
      <c r="U2209" s="87">
        <v>0</v>
      </c>
      <c r="V2209" s="87">
        <v>13</v>
      </c>
      <c r="W2209" s="93" t="s">
        <v>6200</v>
      </c>
      <c r="X2209" s="87"/>
      <c r="Y2209" s="87"/>
      <c r="Z2209" s="87"/>
      <c r="AA2209" s="87" t="s">
        <v>10041</v>
      </c>
      <c r="AB2209" s="87" t="s">
        <v>11448</v>
      </c>
      <c r="AC2209" s="93" t="s">
        <v>11462</v>
      </c>
      <c r="AD2209" s="87" t="s">
        <v>11519</v>
      </c>
      <c r="AE2209" s="92" t="str">
        <f>HYPERLINK("https://twitter.com/franchise_store/status/1682133667278102529")</f>
        <v>https://twitter.com/franchise_store/status/1682133667278102529</v>
      </c>
      <c r="AF2209" s="90">
        <v>45127.876076388886</v>
      </c>
      <c r="AG2209" s="99">
        <v>45127</v>
      </c>
      <c r="AH2209" s="93" t="s">
        <v>13535</v>
      </c>
      <c r="AI2209" s="87" t="b">
        <v>0</v>
      </c>
      <c r="AJ2209" s="87"/>
      <c r="AK2209" s="87"/>
      <c r="AL2209" s="87"/>
      <c r="AM2209" s="87"/>
      <c r="AN2209" s="87"/>
      <c r="AO2209" s="87"/>
      <c r="AP2209" s="87"/>
      <c r="AQ2209" s="87" t="s">
        <v>16854</v>
      </c>
      <c r="AR2209" s="87"/>
      <c r="AS2209" s="87"/>
      <c r="AT2209" s="87"/>
      <c r="AU2209" s="87"/>
      <c r="AV2209" s="92" t="str">
        <f>HYPERLINK("https://pbs.twimg.com/media/F1gjp_YWIAI7N23.jpg")</f>
        <v>https://pbs.twimg.com/media/F1gjp_YWIAI7N23.jpg</v>
      </c>
      <c r="AW2209" s="93" t="s">
        <v>20427</v>
      </c>
      <c r="AX2209" s="93" t="s">
        <v>20427</v>
      </c>
      <c r="AY2209" s="87"/>
      <c r="AZ2209" s="93" t="s">
        <v>22668</v>
      </c>
      <c r="BA2209" s="93" t="s">
        <v>22668</v>
      </c>
      <c r="BB2209" s="93" t="s">
        <v>22668</v>
      </c>
      <c r="BC2209" s="93" t="s">
        <v>20427</v>
      </c>
      <c r="BD2209" s="87">
        <v>28864636</v>
      </c>
      <c r="BE2209" s="87"/>
      <c r="BF2209" s="87"/>
      <c r="BG2209" s="87"/>
      <c r="BH2209" s="87"/>
      <c r="BI2209" s="87"/>
    </row>
    <row r="2210" spans="1:61" x14ac:dyDescent="0.25">
      <c r="A2210" s="63" t="s">
        <v>970</v>
      </c>
      <c r="B2210" s="63" t="s">
        <v>970</v>
      </c>
      <c r="C2210" s="64"/>
      <c r="D2210" s="65"/>
      <c r="E2210" s="66"/>
      <c r="F2210" s="67"/>
      <c r="G2210" s="64"/>
      <c r="H2210" s="68"/>
      <c r="I2210" s="69"/>
      <c r="J2210" s="69"/>
      <c r="K2210" s="32"/>
      <c r="L2210" s="76">
        <v>2210</v>
      </c>
      <c r="M2210" s="76"/>
      <c r="N2210" s="71"/>
      <c r="O2210" s="87" t="s">
        <v>179</v>
      </c>
      <c r="P2210" s="90">
        <v>45140.597361111111</v>
      </c>
      <c r="Q2210" s="87" t="s">
        <v>3985</v>
      </c>
      <c r="R2210" s="87">
        <v>1</v>
      </c>
      <c r="S2210" s="87">
        <v>1</v>
      </c>
      <c r="T2210" s="87">
        <v>0</v>
      </c>
      <c r="U2210" s="87">
        <v>0</v>
      </c>
      <c r="V2210" s="87">
        <v>425</v>
      </c>
      <c r="W2210" s="93" t="s">
        <v>7284</v>
      </c>
      <c r="X2210" s="87"/>
      <c r="Y2210" s="87"/>
      <c r="Z2210" s="87"/>
      <c r="AA2210" s="87" t="s">
        <v>10042</v>
      </c>
      <c r="AB2210" s="87" t="s">
        <v>11447</v>
      </c>
      <c r="AC2210" s="93" t="s">
        <v>11459</v>
      </c>
      <c r="AD2210" s="87" t="s">
        <v>11519</v>
      </c>
      <c r="AE2210" s="92" t="str">
        <f>HYPERLINK("https://twitter.com/expressstore05/status/1686743706802491392")</f>
        <v>https://twitter.com/expressstore05/status/1686743706802491392</v>
      </c>
      <c r="AF2210" s="90">
        <v>45140.597361111111</v>
      </c>
      <c r="AG2210" s="99">
        <v>45140</v>
      </c>
      <c r="AH2210" s="93" t="s">
        <v>13536</v>
      </c>
      <c r="AI2210" s="87" t="b">
        <v>0</v>
      </c>
      <c r="AJ2210" s="87"/>
      <c r="AK2210" s="87"/>
      <c r="AL2210" s="87"/>
      <c r="AM2210" s="87"/>
      <c r="AN2210" s="87"/>
      <c r="AO2210" s="87"/>
      <c r="AP2210" s="87"/>
      <c r="AQ2210" s="87" t="s">
        <v>16855</v>
      </c>
      <c r="AR2210" s="87">
        <v>16160</v>
      </c>
      <c r="AS2210" s="87"/>
      <c r="AT2210" s="87"/>
      <c r="AU2210" s="87"/>
      <c r="AV2210" s="92" t="str">
        <f>HYPERLINK("https://pbs.twimg.com/ext_tw_video_thumb/1686743667631947777/pu/img/3hkWsjeeTdHtVwwq.jpg")</f>
        <v>https://pbs.twimg.com/ext_tw_video_thumb/1686743667631947777/pu/img/3hkWsjeeTdHtVwwq.jpg</v>
      </c>
      <c r="AW2210" s="93" t="s">
        <v>20428</v>
      </c>
      <c r="AX2210" s="93" t="s">
        <v>20428</v>
      </c>
      <c r="AY2210" s="87"/>
      <c r="AZ2210" s="93" t="s">
        <v>22668</v>
      </c>
      <c r="BA2210" s="93" t="s">
        <v>22668</v>
      </c>
      <c r="BB2210" s="93" t="s">
        <v>22668</v>
      </c>
      <c r="BC2210" s="93" t="s">
        <v>20428</v>
      </c>
      <c r="BD2210" s="93" t="s">
        <v>23219</v>
      </c>
      <c r="BE2210" s="87"/>
      <c r="BF2210" s="87"/>
      <c r="BG2210" s="87"/>
      <c r="BH2210" s="87"/>
      <c r="BI2210" s="87"/>
    </row>
    <row r="2211" spans="1:61" x14ac:dyDescent="0.25">
      <c r="A2211" s="63" t="s">
        <v>971</v>
      </c>
      <c r="B2211" s="63" t="s">
        <v>971</v>
      </c>
      <c r="C2211" s="64"/>
      <c r="D2211" s="65"/>
      <c r="E2211" s="66"/>
      <c r="F2211" s="67"/>
      <c r="G2211" s="64"/>
      <c r="H2211" s="68"/>
      <c r="I2211" s="69"/>
      <c r="J2211" s="69"/>
      <c r="K2211" s="32"/>
      <c r="L2211" s="76">
        <v>2211</v>
      </c>
      <c r="M2211" s="76"/>
      <c r="N2211" s="71"/>
      <c r="O2211" s="87" t="s">
        <v>179</v>
      </c>
      <c r="P2211" s="90">
        <v>45153.041701388887</v>
      </c>
      <c r="Q2211" s="87" t="s">
        <v>3986</v>
      </c>
      <c r="R2211" s="87">
        <v>0</v>
      </c>
      <c r="S2211" s="87">
        <v>1</v>
      </c>
      <c r="T2211" s="87">
        <v>0</v>
      </c>
      <c r="U2211" s="87">
        <v>0</v>
      </c>
      <c r="V2211" s="87">
        <v>37</v>
      </c>
      <c r="W2211" s="93" t="s">
        <v>7285</v>
      </c>
      <c r="X2211" s="87"/>
      <c r="Y2211" s="87"/>
      <c r="Z2211" s="87"/>
      <c r="AA2211" s="87" t="s">
        <v>10043</v>
      </c>
      <c r="AB2211" s="87" t="s">
        <v>11447</v>
      </c>
      <c r="AC2211" s="93" t="s">
        <v>11459</v>
      </c>
      <c r="AD2211" s="87" t="s">
        <v>11520</v>
      </c>
      <c r="AE2211" s="92" t="str">
        <f>HYPERLINK("https://twitter.com/cesarlandivar2/status/1691253384215494656")</f>
        <v>https://twitter.com/cesarlandivar2/status/1691253384215494656</v>
      </c>
      <c r="AF2211" s="90">
        <v>45153.041701388887</v>
      </c>
      <c r="AG2211" s="99">
        <v>45153</v>
      </c>
      <c r="AH2211" s="93" t="s">
        <v>13537</v>
      </c>
      <c r="AI2211" s="87" t="b">
        <v>0</v>
      </c>
      <c r="AJ2211" s="87"/>
      <c r="AK2211" s="87"/>
      <c r="AL2211" s="87"/>
      <c r="AM2211" s="87"/>
      <c r="AN2211" s="87"/>
      <c r="AO2211" s="87"/>
      <c r="AP2211" s="87"/>
      <c r="AQ2211" s="87" t="s">
        <v>16856</v>
      </c>
      <c r="AR2211" s="87">
        <v>59839</v>
      </c>
      <c r="AS2211" s="87"/>
      <c r="AT2211" s="87"/>
      <c r="AU2211" s="87"/>
      <c r="AV2211" s="92" t="str">
        <f>HYPERLINK("https://pbs.twimg.com/ext_tw_video_thumb/1691253350854012928/pu/img/hXqH6t6v_kPcCbCD.jpg")</f>
        <v>https://pbs.twimg.com/ext_tw_video_thumb/1691253350854012928/pu/img/hXqH6t6v_kPcCbCD.jpg</v>
      </c>
      <c r="AW2211" s="93" t="s">
        <v>20429</v>
      </c>
      <c r="AX2211" s="93" t="s">
        <v>20429</v>
      </c>
      <c r="AY2211" s="87"/>
      <c r="AZ2211" s="93" t="s">
        <v>22668</v>
      </c>
      <c r="BA2211" s="93" t="s">
        <v>22668</v>
      </c>
      <c r="BB2211" s="93" t="s">
        <v>22668</v>
      </c>
      <c r="BC2211" s="93" t="s">
        <v>20429</v>
      </c>
      <c r="BD2211" s="93" t="s">
        <v>23220</v>
      </c>
      <c r="BE2211" s="87"/>
      <c r="BF2211" s="87"/>
      <c r="BG2211" s="87"/>
      <c r="BH2211" s="87"/>
      <c r="BI2211" s="87"/>
    </row>
    <row r="2212" spans="1:61" x14ac:dyDescent="0.25">
      <c r="A2212" s="63" t="s">
        <v>972</v>
      </c>
      <c r="B2212" s="63" t="s">
        <v>972</v>
      </c>
      <c r="C2212" s="64"/>
      <c r="D2212" s="65"/>
      <c r="E2212" s="66"/>
      <c r="F2212" s="67"/>
      <c r="G2212" s="64"/>
      <c r="H2212" s="68"/>
      <c r="I2212" s="69"/>
      <c r="J2212" s="69"/>
      <c r="K2212" s="32"/>
      <c r="L2212" s="76">
        <v>2212</v>
      </c>
      <c r="M2212" s="76"/>
      <c r="N2212" s="71"/>
      <c r="O2212" s="87" t="s">
        <v>179</v>
      </c>
      <c r="P2212" s="90">
        <v>45149.144375000003</v>
      </c>
      <c r="Q2212" s="87" t="s">
        <v>3987</v>
      </c>
      <c r="R2212" s="87">
        <v>0</v>
      </c>
      <c r="S2212" s="87">
        <v>0</v>
      </c>
      <c r="T2212" s="87">
        <v>0</v>
      </c>
      <c r="U2212" s="87">
        <v>0</v>
      </c>
      <c r="V2212" s="87">
        <v>7</v>
      </c>
      <c r="W2212" s="93" t="s">
        <v>7286</v>
      </c>
      <c r="X2212" s="87"/>
      <c r="Y2212" s="87"/>
      <c r="Z2212" s="87"/>
      <c r="AA2212" s="87" t="s">
        <v>10044</v>
      </c>
      <c r="AB2212" s="87" t="s">
        <v>11447</v>
      </c>
      <c r="AC2212" s="93" t="s">
        <v>11459</v>
      </c>
      <c r="AD2212" s="87" t="s">
        <v>11519</v>
      </c>
      <c r="AE2212" s="92" t="str">
        <f>HYPERLINK("https://twitter.com/mdftecnologia/status/1689841042005127169")</f>
        <v>https://twitter.com/mdftecnologia/status/1689841042005127169</v>
      </c>
      <c r="AF2212" s="90">
        <v>45149.144375000003</v>
      </c>
      <c r="AG2212" s="99">
        <v>45149</v>
      </c>
      <c r="AH2212" s="93" t="s">
        <v>13538</v>
      </c>
      <c r="AI2212" s="87" t="b">
        <v>0</v>
      </c>
      <c r="AJ2212" s="87"/>
      <c r="AK2212" s="87"/>
      <c r="AL2212" s="87"/>
      <c r="AM2212" s="87"/>
      <c r="AN2212" s="87"/>
      <c r="AO2212" s="87"/>
      <c r="AP2212" s="87"/>
      <c r="AQ2212" s="87" t="s">
        <v>16857</v>
      </c>
      <c r="AR2212" s="87">
        <v>33919</v>
      </c>
      <c r="AS2212" s="87"/>
      <c r="AT2212" s="87"/>
      <c r="AU2212" s="87"/>
      <c r="AV2212" s="92" t="str">
        <f>HYPERLINK("https://pbs.twimg.com/ext_tw_video_thumb/1689841004755525633/pu/img/OuMcKhwTVH27-V37.jpg")</f>
        <v>https://pbs.twimg.com/ext_tw_video_thumb/1689841004755525633/pu/img/OuMcKhwTVH27-V37.jpg</v>
      </c>
      <c r="AW2212" s="93" t="s">
        <v>20430</v>
      </c>
      <c r="AX2212" s="93" t="s">
        <v>20430</v>
      </c>
      <c r="AY2212" s="87"/>
      <c r="AZ2212" s="93" t="s">
        <v>22668</v>
      </c>
      <c r="BA2212" s="93" t="s">
        <v>22668</v>
      </c>
      <c r="BB2212" s="93" t="s">
        <v>22668</v>
      </c>
      <c r="BC2212" s="93" t="s">
        <v>20430</v>
      </c>
      <c r="BD2212" s="93" t="s">
        <v>23221</v>
      </c>
      <c r="BE2212" s="87"/>
      <c r="BF2212" s="87"/>
      <c r="BG2212" s="87"/>
      <c r="BH2212" s="87"/>
      <c r="BI2212" s="87"/>
    </row>
    <row r="2213" spans="1:61" x14ac:dyDescent="0.25">
      <c r="A2213" s="63" t="s">
        <v>973</v>
      </c>
      <c r="B2213" s="63" t="s">
        <v>973</v>
      </c>
      <c r="C2213" s="64"/>
      <c r="D2213" s="65"/>
      <c r="E2213" s="66"/>
      <c r="F2213" s="67"/>
      <c r="G2213" s="64"/>
      <c r="H2213" s="68"/>
      <c r="I2213" s="69"/>
      <c r="J2213" s="69"/>
      <c r="K2213" s="32"/>
      <c r="L2213" s="76">
        <v>2213</v>
      </c>
      <c r="M2213" s="76"/>
      <c r="N2213" s="71"/>
      <c r="O2213" s="87" t="s">
        <v>179</v>
      </c>
      <c r="P2213" s="90">
        <v>45118.573807870373</v>
      </c>
      <c r="Q2213" s="87" t="s">
        <v>3988</v>
      </c>
      <c r="R2213" s="87">
        <v>0</v>
      </c>
      <c r="S2213" s="87">
        <v>2</v>
      </c>
      <c r="T2213" s="87">
        <v>0</v>
      </c>
      <c r="U2213" s="87">
        <v>0</v>
      </c>
      <c r="V2213" s="87">
        <v>20</v>
      </c>
      <c r="W2213" s="93" t="s">
        <v>7287</v>
      </c>
      <c r="X2213" s="87"/>
      <c r="Y2213" s="87"/>
      <c r="Z2213" s="87"/>
      <c r="AA2213" s="87" t="s">
        <v>10045</v>
      </c>
      <c r="AB2213" s="87" t="s">
        <v>11447</v>
      </c>
      <c r="AC2213" s="93" t="s">
        <v>11457</v>
      </c>
      <c r="AD2213" s="87" t="s">
        <v>11519</v>
      </c>
      <c r="AE2213" s="92" t="str">
        <f>HYPERLINK("https://twitter.com/econusabr/status/1678762637654622210")</f>
        <v>https://twitter.com/econusabr/status/1678762637654622210</v>
      </c>
      <c r="AF2213" s="90">
        <v>45118.573807870373</v>
      </c>
      <c r="AG2213" s="99">
        <v>45118</v>
      </c>
      <c r="AH2213" s="93" t="s">
        <v>13539</v>
      </c>
      <c r="AI2213" s="87" t="b">
        <v>0</v>
      </c>
      <c r="AJ2213" s="87"/>
      <c r="AK2213" s="87"/>
      <c r="AL2213" s="87"/>
      <c r="AM2213" s="87"/>
      <c r="AN2213" s="87"/>
      <c r="AO2213" s="87"/>
      <c r="AP2213" s="87"/>
      <c r="AQ2213" s="87" t="s">
        <v>16858</v>
      </c>
      <c r="AR2213" s="87">
        <v>58425</v>
      </c>
      <c r="AS2213" s="87"/>
      <c r="AT2213" s="87"/>
      <c r="AU2213" s="87"/>
      <c r="AV2213" s="92" t="str">
        <f>HYPERLINK("https://pbs.twimg.com/ext_tw_video_thumb/1678762283894464515/pu/img/ft2Fs8Yq3JWCvkrf.jpg")</f>
        <v>https://pbs.twimg.com/ext_tw_video_thumb/1678762283894464515/pu/img/ft2Fs8Yq3JWCvkrf.jpg</v>
      </c>
      <c r="AW2213" s="93" t="s">
        <v>20431</v>
      </c>
      <c r="AX2213" s="93" t="s">
        <v>20431</v>
      </c>
      <c r="AY2213" s="87"/>
      <c r="AZ2213" s="93" t="s">
        <v>22668</v>
      </c>
      <c r="BA2213" s="93" t="s">
        <v>22668</v>
      </c>
      <c r="BB2213" s="93" t="s">
        <v>22668</v>
      </c>
      <c r="BC2213" s="93" t="s">
        <v>20431</v>
      </c>
      <c r="BD2213" s="93" t="s">
        <v>23222</v>
      </c>
      <c r="BE2213" s="87"/>
      <c r="BF2213" s="87"/>
      <c r="BG2213" s="87"/>
      <c r="BH2213" s="87"/>
      <c r="BI2213" s="87"/>
    </row>
    <row r="2214" spans="1:61" x14ac:dyDescent="0.25">
      <c r="A2214" s="63" t="s">
        <v>974</v>
      </c>
      <c r="B2214" s="63" t="s">
        <v>974</v>
      </c>
      <c r="C2214" s="64"/>
      <c r="D2214" s="65"/>
      <c r="E2214" s="66"/>
      <c r="F2214" s="67"/>
      <c r="G2214" s="64"/>
      <c r="H2214" s="68"/>
      <c r="I2214" s="69"/>
      <c r="J2214" s="69"/>
      <c r="K2214" s="32"/>
      <c r="L2214" s="76">
        <v>2214</v>
      </c>
      <c r="M2214" s="76"/>
      <c r="N2214" s="71"/>
      <c r="O2214" s="87" t="s">
        <v>1840</v>
      </c>
      <c r="P2214" s="90">
        <v>45110.757824074077</v>
      </c>
      <c r="Q2214" s="87" t="s">
        <v>3989</v>
      </c>
      <c r="R2214" s="87">
        <v>0</v>
      </c>
      <c r="S2214" s="87">
        <v>0</v>
      </c>
      <c r="T2214" s="87">
        <v>0</v>
      </c>
      <c r="U2214" s="87">
        <v>0</v>
      </c>
      <c r="V2214" s="87">
        <v>6</v>
      </c>
      <c r="W2214" s="93" t="s">
        <v>7288</v>
      </c>
      <c r="X2214" s="87"/>
      <c r="Y2214" s="87"/>
      <c r="Z2214" s="87"/>
      <c r="AA2214" s="87"/>
      <c r="AB2214" s="87"/>
      <c r="AC2214" s="93" t="s">
        <v>11457</v>
      </c>
      <c r="AD2214" s="87" t="s">
        <v>11519</v>
      </c>
      <c r="AE2214" s="92" t="str">
        <f>HYPERLINK("https://twitter.com/bravacapital/status/1675930221000773632")</f>
        <v>https://twitter.com/bravacapital/status/1675930221000773632</v>
      </c>
      <c r="AF2214" s="90">
        <v>45110.757824074077</v>
      </c>
      <c r="AG2214" s="99">
        <v>45110</v>
      </c>
      <c r="AH2214" s="93" t="s">
        <v>13540</v>
      </c>
      <c r="AI2214" s="87"/>
      <c r="AJ2214" s="87"/>
      <c r="AK2214" s="87"/>
      <c r="AL2214" s="87"/>
      <c r="AM2214" s="87"/>
      <c r="AN2214" s="87"/>
      <c r="AO2214" s="87"/>
      <c r="AP2214" s="87"/>
      <c r="AQ2214" s="87"/>
      <c r="AR2214" s="87"/>
      <c r="AS2214" s="87"/>
      <c r="AT2214" s="87"/>
      <c r="AU2214" s="87"/>
      <c r="AV2214" s="92" t="str">
        <f>HYPERLINK("https://pbs.twimg.com/profile_images/1298975014939774977/iMbZTqwR_normal.jpg")</f>
        <v>https://pbs.twimg.com/profile_images/1298975014939774977/iMbZTqwR_normal.jpg</v>
      </c>
      <c r="AW2214" s="93" t="s">
        <v>20432</v>
      </c>
      <c r="AX2214" s="93" t="s">
        <v>22421</v>
      </c>
      <c r="AY2214" s="93" t="s">
        <v>22599</v>
      </c>
      <c r="AZ2214" s="93" t="s">
        <v>22739</v>
      </c>
      <c r="BA2214" s="93" t="s">
        <v>22668</v>
      </c>
      <c r="BB2214" s="93" t="s">
        <v>22668</v>
      </c>
      <c r="BC2214" s="93" t="s">
        <v>22739</v>
      </c>
      <c r="BD2214" s="87">
        <v>209578308</v>
      </c>
      <c r="BE2214" s="87"/>
      <c r="BF2214" s="87"/>
      <c r="BG2214" s="87"/>
      <c r="BH2214" s="87"/>
      <c r="BI2214" s="87"/>
    </row>
    <row r="2215" spans="1:61" x14ac:dyDescent="0.25">
      <c r="A2215" s="63" t="s">
        <v>975</v>
      </c>
      <c r="B2215" s="63" t="s">
        <v>975</v>
      </c>
      <c r="C2215" s="64"/>
      <c r="D2215" s="65"/>
      <c r="E2215" s="66"/>
      <c r="F2215" s="67"/>
      <c r="G2215" s="64"/>
      <c r="H2215" s="68"/>
      <c r="I2215" s="69"/>
      <c r="J2215" s="69"/>
      <c r="K2215" s="32"/>
      <c r="L2215" s="76">
        <v>2215</v>
      </c>
      <c r="M2215" s="76"/>
      <c r="N2215" s="71"/>
      <c r="O2215" s="87" t="s">
        <v>179</v>
      </c>
      <c r="P2215" s="90">
        <v>45110.564189814817</v>
      </c>
      <c r="Q2215" s="87" t="s">
        <v>3990</v>
      </c>
      <c r="R2215" s="87">
        <v>0</v>
      </c>
      <c r="S2215" s="87">
        <v>0</v>
      </c>
      <c r="T2215" s="87">
        <v>0</v>
      </c>
      <c r="U2215" s="87">
        <v>0</v>
      </c>
      <c r="V2215" s="87">
        <v>59</v>
      </c>
      <c r="W2215" s="93" t="s">
        <v>7289</v>
      </c>
      <c r="X2215" s="87"/>
      <c r="Y2215" s="87"/>
      <c r="Z2215" s="87"/>
      <c r="AA2215" s="87" t="s">
        <v>10046</v>
      </c>
      <c r="AB2215" s="87" t="s">
        <v>11448</v>
      </c>
      <c r="AC2215" s="93" t="s">
        <v>11457</v>
      </c>
      <c r="AD2215" s="87" t="s">
        <v>11519</v>
      </c>
      <c r="AE2215" s="92" t="str">
        <f>HYPERLINK("https://twitter.com/pontocom_new/status/1675860049078411265")</f>
        <v>https://twitter.com/pontocom_new/status/1675860049078411265</v>
      </c>
      <c r="AF2215" s="90">
        <v>45110.564189814817</v>
      </c>
      <c r="AG2215" s="99">
        <v>45110</v>
      </c>
      <c r="AH2215" s="93" t="s">
        <v>13541</v>
      </c>
      <c r="AI2215" s="87" t="b">
        <v>0</v>
      </c>
      <c r="AJ2215" s="87"/>
      <c r="AK2215" s="87"/>
      <c r="AL2215" s="87"/>
      <c r="AM2215" s="87"/>
      <c r="AN2215" s="87"/>
      <c r="AO2215" s="87"/>
      <c r="AP2215" s="87"/>
      <c r="AQ2215" s="87" t="s">
        <v>16859</v>
      </c>
      <c r="AR2215" s="87"/>
      <c r="AS2215" s="87"/>
      <c r="AT2215" s="87"/>
      <c r="AU2215" s="87"/>
      <c r="AV2215" s="92" t="str">
        <f>HYPERLINK("https://pbs.twimg.com/media/F0HZIY3WYAAY3oc.jpg")</f>
        <v>https://pbs.twimg.com/media/F0HZIY3WYAAY3oc.jpg</v>
      </c>
      <c r="AW2215" s="93" t="s">
        <v>20433</v>
      </c>
      <c r="AX2215" s="93" t="s">
        <v>20433</v>
      </c>
      <c r="AY2215" s="87"/>
      <c r="AZ2215" s="93" t="s">
        <v>22668</v>
      </c>
      <c r="BA2215" s="93" t="s">
        <v>22668</v>
      </c>
      <c r="BB2215" s="93" t="s">
        <v>22668</v>
      </c>
      <c r="BC2215" s="93" t="s">
        <v>20433</v>
      </c>
      <c r="BD2215" s="93" t="s">
        <v>23223</v>
      </c>
      <c r="BE2215" s="87"/>
      <c r="BF2215" s="87"/>
      <c r="BG2215" s="87"/>
      <c r="BH2215" s="87"/>
      <c r="BI2215" s="87"/>
    </row>
    <row r="2216" spans="1:61" x14ac:dyDescent="0.25">
      <c r="A2216" s="63" t="s">
        <v>976</v>
      </c>
      <c r="B2216" s="63" t="s">
        <v>976</v>
      </c>
      <c r="C2216" s="64"/>
      <c r="D2216" s="65"/>
      <c r="E2216" s="66"/>
      <c r="F2216" s="67"/>
      <c r="G2216" s="64"/>
      <c r="H2216" s="68"/>
      <c r="I2216" s="69"/>
      <c r="J2216" s="69"/>
      <c r="K2216" s="32"/>
      <c r="L2216" s="76">
        <v>2216</v>
      </c>
      <c r="M2216" s="76"/>
      <c r="N2216" s="71"/>
      <c r="O2216" s="87" t="s">
        <v>179</v>
      </c>
      <c r="P2216" s="90">
        <v>45168.288622685184</v>
      </c>
      <c r="Q2216" s="87" t="s">
        <v>3991</v>
      </c>
      <c r="R2216" s="87">
        <v>0</v>
      </c>
      <c r="S2216" s="87">
        <v>1</v>
      </c>
      <c r="T2216" s="87">
        <v>0</v>
      </c>
      <c r="U2216" s="87">
        <v>0</v>
      </c>
      <c r="V2216" s="87">
        <v>22</v>
      </c>
      <c r="W2216" s="93" t="s">
        <v>7290</v>
      </c>
      <c r="X2216" s="92" t="str">
        <f>HYPERLINK("https://bento.me/miniflow")</f>
        <v>https://bento.me/miniflow</v>
      </c>
      <c r="Y2216" s="87" t="s">
        <v>8486</v>
      </c>
      <c r="Z2216" s="87"/>
      <c r="AA2216" s="87" t="s">
        <v>10047</v>
      </c>
      <c r="AB2216" s="87" t="s">
        <v>11448</v>
      </c>
      <c r="AC2216" s="93" t="s">
        <v>11457</v>
      </c>
      <c r="AD2216" s="87" t="s">
        <v>11519</v>
      </c>
      <c r="AE2216" s="92" t="str">
        <f>HYPERLINK("https://twitter.com/magominimalista/status/1696778684491792528")</f>
        <v>https://twitter.com/magominimalista/status/1696778684491792528</v>
      </c>
      <c r="AF2216" s="90">
        <v>45168.288622685184</v>
      </c>
      <c r="AG2216" s="99">
        <v>45168</v>
      </c>
      <c r="AH2216" s="93" t="s">
        <v>13542</v>
      </c>
      <c r="AI2216" s="87" t="b">
        <v>0</v>
      </c>
      <c r="AJ2216" s="87"/>
      <c r="AK2216" s="87"/>
      <c r="AL2216" s="87"/>
      <c r="AM2216" s="87"/>
      <c r="AN2216" s="87"/>
      <c r="AO2216" s="87"/>
      <c r="AP2216" s="87"/>
      <c r="AQ2216" s="87" t="s">
        <v>16860</v>
      </c>
      <c r="AR2216" s="87"/>
      <c r="AS2216" s="87"/>
      <c r="AT2216" s="87"/>
      <c r="AU2216" s="87"/>
      <c r="AV2216" s="92" t="str">
        <f>HYPERLINK("https://pbs.twimg.com/media/F4wlXKrXcAEea0w.jpg")</f>
        <v>https://pbs.twimg.com/media/F4wlXKrXcAEea0w.jpg</v>
      </c>
      <c r="AW2216" s="93" t="s">
        <v>20434</v>
      </c>
      <c r="AX2216" s="93" t="s">
        <v>20434</v>
      </c>
      <c r="AY2216" s="87"/>
      <c r="AZ2216" s="93" t="s">
        <v>22668</v>
      </c>
      <c r="BA2216" s="93" t="s">
        <v>22668</v>
      </c>
      <c r="BB2216" s="93" t="s">
        <v>22668</v>
      </c>
      <c r="BC2216" s="93" t="s">
        <v>20434</v>
      </c>
      <c r="BD2216" s="93" t="s">
        <v>23224</v>
      </c>
      <c r="BE2216" s="87"/>
      <c r="BF2216" s="87"/>
      <c r="BG2216" s="87"/>
      <c r="BH2216" s="87"/>
      <c r="BI2216" s="87"/>
    </row>
    <row r="2217" spans="1:61" x14ac:dyDescent="0.25">
      <c r="A2217" s="63" t="s">
        <v>977</v>
      </c>
      <c r="B2217" s="63" t="s">
        <v>977</v>
      </c>
      <c r="C2217" s="64"/>
      <c r="D2217" s="65"/>
      <c r="E2217" s="66"/>
      <c r="F2217" s="67"/>
      <c r="G2217" s="64"/>
      <c r="H2217" s="68"/>
      <c r="I2217" s="69"/>
      <c r="J2217" s="69"/>
      <c r="K2217" s="32"/>
      <c r="L2217" s="76">
        <v>2217</v>
      </c>
      <c r="M2217" s="76"/>
      <c r="N2217" s="71"/>
      <c r="O2217" s="87" t="s">
        <v>1840</v>
      </c>
      <c r="P2217" s="90">
        <v>45114.039340277777</v>
      </c>
      <c r="Q2217" s="87" t="s">
        <v>3992</v>
      </c>
      <c r="R2217" s="87">
        <v>0</v>
      </c>
      <c r="S2217" s="87">
        <v>0</v>
      </c>
      <c r="T2217" s="87">
        <v>0</v>
      </c>
      <c r="U2217" s="87">
        <v>0</v>
      </c>
      <c r="V2217" s="87">
        <v>29</v>
      </c>
      <c r="W2217" s="93" t="s">
        <v>5897</v>
      </c>
      <c r="X2217" s="92" t="str">
        <f>HYPERLINK("https://contatoleonardodantas.kpages.online/ebook")</f>
        <v>https://contatoleonardodantas.kpages.online/ebook</v>
      </c>
      <c r="Y2217" s="87" t="s">
        <v>8487</v>
      </c>
      <c r="Z2217" s="87"/>
      <c r="AA2217" s="87"/>
      <c r="AB2217" s="87"/>
      <c r="AC2217" s="93" t="s">
        <v>11457</v>
      </c>
      <c r="AD2217" s="87" t="s">
        <v>11519</v>
      </c>
      <c r="AE2217" s="92" t="str">
        <f>HYPERLINK("https://twitter.com/oleonardodantas/status/1677119400749441024")</f>
        <v>https://twitter.com/oleonardodantas/status/1677119400749441024</v>
      </c>
      <c r="AF2217" s="90">
        <v>45114.039340277777</v>
      </c>
      <c r="AG2217" s="99">
        <v>45114</v>
      </c>
      <c r="AH2217" s="93" t="s">
        <v>13543</v>
      </c>
      <c r="AI2217" s="87" t="b">
        <v>0</v>
      </c>
      <c r="AJ2217" s="87"/>
      <c r="AK2217" s="87"/>
      <c r="AL2217" s="87"/>
      <c r="AM2217" s="87"/>
      <c r="AN2217" s="87"/>
      <c r="AO2217" s="87"/>
      <c r="AP2217" s="87"/>
      <c r="AQ2217" s="87"/>
      <c r="AR2217" s="87"/>
      <c r="AS2217" s="87"/>
      <c r="AT2217" s="87"/>
      <c r="AU2217" s="87"/>
      <c r="AV2217" s="92" t="str">
        <f>HYPERLINK("https://pbs.twimg.com/profile_images/1697727016966012928/VY9K5jq8_normal.jpg")</f>
        <v>https://pbs.twimg.com/profile_images/1697727016966012928/VY9K5jq8_normal.jpg</v>
      </c>
      <c r="AW2217" s="93" t="s">
        <v>20435</v>
      </c>
      <c r="AX2217" s="93" t="s">
        <v>22422</v>
      </c>
      <c r="AY2217" s="93" t="s">
        <v>22600</v>
      </c>
      <c r="AZ2217" s="93" t="s">
        <v>22740</v>
      </c>
      <c r="BA2217" s="93" t="s">
        <v>22668</v>
      </c>
      <c r="BB2217" s="93" t="s">
        <v>22668</v>
      </c>
      <c r="BC2217" s="93" t="s">
        <v>22740</v>
      </c>
      <c r="BD2217" s="87">
        <v>1476275959</v>
      </c>
      <c r="BE2217" s="87"/>
      <c r="BF2217" s="87"/>
      <c r="BG2217" s="87"/>
      <c r="BH2217" s="87"/>
      <c r="BI2217" s="87"/>
    </row>
    <row r="2218" spans="1:61" x14ac:dyDescent="0.25">
      <c r="A2218" s="63" t="s">
        <v>978</v>
      </c>
      <c r="B2218" s="63" t="s">
        <v>978</v>
      </c>
      <c r="C2218" s="64"/>
      <c r="D2218" s="65"/>
      <c r="E2218" s="66"/>
      <c r="F2218" s="67"/>
      <c r="G2218" s="64"/>
      <c r="H2218" s="68"/>
      <c r="I2218" s="69"/>
      <c r="J2218" s="69"/>
      <c r="K2218" s="32"/>
      <c r="L2218" s="76">
        <v>2218</v>
      </c>
      <c r="M2218" s="76"/>
      <c r="N2218" s="71"/>
      <c r="O2218" s="87" t="s">
        <v>179</v>
      </c>
      <c r="P2218" s="90">
        <v>45162.654374999998</v>
      </c>
      <c r="Q2218" s="87" t="s">
        <v>3993</v>
      </c>
      <c r="R2218" s="87">
        <v>0</v>
      </c>
      <c r="S2218" s="87">
        <v>0</v>
      </c>
      <c r="T2218" s="87">
        <v>0</v>
      </c>
      <c r="U2218" s="87">
        <v>0</v>
      </c>
      <c r="V2218" s="87">
        <v>2</v>
      </c>
      <c r="W2218" s="93" t="s">
        <v>6555</v>
      </c>
      <c r="X2218" s="92" t="str">
        <f>HYPERLINK("https://youtu.be/4nLsOIPrBNY")</f>
        <v>https://youtu.be/4nLsOIPrBNY</v>
      </c>
      <c r="Y2218" s="87" t="s">
        <v>8372</v>
      </c>
      <c r="Z2218" s="87"/>
      <c r="AA2218" s="87"/>
      <c r="AB2218" s="87"/>
      <c r="AC2218" s="93" t="s">
        <v>11458</v>
      </c>
      <c r="AD2218" s="87" t="s">
        <v>11519</v>
      </c>
      <c r="AE2218" s="92" t="str">
        <f>HYPERLINK("https://twitter.com/ipm_solution/status/1694736899238248794")</f>
        <v>https://twitter.com/ipm_solution/status/1694736899238248794</v>
      </c>
      <c r="AF2218" s="90">
        <v>45162.654374999998</v>
      </c>
      <c r="AG2218" s="99">
        <v>45162</v>
      </c>
      <c r="AH2218" s="93" t="s">
        <v>13544</v>
      </c>
      <c r="AI2218" s="87" t="b">
        <v>0</v>
      </c>
      <c r="AJ2218" s="87"/>
      <c r="AK2218" s="87"/>
      <c r="AL2218" s="87"/>
      <c r="AM2218" s="87"/>
      <c r="AN2218" s="87"/>
      <c r="AO2218" s="87"/>
      <c r="AP2218" s="87"/>
      <c r="AQ2218" s="87"/>
      <c r="AR2218" s="87"/>
      <c r="AS2218" s="87"/>
      <c r="AT2218" s="87"/>
      <c r="AU2218" s="87"/>
      <c r="AV2218" s="92" t="str">
        <f>HYPERLINK("https://pbs.twimg.com/profile_images/1668988653060718593/yxbYdVK0_normal.jpg")</f>
        <v>https://pbs.twimg.com/profile_images/1668988653060718593/yxbYdVK0_normal.jpg</v>
      </c>
      <c r="AW2218" s="93" t="s">
        <v>20436</v>
      </c>
      <c r="AX2218" s="93" t="s">
        <v>20436</v>
      </c>
      <c r="AY2218" s="87"/>
      <c r="AZ2218" s="93" t="s">
        <v>22668</v>
      </c>
      <c r="BA2218" s="93" t="s">
        <v>22668</v>
      </c>
      <c r="BB2218" s="93" t="s">
        <v>22668</v>
      </c>
      <c r="BC2218" s="93" t="s">
        <v>20436</v>
      </c>
      <c r="BD2218" s="87">
        <v>249375458</v>
      </c>
      <c r="BE2218" s="87"/>
      <c r="BF2218" s="87"/>
      <c r="BG2218" s="87"/>
      <c r="BH2218" s="87"/>
      <c r="BI2218" s="87"/>
    </row>
    <row r="2219" spans="1:61" x14ac:dyDescent="0.25">
      <c r="A2219" s="63" t="s">
        <v>979</v>
      </c>
      <c r="B2219" s="63" t="s">
        <v>1715</v>
      </c>
      <c r="C2219" s="64"/>
      <c r="D2219" s="65"/>
      <c r="E2219" s="66"/>
      <c r="F2219" s="67"/>
      <c r="G2219" s="64"/>
      <c r="H2219" s="68"/>
      <c r="I2219" s="69"/>
      <c r="J2219" s="69"/>
      <c r="K2219" s="32"/>
      <c r="L2219" s="76">
        <v>2219</v>
      </c>
      <c r="M2219" s="76"/>
      <c r="N2219" s="71"/>
      <c r="O2219" s="87" t="s">
        <v>1839</v>
      </c>
      <c r="P2219" s="90">
        <v>45131.599039351851</v>
      </c>
      <c r="Q2219" s="87" t="s">
        <v>3994</v>
      </c>
      <c r="R2219" s="87">
        <v>0</v>
      </c>
      <c r="S2219" s="87">
        <v>1</v>
      </c>
      <c r="T2219" s="87">
        <v>0</v>
      </c>
      <c r="U2219" s="87">
        <v>0</v>
      </c>
      <c r="V2219" s="87">
        <v>54</v>
      </c>
      <c r="W2219" s="93" t="s">
        <v>7291</v>
      </c>
      <c r="X2219" s="92" t="str">
        <f>HYPERLINK("https://pin.it/7yAvWPi")</f>
        <v>https://pin.it/7yAvWPi</v>
      </c>
      <c r="Y2219" s="87" t="s">
        <v>8488</v>
      </c>
      <c r="Z2219" s="87" t="s">
        <v>8590</v>
      </c>
      <c r="AA2219" s="87"/>
      <c r="AB2219" s="87"/>
      <c r="AC2219" s="93" t="s">
        <v>11457</v>
      </c>
      <c r="AD2219" s="87" t="s">
        <v>11519</v>
      </c>
      <c r="AE2219" s="92" t="str">
        <f>HYPERLINK("https://twitter.com/autonewsbr/status/1683482825830412288")</f>
        <v>https://twitter.com/autonewsbr/status/1683482825830412288</v>
      </c>
      <c r="AF2219" s="90">
        <v>45131.599039351851</v>
      </c>
      <c r="AG2219" s="99">
        <v>45131</v>
      </c>
      <c r="AH2219" s="93" t="s">
        <v>13545</v>
      </c>
      <c r="AI2219" s="87" t="b">
        <v>0</v>
      </c>
      <c r="AJ2219" s="87"/>
      <c r="AK2219" s="87"/>
      <c r="AL2219" s="87"/>
      <c r="AM2219" s="87"/>
      <c r="AN2219" s="87"/>
      <c r="AO2219" s="87"/>
      <c r="AP2219" s="87"/>
      <c r="AQ2219" s="87"/>
      <c r="AR2219" s="87"/>
      <c r="AS2219" s="87"/>
      <c r="AT2219" s="87"/>
      <c r="AU2219" s="87"/>
      <c r="AV2219" s="92" t="str">
        <f>HYPERLINK("https://pbs.twimg.com/profile_images/1544688025631965186/iz_bfKCG_normal.jpg")</f>
        <v>https://pbs.twimg.com/profile_images/1544688025631965186/iz_bfKCG_normal.jpg</v>
      </c>
      <c r="AW2219" s="93" t="s">
        <v>20437</v>
      </c>
      <c r="AX2219" s="93" t="s">
        <v>20437</v>
      </c>
      <c r="AY2219" s="87"/>
      <c r="AZ2219" s="93" t="s">
        <v>22668</v>
      </c>
      <c r="BA2219" s="93" t="s">
        <v>22668</v>
      </c>
      <c r="BB2219" s="93" t="s">
        <v>22668</v>
      </c>
      <c r="BC2219" s="93" t="s">
        <v>20437</v>
      </c>
      <c r="BD2219" s="93" t="s">
        <v>23225</v>
      </c>
      <c r="BE2219" s="87"/>
      <c r="BF2219" s="87"/>
      <c r="BG2219" s="87"/>
      <c r="BH2219" s="87"/>
      <c r="BI2219" s="87"/>
    </row>
    <row r="2220" spans="1:61" x14ac:dyDescent="0.25">
      <c r="A2220" s="63" t="s">
        <v>979</v>
      </c>
      <c r="B2220" s="63" t="s">
        <v>1716</v>
      </c>
      <c r="C2220" s="64"/>
      <c r="D2220" s="65"/>
      <c r="E2220" s="66"/>
      <c r="F2220" s="67"/>
      <c r="G2220" s="64"/>
      <c r="H2220" s="68"/>
      <c r="I2220" s="69"/>
      <c r="J2220" s="69"/>
      <c r="K2220" s="32"/>
      <c r="L2220" s="76">
        <v>2220</v>
      </c>
      <c r="M2220" s="76"/>
      <c r="N2220" s="71"/>
      <c r="O2220" s="87" t="s">
        <v>1839</v>
      </c>
      <c r="P2220" s="90">
        <v>45131.599039351851</v>
      </c>
      <c r="Q2220" s="87" t="s">
        <v>3994</v>
      </c>
      <c r="R2220" s="87">
        <v>0</v>
      </c>
      <c r="S2220" s="87">
        <v>1</v>
      </c>
      <c r="T2220" s="87">
        <v>0</v>
      </c>
      <c r="U2220" s="87">
        <v>0</v>
      </c>
      <c r="V2220" s="87">
        <v>54</v>
      </c>
      <c r="W2220" s="93" t="s">
        <v>7291</v>
      </c>
      <c r="X2220" s="92" t="str">
        <f>HYPERLINK("https://pin.it/7yAvWPi")</f>
        <v>https://pin.it/7yAvWPi</v>
      </c>
      <c r="Y2220" s="87" t="s">
        <v>8488</v>
      </c>
      <c r="Z2220" s="87" t="s">
        <v>8590</v>
      </c>
      <c r="AA2220" s="87"/>
      <c r="AB2220" s="87"/>
      <c r="AC2220" s="93" t="s">
        <v>11457</v>
      </c>
      <c r="AD2220" s="87" t="s">
        <v>11519</v>
      </c>
      <c r="AE2220" s="92" t="str">
        <f>HYPERLINK("https://twitter.com/autonewsbr/status/1683482825830412288")</f>
        <v>https://twitter.com/autonewsbr/status/1683482825830412288</v>
      </c>
      <c r="AF2220" s="90">
        <v>45131.599039351851</v>
      </c>
      <c r="AG2220" s="99">
        <v>45131</v>
      </c>
      <c r="AH2220" s="93" t="s">
        <v>13545</v>
      </c>
      <c r="AI2220" s="87" t="b">
        <v>0</v>
      </c>
      <c r="AJ2220" s="87"/>
      <c r="AK2220" s="87"/>
      <c r="AL2220" s="87"/>
      <c r="AM2220" s="87"/>
      <c r="AN2220" s="87"/>
      <c r="AO2220" s="87"/>
      <c r="AP2220" s="87"/>
      <c r="AQ2220" s="87"/>
      <c r="AR2220" s="87"/>
      <c r="AS2220" s="87"/>
      <c r="AT2220" s="87"/>
      <c r="AU2220" s="87"/>
      <c r="AV2220" s="92" t="str">
        <f>HYPERLINK("https://pbs.twimg.com/profile_images/1544688025631965186/iz_bfKCG_normal.jpg")</f>
        <v>https://pbs.twimg.com/profile_images/1544688025631965186/iz_bfKCG_normal.jpg</v>
      </c>
      <c r="AW2220" s="93" t="s">
        <v>20437</v>
      </c>
      <c r="AX2220" s="93" t="s">
        <v>20437</v>
      </c>
      <c r="AY2220" s="87"/>
      <c r="AZ2220" s="93" t="s">
        <v>22668</v>
      </c>
      <c r="BA2220" s="93" t="s">
        <v>22668</v>
      </c>
      <c r="BB2220" s="93" t="s">
        <v>22668</v>
      </c>
      <c r="BC2220" s="93" t="s">
        <v>20437</v>
      </c>
      <c r="BD2220" s="93" t="s">
        <v>23225</v>
      </c>
      <c r="BE2220" s="87"/>
      <c r="BF2220" s="87"/>
      <c r="BG2220" s="87"/>
      <c r="BH2220" s="87"/>
      <c r="BI2220" s="87"/>
    </row>
    <row r="2221" spans="1:61" x14ac:dyDescent="0.25">
      <c r="A2221" s="63" t="s">
        <v>980</v>
      </c>
      <c r="B2221" s="63" t="s">
        <v>929</v>
      </c>
      <c r="C2221" s="64"/>
      <c r="D2221" s="65"/>
      <c r="E2221" s="66"/>
      <c r="F2221" s="67"/>
      <c r="G2221" s="64"/>
      <c r="H2221" s="68"/>
      <c r="I2221" s="69"/>
      <c r="J2221" s="69"/>
      <c r="K2221" s="32"/>
      <c r="L2221" s="76">
        <v>2221</v>
      </c>
      <c r="M2221" s="76"/>
      <c r="N2221" s="71"/>
      <c r="O2221" s="87" t="s">
        <v>1842</v>
      </c>
      <c r="P2221" s="90">
        <v>45111.988576388889</v>
      </c>
      <c r="Q2221" s="87" t="s">
        <v>3995</v>
      </c>
      <c r="R2221" s="87">
        <v>0</v>
      </c>
      <c r="S2221" s="87">
        <v>0</v>
      </c>
      <c r="T2221" s="87">
        <v>0</v>
      </c>
      <c r="U2221" s="87">
        <v>0</v>
      </c>
      <c r="V2221" s="87">
        <v>16</v>
      </c>
      <c r="W2221" s="93" t="s">
        <v>7292</v>
      </c>
      <c r="X2221" s="87"/>
      <c r="Y2221" s="87"/>
      <c r="Z2221" s="87"/>
      <c r="AA2221" s="87"/>
      <c r="AB2221" s="87"/>
      <c r="AC2221" s="93" t="s">
        <v>11457</v>
      </c>
      <c r="AD2221" s="87" t="s">
        <v>11519</v>
      </c>
      <c r="AE2221" s="92" t="str">
        <f>HYPERLINK("https://twitter.com/mateuscosta781/status/1676376232127000576")</f>
        <v>https://twitter.com/mateuscosta781/status/1676376232127000576</v>
      </c>
      <c r="AF2221" s="90">
        <v>45111.988576388889</v>
      </c>
      <c r="AG2221" s="99">
        <v>45111</v>
      </c>
      <c r="AH2221" s="93" t="s">
        <v>13546</v>
      </c>
      <c r="AI2221" s="87"/>
      <c r="AJ2221" s="87"/>
      <c r="AK2221" s="87"/>
      <c r="AL2221" s="87"/>
      <c r="AM2221" s="87"/>
      <c r="AN2221" s="87"/>
      <c r="AO2221" s="87"/>
      <c r="AP2221" s="87"/>
      <c r="AQ2221" s="87"/>
      <c r="AR2221" s="87"/>
      <c r="AS2221" s="87"/>
      <c r="AT2221" s="87"/>
      <c r="AU2221" s="87"/>
      <c r="AV2221" s="92" t="str">
        <f>HYPERLINK("https://pbs.twimg.com/profile_images/1552684710807146504/gcJqAUx4_normal.png")</f>
        <v>https://pbs.twimg.com/profile_images/1552684710807146504/gcJqAUx4_normal.png</v>
      </c>
      <c r="AW2221" s="93" t="s">
        <v>20438</v>
      </c>
      <c r="AX2221" s="93" t="s">
        <v>20438</v>
      </c>
      <c r="AY2221" s="87"/>
      <c r="AZ2221" s="93" t="s">
        <v>22668</v>
      </c>
      <c r="BA2221" s="93" t="s">
        <v>20323</v>
      </c>
      <c r="BB2221" s="93" t="s">
        <v>22668</v>
      </c>
      <c r="BC2221" s="93" t="s">
        <v>20323</v>
      </c>
      <c r="BD2221" s="87">
        <v>2936952478</v>
      </c>
      <c r="BE2221" s="87"/>
      <c r="BF2221" s="87"/>
      <c r="BG2221" s="87"/>
      <c r="BH2221" s="87"/>
      <c r="BI2221" s="87"/>
    </row>
    <row r="2222" spans="1:61" x14ac:dyDescent="0.25">
      <c r="A2222" s="63" t="s">
        <v>981</v>
      </c>
      <c r="B2222" s="63" t="s">
        <v>981</v>
      </c>
      <c r="C2222" s="64"/>
      <c r="D2222" s="65"/>
      <c r="E2222" s="66"/>
      <c r="F2222" s="67"/>
      <c r="G2222" s="64"/>
      <c r="H2222" s="68"/>
      <c r="I2222" s="69"/>
      <c r="J2222" s="69"/>
      <c r="K2222" s="32"/>
      <c r="L2222" s="76">
        <v>2222</v>
      </c>
      <c r="M2222" s="76"/>
      <c r="N2222" s="71"/>
      <c r="O2222" s="87" t="s">
        <v>179</v>
      </c>
      <c r="P2222" s="90">
        <v>45189.737013888887</v>
      </c>
      <c r="Q2222" s="87" t="s">
        <v>3996</v>
      </c>
      <c r="R2222" s="87">
        <v>0</v>
      </c>
      <c r="S2222" s="87">
        <v>0</v>
      </c>
      <c r="T2222" s="87">
        <v>0</v>
      </c>
      <c r="U2222" s="87">
        <v>0</v>
      </c>
      <c r="V2222" s="87">
        <v>30</v>
      </c>
      <c r="W2222" s="93" t="s">
        <v>7293</v>
      </c>
      <c r="X2222" s="87"/>
      <c r="Y2222" s="87"/>
      <c r="Z2222" s="87"/>
      <c r="AA2222" s="87" t="s">
        <v>10048</v>
      </c>
      <c r="AB2222" s="87" t="s">
        <v>11447</v>
      </c>
      <c r="AC2222" s="93" t="s">
        <v>11459</v>
      </c>
      <c r="AD2222" s="87" t="s">
        <v>11519</v>
      </c>
      <c r="AE2222" s="92" t="str">
        <f>HYPERLINK("https://twitter.com/bastian_h5/status/1704551321024557553")</f>
        <v>https://twitter.com/bastian_h5/status/1704551321024557553</v>
      </c>
      <c r="AF2222" s="90">
        <v>45189.737013888887</v>
      </c>
      <c r="AG2222" s="99">
        <v>45189</v>
      </c>
      <c r="AH2222" s="93" t="s">
        <v>13547</v>
      </c>
      <c r="AI2222" s="87" t="b">
        <v>0</v>
      </c>
      <c r="AJ2222" s="87"/>
      <c r="AK2222" s="87"/>
      <c r="AL2222" s="87"/>
      <c r="AM2222" s="87"/>
      <c r="AN2222" s="87"/>
      <c r="AO2222" s="87"/>
      <c r="AP2222" s="87"/>
      <c r="AQ2222" s="87" t="s">
        <v>16861</v>
      </c>
      <c r="AR2222" s="87">
        <v>57559</v>
      </c>
      <c r="AS2222" s="87"/>
      <c r="AT2222" s="87"/>
      <c r="AU2222" s="87"/>
      <c r="AV2222" s="92" t="str">
        <f>HYPERLINK("https://pbs.twimg.com/ext_tw_video_thumb/1704551264032354304/pu/img/72_NabXrcHV9L39d.jpg")</f>
        <v>https://pbs.twimg.com/ext_tw_video_thumb/1704551264032354304/pu/img/72_NabXrcHV9L39d.jpg</v>
      </c>
      <c r="AW2222" s="93" t="s">
        <v>20439</v>
      </c>
      <c r="AX2222" s="93" t="s">
        <v>20439</v>
      </c>
      <c r="AY2222" s="87"/>
      <c r="AZ2222" s="93" t="s">
        <v>22668</v>
      </c>
      <c r="BA2222" s="93" t="s">
        <v>22668</v>
      </c>
      <c r="BB2222" s="93" t="s">
        <v>22668</v>
      </c>
      <c r="BC2222" s="93" t="s">
        <v>20439</v>
      </c>
      <c r="BD2222" s="93" t="s">
        <v>23226</v>
      </c>
      <c r="BE2222" s="87"/>
      <c r="BF2222" s="87"/>
      <c r="BG2222" s="87"/>
      <c r="BH2222" s="87"/>
      <c r="BI2222" s="87"/>
    </row>
    <row r="2223" spans="1:61" x14ac:dyDescent="0.25">
      <c r="A2223" s="63" t="s">
        <v>982</v>
      </c>
      <c r="B2223" s="63" t="s">
        <v>982</v>
      </c>
      <c r="C2223" s="64"/>
      <c r="D2223" s="65"/>
      <c r="E2223" s="66"/>
      <c r="F2223" s="67"/>
      <c r="G2223" s="64"/>
      <c r="H2223" s="68"/>
      <c r="I2223" s="69"/>
      <c r="J2223" s="69"/>
      <c r="K2223" s="32"/>
      <c r="L2223" s="76">
        <v>2223</v>
      </c>
      <c r="M2223" s="76"/>
      <c r="N2223" s="71"/>
      <c r="O2223" s="87" t="s">
        <v>179</v>
      </c>
      <c r="P2223" s="90">
        <v>45111.800034722219</v>
      </c>
      <c r="Q2223" s="87" t="s">
        <v>3997</v>
      </c>
      <c r="R2223" s="87">
        <v>0</v>
      </c>
      <c r="S2223" s="87">
        <v>0</v>
      </c>
      <c r="T2223" s="87">
        <v>0</v>
      </c>
      <c r="U2223" s="87">
        <v>0</v>
      </c>
      <c r="V2223" s="87">
        <v>217</v>
      </c>
      <c r="W2223" s="93" t="s">
        <v>7294</v>
      </c>
      <c r="X2223" s="92" t="str">
        <f>HYPERLINK("https://www.memeiros.com/2023/07/deputado-da-renamo-venancio-mondlane.html?utm_source=dlvr.it&amp;utm_medium=twitter")</f>
        <v>https://www.memeiros.com/2023/07/deputado-da-renamo-venancio-mondlane.html?utm_source=dlvr.it&amp;utm_medium=twitter</v>
      </c>
      <c r="Y2223" s="87" t="s">
        <v>8489</v>
      </c>
      <c r="Z2223" s="87"/>
      <c r="AA2223" s="87" t="s">
        <v>10049</v>
      </c>
      <c r="AB2223" s="87" t="s">
        <v>11448</v>
      </c>
      <c r="AC2223" s="93" t="s">
        <v>8436</v>
      </c>
      <c r="AD2223" s="87" t="s">
        <v>11519</v>
      </c>
      <c r="AE2223" s="92" t="str">
        <f>HYPERLINK("https://twitter.com/memeirosm/status/1676307904620814336")</f>
        <v>https://twitter.com/memeirosm/status/1676307904620814336</v>
      </c>
      <c r="AF2223" s="90">
        <v>45111.800034722219</v>
      </c>
      <c r="AG2223" s="99">
        <v>45111</v>
      </c>
      <c r="AH2223" s="93" t="s">
        <v>13548</v>
      </c>
      <c r="AI2223" s="87" t="b">
        <v>0</v>
      </c>
      <c r="AJ2223" s="87"/>
      <c r="AK2223" s="87"/>
      <c r="AL2223" s="87"/>
      <c r="AM2223" s="87"/>
      <c r="AN2223" s="87"/>
      <c r="AO2223" s="87"/>
      <c r="AP2223" s="87"/>
      <c r="AQ2223" s="87" t="s">
        <v>16862</v>
      </c>
      <c r="AR2223" s="87"/>
      <c r="AS2223" s="87"/>
      <c r="AT2223" s="87"/>
      <c r="AU2223" s="87"/>
      <c r="AV2223" s="92" t="str">
        <f>HYPERLINK("https://pbs.twimg.com/media/F0NxJ_aakAEmb-c.jpg")</f>
        <v>https://pbs.twimg.com/media/F0NxJ_aakAEmb-c.jpg</v>
      </c>
      <c r="AW2223" s="93" t="s">
        <v>20440</v>
      </c>
      <c r="AX2223" s="93" t="s">
        <v>20440</v>
      </c>
      <c r="AY2223" s="87"/>
      <c r="AZ2223" s="93" t="s">
        <v>22668</v>
      </c>
      <c r="BA2223" s="93" t="s">
        <v>22668</v>
      </c>
      <c r="BB2223" s="93" t="s">
        <v>22668</v>
      </c>
      <c r="BC2223" s="93" t="s">
        <v>20440</v>
      </c>
      <c r="BD2223" s="93" t="s">
        <v>23227</v>
      </c>
      <c r="BE2223" s="87"/>
      <c r="BF2223" s="87"/>
      <c r="BG2223" s="87"/>
      <c r="BH2223" s="87"/>
      <c r="BI2223" s="87"/>
    </row>
    <row r="2224" spans="1:61" x14ac:dyDescent="0.25">
      <c r="A2224" s="63" t="s">
        <v>983</v>
      </c>
      <c r="B2224" s="63" t="s">
        <v>983</v>
      </c>
      <c r="C2224" s="64"/>
      <c r="D2224" s="65"/>
      <c r="E2224" s="66"/>
      <c r="F2224" s="67"/>
      <c r="G2224" s="64"/>
      <c r="H2224" s="68"/>
      <c r="I2224" s="69"/>
      <c r="J2224" s="69"/>
      <c r="K2224" s="32"/>
      <c r="L2224" s="76">
        <v>2224</v>
      </c>
      <c r="M2224" s="76"/>
      <c r="N2224" s="71"/>
      <c r="O2224" s="87" t="s">
        <v>179</v>
      </c>
      <c r="P2224" s="90">
        <v>45131.718819444446</v>
      </c>
      <c r="Q2224" s="87" t="s">
        <v>3998</v>
      </c>
      <c r="R2224" s="87">
        <v>1</v>
      </c>
      <c r="S2224" s="87">
        <v>1</v>
      </c>
      <c r="T2224" s="87">
        <v>0</v>
      </c>
      <c r="U2224" s="87">
        <v>0</v>
      </c>
      <c r="V2224" s="87">
        <v>69</v>
      </c>
      <c r="W2224" s="93" t="s">
        <v>7295</v>
      </c>
      <c r="X2224" s="87"/>
      <c r="Y2224" s="87"/>
      <c r="Z2224" s="87"/>
      <c r="AA2224" s="87" t="s">
        <v>10050</v>
      </c>
      <c r="AB2224" s="87" t="s">
        <v>11450</v>
      </c>
      <c r="AC2224" s="93" t="s">
        <v>11458</v>
      </c>
      <c r="AD2224" s="87" t="s">
        <v>11519</v>
      </c>
      <c r="AE2224" s="92" t="str">
        <f>HYPERLINK("https://twitter.com/vidigalsergio/status/1683526232929910794")</f>
        <v>https://twitter.com/vidigalsergio/status/1683526232929910794</v>
      </c>
      <c r="AF2224" s="90">
        <v>45131.718819444446</v>
      </c>
      <c r="AG2224" s="99">
        <v>45131</v>
      </c>
      <c r="AH2224" s="93" t="s">
        <v>12797</v>
      </c>
      <c r="AI2224" s="87" t="b">
        <v>0</v>
      </c>
      <c r="AJ2224" s="87"/>
      <c r="AK2224" s="87"/>
      <c r="AL2224" s="87"/>
      <c r="AM2224" s="87"/>
      <c r="AN2224" s="87"/>
      <c r="AO2224" s="87"/>
      <c r="AP2224" s="87"/>
      <c r="AQ2224" s="87" t="s">
        <v>16863</v>
      </c>
      <c r="AR2224" s="87"/>
      <c r="AS2224" s="87"/>
      <c r="AT2224" s="87"/>
      <c r="AU2224" s="87"/>
      <c r="AV2224" s="92" t="str">
        <f>HYPERLINK("https://pbs.twimg.com/media/F10WLq-WwAc4d-f.jpg")</f>
        <v>https://pbs.twimg.com/media/F10WLq-WwAc4d-f.jpg</v>
      </c>
      <c r="AW2224" s="93" t="s">
        <v>20441</v>
      </c>
      <c r="AX2224" s="93" t="s">
        <v>20441</v>
      </c>
      <c r="AY2224" s="87"/>
      <c r="AZ2224" s="93" t="s">
        <v>22668</v>
      </c>
      <c r="BA2224" s="93" t="s">
        <v>22668</v>
      </c>
      <c r="BB2224" s="93" t="s">
        <v>22668</v>
      </c>
      <c r="BC2224" s="93" t="s">
        <v>20441</v>
      </c>
      <c r="BD2224" s="87">
        <v>3315236400</v>
      </c>
      <c r="BE2224" s="87"/>
      <c r="BF2224" s="87"/>
      <c r="BG2224" s="87"/>
      <c r="BH2224" s="87"/>
      <c r="BI2224" s="87"/>
    </row>
    <row r="2225" spans="1:61" x14ac:dyDescent="0.25">
      <c r="A2225" s="63" t="s">
        <v>984</v>
      </c>
      <c r="B2225" s="63" t="s">
        <v>984</v>
      </c>
      <c r="C2225" s="64"/>
      <c r="D2225" s="65"/>
      <c r="E2225" s="66"/>
      <c r="F2225" s="67"/>
      <c r="G2225" s="64"/>
      <c r="H2225" s="68"/>
      <c r="I2225" s="69"/>
      <c r="J2225" s="69"/>
      <c r="K2225" s="32"/>
      <c r="L2225" s="76">
        <v>2225</v>
      </c>
      <c r="M2225" s="76"/>
      <c r="N2225" s="71"/>
      <c r="O2225" s="87" t="s">
        <v>179</v>
      </c>
      <c r="P2225" s="90">
        <v>45155.825983796298</v>
      </c>
      <c r="Q2225" s="87" t="s">
        <v>3999</v>
      </c>
      <c r="R2225" s="87">
        <v>0</v>
      </c>
      <c r="S2225" s="87">
        <v>1</v>
      </c>
      <c r="T2225" s="87">
        <v>0</v>
      </c>
      <c r="U2225" s="87">
        <v>0</v>
      </c>
      <c r="V2225" s="87">
        <v>236</v>
      </c>
      <c r="W2225" s="93" t="s">
        <v>7296</v>
      </c>
      <c r="X2225" s="92" t="str">
        <f>HYPERLINK("https://bit.ly/3ODKgkv")</f>
        <v>https://bit.ly/3ODKgkv</v>
      </c>
      <c r="Y2225" s="87" t="s">
        <v>8374</v>
      </c>
      <c r="Z2225" s="87"/>
      <c r="AA2225" s="87"/>
      <c r="AB2225" s="87"/>
      <c r="AC2225" s="93" t="s">
        <v>11457</v>
      </c>
      <c r="AD2225" s="87" t="s">
        <v>11519</v>
      </c>
      <c r="AE2225" s="92" t="str">
        <f>HYPERLINK("https://twitter.com/tribunapr/status/1692262374055506319")</f>
        <v>https://twitter.com/tribunapr/status/1692262374055506319</v>
      </c>
      <c r="AF2225" s="90">
        <v>45155.825983796298</v>
      </c>
      <c r="AG2225" s="99">
        <v>45155</v>
      </c>
      <c r="AH2225" s="93" t="s">
        <v>13549</v>
      </c>
      <c r="AI2225" s="87" t="b">
        <v>0</v>
      </c>
      <c r="AJ2225" s="87"/>
      <c r="AK2225" s="87"/>
      <c r="AL2225" s="87"/>
      <c r="AM2225" s="87"/>
      <c r="AN2225" s="87"/>
      <c r="AO2225" s="87"/>
      <c r="AP2225" s="87"/>
      <c r="AQ2225" s="87"/>
      <c r="AR2225" s="87"/>
      <c r="AS2225" s="87"/>
      <c r="AT2225" s="87"/>
      <c r="AU2225" s="87"/>
      <c r="AV2225" s="92" t="str">
        <f>HYPERLINK("https://pbs.twimg.com/profile_images/1686713603594887169/OW65LBQv_normal.jpg")</f>
        <v>https://pbs.twimg.com/profile_images/1686713603594887169/OW65LBQv_normal.jpg</v>
      </c>
      <c r="AW2225" s="93" t="s">
        <v>20442</v>
      </c>
      <c r="AX2225" s="93" t="s">
        <v>20442</v>
      </c>
      <c r="AY2225" s="87"/>
      <c r="AZ2225" s="93" t="s">
        <v>22668</v>
      </c>
      <c r="BA2225" s="93" t="s">
        <v>22668</v>
      </c>
      <c r="BB2225" s="93" t="s">
        <v>22668</v>
      </c>
      <c r="BC2225" s="93" t="s">
        <v>20442</v>
      </c>
      <c r="BD2225" s="87">
        <v>112786548</v>
      </c>
      <c r="BE2225" s="87"/>
      <c r="BF2225" s="87"/>
      <c r="BG2225" s="87"/>
      <c r="BH2225" s="87"/>
      <c r="BI2225" s="87"/>
    </row>
    <row r="2226" spans="1:61" x14ac:dyDescent="0.25">
      <c r="A2226" s="63" t="s">
        <v>984</v>
      </c>
      <c r="B2226" s="63" t="s">
        <v>984</v>
      </c>
      <c r="C2226" s="64"/>
      <c r="D2226" s="65"/>
      <c r="E2226" s="66"/>
      <c r="F2226" s="67"/>
      <c r="G2226" s="64"/>
      <c r="H2226" s="68"/>
      <c r="I2226" s="69"/>
      <c r="J2226" s="69"/>
      <c r="K2226" s="32"/>
      <c r="L2226" s="76">
        <v>2226</v>
      </c>
      <c r="M2226" s="76"/>
      <c r="N2226" s="71"/>
      <c r="O2226" s="87" t="s">
        <v>179</v>
      </c>
      <c r="P2226" s="90">
        <v>45164.542361111111</v>
      </c>
      <c r="Q2226" s="87" t="s">
        <v>4000</v>
      </c>
      <c r="R2226" s="87">
        <v>0</v>
      </c>
      <c r="S2226" s="87">
        <v>0</v>
      </c>
      <c r="T2226" s="87">
        <v>0</v>
      </c>
      <c r="U2226" s="87">
        <v>0</v>
      </c>
      <c r="V2226" s="87">
        <v>250</v>
      </c>
      <c r="W2226" s="93" t="s">
        <v>7297</v>
      </c>
      <c r="X2226" s="92" t="str">
        <f>HYPERLINK("https://bit.ly/3YNkZt5")</f>
        <v>https://bit.ly/3YNkZt5</v>
      </c>
      <c r="Y2226" s="87" t="s">
        <v>8374</v>
      </c>
      <c r="Z2226" s="87"/>
      <c r="AA2226" s="87"/>
      <c r="AB2226" s="87"/>
      <c r="AC2226" s="93" t="s">
        <v>11457</v>
      </c>
      <c r="AD2226" s="87" t="s">
        <v>11519</v>
      </c>
      <c r="AE2226" s="92" t="str">
        <f>HYPERLINK("https://twitter.com/tribunapr/status/1695421083254452362")</f>
        <v>https://twitter.com/tribunapr/status/1695421083254452362</v>
      </c>
      <c r="AF2226" s="90">
        <v>45164.542361111111</v>
      </c>
      <c r="AG2226" s="99">
        <v>45164</v>
      </c>
      <c r="AH2226" s="93" t="s">
        <v>13550</v>
      </c>
      <c r="AI2226" s="87" t="b">
        <v>0</v>
      </c>
      <c r="AJ2226" s="87"/>
      <c r="AK2226" s="87"/>
      <c r="AL2226" s="87"/>
      <c r="AM2226" s="87"/>
      <c r="AN2226" s="87"/>
      <c r="AO2226" s="87"/>
      <c r="AP2226" s="87"/>
      <c r="AQ2226" s="87"/>
      <c r="AR2226" s="87"/>
      <c r="AS2226" s="87"/>
      <c r="AT2226" s="87"/>
      <c r="AU2226" s="87"/>
      <c r="AV2226" s="92" t="str">
        <f>HYPERLINK("https://pbs.twimg.com/profile_images/1686713603594887169/OW65LBQv_normal.jpg")</f>
        <v>https://pbs.twimg.com/profile_images/1686713603594887169/OW65LBQv_normal.jpg</v>
      </c>
      <c r="AW2226" s="93" t="s">
        <v>20443</v>
      </c>
      <c r="AX2226" s="93" t="s">
        <v>20443</v>
      </c>
      <c r="AY2226" s="87"/>
      <c r="AZ2226" s="93" t="s">
        <v>22668</v>
      </c>
      <c r="BA2226" s="93" t="s">
        <v>22668</v>
      </c>
      <c r="BB2226" s="93" t="s">
        <v>22668</v>
      </c>
      <c r="BC2226" s="93" t="s">
        <v>20443</v>
      </c>
      <c r="BD2226" s="87">
        <v>112786548</v>
      </c>
      <c r="BE2226" s="87"/>
      <c r="BF2226" s="87"/>
      <c r="BG2226" s="87"/>
      <c r="BH2226" s="87"/>
      <c r="BI2226" s="87"/>
    </row>
    <row r="2227" spans="1:61" x14ac:dyDescent="0.25">
      <c r="A2227" s="63" t="s">
        <v>984</v>
      </c>
      <c r="B2227" s="63" t="s">
        <v>984</v>
      </c>
      <c r="C2227" s="64"/>
      <c r="D2227" s="65"/>
      <c r="E2227" s="66"/>
      <c r="F2227" s="67"/>
      <c r="G2227" s="64"/>
      <c r="H2227" s="68"/>
      <c r="I2227" s="69"/>
      <c r="J2227" s="69"/>
      <c r="K2227" s="32"/>
      <c r="L2227" s="76">
        <v>2227</v>
      </c>
      <c r="M2227" s="76"/>
      <c r="N2227" s="71"/>
      <c r="O2227" s="87" t="s">
        <v>179</v>
      </c>
      <c r="P2227" s="90">
        <v>45173.916678240741</v>
      </c>
      <c r="Q2227" s="87" t="s">
        <v>4001</v>
      </c>
      <c r="R2227" s="87">
        <v>0</v>
      </c>
      <c r="S2227" s="87">
        <v>0</v>
      </c>
      <c r="T2227" s="87">
        <v>0</v>
      </c>
      <c r="U2227" s="87">
        <v>0</v>
      </c>
      <c r="V2227" s="87">
        <v>212</v>
      </c>
      <c r="W2227" s="93" t="s">
        <v>7298</v>
      </c>
      <c r="X2227" s="92" t="str">
        <f>HYPERLINK("https://bit.ly/3Z31ooC")</f>
        <v>https://bit.ly/3Z31ooC</v>
      </c>
      <c r="Y2227" s="87" t="s">
        <v>8374</v>
      </c>
      <c r="Z2227" s="87"/>
      <c r="AA2227" s="87"/>
      <c r="AB2227" s="87"/>
      <c r="AC2227" s="93" t="s">
        <v>11457</v>
      </c>
      <c r="AD2227" s="87" t="s">
        <v>11519</v>
      </c>
      <c r="AE2227" s="92" t="str">
        <f>HYPERLINK("https://twitter.com/tribunapr/status/1698818224173772930")</f>
        <v>https://twitter.com/tribunapr/status/1698818224173772930</v>
      </c>
      <c r="AF2227" s="90">
        <v>45173.916678240741</v>
      </c>
      <c r="AG2227" s="99">
        <v>45173</v>
      </c>
      <c r="AH2227" s="93" t="s">
        <v>12143</v>
      </c>
      <c r="AI2227" s="87" t="b">
        <v>0</v>
      </c>
      <c r="AJ2227" s="87"/>
      <c r="AK2227" s="87"/>
      <c r="AL2227" s="87"/>
      <c r="AM2227" s="87"/>
      <c r="AN2227" s="87"/>
      <c r="AO2227" s="87"/>
      <c r="AP2227" s="87"/>
      <c r="AQ2227" s="87"/>
      <c r="AR2227" s="87"/>
      <c r="AS2227" s="87"/>
      <c r="AT2227" s="87"/>
      <c r="AU2227" s="87"/>
      <c r="AV2227" s="92" t="str">
        <f>HYPERLINK("https://pbs.twimg.com/profile_images/1686713603594887169/OW65LBQv_normal.jpg")</f>
        <v>https://pbs.twimg.com/profile_images/1686713603594887169/OW65LBQv_normal.jpg</v>
      </c>
      <c r="AW2227" s="93" t="s">
        <v>20444</v>
      </c>
      <c r="AX2227" s="93" t="s">
        <v>20444</v>
      </c>
      <c r="AY2227" s="87"/>
      <c r="AZ2227" s="93" t="s">
        <v>22668</v>
      </c>
      <c r="BA2227" s="93" t="s">
        <v>22668</v>
      </c>
      <c r="BB2227" s="93" t="s">
        <v>22668</v>
      </c>
      <c r="BC2227" s="93" t="s">
        <v>20444</v>
      </c>
      <c r="BD2227" s="87">
        <v>112786548</v>
      </c>
      <c r="BE2227" s="87"/>
      <c r="BF2227" s="87"/>
      <c r="BG2227" s="87"/>
      <c r="BH2227" s="87"/>
      <c r="BI2227" s="87"/>
    </row>
    <row r="2228" spans="1:61" x14ac:dyDescent="0.25">
      <c r="A2228" s="63" t="s">
        <v>984</v>
      </c>
      <c r="B2228" s="63" t="s">
        <v>984</v>
      </c>
      <c r="C2228" s="64"/>
      <c r="D2228" s="65"/>
      <c r="E2228" s="66"/>
      <c r="F2228" s="67"/>
      <c r="G2228" s="64"/>
      <c r="H2228" s="68"/>
      <c r="I2228" s="69"/>
      <c r="J2228" s="69"/>
      <c r="K2228" s="32"/>
      <c r="L2228" s="76">
        <v>2228</v>
      </c>
      <c r="M2228" s="76"/>
      <c r="N2228" s="71"/>
      <c r="O2228" s="87" t="s">
        <v>179</v>
      </c>
      <c r="P2228" s="90">
        <v>45182.924409722225</v>
      </c>
      <c r="Q2228" s="87" t="s">
        <v>4002</v>
      </c>
      <c r="R2228" s="87">
        <v>0</v>
      </c>
      <c r="S2228" s="87">
        <v>1</v>
      </c>
      <c r="T2228" s="87">
        <v>0</v>
      </c>
      <c r="U2228" s="87">
        <v>0</v>
      </c>
      <c r="V2228" s="87">
        <v>171</v>
      </c>
      <c r="W2228" s="93" t="s">
        <v>7299</v>
      </c>
      <c r="X2228" s="92" t="str">
        <f>HYPERLINK("https://buff.ly/45NjldF")</f>
        <v>https://buff.ly/45NjldF</v>
      </c>
      <c r="Y2228" s="87" t="s">
        <v>8429</v>
      </c>
      <c r="Z2228" s="87"/>
      <c r="AA2228" s="87"/>
      <c r="AB2228" s="87"/>
      <c r="AC2228" s="93" t="s">
        <v>11467</v>
      </c>
      <c r="AD2228" s="87" t="s">
        <v>11523</v>
      </c>
      <c r="AE2228" s="92" t="str">
        <f>HYPERLINK("https://twitter.com/tribunapr/status/1702082514716709028")</f>
        <v>https://twitter.com/tribunapr/status/1702082514716709028</v>
      </c>
      <c r="AF2228" s="90">
        <v>45182.924409722225</v>
      </c>
      <c r="AG2228" s="99">
        <v>45182</v>
      </c>
      <c r="AH2228" s="93" t="s">
        <v>13551</v>
      </c>
      <c r="AI2228" s="87" t="b">
        <v>0</v>
      </c>
      <c r="AJ2228" s="87"/>
      <c r="AK2228" s="87"/>
      <c r="AL2228" s="87"/>
      <c r="AM2228" s="87"/>
      <c r="AN2228" s="87"/>
      <c r="AO2228" s="87"/>
      <c r="AP2228" s="87"/>
      <c r="AQ2228" s="87"/>
      <c r="AR2228" s="87"/>
      <c r="AS2228" s="87"/>
      <c r="AT2228" s="87"/>
      <c r="AU2228" s="87"/>
      <c r="AV2228" s="92" t="str">
        <f>HYPERLINK("https://pbs.twimg.com/profile_images/1686713603594887169/OW65LBQv_normal.jpg")</f>
        <v>https://pbs.twimg.com/profile_images/1686713603594887169/OW65LBQv_normal.jpg</v>
      </c>
      <c r="AW2228" s="93" t="s">
        <v>20445</v>
      </c>
      <c r="AX2228" s="93" t="s">
        <v>20445</v>
      </c>
      <c r="AY2228" s="87"/>
      <c r="AZ2228" s="93" t="s">
        <v>22668</v>
      </c>
      <c r="BA2228" s="93" t="s">
        <v>22668</v>
      </c>
      <c r="BB2228" s="93" t="s">
        <v>22668</v>
      </c>
      <c r="BC2228" s="93" t="s">
        <v>20445</v>
      </c>
      <c r="BD2228" s="87">
        <v>112786548</v>
      </c>
      <c r="BE2228" s="87"/>
      <c r="BF2228" s="87"/>
      <c r="BG2228" s="87"/>
      <c r="BH2228" s="87"/>
      <c r="BI2228" s="87"/>
    </row>
    <row r="2229" spans="1:61" x14ac:dyDescent="0.25">
      <c r="A2229" s="63" t="s">
        <v>984</v>
      </c>
      <c r="B2229" s="63" t="s">
        <v>984</v>
      </c>
      <c r="C2229" s="64"/>
      <c r="D2229" s="65"/>
      <c r="E2229" s="66"/>
      <c r="F2229" s="67"/>
      <c r="G2229" s="64"/>
      <c r="H2229" s="68"/>
      <c r="I2229" s="69"/>
      <c r="J2229" s="69"/>
      <c r="K2229" s="32"/>
      <c r="L2229" s="76">
        <v>2229</v>
      </c>
      <c r="M2229" s="76"/>
      <c r="N2229" s="71"/>
      <c r="O2229" s="87" t="s">
        <v>179</v>
      </c>
      <c r="P2229" s="90">
        <v>45160.807638888888</v>
      </c>
      <c r="Q2229" s="87" t="s">
        <v>4003</v>
      </c>
      <c r="R2229" s="87">
        <v>0</v>
      </c>
      <c r="S2229" s="87">
        <v>1</v>
      </c>
      <c r="T2229" s="87">
        <v>0</v>
      </c>
      <c r="U2229" s="87">
        <v>0</v>
      </c>
      <c r="V2229" s="87">
        <v>301</v>
      </c>
      <c r="W2229" s="93" t="s">
        <v>7300</v>
      </c>
      <c r="X2229" s="92" t="str">
        <f>HYPERLINK("https://bit.ly/3YNkZt5")</f>
        <v>https://bit.ly/3YNkZt5</v>
      </c>
      <c r="Y2229" s="87" t="s">
        <v>8374</v>
      </c>
      <c r="Z2229" s="87"/>
      <c r="AA2229" s="87"/>
      <c r="AB2229" s="87"/>
      <c r="AC2229" s="93" t="s">
        <v>11457</v>
      </c>
      <c r="AD2229" s="87" t="s">
        <v>11519</v>
      </c>
      <c r="AE2229" s="92" t="str">
        <f>HYPERLINK("https://twitter.com/tribunapr/status/1694067664849666096")</f>
        <v>https://twitter.com/tribunapr/status/1694067664849666096</v>
      </c>
      <c r="AF2229" s="90">
        <v>45160.807638888888</v>
      </c>
      <c r="AG2229" s="99">
        <v>45160</v>
      </c>
      <c r="AH2229" s="93" t="s">
        <v>13552</v>
      </c>
      <c r="AI2229" s="87" t="b">
        <v>0</v>
      </c>
      <c r="AJ2229" s="87"/>
      <c r="AK2229" s="87"/>
      <c r="AL2229" s="87"/>
      <c r="AM2229" s="87"/>
      <c r="AN2229" s="87"/>
      <c r="AO2229" s="87"/>
      <c r="AP2229" s="87"/>
      <c r="AQ2229" s="87"/>
      <c r="AR2229" s="87"/>
      <c r="AS2229" s="87"/>
      <c r="AT2229" s="87"/>
      <c r="AU2229" s="87"/>
      <c r="AV2229" s="92" t="str">
        <f>HYPERLINK("https://pbs.twimg.com/profile_images/1686713603594887169/OW65LBQv_normal.jpg")</f>
        <v>https://pbs.twimg.com/profile_images/1686713603594887169/OW65LBQv_normal.jpg</v>
      </c>
      <c r="AW2229" s="93" t="s">
        <v>20446</v>
      </c>
      <c r="AX2229" s="93" t="s">
        <v>20446</v>
      </c>
      <c r="AY2229" s="87"/>
      <c r="AZ2229" s="93" t="s">
        <v>22668</v>
      </c>
      <c r="BA2229" s="93" t="s">
        <v>22668</v>
      </c>
      <c r="BB2229" s="93" t="s">
        <v>22668</v>
      </c>
      <c r="BC2229" s="93" t="s">
        <v>20446</v>
      </c>
      <c r="BD2229" s="87">
        <v>112786548</v>
      </c>
      <c r="BE2229" s="87"/>
      <c r="BF2229" s="87"/>
      <c r="BG2229" s="87"/>
      <c r="BH2229" s="87"/>
      <c r="BI2229" s="87"/>
    </row>
    <row r="2230" spans="1:61" x14ac:dyDescent="0.25">
      <c r="A2230" s="63" t="s">
        <v>985</v>
      </c>
      <c r="B2230" s="63" t="s">
        <v>985</v>
      </c>
      <c r="C2230" s="64"/>
      <c r="D2230" s="65"/>
      <c r="E2230" s="66"/>
      <c r="F2230" s="67"/>
      <c r="G2230" s="64"/>
      <c r="H2230" s="68"/>
      <c r="I2230" s="69"/>
      <c r="J2230" s="69"/>
      <c r="K2230" s="32"/>
      <c r="L2230" s="76">
        <v>2230</v>
      </c>
      <c r="M2230" s="76"/>
      <c r="N2230" s="71"/>
      <c r="O2230" s="87" t="s">
        <v>179</v>
      </c>
      <c r="P2230" s="90">
        <v>45131.709178240744</v>
      </c>
      <c r="Q2230" s="87" t="s">
        <v>4004</v>
      </c>
      <c r="R2230" s="87">
        <v>0</v>
      </c>
      <c r="S2230" s="87">
        <v>1</v>
      </c>
      <c r="T2230" s="87">
        <v>1</v>
      </c>
      <c r="U2230" s="87">
        <v>0</v>
      </c>
      <c r="V2230" s="87">
        <v>51</v>
      </c>
      <c r="W2230" s="93" t="s">
        <v>5897</v>
      </c>
      <c r="X2230" s="87"/>
      <c r="Y2230" s="87"/>
      <c r="Z2230" s="87"/>
      <c r="AA2230" s="87"/>
      <c r="AB2230" s="87"/>
      <c r="AC2230" s="93" t="s">
        <v>11457</v>
      </c>
      <c r="AD2230" s="87" t="s">
        <v>11519</v>
      </c>
      <c r="AE2230" s="92" t="str">
        <f>HYPERLINK("https://twitter.com/marco_qgnet/status/1683522738181349398")</f>
        <v>https://twitter.com/marco_qgnet/status/1683522738181349398</v>
      </c>
      <c r="AF2230" s="90">
        <v>45131.709178240744</v>
      </c>
      <c r="AG2230" s="99">
        <v>45131</v>
      </c>
      <c r="AH2230" s="93" t="s">
        <v>13553</v>
      </c>
      <c r="AI2230" s="87"/>
      <c r="AJ2230" s="87"/>
      <c r="AK2230" s="87"/>
      <c r="AL2230" s="87"/>
      <c r="AM2230" s="87"/>
      <c r="AN2230" s="87"/>
      <c r="AO2230" s="87"/>
      <c r="AP2230" s="87"/>
      <c r="AQ2230" s="87"/>
      <c r="AR2230" s="87"/>
      <c r="AS2230" s="87"/>
      <c r="AT2230" s="87"/>
      <c r="AU2230" s="87"/>
      <c r="AV2230" s="92" t="str">
        <f>HYPERLINK("https://pbs.twimg.com/profile_images/1516245504212049924/DQkRiKQ4_normal.jpg")</f>
        <v>https://pbs.twimg.com/profile_images/1516245504212049924/DQkRiKQ4_normal.jpg</v>
      </c>
      <c r="AW2230" s="93" t="s">
        <v>20447</v>
      </c>
      <c r="AX2230" s="93" t="s">
        <v>20447</v>
      </c>
      <c r="AY2230" s="87"/>
      <c r="AZ2230" s="93" t="s">
        <v>22668</v>
      </c>
      <c r="BA2230" s="93" t="s">
        <v>22668</v>
      </c>
      <c r="BB2230" s="93" t="s">
        <v>22668</v>
      </c>
      <c r="BC2230" s="93" t="s">
        <v>20447</v>
      </c>
      <c r="BD2230" s="87">
        <v>15960390</v>
      </c>
      <c r="BE2230" s="87"/>
      <c r="BF2230" s="87"/>
      <c r="BG2230" s="87"/>
      <c r="BH2230" s="87"/>
      <c r="BI2230" s="87"/>
    </row>
    <row r="2231" spans="1:61" x14ac:dyDescent="0.25">
      <c r="A2231" s="63" t="s">
        <v>986</v>
      </c>
      <c r="B2231" s="63" t="s">
        <v>986</v>
      </c>
      <c r="C2231" s="64"/>
      <c r="D2231" s="65"/>
      <c r="E2231" s="66"/>
      <c r="F2231" s="67"/>
      <c r="G2231" s="64"/>
      <c r="H2231" s="68"/>
      <c r="I2231" s="69"/>
      <c r="J2231" s="69"/>
      <c r="K2231" s="32"/>
      <c r="L2231" s="76">
        <v>2231</v>
      </c>
      <c r="M2231" s="76"/>
      <c r="N2231" s="71"/>
      <c r="O2231" s="87" t="s">
        <v>179</v>
      </c>
      <c r="P2231" s="90">
        <v>45196.841527777775</v>
      </c>
      <c r="Q2231" s="87" t="s">
        <v>4005</v>
      </c>
      <c r="R2231" s="87">
        <v>0</v>
      </c>
      <c r="S2231" s="87">
        <v>0</v>
      </c>
      <c r="T2231" s="87">
        <v>0</v>
      </c>
      <c r="U2231" s="87">
        <v>0</v>
      </c>
      <c r="V2231" s="87">
        <v>3</v>
      </c>
      <c r="W2231" s="93" t="s">
        <v>7301</v>
      </c>
      <c r="X2231" s="92" t="str">
        <f>HYPERLINK("https://www.youtube.com/live/hklH-vcH4to?si=JnVu5DhpszGubkvF")</f>
        <v>https://www.youtube.com/live/hklH-vcH4to?si=JnVu5DhpszGubkvF</v>
      </c>
      <c r="Y2231" s="87" t="s">
        <v>8380</v>
      </c>
      <c r="Z2231" s="87"/>
      <c r="AA2231" s="87" t="s">
        <v>10051</v>
      </c>
      <c r="AB2231" s="87" t="s">
        <v>11448</v>
      </c>
      <c r="AC2231" s="93" t="s">
        <v>11459</v>
      </c>
      <c r="AD2231" s="87" t="s">
        <v>11519</v>
      </c>
      <c r="AE2231" s="92" t="str">
        <f>HYPERLINK("https://twitter.com/crisiloose/status/1707125911382860234")</f>
        <v>https://twitter.com/crisiloose/status/1707125911382860234</v>
      </c>
      <c r="AF2231" s="90">
        <v>45196.841527777775</v>
      </c>
      <c r="AG2231" s="99">
        <v>45196</v>
      </c>
      <c r="AH2231" s="93" t="s">
        <v>13554</v>
      </c>
      <c r="AI2231" s="87" t="b">
        <v>0</v>
      </c>
      <c r="AJ2231" s="87"/>
      <c r="AK2231" s="87"/>
      <c r="AL2231" s="87"/>
      <c r="AM2231" s="87"/>
      <c r="AN2231" s="87"/>
      <c r="AO2231" s="87"/>
      <c r="AP2231" s="87"/>
      <c r="AQ2231" s="87" t="s">
        <v>16864</v>
      </c>
      <c r="AR2231" s="87"/>
      <c r="AS2231" s="87"/>
      <c r="AT2231" s="87"/>
      <c r="AU2231" s="87"/>
      <c r="AV2231" s="92" t="str">
        <f>HYPERLINK("https://pbs.twimg.com/media/F7Dt-BbXoAAj7xp.jpg")</f>
        <v>https://pbs.twimg.com/media/F7Dt-BbXoAAj7xp.jpg</v>
      </c>
      <c r="AW2231" s="93" t="s">
        <v>20448</v>
      </c>
      <c r="AX2231" s="93" t="s">
        <v>20448</v>
      </c>
      <c r="AY2231" s="87"/>
      <c r="AZ2231" s="93" t="s">
        <v>22668</v>
      </c>
      <c r="BA2231" s="93" t="s">
        <v>22668</v>
      </c>
      <c r="BB2231" s="93" t="s">
        <v>22668</v>
      </c>
      <c r="BC2231" s="93" t="s">
        <v>20448</v>
      </c>
      <c r="BD2231" s="87">
        <v>134863292</v>
      </c>
      <c r="BE2231" s="87"/>
      <c r="BF2231" s="87"/>
      <c r="BG2231" s="87"/>
      <c r="BH2231" s="87"/>
      <c r="BI2231" s="87"/>
    </row>
    <row r="2232" spans="1:61" x14ac:dyDescent="0.25">
      <c r="A2232" s="63" t="s">
        <v>987</v>
      </c>
      <c r="B2232" s="63" t="s">
        <v>987</v>
      </c>
      <c r="C2232" s="64"/>
      <c r="D2232" s="65"/>
      <c r="E2232" s="66"/>
      <c r="F2232" s="67"/>
      <c r="G2232" s="64"/>
      <c r="H2232" s="68"/>
      <c r="I2232" s="69"/>
      <c r="J2232" s="69"/>
      <c r="K2232" s="32"/>
      <c r="L2232" s="76">
        <v>2232</v>
      </c>
      <c r="M2232" s="76"/>
      <c r="N2232" s="71"/>
      <c r="O2232" s="87" t="s">
        <v>179</v>
      </c>
      <c r="P2232" s="90">
        <v>45171.612696759257</v>
      </c>
      <c r="Q2232" s="87" t="s">
        <v>4006</v>
      </c>
      <c r="R2232" s="87">
        <v>0</v>
      </c>
      <c r="S2232" s="87">
        <v>0</v>
      </c>
      <c r="T2232" s="87">
        <v>0</v>
      </c>
      <c r="U2232" s="87">
        <v>0</v>
      </c>
      <c r="V2232" s="87">
        <v>10</v>
      </c>
      <c r="W2232" s="93" t="s">
        <v>7302</v>
      </c>
      <c r="X2232" s="87"/>
      <c r="Y2232" s="87"/>
      <c r="Z2232" s="87"/>
      <c r="AA2232" s="87" t="s">
        <v>10052</v>
      </c>
      <c r="AB2232" s="87" t="s">
        <v>11448</v>
      </c>
      <c r="AC2232" s="93" t="s">
        <v>11457</v>
      </c>
      <c r="AD2232" s="87" t="s">
        <v>11519</v>
      </c>
      <c r="AE2232" s="92" t="str">
        <f>HYPERLINK("https://twitter.com/gisellivieira/status/1697983289057837261")</f>
        <v>https://twitter.com/gisellivieira/status/1697983289057837261</v>
      </c>
      <c r="AF2232" s="90">
        <v>45171.612696759257</v>
      </c>
      <c r="AG2232" s="99">
        <v>45171</v>
      </c>
      <c r="AH2232" s="93" t="s">
        <v>13555</v>
      </c>
      <c r="AI2232" s="87" t="b">
        <v>0</v>
      </c>
      <c r="AJ2232" s="87"/>
      <c r="AK2232" s="87"/>
      <c r="AL2232" s="87"/>
      <c r="AM2232" s="87"/>
      <c r="AN2232" s="87"/>
      <c r="AO2232" s="87"/>
      <c r="AP2232" s="87"/>
      <c r="AQ2232" s="87" t="s">
        <v>16865</v>
      </c>
      <c r="AR2232" s="87"/>
      <c r="AS2232" s="87"/>
      <c r="AT2232" s="87"/>
      <c r="AU2232" s="87"/>
      <c r="AV2232" s="92" t="str">
        <f>HYPERLINK("https://pbs.twimg.com/media/F5ByvQfXIAAgUsM.jpg")</f>
        <v>https://pbs.twimg.com/media/F5ByvQfXIAAgUsM.jpg</v>
      </c>
      <c r="AW2232" s="93" t="s">
        <v>20449</v>
      </c>
      <c r="AX2232" s="93" t="s">
        <v>20449</v>
      </c>
      <c r="AY2232" s="87"/>
      <c r="AZ2232" s="93" t="s">
        <v>22668</v>
      </c>
      <c r="BA2232" s="93" t="s">
        <v>22668</v>
      </c>
      <c r="BB2232" s="93" t="s">
        <v>22668</v>
      </c>
      <c r="BC2232" s="93" t="s">
        <v>20449</v>
      </c>
      <c r="BD2232" s="87">
        <v>80034336</v>
      </c>
      <c r="BE2232" s="87"/>
      <c r="BF2232" s="87"/>
      <c r="BG2232" s="87"/>
      <c r="BH2232" s="87"/>
      <c r="BI2232" s="87"/>
    </row>
    <row r="2233" spans="1:61" x14ac:dyDescent="0.25">
      <c r="A2233" s="63" t="s">
        <v>988</v>
      </c>
      <c r="B2233" s="63" t="s">
        <v>988</v>
      </c>
      <c r="C2233" s="64"/>
      <c r="D2233" s="65"/>
      <c r="E2233" s="66"/>
      <c r="F2233" s="67"/>
      <c r="G2233" s="64"/>
      <c r="H2233" s="68"/>
      <c r="I2233" s="69"/>
      <c r="J2233" s="69"/>
      <c r="K2233" s="32"/>
      <c r="L2233" s="76">
        <v>2233</v>
      </c>
      <c r="M2233" s="76"/>
      <c r="N2233" s="71"/>
      <c r="O2233" s="87" t="s">
        <v>179</v>
      </c>
      <c r="P2233" s="90">
        <v>45117.600046296298</v>
      </c>
      <c r="Q2233" s="87" t="s">
        <v>4007</v>
      </c>
      <c r="R2233" s="87">
        <v>0</v>
      </c>
      <c r="S2233" s="87">
        <v>0</v>
      </c>
      <c r="T2233" s="87">
        <v>0</v>
      </c>
      <c r="U2233" s="87">
        <v>0</v>
      </c>
      <c r="V2233" s="87">
        <v>8</v>
      </c>
      <c r="W2233" s="93" t="s">
        <v>7303</v>
      </c>
      <c r="X2233" s="87"/>
      <c r="Y2233" s="87"/>
      <c r="Z2233" s="87"/>
      <c r="AA2233" s="87" t="s">
        <v>10053</v>
      </c>
      <c r="AB2233" s="87" t="s">
        <v>11448</v>
      </c>
      <c r="AC2233" s="93" t="s">
        <v>11459</v>
      </c>
      <c r="AD2233" s="87" t="s">
        <v>11519</v>
      </c>
      <c r="AE2233" s="92" t="str">
        <f>HYPERLINK("https://twitter.com/capedebr/status/1678409756925476865")</f>
        <v>https://twitter.com/capedebr/status/1678409756925476865</v>
      </c>
      <c r="AF2233" s="90">
        <v>45117.600046296298</v>
      </c>
      <c r="AG2233" s="99">
        <v>45117</v>
      </c>
      <c r="AH2233" s="93" t="s">
        <v>13556</v>
      </c>
      <c r="AI2233" s="87" t="b">
        <v>0</v>
      </c>
      <c r="AJ2233" s="87"/>
      <c r="AK2233" s="87"/>
      <c r="AL2233" s="87"/>
      <c r="AM2233" s="87"/>
      <c r="AN2233" s="87"/>
      <c r="AO2233" s="87"/>
      <c r="AP2233" s="87"/>
      <c r="AQ2233" s="87" t="s">
        <v>16866</v>
      </c>
      <c r="AR2233" s="87"/>
      <c r="AS2233" s="87"/>
      <c r="AT2233" s="87"/>
      <c r="AU2233" s="87"/>
      <c r="AV2233" s="92" t="str">
        <f>HYPERLINK("https://pbs.twimg.com/media/F0roxygWAAE9jQ4.jpg")</f>
        <v>https://pbs.twimg.com/media/F0roxygWAAE9jQ4.jpg</v>
      </c>
      <c r="AW2233" s="93" t="s">
        <v>20450</v>
      </c>
      <c r="AX2233" s="93" t="s">
        <v>20450</v>
      </c>
      <c r="AY2233" s="87"/>
      <c r="AZ2233" s="93" t="s">
        <v>22668</v>
      </c>
      <c r="BA2233" s="93" t="s">
        <v>22668</v>
      </c>
      <c r="BB2233" s="93" t="s">
        <v>22668</v>
      </c>
      <c r="BC2233" s="93" t="s">
        <v>20450</v>
      </c>
      <c r="BD2233" s="93" t="s">
        <v>23228</v>
      </c>
      <c r="BE2233" s="87"/>
      <c r="BF2233" s="87"/>
      <c r="BG2233" s="87"/>
      <c r="BH2233" s="87"/>
      <c r="BI2233" s="87"/>
    </row>
    <row r="2234" spans="1:61" x14ac:dyDescent="0.25">
      <c r="A2234" s="63" t="s">
        <v>989</v>
      </c>
      <c r="B2234" s="63" t="s">
        <v>989</v>
      </c>
      <c r="C2234" s="64"/>
      <c r="D2234" s="65"/>
      <c r="E2234" s="66"/>
      <c r="F2234" s="67"/>
      <c r="G2234" s="64"/>
      <c r="H2234" s="68"/>
      <c r="I2234" s="69"/>
      <c r="J2234" s="69"/>
      <c r="K2234" s="32"/>
      <c r="L2234" s="76">
        <v>2234</v>
      </c>
      <c r="M2234" s="76"/>
      <c r="N2234" s="71"/>
      <c r="O2234" s="87" t="s">
        <v>179</v>
      </c>
      <c r="P2234" s="90">
        <v>45160.539074074077</v>
      </c>
      <c r="Q2234" s="87" t="s">
        <v>4008</v>
      </c>
      <c r="R2234" s="87">
        <v>0</v>
      </c>
      <c r="S2234" s="87">
        <v>0</v>
      </c>
      <c r="T2234" s="87">
        <v>0</v>
      </c>
      <c r="U2234" s="87">
        <v>0</v>
      </c>
      <c r="V2234" s="87">
        <v>5</v>
      </c>
      <c r="W2234" s="93" t="s">
        <v>7304</v>
      </c>
      <c r="X2234" s="92" t="str">
        <f>HYPERLINK("http://www.fasque.in")</f>
        <v>http://www.fasque.in</v>
      </c>
      <c r="Y2234" s="87" t="s">
        <v>8490</v>
      </c>
      <c r="Z2234" s="87"/>
      <c r="AA2234" s="87" t="s">
        <v>10054</v>
      </c>
      <c r="AB2234" s="87" t="s">
        <v>11448</v>
      </c>
      <c r="AC2234" s="93" t="s">
        <v>11457</v>
      </c>
      <c r="AD2234" s="87" t="s">
        <v>11518</v>
      </c>
      <c r="AE2234" s="92" t="str">
        <f>HYPERLINK("https://twitter.com/fasqueindia/status/1693970340211228867")</f>
        <v>https://twitter.com/fasqueindia/status/1693970340211228867</v>
      </c>
      <c r="AF2234" s="90">
        <v>45160.539074074077</v>
      </c>
      <c r="AG2234" s="99">
        <v>45160</v>
      </c>
      <c r="AH2234" s="93" t="s">
        <v>13557</v>
      </c>
      <c r="AI2234" s="87" t="b">
        <v>0</v>
      </c>
      <c r="AJ2234" s="87"/>
      <c r="AK2234" s="87"/>
      <c r="AL2234" s="87"/>
      <c r="AM2234" s="87"/>
      <c r="AN2234" s="87"/>
      <c r="AO2234" s="87"/>
      <c r="AP2234" s="87"/>
      <c r="AQ2234" s="87" t="s">
        <v>16867</v>
      </c>
      <c r="AR2234" s="87"/>
      <c r="AS2234" s="87"/>
      <c r="AT2234" s="87"/>
      <c r="AU2234" s="87"/>
      <c r="AV2234" s="92" t="str">
        <f>HYPERLINK("https://pbs.twimg.com/media/F4IxBFcXsAEClhM.jpg")</f>
        <v>https://pbs.twimg.com/media/F4IxBFcXsAEClhM.jpg</v>
      </c>
      <c r="AW2234" s="93" t="s">
        <v>20451</v>
      </c>
      <c r="AX2234" s="93" t="s">
        <v>20451</v>
      </c>
      <c r="AY2234" s="87"/>
      <c r="AZ2234" s="93" t="s">
        <v>22668</v>
      </c>
      <c r="BA2234" s="93" t="s">
        <v>22668</v>
      </c>
      <c r="BB2234" s="93" t="s">
        <v>22668</v>
      </c>
      <c r="BC2234" s="93" t="s">
        <v>20451</v>
      </c>
      <c r="BD2234" s="93" t="s">
        <v>23229</v>
      </c>
      <c r="BE2234" s="87"/>
      <c r="BF2234" s="87"/>
      <c r="BG2234" s="87"/>
      <c r="BH2234" s="87"/>
      <c r="BI2234" s="87"/>
    </row>
    <row r="2235" spans="1:61" x14ac:dyDescent="0.25">
      <c r="A2235" s="63" t="s">
        <v>990</v>
      </c>
      <c r="B2235" s="63" t="s">
        <v>990</v>
      </c>
      <c r="C2235" s="64"/>
      <c r="D2235" s="65"/>
      <c r="E2235" s="66"/>
      <c r="F2235" s="67"/>
      <c r="G2235" s="64"/>
      <c r="H2235" s="68"/>
      <c r="I2235" s="69"/>
      <c r="J2235" s="69"/>
      <c r="K2235" s="32"/>
      <c r="L2235" s="76">
        <v>2235</v>
      </c>
      <c r="M2235" s="76"/>
      <c r="N2235" s="71"/>
      <c r="O2235" s="87" t="s">
        <v>179</v>
      </c>
      <c r="P2235" s="90">
        <v>45113.021226851852</v>
      </c>
      <c r="Q2235" s="87" t="s">
        <v>4009</v>
      </c>
      <c r="R2235" s="87">
        <v>0</v>
      </c>
      <c r="S2235" s="87">
        <v>1</v>
      </c>
      <c r="T2235" s="87">
        <v>0</v>
      </c>
      <c r="U2235" s="87">
        <v>0</v>
      </c>
      <c r="V2235" s="87">
        <v>13</v>
      </c>
      <c r="W2235" s="93" t="s">
        <v>7305</v>
      </c>
      <c r="X2235" s="92" t="str">
        <f>HYPERLINK("https://lnkd.in/dj4PnMPV")</f>
        <v>https://lnkd.in/dj4PnMPV</v>
      </c>
      <c r="Y2235" s="87" t="s">
        <v>8408</v>
      </c>
      <c r="Z2235" s="87"/>
      <c r="AA2235" s="87"/>
      <c r="AB2235" s="87"/>
      <c r="AC2235" s="93" t="s">
        <v>11474</v>
      </c>
      <c r="AD2235" s="87" t="s">
        <v>11519</v>
      </c>
      <c r="AE2235" s="92" t="str">
        <f>HYPERLINK("https://twitter.com/cidamuniz/status/1676750448730963968")</f>
        <v>https://twitter.com/cidamuniz/status/1676750448730963968</v>
      </c>
      <c r="AF2235" s="90">
        <v>45113.021226851852</v>
      </c>
      <c r="AG2235" s="99">
        <v>45113</v>
      </c>
      <c r="AH2235" s="93" t="s">
        <v>13558</v>
      </c>
      <c r="AI2235" s="87" t="b">
        <v>0</v>
      </c>
      <c r="AJ2235" s="87"/>
      <c r="AK2235" s="87"/>
      <c r="AL2235" s="87"/>
      <c r="AM2235" s="87"/>
      <c r="AN2235" s="87"/>
      <c r="AO2235" s="87"/>
      <c r="AP2235" s="87"/>
      <c r="AQ2235" s="87"/>
      <c r="AR2235" s="87"/>
      <c r="AS2235" s="87"/>
      <c r="AT2235" s="87"/>
      <c r="AU2235" s="87"/>
      <c r="AV2235" s="92" t="str">
        <f>HYPERLINK("https://pbs.twimg.com/profile_images/1636386390866034704/THarwFvG_normal.jpg")</f>
        <v>https://pbs.twimg.com/profile_images/1636386390866034704/THarwFvG_normal.jpg</v>
      </c>
      <c r="AW2235" s="93" t="s">
        <v>20452</v>
      </c>
      <c r="AX2235" s="93" t="s">
        <v>20452</v>
      </c>
      <c r="AY2235" s="87"/>
      <c r="AZ2235" s="93" t="s">
        <v>22668</v>
      </c>
      <c r="BA2235" s="93" t="s">
        <v>22668</v>
      </c>
      <c r="BB2235" s="93" t="s">
        <v>22668</v>
      </c>
      <c r="BC2235" s="93" t="s">
        <v>20452</v>
      </c>
      <c r="BD2235" s="87">
        <v>49597355</v>
      </c>
      <c r="BE2235" s="87"/>
      <c r="BF2235" s="87"/>
      <c r="BG2235" s="87"/>
      <c r="BH2235" s="87"/>
      <c r="BI2235" s="87"/>
    </row>
    <row r="2236" spans="1:61" x14ac:dyDescent="0.25">
      <c r="A2236" s="63" t="s">
        <v>991</v>
      </c>
      <c r="B2236" s="63" t="s">
        <v>991</v>
      </c>
      <c r="C2236" s="64"/>
      <c r="D2236" s="65"/>
      <c r="E2236" s="66"/>
      <c r="F2236" s="67"/>
      <c r="G2236" s="64"/>
      <c r="H2236" s="68"/>
      <c r="I2236" s="69"/>
      <c r="J2236" s="69"/>
      <c r="K2236" s="32"/>
      <c r="L2236" s="76">
        <v>2236</v>
      </c>
      <c r="M2236" s="76"/>
      <c r="N2236" s="71"/>
      <c r="O2236" s="87" t="s">
        <v>179</v>
      </c>
      <c r="P2236" s="90">
        <v>45141.678240740737</v>
      </c>
      <c r="Q2236" s="87" t="s">
        <v>4010</v>
      </c>
      <c r="R2236" s="87">
        <v>0</v>
      </c>
      <c r="S2236" s="87">
        <v>0</v>
      </c>
      <c r="T2236" s="87">
        <v>0</v>
      </c>
      <c r="U2236" s="87">
        <v>0</v>
      </c>
      <c r="V2236" s="87">
        <v>65</v>
      </c>
      <c r="W2236" s="93" t="s">
        <v>6694</v>
      </c>
      <c r="X2236" s="92" t="str">
        <f>HYPERLINK("https://www.estadao.com.br/educacao/xp-amazon-e-einstein-por-que-o-mercado-esta-abrindo-escolas-e-faculdades-proprias/")</f>
        <v>https://www.estadao.com.br/educacao/xp-amazon-e-einstein-por-que-o-mercado-esta-abrindo-escolas-e-faculdades-proprias/</v>
      </c>
      <c r="Y2236" s="87" t="s">
        <v>8373</v>
      </c>
      <c r="Z2236" s="87"/>
      <c r="AA2236" s="87"/>
      <c r="AB2236" s="87"/>
      <c r="AC2236" s="93" t="s">
        <v>11457</v>
      </c>
      <c r="AD2236" s="87" t="s">
        <v>11519</v>
      </c>
      <c r="AE2236" s="92" t="str">
        <f>HYPERLINK("https://twitter.com/profpcavalcante/status/1687135402438664196")</f>
        <v>https://twitter.com/profpcavalcante/status/1687135402438664196</v>
      </c>
      <c r="AF2236" s="90">
        <v>45141.678240740737</v>
      </c>
      <c r="AG2236" s="99">
        <v>45141</v>
      </c>
      <c r="AH2236" s="93" t="s">
        <v>13559</v>
      </c>
      <c r="AI2236" s="87" t="b">
        <v>0</v>
      </c>
      <c r="AJ2236" s="87"/>
      <c r="AK2236" s="87"/>
      <c r="AL2236" s="87"/>
      <c r="AM2236" s="87"/>
      <c r="AN2236" s="87"/>
      <c r="AO2236" s="87"/>
      <c r="AP2236" s="87"/>
      <c r="AQ2236" s="87"/>
      <c r="AR2236" s="87"/>
      <c r="AS2236" s="87"/>
      <c r="AT2236" s="87"/>
      <c r="AU2236" s="87"/>
      <c r="AV2236" s="92" t="str">
        <f>HYPERLINK("https://pbs.twimg.com/profile_images/915295201647882241/spePykYm_normal.jpg")</f>
        <v>https://pbs.twimg.com/profile_images/915295201647882241/spePykYm_normal.jpg</v>
      </c>
      <c r="AW2236" s="93" t="s">
        <v>20453</v>
      </c>
      <c r="AX2236" s="93" t="s">
        <v>20453</v>
      </c>
      <c r="AY2236" s="87"/>
      <c r="AZ2236" s="93" t="s">
        <v>22668</v>
      </c>
      <c r="BA2236" s="93" t="s">
        <v>22668</v>
      </c>
      <c r="BB2236" s="93" t="s">
        <v>22668</v>
      </c>
      <c r="BC2236" s="93" t="s">
        <v>20453</v>
      </c>
      <c r="BD2236" s="93" t="s">
        <v>23230</v>
      </c>
      <c r="BE2236" s="87"/>
      <c r="BF2236" s="87"/>
      <c r="BG2236" s="87"/>
      <c r="BH2236" s="87"/>
      <c r="BI2236" s="87"/>
    </row>
    <row r="2237" spans="1:61" x14ac:dyDescent="0.25">
      <c r="A2237" s="63" t="s">
        <v>992</v>
      </c>
      <c r="B2237" s="63" t="s">
        <v>992</v>
      </c>
      <c r="C2237" s="64"/>
      <c r="D2237" s="65"/>
      <c r="E2237" s="66"/>
      <c r="F2237" s="67"/>
      <c r="G2237" s="64"/>
      <c r="H2237" s="68"/>
      <c r="I2237" s="69"/>
      <c r="J2237" s="69"/>
      <c r="K2237" s="32"/>
      <c r="L2237" s="76">
        <v>2237</v>
      </c>
      <c r="M2237" s="76"/>
      <c r="N2237" s="71"/>
      <c r="O2237" s="87" t="s">
        <v>179</v>
      </c>
      <c r="P2237" s="90">
        <v>45134.609120370369</v>
      </c>
      <c r="Q2237" s="87" t="s">
        <v>4011</v>
      </c>
      <c r="R2237" s="87">
        <v>0</v>
      </c>
      <c r="S2237" s="87">
        <v>0</v>
      </c>
      <c r="T2237" s="87">
        <v>0</v>
      </c>
      <c r="U2237" s="87">
        <v>0</v>
      </c>
      <c r="V2237" s="87">
        <v>27</v>
      </c>
      <c r="W2237" s="93" t="s">
        <v>7306</v>
      </c>
      <c r="X2237" s="87"/>
      <c r="Y2237" s="87"/>
      <c r="Z2237" s="87"/>
      <c r="AA2237" s="87" t="s">
        <v>10055</v>
      </c>
      <c r="AB2237" s="87" t="s">
        <v>11447</v>
      </c>
      <c r="AC2237" s="93" t="s">
        <v>11457</v>
      </c>
      <c r="AD2237" s="87" t="s">
        <v>11519</v>
      </c>
      <c r="AE2237" s="92" t="str">
        <f>HYPERLINK("https://twitter.com/oconfeiteirodig/status/1684573640187420673")</f>
        <v>https://twitter.com/oconfeiteirodig/status/1684573640187420673</v>
      </c>
      <c r="AF2237" s="90">
        <v>45134.609120370369</v>
      </c>
      <c r="AG2237" s="99">
        <v>45134</v>
      </c>
      <c r="AH2237" s="93" t="s">
        <v>13560</v>
      </c>
      <c r="AI2237" s="87" t="b">
        <v>0</v>
      </c>
      <c r="AJ2237" s="87"/>
      <c r="AK2237" s="87"/>
      <c r="AL2237" s="87"/>
      <c r="AM2237" s="87"/>
      <c r="AN2237" s="87"/>
      <c r="AO2237" s="87"/>
      <c r="AP2237" s="87"/>
      <c r="AQ2237" s="87" t="s">
        <v>16868</v>
      </c>
      <c r="AR2237" s="87">
        <v>120232</v>
      </c>
      <c r="AS2237" s="87"/>
      <c r="AT2237" s="87"/>
      <c r="AU2237" s="87"/>
      <c r="AV2237" s="92" t="str">
        <f>HYPERLINK("https://pbs.twimg.com/ext_tw_video_thumb/1684573279389102080/pu/img/q5Z6RYu3kWLWII2h.jpg")</f>
        <v>https://pbs.twimg.com/ext_tw_video_thumb/1684573279389102080/pu/img/q5Z6RYu3kWLWII2h.jpg</v>
      </c>
      <c r="AW2237" s="93" t="s">
        <v>20454</v>
      </c>
      <c r="AX2237" s="93" t="s">
        <v>20454</v>
      </c>
      <c r="AY2237" s="87"/>
      <c r="AZ2237" s="93" t="s">
        <v>22668</v>
      </c>
      <c r="BA2237" s="93" t="s">
        <v>22668</v>
      </c>
      <c r="BB2237" s="93" t="s">
        <v>22668</v>
      </c>
      <c r="BC2237" s="93" t="s">
        <v>20454</v>
      </c>
      <c r="BD2237" s="93" t="s">
        <v>23231</v>
      </c>
      <c r="BE2237" s="87"/>
      <c r="BF2237" s="87"/>
      <c r="BG2237" s="87"/>
      <c r="BH2237" s="87"/>
      <c r="BI2237" s="87"/>
    </row>
    <row r="2238" spans="1:61" x14ac:dyDescent="0.25">
      <c r="A2238" s="63" t="s">
        <v>993</v>
      </c>
      <c r="B2238" s="63" t="s">
        <v>993</v>
      </c>
      <c r="C2238" s="64"/>
      <c r="D2238" s="65"/>
      <c r="E2238" s="66"/>
      <c r="F2238" s="67"/>
      <c r="G2238" s="64"/>
      <c r="H2238" s="68"/>
      <c r="I2238" s="69"/>
      <c r="J2238" s="69"/>
      <c r="K2238" s="32"/>
      <c r="L2238" s="76">
        <v>2238</v>
      </c>
      <c r="M2238" s="76"/>
      <c r="N2238" s="71"/>
      <c r="O2238" s="87" t="s">
        <v>179</v>
      </c>
      <c r="P2238" s="90">
        <v>45182.575057870374</v>
      </c>
      <c r="Q2238" s="87" t="s">
        <v>4012</v>
      </c>
      <c r="R2238" s="87">
        <v>1</v>
      </c>
      <c r="S2238" s="87">
        <v>3</v>
      </c>
      <c r="T2238" s="87">
        <v>1</v>
      </c>
      <c r="U2238" s="87">
        <v>0</v>
      </c>
      <c r="V2238" s="87">
        <v>164</v>
      </c>
      <c r="W2238" s="93" t="s">
        <v>5897</v>
      </c>
      <c r="X2238" s="87"/>
      <c r="Y2238" s="87"/>
      <c r="Z2238" s="87"/>
      <c r="AA2238" s="87" t="s">
        <v>10056</v>
      </c>
      <c r="AB2238" s="87" t="s">
        <v>11448</v>
      </c>
      <c r="AC2238" s="93" t="s">
        <v>11457</v>
      </c>
      <c r="AD2238" s="87" t="s">
        <v>11519</v>
      </c>
      <c r="AE2238" s="92" t="str">
        <f>HYPERLINK("https://twitter.com/webcermkt/status/1701955913794420775")</f>
        <v>https://twitter.com/webcermkt/status/1701955913794420775</v>
      </c>
      <c r="AF2238" s="90">
        <v>45182.575057870374</v>
      </c>
      <c r="AG2238" s="99">
        <v>45182</v>
      </c>
      <c r="AH2238" s="93" t="s">
        <v>13561</v>
      </c>
      <c r="AI2238" s="87" t="b">
        <v>0</v>
      </c>
      <c r="AJ2238" s="87"/>
      <c r="AK2238" s="87"/>
      <c r="AL2238" s="87"/>
      <c r="AM2238" s="87"/>
      <c r="AN2238" s="87"/>
      <c r="AO2238" s="87"/>
      <c r="AP2238" s="87"/>
      <c r="AQ2238" s="87" t="s">
        <v>16869</v>
      </c>
      <c r="AR2238" s="87"/>
      <c r="AS2238" s="87"/>
      <c r="AT2238" s="87"/>
      <c r="AU2238" s="87"/>
      <c r="AV2238" s="92" t="str">
        <f>HYPERLINK("https://pbs.twimg.com/media/F56PyBhXQAAjmCL.jpg")</f>
        <v>https://pbs.twimg.com/media/F56PyBhXQAAjmCL.jpg</v>
      </c>
      <c r="AW2238" s="93" t="s">
        <v>20455</v>
      </c>
      <c r="AX2238" s="93" t="s">
        <v>20455</v>
      </c>
      <c r="AY2238" s="87"/>
      <c r="AZ2238" s="93" t="s">
        <v>22668</v>
      </c>
      <c r="BA2238" s="93" t="s">
        <v>22668</v>
      </c>
      <c r="BB2238" s="93" t="s">
        <v>22668</v>
      </c>
      <c r="BC2238" s="93" t="s">
        <v>20455</v>
      </c>
      <c r="BD2238" s="87">
        <v>3087240369</v>
      </c>
      <c r="BE2238" s="87"/>
      <c r="BF2238" s="87"/>
      <c r="BG2238" s="87"/>
      <c r="BH2238" s="87"/>
      <c r="BI2238" s="87"/>
    </row>
    <row r="2239" spans="1:61" x14ac:dyDescent="0.25">
      <c r="A2239" s="63" t="s">
        <v>994</v>
      </c>
      <c r="B2239" s="63" t="s">
        <v>994</v>
      </c>
      <c r="C2239" s="64"/>
      <c r="D2239" s="65"/>
      <c r="E2239" s="66"/>
      <c r="F2239" s="67"/>
      <c r="G2239" s="64"/>
      <c r="H2239" s="68"/>
      <c r="I2239" s="69"/>
      <c r="J2239" s="69"/>
      <c r="K2239" s="32"/>
      <c r="L2239" s="76">
        <v>2239</v>
      </c>
      <c r="M2239" s="76"/>
      <c r="N2239" s="71"/>
      <c r="O2239" s="87" t="s">
        <v>179</v>
      </c>
      <c r="P2239" s="90">
        <v>45178.673900462964</v>
      </c>
      <c r="Q2239" s="87" t="s">
        <v>4013</v>
      </c>
      <c r="R2239" s="87">
        <v>0</v>
      </c>
      <c r="S2239" s="87">
        <v>1</v>
      </c>
      <c r="T2239" s="87">
        <v>0</v>
      </c>
      <c r="U2239" s="87">
        <v>0</v>
      </c>
      <c r="V2239" s="87">
        <v>22</v>
      </c>
      <c r="W2239" s="93" t="s">
        <v>7307</v>
      </c>
      <c r="X2239" s="92" t="str">
        <f>HYPERLINK("https://falandotech.com/empreendedorismo/2023/09/carol-paiffer-ensina-o-segredo-dos-tubaroes/")</f>
        <v>https://falandotech.com/empreendedorismo/2023/09/carol-paiffer-ensina-o-segredo-dos-tubaroes/</v>
      </c>
      <c r="Y2239" s="87" t="s">
        <v>8491</v>
      </c>
      <c r="Z2239" s="87"/>
      <c r="AA2239" s="87"/>
      <c r="AB2239" s="87"/>
      <c r="AC2239" s="93" t="s">
        <v>11457</v>
      </c>
      <c r="AD2239" s="87" t="s">
        <v>11519</v>
      </c>
      <c r="AE2239" s="92" t="str">
        <f>HYPERLINK("https://twitter.com/blogfalandotech/status/1700542184431202447")</f>
        <v>https://twitter.com/blogfalandotech/status/1700542184431202447</v>
      </c>
      <c r="AF2239" s="90">
        <v>45178.673900462964</v>
      </c>
      <c r="AG2239" s="99">
        <v>45178</v>
      </c>
      <c r="AH2239" s="93" t="s">
        <v>13562</v>
      </c>
      <c r="AI2239" s="87" t="b">
        <v>0</v>
      </c>
      <c r="AJ2239" s="87"/>
      <c r="AK2239" s="87"/>
      <c r="AL2239" s="87"/>
      <c r="AM2239" s="87"/>
      <c r="AN2239" s="87"/>
      <c r="AO2239" s="87"/>
      <c r="AP2239" s="87"/>
      <c r="AQ2239" s="87"/>
      <c r="AR2239" s="87"/>
      <c r="AS2239" s="87"/>
      <c r="AT2239" s="87"/>
      <c r="AU2239" s="87"/>
      <c r="AV2239" s="92" t="str">
        <f>HYPERLINK("https://pbs.twimg.com/profile_images/1553178380056596485/ZMV-o1Zi_normal.jpg")</f>
        <v>https://pbs.twimg.com/profile_images/1553178380056596485/ZMV-o1Zi_normal.jpg</v>
      </c>
      <c r="AW2239" s="93" t="s">
        <v>20456</v>
      </c>
      <c r="AX2239" s="93" t="s">
        <v>20456</v>
      </c>
      <c r="AY2239" s="87"/>
      <c r="AZ2239" s="93" t="s">
        <v>22668</v>
      </c>
      <c r="BA2239" s="93" t="s">
        <v>22668</v>
      </c>
      <c r="BB2239" s="93" t="s">
        <v>22668</v>
      </c>
      <c r="BC2239" s="93" t="s">
        <v>20456</v>
      </c>
      <c r="BD2239" s="93" t="s">
        <v>23232</v>
      </c>
      <c r="BE2239" s="87"/>
      <c r="BF2239" s="87"/>
      <c r="BG2239" s="87"/>
      <c r="BH2239" s="87"/>
      <c r="BI2239" s="87"/>
    </row>
    <row r="2240" spans="1:61" x14ac:dyDescent="0.25">
      <c r="A2240" s="63" t="s">
        <v>995</v>
      </c>
      <c r="B2240" s="63" t="s">
        <v>995</v>
      </c>
      <c r="C2240" s="64"/>
      <c r="D2240" s="65"/>
      <c r="E2240" s="66"/>
      <c r="F2240" s="67"/>
      <c r="G2240" s="64"/>
      <c r="H2240" s="68"/>
      <c r="I2240" s="69"/>
      <c r="J2240" s="69"/>
      <c r="K2240" s="32"/>
      <c r="L2240" s="76">
        <v>2240</v>
      </c>
      <c r="M2240" s="76"/>
      <c r="N2240" s="71"/>
      <c r="O2240" s="87" t="s">
        <v>179</v>
      </c>
      <c r="P2240" s="90">
        <v>45114.066504629627</v>
      </c>
      <c r="Q2240" s="87" t="s">
        <v>4014</v>
      </c>
      <c r="R2240" s="87">
        <v>0</v>
      </c>
      <c r="S2240" s="87">
        <v>1</v>
      </c>
      <c r="T2240" s="87">
        <v>0</v>
      </c>
      <c r="U2240" s="87">
        <v>0</v>
      </c>
      <c r="V2240" s="87">
        <v>172</v>
      </c>
      <c r="W2240" s="93" t="s">
        <v>7308</v>
      </c>
      <c r="X2240" s="87"/>
      <c r="Y2240" s="87"/>
      <c r="Z2240" s="87"/>
      <c r="AA2240" s="87" t="s">
        <v>10057</v>
      </c>
      <c r="AB2240" s="87" t="s">
        <v>11448</v>
      </c>
      <c r="AC2240" s="93" t="s">
        <v>11459</v>
      </c>
      <c r="AD2240" s="87" t="s">
        <v>11520</v>
      </c>
      <c r="AE2240" s="92" t="str">
        <f>HYPERLINK("https://twitter.com/sahmarroni/status/1677129247012290561")</f>
        <v>https://twitter.com/sahmarroni/status/1677129247012290561</v>
      </c>
      <c r="AF2240" s="90">
        <v>45114.066504629627</v>
      </c>
      <c r="AG2240" s="99">
        <v>45114</v>
      </c>
      <c r="AH2240" s="93" t="s">
        <v>13563</v>
      </c>
      <c r="AI2240" s="87" t="b">
        <v>0</v>
      </c>
      <c r="AJ2240" s="87"/>
      <c r="AK2240" s="87"/>
      <c r="AL2240" s="87"/>
      <c r="AM2240" s="87"/>
      <c r="AN2240" s="87"/>
      <c r="AO2240" s="87"/>
      <c r="AP2240" s="87"/>
      <c r="AQ2240" s="87" t="s">
        <v>16870</v>
      </c>
      <c r="AR2240" s="87"/>
      <c r="AS2240" s="87"/>
      <c r="AT2240" s="87"/>
      <c r="AU2240" s="87"/>
      <c r="AV2240" s="92" t="str">
        <f>HYPERLINK("https://pbs.twimg.com/media/F0ZcKW2WwAAe3CZ.jpg")</f>
        <v>https://pbs.twimg.com/media/F0ZcKW2WwAAe3CZ.jpg</v>
      </c>
      <c r="AW2240" s="93" t="s">
        <v>20457</v>
      </c>
      <c r="AX2240" s="93" t="s">
        <v>20457</v>
      </c>
      <c r="AY2240" s="87"/>
      <c r="AZ2240" s="93" t="s">
        <v>22668</v>
      </c>
      <c r="BA2240" s="93" t="s">
        <v>22668</v>
      </c>
      <c r="BB2240" s="93" t="s">
        <v>22668</v>
      </c>
      <c r="BC2240" s="93" t="s">
        <v>20457</v>
      </c>
      <c r="BD2240" s="93" t="s">
        <v>23233</v>
      </c>
      <c r="BE2240" s="87"/>
      <c r="BF2240" s="87"/>
      <c r="BG2240" s="87"/>
      <c r="BH2240" s="87"/>
      <c r="BI2240" s="87"/>
    </row>
    <row r="2241" spans="1:61" x14ac:dyDescent="0.25">
      <c r="A2241" s="63" t="s">
        <v>996</v>
      </c>
      <c r="B2241" s="63" t="s">
        <v>996</v>
      </c>
      <c r="C2241" s="64"/>
      <c r="D2241" s="65"/>
      <c r="E2241" s="66"/>
      <c r="F2241" s="67"/>
      <c r="G2241" s="64"/>
      <c r="H2241" s="68"/>
      <c r="I2241" s="69"/>
      <c r="J2241" s="69"/>
      <c r="K2241" s="32"/>
      <c r="L2241" s="76">
        <v>2241</v>
      </c>
      <c r="M2241" s="76"/>
      <c r="N2241" s="71"/>
      <c r="O2241" s="87" t="s">
        <v>179</v>
      </c>
      <c r="P2241" s="90">
        <v>45152.591238425928</v>
      </c>
      <c r="Q2241" s="87" t="s">
        <v>4015</v>
      </c>
      <c r="R2241" s="87">
        <v>0</v>
      </c>
      <c r="S2241" s="87">
        <v>0</v>
      </c>
      <c r="T2241" s="87">
        <v>0</v>
      </c>
      <c r="U2241" s="87">
        <v>0</v>
      </c>
      <c r="V2241" s="87">
        <v>3</v>
      </c>
      <c r="W2241" s="93" t="s">
        <v>7309</v>
      </c>
      <c r="X2241" s="92" t="str">
        <f>HYPERLINK("https://bit.ly/3OSgZnw")</f>
        <v>https://bit.ly/3OSgZnw</v>
      </c>
      <c r="Y2241" s="87" t="s">
        <v>8374</v>
      </c>
      <c r="Z2241" s="87"/>
      <c r="AA2241" s="87" t="s">
        <v>10058</v>
      </c>
      <c r="AB2241" s="87" t="s">
        <v>11448</v>
      </c>
      <c r="AC2241" s="93" t="s">
        <v>11457</v>
      </c>
      <c r="AD2241" s="87" t="s">
        <v>11519</v>
      </c>
      <c r="AE2241" s="92" t="str">
        <f>HYPERLINK("https://twitter.com/webthomaz/status/1691090141262274560")</f>
        <v>https://twitter.com/webthomaz/status/1691090141262274560</v>
      </c>
      <c r="AF2241" s="90">
        <v>45152.591238425928</v>
      </c>
      <c r="AG2241" s="99">
        <v>45152</v>
      </c>
      <c r="AH2241" s="93" t="s">
        <v>13564</v>
      </c>
      <c r="AI2241" s="87" t="b">
        <v>0</v>
      </c>
      <c r="AJ2241" s="87"/>
      <c r="AK2241" s="87"/>
      <c r="AL2241" s="87"/>
      <c r="AM2241" s="87"/>
      <c r="AN2241" s="87"/>
      <c r="AO2241" s="87"/>
      <c r="AP2241" s="87"/>
      <c r="AQ2241" s="87" t="s">
        <v>16871</v>
      </c>
      <c r="AR2241" s="87"/>
      <c r="AS2241" s="87"/>
      <c r="AT2241" s="87"/>
      <c r="AU2241" s="87"/>
      <c r="AV2241" s="92" t="str">
        <f>HYPERLINK("https://pbs.twimg.com/media/F3f1fupXMAEiFnT.jpg")</f>
        <v>https://pbs.twimg.com/media/F3f1fupXMAEiFnT.jpg</v>
      </c>
      <c r="AW2241" s="93" t="s">
        <v>20458</v>
      </c>
      <c r="AX2241" s="93" t="s">
        <v>20458</v>
      </c>
      <c r="AY2241" s="87"/>
      <c r="AZ2241" s="93" t="s">
        <v>22668</v>
      </c>
      <c r="BA2241" s="93" t="s">
        <v>22668</v>
      </c>
      <c r="BB2241" s="93" t="s">
        <v>22668</v>
      </c>
      <c r="BC2241" s="93" t="s">
        <v>20458</v>
      </c>
      <c r="BD2241" s="87">
        <v>730832546</v>
      </c>
      <c r="BE2241" s="87"/>
      <c r="BF2241" s="87"/>
      <c r="BG2241" s="87"/>
      <c r="BH2241" s="87"/>
      <c r="BI2241" s="87"/>
    </row>
    <row r="2242" spans="1:61" x14ac:dyDescent="0.25">
      <c r="A2242" s="63" t="s">
        <v>996</v>
      </c>
      <c r="B2242" s="63" t="s">
        <v>996</v>
      </c>
      <c r="C2242" s="64"/>
      <c r="D2242" s="65"/>
      <c r="E2242" s="66"/>
      <c r="F2242" s="67"/>
      <c r="G2242" s="64"/>
      <c r="H2242" s="68"/>
      <c r="I2242" s="69"/>
      <c r="J2242" s="69"/>
      <c r="K2242" s="32"/>
      <c r="L2242" s="76">
        <v>2242</v>
      </c>
      <c r="M2242" s="76"/>
      <c r="N2242" s="71"/>
      <c r="O2242" s="87" t="s">
        <v>179</v>
      </c>
      <c r="P2242" s="90">
        <v>45154.69903935185</v>
      </c>
      <c r="Q2242" s="87" t="s">
        <v>4016</v>
      </c>
      <c r="R2242" s="87">
        <v>0</v>
      </c>
      <c r="S2242" s="87">
        <v>0</v>
      </c>
      <c r="T2242" s="87">
        <v>0</v>
      </c>
      <c r="U2242" s="87">
        <v>0</v>
      </c>
      <c r="V2242" s="87">
        <v>1</v>
      </c>
      <c r="W2242" s="93" t="s">
        <v>7310</v>
      </c>
      <c r="X2242" s="92" t="str">
        <f>HYPERLINK("https://bit.ly/3P8Ty9X")</f>
        <v>https://bit.ly/3P8Ty9X</v>
      </c>
      <c r="Y2242" s="87" t="s">
        <v>8374</v>
      </c>
      <c r="Z2242" s="87"/>
      <c r="AA2242" s="87" t="s">
        <v>10059</v>
      </c>
      <c r="AB2242" s="87" t="s">
        <v>11448</v>
      </c>
      <c r="AC2242" s="93" t="s">
        <v>11457</v>
      </c>
      <c r="AD2242" s="87" t="s">
        <v>11519</v>
      </c>
      <c r="AE2242" s="92" t="str">
        <f>HYPERLINK("https://twitter.com/webthomaz/status/1691853984879837380")</f>
        <v>https://twitter.com/webthomaz/status/1691853984879837380</v>
      </c>
      <c r="AF2242" s="90">
        <v>45154.69903935185</v>
      </c>
      <c r="AG2242" s="99">
        <v>45154</v>
      </c>
      <c r="AH2242" s="93" t="s">
        <v>13565</v>
      </c>
      <c r="AI2242" s="87" t="b">
        <v>0</v>
      </c>
      <c r="AJ2242" s="87"/>
      <c r="AK2242" s="87"/>
      <c r="AL2242" s="87"/>
      <c r="AM2242" s="87"/>
      <c r="AN2242" s="87"/>
      <c r="AO2242" s="87"/>
      <c r="AP2242" s="87"/>
      <c r="AQ2242" s="87" t="s">
        <v>16872</v>
      </c>
      <c r="AR2242" s="87"/>
      <c r="AS2242" s="87"/>
      <c r="AT2242" s="87"/>
      <c r="AU2242" s="87"/>
      <c r="AV2242" s="92" t="str">
        <f>HYPERLINK("https://pbs.twimg.com/media/F3qsNy_XgAIuN26.jpg")</f>
        <v>https://pbs.twimg.com/media/F3qsNy_XgAIuN26.jpg</v>
      </c>
      <c r="AW2242" s="93" t="s">
        <v>20459</v>
      </c>
      <c r="AX2242" s="93" t="s">
        <v>20459</v>
      </c>
      <c r="AY2242" s="87"/>
      <c r="AZ2242" s="93" t="s">
        <v>22668</v>
      </c>
      <c r="BA2242" s="93" t="s">
        <v>22668</v>
      </c>
      <c r="BB2242" s="93" t="s">
        <v>22668</v>
      </c>
      <c r="BC2242" s="93" t="s">
        <v>20459</v>
      </c>
      <c r="BD2242" s="87">
        <v>730832546</v>
      </c>
      <c r="BE2242" s="87"/>
      <c r="BF2242" s="87"/>
      <c r="BG2242" s="87"/>
      <c r="BH2242" s="87"/>
      <c r="BI2242" s="87"/>
    </row>
    <row r="2243" spans="1:61" x14ac:dyDescent="0.25">
      <c r="A2243" s="63" t="s">
        <v>997</v>
      </c>
      <c r="B2243" s="63" t="s">
        <v>997</v>
      </c>
      <c r="C2243" s="64"/>
      <c r="D2243" s="65"/>
      <c r="E2243" s="66"/>
      <c r="F2243" s="67"/>
      <c r="G2243" s="64"/>
      <c r="H2243" s="68"/>
      <c r="I2243" s="69"/>
      <c r="J2243" s="69"/>
      <c r="K2243" s="32"/>
      <c r="L2243" s="76">
        <v>2243</v>
      </c>
      <c r="M2243" s="76"/>
      <c r="N2243" s="71"/>
      <c r="O2243" s="87" t="s">
        <v>1840</v>
      </c>
      <c r="P2243" s="90">
        <v>45195.886481481481</v>
      </c>
      <c r="Q2243" s="87" t="s">
        <v>4017</v>
      </c>
      <c r="R2243" s="87">
        <v>0</v>
      </c>
      <c r="S2243" s="87">
        <v>0</v>
      </c>
      <c r="T2243" s="87">
        <v>0</v>
      </c>
      <c r="U2243" s="87">
        <v>0</v>
      </c>
      <c r="V2243" s="87">
        <v>3</v>
      </c>
      <c r="W2243" s="93" t="s">
        <v>7311</v>
      </c>
      <c r="X2243" s="87"/>
      <c r="Y2243" s="87"/>
      <c r="Z2243" s="87"/>
      <c r="AA2243" s="87" t="s">
        <v>10060</v>
      </c>
      <c r="AB2243" s="87" t="s">
        <v>11448</v>
      </c>
      <c r="AC2243" s="93" t="s">
        <v>11459</v>
      </c>
      <c r="AD2243" s="87" t="s">
        <v>11519</v>
      </c>
      <c r="AE2243" s="92" t="str">
        <f>HYPERLINK("https://twitter.com/cttmauricio/status/1706779811761307726")</f>
        <v>https://twitter.com/cttmauricio/status/1706779811761307726</v>
      </c>
      <c r="AF2243" s="90">
        <v>45195.886481481481</v>
      </c>
      <c r="AG2243" s="99">
        <v>45195</v>
      </c>
      <c r="AH2243" s="93" t="s">
        <v>13566</v>
      </c>
      <c r="AI2243" s="87" t="b">
        <v>0</v>
      </c>
      <c r="AJ2243" s="87"/>
      <c r="AK2243" s="87"/>
      <c r="AL2243" s="87"/>
      <c r="AM2243" s="87"/>
      <c r="AN2243" s="87"/>
      <c r="AO2243" s="87"/>
      <c r="AP2243" s="87"/>
      <c r="AQ2243" s="87" t="s">
        <v>16873</v>
      </c>
      <c r="AR2243" s="87"/>
      <c r="AS2243" s="87"/>
      <c r="AT2243" s="87"/>
      <c r="AU2243" s="87"/>
      <c r="AV2243" s="92" t="str">
        <f>HYPERLINK("https://pbs.twimg.com/media/F6-zMbEXkAAUdk-.jpg")</f>
        <v>https://pbs.twimg.com/media/F6-zMbEXkAAUdk-.jpg</v>
      </c>
      <c r="AW2243" s="93" t="s">
        <v>20460</v>
      </c>
      <c r="AX2243" s="93" t="s">
        <v>22423</v>
      </c>
      <c r="AY2243" s="93" t="s">
        <v>22601</v>
      </c>
      <c r="AZ2243" s="93" t="s">
        <v>22741</v>
      </c>
      <c r="BA2243" s="93" t="s">
        <v>22668</v>
      </c>
      <c r="BB2243" s="93" t="s">
        <v>22668</v>
      </c>
      <c r="BC2243" s="93" t="s">
        <v>22741</v>
      </c>
      <c r="BD2243" s="93" t="s">
        <v>22601</v>
      </c>
      <c r="BE2243" s="87"/>
      <c r="BF2243" s="87"/>
      <c r="BG2243" s="87"/>
      <c r="BH2243" s="87"/>
      <c r="BI2243" s="87"/>
    </row>
    <row r="2244" spans="1:61" x14ac:dyDescent="0.25">
      <c r="A2244" s="63" t="s">
        <v>997</v>
      </c>
      <c r="B2244" s="63" t="s">
        <v>997</v>
      </c>
      <c r="C2244" s="64"/>
      <c r="D2244" s="65"/>
      <c r="E2244" s="66"/>
      <c r="F2244" s="67"/>
      <c r="G2244" s="64"/>
      <c r="H2244" s="68"/>
      <c r="I2244" s="69"/>
      <c r="J2244" s="69"/>
      <c r="K2244" s="32"/>
      <c r="L2244" s="76">
        <v>2244</v>
      </c>
      <c r="M2244" s="76"/>
      <c r="N2244" s="71"/>
      <c r="O2244" s="87" t="s">
        <v>1840</v>
      </c>
      <c r="P2244" s="90">
        <v>45195.900046296294</v>
      </c>
      <c r="Q2244" s="87" t="s">
        <v>4018</v>
      </c>
      <c r="R2244" s="87">
        <v>0</v>
      </c>
      <c r="S2244" s="87">
        <v>1</v>
      </c>
      <c r="T2244" s="87">
        <v>0</v>
      </c>
      <c r="U2244" s="87">
        <v>0</v>
      </c>
      <c r="V2244" s="87">
        <v>8</v>
      </c>
      <c r="W2244" s="93" t="s">
        <v>7311</v>
      </c>
      <c r="X2244" s="87"/>
      <c r="Y2244" s="87"/>
      <c r="Z2244" s="87"/>
      <c r="AA2244" s="87" t="s">
        <v>10061</v>
      </c>
      <c r="AB2244" s="87" t="s">
        <v>11448</v>
      </c>
      <c r="AC2244" s="93" t="s">
        <v>11459</v>
      </c>
      <c r="AD2244" s="87" t="s">
        <v>11519</v>
      </c>
      <c r="AE2244" s="92" t="str">
        <f>HYPERLINK("https://twitter.com/cttmauricio/status/1706784727112261685")</f>
        <v>https://twitter.com/cttmauricio/status/1706784727112261685</v>
      </c>
      <c r="AF2244" s="90">
        <v>45195.900046296294</v>
      </c>
      <c r="AG2244" s="99">
        <v>45195</v>
      </c>
      <c r="AH2244" s="93" t="s">
        <v>13567</v>
      </c>
      <c r="AI2244" s="87" t="b">
        <v>0</v>
      </c>
      <c r="AJ2244" s="87"/>
      <c r="AK2244" s="87"/>
      <c r="AL2244" s="87"/>
      <c r="AM2244" s="87"/>
      <c r="AN2244" s="87"/>
      <c r="AO2244" s="87"/>
      <c r="AP2244" s="87"/>
      <c r="AQ2244" s="87" t="s">
        <v>16874</v>
      </c>
      <c r="AR2244" s="87"/>
      <c r="AS2244" s="87"/>
      <c r="AT2244" s="87"/>
      <c r="AU2244" s="87"/>
      <c r="AV2244" s="92" t="str">
        <f>HYPERLINK("https://pbs.twimg.com/media/F6-3qgRW0AAvYBT.jpg")</f>
        <v>https://pbs.twimg.com/media/F6-3qgRW0AAvYBT.jpg</v>
      </c>
      <c r="AW2244" s="93" t="s">
        <v>20461</v>
      </c>
      <c r="AX2244" s="93" t="s">
        <v>22424</v>
      </c>
      <c r="AY2244" s="93" t="s">
        <v>22601</v>
      </c>
      <c r="AZ2244" s="93" t="s">
        <v>22742</v>
      </c>
      <c r="BA2244" s="93" t="s">
        <v>22668</v>
      </c>
      <c r="BB2244" s="93" t="s">
        <v>22668</v>
      </c>
      <c r="BC2244" s="93" t="s">
        <v>22742</v>
      </c>
      <c r="BD2244" s="93" t="s">
        <v>22601</v>
      </c>
      <c r="BE2244" s="87"/>
      <c r="BF2244" s="87"/>
      <c r="BG2244" s="87"/>
      <c r="BH2244" s="87"/>
      <c r="BI2244" s="87"/>
    </row>
    <row r="2245" spans="1:61" x14ac:dyDescent="0.25">
      <c r="A2245" s="63" t="s">
        <v>998</v>
      </c>
      <c r="B2245" s="63" t="s">
        <v>998</v>
      </c>
      <c r="C2245" s="64"/>
      <c r="D2245" s="65"/>
      <c r="E2245" s="66"/>
      <c r="F2245" s="67"/>
      <c r="G2245" s="64"/>
      <c r="H2245" s="68"/>
      <c r="I2245" s="69"/>
      <c r="J2245" s="69"/>
      <c r="K2245" s="32"/>
      <c r="L2245" s="76">
        <v>2245</v>
      </c>
      <c r="M2245" s="76"/>
      <c r="N2245" s="71"/>
      <c r="O2245" s="87" t="s">
        <v>179</v>
      </c>
      <c r="P2245" s="90">
        <v>45129.546168981484</v>
      </c>
      <c r="Q2245" s="87" t="s">
        <v>4019</v>
      </c>
      <c r="R2245" s="87">
        <v>0</v>
      </c>
      <c r="S2245" s="87">
        <v>0</v>
      </c>
      <c r="T2245" s="87">
        <v>0</v>
      </c>
      <c r="U2245" s="87">
        <v>0</v>
      </c>
      <c r="V2245" s="87">
        <v>31</v>
      </c>
      <c r="W2245" s="93" t="s">
        <v>6848</v>
      </c>
      <c r="X2245" s="87"/>
      <c r="Y2245" s="87"/>
      <c r="Z2245" s="87"/>
      <c r="AA2245" s="87" t="s">
        <v>10062</v>
      </c>
      <c r="AB2245" s="87" t="s">
        <v>11448</v>
      </c>
      <c r="AC2245" s="93" t="s">
        <v>11459</v>
      </c>
      <c r="AD2245" s="87" t="s">
        <v>11520</v>
      </c>
      <c r="AE2245" s="92" t="str">
        <f>HYPERLINK("https://twitter.com/fabriziobijottl/status/1682738887553064963")</f>
        <v>https://twitter.com/fabriziobijottl/status/1682738887553064963</v>
      </c>
      <c r="AF2245" s="90">
        <v>45129.546168981484</v>
      </c>
      <c r="AG2245" s="99">
        <v>45129</v>
      </c>
      <c r="AH2245" s="93" t="s">
        <v>13568</v>
      </c>
      <c r="AI2245" s="87" t="b">
        <v>0</v>
      </c>
      <c r="AJ2245" s="87"/>
      <c r="AK2245" s="87"/>
      <c r="AL2245" s="87"/>
      <c r="AM2245" s="87"/>
      <c r="AN2245" s="87"/>
      <c r="AO2245" s="87"/>
      <c r="AP2245" s="87"/>
      <c r="AQ2245" s="87" t="s">
        <v>16875</v>
      </c>
      <c r="AR2245" s="87"/>
      <c r="AS2245" s="87"/>
      <c r="AT2245" s="87"/>
      <c r="AU2245" s="87"/>
      <c r="AV2245" s="92" t="str">
        <f>HYPERLINK("https://pbs.twimg.com/media/F1pKGb-XsAItmeM.jpg")</f>
        <v>https://pbs.twimg.com/media/F1pKGb-XsAItmeM.jpg</v>
      </c>
      <c r="AW2245" s="93" t="s">
        <v>20462</v>
      </c>
      <c r="AX2245" s="93" t="s">
        <v>20462</v>
      </c>
      <c r="AY2245" s="87"/>
      <c r="AZ2245" s="93" t="s">
        <v>22668</v>
      </c>
      <c r="BA2245" s="93" t="s">
        <v>22668</v>
      </c>
      <c r="BB2245" s="93" t="s">
        <v>22668</v>
      </c>
      <c r="BC2245" s="93" t="s">
        <v>20462</v>
      </c>
      <c r="BD2245" s="93" t="s">
        <v>23234</v>
      </c>
      <c r="BE2245" s="87"/>
      <c r="BF2245" s="87"/>
      <c r="BG2245" s="87"/>
      <c r="BH2245" s="87"/>
      <c r="BI2245" s="87"/>
    </row>
    <row r="2246" spans="1:61" x14ac:dyDescent="0.25">
      <c r="A2246" s="63" t="s">
        <v>998</v>
      </c>
      <c r="B2246" s="63" t="s">
        <v>998</v>
      </c>
      <c r="C2246" s="64"/>
      <c r="D2246" s="65"/>
      <c r="E2246" s="66"/>
      <c r="F2246" s="67"/>
      <c r="G2246" s="64"/>
      <c r="H2246" s="68"/>
      <c r="I2246" s="69"/>
      <c r="J2246" s="69"/>
      <c r="K2246" s="32"/>
      <c r="L2246" s="76">
        <v>2246</v>
      </c>
      <c r="M2246" s="76"/>
      <c r="N2246" s="71"/>
      <c r="O2246" s="87" t="s">
        <v>179</v>
      </c>
      <c r="P2246" s="90">
        <v>45184.468831018516</v>
      </c>
      <c r="Q2246" s="87" t="s">
        <v>3773</v>
      </c>
      <c r="R2246" s="87">
        <v>0</v>
      </c>
      <c r="S2246" s="87">
        <v>0</v>
      </c>
      <c r="T2246" s="87">
        <v>0</v>
      </c>
      <c r="U2246" s="87">
        <v>0</v>
      </c>
      <c r="V2246" s="87">
        <v>25</v>
      </c>
      <c r="W2246" s="93" t="s">
        <v>5897</v>
      </c>
      <c r="X2246" s="87"/>
      <c r="Y2246" s="87"/>
      <c r="Z2246" s="87"/>
      <c r="AA2246" s="87"/>
      <c r="AB2246" s="87"/>
      <c r="AC2246" s="93" t="s">
        <v>11459</v>
      </c>
      <c r="AD2246" s="87" t="s">
        <v>11519</v>
      </c>
      <c r="AE2246" s="92" t="str">
        <f>HYPERLINK("https://twitter.com/fabriziobijottl/status/1702642194736165098")</f>
        <v>https://twitter.com/fabriziobijottl/status/1702642194736165098</v>
      </c>
      <c r="AF2246" s="90">
        <v>45184.468831018516</v>
      </c>
      <c r="AG2246" s="99">
        <v>45184</v>
      </c>
      <c r="AH2246" s="93" t="s">
        <v>13569</v>
      </c>
      <c r="AI2246" s="87"/>
      <c r="AJ2246" s="87"/>
      <c r="AK2246" s="87"/>
      <c r="AL2246" s="87"/>
      <c r="AM2246" s="87"/>
      <c r="AN2246" s="87"/>
      <c r="AO2246" s="87"/>
      <c r="AP2246" s="87"/>
      <c r="AQ2246" s="87"/>
      <c r="AR2246" s="87"/>
      <c r="AS2246" s="87"/>
      <c r="AT2246" s="87"/>
      <c r="AU2246" s="87"/>
      <c r="AV2246" s="92" t="str">
        <f>HYPERLINK("https://pbs.twimg.com/profile_images/1620105143453683749/FM95n04H_normal.jpg")</f>
        <v>https://pbs.twimg.com/profile_images/1620105143453683749/FM95n04H_normal.jpg</v>
      </c>
      <c r="AW2246" s="93" t="s">
        <v>20463</v>
      </c>
      <c r="AX2246" s="93" t="s">
        <v>20463</v>
      </c>
      <c r="AY2246" s="87"/>
      <c r="AZ2246" s="93" t="s">
        <v>22668</v>
      </c>
      <c r="BA2246" s="93" t="s">
        <v>22668</v>
      </c>
      <c r="BB2246" s="93" t="s">
        <v>22668</v>
      </c>
      <c r="BC2246" s="93" t="s">
        <v>20463</v>
      </c>
      <c r="BD2246" s="93" t="s">
        <v>23234</v>
      </c>
      <c r="BE2246" s="87"/>
      <c r="BF2246" s="87"/>
      <c r="BG2246" s="87"/>
      <c r="BH2246" s="87"/>
      <c r="BI2246" s="87"/>
    </row>
    <row r="2247" spans="1:61" x14ac:dyDescent="0.25">
      <c r="A2247" s="63" t="s">
        <v>999</v>
      </c>
      <c r="B2247" s="63" t="s">
        <v>999</v>
      </c>
      <c r="C2247" s="64"/>
      <c r="D2247" s="65"/>
      <c r="E2247" s="66"/>
      <c r="F2247" s="67"/>
      <c r="G2247" s="64"/>
      <c r="H2247" s="68"/>
      <c r="I2247" s="69"/>
      <c r="J2247" s="69"/>
      <c r="K2247" s="32"/>
      <c r="L2247" s="76">
        <v>2247</v>
      </c>
      <c r="M2247" s="76"/>
      <c r="N2247" s="71"/>
      <c r="O2247" s="87" t="s">
        <v>179</v>
      </c>
      <c r="P2247" s="90">
        <v>45162.978263888886</v>
      </c>
      <c r="Q2247" s="87" t="s">
        <v>4020</v>
      </c>
      <c r="R2247" s="87">
        <v>0</v>
      </c>
      <c r="S2247" s="87">
        <v>4</v>
      </c>
      <c r="T2247" s="87">
        <v>0</v>
      </c>
      <c r="U2247" s="87">
        <v>0</v>
      </c>
      <c r="V2247" s="87">
        <v>94</v>
      </c>
      <c r="W2247" s="93" t="s">
        <v>7312</v>
      </c>
      <c r="X2247" s="87"/>
      <c r="Y2247" s="87"/>
      <c r="Z2247" s="87"/>
      <c r="AA2247" s="87" t="s">
        <v>10063</v>
      </c>
      <c r="AB2247" s="87" t="s">
        <v>11455</v>
      </c>
      <c r="AC2247" s="93" t="s">
        <v>11458</v>
      </c>
      <c r="AD2247" s="87" t="s">
        <v>11519</v>
      </c>
      <c r="AE2247" s="92" t="str">
        <f>HYPERLINK("https://twitter.com/anne_clm07/status/1694854272754565269")</f>
        <v>https://twitter.com/anne_clm07/status/1694854272754565269</v>
      </c>
      <c r="AF2247" s="90">
        <v>45162.978263888886</v>
      </c>
      <c r="AG2247" s="99">
        <v>45162</v>
      </c>
      <c r="AH2247" s="93" t="s">
        <v>13570</v>
      </c>
      <c r="AI2247" s="87" t="b">
        <v>0</v>
      </c>
      <c r="AJ2247" s="87" t="s">
        <v>15184</v>
      </c>
      <c r="AK2247" s="87" t="s">
        <v>15234</v>
      </c>
      <c r="AL2247" s="87" t="s">
        <v>15237</v>
      </c>
      <c r="AM2247" s="87" t="s">
        <v>15256</v>
      </c>
      <c r="AN2247" s="87" t="s">
        <v>15322</v>
      </c>
      <c r="AO2247" s="87" t="s">
        <v>15388</v>
      </c>
      <c r="AP2247" s="87" t="s">
        <v>15438</v>
      </c>
      <c r="AQ2247" s="87" t="s">
        <v>16876</v>
      </c>
      <c r="AR2247" s="87">
        <v>12350</v>
      </c>
      <c r="AS2247" s="87"/>
      <c r="AT2247" s="87"/>
      <c r="AU2247" s="87"/>
      <c r="AV2247" s="92" t="str">
        <f>HYPERLINK("https://pbs.twimg.com/ext_tw_video_thumb/1694854212826341376/pu/img/9C3aiF-jEnAHVCaN.jpg")</f>
        <v>https://pbs.twimg.com/ext_tw_video_thumb/1694854212826341376/pu/img/9C3aiF-jEnAHVCaN.jpg</v>
      </c>
      <c r="AW2247" s="93" t="s">
        <v>20464</v>
      </c>
      <c r="AX2247" s="93" t="s">
        <v>20464</v>
      </c>
      <c r="AY2247" s="87"/>
      <c r="AZ2247" s="93" t="s">
        <v>22668</v>
      </c>
      <c r="BA2247" s="93" t="s">
        <v>22668</v>
      </c>
      <c r="BB2247" s="93" t="s">
        <v>22668</v>
      </c>
      <c r="BC2247" s="93" t="s">
        <v>20464</v>
      </c>
      <c r="BD2247" s="87">
        <v>66002646</v>
      </c>
      <c r="BE2247" s="87"/>
      <c r="BF2247" s="87"/>
      <c r="BG2247" s="87"/>
      <c r="BH2247" s="87"/>
      <c r="BI2247" s="87"/>
    </row>
    <row r="2248" spans="1:61" x14ac:dyDescent="0.25">
      <c r="A2248" s="63" t="s">
        <v>1000</v>
      </c>
      <c r="B2248" s="63" t="s">
        <v>1000</v>
      </c>
      <c r="C2248" s="64"/>
      <c r="D2248" s="65"/>
      <c r="E2248" s="66"/>
      <c r="F2248" s="67"/>
      <c r="G2248" s="64"/>
      <c r="H2248" s="68"/>
      <c r="I2248" s="69"/>
      <c r="J2248" s="69"/>
      <c r="K2248" s="32"/>
      <c r="L2248" s="76">
        <v>2248</v>
      </c>
      <c r="M2248" s="76"/>
      <c r="N2248" s="71"/>
      <c r="O2248" s="87" t="s">
        <v>179</v>
      </c>
      <c r="P2248" s="90">
        <v>45151.800983796296</v>
      </c>
      <c r="Q2248" s="87" t="s">
        <v>4021</v>
      </c>
      <c r="R2248" s="87">
        <v>0</v>
      </c>
      <c r="S2248" s="87">
        <v>0</v>
      </c>
      <c r="T2248" s="87">
        <v>0</v>
      </c>
      <c r="U2248" s="87">
        <v>0</v>
      </c>
      <c r="V2248" s="87">
        <v>38</v>
      </c>
      <c r="W2248" s="93" t="s">
        <v>7313</v>
      </c>
      <c r="X2248" s="92" t="str">
        <f>HYPERLINK("https://kiwify.app/vMQTqyt?afid=ZlhOGdor#empreender")</f>
        <v>https://kiwify.app/vMQTqyt?afid=ZlhOGdor#empreender</v>
      </c>
      <c r="Y2248" s="87" t="s">
        <v>8379</v>
      </c>
      <c r="Z2248" s="87"/>
      <c r="AA2248" s="87" t="s">
        <v>10064</v>
      </c>
      <c r="AB2248" s="87" t="s">
        <v>11448</v>
      </c>
      <c r="AC2248" s="93" t="s">
        <v>11459</v>
      </c>
      <c r="AD2248" s="87" t="s">
        <v>11519</v>
      </c>
      <c r="AE2248" s="92" t="str">
        <f>HYPERLINK("https://twitter.com/brainbriliant/status/1690803764251271168")</f>
        <v>https://twitter.com/brainbriliant/status/1690803764251271168</v>
      </c>
      <c r="AF2248" s="90">
        <v>45151.800983796296</v>
      </c>
      <c r="AG2248" s="99">
        <v>45151</v>
      </c>
      <c r="AH2248" s="93" t="s">
        <v>13571</v>
      </c>
      <c r="AI2248" s="87" t="b">
        <v>0</v>
      </c>
      <c r="AJ2248" s="87"/>
      <c r="AK2248" s="87"/>
      <c r="AL2248" s="87"/>
      <c r="AM2248" s="87"/>
      <c r="AN2248" s="87"/>
      <c r="AO2248" s="87"/>
      <c r="AP2248" s="87"/>
      <c r="AQ2248" s="87" t="s">
        <v>16877</v>
      </c>
      <c r="AR2248" s="87"/>
      <c r="AS2248" s="87"/>
      <c r="AT2248" s="87"/>
      <c r="AU2248" s="87"/>
      <c r="AV2248" s="92" t="str">
        <f>HYPERLINK("https://pbs.twimg.com/media/F3bxEBXWgAAfKTn.jpg")</f>
        <v>https://pbs.twimg.com/media/F3bxEBXWgAAfKTn.jpg</v>
      </c>
      <c r="AW2248" s="93" t="s">
        <v>20465</v>
      </c>
      <c r="AX2248" s="93" t="s">
        <v>20465</v>
      </c>
      <c r="AY2248" s="87"/>
      <c r="AZ2248" s="93" t="s">
        <v>22668</v>
      </c>
      <c r="BA2248" s="93" t="s">
        <v>22668</v>
      </c>
      <c r="BB2248" s="93" t="s">
        <v>22668</v>
      </c>
      <c r="BC2248" s="93" t="s">
        <v>20465</v>
      </c>
      <c r="BD2248" s="93" t="s">
        <v>23235</v>
      </c>
      <c r="BE2248" s="87"/>
      <c r="BF2248" s="87"/>
      <c r="BG2248" s="87"/>
      <c r="BH2248" s="87"/>
      <c r="BI2248" s="87"/>
    </row>
    <row r="2249" spans="1:61" x14ac:dyDescent="0.25">
      <c r="A2249" s="63" t="s">
        <v>1001</v>
      </c>
      <c r="B2249" s="63" t="s">
        <v>1001</v>
      </c>
      <c r="C2249" s="64"/>
      <c r="D2249" s="65"/>
      <c r="E2249" s="66"/>
      <c r="F2249" s="67"/>
      <c r="G2249" s="64"/>
      <c r="H2249" s="68"/>
      <c r="I2249" s="69"/>
      <c r="J2249" s="69"/>
      <c r="K2249" s="32"/>
      <c r="L2249" s="76">
        <v>2249</v>
      </c>
      <c r="M2249" s="76"/>
      <c r="N2249" s="71"/>
      <c r="O2249" s="87" t="s">
        <v>1840</v>
      </c>
      <c r="P2249" s="90">
        <v>45191.682858796295</v>
      </c>
      <c r="Q2249" s="87" t="s">
        <v>4022</v>
      </c>
      <c r="R2249" s="87">
        <v>0</v>
      </c>
      <c r="S2249" s="87">
        <v>0</v>
      </c>
      <c r="T2249" s="87">
        <v>0</v>
      </c>
      <c r="U2249" s="87">
        <v>0</v>
      </c>
      <c r="V2249" s="87">
        <v>24</v>
      </c>
      <c r="W2249" s="93" t="s">
        <v>7314</v>
      </c>
      <c r="X2249" s="87"/>
      <c r="Y2249" s="87"/>
      <c r="Z2249" s="87" t="s">
        <v>8591</v>
      </c>
      <c r="AA2249" s="87"/>
      <c r="AB2249" s="87"/>
      <c r="AC2249" s="93" t="s">
        <v>11457</v>
      </c>
      <c r="AD2249" s="87" t="s">
        <v>11519</v>
      </c>
      <c r="AE2249" s="92" t="str">
        <f>HYPERLINK("https://twitter.com/fapesq_pb/status/1705256472446226438")</f>
        <v>https://twitter.com/fapesq_pb/status/1705256472446226438</v>
      </c>
      <c r="AF2249" s="90">
        <v>45191.682858796295</v>
      </c>
      <c r="AG2249" s="99">
        <v>45191</v>
      </c>
      <c r="AH2249" s="93" t="s">
        <v>13572</v>
      </c>
      <c r="AI2249" s="87"/>
      <c r="AJ2249" s="87"/>
      <c r="AK2249" s="87"/>
      <c r="AL2249" s="87"/>
      <c r="AM2249" s="87"/>
      <c r="AN2249" s="87"/>
      <c r="AO2249" s="87"/>
      <c r="AP2249" s="87"/>
      <c r="AQ2249" s="87"/>
      <c r="AR2249" s="87"/>
      <c r="AS2249" s="87"/>
      <c r="AT2249" s="87"/>
      <c r="AU2249" s="87"/>
      <c r="AV2249" s="92" t="str">
        <f>HYPERLINK("https://pbs.twimg.com/profile_images/1589617112787599363/sWsY14-J_normal.jpg")</f>
        <v>https://pbs.twimg.com/profile_images/1589617112787599363/sWsY14-J_normal.jpg</v>
      </c>
      <c r="AW2249" s="93" t="s">
        <v>20466</v>
      </c>
      <c r="AX2249" s="93" t="s">
        <v>22425</v>
      </c>
      <c r="AY2249" s="93" t="s">
        <v>22602</v>
      </c>
      <c r="AZ2249" s="93" t="s">
        <v>22425</v>
      </c>
      <c r="BA2249" s="93" t="s">
        <v>22668</v>
      </c>
      <c r="BB2249" s="93" t="s">
        <v>22668</v>
      </c>
      <c r="BC2249" s="93" t="s">
        <v>22425</v>
      </c>
      <c r="BD2249" s="93" t="s">
        <v>22602</v>
      </c>
      <c r="BE2249" s="87"/>
      <c r="BF2249" s="87"/>
      <c r="BG2249" s="87"/>
      <c r="BH2249" s="87"/>
      <c r="BI2249" s="87"/>
    </row>
    <row r="2250" spans="1:61" x14ac:dyDescent="0.25">
      <c r="A2250" s="63" t="s">
        <v>1002</v>
      </c>
      <c r="B2250" s="63" t="s">
        <v>1002</v>
      </c>
      <c r="C2250" s="64"/>
      <c r="D2250" s="65"/>
      <c r="E2250" s="66"/>
      <c r="F2250" s="67"/>
      <c r="G2250" s="64"/>
      <c r="H2250" s="68"/>
      <c r="I2250" s="69"/>
      <c r="J2250" s="69"/>
      <c r="K2250" s="32"/>
      <c r="L2250" s="76">
        <v>2250</v>
      </c>
      <c r="M2250" s="76"/>
      <c r="N2250" s="71"/>
      <c r="O2250" s="87" t="s">
        <v>179</v>
      </c>
      <c r="P2250" s="90">
        <v>45132.659108796295</v>
      </c>
      <c r="Q2250" s="87" t="s">
        <v>4023</v>
      </c>
      <c r="R2250" s="87">
        <v>0</v>
      </c>
      <c r="S2250" s="87">
        <v>2</v>
      </c>
      <c r="T2250" s="87">
        <v>0</v>
      </c>
      <c r="U2250" s="87">
        <v>0</v>
      </c>
      <c r="V2250" s="87">
        <v>161</v>
      </c>
      <c r="W2250" s="93" t="s">
        <v>7315</v>
      </c>
      <c r="X2250" s="87"/>
      <c r="Y2250" s="87"/>
      <c r="Z2250" s="87"/>
      <c r="AA2250" s="87" t="s">
        <v>10065</v>
      </c>
      <c r="AB2250" s="87" t="s">
        <v>11448</v>
      </c>
      <c r="AC2250" s="93" t="s">
        <v>11459</v>
      </c>
      <c r="AD2250" s="87" t="s">
        <v>11519</v>
      </c>
      <c r="AE2250" s="92" t="str">
        <f>HYPERLINK("https://twitter.com/carbiowaqued/status/1683866979403198466")</f>
        <v>https://twitter.com/carbiowaqued/status/1683866979403198466</v>
      </c>
      <c r="AF2250" s="90">
        <v>45132.659108796295</v>
      </c>
      <c r="AG2250" s="99">
        <v>45132</v>
      </c>
      <c r="AH2250" s="93" t="s">
        <v>13573</v>
      </c>
      <c r="AI2250" s="87" t="b">
        <v>0</v>
      </c>
      <c r="AJ2250" s="87" t="s">
        <v>15174</v>
      </c>
      <c r="AK2250" s="87" t="s">
        <v>15234</v>
      </c>
      <c r="AL2250" s="87" t="s">
        <v>15237</v>
      </c>
      <c r="AM2250" s="87" t="s">
        <v>15246</v>
      </c>
      <c r="AN2250" s="87" t="s">
        <v>15311</v>
      </c>
      <c r="AO2250" s="87" t="s">
        <v>15378</v>
      </c>
      <c r="AP2250" s="87" t="s">
        <v>15438</v>
      </c>
      <c r="AQ2250" s="87" t="s">
        <v>16878</v>
      </c>
      <c r="AR2250" s="87"/>
      <c r="AS2250" s="87"/>
      <c r="AT2250" s="87"/>
      <c r="AU2250" s="87"/>
      <c r="AV2250" s="92" t="str">
        <f>HYPERLINK("https://pbs.twimg.com/media/F15MFfxWYAAF7KH.jpg")</f>
        <v>https://pbs.twimg.com/media/F15MFfxWYAAF7KH.jpg</v>
      </c>
      <c r="AW2250" s="93" t="s">
        <v>20467</v>
      </c>
      <c r="AX2250" s="93" t="s">
        <v>20467</v>
      </c>
      <c r="AY2250" s="87"/>
      <c r="AZ2250" s="93" t="s">
        <v>22668</v>
      </c>
      <c r="BA2250" s="93" t="s">
        <v>22668</v>
      </c>
      <c r="BB2250" s="93" t="s">
        <v>22668</v>
      </c>
      <c r="BC2250" s="93" t="s">
        <v>20467</v>
      </c>
      <c r="BD2250" s="87">
        <v>868918448</v>
      </c>
      <c r="BE2250" s="87"/>
      <c r="BF2250" s="87"/>
      <c r="BG2250" s="87"/>
      <c r="BH2250" s="87"/>
      <c r="BI2250" s="87"/>
    </row>
    <row r="2251" spans="1:61" x14ac:dyDescent="0.25">
      <c r="A2251" s="63" t="s">
        <v>1003</v>
      </c>
      <c r="B2251" s="63" t="s">
        <v>1003</v>
      </c>
      <c r="C2251" s="64"/>
      <c r="D2251" s="65"/>
      <c r="E2251" s="66"/>
      <c r="F2251" s="67"/>
      <c r="G2251" s="64"/>
      <c r="H2251" s="68"/>
      <c r="I2251" s="69"/>
      <c r="J2251" s="69"/>
      <c r="K2251" s="32"/>
      <c r="L2251" s="76">
        <v>2251</v>
      </c>
      <c r="M2251" s="76"/>
      <c r="N2251" s="71"/>
      <c r="O2251" s="87" t="s">
        <v>1840</v>
      </c>
      <c r="P2251" s="90">
        <v>45131.566747685189</v>
      </c>
      <c r="Q2251" s="87" t="s">
        <v>4024</v>
      </c>
      <c r="R2251" s="87">
        <v>0</v>
      </c>
      <c r="S2251" s="87">
        <v>1</v>
      </c>
      <c r="T2251" s="87">
        <v>0</v>
      </c>
      <c r="U2251" s="87">
        <v>0</v>
      </c>
      <c r="V2251" s="87">
        <v>75</v>
      </c>
      <c r="W2251" s="93" t="s">
        <v>5897</v>
      </c>
      <c r="X2251" s="87"/>
      <c r="Y2251" s="87"/>
      <c r="Z2251" s="87"/>
      <c r="AA2251" s="87"/>
      <c r="AB2251" s="87"/>
      <c r="AC2251" s="93" t="s">
        <v>11457</v>
      </c>
      <c r="AD2251" s="87" t="s">
        <v>11519</v>
      </c>
      <c r="AE2251" s="92" t="str">
        <f>HYPERLINK("https://twitter.com/ricardobaratela/status/1683471120626745344")</f>
        <v>https://twitter.com/ricardobaratela/status/1683471120626745344</v>
      </c>
      <c r="AF2251" s="90">
        <v>45131.566747685189</v>
      </c>
      <c r="AG2251" s="99">
        <v>45131</v>
      </c>
      <c r="AH2251" s="93" t="s">
        <v>13574</v>
      </c>
      <c r="AI2251" s="87"/>
      <c r="AJ2251" s="87"/>
      <c r="AK2251" s="87"/>
      <c r="AL2251" s="87"/>
      <c r="AM2251" s="87"/>
      <c r="AN2251" s="87"/>
      <c r="AO2251" s="87"/>
      <c r="AP2251" s="87"/>
      <c r="AQ2251" s="87"/>
      <c r="AR2251" s="87"/>
      <c r="AS2251" s="87"/>
      <c r="AT2251" s="87"/>
      <c r="AU2251" s="87"/>
      <c r="AV2251" s="92" t="str">
        <f>HYPERLINK("https://pbs.twimg.com/profile_images/1507909616205717506/PyRT246H_normal.jpg")</f>
        <v>https://pbs.twimg.com/profile_images/1507909616205717506/PyRT246H_normal.jpg</v>
      </c>
      <c r="AW2251" s="93" t="s">
        <v>20468</v>
      </c>
      <c r="AX2251" s="93" t="s">
        <v>22426</v>
      </c>
      <c r="AY2251" s="93" t="s">
        <v>22603</v>
      </c>
      <c r="AZ2251" s="93" t="s">
        <v>22743</v>
      </c>
      <c r="BA2251" s="93" t="s">
        <v>22668</v>
      </c>
      <c r="BB2251" s="93" t="s">
        <v>22668</v>
      </c>
      <c r="BC2251" s="93" t="s">
        <v>22743</v>
      </c>
      <c r="BD2251" s="87">
        <v>114096078</v>
      </c>
      <c r="BE2251" s="87"/>
      <c r="BF2251" s="87"/>
      <c r="BG2251" s="87"/>
      <c r="BH2251" s="87"/>
      <c r="BI2251" s="87"/>
    </row>
    <row r="2252" spans="1:61" x14ac:dyDescent="0.25">
      <c r="A2252" s="63" t="s">
        <v>1004</v>
      </c>
      <c r="B2252" s="63" t="s">
        <v>1004</v>
      </c>
      <c r="C2252" s="64"/>
      <c r="D2252" s="65"/>
      <c r="E2252" s="66"/>
      <c r="F2252" s="67"/>
      <c r="G2252" s="64"/>
      <c r="H2252" s="68"/>
      <c r="I2252" s="69"/>
      <c r="J2252" s="69"/>
      <c r="K2252" s="32"/>
      <c r="L2252" s="76">
        <v>2252</v>
      </c>
      <c r="M2252" s="76"/>
      <c r="N2252" s="71"/>
      <c r="O2252" s="87" t="s">
        <v>179</v>
      </c>
      <c r="P2252" s="90">
        <v>45178.775173611109</v>
      </c>
      <c r="Q2252" s="87" t="s">
        <v>4025</v>
      </c>
      <c r="R2252" s="87">
        <v>0</v>
      </c>
      <c r="S2252" s="87">
        <v>0</v>
      </c>
      <c r="T2252" s="87">
        <v>0</v>
      </c>
      <c r="U2252" s="87">
        <v>0</v>
      </c>
      <c r="V2252" s="87">
        <v>7</v>
      </c>
      <c r="W2252" s="93" t="s">
        <v>7316</v>
      </c>
      <c r="X2252" s="87"/>
      <c r="Y2252" s="87"/>
      <c r="Z2252" s="87"/>
      <c r="AA2252" s="87" t="s">
        <v>10066</v>
      </c>
      <c r="AB2252" s="87" t="s">
        <v>11448</v>
      </c>
      <c r="AC2252" s="93" t="s">
        <v>11457</v>
      </c>
      <c r="AD2252" s="87" t="s">
        <v>11519</v>
      </c>
      <c r="AE2252" s="92" t="str">
        <f>HYPERLINK("https://twitter.com/cristian_huff/status/1700578883177730505")</f>
        <v>https://twitter.com/cristian_huff/status/1700578883177730505</v>
      </c>
      <c r="AF2252" s="90">
        <v>45178.775173611109</v>
      </c>
      <c r="AG2252" s="99">
        <v>45178</v>
      </c>
      <c r="AH2252" s="93" t="s">
        <v>13575</v>
      </c>
      <c r="AI2252" s="87" t="b">
        <v>0</v>
      </c>
      <c r="AJ2252" s="87"/>
      <c r="AK2252" s="87"/>
      <c r="AL2252" s="87"/>
      <c r="AM2252" s="87"/>
      <c r="AN2252" s="87"/>
      <c r="AO2252" s="87"/>
      <c r="AP2252" s="87"/>
      <c r="AQ2252" s="87" t="s">
        <v>16879</v>
      </c>
      <c r="AR2252" s="87"/>
      <c r="AS2252" s="87"/>
      <c r="AT2252" s="87"/>
      <c r="AU2252" s="87"/>
      <c r="AV2252" s="92" t="str">
        <f>HYPERLINK("https://pbs.twimg.com/media/F5mrcqLXYAA_1GF.jpg")</f>
        <v>https://pbs.twimg.com/media/F5mrcqLXYAA_1GF.jpg</v>
      </c>
      <c r="AW2252" s="93" t="s">
        <v>20469</v>
      </c>
      <c r="AX2252" s="93" t="s">
        <v>20469</v>
      </c>
      <c r="AY2252" s="87"/>
      <c r="AZ2252" s="93" t="s">
        <v>22668</v>
      </c>
      <c r="BA2252" s="93" t="s">
        <v>22668</v>
      </c>
      <c r="BB2252" s="93" t="s">
        <v>22668</v>
      </c>
      <c r="BC2252" s="93" t="s">
        <v>20469</v>
      </c>
      <c r="BD2252" s="93" t="s">
        <v>23236</v>
      </c>
      <c r="BE2252" s="87"/>
      <c r="BF2252" s="87"/>
      <c r="BG2252" s="87"/>
      <c r="BH2252" s="87"/>
      <c r="BI2252" s="87"/>
    </row>
    <row r="2253" spans="1:61" x14ac:dyDescent="0.25">
      <c r="A2253" s="63" t="s">
        <v>1004</v>
      </c>
      <c r="B2253" s="63" t="s">
        <v>1004</v>
      </c>
      <c r="C2253" s="64"/>
      <c r="D2253" s="65"/>
      <c r="E2253" s="66"/>
      <c r="F2253" s="67"/>
      <c r="G2253" s="64"/>
      <c r="H2253" s="68"/>
      <c r="I2253" s="69"/>
      <c r="J2253" s="69"/>
      <c r="K2253" s="32"/>
      <c r="L2253" s="76">
        <v>2253</v>
      </c>
      <c r="M2253" s="76"/>
      <c r="N2253" s="71"/>
      <c r="O2253" s="87" t="s">
        <v>179</v>
      </c>
      <c r="P2253" s="90">
        <v>45177.824803240743</v>
      </c>
      <c r="Q2253" s="87" t="s">
        <v>4026</v>
      </c>
      <c r="R2253" s="87">
        <v>0</v>
      </c>
      <c r="S2253" s="87">
        <v>0</v>
      </c>
      <c r="T2253" s="87">
        <v>0</v>
      </c>
      <c r="U2253" s="87">
        <v>0</v>
      </c>
      <c r="V2253" s="87">
        <v>6</v>
      </c>
      <c r="W2253" s="93" t="s">
        <v>7316</v>
      </c>
      <c r="X2253" s="87"/>
      <c r="Y2253" s="87"/>
      <c r="Z2253" s="87"/>
      <c r="AA2253" s="87" t="s">
        <v>10067</v>
      </c>
      <c r="AB2253" s="87" t="s">
        <v>11448</v>
      </c>
      <c r="AC2253" s="93" t="s">
        <v>11457</v>
      </c>
      <c r="AD2253" s="87" t="s">
        <v>11519</v>
      </c>
      <c r="AE2253" s="92" t="str">
        <f>HYPERLINK("https://twitter.com/cristian_huff/status/1700234478323466483")</f>
        <v>https://twitter.com/cristian_huff/status/1700234478323466483</v>
      </c>
      <c r="AF2253" s="90">
        <v>45177.824803240743</v>
      </c>
      <c r="AG2253" s="99">
        <v>45177</v>
      </c>
      <c r="AH2253" s="93" t="s">
        <v>13576</v>
      </c>
      <c r="AI2253" s="87" t="b">
        <v>0</v>
      </c>
      <c r="AJ2253" s="87"/>
      <c r="AK2253" s="87"/>
      <c r="AL2253" s="87"/>
      <c r="AM2253" s="87"/>
      <c r="AN2253" s="87"/>
      <c r="AO2253" s="87"/>
      <c r="AP2253" s="87"/>
      <c r="AQ2253" s="87" t="s">
        <v>16880</v>
      </c>
      <c r="AR2253" s="87"/>
      <c r="AS2253" s="87"/>
      <c r="AT2253" s="87"/>
      <c r="AU2253" s="87"/>
      <c r="AV2253" s="92" t="str">
        <f>HYPERLINK("https://pbs.twimg.com/media/F5hx1LdWIAAZelu.jpg")</f>
        <v>https://pbs.twimg.com/media/F5hx1LdWIAAZelu.jpg</v>
      </c>
      <c r="AW2253" s="93" t="s">
        <v>20470</v>
      </c>
      <c r="AX2253" s="93" t="s">
        <v>20470</v>
      </c>
      <c r="AY2253" s="87"/>
      <c r="AZ2253" s="93" t="s">
        <v>22668</v>
      </c>
      <c r="BA2253" s="93" t="s">
        <v>22668</v>
      </c>
      <c r="BB2253" s="93" t="s">
        <v>22668</v>
      </c>
      <c r="BC2253" s="93" t="s">
        <v>20470</v>
      </c>
      <c r="BD2253" s="93" t="s">
        <v>23236</v>
      </c>
      <c r="BE2253" s="87"/>
      <c r="BF2253" s="87"/>
      <c r="BG2253" s="87"/>
      <c r="BH2253" s="87"/>
      <c r="BI2253" s="87"/>
    </row>
    <row r="2254" spans="1:61" x14ac:dyDescent="0.25">
      <c r="A2254" s="63" t="s">
        <v>1005</v>
      </c>
      <c r="B2254" s="63" t="s">
        <v>1005</v>
      </c>
      <c r="C2254" s="64"/>
      <c r="D2254" s="65"/>
      <c r="E2254" s="66"/>
      <c r="F2254" s="67"/>
      <c r="G2254" s="64"/>
      <c r="H2254" s="68"/>
      <c r="I2254" s="69"/>
      <c r="J2254" s="69"/>
      <c r="K2254" s="32"/>
      <c r="L2254" s="76">
        <v>2254</v>
      </c>
      <c r="M2254" s="76"/>
      <c r="N2254" s="71"/>
      <c r="O2254" s="87" t="s">
        <v>179</v>
      </c>
      <c r="P2254" s="90">
        <v>45146.644143518519</v>
      </c>
      <c r="Q2254" s="87" t="s">
        <v>4027</v>
      </c>
      <c r="R2254" s="87">
        <v>1</v>
      </c>
      <c r="S2254" s="87">
        <v>1</v>
      </c>
      <c r="T2254" s="87">
        <v>0</v>
      </c>
      <c r="U2254" s="87">
        <v>0</v>
      </c>
      <c r="V2254" s="87">
        <v>17</v>
      </c>
      <c r="W2254" s="93" t="s">
        <v>7317</v>
      </c>
      <c r="X2254" s="87"/>
      <c r="Y2254" s="87"/>
      <c r="Z2254" s="87"/>
      <c r="AA2254" s="87" t="s">
        <v>10068</v>
      </c>
      <c r="AB2254" s="87" t="s">
        <v>11447</v>
      </c>
      <c r="AC2254" s="93" t="s">
        <v>11458</v>
      </c>
      <c r="AD2254" s="87" t="s">
        <v>11519</v>
      </c>
      <c r="AE2254" s="92" t="str">
        <f>HYPERLINK("https://twitter.com/dattabusiness/status/1688934985170878464")</f>
        <v>https://twitter.com/dattabusiness/status/1688934985170878464</v>
      </c>
      <c r="AF2254" s="90">
        <v>45146.644143518519</v>
      </c>
      <c r="AG2254" s="99">
        <v>45146</v>
      </c>
      <c r="AH2254" s="93" t="s">
        <v>13577</v>
      </c>
      <c r="AI2254" s="87" t="b">
        <v>0</v>
      </c>
      <c r="AJ2254" s="87"/>
      <c r="AK2254" s="87"/>
      <c r="AL2254" s="87"/>
      <c r="AM2254" s="87"/>
      <c r="AN2254" s="87"/>
      <c r="AO2254" s="87"/>
      <c r="AP2254" s="87"/>
      <c r="AQ2254" s="87" t="s">
        <v>16881</v>
      </c>
      <c r="AR2254" s="87">
        <v>38333</v>
      </c>
      <c r="AS2254" s="87"/>
      <c r="AT2254" s="87"/>
      <c r="AU2254" s="87"/>
      <c r="AV2254" s="92" t="str">
        <f>HYPERLINK("https://pbs.twimg.com/ext_tw_video_thumb/1688934906758316032/pu/img/frDJzeqMOsKstWBW.jpg")</f>
        <v>https://pbs.twimg.com/ext_tw_video_thumb/1688934906758316032/pu/img/frDJzeqMOsKstWBW.jpg</v>
      </c>
      <c r="AW2254" s="93" t="s">
        <v>20471</v>
      </c>
      <c r="AX2254" s="93" t="s">
        <v>20471</v>
      </c>
      <c r="AY2254" s="87"/>
      <c r="AZ2254" s="93" t="s">
        <v>22668</v>
      </c>
      <c r="BA2254" s="93" t="s">
        <v>22668</v>
      </c>
      <c r="BB2254" s="93" t="s">
        <v>22668</v>
      </c>
      <c r="BC2254" s="93" t="s">
        <v>20471</v>
      </c>
      <c r="BD2254" s="93" t="s">
        <v>23237</v>
      </c>
      <c r="BE2254" s="87"/>
      <c r="BF2254" s="87"/>
      <c r="BG2254" s="87"/>
      <c r="BH2254" s="87"/>
      <c r="BI2254" s="87"/>
    </row>
    <row r="2255" spans="1:61" x14ac:dyDescent="0.25">
      <c r="A2255" s="63" t="s">
        <v>1006</v>
      </c>
      <c r="B2255" s="63" t="s">
        <v>1006</v>
      </c>
      <c r="C2255" s="64"/>
      <c r="D2255" s="65"/>
      <c r="E2255" s="66"/>
      <c r="F2255" s="67"/>
      <c r="G2255" s="64"/>
      <c r="H2255" s="68"/>
      <c r="I2255" s="69"/>
      <c r="J2255" s="69"/>
      <c r="K2255" s="32"/>
      <c r="L2255" s="76">
        <v>2255</v>
      </c>
      <c r="M2255" s="76"/>
      <c r="N2255" s="71"/>
      <c r="O2255" s="87" t="s">
        <v>179</v>
      </c>
      <c r="P2255" s="90">
        <v>45176.714039351849</v>
      </c>
      <c r="Q2255" s="87" t="s">
        <v>4028</v>
      </c>
      <c r="R2255" s="87">
        <v>0</v>
      </c>
      <c r="S2255" s="87">
        <v>0</v>
      </c>
      <c r="T2255" s="87">
        <v>0</v>
      </c>
      <c r="U2255" s="87">
        <v>0</v>
      </c>
      <c r="V2255" s="87">
        <v>15</v>
      </c>
      <c r="W2255" s="93" t="s">
        <v>7318</v>
      </c>
      <c r="X2255" s="87"/>
      <c r="Y2255" s="87"/>
      <c r="Z2255" s="87"/>
      <c r="AA2255" s="87" t="s">
        <v>10069</v>
      </c>
      <c r="AB2255" s="87" t="s">
        <v>11448</v>
      </c>
      <c r="AC2255" s="93" t="s">
        <v>11458</v>
      </c>
      <c r="AD2255" s="87" t="s">
        <v>11519</v>
      </c>
      <c r="AE2255" s="92" t="str">
        <f>HYPERLINK("https://twitter.com/jorginhoemonica/status/1699831952650694789")</f>
        <v>https://twitter.com/jorginhoemonica/status/1699831952650694789</v>
      </c>
      <c r="AF2255" s="90">
        <v>45176.714039351849</v>
      </c>
      <c r="AG2255" s="99">
        <v>45176</v>
      </c>
      <c r="AH2255" s="93" t="s">
        <v>13578</v>
      </c>
      <c r="AI2255" s="87" t="b">
        <v>0</v>
      </c>
      <c r="AJ2255" s="87"/>
      <c r="AK2255" s="87"/>
      <c r="AL2255" s="87"/>
      <c r="AM2255" s="87"/>
      <c r="AN2255" s="87"/>
      <c r="AO2255" s="87"/>
      <c r="AP2255" s="87"/>
      <c r="AQ2255" s="87" t="s">
        <v>16882</v>
      </c>
      <c r="AR2255" s="87"/>
      <c r="AS2255" s="87"/>
      <c r="AT2255" s="87"/>
      <c r="AU2255" s="87"/>
      <c r="AV2255" s="92" t="str">
        <f>HYPERLINK("https://pbs.twimg.com/media/F5cEJXgXcAAshdU.jpg")</f>
        <v>https://pbs.twimg.com/media/F5cEJXgXcAAshdU.jpg</v>
      </c>
      <c r="AW2255" s="93" t="s">
        <v>20472</v>
      </c>
      <c r="AX2255" s="93" t="s">
        <v>20472</v>
      </c>
      <c r="AY2255" s="87"/>
      <c r="AZ2255" s="93" t="s">
        <v>22668</v>
      </c>
      <c r="BA2255" s="93" t="s">
        <v>22668</v>
      </c>
      <c r="BB2255" s="93" t="s">
        <v>22668</v>
      </c>
      <c r="BC2255" s="93" t="s">
        <v>20472</v>
      </c>
      <c r="BD2255" s="93" t="s">
        <v>23238</v>
      </c>
      <c r="BE2255" s="87"/>
      <c r="BF2255" s="87"/>
      <c r="BG2255" s="87"/>
      <c r="BH2255" s="87"/>
      <c r="BI2255" s="87"/>
    </row>
    <row r="2256" spans="1:61" x14ac:dyDescent="0.25">
      <c r="A2256" s="63" t="s">
        <v>1006</v>
      </c>
      <c r="B2256" s="63" t="s">
        <v>1006</v>
      </c>
      <c r="C2256" s="64"/>
      <c r="D2256" s="65"/>
      <c r="E2256" s="66"/>
      <c r="F2256" s="67"/>
      <c r="G2256" s="64"/>
      <c r="H2256" s="68"/>
      <c r="I2256" s="69"/>
      <c r="J2256" s="69"/>
      <c r="K2256" s="32"/>
      <c r="L2256" s="76">
        <v>2256</v>
      </c>
      <c r="M2256" s="76"/>
      <c r="N2256" s="71"/>
      <c r="O2256" s="87" t="s">
        <v>179</v>
      </c>
      <c r="P2256" s="90">
        <v>45181.572557870371</v>
      </c>
      <c r="Q2256" s="87" t="s">
        <v>4029</v>
      </c>
      <c r="R2256" s="87">
        <v>0</v>
      </c>
      <c r="S2256" s="87">
        <v>0</v>
      </c>
      <c r="T2256" s="87">
        <v>0</v>
      </c>
      <c r="U2256" s="87">
        <v>0</v>
      </c>
      <c r="V2256" s="87">
        <v>9</v>
      </c>
      <c r="W2256" s="93" t="s">
        <v>7319</v>
      </c>
      <c r="X2256" s="87"/>
      <c r="Y2256" s="87"/>
      <c r="Z2256" s="87"/>
      <c r="AA2256" s="87" t="s">
        <v>10070</v>
      </c>
      <c r="AB2256" s="87" t="s">
        <v>11448</v>
      </c>
      <c r="AC2256" s="93" t="s">
        <v>11458</v>
      </c>
      <c r="AD2256" s="87" t="s">
        <v>11519</v>
      </c>
      <c r="AE2256" s="92" t="str">
        <f>HYPERLINK("https://twitter.com/jorginhoemonica/status/1701592619078279454")</f>
        <v>https://twitter.com/jorginhoemonica/status/1701592619078279454</v>
      </c>
      <c r="AF2256" s="90">
        <v>45181.572557870371</v>
      </c>
      <c r="AG2256" s="99">
        <v>45181</v>
      </c>
      <c r="AH2256" s="93" t="s">
        <v>13579</v>
      </c>
      <c r="AI2256" s="87" t="b">
        <v>0</v>
      </c>
      <c r="AJ2256" s="87"/>
      <c r="AK2256" s="87"/>
      <c r="AL2256" s="87"/>
      <c r="AM2256" s="87"/>
      <c r="AN2256" s="87"/>
      <c r="AO2256" s="87"/>
      <c r="AP2256" s="87"/>
      <c r="AQ2256" s="87" t="s">
        <v>16883</v>
      </c>
      <c r="AR2256" s="87"/>
      <c r="AS2256" s="87"/>
      <c r="AT2256" s="87"/>
      <c r="AU2256" s="87"/>
      <c r="AV2256" s="92" t="str">
        <f>HYPERLINK("https://pbs.twimg.com/media/F51FdtDbIAEqvxN.jpg")</f>
        <v>https://pbs.twimg.com/media/F51FdtDbIAEqvxN.jpg</v>
      </c>
      <c r="AW2256" s="93" t="s">
        <v>20473</v>
      </c>
      <c r="AX2256" s="93" t="s">
        <v>20473</v>
      </c>
      <c r="AY2256" s="87"/>
      <c r="AZ2256" s="93" t="s">
        <v>22668</v>
      </c>
      <c r="BA2256" s="93" t="s">
        <v>22668</v>
      </c>
      <c r="BB2256" s="93" t="s">
        <v>22668</v>
      </c>
      <c r="BC2256" s="93" t="s">
        <v>20473</v>
      </c>
      <c r="BD2256" s="93" t="s">
        <v>23238</v>
      </c>
      <c r="BE2256" s="87"/>
      <c r="BF2256" s="87"/>
      <c r="BG2256" s="87"/>
      <c r="BH2256" s="87"/>
      <c r="BI2256" s="87"/>
    </row>
    <row r="2257" spans="1:61" x14ac:dyDescent="0.25">
      <c r="A2257" s="63" t="s">
        <v>1006</v>
      </c>
      <c r="B2257" s="63" t="s">
        <v>1006</v>
      </c>
      <c r="C2257" s="64"/>
      <c r="D2257" s="65"/>
      <c r="E2257" s="66"/>
      <c r="F2257" s="67"/>
      <c r="G2257" s="64"/>
      <c r="H2257" s="68"/>
      <c r="I2257" s="69"/>
      <c r="J2257" s="69"/>
      <c r="K2257" s="32"/>
      <c r="L2257" s="76">
        <v>2257</v>
      </c>
      <c r="M2257" s="76"/>
      <c r="N2257" s="71"/>
      <c r="O2257" s="87" t="s">
        <v>179</v>
      </c>
      <c r="P2257" s="90">
        <v>45182.211192129631</v>
      </c>
      <c r="Q2257" s="87" t="s">
        <v>4030</v>
      </c>
      <c r="R2257" s="87">
        <v>0</v>
      </c>
      <c r="S2257" s="87">
        <v>0</v>
      </c>
      <c r="T2257" s="87">
        <v>0</v>
      </c>
      <c r="U2257" s="87">
        <v>0</v>
      </c>
      <c r="V2257" s="87">
        <v>18</v>
      </c>
      <c r="W2257" s="93" t="s">
        <v>7320</v>
      </c>
      <c r="X2257" s="87"/>
      <c r="Y2257" s="87"/>
      <c r="Z2257" s="87"/>
      <c r="AA2257" s="87" t="s">
        <v>10071</v>
      </c>
      <c r="AB2257" s="87" t="s">
        <v>11447</v>
      </c>
      <c r="AC2257" s="93" t="s">
        <v>11458</v>
      </c>
      <c r="AD2257" s="87" t="s">
        <v>11519</v>
      </c>
      <c r="AE2257" s="92" t="str">
        <f>HYPERLINK("https://twitter.com/jorginhoemonica/status/1701824054808703481")</f>
        <v>https://twitter.com/jorginhoemonica/status/1701824054808703481</v>
      </c>
      <c r="AF2257" s="90">
        <v>45182.211192129631</v>
      </c>
      <c r="AG2257" s="99">
        <v>45182</v>
      </c>
      <c r="AH2257" s="93" t="s">
        <v>13580</v>
      </c>
      <c r="AI2257" s="87" t="b">
        <v>0</v>
      </c>
      <c r="AJ2257" s="87"/>
      <c r="AK2257" s="87"/>
      <c r="AL2257" s="87"/>
      <c r="AM2257" s="87"/>
      <c r="AN2257" s="87"/>
      <c r="AO2257" s="87"/>
      <c r="AP2257" s="87"/>
      <c r="AQ2257" s="87" t="s">
        <v>16884</v>
      </c>
      <c r="AR2257" s="87">
        <v>27978</v>
      </c>
      <c r="AS2257" s="87"/>
      <c r="AT2257" s="87"/>
      <c r="AU2257" s="87"/>
      <c r="AV2257" s="92" t="str">
        <f>HYPERLINK("https://pbs.twimg.com/ext_tw_video_thumb/1701823948269252608/pu/img/PuAzW30qO3BC7Py-.jpg")</f>
        <v>https://pbs.twimg.com/ext_tw_video_thumb/1701823948269252608/pu/img/PuAzW30qO3BC7Py-.jpg</v>
      </c>
      <c r="AW2257" s="93" t="s">
        <v>20474</v>
      </c>
      <c r="AX2257" s="93" t="s">
        <v>20474</v>
      </c>
      <c r="AY2257" s="87"/>
      <c r="AZ2257" s="93" t="s">
        <v>22668</v>
      </c>
      <c r="BA2257" s="93" t="s">
        <v>22668</v>
      </c>
      <c r="BB2257" s="93" t="s">
        <v>22668</v>
      </c>
      <c r="BC2257" s="93" t="s">
        <v>20474</v>
      </c>
      <c r="BD2257" s="93" t="s">
        <v>23238</v>
      </c>
      <c r="BE2257" s="87"/>
      <c r="BF2257" s="87"/>
      <c r="BG2257" s="87"/>
      <c r="BH2257" s="87"/>
      <c r="BI2257" s="87"/>
    </row>
    <row r="2258" spans="1:61" x14ac:dyDescent="0.25">
      <c r="A2258" s="63" t="s">
        <v>1006</v>
      </c>
      <c r="B2258" s="63" t="s">
        <v>1006</v>
      </c>
      <c r="C2258" s="64"/>
      <c r="D2258" s="65"/>
      <c r="E2258" s="66"/>
      <c r="F2258" s="67"/>
      <c r="G2258" s="64"/>
      <c r="H2258" s="68"/>
      <c r="I2258" s="69"/>
      <c r="J2258" s="69"/>
      <c r="K2258" s="32"/>
      <c r="L2258" s="76">
        <v>2258</v>
      </c>
      <c r="M2258" s="76"/>
      <c r="N2258" s="71"/>
      <c r="O2258" s="87" t="s">
        <v>179</v>
      </c>
      <c r="P2258" s="90">
        <v>45181.711759259262</v>
      </c>
      <c r="Q2258" s="87" t="s">
        <v>4031</v>
      </c>
      <c r="R2258" s="87">
        <v>0</v>
      </c>
      <c r="S2258" s="87">
        <v>0</v>
      </c>
      <c r="T2258" s="87">
        <v>0</v>
      </c>
      <c r="U2258" s="87">
        <v>0</v>
      </c>
      <c r="V2258" s="87">
        <v>11</v>
      </c>
      <c r="W2258" s="93" t="s">
        <v>7321</v>
      </c>
      <c r="X2258" s="87"/>
      <c r="Y2258" s="87"/>
      <c r="Z2258" s="87"/>
      <c r="AA2258" s="87" t="s">
        <v>10072</v>
      </c>
      <c r="AB2258" s="87" t="s">
        <v>11448</v>
      </c>
      <c r="AC2258" s="93" t="s">
        <v>11458</v>
      </c>
      <c r="AD2258" s="87" t="s">
        <v>11519</v>
      </c>
      <c r="AE2258" s="92" t="str">
        <f>HYPERLINK("https://twitter.com/jorginhoemonica/status/1701643065524379857")</f>
        <v>https://twitter.com/jorginhoemonica/status/1701643065524379857</v>
      </c>
      <c r="AF2258" s="90">
        <v>45181.711759259262</v>
      </c>
      <c r="AG2258" s="99">
        <v>45181</v>
      </c>
      <c r="AH2258" s="93" t="s">
        <v>13581</v>
      </c>
      <c r="AI2258" s="87" t="b">
        <v>0</v>
      </c>
      <c r="AJ2258" s="87"/>
      <c r="AK2258" s="87"/>
      <c r="AL2258" s="87"/>
      <c r="AM2258" s="87"/>
      <c r="AN2258" s="87"/>
      <c r="AO2258" s="87"/>
      <c r="AP2258" s="87"/>
      <c r="AQ2258" s="87" t="s">
        <v>16885</v>
      </c>
      <c r="AR2258" s="87"/>
      <c r="AS2258" s="87"/>
      <c r="AT2258" s="87"/>
      <c r="AU2258" s="87"/>
      <c r="AV2258" s="92" t="str">
        <f>HYPERLINK("https://pbs.twimg.com/media/F51zWPsWIAAfCSb.jpg")</f>
        <v>https://pbs.twimg.com/media/F51zWPsWIAAfCSb.jpg</v>
      </c>
      <c r="AW2258" s="93" t="s">
        <v>20475</v>
      </c>
      <c r="AX2258" s="93" t="s">
        <v>20475</v>
      </c>
      <c r="AY2258" s="87"/>
      <c r="AZ2258" s="93" t="s">
        <v>22668</v>
      </c>
      <c r="BA2258" s="93" t="s">
        <v>22668</v>
      </c>
      <c r="BB2258" s="93" t="s">
        <v>22668</v>
      </c>
      <c r="BC2258" s="93" t="s">
        <v>20475</v>
      </c>
      <c r="BD2258" s="93" t="s">
        <v>23238</v>
      </c>
      <c r="BE2258" s="87"/>
      <c r="BF2258" s="87"/>
      <c r="BG2258" s="87"/>
      <c r="BH2258" s="87"/>
      <c r="BI2258" s="87"/>
    </row>
    <row r="2259" spans="1:61" x14ac:dyDescent="0.25">
      <c r="A2259" s="63" t="s">
        <v>1006</v>
      </c>
      <c r="B2259" s="63" t="s">
        <v>1006</v>
      </c>
      <c r="C2259" s="64"/>
      <c r="D2259" s="65"/>
      <c r="E2259" s="66"/>
      <c r="F2259" s="67"/>
      <c r="G2259" s="64"/>
      <c r="H2259" s="68"/>
      <c r="I2259" s="69"/>
      <c r="J2259" s="69"/>
      <c r="K2259" s="32"/>
      <c r="L2259" s="76">
        <v>2259</v>
      </c>
      <c r="M2259" s="76"/>
      <c r="N2259" s="71"/>
      <c r="O2259" s="87" t="s">
        <v>179</v>
      </c>
      <c r="P2259" s="90">
        <v>45190.699282407404</v>
      </c>
      <c r="Q2259" s="87" t="s">
        <v>4032</v>
      </c>
      <c r="R2259" s="87">
        <v>0</v>
      </c>
      <c r="S2259" s="87">
        <v>0</v>
      </c>
      <c r="T2259" s="87">
        <v>0</v>
      </c>
      <c r="U2259" s="87">
        <v>0</v>
      </c>
      <c r="V2259" s="87">
        <v>15</v>
      </c>
      <c r="W2259" s="93" t="s">
        <v>7322</v>
      </c>
      <c r="X2259" s="87"/>
      <c r="Y2259" s="87"/>
      <c r="Z2259" s="87"/>
      <c r="AA2259" s="87" t="s">
        <v>10073</v>
      </c>
      <c r="AB2259" s="87" t="s">
        <v>11447</v>
      </c>
      <c r="AC2259" s="93" t="s">
        <v>11458</v>
      </c>
      <c r="AD2259" s="87" t="s">
        <v>11519</v>
      </c>
      <c r="AE2259" s="92" t="str">
        <f>HYPERLINK("https://twitter.com/jorginhoemonica/status/1704900035089993984")</f>
        <v>https://twitter.com/jorginhoemonica/status/1704900035089993984</v>
      </c>
      <c r="AF2259" s="90">
        <v>45190.699282407404</v>
      </c>
      <c r="AG2259" s="99">
        <v>45190</v>
      </c>
      <c r="AH2259" s="93" t="s">
        <v>13467</v>
      </c>
      <c r="AI2259" s="87" t="b">
        <v>0</v>
      </c>
      <c r="AJ2259" s="87"/>
      <c r="AK2259" s="87"/>
      <c r="AL2259" s="87"/>
      <c r="AM2259" s="87"/>
      <c r="AN2259" s="87"/>
      <c r="AO2259" s="87"/>
      <c r="AP2259" s="87"/>
      <c r="AQ2259" s="87" t="s">
        <v>16886</v>
      </c>
      <c r="AR2259" s="87">
        <v>14220</v>
      </c>
      <c r="AS2259" s="87"/>
      <c r="AT2259" s="87"/>
      <c r="AU2259" s="87"/>
      <c r="AV2259" s="92" t="str">
        <f>HYPERLINK("https://pbs.twimg.com/ext_tw_video_thumb/1704899970724233217/pu/img/Caj9rqFoAFQsqg2-.jpg")</f>
        <v>https://pbs.twimg.com/ext_tw_video_thumb/1704899970724233217/pu/img/Caj9rqFoAFQsqg2-.jpg</v>
      </c>
      <c r="AW2259" s="93" t="s">
        <v>20476</v>
      </c>
      <c r="AX2259" s="93" t="s">
        <v>20476</v>
      </c>
      <c r="AY2259" s="87"/>
      <c r="AZ2259" s="93" t="s">
        <v>22668</v>
      </c>
      <c r="BA2259" s="93" t="s">
        <v>22668</v>
      </c>
      <c r="BB2259" s="93" t="s">
        <v>22668</v>
      </c>
      <c r="BC2259" s="93" t="s">
        <v>20476</v>
      </c>
      <c r="BD2259" s="93" t="s">
        <v>23238</v>
      </c>
      <c r="BE2259" s="87"/>
      <c r="BF2259" s="87"/>
      <c r="BG2259" s="87"/>
      <c r="BH2259" s="87"/>
      <c r="BI2259" s="87"/>
    </row>
    <row r="2260" spans="1:61" x14ac:dyDescent="0.25">
      <c r="A2260" s="63" t="s">
        <v>1006</v>
      </c>
      <c r="B2260" s="63" t="s">
        <v>1006</v>
      </c>
      <c r="C2260" s="64"/>
      <c r="D2260" s="65"/>
      <c r="E2260" s="66"/>
      <c r="F2260" s="67"/>
      <c r="G2260" s="64"/>
      <c r="H2260" s="68"/>
      <c r="I2260" s="69"/>
      <c r="J2260" s="69"/>
      <c r="K2260" s="32"/>
      <c r="L2260" s="76">
        <v>2260</v>
      </c>
      <c r="M2260" s="76"/>
      <c r="N2260" s="71"/>
      <c r="O2260" s="87" t="s">
        <v>179</v>
      </c>
      <c r="P2260" s="90">
        <v>45186.633969907409</v>
      </c>
      <c r="Q2260" s="87" t="s">
        <v>4033</v>
      </c>
      <c r="R2260" s="87">
        <v>0</v>
      </c>
      <c r="S2260" s="87">
        <v>0</v>
      </c>
      <c r="T2260" s="87">
        <v>0</v>
      </c>
      <c r="U2260" s="87">
        <v>0</v>
      </c>
      <c r="V2260" s="87">
        <v>59</v>
      </c>
      <c r="W2260" s="93" t="s">
        <v>7323</v>
      </c>
      <c r="X2260" s="87"/>
      <c r="Y2260" s="87"/>
      <c r="Z2260" s="87"/>
      <c r="AA2260" s="87" t="s">
        <v>10074</v>
      </c>
      <c r="AB2260" s="87" t="s">
        <v>11447</v>
      </c>
      <c r="AC2260" s="93" t="s">
        <v>11458</v>
      </c>
      <c r="AD2260" s="87" t="s">
        <v>11519</v>
      </c>
      <c r="AE2260" s="92" t="str">
        <f>HYPERLINK("https://twitter.com/jorginhoemonica/status/1703426815904116809")</f>
        <v>https://twitter.com/jorginhoemonica/status/1703426815904116809</v>
      </c>
      <c r="AF2260" s="90">
        <v>45186.633969907409</v>
      </c>
      <c r="AG2260" s="99">
        <v>45186</v>
      </c>
      <c r="AH2260" s="93" t="s">
        <v>13582</v>
      </c>
      <c r="AI2260" s="87" t="b">
        <v>0</v>
      </c>
      <c r="AJ2260" s="87"/>
      <c r="AK2260" s="87"/>
      <c r="AL2260" s="87"/>
      <c r="AM2260" s="87"/>
      <c r="AN2260" s="87"/>
      <c r="AO2260" s="87"/>
      <c r="AP2260" s="87"/>
      <c r="AQ2260" s="87" t="s">
        <v>16887</v>
      </c>
      <c r="AR2260" s="87">
        <v>45000</v>
      </c>
      <c r="AS2260" s="87"/>
      <c r="AT2260" s="87"/>
      <c r="AU2260" s="87"/>
      <c r="AV2260" s="92" t="str">
        <f>HYPERLINK("https://pbs.twimg.com/ext_tw_video_thumb/1703426723042279424/pu/img/JrnvHsyIJH4nvRiy.jpg")</f>
        <v>https://pbs.twimg.com/ext_tw_video_thumb/1703426723042279424/pu/img/JrnvHsyIJH4nvRiy.jpg</v>
      </c>
      <c r="AW2260" s="93" t="s">
        <v>20477</v>
      </c>
      <c r="AX2260" s="93" t="s">
        <v>20477</v>
      </c>
      <c r="AY2260" s="87"/>
      <c r="AZ2260" s="93" t="s">
        <v>22668</v>
      </c>
      <c r="BA2260" s="93" t="s">
        <v>22668</v>
      </c>
      <c r="BB2260" s="93" t="s">
        <v>22668</v>
      </c>
      <c r="BC2260" s="93" t="s">
        <v>20477</v>
      </c>
      <c r="BD2260" s="93" t="s">
        <v>23238</v>
      </c>
      <c r="BE2260" s="87"/>
      <c r="BF2260" s="87"/>
      <c r="BG2260" s="87"/>
      <c r="BH2260" s="87"/>
      <c r="BI2260" s="87"/>
    </row>
    <row r="2261" spans="1:61" x14ac:dyDescent="0.25">
      <c r="A2261" s="63" t="s">
        <v>1006</v>
      </c>
      <c r="B2261" s="63" t="s">
        <v>1006</v>
      </c>
      <c r="C2261" s="64"/>
      <c r="D2261" s="65"/>
      <c r="E2261" s="66"/>
      <c r="F2261" s="67"/>
      <c r="G2261" s="64"/>
      <c r="H2261" s="68"/>
      <c r="I2261" s="69"/>
      <c r="J2261" s="69"/>
      <c r="K2261" s="32"/>
      <c r="L2261" s="76">
        <v>2261</v>
      </c>
      <c r="M2261" s="76"/>
      <c r="N2261" s="71"/>
      <c r="O2261" s="87" t="s">
        <v>179</v>
      </c>
      <c r="P2261" s="90">
        <v>45191.049976851849</v>
      </c>
      <c r="Q2261" s="87" t="s">
        <v>4034</v>
      </c>
      <c r="R2261" s="87">
        <v>0</v>
      </c>
      <c r="S2261" s="87">
        <v>0</v>
      </c>
      <c r="T2261" s="87">
        <v>0</v>
      </c>
      <c r="U2261" s="87">
        <v>0</v>
      </c>
      <c r="V2261" s="87">
        <v>14</v>
      </c>
      <c r="W2261" s="93" t="s">
        <v>7324</v>
      </c>
      <c r="X2261" s="87"/>
      <c r="Y2261" s="87"/>
      <c r="Z2261" s="87"/>
      <c r="AA2261" s="87" t="s">
        <v>10075</v>
      </c>
      <c r="AB2261" s="87" t="s">
        <v>11447</v>
      </c>
      <c r="AC2261" s="93" t="s">
        <v>11458</v>
      </c>
      <c r="AD2261" s="87" t="s">
        <v>11519</v>
      </c>
      <c r="AE2261" s="92" t="str">
        <f>HYPERLINK("https://twitter.com/jorginhoemonica/status/1705027124363448721")</f>
        <v>https://twitter.com/jorginhoemonica/status/1705027124363448721</v>
      </c>
      <c r="AF2261" s="90">
        <v>45191.049976851849</v>
      </c>
      <c r="AG2261" s="99">
        <v>45191</v>
      </c>
      <c r="AH2261" s="93" t="s">
        <v>13583</v>
      </c>
      <c r="AI2261" s="87" t="b">
        <v>0</v>
      </c>
      <c r="AJ2261" s="87"/>
      <c r="AK2261" s="87"/>
      <c r="AL2261" s="87"/>
      <c r="AM2261" s="87"/>
      <c r="AN2261" s="87"/>
      <c r="AO2261" s="87"/>
      <c r="AP2261" s="87"/>
      <c r="AQ2261" s="87" t="s">
        <v>16888</v>
      </c>
      <c r="AR2261" s="87">
        <v>12166</v>
      </c>
      <c r="AS2261" s="87"/>
      <c r="AT2261" s="87"/>
      <c r="AU2261" s="87"/>
      <c r="AV2261" s="92" t="str">
        <f>HYPERLINK("https://pbs.twimg.com/ext_tw_video_thumb/1705027093170454528/pu/img/FYEnXly11dVcGPiK.jpg")</f>
        <v>https://pbs.twimg.com/ext_tw_video_thumb/1705027093170454528/pu/img/FYEnXly11dVcGPiK.jpg</v>
      </c>
      <c r="AW2261" s="93" t="s">
        <v>20478</v>
      </c>
      <c r="AX2261" s="93" t="s">
        <v>20478</v>
      </c>
      <c r="AY2261" s="87"/>
      <c r="AZ2261" s="93" t="s">
        <v>22668</v>
      </c>
      <c r="BA2261" s="93" t="s">
        <v>22668</v>
      </c>
      <c r="BB2261" s="93" t="s">
        <v>22668</v>
      </c>
      <c r="BC2261" s="93" t="s">
        <v>20478</v>
      </c>
      <c r="BD2261" s="93" t="s">
        <v>23238</v>
      </c>
      <c r="BE2261" s="87"/>
      <c r="BF2261" s="87"/>
      <c r="BG2261" s="87"/>
      <c r="BH2261" s="87"/>
      <c r="BI2261" s="87"/>
    </row>
    <row r="2262" spans="1:61" x14ac:dyDescent="0.25">
      <c r="A2262" s="63" t="s">
        <v>1007</v>
      </c>
      <c r="B2262" s="63" t="s">
        <v>1007</v>
      </c>
      <c r="C2262" s="64"/>
      <c r="D2262" s="65"/>
      <c r="E2262" s="66"/>
      <c r="F2262" s="67"/>
      <c r="G2262" s="64"/>
      <c r="H2262" s="68"/>
      <c r="I2262" s="69"/>
      <c r="J2262" s="69"/>
      <c r="K2262" s="32"/>
      <c r="L2262" s="76">
        <v>2262</v>
      </c>
      <c r="M2262" s="76"/>
      <c r="N2262" s="71"/>
      <c r="O2262" s="87" t="s">
        <v>179</v>
      </c>
      <c r="P2262" s="90">
        <v>45157.466898148145</v>
      </c>
      <c r="Q2262" s="87" t="s">
        <v>4035</v>
      </c>
      <c r="R2262" s="87">
        <v>0</v>
      </c>
      <c r="S2262" s="87">
        <v>0</v>
      </c>
      <c r="T2262" s="87">
        <v>0</v>
      </c>
      <c r="U2262" s="87">
        <v>0</v>
      </c>
      <c r="V2262" s="87">
        <v>16</v>
      </c>
      <c r="W2262" s="93" t="s">
        <v>7325</v>
      </c>
      <c r="X2262" s="87"/>
      <c r="Y2262" s="87"/>
      <c r="Z2262" s="87"/>
      <c r="AA2262" s="87" t="s">
        <v>10076</v>
      </c>
      <c r="AB2262" s="87" t="s">
        <v>11447</v>
      </c>
      <c r="AC2262" s="93" t="s">
        <v>11459</v>
      </c>
      <c r="AD2262" s="87" t="s">
        <v>11519</v>
      </c>
      <c r="AE2262" s="92" t="str">
        <f>HYPERLINK("https://twitter.com/domingostsucane/status/1692857020376817741")</f>
        <v>https://twitter.com/domingostsucane/status/1692857020376817741</v>
      </c>
      <c r="AF2262" s="90">
        <v>45157.466898148145</v>
      </c>
      <c r="AG2262" s="99">
        <v>45157</v>
      </c>
      <c r="AH2262" s="93" t="s">
        <v>13584</v>
      </c>
      <c r="AI2262" s="87" t="b">
        <v>0</v>
      </c>
      <c r="AJ2262" s="87"/>
      <c r="AK2262" s="87"/>
      <c r="AL2262" s="87"/>
      <c r="AM2262" s="87"/>
      <c r="AN2262" s="87"/>
      <c r="AO2262" s="87"/>
      <c r="AP2262" s="87"/>
      <c r="AQ2262" s="87" t="s">
        <v>16889</v>
      </c>
      <c r="AR2262" s="87">
        <v>5966</v>
      </c>
      <c r="AS2262" s="87"/>
      <c r="AT2262" s="87"/>
      <c r="AU2262" s="87"/>
      <c r="AV2262" s="92" t="str">
        <f>HYPERLINK("https://pbs.twimg.com/ext_tw_video_thumb/1692856976856764416/pu/img/zSYrx8LwrsXi728n.jpg")</f>
        <v>https://pbs.twimg.com/ext_tw_video_thumb/1692856976856764416/pu/img/zSYrx8LwrsXi728n.jpg</v>
      </c>
      <c r="AW2262" s="93" t="s">
        <v>20479</v>
      </c>
      <c r="AX2262" s="93" t="s">
        <v>20479</v>
      </c>
      <c r="AY2262" s="87"/>
      <c r="AZ2262" s="93" t="s">
        <v>22668</v>
      </c>
      <c r="BA2262" s="93" t="s">
        <v>22668</v>
      </c>
      <c r="BB2262" s="93" t="s">
        <v>22668</v>
      </c>
      <c r="BC2262" s="93" t="s">
        <v>20479</v>
      </c>
      <c r="BD2262" s="93" t="s">
        <v>23239</v>
      </c>
      <c r="BE2262" s="87"/>
      <c r="BF2262" s="87"/>
      <c r="BG2262" s="87"/>
      <c r="BH2262" s="87"/>
      <c r="BI2262" s="87"/>
    </row>
    <row r="2263" spans="1:61" x14ac:dyDescent="0.25">
      <c r="A2263" s="63" t="s">
        <v>1008</v>
      </c>
      <c r="B2263" s="63" t="s">
        <v>1624</v>
      </c>
      <c r="C2263" s="64"/>
      <c r="D2263" s="65"/>
      <c r="E2263" s="66"/>
      <c r="F2263" s="67"/>
      <c r="G2263" s="64"/>
      <c r="H2263" s="68"/>
      <c r="I2263" s="69"/>
      <c r="J2263" s="69"/>
      <c r="K2263" s="32"/>
      <c r="L2263" s="76">
        <v>2263</v>
      </c>
      <c r="M2263" s="76"/>
      <c r="N2263" s="71"/>
      <c r="O2263" s="87" t="s">
        <v>1839</v>
      </c>
      <c r="P2263" s="90">
        <v>45156.882650462961</v>
      </c>
      <c r="Q2263" s="87" t="s">
        <v>4036</v>
      </c>
      <c r="R2263" s="87">
        <v>0</v>
      </c>
      <c r="S2263" s="87">
        <v>0</v>
      </c>
      <c r="T2263" s="87">
        <v>0</v>
      </c>
      <c r="U2263" s="87">
        <v>0</v>
      </c>
      <c r="V2263" s="87">
        <v>5</v>
      </c>
      <c r="W2263" s="93" t="s">
        <v>7326</v>
      </c>
      <c r="X2263" s="92" t="str">
        <f>HYPERLINK("https://youtube.com/shorts/a4JA1sx6vK4?feature=share")</f>
        <v>https://youtube.com/shorts/a4JA1sx6vK4?feature=share</v>
      </c>
      <c r="Y2263" s="87" t="s">
        <v>8380</v>
      </c>
      <c r="Z2263" s="87" t="s">
        <v>1624</v>
      </c>
      <c r="AA2263" s="87"/>
      <c r="AB2263" s="87"/>
      <c r="AC2263" s="93" t="s">
        <v>11457</v>
      </c>
      <c r="AD2263" s="87" t="s">
        <v>11519</v>
      </c>
      <c r="AE2263" s="92" t="str">
        <f>HYPERLINK("https://twitter.com/paulinhothor/status/1692645297963315317")</f>
        <v>https://twitter.com/paulinhothor/status/1692645297963315317</v>
      </c>
      <c r="AF2263" s="90">
        <v>45156.882650462961</v>
      </c>
      <c r="AG2263" s="99">
        <v>45156</v>
      </c>
      <c r="AH2263" s="93" t="s">
        <v>13585</v>
      </c>
      <c r="AI2263" s="87" t="b">
        <v>1</v>
      </c>
      <c r="AJ2263" s="87"/>
      <c r="AK2263" s="87"/>
      <c r="AL2263" s="87"/>
      <c r="AM2263" s="87"/>
      <c r="AN2263" s="87"/>
      <c r="AO2263" s="87"/>
      <c r="AP2263" s="87"/>
      <c r="AQ2263" s="87"/>
      <c r="AR2263" s="87"/>
      <c r="AS2263" s="87"/>
      <c r="AT2263" s="87"/>
      <c r="AU2263" s="87"/>
      <c r="AV2263" s="92" t="str">
        <f>HYPERLINK("https://pbs.twimg.com/profile_images/1628548152432156674/XRNBRpaz_normal.jpg")</f>
        <v>https://pbs.twimg.com/profile_images/1628548152432156674/XRNBRpaz_normal.jpg</v>
      </c>
      <c r="AW2263" s="93" t="s">
        <v>20480</v>
      </c>
      <c r="AX2263" s="93" t="s">
        <v>20480</v>
      </c>
      <c r="AY2263" s="87"/>
      <c r="AZ2263" s="93" t="s">
        <v>22668</v>
      </c>
      <c r="BA2263" s="93" t="s">
        <v>22668</v>
      </c>
      <c r="BB2263" s="93" t="s">
        <v>22668</v>
      </c>
      <c r="BC2263" s="93" t="s">
        <v>20480</v>
      </c>
      <c r="BD2263" s="87">
        <v>4921210803</v>
      </c>
      <c r="BE2263" s="87"/>
      <c r="BF2263" s="87"/>
      <c r="BG2263" s="87"/>
      <c r="BH2263" s="87"/>
      <c r="BI2263" s="87"/>
    </row>
    <row r="2264" spans="1:61" x14ac:dyDescent="0.25">
      <c r="A2264" s="63" t="s">
        <v>1009</v>
      </c>
      <c r="B2264" s="63" t="s">
        <v>1009</v>
      </c>
      <c r="C2264" s="64"/>
      <c r="D2264" s="65"/>
      <c r="E2264" s="66"/>
      <c r="F2264" s="67"/>
      <c r="G2264" s="64"/>
      <c r="H2264" s="68"/>
      <c r="I2264" s="69"/>
      <c r="J2264" s="69"/>
      <c r="K2264" s="32"/>
      <c r="L2264" s="76">
        <v>2264</v>
      </c>
      <c r="M2264" s="76"/>
      <c r="N2264" s="71"/>
      <c r="O2264" s="87" t="s">
        <v>179</v>
      </c>
      <c r="P2264" s="90">
        <v>45162.701423611114</v>
      </c>
      <c r="Q2264" s="87" t="s">
        <v>4037</v>
      </c>
      <c r="R2264" s="87">
        <v>0</v>
      </c>
      <c r="S2264" s="87">
        <v>0</v>
      </c>
      <c r="T2264" s="87">
        <v>0</v>
      </c>
      <c r="U2264" s="87">
        <v>0</v>
      </c>
      <c r="V2264" s="87">
        <v>14</v>
      </c>
      <c r="W2264" s="93" t="s">
        <v>7327</v>
      </c>
      <c r="X2264" s="92" t="str">
        <f>HYPERLINK("https://www.valuehost.com.br/criador-de-sites-gratis")</f>
        <v>https://www.valuehost.com.br/criador-de-sites-gratis</v>
      </c>
      <c r="Y2264" s="87" t="s">
        <v>8373</v>
      </c>
      <c r="Z2264" s="87"/>
      <c r="AA2264" s="87" t="s">
        <v>10077</v>
      </c>
      <c r="AB2264" s="87" t="s">
        <v>11448</v>
      </c>
      <c r="AC2264" s="93" t="s">
        <v>11457</v>
      </c>
      <c r="AD2264" s="87" t="s">
        <v>11519</v>
      </c>
      <c r="AE2264" s="92" t="str">
        <f>HYPERLINK("https://twitter.com/valuehostbrasil/status/1694753952309395592")</f>
        <v>https://twitter.com/valuehostbrasil/status/1694753952309395592</v>
      </c>
      <c r="AF2264" s="90">
        <v>45162.701423611114</v>
      </c>
      <c r="AG2264" s="99">
        <v>45162</v>
      </c>
      <c r="AH2264" s="93" t="s">
        <v>13586</v>
      </c>
      <c r="AI2264" s="87" t="b">
        <v>0</v>
      </c>
      <c r="AJ2264" s="87"/>
      <c r="AK2264" s="87"/>
      <c r="AL2264" s="87"/>
      <c r="AM2264" s="87"/>
      <c r="AN2264" s="87"/>
      <c r="AO2264" s="87"/>
      <c r="AP2264" s="87"/>
      <c r="AQ2264" s="87" t="s">
        <v>16890</v>
      </c>
      <c r="AR2264" s="87"/>
      <c r="AS2264" s="87"/>
      <c r="AT2264" s="87"/>
      <c r="AU2264" s="87"/>
      <c r="AV2264" s="92" t="str">
        <f>HYPERLINK("https://pbs.twimg.com/media/F4T4c2QWcAYsRXU.jpg")</f>
        <v>https://pbs.twimg.com/media/F4T4c2QWcAYsRXU.jpg</v>
      </c>
      <c r="AW2264" s="93" t="s">
        <v>20481</v>
      </c>
      <c r="AX2264" s="93" t="s">
        <v>20481</v>
      </c>
      <c r="AY2264" s="87"/>
      <c r="AZ2264" s="93" t="s">
        <v>22668</v>
      </c>
      <c r="BA2264" s="93" t="s">
        <v>22668</v>
      </c>
      <c r="BB2264" s="93" t="s">
        <v>22668</v>
      </c>
      <c r="BC2264" s="93" t="s">
        <v>20481</v>
      </c>
      <c r="BD2264" s="87">
        <v>633350186</v>
      </c>
      <c r="BE2264" s="87"/>
      <c r="BF2264" s="87"/>
      <c r="BG2264" s="87"/>
      <c r="BH2264" s="87"/>
      <c r="BI2264" s="87"/>
    </row>
    <row r="2265" spans="1:61" x14ac:dyDescent="0.25">
      <c r="A2265" s="63" t="s">
        <v>1009</v>
      </c>
      <c r="B2265" s="63" t="s">
        <v>1009</v>
      </c>
      <c r="C2265" s="64"/>
      <c r="D2265" s="65"/>
      <c r="E2265" s="66"/>
      <c r="F2265" s="67"/>
      <c r="G2265" s="64"/>
      <c r="H2265" s="68"/>
      <c r="I2265" s="69"/>
      <c r="J2265" s="69"/>
      <c r="K2265" s="32"/>
      <c r="L2265" s="76">
        <v>2265</v>
      </c>
      <c r="M2265" s="76"/>
      <c r="N2265" s="71"/>
      <c r="O2265" s="87" t="s">
        <v>179</v>
      </c>
      <c r="P2265" s="90">
        <v>45121.708194444444</v>
      </c>
      <c r="Q2265" s="87" t="s">
        <v>4038</v>
      </c>
      <c r="R2265" s="87">
        <v>0</v>
      </c>
      <c r="S2265" s="87">
        <v>0</v>
      </c>
      <c r="T2265" s="87">
        <v>0</v>
      </c>
      <c r="U2265" s="87">
        <v>0</v>
      </c>
      <c r="V2265" s="87">
        <v>14</v>
      </c>
      <c r="W2265" s="93" t="s">
        <v>7328</v>
      </c>
      <c r="X2265" s="92" t="str">
        <f>HYPERLINK("https://www.valuehost.com.br/criador-de-sites-gratis")</f>
        <v>https://www.valuehost.com.br/criador-de-sites-gratis</v>
      </c>
      <c r="Y2265" s="87" t="s">
        <v>8373</v>
      </c>
      <c r="Z2265" s="87"/>
      <c r="AA2265" s="87" t="s">
        <v>10078</v>
      </c>
      <c r="AB2265" s="87" t="s">
        <v>11448</v>
      </c>
      <c r="AC2265" s="93" t="s">
        <v>11457</v>
      </c>
      <c r="AD2265" s="87" t="s">
        <v>11519</v>
      </c>
      <c r="AE2265" s="92" t="str">
        <f>HYPERLINK("https://twitter.com/valuehostbrasil/status/1679898503655436302")</f>
        <v>https://twitter.com/valuehostbrasil/status/1679898503655436302</v>
      </c>
      <c r="AF2265" s="90">
        <v>45121.708194444444</v>
      </c>
      <c r="AG2265" s="99">
        <v>45121</v>
      </c>
      <c r="AH2265" s="93" t="s">
        <v>13587</v>
      </c>
      <c r="AI2265" s="87" t="b">
        <v>0</v>
      </c>
      <c r="AJ2265" s="87"/>
      <c r="AK2265" s="87"/>
      <c r="AL2265" s="87"/>
      <c r="AM2265" s="87"/>
      <c r="AN2265" s="87"/>
      <c r="AO2265" s="87"/>
      <c r="AP2265" s="87"/>
      <c r="AQ2265" s="87" t="s">
        <v>16891</v>
      </c>
      <c r="AR2265" s="87"/>
      <c r="AS2265" s="87"/>
      <c r="AT2265" s="87"/>
      <c r="AU2265" s="87"/>
      <c r="AV2265" s="92" t="str">
        <f>HYPERLINK("https://pbs.twimg.com/media/F1Ayu7wXsAkC9Wj.jpg")</f>
        <v>https://pbs.twimg.com/media/F1Ayu7wXsAkC9Wj.jpg</v>
      </c>
      <c r="AW2265" s="93" t="s">
        <v>20482</v>
      </c>
      <c r="AX2265" s="93" t="s">
        <v>20482</v>
      </c>
      <c r="AY2265" s="87"/>
      <c r="AZ2265" s="93" t="s">
        <v>22668</v>
      </c>
      <c r="BA2265" s="93" t="s">
        <v>22668</v>
      </c>
      <c r="BB2265" s="93" t="s">
        <v>22668</v>
      </c>
      <c r="BC2265" s="93" t="s">
        <v>20482</v>
      </c>
      <c r="BD2265" s="87">
        <v>633350186</v>
      </c>
      <c r="BE2265" s="87"/>
      <c r="BF2265" s="87"/>
      <c r="BG2265" s="87"/>
      <c r="BH2265" s="87"/>
      <c r="BI2265" s="87"/>
    </row>
    <row r="2266" spans="1:61" x14ac:dyDescent="0.25">
      <c r="A2266" s="63" t="s">
        <v>1010</v>
      </c>
      <c r="B2266" s="63" t="s">
        <v>1010</v>
      </c>
      <c r="C2266" s="64"/>
      <c r="D2266" s="65"/>
      <c r="E2266" s="66"/>
      <c r="F2266" s="67"/>
      <c r="G2266" s="64"/>
      <c r="H2266" s="68"/>
      <c r="I2266" s="69"/>
      <c r="J2266" s="69"/>
      <c r="K2266" s="32"/>
      <c r="L2266" s="76">
        <v>2266</v>
      </c>
      <c r="M2266" s="76"/>
      <c r="N2266" s="71"/>
      <c r="O2266" s="87" t="s">
        <v>179</v>
      </c>
      <c r="P2266" s="90">
        <v>45162.666689814818</v>
      </c>
      <c r="Q2266" s="87" t="s">
        <v>4039</v>
      </c>
      <c r="R2266" s="87">
        <v>0</v>
      </c>
      <c r="S2266" s="87">
        <v>1</v>
      </c>
      <c r="T2266" s="87">
        <v>2</v>
      </c>
      <c r="U2266" s="87">
        <v>0</v>
      </c>
      <c r="V2266" s="87">
        <v>398</v>
      </c>
      <c r="W2266" s="93" t="s">
        <v>7329</v>
      </c>
      <c r="X2266" s="92" t="str">
        <f>HYPERLINK("https://bit.ly/47JL7c2")</f>
        <v>https://bit.ly/47JL7c2</v>
      </c>
      <c r="Y2266" s="87" t="s">
        <v>8374</v>
      </c>
      <c r="Z2266" s="87"/>
      <c r="AA2266" s="87" t="s">
        <v>10079</v>
      </c>
      <c r="AB2266" s="87" t="s">
        <v>11448</v>
      </c>
      <c r="AC2266" s="93" t="s">
        <v>11457</v>
      </c>
      <c r="AD2266" s="87" t="s">
        <v>11519</v>
      </c>
      <c r="AE2266" s="92" t="str">
        <f>HYPERLINK("https://twitter.com/unifesp/status/1694741362485465108")</f>
        <v>https://twitter.com/unifesp/status/1694741362485465108</v>
      </c>
      <c r="AF2266" s="90">
        <v>45162.666689814818</v>
      </c>
      <c r="AG2266" s="99">
        <v>45162</v>
      </c>
      <c r="AH2266" s="93" t="s">
        <v>11678</v>
      </c>
      <c r="AI2266" s="87" t="b">
        <v>0</v>
      </c>
      <c r="AJ2266" s="87"/>
      <c r="AK2266" s="87"/>
      <c r="AL2266" s="87"/>
      <c r="AM2266" s="87"/>
      <c r="AN2266" s="87"/>
      <c r="AO2266" s="87"/>
      <c r="AP2266" s="87"/>
      <c r="AQ2266" s="87" t="s">
        <v>16892</v>
      </c>
      <c r="AR2266" s="87"/>
      <c r="AS2266" s="87"/>
      <c r="AT2266" s="87"/>
      <c r="AU2266" s="87"/>
      <c r="AV2266" s="92" t="str">
        <f>HYPERLINK("https://pbs.twimg.com/media/F4IyeMYWsAAtdmT.jpg")</f>
        <v>https://pbs.twimg.com/media/F4IyeMYWsAAtdmT.jpg</v>
      </c>
      <c r="AW2266" s="93" t="s">
        <v>20483</v>
      </c>
      <c r="AX2266" s="93" t="s">
        <v>20483</v>
      </c>
      <c r="AY2266" s="87"/>
      <c r="AZ2266" s="93" t="s">
        <v>22668</v>
      </c>
      <c r="BA2266" s="93" t="s">
        <v>22668</v>
      </c>
      <c r="BB2266" s="93" t="s">
        <v>22668</v>
      </c>
      <c r="BC2266" s="93" t="s">
        <v>20483</v>
      </c>
      <c r="BD2266" s="93" t="s">
        <v>23240</v>
      </c>
      <c r="BE2266" s="87"/>
      <c r="BF2266" s="87"/>
      <c r="BG2266" s="87"/>
      <c r="BH2266" s="87"/>
      <c r="BI2266" s="87"/>
    </row>
    <row r="2267" spans="1:61" x14ac:dyDescent="0.25">
      <c r="A2267" s="63" t="s">
        <v>1010</v>
      </c>
      <c r="B2267" s="63" t="s">
        <v>1010</v>
      </c>
      <c r="C2267" s="64"/>
      <c r="D2267" s="65"/>
      <c r="E2267" s="66"/>
      <c r="F2267" s="67"/>
      <c r="G2267" s="64"/>
      <c r="H2267" s="68"/>
      <c r="I2267" s="69"/>
      <c r="J2267" s="69"/>
      <c r="K2267" s="32"/>
      <c r="L2267" s="76">
        <v>2267</v>
      </c>
      <c r="M2267" s="76"/>
      <c r="N2267" s="71"/>
      <c r="O2267" s="87" t="s">
        <v>179</v>
      </c>
      <c r="P2267" s="90">
        <v>45189.666678240741</v>
      </c>
      <c r="Q2267" s="87" t="s">
        <v>4040</v>
      </c>
      <c r="R2267" s="87">
        <v>0</v>
      </c>
      <c r="S2267" s="87">
        <v>0</v>
      </c>
      <c r="T2267" s="87">
        <v>0</v>
      </c>
      <c r="U2267" s="87">
        <v>0</v>
      </c>
      <c r="V2267" s="87">
        <v>201</v>
      </c>
      <c r="W2267" s="93" t="s">
        <v>7330</v>
      </c>
      <c r="X2267" s="92" t="str">
        <f>HYPERLINK("https://bit.ly/3ELejCi")</f>
        <v>https://bit.ly/3ELejCi</v>
      </c>
      <c r="Y2267" s="87" t="s">
        <v>8374</v>
      </c>
      <c r="Z2267" s="87"/>
      <c r="AA2267" s="87" t="s">
        <v>10080</v>
      </c>
      <c r="AB2267" s="87" t="s">
        <v>11448</v>
      </c>
      <c r="AC2267" s="93" t="s">
        <v>11457</v>
      </c>
      <c r="AD2267" s="87" t="s">
        <v>11519</v>
      </c>
      <c r="AE2267" s="92" t="str">
        <f>HYPERLINK("https://twitter.com/unifesp/status/1704525829726675055")</f>
        <v>https://twitter.com/unifesp/status/1704525829726675055</v>
      </c>
      <c r="AF2267" s="90">
        <v>45189.666678240741</v>
      </c>
      <c r="AG2267" s="99">
        <v>45189</v>
      </c>
      <c r="AH2267" s="93" t="s">
        <v>13588</v>
      </c>
      <c r="AI2267" s="87" t="b">
        <v>0</v>
      </c>
      <c r="AJ2267" s="87"/>
      <c r="AK2267" s="87"/>
      <c r="AL2267" s="87"/>
      <c r="AM2267" s="87"/>
      <c r="AN2267" s="87"/>
      <c r="AO2267" s="87"/>
      <c r="AP2267" s="87"/>
      <c r="AQ2267" s="87" t="s">
        <v>16893</v>
      </c>
      <c r="AR2267" s="87"/>
      <c r="AS2267" s="87"/>
      <c r="AT2267" s="87"/>
      <c r="AU2267" s="87"/>
      <c r="AV2267" s="92" t="str">
        <f>HYPERLINK("https://pbs.twimg.com/media/F6aHI2pWEAAJByZ.jpg")</f>
        <v>https://pbs.twimg.com/media/F6aHI2pWEAAJByZ.jpg</v>
      </c>
      <c r="AW2267" s="93" t="s">
        <v>20484</v>
      </c>
      <c r="AX2267" s="93" t="s">
        <v>20484</v>
      </c>
      <c r="AY2267" s="87"/>
      <c r="AZ2267" s="93" t="s">
        <v>22668</v>
      </c>
      <c r="BA2267" s="93" t="s">
        <v>22668</v>
      </c>
      <c r="BB2267" s="93" t="s">
        <v>22668</v>
      </c>
      <c r="BC2267" s="93" t="s">
        <v>20484</v>
      </c>
      <c r="BD2267" s="93" t="s">
        <v>23240</v>
      </c>
      <c r="BE2267" s="87"/>
      <c r="BF2267" s="87"/>
      <c r="BG2267" s="87"/>
      <c r="BH2267" s="87"/>
      <c r="BI2267" s="87"/>
    </row>
    <row r="2268" spans="1:61" x14ac:dyDescent="0.25">
      <c r="A2268" s="63" t="s">
        <v>1011</v>
      </c>
      <c r="B2268" s="63" t="s">
        <v>1011</v>
      </c>
      <c r="C2268" s="64"/>
      <c r="D2268" s="65"/>
      <c r="E2268" s="66"/>
      <c r="F2268" s="67"/>
      <c r="G2268" s="64"/>
      <c r="H2268" s="68"/>
      <c r="I2268" s="69"/>
      <c r="J2268" s="69"/>
      <c r="K2268" s="32"/>
      <c r="L2268" s="76">
        <v>2268</v>
      </c>
      <c r="M2268" s="76"/>
      <c r="N2268" s="71"/>
      <c r="O2268" s="87" t="s">
        <v>179</v>
      </c>
      <c r="P2268" s="90">
        <v>45170.791331018518</v>
      </c>
      <c r="Q2268" s="87" t="s">
        <v>4041</v>
      </c>
      <c r="R2268" s="87">
        <v>0</v>
      </c>
      <c r="S2268" s="87">
        <v>2</v>
      </c>
      <c r="T2268" s="87">
        <v>1</v>
      </c>
      <c r="U2268" s="87">
        <v>0</v>
      </c>
      <c r="V2268" s="87">
        <v>79</v>
      </c>
      <c r="W2268" s="93" t="s">
        <v>7331</v>
      </c>
      <c r="X2268" s="87"/>
      <c r="Y2268" s="87"/>
      <c r="Z2268" s="87"/>
      <c r="AA2268" s="87"/>
      <c r="AB2268" s="87"/>
      <c r="AC2268" s="93" t="s">
        <v>11459</v>
      </c>
      <c r="AD2268" s="87" t="s">
        <v>11519</v>
      </c>
      <c r="AE2268" s="92" t="str">
        <f>HYPERLINK("https://twitter.com/marcoantoniorfs/status/1697685635211857984")</f>
        <v>https://twitter.com/marcoantoniorfs/status/1697685635211857984</v>
      </c>
      <c r="AF2268" s="90">
        <v>45170.791331018518</v>
      </c>
      <c r="AG2268" s="99">
        <v>45170</v>
      </c>
      <c r="AH2268" s="93" t="s">
        <v>13589</v>
      </c>
      <c r="AI2268" s="87"/>
      <c r="AJ2268" s="87" t="s">
        <v>15177</v>
      </c>
      <c r="AK2268" s="87" t="s">
        <v>15234</v>
      </c>
      <c r="AL2268" s="87" t="s">
        <v>15237</v>
      </c>
      <c r="AM2268" s="87" t="s">
        <v>15249</v>
      </c>
      <c r="AN2268" s="87" t="s">
        <v>15314</v>
      </c>
      <c r="AO2268" s="87" t="s">
        <v>15381</v>
      </c>
      <c r="AP2268" s="87" t="s">
        <v>15438</v>
      </c>
      <c r="AQ2268" s="87"/>
      <c r="AR2268" s="87"/>
      <c r="AS2268" s="87"/>
      <c r="AT2268" s="87"/>
      <c r="AU2268" s="87"/>
      <c r="AV2268" s="92" t="str">
        <f>HYPERLINK("https://pbs.twimg.com/profile_images/1633911474652422144/QkwI7ehK_normal.jpg")</f>
        <v>https://pbs.twimg.com/profile_images/1633911474652422144/QkwI7ehK_normal.jpg</v>
      </c>
      <c r="AW2268" s="93" t="s">
        <v>20485</v>
      </c>
      <c r="AX2268" s="93" t="s">
        <v>20485</v>
      </c>
      <c r="AY2268" s="87"/>
      <c r="AZ2268" s="93" t="s">
        <v>22668</v>
      </c>
      <c r="BA2268" s="93" t="s">
        <v>22668</v>
      </c>
      <c r="BB2268" s="93" t="s">
        <v>22668</v>
      </c>
      <c r="BC2268" s="93" t="s">
        <v>20485</v>
      </c>
      <c r="BD2268" s="93" t="s">
        <v>23241</v>
      </c>
      <c r="BE2268" s="87"/>
      <c r="BF2268" s="87"/>
      <c r="BG2268" s="87"/>
      <c r="BH2268" s="87"/>
      <c r="BI2268" s="87"/>
    </row>
    <row r="2269" spans="1:61" x14ac:dyDescent="0.25">
      <c r="A2269" s="63" t="s">
        <v>1012</v>
      </c>
      <c r="B2269" s="63" t="s">
        <v>1012</v>
      </c>
      <c r="C2269" s="64"/>
      <c r="D2269" s="65"/>
      <c r="E2269" s="66"/>
      <c r="F2269" s="67"/>
      <c r="G2269" s="64"/>
      <c r="H2269" s="68"/>
      <c r="I2269" s="69"/>
      <c r="J2269" s="69"/>
      <c r="K2269" s="32"/>
      <c r="L2269" s="76">
        <v>2269</v>
      </c>
      <c r="M2269" s="76"/>
      <c r="N2269" s="71"/>
      <c r="O2269" s="87" t="s">
        <v>179</v>
      </c>
      <c r="P2269" s="90">
        <v>45112.518067129633</v>
      </c>
      <c r="Q2269" s="87" t="s">
        <v>4042</v>
      </c>
      <c r="R2269" s="87">
        <v>0</v>
      </c>
      <c r="S2269" s="87">
        <v>0</v>
      </c>
      <c r="T2269" s="87">
        <v>0</v>
      </c>
      <c r="U2269" s="87">
        <v>0</v>
      </c>
      <c r="V2269" s="87">
        <v>38</v>
      </c>
      <c r="W2269" s="93" t="s">
        <v>7332</v>
      </c>
      <c r="X2269" s="87"/>
      <c r="Y2269" s="87"/>
      <c r="Z2269" s="87"/>
      <c r="AA2269" s="87" t="s">
        <v>10081</v>
      </c>
      <c r="AB2269" s="87" t="s">
        <v>11448</v>
      </c>
      <c r="AC2269" s="93" t="s">
        <v>11458</v>
      </c>
      <c r="AD2269" s="87" t="s">
        <v>11519</v>
      </c>
      <c r="AE2269" s="92" t="str">
        <f>HYPERLINK("https://twitter.com/pwnluanda/status/1676568112806653953")</f>
        <v>https://twitter.com/pwnluanda/status/1676568112806653953</v>
      </c>
      <c r="AF2269" s="90">
        <v>45112.518067129633</v>
      </c>
      <c r="AG2269" s="99">
        <v>45112</v>
      </c>
      <c r="AH2269" s="93" t="s">
        <v>13590</v>
      </c>
      <c r="AI2269" s="87" t="b">
        <v>0</v>
      </c>
      <c r="AJ2269" s="87"/>
      <c r="AK2269" s="87"/>
      <c r="AL2269" s="87"/>
      <c r="AM2269" s="87"/>
      <c r="AN2269" s="87"/>
      <c r="AO2269" s="87"/>
      <c r="AP2269" s="87"/>
      <c r="AQ2269" s="87" t="s">
        <v>16894</v>
      </c>
      <c r="AR2269" s="87"/>
      <c r="AS2269" s="87"/>
      <c r="AT2269" s="87"/>
      <c r="AU2269" s="87"/>
      <c r="AV2269" s="92" t="str">
        <f>HYPERLINK("https://pbs.twimg.com/media/F0Rdz_kWwAAIKCR.jpg")</f>
        <v>https://pbs.twimg.com/media/F0Rdz_kWwAAIKCR.jpg</v>
      </c>
      <c r="AW2269" s="93" t="s">
        <v>20486</v>
      </c>
      <c r="AX2269" s="93" t="s">
        <v>20486</v>
      </c>
      <c r="AY2269" s="87"/>
      <c r="AZ2269" s="93" t="s">
        <v>22668</v>
      </c>
      <c r="BA2269" s="93" t="s">
        <v>22668</v>
      </c>
      <c r="BB2269" s="93" t="s">
        <v>22668</v>
      </c>
      <c r="BC2269" s="93" t="s">
        <v>20486</v>
      </c>
      <c r="BD2269" s="93" t="s">
        <v>23242</v>
      </c>
      <c r="BE2269" s="87"/>
      <c r="BF2269" s="87"/>
      <c r="BG2269" s="87"/>
      <c r="BH2269" s="87"/>
      <c r="BI2269" s="87"/>
    </row>
    <row r="2270" spans="1:61" x14ac:dyDescent="0.25">
      <c r="A2270" s="63" t="s">
        <v>1012</v>
      </c>
      <c r="B2270" s="63" t="s">
        <v>1012</v>
      </c>
      <c r="C2270" s="64"/>
      <c r="D2270" s="65"/>
      <c r="E2270" s="66"/>
      <c r="F2270" s="67"/>
      <c r="G2270" s="64"/>
      <c r="H2270" s="68"/>
      <c r="I2270" s="69"/>
      <c r="J2270" s="69"/>
      <c r="K2270" s="32"/>
      <c r="L2270" s="76">
        <v>2270</v>
      </c>
      <c r="M2270" s="76"/>
      <c r="N2270" s="71"/>
      <c r="O2270" s="87" t="s">
        <v>179</v>
      </c>
      <c r="P2270" s="90">
        <v>45159.75240740741</v>
      </c>
      <c r="Q2270" s="87" t="s">
        <v>4043</v>
      </c>
      <c r="R2270" s="87">
        <v>0</v>
      </c>
      <c r="S2270" s="87">
        <v>0</v>
      </c>
      <c r="T2270" s="87">
        <v>0</v>
      </c>
      <c r="U2270" s="87">
        <v>0</v>
      </c>
      <c r="V2270" s="87">
        <v>19</v>
      </c>
      <c r="W2270" s="93" t="s">
        <v>7333</v>
      </c>
      <c r="X2270" s="92" t="str">
        <f>HYPERLINK("https://api.whatsapp.com/send?phone=244930823944&amp;text=")</f>
        <v>https://api.whatsapp.com/send?phone=244930823944&amp;text=</v>
      </c>
      <c r="Y2270" s="87" t="s">
        <v>8466</v>
      </c>
      <c r="Z2270" s="87"/>
      <c r="AA2270" s="87" t="s">
        <v>10082</v>
      </c>
      <c r="AB2270" s="87" t="s">
        <v>11448</v>
      </c>
      <c r="AC2270" s="93" t="s">
        <v>11458</v>
      </c>
      <c r="AD2270" s="87" t="s">
        <v>11519</v>
      </c>
      <c r="AE2270" s="92" t="str">
        <f>HYPERLINK("https://twitter.com/pwnluanda/status/1693685264395210948")</f>
        <v>https://twitter.com/pwnluanda/status/1693685264395210948</v>
      </c>
      <c r="AF2270" s="90">
        <v>45159.75240740741</v>
      </c>
      <c r="AG2270" s="99">
        <v>45159</v>
      </c>
      <c r="AH2270" s="93" t="s">
        <v>13591</v>
      </c>
      <c r="AI2270" s="87" t="b">
        <v>0</v>
      </c>
      <c r="AJ2270" s="87"/>
      <c r="AK2270" s="87"/>
      <c r="AL2270" s="87"/>
      <c r="AM2270" s="87"/>
      <c r="AN2270" s="87"/>
      <c r="AO2270" s="87"/>
      <c r="AP2270" s="87"/>
      <c r="AQ2270" s="87" t="s">
        <v>16895</v>
      </c>
      <c r="AR2270" s="87"/>
      <c r="AS2270" s="87"/>
      <c r="AT2270" s="87"/>
      <c r="AU2270" s="87"/>
      <c r="AV2270" s="92" t="str">
        <f>HYPERLINK("https://pbs.twimg.com/media/F4EtxQQWYAAcrci.jpg")</f>
        <v>https://pbs.twimg.com/media/F4EtxQQWYAAcrci.jpg</v>
      </c>
      <c r="AW2270" s="93" t="s">
        <v>20487</v>
      </c>
      <c r="AX2270" s="93" t="s">
        <v>20487</v>
      </c>
      <c r="AY2270" s="87"/>
      <c r="AZ2270" s="93" t="s">
        <v>22668</v>
      </c>
      <c r="BA2270" s="93" t="s">
        <v>22668</v>
      </c>
      <c r="BB2270" s="93" t="s">
        <v>22668</v>
      </c>
      <c r="BC2270" s="93" t="s">
        <v>20487</v>
      </c>
      <c r="BD2270" s="93" t="s">
        <v>23242</v>
      </c>
      <c r="BE2270" s="87"/>
      <c r="BF2270" s="87"/>
      <c r="BG2270" s="87"/>
      <c r="BH2270" s="87"/>
      <c r="BI2270" s="87"/>
    </row>
    <row r="2271" spans="1:61" x14ac:dyDescent="0.25">
      <c r="A2271" s="63" t="s">
        <v>1012</v>
      </c>
      <c r="B2271" s="63" t="s">
        <v>1012</v>
      </c>
      <c r="C2271" s="64"/>
      <c r="D2271" s="65"/>
      <c r="E2271" s="66"/>
      <c r="F2271" s="67"/>
      <c r="G2271" s="64"/>
      <c r="H2271" s="68"/>
      <c r="I2271" s="69"/>
      <c r="J2271" s="69"/>
      <c r="K2271" s="32"/>
      <c r="L2271" s="76">
        <v>2271</v>
      </c>
      <c r="M2271" s="76"/>
      <c r="N2271" s="71"/>
      <c r="O2271" s="87" t="s">
        <v>179</v>
      </c>
      <c r="P2271" s="90">
        <v>45148.352905092594</v>
      </c>
      <c r="Q2271" s="87" t="s">
        <v>4044</v>
      </c>
      <c r="R2271" s="87">
        <v>0</v>
      </c>
      <c r="S2271" s="87">
        <v>0</v>
      </c>
      <c r="T2271" s="87">
        <v>0</v>
      </c>
      <c r="U2271" s="87">
        <v>0</v>
      </c>
      <c r="V2271" s="87">
        <v>20</v>
      </c>
      <c r="W2271" s="93" t="s">
        <v>7334</v>
      </c>
      <c r="X2271" s="92" t="str">
        <f>HYPERLINK("https://api.whatsapp.com/send?phone=244930823944&amp;text=")</f>
        <v>https://api.whatsapp.com/send?phone=244930823944&amp;text=</v>
      </c>
      <c r="Y2271" s="87" t="s">
        <v>8466</v>
      </c>
      <c r="Z2271" s="87"/>
      <c r="AA2271" s="87" t="s">
        <v>10083</v>
      </c>
      <c r="AB2271" s="87" t="s">
        <v>11447</v>
      </c>
      <c r="AC2271" s="93" t="s">
        <v>11458</v>
      </c>
      <c r="AD2271" s="87" t="s">
        <v>11519</v>
      </c>
      <c r="AE2271" s="92" t="str">
        <f>HYPERLINK("https://twitter.com/pwnluanda/status/1689554220465156096")</f>
        <v>https://twitter.com/pwnluanda/status/1689554220465156096</v>
      </c>
      <c r="AF2271" s="90">
        <v>45148.352905092594</v>
      </c>
      <c r="AG2271" s="99">
        <v>45148</v>
      </c>
      <c r="AH2271" s="93" t="s">
        <v>13592</v>
      </c>
      <c r="AI2271" s="87" t="b">
        <v>0</v>
      </c>
      <c r="AJ2271" s="87"/>
      <c r="AK2271" s="87"/>
      <c r="AL2271" s="87"/>
      <c r="AM2271" s="87"/>
      <c r="AN2271" s="87"/>
      <c r="AO2271" s="87"/>
      <c r="AP2271" s="87"/>
      <c r="AQ2271" s="87" t="s">
        <v>16896</v>
      </c>
      <c r="AR2271" s="87">
        <v>40000</v>
      </c>
      <c r="AS2271" s="87"/>
      <c r="AT2271" s="87"/>
      <c r="AU2271" s="87"/>
      <c r="AV2271" s="92" t="str">
        <f>HYPERLINK("https://pbs.twimg.com/ext_tw_video_thumb/1689554179344265218/pu/img/gBp5NGGPmZvy11Ip.jpg")</f>
        <v>https://pbs.twimg.com/ext_tw_video_thumb/1689554179344265218/pu/img/gBp5NGGPmZvy11Ip.jpg</v>
      </c>
      <c r="AW2271" s="93" t="s">
        <v>20488</v>
      </c>
      <c r="AX2271" s="93" t="s">
        <v>20488</v>
      </c>
      <c r="AY2271" s="87"/>
      <c r="AZ2271" s="93" t="s">
        <v>22668</v>
      </c>
      <c r="BA2271" s="93" t="s">
        <v>22668</v>
      </c>
      <c r="BB2271" s="93" t="s">
        <v>22668</v>
      </c>
      <c r="BC2271" s="93" t="s">
        <v>20488</v>
      </c>
      <c r="BD2271" s="93" t="s">
        <v>23242</v>
      </c>
      <c r="BE2271" s="87"/>
      <c r="BF2271" s="87"/>
      <c r="BG2271" s="87"/>
      <c r="BH2271" s="87"/>
      <c r="BI2271" s="87"/>
    </row>
    <row r="2272" spans="1:61" x14ac:dyDescent="0.25">
      <c r="A2272" s="63" t="s">
        <v>1012</v>
      </c>
      <c r="B2272" s="63" t="s">
        <v>1012</v>
      </c>
      <c r="C2272" s="64"/>
      <c r="D2272" s="65"/>
      <c r="E2272" s="66"/>
      <c r="F2272" s="67"/>
      <c r="G2272" s="64"/>
      <c r="H2272" s="68"/>
      <c r="I2272" s="69"/>
      <c r="J2272" s="69"/>
      <c r="K2272" s="32"/>
      <c r="L2272" s="76">
        <v>2272</v>
      </c>
      <c r="M2272" s="76"/>
      <c r="N2272" s="71"/>
      <c r="O2272" s="87" t="s">
        <v>179</v>
      </c>
      <c r="P2272" s="90">
        <v>45147.383981481478</v>
      </c>
      <c r="Q2272" s="87" t="s">
        <v>4045</v>
      </c>
      <c r="R2272" s="87">
        <v>0</v>
      </c>
      <c r="S2272" s="87">
        <v>0</v>
      </c>
      <c r="T2272" s="87">
        <v>0</v>
      </c>
      <c r="U2272" s="87">
        <v>0</v>
      </c>
      <c r="V2272" s="87">
        <v>12</v>
      </c>
      <c r="W2272" s="93" t="s">
        <v>7335</v>
      </c>
      <c r="X2272" s="92" t="str">
        <f>HYPERLINK("https://api.whatsapp.com/send?phone=244930823944&amp;text=")</f>
        <v>https://api.whatsapp.com/send?phone=244930823944&amp;text=</v>
      </c>
      <c r="Y2272" s="87" t="s">
        <v>8466</v>
      </c>
      <c r="Z2272" s="87"/>
      <c r="AA2272" s="87" t="s">
        <v>10084</v>
      </c>
      <c r="AB2272" s="87" t="s">
        <v>11448</v>
      </c>
      <c r="AC2272" s="93" t="s">
        <v>11458</v>
      </c>
      <c r="AD2272" s="87" t="s">
        <v>11519</v>
      </c>
      <c r="AE2272" s="92" t="str">
        <f>HYPERLINK("https://twitter.com/pwnluanda/status/1689203097543847936")</f>
        <v>https://twitter.com/pwnluanda/status/1689203097543847936</v>
      </c>
      <c r="AF2272" s="90">
        <v>45147.383981481478</v>
      </c>
      <c r="AG2272" s="99">
        <v>45147</v>
      </c>
      <c r="AH2272" s="93" t="s">
        <v>13593</v>
      </c>
      <c r="AI2272" s="87" t="b">
        <v>0</v>
      </c>
      <c r="AJ2272" s="87"/>
      <c r="AK2272" s="87"/>
      <c r="AL2272" s="87"/>
      <c r="AM2272" s="87"/>
      <c r="AN2272" s="87"/>
      <c r="AO2272" s="87"/>
      <c r="AP2272" s="87"/>
      <c r="AQ2272" s="87" t="s">
        <v>16897</v>
      </c>
      <c r="AR2272" s="87"/>
      <c r="AS2272" s="87"/>
      <c r="AT2272" s="87"/>
      <c r="AU2272" s="87"/>
      <c r="AV2272" s="92" t="str">
        <f>HYPERLINK("https://pbs.twimg.com/media/F3FBQ5QXcAEG9Fn.jpg")</f>
        <v>https://pbs.twimg.com/media/F3FBQ5QXcAEG9Fn.jpg</v>
      </c>
      <c r="AW2272" s="93" t="s">
        <v>20489</v>
      </c>
      <c r="AX2272" s="93" t="s">
        <v>20489</v>
      </c>
      <c r="AY2272" s="87"/>
      <c r="AZ2272" s="93" t="s">
        <v>22668</v>
      </c>
      <c r="BA2272" s="93" t="s">
        <v>22668</v>
      </c>
      <c r="BB2272" s="93" t="s">
        <v>22668</v>
      </c>
      <c r="BC2272" s="93" t="s">
        <v>20489</v>
      </c>
      <c r="BD2272" s="93" t="s">
        <v>23242</v>
      </c>
      <c r="BE2272" s="87"/>
      <c r="BF2272" s="87"/>
      <c r="BG2272" s="87"/>
      <c r="BH2272" s="87"/>
      <c r="BI2272" s="87"/>
    </row>
    <row r="2273" spans="1:61" x14ac:dyDescent="0.25">
      <c r="A2273" s="63" t="s">
        <v>1012</v>
      </c>
      <c r="B2273" s="63" t="s">
        <v>1012</v>
      </c>
      <c r="C2273" s="64"/>
      <c r="D2273" s="65"/>
      <c r="E2273" s="66"/>
      <c r="F2273" s="67"/>
      <c r="G2273" s="64"/>
      <c r="H2273" s="68"/>
      <c r="I2273" s="69"/>
      <c r="J2273" s="69"/>
      <c r="K2273" s="32"/>
      <c r="L2273" s="76">
        <v>2273</v>
      </c>
      <c r="M2273" s="76"/>
      <c r="N2273" s="71"/>
      <c r="O2273" s="87" t="s">
        <v>179</v>
      </c>
      <c r="P2273" s="90">
        <v>45134.634386574071</v>
      </c>
      <c r="Q2273" s="87" t="s">
        <v>4046</v>
      </c>
      <c r="R2273" s="87">
        <v>0</v>
      </c>
      <c r="S2273" s="87">
        <v>0</v>
      </c>
      <c r="T2273" s="87">
        <v>0</v>
      </c>
      <c r="U2273" s="87">
        <v>0</v>
      </c>
      <c r="V2273" s="87">
        <v>19</v>
      </c>
      <c r="W2273" s="93" t="s">
        <v>7336</v>
      </c>
      <c r="X2273" s="92" t="str">
        <f>HYPERLINK("https://api.whatsapp.com/send?phone=244930823944&amp;text=")</f>
        <v>https://api.whatsapp.com/send?phone=244930823944&amp;text=</v>
      </c>
      <c r="Y2273" s="87" t="s">
        <v>8466</v>
      </c>
      <c r="Z2273" s="87"/>
      <c r="AA2273" s="87" t="s">
        <v>10085</v>
      </c>
      <c r="AB2273" s="87" t="s">
        <v>11447</v>
      </c>
      <c r="AC2273" s="93" t="s">
        <v>11458</v>
      </c>
      <c r="AD2273" s="87" t="s">
        <v>11519</v>
      </c>
      <c r="AE2273" s="92" t="str">
        <f>HYPERLINK("https://twitter.com/pwnluanda/status/1684582796197793795")</f>
        <v>https://twitter.com/pwnluanda/status/1684582796197793795</v>
      </c>
      <c r="AF2273" s="90">
        <v>45134.634386574071</v>
      </c>
      <c r="AG2273" s="99">
        <v>45134</v>
      </c>
      <c r="AH2273" s="93" t="s">
        <v>13594</v>
      </c>
      <c r="AI2273" s="87" t="b">
        <v>0</v>
      </c>
      <c r="AJ2273" s="87"/>
      <c r="AK2273" s="87"/>
      <c r="AL2273" s="87"/>
      <c r="AM2273" s="87"/>
      <c r="AN2273" s="87"/>
      <c r="AO2273" s="87"/>
      <c r="AP2273" s="87"/>
      <c r="AQ2273" s="87" t="s">
        <v>16898</v>
      </c>
      <c r="AR2273" s="87">
        <v>60000</v>
      </c>
      <c r="AS2273" s="87"/>
      <c r="AT2273" s="87"/>
      <c r="AU2273" s="87"/>
      <c r="AV2273" s="92" t="str">
        <f>HYPERLINK("https://pbs.twimg.com/ext_tw_video_thumb/1684582749666254849/pu/img/cGrPSlAvPwArKlyL.jpg")</f>
        <v>https://pbs.twimg.com/ext_tw_video_thumb/1684582749666254849/pu/img/cGrPSlAvPwArKlyL.jpg</v>
      </c>
      <c r="AW2273" s="93" t="s">
        <v>20490</v>
      </c>
      <c r="AX2273" s="93" t="s">
        <v>20490</v>
      </c>
      <c r="AY2273" s="87"/>
      <c r="AZ2273" s="93" t="s">
        <v>22668</v>
      </c>
      <c r="BA2273" s="93" t="s">
        <v>22668</v>
      </c>
      <c r="BB2273" s="93" t="s">
        <v>22668</v>
      </c>
      <c r="BC2273" s="93" t="s">
        <v>20490</v>
      </c>
      <c r="BD2273" s="93" t="s">
        <v>23242</v>
      </c>
      <c r="BE2273" s="87"/>
      <c r="BF2273" s="87"/>
      <c r="BG2273" s="87"/>
      <c r="BH2273" s="87"/>
      <c r="BI2273" s="87"/>
    </row>
    <row r="2274" spans="1:61" x14ac:dyDescent="0.25">
      <c r="A2274" s="63" t="s">
        <v>1012</v>
      </c>
      <c r="B2274" s="63" t="s">
        <v>1012</v>
      </c>
      <c r="C2274" s="64"/>
      <c r="D2274" s="65"/>
      <c r="E2274" s="66"/>
      <c r="F2274" s="67"/>
      <c r="G2274" s="64"/>
      <c r="H2274" s="68"/>
      <c r="I2274" s="69"/>
      <c r="J2274" s="69"/>
      <c r="K2274" s="32"/>
      <c r="L2274" s="76">
        <v>2274</v>
      </c>
      <c r="M2274" s="76"/>
      <c r="N2274" s="71"/>
      <c r="O2274" s="87" t="s">
        <v>179</v>
      </c>
      <c r="P2274" s="90">
        <v>45111.408738425926</v>
      </c>
      <c r="Q2274" s="87" t="s">
        <v>4047</v>
      </c>
      <c r="R2274" s="87">
        <v>0</v>
      </c>
      <c r="S2274" s="87">
        <v>0</v>
      </c>
      <c r="T2274" s="87">
        <v>0</v>
      </c>
      <c r="U2274" s="87">
        <v>0</v>
      </c>
      <c r="V2274" s="87">
        <v>15</v>
      </c>
      <c r="W2274" s="93" t="s">
        <v>7337</v>
      </c>
      <c r="X2274" s="92" t="str">
        <f>HYPERLINK("https://api.whatsapp.com/send?phone=244930823944&amp;text=")</f>
        <v>https://api.whatsapp.com/send?phone=244930823944&amp;text=</v>
      </c>
      <c r="Y2274" s="87" t="s">
        <v>8466</v>
      </c>
      <c r="Z2274" s="87"/>
      <c r="AA2274" s="87" t="s">
        <v>10086</v>
      </c>
      <c r="AB2274" s="87" t="s">
        <v>11448</v>
      </c>
      <c r="AC2274" s="93" t="s">
        <v>11458</v>
      </c>
      <c r="AD2274" s="87" t="s">
        <v>11519</v>
      </c>
      <c r="AE2274" s="92" t="str">
        <f>HYPERLINK("https://twitter.com/pwnluanda/status/1676166105222590465")</f>
        <v>https://twitter.com/pwnluanda/status/1676166105222590465</v>
      </c>
      <c r="AF2274" s="90">
        <v>45111.408738425926</v>
      </c>
      <c r="AG2274" s="99">
        <v>45111</v>
      </c>
      <c r="AH2274" s="93" t="s">
        <v>13595</v>
      </c>
      <c r="AI2274" s="87" t="b">
        <v>0</v>
      </c>
      <c r="AJ2274" s="87"/>
      <c r="AK2274" s="87"/>
      <c r="AL2274" s="87"/>
      <c r="AM2274" s="87"/>
      <c r="AN2274" s="87"/>
      <c r="AO2274" s="87"/>
      <c r="AP2274" s="87"/>
      <c r="AQ2274" s="87" t="s">
        <v>16899</v>
      </c>
      <c r="AR2274" s="87"/>
      <c r="AS2274" s="87"/>
      <c r="AT2274" s="87"/>
      <c r="AU2274" s="87"/>
      <c r="AV2274" s="92" t="str">
        <f>HYPERLINK("https://pbs.twimg.com/media/F0LwMFpXoAMwWdq.jpg")</f>
        <v>https://pbs.twimg.com/media/F0LwMFpXoAMwWdq.jpg</v>
      </c>
      <c r="AW2274" s="93" t="s">
        <v>20491</v>
      </c>
      <c r="AX2274" s="93" t="s">
        <v>20491</v>
      </c>
      <c r="AY2274" s="87"/>
      <c r="AZ2274" s="93" t="s">
        <v>22668</v>
      </c>
      <c r="BA2274" s="93" t="s">
        <v>22668</v>
      </c>
      <c r="BB2274" s="93" t="s">
        <v>22668</v>
      </c>
      <c r="BC2274" s="93" t="s">
        <v>20491</v>
      </c>
      <c r="BD2274" s="93" t="s">
        <v>23242</v>
      </c>
      <c r="BE2274" s="87"/>
      <c r="BF2274" s="87"/>
      <c r="BG2274" s="87"/>
      <c r="BH2274" s="87"/>
      <c r="BI2274" s="87"/>
    </row>
    <row r="2275" spans="1:61" x14ac:dyDescent="0.25">
      <c r="A2275" s="63" t="s">
        <v>1012</v>
      </c>
      <c r="B2275" s="63" t="s">
        <v>1012</v>
      </c>
      <c r="C2275" s="64"/>
      <c r="D2275" s="65"/>
      <c r="E2275" s="66"/>
      <c r="F2275" s="67"/>
      <c r="G2275" s="64"/>
      <c r="H2275" s="68"/>
      <c r="I2275" s="69"/>
      <c r="J2275" s="69"/>
      <c r="K2275" s="32"/>
      <c r="L2275" s="76">
        <v>2275</v>
      </c>
      <c r="M2275" s="76"/>
      <c r="N2275" s="71"/>
      <c r="O2275" s="87" t="s">
        <v>179</v>
      </c>
      <c r="P2275" s="90">
        <v>45173.532777777778</v>
      </c>
      <c r="Q2275" s="87" t="s">
        <v>4048</v>
      </c>
      <c r="R2275" s="87">
        <v>0</v>
      </c>
      <c r="S2275" s="87">
        <v>0</v>
      </c>
      <c r="T2275" s="87">
        <v>0</v>
      </c>
      <c r="U2275" s="87">
        <v>0</v>
      </c>
      <c r="V2275" s="87">
        <v>17</v>
      </c>
      <c r="W2275" s="93" t="s">
        <v>7338</v>
      </c>
      <c r="X2275" s="92" t="str">
        <f>HYPERLINK("https://api.whatsapp.com/send?phone=244930823944&amp;text=")</f>
        <v>https://api.whatsapp.com/send?phone=244930823944&amp;text=</v>
      </c>
      <c r="Y2275" s="87" t="s">
        <v>8466</v>
      </c>
      <c r="Z2275" s="87"/>
      <c r="AA2275" s="87" t="s">
        <v>10087</v>
      </c>
      <c r="AB2275" s="87" t="s">
        <v>11448</v>
      </c>
      <c r="AC2275" s="93" t="s">
        <v>11458</v>
      </c>
      <c r="AD2275" s="87" t="s">
        <v>11519</v>
      </c>
      <c r="AE2275" s="92" t="str">
        <f>HYPERLINK("https://twitter.com/pwnluanda/status/1698679102725574767")</f>
        <v>https://twitter.com/pwnluanda/status/1698679102725574767</v>
      </c>
      <c r="AF2275" s="90">
        <v>45173.532777777778</v>
      </c>
      <c r="AG2275" s="99">
        <v>45173</v>
      </c>
      <c r="AH2275" s="93" t="s">
        <v>13596</v>
      </c>
      <c r="AI2275" s="87" t="b">
        <v>0</v>
      </c>
      <c r="AJ2275" s="87"/>
      <c r="AK2275" s="87"/>
      <c r="AL2275" s="87"/>
      <c r="AM2275" s="87"/>
      <c r="AN2275" s="87"/>
      <c r="AO2275" s="87"/>
      <c r="AP2275" s="87"/>
      <c r="AQ2275" s="87" t="s">
        <v>16900</v>
      </c>
      <c r="AR2275" s="87"/>
      <c r="AS2275" s="87"/>
      <c r="AT2275" s="87"/>
      <c r="AU2275" s="87"/>
      <c r="AV2275" s="92" t="str">
        <f>HYPERLINK("https://pbs.twimg.com/media/F5LroeMbUAAt7Y-.jpg")</f>
        <v>https://pbs.twimg.com/media/F5LroeMbUAAt7Y-.jpg</v>
      </c>
      <c r="AW2275" s="93" t="s">
        <v>20492</v>
      </c>
      <c r="AX2275" s="93" t="s">
        <v>20492</v>
      </c>
      <c r="AY2275" s="87"/>
      <c r="AZ2275" s="93" t="s">
        <v>22668</v>
      </c>
      <c r="BA2275" s="93" t="s">
        <v>22668</v>
      </c>
      <c r="BB2275" s="93" t="s">
        <v>22668</v>
      </c>
      <c r="BC2275" s="93" t="s">
        <v>20492</v>
      </c>
      <c r="BD2275" s="93" t="s">
        <v>23242</v>
      </c>
      <c r="BE2275" s="87"/>
      <c r="BF2275" s="87"/>
      <c r="BG2275" s="87"/>
      <c r="BH2275" s="87"/>
      <c r="BI2275" s="87"/>
    </row>
    <row r="2276" spans="1:61" x14ac:dyDescent="0.25">
      <c r="A2276" s="63" t="s">
        <v>1012</v>
      </c>
      <c r="B2276" s="63" t="s">
        <v>1012</v>
      </c>
      <c r="C2276" s="64"/>
      <c r="D2276" s="65"/>
      <c r="E2276" s="66"/>
      <c r="F2276" s="67"/>
      <c r="G2276" s="64"/>
      <c r="H2276" s="68"/>
      <c r="I2276" s="69"/>
      <c r="J2276" s="69"/>
      <c r="K2276" s="32"/>
      <c r="L2276" s="76">
        <v>2276</v>
      </c>
      <c r="M2276" s="76"/>
      <c r="N2276" s="71"/>
      <c r="O2276" s="87" t="s">
        <v>179</v>
      </c>
      <c r="P2276" s="90">
        <v>45138.383692129632</v>
      </c>
      <c r="Q2276" s="87" t="s">
        <v>4049</v>
      </c>
      <c r="R2276" s="87">
        <v>0</v>
      </c>
      <c r="S2276" s="87">
        <v>0</v>
      </c>
      <c r="T2276" s="87">
        <v>0</v>
      </c>
      <c r="U2276" s="87">
        <v>0</v>
      </c>
      <c r="V2276" s="87">
        <v>18</v>
      </c>
      <c r="W2276" s="93" t="s">
        <v>7339</v>
      </c>
      <c r="X2276" s="92" t="str">
        <f>HYPERLINK("https://api.whatsapp.com/send?phone=244930823944&amp;text=")</f>
        <v>https://api.whatsapp.com/send?phone=244930823944&amp;text=</v>
      </c>
      <c r="Y2276" s="87" t="s">
        <v>8466</v>
      </c>
      <c r="Z2276" s="87"/>
      <c r="AA2276" s="87" t="s">
        <v>10088</v>
      </c>
      <c r="AB2276" s="87" t="s">
        <v>11448</v>
      </c>
      <c r="AC2276" s="93" t="s">
        <v>11458</v>
      </c>
      <c r="AD2276" s="87" t="s">
        <v>11519</v>
      </c>
      <c r="AE2276" s="92" t="str">
        <f>HYPERLINK("https://twitter.com/pwnluanda/status/1685941498074873856")</f>
        <v>https://twitter.com/pwnluanda/status/1685941498074873856</v>
      </c>
      <c r="AF2276" s="90">
        <v>45138.383692129632</v>
      </c>
      <c r="AG2276" s="99">
        <v>45138</v>
      </c>
      <c r="AH2276" s="93" t="s">
        <v>13597</v>
      </c>
      <c r="AI2276" s="87" t="b">
        <v>0</v>
      </c>
      <c r="AJ2276" s="87"/>
      <c r="AK2276" s="87"/>
      <c r="AL2276" s="87"/>
      <c r="AM2276" s="87"/>
      <c r="AN2276" s="87"/>
      <c r="AO2276" s="87"/>
      <c r="AP2276" s="87"/>
      <c r="AQ2276" s="87" t="s">
        <v>16901</v>
      </c>
      <c r="AR2276" s="87"/>
      <c r="AS2276" s="87"/>
      <c r="AT2276" s="87"/>
      <c r="AU2276" s="87"/>
      <c r="AV2276" s="92" t="str">
        <f>HYPERLINK("https://pbs.twimg.com/media/F2Wq2zkWgAEZ7Zi.jpg")</f>
        <v>https://pbs.twimg.com/media/F2Wq2zkWgAEZ7Zi.jpg</v>
      </c>
      <c r="AW2276" s="93" t="s">
        <v>20493</v>
      </c>
      <c r="AX2276" s="93" t="s">
        <v>20493</v>
      </c>
      <c r="AY2276" s="87"/>
      <c r="AZ2276" s="93" t="s">
        <v>22668</v>
      </c>
      <c r="BA2276" s="93" t="s">
        <v>22668</v>
      </c>
      <c r="BB2276" s="93" t="s">
        <v>22668</v>
      </c>
      <c r="BC2276" s="93" t="s">
        <v>20493</v>
      </c>
      <c r="BD2276" s="93" t="s">
        <v>23242</v>
      </c>
      <c r="BE2276" s="87"/>
      <c r="BF2276" s="87"/>
      <c r="BG2276" s="87"/>
      <c r="BH2276" s="87"/>
      <c r="BI2276" s="87"/>
    </row>
    <row r="2277" spans="1:61" x14ac:dyDescent="0.25">
      <c r="A2277" s="63" t="s">
        <v>1012</v>
      </c>
      <c r="B2277" s="63" t="s">
        <v>1012</v>
      </c>
      <c r="C2277" s="64"/>
      <c r="D2277" s="65"/>
      <c r="E2277" s="66"/>
      <c r="F2277" s="67"/>
      <c r="G2277" s="64"/>
      <c r="H2277" s="68"/>
      <c r="I2277" s="69"/>
      <c r="J2277" s="69"/>
      <c r="K2277" s="32"/>
      <c r="L2277" s="76">
        <v>2277</v>
      </c>
      <c r="M2277" s="76"/>
      <c r="N2277" s="71"/>
      <c r="O2277" s="87" t="s">
        <v>179</v>
      </c>
      <c r="P2277" s="90">
        <v>45176.462245370371</v>
      </c>
      <c r="Q2277" s="87" t="s">
        <v>4050</v>
      </c>
      <c r="R2277" s="87">
        <v>0</v>
      </c>
      <c r="S2277" s="87">
        <v>0</v>
      </c>
      <c r="T2277" s="87">
        <v>0</v>
      </c>
      <c r="U2277" s="87">
        <v>0</v>
      </c>
      <c r="V2277" s="87">
        <v>16</v>
      </c>
      <c r="W2277" s="93" t="s">
        <v>7340</v>
      </c>
      <c r="X2277" s="92" t="str">
        <f>HYPERLINK("https://api.whatsapp.com/send?phone=244930823944&amp;text=")</f>
        <v>https://api.whatsapp.com/send?phone=244930823944&amp;text=</v>
      </c>
      <c r="Y2277" s="87" t="s">
        <v>8466</v>
      </c>
      <c r="Z2277" s="87"/>
      <c r="AA2277" s="87" t="s">
        <v>10089</v>
      </c>
      <c r="AB2277" s="87" t="s">
        <v>11447</v>
      </c>
      <c r="AC2277" s="93" t="s">
        <v>11458</v>
      </c>
      <c r="AD2277" s="87" t="s">
        <v>11519</v>
      </c>
      <c r="AE2277" s="92" t="str">
        <f>HYPERLINK("https://twitter.com/pwnluanda/status/1699740705944375660")</f>
        <v>https://twitter.com/pwnluanda/status/1699740705944375660</v>
      </c>
      <c r="AF2277" s="90">
        <v>45176.462245370371</v>
      </c>
      <c r="AG2277" s="99">
        <v>45176</v>
      </c>
      <c r="AH2277" s="93" t="s">
        <v>13598</v>
      </c>
      <c r="AI2277" s="87" t="b">
        <v>0</v>
      </c>
      <c r="AJ2277" s="87"/>
      <c r="AK2277" s="87"/>
      <c r="AL2277" s="87"/>
      <c r="AM2277" s="87"/>
      <c r="AN2277" s="87"/>
      <c r="AO2277" s="87"/>
      <c r="AP2277" s="87"/>
      <c r="AQ2277" s="87" t="s">
        <v>16902</v>
      </c>
      <c r="AR2277" s="87">
        <v>40000</v>
      </c>
      <c r="AS2277" s="87"/>
      <c r="AT2277" s="87"/>
      <c r="AU2277" s="87"/>
      <c r="AV2277" s="92" t="str">
        <f>HYPERLINK("https://pbs.twimg.com/ext_tw_video_thumb/1699740650181431296/pu/img/ACkHSKeeUHioW9Q9.jpg")</f>
        <v>https://pbs.twimg.com/ext_tw_video_thumb/1699740650181431296/pu/img/ACkHSKeeUHioW9Q9.jpg</v>
      </c>
      <c r="AW2277" s="93" t="s">
        <v>20494</v>
      </c>
      <c r="AX2277" s="93" t="s">
        <v>20494</v>
      </c>
      <c r="AY2277" s="87"/>
      <c r="AZ2277" s="93" t="s">
        <v>22668</v>
      </c>
      <c r="BA2277" s="93" t="s">
        <v>22668</v>
      </c>
      <c r="BB2277" s="93" t="s">
        <v>22668</v>
      </c>
      <c r="BC2277" s="93" t="s">
        <v>20494</v>
      </c>
      <c r="BD2277" s="93" t="s">
        <v>23242</v>
      </c>
      <c r="BE2277" s="87"/>
      <c r="BF2277" s="87"/>
      <c r="BG2277" s="87"/>
      <c r="BH2277" s="87"/>
      <c r="BI2277" s="87"/>
    </row>
    <row r="2278" spans="1:61" x14ac:dyDescent="0.25">
      <c r="A2278" s="63" t="s">
        <v>1012</v>
      </c>
      <c r="B2278" s="63" t="s">
        <v>1012</v>
      </c>
      <c r="C2278" s="64"/>
      <c r="D2278" s="65"/>
      <c r="E2278" s="66"/>
      <c r="F2278" s="67"/>
      <c r="G2278" s="64"/>
      <c r="H2278" s="68"/>
      <c r="I2278" s="69"/>
      <c r="J2278" s="69"/>
      <c r="K2278" s="32"/>
      <c r="L2278" s="76">
        <v>2278</v>
      </c>
      <c r="M2278" s="76"/>
      <c r="N2278" s="71"/>
      <c r="O2278" s="87" t="s">
        <v>179</v>
      </c>
      <c r="P2278" s="90">
        <v>45169.429444444446</v>
      </c>
      <c r="Q2278" s="87" t="s">
        <v>4051</v>
      </c>
      <c r="R2278" s="87">
        <v>0</v>
      </c>
      <c r="S2278" s="87">
        <v>0</v>
      </c>
      <c r="T2278" s="87">
        <v>0</v>
      </c>
      <c r="U2278" s="87">
        <v>0</v>
      </c>
      <c r="V2278" s="87">
        <v>13</v>
      </c>
      <c r="W2278" s="93" t="s">
        <v>7341</v>
      </c>
      <c r="X2278" s="92" t="str">
        <f>HYPERLINK("https://api.whatsapp.com/send?phone=244930823944&amp;text=")</f>
        <v>https://api.whatsapp.com/send?phone=244930823944&amp;text=</v>
      </c>
      <c r="Y2278" s="87" t="s">
        <v>8466</v>
      </c>
      <c r="Z2278" s="87"/>
      <c r="AA2278" s="87" t="s">
        <v>10090</v>
      </c>
      <c r="AB2278" s="87" t="s">
        <v>11448</v>
      </c>
      <c r="AC2278" s="93" t="s">
        <v>11458</v>
      </c>
      <c r="AD2278" s="87" t="s">
        <v>11519</v>
      </c>
      <c r="AE2278" s="92" t="str">
        <f>HYPERLINK("https://twitter.com/pwnluanda/status/1697192103678218696")</f>
        <v>https://twitter.com/pwnluanda/status/1697192103678218696</v>
      </c>
      <c r="AF2278" s="90">
        <v>45169.429444444446</v>
      </c>
      <c r="AG2278" s="99">
        <v>45169</v>
      </c>
      <c r="AH2278" s="93" t="s">
        <v>13599</v>
      </c>
      <c r="AI2278" s="87" t="b">
        <v>0</v>
      </c>
      <c r="AJ2278" s="87"/>
      <c r="AK2278" s="87"/>
      <c r="AL2278" s="87"/>
      <c r="AM2278" s="87"/>
      <c r="AN2278" s="87"/>
      <c r="AO2278" s="87"/>
      <c r="AP2278" s="87"/>
      <c r="AQ2278" s="87" t="s">
        <v>16903</v>
      </c>
      <c r="AR2278" s="87"/>
      <c r="AS2278" s="87"/>
      <c r="AT2278" s="87"/>
      <c r="AU2278" s="87"/>
      <c r="AV2278" s="92" t="str">
        <f>HYPERLINK("https://pbs.twimg.com/media/F42jNkqaIAA-0KP.jpg")</f>
        <v>https://pbs.twimg.com/media/F42jNkqaIAA-0KP.jpg</v>
      </c>
      <c r="AW2278" s="93" t="s">
        <v>20495</v>
      </c>
      <c r="AX2278" s="93" t="s">
        <v>20495</v>
      </c>
      <c r="AY2278" s="87"/>
      <c r="AZ2278" s="93" t="s">
        <v>22668</v>
      </c>
      <c r="BA2278" s="93" t="s">
        <v>22668</v>
      </c>
      <c r="BB2278" s="93" t="s">
        <v>22668</v>
      </c>
      <c r="BC2278" s="93" t="s">
        <v>20495</v>
      </c>
      <c r="BD2278" s="93" t="s">
        <v>23242</v>
      </c>
      <c r="BE2278" s="87"/>
      <c r="BF2278" s="87"/>
      <c r="BG2278" s="87"/>
      <c r="BH2278" s="87"/>
      <c r="BI2278" s="87"/>
    </row>
    <row r="2279" spans="1:61" x14ac:dyDescent="0.25">
      <c r="A2279" s="63" t="s">
        <v>1012</v>
      </c>
      <c r="B2279" s="63" t="s">
        <v>1012</v>
      </c>
      <c r="C2279" s="64"/>
      <c r="D2279" s="65"/>
      <c r="E2279" s="66"/>
      <c r="F2279" s="67"/>
      <c r="G2279" s="64"/>
      <c r="H2279" s="68"/>
      <c r="I2279" s="69"/>
      <c r="J2279" s="69"/>
      <c r="K2279" s="32"/>
      <c r="L2279" s="76">
        <v>2279</v>
      </c>
      <c r="M2279" s="76"/>
      <c r="N2279" s="71"/>
      <c r="O2279" s="87" t="s">
        <v>179</v>
      </c>
      <c r="P2279" s="90">
        <v>45132.381331018521</v>
      </c>
      <c r="Q2279" s="87" t="s">
        <v>4052</v>
      </c>
      <c r="R2279" s="87">
        <v>0</v>
      </c>
      <c r="S2279" s="87">
        <v>0</v>
      </c>
      <c r="T2279" s="87">
        <v>0</v>
      </c>
      <c r="U2279" s="87">
        <v>0</v>
      </c>
      <c r="V2279" s="87">
        <v>13</v>
      </c>
      <c r="W2279" s="93" t="s">
        <v>7342</v>
      </c>
      <c r="X2279" s="92" t="str">
        <f>HYPERLINK("https://api.whatsapp.com/send?phone=244930823944&amp;text=")</f>
        <v>https://api.whatsapp.com/send?phone=244930823944&amp;text=</v>
      </c>
      <c r="Y2279" s="87" t="s">
        <v>8466</v>
      </c>
      <c r="Z2279" s="87"/>
      <c r="AA2279" s="87" t="s">
        <v>10091</v>
      </c>
      <c r="AB2279" s="87" t="s">
        <v>11449</v>
      </c>
      <c r="AC2279" s="93" t="s">
        <v>11458</v>
      </c>
      <c r="AD2279" s="87" t="s">
        <v>11519</v>
      </c>
      <c r="AE2279" s="92" t="str">
        <f>HYPERLINK("https://twitter.com/pwnluanda/status/1683766318577614849")</f>
        <v>https://twitter.com/pwnluanda/status/1683766318577614849</v>
      </c>
      <c r="AF2279" s="90">
        <v>45132.381331018521</v>
      </c>
      <c r="AG2279" s="99">
        <v>45132</v>
      </c>
      <c r="AH2279" s="93" t="s">
        <v>13600</v>
      </c>
      <c r="AI2279" s="87" t="b">
        <v>0</v>
      </c>
      <c r="AJ2279" s="87"/>
      <c r="AK2279" s="87"/>
      <c r="AL2279" s="87"/>
      <c r="AM2279" s="87"/>
      <c r="AN2279" s="87"/>
      <c r="AO2279" s="87"/>
      <c r="AP2279" s="87"/>
      <c r="AQ2279" s="87" t="s">
        <v>16904</v>
      </c>
      <c r="AR2279" s="87"/>
      <c r="AS2279" s="87"/>
      <c r="AT2279" s="87"/>
      <c r="AU2279" s="87"/>
      <c r="AV2279" s="92" t="str">
        <f>HYPERLINK("https://pbs.twimg.com/media/F13wiiLXwAAG-7S.jpg")</f>
        <v>https://pbs.twimg.com/media/F13wiiLXwAAG-7S.jpg</v>
      </c>
      <c r="AW2279" s="93" t="s">
        <v>20496</v>
      </c>
      <c r="AX2279" s="93" t="s">
        <v>20496</v>
      </c>
      <c r="AY2279" s="87"/>
      <c r="AZ2279" s="93" t="s">
        <v>22668</v>
      </c>
      <c r="BA2279" s="93" t="s">
        <v>22668</v>
      </c>
      <c r="BB2279" s="93" t="s">
        <v>22668</v>
      </c>
      <c r="BC2279" s="93" t="s">
        <v>20496</v>
      </c>
      <c r="BD2279" s="93" t="s">
        <v>23242</v>
      </c>
      <c r="BE2279" s="87"/>
      <c r="BF2279" s="87"/>
      <c r="BG2279" s="87"/>
      <c r="BH2279" s="87"/>
      <c r="BI2279" s="87"/>
    </row>
    <row r="2280" spans="1:61" x14ac:dyDescent="0.25">
      <c r="A2280" s="63" t="s">
        <v>1012</v>
      </c>
      <c r="B2280" s="63" t="s">
        <v>1012</v>
      </c>
      <c r="C2280" s="64"/>
      <c r="D2280" s="65"/>
      <c r="E2280" s="66"/>
      <c r="F2280" s="67"/>
      <c r="G2280" s="64"/>
      <c r="H2280" s="68"/>
      <c r="I2280" s="69"/>
      <c r="J2280" s="69"/>
      <c r="K2280" s="32"/>
      <c r="L2280" s="76">
        <v>2280</v>
      </c>
      <c r="M2280" s="76"/>
      <c r="N2280" s="71"/>
      <c r="O2280" s="87" t="s">
        <v>179</v>
      </c>
      <c r="P2280" s="90">
        <v>45182.374583333331</v>
      </c>
      <c r="Q2280" s="87" t="s">
        <v>4053</v>
      </c>
      <c r="R2280" s="87">
        <v>0</v>
      </c>
      <c r="S2280" s="87">
        <v>0</v>
      </c>
      <c r="T2280" s="87">
        <v>0</v>
      </c>
      <c r="U2280" s="87">
        <v>0</v>
      </c>
      <c r="V2280" s="87">
        <v>11</v>
      </c>
      <c r="W2280" s="93" t="s">
        <v>7343</v>
      </c>
      <c r="X2280" s="87" t="s">
        <v>8355</v>
      </c>
      <c r="Y2280" s="87" t="s">
        <v>8492</v>
      </c>
      <c r="Z2280" s="87"/>
      <c r="AA2280" s="87" t="s">
        <v>10092</v>
      </c>
      <c r="AB2280" s="87" t="s">
        <v>11448</v>
      </c>
      <c r="AC2280" s="93" t="s">
        <v>11458</v>
      </c>
      <c r="AD2280" s="87" t="s">
        <v>11519</v>
      </c>
      <c r="AE2280" s="92" t="str">
        <f>HYPERLINK("https://twitter.com/pwnluanda/status/1701883266159002062")</f>
        <v>https://twitter.com/pwnluanda/status/1701883266159002062</v>
      </c>
      <c r="AF2280" s="90">
        <v>45182.374583333331</v>
      </c>
      <c r="AG2280" s="99">
        <v>45182</v>
      </c>
      <c r="AH2280" s="93" t="s">
        <v>13601</v>
      </c>
      <c r="AI2280" s="87" t="b">
        <v>0</v>
      </c>
      <c r="AJ2280" s="87"/>
      <c r="AK2280" s="87"/>
      <c r="AL2280" s="87"/>
      <c r="AM2280" s="87"/>
      <c r="AN2280" s="87"/>
      <c r="AO2280" s="87"/>
      <c r="AP2280" s="87"/>
      <c r="AQ2280" s="87" t="s">
        <v>16905</v>
      </c>
      <c r="AR2280" s="87"/>
      <c r="AS2280" s="87"/>
      <c r="AT2280" s="87"/>
      <c r="AU2280" s="87"/>
      <c r="AV2280" s="92" t="str">
        <f>HYPERLINK("https://pbs.twimg.com/media/F55NzOFbMAAcj3X.jpg")</f>
        <v>https://pbs.twimg.com/media/F55NzOFbMAAcj3X.jpg</v>
      </c>
      <c r="AW2280" s="93" t="s">
        <v>20497</v>
      </c>
      <c r="AX2280" s="93" t="s">
        <v>20497</v>
      </c>
      <c r="AY2280" s="87"/>
      <c r="AZ2280" s="93" t="s">
        <v>22668</v>
      </c>
      <c r="BA2280" s="93" t="s">
        <v>22668</v>
      </c>
      <c r="BB2280" s="93" t="s">
        <v>22668</v>
      </c>
      <c r="BC2280" s="93" t="s">
        <v>20497</v>
      </c>
      <c r="BD2280" s="93" t="s">
        <v>23242</v>
      </c>
      <c r="BE2280" s="87"/>
      <c r="BF2280" s="87"/>
      <c r="BG2280" s="87"/>
      <c r="BH2280" s="87"/>
      <c r="BI2280" s="87"/>
    </row>
    <row r="2281" spans="1:61" x14ac:dyDescent="0.25">
      <c r="A2281" s="63" t="s">
        <v>1012</v>
      </c>
      <c r="B2281" s="63" t="s">
        <v>1012</v>
      </c>
      <c r="C2281" s="64"/>
      <c r="D2281" s="65"/>
      <c r="E2281" s="66"/>
      <c r="F2281" s="67"/>
      <c r="G2281" s="64"/>
      <c r="H2281" s="68"/>
      <c r="I2281" s="69"/>
      <c r="J2281" s="69"/>
      <c r="K2281" s="32"/>
      <c r="L2281" s="76">
        <v>2281</v>
      </c>
      <c r="M2281" s="76"/>
      <c r="N2281" s="71"/>
      <c r="O2281" s="87" t="s">
        <v>179</v>
      </c>
      <c r="P2281" s="90">
        <v>45175.400358796294</v>
      </c>
      <c r="Q2281" s="87" t="s">
        <v>4054</v>
      </c>
      <c r="R2281" s="87">
        <v>0</v>
      </c>
      <c r="S2281" s="87">
        <v>0</v>
      </c>
      <c r="T2281" s="87">
        <v>0</v>
      </c>
      <c r="U2281" s="87">
        <v>0</v>
      </c>
      <c r="V2281" s="87">
        <v>23</v>
      </c>
      <c r="W2281" s="93" t="s">
        <v>7344</v>
      </c>
      <c r="X2281" s="92" t="str">
        <f>HYPERLINK("https://api.whatsapp.com/send?phone=244930823944&amp;text=")</f>
        <v>https://api.whatsapp.com/send?phone=244930823944&amp;text=</v>
      </c>
      <c r="Y2281" s="87" t="s">
        <v>8466</v>
      </c>
      <c r="Z2281" s="87"/>
      <c r="AA2281" s="87" t="s">
        <v>10093</v>
      </c>
      <c r="AB2281" s="87" t="s">
        <v>11448</v>
      </c>
      <c r="AC2281" s="93" t="s">
        <v>11458</v>
      </c>
      <c r="AD2281" s="87" t="s">
        <v>11519</v>
      </c>
      <c r="AE2281" s="92" t="str">
        <f>HYPERLINK("https://twitter.com/pwnluanda/status/1699355892657905815")</f>
        <v>https://twitter.com/pwnluanda/status/1699355892657905815</v>
      </c>
      <c r="AF2281" s="90">
        <v>45175.400358796294</v>
      </c>
      <c r="AG2281" s="99">
        <v>45175</v>
      </c>
      <c r="AH2281" s="93" t="s">
        <v>13602</v>
      </c>
      <c r="AI2281" s="87" t="b">
        <v>0</v>
      </c>
      <c r="AJ2281" s="87"/>
      <c r="AK2281" s="87"/>
      <c r="AL2281" s="87"/>
      <c r="AM2281" s="87"/>
      <c r="AN2281" s="87"/>
      <c r="AO2281" s="87"/>
      <c r="AP2281" s="87"/>
      <c r="AQ2281" s="87" t="s">
        <v>16906</v>
      </c>
      <c r="AR2281" s="87"/>
      <c r="AS2281" s="87"/>
      <c r="AT2281" s="87"/>
      <c r="AU2281" s="87"/>
      <c r="AV2281" s="92" t="str">
        <f>HYPERLINK("https://pbs.twimg.com/media/F5VTK2qbsAAEwxe.jpg")</f>
        <v>https://pbs.twimg.com/media/F5VTK2qbsAAEwxe.jpg</v>
      </c>
      <c r="AW2281" s="93" t="s">
        <v>20498</v>
      </c>
      <c r="AX2281" s="93" t="s">
        <v>20498</v>
      </c>
      <c r="AY2281" s="87"/>
      <c r="AZ2281" s="93" t="s">
        <v>22668</v>
      </c>
      <c r="BA2281" s="93" t="s">
        <v>22668</v>
      </c>
      <c r="BB2281" s="93" t="s">
        <v>22668</v>
      </c>
      <c r="BC2281" s="93" t="s">
        <v>20498</v>
      </c>
      <c r="BD2281" s="93" t="s">
        <v>23242</v>
      </c>
      <c r="BE2281" s="87"/>
      <c r="BF2281" s="87"/>
      <c r="BG2281" s="87"/>
      <c r="BH2281" s="87"/>
      <c r="BI2281" s="87"/>
    </row>
    <row r="2282" spans="1:61" x14ac:dyDescent="0.25">
      <c r="A2282" s="63" t="s">
        <v>1012</v>
      </c>
      <c r="B2282" s="63" t="s">
        <v>1012</v>
      </c>
      <c r="C2282" s="64"/>
      <c r="D2282" s="65"/>
      <c r="E2282" s="66"/>
      <c r="F2282" s="67"/>
      <c r="G2282" s="64"/>
      <c r="H2282" s="68"/>
      <c r="I2282" s="69"/>
      <c r="J2282" s="69"/>
      <c r="K2282" s="32"/>
      <c r="L2282" s="76">
        <v>2282</v>
      </c>
      <c r="M2282" s="76"/>
      <c r="N2282" s="71"/>
      <c r="O2282" s="87" t="s">
        <v>179</v>
      </c>
      <c r="P2282" s="90">
        <v>45154.412881944445</v>
      </c>
      <c r="Q2282" s="87" t="s">
        <v>4055</v>
      </c>
      <c r="R2282" s="87">
        <v>0</v>
      </c>
      <c r="S2282" s="87">
        <v>0</v>
      </c>
      <c r="T2282" s="87">
        <v>0</v>
      </c>
      <c r="U2282" s="87">
        <v>0</v>
      </c>
      <c r="V2282" s="87">
        <v>21</v>
      </c>
      <c r="W2282" s="93" t="s">
        <v>7345</v>
      </c>
      <c r="X2282" s="87" t="s">
        <v>8356</v>
      </c>
      <c r="Y2282" s="87" t="s">
        <v>8492</v>
      </c>
      <c r="Z2282" s="87"/>
      <c r="AA2282" s="87" t="s">
        <v>10094</v>
      </c>
      <c r="AB2282" s="87" t="s">
        <v>11448</v>
      </c>
      <c r="AC2282" s="93" t="s">
        <v>11458</v>
      </c>
      <c r="AD2282" s="87" t="s">
        <v>11519</v>
      </c>
      <c r="AE2282" s="92" t="str">
        <f>HYPERLINK("https://twitter.com/pwnluanda/status/1691750284836368682")</f>
        <v>https://twitter.com/pwnluanda/status/1691750284836368682</v>
      </c>
      <c r="AF2282" s="90">
        <v>45154.412881944445</v>
      </c>
      <c r="AG2282" s="99">
        <v>45154</v>
      </c>
      <c r="AH2282" s="93" t="s">
        <v>13603</v>
      </c>
      <c r="AI2282" s="87" t="b">
        <v>0</v>
      </c>
      <c r="AJ2282" s="87"/>
      <c r="AK2282" s="87"/>
      <c r="AL2282" s="87"/>
      <c r="AM2282" s="87"/>
      <c r="AN2282" s="87"/>
      <c r="AO2282" s="87"/>
      <c r="AP2282" s="87"/>
      <c r="AQ2282" s="87" t="s">
        <v>16907</v>
      </c>
      <c r="AR2282" s="87"/>
      <c r="AS2282" s="87"/>
      <c r="AT2282" s="87"/>
      <c r="AU2282" s="87"/>
      <c r="AV2282" s="92" t="str">
        <f>HYPERLINK("https://pbs.twimg.com/media/F3pN6q4WsAEcm-A.jpg")</f>
        <v>https://pbs.twimg.com/media/F3pN6q4WsAEcm-A.jpg</v>
      </c>
      <c r="AW2282" s="93" t="s">
        <v>20499</v>
      </c>
      <c r="AX2282" s="93" t="s">
        <v>20499</v>
      </c>
      <c r="AY2282" s="87"/>
      <c r="AZ2282" s="93" t="s">
        <v>22668</v>
      </c>
      <c r="BA2282" s="93" t="s">
        <v>22668</v>
      </c>
      <c r="BB2282" s="93" t="s">
        <v>22668</v>
      </c>
      <c r="BC2282" s="93" t="s">
        <v>20499</v>
      </c>
      <c r="BD2282" s="93" t="s">
        <v>23242</v>
      </c>
      <c r="BE2282" s="87"/>
      <c r="BF2282" s="87"/>
      <c r="BG2282" s="87"/>
      <c r="BH2282" s="87"/>
      <c r="BI2282" s="87"/>
    </row>
    <row r="2283" spans="1:61" x14ac:dyDescent="0.25">
      <c r="A2283" s="63" t="s">
        <v>1012</v>
      </c>
      <c r="B2283" s="63" t="s">
        <v>1012</v>
      </c>
      <c r="C2283" s="64"/>
      <c r="D2283" s="65"/>
      <c r="E2283" s="66"/>
      <c r="F2283" s="67"/>
      <c r="G2283" s="64"/>
      <c r="H2283" s="68"/>
      <c r="I2283" s="69"/>
      <c r="J2283" s="69"/>
      <c r="K2283" s="32"/>
      <c r="L2283" s="76">
        <v>2283</v>
      </c>
      <c r="M2283" s="76"/>
      <c r="N2283" s="71"/>
      <c r="O2283" s="87" t="s">
        <v>179</v>
      </c>
      <c r="P2283" s="90">
        <v>45128.560300925928</v>
      </c>
      <c r="Q2283" s="87" t="s">
        <v>4056</v>
      </c>
      <c r="R2283" s="87">
        <v>0</v>
      </c>
      <c r="S2283" s="87">
        <v>0</v>
      </c>
      <c r="T2283" s="87">
        <v>0</v>
      </c>
      <c r="U2283" s="87">
        <v>0</v>
      </c>
      <c r="V2283" s="87">
        <v>14</v>
      </c>
      <c r="W2283" s="93" t="s">
        <v>7336</v>
      </c>
      <c r="X2283" s="92" t="str">
        <f>HYPERLINK("https://api.whatsapp.com/send?phone=2449308239440&amp;text=")</f>
        <v>https://api.whatsapp.com/send?phone=2449308239440&amp;text=</v>
      </c>
      <c r="Y2283" s="87" t="s">
        <v>8466</v>
      </c>
      <c r="Z2283" s="87"/>
      <c r="AA2283" s="87" t="s">
        <v>10095</v>
      </c>
      <c r="AB2283" s="87" t="s">
        <v>11448</v>
      </c>
      <c r="AC2283" s="93" t="s">
        <v>11458</v>
      </c>
      <c r="AD2283" s="87" t="s">
        <v>11519</v>
      </c>
      <c r="AE2283" s="92" t="str">
        <f>HYPERLINK("https://twitter.com/pwnluanda/status/1682381621616410626")</f>
        <v>https://twitter.com/pwnluanda/status/1682381621616410626</v>
      </c>
      <c r="AF2283" s="90">
        <v>45128.560300925928</v>
      </c>
      <c r="AG2283" s="99">
        <v>45128</v>
      </c>
      <c r="AH2283" s="93" t="s">
        <v>13604</v>
      </c>
      <c r="AI2283" s="87" t="b">
        <v>0</v>
      </c>
      <c r="AJ2283" s="87"/>
      <c r="AK2283" s="87"/>
      <c r="AL2283" s="87"/>
      <c r="AM2283" s="87"/>
      <c r="AN2283" s="87"/>
      <c r="AO2283" s="87"/>
      <c r="AP2283" s="87"/>
      <c r="AQ2283" s="87" t="s">
        <v>16908</v>
      </c>
      <c r="AR2283" s="87"/>
      <c r="AS2283" s="87"/>
      <c r="AT2283" s="87"/>
      <c r="AU2283" s="87"/>
      <c r="AV2283" s="92" t="str">
        <f>HYPERLINK("https://pbs.twimg.com/media/F1kFKnzXgAAtKC4.jpg")</f>
        <v>https://pbs.twimg.com/media/F1kFKnzXgAAtKC4.jpg</v>
      </c>
      <c r="AW2283" s="93" t="s">
        <v>20500</v>
      </c>
      <c r="AX2283" s="93" t="s">
        <v>20500</v>
      </c>
      <c r="AY2283" s="87"/>
      <c r="AZ2283" s="93" t="s">
        <v>22668</v>
      </c>
      <c r="BA2283" s="93" t="s">
        <v>22668</v>
      </c>
      <c r="BB2283" s="93" t="s">
        <v>22668</v>
      </c>
      <c r="BC2283" s="93" t="s">
        <v>20500</v>
      </c>
      <c r="BD2283" s="93" t="s">
        <v>23242</v>
      </c>
      <c r="BE2283" s="87"/>
      <c r="BF2283" s="87"/>
      <c r="BG2283" s="87"/>
      <c r="BH2283" s="87"/>
      <c r="BI2283" s="87"/>
    </row>
    <row r="2284" spans="1:61" x14ac:dyDescent="0.25">
      <c r="A2284" s="63" t="s">
        <v>1012</v>
      </c>
      <c r="B2284" s="63" t="s">
        <v>1012</v>
      </c>
      <c r="C2284" s="64"/>
      <c r="D2284" s="65"/>
      <c r="E2284" s="66"/>
      <c r="F2284" s="67"/>
      <c r="G2284" s="64"/>
      <c r="H2284" s="68"/>
      <c r="I2284" s="69"/>
      <c r="J2284" s="69"/>
      <c r="K2284" s="32"/>
      <c r="L2284" s="76">
        <v>2284</v>
      </c>
      <c r="M2284" s="76"/>
      <c r="N2284" s="71"/>
      <c r="O2284" s="87" t="s">
        <v>179</v>
      </c>
      <c r="P2284" s="90">
        <v>45127.496944444443</v>
      </c>
      <c r="Q2284" s="87" t="s">
        <v>4057</v>
      </c>
      <c r="R2284" s="87">
        <v>0</v>
      </c>
      <c r="S2284" s="87">
        <v>0</v>
      </c>
      <c r="T2284" s="87">
        <v>0</v>
      </c>
      <c r="U2284" s="87">
        <v>0</v>
      </c>
      <c r="V2284" s="87">
        <v>15</v>
      </c>
      <c r="W2284" s="93" t="s">
        <v>7346</v>
      </c>
      <c r="X2284" s="92" t="str">
        <f>HYPERLINK("https://api.whatsapp.com/send?phone=244930823944&amp;text=")</f>
        <v>https://api.whatsapp.com/send?phone=244930823944&amp;text=</v>
      </c>
      <c r="Y2284" s="87" t="s">
        <v>8466</v>
      </c>
      <c r="Z2284" s="87"/>
      <c r="AA2284" s="87" t="s">
        <v>10096</v>
      </c>
      <c r="AB2284" s="87" t="s">
        <v>11447</v>
      </c>
      <c r="AC2284" s="93" t="s">
        <v>11458</v>
      </c>
      <c r="AD2284" s="87" t="s">
        <v>11519</v>
      </c>
      <c r="AE2284" s="92" t="str">
        <f>HYPERLINK("https://twitter.com/pwnluanda/status/1681996272910184448")</f>
        <v>https://twitter.com/pwnluanda/status/1681996272910184448</v>
      </c>
      <c r="AF2284" s="90">
        <v>45127.496944444443</v>
      </c>
      <c r="AG2284" s="99">
        <v>45127</v>
      </c>
      <c r="AH2284" s="93" t="s">
        <v>13605</v>
      </c>
      <c r="AI2284" s="87" t="b">
        <v>0</v>
      </c>
      <c r="AJ2284" s="87"/>
      <c r="AK2284" s="87"/>
      <c r="AL2284" s="87"/>
      <c r="AM2284" s="87"/>
      <c r="AN2284" s="87"/>
      <c r="AO2284" s="87"/>
      <c r="AP2284" s="87"/>
      <c r="AQ2284" s="87" t="s">
        <v>16909</v>
      </c>
      <c r="AR2284" s="87">
        <v>40000</v>
      </c>
      <c r="AS2284" s="87"/>
      <c r="AT2284" s="87"/>
      <c r="AU2284" s="87"/>
      <c r="AV2284" s="92" t="str">
        <f>HYPERLINK("https://pbs.twimg.com/ext_tw_video_thumb/1681996238164467712/pu/img/3Pt_b_XsLAqoNzsJ.jpg")</f>
        <v>https://pbs.twimg.com/ext_tw_video_thumb/1681996238164467712/pu/img/3Pt_b_XsLAqoNzsJ.jpg</v>
      </c>
      <c r="AW2284" s="93" t="s">
        <v>20501</v>
      </c>
      <c r="AX2284" s="93" t="s">
        <v>20501</v>
      </c>
      <c r="AY2284" s="87"/>
      <c r="AZ2284" s="93" t="s">
        <v>22668</v>
      </c>
      <c r="BA2284" s="93" t="s">
        <v>22668</v>
      </c>
      <c r="BB2284" s="93" t="s">
        <v>22668</v>
      </c>
      <c r="BC2284" s="93" t="s">
        <v>20501</v>
      </c>
      <c r="BD2284" s="93" t="s">
        <v>23242</v>
      </c>
      <c r="BE2284" s="87"/>
      <c r="BF2284" s="87"/>
      <c r="BG2284" s="87"/>
      <c r="BH2284" s="87"/>
      <c r="BI2284" s="87"/>
    </row>
    <row r="2285" spans="1:61" x14ac:dyDescent="0.25">
      <c r="A2285" s="63" t="s">
        <v>1012</v>
      </c>
      <c r="B2285" s="63" t="s">
        <v>1012</v>
      </c>
      <c r="C2285" s="64"/>
      <c r="D2285" s="65"/>
      <c r="E2285" s="66"/>
      <c r="F2285" s="67"/>
      <c r="G2285" s="64"/>
      <c r="H2285" s="68"/>
      <c r="I2285" s="69"/>
      <c r="J2285" s="69"/>
      <c r="K2285" s="32"/>
      <c r="L2285" s="76">
        <v>2285</v>
      </c>
      <c r="M2285" s="76"/>
      <c r="N2285" s="71"/>
      <c r="O2285" s="87" t="s">
        <v>179</v>
      </c>
      <c r="P2285" s="90">
        <v>45184.382476851853</v>
      </c>
      <c r="Q2285" s="87" t="s">
        <v>4058</v>
      </c>
      <c r="R2285" s="87">
        <v>0</v>
      </c>
      <c r="S2285" s="87">
        <v>0</v>
      </c>
      <c r="T2285" s="87">
        <v>0</v>
      </c>
      <c r="U2285" s="87">
        <v>0</v>
      </c>
      <c r="V2285" s="87">
        <v>18</v>
      </c>
      <c r="W2285" s="93" t="s">
        <v>7347</v>
      </c>
      <c r="X2285" s="92" t="str">
        <f>HYPERLINK("https://api.whatsapp.com/send?phone=244930823944&amp;text=")</f>
        <v>https://api.whatsapp.com/send?phone=244930823944&amp;text=</v>
      </c>
      <c r="Y2285" s="87" t="s">
        <v>8466</v>
      </c>
      <c r="Z2285" s="87"/>
      <c r="AA2285" s="87" t="s">
        <v>10097</v>
      </c>
      <c r="AB2285" s="87" t="s">
        <v>11448</v>
      </c>
      <c r="AC2285" s="93" t="s">
        <v>11458</v>
      </c>
      <c r="AD2285" s="87" t="s">
        <v>11519</v>
      </c>
      <c r="AE2285" s="92" t="str">
        <f>HYPERLINK("https://twitter.com/pwnluanda/status/1702610902279758162")</f>
        <v>https://twitter.com/pwnluanda/status/1702610902279758162</v>
      </c>
      <c r="AF2285" s="90">
        <v>45184.382476851853</v>
      </c>
      <c r="AG2285" s="99">
        <v>45184</v>
      </c>
      <c r="AH2285" s="93" t="s">
        <v>13606</v>
      </c>
      <c r="AI2285" s="87" t="b">
        <v>0</v>
      </c>
      <c r="AJ2285" s="87"/>
      <c r="AK2285" s="87"/>
      <c r="AL2285" s="87"/>
      <c r="AM2285" s="87"/>
      <c r="AN2285" s="87"/>
      <c r="AO2285" s="87"/>
      <c r="AP2285" s="87"/>
      <c r="AQ2285" s="87" t="s">
        <v>16910</v>
      </c>
      <c r="AR2285" s="87"/>
      <c r="AS2285" s="87"/>
      <c r="AT2285" s="87"/>
      <c r="AU2285" s="87"/>
      <c r="AV2285" s="92" t="str">
        <f>HYPERLINK("https://pbs.twimg.com/media/F6DjlP0aUAABv1I.jpg")</f>
        <v>https://pbs.twimg.com/media/F6DjlP0aUAABv1I.jpg</v>
      </c>
      <c r="AW2285" s="93" t="s">
        <v>20502</v>
      </c>
      <c r="AX2285" s="93" t="s">
        <v>20502</v>
      </c>
      <c r="AY2285" s="87"/>
      <c r="AZ2285" s="93" t="s">
        <v>22668</v>
      </c>
      <c r="BA2285" s="93" t="s">
        <v>22668</v>
      </c>
      <c r="BB2285" s="93" t="s">
        <v>22668</v>
      </c>
      <c r="BC2285" s="93" t="s">
        <v>20502</v>
      </c>
      <c r="BD2285" s="93" t="s">
        <v>23242</v>
      </c>
      <c r="BE2285" s="87"/>
      <c r="BF2285" s="87"/>
      <c r="BG2285" s="87"/>
      <c r="BH2285" s="87"/>
      <c r="BI2285" s="87"/>
    </row>
    <row r="2286" spans="1:61" x14ac:dyDescent="0.25">
      <c r="A2286" s="63" t="s">
        <v>1012</v>
      </c>
      <c r="B2286" s="63" t="s">
        <v>1012</v>
      </c>
      <c r="C2286" s="64"/>
      <c r="D2286" s="65"/>
      <c r="E2286" s="66"/>
      <c r="F2286" s="67"/>
      <c r="G2286" s="64"/>
      <c r="H2286" s="68"/>
      <c r="I2286" s="69"/>
      <c r="J2286" s="69"/>
      <c r="K2286" s="32"/>
      <c r="L2286" s="76">
        <v>2286</v>
      </c>
      <c r="M2286" s="76"/>
      <c r="N2286" s="71"/>
      <c r="O2286" s="87" t="s">
        <v>179</v>
      </c>
      <c r="P2286" s="90">
        <v>45177.428611111114</v>
      </c>
      <c r="Q2286" s="87" t="s">
        <v>4059</v>
      </c>
      <c r="R2286" s="87">
        <v>0</v>
      </c>
      <c r="S2286" s="87">
        <v>0</v>
      </c>
      <c r="T2286" s="87">
        <v>0</v>
      </c>
      <c r="U2286" s="87">
        <v>0</v>
      </c>
      <c r="V2286" s="87">
        <v>13</v>
      </c>
      <c r="W2286" s="93" t="s">
        <v>7344</v>
      </c>
      <c r="X2286" s="92" t="str">
        <f>HYPERLINK("https://api.whatsapp.com/send?phone=244930823944&amp;text=")</f>
        <v>https://api.whatsapp.com/send?phone=244930823944&amp;text=</v>
      </c>
      <c r="Y2286" s="87" t="s">
        <v>8466</v>
      </c>
      <c r="Z2286" s="87"/>
      <c r="AA2286" s="87" t="s">
        <v>10098</v>
      </c>
      <c r="AB2286" s="87" t="s">
        <v>11448</v>
      </c>
      <c r="AC2286" s="93" t="s">
        <v>11458</v>
      </c>
      <c r="AD2286" s="87" t="s">
        <v>11523</v>
      </c>
      <c r="AE2286" s="92" t="str">
        <f>HYPERLINK("https://twitter.com/pwnluanda/status/1700090905888206962")</f>
        <v>https://twitter.com/pwnluanda/status/1700090905888206962</v>
      </c>
      <c r="AF2286" s="90">
        <v>45177.428611111114</v>
      </c>
      <c r="AG2286" s="99">
        <v>45177</v>
      </c>
      <c r="AH2286" s="93" t="s">
        <v>13607</v>
      </c>
      <c r="AI2286" s="87" t="b">
        <v>0</v>
      </c>
      <c r="AJ2286" s="87"/>
      <c r="AK2286" s="87"/>
      <c r="AL2286" s="87"/>
      <c r="AM2286" s="87"/>
      <c r="AN2286" s="87"/>
      <c r="AO2286" s="87"/>
      <c r="AP2286" s="87"/>
      <c r="AQ2286" s="87" t="s">
        <v>16911</v>
      </c>
      <c r="AR2286" s="87"/>
      <c r="AS2286" s="87"/>
      <c r="AT2286" s="87"/>
      <c r="AU2286" s="87"/>
      <c r="AV2286" s="92" t="str">
        <f>HYPERLINK("https://pbs.twimg.com/media/F5fvqaAXIAAmeXU.jpg")</f>
        <v>https://pbs.twimg.com/media/F5fvqaAXIAAmeXU.jpg</v>
      </c>
      <c r="AW2286" s="93" t="s">
        <v>20503</v>
      </c>
      <c r="AX2286" s="93" t="s">
        <v>20503</v>
      </c>
      <c r="AY2286" s="87"/>
      <c r="AZ2286" s="93" t="s">
        <v>22668</v>
      </c>
      <c r="BA2286" s="93" t="s">
        <v>22668</v>
      </c>
      <c r="BB2286" s="93" t="s">
        <v>22668</v>
      </c>
      <c r="BC2286" s="93" t="s">
        <v>20503</v>
      </c>
      <c r="BD2286" s="93" t="s">
        <v>23242</v>
      </c>
      <c r="BE2286" s="87"/>
      <c r="BF2286" s="87"/>
      <c r="BG2286" s="87"/>
      <c r="BH2286" s="87"/>
      <c r="BI2286" s="87"/>
    </row>
    <row r="2287" spans="1:61" x14ac:dyDescent="0.25">
      <c r="A2287" s="63" t="s">
        <v>1012</v>
      </c>
      <c r="B2287" s="63" t="s">
        <v>1012</v>
      </c>
      <c r="C2287" s="64"/>
      <c r="D2287" s="65"/>
      <c r="E2287" s="66"/>
      <c r="F2287" s="67"/>
      <c r="G2287" s="64"/>
      <c r="H2287" s="68"/>
      <c r="I2287" s="69"/>
      <c r="J2287" s="69"/>
      <c r="K2287" s="32"/>
      <c r="L2287" s="76">
        <v>2287</v>
      </c>
      <c r="M2287" s="76"/>
      <c r="N2287" s="71"/>
      <c r="O2287" s="87" t="s">
        <v>179</v>
      </c>
      <c r="P2287" s="90">
        <v>45170.358460648145</v>
      </c>
      <c r="Q2287" s="87" t="s">
        <v>4060</v>
      </c>
      <c r="R2287" s="87">
        <v>0</v>
      </c>
      <c r="S2287" s="87">
        <v>0</v>
      </c>
      <c r="T2287" s="87">
        <v>0</v>
      </c>
      <c r="U2287" s="87">
        <v>0</v>
      </c>
      <c r="V2287" s="87">
        <v>13</v>
      </c>
      <c r="W2287" s="93" t="s">
        <v>7339</v>
      </c>
      <c r="X2287" s="92" t="str">
        <f>HYPERLINK("https://api.whatsapp.com/send?phone=244930823944&amp;text=")</f>
        <v>https://api.whatsapp.com/send?phone=244930823944&amp;text=</v>
      </c>
      <c r="Y2287" s="87" t="s">
        <v>8466</v>
      </c>
      <c r="Z2287" s="87"/>
      <c r="AA2287" s="87" t="s">
        <v>10099</v>
      </c>
      <c r="AB2287" s="87" t="s">
        <v>11448</v>
      </c>
      <c r="AC2287" s="93" t="s">
        <v>11458</v>
      </c>
      <c r="AD2287" s="87" t="s">
        <v>11519</v>
      </c>
      <c r="AE2287" s="92" t="str">
        <f>HYPERLINK("https://twitter.com/pwnluanda/status/1697528766770119045")</f>
        <v>https://twitter.com/pwnluanda/status/1697528766770119045</v>
      </c>
      <c r="AF2287" s="90">
        <v>45170.358460648145</v>
      </c>
      <c r="AG2287" s="99">
        <v>45170</v>
      </c>
      <c r="AH2287" s="93" t="s">
        <v>13608</v>
      </c>
      <c r="AI2287" s="87" t="b">
        <v>0</v>
      </c>
      <c r="AJ2287" s="87"/>
      <c r="AK2287" s="87"/>
      <c r="AL2287" s="87"/>
      <c r="AM2287" s="87"/>
      <c r="AN2287" s="87"/>
      <c r="AO2287" s="87"/>
      <c r="AP2287" s="87"/>
      <c r="AQ2287" s="87" t="s">
        <v>16912</v>
      </c>
      <c r="AR2287" s="87"/>
      <c r="AS2287" s="87"/>
      <c r="AT2287" s="87"/>
      <c r="AU2287" s="87"/>
      <c r="AV2287" s="92" t="str">
        <f>HYPERLINK("https://pbs.twimg.com/media/F47VaQLXMAAqSzN.jpg")</f>
        <v>https://pbs.twimg.com/media/F47VaQLXMAAqSzN.jpg</v>
      </c>
      <c r="AW2287" s="93" t="s">
        <v>20504</v>
      </c>
      <c r="AX2287" s="93" t="s">
        <v>20504</v>
      </c>
      <c r="AY2287" s="87"/>
      <c r="AZ2287" s="93" t="s">
        <v>22668</v>
      </c>
      <c r="BA2287" s="93" t="s">
        <v>22668</v>
      </c>
      <c r="BB2287" s="93" t="s">
        <v>22668</v>
      </c>
      <c r="BC2287" s="93" t="s">
        <v>20504</v>
      </c>
      <c r="BD2287" s="93" t="s">
        <v>23242</v>
      </c>
      <c r="BE2287" s="87"/>
      <c r="BF2287" s="87"/>
      <c r="BG2287" s="87"/>
      <c r="BH2287" s="87"/>
      <c r="BI2287" s="87"/>
    </row>
    <row r="2288" spans="1:61" x14ac:dyDescent="0.25">
      <c r="A2288" s="63" t="s">
        <v>1012</v>
      </c>
      <c r="B2288" s="63" t="s">
        <v>1012</v>
      </c>
      <c r="C2288" s="64"/>
      <c r="D2288" s="65"/>
      <c r="E2288" s="66"/>
      <c r="F2288" s="67"/>
      <c r="G2288" s="64"/>
      <c r="H2288" s="68"/>
      <c r="I2288" s="69"/>
      <c r="J2288" s="69"/>
      <c r="K2288" s="32"/>
      <c r="L2288" s="76">
        <v>2288</v>
      </c>
      <c r="M2288" s="76"/>
      <c r="N2288" s="71"/>
      <c r="O2288" s="87" t="s">
        <v>179</v>
      </c>
      <c r="P2288" s="90">
        <v>45142.43681712963</v>
      </c>
      <c r="Q2288" s="87" t="s">
        <v>4061</v>
      </c>
      <c r="R2288" s="87">
        <v>0</v>
      </c>
      <c r="S2288" s="87">
        <v>0</v>
      </c>
      <c r="T2288" s="87">
        <v>0</v>
      </c>
      <c r="U2288" s="87">
        <v>0</v>
      </c>
      <c r="V2288" s="87">
        <v>20</v>
      </c>
      <c r="W2288" s="93" t="s">
        <v>7345</v>
      </c>
      <c r="X2288" s="92" t="str">
        <f>HYPERLINK("https://api.whatsapp.com/send?phone=244930823944&amp;text=")</f>
        <v>https://api.whatsapp.com/send?phone=244930823944&amp;text=</v>
      </c>
      <c r="Y2288" s="87" t="s">
        <v>8466</v>
      </c>
      <c r="Z2288" s="87"/>
      <c r="AA2288" s="87" t="s">
        <v>10100</v>
      </c>
      <c r="AB2288" s="87" t="s">
        <v>11448</v>
      </c>
      <c r="AC2288" s="93" t="s">
        <v>11458</v>
      </c>
      <c r="AD2288" s="87" t="s">
        <v>11519</v>
      </c>
      <c r="AE2288" s="92" t="str">
        <f>HYPERLINK("https://twitter.com/pwnluanda/status/1687410301585498112")</f>
        <v>https://twitter.com/pwnluanda/status/1687410301585498112</v>
      </c>
      <c r="AF2288" s="90">
        <v>45142.43681712963</v>
      </c>
      <c r="AG2288" s="99">
        <v>45142</v>
      </c>
      <c r="AH2288" s="93" t="s">
        <v>13609</v>
      </c>
      <c r="AI2288" s="87" t="b">
        <v>0</v>
      </c>
      <c r="AJ2288" s="87"/>
      <c r="AK2288" s="87"/>
      <c r="AL2288" s="87"/>
      <c r="AM2288" s="87"/>
      <c r="AN2288" s="87"/>
      <c r="AO2288" s="87"/>
      <c r="AP2288" s="87"/>
      <c r="AQ2288" s="87" t="s">
        <v>16913</v>
      </c>
      <c r="AR2288" s="87"/>
      <c r="AS2288" s="87"/>
      <c r="AT2288" s="87"/>
      <c r="AU2288" s="87"/>
      <c r="AV2288" s="92" t="str">
        <f>HYPERLINK("https://pbs.twimg.com/media/F2riudIXkAAdvfZ.jpg")</f>
        <v>https://pbs.twimg.com/media/F2riudIXkAAdvfZ.jpg</v>
      </c>
      <c r="AW2288" s="93" t="s">
        <v>20505</v>
      </c>
      <c r="AX2288" s="93" t="s">
        <v>20505</v>
      </c>
      <c r="AY2288" s="87"/>
      <c r="AZ2288" s="93" t="s">
        <v>22668</v>
      </c>
      <c r="BA2288" s="93" t="s">
        <v>22668</v>
      </c>
      <c r="BB2288" s="93" t="s">
        <v>22668</v>
      </c>
      <c r="BC2288" s="93" t="s">
        <v>20505</v>
      </c>
      <c r="BD2288" s="93" t="s">
        <v>23242</v>
      </c>
      <c r="BE2288" s="87"/>
      <c r="BF2288" s="87"/>
      <c r="BG2288" s="87"/>
      <c r="BH2288" s="87"/>
      <c r="BI2288" s="87"/>
    </row>
    <row r="2289" spans="1:61" x14ac:dyDescent="0.25">
      <c r="A2289" s="63" t="s">
        <v>1012</v>
      </c>
      <c r="B2289" s="63" t="s">
        <v>1012</v>
      </c>
      <c r="C2289" s="64"/>
      <c r="D2289" s="65"/>
      <c r="E2289" s="66"/>
      <c r="F2289" s="67"/>
      <c r="G2289" s="64"/>
      <c r="H2289" s="68"/>
      <c r="I2289" s="69"/>
      <c r="J2289" s="69"/>
      <c r="K2289" s="32"/>
      <c r="L2289" s="76">
        <v>2289</v>
      </c>
      <c r="M2289" s="76"/>
      <c r="N2289" s="71"/>
      <c r="O2289" s="87" t="s">
        <v>179</v>
      </c>
      <c r="P2289" s="90">
        <v>45189.413865740738</v>
      </c>
      <c r="Q2289" s="87" t="s">
        <v>4062</v>
      </c>
      <c r="R2289" s="87">
        <v>0</v>
      </c>
      <c r="S2289" s="87">
        <v>0</v>
      </c>
      <c r="T2289" s="87">
        <v>0</v>
      </c>
      <c r="U2289" s="87">
        <v>0</v>
      </c>
      <c r="V2289" s="87">
        <v>32</v>
      </c>
      <c r="W2289" s="93" t="s">
        <v>7348</v>
      </c>
      <c r="X2289" s="92" t="str">
        <f>HYPERLINK("https://api.whatsapp.com/send?phone=244930823944&amp;text=")</f>
        <v>https://api.whatsapp.com/send?phone=244930823944&amp;text=</v>
      </c>
      <c r="Y2289" s="87" t="s">
        <v>8466</v>
      </c>
      <c r="Z2289" s="87"/>
      <c r="AA2289" s="87" t="s">
        <v>10101</v>
      </c>
      <c r="AB2289" s="87" t="s">
        <v>11447</v>
      </c>
      <c r="AC2289" s="93" t="s">
        <v>11458</v>
      </c>
      <c r="AD2289" s="87" t="s">
        <v>11519</v>
      </c>
      <c r="AE2289" s="92" t="str">
        <f>HYPERLINK("https://twitter.com/pwnluanda/status/1704434215087907207")</f>
        <v>https://twitter.com/pwnluanda/status/1704434215087907207</v>
      </c>
      <c r="AF2289" s="90">
        <v>45189.413865740738</v>
      </c>
      <c r="AG2289" s="99">
        <v>45189</v>
      </c>
      <c r="AH2289" s="93" t="s">
        <v>13610</v>
      </c>
      <c r="AI2289" s="87" t="b">
        <v>0</v>
      </c>
      <c r="AJ2289" s="87"/>
      <c r="AK2289" s="87"/>
      <c r="AL2289" s="87"/>
      <c r="AM2289" s="87"/>
      <c r="AN2289" s="87"/>
      <c r="AO2289" s="87"/>
      <c r="AP2289" s="87"/>
      <c r="AQ2289" s="87" t="s">
        <v>16914</v>
      </c>
      <c r="AR2289" s="87">
        <v>55000</v>
      </c>
      <c r="AS2289" s="87"/>
      <c r="AT2289" s="87"/>
      <c r="AU2289" s="87"/>
      <c r="AV2289" s="92" t="str">
        <f>HYPERLINK("https://pbs.twimg.com/ext_tw_video_thumb/1704434152207171585/pu/img/QIPZXgHVaD7oMcRI.jpg")</f>
        <v>https://pbs.twimg.com/ext_tw_video_thumb/1704434152207171585/pu/img/QIPZXgHVaD7oMcRI.jpg</v>
      </c>
      <c r="AW2289" s="93" t="s">
        <v>20506</v>
      </c>
      <c r="AX2289" s="93" t="s">
        <v>20506</v>
      </c>
      <c r="AY2289" s="87"/>
      <c r="AZ2289" s="93" t="s">
        <v>22668</v>
      </c>
      <c r="BA2289" s="93" t="s">
        <v>22668</v>
      </c>
      <c r="BB2289" s="93" t="s">
        <v>22668</v>
      </c>
      <c r="BC2289" s="93" t="s">
        <v>20506</v>
      </c>
      <c r="BD2289" s="93" t="s">
        <v>23242</v>
      </c>
      <c r="BE2289" s="87"/>
      <c r="BF2289" s="87"/>
      <c r="BG2289" s="87"/>
      <c r="BH2289" s="87"/>
      <c r="BI2289" s="87"/>
    </row>
    <row r="2290" spans="1:61" x14ac:dyDescent="0.25">
      <c r="A2290" s="63" t="s">
        <v>1012</v>
      </c>
      <c r="B2290" s="63" t="s">
        <v>1012</v>
      </c>
      <c r="C2290" s="64"/>
      <c r="D2290" s="65"/>
      <c r="E2290" s="66"/>
      <c r="F2290" s="67"/>
      <c r="G2290" s="64"/>
      <c r="H2290" s="68"/>
      <c r="I2290" s="69"/>
      <c r="J2290" s="69"/>
      <c r="K2290" s="32"/>
      <c r="L2290" s="76">
        <v>2290</v>
      </c>
      <c r="M2290" s="76"/>
      <c r="N2290" s="71"/>
      <c r="O2290" s="87" t="s">
        <v>179</v>
      </c>
      <c r="P2290" s="90">
        <v>45140.540266203701</v>
      </c>
      <c r="Q2290" s="87" t="s">
        <v>4063</v>
      </c>
      <c r="R2290" s="87">
        <v>0</v>
      </c>
      <c r="S2290" s="87">
        <v>1</v>
      </c>
      <c r="T2290" s="87">
        <v>0</v>
      </c>
      <c r="U2290" s="87">
        <v>0</v>
      </c>
      <c r="V2290" s="87">
        <v>28</v>
      </c>
      <c r="W2290" s="93" t="s">
        <v>7349</v>
      </c>
      <c r="X2290" s="87"/>
      <c r="Y2290" s="87"/>
      <c r="Z2290" s="87"/>
      <c r="AA2290" s="87" t="s">
        <v>10102</v>
      </c>
      <c r="AB2290" s="87" t="s">
        <v>11448</v>
      </c>
      <c r="AC2290" s="93" t="s">
        <v>11458</v>
      </c>
      <c r="AD2290" s="87" t="s">
        <v>11519</v>
      </c>
      <c r="AE2290" s="92" t="str">
        <f>HYPERLINK("https://twitter.com/pwnluanda/status/1686723017819271171")</f>
        <v>https://twitter.com/pwnluanda/status/1686723017819271171</v>
      </c>
      <c r="AF2290" s="90">
        <v>45140.540266203701</v>
      </c>
      <c r="AG2290" s="99">
        <v>45140</v>
      </c>
      <c r="AH2290" s="93" t="s">
        <v>13611</v>
      </c>
      <c r="AI2290" s="87" t="b">
        <v>0</v>
      </c>
      <c r="AJ2290" s="87"/>
      <c r="AK2290" s="87"/>
      <c r="AL2290" s="87"/>
      <c r="AM2290" s="87"/>
      <c r="AN2290" s="87"/>
      <c r="AO2290" s="87"/>
      <c r="AP2290" s="87"/>
      <c r="AQ2290" s="87" t="s">
        <v>16915</v>
      </c>
      <c r="AR2290" s="87"/>
      <c r="AS2290" s="87"/>
      <c r="AT2290" s="87"/>
      <c r="AU2290" s="87"/>
      <c r="AV2290" s="92" t="str">
        <f>HYPERLINK("https://pbs.twimg.com/media/F2hxpOXWYAAbMme.jpg")</f>
        <v>https://pbs.twimg.com/media/F2hxpOXWYAAbMme.jpg</v>
      </c>
      <c r="AW2290" s="93" t="s">
        <v>20507</v>
      </c>
      <c r="AX2290" s="93" t="s">
        <v>20507</v>
      </c>
      <c r="AY2290" s="87"/>
      <c r="AZ2290" s="93" t="s">
        <v>22668</v>
      </c>
      <c r="BA2290" s="93" t="s">
        <v>22668</v>
      </c>
      <c r="BB2290" s="93" t="s">
        <v>22668</v>
      </c>
      <c r="BC2290" s="93" t="s">
        <v>20507</v>
      </c>
      <c r="BD2290" s="93" t="s">
        <v>23242</v>
      </c>
      <c r="BE2290" s="87"/>
      <c r="BF2290" s="87"/>
      <c r="BG2290" s="87"/>
      <c r="BH2290" s="87"/>
      <c r="BI2290" s="87"/>
    </row>
    <row r="2291" spans="1:61" x14ac:dyDescent="0.25">
      <c r="A2291" s="63" t="s">
        <v>1012</v>
      </c>
      <c r="B2291" s="63" t="s">
        <v>1012</v>
      </c>
      <c r="C2291" s="64"/>
      <c r="D2291" s="65"/>
      <c r="E2291" s="66"/>
      <c r="F2291" s="67"/>
      <c r="G2291" s="64"/>
      <c r="H2291" s="68"/>
      <c r="I2291" s="69"/>
      <c r="J2291" s="69"/>
      <c r="K2291" s="32"/>
      <c r="L2291" s="76">
        <v>2291</v>
      </c>
      <c r="M2291" s="76"/>
      <c r="N2291" s="71"/>
      <c r="O2291" s="87" t="s">
        <v>179</v>
      </c>
      <c r="P2291" s="90">
        <v>45190.353692129633</v>
      </c>
      <c r="Q2291" s="87" t="s">
        <v>4064</v>
      </c>
      <c r="R2291" s="87">
        <v>0</v>
      </c>
      <c r="S2291" s="87">
        <v>0</v>
      </c>
      <c r="T2291" s="87">
        <v>0</v>
      </c>
      <c r="U2291" s="87">
        <v>0</v>
      </c>
      <c r="V2291" s="87">
        <v>22</v>
      </c>
      <c r="W2291" s="93" t="s">
        <v>7337</v>
      </c>
      <c r="X2291" s="92" t="str">
        <f>HYPERLINK("https://api.whatsapp.com/send?phone=244930823944&amp;text=")</f>
        <v>https://api.whatsapp.com/send?phone=244930823944&amp;text=</v>
      </c>
      <c r="Y2291" s="87" t="s">
        <v>8466</v>
      </c>
      <c r="Z2291" s="87"/>
      <c r="AA2291" s="87" t="s">
        <v>10103</v>
      </c>
      <c r="AB2291" s="87" t="s">
        <v>11448</v>
      </c>
      <c r="AC2291" s="93" t="s">
        <v>11458</v>
      </c>
      <c r="AD2291" s="87" t="s">
        <v>11519</v>
      </c>
      <c r="AE2291" s="92" t="str">
        <f>HYPERLINK("https://twitter.com/pwnluanda/status/1704774795181588901")</f>
        <v>https://twitter.com/pwnluanda/status/1704774795181588901</v>
      </c>
      <c r="AF2291" s="90">
        <v>45190.353692129633</v>
      </c>
      <c r="AG2291" s="99">
        <v>45190</v>
      </c>
      <c r="AH2291" s="93" t="s">
        <v>13612</v>
      </c>
      <c r="AI2291" s="87" t="b">
        <v>0</v>
      </c>
      <c r="AJ2291" s="87"/>
      <c r="AK2291" s="87"/>
      <c r="AL2291" s="87"/>
      <c r="AM2291" s="87"/>
      <c r="AN2291" s="87"/>
      <c r="AO2291" s="87"/>
      <c r="AP2291" s="87"/>
      <c r="AQ2291" s="87" t="s">
        <v>16916</v>
      </c>
      <c r="AR2291" s="87"/>
      <c r="AS2291" s="87"/>
      <c r="AT2291" s="87"/>
      <c r="AU2291" s="87"/>
      <c r="AV2291" s="92" t="str">
        <f>HYPERLINK("https://pbs.twimg.com/media/F6iToneXsAASF34.jpg")</f>
        <v>https://pbs.twimg.com/media/F6iToneXsAASF34.jpg</v>
      </c>
      <c r="AW2291" s="93" t="s">
        <v>20508</v>
      </c>
      <c r="AX2291" s="93" t="s">
        <v>20508</v>
      </c>
      <c r="AY2291" s="87"/>
      <c r="AZ2291" s="93" t="s">
        <v>22668</v>
      </c>
      <c r="BA2291" s="93" t="s">
        <v>22668</v>
      </c>
      <c r="BB2291" s="93" t="s">
        <v>22668</v>
      </c>
      <c r="BC2291" s="93" t="s">
        <v>20508</v>
      </c>
      <c r="BD2291" s="93" t="s">
        <v>23242</v>
      </c>
      <c r="BE2291" s="87"/>
      <c r="BF2291" s="87"/>
      <c r="BG2291" s="87"/>
      <c r="BH2291" s="87"/>
      <c r="BI2291" s="87"/>
    </row>
    <row r="2292" spans="1:61" x14ac:dyDescent="0.25">
      <c r="A2292" s="63" t="s">
        <v>1012</v>
      </c>
      <c r="B2292" s="63" t="s">
        <v>1012</v>
      </c>
      <c r="C2292" s="64"/>
      <c r="D2292" s="65"/>
      <c r="E2292" s="66"/>
      <c r="F2292" s="67"/>
      <c r="G2292" s="64"/>
      <c r="H2292" s="68"/>
      <c r="I2292" s="69"/>
      <c r="J2292" s="69"/>
      <c r="K2292" s="32"/>
      <c r="L2292" s="76">
        <v>2292</v>
      </c>
      <c r="M2292" s="76"/>
      <c r="N2292" s="71"/>
      <c r="O2292" s="87" t="s">
        <v>179</v>
      </c>
      <c r="P2292" s="90">
        <v>45120.493738425925</v>
      </c>
      <c r="Q2292" s="87" t="s">
        <v>4065</v>
      </c>
      <c r="R2292" s="87">
        <v>0</v>
      </c>
      <c r="S2292" s="87">
        <v>0</v>
      </c>
      <c r="T2292" s="87">
        <v>0</v>
      </c>
      <c r="U2292" s="87">
        <v>0</v>
      </c>
      <c r="V2292" s="87">
        <v>15</v>
      </c>
      <c r="W2292" s="93" t="s">
        <v>7337</v>
      </c>
      <c r="X2292" s="92" t="str">
        <f>HYPERLINK("https://api.whatsapp.com/send?phone=244930823944&amp;text=")</f>
        <v>https://api.whatsapp.com/send?phone=244930823944&amp;text=</v>
      </c>
      <c r="Y2292" s="87" t="s">
        <v>8466</v>
      </c>
      <c r="Z2292" s="87"/>
      <c r="AA2292" s="87" t="s">
        <v>10104</v>
      </c>
      <c r="AB2292" s="87" t="s">
        <v>11447</v>
      </c>
      <c r="AC2292" s="93" t="s">
        <v>11458</v>
      </c>
      <c r="AD2292" s="87" t="s">
        <v>11519</v>
      </c>
      <c r="AE2292" s="92" t="str">
        <f>HYPERLINK("https://twitter.com/pwnluanda/status/1679458398734102530")</f>
        <v>https://twitter.com/pwnluanda/status/1679458398734102530</v>
      </c>
      <c r="AF2292" s="90">
        <v>45120.493738425925</v>
      </c>
      <c r="AG2292" s="99">
        <v>45120</v>
      </c>
      <c r="AH2292" s="93" t="s">
        <v>13613</v>
      </c>
      <c r="AI2292" s="87" t="b">
        <v>0</v>
      </c>
      <c r="AJ2292" s="87"/>
      <c r="AK2292" s="87"/>
      <c r="AL2292" s="87"/>
      <c r="AM2292" s="87"/>
      <c r="AN2292" s="87"/>
      <c r="AO2292" s="87"/>
      <c r="AP2292" s="87"/>
      <c r="AQ2292" s="87" t="s">
        <v>16917</v>
      </c>
      <c r="AR2292" s="87">
        <v>30000</v>
      </c>
      <c r="AS2292" s="87"/>
      <c r="AT2292" s="87"/>
      <c r="AU2292" s="87"/>
      <c r="AV2292" s="92" t="str">
        <f>HYPERLINK("https://pbs.twimg.com/ext_tw_video_thumb/1679458274830065665/pu/img/sUAiO-a0S-Xow1uj.jpg")</f>
        <v>https://pbs.twimg.com/ext_tw_video_thumb/1679458274830065665/pu/img/sUAiO-a0S-Xow1uj.jpg</v>
      </c>
      <c r="AW2292" s="93" t="s">
        <v>20509</v>
      </c>
      <c r="AX2292" s="93" t="s">
        <v>20509</v>
      </c>
      <c r="AY2292" s="87"/>
      <c r="AZ2292" s="93" t="s">
        <v>22668</v>
      </c>
      <c r="BA2292" s="93" t="s">
        <v>22668</v>
      </c>
      <c r="BB2292" s="93" t="s">
        <v>22668</v>
      </c>
      <c r="BC2292" s="93" t="s">
        <v>20509</v>
      </c>
      <c r="BD2292" s="93" t="s">
        <v>23242</v>
      </c>
      <c r="BE2292" s="87"/>
      <c r="BF2292" s="87"/>
      <c r="BG2292" s="87"/>
      <c r="BH2292" s="87"/>
      <c r="BI2292" s="87"/>
    </row>
    <row r="2293" spans="1:61" x14ac:dyDescent="0.25">
      <c r="A2293" s="63" t="s">
        <v>1013</v>
      </c>
      <c r="B2293" s="63" t="s">
        <v>1013</v>
      </c>
      <c r="C2293" s="64"/>
      <c r="D2293" s="65"/>
      <c r="E2293" s="66"/>
      <c r="F2293" s="67"/>
      <c r="G2293" s="64"/>
      <c r="H2293" s="68"/>
      <c r="I2293" s="69"/>
      <c r="J2293" s="69"/>
      <c r="K2293" s="32"/>
      <c r="L2293" s="76">
        <v>2293</v>
      </c>
      <c r="M2293" s="76"/>
      <c r="N2293" s="71"/>
      <c r="O2293" s="87" t="s">
        <v>179</v>
      </c>
      <c r="P2293" s="90">
        <v>45157.687789351854</v>
      </c>
      <c r="Q2293" s="87" t="s">
        <v>4066</v>
      </c>
      <c r="R2293" s="87">
        <v>0</v>
      </c>
      <c r="S2293" s="87">
        <v>0</v>
      </c>
      <c r="T2293" s="87">
        <v>0</v>
      </c>
      <c r="U2293" s="87">
        <v>0</v>
      </c>
      <c r="V2293" s="87">
        <v>88</v>
      </c>
      <c r="W2293" s="93" t="s">
        <v>7350</v>
      </c>
      <c r="X2293" s="87"/>
      <c r="Y2293" s="87"/>
      <c r="Z2293" s="87"/>
      <c r="AA2293" s="87" t="s">
        <v>10105</v>
      </c>
      <c r="AB2293" s="87" t="s">
        <v>11448</v>
      </c>
      <c r="AC2293" s="93" t="s">
        <v>11457</v>
      </c>
      <c r="AD2293" s="87" t="s">
        <v>11519</v>
      </c>
      <c r="AE2293" s="92" t="str">
        <f>HYPERLINK("https://twitter.com/fundacaobb/status/1692937072468726198")</f>
        <v>https://twitter.com/fundacaobb/status/1692937072468726198</v>
      </c>
      <c r="AF2293" s="90">
        <v>45157.687789351854</v>
      </c>
      <c r="AG2293" s="99">
        <v>45157</v>
      </c>
      <c r="AH2293" s="93" t="s">
        <v>13614</v>
      </c>
      <c r="AI2293" s="87" t="b">
        <v>0</v>
      </c>
      <c r="AJ2293" s="87"/>
      <c r="AK2293" s="87"/>
      <c r="AL2293" s="87"/>
      <c r="AM2293" s="87"/>
      <c r="AN2293" s="87"/>
      <c r="AO2293" s="87"/>
      <c r="AP2293" s="87"/>
      <c r="AQ2293" s="87" t="s">
        <v>16918</v>
      </c>
      <c r="AR2293" s="87"/>
      <c r="AS2293" s="87"/>
      <c r="AT2293" s="87"/>
      <c r="AU2293" s="87"/>
      <c r="AV2293" s="92" t="str">
        <f>HYPERLINK("https://pbs.twimg.com/media/F36FSOnXwAALEAa.jpg")</f>
        <v>https://pbs.twimg.com/media/F36FSOnXwAALEAa.jpg</v>
      </c>
      <c r="AW2293" s="93" t="s">
        <v>20510</v>
      </c>
      <c r="AX2293" s="93" t="s">
        <v>20510</v>
      </c>
      <c r="AY2293" s="87"/>
      <c r="AZ2293" s="93" t="s">
        <v>22668</v>
      </c>
      <c r="BA2293" s="93" t="s">
        <v>22668</v>
      </c>
      <c r="BB2293" s="93" t="s">
        <v>22668</v>
      </c>
      <c r="BC2293" s="93" t="s">
        <v>20510</v>
      </c>
      <c r="BD2293" s="87">
        <v>29202690</v>
      </c>
      <c r="BE2293" s="87"/>
      <c r="BF2293" s="87"/>
      <c r="BG2293" s="87"/>
      <c r="BH2293" s="87"/>
      <c r="BI2293" s="87"/>
    </row>
    <row r="2294" spans="1:61" x14ac:dyDescent="0.25">
      <c r="A2294" s="63" t="s">
        <v>1014</v>
      </c>
      <c r="B2294" s="63" t="s">
        <v>1014</v>
      </c>
      <c r="C2294" s="64"/>
      <c r="D2294" s="65"/>
      <c r="E2294" s="66"/>
      <c r="F2294" s="67"/>
      <c r="G2294" s="64"/>
      <c r="H2294" s="68"/>
      <c r="I2294" s="69"/>
      <c r="J2294" s="69"/>
      <c r="K2294" s="32"/>
      <c r="L2294" s="76">
        <v>2294</v>
      </c>
      <c r="M2294" s="76"/>
      <c r="N2294" s="71"/>
      <c r="O2294" s="87" t="s">
        <v>179</v>
      </c>
      <c r="P2294" s="90">
        <v>45182.875</v>
      </c>
      <c r="Q2294" s="87" t="s">
        <v>4067</v>
      </c>
      <c r="R2294" s="87">
        <v>0</v>
      </c>
      <c r="S2294" s="87">
        <v>0</v>
      </c>
      <c r="T2294" s="87">
        <v>0</v>
      </c>
      <c r="U2294" s="87">
        <v>0</v>
      </c>
      <c r="V2294" s="87">
        <v>37</v>
      </c>
      <c r="W2294" s="93" t="s">
        <v>7351</v>
      </c>
      <c r="X2294" s="87"/>
      <c r="Y2294" s="87"/>
      <c r="Z2294" s="87"/>
      <c r="AA2294" s="87" t="s">
        <v>10106</v>
      </c>
      <c r="AB2294" s="87" t="s">
        <v>11451</v>
      </c>
      <c r="AC2294" s="93" t="s">
        <v>11457</v>
      </c>
      <c r="AD2294" s="87" t="s">
        <v>11519</v>
      </c>
      <c r="AE2294" s="92" t="str">
        <f>HYPERLINK("https://twitter.com/freelucasg/status/1702064609560055991")</f>
        <v>https://twitter.com/freelucasg/status/1702064609560055991</v>
      </c>
      <c r="AF2294" s="90">
        <v>45182.875</v>
      </c>
      <c r="AG2294" s="99">
        <v>45182</v>
      </c>
      <c r="AH2294" s="93" t="s">
        <v>12349</v>
      </c>
      <c r="AI2294" s="87" t="b">
        <v>0</v>
      </c>
      <c r="AJ2294" s="87"/>
      <c r="AK2294" s="87"/>
      <c r="AL2294" s="87"/>
      <c r="AM2294" s="87"/>
      <c r="AN2294" s="87"/>
      <c r="AO2294" s="87"/>
      <c r="AP2294" s="87"/>
      <c r="AQ2294" s="87" t="s">
        <v>16919</v>
      </c>
      <c r="AR2294" s="87"/>
      <c r="AS2294" s="87"/>
      <c r="AT2294" s="87"/>
      <c r="AU2294" s="87"/>
      <c r="AV2294" s="92" t="str">
        <f>HYPERLINK("https://pbs.twimg.com/media/F51-PjBXYAAXQJK.jpg")</f>
        <v>https://pbs.twimg.com/media/F51-PjBXYAAXQJK.jpg</v>
      </c>
      <c r="AW2294" s="93" t="s">
        <v>20511</v>
      </c>
      <c r="AX2294" s="93" t="s">
        <v>20511</v>
      </c>
      <c r="AY2294" s="87"/>
      <c r="AZ2294" s="93" t="s">
        <v>22668</v>
      </c>
      <c r="BA2294" s="93" t="s">
        <v>22668</v>
      </c>
      <c r="BB2294" s="93" t="s">
        <v>22668</v>
      </c>
      <c r="BC2294" s="93" t="s">
        <v>20511</v>
      </c>
      <c r="BD2294" s="87">
        <v>517753483</v>
      </c>
      <c r="BE2294" s="87"/>
      <c r="BF2294" s="87"/>
      <c r="BG2294" s="87"/>
      <c r="BH2294" s="87"/>
      <c r="BI2294" s="87"/>
    </row>
    <row r="2295" spans="1:61" x14ac:dyDescent="0.25">
      <c r="A2295" s="63" t="s">
        <v>1015</v>
      </c>
      <c r="B2295" s="63" t="s">
        <v>1015</v>
      </c>
      <c r="C2295" s="64"/>
      <c r="D2295" s="65"/>
      <c r="E2295" s="66"/>
      <c r="F2295" s="67"/>
      <c r="G2295" s="64"/>
      <c r="H2295" s="68"/>
      <c r="I2295" s="69"/>
      <c r="J2295" s="69"/>
      <c r="K2295" s="32"/>
      <c r="L2295" s="76">
        <v>2295</v>
      </c>
      <c r="M2295" s="76"/>
      <c r="N2295" s="71"/>
      <c r="O2295" s="87" t="s">
        <v>179</v>
      </c>
      <c r="P2295" s="90">
        <v>45113.441770833335</v>
      </c>
      <c r="Q2295" s="87" t="s">
        <v>4068</v>
      </c>
      <c r="R2295" s="87">
        <v>0</v>
      </c>
      <c r="S2295" s="87">
        <v>0</v>
      </c>
      <c r="T2295" s="87">
        <v>0</v>
      </c>
      <c r="U2295" s="87">
        <v>0</v>
      </c>
      <c r="V2295" s="87">
        <v>3</v>
      </c>
      <c r="W2295" s="93" t="s">
        <v>7352</v>
      </c>
      <c r="X2295" s="92" t="str">
        <f>HYPERLINK("https://www.instagram.com/p/Cs_t6b4tY63/?igshid=MTVlNTYxMjY2ZQ==")</f>
        <v>https://www.instagram.com/p/Cs_t6b4tY63/?igshid=MTVlNTYxMjY2ZQ==</v>
      </c>
      <c r="Y2295" s="87" t="s">
        <v>8383</v>
      </c>
      <c r="Z2295" s="87"/>
      <c r="AA2295" s="87"/>
      <c r="AB2295" s="87"/>
      <c r="AC2295" s="93" t="s">
        <v>11459</v>
      </c>
      <c r="AD2295" s="87" t="s">
        <v>11519</v>
      </c>
      <c r="AE2295" s="92" t="str">
        <f>HYPERLINK("https://twitter.com/luzimarcarp/status/1676902851178643456")</f>
        <v>https://twitter.com/luzimarcarp/status/1676902851178643456</v>
      </c>
      <c r="AF2295" s="90">
        <v>45113.441770833335</v>
      </c>
      <c r="AG2295" s="99">
        <v>45113</v>
      </c>
      <c r="AH2295" s="93" t="s">
        <v>13615</v>
      </c>
      <c r="AI2295" s="87" t="b">
        <v>0</v>
      </c>
      <c r="AJ2295" s="87"/>
      <c r="AK2295" s="87"/>
      <c r="AL2295" s="87"/>
      <c r="AM2295" s="87"/>
      <c r="AN2295" s="87"/>
      <c r="AO2295" s="87"/>
      <c r="AP2295" s="87"/>
      <c r="AQ2295" s="87"/>
      <c r="AR2295" s="87"/>
      <c r="AS2295" s="87"/>
      <c r="AT2295" s="87"/>
      <c r="AU2295" s="87"/>
      <c r="AV2295" s="92" t="str">
        <f>HYPERLINK("https://pbs.twimg.com/profile_images/1383177189080850433/Y-ukVh3n_normal.jpg")</f>
        <v>https://pbs.twimg.com/profile_images/1383177189080850433/Y-ukVh3n_normal.jpg</v>
      </c>
      <c r="AW2295" s="93" t="s">
        <v>20512</v>
      </c>
      <c r="AX2295" s="93" t="s">
        <v>20512</v>
      </c>
      <c r="AY2295" s="87"/>
      <c r="AZ2295" s="93" t="s">
        <v>22668</v>
      </c>
      <c r="BA2295" s="93" t="s">
        <v>22668</v>
      </c>
      <c r="BB2295" s="93" t="s">
        <v>22668</v>
      </c>
      <c r="BC2295" s="93" t="s">
        <v>20512</v>
      </c>
      <c r="BD2295" s="87">
        <v>45130694</v>
      </c>
      <c r="BE2295" s="87"/>
      <c r="BF2295" s="87"/>
      <c r="BG2295" s="87"/>
      <c r="BH2295" s="87"/>
      <c r="BI2295" s="87"/>
    </row>
    <row r="2296" spans="1:61" x14ac:dyDescent="0.25">
      <c r="A2296" s="63" t="s">
        <v>1016</v>
      </c>
      <c r="B2296" s="63" t="s">
        <v>1016</v>
      </c>
      <c r="C2296" s="64"/>
      <c r="D2296" s="65"/>
      <c r="E2296" s="66"/>
      <c r="F2296" s="67"/>
      <c r="G2296" s="64"/>
      <c r="H2296" s="68"/>
      <c r="I2296" s="69"/>
      <c r="J2296" s="69"/>
      <c r="K2296" s="32"/>
      <c r="L2296" s="76">
        <v>2296</v>
      </c>
      <c r="M2296" s="76"/>
      <c r="N2296" s="71"/>
      <c r="O2296" s="87" t="s">
        <v>179</v>
      </c>
      <c r="P2296" s="90">
        <v>45168.612303240741</v>
      </c>
      <c r="Q2296" s="87" t="s">
        <v>4069</v>
      </c>
      <c r="R2296" s="87">
        <v>0</v>
      </c>
      <c r="S2296" s="87">
        <v>0</v>
      </c>
      <c r="T2296" s="87">
        <v>0</v>
      </c>
      <c r="U2296" s="87">
        <v>0</v>
      </c>
      <c r="V2296" s="87">
        <v>46</v>
      </c>
      <c r="W2296" s="93" t="s">
        <v>7353</v>
      </c>
      <c r="X2296" s="92" t="str">
        <f>HYPERLINK("https://brasilmineral.com.br/noticias/anglogold-ashanti-apoia-projeto-de-cosmeticos-em-sabara")</f>
        <v>https://brasilmineral.com.br/noticias/anglogold-ashanti-apoia-projeto-de-cosmeticos-em-sabara</v>
      </c>
      <c r="Y2296" s="87" t="s">
        <v>8373</v>
      </c>
      <c r="Z2296" s="87"/>
      <c r="AA2296" s="87" t="s">
        <v>10107</v>
      </c>
      <c r="AB2296" s="87" t="s">
        <v>11448</v>
      </c>
      <c r="AC2296" s="93" t="s">
        <v>11457</v>
      </c>
      <c r="AD2296" s="87" t="s">
        <v>11519</v>
      </c>
      <c r="AE2296" s="92" t="str">
        <f>HYPERLINK("https://twitter.com/rev_sambiental/status/1696895980887519358")</f>
        <v>https://twitter.com/rev_sambiental/status/1696895980887519358</v>
      </c>
      <c r="AF2296" s="90">
        <v>45168.612303240741</v>
      </c>
      <c r="AG2296" s="99">
        <v>45168</v>
      </c>
      <c r="AH2296" s="93" t="s">
        <v>13616</v>
      </c>
      <c r="AI2296" s="87" t="b">
        <v>0</v>
      </c>
      <c r="AJ2296" s="87"/>
      <c r="AK2296" s="87"/>
      <c r="AL2296" s="87"/>
      <c r="AM2296" s="87"/>
      <c r="AN2296" s="87"/>
      <c r="AO2296" s="87"/>
      <c r="AP2296" s="87"/>
      <c r="AQ2296" s="87" t="s">
        <v>16920</v>
      </c>
      <c r="AR2296" s="87"/>
      <c r="AS2296" s="87"/>
      <c r="AT2296" s="87"/>
      <c r="AU2296" s="87"/>
      <c r="AV2296" s="92" t="str">
        <f>HYPERLINK("https://pbs.twimg.com/media/F4yV47TWYAAGBcV.jpg")</f>
        <v>https://pbs.twimg.com/media/F4yV47TWYAAGBcV.jpg</v>
      </c>
      <c r="AW2296" s="93" t="s">
        <v>20513</v>
      </c>
      <c r="AX2296" s="93" t="s">
        <v>20513</v>
      </c>
      <c r="AY2296" s="87"/>
      <c r="AZ2296" s="93" t="s">
        <v>22668</v>
      </c>
      <c r="BA2296" s="93" t="s">
        <v>22668</v>
      </c>
      <c r="BB2296" s="93" t="s">
        <v>22668</v>
      </c>
      <c r="BC2296" s="93" t="s">
        <v>20513</v>
      </c>
      <c r="BD2296" s="93" t="s">
        <v>23243</v>
      </c>
      <c r="BE2296" s="87"/>
      <c r="BF2296" s="87"/>
      <c r="BG2296" s="87"/>
      <c r="BH2296" s="87"/>
      <c r="BI2296" s="87"/>
    </row>
    <row r="2297" spans="1:61" x14ac:dyDescent="0.25">
      <c r="A2297" s="63" t="s">
        <v>1017</v>
      </c>
      <c r="B2297" s="63" t="s">
        <v>1017</v>
      </c>
      <c r="C2297" s="64"/>
      <c r="D2297" s="65"/>
      <c r="E2297" s="66"/>
      <c r="F2297" s="67"/>
      <c r="G2297" s="64"/>
      <c r="H2297" s="68"/>
      <c r="I2297" s="69"/>
      <c r="J2297" s="69"/>
      <c r="K2297" s="32"/>
      <c r="L2297" s="76">
        <v>2297</v>
      </c>
      <c r="M2297" s="76"/>
      <c r="N2297" s="71"/>
      <c r="O2297" s="87" t="s">
        <v>179</v>
      </c>
      <c r="P2297" s="90">
        <v>45174.49113425926</v>
      </c>
      <c r="Q2297" s="87" t="s">
        <v>4070</v>
      </c>
      <c r="R2297" s="87">
        <v>0</v>
      </c>
      <c r="S2297" s="87">
        <v>0</v>
      </c>
      <c r="T2297" s="87">
        <v>0</v>
      </c>
      <c r="U2297" s="87">
        <v>0</v>
      </c>
      <c r="V2297" s="87">
        <v>51</v>
      </c>
      <c r="W2297" s="93" t="s">
        <v>7354</v>
      </c>
      <c r="X2297" s="92" t="str">
        <f>HYPERLINK("https://pitch.com/templates/Pitch-Deck-7SS9bG4Uyu3h5LAXuW0esD2a")</f>
        <v>https://pitch.com/templates/Pitch-Deck-7SS9bG4Uyu3h5LAXuW0esD2a</v>
      </c>
      <c r="Y2297" s="87" t="s">
        <v>8493</v>
      </c>
      <c r="Z2297" s="87"/>
      <c r="AA2297" s="87" t="s">
        <v>10108</v>
      </c>
      <c r="AB2297" s="87" t="s">
        <v>11448</v>
      </c>
      <c r="AC2297" s="93" t="s">
        <v>11499</v>
      </c>
      <c r="AD2297" s="87" t="s">
        <v>11519</v>
      </c>
      <c r="AE2297" s="92" t="str">
        <f>HYPERLINK("https://twitter.com/caboverdigital/status/1699026397748928752")</f>
        <v>https://twitter.com/caboverdigital/status/1699026397748928752</v>
      </c>
      <c r="AF2297" s="90">
        <v>45174.49113425926</v>
      </c>
      <c r="AG2297" s="99">
        <v>45174</v>
      </c>
      <c r="AH2297" s="93" t="s">
        <v>13617</v>
      </c>
      <c r="AI2297" s="87" t="b">
        <v>0</v>
      </c>
      <c r="AJ2297" s="87"/>
      <c r="AK2297" s="87"/>
      <c r="AL2297" s="87"/>
      <c r="AM2297" s="87"/>
      <c r="AN2297" s="87"/>
      <c r="AO2297" s="87"/>
      <c r="AP2297" s="87"/>
      <c r="AQ2297" s="87" t="s">
        <v>16921</v>
      </c>
      <c r="AR2297" s="87"/>
      <c r="AS2297" s="87"/>
      <c r="AT2297" s="87"/>
      <c r="AU2297" s="87"/>
      <c r="AV2297" s="92" t="str">
        <f>HYPERLINK("https://pbs.twimg.com/media/F5QngNmWsAEf_KU.jpg")</f>
        <v>https://pbs.twimg.com/media/F5QngNmWsAEf_KU.jpg</v>
      </c>
      <c r="AW2297" s="93" t="s">
        <v>20514</v>
      </c>
      <c r="AX2297" s="93" t="s">
        <v>20514</v>
      </c>
      <c r="AY2297" s="87"/>
      <c r="AZ2297" s="93" t="s">
        <v>22668</v>
      </c>
      <c r="BA2297" s="93" t="s">
        <v>22668</v>
      </c>
      <c r="BB2297" s="93" t="s">
        <v>22668</v>
      </c>
      <c r="BC2297" s="93" t="s">
        <v>20514</v>
      </c>
      <c r="BD2297" s="93" t="s">
        <v>23244</v>
      </c>
      <c r="BE2297" s="87"/>
      <c r="BF2297" s="87"/>
      <c r="BG2297" s="87"/>
      <c r="BH2297" s="87"/>
      <c r="BI2297" s="87"/>
    </row>
    <row r="2298" spans="1:61" x14ac:dyDescent="0.25">
      <c r="A2298" s="63" t="s">
        <v>1018</v>
      </c>
      <c r="B2298" s="63" t="s">
        <v>1018</v>
      </c>
      <c r="C2298" s="64"/>
      <c r="D2298" s="65"/>
      <c r="E2298" s="66"/>
      <c r="F2298" s="67"/>
      <c r="G2298" s="64"/>
      <c r="H2298" s="68"/>
      <c r="I2298" s="69"/>
      <c r="J2298" s="69"/>
      <c r="K2298" s="32"/>
      <c r="L2298" s="76">
        <v>2298</v>
      </c>
      <c r="M2298" s="76"/>
      <c r="N2298" s="71"/>
      <c r="O2298" s="87" t="s">
        <v>179</v>
      </c>
      <c r="P2298" s="90">
        <v>45116.137650462966</v>
      </c>
      <c r="Q2298" s="87" t="s">
        <v>4071</v>
      </c>
      <c r="R2298" s="87">
        <v>0</v>
      </c>
      <c r="S2298" s="87">
        <v>0</v>
      </c>
      <c r="T2298" s="87">
        <v>0</v>
      </c>
      <c r="U2298" s="87">
        <v>0</v>
      </c>
      <c r="V2298" s="87">
        <v>16</v>
      </c>
      <c r="W2298" s="93" t="s">
        <v>7355</v>
      </c>
      <c r="X2298" s="87"/>
      <c r="Y2298" s="87"/>
      <c r="Z2298" s="87"/>
      <c r="AA2298" s="87" t="s">
        <v>10109</v>
      </c>
      <c r="AB2298" s="87" t="s">
        <v>11449</v>
      </c>
      <c r="AC2298" s="93" t="s">
        <v>11458</v>
      </c>
      <c r="AD2298" s="87" t="s">
        <v>11520</v>
      </c>
      <c r="AE2298" s="92" t="str">
        <f>HYPERLINK("https://twitter.com/renanbarbalho_/status/1677879803293171713")</f>
        <v>https://twitter.com/renanbarbalho_/status/1677879803293171713</v>
      </c>
      <c r="AF2298" s="90">
        <v>45116.137650462966</v>
      </c>
      <c r="AG2298" s="99">
        <v>45116</v>
      </c>
      <c r="AH2298" s="93" t="s">
        <v>13618</v>
      </c>
      <c r="AI2298" s="87" t="b">
        <v>0</v>
      </c>
      <c r="AJ2298" s="87"/>
      <c r="AK2298" s="87"/>
      <c r="AL2298" s="87"/>
      <c r="AM2298" s="87"/>
      <c r="AN2298" s="87"/>
      <c r="AO2298" s="87"/>
      <c r="AP2298" s="87"/>
      <c r="AQ2298" s="87" t="s">
        <v>16922</v>
      </c>
      <c r="AR2298" s="87"/>
      <c r="AS2298" s="87"/>
      <c r="AT2298" s="87"/>
      <c r="AU2298" s="87"/>
      <c r="AV2298" s="92" t="str">
        <f>HYPERLINK("https://pbs.twimg.com/media/F0kGyKtWcAAettb.jpg")</f>
        <v>https://pbs.twimg.com/media/F0kGyKtWcAAettb.jpg</v>
      </c>
      <c r="AW2298" s="93" t="s">
        <v>20515</v>
      </c>
      <c r="AX2298" s="93" t="s">
        <v>20515</v>
      </c>
      <c r="AY2298" s="87"/>
      <c r="AZ2298" s="93" t="s">
        <v>22668</v>
      </c>
      <c r="BA2298" s="93" t="s">
        <v>22668</v>
      </c>
      <c r="BB2298" s="93" t="s">
        <v>22668</v>
      </c>
      <c r="BC2298" s="93" t="s">
        <v>20515</v>
      </c>
      <c r="BD2298" s="93" t="s">
        <v>23245</v>
      </c>
      <c r="BE2298" s="87"/>
      <c r="BF2298" s="87"/>
      <c r="BG2298" s="87"/>
      <c r="BH2298" s="87"/>
      <c r="BI2298" s="87"/>
    </row>
    <row r="2299" spans="1:61" x14ac:dyDescent="0.25">
      <c r="A2299" s="63" t="s">
        <v>1018</v>
      </c>
      <c r="B2299" s="63" t="s">
        <v>1018</v>
      </c>
      <c r="C2299" s="64"/>
      <c r="D2299" s="65"/>
      <c r="E2299" s="66"/>
      <c r="F2299" s="67"/>
      <c r="G2299" s="64"/>
      <c r="H2299" s="68"/>
      <c r="I2299" s="69"/>
      <c r="J2299" s="69"/>
      <c r="K2299" s="32"/>
      <c r="L2299" s="76">
        <v>2299</v>
      </c>
      <c r="M2299" s="76"/>
      <c r="N2299" s="71"/>
      <c r="O2299" s="87" t="s">
        <v>179</v>
      </c>
      <c r="P2299" s="90">
        <v>45127.804884259262</v>
      </c>
      <c r="Q2299" s="87" t="s">
        <v>4072</v>
      </c>
      <c r="R2299" s="87">
        <v>0</v>
      </c>
      <c r="S2299" s="87">
        <v>0</v>
      </c>
      <c r="T2299" s="87">
        <v>0</v>
      </c>
      <c r="U2299" s="87">
        <v>0</v>
      </c>
      <c r="V2299" s="87">
        <v>17</v>
      </c>
      <c r="W2299" s="93" t="s">
        <v>7356</v>
      </c>
      <c r="X2299" s="87"/>
      <c r="Y2299" s="87"/>
      <c r="Z2299" s="87"/>
      <c r="AA2299" s="87" t="s">
        <v>10110</v>
      </c>
      <c r="AB2299" s="87" t="s">
        <v>11449</v>
      </c>
      <c r="AC2299" s="93" t="s">
        <v>11458</v>
      </c>
      <c r="AD2299" s="87" t="s">
        <v>11520</v>
      </c>
      <c r="AE2299" s="92" t="str">
        <f>HYPERLINK("https://twitter.com/renanbarbalho_/status/1682107869028659203")</f>
        <v>https://twitter.com/renanbarbalho_/status/1682107869028659203</v>
      </c>
      <c r="AF2299" s="90">
        <v>45127.804884259262</v>
      </c>
      <c r="AG2299" s="99">
        <v>45127</v>
      </c>
      <c r="AH2299" s="93" t="s">
        <v>12714</v>
      </c>
      <c r="AI2299" s="87" t="b">
        <v>0</v>
      </c>
      <c r="AJ2299" s="87"/>
      <c r="AK2299" s="87"/>
      <c r="AL2299" s="87"/>
      <c r="AM2299" s="87"/>
      <c r="AN2299" s="87"/>
      <c r="AO2299" s="87"/>
      <c r="AP2299" s="87"/>
      <c r="AQ2299" s="87" t="s">
        <v>16923</v>
      </c>
      <c r="AR2299" s="87"/>
      <c r="AS2299" s="87"/>
      <c r="AT2299" s="87"/>
      <c r="AU2299" s="87"/>
      <c r="AV2299" s="92" t="str">
        <f>HYPERLINK("https://pbs.twimg.com/media/F1gMMGyWcAAJQ2z.jpg")</f>
        <v>https://pbs.twimg.com/media/F1gMMGyWcAAJQ2z.jpg</v>
      </c>
      <c r="AW2299" s="93" t="s">
        <v>20516</v>
      </c>
      <c r="AX2299" s="93" t="s">
        <v>20516</v>
      </c>
      <c r="AY2299" s="87"/>
      <c r="AZ2299" s="93" t="s">
        <v>22668</v>
      </c>
      <c r="BA2299" s="93" t="s">
        <v>22668</v>
      </c>
      <c r="BB2299" s="93" t="s">
        <v>22668</v>
      </c>
      <c r="BC2299" s="93" t="s">
        <v>20516</v>
      </c>
      <c r="BD2299" s="93" t="s">
        <v>23245</v>
      </c>
      <c r="BE2299" s="87"/>
      <c r="BF2299" s="87"/>
      <c r="BG2299" s="87"/>
      <c r="BH2299" s="87"/>
      <c r="BI2299" s="87"/>
    </row>
    <row r="2300" spans="1:61" x14ac:dyDescent="0.25">
      <c r="A2300" s="63" t="s">
        <v>1018</v>
      </c>
      <c r="B2300" s="63" t="s">
        <v>1018</v>
      </c>
      <c r="C2300" s="64"/>
      <c r="D2300" s="65"/>
      <c r="E2300" s="66"/>
      <c r="F2300" s="67"/>
      <c r="G2300" s="64"/>
      <c r="H2300" s="68"/>
      <c r="I2300" s="69"/>
      <c r="J2300" s="69"/>
      <c r="K2300" s="32"/>
      <c r="L2300" s="76">
        <v>2300</v>
      </c>
      <c r="M2300" s="76"/>
      <c r="N2300" s="71"/>
      <c r="O2300" s="87" t="s">
        <v>179</v>
      </c>
      <c r="P2300" s="90">
        <v>45139.872789351852</v>
      </c>
      <c r="Q2300" s="87" t="s">
        <v>4073</v>
      </c>
      <c r="R2300" s="87">
        <v>0</v>
      </c>
      <c r="S2300" s="87">
        <v>1</v>
      </c>
      <c r="T2300" s="87">
        <v>0</v>
      </c>
      <c r="U2300" s="87">
        <v>0</v>
      </c>
      <c r="V2300" s="87">
        <v>27</v>
      </c>
      <c r="W2300" s="93" t="s">
        <v>7357</v>
      </c>
      <c r="X2300" s="87"/>
      <c r="Y2300" s="87"/>
      <c r="Z2300" s="87"/>
      <c r="AA2300" s="87" t="s">
        <v>10111</v>
      </c>
      <c r="AB2300" s="87" t="s">
        <v>11447</v>
      </c>
      <c r="AC2300" s="93" t="s">
        <v>11458</v>
      </c>
      <c r="AD2300" s="87" t="s">
        <v>11519</v>
      </c>
      <c r="AE2300" s="92" t="str">
        <f>HYPERLINK("https://twitter.com/renanbarbalho_/status/1686481129098887168")</f>
        <v>https://twitter.com/renanbarbalho_/status/1686481129098887168</v>
      </c>
      <c r="AF2300" s="90">
        <v>45139.872789351852</v>
      </c>
      <c r="AG2300" s="99">
        <v>45139</v>
      </c>
      <c r="AH2300" s="93" t="s">
        <v>13619</v>
      </c>
      <c r="AI2300" s="87" t="b">
        <v>0</v>
      </c>
      <c r="AJ2300" s="87"/>
      <c r="AK2300" s="87"/>
      <c r="AL2300" s="87"/>
      <c r="AM2300" s="87"/>
      <c r="AN2300" s="87"/>
      <c r="AO2300" s="87"/>
      <c r="AP2300" s="87"/>
      <c r="AQ2300" s="87" t="s">
        <v>16924</v>
      </c>
      <c r="AR2300" s="87">
        <v>26566</v>
      </c>
      <c r="AS2300" s="87"/>
      <c r="AT2300" s="87"/>
      <c r="AU2300" s="87"/>
      <c r="AV2300" s="92" t="str">
        <f>HYPERLINK("https://pbs.twimg.com/ext_tw_video_thumb/1686481008214818816/pu/img/OwUJW0v-u8VIxf8J.jpg")</f>
        <v>https://pbs.twimg.com/ext_tw_video_thumb/1686481008214818816/pu/img/OwUJW0v-u8VIxf8J.jpg</v>
      </c>
      <c r="AW2300" s="93" t="s">
        <v>20517</v>
      </c>
      <c r="AX2300" s="93" t="s">
        <v>20517</v>
      </c>
      <c r="AY2300" s="87"/>
      <c r="AZ2300" s="93" t="s">
        <v>22668</v>
      </c>
      <c r="BA2300" s="93" t="s">
        <v>22668</v>
      </c>
      <c r="BB2300" s="93" t="s">
        <v>22668</v>
      </c>
      <c r="BC2300" s="93" t="s">
        <v>20517</v>
      </c>
      <c r="BD2300" s="93" t="s">
        <v>23245</v>
      </c>
      <c r="BE2300" s="87"/>
      <c r="BF2300" s="87"/>
      <c r="BG2300" s="87"/>
      <c r="BH2300" s="87"/>
      <c r="BI2300" s="87"/>
    </row>
    <row r="2301" spans="1:61" x14ac:dyDescent="0.25">
      <c r="A2301" s="63" t="s">
        <v>1018</v>
      </c>
      <c r="B2301" s="63" t="s">
        <v>1018</v>
      </c>
      <c r="C2301" s="64"/>
      <c r="D2301" s="65"/>
      <c r="E2301" s="66"/>
      <c r="F2301" s="67"/>
      <c r="G2301" s="64"/>
      <c r="H2301" s="68"/>
      <c r="I2301" s="69"/>
      <c r="J2301" s="69"/>
      <c r="K2301" s="32"/>
      <c r="L2301" s="76">
        <v>2301</v>
      </c>
      <c r="M2301" s="76"/>
      <c r="N2301" s="71"/>
      <c r="O2301" s="87" t="s">
        <v>179</v>
      </c>
      <c r="P2301" s="90">
        <v>45177.080266203702</v>
      </c>
      <c r="Q2301" s="87" t="s">
        <v>4074</v>
      </c>
      <c r="R2301" s="87">
        <v>0</v>
      </c>
      <c r="S2301" s="87">
        <v>0</v>
      </c>
      <c r="T2301" s="87">
        <v>0</v>
      </c>
      <c r="U2301" s="87">
        <v>0</v>
      </c>
      <c r="V2301" s="87">
        <v>21</v>
      </c>
      <c r="W2301" s="93" t="s">
        <v>7358</v>
      </c>
      <c r="X2301" s="87"/>
      <c r="Y2301" s="87"/>
      <c r="Z2301" s="87"/>
      <c r="AA2301" s="87" t="s">
        <v>10112</v>
      </c>
      <c r="AB2301" s="87" t="s">
        <v>11447</v>
      </c>
      <c r="AC2301" s="93" t="s">
        <v>11458</v>
      </c>
      <c r="AD2301" s="87" t="s">
        <v>11519</v>
      </c>
      <c r="AE2301" s="92" t="str">
        <f>HYPERLINK("https://twitter.com/renanbarbalho_/status/1699964668998041883")</f>
        <v>https://twitter.com/renanbarbalho_/status/1699964668998041883</v>
      </c>
      <c r="AF2301" s="90">
        <v>45177.080266203702</v>
      </c>
      <c r="AG2301" s="99">
        <v>45177</v>
      </c>
      <c r="AH2301" s="93" t="s">
        <v>13620</v>
      </c>
      <c r="AI2301" s="87" t="b">
        <v>0</v>
      </c>
      <c r="AJ2301" s="87"/>
      <c r="AK2301" s="87"/>
      <c r="AL2301" s="87"/>
      <c r="AM2301" s="87"/>
      <c r="AN2301" s="87"/>
      <c r="AO2301" s="87"/>
      <c r="AP2301" s="87"/>
      <c r="AQ2301" s="87" t="s">
        <v>16925</v>
      </c>
      <c r="AR2301" s="87">
        <v>41233</v>
      </c>
      <c r="AS2301" s="87"/>
      <c r="AT2301" s="87"/>
      <c r="AU2301" s="87"/>
      <c r="AV2301" s="92" t="str">
        <f>HYPERLINK("https://pbs.twimg.com/ext_tw_video_thumb/1699964611175337984/pu/img/E7QVhc77q1alBmfs.jpg")</f>
        <v>https://pbs.twimg.com/ext_tw_video_thumb/1699964611175337984/pu/img/E7QVhc77q1alBmfs.jpg</v>
      </c>
      <c r="AW2301" s="93" t="s">
        <v>20518</v>
      </c>
      <c r="AX2301" s="93" t="s">
        <v>20518</v>
      </c>
      <c r="AY2301" s="87"/>
      <c r="AZ2301" s="93" t="s">
        <v>22668</v>
      </c>
      <c r="BA2301" s="93" t="s">
        <v>22668</v>
      </c>
      <c r="BB2301" s="93" t="s">
        <v>22668</v>
      </c>
      <c r="BC2301" s="93" t="s">
        <v>20518</v>
      </c>
      <c r="BD2301" s="93" t="s">
        <v>23245</v>
      </c>
      <c r="BE2301" s="87"/>
      <c r="BF2301" s="87"/>
      <c r="BG2301" s="87"/>
      <c r="BH2301" s="87"/>
      <c r="BI2301" s="87"/>
    </row>
    <row r="2302" spans="1:61" x14ac:dyDescent="0.25">
      <c r="A2302" s="63" t="s">
        <v>1018</v>
      </c>
      <c r="B2302" s="63" t="s">
        <v>1018</v>
      </c>
      <c r="C2302" s="64"/>
      <c r="D2302" s="65"/>
      <c r="E2302" s="66"/>
      <c r="F2302" s="67"/>
      <c r="G2302" s="64"/>
      <c r="H2302" s="68"/>
      <c r="I2302" s="69"/>
      <c r="J2302" s="69"/>
      <c r="K2302" s="32"/>
      <c r="L2302" s="76">
        <v>2302</v>
      </c>
      <c r="M2302" s="76"/>
      <c r="N2302" s="71"/>
      <c r="O2302" s="87" t="s">
        <v>179</v>
      </c>
      <c r="P2302" s="90">
        <v>45177.91810185185</v>
      </c>
      <c r="Q2302" s="87" t="s">
        <v>4075</v>
      </c>
      <c r="R2302" s="87">
        <v>0</v>
      </c>
      <c r="S2302" s="87">
        <v>0</v>
      </c>
      <c r="T2302" s="87">
        <v>0</v>
      </c>
      <c r="U2302" s="87">
        <v>0</v>
      </c>
      <c r="V2302" s="87">
        <v>13</v>
      </c>
      <c r="W2302" s="93" t="s">
        <v>7359</v>
      </c>
      <c r="X2302" s="87"/>
      <c r="Y2302" s="87"/>
      <c r="Z2302" s="87"/>
      <c r="AA2302" s="87" t="s">
        <v>10113</v>
      </c>
      <c r="AB2302" s="87" t="s">
        <v>11448</v>
      </c>
      <c r="AC2302" s="93" t="s">
        <v>11458</v>
      </c>
      <c r="AD2302" s="87" t="s">
        <v>11519</v>
      </c>
      <c r="AE2302" s="92" t="str">
        <f>HYPERLINK("https://twitter.com/renanbarbalho_/status/1700268290671800671")</f>
        <v>https://twitter.com/renanbarbalho_/status/1700268290671800671</v>
      </c>
      <c r="AF2302" s="90">
        <v>45177.91810185185</v>
      </c>
      <c r="AG2302" s="99">
        <v>45177</v>
      </c>
      <c r="AH2302" s="93" t="s">
        <v>13621</v>
      </c>
      <c r="AI2302" s="87" t="b">
        <v>0</v>
      </c>
      <c r="AJ2302" s="87"/>
      <c r="AK2302" s="87"/>
      <c r="AL2302" s="87"/>
      <c r="AM2302" s="87"/>
      <c r="AN2302" s="87"/>
      <c r="AO2302" s="87"/>
      <c r="AP2302" s="87"/>
      <c r="AQ2302" s="87" t="s">
        <v>16926</v>
      </c>
      <c r="AR2302" s="87"/>
      <c r="AS2302" s="87"/>
      <c r="AT2302" s="87"/>
      <c r="AU2302" s="87"/>
      <c r="AV2302" s="92" t="str">
        <f>HYPERLINK("https://pbs.twimg.com/media/F5iQ_l9XkAAQ5Mg.jpg")</f>
        <v>https://pbs.twimg.com/media/F5iQ_l9XkAAQ5Mg.jpg</v>
      </c>
      <c r="AW2302" s="93" t="s">
        <v>20519</v>
      </c>
      <c r="AX2302" s="93" t="s">
        <v>20519</v>
      </c>
      <c r="AY2302" s="87"/>
      <c r="AZ2302" s="93" t="s">
        <v>22668</v>
      </c>
      <c r="BA2302" s="93" t="s">
        <v>22668</v>
      </c>
      <c r="BB2302" s="93" t="s">
        <v>22668</v>
      </c>
      <c r="BC2302" s="93" t="s">
        <v>20519</v>
      </c>
      <c r="BD2302" s="93" t="s">
        <v>23245</v>
      </c>
      <c r="BE2302" s="87"/>
      <c r="BF2302" s="87"/>
      <c r="BG2302" s="87"/>
      <c r="BH2302" s="87"/>
      <c r="BI2302" s="87"/>
    </row>
    <row r="2303" spans="1:61" x14ac:dyDescent="0.25">
      <c r="A2303" s="63" t="s">
        <v>1018</v>
      </c>
      <c r="B2303" s="63" t="s">
        <v>1018</v>
      </c>
      <c r="C2303" s="64"/>
      <c r="D2303" s="65"/>
      <c r="E2303" s="66"/>
      <c r="F2303" s="67"/>
      <c r="G2303" s="64"/>
      <c r="H2303" s="68"/>
      <c r="I2303" s="69"/>
      <c r="J2303" s="69"/>
      <c r="K2303" s="32"/>
      <c r="L2303" s="76">
        <v>2303</v>
      </c>
      <c r="M2303" s="76"/>
      <c r="N2303" s="71"/>
      <c r="O2303" s="87" t="s">
        <v>179</v>
      </c>
      <c r="P2303" s="90">
        <v>45180.907673611109</v>
      </c>
      <c r="Q2303" s="87" t="s">
        <v>4076</v>
      </c>
      <c r="R2303" s="87">
        <v>0</v>
      </c>
      <c r="S2303" s="87">
        <v>0</v>
      </c>
      <c r="T2303" s="87">
        <v>0</v>
      </c>
      <c r="U2303" s="87">
        <v>0</v>
      </c>
      <c r="V2303" s="87">
        <v>7</v>
      </c>
      <c r="W2303" s="93" t="s">
        <v>7360</v>
      </c>
      <c r="X2303" s="87"/>
      <c r="Y2303" s="87"/>
      <c r="Z2303" s="87"/>
      <c r="AA2303" s="87" t="s">
        <v>10114</v>
      </c>
      <c r="AB2303" s="87" t="s">
        <v>11447</v>
      </c>
      <c r="AC2303" s="93" t="s">
        <v>11458</v>
      </c>
      <c r="AD2303" s="87" t="s">
        <v>11519</v>
      </c>
      <c r="AE2303" s="92" t="str">
        <f>HYPERLINK("https://twitter.com/renanbarbalho_/status/1701351674248364055")</f>
        <v>https://twitter.com/renanbarbalho_/status/1701351674248364055</v>
      </c>
      <c r="AF2303" s="90">
        <v>45180.907673611109</v>
      </c>
      <c r="AG2303" s="99">
        <v>45180</v>
      </c>
      <c r="AH2303" s="93" t="s">
        <v>13622</v>
      </c>
      <c r="AI2303" s="87" t="b">
        <v>0</v>
      </c>
      <c r="AJ2303" s="87"/>
      <c r="AK2303" s="87"/>
      <c r="AL2303" s="87"/>
      <c r="AM2303" s="87"/>
      <c r="AN2303" s="87"/>
      <c r="AO2303" s="87"/>
      <c r="AP2303" s="87"/>
      <c r="AQ2303" s="87" t="s">
        <v>16927</v>
      </c>
      <c r="AR2303" s="87">
        <v>38633</v>
      </c>
      <c r="AS2303" s="87"/>
      <c r="AT2303" s="87"/>
      <c r="AU2303" s="87"/>
      <c r="AV2303" s="92" t="str">
        <f>HYPERLINK("https://pbs.twimg.com/ext_tw_video_thumb/1701351582141419520/pu/img/0RYXhgLg3qqa2fAT.jpg")</f>
        <v>https://pbs.twimg.com/ext_tw_video_thumb/1701351582141419520/pu/img/0RYXhgLg3qqa2fAT.jpg</v>
      </c>
      <c r="AW2303" s="93" t="s">
        <v>20520</v>
      </c>
      <c r="AX2303" s="93" t="s">
        <v>20520</v>
      </c>
      <c r="AY2303" s="87"/>
      <c r="AZ2303" s="93" t="s">
        <v>22668</v>
      </c>
      <c r="BA2303" s="93" t="s">
        <v>22668</v>
      </c>
      <c r="BB2303" s="93" t="s">
        <v>22668</v>
      </c>
      <c r="BC2303" s="93" t="s">
        <v>20520</v>
      </c>
      <c r="BD2303" s="93" t="s">
        <v>23245</v>
      </c>
      <c r="BE2303" s="87"/>
      <c r="BF2303" s="87"/>
      <c r="BG2303" s="87"/>
      <c r="BH2303" s="87"/>
      <c r="BI2303" s="87"/>
    </row>
    <row r="2304" spans="1:61" x14ac:dyDescent="0.25">
      <c r="A2304" s="63" t="s">
        <v>1019</v>
      </c>
      <c r="B2304" s="63" t="s">
        <v>1019</v>
      </c>
      <c r="C2304" s="64"/>
      <c r="D2304" s="65"/>
      <c r="E2304" s="66"/>
      <c r="F2304" s="67"/>
      <c r="G2304" s="64"/>
      <c r="H2304" s="68"/>
      <c r="I2304" s="69"/>
      <c r="J2304" s="69"/>
      <c r="K2304" s="32"/>
      <c r="L2304" s="76">
        <v>2304</v>
      </c>
      <c r="M2304" s="76"/>
      <c r="N2304" s="71"/>
      <c r="O2304" s="87" t="s">
        <v>179</v>
      </c>
      <c r="P2304" s="90">
        <v>45112.111504629633</v>
      </c>
      <c r="Q2304" s="87" t="s">
        <v>4077</v>
      </c>
      <c r="R2304" s="87">
        <v>0</v>
      </c>
      <c r="S2304" s="87">
        <v>0</v>
      </c>
      <c r="T2304" s="87">
        <v>0</v>
      </c>
      <c r="U2304" s="87">
        <v>0</v>
      </c>
      <c r="V2304" s="87">
        <v>64</v>
      </c>
      <c r="W2304" s="93" t="s">
        <v>7361</v>
      </c>
      <c r="X2304" s="87"/>
      <c r="Y2304" s="87"/>
      <c r="Z2304" s="87"/>
      <c r="AA2304" s="87" t="s">
        <v>10115</v>
      </c>
      <c r="AB2304" s="87" t="s">
        <v>11447</v>
      </c>
      <c r="AC2304" s="93" t="s">
        <v>11457</v>
      </c>
      <c r="AD2304" s="87" t="s">
        <v>11519</v>
      </c>
      <c r="AE2304" s="92" t="str">
        <f>HYPERLINK("https://twitter.com/cortesvisionari/status/1676420777237790720")</f>
        <v>https://twitter.com/cortesvisionari/status/1676420777237790720</v>
      </c>
      <c r="AF2304" s="90">
        <v>45112.111504629633</v>
      </c>
      <c r="AG2304" s="99">
        <v>45112</v>
      </c>
      <c r="AH2304" s="93" t="s">
        <v>13623</v>
      </c>
      <c r="AI2304" s="87" t="b">
        <v>0</v>
      </c>
      <c r="AJ2304" s="87"/>
      <c r="AK2304" s="87"/>
      <c r="AL2304" s="87"/>
      <c r="AM2304" s="87"/>
      <c r="AN2304" s="87"/>
      <c r="AO2304" s="87"/>
      <c r="AP2304" s="87"/>
      <c r="AQ2304" s="87" t="s">
        <v>16928</v>
      </c>
      <c r="AR2304" s="87">
        <v>26960</v>
      </c>
      <c r="AS2304" s="87"/>
      <c r="AT2304" s="87"/>
      <c r="AU2304" s="87"/>
      <c r="AV2304" s="92" t="str">
        <f>HYPERLINK("https://pbs.twimg.com/ext_tw_video_thumb/1676420372688777216/pu/img/QAutd4ZsCEhjfJe8.jpg")</f>
        <v>https://pbs.twimg.com/ext_tw_video_thumb/1676420372688777216/pu/img/QAutd4ZsCEhjfJe8.jpg</v>
      </c>
      <c r="AW2304" s="93" t="s">
        <v>20521</v>
      </c>
      <c r="AX2304" s="93" t="s">
        <v>20521</v>
      </c>
      <c r="AY2304" s="87"/>
      <c r="AZ2304" s="93" t="s">
        <v>22668</v>
      </c>
      <c r="BA2304" s="93" t="s">
        <v>22668</v>
      </c>
      <c r="BB2304" s="93" t="s">
        <v>22668</v>
      </c>
      <c r="BC2304" s="93" t="s">
        <v>20521</v>
      </c>
      <c r="BD2304" s="93" t="s">
        <v>23246</v>
      </c>
      <c r="BE2304" s="87"/>
      <c r="BF2304" s="87"/>
      <c r="BG2304" s="87"/>
      <c r="BH2304" s="87"/>
      <c r="BI2304" s="87"/>
    </row>
    <row r="2305" spans="1:61" x14ac:dyDescent="0.25">
      <c r="A2305" s="63" t="s">
        <v>1020</v>
      </c>
      <c r="B2305" s="63" t="s">
        <v>1020</v>
      </c>
      <c r="C2305" s="64"/>
      <c r="D2305" s="65"/>
      <c r="E2305" s="66"/>
      <c r="F2305" s="67"/>
      <c r="G2305" s="64"/>
      <c r="H2305" s="68"/>
      <c r="I2305" s="69"/>
      <c r="J2305" s="69"/>
      <c r="K2305" s="32"/>
      <c r="L2305" s="76">
        <v>2305</v>
      </c>
      <c r="M2305" s="76"/>
      <c r="N2305" s="71"/>
      <c r="O2305" s="87" t="s">
        <v>1840</v>
      </c>
      <c r="P2305" s="90">
        <v>45139.841307870367</v>
      </c>
      <c r="Q2305" s="87" t="s">
        <v>4078</v>
      </c>
      <c r="R2305" s="87">
        <v>0</v>
      </c>
      <c r="S2305" s="87">
        <v>0</v>
      </c>
      <c r="T2305" s="87">
        <v>0</v>
      </c>
      <c r="U2305" s="87">
        <v>0</v>
      </c>
      <c r="V2305" s="87">
        <v>11</v>
      </c>
      <c r="W2305" s="93" t="s">
        <v>7362</v>
      </c>
      <c r="X2305" s="87"/>
      <c r="Y2305" s="87"/>
      <c r="Z2305" s="87"/>
      <c r="AA2305" s="87"/>
      <c r="AB2305" s="87"/>
      <c r="AC2305" s="93" t="s">
        <v>11457</v>
      </c>
      <c r="AD2305" s="87" t="s">
        <v>11519</v>
      </c>
      <c r="AE2305" s="92" t="str">
        <f>HYPERLINK("https://twitter.com/juntosaosucesso/status/1686469720105488384")</f>
        <v>https://twitter.com/juntosaosucesso/status/1686469720105488384</v>
      </c>
      <c r="AF2305" s="90">
        <v>45139.841307870367</v>
      </c>
      <c r="AG2305" s="99">
        <v>45139</v>
      </c>
      <c r="AH2305" s="93" t="s">
        <v>13624</v>
      </c>
      <c r="AI2305" s="87"/>
      <c r="AJ2305" s="87"/>
      <c r="AK2305" s="87"/>
      <c r="AL2305" s="87"/>
      <c r="AM2305" s="87"/>
      <c r="AN2305" s="87"/>
      <c r="AO2305" s="87"/>
      <c r="AP2305" s="87"/>
      <c r="AQ2305" s="87"/>
      <c r="AR2305" s="87"/>
      <c r="AS2305" s="87"/>
      <c r="AT2305" s="87"/>
      <c r="AU2305" s="87"/>
      <c r="AV2305" s="92" t="str">
        <f>HYPERLINK("https://pbs.twimg.com/profile_images/1689733697690329088/XVnSdxMP_normal.jpg")</f>
        <v>https://pbs.twimg.com/profile_images/1689733697690329088/XVnSdxMP_normal.jpg</v>
      </c>
      <c r="AW2305" s="93" t="s">
        <v>20522</v>
      </c>
      <c r="AX2305" s="93" t="s">
        <v>22427</v>
      </c>
      <c r="AY2305" s="93" t="s">
        <v>22604</v>
      </c>
      <c r="AZ2305" s="93" t="s">
        <v>22427</v>
      </c>
      <c r="BA2305" s="93" t="s">
        <v>22668</v>
      </c>
      <c r="BB2305" s="93" t="s">
        <v>22668</v>
      </c>
      <c r="BC2305" s="93" t="s">
        <v>22427</v>
      </c>
      <c r="BD2305" s="93" t="s">
        <v>22604</v>
      </c>
      <c r="BE2305" s="87"/>
      <c r="BF2305" s="87"/>
      <c r="BG2305" s="87"/>
      <c r="BH2305" s="87"/>
      <c r="BI2305" s="87"/>
    </row>
    <row r="2306" spans="1:61" x14ac:dyDescent="0.25">
      <c r="A2306" s="63" t="s">
        <v>1020</v>
      </c>
      <c r="B2306" s="63" t="s">
        <v>1020</v>
      </c>
      <c r="C2306" s="64"/>
      <c r="D2306" s="65"/>
      <c r="E2306" s="66"/>
      <c r="F2306" s="67"/>
      <c r="G2306" s="64"/>
      <c r="H2306" s="68"/>
      <c r="I2306" s="69"/>
      <c r="J2306" s="69"/>
      <c r="K2306" s="32"/>
      <c r="L2306" s="76">
        <v>2306</v>
      </c>
      <c r="M2306" s="76"/>
      <c r="N2306" s="71"/>
      <c r="O2306" s="87" t="s">
        <v>179</v>
      </c>
      <c r="P2306" s="90">
        <v>45142.518136574072</v>
      </c>
      <c r="Q2306" s="87" t="s">
        <v>4079</v>
      </c>
      <c r="R2306" s="87">
        <v>0</v>
      </c>
      <c r="S2306" s="87">
        <v>0</v>
      </c>
      <c r="T2306" s="87">
        <v>0</v>
      </c>
      <c r="U2306" s="87">
        <v>0</v>
      </c>
      <c r="V2306" s="87">
        <v>9</v>
      </c>
      <c r="W2306" s="93" t="s">
        <v>6961</v>
      </c>
      <c r="X2306" s="87"/>
      <c r="Y2306" s="87"/>
      <c r="Z2306" s="87"/>
      <c r="AA2306" s="87"/>
      <c r="AB2306" s="87"/>
      <c r="AC2306" s="93" t="s">
        <v>11457</v>
      </c>
      <c r="AD2306" s="87" t="s">
        <v>11519</v>
      </c>
      <c r="AE2306" s="92" t="str">
        <f>HYPERLINK("https://twitter.com/juntosaosucesso/status/1687439772321513472")</f>
        <v>https://twitter.com/juntosaosucesso/status/1687439772321513472</v>
      </c>
      <c r="AF2306" s="90">
        <v>45142.518136574072</v>
      </c>
      <c r="AG2306" s="99">
        <v>45142</v>
      </c>
      <c r="AH2306" s="93" t="s">
        <v>13625</v>
      </c>
      <c r="AI2306" s="87"/>
      <c r="AJ2306" s="87"/>
      <c r="AK2306" s="87"/>
      <c r="AL2306" s="87"/>
      <c r="AM2306" s="87"/>
      <c r="AN2306" s="87"/>
      <c r="AO2306" s="87"/>
      <c r="AP2306" s="87"/>
      <c r="AQ2306" s="87"/>
      <c r="AR2306" s="87"/>
      <c r="AS2306" s="87"/>
      <c r="AT2306" s="87"/>
      <c r="AU2306" s="87"/>
      <c r="AV2306" s="92" t="str">
        <f>HYPERLINK("https://pbs.twimg.com/profile_images/1689733697690329088/XVnSdxMP_normal.jpg")</f>
        <v>https://pbs.twimg.com/profile_images/1689733697690329088/XVnSdxMP_normal.jpg</v>
      </c>
      <c r="AW2306" s="93" t="s">
        <v>20523</v>
      </c>
      <c r="AX2306" s="93" t="s">
        <v>20523</v>
      </c>
      <c r="AY2306" s="87"/>
      <c r="AZ2306" s="93" t="s">
        <v>22668</v>
      </c>
      <c r="BA2306" s="93" t="s">
        <v>22668</v>
      </c>
      <c r="BB2306" s="93" t="s">
        <v>22668</v>
      </c>
      <c r="BC2306" s="93" t="s">
        <v>20523</v>
      </c>
      <c r="BD2306" s="93" t="s">
        <v>22604</v>
      </c>
      <c r="BE2306" s="87"/>
      <c r="BF2306" s="87"/>
      <c r="BG2306" s="87"/>
      <c r="BH2306" s="87"/>
      <c r="BI2306" s="87"/>
    </row>
    <row r="2307" spans="1:61" x14ac:dyDescent="0.25">
      <c r="A2307" s="63" t="s">
        <v>1021</v>
      </c>
      <c r="B2307" s="63" t="s">
        <v>1021</v>
      </c>
      <c r="C2307" s="64"/>
      <c r="D2307" s="65"/>
      <c r="E2307" s="66"/>
      <c r="F2307" s="67"/>
      <c r="G2307" s="64"/>
      <c r="H2307" s="68"/>
      <c r="I2307" s="69"/>
      <c r="J2307" s="69"/>
      <c r="K2307" s="32"/>
      <c r="L2307" s="76">
        <v>2307</v>
      </c>
      <c r="M2307" s="76"/>
      <c r="N2307" s="71"/>
      <c r="O2307" s="87" t="s">
        <v>179</v>
      </c>
      <c r="P2307" s="90">
        <v>45142.544027777774</v>
      </c>
      <c r="Q2307" s="87" t="s">
        <v>4080</v>
      </c>
      <c r="R2307" s="87">
        <v>1</v>
      </c>
      <c r="S2307" s="87">
        <v>0</v>
      </c>
      <c r="T2307" s="87">
        <v>0</v>
      </c>
      <c r="U2307" s="87">
        <v>0</v>
      </c>
      <c r="V2307" s="87">
        <v>9</v>
      </c>
      <c r="W2307" s="93" t="s">
        <v>7363</v>
      </c>
      <c r="X2307" s="87"/>
      <c r="Y2307" s="87"/>
      <c r="Z2307" s="87"/>
      <c r="AA2307" s="87" t="s">
        <v>10116</v>
      </c>
      <c r="AB2307" s="87" t="s">
        <v>11448</v>
      </c>
      <c r="AC2307" s="93" t="s">
        <v>11462</v>
      </c>
      <c r="AD2307" s="87" t="s">
        <v>11519</v>
      </c>
      <c r="AE2307" s="92" t="str">
        <f>HYPERLINK("https://twitter.com/quickeningmkt/status/1687449154123898880")</f>
        <v>https://twitter.com/quickeningmkt/status/1687449154123898880</v>
      </c>
      <c r="AF2307" s="90">
        <v>45142.544027777774</v>
      </c>
      <c r="AG2307" s="99">
        <v>45142</v>
      </c>
      <c r="AH2307" s="93" t="s">
        <v>13626</v>
      </c>
      <c r="AI2307" s="87" t="b">
        <v>0</v>
      </c>
      <c r="AJ2307" s="87"/>
      <c r="AK2307" s="87"/>
      <c r="AL2307" s="87"/>
      <c r="AM2307" s="87"/>
      <c r="AN2307" s="87"/>
      <c r="AO2307" s="87"/>
      <c r="AP2307" s="87"/>
      <c r="AQ2307" s="87" t="s">
        <v>16929</v>
      </c>
      <c r="AR2307" s="87"/>
      <c r="AS2307" s="87"/>
      <c r="AT2307" s="87"/>
      <c r="AU2307" s="87"/>
      <c r="AV2307" s="92" t="str">
        <f>HYPERLINK("https://pbs.twimg.com/media/F2sGEB8WwAAsB3Z.jpg")</f>
        <v>https://pbs.twimg.com/media/F2sGEB8WwAAsB3Z.jpg</v>
      </c>
      <c r="AW2307" s="93" t="s">
        <v>20524</v>
      </c>
      <c r="AX2307" s="93" t="s">
        <v>20524</v>
      </c>
      <c r="AY2307" s="87"/>
      <c r="AZ2307" s="93" t="s">
        <v>22668</v>
      </c>
      <c r="BA2307" s="93" t="s">
        <v>22668</v>
      </c>
      <c r="BB2307" s="93" t="s">
        <v>22668</v>
      </c>
      <c r="BC2307" s="93" t="s">
        <v>20524</v>
      </c>
      <c r="BD2307" s="93" t="s">
        <v>23247</v>
      </c>
      <c r="BE2307" s="87"/>
      <c r="BF2307" s="87"/>
      <c r="BG2307" s="87"/>
      <c r="BH2307" s="87"/>
      <c r="BI2307" s="87"/>
    </row>
    <row r="2308" spans="1:61" x14ac:dyDescent="0.25">
      <c r="A2308" s="63" t="s">
        <v>1022</v>
      </c>
      <c r="B2308" s="63" t="s">
        <v>1022</v>
      </c>
      <c r="C2308" s="64"/>
      <c r="D2308" s="65"/>
      <c r="E2308" s="66"/>
      <c r="F2308" s="67"/>
      <c r="G2308" s="64"/>
      <c r="H2308" s="68"/>
      <c r="I2308" s="69"/>
      <c r="J2308" s="69"/>
      <c r="K2308" s="32"/>
      <c r="L2308" s="76">
        <v>2308</v>
      </c>
      <c r="M2308" s="76"/>
      <c r="N2308" s="71"/>
      <c r="O2308" s="87" t="s">
        <v>179</v>
      </c>
      <c r="P2308" s="90">
        <v>45162.456828703704</v>
      </c>
      <c r="Q2308" s="87" t="s">
        <v>4081</v>
      </c>
      <c r="R2308" s="87">
        <v>0</v>
      </c>
      <c r="S2308" s="87">
        <v>2</v>
      </c>
      <c r="T2308" s="87">
        <v>0</v>
      </c>
      <c r="U2308" s="87">
        <v>0</v>
      </c>
      <c r="V2308" s="87">
        <v>7</v>
      </c>
      <c r="W2308" s="93" t="s">
        <v>7364</v>
      </c>
      <c r="X2308" s="87"/>
      <c r="Y2308" s="87"/>
      <c r="Z2308" s="87"/>
      <c r="AA2308" s="87" t="s">
        <v>10117</v>
      </c>
      <c r="AB2308" s="87" t="s">
        <v>11448</v>
      </c>
      <c r="AC2308" s="93" t="s">
        <v>11467</v>
      </c>
      <c r="AD2308" s="87" t="s">
        <v>11519</v>
      </c>
      <c r="AE2308" s="92" t="str">
        <f>HYPERLINK("https://twitter.com/cabimbacorporat/status/1694665311276994898")</f>
        <v>https://twitter.com/cabimbacorporat/status/1694665311276994898</v>
      </c>
      <c r="AF2308" s="90">
        <v>45162.456828703704</v>
      </c>
      <c r="AG2308" s="99">
        <v>45162</v>
      </c>
      <c r="AH2308" s="93" t="s">
        <v>13627</v>
      </c>
      <c r="AI2308" s="87" t="b">
        <v>0</v>
      </c>
      <c r="AJ2308" s="87"/>
      <c r="AK2308" s="87"/>
      <c r="AL2308" s="87"/>
      <c r="AM2308" s="87"/>
      <c r="AN2308" s="87"/>
      <c r="AO2308" s="87"/>
      <c r="AP2308" s="87"/>
      <c r="AQ2308" s="87" t="s">
        <v>16930</v>
      </c>
      <c r="AR2308" s="87"/>
      <c r="AS2308" s="87"/>
      <c r="AT2308" s="87"/>
      <c r="AU2308" s="87"/>
      <c r="AV2308" s="92" t="str">
        <f>HYPERLINK("https://pbs.twimg.com/media/F4SpHP2WUAATVyc.jpg")</f>
        <v>https://pbs.twimg.com/media/F4SpHP2WUAATVyc.jpg</v>
      </c>
      <c r="AW2308" s="93" t="s">
        <v>20525</v>
      </c>
      <c r="AX2308" s="93" t="s">
        <v>20525</v>
      </c>
      <c r="AY2308" s="87"/>
      <c r="AZ2308" s="93" t="s">
        <v>22668</v>
      </c>
      <c r="BA2308" s="93" t="s">
        <v>22668</v>
      </c>
      <c r="BB2308" s="93" t="s">
        <v>22668</v>
      </c>
      <c r="BC2308" s="93" t="s">
        <v>20525</v>
      </c>
      <c r="BD2308" s="93" t="s">
        <v>23248</v>
      </c>
      <c r="BE2308" s="87"/>
      <c r="BF2308" s="87"/>
      <c r="BG2308" s="87"/>
      <c r="BH2308" s="87"/>
      <c r="BI2308" s="87"/>
    </row>
    <row r="2309" spans="1:61" x14ac:dyDescent="0.25">
      <c r="A2309" s="63" t="s">
        <v>1023</v>
      </c>
      <c r="B2309" s="63" t="s">
        <v>1023</v>
      </c>
      <c r="C2309" s="64"/>
      <c r="D2309" s="65"/>
      <c r="E2309" s="66"/>
      <c r="F2309" s="67"/>
      <c r="G2309" s="64"/>
      <c r="H2309" s="68"/>
      <c r="I2309" s="69"/>
      <c r="J2309" s="69"/>
      <c r="K2309" s="32"/>
      <c r="L2309" s="76">
        <v>2309</v>
      </c>
      <c r="M2309" s="76"/>
      <c r="N2309" s="71"/>
      <c r="O2309" s="87" t="s">
        <v>179</v>
      </c>
      <c r="P2309" s="90">
        <v>45173.654606481483</v>
      </c>
      <c r="Q2309" s="87" t="s">
        <v>4082</v>
      </c>
      <c r="R2309" s="87">
        <v>0</v>
      </c>
      <c r="S2309" s="87">
        <v>0</v>
      </c>
      <c r="T2309" s="87">
        <v>0</v>
      </c>
      <c r="U2309" s="87">
        <v>0</v>
      </c>
      <c r="V2309" s="87">
        <v>15</v>
      </c>
      <c r="W2309" s="93" t="s">
        <v>7365</v>
      </c>
      <c r="X2309" s="92" t="str">
        <f>HYPERLINK("https://www.rederural.gov.pt/12-informacao/5982-dip4agri-comeca-a-15-de-setembro")</f>
        <v>https://www.rederural.gov.pt/12-informacao/5982-dip4agri-comeca-a-15-de-setembro</v>
      </c>
      <c r="Y2309" s="87" t="s">
        <v>8494</v>
      </c>
      <c r="Z2309" s="87"/>
      <c r="AA2309" s="87" t="s">
        <v>10118</v>
      </c>
      <c r="AB2309" s="87" t="s">
        <v>11448</v>
      </c>
      <c r="AC2309" s="93" t="s">
        <v>11457</v>
      </c>
      <c r="AD2309" s="87" t="s">
        <v>11519</v>
      </c>
      <c r="AE2309" s="92" t="str">
        <f>HYPERLINK("https://twitter.com/pt_rrnacional/status/1698723251407511929")</f>
        <v>https://twitter.com/pt_rrnacional/status/1698723251407511929</v>
      </c>
      <c r="AF2309" s="90">
        <v>45173.654606481483</v>
      </c>
      <c r="AG2309" s="99">
        <v>45173</v>
      </c>
      <c r="AH2309" s="93" t="s">
        <v>13628</v>
      </c>
      <c r="AI2309" s="87" t="b">
        <v>0</v>
      </c>
      <c r="AJ2309" s="87"/>
      <c r="AK2309" s="87"/>
      <c r="AL2309" s="87"/>
      <c r="AM2309" s="87"/>
      <c r="AN2309" s="87"/>
      <c r="AO2309" s="87"/>
      <c r="AP2309" s="87"/>
      <c r="AQ2309" s="87" t="s">
        <v>16931</v>
      </c>
      <c r="AR2309" s="87"/>
      <c r="AS2309" s="87"/>
      <c r="AT2309" s="87"/>
      <c r="AU2309" s="87"/>
      <c r="AV2309" s="92" t="str">
        <f>HYPERLINK("https://pbs.twimg.com/media/F5MTko8WcAEuQWf.png")</f>
        <v>https://pbs.twimg.com/media/F5MTko8WcAEuQWf.png</v>
      </c>
      <c r="AW2309" s="93" t="s">
        <v>20526</v>
      </c>
      <c r="AX2309" s="93" t="s">
        <v>20526</v>
      </c>
      <c r="AY2309" s="87"/>
      <c r="AZ2309" s="93" t="s">
        <v>22668</v>
      </c>
      <c r="BA2309" s="93" t="s">
        <v>22668</v>
      </c>
      <c r="BB2309" s="93" t="s">
        <v>22668</v>
      </c>
      <c r="BC2309" s="93" t="s">
        <v>20526</v>
      </c>
      <c r="BD2309" s="87">
        <v>2511337554</v>
      </c>
      <c r="BE2309" s="87"/>
      <c r="BF2309" s="87"/>
      <c r="BG2309" s="87"/>
      <c r="BH2309" s="87"/>
      <c r="BI2309" s="87"/>
    </row>
    <row r="2310" spans="1:61" x14ac:dyDescent="0.25">
      <c r="A2310" s="63" t="s">
        <v>1024</v>
      </c>
      <c r="B2310" s="63" t="s">
        <v>1024</v>
      </c>
      <c r="C2310" s="64"/>
      <c r="D2310" s="65"/>
      <c r="E2310" s="66"/>
      <c r="F2310" s="67"/>
      <c r="G2310" s="64"/>
      <c r="H2310" s="68"/>
      <c r="I2310" s="69"/>
      <c r="J2310" s="69"/>
      <c r="K2310" s="32"/>
      <c r="L2310" s="76">
        <v>2310</v>
      </c>
      <c r="M2310" s="76"/>
      <c r="N2310" s="71"/>
      <c r="O2310" s="87" t="s">
        <v>179</v>
      </c>
      <c r="P2310" s="90">
        <v>45160.578217592592</v>
      </c>
      <c r="Q2310" s="87" t="s">
        <v>4083</v>
      </c>
      <c r="R2310" s="87">
        <v>0</v>
      </c>
      <c r="S2310" s="87">
        <v>0</v>
      </c>
      <c r="T2310" s="87">
        <v>0</v>
      </c>
      <c r="U2310" s="87">
        <v>0</v>
      </c>
      <c r="V2310" s="87">
        <v>13</v>
      </c>
      <c r="W2310" s="93" t="s">
        <v>7366</v>
      </c>
      <c r="X2310" s="87"/>
      <c r="Y2310" s="87"/>
      <c r="Z2310" s="87"/>
      <c r="AA2310" s="87"/>
      <c r="AB2310" s="87"/>
      <c r="AC2310" s="93" t="s">
        <v>11458</v>
      </c>
      <c r="AD2310" s="87" t="s">
        <v>11519</v>
      </c>
      <c r="AE2310" s="92" t="str">
        <f>HYPERLINK("https://twitter.com/baracho_ka59892/status/1693984524898812140")</f>
        <v>https://twitter.com/baracho_ka59892/status/1693984524898812140</v>
      </c>
      <c r="AF2310" s="90">
        <v>45160.578217592592</v>
      </c>
      <c r="AG2310" s="99">
        <v>45160</v>
      </c>
      <c r="AH2310" s="93" t="s">
        <v>13629</v>
      </c>
      <c r="AI2310" s="87"/>
      <c r="AJ2310" s="87"/>
      <c r="AK2310" s="87"/>
      <c r="AL2310" s="87"/>
      <c r="AM2310" s="87"/>
      <c r="AN2310" s="87"/>
      <c r="AO2310" s="87"/>
      <c r="AP2310" s="87"/>
      <c r="AQ2310" s="87"/>
      <c r="AR2310" s="87"/>
      <c r="AS2310" s="87"/>
      <c r="AT2310" s="87"/>
      <c r="AU2310" s="87"/>
      <c r="AV2310" s="92" t="str">
        <f>HYPERLINK("https://pbs.twimg.com/profile_images/1654120958939262977/62n4vfw-_normal.jpg")</f>
        <v>https://pbs.twimg.com/profile_images/1654120958939262977/62n4vfw-_normal.jpg</v>
      </c>
      <c r="AW2310" s="93" t="s">
        <v>20527</v>
      </c>
      <c r="AX2310" s="93" t="s">
        <v>20527</v>
      </c>
      <c r="AY2310" s="87"/>
      <c r="AZ2310" s="93" t="s">
        <v>22668</v>
      </c>
      <c r="BA2310" s="93" t="s">
        <v>22668</v>
      </c>
      <c r="BB2310" s="93" t="s">
        <v>22668</v>
      </c>
      <c r="BC2310" s="93" t="s">
        <v>20527</v>
      </c>
      <c r="BD2310" s="93" t="s">
        <v>23249</v>
      </c>
      <c r="BE2310" s="87"/>
      <c r="BF2310" s="87"/>
      <c r="BG2310" s="87"/>
      <c r="BH2310" s="87"/>
      <c r="BI2310" s="87"/>
    </row>
    <row r="2311" spans="1:61" x14ac:dyDescent="0.25">
      <c r="A2311" s="63" t="s">
        <v>1025</v>
      </c>
      <c r="B2311" s="63" t="s">
        <v>1025</v>
      </c>
      <c r="C2311" s="64"/>
      <c r="D2311" s="65"/>
      <c r="E2311" s="66"/>
      <c r="F2311" s="67"/>
      <c r="G2311" s="64"/>
      <c r="H2311" s="68"/>
      <c r="I2311" s="69"/>
      <c r="J2311" s="69"/>
      <c r="K2311" s="32"/>
      <c r="L2311" s="76">
        <v>2311</v>
      </c>
      <c r="M2311" s="76"/>
      <c r="N2311" s="71"/>
      <c r="O2311" s="87" t="s">
        <v>179</v>
      </c>
      <c r="P2311" s="90">
        <v>45129.764837962961</v>
      </c>
      <c r="Q2311" s="87" t="s">
        <v>4084</v>
      </c>
      <c r="R2311" s="87">
        <v>0</v>
      </c>
      <c r="S2311" s="87">
        <v>0</v>
      </c>
      <c r="T2311" s="87">
        <v>0</v>
      </c>
      <c r="U2311" s="87">
        <v>0</v>
      </c>
      <c r="V2311" s="87">
        <v>51</v>
      </c>
      <c r="W2311" s="93" t="s">
        <v>7367</v>
      </c>
      <c r="X2311" s="87"/>
      <c r="Y2311" s="87"/>
      <c r="Z2311" s="87"/>
      <c r="AA2311" s="87"/>
      <c r="AB2311" s="87"/>
      <c r="AC2311" s="93" t="s">
        <v>11459</v>
      </c>
      <c r="AD2311" s="87" t="s">
        <v>11519</v>
      </c>
      <c r="AE2311" s="92" t="str">
        <f>HYPERLINK("https://twitter.com/gaby_nunes142/status/1682818130815401985")</f>
        <v>https://twitter.com/gaby_nunes142/status/1682818130815401985</v>
      </c>
      <c r="AF2311" s="90">
        <v>45129.764837962961</v>
      </c>
      <c r="AG2311" s="99">
        <v>45129</v>
      </c>
      <c r="AH2311" s="93" t="s">
        <v>13630</v>
      </c>
      <c r="AI2311" s="87"/>
      <c r="AJ2311" s="87" t="s">
        <v>15214</v>
      </c>
      <c r="AK2311" s="87" t="s">
        <v>15234</v>
      </c>
      <c r="AL2311" s="87" t="s">
        <v>15237</v>
      </c>
      <c r="AM2311" s="87" t="s">
        <v>15285</v>
      </c>
      <c r="AN2311" s="87" t="s">
        <v>15352</v>
      </c>
      <c r="AO2311" s="87" t="s">
        <v>15417</v>
      </c>
      <c r="AP2311" s="87" t="s">
        <v>15438</v>
      </c>
      <c r="AQ2311" s="87"/>
      <c r="AR2311" s="87"/>
      <c r="AS2311" s="87"/>
      <c r="AT2311" s="87"/>
      <c r="AU2311" s="87"/>
      <c r="AV2311" s="92" t="str">
        <f>HYPERLINK("https://pbs.twimg.com/profile_images/1665176242650324993/eTXbiRhr_normal.jpg")</f>
        <v>https://pbs.twimg.com/profile_images/1665176242650324993/eTXbiRhr_normal.jpg</v>
      </c>
      <c r="AW2311" s="93" t="s">
        <v>20528</v>
      </c>
      <c r="AX2311" s="93" t="s">
        <v>20528</v>
      </c>
      <c r="AY2311" s="87"/>
      <c r="AZ2311" s="93" t="s">
        <v>22668</v>
      </c>
      <c r="BA2311" s="93" t="s">
        <v>22668</v>
      </c>
      <c r="BB2311" s="93" t="s">
        <v>22668</v>
      </c>
      <c r="BC2311" s="93" t="s">
        <v>20528</v>
      </c>
      <c r="BD2311" s="93" t="s">
        <v>23250</v>
      </c>
      <c r="BE2311" s="87"/>
      <c r="BF2311" s="87"/>
      <c r="BG2311" s="87"/>
      <c r="BH2311" s="87"/>
      <c r="BI2311" s="87"/>
    </row>
    <row r="2312" spans="1:61" x14ac:dyDescent="0.25">
      <c r="A2312" s="63" t="s">
        <v>1026</v>
      </c>
      <c r="B2312" s="63" t="s">
        <v>1026</v>
      </c>
      <c r="C2312" s="64"/>
      <c r="D2312" s="65"/>
      <c r="E2312" s="66"/>
      <c r="F2312" s="67"/>
      <c r="G2312" s="64"/>
      <c r="H2312" s="68"/>
      <c r="I2312" s="69"/>
      <c r="J2312" s="69"/>
      <c r="K2312" s="32"/>
      <c r="L2312" s="76">
        <v>2312</v>
      </c>
      <c r="M2312" s="76"/>
      <c r="N2312" s="71"/>
      <c r="O2312" s="87" t="s">
        <v>1840</v>
      </c>
      <c r="P2312" s="90">
        <v>45154.776053240741</v>
      </c>
      <c r="Q2312" s="87" t="s">
        <v>4085</v>
      </c>
      <c r="R2312" s="87">
        <v>0</v>
      </c>
      <c r="S2312" s="87">
        <v>1</v>
      </c>
      <c r="T2312" s="87">
        <v>0</v>
      </c>
      <c r="U2312" s="87">
        <v>0</v>
      </c>
      <c r="V2312" s="87">
        <v>19</v>
      </c>
      <c r="W2312" s="93" t="s">
        <v>7368</v>
      </c>
      <c r="X2312" s="87"/>
      <c r="Y2312" s="87"/>
      <c r="Z2312" s="87"/>
      <c r="AA2312" s="87"/>
      <c r="AB2312" s="87"/>
      <c r="AC2312" s="93" t="s">
        <v>11457</v>
      </c>
      <c r="AD2312" s="87" t="s">
        <v>11524</v>
      </c>
      <c r="AE2312" s="92" t="str">
        <f>HYPERLINK("https://twitter.com/naseemjamaa/status/1691881890708340815")</f>
        <v>https://twitter.com/naseemjamaa/status/1691881890708340815</v>
      </c>
      <c r="AF2312" s="90">
        <v>45154.776053240741</v>
      </c>
      <c r="AG2312" s="99">
        <v>45154</v>
      </c>
      <c r="AH2312" s="93" t="s">
        <v>13631</v>
      </c>
      <c r="AI2312" s="87"/>
      <c r="AJ2312" s="87"/>
      <c r="AK2312" s="87"/>
      <c r="AL2312" s="87"/>
      <c r="AM2312" s="87"/>
      <c r="AN2312" s="87"/>
      <c r="AO2312" s="87"/>
      <c r="AP2312" s="87"/>
      <c r="AQ2312" s="87"/>
      <c r="AR2312" s="87"/>
      <c r="AS2312" s="87"/>
      <c r="AT2312" s="87"/>
      <c r="AU2312" s="87"/>
      <c r="AV2312" s="92" t="str">
        <f>HYPERLINK("https://pbs.twimg.com/profile_images/1684232282175950851/CuSBiMn8_normal.png")</f>
        <v>https://pbs.twimg.com/profile_images/1684232282175950851/CuSBiMn8_normal.png</v>
      </c>
      <c r="AW2312" s="93" t="s">
        <v>20529</v>
      </c>
      <c r="AX2312" s="93" t="s">
        <v>22428</v>
      </c>
      <c r="AY2312" s="93" t="s">
        <v>22605</v>
      </c>
      <c r="AZ2312" s="93" t="s">
        <v>22428</v>
      </c>
      <c r="BA2312" s="93" t="s">
        <v>22668</v>
      </c>
      <c r="BB2312" s="93" t="s">
        <v>22668</v>
      </c>
      <c r="BC2312" s="93" t="s">
        <v>22428</v>
      </c>
      <c r="BD2312" s="93" t="s">
        <v>22605</v>
      </c>
      <c r="BE2312" s="87"/>
      <c r="BF2312" s="87"/>
      <c r="BG2312" s="87"/>
      <c r="BH2312" s="87"/>
      <c r="BI2312" s="87"/>
    </row>
    <row r="2313" spans="1:61" x14ac:dyDescent="0.25">
      <c r="A2313" s="63" t="s">
        <v>1027</v>
      </c>
      <c r="B2313" s="63" t="s">
        <v>1027</v>
      </c>
      <c r="C2313" s="64"/>
      <c r="D2313" s="65"/>
      <c r="E2313" s="66"/>
      <c r="F2313" s="67"/>
      <c r="G2313" s="64"/>
      <c r="H2313" s="68"/>
      <c r="I2313" s="69"/>
      <c r="J2313" s="69"/>
      <c r="K2313" s="32"/>
      <c r="L2313" s="76">
        <v>2313</v>
      </c>
      <c r="M2313" s="76"/>
      <c r="N2313" s="71"/>
      <c r="O2313" s="87" t="s">
        <v>179</v>
      </c>
      <c r="P2313" s="90">
        <v>45118.958171296297</v>
      </c>
      <c r="Q2313" s="87" t="s">
        <v>4086</v>
      </c>
      <c r="R2313" s="87">
        <v>1</v>
      </c>
      <c r="S2313" s="87">
        <v>0</v>
      </c>
      <c r="T2313" s="87">
        <v>0</v>
      </c>
      <c r="U2313" s="87">
        <v>0</v>
      </c>
      <c r="V2313" s="87">
        <v>18</v>
      </c>
      <c r="W2313" s="93" t="s">
        <v>7369</v>
      </c>
      <c r="X2313" s="87"/>
      <c r="Y2313" s="87"/>
      <c r="Z2313" s="87"/>
      <c r="AA2313" s="87" t="s">
        <v>10119</v>
      </c>
      <c r="AB2313" s="87" t="s">
        <v>11450</v>
      </c>
      <c r="AC2313" s="93" t="s">
        <v>11458</v>
      </c>
      <c r="AD2313" s="87" t="s">
        <v>11520</v>
      </c>
      <c r="AE2313" s="92" t="str">
        <f>HYPERLINK("https://twitter.com/6villcam/status/1678901925717344256")</f>
        <v>https://twitter.com/6villcam/status/1678901925717344256</v>
      </c>
      <c r="AF2313" s="90">
        <v>45118.958171296297</v>
      </c>
      <c r="AG2313" s="99">
        <v>45118</v>
      </c>
      <c r="AH2313" s="93" t="s">
        <v>13632</v>
      </c>
      <c r="AI2313" s="87" t="b">
        <v>0</v>
      </c>
      <c r="AJ2313" s="87"/>
      <c r="AK2313" s="87"/>
      <c r="AL2313" s="87"/>
      <c r="AM2313" s="87"/>
      <c r="AN2313" s="87"/>
      <c r="AO2313" s="87"/>
      <c r="AP2313" s="87"/>
      <c r="AQ2313" s="87" t="s">
        <v>16932</v>
      </c>
      <c r="AR2313" s="87"/>
      <c r="AS2313" s="87"/>
      <c r="AT2313" s="87"/>
      <c r="AU2313" s="87"/>
      <c r="AV2313" s="92" t="str">
        <f>HYPERLINK("https://pbs.twimg.com/media/F0yoZohagAE3bEQ.jpg")</f>
        <v>https://pbs.twimg.com/media/F0yoZohagAE3bEQ.jpg</v>
      </c>
      <c r="AW2313" s="93" t="s">
        <v>20530</v>
      </c>
      <c r="AX2313" s="93" t="s">
        <v>20530</v>
      </c>
      <c r="AY2313" s="87"/>
      <c r="AZ2313" s="93" t="s">
        <v>22668</v>
      </c>
      <c r="BA2313" s="93" t="s">
        <v>22668</v>
      </c>
      <c r="BB2313" s="93" t="s">
        <v>22668</v>
      </c>
      <c r="BC2313" s="93" t="s">
        <v>20530</v>
      </c>
      <c r="BD2313" s="93" t="s">
        <v>23251</v>
      </c>
      <c r="BE2313" s="87"/>
      <c r="BF2313" s="87"/>
      <c r="BG2313" s="87"/>
      <c r="BH2313" s="87"/>
      <c r="BI2313" s="87"/>
    </row>
    <row r="2314" spans="1:61" x14ac:dyDescent="0.25">
      <c r="A2314" s="63" t="s">
        <v>1028</v>
      </c>
      <c r="B2314" s="63" t="s">
        <v>1028</v>
      </c>
      <c r="C2314" s="64"/>
      <c r="D2314" s="65"/>
      <c r="E2314" s="66"/>
      <c r="F2314" s="67"/>
      <c r="G2314" s="64"/>
      <c r="H2314" s="68"/>
      <c r="I2314" s="69"/>
      <c r="J2314" s="69"/>
      <c r="K2314" s="32"/>
      <c r="L2314" s="76">
        <v>2314</v>
      </c>
      <c r="M2314" s="76"/>
      <c r="N2314" s="71"/>
      <c r="O2314" s="87" t="s">
        <v>179</v>
      </c>
      <c r="P2314" s="90">
        <v>45121.878240740742</v>
      </c>
      <c r="Q2314" s="87" t="s">
        <v>4087</v>
      </c>
      <c r="R2314" s="87">
        <v>0</v>
      </c>
      <c r="S2314" s="87">
        <v>0</v>
      </c>
      <c r="T2314" s="87">
        <v>0</v>
      </c>
      <c r="U2314" s="87">
        <v>0</v>
      </c>
      <c r="V2314" s="87">
        <v>88</v>
      </c>
      <c r="W2314" s="93" t="s">
        <v>7370</v>
      </c>
      <c r="X2314" s="87"/>
      <c r="Y2314" s="87"/>
      <c r="Z2314" s="87"/>
      <c r="AA2314" s="87" t="s">
        <v>10120</v>
      </c>
      <c r="AB2314" s="87" t="s">
        <v>11447</v>
      </c>
      <c r="AC2314" s="93" t="s">
        <v>11459</v>
      </c>
      <c r="AD2314" s="87" t="s">
        <v>11519</v>
      </c>
      <c r="AE2314" s="92" t="str">
        <f>HYPERLINK("https://twitter.com/cristinersoares/status/1679960125468016641")</f>
        <v>https://twitter.com/cristinersoares/status/1679960125468016641</v>
      </c>
      <c r="AF2314" s="90">
        <v>45121.878240740742</v>
      </c>
      <c r="AG2314" s="99">
        <v>45121</v>
      </c>
      <c r="AH2314" s="93" t="s">
        <v>13633</v>
      </c>
      <c r="AI2314" s="87" t="b">
        <v>0</v>
      </c>
      <c r="AJ2314" s="87"/>
      <c r="AK2314" s="87"/>
      <c r="AL2314" s="87"/>
      <c r="AM2314" s="87"/>
      <c r="AN2314" s="87"/>
      <c r="AO2314" s="87"/>
      <c r="AP2314" s="87"/>
      <c r="AQ2314" s="87" t="s">
        <v>16933</v>
      </c>
      <c r="AR2314" s="87">
        <v>15672</v>
      </c>
      <c r="AS2314" s="87"/>
      <c r="AT2314" s="87"/>
      <c r="AU2314" s="87"/>
      <c r="AV2314" s="92" t="str">
        <f>HYPERLINK("https://pbs.twimg.com/ext_tw_video_thumb/1679960062859661312/pu/img/EwFGuOGs6fb9uzqx.jpg")</f>
        <v>https://pbs.twimg.com/ext_tw_video_thumb/1679960062859661312/pu/img/EwFGuOGs6fb9uzqx.jpg</v>
      </c>
      <c r="AW2314" s="93" t="s">
        <v>20531</v>
      </c>
      <c r="AX2314" s="93" t="s">
        <v>20531</v>
      </c>
      <c r="AY2314" s="87"/>
      <c r="AZ2314" s="93" t="s">
        <v>22668</v>
      </c>
      <c r="BA2314" s="93" t="s">
        <v>22668</v>
      </c>
      <c r="BB2314" s="93" t="s">
        <v>22668</v>
      </c>
      <c r="BC2314" s="93" t="s">
        <v>20531</v>
      </c>
      <c r="BD2314" s="93" t="s">
        <v>23252</v>
      </c>
      <c r="BE2314" s="87"/>
      <c r="BF2314" s="87"/>
      <c r="BG2314" s="87"/>
      <c r="BH2314" s="87"/>
      <c r="BI2314" s="87"/>
    </row>
    <row r="2315" spans="1:61" x14ac:dyDescent="0.25">
      <c r="A2315" s="63" t="s">
        <v>1028</v>
      </c>
      <c r="B2315" s="63" t="s">
        <v>1028</v>
      </c>
      <c r="C2315" s="64"/>
      <c r="D2315" s="65"/>
      <c r="E2315" s="66"/>
      <c r="F2315" s="67"/>
      <c r="G2315" s="64"/>
      <c r="H2315" s="68"/>
      <c r="I2315" s="69"/>
      <c r="J2315" s="69"/>
      <c r="K2315" s="32"/>
      <c r="L2315" s="76">
        <v>2315</v>
      </c>
      <c r="M2315" s="76"/>
      <c r="N2315" s="71"/>
      <c r="O2315" s="87" t="s">
        <v>179</v>
      </c>
      <c r="P2315" s="90">
        <v>45127.410624999997</v>
      </c>
      <c r="Q2315" s="87" t="s">
        <v>4088</v>
      </c>
      <c r="R2315" s="87">
        <v>0</v>
      </c>
      <c r="S2315" s="87">
        <v>0</v>
      </c>
      <c r="T2315" s="87">
        <v>0</v>
      </c>
      <c r="U2315" s="87">
        <v>0</v>
      </c>
      <c r="V2315" s="87">
        <v>9</v>
      </c>
      <c r="W2315" s="93" t="s">
        <v>7371</v>
      </c>
      <c r="X2315" s="87"/>
      <c r="Y2315" s="87"/>
      <c r="Z2315" s="87"/>
      <c r="AA2315" s="87" t="s">
        <v>10121</v>
      </c>
      <c r="AB2315" s="87" t="s">
        <v>11448</v>
      </c>
      <c r="AC2315" s="93" t="s">
        <v>11459</v>
      </c>
      <c r="AD2315" s="87" t="s">
        <v>11519</v>
      </c>
      <c r="AE2315" s="92" t="str">
        <f>HYPERLINK("https://twitter.com/cristinersoares/status/1681964993430839296")</f>
        <v>https://twitter.com/cristinersoares/status/1681964993430839296</v>
      </c>
      <c r="AF2315" s="90">
        <v>45127.410624999997</v>
      </c>
      <c r="AG2315" s="99">
        <v>45127</v>
      </c>
      <c r="AH2315" s="93" t="s">
        <v>13634</v>
      </c>
      <c r="AI2315" s="87" t="b">
        <v>0</v>
      </c>
      <c r="AJ2315" s="87"/>
      <c r="AK2315" s="87"/>
      <c r="AL2315" s="87"/>
      <c r="AM2315" s="87"/>
      <c r="AN2315" s="87"/>
      <c r="AO2315" s="87"/>
      <c r="AP2315" s="87"/>
      <c r="AQ2315" s="87" t="s">
        <v>16934</v>
      </c>
      <c r="AR2315" s="87"/>
      <c r="AS2315" s="87"/>
      <c r="AT2315" s="87"/>
      <c r="AU2315" s="87"/>
      <c r="AV2315" s="92" t="str">
        <f>HYPERLINK("https://pbs.twimg.com/media/F1eKP1LWYAEdeHZ.jpg")</f>
        <v>https://pbs.twimg.com/media/F1eKP1LWYAEdeHZ.jpg</v>
      </c>
      <c r="AW2315" s="93" t="s">
        <v>20532</v>
      </c>
      <c r="AX2315" s="93" t="s">
        <v>20532</v>
      </c>
      <c r="AY2315" s="87"/>
      <c r="AZ2315" s="93" t="s">
        <v>22668</v>
      </c>
      <c r="BA2315" s="93" t="s">
        <v>22668</v>
      </c>
      <c r="BB2315" s="93" t="s">
        <v>22668</v>
      </c>
      <c r="BC2315" s="93" t="s">
        <v>20532</v>
      </c>
      <c r="BD2315" s="93" t="s">
        <v>23252</v>
      </c>
      <c r="BE2315" s="87"/>
      <c r="BF2315" s="87"/>
      <c r="BG2315" s="87"/>
      <c r="BH2315" s="87"/>
      <c r="BI2315" s="87"/>
    </row>
    <row r="2316" spans="1:61" x14ac:dyDescent="0.25">
      <c r="A2316" s="63" t="s">
        <v>1028</v>
      </c>
      <c r="B2316" s="63" t="s">
        <v>1028</v>
      </c>
      <c r="C2316" s="64"/>
      <c r="D2316" s="65"/>
      <c r="E2316" s="66"/>
      <c r="F2316" s="67"/>
      <c r="G2316" s="64"/>
      <c r="H2316" s="68"/>
      <c r="I2316" s="69"/>
      <c r="J2316" s="69"/>
      <c r="K2316" s="32"/>
      <c r="L2316" s="76">
        <v>2316</v>
      </c>
      <c r="M2316" s="76"/>
      <c r="N2316" s="71"/>
      <c r="O2316" s="87" t="s">
        <v>179</v>
      </c>
      <c r="P2316" s="90">
        <v>45124.95517361111</v>
      </c>
      <c r="Q2316" s="87" t="s">
        <v>4089</v>
      </c>
      <c r="R2316" s="87">
        <v>0</v>
      </c>
      <c r="S2316" s="87">
        <v>0</v>
      </c>
      <c r="T2316" s="87">
        <v>0</v>
      </c>
      <c r="U2316" s="87">
        <v>0</v>
      </c>
      <c r="V2316" s="87">
        <v>136</v>
      </c>
      <c r="W2316" s="93" t="s">
        <v>7372</v>
      </c>
      <c r="X2316" s="87"/>
      <c r="Y2316" s="87"/>
      <c r="Z2316" s="87"/>
      <c r="AA2316" s="87" t="s">
        <v>10122</v>
      </c>
      <c r="AB2316" s="87" t="s">
        <v>11447</v>
      </c>
      <c r="AC2316" s="93" t="s">
        <v>11459</v>
      </c>
      <c r="AD2316" s="87" t="s">
        <v>11519</v>
      </c>
      <c r="AE2316" s="92" t="str">
        <f>HYPERLINK("https://twitter.com/cristinersoares/status/1681075165927464961")</f>
        <v>https://twitter.com/cristinersoares/status/1681075165927464961</v>
      </c>
      <c r="AF2316" s="90">
        <v>45124.95517361111</v>
      </c>
      <c r="AG2316" s="99">
        <v>45124</v>
      </c>
      <c r="AH2316" s="93" t="s">
        <v>13635</v>
      </c>
      <c r="AI2316" s="87" t="b">
        <v>0</v>
      </c>
      <c r="AJ2316" s="87"/>
      <c r="AK2316" s="87"/>
      <c r="AL2316" s="87"/>
      <c r="AM2316" s="87"/>
      <c r="AN2316" s="87"/>
      <c r="AO2316" s="87"/>
      <c r="AP2316" s="87"/>
      <c r="AQ2316" s="87" t="s">
        <v>16935</v>
      </c>
      <c r="AR2316" s="87">
        <v>85433</v>
      </c>
      <c r="AS2316" s="87"/>
      <c r="AT2316" s="87"/>
      <c r="AU2316" s="87"/>
      <c r="AV2316" s="92" t="str">
        <f>HYPERLINK("https://pbs.twimg.com/ext_tw_video_thumb/1681074895965286400/pu/img/R1cVST6vQIBb65nq.jpg")</f>
        <v>https://pbs.twimg.com/ext_tw_video_thumb/1681074895965286400/pu/img/R1cVST6vQIBb65nq.jpg</v>
      </c>
      <c r="AW2316" s="93" t="s">
        <v>20533</v>
      </c>
      <c r="AX2316" s="93" t="s">
        <v>20533</v>
      </c>
      <c r="AY2316" s="87"/>
      <c r="AZ2316" s="93" t="s">
        <v>22668</v>
      </c>
      <c r="BA2316" s="93" t="s">
        <v>22668</v>
      </c>
      <c r="BB2316" s="93" t="s">
        <v>22668</v>
      </c>
      <c r="BC2316" s="93" t="s">
        <v>20533</v>
      </c>
      <c r="BD2316" s="93" t="s">
        <v>23252</v>
      </c>
      <c r="BE2316" s="87"/>
      <c r="BF2316" s="87"/>
      <c r="BG2316" s="87"/>
      <c r="BH2316" s="87"/>
      <c r="BI2316" s="87"/>
    </row>
    <row r="2317" spans="1:61" x14ac:dyDescent="0.25">
      <c r="A2317" s="63" t="s">
        <v>1028</v>
      </c>
      <c r="B2317" s="63" t="s">
        <v>1028</v>
      </c>
      <c r="C2317" s="64"/>
      <c r="D2317" s="65"/>
      <c r="E2317" s="66"/>
      <c r="F2317" s="67"/>
      <c r="G2317" s="64"/>
      <c r="H2317" s="68"/>
      <c r="I2317" s="69"/>
      <c r="J2317" s="69"/>
      <c r="K2317" s="32"/>
      <c r="L2317" s="76">
        <v>2317</v>
      </c>
      <c r="M2317" s="76"/>
      <c r="N2317" s="71"/>
      <c r="O2317" s="87" t="s">
        <v>179</v>
      </c>
      <c r="P2317" s="90">
        <v>45118.977511574078</v>
      </c>
      <c r="Q2317" s="87" t="s">
        <v>4090</v>
      </c>
      <c r="R2317" s="87">
        <v>0</v>
      </c>
      <c r="S2317" s="87">
        <v>0</v>
      </c>
      <c r="T2317" s="87">
        <v>0</v>
      </c>
      <c r="U2317" s="87">
        <v>0</v>
      </c>
      <c r="V2317" s="87">
        <v>17</v>
      </c>
      <c r="W2317" s="93" t="s">
        <v>7373</v>
      </c>
      <c r="X2317" s="87"/>
      <c r="Y2317" s="87"/>
      <c r="Z2317" s="87"/>
      <c r="AA2317" s="87" t="s">
        <v>10123</v>
      </c>
      <c r="AB2317" s="87" t="s">
        <v>11448</v>
      </c>
      <c r="AC2317" s="93" t="s">
        <v>11459</v>
      </c>
      <c r="AD2317" s="87" t="s">
        <v>11519</v>
      </c>
      <c r="AE2317" s="92" t="str">
        <f>HYPERLINK("https://twitter.com/cristinersoares/status/1678908933866389507")</f>
        <v>https://twitter.com/cristinersoares/status/1678908933866389507</v>
      </c>
      <c r="AF2317" s="90">
        <v>45118.977511574078</v>
      </c>
      <c r="AG2317" s="99">
        <v>45118</v>
      </c>
      <c r="AH2317" s="93" t="s">
        <v>13636</v>
      </c>
      <c r="AI2317" s="87" t="b">
        <v>0</v>
      </c>
      <c r="AJ2317" s="87"/>
      <c r="AK2317" s="87"/>
      <c r="AL2317" s="87"/>
      <c r="AM2317" s="87"/>
      <c r="AN2317" s="87"/>
      <c r="AO2317" s="87"/>
      <c r="AP2317" s="87"/>
      <c r="AQ2317" s="87" t="s">
        <v>16936</v>
      </c>
      <c r="AR2317" s="87"/>
      <c r="AS2317" s="87"/>
      <c r="AT2317" s="87"/>
      <c r="AU2317" s="87"/>
      <c r="AV2317" s="92" t="str">
        <f>HYPERLINK("https://pbs.twimg.com/media/F0yuxxnWcAItUzk.jpg")</f>
        <v>https://pbs.twimg.com/media/F0yuxxnWcAItUzk.jpg</v>
      </c>
      <c r="AW2317" s="93" t="s">
        <v>20534</v>
      </c>
      <c r="AX2317" s="93" t="s">
        <v>20534</v>
      </c>
      <c r="AY2317" s="87"/>
      <c r="AZ2317" s="93" t="s">
        <v>22668</v>
      </c>
      <c r="BA2317" s="93" t="s">
        <v>22668</v>
      </c>
      <c r="BB2317" s="93" t="s">
        <v>22668</v>
      </c>
      <c r="BC2317" s="93" t="s">
        <v>20534</v>
      </c>
      <c r="BD2317" s="93" t="s">
        <v>23252</v>
      </c>
      <c r="BE2317" s="87"/>
      <c r="BF2317" s="87"/>
      <c r="BG2317" s="87"/>
      <c r="BH2317" s="87"/>
      <c r="BI2317" s="87"/>
    </row>
    <row r="2318" spans="1:61" x14ac:dyDescent="0.25">
      <c r="A2318" s="63" t="s">
        <v>1028</v>
      </c>
      <c r="B2318" s="63" t="s">
        <v>1028</v>
      </c>
      <c r="C2318" s="64"/>
      <c r="D2318" s="65"/>
      <c r="E2318" s="66"/>
      <c r="F2318" s="67"/>
      <c r="G2318" s="64"/>
      <c r="H2318" s="68"/>
      <c r="I2318" s="69"/>
      <c r="J2318" s="69"/>
      <c r="K2318" s="32"/>
      <c r="L2318" s="76">
        <v>2318</v>
      </c>
      <c r="M2318" s="76"/>
      <c r="N2318" s="71"/>
      <c r="O2318" s="87" t="s">
        <v>179</v>
      </c>
      <c r="P2318" s="90">
        <v>45136.734652777777</v>
      </c>
      <c r="Q2318" s="87" t="s">
        <v>4091</v>
      </c>
      <c r="R2318" s="87">
        <v>0</v>
      </c>
      <c r="S2318" s="87">
        <v>1</v>
      </c>
      <c r="T2318" s="87">
        <v>0</v>
      </c>
      <c r="U2318" s="87">
        <v>0</v>
      </c>
      <c r="V2318" s="87">
        <v>51</v>
      </c>
      <c r="W2318" s="93" t="s">
        <v>7374</v>
      </c>
      <c r="X2318" s="87"/>
      <c r="Y2318" s="87"/>
      <c r="Z2318" s="87"/>
      <c r="AA2318" s="87" t="s">
        <v>10124</v>
      </c>
      <c r="AB2318" s="87" t="s">
        <v>11447</v>
      </c>
      <c r="AC2318" s="93" t="s">
        <v>11459</v>
      </c>
      <c r="AD2318" s="87" t="s">
        <v>11519</v>
      </c>
      <c r="AE2318" s="92" t="str">
        <f>HYPERLINK("https://twitter.com/cristinersoares/status/1685343908035739649")</f>
        <v>https://twitter.com/cristinersoares/status/1685343908035739649</v>
      </c>
      <c r="AF2318" s="90">
        <v>45136.734652777777</v>
      </c>
      <c r="AG2318" s="99">
        <v>45136</v>
      </c>
      <c r="AH2318" s="93" t="s">
        <v>13637</v>
      </c>
      <c r="AI2318" s="87" t="b">
        <v>0</v>
      </c>
      <c r="AJ2318" s="87"/>
      <c r="AK2318" s="87"/>
      <c r="AL2318" s="87"/>
      <c r="AM2318" s="87"/>
      <c r="AN2318" s="87"/>
      <c r="AO2318" s="87"/>
      <c r="AP2318" s="87"/>
      <c r="AQ2318" s="87" t="s">
        <v>16937</v>
      </c>
      <c r="AR2318" s="87">
        <v>75938</v>
      </c>
      <c r="AS2318" s="87"/>
      <c r="AT2318" s="87"/>
      <c r="AU2318" s="87"/>
      <c r="AV2318" s="92" t="str">
        <f>HYPERLINK("https://pbs.twimg.com/ext_tw_video_thumb/1685343810203668480/pu/img/Ws00KEKZJBmB5HwD.jpg")</f>
        <v>https://pbs.twimg.com/ext_tw_video_thumb/1685343810203668480/pu/img/Ws00KEKZJBmB5HwD.jpg</v>
      </c>
      <c r="AW2318" s="93" t="s">
        <v>20535</v>
      </c>
      <c r="AX2318" s="93" t="s">
        <v>20535</v>
      </c>
      <c r="AY2318" s="87"/>
      <c r="AZ2318" s="93" t="s">
        <v>22668</v>
      </c>
      <c r="BA2318" s="93" t="s">
        <v>22668</v>
      </c>
      <c r="BB2318" s="93" t="s">
        <v>22668</v>
      </c>
      <c r="BC2318" s="93" t="s">
        <v>20535</v>
      </c>
      <c r="BD2318" s="93" t="s">
        <v>23252</v>
      </c>
      <c r="BE2318" s="87"/>
      <c r="BF2318" s="87"/>
      <c r="BG2318" s="87"/>
      <c r="BH2318" s="87"/>
      <c r="BI2318" s="87"/>
    </row>
    <row r="2319" spans="1:61" x14ac:dyDescent="0.25">
      <c r="A2319" s="63" t="s">
        <v>1029</v>
      </c>
      <c r="B2319" s="63" t="s">
        <v>1029</v>
      </c>
      <c r="C2319" s="64"/>
      <c r="D2319" s="65"/>
      <c r="E2319" s="66"/>
      <c r="F2319" s="67"/>
      <c r="G2319" s="64"/>
      <c r="H2319" s="68"/>
      <c r="I2319" s="69"/>
      <c r="J2319" s="69"/>
      <c r="K2319" s="32"/>
      <c r="L2319" s="76">
        <v>2319</v>
      </c>
      <c r="M2319" s="76"/>
      <c r="N2319" s="71"/>
      <c r="O2319" s="87" t="s">
        <v>179</v>
      </c>
      <c r="P2319" s="90">
        <v>45137.025949074072</v>
      </c>
      <c r="Q2319" s="87" t="s">
        <v>4092</v>
      </c>
      <c r="R2319" s="87">
        <v>0</v>
      </c>
      <c r="S2319" s="87">
        <v>0</v>
      </c>
      <c r="T2319" s="87">
        <v>0</v>
      </c>
      <c r="U2319" s="87">
        <v>0</v>
      </c>
      <c r="V2319" s="87">
        <v>3</v>
      </c>
      <c r="W2319" s="93" t="s">
        <v>7375</v>
      </c>
      <c r="X2319" s="92" t="str">
        <f>HYPERLINK("http://www.charmecaprichoecia.com.br/2023/07/a-tradicao-e-tudo-e-contribui-muito.html")</f>
        <v>http://www.charmecaprichoecia.com.br/2023/07/a-tradicao-e-tudo-e-contribui-muito.html</v>
      </c>
      <c r="Y2319" s="87" t="s">
        <v>8373</v>
      </c>
      <c r="Z2319" s="87"/>
      <c r="AA2319" s="87" t="s">
        <v>10125</v>
      </c>
      <c r="AB2319" s="87" t="s">
        <v>11448</v>
      </c>
      <c r="AC2319" s="93" t="s">
        <v>11457</v>
      </c>
      <c r="AD2319" s="87" t="s">
        <v>11519</v>
      </c>
      <c r="AE2319" s="92" t="str">
        <f>HYPERLINK("https://twitter.com/kevinkleinreal/status/1685449468664061952")</f>
        <v>https://twitter.com/kevinkleinreal/status/1685449468664061952</v>
      </c>
      <c r="AF2319" s="90">
        <v>45137.025949074072</v>
      </c>
      <c r="AG2319" s="99">
        <v>45137</v>
      </c>
      <c r="AH2319" s="93" t="s">
        <v>13638</v>
      </c>
      <c r="AI2319" s="87" t="b">
        <v>0</v>
      </c>
      <c r="AJ2319" s="87"/>
      <c r="AK2319" s="87"/>
      <c r="AL2319" s="87"/>
      <c r="AM2319" s="87"/>
      <c r="AN2319" s="87"/>
      <c r="AO2319" s="87"/>
      <c r="AP2319" s="87"/>
      <c r="AQ2319" s="87" t="s">
        <v>16938</v>
      </c>
      <c r="AR2319" s="87"/>
      <c r="AS2319" s="87"/>
      <c r="AT2319" s="87"/>
      <c r="AU2319" s="87"/>
      <c r="AV2319" s="92" t="str">
        <f>HYPERLINK("https://pbs.twimg.com/media/F2PrQKcXAAAUp3V.png")</f>
        <v>https://pbs.twimg.com/media/F2PrQKcXAAAUp3V.png</v>
      </c>
      <c r="AW2319" s="93" t="s">
        <v>20536</v>
      </c>
      <c r="AX2319" s="93" t="s">
        <v>20536</v>
      </c>
      <c r="AY2319" s="87"/>
      <c r="AZ2319" s="93" t="s">
        <v>22668</v>
      </c>
      <c r="BA2319" s="93" t="s">
        <v>22668</v>
      </c>
      <c r="BB2319" s="93" t="s">
        <v>22668</v>
      </c>
      <c r="BC2319" s="93" t="s">
        <v>20536</v>
      </c>
      <c r="BD2319" s="93" t="s">
        <v>23253</v>
      </c>
      <c r="BE2319" s="87"/>
      <c r="BF2319" s="87"/>
      <c r="BG2319" s="87"/>
      <c r="BH2319" s="87"/>
      <c r="BI2319" s="87"/>
    </row>
    <row r="2320" spans="1:61" x14ac:dyDescent="0.25">
      <c r="A2320" s="63" t="s">
        <v>1030</v>
      </c>
      <c r="B2320" s="63" t="s">
        <v>1030</v>
      </c>
      <c r="C2320" s="64"/>
      <c r="D2320" s="65"/>
      <c r="E2320" s="66"/>
      <c r="F2320" s="67"/>
      <c r="G2320" s="64"/>
      <c r="H2320" s="68"/>
      <c r="I2320" s="69"/>
      <c r="J2320" s="69"/>
      <c r="K2320" s="32"/>
      <c r="L2320" s="76">
        <v>2320</v>
      </c>
      <c r="M2320" s="76"/>
      <c r="N2320" s="71"/>
      <c r="O2320" s="87" t="s">
        <v>179</v>
      </c>
      <c r="P2320" s="90">
        <v>45183.327210648145</v>
      </c>
      <c r="Q2320" s="87" t="s">
        <v>4093</v>
      </c>
      <c r="R2320" s="87">
        <v>0</v>
      </c>
      <c r="S2320" s="87">
        <v>2</v>
      </c>
      <c r="T2320" s="87">
        <v>0</v>
      </c>
      <c r="U2320" s="87">
        <v>0</v>
      </c>
      <c r="V2320" s="87">
        <v>81</v>
      </c>
      <c r="W2320" s="93" t="s">
        <v>7376</v>
      </c>
      <c r="X2320" s="87"/>
      <c r="Y2320" s="87"/>
      <c r="Z2320" s="87"/>
      <c r="AA2320" s="87" t="s">
        <v>10126</v>
      </c>
      <c r="AB2320" s="87" t="s">
        <v>11447</v>
      </c>
      <c r="AC2320" s="93" t="s">
        <v>11458</v>
      </c>
      <c r="AD2320" s="87" t="s">
        <v>11519</v>
      </c>
      <c r="AE2320" s="92" t="str">
        <f>HYPERLINK("https://twitter.com/celsodomingos/status/1702228486096593026")</f>
        <v>https://twitter.com/celsodomingos/status/1702228486096593026</v>
      </c>
      <c r="AF2320" s="90">
        <v>45183.327210648145</v>
      </c>
      <c r="AG2320" s="99">
        <v>45183</v>
      </c>
      <c r="AH2320" s="93" t="s">
        <v>13639</v>
      </c>
      <c r="AI2320" s="87" t="b">
        <v>0</v>
      </c>
      <c r="AJ2320" s="87"/>
      <c r="AK2320" s="87"/>
      <c r="AL2320" s="87"/>
      <c r="AM2320" s="87"/>
      <c r="AN2320" s="87"/>
      <c r="AO2320" s="87"/>
      <c r="AP2320" s="87"/>
      <c r="AQ2320" s="87" t="s">
        <v>16939</v>
      </c>
      <c r="AR2320" s="87">
        <v>44993</v>
      </c>
      <c r="AS2320" s="87"/>
      <c r="AT2320" s="87"/>
      <c r="AU2320" s="87"/>
      <c r="AV2320" s="92" t="str">
        <f>HYPERLINK("https://pbs.twimg.com/ext_tw_video_thumb/1702228411270238208/pu/img/aFQ47wLRNWFSqMUz.jpg")</f>
        <v>https://pbs.twimg.com/ext_tw_video_thumb/1702228411270238208/pu/img/aFQ47wLRNWFSqMUz.jpg</v>
      </c>
      <c r="AW2320" s="93" t="s">
        <v>20537</v>
      </c>
      <c r="AX2320" s="93" t="s">
        <v>20537</v>
      </c>
      <c r="AY2320" s="87"/>
      <c r="AZ2320" s="93" t="s">
        <v>22668</v>
      </c>
      <c r="BA2320" s="93" t="s">
        <v>22668</v>
      </c>
      <c r="BB2320" s="93" t="s">
        <v>22668</v>
      </c>
      <c r="BC2320" s="93" t="s">
        <v>20537</v>
      </c>
      <c r="BD2320" s="87">
        <v>110448665</v>
      </c>
      <c r="BE2320" s="87"/>
      <c r="BF2320" s="87"/>
      <c r="BG2320" s="87"/>
      <c r="BH2320" s="87"/>
      <c r="BI2320" s="87"/>
    </row>
    <row r="2321" spans="1:61" x14ac:dyDescent="0.25">
      <c r="A2321" s="63" t="s">
        <v>1031</v>
      </c>
      <c r="B2321" s="63" t="s">
        <v>1031</v>
      </c>
      <c r="C2321" s="64"/>
      <c r="D2321" s="65"/>
      <c r="E2321" s="66"/>
      <c r="F2321" s="67"/>
      <c r="G2321" s="64"/>
      <c r="H2321" s="68"/>
      <c r="I2321" s="69"/>
      <c r="J2321" s="69"/>
      <c r="K2321" s="32"/>
      <c r="L2321" s="76">
        <v>2321</v>
      </c>
      <c r="M2321" s="76"/>
      <c r="N2321" s="71"/>
      <c r="O2321" s="87" t="s">
        <v>179</v>
      </c>
      <c r="P2321" s="90">
        <v>45111.857557870368</v>
      </c>
      <c r="Q2321" s="87" t="s">
        <v>4094</v>
      </c>
      <c r="R2321" s="87">
        <v>0</v>
      </c>
      <c r="S2321" s="87">
        <v>0</v>
      </c>
      <c r="T2321" s="87">
        <v>0</v>
      </c>
      <c r="U2321" s="87">
        <v>0</v>
      </c>
      <c r="V2321" s="87">
        <v>20</v>
      </c>
      <c r="W2321" s="93" t="s">
        <v>7377</v>
      </c>
      <c r="X2321" s="87"/>
      <c r="Y2321" s="87"/>
      <c r="Z2321" s="87"/>
      <c r="AA2321" s="87"/>
      <c r="AB2321" s="87"/>
      <c r="AC2321" s="93" t="s">
        <v>11459</v>
      </c>
      <c r="AD2321" s="87" t="s">
        <v>11519</v>
      </c>
      <c r="AE2321" s="92" t="str">
        <f>HYPERLINK("https://twitter.com/sarah_sant1261/status/1676328750550589440")</f>
        <v>https://twitter.com/sarah_sant1261/status/1676328750550589440</v>
      </c>
      <c r="AF2321" s="90">
        <v>45111.857557870368</v>
      </c>
      <c r="AG2321" s="99">
        <v>45111</v>
      </c>
      <c r="AH2321" s="93" t="s">
        <v>13640</v>
      </c>
      <c r="AI2321" s="87"/>
      <c r="AJ2321" s="87"/>
      <c r="AK2321" s="87"/>
      <c r="AL2321" s="87"/>
      <c r="AM2321" s="87"/>
      <c r="AN2321" s="87"/>
      <c r="AO2321" s="87"/>
      <c r="AP2321" s="87"/>
      <c r="AQ2321" s="87"/>
      <c r="AR2321" s="87"/>
      <c r="AS2321" s="87"/>
      <c r="AT2321" s="87"/>
      <c r="AU2321" s="87"/>
      <c r="AV2321" s="92" t="str">
        <f>HYPERLINK("https://pbs.twimg.com/profile_images/1686412807959465991/cmwv6aE__normal.jpg")</f>
        <v>https://pbs.twimg.com/profile_images/1686412807959465991/cmwv6aE__normal.jpg</v>
      </c>
      <c r="AW2321" s="93" t="s">
        <v>20538</v>
      </c>
      <c r="AX2321" s="93" t="s">
        <v>20538</v>
      </c>
      <c r="AY2321" s="87"/>
      <c r="AZ2321" s="93" t="s">
        <v>22668</v>
      </c>
      <c r="BA2321" s="93" t="s">
        <v>22668</v>
      </c>
      <c r="BB2321" s="93" t="s">
        <v>22668</v>
      </c>
      <c r="BC2321" s="93" t="s">
        <v>20538</v>
      </c>
      <c r="BD2321" s="93" t="s">
        <v>23254</v>
      </c>
      <c r="BE2321" s="87"/>
      <c r="BF2321" s="87"/>
      <c r="BG2321" s="87"/>
      <c r="BH2321" s="87"/>
      <c r="BI2321" s="87"/>
    </row>
    <row r="2322" spans="1:61" x14ac:dyDescent="0.25">
      <c r="A2322" s="63" t="s">
        <v>1032</v>
      </c>
      <c r="B2322" s="63" t="s">
        <v>1032</v>
      </c>
      <c r="C2322" s="64"/>
      <c r="D2322" s="65"/>
      <c r="E2322" s="66"/>
      <c r="F2322" s="67"/>
      <c r="G2322" s="64"/>
      <c r="H2322" s="68"/>
      <c r="I2322" s="69"/>
      <c r="J2322" s="69"/>
      <c r="K2322" s="32"/>
      <c r="L2322" s="76">
        <v>2322</v>
      </c>
      <c r="M2322" s="76"/>
      <c r="N2322" s="71"/>
      <c r="O2322" s="87" t="s">
        <v>179</v>
      </c>
      <c r="P2322" s="90">
        <v>45179.541678240741</v>
      </c>
      <c r="Q2322" s="87" t="s">
        <v>4095</v>
      </c>
      <c r="R2322" s="87">
        <v>0</v>
      </c>
      <c r="S2322" s="87">
        <v>2</v>
      </c>
      <c r="T2322" s="87">
        <v>0</v>
      </c>
      <c r="U2322" s="87">
        <v>0</v>
      </c>
      <c r="V2322" s="87">
        <v>281</v>
      </c>
      <c r="W2322" s="93" t="s">
        <v>7378</v>
      </c>
      <c r="X2322" s="92" t="str">
        <f>HYPERLINK("https://www.mackenzie.br/noticias/artigo/n/a/i/mackenzie-participa-de-congresso-de-universidades-empreendedoras")</f>
        <v>https://www.mackenzie.br/noticias/artigo/n/a/i/mackenzie-participa-de-congresso-de-universidades-empreendedoras</v>
      </c>
      <c r="Y2322" s="87" t="s">
        <v>8495</v>
      </c>
      <c r="Z2322" s="87"/>
      <c r="AA2322" s="87"/>
      <c r="AB2322" s="87"/>
      <c r="AC2322" s="93" t="s">
        <v>11500</v>
      </c>
      <c r="AD2322" s="87" t="s">
        <v>11519</v>
      </c>
      <c r="AE2322" s="92" t="str">
        <f>HYPERLINK("https://twitter.com/mackenzie1870/status/1700856653900578965")</f>
        <v>https://twitter.com/mackenzie1870/status/1700856653900578965</v>
      </c>
      <c r="AF2322" s="90">
        <v>45179.541678240741</v>
      </c>
      <c r="AG2322" s="99">
        <v>45179</v>
      </c>
      <c r="AH2322" s="93" t="s">
        <v>12107</v>
      </c>
      <c r="AI2322" s="87" t="b">
        <v>0</v>
      </c>
      <c r="AJ2322" s="87"/>
      <c r="AK2322" s="87"/>
      <c r="AL2322" s="87"/>
      <c r="AM2322" s="87"/>
      <c r="AN2322" s="87"/>
      <c r="AO2322" s="87"/>
      <c r="AP2322" s="87"/>
      <c r="AQ2322" s="87"/>
      <c r="AR2322" s="87"/>
      <c r="AS2322" s="87"/>
      <c r="AT2322" s="87"/>
      <c r="AU2322" s="87"/>
      <c r="AV2322" s="92" t="str">
        <f>HYPERLINK("https://pbs.twimg.com/profile_images/1598298273571373060/noXjTob8_normal.jpg")</f>
        <v>https://pbs.twimg.com/profile_images/1598298273571373060/noXjTob8_normal.jpg</v>
      </c>
      <c r="AW2322" s="93" t="s">
        <v>20539</v>
      </c>
      <c r="AX2322" s="93" t="s">
        <v>20539</v>
      </c>
      <c r="AY2322" s="87"/>
      <c r="AZ2322" s="93" t="s">
        <v>22668</v>
      </c>
      <c r="BA2322" s="93" t="s">
        <v>22668</v>
      </c>
      <c r="BB2322" s="93" t="s">
        <v>22668</v>
      </c>
      <c r="BC2322" s="93" t="s">
        <v>20539</v>
      </c>
      <c r="BD2322" s="87">
        <v>43621281</v>
      </c>
      <c r="BE2322" s="87"/>
      <c r="BF2322" s="87"/>
      <c r="BG2322" s="87"/>
      <c r="BH2322" s="87"/>
      <c r="BI2322" s="87"/>
    </row>
    <row r="2323" spans="1:61" x14ac:dyDescent="0.25">
      <c r="A2323" s="63" t="s">
        <v>1032</v>
      </c>
      <c r="B2323" s="63" t="s">
        <v>1032</v>
      </c>
      <c r="C2323" s="64"/>
      <c r="D2323" s="65"/>
      <c r="E2323" s="66"/>
      <c r="F2323" s="67"/>
      <c r="G2323" s="64"/>
      <c r="H2323" s="68"/>
      <c r="I2323" s="69"/>
      <c r="J2323" s="69"/>
      <c r="K2323" s="32"/>
      <c r="L2323" s="76">
        <v>2323</v>
      </c>
      <c r="M2323" s="76"/>
      <c r="N2323" s="71"/>
      <c r="O2323" s="87" t="s">
        <v>179</v>
      </c>
      <c r="P2323" s="90">
        <v>45181.541759259257</v>
      </c>
      <c r="Q2323" s="87" t="s">
        <v>4096</v>
      </c>
      <c r="R2323" s="87">
        <v>0</v>
      </c>
      <c r="S2323" s="87">
        <v>2</v>
      </c>
      <c r="T2323" s="87">
        <v>0</v>
      </c>
      <c r="U2323" s="87">
        <v>0</v>
      </c>
      <c r="V2323" s="87">
        <v>246</v>
      </c>
      <c r="W2323" s="93" t="s">
        <v>7379</v>
      </c>
      <c r="X2323" s="92" t="str">
        <f>HYPERLINK("https://www.mackenzie.br/noticias/artigo/n/a/i/mackenzie-participa-de-congresso-de-universidades-empreendedoras")</f>
        <v>https://www.mackenzie.br/noticias/artigo/n/a/i/mackenzie-participa-de-congresso-de-universidades-empreendedoras</v>
      </c>
      <c r="Y2323" s="87" t="s">
        <v>8495</v>
      </c>
      <c r="Z2323" s="87"/>
      <c r="AA2323" s="87"/>
      <c r="AB2323" s="87"/>
      <c r="AC2323" s="93" t="s">
        <v>11500</v>
      </c>
      <c r="AD2323" s="87" t="s">
        <v>11519</v>
      </c>
      <c r="AE2323" s="92" t="str">
        <f>HYPERLINK("https://twitter.com/mackenzie1870/status/1701581460468318288")</f>
        <v>https://twitter.com/mackenzie1870/status/1701581460468318288</v>
      </c>
      <c r="AF2323" s="90">
        <v>45181.541759259257</v>
      </c>
      <c r="AG2323" s="99">
        <v>45181</v>
      </c>
      <c r="AH2323" s="93" t="s">
        <v>13641</v>
      </c>
      <c r="AI2323" s="87" t="b">
        <v>0</v>
      </c>
      <c r="AJ2323" s="87"/>
      <c r="AK2323" s="87"/>
      <c r="AL2323" s="87"/>
      <c r="AM2323" s="87"/>
      <c r="AN2323" s="87"/>
      <c r="AO2323" s="87"/>
      <c r="AP2323" s="87"/>
      <c r="AQ2323" s="87"/>
      <c r="AR2323" s="87"/>
      <c r="AS2323" s="87"/>
      <c r="AT2323" s="87"/>
      <c r="AU2323" s="87"/>
      <c r="AV2323" s="92" t="str">
        <f>HYPERLINK("https://pbs.twimg.com/profile_images/1598298273571373060/noXjTob8_normal.jpg")</f>
        <v>https://pbs.twimg.com/profile_images/1598298273571373060/noXjTob8_normal.jpg</v>
      </c>
      <c r="AW2323" s="93" t="s">
        <v>20540</v>
      </c>
      <c r="AX2323" s="93" t="s">
        <v>20540</v>
      </c>
      <c r="AY2323" s="87"/>
      <c r="AZ2323" s="93" t="s">
        <v>22668</v>
      </c>
      <c r="BA2323" s="93" t="s">
        <v>22668</v>
      </c>
      <c r="BB2323" s="93" t="s">
        <v>22668</v>
      </c>
      <c r="BC2323" s="93" t="s">
        <v>20540</v>
      </c>
      <c r="BD2323" s="87">
        <v>43621281</v>
      </c>
      <c r="BE2323" s="87"/>
      <c r="BF2323" s="87"/>
      <c r="BG2323" s="87"/>
      <c r="BH2323" s="87"/>
      <c r="BI2323" s="87"/>
    </row>
    <row r="2324" spans="1:61" x14ac:dyDescent="0.25">
      <c r="A2324" s="63" t="s">
        <v>1033</v>
      </c>
      <c r="B2324" s="63" t="s">
        <v>1717</v>
      </c>
      <c r="C2324" s="64"/>
      <c r="D2324" s="65"/>
      <c r="E2324" s="66"/>
      <c r="F2324" s="67"/>
      <c r="G2324" s="64"/>
      <c r="H2324" s="68"/>
      <c r="I2324" s="69"/>
      <c r="J2324" s="69"/>
      <c r="K2324" s="32"/>
      <c r="L2324" s="76">
        <v>2324</v>
      </c>
      <c r="M2324" s="76"/>
      <c r="N2324" s="71"/>
      <c r="O2324" s="87" t="s">
        <v>1839</v>
      </c>
      <c r="P2324" s="90">
        <v>45146.932546296295</v>
      </c>
      <c r="Q2324" s="87" t="s">
        <v>4097</v>
      </c>
      <c r="R2324" s="87">
        <v>0</v>
      </c>
      <c r="S2324" s="87">
        <v>1</v>
      </c>
      <c r="T2324" s="87">
        <v>0</v>
      </c>
      <c r="U2324" s="87">
        <v>0</v>
      </c>
      <c r="V2324" s="87">
        <v>46</v>
      </c>
      <c r="W2324" s="93" t="s">
        <v>7380</v>
      </c>
      <c r="X2324" s="87"/>
      <c r="Y2324" s="87"/>
      <c r="Z2324" s="87" t="s">
        <v>1717</v>
      </c>
      <c r="AA2324" s="87" t="s">
        <v>10127</v>
      </c>
      <c r="AB2324" s="87" t="s">
        <v>11447</v>
      </c>
      <c r="AC2324" s="93" t="s">
        <v>11458</v>
      </c>
      <c r="AD2324" s="87" t="s">
        <v>11519</v>
      </c>
      <c r="AE2324" s="92" t="str">
        <f>HYPERLINK("https://twitter.com/lerlanger/status/1689039501501341696")</f>
        <v>https://twitter.com/lerlanger/status/1689039501501341696</v>
      </c>
      <c r="AF2324" s="90">
        <v>45146.932546296295</v>
      </c>
      <c r="AG2324" s="99">
        <v>45146</v>
      </c>
      <c r="AH2324" s="93" t="s">
        <v>13642</v>
      </c>
      <c r="AI2324" s="87" t="b">
        <v>0</v>
      </c>
      <c r="AJ2324" s="87" t="s">
        <v>15179</v>
      </c>
      <c r="AK2324" s="87" t="s">
        <v>15234</v>
      </c>
      <c r="AL2324" s="87" t="s">
        <v>15237</v>
      </c>
      <c r="AM2324" s="87" t="s">
        <v>15240</v>
      </c>
      <c r="AN2324" s="87" t="s">
        <v>15316</v>
      </c>
      <c r="AO2324" s="87" t="s">
        <v>15372</v>
      </c>
      <c r="AP2324" s="87" t="s">
        <v>15438</v>
      </c>
      <c r="AQ2324" s="87" t="s">
        <v>16940</v>
      </c>
      <c r="AR2324" s="87">
        <v>64033</v>
      </c>
      <c r="AS2324" s="87"/>
      <c r="AT2324" s="87"/>
      <c r="AU2324" s="87"/>
      <c r="AV2324" s="92" t="str">
        <f>HYPERLINK("https://pbs.twimg.com/ext_tw_video_thumb/1689039401777573888/pu/img/Je4F2U4RDSZuYhMY.jpg")</f>
        <v>https://pbs.twimg.com/ext_tw_video_thumb/1689039401777573888/pu/img/Je4F2U4RDSZuYhMY.jpg</v>
      </c>
      <c r="AW2324" s="93" t="s">
        <v>20541</v>
      </c>
      <c r="AX2324" s="93" t="s">
        <v>20541</v>
      </c>
      <c r="AY2324" s="87"/>
      <c r="AZ2324" s="93" t="s">
        <v>22668</v>
      </c>
      <c r="BA2324" s="93" t="s">
        <v>22668</v>
      </c>
      <c r="BB2324" s="93" t="s">
        <v>22668</v>
      </c>
      <c r="BC2324" s="93" t="s">
        <v>20541</v>
      </c>
      <c r="BD2324" s="87">
        <v>1275414943</v>
      </c>
      <c r="BE2324" s="87"/>
      <c r="BF2324" s="87"/>
      <c r="BG2324" s="87"/>
      <c r="BH2324" s="87"/>
      <c r="BI2324" s="87"/>
    </row>
    <row r="2325" spans="1:61" x14ac:dyDescent="0.25">
      <c r="A2325" s="63" t="s">
        <v>1033</v>
      </c>
      <c r="B2325" s="63" t="s">
        <v>1033</v>
      </c>
      <c r="C2325" s="64"/>
      <c r="D2325" s="65"/>
      <c r="E2325" s="66"/>
      <c r="F2325" s="67"/>
      <c r="G2325" s="64"/>
      <c r="H2325" s="68"/>
      <c r="I2325" s="69"/>
      <c r="J2325" s="69"/>
      <c r="K2325" s="32"/>
      <c r="L2325" s="76">
        <v>2325</v>
      </c>
      <c r="M2325" s="76"/>
      <c r="N2325" s="71"/>
      <c r="O2325" s="87" t="s">
        <v>179</v>
      </c>
      <c r="P2325" s="90">
        <v>45115.624421296299</v>
      </c>
      <c r="Q2325" s="87" t="s">
        <v>4098</v>
      </c>
      <c r="R2325" s="87">
        <v>0</v>
      </c>
      <c r="S2325" s="87">
        <v>1</v>
      </c>
      <c r="T2325" s="87">
        <v>0</v>
      </c>
      <c r="U2325" s="87">
        <v>0</v>
      </c>
      <c r="V2325" s="87">
        <v>73</v>
      </c>
      <c r="W2325" s="93" t="s">
        <v>7381</v>
      </c>
      <c r="X2325" s="92" t="str">
        <f>HYPERLINK("http://www.rj.expofavela.com.br")</f>
        <v>http://www.rj.expofavela.com.br</v>
      </c>
      <c r="Y2325" s="87" t="s">
        <v>8373</v>
      </c>
      <c r="Z2325" s="87"/>
      <c r="AA2325" s="87" t="s">
        <v>10128</v>
      </c>
      <c r="AB2325" s="87" t="s">
        <v>11448</v>
      </c>
      <c r="AC2325" s="93" t="s">
        <v>11458</v>
      </c>
      <c r="AD2325" s="87" t="s">
        <v>11519</v>
      </c>
      <c r="AE2325" s="92" t="str">
        <f>HYPERLINK("https://twitter.com/lerlanger/status/1677693816776605697")</f>
        <v>https://twitter.com/lerlanger/status/1677693816776605697</v>
      </c>
      <c r="AF2325" s="90">
        <v>45115.624421296299</v>
      </c>
      <c r="AG2325" s="99">
        <v>45115</v>
      </c>
      <c r="AH2325" s="93" t="s">
        <v>13643</v>
      </c>
      <c r="AI2325" s="87" t="b">
        <v>0</v>
      </c>
      <c r="AJ2325" s="87"/>
      <c r="AK2325" s="87"/>
      <c r="AL2325" s="87"/>
      <c r="AM2325" s="87"/>
      <c r="AN2325" s="87"/>
      <c r="AO2325" s="87"/>
      <c r="AP2325" s="87"/>
      <c r="AQ2325" s="87" t="s">
        <v>16941</v>
      </c>
      <c r="AR2325" s="87"/>
      <c r="AS2325" s="87"/>
      <c r="AT2325" s="87"/>
      <c r="AU2325" s="87"/>
      <c r="AV2325" s="92" t="str">
        <f>HYPERLINK("https://pbs.twimg.com/media/F0hdoePXwAIDGkk.jpg")</f>
        <v>https://pbs.twimg.com/media/F0hdoePXwAIDGkk.jpg</v>
      </c>
      <c r="AW2325" s="93" t="s">
        <v>20542</v>
      </c>
      <c r="AX2325" s="93" t="s">
        <v>20542</v>
      </c>
      <c r="AY2325" s="87"/>
      <c r="AZ2325" s="93" t="s">
        <v>22668</v>
      </c>
      <c r="BA2325" s="93" t="s">
        <v>22668</v>
      </c>
      <c r="BB2325" s="93" t="s">
        <v>22668</v>
      </c>
      <c r="BC2325" s="93" t="s">
        <v>20542</v>
      </c>
      <c r="BD2325" s="87">
        <v>1275414943</v>
      </c>
      <c r="BE2325" s="87"/>
      <c r="BF2325" s="87"/>
      <c r="BG2325" s="87"/>
      <c r="BH2325" s="87"/>
      <c r="BI2325" s="87"/>
    </row>
    <row r="2326" spans="1:61" x14ac:dyDescent="0.25">
      <c r="A2326" s="63" t="s">
        <v>1034</v>
      </c>
      <c r="B2326" s="63" t="s">
        <v>1034</v>
      </c>
      <c r="C2326" s="64"/>
      <c r="D2326" s="65"/>
      <c r="E2326" s="66"/>
      <c r="F2326" s="67"/>
      <c r="G2326" s="64"/>
      <c r="H2326" s="68"/>
      <c r="I2326" s="69"/>
      <c r="J2326" s="69"/>
      <c r="K2326" s="32"/>
      <c r="L2326" s="76">
        <v>2326</v>
      </c>
      <c r="M2326" s="76"/>
      <c r="N2326" s="71"/>
      <c r="O2326" s="87" t="s">
        <v>179</v>
      </c>
      <c r="P2326" s="90">
        <v>45110.809675925928</v>
      </c>
      <c r="Q2326" s="87" t="s">
        <v>4099</v>
      </c>
      <c r="R2326" s="87">
        <v>0</v>
      </c>
      <c r="S2326" s="87">
        <v>2</v>
      </c>
      <c r="T2326" s="87">
        <v>1</v>
      </c>
      <c r="U2326" s="87">
        <v>0</v>
      </c>
      <c r="V2326" s="87">
        <v>202</v>
      </c>
      <c r="W2326" s="93" t="s">
        <v>7382</v>
      </c>
      <c r="X2326" s="87"/>
      <c r="Y2326" s="87"/>
      <c r="Z2326" s="87"/>
      <c r="AA2326" s="87" t="s">
        <v>10129</v>
      </c>
      <c r="AB2326" s="87" t="s">
        <v>11447</v>
      </c>
      <c r="AC2326" s="93" t="s">
        <v>11457</v>
      </c>
      <c r="AD2326" s="87" t="s">
        <v>11519</v>
      </c>
      <c r="AE2326" s="92" t="str">
        <f>HYPERLINK("https://twitter.com/geckocripto/status/1675949009704218639")</f>
        <v>https://twitter.com/geckocripto/status/1675949009704218639</v>
      </c>
      <c r="AF2326" s="90">
        <v>45110.809675925928</v>
      </c>
      <c r="AG2326" s="99">
        <v>45110</v>
      </c>
      <c r="AH2326" s="93" t="s">
        <v>13644</v>
      </c>
      <c r="AI2326" s="87" t="b">
        <v>0</v>
      </c>
      <c r="AJ2326" s="87"/>
      <c r="AK2326" s="87"/>
      <c r="AL2326" s="87"/>
      <c r="AM2326" s="87"/>
      <c r="AN2326" s="87"/>
      <c r="AO2326" s="87"/>
      <c r="AP2326" s="87"/>
      <c r="AQ2326" s="87" t="s">
        <v>16942</v>
      </c>
      <c r="AR2326" s="87">
        <v>89516</v>
      </c>
      <c r="AS2326" s="87"/>
      <c r="AT2326" s="87"/>
      <c r="AU2326" s="87"/>
      <c r="AV2326" s="92" t="str">
        <f>HYPERLINK("https://pbs.twimg.com/ext_tw_video_thumb/1675946929182633986/pu/img/Aw0cx5PC29qex8Nz.jpg")</f>
        <v>https://pbs.twimg.com/ext_tw_video_thumb/1675946929182633986/pu/img/Aw0cx5PC29qex8Nz.jpg</v>
      </c>
      <c r="AW2326" s="93" t="s">
        <v>20543</v>
      </c>
      <c r="AX2326" s="93" t="s">
        <v>20543</v>
      </c>
      <c r="AY2326" s="87"/>
      <c r="AZ2326" s="93" t="s">
        <v>22668</v>
      </c>
      <c r="BA2326" s="93" t="s">
        <v>22668</v>
      </c>
      <c r="BB2326" s="93" t="s">
        <v>22668</v>
      </c>
      <c r="BC2326" s="93" t="s">
        <v>20543</v>
      </c>
      <c r="BD2326" s="93" t="s">
        <v>23255</v>
      </c>
      <c r="BE2326" s="87"/>
      <c r="BF2326" s="87"/>
      <c r="BG2326" s="87"/>
      <c r="BH2326" s="87"/>
      <c r="BI2326" s="87"/>
    </row>
    <row r="2327" spans="1:61" x14ac:dyDescent="0.25">
      <c r="A2327" s="63" t="s">
        <v>1035</v>
      </c>
      <c r="B2327" s="63" t="s">
        <v>1035</v>
      </c>
      <c r="C2327" s="64"/>
      <c r="D2327" s="65"/>
      <c r="E2327" s="66"/>
      <c r="F2327" s="67"/>
      <c r="G2327" s="64"/>
      <c r="H2327" s="68"/>
      <c r="I2327" s="69"/>
      <c r="J2327" s="69"/>
      <c r="K2327" s="32"/>
      <c r="L2327" s="76">
        <v>2327</v>
      </c>
      <c r="M2327" s="76"/>
      <c r="N2327" s="71"/>
      <c r="O2327" s="87" t="s">
        <v>179</v>
      </c>
      <c r="P2327" s="90">
        <v>45177.784328703703</v>
      </c>
      <c r="Q2327" s="87" t="s">
        <v>4100</v>
      </c>
      <c r="R2327" s="87">
        <v>0</v>
      </c>
      <c r="S2327" s="87">
        <v>1</v>
      </c>
      <c r="T2327" s="87">
        <v>1</v>
      </c>
      <c r="U2327" s="87">
        <v>0</v>
      </c>
      <c r="V2327" s="87">
        <v>53</v>
      </c>
      <c r="W2327" s="93" t="s">
        <v>7383</v>
      </c>
      <c r="X2327" s="87"/>
      <c r="Y2327" s="87"/>
      <c r="Z2327" s="87"/>
      <c r="AA2327" s="87" t="s">
        <v>10130</v>
      </c>
      <c r="AB2327" s="87" t="s">
        <v>11448</v>
      </c>
      <c r="AC2327" s="93" t="s">
        <v>11457</v>
      </c>
      <c r="AD2327" s="87" t="s">
        <v>11519</v>
      </c>
      <c r="AE2327" s="92" t="str">
        <f>HYPERLINK("https://twitter.com/c4rim/status/1700219813266629082")</f>
        <v>https://twitter.com/c4rim/status/1700219813266629082</v>
      </c>
      <c r="AF2327" s="90">
        <v>45177.784328703703</v>
      </c>
      <c r="AG2327" s="99">
        <v>45177</v>
      </c>
      <c r="AH2327" s="93" t="s">
        <v>13645</v>
      </c>
      <c r="AI2327" s="87" t="b">
        <v>0</v>
      </c>
      <c r="AJ2327" s="87"/>
      <c r="AK2327" s="87"/>
      <c r="AL2327" s="87"/>
      <c r="AM2327" s="87"/>
      <c r="AN2327" s="87"/>
      <c r="AO2327" s="87"/>
      <c r="AP2327" s="87"/>
      <c r="AQ2327" s="87" t="s">
        <v>16943</v>
      </c>
      <c r="AR2327" s="87"/>
      <c r="AS2327" s="87"/>
      <c r="AT2327" s="87"/>
      <c r="AU2327" s="87"/>
      <c r="AV2327" s="92" t="str">
        <f>HYPERLINK("https://pbs.twimg.com/media/F5hk5AaW8AAZOK7.jpg")</f>
        <v>https://pbs.twimg.com/media/F5hk5AaW8AAZOK7.jpg</v>
      </c>
      <c r="AW2327" s="93" t="s">
        <v>20544</v>
      </c>
      <c r="AX2327" s="93" t="s">
        <v>20544</v>
      </c>
      <c r="AY2327" s="87"/>
      <c r="AZ2327" s="93" t="s">
        <v>22668</v>
      </c>
      <c r="BA2327" s="93" t="s">
        <v>22668</v>
      </c>
      <c r="BB2327" s="93" t="s">
        <v>22668</v>
      </c>
      <c r="BC2327" s="93" t="s">
        <v>20544</v>
      </c>
      <c r="BD2327" s="87">
        <v>493671481</v>
      </c>
      <c r="BE2327" s="87"/>
      <c r="BF2327" s="87"/>
      <c r="BG2327" s="87"/>
      <c r="BH2327" s="87"/>
      <c r="BI2327" s="87"/>
    </row>
    <row r="2328" spans="1:61" x14ac:dyDescent="0.25">
      <c r="A2328" s="63" t="s">
        <v>1036</v>
      </c>
      <c r="B2328" s="63" t="s">
        <v>1036</v>
      </c>
      <c r="C2328" s="64"/>
      <c r="D2328" s="65"/>
      <c r="E2328" s="66"/>
      <c r="F2328" s="67"/>
      <c r="G2328" s="64"/>
      <c r="H2328" s="68"/>
      <c r="I2328" s="69"/>
      <c r="J2328" s="69"/>
      <c r="K2328" s="32"/>
      <c r="L2328" s="76">
        <v>2328</v>
      </c>
      <c r="M2328" s="76"/>
      <c r="N2328" s="71"/>
      <c r="O2328" s="87" t="s">
        <v>179</v>
      </c>
      <c r="P2328" s="90">
        <v>45155.483402777776</v>
      </c>
      <c r="Q2328" s="87" t="s">
        <v>4101</v>
      </c>
      <c r="R2328" s="87">
        <v>0</v>
      </c>
      <c r="S2328" s="87">
        <v>0</v>
      </c>
      <c r="T2328" s="87">
        <v>0</v>
      </c>
      <c r="U2328" s="87">
        <v>0</v>
      </c>
      <c r="V2328" s="87">
        <v>52</v>
      </c>
      <c r="W2328" s="93" t="s">
        <v>7384</v>
      </c>
      <c r="X2328" s="92" t="str">
        <f>HYPERLINK("http://red.edenred.com/wCT9YYJ2gnFH")</f>
        <v>http://red.edenred.com/wCT9YYJ2gnFH</v>
      </c>
      <c r="Y2328" s="87" t="s">
        <v>8442</v>
      </c>
      <c r="Z2328" s="87"/>
      <c r="AA2328" s="87"/>
      <c r="AB2328" s="87"/>
      <c r="AC2328" s="93" t="s">
        <v>11484</v>
      </c>
      <c r="AD2328" s="87" t="s">
        <v>11520</v>
      </c>
      <c r="AE2328" s="92" t="str">
        <f>HYPERLINK("https://twitter.com/nilofalves/status/1692138226121621732")</f>
        <v>https://twitter.com/nilofalves/status/1692138226121621732</v>
      </c>
      <c r="AF2328" s="90">
        <v>45155.483402777776</v>
      </c>
      <c r="AG2328" s="99">
        <v>45155</v>
      </c>
      <c r="AH2328" s="93" t="s">
        <v>13646</v>
      </c>
      <c r="AI2328" s="87" t="b">
        <v>0</v>
      </c>
      <c r="AJ2328" s="87"/>
      <c r="AK2328" s="87"/>
      <c r="AL2328" s="87"/>
      <c r="AM2328" s="87"/>
      <c r="AN2328" s="87"/>
      <c r="AO2328" s="87"/>
      <c r="AP2328" s="87"/>
      <c r="AQ2328" s="87"/>
      <c r="AR2328" s="87"/>
      <c r="AS2328" s="87"/>
      <c r="AT2328" s="87"/>
      <c r="AU2328" s="87"/>
      <c r="AV2328" s="92" t="str">
        <f>HYPERLINK("https://pbs.twimg.com/profile_images/1677025763411853312/PEapbqTo_normal.jpg")</f>
        <v>https://pbs.twimg.com/profile_images/1677025763411853312/PEapbqTo_normal.jpg</v>
      </c>
      <c r="AW2328" s="93" t="s">
        <v>20545</v>
      </c>
      <c r="AX2328" s="93" t="s">
        <v>20545</v>
      </c>
      <c r="AY2328" s="87"/>
      <c r="AZ2328" s="93" t="s">
        <v>22668</v>
      </c>
      <c r="BA2328" s="93" t="s">
        <v>22668</v>
      </c>
      <c r="BB2328" s="93" t="s">
        <v>22668</v>
      </c>
      <c r="BC2328" s="93" t="s">
        <v>20545</v>
      </c>
      <c r="BD2328" s="93" t="s">
        <v>23256</v>
      </c>
      <c r="BE2328" s="87"/>
      <c r="BF2328" s="87"/>
      <c r="BG2328" s="87"/>
      <c r="BH2328" s="87"/>
      <c r="BI2328" s="87"/>
    </row>
    <row r="2329" spans="1:61" x14ac:dyDescent="0.25">
      <c r="A2329" s="63" t="s">
        <v>1037</v>
      </c>
      <c r="B2329" s="63" t="s">
        <v>1718</v>
      </c>
      <c r="C2329" s="64"/>
      <c r="D2329" s="65"/>
      <c r="E2329" s="66"/>
      <c r="F2329" s="67"/>
      <c r="G2329" s="64"/>
      <c r="H2329" s="68"/>
      <c r="I2329" s="69"/>
      <c r="J2329" s="69"/>
      <c r="K2329" s="32"/>
      <c r="L2329" s="76">
        <v>2329</v>
      </c>
      <c r="M2329" s="76"/>
      <c r="N2329" s="71"/>
      <c r="O2329" s="87" t="s">
        <v>1840</v>
      </c>
      <c r="P2329" s="90">
        <v>45152.854745370372</v>
      </c>
      <c r="Q2329" s="87" t="s">
        <v>4102</v>
      </c>
      <c r="R2329" s="87">
        <v>0</v>
      </c>
      <c r="S2329" s="87">
        <v>1</v>
      </c>
      <c r="T2329" s="87">
        <v>0</v>
      </c>
      <c r="U2329" s="87">
        <v>0</v>
      </c>
      <c r="V2329" s="87">
        <v>27</v>
      </c>
      <c r="W2329" s="93" t="s">
        <v>7385</v>
      </c>
      <c r="X2329" s="87"/>
      <c r="Y2329" s="87"/>
      <c r="Z2329" s="87" t="s">
        <v>1718</v>
      </c>
      <c r="AA2329" s="87"/>
      <c r="AB2329" s="87"/>
      <c r="AC2329" s="93" t="s">
        <v>11457</v>
      </c>
      <c r="AD2329" s="87" t="s">
        <v>11519</v>
      </c>
      <c r="AE2329" s="92" t="str">
        <f>HYPERLINK("https://twitter.com/cascaistiago/status/1691185635816587267")</f>
        <v>https://twitter.com/cascaistiago/status/1691185635816587267</v>
      </c>
      <c r="AF2329" s="90">
        <v>45152.854745370372</v>
      </c>
      <c r="AG2329" s="99">
        <v>45152</v>
      </c>
      <c r="AH2329" s="93" t="s">
        <v>13647</v>
      </c>
      <c r="AI2329" s="87"/>
      <c r="AJ2329" s="87"/>
      <c r="AK2329" s="87"/>
      <c r="AL2329" s="87"/>
      <c r="AM2329" s="87"/>
      <c r="AN2329" s="87"/>
      <c r="AO2329" s="87"/>
      <c r="AP2329" s="87"/>
      <c r="AQ2329" s="87"/>
      <c r="AR2329" s="87"/>
      <c r="AS2329" s="87"/>
      <c r="AT2329" s="87"/>
      <c r="AU2329" s="87"/>
      <c r="AV2329" s="92" t="str">
        <f>HYPERLINK("https://pbs.twimg.com/profile_images/1610030983704727554/g7lxaJWD_normal.jpg")</f>
        <v>https://pbs.twimg.com/profile_images/1610030983704727554/g7lxaJWD_normal.jpg</v>
      </c>
      <c r="AW2329" s="93" t="s">
        <v>20546</v>
      </c>
      <c r="AX2329" s="93" t="s">
        <v>22429</v>
      </c>
      <c r="AY2329" s="93" t="s">
        <v>22606</v>
      </c>
      <c r="AZ2329" s="93" t="s">
        <v>22744</v>
      </c>
      <c r="BA2329" s="93" t="s">
        <v>22668</v>
      </c>
      <c r="BB2329" s="93" t="s">
        <v>22668</v>
      </c>
      <c r="BC2329" s="93" t="s">
        <v>22744</v>
      </c>
      <c r="BD2329" s="93" t="s">
        <v>23257</v>
      </c>
      <c r="BE2329" s="87"/>
      <c r="BF2329" s="87"/>
      <c r="BG2329" s="87"/>
      <c r="BH2329" s="87"/>
      <c r="BI2329" s="87"/>
    </row>
    <row r="2330" spans="1:61" x14ac:dyDescent="0.25">
      <c r="A2330" s="63" t="s">
        <v>1038</v>
      </c>
      <c r="B2330" s="63" t="s">
        <v>1038</v>
      </c>
      <c r="C2330" s="64"/>
      <c r="D2330" s="65"/>
      <c r="E2330" s="66"/>
      <c r="F2330" s="67"/>
      <c r="G2330" s="64"/>
      <c r="H2330" s="68"/>
      <c r="I2330" s="69"/>
      <c r="J2330" s="69"/>
      <c r="K2330" s="32"/>
      <c r="L2330" s="76">
        <v>2330</v>
      </c>
      <c r="M2330" s="76"/>
      <c r="N2330" s="71"/>
      <c r="O2330" s="87" t="s">
        <v>179</v>
      </c>
      <c r="P2330" s="90">
        <v>45134.618425925924</v>
      </c>
      <c r="Q2330" s="87" t="s">
        <v>4103</v>
      </c>
      <c r="R2330" s="87">
        <v>0</v>
      </c>
      <c r="S2330" s="87">
        <v>0</v>
      </c>
      <c r="T2330" s="87">
        <v>0</v>
      </c>
      <c r="U2330" s="87">
        <v>0</v>
      </c>
      <c r="V2330" s="87">
        <v>11</v>
      </c>
      <c r="W2330" s="93" t="s">
        <v>7386</v>
      </c>
      <c r="X2330" s="87"/>
      <c r="Y2330" s="87"/>
      <c r="Z2330" s="87"/>
      <c r="AA2330" s="87" t="s">
        <v>10131</v>
      </c>
      <c r="AB2330" s="87" t="s">
        <v>11448</v>
      </c>
      <c r="AC2330" s="93" t="s">
        <v>11460</v>
      </c>
      <c r="AD2330" s="87" t="s">
        <v>11519</v>
      </c>
      <c r="AE2330" s="92" t="str">
        <f>HYPERLINK("https://twitter.com/superjovem8/status/1684577011828940800")</f>
        <v>https://twitter.com/superjovem8/status/1684577011828940800</v>
      </c>
      <c r="AF2330" s="90">
        <v>45134.618425925924</v>
      </c>
      <c r="AG2330" s="99">
        <v>45134</v>
      </c>
      <c r="AH2330" s="93" t="s">
        <v>13648</v>
      </c>
      <c r="AI2330" s="87" t="b">
        <v>0</v>
      </c>
      <c r="AJ2330" s="87"/>
      <c r="AK2330" s="87"/>
      <c r="AL2330" s="87"/>
      <c r="AM2330" s="87"/>
      <c r="AN2330" s="87"/>
      <c r="AO2330" s="87"/>
      <c r="AP2330" s="87"/>
      <c r="AQ2330" s="87" t="s">
        <v>16944</v>
      </c>
      <c r="AR2330" s="87"/>
      <c r="AS2330" s="87"/>
      <c r="AT2330" s="87"/>
      <c r="AU2330" s="87"/>
      <c r="AV2330" s="92" t="str">
        <f>HYPERLINK("https://pbs.twimg.com/media/F2DR3SxboAMkPtl.png")</f>
        <v>https://pbs.twimg.com/media/F2DR3SxboAMkPtl.png</v>
      </c>
      <c r="AW2330" s="93" t="s">
        <v>20547</v>
      </c>
      <c r="AX2330" s="93" t="s">
        <v>20547</v>
      </c>
      <c r="AY2330" s="87"/>
      <c r="AZ2330" s="93" t="s">
        <v>22668</v>
      </c>
      <c r="BA2330" s="93" t="s">
        <v>22668</v>
      </c>
      <c r="BB2330" s="93" t="s">
        <v>22668</v>
      </c>
      <c r="BC2330" s="93" t="s">
        <v>20547</v>
      </c>
      <c r="BD2330" s="93" t="s">
        <v>23258</v>
      </c>
      <c r="BE2330" s="87"/>
      <c r="BF2330" s="87"/>
      <c r="BG2330" s="87"/>
      <c r="BH2330" s="87"/>
      <c r="BI2330" s="87"/>
    </row>
    <row r="2331" spans="1:61" x14ac:dyDescent="0.25">
      <c r="A2331" s="63" t="s">
        <v>1038</v>
      </c>
      <c r="B2331" s="63" t="s">
        <v>1038</v>
      </c>
      <c r="C2331" s="64"/>
      <c r="D2331" s="65"/>
      <c r="E2331" s="66"/>
      <c r="F2331" s="67"/>
      <c r="G2331" s="64"/>
      <c r="H2331" s="68"/>
      <c r="I2331" s="69"/>
      <c r="J2331" s="69"/>
      <c r="K2331" s="32"/>
      <c r="L2331" s="76">
        <v>2331</v>
      </c>
      <c r="M2331" s="76"/>
      <c r="N2331" s="71"/>
      <c r="O2331" s="87" t="s">
        <v>179</v>
      </c>
      <c r="P2331" s="90">
        <v>45126.771550925929</v>
      </c>
      <c r="Q2331" s="87" t="s">
        <v>4104</v>
      </c>
      <c r="R2331" s="87">
        <v>0</v>
      </c>
      <c r="S2331" s="87">
        <v>0</v>
      </c>
      <c r="T2331" s="87">
        <v>0</v>
      </c>
      <c r="U2331" s="87">
        <v>0</v>
      </c>
      <c r="V2331" s="87">
        <v>17</v>
      </c>
      <c r="W2331" s="93" t="s">
        <v>7387</v>
      </c>
      <c r="X2331" s="87"/>
      <c r="Y2331" s="87"/>
      <c r="Z2331" s="87"/>
      <c r="AA2331" s="87" t="s">
        <v>10132</v>
      </c>
      <c r="AB2331" s="87" t="s">
        <v>11448</v>
      </c>
      <c r="AC2331" s="93" t="s">
        <v>11460</v>
      </c>
      <c r="AD2331" s="87" t="s">
        <v>11519</v>
      </c>
      <c r="AE2331" s="92" t="str">
        <f>HYPERLINK("https://twitter.com/superjovem8/status/1681733402808991752")</f>
        <v>https://twitter.com/superjovem8/status/1681733402808991752</v>
      </c>
      <c r="AF2331" s="90">
        <v>45126.771550925929</v>
      </c>
      <c r="AG2331" s="99">
        <v>45126</v>
      </c>
      <c r="AH2331" s="93" t="s">
        <v>13649</v>
      </c>
      <c r="AI2331" s="87" t="b">
        <v>0</v>
      </c>
      <c r="AJ2331" s="87"/>
      <c r="AK2331" s="87"/>
      <c r="AL2331" s="87"/>
      <c r="AM2331" s="87"/>
      <c r="AN2331" s="87"/>
      <c r="AO2331" s="87"/>
      <c r="AP2331" s="87"/>
      <c r="AQ2331" s="87" t="s">
        <v>16945</v>
      </c>
      <c r="AR2331" s="87"/>
      <c r="AS2331" s="87"/>
      <c r="AT2331" s="87"/>
      <c r="AU2331" s="87"/>
      <c r="AV2331" s="92" t="str">
        <f>HYPERLINK("https://pbs.twimg.com/media/F1a3njvWwAM8yA-.jpg")</f>
        <v>https://pbs.twimg.com/media/F1a3njvWwAM8yA-.jpg</v>
      </c>
      <c r="AW2331" s="93" t="s">
        <v>20548</v>
      </c>
      <c r="AX2331" s="93" t="s">
        <v>20548</v>
      </c>
      <c r="AY2331" s="87"/>
      <c r="AZ2331" s="93" t="s">
        <v>22668</v>
      </c>
      <c r="BA2331" s="93" t="s">
        <v>22668</v>
      </c>
      <c r="BB2331" s="93" t="s">
        <v>22668</v>
      </c>
      <c r="BC2331" s="93" t="s">
        <v>20548</v>
      </c>
      <c r="BD2331" s="93" t="s">
        <v>23258</v>
      </c>
      <c r="BE2331" s="87"/>
      <c r="BF2331" s="87"/>
      <c r="BG2331" s="87"/>
      <c r="BH2331" s="87"/>
      <c r="BI2331" s="87"/>
    </row>
    <row r="2332" spans="1:61" x14ac:dyDescent="0.25">
      <c r="A2332" s="63" t="s">
        <v>1038</v>
      </c>
      <c r="B2332" s="63" t="s">
        <v>1038</v>
      </c>
      <c r="C2332" s="64"/>
      <c r="D2332" s="65"/>
      <c r="E2332" s="66"/>
      <c r="F2332" s="67"/>
      <c r="G2332" s="64"/>
      <c r="H2332" s="68"/>
      <c r="I2332" s="69"/>
      <c r="J2332" s="69"/>
      <c r="K2332" s="32"/>
      <c r="L2332" s="76">
        <v>2332</v>
      </c>
      <c r="M2332" s="76"/>
      <c r="N2332" s="71"/>
      <c r="O2332" s="87" t="s">
        <v>179</v>
      </c>
      <c r="P2332" s="90">
        <v>45138.625497685185</v>
      </c>
      <c r="Q2332" s="87" t="s">
        <v>4105</v>
      </c>
      <c r="R2332" s="87">
        <v>0</v>
      </c>
      <c r="S2332" s="87">
        <v>0</v>
      </c>
      <c r="T2332" s="87">
        <v>0</v>
      </c>
      <c r="U2332" s="87">
        <v>0</v>
      </c>
      <c r="V2332" s="87">
        <v>5</v>
      </c>
      <c r="W2332" s="93" t="s">
        <v>7388</v>
      </c>
      <c r="X2332" s="87"/>
      <c r="Y2332" s="87"/>
      <c r="Z2332" s="87"/>
      <c r="AA2332" s="87" t="s">
        <v>10133</v>
      </c>
      <c r="AB2332" s="87" t="s">
        <v>11448</v>
      </c>
      <c r="AC2332" s="93" t="s">
        <v>11460</v>
      </c>
      <c r="AD2332" s="87" t="s">
        <v>11519</v>
      </c>
      <c r="AE2332" s="92" t="str">
        <f>HYPERLINK("https://twitter.com/superjovem8/status/1686029125616615426")</f>
        <v>https://twitter.com/superjovem8/status/1686029125616615426</v>
      </c>
      <c r="AF2332" s="90">
        <v>45138.625497685185</v>
      </c>
      <c r="AG2332" s="99">
        <v>45138</v>
      </c>
      <c r="AH2332" s="93" t="s">
        <v>13650</v>
      </c>
      <c r="AI2332" s="87" t="b">
        <v>0</v>
      </c>
      <c r="AJ2332" s="87"/>
      <c r="AK2332" s="87"/>
      <c r="AL2332" s="87"/>
      <c r="AM2332" s="87"/>
      <c r="AN2332" s="87"/>
      <c r="AO2332" s="87"/>
      <c r="AP2332" s="87"/>
      <c r="AQ2332" s="87" t="s">
        <v>16946</v>
      </c>
      <c r="AR2332" s="87"/>
      <c r="AS2332" s="87"/>
      <c r="AT2332" s="87"/>
      <c r="AU2332" s="87"/>
      <c r="AV2332" s="92" t="str">
        <f>HYPERLINK("https://pbs.twimg.com/media/F2X6jezWIAUagTS.jpg")</f>
        <v>https://pbs.twimg.com/media/F2X6jezWIAUagTS.jpg</v>
      </c>
      <c r="AW2332" s="93" t="s">
        <v>20549</v>
      </c>
      <c r="AX2332" s="93" t="s">
        <v>20549</v>
      </c>
      <c r="AY2332" s="87"/>
      <c r="AZ2332" s="93" t="s">
        <v>22668</v>
      </c>
      <c r="BA2332" s="93" t="s">
        <v>22668</v>
      </c>
      <c r="BB2332" s="93" t="s">
        <v>22668</v>
      </c>
      <c r="BC2332" s="93" t="s">
        <v>20549</v>
      </c>
      <c r="BD2332" s="93" t="s">
        <v>23258</v>
      </c>
      <c r="BE2332" s="87"/>
      <c r="BF2332" s="87"/>
      <c r="BG2332" s="87"/>
      <c r="BH2332" s="87"/>
      <c r="BI2332" s="87"/>
    </row>
    <row r="2333" spans="1:61" x14ac:dyDescent="0.25">
      <c r="A2333" s="63" t="s">
        <v>1039</v>
      </c>
      <c r="B2333" s="63" t="s">
        <v>1039</v>
      </c>
      <c r="C2333" s="64"/>
      <c r="D2333" s="65"/>
      <c r="E2333" s="66"/>
      <c r="F2333" s="67"/>
      <c r="G2333" s="64"/>
      <c r="H2333" s="68"/>
      <c r="I2333" s="69"/>
      <c r="J2333" s="69"/>
      <c r="K2333" s="32"/>
      <c r="L2333" s="76">
        <v>2333</v>
      </c>
      <c r="M2333" s="76"/>
      <c r="N2333" s="71"/>
      <c r="O2333" s="87" t="s">
        <v>179</v>
      </c>
      <c r="P2333" s="90">
        <v>45152.043773148151</v>
      </c>
      <c r="Q2333" s="87" t="s">
        <v>4106</v>
      </c>
      <c r="R2333" s="87">
        <v>1</v>
      </c>
      <c r="S2333" s="87">
        <v>0</v>
      </c>
      <c r="T2333" s="87">
        <v>0</v>
      </c>
      <c r="U2333" s="87">
        <v>0</v>
      </c>
      <c r="V2333" s="87">
        <v>35</v>
      </c>
      <c r="W2333" s="93" t="s">
        <v>7389</v>
      </c>
      <c r="X2333" s="87"/>
      <c r="Y2333" s="87"/>
      <c r="Z2333" s="87"/>
      <c r="AA2333" s="87"/>
      <c r="AB2333" s="87"/>
      <c r="AC2333" s="93" t="s">
        <v>11457</v>
      </c>
      <c r="AD2333" s="87" t="s">
        <v>11519</v>
      </c>
      <c r="AE2333" s="92" t="str">
        <f>HYPERLINK("https://twitter.com/the_nomadship/status/1690891746186506241")</f>
        <v>https://twitter.com/the_nomadship/status/1690891746186506241</v>
      </c>
      <c r="AF2333" s="90">
        <v>45152.043773148151</v>
      </c>
      <c r="AG2333" s="99">
        <v>45152</v>
      </c>
      <c r="AH2333" s="93" t="s">
        <v>13651</v>
      </c>
      <c r="AI2333" s="87"/>
      <c r="AJ2333" s="87"/>
      <c r="AK2333" s="87"/>
      <c r="AL2333" s="87"/>
      <c r="AM2333" s="87"/>
      <c r="AN2333" s="87"/>
      <c r="AO2333" s="87"/>
      <c r="AP2333" s="87"/>
      <c r="AQ2333" s="87"/>
      <c r="AR2333" s="87"/>
      <c r="AS2333" s="87"/>
      <c r="AT2333" s="87"/>
      <c r="AU2333" s="87"/>
      <c r="AV2333" s="92" t="str">
        <f>HYPERLINK("https://pbs.twimg.com/profile_images/1689427223827152896/e_T7P0Hh_normal.jpg")</f>
        <v>https://pbs.twimg.com/profile_images/1689427223827152896/e_T7P0Hh_normal.jpg</v>
      </c>
      <c r="AW2333" s="93" t="s">
        <v>20550</v>
      </c>
      <c r="AX2333" s="93" t="s">
        <v>20550</v>
      </c>
      <c r="AY2333" s="87"/>
      <c r="AZ2333" s="93" t="s">
        <v>22668</v>
      </c>
      <c r="BA2333" s="93" t="s">
        <v>22668</v>
      </c>
      <c r="BB2333" s="93" t="s">
        <v>22668</v>
      </c>
      <c r="BC2333" s="93" t="s">
        <v>20550</v>
      </c>
      <c r="BD2333" s="93" t="s">
        <v>23259</v>
      </c>
      <c r="BE2333" s="87"/>
      <c r="BF2333" s="87"/>
      <c r="BG2333" s="87"/>
      <c r="BH2333" s="87"/>
      <c r="BI2333" s="87"/>
    </row>
    <row r="2334" spans="1:61" x14ac:dyDescent="0.25">
      <c r="A2334" s="63" t="s">
        <v>1040</v>
      </c>
      <c r="B2334" s="63" t="s">
        <v>1040</v>
      </c>
      <c r="C2334" s="64"/>
      <c r="D2334" s="65"/>
      <c r="E2334" s="66"/>
      <c r="F2334" s="67"/>
      <c r="G2334" s="64"/>
      <c r="H2334" s="68"/>
      <c r="I2334" s="69"/>
      <c r="J2334" s="69"/>
      <c r="K2334" s="32"/>
      <c r="L2334" s="76">
        <v>2334</v>
      </c>
      <c r="M2334" s="76"/>
      <c r="N2334" s="71"/>
      <c r="O2334" s="87" t="s">
        <v>179</v>
      </c>
      <c r="P2334" s="90">
        <v>45124.875636574077</v>
      </c>
      <c r="Q2334" s="87" t="s">
        <v>4107</v>
      </c>
      <c r="R2334" s="87">
        <v>0</v>
      </c>
      <c r="S2334" s="87">
        <v>1</v>
      </c>
      <c r="T2334" s="87">
        <v>0</v>
      </c>
      <c r="U2334" s="87">
        <v>0</v>
      </c>
      <c r="V2334" s="87">
        <v>5</v>
      </c>
      <c r="W2334" s="93" t="s">
        <v>7390</v>
      </c>
      <c r="X2334" s="92" t="str">
        <f>HYPERLINK("https://www.sympla.com.br/evento-online/compartilhando-experiencias-trajetoria-do-empreendedor-bernardo-rabelo-ceo-da-selfout-idiomas/2033557")</f>
        <v>https://www.sympla.com.br/evento-online/compartilhando-experiencias-trajetoria-do-empreendedor-bernardo-rabelo-ceo-da-selfout-idiomas/2033557</v>
      </c>
      <c r="Y2334" s="87" t="s">
        <v>8373</v>
      </c>
      <c r="Z2334" s="87"/>
      <c r="AA2334" s="87" t="s">
        <v>10134</v>
      </c>
      <c r="AB2334" s="87" t="s">
        <v>11448</v>
      </c>
      <c r="AC2334" s="93" t="s">
        <v>11460</v>
      </c>
      <c r="AD2334" s="87" t="s">
        <v>11519</v>
      </c>
      <c r="AE2334" s="92" t="str">
        <f>HYPERLINK("https://twitter.com/pmibahia/status/1681046344696250370")</f>
        <v>https://twitter.com/pmibahia/status/1681046344696250370</v>
      </c>
      <c r="AF2334" s="90">
        <v>45124.875636574077</v>
      </c>
      <c r="AG2334" s="99">
        <v>45124</v>
      </c>
      <c r="AH2334" s="93" t="s">
        <v>13652</v>
      </c>
      <c r="AI2334" s="87" t="b">
        <v>0</v>
      </c>
      <c r="AJ2334" s="87"/>
      <c r="AK2334" s="87"/>
      <c r="AL2334" s="87"/>
      <c r="AM2334" s="87"/>
      <c r="AN2334" s="87"/>
      <c r="AO2334" s="87"/>
      <c r="AP2334" s="87"/>
      <c r="AQ2334" s="87" t="s">
        <v>16947</v>
      </c>
      <c r="AR2334" s="87"/>
      <c r="AS2334" s="87"/>
      <c r="AT2334" s="87"/>
      <c r="AU2334" s="87"/>
      <c r="AV2334" s="92" t="str">
        <f>HYPERLINK("https://pbs.twimg.com/media/F1RGvelX0AALPJm.jpg")</f>
        <v>https://pbs.twimg.com/media/F1RGvelX0AALPJm.jpg</v>
      </c>
      <c r="AW2334" s="93" t="s">
        <v>20551</v>
      </c>
      <c r="AX2334" s="93" t="s">
        <v>20551</v>
      </c>
      <c r="AY2334" s="87"/>
      <c r="AZ2334" s="93" t="s">
        <v>22668</v>
      </c>
      <c r="BA2334" s="93" t="s">
        <v>22668</v>
      </c>
      <c r="BB2334" s="93" t="s">
        <v>22668</v>
      </c>
      <c r="BC2334" s="93" t="s">
        <v>20551</v>
      </c>
      <c r="BD2334" s="93" t="s">
        <v>23260</v>
      </c>
      <c r="BE2334" s="87"/>
      <c r="BF2334" s="87"/>
      <c r="BG2334" s="87"/>
      <c r="BH2334" s="87"/>
      <c r="BI2334" s="87"/>
    </row>
    <row r="2335" spans="1:61" x14ac:dyDescent="0.25">
      <c r="A2335" s="63" t="s">
        <v>1040</v>
      </c>
      <c r="B2335" s="63" t="s">
        <v>1040</v>
      </c>
      <c r="C2335" s="64"/>
      <c r="D2335" s="65"/>
      <c r="E2335" s="66"/>
      <c r="F2335" s="67"/>
      <c r="G2335" s="64"/>
      <c r="H2335" s="68"/>
      <c r="I2335" s="69"/>
      <c r="J2335" s="69"/>
      <c r="K2335" s="32"/>
      <c r="L2335" s="76">
        <v>2335</v>
      </c>
      <c r="M2335" s="76"/>
      <c r="N2335" s="71"/>
      <c r="O2335" s="87" t="s">
        <v>179</v>
      </c>
      <c r="P2335" s="90">
        <v>45118.861296296294</v>
      </c>
      <c r="Q2335" s="87" t="s">
        <v>4108</v>
      </c>
      <c r="R2335" s="87">
        <v>0</v>
      </c>
      <c r="S2335" s="87">
        <v>0</v>
      </c>
      <c r="T2335" s="87">
        <v>0</v>
      </c>
      <c r="U2335" s="87">
        <v>0</v>
      </c>
      <c r="V2335" s="87">
        <v>3</v>
      </c>
      <c r="W2335" s="93" t="s">
        <v>7390</v>
      </c>
      <c r="X2335" s="92" t="str">
        <f>HYPERLINK("https://www.sympla.com.br/evento-online/compartilhando-experiencias-trajetoria-do-empreendedor-bernardo-rabelo-ceo-da-selfout-idiomas/2033557")</f>
        <v>https://www.sympla.com.br/evento-online/compartilhando-experiencias-trajetoria-do-empreendedor-bernardo-rabelo-ceo-da-selfout-idiomas/2033557</v>
      </c>
      <c r="Y2335" s="87" t="s">
        <v>8373</v>
      </c>
      <c r="Z2335" s="87"/>
      <c r="AA2335" s="87" t="s">
        <v>10135</v>
      </c>
      <c r="AB2335" s="87" t="s">
        <v>11448</v>
      </c>
      <c r="AC2335" s="93" t="s">
        <v>11460</v>
      </c>
      <c r="AD2335" s="87" t="s">
        <v>11519</v>
      </c>
      <c r="AE2335" s="92" t="str">
        <f>HYPERLINK("https://twitter.com/pmibahia/status/1678866820797812739")</f>
        <v>https://twitter.com/pmibahia/status/1678866820797812739</v>
      </c>
      <c r="AF2335" s="90">
        <v>45118.861296296294</v>
      </c>
      <c r="AG2335" s="99">
        <v>45118</v>
      </c>
      <c r="AH2335" s="93" t="s">
        <v>13653</v>
      </c>
      <c r="AI2335" s="87" t="b">
        <v>0</v>
      </c>
      <c r="AJ2335" s="87"/>
      <c r="AK2335" s="87"/>
      <c r="AL2335" s="87"/>
      <c r="AM2335" s="87"/>
      <c r="AN2335" s="87"/>
      <c r="AO2335" s="87"/>
      <c r="AP2335" s="87"/>
      <c r="AQ2335" s="87" t="s">
        <v>16948</v>
      </c>
      <c r="AR2335" s="87"/>
      <c r="AS2335" s="87"/>
      <c r="AT2335" s="87"/>
      <c r="AU2335" s="87"/>
      <c r="AV2335" s="92" t="str">
        <f>HYPERLINK("https://pbs.twimg.com/media/F0yIed_XsAMBTwn.jpg")</f>
        <v>https://pbs.twimg.com/media/F0yIed_XsAMBTwn.jpg</v>
      </c>
      <c r="AW2335" s="93" t="s">
        <v>20552</v>
      </c>
      <c r="AX2335" s="93" t="s">
        <v>20552</v>
      </c>
      <c r="AY2335" s="87"/>
      <c r="AZ2335" s="93" t="s">
        <v>22668</v>
      </c>
      <c r="BA2335" s="93" t="s">
        <v>22668</v>
      </c>
      <c r="BB2335" s="93" t="s">
        <v>22668</v>
      </c>
      <c r="BC2335" s="93" t="s">
        <v>20552</v>
      </c>
      <c r="BD2335" s="93" t="s">
        <v>23260</v>
      </c>
      <c r="BE2335" s="87"/>
      <c r="BF2335" s="87"/>
      <c r="BG2335" s="87"/>
      <c r="BH2335" s="87"/>
      <c r="BI2335" s="87"/>
    </row>
    <row r="2336" spans="1:61" x14ac:dyDescent="0.25">
      <c r="A2336" s="63" t="s">
        <v>1041</v>
      </c>
      <c r="B2336" s="63" t="s">
        <v>1041</v>
      </c>
      <c r="C2336" s="64"/>
      <c r="D2336" s="65"/>
      <c r="E2336" s="66"/>
      <c r="F2336" s="67"/>
      <c r="G2336" s="64"/>
      <c r="H2336" s="68"/>
      <c r="I2336" s="69"/>
      <c r="J2336" s="69"/>
      <c r="K2336" s="32"/>
      <c r="L2336" s="76">
        <v>2336</v>
      </c>
      <c r="M2336" s="76"/>
      <c r="N2336" s="71"/>
      <c r="O2336" s="87" t="s">
        <v>179</v>
      </c>
      <c r="P2336" s="90">
        <v>45166.692662037036</v>
      </c>
      <c r="Q2336" s="87" t="s">
        <v>4109</v>
      </c>
      <c r="R2336" s="87">
        <v>0</v>
      </c>
      <c r="S2336" s="87">
        <v>0</v>
      </c>
      <c r="T2336" s="87">
        <v>0</v>
      </c>
      <c r="U2336" s="87">
        <v>0</v>
      </c>
      <c r="V2336" s="87">
        <v>35</v>
      </c>
      <c r="W2336" s="93" t="s">
        <v>7391</v>
      </c>
      <c r="X2336" s="92" t="str">
        <f>HYPERLINK("https://anba.com.br/empresario-de-origem-libanesa-emilio-kallas-lanca-livro/")</f>
        <v>https://anba.com.br/empresario-de-origem-libanesa-emilio-kallas-lanca-livro/</v>
      </c>
      <c r="Y2336" s="87" t="s">
        <v>8373</v>
      </c>
      <c r="Z2336" s="87"/>
      <c r="AA2336" s="87"/>
      <c r="AB2336" s="87"/>
      <c r="AC2336" s="93" t="s">
        <v>11457</v>
      </c>
      <c r="AD2336" s="87" t="s">
        <v>11519</v>
      </c>
      <c r="AE2336" s="92" t="str">
        <f>HYPERLINK("https://twitter.com/anbabrasilarabe/status/1696200325554749933")</f>
        <v>https://twitter.com/anbabrasilarabe/status/1696200325554749933</v>
      </c>
      <c r="AF2336" s="90">
        <v>45166.692662037036</v>
      </c>
      <c r="AG2336" s="99">
        <v>45166</v>
      </c>
      <c r="AH2336" s="93" t="s">
        <v>13654</v>
      </c>
      <c r="AI2336" s="87" t="b">
        <v>0</v>
      </c>
      <c r="AJ2336" s="87"/>
      <c r="AK2336" s="87"/>
      <c r="AL2336" s="87"/>
      <c r="AM2336" s="87"/>
      <c r="AN2336" s="87"/>
      <c r="AO2336" s="87"/>
      <c r="AP2336" s="87"/>
      <c r="AQ2336" s="87"/>
      <c r="AR2336" s="87"/>
      <c r="AS2336" s="87"/>
      <c r="AT2336" s="87"/>
      <c r="AU2336" s="87"/>
      <c r="AV2336" s="92" t="str">
        <f>HYPERLINK("https://pbs.twimg.com/profile_images/1475402279549345794/o06ZezfK_normal.jpg")</f>
        <v>https://pbs.twimg.com/profile_images/1475402279549345794/o06ZezfK_normal.jpg</v>
      </c>
      <c r="AW2336" s="93" t="s">
        <v>20553</v>
      </c>
      <c r="AX2336" s="93" t="s">
        <v>20553</v>
      </c>
      <c r="AY2336" s="87"/>
      <c r="AZ2336" s="93" t="s">
        <v>22668</v>
      </c>
      <c r="BA2336" s="93" t="s">
        <v>22668</v>
      </c>
      <c r="BB2336" s="93" t="s">
        <v>22668</v>
      </c>
      <c r="BC2336" s="93" t="s">
        <v>20553</v>
      </c>
      <c r="BD2336" s="87">
        <v>80597859</v>
      </c>
      <c r="BE2336" s="87"/>
      <c r="BF2336" s="87"/>
      <c r="BG2336" s="87"/>
      <c r="BH2336" s="87"/>
      <c r="BI2336" s="87"/>
    </row>
    <row r="2337" spans="1:61" x14ac:dyDescent="0.25">
      <c r="A2337" s="63" t="s">
        <v>1042</v>
      </c>
      <c r="B2337" s="63" t="s">
        <v>1042</v>
      </c>
      <c r="C2337" s="64"/>
      <c r="D2337" s="65"/>
      <c r="E2337" s="66"/>
      <c r="F2337" s="67"/>
      <c r="G2337" s="64"/>
      <c r="H2337" s="68"/>
      <c r="I2337" s="69"/>
      <c r="J2337" s="69"/>
      <c r="K2337" s="32"/>
      <c r="L2337" s="76">
        <v>2337</v>
      </c>
      <c r="M2337" s="76"/>
      <c r="N2337" s="71"/>
      <c r="O2337" s="87" t="s">
        <v>179</v>
      </c>
      <c r="P2337" s="90">
        <v>45133.987581018519</v>
      </c>
      <c r="Q2337" s="87" t="s">
        <v>4110</v>
      </c>
      <c r="R2337" s="87">
        <v>0</v>
      </c>
      <c r="S2337" s="87">
        <v>1</v>
      </c>
      <c r="T2337" s="87">
        <v>0</v>
      </c>
      <c r="U2337" s="87">
        <v>0</v>
      </c>
      <c r="V2337" s="87">
        <v>16</v>
      </c>
      <c r="W2337" s="93" t="s">
        <v>7392</v>
      </c>
      <c r="X2337" s="87"/>
      <c r="Y2337" s="87"/>
      <c r="Z2337" s="87"/>
      <c r="AA2337" s="87" t="s">
        <v>10136</v>
      </c>
      <c r="AB2337" s="87" t="s">
        <v>11447</v>
      </c>
      <c r="AC2337" s="93" t="s">
        <v>11459</v>
      </c>
      <c r="AD2337" s="87" t="s">
        <v>11519</v>
      </c>
      <c r="AE2337" s="92" t="str">
        <f>HYPERLINK("https://twitter.com/leobegin/status/1684348403235319808")</f>
        <v>https://twitter.com/leobegin/status/1684348403235319808</v>
      </c>
      <c r="AF2337" s="90">
        <v>45133.987581018519</v>
      </c>
      <c r="AG2337" s="99">
        <v>45133</v>
      </c>
      <c r="AH2337" s="93" t="s">
        <v>13655</v>
      </c>
      <c r="AI2337" s="87" t="b">
        <v>0</v>
      </c>
      <c r="AJ2337" s="87"/>
      <c r="AK2337" s="87"/>
      <c r="AL2337" s="87"/>
      <c r="AM2337" s="87"/>
      <c r="AN2337" s="87"/>
      <c r="AO2337" s="87"/>
      <c r="AP2337" s="87"/>
      <c r="AQ2337" s="87" t="s">
        <v>16949</v>
      </c>
      <c r="AR2337" s="87">
        <v>83634</v>
      </c>
      <c r="AS2337" s="87"/>
      <c r="AT2337" s="87"/>
      <c r="AU2337" s="87"/>
      <c r="AV2337" s="92" t="str">
        <f>HYPERLINK("https://pbs.twimg.com/ext_tw_video_thumb/1684348264240357376/pu/img/m7_CS1cQG9vQC_5r.jpg")</f>
        <v>https://pbs.twimg.com/ext_tw_video_thumb/1684348264240357376/pu/img/m7_CS1cQG9vQC_5r.jpg</v>
      </c>
      <c r="AW2337" s="93" t="s">
        <v>20554</v>
      </c>
      <c r="AX2337" s="93" t="s">
        <v>20554</v>
      </c>
      <c r="AY2337" s="87"/>
      <c r="AZ2337" s="93" t="s">
        <v>22668</v>
      </c>
      <c r="BA2337" s="93" t="s">
        <v>22668</v>
      </c>
      <c r="BB2337" s="93" t="s">
        <v>22668</v>
      </c>
      <c r="BC2337" s="93" t="s">
        <v>20554</v>
      </c>
      <c r="BD2337" s="93" t="s">
        <v>23261</v>
      </c>
      <c r="BE2337" s="87"/>
      <c r="BF2337" s="87"/>
      <c r="BG2337" s="87"/>
      <c r="BH2337" s="87"/>
      <c r="BI2337" s="87"/>
    </row>
    <row r="2338" spans="1:61" x14ac:dyDescent="0.25">
      <c r="A2338" s="63" t="s">
        <v>1043</v>
      </c>
      <c r="B2338" s="63" t="s">
        <v>1719</v>
      </c>
      <c r="C2338" s="64"/>
      <c r="D2338" s="65"/>
      <c r="E2338" s="66"/>
      <c r="F2338" s="67"/>
      <c r="G2338" s="64"/>
      <c r="H2338" s="68"/>
      <c r="I2338" s="69"/>
      <c r="J2338" s="69"/>
      <c r="K2338" s="32"/>
      <c r="L2338" s="76">
        <v>2338</v>
      </c>
      <c r="M2338" s="76"/>
      <c r="N2338" s="71"/>
      <c r="O2338" s="87" t="s">
        <v>1844</v>
      </c>
      <c r="P2338" s="90">
        <v>45127.759351851855</v>
      </c>
      <c r="Q2338" s="87" t="s">
        <v>4111</v>
      </c>
      <c r="R2338" s="87">
        <v>0</v>
      </c>
      <c r="S2338" s="87">
        <v>0</v>
      </c>
      <c r="T2338" s="87">
        <v>0</v>
      </c>
      <c r="U2338" s="87">
        <v>0</v>
      </c>
      <c r="V2338" s="87">
        <v>8</v>
      </c>
      <c r="W2338" s="93" t="s">
        <v>7393</v>
      </c>
      <c r="X2338" s="87"/>
      <c r="Y2338" s="87"/>
      <c r="Z2338" s="87" t="s">
        <v>8592</v>
      </c>
      <c r="AA2338" s="87"/>
      <c r="AB2338" s="87"/>
      <c r="AC2338" s="93" t="s">
        <v>11457</v>
      </c>
      <c r="AD2338" s="87" t="s">
        <v>11520</v>
      </c>
      <c r="AE2338" s="92" t="str">
        <f>HYPERLINK("https://twitter.com/mspontocom/status/1682091366510219264")</f>
        <v>https://twitter.com/mspontocom/status/1682091366510219264</v>
      </c>
      <c r="AF2338" s="90">
        <v>45127.759351851855</v>
      </c>
      <c r="AG2338" s="99">
        <v>45127</v>
      </c>
      <c r="AH2338" s="93" t="s">
        <v>13656</v>
      </c>
      <c r="AI2338" s="87"/>
      <c r="AJ2338" s="87"/>
      <c r="AK2338" s="87"/>
      <c r="AL2338" s="87"/>
      <c r="AM2338" s="87"/>
      <c r="AN2338" s="87"/>
      <c r="AO2338" s="87"/>
      <c r="AP2338" s="87"/>
      <c r="AQ2338" s="87"/>
      <c r="AR2338" s="87"/>
      <c r="AS2338" s="87"/>
      <c r="AT2338" s="87"/>
      <c r="AU2338" s="87"/>
      <c r="AV2338" s="92" t="str">
        <f>HYPERLINK("https://pbs.twimg.com/profile_images/1620022962/C_pia_de_seguran_a_de_Logo_Site_normal.png")</f>
        <v>https://pbs.twimg.com/profile_images/1620022962/C_pia_de_seguran_a_de_Logo_Site_normal.png</v>
      </c>
      <c r="AW2338" s="93" t="s">
        <v>20555</v>
      </c>
      <c r="AX2338" s="93" t="s">
        <v>22430</v>
      </c>
      <c r="AY2338" s="93" t="s">
        <v>22607</v>
      </c>
      <c r="AZ2338" s="93" t="s">
        <v>22430</v>
      </c>
      <c r="BA2338" s="93" t="s">
        <v>22668</v>
      </c>
      <c r="BB2338" s="93" t="s">
        <v>22668</v>
      </c>
      <c r="BC2338" s="93" t="s">
        <v>22430</v>
      </c>
      <c r="BD2338" s="87">
        <v>399642477</v>
      </c>
      <c r="BE2338" s="87"/>
      <c r="BF2338" s="87"/>
      <c r="BG2338" s="87"/>
      <c r="BH2338" s="87"/>
      <c r="BI2338" s="87"/>
    </row>
    <row r="2339" spans="1:61" x14ac:dyDescent="0.25">
      <c r="A2339" s="63" t="s">
        <v>1043</v>
      </c>
      <c r="B2339" s="63" t="s">
        <v>1720</v>
      </c>
      <c r="C2339" s="64"/>
      <c r="D2339" s="65"/>
      <c r="E2339" s="66"/>
      <c r="F2339" s="67"/>
      <c r="G2339" s="64"/>
      <c r="H2339" s="68"/>
      <c r="I2339" s="69"/>
      <c r="J2339" s="69"/>
      <c r="K2339" s="32"/>
      <c r="L2339" s="76">
        <v>2339</v>
      </c>
      <c r="M2339" s="76"/>
      <c r="N2339" s="71"/>
      <c r="O2339" s="87" t="s">
        <v>1844</v>
      </c>
      <c r="P2339" s="90">
        <v>45127.759351851855</v>
      </c>
      <c r="Q2339" s="87" t="s">
        <v>4111</v>
      </c>
      <c r="R2339" s="87">
        <v>0</v>
      </c>
      <c r="S2339" s="87">
        <v>0</v>
      </c>
      <c r="T2339" s="87">
        <v>0</v>
      </c>
      <c r="U2339" s="87">
        <v>0</v>
      </c>
      <c r="V2339" s="87">
        <v>8</v>
      </c>
      <c r="W2339" s="93" t="s">
        <v>7393</v>
      </c>
      <c r="X2339" s="87"/>
      <c r="Y2339" s="87"/>
      <c r="Z2339" s="87" t="s">
        <v>8592</v>
      </c>
      <c r="AA2339" s="87"/>
      <c r="AB2339" s="87"/>
      <c r="AC2339" s="93" t="s">
        <v>11457</v>
      </c>
      <c r="AD2339" s="87" t="s">
        <v>11520</v>
      </c>
      <c r="AE2339" s="92" t="str">
        <f>HYPERLINK("https://twitter.com/mspontocom/status/1682091366510219264")</f>
        <v>https://twitter.com/mspontocom/status/1682091366510219264</v>
      </c>
      <c r="AF2339" s="90">
        <v>45127.759351851855</v>
      </c>
      <c r="AG2339" s="99">
        <v>45127</v>
      </c>
      <c r="AH2339" s="93" t="s">
        <v>13656</v>
      </c>
      <c r="AI2339" s="87"/>
      <c r="AJ2339" s="87"/>
      <c r="AK2339" s="87"/>
      <c r="AL2339" s="87"/>
      <c r="AM2339" s="87"/>
      <c r="AN2339" s="87"/>
      <c r="AO2339" s="87"/>
      <c r="AP2339" s="87"/>
      <c r="AQ2339" s="87"/>
      <c r="AR2339" s="87"/>
      <c r="AS2339" s="87"/>
      <c r="AT2339" s="87"/>
      <c r="AU2339" s="87"/>
      <c r="AV2339" s="92" t="str">
        <f>HYPERLINK("https://pbs.twimg.com/profile_images/1620022962/C_pia_de_seguran_a_de_Logo_Site_normal.png")</f>
        <v>https://pbs.twimg.com/profile_images/1620022962/C_pia_de_seguran_a_de_Logo_Site_normal.png</v>
      </c>
      <c r="AW2339" s="93" t="s">
        <v>20555</v>
      </c>
      <c r="AX2339" s="93" t="s">
        <v>22430</v>
      </c>
      <c r="AY2339" s="93" t="s">
        <v>22607</v>
      </c>
      <c r="AZ2339" s="93" t="s">
        <v>22430</v>
      </c>
      <c r="BA2339" s="93" t="s">
        <v>22668</v>
      </c>
      <c r="BB2339" s="93" t="s">
        <v>22668</v>
      </c>
      <c r="BC2339" s="93" t="s">
        <v>22430</v>
      </c>
      <c r="BD2339" s="87">
        <v>399642477</v>
      </c>
      <c r="BE2339" s="87"/>
      <c r="BF2339" s="87"/>
      <c r="BG2339" s="87"/>
      <c r="BH2339" s="87"/>
      <c r="BI2339" s="87"/>
    </row>
    <row r="2340" spans="1:61" x14ac:dyDescent="0.25">
      <c r="A2340" s="63" t="s">
        <v>1043</v>
      </c>
      <c r="B2340" s="63" t="s">
        <v>1721</v>
      </c>
      <c r="C2340" s="64"/>
      <c r="D2340" s="65"/>
      <c r="E2340" s="66"/>
      <c r="F2340" s="67"/>
      <c r="G2340" s="64"/>
      <c r="H2340" s="68"/>
      <c r="I2340" s="69"/>
      <c r="J2340" s="69"/>
      <c r="K2340" s="32"/>
      <c r="L2340" s="76">
        <v>2340</v>
      </c>
      <c r="M2340" s="76"/>
      <c r="N2340" s="71"/>
      <c r="O2340" s="87" t="s">
        <v>1844</v>
      </c>
      <c r="P2340" s="90">
        <v>45127.759351851855</v>
      </c>
      <c r="Q2340" s="87" t="s">
        <v>4111</v>
      </c>
      <c r="R2340" s="87">
        <v>0</v>
      </c>
      <c r="S2340" s="87">
        <v>0</v>
      </c>
      <c r="T2340" s="87">
        <v>0</v>
      </c>
      <c r="U2340" s="87">
        <v>0</v>
      </c>
      <c r="V2340" s="87">
        <v>8</v>
      </c>
      <c r="W2340" s="93" t="s">
        <v>7393</v>
      </c>
      <c r="X2340" s="87"/>
      <c r="Y2340" s="87"/>
      <c r="Z2340" s="87" t="s">
        <v>8592</v>
      </c>
      <c r="AA2340" s="87"/>
      <c r="AB2340" s="87"/>
      <c r="AC2340" s="93" t="s">
        <v>11457</v>
      </c>
      <c r="AD2340" s="87" t="s">
        <v>11520</v>
      </c>
      <c r="AE2340" s="92" t="str">
        <f>HYPERLINK("https://twitter.com/mspontocom/status/1682091366510219264")</f>
        <v>https://twitter.com/mspontocom/status/1682091366510219264</v>
      </c>
      <c r="AF2340" s="90">
        <v>45127.759351851855</v>
      </c>
      <c r="AG2340" s="99">
        <v>45127</v>
      </c>
      <c r="AH2340" s="93" t="s">
        <v>13656</v>
      </c>
      <c r="AI2340" s="87"/>
      <c r="AJ2340" s="87"/>
      <c r="AK2340" s="87"/>
      <c r="AL2340" s="87"/>
      <c r="AM2340" s="87"/>
      <c r="AN2340" s="87"/>
      <c r="AO2340" s="87"/>
      <c r="AP2340" s="87"/>
      <c r="AQ2340" s="87"/>
      <c r="AR2340" s="87"/>
      <c r="AS2340" s="87"/>
      <c r="AT2340" s="87"/>
      <c r="AU2340" s="87"/>
      <c r="AV2340" s="92" t="str">
        <f>HYPERLINK("https://pbs.twimg.com/profile_images/1620022962/C_pia_de_seguran_a_de_Logo_Site_normal.png")</f>
        <v>https://pbs.twimg.com/profile_images/1620022962/C_pia_de_seguran_a_de_Logo_Site_normal.png</v>
      </c>
      <c r="AW2340" s="93" t="s">
        <v>20555</v>
      </c>
      <c r="AX2340" s="93" t="s">
        <v>22430</v>
      </c>
      <c r="AY2340" s="93" t="s">
        <v>22607</v>
      </c>
      <c r="AZ2340" s="93" t="s">
        <v>22430</v>
      </c>
      <c r="BA2340" s="93" t="s">
        <v>22668</v>
      </c>
      <c r="BB2340" s="93" t="s">
        <v>22668</v>
      </c>
      <c r="BC2340" s="93" t="s">
        <v>22430</v>
      </c>
      <c r="BD2340" s="87">
        <v>399642477</v>
      </c>
      <c r="BE2340" s="87"/>
      <c r="BF2340" s="87"/>
      <c r="BG2340" s="87"/>
      <c r="BH2340" s="87"/>
      <c r="BI2340" s="87"/>
    </row>
    <row r="2341" spans="1:61" x14ac:dyDescent="0.25">
      <c r="A2341" s="63" t="s">
        <v>1043</v>
      </c>
      <c r="B2341" s="63" t="s">
        <v>1722</v>
      </c>
      <c r="C2341" s="64"/>
      <c r="D2341" s="65"/>
      <c r="E2341" s="66"/>
      <c r="F2341" s="67"/>
      <c r="G2341" s="64"/>
      <c r="H2341" s="68"/>
      <c r="I2341" s="69"/>
      <c r="J2341" s="69"/>
      <c r="K2341" s="32"/>
      <c r="L2341" s="76">
        <v>2341</v>
      </c>
      <c r="M2341" s="76"/>
      <c r="N2341" s="71"/>
      <c r="O2341" s="87" t="s">
        <v>1844</v>
      </c>
      <c r="P2341" s="90">
        <v>45127.759351851855</v>
      </c>
      <c r="Q2341" s="87" t="s">
        <v>4111</v>
      </c>
      <c r="R2341" s="87">
        <v>0</v>
      </c>
      <c r="S2341" s="87">
        <v>0</v>
      </c>
      <c r="T2341" s="87">
        <v>0</v>
      </c>
      <c r="U2341" s="87">
        <v>0</v>
      </c>
      <c r="V2341" s="87">
        <v>8</v>
      </c>
      <c r="W2341" s="93" t="s">
        <v>7393</v>
      </c>
      <c r="X2341" s="87"/>
      <c r="Y2341" s="87"/>
      <c r="Z2341" s="87" t="s">
        <v>8592</v>
      </c>
      <c r="AA2341" s="87"/>
      <c r="AB2341" s="87"/>
      <c r="AC2341" s="93" t="s">
        <v>11457</v>
      </c>
      <c r="AD2341" s="87" t="s">
        <v>11520</v>
      </c>
      <c r="AE2341" s="92" t="str">
        <f>HYPERLINK("https://twitter.com/mspontocom/status/1682091366510219264")</f>
        <v>https://twitter.com/mspontocom/status/1682091366510219264</v>
      </c>
      <c r="AF2341" s="90">
        <v>45127.759351851855</v>
      </c>
      <c r="AG2341" s="99">
        <v>45127</v>
      </c>
      <c r="AH2341" s="93" t="s">
        <v>13656</v>
      </c>
      <c r="AI2341" s="87"/>
      <c r="AJ2341" s="87"/>
      <c r="AK2341" s="87"/>
      <c r="AL2341" s="87"/>
      <c r="AM2341" s="87"/>
      <c r="AN2341" s="87"/>
      <c r="AO2341" s="87"/>
      <c r="AP2341" s="87"/>
      <c r="AQ2341" s="87"/>
      <c r="AR2341" s="87"/>
      <c r="AS2341" s="87"/>
      <c r="AT2341" s="87"/>
      <c r="AU2341" s="87"/>
      <c r="AV2341" s="92" t="str">
        <f>HYPERLINK("https://pbs.twimg.com/profile_images/1620022962/C_pia_de_seguran_a_de_Logo_Site_normal.png")</f>
        <v>https://pbs.twimg.com/profile_images/1620022962/C_pia_de_seguran_a_de_Logo_Site_normal.png</v>
      </c>
      <c r="AW2341" s="93" t="s">
        <v>20555</v>
      </c>
      <c r="AX2341" s="93" t="s">
        <v>22430</v>
      </c>
      <c r="AY2341" s="93" t="s">
        <v>22607</v>
      </c>
      <c r="AZ2341" s="93" t="s">
        <v>22430</v>
      </c>
      <c r="BA2341" s="93" t="s">
        <v>22668</v>
      </c>
      <c r="BB2341" s="93" t="s">
        <v>22668</v>
      </c>
      <c r="BC2341" s="93" t="s">
        <v>22430</v>
      </c>
      <c r="BD2341" s="87">
        <v>399642477</v>
      </c>
      <c r="BE2341" s="87"/>
      <c r="BF2341" s="87"/>
      <c r="BG2341" s="87"/>
      <c r="BH2341" s="87"/>
      <c r="BI2341" s="87"/>
    </row>
    <row r="2342" spans="1:61" x14ac:dyDescent="0.25">
      <c r="A2342" s="63" t="s">
        <v>1043</v>
      </c>
      <c r="B2342" s="63" t="s">
        <v>1723</v>
      </c>
      <c r="C2342" s="64"/>
      <c r="D2342" s="65"/>
      <c r="E2342" s="66"/>
      <c r="F2342" s="67"/>
      <c r="G2342" s="64"/>
      <c r="H2342" s="68"/>
      <c r="I2342" s="69"/>
      <c r="J2342" s="69"/>
      <c r="K2342" s="32"/>
      <c r="L2342" s="76">
        <v>2342</v>
      </c>
      <c r="M2342" s="76"/>
      <c r="N2342" s="71"/>
      <c r="O2342" s="87" t="s">
        <v>1844</v>
      </c>
      <c r="P2342" s="90">
        <v>45127.759351851855</v>
      </c>
      <c r="Q2342" s="87" t="s">
        <v>4111</v>
      </c>
      <c r="R2342" s="87">
        <v>0</v>
      </c>
      <c r="S2342" s="87">
        <v>0</v>
      </c>
      <c r="T2342" s="87">
        <v>0</v>
      </c>
      <c r="U2342" s="87">
        <v>0</v>
      </c>
      <c r="V2342" s="87">
        <v>8</v>
      </c>
      <c r="W2342" s="93" t="s">
        <v>7393</v>
      </c>
      <c r="X2342" s="87"/>
      <c r="Y2342" s="87"/>
      <c r="Z2342" s="87" t="s">
        <v>8592</v>
      </c>
      <c r="AA2342" s="87"/>
      <c r="AB2342" s="87"/>
      <c r="AC2342" s="93" t="s">
        <v>11457</v>
      </c>
      <c r="AD2342" s="87" t="s">
        <v>11520</v>
      </c>
      <c r="AE2342" s="92" t="str">
        <f>HYPERLINK("https://twitter.com/mspontocom/status/1682091366510219264")</f>
        <v>https://twitter.com/mspontocom/status/1682091366510219264</v>
      </c>
      <c r="AF2342" s="90">
        <v>45127.759351851855</v>
      </c>
      <c r="AG2342" s="99">
        <v>45127</v>
      </c>
      <c r="AH2342" s="93" t="s">
        <v>13656</v>
      </c>
      <c r="AI2342" s="87"/>
      <c r="AJ2342" s="87"/>
      <c r="AK2342" s="87"/>
      <c r="AL2342" s="87"/>
      <c r="AM2342" s="87"/>
      <c r="AN2342" s="87"/>
      <c r="AO2342" s="87"/>
      <c r="AP2342" s="87"/>
      <c r="AQ2342" s="87"/>
      <c r="AR2342" s="87"/>
      <c r="AS2342" s="87"/>
      <c r="AT2342" s="87"/>
      <c r="AU2342" s="87"/>
      <c r="AV2342" s="92" t="str">
        <f>HYPERLINK("https://pbs.twimg.com/profile_images/1620022962/C_pia_de_seguran_a_de_Logo_Site_normal.png")</f>
        <v>https://pbs.twimg.com/profile_images/1620022962/C_pia_de_seguran_a_de_Logo_Site_normal.png</v>
      </c>
      <c r="AW2342" s="93" t="s">
        <v>20555</v>
      </c>
      <c r="AX2342" s="93" t="s">
        <v>22430</v>
      </c>
      <c r="AY2342" s="93" t="s">
        <v>22607</v>
      </c>
      <c r="AZ2342" s="93" t="s">
        <v>22430</v>
      </c>
      <c r="BA2342" s="93" t="s">
        <v>22668</v>
      </c>
      <c r="BB2342" s="93" t="s">
        <v>22668</v>
      </c>
      <c r="BC2342" s="93" t="s">
        <v>22430</v>
      </c>
      <c r="BD2342" s="87">
        <v>399642477</v>
      </c>
      <c r="BE2342" s="87"/>
      <c r="BF2342" s="87"/>
      <c r="BG2342" s="87"/>
      <c r="BH2342" s="87"/>
      <c r="BI2342" s="87"/>
    </row>
    <row r="2343" spans="1:61" x14ac:dyDescent="0.25">
      <c r="A2343" s="63" t="s">
        <v>1043</v>
      </c>
      <c r="B2343" s="63" t="s">
        <v>1724</v>
      </c>
      <c r="C2343" s="64"/>
      <c r="D2343" s="65"/>
      <c r="E2343" s="66"/>
      <c r="F2343" s="67"/>
      <c r="G2343" s="64"/>
      <c r="H2343" s="68"/>
      <c r="I2343" s="69"/>
      <c r="J2343" s="69"/>
      <c r="K2343" s="32"/>
      <c r="L2343" s="76">
        <v>2343</v>
      </c>
      <c r="M2343" s="76"/>
      <c r="N2343" s="71"/>
      <c r="O2343" s="87" t="s">
        <v>1844</v>
      </c>
      <c r="P2343" s="90">
        <v>45118.727951388886</v>
      </c>
      <c r="Q2343" s="87" t="s">
        <v>4112</v>
      </c>
      <c r="R2343" s="87">
        <v>0</v>
      </c>
      <c r="S2343" s="87">
        <v>0</v>
      </c>
      <c r="T2343" s="87">
        <v>0</v>
      </c>
      <c r="U2343" s="87">
        <v>0</v>
      </c>
      <c r="V2343" s="87">
        <v>20</v>
      </c>
      <c r="W2343" s="93" t="s">
        <v>7394</v>
      </c>
      <c r="X2343" s="87"/>
      <c r="Y2343" s="87"/>
      <c r="Z2343" s="87" t="s">
        <v>8593</v>
      </c>
      <c r="AA2343" s="87"/>
      <c r="AB2343" s="87"/>
      <c r="AC2343" s="93" t="s">
        <v>11457</v>
      </c>
      <c r="AD2343" s="87" t="s">
        <v>11520</v>
      </c>
      <c r="AE2343" s="92" t="str">
        <f>HYPERLINK("https://twitter.com/mspontocom/status/1678818498955341838")</f>
        <v>https://twitter.com/mspontocom/status/1678818498955341838</v>
      </c>
      <c r="AF2343" s="90">
        <v>45118.727951388886</v>
      </c>
      <c r="AG2343" s="99">
        <v>45118</v>
      </c>
      <c r="AH2343" s="93" t="s">
        <v>13657</v>
      </c>
      <c r="AI2343" s="87"/>
      <c r="AJ2343" s="87"/>
      <c r="AK2343" s="87"/>
      <c r="AL2343" s="87"/>
      <c r="AM2343" s="87"/>
      <c r="AN2343" s="87"/>
      <c r="AO2343" s="87"/>
      <c r="AP2343" s="87"/>
      <c r="AQ2343" s="87"/>
      <c r="AR2343" s="87"/>
      <c r="AS2343" s="87"/>
      <c r="AT2343" s="87"/>
      <c r="AU2343" s="87"/>
      <c r="AV2343" s="92" t="str">
        <f>HYPERLINK("https://pbs.twimg.com/profile_images/1620022962/C_pia_de_seguran_a_de_Logo_Site_normal.png")</f>
        <v>https://pbs.twimg.com/profile_images/1620022962/C_pia_de_seguran_a_de_Logo_Site_normal.png</v>
      </c>
      <c r="AW2343" s="93" t="s">
        <v>20556</v>
      </c>
      <c r="AX2343" s="93" t="s">
        <v>22431</v>
      </c>
      <c r="AY2343" s="93" t="s">
        <v>22607</v>
      </c>
      <c r="AZ2343" s="93" t="s">
        <v>22431</v>
      </c>
      <c r="BA2343" s="93" t="s">
        <v>22668</v>
      </c>
      <c r="BB2343" s="93" t="s">
        <v>22668</v>
      </c>
      <c r="BC2343" s="93" t="s">
        <v>22431</v>
      </c>
      <c r="BD2343" s="87">
        <v>399642477</v>
      </c>
      <c r="BE2343" s="87"/>
      <c r="BF2343" s="87"/>
      <c r="BG2343" s="87"/>
      <c r="BH2343" s="87"/>
      <c r="BI2343" s="87"/>
    </row>
    <row r="2344" spans="1:61" x14ac:dyDescent="0.25">
      <c r="A2344" s="63" t="s">
        <v>1043</v>
      </c>
      <c r="B2344" s="63" t="s">
        <v>1725</v>
      </c>
      <c r="C2344" s="64"/>
      <c r="D2344" s="65"/>
      <c r="E2344" s="66"/>
      <c r="F2344" s="67"/>
      <c r="G2344" s="64"/>
      <c r="H2344" s="68"/>
      <c r="I2344" s="69"/>
      <c r="J2344" s="69"/>
      <c r="K2344" s="32"/>
      <c r="L2344" s="76">
        <v>2344</v>
      </c>
      <c r="M2344" s="76"/>
      <c r="N2344" s="71"/>
      <c r="O2344" s="87" t="s">
        <v>1844</v>
      </c>
      <c r="P2344" s="90">
        <v>45118.727951388886</v>
      </c>
      <c r="Q2344" s="87" t="s">
        <v>4112</v>
      </c>
      <c r="R2344" s="87">
        <v>0</v>
      </c>
      <c r="S2344" s="87">
        <v>0</v>
      </c>
      <c r="T2344" s="87">
        <v>0</v>
      </c>
      <c r="U2344" s="87">
        <v>0</v>
      </c>
      <c r="V2344" s="87">
        <v>20</v>
      </c>
      <c r="W2344" s="93" t="s">
        <v>7394</v>
      </c>
      <c r="X2344" s="87"/>
      <c r="Y2344" s="87"/>
      <c r="Z2344" s="87" t="s">
        <v>8593</v>
      </c>
      <c r="AA2344" s="87"/>
      <c r="AB2344" s="87"/>
      <c r="AC2344" s="93" t="s">
        <v>11457</v>
      </c>
      <c r="AD2344" s="87" t="s">
        <v>11520</v>
      </c>
      <c r="AE2344" s="92" t="str">
        <f>HYPERLINK("https://twitter.com/mspontocom/status/1678818498955341838")</f>
        <v>https://twitter.com/mspontocom/status/1678818498955341838</v>
      </c>
      <c r="AF2344" s="90">
        <v>45118.727951388886</v>
      </c>
      <c r="AG2344" s="99">
        <v>45118</v>
      </c>
      <c r="AH2344" s="93" t="s">
        <v>13657</v>
      </c>
      <c r="AI2344" s="87"/>
      <c r="AJ2344" s="87"/>
      <c r="AK2344" s="87"/>
      <c r="AL2344" s="87"/>
      <c r="AM2344" s="87"/>
      <c r="AN2344" s="87"/>
      <c r="AO2344" s="87"/>
      <c r="AP2344" s="87"/>
      <c r="AQ2344" s="87"/>
      <c r="AR2344" s="87"/>
      <c r="AS2344" s="87"/>
      <c r="AT2344" s="87"/>
      <c r="AU2344" s="87"/>
      <c r="AV2344" s="92" t="str">
        <f>HYPERLINK("https://pbs.twimg.com/profile_images/1620022962/C_pia_de_seguran_a_de_Logo_Site_normal.png")</f>
        <v>https://pbs.twimg.com/profile_images/1620022962/C_pia_de_seguran_a_de_Logo_Site_normal.png</v>
      </c>
      <c r="AW2344" s="93" t="s">
        <v>20556</v>
      </c>
      <c r="AX2344" s="93" t="s">
        <v>22431</v>
      </c>
      <c r="AY2344" s="93" t="s">
        <v>22607</v>
      </c>
      <c r="AZ2344" s="93" t="s">
        <v>22431</v>
      </c>
      <c r="BA2344" s="93" t="s">
        <v>22668</v>
      </c>
      <c r="BB2344" s="93" t="s">
        <v>22668</v>
      </c>
      <c r="BC2344" s="93" t="s">
        <v>22431</v>
      </c>
      <c r="BD2344" s="87">
        <v>399642477</v>
      </c>
      <c r="BE2344" s="87"/>
      <c r="BF2344" s="87"/>
      <c r="BG2344" s="87"/>
      <c r="BH2344" s="87"/>
      <c r="BI2344" s="87"/>
    </row>
    <row r="2345" spans="1:61" x14ac:dyDescent="0.25">
      <c r="A2345" s="63" t="s">
        <v>1043</v>
      </c>
      <c r="B2345" s="63" t="s">
        <v>1726</v>
      </c>
      <c r="C2345" s="64"/>
      <c r="D2345" s="65"/>
      <c r="E2345" s="66"/>
      <c r="F2345" s="67"/>
      <c r="G2345" s="64"/>
      <c r="H2345" s="68"/>
      <c r="I2345" s="69"/>
      <c r="J2345" s="69"/>
      <c r="K2345" s="32"/>
      <c r="L2345" s="76">
        <v>2345</v>
      </c>
      <c r="M2345" s="76"/>
      <c r="N2345" s="71"/>
      <c r="O2345" s="87" t="s">
        <v>1844</v>
      </c>
      <c r="P2345" s="90">
        <v>45118.727951388886</v>
      </c>
      <c r="Q2345" s="87" t="s">
        <v>4112</v>
      </c>
      <c r="R2345" s="87">
        <v>0</v>
      </c>
      <c r="S2345" s="87">
        <v>0</v>
      </c>
      <c r="T2345" s="87">
        <v>0</v>
      </c>
      <c r="U2345" s="87">
        <v>0</v>
      </c>
      <c r="V2345" s="87">
        <v>20</v>
      </c>
      <c r="W2345" s="93" t="s">
        <v>7394</v>
      </c>
      <c r="X2345" s="87"/>
      <c r="Y2345" s="87"/>
      <c r="Z2345" s="87" t="s">
        <v>8593</v>
      </c>
      <c r="AA2345" s="87"/>
      <c r="AB2345" s="87"/>
      <c r="AC2345" s="93" t="s">
        <v>11457</v>
      </c>
      <c r="AD2345" s="87" t="s">
        <v>11520</v>
      </c>
      <c r="AE2345" s="92" t="str">
        <f>HYPERLINK("https://twitter.com/mspontocom/status/1678818498955341838")</f>
        <v>https://twitter.com/mspontocom/status/1678818498955341838</v>
      </c>
      <c r="AF2345" s="90">
        <v>45118.727951388886</v>
      </c>
      <c r="AG2345" s="99">
        <v>45118</v>
      </c>
      <c r="AH2345" s="93" t="s">
        <v>13657</v>
      </c>
      <c r="AI2345" s="87"/>
      <c r="AJ2345" s="87"/>
      <c r="AK2345" s="87"/>
      <c r="AL2345" s="87"/>
      <c r="AM2345" s="87"/>
      <c r="AN2345" s="87"/>
      <c r="AO2345" s="87"/>
      <c r="AP2345" s="87"/>
      <c r="AQ2345" s="87"/>
      <c r="AR2345" s="87"/>
      <c r="AS2345" s="87"/>
      <c r="AT2345" s="87"/>
      <c r="AU2345" s="87"/>
      <c r="AV2345" s="92" t="str">
        <f>HYPERLINK("https://pbs.twimg.com/profile_images/1620022962/C_pia_de_seguran_a_de_Logo_Site_normal.png")</f>
        <v>https://pbs.twimg.com/profile_images/1620022962/C_pia_de_seguran_a_de_Logo_Site_normal.png</v>
      </c>
      <c r="AW2345" s="93" t="s">
        <v>20556</v>
      </c>
      <c r="AX2345" s="93" t="s">
        <v>22431</v>
      </c>
      <c r="AY2345" s="93" t="s">
        <v>22607</v>
      </c>
      <c r="AZ2345" s="93" t="s">
        <v>22431</v>
      </c>
      <c r="BA2345" s="93" t="s">
        <v>22668</v>
      </c>
      <c r="BB2345" s="93" t="s">
        <v>22668</v>
      </c>
      <c r="BC2345" s="93" t="s">
        <v>22431</v>
      </c>
      <c r="BD2345" s="87">
        <v>399642477</v>
      </c>
      <c r="BE2345" s="87"/>
      <c r="BF2345" s="87"/>
      <c r="BG2345" s="87"/>
      <c r="BH2345" s="87"/>
      <c r="BI2345" s="87"/>
    </row>
    <row r="2346" spans="1:61" x14ac:dyDescent="0.25">
      <c r="A2346" s="63" t="s">
        <v>1043</v>
      </c>
      <c r="B2346" s="63" t="s">
        <v>1727</v>
      </c>
      <c r="C2346" s="64"/>
      <c r="D2346" s="65"/>
      <c r="E2346" s="66"/>
      <c r="F2346" s="67"/>
      <c r="G2346" s="64"/>
      <c r="H2346" s="68"/>
      <c r="I2346" s="69"/>
      <c r="J2346" s="69"/>
      <c r="K2346" s="32"/>
      <c r="L2346" s="76">
        <v>2346</v>
      </c>
      <c r="M2346" s="76"/>
      <c r="N2346" s="71"/>
      <c r="O2346" s="87" t="s">
        <v>1844</v>
      </c>
      <c r="P2346" s="90">
        <v>45118.727951388886</v>
      </c>
      <c r="Q2346" s="87" t="s">
        <v>4112</v>
      </c>
      <c r="R2346" s="87">
        <v>0</v>
      </c>
      <c r="S2346" s="87">
        <v>0</v>
      </c>
      <c r="T2346" s="87">
        <v>0</v>
      </c>
      <c r="U2346" s="87">
        <v>0</v>
      </c>
      <c r="V2346" s="87">
        <v>20</v>
      </c>
      <c r="W2346" s="93" t="s">
        <v>7394</v>
      </c>
      <c r="X2346" s="87"/>
      <c r="Y2346" s="87"/>
      <c r="Z2346" s="87" t="s">
        <v>8593</v>
      </c>
      <c r="AA2346" s="87"/>
      <c r="AB2346" s="87"/>
      <c r="AC2346" s="93" t="s">
        <v>11457</v>
      </c>
      <c r="AD2346" s="87" t="s">
        <v>11520</v>
      </c>
      <c r="AE2346" s="92" t="str">
        <f>HYPERLINK("https://twitter.com/mspontocom/status/1678818498955341838")</f>
        <v>https://twitter.com/mspontocom/status/1678818498955341838</v>
      </c>
      <c r="AF2346" s="90">
        <v>45118.727951388886</v>
      </c>
      <c r="AG2346" s="99">
        <v>45118</v>
      </c>
      <c r="AH2346" s="93" t="s">
        <v>13657</v>
      </c>
      <c r="AI2346" s="87"/>
      <c r="AJ2346" s="87"/>
      <c r="AK2346" s="87"/>
      <c r="AL2346" s="87"/>
      <c r="AM2346" s="87"/>
      <c r="AN2346" s="87"/>
      <c r="AO2346" s="87"/>
      <c r="AP2346" s="87"/>
      <c r="AQ2346" s="87"/>
      <c r="AR2346" s="87"/>
      <c r="AS2346" s="87"/>
      <c r="AT2346" s="87"/>
      <c r="AU2346" s="87"/>
      <c r="AV2346" s="92" t="str">
        <f>HYPERLINK("https://pbs.twimg.com/profile_images/1620022962/C_pia_de_seguran_a_de_Logo_Site_normal.png")</f>
        <v>https://pbs.twimg.com/profile_images/1620022962/C_pia_de_seguran_a_de_Logo_Site_normal.png</v>
      </c>
      <c r="AW2346" s="93" t="s">
        <v>20556</v>
      </c>
      <c r="AX2346" s="93" t="s">
        <v>22431</v>
      </c>
      <c r="AY2346" s="93" t="s">
        <v>22607</v>
      </c>
      <c r="AZ2346" s="93" t="s">
        <v>22431</v>
      </c>
      <c r="BA2346" s="93" t="s">
        <v>22668</v>
      </c>
      <c r="BB2346" s="93" t="s">
        <v>22668</v>
      </c>
      <c r="BC2346" s="93" t="s">
        <v>22431</v>
      </c>
      <c r="BD2346" s="87">
        <v>399642477</v>
      </c>
      <c r="BE2346" s="87"/>
      <c r="BF2346" s="87"/>
      <c r="BG2346" s="87"/>
      <c r="BH2346" s="87"/>
      <c r="BI2346" s="87"/>
    </row>
    <row r="2347" spans="1:61" x14ac:dyDescent="0.25">
      <c r="A2347" s="63" t="s">
        <v>1043</v>
      </c>
      <c r="B2347" s="63" t="s">
        <v>1728</v>
      </c>
      <c r="C2347" s="64"/>
      <c r="D2347" s="65"/>
      <c r="E2347" s="66"/>
      <c r="F2347" s="67"/>
      <c r="G2347" s="64"/>
      <c r="H2347" s="68"/>
      <c r="I2347" s="69"/>
      <c r="J2347" s="69"/>
      <c r="K2347" s="32"/>
      <c r="L2347" s="76">
        <v>2347</v>
      </c>
      <c r="M2347" s="76"/>
      <c r="N2347" s="71"/>
      <c r="O2347" s="87" t="s">
        <v>1844</v>
      </c>
      <c r="P2347" s="90">
        <v>45118.727951388886</v>
      </c>
      <c r="Q2347" s="87" t="s">
        <v>4112</v>
      </c>
      <c r="R2347" s="87">
        <v>0</v>
      </c>
      <c r="S2347" s="87">
        <v>0</v>
      </c>
      <c r="T2347" s="87">
        <v>0</v>
      </c>
      <c r="U2347" s="87">
        <v>0</v>
      </c>
      <c r="V2347" s="87">
        <v>20</v>
      </c>
      <c r="W2347" s="93" t="s">
        <v>7394</v>
      </c>
      <c r="X2347" s="87"/>
      <c r="Y2347" s="87"/>
      <c r="Z2347" s="87" t="s">
        <v>8593</v>
      </c>
      <c r="AA2347" s="87"/>
      <c r="AB2347" s="87"/>
      <c r="AC2347" s="93" t="s">
        <v>11457</v>
      </c>
      <c r="AD2347" s="87" t="s">
        <v>11520</v>
      </c>
      <c r="AE2347" s="92" t="str">
        <f>HYPERLINK("https://twitter.com/mspontocom/status/1678818498955341838")</f>
        <v>https://twitter.com/mspontocom/status/1678818498955341838</v>
      </c>
      <c r="AF2347" s="90">
        <v>45118.727951388886</v>
      </c>
      <c r="AG2347" s="99">
        <v>45118</v>
      </c>
      <c r="AH2347" s="93" t="s">
        <v>13657</v>
      </c>
      <c r="AI2347" s="87"/>
      <c r="AJ2347" s="87"/>
      <c r="AK2347" s="87"/>
      <c r="AL2347" s="87"/>
      <c r="AM2347" s="87"/>
      <c r="AN2347" s="87"/>
      <c r="AO2347" s="87"/>
      <c r="AP2347" s="87"/>
      <c r="AQ2347" s="87"/>
      <c r="AR2347" s="87"/>
      <c r="AS2347" s="87"/>
      <c r="AT2347" s="87"/>
      <c r="AU2347" s="87"/>
      <c r="AV2347" s="92" t="str">
        <f>HYPERLINK("https://pbs.twimg.com/profile_images/1620022962/C_pia_de_seguran_a_de_Logo_Site_normal.png")</f>
        <v>https://pbs.twimg.com/profile_images/1620022962/C_pia_de_seguran_a_de_Logo_Site_normal.png</v>
      </c>
      <c r="AW2347" s="93" t="s">
        <v>20556</v>
      </c>
      <c r="AX2347" s="93" t="s">
        <v>22431</v>
      </c>
      <c r="AY2347" s="93" t="s">
        <v>22607</v>
      </c>
      <c r="AZ2347" s="93" t="s">
        <v>22431</v>
      </c>
      <c r="BA2347" s="93" t="s">
        <v>22668</v>
      </c>
      <c r="BB2347" s="93" t="s">
        <v>22668</v>
      </c>
      <c r="BC2347" s="93" t="s">
        <v>22431</v>
      </c>
      <c r="BD2347" s="87">
        <v>399642477</v>
      </c>
      <c r="BE2347" s="87"/>
      <c r="BF2347" s="87"/>
      <c r="BG2347" s="87"/>
      <c r="BH2347" s="87"/>
      <c r="BI2347" s="87"/>
    </row>
    <row r="2348" spans="1:61" x14ac:dyDescent="0.25">
      <c r="A2348" s="63" t="s">
        <v>1043</v>
      </c>
      <c r="B2348" s="63" t="s">
        <v>1729</v>
      </c>
      <c r="C2348" s="64"/>
      <c r="D2348" s="65"/>
      <c r="E2348" s="66"/>
      <c r="F2348" s="67"/>
      <c r="G2348" s="64"/>
      <c r="H2348" s="68"/>
      <c r="I2348" s="69"/>
      <c r="J2348" s="69"/>
      <c r="K2348" s="32"/>
      <c r="L2348" s="76">
        <v>2348</v>
      </c>
      <c r="M2348" s="76"/>
      <c r="N2348" s="71"/>
      <c r="O2348" s="87" t="s">
        <v>1844</v>
      </c>
      <c r="P2348" s="90">
        <v>45119.764328703706</v>
      </c>
      <c r="Q2348" s="87" t="s">
        <v>4113</v>
      </c>
      <c r="R2348" s="87">
        <v>0</v>
      </c>
      <c r="S2348" s="87">
        <v>0</v>
      </c>
      <c r="T2348" s="87">
        <v>0</v>
      </c>
      <c r="U2348" s="87">
        <v>0</v>
      </c>
      <c r="V2348" s="87">
        <v>16</v>
      </c>
      <c r="W2348" s="93" t="s">
        <v>7395</v>
      </c>
      <c r="X2348" s="87"/>
      <c r="Y2348" s="87"/>
      <c r="Z2348" s="87" t="s">
        <v>8594</v>
      </c>
      <c r="AA2348" s="87"/>
      <c r="AB2348" s="87"/>
      <c r="AC2348" s="93" t="s">
        <v>11457</v>
      </c>
      <c r="AD2348" s="87" t="s">
        <v>11520</v>
      </c>
      <c r="AE2348" s="92" t="str">
        <f>HYPERLINK("https://twitter.com/mspontocom/status/1679194067027083264")</f>
        <v>https://twitter.com/mspontocom/status/1679194067027083264</v>
      </c>
      <c r="AF2348" s="90">
        <v>45119.764328703706</v>
      </c>
      <c r="AG2348" s="99">
        <v>45119</v>
      </c>
      <c r="AH2348" s="93" t="s">
        <v>13658</v>
      </c>
      <c r="AI2348" s="87"/>
      <c r="AJ2348" s="87"/>
      <c r="AK2348" s="87"/>
      <c r="AL2348" s="87"/>
      <c r="AM2348" s="87"/>
      <c r="AN2348" s="87"/>
      <c r="AO2348" s="87"/>
      <c r="AP2348" s="87"/>
      <c r="AQ2348" s="87"/>
      <c r="AR2348" s="87"/>
      <c r="AS2348" s="87"/>
      <c r="AT2348" s="87"/>
      <c r="AU2348" s="87"/>
      <c r="AV2348" s="92" t="str">
        <f>HYPERLINK("https://pbs.twimg.com/profile_images/1620022962/C_pia_de_seguran_a_de_Logo_Site_normal.png")</f>
        <v>https://pbs.twimg.com/profile_images/1620022962/C_pia_de_seguran_a_de_Logo_Site_normal.png</v>
      </c>
      <c r="AW2348" s="93" t="s">
        <v>20557</v>
      </c>
      <c r="AX2348" s="93" t="s">
        <v>22432</v>
      </c>
      <c r="AY2348" s="93" t="s">
        <v>22607</v>
      </c>
      <c r="AZ2348" s="93" t="s">
        <v>22432</v>
      </c>
      <c r="BA2348" s="93" t="s">
        <v>22668</v>
      </c>
      <c r="BB2348" s="93" t="s">
        <v>22668</v>
      </c>
      <c r="BC2348" s="93" t="s">
        <v>22432</v>
      </c>
      <c r="BD2348" s="87">
        <v>399642477</v>
      </c>
      <c r="BE2348" s="87"/>
      <c r="BF2348" s="87"/>
      <c r="BG2348" s="87"/>
      <c r="BH2348" s="87"/>
      <c r="BI2348" s="87"/>
    </row>
    <row r="2349" spans="1:61" x14ac:dyDescent="0.25">
      <c r="A2349" s="63" t="s">
        <v>1043</v>
      </c>
      <c r="B2349" s="63" t="s">
        <v>1730</v>
      </c>
      <c r="C2349" s="64"/>
      <c r="D2349" s="65"/>
      <c r="E2349" s="66"/>
      <c r="F2349" s="67"/>
      <c r="G2349" s="64"/>
      <c r="H2349" s="68"/>
      <c r="I2349" s="69"/>
      <c r="J2349" s="69"/>
      <c r="K2349" s="32"/>
      <c r="L2349" s="76">
        <v>2349</v>
      </c>
      <c r="M2349" s="76"/>
      <c r="N2349" s="71"/>
      <c r="O2349" s="87" t="s">
        <v>1844</v>
      </c>
      <c r="P2349" s="90">
        <v>45127.759351851855</v>
      </c>
      <c r="Q2349" s="87" t="s">
        <v>4111</v>
      </c>
      <c r="R2349" s="87">
        <v>0</v>
      </c>
      <c r="S2349" s="87">
        <v>0</v>
      </c>
      <c r="T2349" s="87">
        <v>0</v>
      </c>
      <c r="U2349" s="87">
        <v>0</v>
      </c>
      <c r="V2349" s="87">
        <v>8</v>
      </c>
      <c r="W2349" s="93" t="s">
        <v>7393</v>
      </c>
      <c r="X2349" s="87"/>
      <c r="Y2349" s="87"/>
      <c r="Z2349" s="87" t="s">
        <v>8592</v>
      </c>
      <c r="AA2349" s="87"/>
      <c r="AB2349" s="87"/>
      <c r="AC2349" s="93" t="s">
        <v>11457</v>
      </c>
      <c r="AD2349" s="87" t="s">
        <v>11520</v>
      </c>
      <c r="AE2349" s="92" t="str">
        <f>HYPERLINK("https://twitter.com/mspontocom/status/1682091366510219264")</f>
        <v>https://twitter.com/mspontocom/status/1682091366510219264</v>
      </c>
      <c r="AF2349" s="90">
        <v>45127.759351851855</v>
      </c>
      <c r="AG2349" s="99">
        <v>45127</v>
      </c>
      <c r="AH2349" s="93" t="s">
        <v>13656</v>
      </c>
      <c r="AI2349" s="87"/>
      <c r="AJ2349" s="87"/>
      <c r="AK2349" s="87"/>
      <c r="AL2349" s="87"/>
      <c r="AM2349" s="87"/>
      <c r="AN2349" s="87"/>
      <c r="AO2349" s="87"/>
      <c r="AP2349" s="87"/>
      <c r="AQ2349" s="87"/>
      <c r="AR2349" s="87"/>
      <c r="AS2349" s="87"/>
      <c r="AT2349" s="87"/>
      <c r="AU2349" s="87"/>
      <c r="AV2349" s="92" t="str">
        <f>HYPERLINK("https://pbs.twimg.com/profile_images/1620022962/C_pia_de_seguran_a_de_Logo_Site_normal.png")</f>
        <v>https://pbs.twimg.com/profile_images/1620022962/C_pia_de_seguran_a_de_Logo_Site_normal.png</v>
      </c>
      <c r="AW2349" s="93" t="s">
        <v>20555</v>
      </c>
      <c r="AX2349" s="93" t="s">
        <v>22430</v>
      </c>
      <c r="AY2349" s="93" t="s">
        <v>22607</v>
      </c>
      <c r="AZ2349" s="93" t="s">
        <v>22430</v>
      </c>
      <c r="BA2349" s="93" t="s">
        <v>22668</v>
      </c>
      <c r="BB2349" s="93" t="s">
        <v>22668</v>
      </c>
      <c r="BC2349" s="93" t="s">
        <v>22430</v>
      </c>
      <c r="BD2349" s="87">
        <v>399642477</v>
      </c>
      <c r="BE2349" s="87"/>
      <c r="BF2349" s="87"/>
      <c r="BG2349" s="87"/>
      <c r="BH2349" s="87"/>
      <c r="BI2349" s="87"/>
    </row>
    <row r="2350" spans="1:61" x14ac:dyDescent="0.25">
      <c r="A2350" s="63" t="s">
        <v>1043</v>
      </c>
      <c r="B2350" s="63" t="s">
        <v>1730</v>
      </c>
      <c r="C2350" s="64"/>
      <c r="D2350" s="65"/>
      <c r="E2350" s="66"/>
      <c r="F2350" s="67"/>
      <c r="G2350" s="64"/>
      <c r="H2350" s="68"/>
      <c r="I2350" s="69"/>
      <c r="J2350" s="69"/>
      <c r="K2350" s="32"/>
      <c r="L2350" s="76">
        <v>2350</v>
      </c>
      <c r="M2350" s="76"/>
      <c r="N2350" s="71"/>
      <c r="O2350" s="87" t="s">
        <v>1844</v>
      </c>
      <c r="P2350" s="90">
        <v>45119.764328703706</v>
      </c>
      <c r="Q2350" s="87" t="s">
        <v>4113</v>
      </c>
      <c r="R2350" s="87">
        <v>0</v>
      </c>
      <c r="S2350" s="87">
        <v>0</v>
      </c>
      <c r="T2350" s="87">
        <v>0</v>
      </c>
      <c r="U2350" s="87">
        <v>0</v>
      </c>
      <c r="V2350" s="87">
        <v>16</v>
      </c>
      <c r="W2350" s="93" t="s">
        <v>7395</v>
      </c>
      <c r="X2350" s="87"/>
      <c r="Y2350" s="87"/>
      <c r="Z2350" s="87" t="s">
        <v>8594</v>
      </c>
      <c r="AA2350" s="87"/>
      <c r="AB2350" s="87"/>
      <c r="AC2350" s="93" t="s">
        <v>11457</v>
      </c>
      <c r="AD2350" s="87" t="s">
        <v>11520</v>
      </c>
      <c r="AE2350" s="92" t="str">
        <f>HYPERLINK("https://twitter.com/mspontocom/status/1679194067027083264")</f>
        <v>https://twitter.com/mspontocom/status/1679194067027083264</v>
      </c>
      <c r="AF2350" s="90">
        <v>45119.764328703706</v>
      </c>
      <c r="AG2350" s="99">
        <v>45119</v>
      </c>
      <c r="AH2350" s="93" t="s">
        <v>13658</v>
      </c>
      <c r="AI2350" s="87"/>
      <c r="AJ2350" s="87"/>
      <c r="AK2350" s="87"/>
      <c r="AL2350" s="87"/>
      <c r="AM2350" s="87"/>
      <c r="AN2350" s="87"/>
      <c r="AO2350" s="87"/>
      <c r="AP2350" s="87"/>
      <c r="AQ2350" s="87"/>
      <c r="AR2350" s="87"/>
      <c r="AS2350" s="87"/>
      <c r="AT2350" s="87"/>
      <c r="AU2350" s="87"/>
      <c r="AV2350" s="92" t="str">
        <f>HYPERLINK("https://pbs.twimg.com/profile_images/1620022962/C_pia_de_seguran_a_de_Logo_Site_normal.png")</f>
        <v>https://pbs.twimg.com/profile_images/1620022962/C_pia_de_seguran_a_de_Logo_Site_normal.png</v>
      </c>
      <c r="AW2350" s="93" t="s">
        <v>20557</v>
      </c>
      <c r="AX2350" s="93" t="s">
        <v>22432</v>
      </c>
      <c r="AY2350" s="93" t="s">
        <v>22607</v>
      </c>
      <c r="AZ2350" s="93" t="s">
        <v>22432</v>
      </c>
      <c r="BA2350" s="93" t="s">
        <v>22668</v>
      </c>
      <c r="BB2350" s="93" t="s">
        <v>22668</v>
      </c>
      <c r="BC2350" s="93" t="s">
        <v>22432</v>
      </c>
      <c r="BD2350" s="87">
        <v>399642477</v>
      </c>
      <c r="BE2350" s="87"/>
      <c r="BF2350" s="87"/>
      <c r="BG2350" s="87"/>
      <c r="BH2350" s="87"/>
      <c r="BI2350" s="87"/>
    </row>
    <row r="2351" spans="1:61" x14ac:dyDescent="0.25">
      <c r="A2351" s="63" t="s">
        <v>1043</v>
      </c>
      <c r="B2351" s="63" t="s">
        <v>1731</v>
      </c>
      <c r="C2351" s="64"/>
      <c r="D2351" s="65"/>
      <c r="E2351" s="66"/>
      <c r="F2351" s="67"/>
      <c r="G2351" s="64"/>
      <c r="H2351" s="68"/>
      <c r="I2351" s="69"/>
      <c r="J2351" s="69"/>
      <c r="K2351" s="32"/>
      <c r="L2351" s="76">
        <v>2351</v>
      </c>
      <c r="M2351" s="76"/>
      <c r="N2351" s="71"/>
      <c r="O2351" s="87" t="s">
        <v>1844</v>
      </c>
      <c r="P2351" s="90">
        <v>45119.764328703706</v>
      </c>
      <c r="Q2351" s="87" t="s">
        <v>4113</v>
      </c>
      <c r="R2351" s="87">
        <v>0</v>
      </c>
      <c r="S2351" s="87">
        <v>0</v>
      </c>
      <c r="T2351" s="87">
        <v>0</v>
      </c>
      <c r="U2351" s="87">
        <v>0</v>
      </c>
      <c r="V2351" s="87">
        <v>16</v>
      </c>
      <c r="W2351" s="93" t="s">
        <v>7395</v>
      </c>
      <c r="X2351" s="87"/>
      <c r="Y2351" s="87"/>
      <c r="Z2351" s="87" t="s">
        <v>8594</v>
      </c>
      <c r="AA2351" s="87"/>
      <c r="AB2351" s="87"/>
      <c r="AC2351" s="93" t="s">
        <v>11457</v>
      </c>
      <c r="AD2351" s="87" t="s">
        <v>11520</v>
      </c>
      <c r="AE2351" s="92" t="str">
        <f>HYPERLINK("https://twitter.com/mspontocom/status/1679194067027083264")</f>
        <v>https://twitter.com/mspontocom/status/1679194067027083264</v>
      </c>
      <c r="AF2351" s="90">
        <v>45119.764328703706</v>
      </c>
      <c r="AG2351" s="99">
        <v>45119</v>
      </c>
      <c r="AH2351" s="93" t="s">
        <v>13658</v>
      </c>
      <c r="AI2351" s="87"/>
      <c r="AJ2351" s="87"/>
      <c r="AK2351" s="87"/>
      <c r="AL2351" s="87"/>
      <c r="AM2351" s="87"/>
      <c r="AN2351" s="87"/>
      <c r="AO2351" s="87"/>
      <c r="AP2351" s="87"/>
      <c r="AQ2351" s="87"/>
      <c r="AR2351" s="87"/>
      <c r="AS2351" s="87"/>
      <c r="AT2351" s="87"/>
      <c r="AU2351" s="87"/>
      <c r="AV2351" s="92" t="str">
        <f>HYPERLINK("https://pbs.twimg.com/profile_images/1620022962/C_pia_de_seguran_a_de_Logo_Site_normal.png")</f>
        <v>https://pbs.twimg.com/profile_images/1620022962/C_pia_de_seguran_a_de_Logo_Site_normal.png</v>
      </c>
      <c r="AW2351" s="93" t="s">
        <v>20557</v>
      </c>
      <c r="AX2351" s="93" t="s">
        <v>22432</v>
      </c>
      <c r="AY2351" s="93" t="s">
        <v>22607</v>
      </c>
      <c r="AZ2351" s="93" t="s">
        <v>22432</v>
      </c>
      <c r="BA2351" s="93" t="s">
        <v>22668</v>
      </c>
      <c r="BB2351" s="93" t="s">
        <v>22668</v>
      </c>
      <c r="BC2351" s="93" t="s">
        <v>22432</v>
      </c>
      <c r="BD2351" s="87">
        <v>399642477</v>
      </c>
      <c r="BE2351" s="87"/>
      <c r="BF2351" s="87"/>
      <c r="BG2351" s="87"/>
      <c r="BH2351" s="87"/>
      <c r="BI2351" s="87"/>
    </row>
    <row r="2352" spans="1:61" x14ac:dyDescent="0.25">
      <c r="A2352" s="63" t="s">
        <v>1043</v>
      </c>
      <c r="B2352" s="63" t="s">
        <v>1732</v>
      </c>
      <c r="C2352" s="64"/>
      <c r="D2352" s="65"/>
      <c r="E2352" s="66"/>
      <c r="F2352" s="67"/>
      <c r="G2352" s="64"/>
      <c r="H2352" s="68"/>
      <c r="I2352" s="69"/>
      <c r="J2352" s="69"/>
      <c r="K2352" s="32"/>
      <c r="L2352" s="76">
        <v>2352</v>
      </c>
      <c r="M2352" s="76"/>
      <c r="N2352" s="71"/>
      <c r="O2352" s="87" t="s">
        <v>1844</v>
      </c>
      <c r="P2352" s="90">
        <v>45119.764328703706</v>
      </c>
      <c r="Q2352" s="87" t="s">
        <v>4113</v>
      </c>
      <c r="R2352" s="87">
        <v>0</v>
      </c>
      <c r="S2352" s="87">
        <v>0</v>
      </c>
      <c r="T2352" s="87">
        <v>0</v>
      </c>
      <c r="U2352" s="87">
        <v>0</v>
      </c>
      <c r="V2352" s="87">
        <v>16</v>
      </c>
      <c r="W2352" s="93" t="s">
        <v>7395</v>
      </c>
      <c r="X2352" s="87"/>
      <c r="Y2352" s="87"/>
      <c r="Z2352" s="87" t="s">
        <v>8594</v>
      </c>
      <c r="AA2352" s="87"/>
      <c r="AB2352" s="87"/>
      <c r="AC2352" s="93" t="s">
        <v>11457</v>
      </c>
      <c r="AD2352" s="87" t="s">
        <v>11520</v>
      </c>
      <c r="AE2352" s="92" t="str">
        <f>HYPERLINK("https://twitter.com/mspontocom/status/1679194067027083264")</f>
        <v>https://twitter.com/mspontocom/status/1679194067027083264</v>
      </c>
      <c r="AF2352" s="90">
        <v>45119.764328703706</v>
      </c>
      <c r="AG2352" s="99">
        <v>45119</v>
      </c>
      <c r="AH2352" s="93" t="s">
        <v>13658</v>
      </c>
      <c r="AI2352" s="87"/>
      <c r="AJ2352" s="87"/>
      <c r="AK2352" s="87"/>
      <c r="AL2352" s="87"/>
      <c r="AM2352" s="87"/>
      <c r="AN2352" s="87"/>
      <c r="AO2352" s="87"/>
      <c r="AP2352" s="87"/>
      <c r="AQ2352" s="87"/>
      <c r="AR2352" s="87"/>
      <c r="AS2352" s="87"/>
      <c r="AT2352" s="87"/>
      <c r="AU2352" s="87"/>
      <c r="AV2352" s="92" t="str">
        <f>HYPERLINK("https://pbs.twimg.com/profile_images/1620022962/C_pia_de_seguran_a_de_Logo_Site_normal.png")</f>
        <v>https://pbs.twimg.com/profile_images/1620022962/C_pia_de_seguran_a_de_Logo_Site_normal.png</v>
      </c>
      <c r="AW2352" s="93" t="s">
        <v>20557</v>
      </c>
      <c r="AX2352" s="93" t="s">
        <v>22432</v>
      </c>
      <c r="AY2352" s="93" t="s">
        <v>22607</v>
      </c>
      <c r="AZ2352" s="93" t="s">
        <v>22432</v>
      </c>
      <c r="BA2352" s="93" t="s">
        <v>22668</v>
      </c>
      <c r="BB2352" s="93" t="s">
        <v>22668</v>
      </c>
      <c r="BC2352" s="93" t="s">
        <v>22432</v>
      </c>
      <c r="BD2352" s="87">
        <v>399642477</v>
      </c>
      <c r="BE2352" s="87"/>
      <c r="BF2352" s="87"/>
      <c r="BG2352" s="87"/>
      <c r="BH2352" s="87"/>
      <c r="BI2352" s="87"/>
    </row>
    <row r="2353" spans="1:61" x14ac:dyDescent="0.25">
      <c r="A2353" s="63" t="s">
        <v>1043</v>
      </c>
      <c r="B2353" s="63" t="s">
        <v>1733</v>
      </c>
      <c r="C2353" s="64"/>
      <c r="D2353" s="65"/>
      <c r="E2353" s="66"/>
      <c r="F2353" s="67"/>
      <c r="G2353" s="64"/>
      <c r="H2353" s="68"/>
      <c r="I2353" s="69"/>
      <c r="J2353" s="69"/>
      <c r="K2353" s="32"/>
      <c r="L2353" s="76">
        <v>2353</v>
      </c>
      <c r="M2353" s="76"/>
      <c r="N2353" s="71"/>
      <c r="O2353" s="87" t="s">
        <v>1844</v>
      </c>
      <c r="P2353" s="90">
        <v>45118.727951388886</v>
      </c>
      <c r="Q2353" s="87" t="s">
        <v>4112</v>
      </c>
      <c r="R2353" s="87">
        <v>0</v>
      </c>
      <c r="S2353" s="87">
        <v>0</v>
      </c>
      <c r="T2353" s="87">
        <v>0</v>
      </c>
      <c r="U2353" s="87">
        <v>0</v>
      </c>
      <c r="V2353" s="87">
        <v>20</v>
      </c>
      <c r="W2353" s="93" t="s">
        <v>7394</v>
      </c>
      <c r="X2353" s="87"/>
      <c r="Y2353" s="87"/>
      <c r="Z2353" s="87" t="s">
        <v>8593</v>
      </c>
      <c r="AA2353" s="87"/>
      <c r="AB2353" s="87"/>
      <c r="AC2353" s="93" t="s">
        <v>11457</v>
      </c>
      <c r="AD2353" s="87" t="s">
        <v>11520</v>
      </c>
      <c r="AE2353" s="92" t="str">
        <f>HYPERLINK("https://twitter.com/mspontocom/status/1678818498955341838")</f>
        <v>https://twitter.com/mspontocom/status/1678818498955341838</v>
      </c>
      <c r="AF2353" s="90">
        <v>45118.727951388886</v>
      </c>
      <c r="AG2353" s="99">
        <v>45118</v>
      </c>
      <c r="AH2353" s="93" t="s">
        <v>13657</v>
      </c>
      <c r="AI2353" s="87"/>
      <c r="AJ2353" s="87"/>
      <c r="AK2353" s="87"/>
      <c r="AL2353" s="87"/>
      <c r="AM2353" s="87"/>
      <c r="AN2353" s="87"/>
      <c r="AO2353" s="87"/>
      <c r="AP2353" s="87"/>
      <c r="AQ2353" s="87"/>
      <c r="AR2353" s="87"/>
      <c r="AS2353" s="87"/>
      <c r="AT2353" s="87"/>
      <c r="AU2353" s="87"/>
      <c r="AV2353" s="92" t="str">
        <f>HYPERLINK("https://pbs.twimg.com/profile_images/1620022962/C_pia_de_seguran_a_de_Logo_Site_normal.png")</f>
        <v>https://pbs.twimg.com/profile_images/1620022962/C_pia_de_seguran_a_de_Logo_Site_normal.png</v>
      </c>
      <c r="AW2353" s="93" t="s">
        <v>20556</v>
      </c>
      <c r="AX2353" s="93" t="s">
        <v>22431</v>
      </c>
      <c r="AY2353" s="93" t="s">
        <v>22607</v>
      </c>
      <c r="AZ2353" s="93" t="s">
        <v>22431</v>
      </c>
      <c r="BA2353" s="93" t="s">
        <v>22668</v>
      </c>
      <c r="BB2353" s="93" t="s">
        <v>22668</v>
      </c>
      <c r="BC2353" s="93" t="s">
        <v>22431</v>
      </c>
      <c r="BD2353" s="87">
        <v>399642477</v>
      </c>
      <c r="BE2353" s="87"/>
      <c r="BF2353" s="87"/>
      <c r="BG2353" s="87"/>
      <c r="BH2353" s="87"/>
      <c r="BI2353" s="87"/>
    </row>
    <row r="2354" spans="1:61" x14ac:dyDescent="0.25">
      <c r="A2354" s="63" t="s">
        <v>1043</v>
      </c>
      <c r="B2354" s="63" t="s">
        <v>1733</v>
      </c>
      <c r="C2354" s="64"/>
      <c r="D2354" s="65"/>
      <c r="E2354" s="66"/>
      <c r="F2354" s="67"/>
      <c r="G2354" s="64"/>
      <c r="H2354" s="68"/>
      <c r="I2354" s="69"/>
      <c r="J2354" s="69"/>
      <c r="K2354" s="32"/>
      <c r="L2354" s="76">
        <v>2354</v>
      </c>
      <c r="M2354" s="76"/>
      <c r="N2354" s="71"/>
      <c r="O2354" s="87" t="s">
        <v>1844</v>
      </c>
      <c r="P2354" s="90">
        <v>45119.764328703706</v>
      </c>
      <c r="Q2354" s="87" t="s">
        <v>4113</v>
      </c>
      <c r="R2354" s="87">
        <v>0</v>
      </c>
      <c r="S2354" s="87">
        <v>0</v>
      </c>
      <c r="T2354" s="87">
        <v>0</v>
      </c>
      <c r="U2354" s="87">
        <v>0</v>
      </c>
      <c r="V2354" s="87">
        <v>16</v>
      </c>
      <c r="W2354" s="93" t="s">
        <v>7395</v>
      </c>
      <c r="X2354" s="87"/>
      <c r="Y2354" s="87"/>
      <c r="Z2354" s="87" t="s">
        <v>8594</v>
      </c>
      <c r="AA2354" s="87"/>
      <c r="AB2354" s="87"/>
      <c r="AC2354" s="93" t="s">
        <v>11457</v>
      </c>
      <c r="AD2354" s="87" t="s">
        <v>11520</v>
      </c>
      <c r="AE2354" s="92" t="str">
        <f>HYPERLINK("https://twitter.com/mspontocom/status/1679194067027083264")</f>
        <v>https://twitter.com/mspontocom/status/1679194067027083264</v>
      </c>
      <c r="AF2354" s="90">
        <v>45119.764328703706</v>
      </c>
      <c r="AG2354" s="99">
        <v>45119</v>
      </c>
      <c r="AH2354" s="93" t="s">
        <v>13658</v>
      </c>
      <c r="AI2354" s="87"/>
      <c r="AJ2354" s="87"/>
      <c r="AK2354" s="87"/>
      <c r="AL2354" s="87"/>
      <c r="AM2354" s="87"/>
      <c r="AN2354" s="87"/>
      <c r="AO2354" s="87"/>
      <c r="AP2354" s="87"/>
      <c r="AQ2354" s="87"/>
      <c r="AR2354" s="87"/>
      <c r="AS2354" s="87"/>
      <c r="AT2354" s="87"/>
      <c r="AU2354" s="87"/>
      <c r="AV2354" s="92" t="str">
        <f>HYPERLINK("https://pbs.twimg.com/profile_images/1620022962/C_pia_de_seguran_a_de_Logo_Site_normal.png")</f>
        <v>https://pbs.twimg.com/profile_images/1620022962/C_pia_de_seguran_a_de_Logo_Site_normal.png</v>
      </c>
      <c r="AW2354" s="93" t="s">
        <v>20557</v>
      </c>
      <c r="AX2354" s="93" t="s">
        <v>22432</v>
      </c>
      <c r="AY2354" s="93" t="s">
        <v>22607</v>
      </c>
      <c r="AZ2354" s="93" t="s">
        <v>22432</v>
      </c>
      <c r="BA2354" s="93" t="s">
        <v>22668</v>
      </c>
      <c r="BB2354" s="93" t="s">
        <v>22668</v>
      </c>
      <c r="BC2354" s="93" t="s">
        <v>22432</v>
      </c>
      <c r="BD2354" s="87">
        <v>399642477</v>
      </c>
      <c r="BE2354" s="87"/>
      <c r="BF2354" s="87"/>
      <c r="BG2354" s="87"/>
      <c r="BH2354" s="87"/>
      <c r="BI2354" s="87"/>
    </row>
    <row r="2355" spans="1:61" x14ac:dyDescent="0.25">
      <c r="A2355" s="63" t="s">
        <v>1043</v>
      </c>
      <c r="B2355" s="63" t="s">
        <v>1734</v>
      </c>
      <c r="C2355" s="64"/>
      <c r="D2355" s="65"/>
      <c r="E2355" s="66"/>
      <c r="F2355" s="67"/>
      <c r="G2355" s="64"/>
      <c r="H2355" s="68"/>
      <c r="I2355" s="69"/>
      <c r="J2355" s="69"/>
      <c r="K2355" s="32"/>
      <c r="L2355" s="76">
        <v>2355</v>
      </c>
      <c r="M2355" s="76"/>
      <c r="N2355" s="71"/>
      <c r="O2355" s="87" t="s">
        <v>1844</v>
      </c>
      <c r="P2355" s="90">
        <v>45119.764328703706</v>
      </c>
      <c r="Q2355" s="87" t="s">
        <v>4113</v>
      </c>
      <c r="R2355" s="87">
        <v>0</v>
      </c>
      <c r="S2355" s="87">
        <v>0</v>
      </c>
      <c r="T2355" s="87">
        <v>0</v>
      </c>
      <c r="U2355" s="87">
        <v>0</v>
      </c>
      <c r="V2355" s="87">
        <v>16</v>
      </c>
      <c r="W2355" s="93" t="s">
        <v>7395</v>
      </c>
      <c r="X2355" s="87"/>
      <c r="Y2355" s="87"/>
      <c r="Z2355" s="87" t="s">
        <v>8594</v>
      </c>
      <c r="AA2355" s="87"/>
      <c r="AB2355" s="87"/>
      <c r="AC2355" s="93" t="s">
        <v>11457</v>
      </c>
      <c r="AD2355" s="87" t="s">
        <v>11520</v>
      </c>
      <c r="AE2355" s="92" t="str">
        <f>HYPERLINK("https://twitter.com/mspontocom/status/1679194067027083264")</f>
        <v>https://twitter.com/mspontocom/status/1679194067027083264</v>
      </c>
      <c r="AF2355" s="90">
        <v>45119.764328703706</v>
      </c>
      <c r="AG2355" s="99">
        <v>45119</v>
      </c>
      <c r="AH2355" s="93" t="s">
        <v>13658</v>
      </c>
      <c r="AI2355" s="87"/>
      <c r="AJ2355" s="87"/>
      <c r="AK2355" s="87"/>
      <c r="AL2355" s="87"/>
      <c r="AM2355" s="87"/>
      <c r="AN2355" s="87"/>
      <c r="AO2355" s="87"/>
      <c r="AP2355" s="87"/>
      <c r="AQ2355" s="87"/>
      <c r="AR2355" s="87"/>
      <c r="AS2355" s="87"/>
      <c r="AT2355" s="87"/>
      <c r="AU2355" s="87"/>
      <c r="AV2355" s="92" t="str">
        <f>HYPERLINK("https://pbs.twimg.com/profile_images/1620022962/C_pia_de_seguran_a_de_Logo_Site_normal.png")</f>
        <v>https://pbs.twimg.com/profile_images/1620022962/C_pia_de_seguran_a_de_Logo_Site_normal.png</v>
      </c>
      <c r="AW2355" s="93" t="s">
        <v>20557</v>
      </c>
      <c r="AX2355" s="93" t="s">
        <v>22432</v>
      </c>
      <c r="AY2355" s="93" t="s">
        <v>22607</v>
      </c>
      <c r="AZ2355" s="93" t="s">
        <v>22432</v>
      </c>
      <c r="BA2355" s="93" t="s">
        <v>22668</v>
      </c>
      <c r="BB2355" s="93" t="s">
        <v>22668</v>
      </c>
      <c r="BC2355" s="93" t="s">
        <v>22432</v>
      </c>
      <c r="BD2355" s="87">
        <v>399642477</v>
      </c>
      <c r="BE2355" s="87"/>
      <c r="BF2355" s="87"/>
      <c r="BG2355" s="87"/>
      <c r="BH2355" s="87"/>
      <c r="BI2355" s="87"/>
    </row>
    <row r="2356" spans="1:61" x14ac:dyDescent="0.25">
      <c r="A2356" s="63" t="s">
        <v>1043</v>
      </c>
      <c r="B2356" s="63" t="s">
        <v>1735</v>
      </c>
      <c r="C2356" s="64"/>
      <c r="D2356" s="65"/>
      <c r="E2356" s="66"/>
      <c r="F2356" s="67"/>
      <c r="G2356" s="64"/>
      <c r="H2356" s="68"/>
      <c r="I2356" s="69"/>
      <c r="J2356" s="69"/>
      <c r="K2356" s="32"/>
      <c r="L2356" s="76">
        <v>2356</v>
      </c>
      <c r="M2356" s="76"/>
      <c r="N2356" s="71"/>
      <c r="O2356" s="87" t="s">
        <v>1844</v>
      </c>
      <c r="P2356" s="90">
        <v>45121.770289351851</v>
      </c>
      <c r="Q2356" s="87" t="s">
        <v>4114</v>
      </c>
      <c r="R2356" s="87">
        <v>0</v>
      </c>
      <c r="S2356" s="87">
        <v>0</v>
      </c>
      <c r="T2356" s="87">
        <v>0</v>
      </c>
      <c r="U2356" s="87">
        <v>0</v>
      </c>
      <c r="V2356" s="87">
        <v>22</v>
      </c>
      <c r="W2356" s="93" t="s">
        <v>7396</v>
      </c>
      <c r="X2356" s="87"/>
      <c r="Y2356" s="87"/>
      <c r="Z2356" s="87" t="s">
        <v>8595</v>
      </c>
      <c r="AA2356" s="87"/>
      <c r="AB2356" s="87"/>
      <c r="AC2356" s="93" t="s">
        <v>11457</v>
      </c>
      <c r="AD2356" s="87" t="s">
        <v>11520</v>
      </c>
      <c r="AE2356" s="92" t="str">
        <f>HYPERLINK("https://twitter.com/mspontocom/status/1679921003017691136")</f>
        <v>https://twitter.com/mspontocom/status/1679921003017691136</v>
      </c>
      <c r="AF2356" s="90">
        <v>45121.770289351851</v>
      </c>
      <c r="AG2356" s="99">
        <v>45121</v>
      </c>
      <c r="AH2356" s="93" t="s">
        <v>13659</v>
      </c>
      <c r="AI2356" s="87"/>
      <c r="AJ2356" s="87"/>
      <c r="AK2356" s="87"/>
      <c r="AL2356" s="87"/>
      <c r="AM2356" s="87"/>
      <c r="AN2356" s="87"/>
      <c r="AO2356" s="87"/>
      <c r="AP2356" s="87"/>
      <c r="AQ2356" s="87"/>
      <c r="AR2356" s="87"/>
      <c r="AS2356" s="87"/>
      <c r="AT2356" s="87"/>
      <c r="AU2356" s="87"/>
      <c r="AV2356" s="92" t="str">
        <f>HYPERLINK("https://pbs.twimg.com/profile_images/1620022962/C_pia_de_seguran_a_de_Logo_Site_normal.png")</f>
        <v>https://pbs.twimg.com/profile_images/1620022962/C_pia_de_seguran_a_de_Logo_Site_normal.png</v>
      </c>
      <c r="AW2356" s="93" t="s">
        <v>20558</v>
      </c>
      <c r="AX2356" s="93" t="s">
        <v>22433</v>
      </c>
      <c r="AY2356" s="93" t="s">
        <v>22607</v>
      </c>
      <c r="AZ2356" s="93" t="s">
        <v>22433</v>
      </c>
      <c r="BA2356" s="93" t="s">
        <v>22668</v>
      </c>
      <c r="BB2356" s="93" t="s">
        <v>22668</v>
      </c>
      <c r="BC2356" s="93" t="s">
        <v>22433</v>
      </c>
      <c r="BD2356" s="87">
        <v>399642477</v>
      </c>
      <c r="BE2356" s="87"/>
      <c r="BF2356" s="87"/>
      <c r="BG2356" s="87"/>
      <c r="BH2356" s="87"/>
      <c r="BI2356" s="87"/>
    </row>
    <row r="2357" spans="1:61" x14ac:dyDescent="0.25">
      <c r="A2357" s="63" t="s">
        <v>1043</v>
      </c>
      <c r="B2357" s="63" t="s">
        <v>1736</v>
      </c>
      <c r="C2357" s="64"/>
      <c r="D2357" s="65"/>
      <c r="E2357" s="66"/>
      <c r="F2357" s="67"/>
      <c r="G2357" s="64"/>
      <c r="H2357" s="68"/>
      <c r="I2357" s="69"/>
      <c r="J2357" s="69"/>
      <c r="K2357" s="32"/>
      <c r="L2357" s="76">
        <v>2357</v>
      </c>
      <c r="M2357" s="76"/>
      <c r="N2357" s="71"/>
      <c r="O2357" s="87" t="s">
        <v>1844</v>
      </c>
      <c r="P2357" s="90">
        <v>45121.770289351851</v>
      </c>
      <c r="Q2357" s="87" t="s">
        <v>4114</v>
      </c>
      <c r="R2357" s="87">
        <v>0</v>
      </c>
      <c r="S2357" s="87">
        <v>0</v>
      </c>
      <c r="T2357" s="87">
        <v>0</v>
      </c>
      <c r="U2357" s="87">
        <v>0</v>
      </c>
      <c r="V2357" s="87">
        <v>22</v>
      </c>
      <c r="W2357" s="93" t="s">
        <v>7396</v>
      </c>
      <c r="X2357" s="87"/>
      <c r="Y2357" s="87"/>
      <c r="Z2357" s="87" t="s">
        <v>8595</v>
      </c>
      <c r="AA2357" s="87"/>
      <c r="AB2357" s="87"/>
      <c r="AC2357" s="93" t="s">
        <v>11457</v>
      </c>
      <c r="AD2357" s="87" t="s">
        <v>11520</v>
      </c>
      <c r="AE2357" s="92" t="str">
        <f>HYPERLINK("https://twitter.com/mspontocom/status/1679921003017691136")</f>
        <v>https://twitter.com/mspontocom/status/1679921003017691136</v>
      </c>
      <c r="AF2357" s="90">
        <v>45121.770289351851</v>
      </c>
      <c r="AG2357" s="99">
        <v>45121</v>
      </c>
      <c r="AH2357" s="93" t="s">
        <v>13659</v>
      </c>
      <c r="AI2357" s="87"/>
      <c r="AJ2357" s="87"/>
      <c r="AK2357" s="87"/>
      <c r="AL2357" s="87"/>
      <c r="AM2357" s="87"/>
      <c r="AN2357" s="87"/>
      <c r="AO2357" s="87"/>
      <c r="AP2357" s="87"/>
      <c r="AQ2357" s="87"/>
      <c r="AR2357" s="87"/>
      <c r="AS2357" s="87"/>
      <c r="AT2357" s="87"/>
      <c r="AU2357" s="87"/>
      <c r="AV2357" s="92" t="str">
        <f>HYPERLINK("https://pbs.twimg.com/profile_images/1620022962/C_pia_de_seguran_a_de_Logo_Site_normal.png")</f>
        <v>https://pbs.twimg.com/profile_images/1620022962/C_pia_de_seguran_a_de_Logo_Site_normal.png</v>
      </c>
      <c r="AW2357" s="93" t="s">
        <v>20558</v>
      </c>
      <c r="AX2357" s="93" t="s">
        <v>22433</v>
      </c>
      <c r="AY2357" s="93" t="s">
        <v>22607</v>
      </c>
      <c r="AZ2357" s="93" t="s">
        <v>22433</v>
      </c>
      <c r="BA2357" s="93" t="s">
        <v>22668</v>
      </c>
      <c r="BB2357" s="93" t="s">
        <v>22668</v>
      </c>
      <c r="BC2357" s="93" t="s">
        <v>22433</v>
      </c>
      <c r="BD2357" s="87">
        <v>399642477</v>
      </c>
      <c r="BE2357" s="87"/>
      <c r="BF2357" s="87"/>
      <c r="BG2357" s="87"/>
      <c r="BH2357" s="87"/>
      <c r="BI2357" s="87"/>
    </row>
    <row r="2358" spans="1:61" x14ac:dyDescent="0.25">
      <c r="A2358" s="63" t="s">
        <v>1044</v>
      </c>
      <c r="B2358" s="63" t="s">
        <v>1044</v>
      </c>
      <c r="C2358" s="64"/>
      <c r="D2358" s="65"/>
      <c r="E2358" s="66"/>
      <c r="F2358" s="67"/>
      <c r="G2358" s="64"/>
      <c r="H2358" s="68"/>
      <c r="I2358" s="69"/>
      <c r="J2358" s="69"/>
      <c r="K2358" s="32"/>
      <c r="L2358" s="76">
        <v>2358</v>
      </c>
      <c r="M2358" s="76"/>
      <c r="N2358" s="71"/>
      <c r="O2358" s="87" t="s">
        <v>179</v>
      </c>
      <c r="P2358" s="90">
        <v>45113.565636574072</v>
      </c>
      <c r="Q2358" s="87" t="s">
        <v>4115</v>
      </c>
      <c r="R2358" s="87">
        <v>0</v>
      </c>
      <c r="S2358" s="87">
        <v>1</v>
      </c>
      <c r="T2358" s="87">
        <v>1</v>
      </c>
      <c r="U2358" s="87">
        <v>0</v>
      </c>
      <c r="V2358" s="87">
        <v>204</v>
      </c>
      <c r="W2358" s="93" t="s">
        <v>7397</v>
      </c>
      <c r="X2358" s="92" t="str">
        <f>HYPERLINK("https://bit.ly/edital__sebraetec")</f>
        <v>https://bit.ly/edital__sebraetec</v>
      </c>
      <c r="Y2358" s="87" t="s">
        <v>8374</v>
      </c>
      <c r="Z2358" s="87"/>
      <c r="AA2358" s="87" t="s">
        <v>10137</v>
      </c>
      <c r="AB2358" s="87" t="s">
        <v>11447</v>
      </c>
      <c r="AC2358" s="93" t="s">
        <v>11457</v>
      </c>
      <c r="AD2358" s="87" t="s">
        <v>11519</v>
      </c>
      <c r="AE2358" s="92" t="str">
        <f>HYPERLINK("https://twitter.com/sebraeminas/status/1676947738938998787")</f>
        <v>https://twitter.com/sebraeminas/status/1676947738938998787</v>
      </c>
      <c r="AF2358" s="90">
        <v>45113.565636574072</v>
      </c>
      <c r="AG2358" s="99">
        <v>45113</v>
      </c>
      <c r="AH2358" s="93" t="s">
        <v>13660</v>
      </c>
      <c r="AI2358" s="87" t="b">
        <v>0</v>
      </c>
      <c r="AJ2358" s="87"/>
      <c r="AK2358" s="87"/>
      <c r="AL2358" s="87"/>
      <c r="AM2358" s="87"/>
      <c r="AN2358" s="87"/>
      <c r="AO2358" s="87"/>
      <c r="AP2358" s="87"/>
      <c r="AQ2358" s="87" t="s">
        <v>16950</v>
      </c>
      <c r="AR2358" s="87">
        <v>71893</v>
      </c>
      <c r="AS2358" s="87"/>
      <c r="AT2358" s="87"/>
      <c r="AU2358" s="87"/>
      <c r="AV2358" s="92" t="str">
        <f>HYPERLINK("https://pbs.twimg.com/ext_tw_video_thumb/1676946802178682880/pu/img/ZNqX6oXHyUmHiW_U.jpg")</f>
        <v>https://pbs.twimg.com/ext_tw_video_thumb/1676946802178682880/pu/img/ZNqX6oXHyUmHiW_U.jpg</v>
      </c>
      <c r="AW2358" s="93" t="s">
        <v>20559</v>
      </c>
      <c r="AX2358" s="93" t="s">
        <v>20559</v>
      </c>
      <c r="AY2358" s="87"/>
      <c r="AZ2358" s="93" t="s">
        <v>22668</v>
      </c>
      <c r="BA2358" s="93" t="s">
        <v>22668</v>
      </c>
      <c r="BB2358" s="93" t="s">
        <v>22668</v>
      </c>
      <c r="BC2358" s="93" t="s">
        <v>20559</v>
      </c>
      <c r="BD2358" s="87">
        <v>41601175</v>
      </c>
      <c r="BE2358" s="87"/>
      <c r="BF2358" s="87"/>
      <c r="BG2358" s="87"/>
      <c r="BH2358" s="87"/>
      <c r="BI2358" s="87"/>
    </row>
    <row r="2359" spans="1:61" x14ac:dyDescent="0.25">
      <c r="A2359" s="63" t="s">
        <v>1044</v>
      </c>
      <c r="B2359" s="63" t="s">
        <v>1044</v>
      </c>
      <c r="C2359" s="64"/>
      <c r="D2359" s="65"/>
      <c r="E2359" s="66"/>
      <c r="F2359" s="67"/>
      <c r="G2359" s="64"/>
      <c r="H2359" s="68"/>
      <c r="I2359" s="69"/>
      <c r="J2359" s="69"/>
      <c r="K2359" s="32"/>
      <c r="L2359" s="76">
        <v>2359</v>
      </c>
      <c r="M2359" s="76"/>
      <c r="N2359" s="71"/>
      <c r="O2359" s="87" t="s">
        <v>1839</v>
      </c>
      <c r="P2359" s="90">
        <v>45183.837997685187</v>
      </c>
      <c r="Q2359" s="87" t="s">
        <v>4116</v>
      </c>
      <c r="R2359" s="87">
        <v>0</v>
      </c>
      <c r="S2359" s="87">
        <v>0</v>
      </c>
      <c r="T2359" s="87">
        <v>0</v>
      </c>
      <c r="U2359" s="87">
        <v>0</v>
      </c>
      <c r="V2359" s="87">
        <v>76</v>
      </c>
      <c r="W2359" s="93" t="s">
        <v>7398</v>
      </c>
      <c r="X2359" s="92" t="str">
        <f>HYPERLINK("https://encurtador.com.br/gvDK9")</f>
        <v>https://encurtador.com.br/gvDK9</v>
      </c>
      <c r="Y2359" s="87" t="s">
        <v>8373</v>
      </c>
      <c r="Z2359" s="87" t="s">
        <v>1044</v>
      </c>
      <c r="AA2359" s="87" t="s">
        <v>10138</v>
      </c>
      <c r="AB2359" s="87" t="s">
        <v>11451</v>
      </c>
      <c r="AC2359" s="93" t="s">
        <v>11457</v>
      </c>
      <c r="AD2359" s="87" t="s">
        <v>11519</v>
      </c>
      <c r="AE2359" s="92" t="str">
        <f>HYPERLINK("https://twitter.com/sebraeminas/status/1702413587350794384")</f>
        <v>https://twitter.com/sebraeminas/status/1702413587350794384</v>
      </c>
      <c r="AF2359" s="90">
        <v>45183.837997685187</v>
      </c>
      <c r="AG2359" s="99">
        <v>45183</v>
      </c>
      <c r="AH2359" s="93" t="s">
        <v>13661</v>
      </c>
      <c r="AI2359" s="87" t="b">
        <v>0</v>
      </c>
      <c r="AJ2359" s="87"/>
      <c r="AK2359" s="87"/>
      <c r="AL2359" s="87"/>
      <c r="AM2359" s="87"/>
      <c r="AN2359" s="87"/>
      <c r="AO2359" s="87"/>
      <c r="AP2359" s="87"/>
      <c r="AQ2359" s="87" t="s">
        <v>16951</v>
      </c>
      <c r="AR2359" s="87"/>
      <c r="AS2359" s="87"/>
      <c r="AT2359" s="87"/>
      <c r="AU2359" s="87"/>
      <c r="AV2359" s="92" t="str">
        <f>HYPERLINK("https://pbs.twimg.com/media/F6Av_0sWAAAnFTl.jpg")</f>
        <v>https://pbs.twimg.com/media/F6Av_0sWAAAnFTl.jpg</v>
      </c>
      <c r="AW2359" s="93" t="s">
        <v>20560</v>
      </c>
      <c r="AX2359" s="93" t="s">
        <v>20560</v>
      </c>
      <c r="AY2359" s="87"/>
      <c r="AZ2359" s="93" t="s">
        <v>22668</v>
      </c>
      <c r="BA2359" s="93" t="s">
        <v>22668</v>
      </c>
      <c r="BB2359" s="93" t="s">
        <v>22668</v>
      </c>
      <c r="BC2359" s="93" t="s">
        <v>20560</v>
      </c>
      <c r="BD2359" s="87">
        <v>41601175</v>
      </c>
      <c r="BE2359" s="87"/>
      <c r="BF2359" s="87"/>
      <c r="BG2359" s="87"/>
      <c r="BH2359" s="87"/>
      <c r="BI2359" s="87"/>
    </row>
    <row r="2360" spans="1:61" x14ac:dyDescent="0.25">
      <c r="A2360" s="63" t="s">
        <v>1043</v>
      </c>
      <c r="B2360" s="63" t="s">
        <v>1044</v>
      </c>
      <c r="C2360" s="64"/>
      <c r="D2360" s="65"/>
      <c r="E2360" s="66"/>
      <c r="F2360" s="67"/>
      <c r="G2360" s="64"/>
      <c r="H2360" s="68"/>
      <c r="I2360" s="69"/>
      <c r="J2360" s="69"/>
      <c r="K2360" s="32"/>
      <c r="L2360" s="76">
        <v>2360</v>
      </c>
      <c r="M2360" s="76"/>
      <c r="N2360" s="71"/>
      <c r="O2360" s="87" t="s">
        <v>1844</v>
      </c>
      <c r="P2360" s="90">
        <v>45121.770289351851</v>
      </c>
      <c r="Q2360" s="87" t="s">
        <v>4114</v>
      </c>
      <c r="R2360" s="87">
        <v>0</v>
      </c>
      <c r="S2360" s="87">
        <v>0</v>
      </c>
      <c r="T2360" s="87">
        <v>0</v>
      </c>
      <c r="U2360" s="87">
        <v>0</v>
      </c>
      <c r="V2360" s="87">
        <v>22</v>
      </c>
      <c r="W2360" s="93" t="s">
        <v>7396</v>
      </c>
      <c r="X2360" s="87"/>
      <c r="Y2360" s="87"/>
      <c r="Z2360" s="87" t="s">
        <v>8595</v>
      </c>
      <c r="AA2360" s="87"/>
      <c r="AB2360" s="87"/>
      <c r="AC2360" s="93" t="s">
        <v>11457</v>
      </c>
      <c r="AD2360" s="87" t="s">
        <v>11520</v>
      </c>
      <c r="AE2360" s="92" t="str">
        <f>HYPERLINK("https://twitter.com/mspontocom/status/1679921003017691136")</f>
        <v>https://twitter.com/mspontocom/status/1679921003017691136</v>
      </c>
      <c r="AF2360" s="90">
        <v>45121.770289351851</v>
      </c>
      <c r="AG2360" s="99">
        <v>45121</v>
      </c>
      <c r="AH2360" s="93" t="s">
        <v>13659</v>
      </c>
      <c r="AI2360" s="87"/>
      <c r="AJ2360" s="87"/>
      <c r="AK2360" s="87"/>
      <c r="AL2360" s="87"/>
      <c r="AM2360" s="87"/>
      <c r="AN2360" s="87"/>
      <c r="AO2360" s="87"/>
      <c r="AP2360" s="87"/>
      <c r="AQ2360" s="87"/>
      <c r="AR2360" s="87"/>
      <c r="AS2360" s="87"/>
      <c r="AT2360" s="87"/>
      <c r="AU2360" s="87"/>
      <c r="AV2360" s="92" t="str">
        <f>HYPERLINK("https://pbs.twimg.com/profile_images/1620022962/C_pia_de_seguran_a_de_Logo_Site_normal.png")</f>
        <v>https://pbs.twimg.com/profile_images/1620022962/C_pia_de_seguran_a_de_Logo_Site_normal.png</v>
      </c>
      <c r="AW2360" s="93" t="s">
        <v>20558</v>
      </c>
      <c r="AX2360" s="93" t="s">
        <v>22433</v>
      </c>
      <c r="AY2360" s="93" t="s">
        <v>22607</v>
      </c>
      <c r="AZ2360" s="93" t="s">
        <v>22433</v>
      </c>
      <c r="BA2360" s="93" t="s">
        <v>22668</v>
      </c>
      <c r="BB2360" s="93" t="s">
        <v>22668</v>
      </c>
      <c r="BC2360" s="93" t="s">
        <v>22433</v>
      </c>
      <c r="BD2360" s="87">
        <v>399642477</v>
      </c>
      <c r="BE2360" s="87"/>
      <c r="BF2360" s="87"/>
      <c r="BG2360" s="87"/>
      <c r="BH2360" s="87"/>
      <c r="BI2360" s="87"/>
    </row>
    <row r="2361" spans="1:61" x14ac:dyDescent="0.25">
      <c r="A2361" s="63" t="s">
        <v>1045</v>
      </c>
      <c r="B2361" s="63" t="s">
        <v>1045</v>
      </c>
      <c r="C2361" s="64"/>
      <c r="D2361" s="65"/>
      <c r="E2361" s="66"/>
      <c r="F2361" s="67"/>
      <c r="G2361" s="64"/>
      <c r="H2361" s="68"/>
      <c r="I2361" s="69"/>
      <c r="J2361" s="69"/>
      <c r="K2361" s="32"/>
      <c r="L2361" s="76">
        <v>2361</v>
      </c>
      <c r="M2361" s="76"/>
      <c r="N2361" s="71"/>
      <c r="O2361" s="87" t="s">
        <v>179</v>
      </c>
      <c r="P2361" s="90">
        <v>45187.75037037037</v>
      </c>
      <c r="Q2361" s="87" t="s">
        <v>4117</v>
      </c>
      <c r="R2361" s="87">
        <v>1</v>
      </c>
      <c r="S2361" s="87">
        <v>2</v>
      </c>
      <c r="T2361" s="87">
        <v>0</v>
      </c>
      <c r="U2361" s="87">
        <v>0</v>
      </c>
      <c r="V2361" s="87">
        <v>346</v>
      </c>
      <c r="W2361" s="93" t="s">
        <v>7399</v>
      </c>
      <c r="X2361" s="92" t="str">
        <f>HYPERLINK("https://bit.ly/3Zx38Hf")</f>
        <v>https://bit.ly/3Zx38Hf</v>
      </c>
      <c r="Y2361" s="87" t="s">
        <v>8374</v>
      </c>
      <c r="Z2361" s="87"/>
      <c r="AA2361" s="87" t="s">
        <v>10139</v>
      </c>
      <c r="AB2361" s="87" t="s">
        <v>11448</v>
      </c>
      <c r="AC2361" s="93" t="s">
        <v>11485</v>
      </c>
      <c r="AD2361" s="87" t="s">
        <v>11519</v>
      </c>
      <c r="AE2361" s="92" t="str">
        <f>HYPERLINK("https://twitter.com/sebraesp/status/1703831383095783467")</f>
        <v>https://twitter.com/sebraesp/status/1703831383095783467</v>
      </c>
      <c r="AF2361" s="90">
        <v>45187.75037037037</v>
      </c>
      <c r="AG2361" s="99">
        <v>45187</v>
      </c>
      <c r="AH2361" s="93" t="s">
        <v>13662</v>
      </c>
      <c r="AI2361" s="87" t="b">
        <v>0</v>
      </c>
      <c r="AJ2361" s="87"/>
      <c r="AK2361" s="87"/>
      <c r="AL2361" s="87"/>
      <c r="AM2361" s="87"/>
      <c r="AN2361" s="87"/>
      <c r="AO2361" s="87"/>
      <c r="AP2361" s="87"/>
      <c r="AQ2361" s="87" t="s">
        <v>16952</v>
      </c>
      <c r="AR2361" s="87"/>
      <c r="AS2361" s="87"/>
      <c r="AT2361" s="87"/>
      <c r="AU2361" s="87"/>
      <c r="AV2361" s="92" t="str">
        <f>HYPERLINK("https://pbs.twimg.com/media/F6U5nUHWkAEdJR2.jpg")</f>
        <v>https://pbs.twimg.com/media/F6U5nUHWkAEdJR2.jpg</v>
      </c>
      <c r="AW2361" s="93" t="s">
        <v>20561</v>
      </c>
      <c r="AX2361" s="93" t="s">
        <v>20561</v>
      </c>
      <c r="AY2361" s="87"/>
      <c r="AZ2361" s="93" t="s">
        <v>22668</v>
      </c>
      <c r="BA2361" s="93" t="s">
        <v>22668</v>
      </c>
      <c r="BB2361" s="93" t="s">
        <v>22668</v>
      </c>
      <c r="BC2361" s="93" t="s">
        <v>20561</v>
      </c>
      <c r="BD2361" s="87">
        <v>23618348</v>
      </c>
      <c r="BE2361" s="87"/>
      <c r="BF2361" s="87"/>
      <c r="BG2361" s="87"/>
      <c r="BH2361" s="87"/>
      <c r="BI2361" s="87"/>
    </row>
    <row r="2362" spans="1:61" x14ac:dyDescent="0.25">
      <c r="A2362" s="63" t="s">
        <v>1043</v>
      </c>
      <c r="B2362" s="63" t="s">
        <v>1045</v>
      </c>
      <c r="C2362" s="64"/>
      <c r="D2362" s="65"/>
      <c r="E2362" s="66"/>
      <c r="F2362" s="67"/>
      <c r="G2362" s="64"/>
      <c r="H2362" s="68"/>
      <c r="I2362" s="69"/>
      <c r="J2362" s="69"/>
      <c r="K2362" s="32"/>
      <c r="L2362" s="76">
        <v>2362</v>
      </c>
      <c r="M2362" s="76"/>
      <c r="N2362" s="71"/>
      <c r="O2362" s="87" t="s">
        <v>1844</v>
      </c>
      <c r="P2362" s="90">
        <v>45118.727951388886</v>
      </c>
      <c r="Q2362" s="87" t="s">
        <v>4112</v>
      </c>
      <c r="R2362" s="87">
        <v>0</v>
      </c>
      <c r="S2362" s="87">
        <v>0</v>
      </c>
      <c r="T2362" s="87">
        <v>0</v>
      </c>
      <c r="U2362" s="87">
        <v>0</v>
      </c>
      <c r="V2362" s="87">
        <v>20</v>
      </c>
      <c r="W2362" s="93" t="s">
        <v>7394</v>
      </c>
      <c r="X2362" s="87"/>
      <c r="Y2362" s="87"/>
      <c r="Z2362" s="87" t="s">
        <v>8593</v>
      </c>
      <c r="AA2362" s="87"/>
      <c r="AB2362" s="87"/>
      <c r="AC2362" s="93" t="s">
        <v>11457</v>
      </c>
      <c r="AD2362" s="87" t="s">
        <v>11520</v>
      </c>
      <c r="AE2362" s="92" t="str">
        <f>HYPERLINK("https://twitter.com/mspontocom/status/1678818498955341838")</f>
        <v>https://twitter.com/mspontocom/status/1678818498955341838</v>
      </c>
      <c r="AF2362" s="90">
        <v>45118.727951388886</v>
      </c>
      <c r="AG2362" s="99">
        <v>45118</v>
      </c>
      <c r="AH2362" s="93" t="s">
        <v>13657</v>
      </c>
      <c r="AI2362" s="87"/>
      <c r="AJ2362" s="87"/>
      <c r="AK2362" s="87"/>
      <c r="AL2362" s="87"/>
      <c r="AM2362" s="87"/>
      <c r="AN2362" s="87"/>
      <c r="AO2362" s="87"/>
      <c r="AP2362" s="87"/>
      <c r="AQ2362" s="87"/>
      <c r="AR2362" s="87"/>
      <c r="AS2362" s="87"/>
      <c r="AT2362" s="87"/>
      <c r="AU2362" s="87"/>
      <c r="AV2362" s="92" t="str">
        <f>HYPERLINK("https://pbs.twimg.com/profile_images/1620022962/C_pia_de_seguran_a_de_Logo_Site_normal.png")</f>
        <v>https://pbs.twimg.com/profile_images/1620022962/C_pia_de_seguran_a_de_Logo_Site_normal.png</v>
      </c>
      <c r="AW2362" s="93" t="s">
        <v>20556</v>
      </c>
      <c r="AX2362" s="93" t="s">
        <v>22431</v>
      </c>
      <c r="AY2362" s="93" t="s">
        <v>22607</v>
      </c>
      <c r="AZ2362" s="93" t="s">
        <v>22431</v>
      </c>
      <c r="BA2362" s="93" t="s">
        <v>22668</v>
      </c>
      <c r="BB2362" s="93" t="s">
        <v>22668</v>
      </c>
      <c r="BC2362" s="93" t="s">
        <v>22431</v>
      </c>
      <c r="BD2362" s="87">
        <v>399642477</v>
      </c>
      <c r="BE2362" s="87"/>
      <c r="BF2362" s="87"/>
      <c r="BG2362" s="87"/>
      <c r="BH2362" s="87"/>
      <c r="BI2362" s="87"/>
    </row>
    <row r="2363" spans="1:61" x14ac:dyDescent="0.25">
      <c r="A2363" s="63" t="s">
        <v>1043</v>
      </c>
      <c r="B2363" s="63" t="s">
        <v>1045</v>
      </c>
      <c r="C2363" s="64"/>
      <c r="D2363" s="65"/>
      <c r="E2363" s="66"/>
      <c r="F2363" s="67"/>
      <c r="G2363" s="64"/>
      <c r="H2363" s="68"/>
      <c r="I2363" s="69"/>
      <c r="J2363" s="69"/>
      <c r="K2363" s="32"/>
      <c r="L2363" s="76">
        <v>2363</v>
      </c>
      <c r="M2363" s="76"/>
      <c r="N2363" s="71"/>
      <c r="O2363" s="87" t="s">
        <v>1844</v>
      </c>
      <c r="P2363" s="90">
        <v>45121.770289351851</v>
      </c>
      <c r="Q2363" s="87" t="s">
        <v>4114</v>
      </c>
      <c r="R2363" s="87">
        <v>0</v>
      </c>
      <c r="S2363" s="87">
        <v>0</v>
      </c>
      <c r="T2363" s="87">
        <v>0</v>
      </c>
      <c r="U2363" s="87">
        <v>0</v>
      </c>
      <c r="V2363" s="87">
        <v>22</v>
      </c>
      <c r="W2363" s="93" t="s">
        <v>7396</v>
      </c>
      <c r="X2363" s="87"/>
      <c r="Y2363" s="87"/>
      <c r="Z2363" s="87" t="s">
        <v>8595</v>
      </c>
      <c r="AA2363" s="87"/>
      <c r="AB2363" s="87"/>
      <c r="AC2363" s="93" t="s">
        <v>11457</v>
      </c>
      <c r="AD2363" s="87" t="s">
        <v>11520</v>
      </c>
      <c r="AE2363" s="92" t="str">
        <f>HYPERLINK("https://twitter.com/mspontocom/status/1679921003017691136")</f>
        <v>https://twitter.com/mspontocom/status/1679921003017691136</v>
      </c>
      <c r="AF2363" s="90">
        <v>45121.770289351851</v>
      </c>
      <c r="AG2363" s="99">
        <v>45121</v>
      </c>
      <c r="AH2363" s="93" t="s">
        <v>13659</v>
      </c>
      <c r="AI2363" s="87"/>
      <c r="AJ2363" s="87"/>
      <c r="AK2363" s="87"/>
      <c r="AL2363" s="87"/>
      <c r="AM2363" s="87"/>
      <c r="AN2363" s="87"/>
      <c r="AO2363" s="87"/>
      <c r="AP2363" s="87"/>
      <c r="AQ2363" s="87"/>
      <c r="AR2363" s="87"/>
      <c r="AS2363" s="87"/>
      <c r="AT2363" s="87"/>
      <c r="AU2363" s="87"/>
      <c r="AV2363" s="92" t="str">
        <f>HYPERLINK("https://pbs.twimg.com/profile_images/1620022962/C_pia_de_seguran_a_de_Logo_Site_normal.png")</f>
        <v>https://pbs.twimg.com/profile_images/1620022962/C_pia_de_seguran_a_de_Logo_Site_normal.png</v>
      </c>
      <c r="AW2363" s="93" t="s">
        <v>20558</v>
      </c>
      <c r="AX2363" s="93" t="s">
        <v>22433</v>
      </c>
      <c r="AY2363" s="93" t="s">
        <v>22607</v>
      </c>
      <c r="AZ2363" s="93" t="s">
        <v>22433</v>
      </c>
      <c r="BA2363" s="93" t="s">
        <v>22668</v>
      </c>
      <c r="BB2363" s="93" t="s">
        <v>22668</v>
      </c>
      <c r="BC2363" s="93" t="s">
        <v>22433</v>
      </c>
      <c r="BD2363" s="87">
        <v>399642477</v>
      </c>
      <c r="BE2363" s="87"/>
      <c r="BF2363" s="87"/>
      <c r="BG2363" s="87"/>
      <c r="BH2363" s="87"/>
      <c r="BI2363" s="87"/>
    </row>
    <row r="2364" spans="1:61" x14ac:dyDescent="0.25">
      <c r="A2364" s="63" t="s">
        <v>1043</v>
      </c>
      <c r="B2364" s="63" t="s">
        <v>1737</v>
      </c>
      <c r="C2364" s="64"/>
      <c r="D2364" s="65"/>
      <c r="E2364" s="66"/>
      <c r="F2364" s="67"/>
      <c r="G2364" s="64"/>
      <c r="H2364" s="68"/>
      <c r="I2364" s="69"/>
      <c r="J2364" s="69"/>
      <c r="K2364" s="32"/>
      <c r="L2364" s="76">
        <v>2364</v>
      </c>
      <c r="M2364" s="76"/>
      <c r="N2364" s="71"/>
      <c r="O2364" s="87" t="s">
        <v>1844</v>
      </c>
      <c r="P2364" s="90">
        <v>45118.727951388886</v>
      </c>
      <c r="Q2364" s="87" t="s">
        <v>4112</v>
      </c>
      <c r="R2364" s="87">
        <v>0</v>
      </c>
      <c r="S2364" s="87">
        <v>0</v>
      </c>
      <c r="T2364" s="87">
        <v>0</v>
      </c>
      <c r="U2364" s="87">
        <v>0</v>
      </c>
      <c r="V2364" s="87">
        <v>20</v>
      </c>
      <c r="W2364" s="93" t="s">
        <v>7394</v>
      </c>
      <c r="X2364" s="87"/>
      <c r="Y2364" s="87"/>
      <c r="Z2364" s="87" t="s">
        <v>8593</v>
      </c>
      <c r="AA2364" s="87"/>
      <c r="AB2364" s="87"/>
      <c r="AC2364" s="93" t="s">
        <v>11457</v>
      </c>
      <c r="AD2364" s="87" t="s">
        <v>11520</v>
      </c>
      <c r="AE2364" s="92" t="str">
        <f>HYPERLINK("https://twitter.com/mspontocom/status/1678818498955341838")</f>
        <v>https://twitter.com/mspontocom/status/1678818498955341838</v>
      </c>
      <c r="AF2364" s="90">
        <v>45118.727951388886</v>
      </c>
      <c r="AG2364" s="99">
        <v>45118</v>
      </c>
      <c r="AH2364" s="93" t="s">
        <v>13657</v>
      </c>
      <c r="AI2364" s="87"/>
      <c r="AJ2364" s="87"/>
      <c r="AK2364" s="87"/>
      <c r="AL2364" s="87"/>
      <c r="AM2364" s="87"/>
      <c r="AN2364" s="87"/>
      <c r="AO2364" s="87"/>
      <c r="AP2364" s="87"/>
      <c r="AQ2364" s="87"/>
      <c r="AR2364" s="87"/>
      <c r="AS2364" s="87"/>
      <c r="AT2364" s="87"/>
      <c r="AU2364" s="87"/>
      <c r="AV2364" s="92" t="str">
        <f>HYPERLINK("https://pbs.twimg.com/profile_images/1620022962/C_pia_de_seguran_a_de_Logo_Site_normal.png")</f>
        <v>https://pbs.twimg.com/profile_images/1620022962/C_pia_de_seguran_a_de_Logo_Site_normal.png</v>
      </c>
      <c r="AW2364" s="93" t="s">
        <v>20556</v>
      </c>
      <c r="AX2364" s="93" t="s">
        <v>22431</v>
      </c>
      <c r="AY2364" s="93" t="s">
        <v>22607</v>
      </c>
      <c r="AZ2364" s="93" t="s">
        <v>22431</v>
      </c>
      <c r="BA2364" s="93" t="s">
        <v>22668</v>
      </c>
      <c r="BB2364" s="93" t="s">
        <v>22668</v>
      </c>
      <c r="BC2364" s="93" t="s">
        <v>22431</v>
      </c>
      <c r="BD2364" s="87">
        <v>399642477</v>
      </c>
      <c r="BE2364" s="87"/>
      <c r="BF2364" s="87"/>
      <c r="BG2364" s="87"/>
      <c r="BH2364" s="87"/>
      <c r="BI2364" s="87"/>
    </row>
    <row r="2365" spans="1:61" x14ac:dyDescent="0.25">
      <c r="A2365" s="63" t="s">
        <v>1043</v>
      </c>
      <c r="B2365" s="63" t="s">
        <v>1737</v>
      </c>
      <c r="C2365" s="64"/>
      <c r="D2365" s="65"/>
      <c r="E2365" s="66"/>
      <c r="F2365" s="67"/>
      <c r="G2365" s="64"/>
      <c r="H2365" s="68"/>
      <c r="I2365" s="69"/>
      <c r="J2365" s="69"/>
      <c r="K2365" s="32"/>
      <c r="L2365" s="76">
        <v>2365</v>
      </c>
      <c r="M2365" s="76"/>
      <c r="N2365" s="71"/>
      <c r="O2365" s="87" t="s">
        <v>1844</v>
      </c>
      <c r="P2365" s="90">
        <v>45121.770289351851</v>
      </c>
      <c r="Q2365" s="87" t="s">
        <v>4114</v>
      </c>
      <c r="R2365" s="87">
        <v>0</v>
      </c>
      <c r="S2365" s="87">
        <v>0</v>
      </c>
      <c r="T2365" s="87">
        <v>0</v>
      </c>
      <c r="U2365" s="87">
        <v>0</v>
      </c>
      <c r="V2365" s="87">
        <v>22</v>
      </c>
      <c r="W2365" s="93" t="s">
        <v>7396</v>
      </c>
      <c r="X2365" s="87"/>
      <c r="Y2365" s="87"/>
      <c r="Z2365" s="87" t="s">
        <v>8595</v>
      </c>
      <c r="AA2365" s="87"/>
      <c r="AB2365" s="87"/>
      <c r="AC2365" s="93" t="s">
        <v>11457</v>
      </c>
      <c r="AD2365" s="87" t="s">
        <v>11520</v>
      </c>
      <c r="AE2365" s="92" t="str">
        <f>HYPERLINK("https://twitter.com/mspontocom/status/1679921003017691136")</f>
        <v>https://twitter.com/mspontocom/status/1679921003017691136</v>
      </c>
      <c r="AF2365" s="90">
        <v>45121.770289351851</v>
      </c>
      <c r="AG2365" s="99">
        <v>45121</v>
      </c>
      <c r="AH2365" s="93" t="s">
        <v>13659</v>
      </c>
      <c r="AI2365" s="87"/>
      <c r="AJ2365" s="87"/>
      <c r="AK2365" s="87"/>
      <c r="AL2365" s="87"/>
      <c r="AM2365" s="87"/>
      <c r="AN2365" s="87"/>
      <c r="AO2365" s="87"/>
      <c r="AP2365" s="87"/>
      <c r="AQ2365" s="87"/>
      <c r="AR2365" s="87"/>
      <c r="AS2365" s="87"/>
      <c r="AT2365" s="87"/>
      <c r="AU2365" s="87"/>
      <c r="AV2365" s="92" t="str">
        <f>HYPERLINK("https://pbs.twimg.com/profile_images/1620022962/C_pia_de_seguran_a_de_Logo_Site_normal.png")</f>
        <v>https://pbs.twimg.com/profile_images/1620022962/C_pia_de_seguran_a_de_Logo_Site_normal.png</v>
      </c>
      <c r="AW2365" s="93" t="s">
        <v>20558</v>
      </c>
      <c r="AX2365" s="93" t="s">
        <v>22433</v>
      </c>
      <c r="AY2365" s="93" t="s">
        <v>22607</v>
      </c>
      <c r="AZ2365" s="93" t="s">
        <v>22433</v>
      </c>
      <c r="BA2365" s="93" t="s">
        <v>22668</v>
      </c>
      <c r="BB2365" s="93" t="s">
        <v>22668</v>
      </c>
      <c r="BC2365" s="93" t="s">
        <v>22433</v>
      </c>
      <c r="BD2365" s="87">
        <v>399642477</v>
      </c>
      <c r="BE2365" s="87"/>
      <c r="BF2365" s="87"/>
      <c r="BG2365" s="87"/>
      <c r="BH2365" s="87"/>
      <c r="BI2365" s="87"/>
    </row>
    <row r="2366" spans="1:61" x14ac:dyDescent="0.25">
      <c r="A2366" s="63" t="s">
        <v>1043</v>
      </c>
      <c r="B2366" s="63" t="s">
        <v>1738</v>
      </c>
      <c r="C2366" s="64"/>
      <c r="D2366" s="65"/>
      <c r="E2366" s="66"/>
      <c r="F2366" s="67"/>
      <c r="G2366" s="64"/>
      <c r="H2366" s="68"/>
      <c r="I2366" s="69"/>
      <c r="J2366" s="69"/>
      <c r="K2366" s="32"/>
      <c r="L2366" s="76">
        <v>2366</v>
      </c>
      <c r="M2366" s="76"/>
      <c r="N2366" s="71"/>
      <c r="O2366" s="87" t="s">
        <v>1844</v>
      </c>
      <c r="P2366" s="90">
        <v>45121.770289351851</v>
      </c>
      <c r="Q2366" s="87" t="s">
        <v>4114</v>
      </c>
      <c r="R2366" s="87">
        <v>0</v>
      </c>
      <c r="S2366" s="87">
        <v>0</v>
      </c>
      <c r="T2366" s="87">
        <v>0</v>
      </c>
      <c r="U2366" s="87">
        <v>0</v>
      </c>
      <c r="V2366" s="87">
        <v>22</v>
      </c>
      <c r="W2366" s="93" t="s">
        <v>7396</v>
      </c>
      <c r="X2366" s="87"/>
      <c r="Y2366" s="87"/>
      <c r="Z2366" s="87" t="s">
        <v>8595</v>
      </c>
      <c r="AA2366" s="87"/>
      <c r="AB2366" s="87"/>
      <c r="AC2366" s="93" t="s">
        <v>11457</v>
      </c>
      <c r="AD2366" s="87" t="s">
        <v>11520</v>
      </c>
      <c r="AE2366" s="92" t="str">
        <f>HYPERLINK("https://twitter.com/mspontocom/status/1679921003017691136")</f>
        <v>https://twitter.com/mspontocom/status/1679921003017691136</v>
      </c>
      <c r="AF2366" s="90">
        <v>45121.770289351851</v>
      </c>
      <c r="AG2366" s="99">
        <v>45121</v>
      </c>
      <c r="AH2366" s="93" t="s">
        <v>13659</v>
      </c>
      <c r="AI2366" s="87"/>
      <c r="AJ2366" s="87"/>
      <c r="AK2366" s="87"/>
      <c r="AL2366" s="87"/>
      <c r="AM2366" s="87"/>
      <c r="AN2366" s="87"/>
      <c r="AO2366" s="87"/>
      <c r="AP2366" s="87"/>
      <c r="AQ2366" s="87"/>
      <c r="AR2366" s="87"/>
      <c r="AS2366" s="87"/>
      <c r="AT2366" s="87"/>
      <c r="AU2366" s="87"/>
      <c r="AV2366" s="92" t="str">
        <f>HYPERLINK("https://pbs.twimg.com/profile_images/1620022962/C_pia_de_seguran_a_de_Logo_Site_normal.png")</f>
        <v>https://pbs.twimg.com/profile_images/1620022962/C_pia_de_seguran_a_de_Logo_Site_normal.png</v>
      </c>
      <c r="AW2366" s="93" t="s">
        <v>20558</v>
      </c>
      <c r="AX2366" s="93" t="s">
        <v>22433</v>
      </c>
      <c r="AY2366" s="93" t="s">
        <v>22607</v>
      </c>
      <c r="AZ2366" s="93" t="s">
        <v>22433</v>
      </c>
      <c r="BA2366" s="93" t="s">
        <v>22668</v>
      </c>
      <c r="BB2366" s="93" t="s">
        <v>22668</v>
      </c>
      <c r="BC2366" s="93" t="s">
        <v>22433</v>
      </c>
      <c r="BD2366" s="87">
        <v>399642477</v>
      </c>
      <c r="BE2366" s="87"/>
      <c r="BF2366" s="87"/>
      <c r="BG2366" s="87"/>
      <c r="BH2366" s="87"/>
      <c r="BI2366" s="87"/>
    </row>
    <row r="2367" spans="1:61" x14ac:dyDescent="0.25">
      <c r="A2367" s="63" t="s">
        <v>1046</v>
      </c>
      <c r="B2367" s="63" t="s">
        <v>1046</v>
      </c>
      <c r="C2367" s="64"/>
      <c r="D2367" s="65"/>
      <c r="E2367" s="66"/>
      <c r="F2367" s="67"/>
      <c r="G2367" s="64"/>
      <c r="H2367" s="68"/>
      <c r="I2367" s="69"/>
      <c r="J2367" s="69"/>
      <c r="K2367" s="32"/>
      <c r="L2367" s="76">
        <v>2367</v>
      </c>
      <c r="M2367" s="76"/>
      <c r="N2367" s="71"/>
      <c r="O2367" s="87" t="s">
        <v>179</v>
      </c>
      <c r="P2367" s="90">
        <v>45122.72152777778</v>
      </c>
      <c r="Q2367" s="87" t="s">
        <v>4118</v>
      </c>
      <c r="R2367" s="87">
        <v>0</v>
      </c>
      <c r="S2367" s="87">
        <v>3</v>
      </c>
      <c r="T2367" s="87">
        <v>0</v>
      </c>
      <c r="U2367" s="87">
        <v>0</v>
      </c>
      <c r="V2367" s="87">
        <v>842</v>
      </c>
      <c r="W2367" s="93" t="s">
        <v>7400</v>
      </c>
      <c r="X2367" s="87"/>
      <c r="Y2367" s="87"/>
      <c r="Z2367" s="87"/>
      <c r="AA2367" s="87" t="s">
        <v>10140</v>
      </c>
      <c r="AB2367" s="87" t="s">
        <v>11447</v>
      </c>
      <c r="AC2367" s="93" t="s">
        <v>11464</v>
      </c>
      <c r="AD2367" s="87" t="s">
        <v>11519</v>
      </c>
      <c r="AE2367" s="92" t="str">
        <f>HYPERLINK("https://twitter.com/pegntv/status/1680265720276328449")</f>
        <v>https://twitter.com/pegntv/status/1680265720276328449</v>
      </c>
      <c r="AF2367" s="90">
        <v>45122.72152777778</v>
      </c>
      <c r="AG2367" s="99">
        <v>45122</v>
      </c>
      <c r="AH2367" s="93" t="s">
        <v>13663</v>
      </c>
      <c r="AI2367" s="87" t="b">
        <v>0</v>
      </c>
      <c r="AJ2367" s="87"/>
      <c r="AK2367" s="87"/>
      <c r="AL2367" s="87"/>
      <c r="AM2367" s="87"/>
      <c r="AN2367" s="87"/>
      <c r="AO2367" s="87"/>
      <c r="AP2367" s="87"/>
      <c r="AQ2367" s="87" t="s">
        <v>16953</v>
      </c>
      <c r="AR2367" s="87">
        <v>36169</v>
      </c>
      <c r="AS2367" s="87"/>
      <c r="AT2367" s="87"/>
      <c r="AU2367" s="87"/>
      <c r="AV2367" s="92" t="str">
        <f>HYPERLINK("https://pbs.twimg.com/ext_tw_video_thumb/1679902343054209032/pu/img/DKiNi0dZQiFCGpy-.jpg")</f>
        <v>https://pbs.twimg.com/ext_tw_video_thumb/1679902343054209032/pu/img/DKiNi0dZQiFCGpy-.jpg</v>
      </c>
      <c r="AW2367" s="93" t="s">
        <v>20562</v>
      </c>
      <c r="AX2367" s="93" t="s">
        <v>20562</v>
      </c>
      <c r="AY2367" s="87"/>
      <c r="AZ2367" s="93" t="s">
        <v>22668</v>
      </c>
      <c r="BA2367" s="93" t="s">
        <v>22668</v>
      </c>
      <c r="BB2367" s="93" t="s">
        <v>22668</v>
      </c>
      <c r="BC2367" s="93" t="s">
        <v>20562</v>
      </c>
      <c r="BD2367" s="87">
        <v>3378880324</v>
      </c>
      <c r="BE2367" s="87"/>
      <c r="BF2367" s="87"/>
      <c r="BG2367" s="87"/>
      <c r="BH2367" s="87"/>
      <c r="BI2367" s="87"/>
    </row>
    <row r="2368" spans="1:61" x14ac:dyDescent="0.25">
      <c r="A2368" s="63" t="s">
        <v>1046</v>
      </c>
      <c r="B2368" s="63" t="s">
        <v>254</v>
      </c>
      <c r="C2368" s="64"/>
      <c r="D2368" s="65"/>
      <c r="E2368" s="66"/>
      <c r="F2368" s="67"/>
      <c r="G2368" s="64"/>
      <c r="H2368" s="68"/>
      <c r="I2368" s="69"/>
      <c r="J2368" s="69"/>
      <c r="K2368" s="32"/>
      <c r="L2368" s="76">
        <v>2368</v>
      </c>
      <c r="M2368" s="76"/>
      <c r="N2368" s="71"/>
      <c r="O2368" s="87" t="s">
        <v>1839</v>
      </c>
      <c r="P2368" s="90">
        <v>45135.931828703702</v>
      </c>
      <c r="Q2368" s="87" t="s">
        <v>4119</v>
      </c>
      <c r="R2368" s="87">
        <v>2</v>
      </c>
      <c r="S2368" s="87">
        <v>2</v>
      </c>
      <c r="T2368" s="87">
        <v>1</v>
      </c>
      <c r="U2368" s="87">
        <v>0</v>
      </c>
      <c r="V2368" s="87">
        <v>999</v>
      </c>
      <c r="W2368" s="93" t="s">
        <v>7401</v>
      </c>
      <c r="X2368" s="92" t="str">
        <f>HYPERLINK("https://shre.ink/g1sebrae07")</f>
        <v>https://shre.ink/g1sebrae07</v>
      </c>
      <c r="Y2368" s="87" t="s">
        <v>8496</v>
      </c>
      <c r="Z2368" s="87" t="s">
        <v>254</v>
      </c>
      <c r="AA2368" s="87" t="s">
        <v>10141</v>
      </c>
      <c r="AB2368" s="87" t="s">
        <v>11448</v>
      </c>
      <c r="AC2368" s="93" t="s">
        <v>11457</v>
      </c>
      <c r="AD2368" s="87" t="s">
        <v>11519</v>
      </c>
      <c r="AE2368" s="92" t="str">
        <f>HYPERLINK("https://twitter.com/pegntv/status/1685052974559612928")</f>
        <v>https://twitter.com/pegntv/status/1685052974559612928</v>
      </c>
      <c r="AF2368" s="90">
        <v>45135.931828703702</v>
      </c>
      <c r="AG2368" s="99">
        <v>45135</v>
      </c>
      <c r="AH2368" s="93" t="s">
        <v>13664</v>
      </c>
      <c r="AI2368" s="87" t="b">
        <v>0</v>
      </c>
      <c r="AJ2368" s="87"/>
      <c r="AK2368" s="87"/>
      <c r="AL2368" s="87"/>
      <c r="AM2368" s="87"/>
      <c r="AN2368" s="87"/>
      <c r="AO2368" s="87"/>
      <c r="AP2368" s="87"/>
      <c r="AQ2368" s="87" t="s">
        <v>16954</v>
      </c>
      <c r="AR2368" s="87"/>
      <c r="AS2368" s="87"/>
      <c r="AT2368" s="87"/>
      <c r="AU2368" s="87"/>
      <c r="AV2368" s="92" t="str">
        <f>HYPERLINK("https://pbs.twimg.com/media/F2KCl72WkAAg1xI.jpg")</f>
        <v>https://pbs.twimg.com/media/F2KCl72WkAAg1xI.jpg</v>
      </c>
      <c r="AW2368" s="93" t="s">
        <v>20563</v>
      </c>
      <c r="AX2368" s="93" t="s">
        <v>20563</v>
      </c>
      <c r="AY2368" s="87"/>
      <c r="AZ2368" s="93" t="s">
        <v>22668</v>
      </c>
      <c r="BA2368" s="93" t="s">
        <v>22668</v>
      </c>
      <c r="BB2368" s="93" t="s">
        <v>22668</v>
      </c>
      <c r="BC2368" s="93" t="s">
        <v>20563</v>
      </c>
      <c r="BD2368" s="87">
        <v>3378880324</v>
      </c>
      <c r="BE2368" s="87"/>
      <c r="BF2368" s="87"/>
      <c r="BG2368" s="87"/>
      <c r="BH2368" s="87"/>
      <c r="BI2368" s="87"/>
    </row>
    <row r="2369" spans="1:61" x14ac:dyDescent="0.25">
      <c r="A2369" s="63" t="s">
        <v>1046</v>
      </c>
      <c r="B2369" s="63" t="s">
        <v>1046</v>
      </c>
      <c r="C2369" s="64"/>
      <c r="D2369" s="65"/>
      <c r="E2369" s="66"/>
      <c r="F2369" s="67"/>
      <c r="G2369" s="64"/>
      <c r="H2369" s="68"/>
      <c r="I2369" s="69"/>
      <c r="J2369" s="69"/>
      <c r="K2369" s="32"/>
      <c r="L2369" s="76">
        <v>2369</v>
      </c>
      <c r="M2369" s="76"/>
      <c r="N2369" s="71"/>
      <c r="O2369" s="87" t="s">
        <v>179</v>
      </c>
      <c r="P2369" s="90">
        <v>45121.8125</v>
      </c>
      <c r="Q2369" s="87" t="s">
        <v>4120</v>
      </c>
      <c r="R2369" s="87">
        <v>0</v>
      </c>
      <c r="S2369" s="87">
        <v>7</v>
      </c>
      <c r="T2369" s="87">
        <v>0</v>
      </c>
      <c r="U2369" s="87">
        <v>0</v>
      </c>
      <c r="V2369" s="87">
        <v>864</v>
      </c>
      <c r="W2369" s="93" t="s">
        <v>7402</v>
      </c>
      <c r="X2369" s="87"/>
      <c r="Y2369" s="87"/>
      <c r="Z2369" s="87"/>
      <c r="AA2369" s="87" t="s">
        <v>10142</v>
      </c>
      <c r="AB2369" s="87" t="s">
        <v>11447</v>
      </c>
      <c r="AC2369" s="93" t="s">
        <v>11464</v>
      </c>
      <c r="AD2369" s="87" t="s">
        <v>11519</v>
      </c>
      <c r="AE2369" s="92" t="str">
        <f>HYPERLINK("https://twitter.com/pegntv/status/1679936299669798912")</f>
        <v>https://twitter.com/pegntv/status/1679936299669798912</v>
      </c>
      <c r="AF2369" s="90">
        <v>45121.8125</v>
      </c>
      <c r="AG2369" s="99">
        <v>45121</v>
      </c>
      <c r="AH2369" s="93" t="s">
        <v>12311</v>
      </c>
      <c r="AI2369" s="87" t="b">
        <v>0</v>
      </c>
      <c r="AJ2369" s="87"/>
      <c r="AK2369" s="87"/>
      <c r="AL2369" s="87"/>
      <c r="AM2369" s="87"/>
      <c r="AN2369" s="87"/>
      <c r="AO2369" s="87"/>
      <c r="AP2369" s="87"/>
      <c r="AQ2369" s="87" t="s">
        <v>16955</v>
      </c>
      <c r="AR2369" s="87">
        <v>30130</v>
      </c>
      <c r="AS2369" s="87"/>
      <c r="AT2369" s="87"/>
      <c r="AU2369" s="87"/>
      <c r="AV2369" s="92" t="str">
        <f>HYPERLINK("https://pbs.twimg.com/ext_tw_video_thumb/1679851566008791040/pu/img/c1kepkG3YqbzXp6Y.jpg")</f>
        <v>https://pbs.twimg.com/ext_tw_video_thumb/1679851566008791040/pu/img/c1kepkG3YqbzXp6Y.jpg</v>
      </c>
      <c r="AW2369" s="93" t="s">
        <v>20564</v>
      </c>
      <c r="AX2369" s="93" t="s">
        <v>20564</v>
      </c>
      <c r="AY2369" s="87"/>
      <c r="AZ2369" s="93" t="s">
        <v>22668</v>
      </c>
      <c r="BA2369" s="93" t="s">
        <v>22668</v>
      </c>
      <c r="BB2369" s="93" t="s">
        <v>22668</v>
      </c>
      <c r="BC2369" s="93" t="s">
        <v>20564</v>
      </c>
      <c r="BD2369" s="87">
        <v>3378880324</v>
      </c>
      <c r="BE2369" s="87"/>
      <c r="BF2369" s="87"/>
      <c r="BG2369" s="87"/>
      <c r="BH2369" s="87"/>
      <c r="BI2369" s="87"/>
    </row>
    <row r="2370" spans="1:61" x14ac:dyDescent="0.25">
      <c r="A2370" s="63" t="s">
        <v>1046</v>
      </c>
      <c r="B2370" s="63" t="s">
        <v>1046</v>
      </c>
      <c r="C2370" s="64"/>
      <c r="D2370" s="65"/>
      <c r="E2370" s="66"/>
      <c r="F2370" s="67"/>
      <c r="G2370" s="64"/>
      <c r="H2370" s="68"/>
      <c r="I2370" s="69"/>
      <c r="J2370" s="69"/>
      <c r="K2370" s="32"/>
      <c r="L2370" s="76">
        <v>2370</v>
      </c>
      <c r="M2370" s="76"/>
      <c r="N2370" s="71"/>
      <c r="O2370" s="87" t="s">
        <v>179</v>
      </c>
      <c r="P2370" s="90">
        <v>45121.583333333336</v>
      </c>
      <c r="Q2370" s="87" t="s">
        <v>4121</v>
      </c>
      <c r="R2370" s="87">
        <v>0</v>
      </c>
      <c r="S2370" s="87">
        <v>7</v>
      </c>
      <c r="T2370" s="87">
        <v>0</v>
      </c>
      <c r="U2370" s="87">
        <v>0</v>
      </c>
      <c r="V2370" s="87">
        <v>800</v>
      </c>
      <c r="W2370" s="93" t="s">
        <v>7403</v>
      </c>
      <c r="X2370" s="87"/>
      <c r="Y2370" s="87"/>
      <c r="Z2370" s="87"/>
      <c r="AA2370" s="87" t="s">
        <v>10143</v>
      </c>
      <c r="AB2370" s="87" t="s">
        <v>11447</v>
      </c>
      <c r="AC2370" s="93" t="s">
        <v>11464</v>
      </c>
      <c r="AD2370" s="87" t="s">
        <v>11519</v>
      </c>
      <c r="AE2370" s="92" t="str">
        <f>HYPERLINK("https://twitter.com/pegntv/status/1679853253721300994")</f>
        <v>https://twitter.com/pegntv/status/1679853253721300994</v>
      </c>
      <c r="AF2370" s="90">
        <v>45121.583333333336</v>
      </c>
      <c r="AG2370" s="99">
        <v>45121</v>
      </c>
      <c r="AH2370" s="93" t="s">
        <v>12404</v>
      </c>
      <c r="AI2370" s="87" t="b">
        <v>0</v>
      </c>
      <c r="AJ2370" s="87"/>
      <c r="AK2370" s="87"/>
      <c r="AL2370" s="87"/>
      <c r="AM2370" s="87"/>
      <c r="AN2370" s="87"/>
      <c r="AO2370" s="87"/>
      <c r="AP2370" s="87"/>
      <c r="AQ2370" s="87" t="s">
        <v>16956</v>
      </c>
      <c r="AR2370" s="87">
        <v>33299</v>
      </c>
      <c r="AS2370" s="87"/>
      <c r="AT2370" s="87"/>
      <c r="AU2370" s="87"/>
      <c r="AV2370" s="92" t="str">
        <f>HYPERLINK("https://pbs.twimg.com/ext_tw_video_thumb/1679848712422473729/pu/img/uUBoufNx4jq2Ff5m.jpg")</f>
        <v>https://pbs.twimg.com/ext_tw_video_thumb/1679848712422473729/pu/img/uUBoufNx4jq2Ff5m.jpg</v>
      </c>
      <c r="AW2370" s="93" t="s">
        <v>20565</v>
      </c>
      <c r="AX2370" s="93" t="s">
        <v>20565</v>
      </c>
      <c r="AY2370" s="87"/>
      <c r="AZ2370" s="93" t="s">
        <v>22668</v>
      </c>
      <c r="BA2370" s="93" t="s">
        <v>22668</v>
      </c>
      <c r="BB2370" s="93" t="s">
        <v>22668</v>
      </c>
      <c r="BC2370" s="93" t="s">
        <v>20565</v>
      </c>
      <c r="BD2370" s="87">
        <v>3378880324</v>
      </c>
      <c r="BE2370" s="87"/>
      <c r="BF2370" s="87"/>
      <c r="BG2370" s="87"/>
      <c r="BH2370" s="87"/>
      <c r="BI2370" s="87"/>
    </row>
    <row r="2371" spans="1:61" x14ac:dyDescent="0.25">
      <c r="A2371" s="63" t="s">
        <v>1046</v>
      </c>
      <c r="B2371" s="63" t="s">
        <v>254</v>
      </c>
      <c r="C2371" s="64"/>
      <c r="D2371" s="65"/>
      <c r="E2371" s="66"/>
      <c r="F2371" s="67"/>
      <c r="G2371" s="64"/>
      <c r="H2371" s="68"/>
      <c r="I2371" s="69"/>
      <c r="J2371" s="69"/>
      <c r="K2371" s="32"/>
      <c r="L2371" s="76">
        <v>2371</v>
      </c>
      <c r="M2371" s="76"/>
      <c r="N2371" s="71"/>
      <c r="O2371" s="87" t="s">
        <v>1839</v>
      </c>
      <c r="P2371" s="90">
        <v>45120.92931712963</v>
      </c>
      <c r="Q2371" s="87" t="s">
        <v>4122</v>
      </c>
      <c r="R2371" s="87">
        <v>1</v>
      </c>
      <c r="S2371" s="87">
        <v>3</v>
      </c>
      <c r="T2371" s="87">
        <v>0</v>
      </c>
      <c r="U2371" s="87">
        <v>0</v>
      </c>
      <c r="V2371" s="87">
        <v>905</v>
      </c>
      <c r="W2371" s="93" t="s">
        <v>7404</v>
      </c>
      <c r="X2371" s="92" t="str">
        <f>HYPERLINK("http://glo.bo/3r1egPr")</f>
        <v>http://glo.bo/3r1egPr</v>
      </c>
      <c r="Y2371" s="87" t="s">
        <v>8389</v>
      </c>
      <c r="Z2371" s="87" t="s">
        <v>254</v>
      </c>
      <c r="AA2371" s="87" t="s">
        <v>10144</v>
      </c>
      <c r="AB2371" s="87" t="s">
        <v>11448</v>
      </c>
      <c r="AC2371" s="93" t="s">
        <v>11457</v>
      </c>
      <c r="AD2371" s="87" t="s">
        <v>11519</v>
      </c>
      <c r="AE2371" s="92" t="str">
        <f>HYPERLINK("https://twitter.com/pegntv/status/1679616246944243713")</f>
        <v>https://twitter.com/pegntv/status/1679616246944243713</v>
      </c>
      <c r="AF2371" s="90">
        <v>45120.92931712963</v>
      </c>
      <c r="AG2371" s="99">
        <v>45120</v>
      </c>
      <c r="AH2371" s="93" t="s">
        <v>12882</v>
      </c>
      <c r="AI2371" s="87" t="b">
        <v>0</v>
      </c>
      <c r="AJ2371" s="87"/>
      <c r="AK2371" s="87"/>
      <c r="AL2371" s="87"/>
      <c r="AM2371" s="87"/>
      <c r="AN2371" s="87"/>
      <c r="AO2371" s="87"/>
      <c r="AP2371" s="87"/>
      <c r="AQ2371" s="87" t="s">
        <v>16957</v>
      </c>
      <c r="AR2371" s="87"/>
      <c r="AS2371" s="87"/>
      <c r="AT2371" s="87"/>
      <c r="AU2371" s="87"/>
      <c r="AV2371" s="92" t="str">
        <f>HYPERLINK("https://pbs.twimg.com/media/F08x3joWwAES6Gq.jpg")</f>
        <v>https://pbs.twimg.com/media/F08x3joWwAES6Gq.jpg</v>
      </c>
      <c r="AW2371" s="93" t="s">
        <v>20566</v>
      </c>
      <c r="AX2371" s="93" t="s">
        <v>20566</v>
      </c>
      <c r="AY2371" s="87"/>
      <c r="AZ2371" s="93" t="s">
        <v>22668</v>
      </c>
      <c r="BA2371" s="93" t="s">
        <v>22668</v>
      </c>
      <c r="BB2371" s="93" t="s">
        <v>22668</v>
      </c>
      <c r="BC2371" s="93" t="s">
        <v>20566</v>
      </c>
      <c r="BD2371" s="87">
        <v>3378880324</v>
      </c>
      <c r="BE2371" s="87"/>
      <c r="BF2371" s="87"/>
      <c r="BG2371" s="87"/>
      <c r="BH2371" s="87"/>
      <c r="BI2371" s="87"/>
    </row>
    <row r="2372" spans="1:61" x14ac:dyDescent="0.25">
      <c r="A2372" s="63" t="s">
        <v>1046</v>
      </c>
      <c r="B2372" s="63" t="s">
        <v>1046</v>
      </c>
      <c r="C2372" s="64"/>
      <c r="D2372" s="65"/>
      <c r="E2372" s="66"/>
      <c r="F2372" s="67"/>
      <c r="G2372" s="64"/>
      <c r="H2372" s="68"/>
      <c r="I2372" s="69"/>
      <c r="J2372" s="69"/>
      <c r="K2372" s="32"/>
      <c r="L2372" s="76">
        <v>2372</v>
      </c>
      <c r="M2372" s="76"/>
      <c r="N2372" s="71"/>
      <c r="O2372" s="87" t="s">
        <v>179</v>
      </c>
      <c r="P2372" s="90">
        <v>45134.500011574077</v>
      </c>
      <c r="Q2372" s="87" t="s">
        <v>4123</v>
      </c>
      <c r="R2372" s="87">
        <v>0</v>
      </c>
      <c r="S2372" s="87">
        <v>9</v>
      </c>
      <c r="T2372" s="87">
        <v>0</v>
      </c>
      <c r="U2372" s="87">
        <v>0</v>
      </c>
      <c r="V2372" s="87">
        <v>1163</v>
      </c>
      <c r="W2372" s="93" t="s">
        <v>7405</v>
      </c>
      <c r="X2372" s="87"/>
      <c r="Y2372" s="87"/>
      <c r="Z2372" s="87"/>
      <c r="AA2372" s="87" t="s">
        <v>10145</v>
      </c>
      <c r="AB2372" s="87" t="s">
        <v>11447</v>
      </c>
      <c r="AC2372" s="93" t="s">
        <v>11457</v>
      </c>
      <c r="AD2372" s="87" t="s">
        <v>11519</v>
      </c>
      <c r="AE2372" s="92" t="str">
        <f>HYPERLINK("https://twitter.com/pegntv/status/1684534100013772802")</f>
        <v>https://twitter.com/pegntv/status/1684534100013772802</v>
      </c>
      <c r="AF2372" s="90">
        <v>45134.500011574077</v>
      </c>
      <c r="AG2372" s="99">
        <v>45134</v>
      </c>
      <c r="AH2372" s="93" t="s">
        <v>12091</v>
      </c>
      <c r="AI2372" s="87" t="b">
        <v>0</v>
      </c>
      <c r="AJ2372" s="87"/>
      <c r="AK2372" s="87"/>
      <c r="AL2372" s="87"/>
      <c r="AM2372" s="87"/>
      <c r="AN2372" s="87"/>
      <c r="AO2372" s="87"/>
      <c r="AP2372" s="87"/>
      <c r="AQ2372" s="87" t="s">
        <v>16958</v>
      </c>
      <c r="AR2372" s="87">
        <v>26226</v>
      </c>
      <c r="AS2372" s="87"/>
      <c r="AT2372" s="87"/>
      <c r="AU2372" s="87"/>
      <c r="AV2372" s="92" t="str">
        <f>HYPERLINK("https://pbs.twimg.com/ext_tw_video_thumb/1684291115434885128/pu/img/jnrmSyNa3L3tr8Tq.jpg")</f>
        <v>https://pbs.twimg.com/ext_tw_video_thumb/1684291115434885128/pu/img/jnrmSyNa3L3tr8Tq.jpg</v>
      </c>
      <c r="AW2372" s="93" t="s">
        <v>20567</v>
      </c>
      <c r="AX2372" s="93" t="s">
        <v>20567</v>
      </c>
      <c r="AY2372" s="87"/>
      <c r="AZ2372" s="93" t="s">
        <v>22668</v>
      </c>
      <c r="BA2372" s="93" t="s">
        <v>22668</v>
      </c>
      <c r="BB2372" s="93" t="s">
        <v>22668</v>
      </c>
      <c r="BC2372" s="93" t="s">
        <v>20567</v>
      </c>
      <c r="BD2372" s="87">
        <v>3378880324</v>
      </c>
      <c r="BE2372" s="87"/>
      <c r="BF2372" s="87"/>
      <c r="BG2372" s="87"/>
      <c r="BH2372" s="87"/>
      <c r="BI2372" s="87"/>
    </row>
    <row r="2373" spans="1:61" x14ac:dyDescent="0.25">
      <c r="A2373" s="63" t="s">
        <v>1046</v>
      </c>
      <c r="B2373" s="63" t="s">
        <v>254</v>
      </c>
      <c r="C2373" s="64"/>
      <c r="D2373" s="65"/>
      <c r="E2373" s="66"/>
      <c r="F2373" s="67"/>
      <c r="G2373" s="64"/>
      <c r="H2373" s="68"/>
      <c r="I2373" s="69"/>
      <c r="J2373" s="69"/>
      <c r="K2373" s="32"/>
      <c r="L2373" s="76">
        <v>2373</v>
      </c>
      <c r="M2373" s="76"/>
      <c r="N2373" s="71"/>
      <c r="O2373" s="87" t="s">
        <v>1839</v>
      </c>
      <c r="P2373" s="90">
        <v>45193.683703703704</v>
      </c>
      <c r="Q2373" s="87" t="s">
        <v>4124</v>
      </c>
      <c r="R2373" s="87">
        <v>0</v>
      </c>
      <c r="S2373" s="87">
        <v>0</v>
      </c>
      <c r="T2373" s="87">
        <v>1</v>
      </c>
      <c r="U2373" s="87">
        <v>0</v>
      </c>
      <c r="V2373" s="87">
        <v>737</v>
      </c>
      <c r="W2373" s="93" t="s">
        <v>7406</v>
      </c>
      <c r="X2373" s="92" t="str">
        <f>HYPERLINK("http://glo.bo/3PHo0Hh")</f>
        <v>http://glo.bo/3PHo0Hh</v>
      </c>
      <c r="Y2373" s="87" t="s">
        <v>8389</v>
      </c>
      <c r="Z2373" s="87" t="s">
        <v>254</v>
      </c>
      <c r="AA2373" s="87" t="s">
        <v>10146</v>
      </c>
      <c r="AB2373" s="87" t="s">
        <v>11448</v>
      </c>
      <c r="AC2373" s="93" t="s">
        <v>11457</v>
      </c>
      <c r="AD2373" s="87" t="s">
        <v>11519</v>
      </c>
      <c r="AE2373" s="92" t="str">
        <f>HYPERLINK("https://twitter.com/pegntv/status/1705981552717402392")</f>
        <v>https://twitter.com/pegntv/status/1705981552717402392</v>
      </c>
      <c r="AF2373" s="90">
        <v>45193.683703703704</v>
      </c>
      <c r="AG2373" s="99">
        <v>45193</v>
      </c>
      <c r="AH2373" s="93" t="s">
        <v>13665</v>
      </c>
      <c r="AI2373" s="87" t="b">
        <v>0</v>
      </c>
      <c r="AJ2373" s="87"/>
      <c r="AK2373" s="87"/>
      <c r="AL2373" s="87"/>
      <c r="AM2373" s="87"/>
      <c r="AN2373" s="87"/>
      <c r="AO2373" s="87"/>
      <c r="AP2373" s="87"/>
      <c r="AQ2373" s="87" t="s">
        <v>16959</v>
      </c>
      <c r="AR2373" s="87"/>
      <c r="AS2373" s="87"/>
      <c r="AT2373" s="87"/>
      <c r="AU2373" s="87"/>
      <c r="AV2373" s="92" t="str">
        <f>HYPERLINK("https://pbs.twimg.com/media/F6zdJLoWUAAQNoP.jpg")</f>
        <v>https://pbs.twimg.com/media/F6zdJLoWUAAQNoP.jpg</v>
      </c>
      <c r="AW2373" s="93" t="s">
        <v>20568</v>
      </c>
      <c r="AX2373" s="93" t="s">
        <v>20568</v>
      </c>
      <c r="AY2373" s="87"/>
      <c r="AZ2373" s="93" t="s">
        <v>22668</v>
      </c>
      <c r="BA2373" s="93" t="s">
        <v>22668</v>
      </c>
      <c r="BB2373" s="93" t="s">
        <v>22668</v>
      </c>
      <c r="BC2373" s="93" t="s">
        <v>20568</v>
      </c>
      <c r="BD2373" s="87">
        <v>3378880324</v>
      </c>
      <c r="BE2373" s="87"/>
      <c r="BF2373" s="87"/>
      <c r="BG2373" s="87"/>
      <c r="BH2373" s="87"/>
      <c r="BI2373" s="87"/>
    </row>
    <row r="2374" spans="1:61" x14ac:dyDescent="0.25">
      <c r="A2374" s="63" t="s">
        <v>1046</v>
      </c>
      <c r="B2374" s="63" t="s">
        <v>1046</v>
      </c>
      <c r="C2374" s="64"/>
      <c r="D2374" s="65"/>
      <c r="E2374" s="66"/>
      <c r="F2374" s="67"/>
      <c r="G2374" s="64"/>
      <c r="H2374" s="68"/>
      <c r="I2374" s="69"/>
      <c r="J2374" s="69"/>
      <c r="K2374" s="32"/>
      <c r="L2374" s="76">
        <v>2374</v>
      </c>
      <c r="M2374" s="76"/>
      <c r="N2374" s="71"/>
      <c r="O2374" s="87" t="s">
        <v>179</v>
      </c>
      <c r="P2374" s="90">
        <v>45129.541666666664</v>
      </c>
      <c r="Q2374" s="87" t="s">
        <v>4125</v>
      </c>
      <c r="R2374" s="87">
        <v>1</v>
      </c>
      <c r="S2374" s="87">
        <v>10</v>
      </c>
      <c r="T2374" s="87">
        <v>1</v>
      </c>
      <c r="U2374" s="87">
        <v>0</v>
      </c>
      <c r="V2374" s="87">
        <v>1174</v>
      </c>
      <c r="W2374" s="93" t="s">
        <v>7407</v>
      </c>
      <c r="X2374" s="87"/>
      <c r="Y2374" s="87"/>
      <c r="Z2374" s="87"/>
      <c r="AA2374" s="87" t="s">
        <v>10147</v>
      </c>
      <c r="AB2374" s="87" t="s">
        <v>11447</v>
      </c>
      <c r="AC2374" s="93" t="s">
        <v>11457</v>
      </c>
      <c r="AD2374" s="87" t="s">
        <v>11519</v>
      </c>
      <c r="AE2374" s="92" t="str">
        <f>HYPERLINK("https://twitter.com/pegntv/status/1682737257604878337")</f>
        <v>https://twitter.com/pegntv/status/1682737257604878337</v>
      </c>
      <c r="AF2374" s="90">
        <v>45129.541666666664</v>
      </c>
      <c r="AG2374" s="99">
        <v>45129</v>
      </c>
      <c r="AH2374" s="93" t="s">
        <v>13150</v>
      </c>
      <c r="AI2374" s="87" t="b">
        <v>0</v>
      </c>
      <c r="AJ2374" s="87"/>
      <c r="AK2374" s="87"/>
      <c r="AL2374" s="87"/>
      <c r="AM2374" s="87"/>
      <c r="AN2374" s="87"/>
      <c r="AO2374" s="87"/>
      <c r="AP2374" s="87"/>
      <c r="AQ2374" s="87" t="s">
        <v>16960</v>
      </c>
      <c r="AR2374" s="87">
        <v>25959</v>
      </c>
      <c r="AS2374" s="87"/>
      <c r="AT2374" s="87"/>
      <c r="AU2374" s="87"/>
      <c r="AV2374" s="92" t="str">
        <f>HYPERLINK("https://pbs.twimg.com/ext_tw_video_thumb/1682087198739365890/pu/img/h_-wxwG--8mxiRgF.jpg")</f>
        <v>https://pbs.twimg.com/ext_tw_video_thumb/1682087198739365890/pu/img/h_-wxwG--8mxiRgF.jpg</v>
      </c>
      <c r="AW2374" s="93" t="s">
        <v>20569</v>
      </c>
      <c r="AX2374" s="93" t="s">
        <v>20569</v>
      </c>
      <c r="AY2374" s="87"/>
      <c r="AZ2374" s="93" t="s">
        <v>22668</v>
      </c>
      <c r="BA2374" s="93" t="s">
        <v>22668</v>
      </c>
      <c r="BB2374" s="93" t="s">
        <v>22668</v>
      </c>
      <c r="BC2374" s="93" t="s">
        <v>20569</v>
      </c>
      <c r="BD2374" s="87">
        <v>3378880324</v>
      </c>
      <c r="BE2374" s="87"/>
      <c r="BF2374" s="87"/>
      <c r="BG2374" s="87"/>
      <c r="BH2374" s="87"/>
      <c r="BI2374" s="87"/>
    </row>
    <row r="2375" spans="1:61" x14ac:dyDescent="0.25">
      <c r="A2375" s="63" t="s">
        <v>1043</v>
      </c>
      <c r="B2375" s="63" t="s">
        <v>1046</v>
      </c>
      <c r="C2375" s="64"/>
      <c r="D2375" s="65"/>
      <c r="E2375" s="66"/>
      <c r="F2375" s="67"/>
      <c r="G2375" s="64"/>
      <c r="H2375" s="68"/>
      <c r="I2375" s="69"/>
      <c r="J2375" s="69"/>
      <c r="K2375" s="32"/>
      <c r="L2375" s="76">
        <v>2375</v>
      </c>
      <c r="M2375" s="76"/>
      <c r="N2375" s="71"/>
      <c r="O2375" s="87" t="s">
        <v>1844</v>
      </c>
      <c r="P2375" s="90">
        <v>45121.770289351851</v>
      </c>
      <c r="Q2375" s="87" t="s">
        <v>4114</v>
      </c>
      <c r="R2375" s="87">
        <v>0</v>
      </c>
      <c r="S2375" s="87">
        <v>0</v>
      </c>
      <c r="T2375" s="87">
        <v>0</v>
      </c>
      <c r="U2375" s="87">
        <v>0</v>
      </c>
      <c r="V2375" s="87">
        <v>22</v>
      </c>
      <c r="W2375" s="93" t="s">
        <v>7396</v>
      </c>
      <c r="X2375" s="87"/>
      <c r="Y2375" s="87"/>
      <c r="Z2375" s="87" t="s">
        <v>8595</v>
      </c>
      <c r="AA2375" s="87"/>
      <c r="AB2375" s="87"/>
      <c r="AC2375" s="93" t="s">
        <v>11457</v>
      </c>
      <c r="AD2375" s="87" t="s">
        <v>11520</v>
      </c>
      <c r="AE2375" s="92" t="str">
        <f>HYPERLINK("https://twitter.com/mspontocom/status/1679921003017691136")</f>
        <v>https://twitter.com/mspontocom/status/1679921003017691136</v>
      </c>
      <c r="AF2375" s="90">
        <v>45121.770289351851</v>
      </c>
      <c r="AG2375" s="99">
        <v>45121</v>
      </c>
      <c r="AH2375" s="93" t="s">
        <v>13659</v>
      </c>
      <c r="AI2375" s="87"/>
      <c r="AJ2375" s="87"/>
      <c r="AK2375" s="87"/>
      <c r="AL2375" s="87"/>
      <c r="AM2375" s="87"/>
      <c r="AN2375" s="87"/>
      <c r="AO2375" s="87"/>
      <c r="AP2375" s="87"/>
      <c r="AQ2375" s="87"/>
      <c r="AR2375" s="87"/>
      <c r="AS2375" s="87"/>
      <c r="AT2375" s="87"/>
      <c r="AU2375" s="87"/>
      <c r="AV2375" s="92" t="str">
        <f>HYPERLINK("https://pbs.twimg.com/profile_images/1620022962/C_pia_de_seguran_a_de_Logo_Site_normal.png")</f>
        <v>https://pbs.twimg.com/profile_images/1620022962/C_pia_de_seguran_a_de_Logo_Site_normal.png</v>
      </c>
      <c r="AW2375" s="93" t="s">
        <v>20558</v>
      </c>
      <c r="AX2375" s="93" t="s">
        <v>22433</v>
      </c>
      <c r="AY2375" s="93" t="s">
        <v>22607</v>
      </c>
      <c r="AZ2375" s="93" t="s">
        <v>22433</v>
      </c>
      <c r="BA2375" s="93" t="s">
        <v>22668</v>
      </c>
      <c r="BB2375" s="93" t="s">
        <v>22668</v>
      </c>
      <c r="BC2375" s="93" t="s">
        <v>22433</v>
      </c>
      <c r="BD2375" s="87">
        <v>399642477</v>
      </c>
      <c r="BE2375" s="87"/>
      <c r="BF2375" s="87"/>
      <c r="BG2375" s="87"/>
      <c r="BH2375" s="87"/>
      <c r="BI2375" s="87"/>
    </row>
    <row r="2376" spans="1:61" x14ac:dyDescent="0.25">
      <c r="A2376" s="63" t="s">
        <v>1043</v>
      </c>
      <c r="B2376" s="63" t="s">
        <v>1739</v>
      </c>
      <c r="C2376" s="64"/>
      <c r="D2376" s="65"/>
      <c r="E2376" s="66"/>
      <c r="F2376" s="67"/>
      <c r="G2376" s="64"/>
      <c r="H2376" s="68"/>
      <c r="I2376" s="69"/>
      <c r="J2376" s="69"/>
      <c r="K2376" s="32"/>
      <c r="L2376" s="76">
        <v>2376</v>
      </c>
      <c r="M2376" s="76"/>
      <c r="N2376" s="71"/>
      <c r="O2376" s="87" t="s">
        <v>1844</v>
      </c>
      <c r="P2376" s="90">
        <v>45121.770289351851</v>
      </c>
      <c r="Q2376" s="87" t="s">
        <v>4114</v>
      </c>
      <c r="R2376" s="87">
        <v>0</v>
      </c>
      <c r="S2376" s="87">
        <v>0</v>
      </c>
      <c r="T2376" s="87">
        <v>0</v>
      </c>
      <c r="U2376" s="87">
        <v>0</v>
      </c>
      <c r="V2376" s="87">
        <v>22</v>
      </c>
      <c r="W2376" s="93" t="s">
        <v>7396</v>
      </c>
      <c r="X2376" s="87"/>
      <c r="Y2376" s="87"/>
      <c r="Z2376" s="87" t="s">
        <v>8595</v>
      </c>
      <c r="AA2376" s="87"/>
      <c r="AB2376" s="87"/>
      <c r="AC2376" s="93" t="s">
        <v>11457</v>
      </c>
      <c r="AD2376" s="87" t="s">
        <v>11520</v>
      </c>
      <c r="AE2376" s="92" t="str">
        <f>HYPERLINK("https://twitter.com/mspontocom/status/1679921003017691136")</f>
        <v>https://twitter.com/mspontocom/status/1679921003017691136</v>
      </c>
      <c r="AF2376" s="90">
        <v>45121.770289351851</v>
      </c>
      <c r="AG2376" s="99">
        <v>45121</v>
      </c>
      <c r="AH2376" s="93" t="s">
        <v>13659</v>
      </c>
      <c r="AI2376" s="87"/>
      <c r="AJ2376" s="87"/>
      <c r="AK2376" s="87"/>
      <c r="AL2376" s="87"/>
      <c r="AM2376" s="87"/>
      <c r="AN2376" s="87"/>
      <c r="AO2376" s="87"/>
      <c r="AP2376" s="87"/>
      <c r="AQ2376" s="87"/>
      <c r="AR2376" s="87"/>
      <c r="AS2376" s="87"/>
      <c r="AT2376" s="87"/>
      <c r="AU2376" s="87"/>
      <c r="AV2376" s="92" t="str">
        <f>HYPERLINK("https://pbs.twimg.com/profile_images/1620022962/C_pia_de_seguran_a_de_Logo_Site_normal.png")</f>
        <v>https://pbs.twimg.com/profile_images/1620022962/C_pia_de_seguran_a_de_Logo_Site_normal.png</v>
      </c>
      <c r="AW2376" s="93" t="s">
        <v>20558</v>
      </c>
      <c r="AX2376" s="93" t="s">
        <v>22433</v>
      </c>
      <c r="AY2376" s="93" t="s">
        <v>22607</v>
      </c>
      <c r="AZ2376" s="93" t="s">
        <v>22433</v>
      </c>
      <c r="BA2376" s="93" t="s">
        <v>22668</v>
      </c>
      <c r="BB2376" s="93" t="s">
        <v>22668</v>
      </c>
      <c r="BC2376" s="93" t="s">
        <v>22433</v>
      </c>
      <c r="BD2376" s="87">
        <v>399642477</v>
      </c>
      <c r="BE2376" s="87"/>
      <c r="BF2376" s="87"/>
      <c r="BG2376" s="87"/>
      <c r="BH2376" s="87"/>
      <c r="BI2376" s="87"/>
    </row>
    <row r="2377" spans="1:61" x14ac:dyDescent="0.25">
      <c r="A2377" s="63" t="s">
        <v>1043</v>
      </c>
      <c r="B2377" s="63" t="s">
        <v>1740</v>
      </c>
      <c r="C2377" s="64"/>
      <c r="D2377" s="65"/>
      <c r="E2377" s="66"/>
      <c r="F2377" s="67"/>
      <c r="G2377" s="64"/>
      <c r="H2377" s="68"/>
      <c r="I2377" s="69"/>
      <c r="J2377" s="69"/>
      <c r="K2377" s="32"/>
      <c r="L2377" s="76">
        <v>2377</v>
      </c>
      <c r="M2377" s="76"/>
      <c r="N2377" s="71"/>
      <c r="O2377" s="87" t="s">
        <v>1844</v>
      </c>
      <c r="P2377" s="90">
        <v>45127.759351851855</v>
      </c>
      <c r="Q2377" s="87" t="s">
        <v>4111</v>
      </c>
      <c r="R2377" s="87">
        <v>0</v>
      </c>
      <c r="S2377" s="87">
        <v>0</v>
      </c>
      <c r="T2377" s="87">
        <v>0</v>
      </c>
      <c r="U2377" s="87">
        <v>0</v>
      </c>
      <c r="V2377" s="87">
        <v>8</v>
      </c>
      <c r="W2377" s="93" t="s">
        <v>7393</v>
      </c>
      <c r="X2377" s="87"/>
      <c r="Y2377" s="87"/>
      <c r="Z2377" s="87" t="s">
        <v>8592</v>
      </c>
      <c r="AA2377" s="87"/>
      <c r="AB2377" s="87"/>
      <c r="AC2377" s="93" t="s">
        <v>11457</v>
      </c>
      <c r="AD2377" s="87" t="s">
        <v>11520</v>
      </c>
      <c r="AE2377" s="92" t="str">
        <f>HYPERLINK("https://twitter.com/mspontocom/status/1682091366510219264")</f>
        <v>https://twitter.com/mspontocom/status/1682091366510219264</v>
      </c>
      <c r="AF2377" s="90">
        <v>45127.759351851855</v>
      </c>
      <c r="AG2377" s="99">
        <v>45127</v>
      </c>
      <c r="AH2377" s="93" t="s">
        <v>13656</v>
      </c>
      <c r="AI2377" s="87"/>
      <c r="AJ2377" s="87"/>
      <c r="AK2377" s="87"/>
      <c r="AL2377" s="87"/>
      <c r="AM2377" s="87"/>
      <c r="AN2377" s="87"/>
      <c r="AO2377" s="87"/>
      <c r="AP2377" s="87"/>
      <c r="AQ2377" s="87"/>
      <c r="AR2377" s="87"/>
      <c r="AS2377" s="87"/>
      <c r="AT2377" s="87"/>
      <c r="AU2377" s="87"/>
      <c r="AV2377" s="92" t="str">
        <f>HYPERLINK("https://pbs.twimg.com/profile_images/1620022962/C_pia_de_seguran_a_de_Logo_Site_normal.png")</f>
        <v>https://pbs.twimg.com/profile_images/1620022962/C_pia_de_seguran_a_de_Logo_Site_normal.png</v>
      </c>
      <c r="AW2377" s="93" t="s">
        <v>20555</v>
      </c>
      <c r="AX2377" s="93" t="s">
        <v>22430</v>
      </c>
      <c r="AY2377" s="93" t="s">
        <v>22607</v>
      </c>
      <c r="AZ2377" s="93" t="s">
        <v>22430</v>
      </c>
      <c r="BA2377" s="93" t="s">
        <v>22668</v>
      </c>
      <c r="BB2377" s="93" t="s">
        <v>22668</v>
      </c>
      <c r="BC2377" s="93" t="s">
        <v>22430</v>
      </c>
      <c r="BD2377" s="87">
        <v>399642477</v>
      </c>
      <c r="BE2377" s="87"/>
      <c r="BF2377" s="87"/>
      <c r="BG2377" s="87"/>
      <c r="BH2377" s="87"/>
      <c r="BI2377" s="87"/>
    </row>
    <row r="2378" spans="1:61" x14ac:dyDescent="0.25">
      <c r="A2378" s="63" t="s">
        <v>1043</v>
      </c>
      <c r="B2378" s="63" t="s">
        <v>1740</v>
      </c>
      <c r="C2378" s="64"/>
      <c r="D2378" s="65"/>
      <c r="E2378" s="66"/>
      <c r="F2378" s="67"/>
      <c r="G2378" s="64"/>
      <c r="H2378" s="68"/>
      <c r="I2378" s="69"/>
      <c r="J2378" s="69"/>
      <c r="K2378" s="32"/>
      <c r="L2378" s="76">
        <v>2378</v>
      </c>
      <c r="M2378" s="76"/>
      <c r="N2378" s="71"/>
      <c r="O2378" s="87" t="s">
        <v>1844</v>
      </c>
      <c r="P2378" s="90">
        <v>45126.74082175926</v>
      </c>
      <c r="Q2378" s="87" t="s">
        <v>4126</v>
      </c>
      <c r="R2378" s="87">
        <v>0</v>
      </c>
      <c r="S2378" s="87">
        <v>0</v>
      </c>
      <c r="T2378" s="87">
        <v>0</v>
      </c>
      <c r="U2378" s="87">
        <v>0</v>
      </c>
      <c r="V2378" s="87">
        <v>20</v>
      </c>
      <c r="W2378" s="93" t="s">
        <v>7408</v>
      </c>
      <c r="X2378" s="87"/>
      <c r="Y2378" s="87"/>
      <c r="Z2378" s="87" t="s">
        <v>8596</v>
      </c>
      <c r="AA2378" s="87"/>
      <c r="AB2378" s="87"/>
      <c r="AC2378" s="93" t="s">
        <v>11457</v>
      </c>
      <c r="AD2378" s="87" t="s">
        <v>11520</v>
      </c>
      <c r="AE2378" s="92" t="str">
        <f>HYPERLINK("https://twitter.com/mspontocom/status/1681722265438658560")</f>
        <v>https://twitter.com/mspontocom/status/1681722265438658560</v>
      </c>
      <c r="AF2378" s="90">
        <v>45126.74082175926</v>
      </c>
      <c r="AG2378" s="99">
        <v>45126</v>
      </c>
      <c r="AH2378" s="93" t="s">
        <v>13666</v>
      </c>
      <c r="AI2378" s="87"/>
      <c r="AJ2378" s="87"/>
      <c r="AK2378" s="87"/>
      <c r="AL2378" s="87"/>
      <c r="AM2378" s="87"/>
      <c r="AN2378" s="87"/>
      <c r="AO2378" s="87"/>
      <c r="AP2378" s="87"/>
      <c r="AQ2378" s="87"/>
      <c r="AR2378" s="87"/>
      <c r="AS2378" s="87"/>
      <c r="AT2378" s="87"/>
      <c r="AU2378" s="87"/>
      <c r="AV2378" s="92" t="str">
        <f>HYPERLINK("https://pbs.twimg.com/profile_images/1620022962/C_pia_de_seguran_a_de_Logo_Site_normal.png")</f>
        <v>https://pbs.twimg.com/profile_images/1620022962/C_pia_de_seguran_a_de_Logo_Site_normal.png</v>
      </c>
      <c r="AW2378" s="93" t="s">
        <v>20570</v>
      </c>
      <c r="AX2378" s="93" t="s">
        <v>22434</v>
      </c>
      <c r="AY2378" s="93" t="s">
        <v>22607</v>
      </c>
      <c r="AZ2378" s="93" t="s">
        <v>22434</v>
      </c>
      <c r="BA2378" s="93" t="s">
        <v>22668</v>
      </c>
      <c r="BB2378" s="93" t="s">
        <v>22668</v>
      </c>
      <c r="BC2378" s="93" t="s">
        <v>22434</v>
      </c>
      <c r="BD2378" s="87">
        <v>399642477</v>
      </c>
      <c r="BE2378" s="87"/>
      <c r="BF2378" s="87"/>
      <c r="BG2378" s="87"/>
      <c r="BH2378" s="87"/>
      <c r="BI2378" s="87"/>
    </row>
    <row r="2379" spans="1:61" x14ac:dyDescent="0.25">
      <c r="A2379" s="63" t="s">
        <v>1043</v>
      </c>
      <c r="B2379" s="63" t="s">
        <v>1741</v>
      </c>
      <c r="C2379" s="64"/>
      <c r="D2379" s="65"/>
      <c r="E2379" s="66"/>
      <c r="F2379" s="67"/>
      <c r="G2379" s="64"/>
      <c r="H2379" s="68"/>
      <c r="I2379" s="69"/>
      <c r="J2379" s="69"/>
      <c r="K2379" s="32"/>
      <c r="L2379" s="76">
        <v>2379</v>
      </c>
      <c r="M2379" s="76"/>
      <c r="N2379" s="71"/>
      <c r="O2379" s="87" t="s">
        <v>1844</v>
      </c>
      <c r="P2379" s="90">
        <v>45126.74082175926</v>
      </c>
      <c r="Q2379" s="87" t="s">
        <v>4126</v>
      </c>
      <c r="R2379" s="87">
        <v>0</v>
      </c>
      <c r="S2379" s="87">
        <v>0</v>
      </c>
      <c r="T2379" s="87">
        <v>0</v>
      </c>
      <c r="U2379" s="87">
        <v>0</v>
      </c>
      <c r="V2379" s="87">
        <v>20</v>
      </c>
      <c r="W2379" s="93" t="s">
        <v>7408</v>
      </c>
      <c r="X2379" s="87"/>
      <c r="Y2379" s="87"/>
      <c r="Z2379" s="87" t="s">
        <v>8596</v>
      </c>
      <c r="AA2379" s="87"/>
      <c r="AB2379" s="87"/>
      <c r="AC2379" s="93" t="s">
        <v>11457</v>
      </c>
      <c r="AD2379" s="87" t="s">
        <v>11520</v>
      </c>
      <c r="AE2379" s="92" t="str">
        <f>HYPERLINK("https://twitter.com/mspontocom/status/1681722265438658560")</f>
        <v>https://twitter.com/mspontocom/status/1681722265438658560</v>
      </c>
      <c r="AF2379" s="90">
        <v>45126.74082175926</v>
      </c>
      <c r="AG2379" s="99">
        <v>45126</v>
      </c>
      <c r="AH2379" s="93" t="s">
        <v>13666</v>
      </c>
      <c r="AI2379" s="87"/>
      <c r="AJ2379" s="87"/>
      <c r="AK2379" s="87"/>
      <c r="AL2379" s="87"/>
      <c r="AM2379" s="87"/>
      <c r="AN2379" s="87"/>
      <c r="AO2379" s="87"/>
      <c r="AP2379" s="87"/>
      <c r="AQ2379" s="87"/>
      <c r="AR2379" s="87"/>
      <c r="AS2379" s="87"/>
      <c r="AT2379" s="87"/>
      <c r="AU2379" s="87"/>
      <c r="AV2379" s="92" t="str">
        <f>HYPERLINK("https://pbs.twimg.com/profile_images/1620022962/C_pia_de_seguran_a_de_Logo_Site_normal.png")</f>
        <v>https://pbs.twimg.com/profile_images/1620022962/C_pia_de_seguran_a_de_Logo_Site_normal.png</v>
      </c>
      <c r="AW2379" s="93" t="s">
        <v>20570</v>
      </c>
      <c r="AX2379" s="93" t="s">
        <v>22434</v>
      </c>
      <c r="AY2379" s="93" t="s">
        <v>22607</v>
      </c>
      <c r="AZ2379" s="93" t="s">
        <v>22434</v>
      </c>
      <c r="BA2379" s="93" t="s">
        <v>22668</v>
      </c>
      <c r="BB2379" s="93" t="s">
        <v>22668</v>
      </c>
      <c r="BC2379" s="93" t="s">
        <v>22434</v>
      </c>
      <c r="BD2379" s="87">
        <v>399642477</v>
      </c>
      <c r="BE2379" s="87"/>
      <c r="BF2379" s="87"/>
      <c r="BG2379" s="87"/>
      <c r="BH2379" s="87"/>
      <c r="BI2379" s="87"/>
    </row>
    <row r="2380" spans="1:61" x14ac:dyDescent="0.25">
      <c r="A2380" s="63" t="s">
        <v>1043</v>
      </c>
      <c r="B2380" s="63" t="s">
        <v>1742</v>
      </c>
      <c r="C2380" s="64"/>
      <c r="D2380" s="65"/>
      <c r="E2380" s="66"/>
      <c r="F2380" s="67"/>
      <c r="G2380" s="64"/>
      <c r="H2380" s="68"/>
      <c r="I2380" s="69"/>
      <c r="J2380" s="69"/>
      <c r="K2380" s="32"/>
      <c r="L2380" s="76">
        <v>2380</v>
      </c>
      <c r="M2380" s="76"/>
      <c r="N2380" s="71"/>
      <c r="O2380" s="87" t="s">
        <v>1844</v>
      </c>
      <c r="P2380" s="90">
        <v>45126.74082175926</v>
      </c>
      <c r="Q2380" s="87" t="s">
        <v>4126</v>
      </c>
      <c r="R2380" s="87">
        <v>0</v>
      </c>
      <c r="S2380" s="87">
        <v>0</v>
      </c>
      <c r="T2380" s="87">
        <v>0</v>
      </c>
      <c r="U2380" s="87">
        <v>0</v>
      </c>
      <c r="V2380" s="87">
        <v>20</v>
      </c>
      <c r="W2380" s="93" t="s">
        <v>7408</v>
      </c>
      <c r="X2380" s="87"/>
      <c r="Y2380" s="87"/>
      <c r="Z2380" s="87" t="s">
        <v>8596</v>
      </c>
      <c r="AA2380" s="87"/>
      <c r="AB2380" s="87"/>
      <c r="AC2380" s="93" t="s">
        <v>11457</v>
      </c>
      <c r="AD2380" s="87" t="s">
        <v>11520</v>
      </c>
      <c r="AE2380" s="92" t="str">
        <f>HYPERLINK("https://twitter.com/mspontocom/status/1681722265438658560")</f>
        <v>https://twitter.com/mspontocom/status/1681722265438658560</v>
      </c>
      <c r="AF2380" s="90">
        <v>45126.74082175926</v>
      </c>
      <c r="AG2380" s="99">
        <v>45126</v>
      </c>
      <c r="AH2380" s="93" t="s">
        <v>13666</v>
      </c>
      <c r="AI2380" s="87"/>
      <c r="AJ2380" s="87"/>
      <c r="AK2380" s="87"/>
      <c r="AL2380" s="87"/>
      <c r="AM2380" s="87"/>
      <c r="AN2380" s="87"/>
      <c r="AO2380" s="87"/>
      <c r="AP2380" s="87"/>
      <c r="AQ2380" s="87"/>
      <c r="AR2380" s="87"/>
      <c r="AS2380" s="87"/>
      <c r="AT2380" s="87"/>
      <c r="AU2380" s="87"/>
      <c r="AV2380" s="92" t="str">
        <f>HYPERLINK("https://pbs.twimg.com/profile_images/1620022962/C_pia_de_seguran_a_de_Logo_Site_normal.png")</f>
        <v>https://pbs.twimg.com/profile_images/1620022962/C_pia_de_seguran_a_de_Logo_Site_normal.png</v>
      </c>
      <c r="AW2380" s="93" t="s">
        <v>20570</v>
      </c>
      <c r="AX2380" s="93" t="s">
        <v>22434</v>
      </c>
      <c r="AY2380" s="93" t="s">
        <v>22607</v>
      </c>
      <c r="AZ2380" s="93" t="s">
        <v>22434</v>
      </c>
      <c r="BA2380" s="93" t="s">
        <v>22668</v>
      </c>
      <c r="BB2380" s="93" t="s">
        <v>22668</v>
      </c>
      <c r="BC2380" s="93" t="s">
        <v>22434</v>
      </c>
      <c r="BD2380" s="87">
        <v>399642477</v>
      </c>
      <c r="BE2380" s="87"/>
      <c r="BF2380" s="87"/>
      <c r="BG2380" s="87"/>
      <c r="BH2380" s="87"/>
      <c r="BI2380" s="87"/>
    </row>
    <row r="2381" spans="1:61" x14ac:dyDescent="0.25">
      <c r="A2381" s="63" t="s">
        <v>1043</v>
      </c>
      <c r="B2381" s="63" t="s">
        <v>1743</v>
      </c>
      <c r="C2381" s="64"/>
      <c r="D2381" s="65"/>
      <c r="E2381" s="66"/>
      <c r="F2381" s="67"/>
      <c r="G2381" s="64"/>
      <c r="H2381" s="68"/>
      <c r="I2381" s="69"/>
      <c r="J2381" s="69"/>
      <c r="K2381" s="32"/>
      <c r="L2381" s="76">
        <v>2381</v>
      </c>
      <c r="M2381" s="76"/>
      <c r="N2381" s="71"/>
      <c r="O2381" s="87" t="s">
        <v>1844</v>
      </c>
      <c r="P2381" s="90">
        <v>45126.74082175926</v>
      </c>
      <c r="Q2381" s="87" t="s">
        <v>4126</v>
      </c>
      <c r="R2381" s="87">
        <v>0</v>
      </c>
      <c r="S2381" s="87">
        <v>0</v>
      </c>
      <c r="T2381" s="87">
        <v>0</v>
      </c>
      <c r="U2381" s="87">
        <v>0</v>
      </c>
      <c r="V2381" s="87">
        <v>20</v>
      </c>
      <c r="W2381" s="93" t="s">
        <v>7408</v>
      </c>
      <c r="X2381" s="87"/>
      <c r="Y2381" s="87"/>
      <c r="Z2381" s="87" t="s">
        <v>8596</v>
      </c>
      <c r="AA2381" s="87"/>
      <c r="AB2381" s="87"/>
      <c r="AC2381" s="93" t="s">
        <v>11457</v>
      </c>
      <c r="AD2381" s="87" t="s">
        <v>11520</v>
      </c>
      <c r="AE2381" s="92" t="str">
        <f>HYPERLINK("https://twitter.com/mspontocom/status/1681722265438658560")</f>
        <v>https://twitter.com/mspontocom/status/1681722265438658560</v>
      </c>
      <c r="AF2381" s="90">
        <v>45126.74082175926</v>
      </c>
      <c r="AG2381" s="99">
        <v>45126</v>
      </c>
      <c r="AH2381" s="93" t="s">
        <v>13666</v>
      </c>
      <c r="AI2381" s="87"/>
      <c r="AJ2381" s="87"/>
      <c r="AK2381" s="87"/>
      <c r="AL2381" s="87"/>
      <c r="AM2381" s="87"/>
      <c r="AN2381" s="87"/>
      <c r="AO2381" s="87"/>
      <c r="AP2381" s="87"/>
      <c r="AQ2381" s="87"/>
      <c r="AR2381" s="87"/>
      <c r="AS2381" s="87"/>
      <c r="AT2381" s="87"/>
      <c r="AU2381" s="87"/>
      <c r="AV2381" s="92" t="str">
        <f>HYPERLINK("https://pbs.twimg.com/profile_images/1620022962/C_pia_de_seguran_a_de_Logo_Site_normal.png")</f>
        <v>https://pbs.twimg.com/profile_images/1620022962/C_pia_de_seguran_a_de_Logo_Site_normal.png</v>
      </c>
      <c r="AW2381" s="93" t="s">
        <v>20570</v>
      </c>
      <c r="AX2381" s="93" t="s">
        <v>22434</v>
      </c>
      <c r="AY2381" s="93" t="s">
        <v>22607</v>
      </c>
      <c r="AZ2381" s="93" t="s">
        <v>22434</v>
      </c>
      <c r="BA2381" s="93" t="s">
        <v>22668</v>
      </c>
      <c r="BB2381" s="93" t="s">
        <v>22668</v>
      </c>
      <c r="BC2381" s="93" t="s">
        <v>22434</v>
      </c>
      <c r="BD2381" s="87">
        <v>399642477</v>
      </c>
      <c r="BE2381" s="87"/>
      <c r="BF2381" s="87"/>
      <c r="BG2381" s="87"/>
      <c r="BH2381" s="87"/>
      <c r="BI2381" s="87"/>
    </row>
    <row r="2382" spans="1:61" x14ac:dyDescent="0.25">
      <c r="A2382" s="63" t="s">
        <v>1043</v>
      </c>
      <c r="B2382" s="63" t="s">
        <v>1744</v>
      </c>
      <c r="C2382" s="64"/>
      <c r="D2382" s="65"/>
      <c r="E2382" s="66"/>
      <c r="F2382" s="67"/>
      <c r="G2382" s="64"/>
      <c r="H2382" s="68"/>
      <c r="I2382" s="69"/>
      <c r="J2382" s="69"/>
      <c r="K2382" s="32"/>
      <c r="L2382" s="76">
        <v>2382</v>
      </c>
      <c r="M2382" s="76"/>
      <c r="N2382" s="71"/>
      <c r="O2382" s="87" t="s">
        <v>1844</v>
      </c>
      <c r="P2382" s="90">
        <v>45127.759351851855</v>
      </c>
      <c r="Q2382" s="87" t="s">
        <v>4111</v>
      </c>
      <c r="R2382" s="87">
        <v>0</v>
      </c>
      <c r="S2382" s="87">
        <v>0</v>
      </c>
      <c r="T2382" s="87">
        <v>0</v>
      </c>
      <c r="U2382" s="87">
        <v>0</v>
      </c>
      <c r="V2382" s="87">
        <v>8</v>
      </c>
      <c r="W2382" s="93" t="s">
        <v>7393</v>
      </c>
      <c r="X2382" s="87"/>
      <c r="Y2382" s="87"/>
      <c r="Z2382" s="87" t="s">
        <v>8592</v>
      </c>
      <c r="AA2382" s="87"/>
      <c r="AB2382" s="87"/>
      <c r="AC2382" s="93" t="s">
        <v>11457</v>
      </c>
      <c r="AD2382" s="87" t="s">
        <v>11520</v>
      </c>
      <c r="AE2382" s="92" t="str">
        <f>HYPERLINK("https://twitter.com/mspontocom/status/1682091366510219264")</f>
        <v>https://twitter.com/mspontocom/status/1682091366510219264</v>
      </c>
      <c r="AF2382" s="90">
        <v>45127.759351851855</v>
      </c>
      <c r="AG2382" s="99">
        <v>45127</v>
      </c>
      <c r="AH2382" s="93" t="s">
        <v>13656</v>
      </c>
      <c r="AI2382" s="87"/>
      <c r="AJ2382" s="87"/>
      <c r="AK2382" s="87"/>
      <c r="AL2382" s="87"/>
      <c r="AM2382" s="87"/>
      <c r="AN2382" s="87"/>
      <c r="AO2382" s="87"/>
      <c r="AP2382" s="87"/>
      <c r="AQ2382" s="87"/>
      <c r="AR2382" s="87"/>
      <c r="AS2382" s="87"/>
      <c r="AT2382" s="87"/>
      <c r="AU2382" s="87"/>
      <c r="AV2382" s="92" t="str">
        <f>HYPERLINK("https://pbs.twimg.com/profile_images/1620022962/C_pia_de_seguran_a_de_Logo_Site_normal.png")</f>
        <v>https://pbs.twimg.com/profile_images/1620022962/C_pia_de_seguran_a_de_Logo_Site_normal.png</v>
      </c>
      <c r="AW2382" s="93" t="s">
        <v>20555</v>
      </c>
      <c r="AX2382" s="93" t="s">
        <v>22430</v>
      </c>
      <c r="AY2382" s="93" t="s">
        <v>22607</v>
      </c>
      <c r="AZ2382" s="93" t="s">
        <v>22430</v>
      </c>
      <c r="BA2382" s="93" t="s">
        <v>22668</v>
      </c>
      <c r="BB2382" s="93" t="s">
        <v>22668</v>
      </c>
      <c r="BC2382" s="93" t="s">
        <v>22430</v>
      </c>
      <c r="BD2382" s="87">
        <v>399642477</v>
      </c>
      <c r="BE2382" s="87"/>
      <c r="BF2382" s="87"/>
      <c r="BG2382" s="87"/>
      <c r="BH2382" s="87"/>
      <c r="BI2382" s="87"/>
    </row>
    <row r="2383" spans="1:61" x14ac:dyDescent="0.25">
      <c r="A2383" s="63" t="s">
        <v>1043</v>
      </c>
      <c r="B2383" s="63" t="s">
        <v>1744</v>
      </c>
      <c r="C2383" s="64"/>
      <c r="D2383" s="65"/>
      <c r="E2383" s="66"/>
      <c r="F2383" s="67"/>
      <c r="G2383" s="64"/>
      <c r="H2383" s="68"/>
      <c r="I2383" s="69"/>
      <c r="J2383" s="69"/>
      <c r="K2383" s="32"/>
      <c r="L2383" s="76">
        <v>2383</v>
      </c>
      <c r="M2383" s="76"/>
      <c r="N2383" s="71"/>
      <c r="O2383" s="87" t="s">
        <v>1844</v>
      </c>
      <c r="P2383" s="90">
        <v>45118.727951388886</v>
      </c>
      <c r="Q2383" s="87" t="s">
        <v>4112</v>
      </c>
      <c r="R2383" s="87">
        <v>0</v>
      </c>
      <c r="S2383" s="87">
        <v>0</v>
      </c>
      <c r="T2383" s="87">
        <v>0</v>
      </c>
      <c r="U2383" s="87">
        <v>0</v>
      </c>
      <c r="V2383" s="87">
        <v>20</v>
      </c>
      <c r="W2383" s="93" t="s">
        <v>7394</v>
      </c>
      <c r="X2383" s="87"/>
      <c r="Y2383" s="87"/>
      <c r="Z2383" s="87" t="s">
        <v>8593</v>
      </c>
      <c r="AA2383" s="87"/>
      <c r="AB2383" s="87"/>
      <c r="AC2383" s="93" t="s">
        <v>11457</v>
      </c>
      <c r="AD2383" s="87" t="s">
        <v>11520</v>
      </c>
      <c r="AE2383" s="92" t="str">
        <f>HYPERLINK("https://twitter.com/mspontocom/status/1678818498955341838")</f>
        <v>https://twitter.com/mspontocom/status/1678818498955341838</v>
      </c>
      <c r="AF2383" s="90">
        <v>45118.727951388886</v>
      </c>
      <c r="AG2383" s="99">
        <v>45118</v>
      </c>
      <c r="AH2383" s="93" t="s">
        <v>13657</v>
      </c>
      <c r="AI2383" s="87"/>
      <c r="AJ2383" s="87"/>
      <c r="AK2383" s="87"/>
      <c r="AL2383" s="87"/>
      <c r="AM2383" s="87"/>
      <c r="AN2383" s="87"/>
      <c r="AO2383" s="87"/>
      <c r="AP2383" s="87"/>
      <c r="AQ2383" s="87"/>
      <c r="AR2383" s="87"/>
      <c r="AS2383" s="87"/>
      <c r="AT2383" s="87"/>
      <c r="AU2383" s="87"/>
      <c r="AV2383" s="92" t="str">
        <f>HYPERLINK("https://pbs.twimg.com/profile_images/1620022962/C_pia_de_seguran_a_de_Logo_Site_normal.png")</f>
        <v>https://pbs.twimg.com/profile_images/1620022962/C_pia_de_seguran_a_de_Logo_Site_normal.png</v>
      </c>
      <c r="AW2383" s="93" t="s">
        <v>20556</v>
      </c>
      <c r="AX2383" s="93" t="s">
        <v>22431</v>
      </c>
      <c r="AY2383" s="93" t="s">
        <v>22607</v>
      </c>
      <c r="AZ2383" s="93" t="s">
        <v>22431</v>
      </c>
      <c r="BA2383" s="93" t="s">
        <v>22668</v>
      </c>
      <c r="BB2383" s="93" t="s">
        <v>22668</v>
      </c>
      <c r="BC2383" s="93" t="s">
        <v>22431</v>
      </c>
      <c r="BD2383" s="87">
        <v>399642477</v>
      </c>
      <c r="BE2383" s="87"/>
      <c r="BF2383" s="87"/>
      <c r="BG2383" s="87"/>
      <c r="BH2383" s="87"/>
      <c r="BI2383" s="87"/>
    </row>
    <row r="2384" spans="1:61" x14ac:dyDescent="0.25">
      <c r="A2384" s="63" t="s">
        <v>1043</v>
      </c>
      <c r="B2384" s="63" t="s">
        <v>1744</v>
      </c>
      <c r="C2384" s="64"/>
      <c r="D2384" s="65"/>
      <c r="E2384" s="66"/>
      <c r="F2384" s="67"/>
      <c r="G2384" s="64"/>
      <c r="H2384" s="68"/>
      <c r="I2384" s="69"/>
      <c r="J2384" s="69"/>
      <c r="K2384" s="32"/>
      <c r="L2384" s="76">
        <v>2384</v>
      </c>
      <c r="M2384" s="76"/>
      <c r="N2384" s="71"/>
      <c r="O2384" s="87" t="s">
        <v>1844</v>
      </c>
      <c r="P2384" s="90">
        <v>45119.764328703706</v>
      </c>
      <c r="Q2384" s="87" t="s">
        <v>4113</v>
      </c>
      <c r="R2384" s="87">
        <v>0</v>
      </c>
      <c r="S2384" s="87">
        <v>0</v>
      </c>
      <c r="T2384" s="87">
        <v>0</v>
      </c>
      <c r="U2384" s="87">
        <v>0</v>
      </c>
      <c r="V2384" s="87">
        <v>16</v>
      </c>
      <c r="W2384" s="93" t="s">
        <v>7395</v>
      </c>
      <c r="X2384" s="87"/>
      <c r="Y2384" s="87"/>
      <c r="Z2384" s="87" t="s">
        <v>8594</v>
      </c>
      <c r="AA2384" s="87"/>
      <c r="AB2384" s="87"/>
      <c r="AC2384" s="93" t="s">
        <v>11457</v>
      </c>
      <c r="AD2384" s="87" t="s">
        <v>11520</v>
      </c>
      <c r="AE2384" s="92" t="str">
        <f>HYPERLINK("https://twitter.com/mspontocom/status/1679194067027083264")</f>
        <v>https://twitter.com/mspontocom/status/1679194067027083264</v>
      </c>
      <c r="AF2384" s="90">
        <v>45119.764328703706</v>
      </c>
      <c r="AG2384" s="99">
        <v>45119</v>
      </c>
      <c r="AH2384" s="93" t="s">
        <v>13658</v>
      </c>
      <c r="AI2384" s="87"/>
      <c r="AJ2384" s="87"/>
      <c r="AK2384" s="87"/>
      <c r="AL2384" s="87"/>
      <c r="AM2384" s="87"/>
      <c r="AN2384" s="87"/>
      <c r="AO2384" s="87"/>
      <c r="AP2384" s="87"/>
      <c r="AQ2384" s="87"/>
      <c r="AR2384" s="87"/>
      <c r="AS2384" s="87"/>
      <c r="AT2384" s="87"/>
      <c r="AU2384" s="87"/>
      <c r="AV2384" s="92" t="str">
        <f>HYPERLINK("https://pbs.twimg.com/profile_images/1620022962/C_pia_de_seguran_a_de_Logo_Site_normal.png")</f>
        <v>https://pbs.twimg.com/profile_images/1620022962/C_pia_de_seguran_a_de_Logo_Site_normal.png</v>
      </c>
      <c r="AW2384" s="93" t="s">
        <v>20557</v>
      </c>
      <c r="AX2384" s="93" t="s">
        <v>22432</v>
      </c>
      <c r="AY2384" s="93" t="s">
        <v>22607</v>
      </c>
      <c r="AZ2384" s="93" t="s">
        <v>22432</v>
      </c>
      <c r="BA2384" s="93" t="s">
        <v>22668</v>
      </c>
      <c r="BB2384" s="93" t="s">
        <v>22668</v>
      </c>
      <c r="BC2384" s="93" t="s">
        <v>22432</v>
      </c>
      <c r="BD2384" s="87">
        <v>399642477</v>
      </c>
      <c r="BE2384" s="87"/>
      <c r="BF2384" s="87"/>
      <c r="BG2384" s="87"/>
      <c r="BH2384" s="87"/>
      <c r="BI2384" s="87"/>
    </row>
    <row r="2385" spans="1:61" x14ac:dyDescent="0.25">
      <c r="A2385" s="63" t="s">
        <v>1043</v>
      </c>
      <c r="B2385" s="63" t="s">
        <v>1744</v>
      </c>
      <c r="C2385" s="64"/>
      <c r="D2385" s="65"/>
      <c r="E2385" s="66"/>
      <c r="F2385" s="67"/>
      <c r="G2385" s="64"/>
      <c r="H2385" s="68"/>
      <c r="I2385" s="69"/>
      <c r="J2385" s="69"/>
      <c r="K2385" s="32"/>
      <c r="L2385" s="76">
        <v>2385</v>
      </c>
      <c r="M2385" s="76"/>
      <c r="N2385" s="71"/>
      <c r="O2385" s="87" t="s">
        <v>1844</v>
      </c>
      <c r="P2385" s="90">
        <v>45121.770289351851</v>
      </c>
      <c r="Q2385" s="87" t="s">
        <v>4114</v>
      </c>
      <c r="R2385" s="87">
        <v>0</v>
      </c>
      <c r="S2385" s="87">
        <v>0</v>
      </c>
      <c r="T2385" s="87">
        <v>0</v>
      </c>
      <c r="U2385" s="87">
        <v>0</v>
      </c>
      <c r="V2385" s="87">
        <v>22</v>
      </c>
      <c r="W2385" s="93" t="s">
        <v>7396</v>
      </c>
      <c r="X2385" s="87"/>
      <c r="Y2385" s="87"/>
      <c r="Z2385" s="87" t="s">
        <v>8595</v>
      </c>
      <c r="AA2385" s="87"/>
      <c r="AB2385" s="87"/>
      <c r="AC2385" s="93" t="s">
        <v>11457</v>
      </c>
      <c r="AD2385" s="87" t="s">
        <v>11520</v>
      </c>
      <c r="AE2385" s="92" t="str">
        <f>HYPERLINK("https://twitter.com/mspontocom/status/1679921003017691136")</f>
        <v>https://twitter.com/mspontocom/status/1679921003017691136</v>
      </c>
      <c r="AF2385" s="90">
        <v>45121.770289351851</v>
      </c>
      <c r="AG2385" s="99">
        <v>45121</v>
      </c>
      <c r="AH2385" s="93" t="s">
        <v>13659</v>
      </c>
      <c r="AI2385" s="87"/>
      <c r="AJ2385" s="87"/>
      <c r="AK2385" s="87"/>
      <c r="AL2385" s="87"/>
      <c r="AM2385" s="87"/>
      <c r="AN2385" s="87"/>
      <c r="AO2385" s="87"/>
      <c r="AP2385" s="87"/>
      <c r="AQ2385" s="87"/>
      <c r="AR2385" s="87"/>
      <c r="AS2385" s="87"/>
      <c r="AT2385" s="87"/>
      <c r="AU2385" s="87"/>
      <c r="AV2385" s="92" t="str">
        <f>HYPERLINK("https://pbs.twimg.com/profile_images/1620022962/C_pia_de_seguran_a_de_Logo_Site_normal.png")</f>
        <v>https://pbs.twimg.com/profile_images/1620022962/C_pia_de_seguran_a_de_Logo_Site_normal.png</v>
      </c>
      <c r="AW2385" s="93" t="s">
        <v>20558</v>
      </c>
      <c r="AX2385" s="93" t="s">
        <v>22433</v>
      </c>
      <c r="AY2385" s="93" t="s">
        <v>22607</v>
      </c>
      <c r="AZ2385" s="93" t="s">
        <v>22433</v>
      </c>
      <c r="BA2385" s="93" t="s">
        <v>22668</v>
      </c>
      <c r="BB2385" s="93" t="s">
        <v>22668</v>
      </c>
      <c r="BC2385" s="93" t="s">
        <v>22433</v>
      </c>
      <c r="BD2385" s="87">
        <v>399642477</v>
      </c>
      <c r="BE2385" s="87"/>
      <c r="BF2385" s="87"/>
      <c r="BG2385" s="87"/>
      <c r="BH2385" s="87"/>
      <c r="BI2385" s="87"/>
    </row>
    <row r="2386" spans="1:61" x14ac:dyDescent="0.25">
      <c r="A2386" s="63" t="s">
        <v>1043</v>
      </c>
      <c r="B2386" s="63" t="s">
        <v>1744</v>
      </c>
      <c r="C2386" s="64"/>
      <c r="D2386" s="65"/>
      <c r="E2386" s="66"/>
      <c r="F2386" s="67"/>
      <c r="G2386" s="64"/>
      <c r="H2386" s="68"/>
      <c r="I2386" s="69"/>
      <c r="J2386" s="69"/>
      <c r="K2386" s="32"/>
      <c r="L2386" s="76">
        <v>2386</v>
      </c>
      <c r="M2386" s="76"/>
      <c r="N2386" s="71"/>
      <c r="O2386" s="87" t="s">
        <v>1844</v>
      </c>
      <c r="P2386" s="90">
        <v>45126.74082175926</v>
      </c>
      <c r="Q2386" s="87" t="s">
        <v>4126</v>
      </c>
      <c r="R2386" s="87">
        <v>0</v>
      </c>
      <c r="S2386" s="87">
        <v>0</v>
      </c>
      <c r="T2386" s="87">
        <v>0</v>
      </c>
      <c r="U2386" s="87">
        <v>0</v>
      </c>
      <c r="V2386" s="87">
        <v>20</v>
      </c>
      <c r="W2386" s="93" t="s">
        <v>7408</v>
      </c>
      <c r="X2386" s="87"/>
      <c r="Y2386" s="87"/>
      <c r="Z2386" s="87" t="s">
        <v>8596</v>
      </c>
      <c r="AA2386" s="87"/>
      <c r="AB2386" s="87"/>
      <c r="AC2386" s="93" t="s">
        <v>11457</v>
      </c>
      <c r="AD2386" s="87" t="s">
        <v>11520</v>
      </c>
      <c r="AE2386" s="92" t="str">
        <f>HYPERLINK("https://twitter.com/mspontocom/status/1681722265438658560")</f>
        <v>https://twitter.com/mspontocom/status/1681722265438658560</v>
      </c>
      <c r="AF2386" s="90">
        <v>45126.74082175926</v>
      </c>
      <c r="AG2386" s="99">
        <v>45126</v>
      </c>
      <c r="AH2386" s="93" t="s">
        <v>13666</v>
      </c>
      <c r="AI2386" s="87"/>
      <c r="AJ2386" s="87"/>
      <c r="AK2386" s="87"/>
      <c r="AL2386" s="87"/>
      <c r="AM2386" s="87"/>
      <c r="AN2386" s="87"/>
      <c r="AO2386" s="87"/>
      <c r="AP2386" s="87"/>
      <c r="AQ2386" s="87"/>
      <c r="AR2386" s="87"/>
      <c r="AS2386" s="87"/>
      <c r="AT2386" s="87"/>
      <c r="AU2386" s="87"/>
      <c r="AV2386" s="92" t="str">
        <f>HYPERLINK("https://pbs.twimg.com/profile_images/1620022962/C_pia_de_seguran_a_de_Logo_Site_normal.png")</f>
        <v>https://pbs.twimg.com/profile_images/1620022962/C_pia_de_seguran_a_de_Logo_Site_normal.png</v>
      </c>
      <c r="AW2386" s="93" t="s">
        <v>20570</v>
      </c>
      <c r="AX2386" s="93" t="s">
        <v>22434</v>
      </c>
      <c r="AY2386" s="93" t="s">
        <v>22607</v>
      </c>
      <c r="AZ2386" s="93" t="s">
        <v>22434</v>
      </c>
      <c r="BA2386" s="93" t="s">
        <v>22668</v>
      </c>
      <c r="BB2386" s="93" t="s">
        <v>22668</v>
      </c>
      <c r="BC2386" s="93" t="s">
        <v>22434</v>
      </c>
      <c r="BD2386" s="87">
        <v>399642477</v>
      </c>
      <c r="BE2386" s="87"/>
      <c r="BF2386" s="87"/>
      <c r="BG2386" s="87"/>
      <c r="BH2386" s="87"/>
      <c r="BI2386" s="87"/>
    </row>
    <row r="2387" spans="1:61" x14ac:dyDescent="0.25">
      <c r="A2387" s="63" t="s">
        <v>1043</v>
      </c>
      <c r="B2387" s="63" t="s">
        <v>1745</v>
      </c>
      <c r="C2387" s="64"/>
      <c r="D2387" s="65"/>
      <c r="E2387" s="66"/>
      <c r="F2387" s="67"/>
      <c r="G2387" s="64"/>
      <c r="H2387" s="68"/>
      <c r="I2387" s="69"/>
      <c r="J2387" s="69"/>
      <c r="K2387" s="32"/>
      <c r="L2387" s="76">
        <v>2387</v>
      </c>
      <c r="M2387" s="76"/>
      <c r="N2387" s="71"/>
      <c r="O2387" s="87" t="s">
        <v>1844</v>
      </c>
      <c r="P2387" s="90">
        <v>45127.759351851855</v>
      </c>
      <c r="Q2387" s="87" t="s">
        <v>4111</v>
      </c>
      <c r="R2387" s="87">
        <v>0</v>
      </c>
      <c r="S2387" s="87">
        <v>0</v>
      </c>
      <c r="T2387" s="87">
        <v>0</v>
      </c>
      <c r="U2387" s="87">
        <v>0</v>
      </c>
      <c r="V2387" s="87">
        <v>8</v>
      </c>
      <c r="W2387" s="93" t="s">
        <v>7393</v>
      </c>
      <c r="X2387" s="87"/>
      <c r="Y2387" s="87"/>
      <c r="Z2387" s="87" t="s">
        <v>8592</v>
      </c>
      <c r="AA2387" s="87"/>
      <c r="AB2387" s="87"/>
      <c r="AC2387" s="93" t="s">
        <v>11457</v>
      </c>
      <c r="AD2387" s="87" t="s">
        <v>11520</v>
      </c>
      <c r="AE2387" s="92" t="str">
        <f>HYPERLINK("https://twitter.com/mspontocom/status/1682091366510219264")</f>
        <v>https://twitter.com/mspontocom/status/1682091366510219264</v>
      </c>
      <c r="AF2387" s="90">
        <v>45127.759351851855</v>
      </c>
      <c r="AG2387" s="99">
        <v>45127</v>
      </c>
      <c r="AH2387" s="93" t="s">
        <v>13656</v>
      </c>
      <c r="AI2387" s="87"/>
      <c r="AJ2387" s="87"/>
      <c r="AK2387" s="87"/>
      <c r="AL2387" s="87"/>
      <c r="AM2387" s="87"/>
      <c r="AN2387" s="87"/>
      <c r="AO2387" s="87"/>
      <c r="AP2387" s="87"/>
      <c r="AQ2387" s="87"/>
      <c r="AR2387" s="87"/>
      <c r="AS2387" s="87"/>
      <c r="AT2387" s="87"/>
      <c r="AU2387" s="87"/>
      <c r="AV2387" s="92" t="str">
        <f>HYPERLINK("https://pbs.twimg.com/profile_images/1620022962/C_pia_de_seguran_a_de_Logo_Site_normal.png")</f>
        <v>https://pbs.twimg.com/profile_images/1620022962/C_pia_de_seguran_a_de_Logo_Site_normal.png</v>
      </c>
      <c r="AW2387" s="93" t="s">
        <v>20555</v>
      </c>
      <c r="AX2387" s="93" t="s">
        <v>22430</v>
      </c>
      <c r="AY2387" s="93" t="s">
        <v>22607</v>
      </c>
      <c r="AZ2387" s="93" t="s">
        <v>22430</v>
      </c>
      <c r="BA2387" s="93" t="s">
        <v>22668</v>
      </c>
      <c r="BB2387" s="93" t="s">
        <v>22668</v>
      </c>
      <c r="BC2387" s="93" t="s">
        <v>22430</v>
      </c>
      <c r="BD2387" s="87">
        <v>399642477</v>
      </c>
      <c r="BE2387" s="87"/>
      <c r="BF2387" s="87"/>
      <c r="BG2387" s="87"/>
      <c r="BH2387" s="87"/>
      <c r="BI2387" s="87"/>
    </row>
    <row r="2388" spans="1:61" x14ac:dyDescent="0.25">
      <c r="A2388" s="63" t="s">
        <v>1043</v>
      </c>
      <c r="B2388" s="63" t="s">
        <v>1745</v>
      </c>
      <c r="C2388" s="64"/>
      <c r="D2388" s="65"/>
      <c r="E2388" s="66"/>
      <c r="F2388" s="67"/>
      <c r="G2388" s="64"/>
      <c r="H2388" s="68"/>
      <c r="I2388" s="69"/>
      <c r="J2388" s="69"/>
      <c r="K2388" s="32"/>
      <c r="L2388" s="76">
        <v>2388</v>
      </c>
      <c r="M2388" s="76"/>
      <c r="N2388" s="71"/>
      <c r="O2388" s="87" t="s">
        <v>1844</v>
      </c>
      <c r="P2388" s="90">
        <v>45126.74082175926</v>
      </c>
      <c r="Q2388" s="87" t="s">
        <v>4126</v>
      </c>
      <c r="R2388" s="87">
        <v>0</v>
      </c>
      <c r="S2388" s="87">
        <v>0</v>
      </c>
      <c r="T2388" s="87">
        <v>0</v>
      </c>
      <c r="U2388" s="87">
        <v>0</v>
      </c>
      <c r="V2388" s="87">
        <v>20</v>
      </c>
      <c r="W2388" s="93" t="s">
        <v>7408</v>
      </c>
      <c r="X2388" s="87"/>
      <c r="Y2388" s="87"/>
      <c r="Z2388" s="87" t="s">
        <v>8596</v>
      </c>
      <c r="AA2388" s="87"/>
      <c r="AB2388" s="87"/>
      <c r="AC2388" s="93" t="s">
        <v>11457</v>
      </c>
      <c r="AD2388" s="87" t="s">
        <v>11520</v>
      </c>
      <c r="AE2388" s="92" t="str">
        <f>HYPERLINK("https://twitter.com/mspontocom/status/1681722265438658560")</f>
        <v>https://twitter.com/mspontocom/status/1681722265438658560</v>
      </c>
      <c r="AF2388" s="90">
        <v>45126.74082175926</v>
      </c>
      <c r="AG2388" s="99">
        <v>45126</v>
      </c>
      <c r="AH2388" s="93" t="s">
        <v>13666</v>
      </c>
      <c r="AI2388" s="87"/>
      <c r="AJ2388" s="87"/>
      <c r="AK2388" s="87"/>
      <c r="AL2388" s="87"/>
      <c r="AM2388" s="87"/>
      <c r="AN2388" s="87"/>
      <c r="AO2388" s="87"/>
      <c r="AP2388" s="87"/>
      <c r="AQ2388" s="87"/>
      <c r="AR2388" s="87"/>
      <c r="AS2388" s="87"/>
      <c r="AT2388" s="87"/>
      <c r="AU2388" s="87"/>
      <c r="AV2388" s="92" t="str">
        <f>HYPERLINK("https://pbs.twimg.com/profile_images/1620022962/C_pia_de_seguran_a_de_Logo_Site_normal.png")</f>
        <v>https://pbs.twimg.com/profile_images/1620022962/C_pia_de_seguran_a_de_Logo_Site_normal.png</v>
      </c>
      <c r="AW2388" s="93" t="s">
        <v>20570</v>
      </c>
      <c r="AX2388" s="93" t="s">
        <v>22434</v>
      </c>
      <c r="AY2388" s="93" t="s">
        <v>22607</v>
      </c>
      <c r="AZ2388" s="93" t="s">
        <v>22434</v>
      </c>
      <c r="BA2388" s="93" t="s">
        <v>22668</v>
      </c>
      <c r="BB2388" s="93" t="s">
        <v>22668</v>
      </c>
      <c r="BC2388" s="93" t="s">
        <v>22434</v>
      </c>
      <c r="BD2388" s="87">
        <v>399642477</v>
      </c>
      <c r="BE2388" s="87"/>
      <c r="BF2388" s="87"/>
      <c r="BG2388" s="87"/>
      <c r="BH2388" s="87"/>
      <c r="BI2388" s="87"/>
    </row>
    <row r="2389" spans="1:61" x14ac:dyDescent="0.25">
      <c r="A2389" s="63" t="s">
        <v>1047</v>
      </c>
      <c r="B2389" s="63" t="s">
        <v>1047</v>
      </c>
      <c r="C2389" s="64"/>
      <c r="D2389" s="65"/>
      <c r="E2389" s="66"/>
      <c r="F2389" s="67"/>
      <c r="G2389" s="64"/>
      <c r="H2389" s="68"/>
      <c r="I2389" s="69"/>
      <c r="J2389" s="69"/>
      <c r="K2389" s="32"/>
      <c r="L2389" s="76">
        <v>2389</v>
      </c>
      <c r="M2389" s="76"/>
      <c r="N2389" s="71"/>
      <c r="O2389" s="87" t="s">
        <v>179</v>
      </c>
      <c r="P2389" s="90">
        <v>45159.579618055555</v>
      </c>
      <c r="Q2389" s="87" t="s">
        <v>4127</v>
      </c>
      <c r="R2389" s="87">
        <v>0</v>
      </c>
      <c r="S2389" s="87">
        <v>0</v>
      </c>
      <c r="T2389" s="87">
        <v>0</v>
      </c>
      <c r="U2389" s="87">
        <v>0</v>
      </c>
      <c r="V2389" s="87">
        <v>32</v>
      </c>
      <c r="W2389" s="93" t="s">
        <v>7409</v>
      </c>
      <c r="X2389" s="92" t="str">
        <f>HYPERLINK("https://sebraesimplifica.com.br/")</f>
        <v>https://sebraesimplifica.com.br/</v>
      </c>
      <c r="Y2389" s="87" t="s">
        <v>8373</v>
      </c>
      <c r="Z2389" s="87"/>
      <c r="AA2389" s="87" t="s">
        <v>10148</v>
      </c>
      <c r="AB2389" s="87" t="s">
        <v>11448</v>
      </c>
      <c r="AC2389" s="93" t="s">
        <v>11457</v>
      </c>
      <c r="AD2389" s="87" t="s">
        <v>11519</v>
      </c>
      <c r="AE2389" s="92" t="str">
        <f>HYPERLINK("https://twitter.com/sebraems/status/1693622646569635990")</f>
        <v>https://twitter.com/sebraems/status/1693622646569635990</v>
      </c>
      <c r="AF2389" s="90">
        <v>45159.579618055555</v>
      </c>
      <c r="AG2389" s="99">
        <v>45159</v>
      </c>
      <c r="AH2389" s="93" t="s">
        <v>13667</v>
      </c>
      <c r="AI2389" s="87" t="b">
        <v>0</v>
      </c>
      <c r="AJ2389" s="87"/>
      <c r="AK2389" s="87"/>
      <c r="AL2389" s="87"/>
      <c r="AM2389" s="87"/>
      <c r="AN2389" s="87"/>
      <c r="AO2389" s="87"/>
      <c r="AP2389" s="87"/>
      <c r="AQ2389" s="87" t="s">
        <v>16961</v>
      </c>
      <c r="AR2389" s="87"/>
      <c r="AS2389" s="87"/>
      <c r="AT2389" s="87"/>
      <c r="AU2389" s="87"/>
      <c r="AV2389" s="92" t="str">
        <f>HYPERLINK("https://pbs.twimg.com/media/F4D0sj0XsAANtqO.jpg")</f>
        <v>https://pbs.twimg.com/media/F4D0sj0XsAANtqO.jpg</v>
      </c>
      <c r="AW2389" s="93" t="s">
        <v>20571</v>
      </c>
      <c r="AX2389" s="93" t="s">
        <v>20571</v>
      </c>
      <c r="AY2389" s="87"/>
      <c r="AZ2389" s="93" t="s">
        <v>22668</v>
      </c>
      <c r="BA2389" s="93" t="s">
        <v>22668</v>
      </c>
      <c r="BB2389" s="93" t="s">
        <v>22668</v>
      </c>
      <c r="BC2389" s="93" t="s">
        <v>20571</v>
      </c>
      <c r="BD2389" s="87">
        <v>36780575</v>
      </c>
      <c r="BE2389" s="87"/>
      <c r="BF2389" s="87"/>
      <c r="BG2389" s="87"/>
      <c r="BH2389" s="87"/>
      <c r="BI2389" s="87"/>
    </row>
    <row r="2390" spans="1:61" x14ac:dyDescent="0.25">
      <c r="A2390" s="63" t="s">
        <v>1043</v>
      </c>
      <c r="B2390" s="63" t="s">
        <v>1047</v>
      </c>
      <c r="C2390" s="64"/>
      <c r="D2390" s="65"/>
      <c r="E2390" s="66"/>
      <c r="F2390" s="67"/>
      <c r="G2390" s="64"/>
      <c r="H2390" s="68"/>
      <c r="I2390" s="69"/>
      <c r="J2390" s="69"/>
      <c r="K2390" s="32"/>
      <c r="L2390" s="76">
        <v>2390</v>
      </c>
      <c r="M2390" s="76"/>
      <c r="N2390" s="71"/>
      <c r="O2390" s="87" t="s">
        <v>1844</v>
      </c>
      <c r="P2390" s="90">
        <v>45121.770289351851</v>
      </c>
      <c r="Q2390" s="87" t="s">
        <v>4114</v>
      </c>
      <c r="R2390" s="87">
        <v>0</v>
      </c>
      <c r="S2390" s="87">
        <v>0</v>
      </c>
      <c r="T2390" s="87">
        <v>0</v>
      </c>
      <c r="U2390" s="87">
        <v>0</v>
      </c>
      <c r="V2390" s="87">
        <v>22</v>
      </c>
      <c r="W2390" s="93" t="s">
        <v>7396</v>
      </c>
      <c r="X2390" s="87"/>
      <c r="Y2390" s="87"/>
      <c r="Z2390" s="87" t="s">
        <v>8595</v>
      </c>
      <c r="AA2390" s="87"/>
      <c r="AB2390" s="87"/>
      <c r="AC2390" s="93" t="s">
        <v>11457</v>
      </c>
      <c r="AD2390" s="87" t="s">
        <v>11520</v>
      </c>
      <c r="AE2390" s="92" t="str">
        <f>HYPERLINK("https://twitter.com/mspontocom/status/1679921003017691136")</f>
        <v>https://twitter.com/mspontocom/status/1679921003017691136</v>
      </c>
      <c r="AF2390" s="90">
        <v>45121.770289351851</v>
      </c>
      <c r="AG2390" s="99">
        <v>45121</v>
      </c>
      <c r="AH2390" s="93" t="s">
        <v>13659</v>
      </c>
      <c r="AI2390" s="87"/>
      <c r="AJ2390" s="87"/>
      <c r="AK2390" s="87"/>
      <c r="AL2390" s="87"/>
      <c r="AM2390" s="87"/>
      <c r="AN2390" s="87"/>
      <c r="AO2390" s="87"/>
      <c r="AP2390" s="87"/>
      <c r="AQ2390" s="87"/>
      <c r="AR2390" s="87"/>
      <c r="AS2390" s="87"/>
      <c r="AT2390" s="87"/>
      <c r="AU2390" s="87"/>
      <c r="AV2390" s="92" t="str">
        <f>HYPERLINK("https://pbs.twimg.com/profile_images/1620022962/C_pia_de_seguran_a_de_Logo_Site_normal.png")</f>
        <v>https://pbs.twimg.com/profile_images/1620022962/C_pia_de_seguran_a_de_Logo_Site_normal.png</v>
      </c>
      <c r="AW2390" s="93" t="s">
        <v>20558</v>
      </c>
      <c r="AX2390" s="93" t="s">
        <v>22433</v>
      </c>
      <c r="AY2390" s="93" t="s">
        <v>22607</v>
      </c>
      <c r="AZ2390" s="93" t="s">
        <v>22433</v>
      </c>
      <c r="BA2390" s="93" t="s">
        <v>22668</v>
      </c>
      <c r="BB2390" s="93" t="s">
        <v>22668</v>
      </c>
      <c r="BC2390" s="93" t="s">
        <v>22433</v>
      </c>
      <c r="BD2390" s="87">
        <v>399642477</v>
      </c>
      <c r="BE2390" s="87"/>
      <c r="BF2390" s="87"/>
      <c r="BG2390" s="87"/>
      <c r="BH2390" s="87"/>
      <c r="BI2390" s="87"/>
    </row>
    <row r="2391" spans="1:61" x14ac:dyDescent="0.25">
      <c r="A2391" s="63" t="s">
        <v>1043</v>
      </c>
      <c r="B2391" s="63" t="s">
        <v>1047</v>
      </c>
      <c r="C2391" s="64"/>
      <c r="D2391" s="65"/>
      <c r="E2391" s="66"/>
      <c r="F2391" s="67"/>
      <c r="G2391" s="64"/>
      <c r="H2391" s="68"/>
      <c r="I2391" s="69"/>
      <c r="J2391" s="69"/>
      <c r="K2391" s="32"/>
      <c r="L2391" s="76">
        <v>2391</v>
      </c>
      <c r="M2391" s="76"/>
      <c r="N2391" s="71"/>
      <c r="O2391" s="87" t="s">
        <v>1844</v>
      </c>
      <c r="P2391" s="90">
        <v>45126.74082175926</v>
      </c>
      <c r="Q2391" s="87" t="s">
        <v>4126</v>
      </c>
      <c r="R2391" s="87">
        <v>0</v>
      </c>
      <c r="S2391" s="87">
        <v>0</v>
      </c>
      <c r="T2391" s="87">
        <v>0</v>
      </c>
      <c r="U2391" s="87">
        <v>0</v>
      </c>
      <c r="V2391" s="87">
        <v>20</v>
      </c>
      <c r="W2391" s="93" t="s">
        <v>7408</v>
      </c>
      <c r="X2391" s="87"/>
      <c r="Y2391" s="87"/>
      <c r="Z2391" s="87" t="s">
        <v>8596</v>
      </c>
      <c r="AA2391" s="87"/>
      <c r="AB2391" s="87"/>
      <c r="AC2391" s="93" t="s">
        <v>11457</v>
      </c>
      <c r="AD2391" s="87" t="s">
        <v>11520</v>
      </c>
      <c r="AE2391" s="92" t="str">
        <f>HYPERLINK("https://twitter.com/mspontocom/status/1681722265438658560")</f>
        <v>https://twitter.com/mspontocom/status/1681722265438658560</v>
      </c>
      <c r="AF2391" s="90">
        <v>45126.74082175926</v>
      </c>
      <c r="AG2391" s="99">
        <v>45126</v>
      </c>
      <c r="AH2391" s="93" t="s">
        <v>13666</v>
      </c>
      <c r="AI2391" s="87"/>
      <c r="AJ2391" s="87"/>
      <c r="AK2391" s="87"/>
      <c r="AL2391" s="87"/>
      <c r="AM2391" s="87"/>
      <c r="AN2391" s="87"/>
      <c r="AO2391" s="87"/>
      <c r="AP2391" s="87"/>
      <c r="AQ2391" s="87"/>
      <c r="AR2391" s="87"/>
      <c r="AS2391" s="87"/>
      <c r="AT2391" s="87"/>
      <c r="AU2391" s="87"/>
      <c r="AV2391" s="92" t="str">
        <f>HYPERLINK("https://pbs.twimg.com/profile_images/1620022962/C_pia_de_seguran_a_de_Logo_Site_normal.png")</f>
        <v>https://pbs.twimg.com/profile_images/1620022962/C_pia_de_seguran_a_de_Logo_Site_normal.png</v>
      </c>
      <c r="AW2391" s="93" t="s">
        <v>20570</v>
      </c>
      <c r="AX2391" s="93" t="s">
        <v>22434</v>
      </c>
      <c r="AY2391" s="93" t="s">
        <v>22607</v>
      </c>
      <c r="AZ2391" s="93" t="s">
        <v>22434</v>
      </c>
      <c r="BA2391" s="93" t="s">
        <v>22668</v>
      </c>
      <c r="BB2391" s="93" t="s">
        <v>22668</v>
      </c>
      <c r="BC2391" s="93" t="s">
        <v>22434</v>
      </c>
      <c r="BD2391" s="87">
        <v>399642477</v>
      </c>
      <c r="BE2391" s="87"/>
      <c r="BF2391" s="87"/>
      <c r="BG2391" s="87"/>
      <c r="BH2391" s="87"/>
      <c r="BI2391" s="87"/>
    </row>
    <row r="2392" spans="1:61" x14ac:dyDescent="0.25">
      <c r="A2392" s="63" t="s">
        <v>1043</v>
      </c>
      <c r="B2392" s="63" t="s">
        <v>1746</v>
      </c>
      <c r="C2392" s="64"/>
      <c r="D2392" s="65"/>
      <c r="E2392" s="66"/>
      <c r="F2392" s="67"/>
      <c r="G2392" s="64"/>
      <c r="H2392" s="68"/>
      <c r="I2392" s="69"/>
      <c r="J2392" s="69"/>
      <c r="K2392" s="32"/>
      <c r="L2392" s="76">
        <v>2392</v>
      </c>
      <c r="M2392" s="76"/>
      <c r="N2392" s="71"/>
      <c r="O2392" s="87" t="s">
        <v>1844</v>
      </c>
      <c r="P2392" s="90">
        <v>45127.759351851855</v>
      </c>
      <c r="Q2392" s="87" t="s">
        <v>4111</v>
      </c>
      <c r="R2392" s="87">
        <v>0</v>
      </c>
      <c r="S2392" s="87">
        <v>0</v>
      </c>
      <c r="T2392" s="87">
        <v>0</v>
      </c>
      <c r="U2392" s="87">
        <v>0</v>
      </c>
      <c r="V2392" s="87">
        <v>8</v>
      </c>
      <c r="W2392" s="93" t="s">
        <v>7393</v>
      </c>
      <c r="X2392" s="87"/>
      <c r="Y2392" s="87"/>
      <c r="Z2392" s="87" t="s">
        <v>8592</v>
      </c>
      <c r="AA2392" s="87"/>
      <c r="AB2392" s="87"/>
      <c r="AC2392" s="93" t="s">
        <v>11457</v>
      </c>
      <c r="AD2392" s="87" t="s">
        <v>11520</v>
      </c>
      <c r="AE2392" s="92" t="str">
        <f>HYPERLINK("https://twitter.com/mspontocom/status/1682091366510219264")</f>
        <v>https://twitter.com/mspontocom/status/1682091366510219264</v>
      </c>
      <c r="AF2392" s="90">
        <v>45127.759351851855</v>
      </c>
      <c r="AG2392" s="99">
        <v>45127</v>
      </c>
      <c r="AH2392" s="93" t="s">
        <v>13656</v>
      </c>
      <c r="AI2392" s="87"/>
      <c r="AJ2392" s="87"/>
      <c r="AK2392" s="87"/>
      <c r="AL2392" s="87"/>
      <c r="AM2392" s="87"/>
      <c r="AN2392" s="87"/>
      <c r="AO2392" s="87"/>
      <c r="AP2392" s="87"/>
      <c r="AQ2392" s="87"/>
      <c r="AR2392" s="87"/>
      <c r="AS2392" s="87"/>
      <c r="AT2392" s="87"/>
      <c r="AU2392" s="87"/>
      <c r="AV2392" s="92" t="str">
        <f>HYPERLINK("https://pbs.twimg.com/profile_images/1620022962/C_pia_de_seguran_a_de_Logo_Site_normal.png")</f>
        <v>https://pbs.twimg.com/profile_images/1620022962/C_pia_de_seguran_a_de_Logo_Site_normal.png</v>
      </c>
      <c r="AW2392" s="93" t="s">
        <v>20555</v>
      </c>
      <c r="AX2392" s="93" t="s">
        <v>22430</v>
      </c>
      <c r="AY2392" s="93" t="s">
        <v>22607</v>
      </c>
      <c r="AZ2392" s="93" t="s">
        <v>22430</v>
      </c>
      <c r="BA2392" s="93" t="s">
        <v>22668</v>
      </c>
      <c r="BB2392" s="93" t="s">
        <v>22668</v>
      </c>
      <c r="BC2392" s="93" t="s">
        <v>22430</v>
      </c>
      <c r="BD2392" s="87">
        <v>399642477</v>
      </c>
      <c r="BE2392" s="87"/>
      <c r="BF2392" s="87"/>
      <c r="BG2392" s="87"/>
      <c r="BH2392" s="87"/>
      <c r="BI2392" s="87"/>
    </row>
    <row r="2393" spans="1:61" x14ac:dyDescent="0.25">
      <c r="A2393" s="63" t="s">
        <v>1043</v>
      </c>
      <c r="B2393" s="63" t="s">
        <v>1746</v>
      </c>
      <c r="C2393" s="64"/>
      <c r="D2393" s="65"/>
      <c r="E2393" s="66"/>
      <c r="F2393" s="67"/>
      <c r="G2393" s="64"/>
      <c r="H2393" s="68"/>
      <c r="I2393" s="69"/>
      <c r="J2393" s="69"/>
      <c r="K2393" s="32"/>
      <c r="L2393" s="76">
        <v>2393</v>
      </c>
      <c r="M2393" s="76"/>
      <c r="N2393" s="71"/>
      <c r="O2393" s="87" t="s">
        <v>1844</v>
      </c>
      <c r="P2393" s="90">
        <v>45119.764328703706</v>
      </c>
      <c r="Q2393" s="87" t="s">
        <v>4113</v>
      </c>
      <c r="R2393" s="87">
        <v>0</v>
      </c>
      <c r="S2393" s="87">
        <v>0</v>
      </c>
      <c r="T2393" s="87">
        <v>0</v>
      </c>
      <c r="U2393" s="87">
        <v>0</v>
      </c>
      <c r="V2393" s="87">
        <v>16</v>
      </c>
      <c r="W2393" s="93" t="s">
        <v>7395</v>
      </c>
      <c r="X2393" s="87"/>
      <c r="Y2393" s="87"/>
      <c r="Z2393" s="87" t="s">
        <v>8594</v>
      </c>
      <c r="AA2393" s="87"/>
      <c r="AB2393" s="87"/>
      <c r="AC2393" s="93" t="s">
        <v>11457</v>
      </c>
      <c r="AD2393" s="87" t="s">
        <v>11520</v>
      </c>
      <c r="AE2393" s="92" t="str">
        <f>HYPERLINK("https://twitter.com/mspontocom/status/1679194067027083264")</f>
        <v>https://twitter.com/mspontocom/status/1679194067027083264</v>
      </c>
      <c r="AF2393" s="90">
        <v>45119.764328703706</v>
      </c>
      <c r="AG2393" s="99">
        <v>45119</v>
      </c>
      <c r="AH2393" s="93" t="s">
        <v>13658</v>
      </c>
      <c r="AI2393" s="87"/>
      <c r="AJ2393" s="87"/>
      <c r="AK2393" s="87"/>
      <c r="AL2393" s="87"/>
      <c r="AM2393" s="87"/>
      <c r="AN2393" s="87"/>
      <c r="AO2393" s="87"/>
      <c r="AP2393" s="87"/>
      <c r="AQ2393" s="87"/>
      <c r="AR2393" s="87"/>
      <c r="AS2393" s="87"/>
      <c r="AT2393" s="87"/>
      <c r="AU2393" s="87"/>
      <c r="AV2393" s="92" t="str">
        <f>HYPERLINK("https://pbs.twimg.com/profile_images/1620022962/C_pia_de_seguran_a_de_Logo_Site_normal.png")</f>
        <v>https://pbs.twimg.com/profile_images/1620022962/C_pia_de_seguran_a_de_Logo_Site_normal.png</v>
      </c>
      <c r="AW2393" s="93" t="s">
        <v>20557</v>
      </c>
      <c r="AX2393" s="93" t="s">
        <v>22432</v>
      </c>
      <c r="AY2393" s="93" t="s">
        <v>22607</v>
      </c>
      <c r="AZ2393" s="93" t="s">
        <v>22432</v>
      </c>
      <c r="BA2393" s="93" t="s">
        <v>22668</v>
      </c>
      <c r="BB2393" s="93" t="s">
        <v>22668</v>
      </c>
      <c r="BC2393" s="93" t="s">
        <v>22432</v>
      </c>
      <c r="BD2393" s="87">
        <v>399642477</v>
      </c>
      <c r="BE2393" s="87"/>
      <c r="BF2393" s="87"/>
      <c r="BG2393" s="87"/>
      <c r="BH2393" s="87"/>
      <c r="BI2393" s="87"/>
    </row>
    <row r="2394" spans="1:61" x14ac:dyDescent="0.25">
      <c r="A2394" s="63" t="s">
        <v>1043</v>
      </c>
      <c r="B2394" s="63" t="s">
        <v>1746</v>
      </c>
      <c r="C2394" s="64"/>
      <c r="D2394" s="65"/>
      <c r="E2394" s="66"/>
      <c r="F2394" s="67"/>
      <c r="G2394" s="64"/>
      <c r="H2394" s="68"/>
      <c r="I2394" s="69"/>
      <c r="J2394" s="69"/>
      <c r="K2394" s="32"/>
      <c r="L2394" s="76">
        <v>2394</v>
      </c>
      <c r="M2394" s="76"/>
      <c r="N2394" s="71"/>
      <c r="O2394" s="87" t="s">
        <v>1844</v>
      </c>
      <c r="P2394" s="90">
        <v>45126.74082175926</v>
      </c>
      <c r="Q2394" s="87" t="s">
        <v>4126</v>
      </c>
      <c r="R2394" s="87">
        <v>0</v>
      </c>
      <c r="S2394" s="87">
        <v>0</v>
      </c>
      <c r="T2394" s="87">
        <v>0</v>
      </c>
      <c r="U2394" s="87">
        <v>0</v>
      </c>
      <c r="V2394" s="87">
        <v>20</v>
      </c>
      <c r="W2394" s="93" t="s">
        <v>7408</v>
      </c>
      <c r="X2394" s="87"/>
      <c r="Y2394" s="87"/>
      <c r="Z2394" s="87" t="s">
        <v>8596</v>
      </c>
      <c r="AA2394" s="87"/>
      <c r="AB2394" s="87"/>
      <c r="AC2394" s="93" t="s">
        <v>11457</v>
      </c>
      <c r="AD2394" s="87" t="s">
        <v>11520</v>
      </c>
      <c r="AE2394" s="92" t="str">
        <f>HYPERLINK("https://twitter.com/mspontocom/status/1681722265438658560")</f>
        <v>https://twitter.com/mspontocom/status/1681722265438658560</v>
      </c>
      <c r="AF2394" s="90">
        <v>45126.74082175926</v>
      </c>
      <c r="AG2394" s="99">
        <v>45126</v>
      </c>
      <c r="AH2394" s="93" t="s">
        <v>13666</v>
      </c>
      <c r="AI2394" s="87"/>
      <c r="AJ2394" s="87"/>
      <c r="AK2394" s="87"/>
      <c r="AL2394" s="87"/>
      <c r="AM2394" s="87"/>
      <c r="AN2394" s="87"/>
      <c r="AO2394" s="87"/>
      <c r="AP2394" s="87"/>
      <c r="AQ2394" s="87"/>
      <c r="AR2394" s="87"/>
      <c r="AS2394" s="87"/>
      <c r="AT2394" s="87"/>
      <c r="AU2394" s="87"/>
      <c r="AV2394" s="92" t="str">
        <f>HYPERLINK("https://pbs.twimg.com/profile_images/1620022962/C_pia_de_seguran_a_de_Logo_Site_normal.png")</f>
        <v>https://pbs.twimg.com/profile_images/1620022962/C_pia_de_seguran_a_de_Logo_Site_normal.png</v>
      </c>
      <c r="AW2394" s="93" t="s">
        <v>20570</v>
      </c>
      <c r="AX2394" s="93" t="s">
        <v>22434</v>
      </c>
      <c r="AY2394" s="93" t="s">
        <v>22607</v>
      </c>
      <c r="AZ2394" s="93" t="s">
        <v>22434</v>
      </c>
      <c r="BA2394" s="93" t="s">
        <v>22668</v>
      </c>
      <c r="BB2394" s="93" t="s">
        <v>22668</v>
      </c>
      <c r="BC2394" s="93" t="s">
        <v>22434</v>
      </c>
      <c r="BD2394" s="87">
        <v>399642477</v>
      </c>
      <c r="BE2394" s="87"/>
      <c r="BF2394" s="87"/>
      <c r="BG2394" s="87"/>
      <c r="BH2394" s="87"/>
      <c r="BI2394" s="87"/>
    </row>
    <row r="2395" spans="1:61" x14ac:dyDescent="0.25">
      <c r="A2395" s="63" t="s">
        <v>1043</v>
      </c>
      <c r="B2395" s="63" t="s">
        <v>1747</v>
      </c>
      <c r="C2395" s="64"/>
      <c r="D2395" s="65"/>
      <c r="E2395" s="66"/>
      <c r="F2395" s="67"/>
      <c r="G2395" s="64"/>
      <c r="H2395" s="68"/>
      <c r="I2395" s="69"/>
      <c r="J2395" s="69"/>
      <c r="K2395" s="32"/>
      <c r="L2395" s="76">
        <v>2395</v>
      </c>
      <c r="M2395" s="76"/>
      <c r="N2395" s="71"/>
      <c r="O2395" s="87" t="s">
        <v>1844</v>
      </c>
      <c r="P2395" s="90">
        <v>45125.557766203703</v>
      </c>
      <c r="Q2395" s="87" t="s">
        <v>4128</v>
      </c>
      <c r="R2395" s="87">
        <v>0</v>
      </c>
      <c r="S2395" s="87">
        <v>0</v>
      </c>
      <c r="T2395" s="87">
        <v>0</v>
      </c>
      <c r="U2395" s="87">
        <v>0</v>
      </c>
      <c r="V2395" s="87">
        <v>10</v>
      </c>
      <c r="W2395" s="93" t="s">
        <v>7410</v>
      </c>
      <c r="X2395" s="87"/>
      <c r="Y2395" s="87"/>
      <c r="Z2395" s="87" t="s">
        <v>8597</v>
      </c>
      <c r="AA2395" s="87"/>
      <c r="AB2395" s="87"/>
      <c r="AC2395" s="93" t="s">
        <v>11457</v>
      </c>
      <c r="AD2395" s="87" t="s">
        <v>11520</v>
      </c>
      <c r="AE2395" s="92" t="str">
        <f>HYPERLINK("https://twitter.com/mspontocom/status/1681293539089563653")</f>
        <v>https://twitter.com/mspontocom/status/1681293539089563653</v>
      </c>
      <c r="AF2395" s="90">
        <v>45125.557766203703</v>
      </c>
      <c r="AG2395" s="99">
        <v>45125</v>
      </c>
      <c r="AH2395" s="93" t="s">
        <v>13668</v>
      </c>
      <c r="AI2395" s="87"/>
      <c r="AJ2395" s="87"/>
      <c r="AK2395" s="87"/>
      <c r="AL2395" s="87"/>
      <c r="AM2395" s="87"/>
      <c r="AN2395" s="87"/>
      <c r="AO2395" s="87"/>
      <c r="AP2395" s="87"/>
      <c r="AQ2395" s="87"/>
      <c r="AR2395" s="87"/>
      <c r="AS2395" s="87"/>
      <c r="AT2395" s="87"/>
      <c r="AU2395" s="87"/>
      <c r="AV2395" s="92" t="str">
        <f>HYPERLINK("https://pbs.twimg.com/profile_images/1620022962/C_pia_de_seguran_a_de_Logo_Site_normal.png")</f>
        <v>https://pbs.twimg.com/profile_images/1620022962/C_pia_de_seguran_a_de_Logo_Site_normal.png</v>
      </c>
      <c r="AW2395" s="93" t="s">
        <v>20572</v>
      </c>
      <c r="AX2395" s="93" t="s">
        <v>22435</v>
      </c>
      <c r="AY2395" s="93" t="s">
        <v>22607</v>
      </c>
      <c r="AZ2395" s="93" t="s">
        <v>22435</v>
      </c>
      <c r="BA2395" s="93" t="s">
        <v>22668</v>
      </c>
      <c r="BB2395" s="93" t="s">
        <v>22668</v>
      </c>
      <c r="BC2395" s="93" t="s">
        <v>22435</v>
      </c>
      <c r="BD2395" s="87">
        <v>399642477</v>
      </c>
      <c r="BE2395" s="87"/>
      <c r="BF2395" s="87"/>
      <c r="BG2395" s="87"/>
      <c r="BH2395" s="87"/>
      <c r="BI2395" s="87"/>
    </row>
    <row r="2396" spans="1:61" x14ac:dyDescent="0.25">
      <c r="A2396" s="63" t="s">
        <v>1043</v>
      </c>
      <c r="B2396" s="63" t="s">
        <v>1748</v>
      </c>
      <c r="C2396" s="64"/>
      <c r="D2396" s="65"/>
      <c r="E2396" s="66"/>
      <c r="F2396" s="67"/>
      <c r="G2396" s="64"/>
      <c r="H2396" s="68"/>
      <c r="I2396" s="69"/>
      <c r="J2396" s="69"/>
      <c r="K2396" s="32"/>
      <c r="L2396" s="76">
        <v>2396</v>
      </c>
      <c r="M2396" s="76"/>
      <c r="N2396" s="71"/>
      <c r="O2396" s="87" t="s">
        <v>1844</v>
      </c>
      <c r="P2396" s="90">
        <v>45127.759351851855</v>
      </c>
      <c r="Q2396" s="87" t="s">
        <v>4111</v>
      </c>
      <c r="R2396" s="87">
        <v>0</v>
      </c>
      <c r="S2396" s="87">
        <v>0</v>
      </c>
      <c r="T2396" s="87">
        <v>0</v>
      </c>
      <c r="U2396" s="87">
        <v>0</v>
      </c>
      <c r="V2396" s="87">
        <v>8</v>
      </c>
      <c r="W2396" s="93" t="s">
        <v>7393</v>
      </c>
      <c r="X2396" s="87"/>
      <c r="Y2396" s="87"/>
      <c r="Z2396" s="87" t="s">
        <v>8592</v>
      </c>
      <c r="AA2396" s="87"/>
      <c r="AB2396" s="87"/>
      <c r="AC2396" s="93" t="s">
        <v>11457</v>
      </c>
      <c r="AD2396" s="87" t="s">
        <v>11520</v>
      </c>
      <c r="AE2396" s="92" t="str">
        <f>HYPERLINK("https://twitter.com/mspontocom/status/1682091366510219264")</f>
        <v>https://twitter.com/mspontocom/status/1682091366510219264</v>
      </c>
      <c r="AF2396" s="90">
        <v>45127.759351851855</v>
      </c>
      <c r="AG2396" s="99">
        <v>45127</v>
      </c>
      <c r="AH2396" s="93" t="s">
        <v>13656</v>
      </c>
      <c r="AI2396" s="87"/>
      <c r="AJ2396" s="87"/>
      <c r="AK2396" s="87"/>
      <c r="AL2396" s="87"/>
      <c r="AM2396" s="87"/>
      <c r="AN2396" s="87"/>
      <c r="AO2396" s="87"/>
      <c r="AP2396" s="87"/>
      <c r="AQ2396" s="87"/>
      <c r="AR2396" s="87"/>
      <c r="AS2396" s="87"/>
      <c r="AT2396" s="87"/>
      <c r="AU2396" s="87"/>
      <c r="AV2396" s="92" t="str">
        <f>HYPERLINK("https://pbs.twimg.com/profile_images/1620022962/C_pia_de_seguran_a_de_Logo_Site_normal.png")</f>
        <v>https://pbs.twimg.com/profile_images/1620022962/C_pia_de_seguran_a_de_Logo_Site_normal.png</v>
      </c>
      <c r="AW2396" s="93" t="s">
        <v>20555</v>
      </c>
      <c r="AX2396" s="93" t="s">
        <v>22430</v>
      </c>
      <c r="AY2396" s="93" t="s">
        <v>22607</v>
      </c>
      <c r="AZ2396" s="93" t="s">
        <v>22430</v>
      </c>
      <c r="BA2396" s="93" t="s">
        <v>22668</v>
      </c>
      <c r="BB2396" s="93" t="s">
        <v>22668</v>
      </c>
      <c r="BC2396" s="93" t="s">
        <v>22430</v>
      </c>
      <c r="BD2396" s="87">
        <v>399642477</v>
      </c>
      <c r="BE2396" s="87"/>
      <c r="BF2396" s="87"/>
      <c r="BG2396" s="87"/>
      <c r="BH2396" s="87"/>
      <c r="BI2396" s="87"/>
    </row>
    <row r="2397" spans="1:61" x14ac:dyDescent="0.25">
      <c r="A2397" s="63" t="s">
        <v>1043</v>
      </c>
      <c r="B2397" s="63" t="s">
        <v>1748</v>
      </c>
      <c r="C2397" s="64"/>
      <c r="D2397" s="65"/>
      <c r="E2397" s="66"/>
      <c r="F2397" s="67"/>
      <c r="G2397" s="64"/>
      <c r="H2397" s="68"/>
      <c r="I2397" s="69"/>
      <c r="J2397" s="69"/>
      <c r="K2397" s="32"/>
      <c r="L2397" s="76">
        <v>2397</v>
      </c>
      <c r="M2397" s="76"/>
      <c r="N2397" s="71"/>
      <c r="O2397" s="87" t="s">
        <v>1844</v>
      </c>
      <c r="P2397" s="90">
        <v>45118.727951388886</v>
      </c>
      <c r="Q2397" s="87" t="s">
        <v>4112</v>
      </c>
      <c r="R2397" s="87">
        <v>0</v>
      </c>
      <c r="S2397" s="87">
        <v>0</v>
      </c>
      <c r="T2397" s="87">
        <v>0</v>
      </c>
      <c r="U2397" s="87">
        <v>0</v>
      </c>
      <c r="V2397" s="87">
        <v>20</v>
      </c>
      <c r="W2397" s="93" t="s">
        <v>7394</v>
      </c>
      <c r="X2397" s="87"/>
      <c r="Y2397" s="87"/>
      <c r="Z2397" s="87" t="s">
        <v>8593</v>
      </c>
      <c r="AA2397" s="87"/>
      <c r="AB2397" s="87"/>
      <c r="AC2397" s="93" t="s">
        <v>11457</v>
      </c>
      <c r="AD2397" s="87" t="s">
        <v>11520</v>
      </c>
      <c r="AE2397" s="92" t="str">
        <f>HYPERLINK("https://twitter.com/mspontocom/status/1678818498955341838")</f>
        <v>https://twitter.com/mspontocom/status/1678818498955341838</v>
      </c>
      <c r="AF2397" s="90">
        <v>45118.727951388886</v>
      </c>
      <c r="AG2397" s="99">
        <v>45118</v>
      </c>
      <c r="AH2397" s="93" t="s">
        <v>13657</v>
      </c>
      <c r="AI2397" s="87"/>
      <c r="AJ2397" s="87"/>
      <c r="AK2397" s="87"/>
      <c r="AL2397" s="87"/>
      <c r="AM2397" s="87"/>
      <c r="AN2397" s="87"/>
      <c r="AO2397" s="87"/>
      <c r="AP2397" s="87"/>
      <c r="AQ2397" s="87"/>
      <c r="AR2397" s="87"/>
      <c r="AS2397" s="87"/>
      <c r="AT2397" s="87"/>
      <c r="AU2397" s="87"/>
      <c r="AV2397" s="92" t="str">
        <f>HYPERLINK("https://pbs.twimg.com/profile_images/1620022962/C_pia_de_seguran_a_de_Logo_Site_normal.png")</f>
        <v>https://pbs.twimg.com/profile_images/1620022962/C_pia_de_seguran_a_de_Logo_Site_normal.png</v>
      </c>
      <c r="AW2397" s="93" t="s">
        <v>20556</v>
      </c>
      <c r="AX2397" s="93" t="s">
        <v>22431</v>
      </c>
      <c r="AY2397" s="93" t="s">
        <v>22607</v>
      </c>
      <c r="AZ2397" s="93" t="s">
        <v>22431</v>
      </c>
      <c r="BA2397" s="93" t="s">
        <v>22668</v>
      </c>
      <c r="BB2397" s="93" t="s">
        <v>22668</v>
      </c>
      <c r="BC2397" s="93" t="s">
        <v>22431</v>
      </c>
      <c r="BD2397" s="87">
        <v>399642477</v>
      </c>
      <c r="BE2397" s="87"/>
      <c r="BF2397" s="87"/>
      <c r="BG2397" s="87"/>
      <c r="BH2397" s="87"/>
      <c r="BI2397" s="87"/>
    </row>
    <row r="2398" spans="1:61" x14ac:dyDescent="0.25">
      <c r="A2398" s="63" t="s">
        <v>1043</v>
      </c>
      <c r="B2398" s="63" t="s">
        <v>1748</v>
      </c>
      <c r="C2398" s="64"/>
      <c r="D2398" s="65"/>
      <c r="E2398" s="66"/>
      <c r="F2398" s="67"/>
      <c r="G2398" s="64"/>
      <c r="H2398" s="68"/>
      <c r="I2398" s="69"/>
      <c r="J2398" s="69"/>
      <c r="K2398" s="32"/>
      <c r="L2398" s="76">
        <v>2398</v>
      </c>
      <c r="M2398" s="76"/>
      <c r="N2398" s="71"/>
      <c r="O2398" s="87" t="s">
        <v>1844</v>
      </c>
      <c r="P2398" s="90">
        <v>45119.764328703706</v>
      </c>
      <c r="Q2398" s="87" t="s">
        <v>4113</v>
      </c>
      <c r="R2398" s="87">
        <v>0</v>
      </c>
      <c r="S2398" s="87">
        <v>0</v>
      </c>
      <c r="T2398" s="87">
        <v>0</v>
      </c>
      <c r="U2398" s="87">
        <v>0</v>
      </c>
      <c r="V2398" s="87">
        <v>16</v>
      </c>
      <c r="W2398" s="93" t="s">
        <v>7395</v>
      </c>
      <c r="X2398" s="87"/>
      <c r="Y2398" s="87"/>
      <c r="Z2398" s="87" t="s">
        <v>8594</v>
      </c>
      <c r="AA2398" s="87"/>
      <c r="AB2398" s="87"/>
      <c r="AC2398" s="93" t="s">
        <v>11457</v>
      </c>
      <c r="AD2398" s="87" t="s">
        <v>11520</v>
      </c>
      <c r="AE2398" s="92" t="str">
        <f>HYPERLINK("https://twitter.com/mspontocom/status/1679194067027083264")</f>
        <v>https://twitter.com/mspontocom/status/1679194067027083264</v>
      </c>
      <c r="AF2398" s="90">
        <v>45119.764328703706</v>
      </c>
      <c r="AG2398" s="99">
        <v>45119</v>
      </c>
      <c r="AH2398" s="93" t="s">
        <v>13658</v>
      </c>
      <c r="AI2398" s="87"/>
      <c r="AJ2398" s="87"/>
      <c r="AK2398" s="87"/>
      <c r="AL2398" s="87"/>
      <c r="AM2398" s="87"/>
      <c r="AN2398" s="87"/>
      <c r="AO2398" s="87"/>
      <c r="AP2398" s="87"/>
      <c r="AQ2398" s="87"/>
      <c r="AR2398" s="87"/>
      <c r="AS2398" s="87"/>
      <c r="AT2398" s="87"/>
      <c r="AU2398" s="87"/>
      <c r="AV2398" s="92" t="str">
        <f>HYPERLINK("https://pbs.twimg.com/profile_images/1620022962/C_pia_de_seguran_a_de_Logo_Site_normal.png")</f>
        <v>https://pbs.twimg.com/profile_images/1620022962/C_pia_de_seguran_a_de_Logo_Site_normal.png</v>
      </c>
      <c r="AW2398" s="93" t="s">
        <v>20557</v>
      </c>
      <c r="AX2398" s="93" t="s">
        <v>22432</v>
      </c>
      <c r="AY2398" s="93" t="s">
        <v>22607</v>
      </c>
      <c r="AZ2398" s="93" t="s">
        <v>22432</v>
      </c>
      <c r="BA2398" s="93" t="s">
        <v>22668</v>
      </c>
      <c r="BB2398" s="93" t="s">
        <v>22668</v>
      </c>
      <c r="BC2398" s="93" t="s">
        <v>22432</v>
      </c>
      <c r="BD2398" s="87">
        <v>399642477</v>
      </c>
      <c r="BE2398" s="87"/>
      <c r="BF2398" s="87"/>
      <c r="BG2398" s="87"/>
      <c r="BH2398" s="87"/>
      <c r="BI2398" s="87"/>
    </row>
    <row r="2399" spans="1:61" x14ac:dyDescent="0.25">
      <c r="A2399" s="63" t="s">
        <v>1043</v>
      </c>
      <c r="B2399" s="63" t="s">
        <v>1748</v>
      </c>
      <c r="C2399" s="64"/>
      <c r="D2399" s="65"/>
      <c r="E2399" s="66"/>
      <c r="F2399" s="67"/>
      <c r="G2399" s="64"/>
      <c r="H2399" s="68"/>
      <c r="I2399" s="69"/>
      <c r="J2399" s="69"/>
      <c r="K2399" s="32"/>
      <c r="L2399" s="76">
        <v>2399</v>
      </c>
      <c r="M2399" s="76"/>
      <c r="N2399" s="71"/>
      <c r="O2399" s="87" t="s">
        <v>1844</v>
      </c>
      <c r="P2399" s="90">
        <v>45121.770289351851</v>
      </c>
      <c r="Q2399" s="87" t="s">
        <v>4114</v>
      </c>
      <c r="R2399" s="87">
        <v>0</v>
      </c>
      <c r="S2399" s="87">
        <v>0</v>
      </c>
      <c r="T2399" s="87">
        <v>0</v>
      </c>
      <c r="U2399" s="87">
        <v>0</v>
      </c>
      <c r="V2399" s="87">
        <v>22</v>
      </c>
      <c r="W2399" s="93" t="s">
        <v>7396</v>
      </c>
      <c r="X2399" s="87"/>
      <c r="Y2399" s="87"/>
      <c r="Z2399" s="87" t="s">
        <v>8595</v>
      </c>
      <c r="AA2399" s="87"/>
      <c r="AB2399" s="87"/>
      <c r="AC2399" s="93" t="s">
        <v>11457</v>
      </c>
      <c r="AD2399" s="87" t="s">
        <v>11520</v>
      </c>
      <c r="AE2399" s="92" t="str">
        <f>HYPERLINK("https://twitter.com/mspontocom/status/1679921003017691136")</f>
        <v>https://twitter.com/mspontocom/status/1679921003017691136</v>
      </c>
      <c r="AF2399" s="90">
        <v>45121.770289351851</v>
      </c>
      <c r="AG2399" s="99">
        <v>45121</v>
      </c>
      <c r="AH2399" s="93" t="s">
        <v>13659</v>
      </c>
      <c r="AI2399" s="87"/>
      <c r="AJ2399" s="87"/>
      <c r="AK2399" s="87"/>
      <c r="AL2399" s="87"/>
      <c r="AM2399" s="87"/>
      <c r="AN2399" s="87"/>
      <c r="AO2399" s="87"/>
      <c r="AP2399" s="87"/>
      <c r="AQ2399" s="87"/>
      <c r="AR2399" s="87"/>
      <c r="AS2399" s="87"/>
      <c r="AT2399" s="87"/>
      <c r="AU2399" s="87"/>
      <c r="AV2399" s="92" t="str">
        <f>HYPERLINK("https://pbs.twimg.com/profile_images/1620022962/C_pia_de_seguran_a_de_Logo_Site_normal.png")</f>
        <v>https://pbs.twimg.com/profile_images/1620022962/C_pia_de_seguran_a_de_Logo_Site_normal.png</v>
      </c>
      <c r="AW2399" s="93" t="s">
        <v>20558</v>
      </c>
      <c r="AX2399" s="93" t="s">
        <v>22433</v>
      </c>
      <c r="AY2399" s="93" t="s">
        <v>22607</v>
      </c>
      <c r="AZ2399" s="93" t="s">
        <v>22433</v>
      </c>
      <c r="BA2399" s="93" t="s">
        <v>22668</v>
      </c>
      <c r="BB2399" s="93" t="s">
        <v>22668</v>
      </c>
      <c r="BC2399" s="93" t="s">
        <v>22433</v>
      </c>
      <c r="BD2399" s="87">
        <v>399642477</v>
      </c>
      <c r="BE2399" s="87"/>
      <c r="BF2399" s="87"/>
      <c r="BG2399" s="87"/>
      <c r="BH2399" s="87"/>
      <c r="BI2399" s="87"/>
    </row>
    <row r="2400" spans="1:61" x14ac:dyDescent="0.25">
      <c r="A2400" s="63" t="s">
        <v>1043</v>
      </c>
      <c r="B2400" s="63" t="s">
        <v>1748</v>
      </c>
      <c r="C2400" s="64"/>
      <c r="D2400" s="65"/>
      <c r="E2400" s="66"/>
      <c r="F2400" s="67"/>
      <c r="G2400" s="64"/>
      <c r="H2400" s="68"/>
      <c r="I2400" s="69"/>
      <c r="J2400" s="69"/>
      <c r="K2400" s="32"/>
      <c r="L2400" s="76">
        <v>2400</v>
      </c>
      <c r="M2400" s="76"/>
      <c r="N2400" s="71"/>
      <c r="O2400" s="87" t="s">
        <v>1844</v>
      </c>
      <c r="P2400" s="90">
        <v>45126.74082175926</v>
      </c>
      <c r="Q2400" s="87" t="s">
        <v>4126</v>
      </c>
      <c r="R2400" s="87">
        <v>0</v>
      </c>
      <c r="S2400" s="87">
        <v>0</v>
      </c>
      <c r="T2400" s="87">
        <v>0</v>
      </c>
      <c r="U2400" s="87">
        <v>0</v>
      </c>
      <c r="V2400" s="87">
        <v>20</v>
      </c>
      <c r="W2400" s="93" t="s">
        <v>7408</v>
      </c>
      <c r="X2400" s="87"/>
      <c r="Y2400" s="87"/>
      <c r="Z2400" s="87" t="s">
        <v>8596</v>
      </c>
      <c r="AA2400" s="87"/>
      <c r="AB2400" s="87"/>
      <c r="AC2400" s="93" t="s">
        <v>11457</v>
      </c>
      <c r="AD2400" s="87" t="s">
        <v>11520</v>
      </c>
      <c r="AE2400" s="92" t="str">
        <f>HYPERLINK("https://twitter.com/mspontocom/status/1681722265438658560")</f>
        <v>https://twitter.com/mspontocom/status/1681722265438658560</v>
      </c>
      <c r="AF2400" s="90">
        <v>45126.74082175926</v>
      </c>
      <c r="AG2400" s="99">
        <v>45126</v>
      </c>
      <c r="AH2400" s="93" t="s">
        <v>13666</v>
      </c>
      <c r="AI2400" s="87"/>
      <c r="AJ2400" s="87"/>
      <c r="AK2400" s="87"/>
      <c r="AL2400" s="87"/>
      <c r="AM2400" s="87"/>
      <c r="AN2400" s="87"/>
      <c r="AO2400" s="87"/>
      <c r="AP2400" s="87"/>
      <c r="AQ2400" s="87"/>
      <c r="AR2400" s="87"/>
      <c r="AS2400" s="87"/>
      <c r="AT2400" s="87"/>
      <c r="AU2400" s="87"/>
      <c r="AV2400" s="92" t="str">
        <f>HYPERLINK("https://pbs.twimg.com/profile_images/1620022962/C_pia_de_seguran_a_de_Logo_Site_normal.png")</f>
        <v>https://pbs.twimg.com/profile_images/1620022962/C_pia_de_seguran_a_de_Logo_Site_normal.png</v>
      </c>
      <c r="AW2400" s="93" t="s">
        <v>20570</v>
      </c>
      <c r="AX2400" s="93" t="s">
        <v>22434</v>
      </c>
      <c r="AY2400" s="93" t="s">
        <v>22607</v>
      </c>
      <c r="AZ2400" s="93" t="s">
        <v>22434</v>
      </c>
      <c r="BA2400" s="93" t="s">
        <v>22668</v>
      </c>
      <c r="BB2400" s="93" t="s">
        <v>22668</v>
      </c>
      <c r="BC2400" s="93" t="s">
        <v>22434</v>
      </c>
      <c r="BD2400" s="87">
        <v>399642477</v>
      </c>
      <c r="BE2400" s="87"/>
      <c r="BF2400" s="87"/>
      <c r="BG2400" s="87"/>
      <c r="BH2400" s="87"/>
      <c r="BI2400" s="87"/>
    </row>
    <row r="2401" spans="1:61" x14ac:dyDescent="0.25">
      <c r="A2401" s="63" t="s">
        <v>1043</v>
      </c>
      <c r="B2401" s="63" t="s">
        <v>1748</v>
      </c>
      <c r="C2401" s="64"/>
      <c r="D2401" s="65"/>
      <c r="E2401" s="66"/>
      <c r="F2401" s="67"/>
      <c r="G2401" s="64"/>
      <c r="H2401" s="68"/>
      <c r="I2401" s="69"/>
      <c r="J2401" s="69"/>
      <c r="K2401" s="32"/>
      <c r="L2401" s="76">
        <v>2401</v>
      </c>
      <c r="M2401" s="76"/>
      <c r="N2401" s="71"/>
      <c r="O2401" s="87" t="s">
        <v>1844</v>
      </c>
      <c r="P2401" s="90">
        <v>45125.557766203703</v>
      </c>
      <c r="Q2401" s="87" t="s">
        <v>4128</v>
      </c>
      <c r="R2401" s="87">
        <v>0</v>
      </c>
      <c r="S2401" s="87">
        <v>0</v>
      </c>
      <c r="T2401" s="87">
        <v>0</v>
      </c>
      <c r="U2401" s="87">
        <v>0</v>
      </c>
      <c r="V2401" s="87">
        <v>10</v>
      </c>
      <c r="W2401" s="93" t="s">
        <v>7410</v>
      </c>
      <c r="X2401" s="87"/>
      <c r="Y2401" s="87"/>
      <c r="Z2401" s="87" t="s">
        <v>8597</v>
      </c>
      <c r="AA2401" s="87"/>
      <c r="AB2401" s="87"/>
      <c r="AC2401" s="93" t="s">
        <v>11457</v>
      </c>
      <c r="AD2401" s="87" t="s">
        <v>11520</v>
      </c>
      <c r="AE2401" s="92" t="str">
        <f>HYPERLINK("https://twitter.com/mspontocom/status/1681293539089563653")</f>
        <v>https://twitter.com/mspontocom/status/1681293539089563653</v>
      </c>
      <c r="AF2401" s="90">
        <v>45125.557766203703</v>
      </c>
      <c r="AG2401" s="99">
        <v>45125</v>
      </c>
      <c r="AH2401" s="93" t="s">
        <v>13668</v>
      </c>
      <c r="AI2401" s="87"/>
      <c r="AJ2401" s="87"/>
      <c r="AK2401" s="87"/>
      <c r="AL2401" s="87"/>
      <c r="AM2401" s="87"/>
      <c r="AN2401" s="87"/>
      <c r="AO2401" s="87"/>
      <c r="AP2401" s="87"/>
      <c r="AQ2401" s="87"/>
      <c r="AR2401" s="87"/>
      <c r="AS2401" s="87"/>
      <c r="AT2401" s="87"/>
      <c r="AU2401" s="87"/>
      <c r="AV2401" s="92" t="str">
        <f>HYPERLINK("https://pbs.twimg.com/profile_images/1620022962/C_pia_de_seguran_a_de_Logo_Site_normal.png")</f>
        <v>https://pbs.twimg.com/profile_images/1620022962/C_pia_de_seguran_a_de_Logo_Site_normal.png</v>
      </c>
      <c r="AW2401" s="93" t="s">
        <v>20572</v>
      </c>
      <c r="AX2401" s="93" t="s">
        <v>22435</v>
      </c>
      <c r="AY2401" s="93" t="s">
        <v>22607</v>
      </c>
      <c r="AZ2401" s="93" t="s">
        <v>22435</v>
      </c>
      <c r="BA2401" s="93" t="s">
        <v>22668</v>
      </c>
      <c r="BB2401" s="93" t="s">
        <v>22668</v>
      </c>
      <c r="BC2401" s="93" t="s">
        <v>22435</v>
      </c>
      <c r="BD2401" s="87">
        <v>399642477</v>
      </c>
      <c r="BE2401" s="87"/>
      <c r="BF2401" s="87"/>
      <c r="BG2401" s="87"/>
      <c r="BH2401" s="87"/>
      <c r="BI2401" s="87"/>
    </row>
    <row r="2402" spans="1:61" x14ac:dyDescent="0.25">
      <c r="A2402" s="63" t="s">
        <v>1043</v>
      </c>
      <c r="B2402" s="63" t="s">
        <v>1043</v>
      </c>
      <c r="C2402" s="64"/>
      <c r="D2402" s="65"/>
      <c r="E2402" s="66"/>
      <c r="F2402" s="67"/>
      <c r="G2402" s="64"/>
      <c r="H2402" s="68"/>
      <c r="I2402" s="69"/>
      <c r="J2402" s="69"/>
      <c r="K2402" s="32"/>
      <c r="L2402" s="76">
        <v>2402</v>
      </c>
      <c r="M2402" s="76"/>
      <c r="N2402" s="71"/>
      <c r="O2402" s="87" t="s">
        <v>1840</v>
      </c>
      <c r="P2402" s="90">
        <v>45127.759351851855</v>
      </c>
      <c r="Q2402" s="87" t="s">
        <v>4111</v>
      </c>
      <c r="R2402" s="87">
        <v>0</v>
      </c>
      <c r="S2402" s="87">
        <v>0</v>
      </c>
      <c r="T2402" s="87">
        <v>0</v>
      </c>
      <c r="U2402" s="87">
        <v>0</v>
      </c>
      <c r="V2402" s="87">
        <v>8</v>
      </c>
      <c r="W2402" s="93" t="s">
        <v>7393</v>
      </c>
      <c r="X2402" s="87"/>
      <c r="Y2402" s="87"/>
      <c r="Z2402" s="87" t="s">
        <v>8592</v>
      </c>
      <c r="AA2402" s="87"/>
      <c r="AB2402" s="87"/>
      <c r="AC2402" s="93" t="s">
        <v>11457</v>
      </c>
      <c r="AD2402" s="87" t="s">
        <v>11520</v>
      </c>
      <c r="AE2402" s="92" t="str">
        <f>HYPERLINK("https://twitter.com/mspontocom/status/1682091366510219264")</f>
        <v>https://twitter.com/mspontocom/status/1682091366510219264</v>
      </c>
      <c r="AF2402" s="90">
        <v>45127.759351851855</v>
      </c>
      <c r="AG2402" s="99">
        <v>45127</v>
      </c>
      <c r="AH2402" s="93" t="s">
        <v>13656</v>
      </c>
      <c r="AI2402" s="87"/>
      <c r="AJ2402" s="87"/>
      <c r="AK2402" s="87"/>
      <c r="AL2402" s="87"/>
      <c r="AM2402" s="87"/>
      <c r="AN2402" s="87"/>
      <c r="AO2402" s="87"/>
      <c r="AP2402" s="87"/>
      <c r="AQ2402" s="87"/>
      <c r="AR2402" s="87"/>
      <c r="AS2402" s="87"/>
      <c r="AT2402" s="87"/>
      <c r="AU2402" s="87"/>
      <c r="AV2402" s="92" t="str">
        <f>HYPERLINK("https://pbs.twimg.com/profile_images/1620022962/C_pia_de_seguran_a_de_Logo_Site_normal.png")</f>
        <v>https://pbs.twimg.com/profile_images/1620022962/C_pia_de_seguran_a_de_Logo_Site_normal.png</v>
      </c>
      <c r="AW2402" s="93" t="s">
        <v>20555</v>
      </c>
      <c r="AX2402" s="93" t="s">
        <v>22430</v>
      </c>
      <c r="AY2402" s="93" t="s">
        <v>22607</v>
      </c>
      <c r="AZ2402" s="93" t="s">
        <v>22430</v>
      </c>
      <c r="BA2402" s="93" t="s">
        <v>22668</v>
      </c>
      <c r="BB2402" s="93" t="s">
        <v>22668</v>
      </c>
      <c r="BC2402" s="93" t="s">
        <v>22430</v>
      </c>
      <c r="BD2402" s="87">
        <v>399642477</v>
      </c>
      <c r="BE2402" s="87"/>
      <c r="BF2402" s="87"/>
      <c r="BG2402" s="87"/>
      <c r="BH2402" s="87"/>
      <c r="BI2402" s="87"/>
    </row>
    <row r="2403" spans="1:61" x14ac:dyDescent="0.25">
      <c r="A2403" s="63" t="s">
        <v>1043</v>
      </c>
      <c r="B2403" s="63" t="s">
        <v>254</v>
      </c>
      <c r="C2403" s="64"/>
      <c r="D2403" s="65"/>
      <c r="E2403" s="66"/>
      <c r="F2403" s="67"/>
      <c r="G2403" s="64"/>
      <c r="H2403" s="68"/>
      <c r="I2403" s="69"/>
      <c r="J2403" s="69"/>
      <c r="K2403" s="32"/>
      <c r="L2403" s="76">
        <v>2403</v>
      </c>
      <c r="M2403" s="76"/>
      <c r="N2403" s="71"/>
      <c r="O2403" s="87" t="s">
        <v>1844</v>
      </c>
      <c r="P2403" s="90">
        <v>45118.727951388886</v>
      </c>
      <c r="Q2403" s="87" t="s">
        <v>4112</v>
      </c>
      <c r="R2403" s="87">
        <v>0</v>
      </c>
      <c r="S2403" s="87">
        <v>0</v>
      </c>
      <c r="T2403" s="87">
        <v>0</v>
      </c>
      <c r="U2403" s="87">
        <v>0</v>
      </c>
      <c r="V2403" s="87">
        <v>20</v>
      </c>
      <c r="W2403" s="93" t="s">
        <v>7394</v>
      </c>
      <c r="X2403" s="87"/>
      <c r="Y2403" s="87"/>
      <c r="Z2403" s="87" t="s">
        <v>8593</v>
      </c>
      <c r="AA2403" s="87"/>
      <c r="AB2403" s="87"/>
      <c r="AC2403" s="93" t="s">
        <v>11457</v>
      </c>
      <c r="AD2403" s="87" t="s">
        <v>11520</v>
      </c>
      <c r="AE2403" s="92" t="str">
        <f>HYPERLINK("https://twitter.com/mspontocom/status/1678818498955341838")</f>
        <v>https://twitter.com/mspontocom/status/1678818498955341838</v>
      </c>
      <c r="AF2403" s="90">
        <v>45118.727951388886</v>
      </c>
      <c r="AG2403" s="99">
        <v>45118</v>
      </c>
      <c r="AH2403" s="93" t="s">
        <v>13657</v>
      </c>
      <c r="AI2403" s="87"/>
      <c r="AJ2403" s="87"/>
      <c r="AK2403" s="87"/>
      <c r="AL2403" s="87"/>
      <c r="AM2403" s="87"/>
      <c r="AN2403" s="87"/>
      <c r="AO2403" s="87"/>
      <c r="AP2403" s="87"/>
      <c r="AQ2403" s="87"/>
      <c r="AR2403" s="87"/>
      <c r="AS2403" s="87"/>
      <c r="AT2403" s="87"/>
      <c r="AU2403" s="87"/>
      <c r="AV2403" s="92" t="str">
        <f>HYPERLINK("https://pbs.twimg.com/profile_images/1620022962/C_pia_de_seguran_a_de_Logo_Site_normal.png")</f>
        <v>https://pbs.twimg.com/profile_images/1620022962/C_pia_de_seguran_a_de_Logo_Site_normal.png</v>
      </c>
      <c r="AW2403" s="93" t="s">
        <v>20556</v>
      </c>
      <c r="AX2403" s="93" t="s">
        <v>22431</v>
      </c>
      <c r="AY2403" s="93" t="s">
        <v>22607</v>
      </c>
      <c r="AZ2403" s="93" t="s">
        <v>22431</v>
      </c>
      <c r="BA2403" s="93" t="s">
        <v>22668</v>
      </c>
      <c r="BB2403" s="93" t="s">
        <v>22668</v>
      </c>
      <c r="BC2403" s="93" t="s">
        <v>22431</v>
      </c>
      <c r="BD2403" s="87">
        <v>399642477</v>
      </c>
      <c r="BE2403" s="87"/>
      <c r="BF2403" s="87"/>
      <c r="BG2403" s="87"/>
      <c r="BH2403" s="87"/>
      <c r="BI2403" s="87"/>
    </row>
    <row r="2404" spans="1:61" x14ac:dyDescent="0.25">
      <c r="A2404" s="63" t="s">
        <v>1043</v>
      </c>
      <c r="B2404" s="63" t="s">
        <v>1043</v>
      </c>
      <c r="C2404" s="64"/>
      <c r="D2404" s="65"/>
      <c r="E2404" s="66"/>
      <c r="F2404" s="67"/>
      <c r="G2404" s="64"/>
      <c r="H2404" s="68"/>
      <c r="I2404" s="69"/>
      <c r="J2404" s="69"/>
      <c r="K2404" s="32"/>
      <c r="L2404" s="76">
        <v>2404</v>
      </c>
      <c r="M2404" s="76"/>
      <c r="N2404" s="71"/>
      <c r="O2404" s="87" t="s">
        <v>1840</v>
      </c>
      <c r="P2404" s="90">
        <v>45118.727951388886</v>
      </c>
      <c r="Q2404" s="87" t="s">
        <v>4112</v>
      </c>
      <c r="R2404" s="87">
        <v>0</v>
      </c>
      <c r="S2404" s="87">
        <v>0</v>
      </c>
      <c r="T2404" s="87">
        <v>0</v>
      </c>
      <c r="U2404" s="87">
        <v>0</v>
      </c>
      <c r="V2404" s="87">
        <v>20</v>
      </c>
      <c r="W2404" s="93" t="s">
        <v>7394</v>
      </c>
      <c r="X2404" s="87"/>
      <c r="Y2404" s="87"/>
      <c r="Z2404" s="87" t="s">
        <v>8593</v>
      </c>
      <c r="AA2404" s="87"/>
      <c r="AB2404" s="87"/>
      <c r="AC2404" s="93" t="s">
        <v>11457</v>
      </c>
      <c r="AD2404" s="87" t="s">
        <v>11520</v>
      </c>
      <c r="AE2404" s="92" t="str">
        <f>HYPERLINK("https://twitter.com/mspontocom/status/1678818498955341838")</f>
        <v>https://twitter.com/mspontocom/status/1678818498955341838</v>
      </c>
      <c r="AF2404" s="90">
        <v>45118.727951388886</v>
      </c>
      <c r="AG2404" s="99">
        <v>45118</v>
      </c>
      <c r="AH2404" s="93" t="s">
        <v>13657</v>
      </c>
      <c r="AI2404" s="87"/>
      <c r="AJ2404" s="87"/>
      <c r="AK2404" s="87"/>
      <c r="AL2404" s="87"/>
      <c r="AM2404" s="87"/>
      <c r="AN2404" s="87"/>
      <c r="AO2404" s="87"/>
      <c r="AP2404" s="87"/>
      <c r="AQ2404" s="87"/>
      <c r="AR2404" s="87"/>
      <c r="AS2404" s="87"/>
      <c r="AT2404" s="87"/>
      <c r="AU2404" s="87"/>
      <c r="AV2404" s="92" t="str">
        <f>HYPERLINK("https://pbs.twimg.com/profile_images/1620022962/C_pia_de_seguran_a_de_Logo_Site_normal.png")</f>
        <v>https://pbs.twimg.com/profile_images/1620022962/C_pia_de_seguran_a_de_Logo_Site_normal.png</v>
      </c>
      <c r="AW2404" s="93" t="s">
        <v>20556</v>
      </c>
      <c r="AX2404" s="93" t="s">
        <v>22431</v>
      </c>
      <c r="AY2404" s="93" t="s">
        <v>22607</v>
      </c>
      <c r="AZ2404" s="93" t="s">
        <v>22431</v>
      </c>
      <c r="BA2404" s="93" t="s">
        <v>22668</v>
      </c>
      <c r="BB2404" s="93" t="s">
        <v>22668</v>
      </c>
      <c r="BC2404" s="93" t="s">
        <v>22431</v>
      </c>
      <c r="BD2404" s="87">
        <v>399642477</v>
      </c>
      <c r="BE2404" s="87"/>
      <c r="BF2404" s="87"/>
      <c r="BG2404" s="87"/>
      <c r="BH2404" s="87"/>
      <c r="BI2404" s="87"/>
    </row>
    <row r="2405" spans="1:61" x14ac:dyDescent="0.25">
      <c r="A2405" s="63" t="s">
        <v>1043</v>
      </c>
      <c r="B2405" s="63" t="s">
        <v>1043</v>
      </c>
      <c r="C2405" s="64"/>
      <c r="D2405" s="65"/>
      <c r="E2405" s="66"/>
      <c r="F2405" s="67"/>
      <c r="G2405" s="64"/>
      <c r="H2405" s="68"/>
      <c r="I2405" s="69"/>
      <c r="J2405" s="69"/>
      <c r="K2405" s="32"/>
      <c r="L2405" s="76">
        <v>2405</v>
      </c>
      <c r="M2405" s="76"/>
      <c r="N2405" s="71"/>
      <c r="O2405" s="87" t="s">
        <v>1840</v>
      </c>
      <c r="P2405" s="90">
        <v>45119.764328703706</v>
      </c>
      <c r="Q2405" s="87" t="s">
        <v>4113</v>
      </c>
      <c r="R2405" s="87">
        <v>0</v>
      </c>
      <c r="S2405" s="87">
        <v>0</v>
      </c>
      <c r="T2405" s="87">
        <v>0</v>
      </c>
      <c r="U2405" s="87">
        <v>0</v>
      </c>
      <c r="V2405" s="87">
        <v>16</v>
      </c>
      <c r="W2405" s="93" t="s">
        <v>7395</v>
      </c>
      <c r="X2405" s="87"/>
      <c r="Y2405" s="87"/>
      <c r="Z2405" s="87" t="s">
        <v>8594</v>
      </c>
      <c r="AA2405" s="87"/>
      <c r="AB2405" s="87"/>
      <c r="AC2405" s="93" t="s">
        <v>11457</v>
      </c>
      <c r="AD2405" s="87" t="s">
        <v>11520</v>
      </c>
      <c r="AE2405" s="92" t="str">
        <f>HYPERLINK("https://twitter.com/mspontocom/status/1679194067027083264")</f>
        <v>https://twitter.com/mspontocom/status/1679194067027083264</v>
      </c>
      <c r="AF2405" s="90">
        <v>45119.764328703706</v>
      </c>
      <c r="AG2405" s="99">
        <v>45119</v>
      </c>
      <c r="AH2405" s="93" t="s">
        <v>13658</v>
      </c>
      <c r="AI2405" s="87"/>
      <c r="AJ2405" s="87"/>
      <c r="AK2405" s="87"/>
      <c r="AL2405" s="87"/>
      <c r="AM2405" s="87"/>
      <c r="AN2405" s="87"/>
      <c r="AO2405" s="87"/>
      <c r="AP2405" s="87"/>
      <c r="AQ2405" s="87"/>
      <c r="AR2405" s="87"/>
      <c r="AS2405" s="87"/>
      <c r="AT2405" s="87"/>
      <c r="AU2405" s="87"/>
      <c r="AV2405" s="92" t="str">
        <f>HYPERLINK("https://pbs.twimg.com/profile_images/1620022962/C_pia_de_seguran_a_de_Logo_Site_normal.png")</f>
        <v>https://pbs.twimg.com/profile_images/1620022962/C_pia_de_seguran_a_de_Logo_Site_normal.png</v>
      </c>
      <c r="AW2405" s="93" t="s">
        <v>20557</v>
      </c>
      <c r="AX2405" s="93" t="s">
        <v>22432</v>
      </c>
      <c r="AY2405" s="93" t="s">
        <v>22607</v>
      </c>
      <c r="AZ2405" s="93" t="s">
        <v>22432</v>
      </c>
      <c r="BA2405" s="93" t="s">
        <v>22668</v>
      </c>
      <c r="BB2405" s="93" t="s">
        <v>22668</v>
      </c>
      <c r="BC2405" s="93" t="s">
        <v>22432</v>
      </c>
      <c r="BD2405" s="87">
        <v>399642477</v>
      </c>
      <c r="BE2405" s="87"/>
      <c r="BF2405" s="87"/>
      <c r="BG2405" s="87"/>
      <c r="BH2405" s="87"/>
      <c r="BI2405" s="87"/>
    </row>
    <row r="2406" spans="1:61" x14ac:dyDescent="0.25">
      <c r="A2406" s="63" t="s">
        <v>1043</v>
      </c>
      <c r="B2406" s="63" t="s">
        <v>1749</v>
      </c>
      <c r="C2406" s="64"/>
      <c r="D2406" s="65"/>
      <c r="E2406" s="66"/>
      <c r="F2406" s="67"/>
      <c r="G2406" s="64"/>
      <c r="H2406" s="68"/>
      <c r="I2406" s="69"/>
      <c r="J2406" s="69"/>
      <c r="K2406" s="32"/>
      <c r="L2406" s="76">
        <v>2406</v>
      </c>
      <c r="M2406" s="76"/>
      <c r="N2406" s="71"/>
      <c r="O2406" s="87" t="s">
        <v>1844</v>
      </c>
      <c r="P2406" s="90">
        <v>45121.770289351851</v>
      </c>
      <c r="Q2406" s="87" t="s">
        <v>4114</v>
      </c>
      <c r="R2406" s="87">
        <v>0</v>
      </c>
      <c r="S2406" s="87">
        <v>0</v>
      </c>
      <c r="T2406" s="87">
        <v>0</v>
      </c>
      <c r="U2406" s="87">
        <v>0</v>
      </c>
      <c r="V2406" s="87">
        <v>22</v>
      </c>
      <c r="W2406" s="93" t="s">
        <v>7396</v>
      </c>
      <c r="X2406" s="87"/>
      <c r="Y2406" s="87"/>
      <c r="Z2406" s="87" t="s">
        <v>8595</v>
      </c>
      <c r="AA2406" s="87"/>
      <c r="AB2406" s="87"/>
      <c r="AC2406" s="93" t="s">
        <v>11457</v>
      </c>
      <c r="AD2406" s="87" t="s">
        <v>11520</v>
      </c>
      <c r="AE2406" s="92" t="str">
        <f>HYPERLINK("https://twitter.com/mspontocom/status/1679921003017691136")</f>
        <v>https://twitter.com/mspontocom/status/1679921003017691136</v>
      </c>
      <c r="AF2406" s="90">
        <v>45121.770289351851</v>
      </c>
      <c r="AG2406" s="99">
        <v>45121</v>
      </c>
      <c r="AH2406" s="93" t="s">
        <v>13659</v>
      </c>
      <c r="AI2406" s="87"/>
      <c r="AJ2406" s="87"/>
      <c r="AK2406" s="87"/>
      <c r="AL2406" s="87"/>
      <c r="AM2406" s="87"/>
      <c r="AN2406" s="87"/>
      <c r="AO2406" s="87"/>
      <c r="AP2406" s="87"/>
      <c r="AQ2406" s="87"/>
      <c r="AR2406" s="87"/>
      <c r="AS2406" s="87"/>
      <c r="AT2406" s="87"/>
      <c r="AU2406" s="87"/>
      <c r="AV2406" s="92" t="str">
        <f>HYPERLINK("https://pbs.twimg.com/profile_images/1620022962/C_pia_de_seguran_a_de_Logo_Site_normal.png")</f>
        <v>https://pbs.twimg.com/profile_images/1620022962/C_pia_de_seguran_a_de_Logo_Site_normal.png</v>
      </c>
      <c r="AW2406" s="93" t="s">
        <v>20558</v>
      </c>
      <c r="AX2406" s="93" t="s">
        <v>22433</v>
      </c>
      <c r="AY2406" s="93" t="s">
        <v>22607</v>
      </c>
      <c r="AZ2406" s="93" t="s">
        <v>22433</v>
      </c>
      <c r="BA2406" s="93" t="s">
        <v>22668</v>
      </c>
      <c r="BB2406" s="93" t="s">
        <v>22668</v>
      </c>
      <c r="BC2406" s="93" t="s">
        <v>22433</v>
      </c>
      <c r="BD2406" s="87">
        <v>399642477</v>
      </c>
      <c r="BE2406" s="87"/>
      <c r="BF2406" s="87"/>
      <c r="BG2406" s="87"/>
      <c r="BH2406" s="87"/>
      <c r="BI2406" s="87"/>
    </row>
    <row r="2407" spans="1:61" x14ac:dyDescent="0.25">
      <c r="A2407" s="63" t="s">
        <v>1043</v>
      </c>
      <c r="B2407" s="63" t="s">
        <v>254</v>
      </c>
      <c r="C2407" s="64"/>
      <c r="D2407" s="65"/>
      <c r="E2407" s="66"/>
      <c r="F2407" s="67"/>
      <c r="G2407" s="64"/>
      <c r="H2407" s="68"/>
      <c r="I2407" s="69"/>
      <c r="J2407" s="69"/>
      <c r="K2407" s="32"/>
      <c r="L2407" s="76">
        <v>2407</v>
      </c>
      <c r="M2407" s="76"/>
      <c r="N2407" s="71"/>
      <c r="O2407" s="87" t="s">
        <v>1844</v>
      </c>
      <c r="P2407" s="90">
        <v>45121.770289351851</v>
      </c>
      <c r="Q2407" s="87" t="s">
        <v>4114</v>
      </c>
      <c r="R2407" s="87">
        <v>0</v>
      </c>
      <c r="S2407" s="87">
        <v>0</v>
      </c>
      <c r="T2407" s="87">
        <v>0</v>
      </c>
      <c r="U2407" s="87">
        <v>0</v>
      </c>
      <c r="V2407" s="87">
        <v>22</v>
      </c>
      <c r="W2407" s="93" t="s">
        <v>7396</v>
      </c>
      <c r="X2407" s="87"/>
      <c r="Y2407" s="87"/>
      <c r="Z2407" s="87" t="s">
        <v>8595</v>
      </c>
      <c r="AA2407" s="87"/>
      <c r="AB2407" s="87"/>
      <c r="AC2407" s="93" t="s">
        <v>11457</v>
      </c>
      <c r="AD2407" s="87" t="s">
        <v>11520</v>
      </c>
      <c r="AE2407" s="92" t="str">
        <f>HYPERLINK("https://twitter.com/mspontocom/status/1679921003017691136")</f>
        <v>https://twitter.com/mspontocom/status/1679921003017691136</v>
      </c>
      <c r="AF2407" s="90">
        <v>45121.770289351851</v>
      </c>
      <c r="AG2407" s="99">
        <v>45121</v>
      </c>
      <c r="AH2407" s="93" t="s">
        <v>13659</v>
      </c>
      <c r="AI2407" s="87"/>
      <c r="AJ2407" s="87"/>
      <c r="AK2407" s="87"/>
      <c r="AL2407" s="87"/>
      <c r="AM2407" s="87"/>
      <c r="AN2407" s="87"/>
      <c r="AO2407" s="87"/>
      <c r="AP2407" s="87"/>
      <c r="AQ2407" s="87"/>
      <c r="AR2407" s="87"/>
      <c r="AS2407" s="87"/>
      <c r="AT2407" s="87"/>
      <c r="AU2407" s="87"/>
      <c r="AV2407" s="92" t="str">
        <f>HYPERLINK("https://pbs.twimg.com/profile_images/1620022962/C_pia_de_seguran_a_de_Logo_Site_normal.png")</f>
        <v>https://pbs.twimg.com/profile_images/1620022962/C_pia_de_seguran_a_de_Logo_Site_normal.png</v>
      </c>
      <c r="AW2407" s="93" t="s">
        <v>20558</v>
      </c>
      <c r="AX2407" s="93" t="s">
        <v>22433</v>
      </c>
      <c r="AY2407" s="93" t="s">
        <v>22607</v>
      </c>
      <c r="AZ2407" s="93" t="s">
        <v>22433</v>
      </c>
      <c r="BA2407" s="93" t="s">
        <v>22668</v>
      </c>
      <c r="BB2407" s="93" t="s">
        <v>22668</v>
      </c>
      <c r="BC2407" s="93" t="s">
        <v>22433</v>
      </c>
      <c r="BD2407" s="87">
        <v>399642477</v>
      </c>
      <c r="BE2407" s="87"/>
      <c r="BF2407" s="87"/>
      <c r="BG2407" s="87"/>
      <c r="BH2407" s="87"/>
      <c r="BI2407" s="87"/>
    </row>
    <row r="2408" spans="1:61" x14ac:dyDescent="0.25">
      <c r="A2408" s="63" t="s">
        <v>1043</v>
      </c>
      <c r="B2408" s="63" t="s">
        <v>1043</v>
      </c>
      <c r="C2408" s="64"/>
      <c r="D2408" s="65"/>
      <c r="E2408" s="66"/>
      <c r="F2408" s="67"/>
      <c r="G2408" s="64"/>
      <c r="H2408" s="68"/>
      <c r="I2408" s="69"/>
      <c r="J2408" s="69"/>
      <c r="K2408" s="32"/>
      <c r="L2408" s="76">
        <v>2408</v>
      </c>
      <c r="M2408" s="76"/>
      <c r="N2408" s="71"/>
      <c r="O2408" s="87" t="s">
        <v>1840</v>
      </c>
      <c r="P2408" s="90">
        <v>45121.770289351851</v>
      </c>
      <c r="Q2408" s="87" t="s">
        <v>4114</v>
      </c>
      <c r="R2408" s="87">
        <v>0</v>
      </c>
      <c r="S2408" s="87">
        <v>0</v>
      </c>
      <c r="T2408" s="87">
        <v>0</v>
      </c>
      <c r="U2408" s="87">
        <v>0</v>
      </c>
      <c r="V2408" s="87">
        <v>22</v>
      </c>
      <c r="W2408" s="93" t="s">
        <v>7396</v>
      </c>
      <c r="X2408" s="87"/>
      <c r="Y2408" s="87"/>
      <c r="Z2408" s="87" t="s">
        <v>8595</v>
      </c>
      <c r="AA2408" s="87"/>
      <c r="AB2408" s="87"/>
      <c r="AC2408" s="93" t="s">
        <v>11457</v>
      </c>
      <c r="AD2408" s="87" t="s">
        <v>11520</v>
      </c>
      <c r="AE2408" s="92" t="str">
        <f>HYPERLINK("https://twitter.com/mspontocom/status/1679921003017691136")</f>
        <v>https://twitter.com/mspontocom/status/1679921003017691136</v>
      </c>
      <c r="AF2408" s="90">
        <v>45121.770289351851</v>
      </c>
      <c r="AG2408" s="99">
        <v>45121</v>
      </c>
      <c r="AH2408" s="93" t="s">
        <v>13659</v>
      </c>
      <c r="AI2408" s="87"/>
      <c r="AJ2408" s="87"/>
      <c r="AK2408" s="87"/>
      <c r="AL2408" s="87"/>
      <c r="AM2408" s="87"/>
      <c r="AN2408" s="87"/>
      <c r="AO2408" s="87"/>
      <c r="AP2408" s="87"/>
      <c r="AQ2408" s="87"/>
      <c r="AR2408" s="87"/>
      <c r="AS2408" s="87"/>
      <c r="AT2408" s="87"/>
      <c r="AU2408" s="87"/>
      <c r="AV2408" s="92" t="str">
        <f>HYPERLINK("https://pbs.twimg.com/profile_images/1620022962/C_pia_de_seguran_a_de_Logo_Site_normal.png")</f>
        <v>https://pbs.twimg.com/profile_images/1620022962/C_pia_de_seguran_a_de_Logo_Site_normal.png</v>
      </c>
      <c r="AW2408" s="93" t="s">
        <v>20558</v>
      </c>
      <c r="AX2408" s="93" t="s">
        <v>22433</v>
      </c>
      <c r="AY2408" s="93" t="s">
        <v>22607</v>
      </c>
      <c r="AZ2408" s="93" t="s">
        <v>22433</v>
      </c>
      <c r="BA2408" s="93" t="s">
        <v>22668</v>
      </c>
      <c r="BB2408" s="93" t="s">
        <v>22668</v>
      </c>
      <c r="BC2408" s="93" t="s">
        <v>22433</v>
      </c>
      <c r="BD2408" s="87">
        <v>399642477</v>
      </c>
      <c r="BE2408" s="87"/>
      <c r="BF2408" s="87"/>
      <c r="BG2408" s="87"/>
      <c r="BH2408" s="87"/>
      <c r="BI2408" s="87"/>
    </row>
    <row r="2409" spans="1:61" x14ac:dyDescent="0.25">
      <c r="A2409" s="63" t="s">
        <v>1043</v>
      </c>
      <c r="B2409" s="63" t="s">
        <v>254</v>
      </c>
      <c r="C2409" s="64"/>
      <c r="D2409" s="65"/>
      <c r="E2409" s="66"/>
      <c r="F2409" s="67"/>
      <c r="G2409" s="64"/>
      <c r="H2409" s="68"/>
      <c r="I2409" s="69"/>
      <c r="J2409" s="69"/>
      <c r="K2409" s="32"/>
      <c r="L2409" s="76">
        <v>2409</v>
      </c>
      <c r="M2409" s="76"/>
      <c r="N2409" s="71"/>
      <c r="O2409" s="87" t="s">
        <v>1844</v>
      </c>
      <c r="P2409" s="90">
        <v>45126.74082175926</v>
      </c>
      <c r="Q2409" s="87" t="s">
        <v>4126</v>
      </c>
      <c r="R2409" s="87">
        <v>0</v>
      </c>
      <c r="S2409" s="87">
        <v>0</v>
      </c>
      <c r="T2409" s="87">
        <v>0</v>
      </c>
      <c r="U2409" s="87">
        <v>0</v>
      </c>
      <c r="V2409" s="87">
        <v>20</v>
      </c>
      <c r="W2409" s="93" t="s">
        <v>7408</v>
      </c>
      <c r="X2409" s="87"/>
      <c r="Y2409" s="87"/>
      <c r="Z2409" s="87" t="s">
        <v>8596</v>
      </c>
      <c r="AA2409" s="87"/>
      <c r="AB2409" s="87"/>
      <c r="AC2409" s="93" t="s">
        <v>11457</v>
      </c>
      <c r="AD2409" s="87" t="s">
        <v>11520</v>
      </c>
      <c r="AE2409" s="92" t="str">
        <f>HYPERLINK("https://twitter.com/mspontocom/status/1681722265438658560")</f>
        <v>https://twitter.com/mspontocom/status/1681722265438658560</v>
      </c>
      <c r="AF2409" s="90">
        <v>45126.74082175926</v>
      </c>
      <c r="AG2409" s="99">
        <v>45126</v>
      </c>
      <c r="AH2409" s="93" t="s">
        <v>13666</v>
      </c>
      <c r="AI2409" s="87"/>
      <c r="AJ2409" s="87"/>
      <c r="AK2409" s="87"/>
      <c r="AL2409" s="87"/>
      <c r="AM2409" s="87"/>
      <c r="AN2409" s="87"/>
      <c r="AO2409" s="87"/>
      <c r="AP2409" s="87"/>
      <c r="AQ2409" s="87"/>
      <c r="AR2409" s="87"/>
      <c r="AS2409" s="87"/>
      <c r="AT2409" s="87"/>
      <c r="AU2409" s="87"/>
      <c r="AV2409" s="92" t="str">
        <f>HYPERLINK("https://pbs.twimg.com/profile_images/1620022962/C_pia_de_seguran_a_de_Logo_Site_normal.png")</f>
        <v>https://pbs.twimg.com/profile_images/1620022962/C_pia_de_seguran_a_de_Logo_Site_normal.png</v>
      </c>
      <c r="AW2409" s="93" t="s">
        <v>20570</v>
      </c>
      <c r="AX2409" s="93" t="s">
        <v>22434</v>
      </c>
      <c r="AY2409" s="93" t="s">
        <v>22607</v>
      </c>
      <c r="AZ2409" s="93" t="s">
        <v>22434</v>
      </c>
      <c r="BA2409" s="93" t="s">
        <v>22668</v>
      </c>
      <c r="BB2409" s="93" t="s">
        <v>22668</v>
      </c>
      <c r="BC2409" s="93" t="s">
        <v>22434</v>
      </c>
      <c r="BD2409" s="87">
        <v>399642477</v>
      </c>
      <c r="BE2409" s="87"/>
      <c r="BF2409" s="87"/>
      <c r="BG2409" s="87"/>
      <c r="BH2409" s="87"/>
      <c r="BI2409" s="87"/>
    </row>
    <row r="2410" spans="1:61" x14ac:dyDescent="0.25">
      <c r="A2410" s="63" t="s">
        <v>1043</v>
      </c>
      <c r="B2410" s="63" t="s">
        <v>1043</v>
      </c>
      <c r="C2410" s="64"/>
      <c r="D2410" s="65"/>
      <c r="E2410" s="66"/>
      <c r="F2410" s="67"/>
      <c r="G2410" s="64"/>
      <c r="H2410" s="68"/>
      <c r="I2410" s="69"/>
      <c r="J2410" s="69"/>
      <c r="K2410" s="32"/>
      <c r="L2410" s="76">
        <v>2410</v>
      </c>
      <c r="M2410" s="76"/>
      <c r="N2410" s="71"/>
      <c r="O2410" s="87" t="s">
        <v>1840</v>
      </c>
      <c r="P2410" s="90">
        <v>45126.74082175926</v>
      </c>
      <c r="Q2410" s="87" t="s">
        <v>4126</v>
      </c>
      <c r="R2410" s="87">
        <v>0</v>
      </c>
      <c r="S2410" s="87">
        <v>0</v>
      </c>
      <c r="T2410" s="87">
        <v>0</v>
      </c>
      <c r="U2410" s="87">
        <v>0</v>
      </c>
      <c r="V2410" s="87">
        <v>20</v>
      </c>
      <c r="W2410" s="93" t="s">
        <v>7408</v>
      </c>
      <c r="X2410" s="87"/>
      <c r="Y2410" s="87"/>
      <c r="Z2410" s="87" t="s">
        <v>8596</v>
      </c>
      <c r="AA2410" s="87"/>
      <c r="AB2410" s="87"/>
      <c r="AC2410" s="93" t="s">
        <v>11457</v>
      </c>
      <c r="AD2410" s="87" t="s">
        <v>11520</v>
      </c>
      <c r="AE2410" s="92" t="str">
        <f>HYPERLINK("https://twitter.com/mspontocom/status/1681722265438658560")</f>
        <v>https://twitter.com/mspontocom/status/1681722265438658560</v>
      </c>
      <c r="AF2410" s="90">
        <v>45126.74082175926</v>
      </c>
      <c r="AG2410" s="99">
        <v>45126</v>
      </c>
      <c r="AH2410" s="93" t="s">
        <v>13666</v>
      </c>
      <c r="AI2410" s="87"/>
      <c r="AJ2410" s="87"/>
      <c r="AK2410" s="87"/>
      <c r="AL2410" s="87"/>
      <c r="AM2410" s="87"/>
      <c r="AN2410" s="87"/>
      <c r="AO2410" s="87"/>
      <c r="AP2410" s="87"/>
      <c r="AQ2410" s="87"/>
      <c r="AR2410" s="87"/>
      <c r="AS2410" s="87"/>
      <c r="AT2410" s="87"/>
      <c r="AU2410" s="87"/>
      <c r="AV2410" s="92" t="str">
        <f>HYPERLINK("https://pbs.twimg.com/profile_images/1620022962/C_pia_de_seguran_a_de_Logo_Site_normal.png")</f>
        <v>https://pbs.twimg.com/profile_images/1620022962/C_pia_de_seguran_a_de_Logo_Site_normal.png</v>
      </c>
      <c r="AW2410" s="93" t="s">
        <v>20570</v>
      </c>
      <c r="AX2410" s="93" t="s">
        <v>22434</v>
      </c>
      <c r="AY2410" s="93" t="s">
        <v>22607</v>
      </c>
      <c r="AZ2410" s="93" t="s">
        <v>22434</v>
      </c>
      <c r="BA2410" s="93" t="s">
        <v>22668</v>
      </c>
      <c r="BB2410" s="93" t="s">
        <v>22668</v>
      </c>
      <c r="BC2410" s="93" t="s">
        <v>22434</v>
      </c>
      <c r="BD2410" s="87">
        <v>399642477</v>
      </c>
      <c r="BE2410" s="87"/>
      <c r="BF2410" s="87"/>
      <c r="BG2410" s="87"/>
      <c r="BH2410" s="87"/>
      <c r="BI2410" s="87"/>
    </row>
    <row r="2411" spans="1:61" x14ac:dyDescent="0.25">
      <c r="A2411" s="63" t="s">
        <v>1043</v>
      </c>
      <c r="B2411" s="63" t="s">
        <v>1043</v>
      </c>
      <c r="C2411" s="64"/>
      <c r="D2411" s="65"/>
      <c r="E2411" s="66"/>
      <c r="F2411" s="67"/>
      <c r="G2411" s="64"/>
      <c r="H2411" s="68"/>
      <c r="I2411" s="69"/>
      <c r="J2411" s="69"/>
      <c r="K2411" s="32"/>
      <c r="L2411" s="76">
        <v>2411</v>
      </c>
      <c r="M2411" s="76"/>
      <c r="N2411" s="71"/>
      <c r="O2411" s="87" t="s">
        <v>1840</v>
      </c>
      <c r="P2411" s="90">
        <v>45125.557766203703</v>
      </c>
      <c r="Q2411" s="87" t="s">
        <v>4128</v>
      </c>
      <c r="R2411" s="87">
        <v>0</v>
      </c>
      <c r="S2411" s="87">
        <v>0</v>
      </c>
      <c r="T2411" s="87">
        <v>0</v>
      </c>
      <c r="U2411" s="87">
        <v>0</v>
      </c>
      <c r="V2411" s="87">
        <v>10</v>
      </c>
      <c r="W2411" s="93" t="s">
        <v>7410</v>
      </c>
      <c r="X2411" s="87"/>
      <c r="Y2411" s="87"/>
      <c r="Z2411" s="87" t="s">
        <v>8597</v>
      </c>
      <c r="AA2411" s="87"/>
      <c r="AB2411" s="87"/>
      <c r="AC2411" s="93" t="s">
        <v>11457</v>
      </c>
      <c r="AD2411" s="87" t="s">
        <v>11520</v>
      </c>
      <c r="AE2411" s="92" t="str">
        <f>HYPERLINK("https://twitter.com/mspontocom/status/1681293539089563653")</f>
        <v>https://twitter.com/mspontocom/status/1681293539089563653</v>
      </c>
      <c r="AF2411" s="90">
        <v>45125.557766203703</v>
      </c>
      <c r="AG2411" s="99">
        <v>45125</v>
      </c>
      <c r="AH2411" s="93" t="s">
        <v>13668</v>
      </c>
      <c r="AI2411" s="87"/>
      <c r="AJ2411" s="87"/>
      <c r="AK2411" s="87"/>
      <c r="AL2411" s="87"/>
      <c r="AM2411" s="87"/>
      <c r="AN2411" s="87"/>
      <c r="AO2411" s="87"/>
      <c r="AP2411" s="87"/>
      <c r="AQ2411" s="87"/>
      <c r="AR2411" s="87"/>
      <c r="AS2411" s="87"/>
      <c r="AT2411" s="87"/>
      <c r="AU2411" s="87"/>
      <c r="AV2411" s="92" t="str">
        <f>HYPERLINK("https://pbs.twimg.com/profile_images/1620022962/C_pia_de_seguran_a_de_Logo_Site_normal.png")</f>
        <v>https://pbs.twimg.com/profile_images/1620022962/C_pia_de_seguran_a_de_Logo_Site_normal.png</v>
      </c>
      <c r="AW2411" s="93" t="s">
        <v>20572</v>
      </c>
      <c r="AX2411" s="93" t="s">
        <v>22435</v>
      </c>
      <c r="AY2411" s="93" t="s">
        <v>22607</v>
      </c>
      <c r="AZ2411" s="93" t="s">
        <v>22435</v>
      </c>
      <c r="BA2411" s="93" t="s">
        <v>22668</v>
      </c>
      <c r="BB2411" s="93" t="s">
        <v>22668</v>
      </c>
      <c r="BC2411" s="93" t="s">
        <v>22435</v>
      </c>
      <c r="BD2411" s="87">
        <v>399642477</v>
      </c>
      <c r="BE2411" s="87"/>
      <c r="BF2411" s="87"/>
      <c r="BG2411" s="87"/>
      <c r="BH2411" s="87"/>
      <c r="BI2411" s="87"/>
    </row>
    <row r="2412" spans="1:61" x14ac:dyDescent="0.25">
      <c r="A2412" s="63" t="s">
        <v>1048</v>
      </c>
      <c r="B2412" s="63" t="s">
        <v>1624</v>
      </c>
      <c r="C2412" s="64"/>
      <c r="D2412" s="65"/>
      <c r="E2412" s="66"/>
      <c r="F2412" s="67"/>
      <c r="G2412" s="64"/>
      <c r="H2412" s="68"/>
      <c r="I2412" s="69"/>
      <c r="J2412" s="69"/>
      <c r="K2412" s="32"/>
      <c r="L2412" s="76">
        <v>2412</v>
      </c>
      <c r="M2412" s="76"/>
      <c r="N2412" s="71"/>
      <c r="O2412" s="87" t="s">
        <v>1839</v>
      </c>
      <c r="P2412" s="90">
        <v>45162.363240740742</v>
      </c>
      <c r="Q2412" s="87" t="s">
        <v>4129</v>
      </c>
      <c r="R2412" s="87">
        <v>0</v>
      </c>
      <c r="S2412" s="87">
        <v>0</v>
      </c>
      <c r="T2412" s="87">
        <v>0</v>
      </c>
      <c r="U2412" s="87">
        <v>0</v>
      </c>
      <c r="V2412" s="87">
        <v>1</v>
      </c>
      <c r="W2412" s="93" t="s">
        <v>7411</v>
      </c>
      <c r="X2412" s="92" t="str">
        <f>HYPERLINK("https://youtube.com/shorts/b7V5QUOIfso?si=RuM_5TLzjJjVtWV6")</f>
        <v>https://youtube.com/shorts/b7V5QUOIfso?si=RuM_5TLzjJjVtWV6</v>
      </c>
      <c r="Y2412" s="87" t="s">
        <v>8380</v>
      </c>
      <c r="Z2412" s="87" t="s">
        <v>1624</v>
      </c>
      <c r="AA2412" s="87"/>
      <c r="AB2412" s="87"/>
      <c r="AC2412" s="93" t="s">
        <v>11457</v>
      </c>
      <c r="AD2412" s="87" t="s">
        <v>11519</v>
      </c>
      <c r="AE2412" s="92" t="str">
        <f>HYPERLINK("https://twitter.com/basjoilson/status/1694631398701719719")</f>
        <v>https://twitter.com/basjoilson/status/1694631398701719719</v>
      </c>
      <c r="AF2412" s="90">
        <v>45162.363240740742</v>
      </c>
      <c r="AG2412" s="99">
        <v>45162</v>
      </c>
      <c r="AH2412" s="93" t="s">
        <v>13669</v>
      </c>
      <c r="AI2412" s="87" t="b">
        <v>0</v>
      </c>
      <c r="AJ2412" s="87"/>
      <c r="AK2412" s="87"/>
      <c r="AL2412" s="87"/>
      <c r="AM2412" s="87"/>
      <c r="AN2412" s="87"/>
      <c r="AO2412" s="87"/>
      <c r="AP2412" s="87"/>
      <c r="AQ2412" s="87"/>
      <c r="AR2412" s="87"/>
      <c r="AS2412" s="87"/>
      <c r="AT2412" s="87"/>
      <c r="AU2412" s="87"/>
      <c r="AV2412" s="92" t="str">
        <f>HYPERLINK("https://pbs.twimg.com/profile_images/1403391528383533058/pTaetQul_normal.jpg")</f>
        <v>https://pbs.twimg.com/profile_images/1403391528383533058/pTaetQul_normal.jpg</v>
      </c>
      <c r="AW2412" s="93" t="s">
        <v>20573</v>
      </c>
      <c r="AX2412" s="93" t="s">
        <v>20573</v>
      </c>
      <c r="AY2412" s="87"/>
      <c r="AZ2412" s="93" t="s">
        <v>22668</v>
      </c>
      <c r="BA2412" s="93" t="s">
        <v>22668</v>
      </c>
      <c r="BB2412" s="93" t="s">
        <v>22668</v>
      </c>
      <c r="BC2412" s="93" t="s">
        <v>20573</v>
      </c>
      <c r="BD2412" s="87">
        <v>2829501967</v>
      </c>
      <c r="BE2412" s="87"/>
      <c r="BF2412" s="87"/>
      <c r="BG2412" s="87"/>
      <c r="BH2412" s="87"/>
      <c r="BI2412" s="87"/>
    </row>
    <row r="2413" spans="1:61" x14ac:dyDescent="0.25">
      <c r="A2413" s="63" t="s">
        <v>1049</v>
      </c>
      <c r="B2413" s="63" t="s">
        <v>1443</v>
      </c>
      <c r="C2413" s="64"/>
      <c r="D2413" s="65"/>
      <c r="E2413" s="66"/>
      <c r="F2413" s="67"/>
      <c r="G2413" s="64"/>
      <c r="H2413" s="68"/>
      <c r="I2413" s="69"/>
      <c r="J2413" s="69"/>
      <c r="K2413" s="32"/>
      <c r="L2413" s="76">
        <v>2413</v>
      </c>
      <c r="M2413" s="76"/>
      <c r="N2413" s="71"/>
      <c r="O2413" s="87" t="s">
        <v>1841</v>
      </c>
      <c r="P2413" s="90">
        <v>45193.546747685185</v>
      </c>
      <c r="Q2413" s="87" t="s">
        <v>4130</v>
      </c>
      <c r="R2413" s="87">
        <v>1</v>
      </c>
      <c r="S2413" s="87">
        <v>0</v>
      </c>
      <c r="T2413" s="87">
        <v>0</v>
      </c>
      <c r="U2413" s="87">
        <v>0</v>
      </c>
      <c r="V2413" s="87"/>
      <c r="W2413" s="87"/>
      <c r="X2413" s="87"/>
      <c r="Y2413" s="87"/>
      <c r="Z2413" s="87" t="s">
        <v>1443</v>
      </c>
      <c r="AA2413" s="87"/>
      <c r="AB2413" s="87"/>
      <c r="AC2413" s="93" t="s">
        <v>11458</v>
      </c>
      <c r="AD2413" s="87" t="s">
        <v>11519</v>
      </c>
      <c r="AE2413" s="92" t="str">
        <f>HYPERLINK("https://twitter.com/betacodexpress/status/1705931922117886264")</f>
        <v>https://twitter.com/betacodexpress/status/1705931922117886264</v>
      </c>
      <c r="AF2413" s="90">
        <v>45193.546747685185</v>
      </c>
      <c r="AG2413" s="99">
        <v>45193</v>
      </c>
      <c r="AH2413" s="93" t="s">
        <v>13670</v>
      </c>
      <c r="AI2413" s="87"/>
      <c r="AJ2413" s="87"/>
      <c r="AK2413" s="87"/>
      <c r="AL2413" s="87"/>
      <c r="AM2413" s="87"/>
      <c r="AN2413" s="87"/>
      <c r="AO2413" s="87"/>
      <c r="AP2413" s="87"/>
      <c r="AQ2413" s="87"/>
      <c r="AR2413" s="87"/>
      <c r="AS2413" s="87"/>
      <c r="AT2413" s="87"/>
      <c r="AU2413" s="87"/>
      <c r="AV2413" s="92" t="str">
        <f>HYPERLINK("https://pbs.twimg.com/profile_images/1622890522066014209/-h-U36CD_normal.jpg")</f>
        <v>https://pbs.twimg.com/profile_images/1622890522066014209/-h-U36CD_normal.jpg</v>
      </c>
      <c r="AW2413" s="93" t="s">
        <v>20574</v>
      </c>
      <c r="AX2413" s="93" t="s">
        <v>20574</v>
      </c>
      <c r="AY2413" s="87"/>
      <c r="AZ2413" s="93" t="s">
        <v>22668</v>
      </c>
      <c r="BA2413" s="93" t="s">
        <v>22668</v>
      </c>
      <c r="BB2413" s="93" t="s">
        <v>21868</v>
      </c>
      <c r="BC2413" s="93" t="s">
        <v>21868</v>
      </c>
      <c r="BD2413" s="93" t="s">
        <v>23262</v>
      </c>
      <c r="BE2413" s="87"/>
      <c r="BF2413" s="87"/>
      <c r="BG2413" s="87"/>
      <c r="BH2413" s="87"/>
      <c r="BI2413" s="87"/>
    </row>
    <row r="2414" spans="1:61" x14ac:dyDescent="0.25">
      <c r="A2414" s="63" t="s">
        <v>1050</v>
      </c>
      <c r="B2414" s="63" t="s">
        <v>1050</v>
      </c>
      <c r="C2414" s="64"/>
      <c r="D2414" s="65"/>
      <c r="E2414" s="66"/>
      <c r="F2414" s="67"/>
      <c r="G2414" s="64"/>
      <c r="H2414" s="68"/>
      <c r="I2414" s="69"/>
      <c r="J2414" s="69"/>
      <c r="K2414" s="32"/>
      <c r="L2414" s="76">
        <v>2414</v>
      </c>
      <c r="M2414" s="76"/>
      <c r="N2414" s="71"/>
      <c r="O2414" s="87" t="s">
        <v>179</v>
      </c>
      <c r="P2414" s="90">
        <v>45125.491886574076</v>
      </c>
      <c r="Q2414" s="87" t="s">
        <v>4131</v>
      </c>
      <c r="R2414" s="87">
        <v>0</v>
      </c>
      <c r="S2414" s="87">
        <v>0</v>
      </c>
      <c r="T2414" s="87">
        <v>0</v>
      </c>
      <c r="U2414" s="87">
        <v>0</v>
      </c>
      <c r="V2414" s="87">
        <v>17</v>
      </c>
      <c r="W2414" s="93" t="s">
        <v>7412</v>
      </c>
      <c r="X2414" s="87"/>
      <c r="Y2414" s="87"/>
      <c r="Z2414" s="87"/>
      <c r="AA2414" s="87" t="s">
        <v>10149</v>
      </c>
      <c r="AB2414" s="87" t="s">
        <v>11448</v>
      </c>
      <c r="AC2414" s="93" t="s">
        <v>11458</v>
      </c>
      <c r="AD2414" s="87" t="s">
        <v>11519</v>
      </c>
      <c r="AE2414" s="92" t="str">
        <f>HYPERLINK("https://twitter.com/diegoskda/status/1681269666751078402")</f>
        <v>https://twitter.com/diegoskda/status/1681269666751078402</v>
      </c>
      <c r="AF2414" s="90">
        <v>45125.491886574076</v>
      </c>
      <c r="AG2414" s="99">
        <v>45125</v>
      </c>
      <c r="AH2414" s="93" t="s">
        <v>13671</v>
      </c>
      <c r="AI2414" s="87" t="b">
        <v>0</v>
      </c>
      <c r="AJ2414" s="87"/>
      <c r="AK2414" s="87"/>
      <c r="AL2414" s="87"/>
      <c r="AM2414" s="87"/>
      <c r="AN2414" s="87"/>
      <c r="AO2414" s="87"/>
      <c r="AP2414" s="87"/>
      <c r="AQ2414" s="87" t="s">
        <v>16962</v>
      </c>
      <c r="AR2414" s="87"/>
      <c r="AS2414" s="87"/>
      <c r="AT2414" s="87"/>
      <c r="AU2414" s="87"/>
      <c r="AV2414" s="92" t="str">
        <f>HYPERLINK("https://pbs.twimg.com/media/F1UR0-dXwAALsWf.jpg")</f>
        <v>https://pbs.twimg.com/media/F1UR0-dXwAALsWf.jpg</v>
      </c>
      <c r="AW2414" s="93" t="s">
        <v>20575</v>
      </c>
      <c r="AX2414" s="93" t="s">
        <v>20575</v>
      </c>
      <c r="AY2414" s="87"/>
      <c r="AZ2414" s="93" t="s">
        <v>22668</v>
      </c>
      <c r="BA2414" s="93" t="s">
        <v>22668</v>
      </c>
      <c r="BB2414" s="93" t="s">
        <v>22668</v>
      </c>
      <c r="BC2414" s="93" t="s">
        <v>20575</v>
      </c>
      <c r="BD2414" s="93" t="s">
        <v>23263</v>
      </c>
      <c r="BE2414" s="87"/>
      <c r="BF2414" s="87"/>
      <c r="BG2414" s="87"/>
      <c r="BH2414" s="87"/>
      <c r="BI2414" s="87"/>
    </row>
    <row r="2415" spans="1:61" x14ac:dyDescent="0.25">
      <c r="A2415" s="63" t="s">
        <v>1051</v>
      </c>
      <c r="B2415" s="63" t="s">
        <v>1051</v>
      </c>
      <c r="C2415" s="64"/>
      <c r="D2415" s="65"/>
      <c r="E2415" s="66"/>
      <c r="F2415" s="67"/>
      <c r="G2415" s="64"/>
      <c r="H2415" s="68"/>
      <c r="I2415" s="69"/>
      <c r="J2415" s="69"/>
      <c r="K2415" s="32"/>
      <c r="L2415" s="76">
        <v>2415</v>
      </c>
      <c r="M2415" s="76"/>
      <c r="N2415" s="71"/>
      <c r="O2415" s="87" t="s">
        <v>179</v>
      </c>
      <c r="P2415" s="90">
        <v>45140.617488425924</v>
      </c>
      <c r="Q2415" s="87" t="s">
        <v>4132</v>
      </c>
      <c r="R2415" s="87">
        <v>0</v>
      </c>
      <c r="S2415" s="87">
        <v>4</v>
      </c>
      <c r="T2415" s="87">
        <v>0</v>
      </c>
      <c r="U2415" s="87">
        <v>0</v>
      </c>
      <c r="V2415" s="87">
        <v>292</v>
      </c>
      <c r="W2415" s="93" t="s">
        <v>7413</v>
      </c>
      <c r="X2415" s="87"/>
      <c r="Y2415" s="87"/>
      <c r="Z2415" s="87"/>
      <c r="AA2415" s="87" t="s">
        <v>10150</v>
      </c>
      <c r="AB2415" s="87" t="s">
        <v>11447</v>
      </c>
      <c r="AC2415" s="93" t="s">
        <v>11458</v>
      </c>
      <c r="AD2415" s="87" t="s">
        <v>11519</v>
      </c>
      <c r="AE2415" s="92" t="str">
        <f>HYPERLINK("https://twitter.com/sharlotsandim1/status/1686751001900904449")</f>
        <v>https://twitter.com/sharlotsandim1/status/1686751001900904449</v>
      </c>
      <c r="AF2415" s="90">
        <v>45140.617488425924</v>
      </c>
      <c r="AG2415" s="99">
        <v>45140</v>
      </c>
      <c r="AH2415" s="93" t="s">
        <v>13672</v>
      </c>
      <c r="AI2415" s="87" t="b">
        <v>0</v>
      </c>
      <c r="AJ2415" s="87"/>
      <c r="AK2415" s="87"/>
      <c r="AL2415" s="87"/>
      <c r="AM2415" s="87"/>
      <c r="AN2415" s="87"/>
      <c r="AO2415" s="87"/>
      <c r="AP2415" s="87"/>
      <c r="AQ2415" s="87" t="s">
        <v>16963</v>
      </c>
      <c r="AR2415" s="87">
        <v>51986</v>
      </c>
      <c r="AS2415" s="87"/>
      <c r="AT2415" s="87"/>
      <c r="AU2415" s="87"/>
      <c r="AV2415" s="92" t="str">
        <f>HYPERLINK("https://pbs.twimg.com/ext_tw_video_thumb/1686750925690474497/pu/img/CP32bKt5yjGxRHTL.jpg")</f>
        <v>https://pbs.twimg.com/ext_tw_video_thumb/1686750925690474497/pu/img/CP32bKt5yjGxRHTL.jpg</v>
      </c>
      <c r="AW2415" s="93" t="s">
        <v>20576</v>
      </c>
      <c r="AX2415" s="93" t="s">
        <v>20576</v>
      </c>
      <c r="AY2415" s="87"/>
      <c r="AZ2415" s="93" t="s">
        <v>22668</v>
      </c>
      <c r="BA2415" s="93" t="s">
        <v>22668</v>
      </c>
      <c r="BB2415" s="93" t="s">
        <v>22668</v>
      </c>
      <c r="BC2415" s="93" t="s">
        <v>20576</v>
      </c>
      <c r="BD2415" s="93" t="s">
        <v>23264</v>
      </c>
      <c r="BE2415" s="87"/>
      <c r="BF2415" s="87"/>
      <c r="BG2415" s="87"/>
      <c r="BH2415" s="87"/>
      <c r="BI2415" s="87"/>
    </row>
    <row r="2416" spans="1:61" x14ac:dyDescent="0.25">
      <c r="A2416" s="63" t="s">
        <v>1052</v>
      </c>
      <c r="B2416" s="63" t="s">
        <v>1052</v>
      </c>
      <c r="C2416" s="64"/>
      <c r="D2416" s="65"/>
      <c r="E2416" s="66"/>
      <c r="F2416" s="67"/>
      <c r="G2416" s="64"/>
      <c r="H2416" s="68"/>
      <c r="I2416" s="69"/>
      <c r="J2416" s="69"/>
      <c r="K2416" s="32"/>
      <c r="L2416" s="76">
        <v>2416</v>
      </c>
      <c r="M2416" s="76"/>
      <c r="N2416" s="71"/>
      <c r="O2416" s="87" t="s">
        <v>179</v>
      </c>
      <c r="P2416" s="90">
        <v>45170.149363425924</v>
      </c>
      <c r="Q2416" s="87" t="s">
        <v>4133</v>
      </c>
      <c r="R2416" s="87">
        <v>0</v>
      </c>
      <c r="S2416" s="87">
        <v>0</v>
      </c>
      <c r="T2416" s="87">
        <v>0</v>
      </c>
      <c r="U2416" s="87">
        <v>0</v>
      </c>
      <c r="V2416" s="87">
        <v>32</v>
      </c>
      <c r="W2416" s="93" t="s">
        <v>7414</v>
      </c>
      <c r="X2416" s="87"/>
      <c r="Y2416" s="87"/>
      <c r="Z2416" s="87"/>
      <c r="AA2416" s="87"/>
      <c r="AB2416" s="87"/>
      <c r="AC2416" s="93" t="s">
        <v>11458</v>
      </c>
      <c r="AD2416" s="87" t="s">
        <v>11519</v>
      </c>
      <c r="AE2416" s="92" t="str">
        <f>HYPERLINK("https://twitter.com/rhupgrade/status/1697452992415285313")</f>
        <v>https://twitter.com/rhupgrade/status/1697452992415285313</v>
      </c>
      <c r="AF2416" s="90">
        <v>45170.149363425924</v>
      </c>
      <c r="AG2416" s="99">
        <v>45170</v>
      </c>
      <c r="AH2416" s="93" t="s">
        <v>13673</v>
      </c>
      <c r="AI2416" s="87"/>
      <c r="AJ2416" s="87"/>
      <c r="AK2416" s="87"/>
      <c r="AL2416" s="87"/>
      <c r="AM2416" s="87"/>
      <c r="AN2416" s="87"/>
      <c r="AO2416" s="87"/>
      <c r="AP2416" s="87"/>
      <c r="AQ2416" s="87"/>
      <c r="AR2416" s="87"/>
      <c r="AS2416" s="87"/>
      <c r="AT2416" s="87"/>
      <c r="AU2416" s="87"/>
      <c r="AV2416" s="92" t="str">
        <f>HYPERLINK("https://pbs.twimg.com/profile_images/1475331644898881537/Bawv595t_normal.jpg")</f>
        <v>https://pbs.twimg.com/profile_images/1475331644898881537/Bawv595t_normal.jpg</v>
      </c>
      <c r="AW2416" s="93" t="s">
        <v>20577</v>
      </c>
      <c r="AX2416" s="93" t="s">
        <v>20577</v>
      </c>
      <c r="AY2416" s="87"/>
      <c r="AZ2416" s="93" t="s">
        <v>22668</v>
      </c>
      <c r="BA2416" s="93" t="s">
        <v>22668</v>
      </c>
      <c r="BB2416" s="93" t="s">
        <v>22668</v>
      </c>
      <c r="BC2416" s="93" t="s">
        <v>20577</v>
      </c>
      <c r="BD2416" s="87">
        <v>734326411</v>
      </c>
      <c r="BE2416" s="87"/>
      <c r="BF2416" s="87"/>
      <c r="BG2416" s="87"/>
      <c r="BH2416" s="87"/>
      <c r="BI2416" s="87"/>
    </row>
    <row r="2417" spans="1:61" x14ac:dyDescent="0.25">
      <c r="A2417" s="63" t="s">
        <v>1053</v>
      </c>
      <c r="B2417" s="63" t="s">
        <v>1624</v>
      </c>
      <c r="C2417" s="64"/>
      <c r="D2417" s="65"/>
      <c r="E2417" s="66"/>
      <c r="F2417" s="67"/>
      <c r="G2417" s="64"/>
      <c r="H2417" s="68"/>
      <c r="I2417" s="69"/>
      <c r="J2417" s="69"/>
      <c r="K2417" s="32"/>
      <c r="L2417" s="76">
        <v>2417</v>
      </c>
      <c r="M2417" s="76"/>
      <c r="N2417" s="71"/>
      <c r="O2417" s="87" t="s">
        <v>1839</v>
      </c>
      <c r="P2417" s="90">
        <v>45138.637592592589</v>
      </c>
      <c r="Q2417" s="87" t="s">
        <v>4134</v>
      </c>
      <c r="R2417" s="87">
        <v>0</v>
      </c>
      <c r="S2417" s="87">
        <v>0</v>
      </c>
      <c r="T2417" s="87">
        <v>0</v>
      </c>
      <c r="U2417" s="87">
        <v>0</v>
      </c>
      <c r="V2417" s="87">
        <v>38</v>
      </c>
      <c r="W2417" s="93" t="s">
        <v>7415</v>
      </c>
      <c r="X2417" s="92" t="str">
        <f>HYPERLINK("https://youtu.be/oM5bPJ4x33Y")</f>
        <v>https://youtu.be/oM5bPJ4x33Y</v>
      </c>
      <c r="Y2417" s="87" t="s">
        <v>8372</v>
      </c>
      <c r="Z2417" s="87" t="s">
        <v>1624</v>
      </c>
      <c r="AA2417" s="87"/>
      <c r="AB2417" s="87"/>
      <c r="AC2417" s="93" t="s">
        <v>11457</v>
      </c>
      <c r="AD2417" s="87" t="s">
        <v>11519</v>
      </c>
      <c r="AE2417" s="92" t="str">
        <f>HYPERLINK("https://twitter.com/urtado_cesar/status/1686033508320387072")</f>
        <v>https://twitter.com/urtado_cesar/status/1686033508320387072</v>
      </c>
      <c r="AF2417" s="90">
        <v>45138.637592592589</v>
      </c>
      <c r="AG2417" s="99">
        <v>45138</v>
      </c>
      <c r="AH2417" s="93" t="s">
        <v>13674</v>
      </c>
      <c r="AI2417" s="87" t="b">
        <v>0</v>
      </c>
      <c r="AJ2417" s="87"/>
      <c r="AK2417" s="87"/>
      <c r="AL2417" s="87"/>
      <c r="AM2417" s="87"/>
      <c r="AN2417" s="87"/>
      <c r="AO2417" s="87"/>
      <c r="AP2417" s="87"/>
      <c r="AQ2417" s="87"/>
      <c r="AR2417" s="87"/>
      <c r="AS2417" s="87"/>
      <c r="AT2417" s="87"/>
      <c r="AU2417" s="87"/>
      <c r="AV2417" s="92" t="str">
        <f>HYPERLINK("https://pbs.twimg.com/profile_images/1463267535227289606/Pci45gq__normal.jpg")</f>
        <v>https://pbs.twimg.com/profile_images/1463267535227289606/Pci45gq__normal.jpg</v>
      </c>
      <c r="AW2417" s="93" t="s">
        <v>20578</v>
      </c>
      <c r="AX2417" s="93" t="s">
        <v>20578</v>
      </c>
      <c r="AY2417" s="87"/>
      <c r="AZ2417" s="93" t="s">
        <v>22668</v>
      </c>
      <c r="BA2417" s="93" t="s">
        <v>22668</v>
      </c>
      <c r="BB2417" s="93" t="s">
        <v>22668</v>
      </c>
      <c r="BC2417" s="93" t="s">
        <v>20578</v>
      </c>
      <c r="BD2417" s="93" t="s">
        <v>23265</v>
      </c>
      <c r="BE2417" s="87"/>
      <c r="BF2417" s="87"/>
      <c r="BG2417" s="87"/>
      <c r="BH2417" s="87"/>
      <c r="BI2417" s="87"/>
    </row>
    <row r="2418" spans="1:61" x14ac:dyDescent="0.25">
      <c r="A2418" s="63" t="s">
        <v>1053</v>
      </c>
      <c r="B2418" s="63" t="s">
        <v>1624</v>
      </c>
      <c r="C2418" s="64"/>
      <c r="D2418" s="65"/>
      <c r="E2418" s="66"/>
      <c r="F2418" s="67"/>
      <c r="G2418" s="64"/>
      <c r="H2418" s="68"/>
      <c r="I2418" s="69"/>
      <c r="J2418" s="69"/>
      <c r="K2418" s="32"/>
      <c r="L2418" s="76">
        <v>2418</v>
      </c>
      <c r="M2418" s="76"/>
      <c r="N2418" s="71"/>
      <c r="O2418" s="87" t="s">
        <v>1839</v>
      </c>
      <c r="P2418" s="90">
        <v>45145.747152777774</v>
      </c>
      <c r="Q2418" s="87" t="s">
        <v>4135</v>
      </c>
      <c r="R2418" s="87">
        <v>0</v>
      </c>
      <c r="S2418" s="87">
        <v>0</v>
      </c>
      <c r="T2418" s="87">
        <v>0</v>
      </c>
      <c r="U2418" s="87">
        <v>0</v>
      </c>
      <c r="V2418" s="87">
        <v>21</v>
      </c>
      <c r="W2418" s="93" t="s">
        <v>7416</v>
      </c>
      <c r="X2418" s="92" t="str">
        <f>HYPERLINK("https://youtu.be/kbJ1191lqmg")</f>
        <v>https://youtu.be/kbJ1191lqmg</v>
      </c>
      <c r="Y2418" s="87" t="s">
        <v>8372</v>
      </c>
      <c r="Z2418" s="87" t="s">
        <v>1624</v>
      </c>
      <c r="AA2418" s="87"/>
      <c r="AB2418" s="87"/>
      <c r="AC2418" s="93" t="s">
        <v>11457</v>
      </c>
      <c r="AD2418" s="87" t="s">
        <v>11519</v>
      </c>
      <c r="AE2418" s="92" t="str">
        <f>HYPERLINK("https://twitter.com/urtado_cesar/status/1688609926728351744")</f>
        <v>https://twitter.com/urtado_cesar/status/1688609926728351744</v>
      </c>
      <c r="AF2418" s="90">
        <v>45145.747152777774</v>
      </c>
      <c r="AG2418" s="99">
        <v>45145</v>
      </c>
      <c r="AH2418" s="93" t="s">
        <v>13675</v>
      </c>
      <c r="AI2418" s="87" t="b">
        <v>0</v>
      </c>
      <c r="AJ2418" s="87"/>
      <c r="AK2418" s="87"/>
      <c r="AL2418" s="87"/>
      <c r="AM2418" s="87"/>
      <c r="AN2418" s="87"/>
      <c r="AO2418" s="87"/>
      <c r="AP2418" s="87"/>
      <c r="AQ2418" s="87"/>
      <c r="AR2418" s="87"/>
      <c r="AS2418" s="87"/>
      <c r="AT2418" s="87"/>
      <c r="AU2418" s="87"/>
      <c r="AV2418" s="92" t="str">
        <f>HYPERLINK("https://pbs.twimg.com/profile_images/1463267535227289606/Pci45gq__normal.jpg")</f>
        <v>https://pbs.twimg.com/profile_images/1463267535227289606/Pci45gq__normal.jpg</v>
      </c>
      <c r="AW2418" s="93" t="s">
        <v>20579</v>
      </c>
      <c r="AX2418" s="93" t="s">
        <v>20579</v>
      </c>
      <c r="AY2418" s="87"/>
      <c r="AZ2418" s="93" t="s">
        <v>22668</v>
      </c>
      <c r="BA2418" s="93" t="s">
        <v>22668</v>
      </c>
      <c r="BB2418" s="93" t="s">
        <v>22668</v>
      </c>
      <c r="BC2418" s="93" t="s">
        <v>20579</v>
      </c>
      <c r="BD2418" s="93" t="s">
        <v>23265</v>
      </c>
      <c r="BE2418" s="87"/>
      <c r="BF2418" s="87"/>
      <c r="BG2418" s="87"/>
      <c r="BH2418" s="87"/>
      <c r="BI2418" s="87"/>
    </row>
    <row r="2419" spans="1:61" x14ac:dyDescent="0.25">
      <c r="A2419" s="63" t="s">
        <v>1054</v>
      </c>
      <c r="B2419" s="63" t="s">
        <v>1054</v>
      </c>
      <c r="C2419" s="64"/>
      <c r="D2419" s="65"/>
      <c r="E2419" s="66"/>
      <c r="F2419" s="67"/>
      <c r="G2419" s="64"/>
      <c r="H2419" s="68"/>
      <c r="I2419" s="69"/>
      <c r="J2419" s="69"/>
      <c r="K2419" s="32"/>
      <c r="L2419" s="76">
        <v>2419</v>
      </c>
      <c r="M2419" s="76"/>
      <c r="N2419" s="71"/>
      <c r="O2419" s="87" t="s">
        <v>179</v>
      </c>
      <c r="P2419" s="90">
        <v>45156.417094907411</v>
      </c>
      <c r="Q2419" s="87" t="s">
        <v>4136</v>
      </c>
      <c r="R2419" s="87">
        <v>0</v>
      </c>
      <c r="S2419" s="87">
        <v>1</v>
      </c>
      <c r="T2419" s="87">
        <v>0</v>
      </c>
      <c r="U2419" s="87">
        <v>0</v>
      </c>
      <c r="V2419" s="87">
        <v>24</v>
      </c>
      <c r="W2419" s="93" t="s">
        <v>7417</v>
      </c>
      <c r="X2419" s="87"/>
      <c r="Y2419" s="87"/>
      <c r="Z2419" s="87"/>
      <c r="AA2419" s="87" t="s">
        <v>10151</v>
      </c>
      <c r="AB2419" s="87" t="s">
        <v>11448</v>
      </c>
      <c r="AC2419" s="93" t="s">
        <v>11475</v>
      </c>
      <c r="AD2419" s="87" t="s">
        <v>11519</v>
      </c>
      <c r="AE2419" s="92" t="str">
        <f>HYPERLINK("https://twitter.com/iqoption_pt/status/1692476586203729997")</f>
        <v>https://twitter.com/iqoption_pt/status/1692476586203729997</v>
      </c>
      <c r="AF2419" s="90">
        <v>45156.417094907411</v>
      </c>
      <c r="AG2419" s="99">
        <v>45156</v>
      </c>
      <c r="AH2419" s="93" t="s">
        <v>13676</v>
      </c>
      <c r="AI2419" s="87" t="b">
        <v>0</v>
      </c>
      <c r="AJ2419" s="87"/>
      <c r="AK2419" s="87"/>
      <c r="AL2419" s="87"/>
      <c r="AM2419" s="87"/>
      <c r="AN2419" s="87"/>
      <c r="AO2419" s="87"/>
      <c r="AP2419" s="87"/>
      <c r="AQ2419" s="87" t="s">
        <v>16964</v>
      </c>
      <c r="AR2419" s="87"/>
      <c r="AS2419" s="87"/>
      <c r="AT2419" s="87"/>
      <c r="AU2419" s="87"/>
      <c r="AV2419" s="92" t="str">
        <f>HYPERLINK("https://pbs.twimg.com/media/F3zifFZXMAEepd0.jpg")</f>
        <v>https://pbs.twimg.com/media/F3zifFZXMAEepd0.jpg</v>
      </c>
      <c r="AW2419" s="93" t="s">
        <v>20580</v>
      </c>
      <c r="AX2419" s="93" t="s">
        <v>20580</v>
      </c>
      <c r="AY2419" s="87"/>
      <c r="AZ2419" s="93" t="s">
        <v>22668</v>
      </c>
      <c r="BA2419" s="93" t="s">
        <v>22668</v>
      </c>
      <c r="BB2419" s="93" t="s">
        <v>22668</v>
      </c>
      <c r="BC2419" s="93" t="s">
        <v>20580</v>
      </c>
      <c r="BD2419" s="93" t="s">
        <v>23266</v>
      </c>
      <c r="BE2419" s="87"/>
      <c r="BF2419" s="87"/>
      <c r="BG2419" s="87"/>
      <c r="BH2419" s="87"/>
      <c r="BI2419" s="87"/>
    </row>
    <row r="2420" spans="1:61" x14ac:dyDescent="0.25">
      <c r="A2420" s="63" t="s">
        <v>1055</v>
      </c>
      <c r="B2420" s="63" t="s">
        <v>1055</v>
      </c>
      <c r="C2420" s="64"/>
      <c r="D2420" s="65"/>
      <c r="E2420" s="66"/>
      <c r="F2420" s="67"/>
      <c r="G2420" s="64"/>
      <c r="H2420" s="68"/>
      <c r="I2420" s="69"/>
      <c r="J2420" s="69"/>
      <c r="K2420" s="32"/>
      <c r="L2420" s="76">
        <v>2420</v>
      </c>
      <c r="M2420" s="76"/>
      <c r="N2420" s="71"/>
      <c r="O2420" s="87" t="s">
        <v>179</v>
      </c>
      <c r="P2420" s="90">
        <v>45124.542268518519</v>
      </c>
      <c r="Q2420" s="87" t="s">
        <v>4137</v>
      </c>
      <c r="R2420" s="87">
        <v>0</v>
      </c>
      <c r="S2420" s="87">
        <v>0</v>
      </c>
      <c r="T2420" s="87">
        <v>0</v>
      </c>
      <c r="U2420" s="87">
        <v>0</v>
      </c>
      <c r="V2420" s="87">
        <v>54</v>
      </c>
      <c r="W2420" s="93" t="s">
        <v>7418</v>
      </c>
      <c r="X2420" s="87"/>
      <c r="Y2420" s="87"/>
      <c r="Z2420" s="87"/>
      <c r="AA2420" s="87" t="s">
        <v>10152</v>
      </c>
      <c r="AB2420" s="87" t="s">
        <v>11447</v>
      </c>
      <c r="AC2420" s="93" t="s">
        <v>11458</v>
      </c>
      <c r="AD2420" s="87" t="s">
        <v>11520</v>
      </c>
      <c r="AE2420" s="92" t="str">
        <f>HYPERLINK("https://twitter.com/santoscancio/status/1680925537676451840")</f>
        <v>https://twitter.com/santoscancio/status/1680925537676451840</v>
      </c>
      <c r="AF2420" s="90">
        <v>45124.542268518519</v>
      </c>
      <c r="AG2420" s="99">
        <v>45124</v>
      </c>
      <c r="AH2420" s="93" t="s">
        <v>13677</v>
      </c>
      <c r="AI2420" s="87" t="b">
        <v>0</v>
      </c>
      <c r="AJ2420" s="87"/>
      <c r="AK2420" s="87"/>
      <c r="AL2420" s="87"/>
      <c r="AM2420" s="87"/>
      <c r="AN2420" s="87"/>
      <c r="AO2420" s="87"/>
      <c r="AP2420" s="87"/>
      <c r="AQ2420" s="87" t="s">
        <v>16965</v>
      </c>
      <c r="AR2420" s="87">
        <v>7200</v>
      </c>
      <c r="AS2420" s="87"/>
      <c r="AT2420" s="87"/>
      <c r="AU2420" s="87"/>
      <c r="AV2420" s="92" t="str">
        <f>HYPERLINK("https://pbs.twimg.com/ext_tw_video_thumb/1680925458437750784/pu/img/aRUj7vac5YY-9Kkr.jpg")</f>
        <v>https://pbs.twimg.com/ext_tw_video_thumb/1680925458437750784/pu/img/aRUj7vac5YY-9Kkr.jpg</v>
      </c>
      <c r="AW2420" s="93" t="s">
        <v>20581</v>
      </c>
      <c r="AX2420" s="93" t="s">
        <v>20581</v>
      </c>
      <c r="AY2420" s="87"/>
      <c r="AZ2420" s="93" t="s">
        <v>22668</v>
      </c>
      <c r="BA2420" s="93" t="s">
        <v>22668</v>
      </c>
      <c r="BB2420" s="93" t="s">
        <v>22668</v>
      </c>
      <c r="BC2420" s="93" t="s">
        <v>20581</v>
      </c>
      <c r="BD2420" s="93" t="s">
        <v>23267</v>
      </c>
      <c r="BE2420" s="87"/>
      <c r="BF2420" s="87"/>
      <c r="BG2420" s="87"/>
      <c r="BH2420" s="87"/>
      <c r="BI2420" s="87"/>
    </row>
    <row r="2421" spans="1:61" x14ac:dyDescent="0.25">
      <c r="A2421" s="63" t="s">
        <v>1056</v>
      </c>
      <c r="B2421" s="63" t="s">
        <v>1056</v>
      </c>
      <c r="C2421" s="64"/>
      <c r="D2421" s="65"/>
      <c r="E2421" s="66"/>
      <c r="F2421" s="67"/>
      <c r="G2421" s="64"/>
      <c r="H2421" s="68"/>
      <c r="I2421" s="69"/>
      <c r="J2421" s="69"/>
      <c r="K2421" s="32"/>
      <c r="L2421" s="76">
        <v>2421</v>
      </c>
      <c r="M2421" s="76"/>
      <c r="N2421" s="71"/>
      <c r="O2421" s="87" t="s">
        <v>179</v>
      </c>
      <c r="P2421" s="90">
        <v>45140.558368055557</v>
      </c>
      <c r="Q2421" s="87" t="s">
        <v>4138</v>
      </c>
      <c r="R2421" s="87">
        <v>0</v>
      </c>
      <c r="S2421" s="87">
        <v>0</v>
      </c>
      <c r="T2421" s="87">
        <v>0</v>
      </c>
      <c r="U2421" s="87">
        <v>0</v>
      </c>
      <c r="V2421" s="87">
        <v>141</v>
      </c>
      <c r="W2421" s="93" t="s">
        <v>7419</v>
      </c>
      <c r="X2421" s="87"/>
      <c r="Y2421" s="87"/>
      <c r="Z2421" s="87"/>
      <c r="AA2421" s="87" t="s">
        <v>10153</v>
      </c>
      <c r="AB2421" s="87" t="s">
        <v>11448</v>
      </c>
      <c r="AC2421" s="93" t="s">
        <v>11462</v>
      </c>
      <c r="AD2421" s="87" t="s">
        <v>11519</v>
      </c>
      <c r="AE2421" s="92" t="str">
        <f>HYPERLINK("https://twitter.com/liibebox/status/1686729577895174144")</f>
        <v>https://twitter.com/liibebox/status/1686729577895174144</v>
      </c>
      <c r="AF2421" s="90">
        <v>45140.558368055557</v>
      </c>
      <c r="AG2421" s="99">
        <v>45140</v>
      </c>
      <c r="AH2421" s="93" t="s">
        <v>13678</v>
      </c>
      <c r="AI2421" s="87" t="b">
        <v>0</v>
      </c>
      <c r="AJ2421" s="87"/>
      <c r="AK2421" s="87"/>
      <c r="AL2421" s="87"/>
      <c r="AM2421" s="87"/>
      <c r="AN2421" s="87"/>
      <c r="AO2421" s="87"/>
      <c r="AP2421" s="87"/>
      <c r="AQ2421" s="87" t="s">
        <v>16966</v>
      </c>
      <c r="AR2421" s="87"/>
      <c r="AS2421" s="87"/>
      <c r="AT2421" s="87"/>
      <c r="AU2421" s="87"/>
      <c r="AV2421" s="92" t="str">
        <f>HYPERLINK("https://pbs.twimg.com/media/F2h3nI8W4AA2YrP.jpg")</f>
        <v>https://pbs.twimg.com/media/F2h3nI8W4AA2YrP.jpg</v>
      </c>
      <c r="AW2421" s="93" t="s">
        <v>20582</v>
      </c>
      <c r="AX2421" s="93" t="s">
        <v>20582</v>
      </c>
      <c r="AY2421" s="87"/>
      <c r="AZ2421" s="93" t="s">
        <v>22668</v>
      </c>
      <c r="BA2421" s="93" t="s">
        <v>22668</v>
      </c>
      <c r="BB2421" s="93" t="s">
        <v>22668</v>
      </c>
      <c r="BC2421" s="93" t="s">
        <v>20582</v>
      </c>
      <c r="BD2421" s="93" t="s">
        <v>23268</v>
      </c>
      <c r="BE2421" s="87"/>
      <c r="BF2421" s="87"/>
      <c r="BG2421" s="87"/>
      <c r="BH2421" s="87"/>
      <c r="BI2421" s="87"/>
    </row>
    <row r="2422" spans="1:61" x14ac:dyDescent="0.25">
      <c r="A2422" s="63" t="s">
        <v>1057</v>
      </c>
      <c r="B2422" s="63" t="s">
        <v>1750</v>
      </c>
      <c r="C2422" s="64"/>
      <c r="D2422" s="65"/>
      <c r="E2422" s="66"/>
      <c r="F2422" s="67"/>
      <c r="G2422" s="64"/>
      <c r="H2422" s="68"/>
      <c r="I2422" s="69"/>
      <c r="J2422" s="69"/>
      <c r="K2422" s="32"/>
      <c r="L2422" s="76">
        <v>2422</v>
      </c>
      <c r="M2422" s="76"/>
      <c r="N2422" s="71"/>
      <c r="O2422" s="87" t="s">
        <v>1839</v>
      </c>
      <c r="P2422" s="90">
        <v>45111.500509259262</v>
      </c>
      <c r="Q2422" s="87" t="s">
        <v>4139</v>
      </c>
      <c r="R2422" s="87">
        <v>0</v>
      </c>
      <c r="S2422" s="87">
        <v>1</v>
      </c>
      <c r="T2422" s="87">
        <v>0</v>
      </c>
      <c r="U2422" s="87">
        <v>0</v>
      </c>
      <c r="V2422" s="87">
        <v>8</v>
      </c>
      <c r="W2422" s="93" t="s">
        <v>7420</v>
      </c>
      <c r="X2422" s="92" t="str">
        <f>HYPERLINK("https://www.youtube.com/watch?v=O-hAc22pKSg")</f>
        <v>https://www.youtube.com/watch?v=O-hAc22pKSg</v>
      </c>
      <c r="Y2422" s="87" t="s">
        <v>8380</v>
      </c>
      <c r="Z2422" s="87" t="s">
        <v>1750</v>
      </c>
      <c r="AA2422" s="87" t="s">
        <v>10154</v>
      </c>
      <c r="AB2422" s="87" t="s">
        <v>11448</v>
      </c>
      <c r="AC2422" s="93" t="s">
        <v>11460</v>
      </c>
      <c r="AD2422" s="87" t="s">
        <v>11519</v>
      </c>
      <c r="AE2422" s="92" t="str">
        <f>HYPERLINK("https://twitter.com/alejodicovsky/status/1676199359233380353")</f>
        <v>https://twitter.com/alejodicovsky/status/1676199359233380353</v>
      </c>
      <c r="AF2422" s="90">
        <v>45111.500509259262</v>
      </c>
      <c r="AG2422" s="99">
        <v>45111</v>
      </c>
      <c r="AH2422" s="93" t="s">
        <v>13679</v>
      </c>
      <c r="AI2422" s="87" t="b">
        <v>0</v>
      </c>
      <c r="AJ2422" s="87"/>
      <c r="AK2422" s="87"/>
      <c r="AL2422" s="87"/>
      <c r="AM2422" s="87"/>
      <c r="AN2422" s="87"/>
      <c r="AO2422" s="87"/>
      <c r="AP2422" s="87"/>
      <c r="AQ2422" s="87" t="s">
        <v>16967</v>
      </c>
      <c r="AR2422" s="87"/>
      <c r="AS2422" s="87"/>
      <c r="AT2422" s="87"/>
      <c r="AU2422" s="87"/>
      <c r="AV2422" s="92" t="str">
        <f>HYPERLINK("https://pbs.twimg.com/media/F0MObyuX0AA21C1.jpg")</f>
        <v>https://pbs.twimg.com/media/F0MObyuX0AA21C1.jpg</v>
      </c>
      <c r="AW2422" s="93" t="s">
        <v>20583</v>
      </c>
      <c r="AX2422" s="93" t="s">
        <v>20583</v>
      </c>
      <c r="AY2422" s="87"/>
      <c r="AZ2422" s="93" t="s">
        <v>22668</v>
      </c>
      <c r="BA2422" s="93" t="s">
        <v>22668</v>
      </c>
      <c r="BB2422" s="93" t="s">
        <v>22668</v>
      </c>
      <c r="BC2422" s="93" t="s">
        <v>20583</v>
      </c>
      <c r="BD2422" s="87">
        <v>24271783</v>
      </c>
      <c r="BE2422" s="87"/>
      <c r="BF2422" s="87"/>
      <c r="BG2422" s="87"/>
      <c r="BH2422" s="87"/>
      <c r="BI2422" s="87"/>
    </row>
    <row r="2423" spans="1:61" x14ac:dyDescent="0.25">
      <c r="A2423" s="63" t="s">
        <v>1057</v>
      </c>
      <c r="B2423" s="63" t="s">
        <v>1057</v>
      </c>
      <c r="C2423" s="64"/>
      <c r="D2423" s="65"/>
      <c r="E2423" s="66"/>
      <c r="F2423" s="67"/>
      <c r="G2423" s="64"/>
      <c r="H2423" s="68"/>
      <c r="I2423" s="69"/>
      <c r="J2423" s="69"/>
      <c r="K2423" s="32"/>
      <c r="L2423" s="76">
        <v>2423</v>
      </c>
      <c r="M2423" s="76"/>
      <c r="N2423" s="71"/>
      <c r="O2423" s="87" t="s">
        <v>179</v>
      </c>
      <c r="P2423" s="90">
        <v>45139.055289351854</v>
      </c>
      <c r="Q2423" s="87" t="s">
        <v>4140</v>
      </c>
      <c r="R2423" s="87">
        <v>0</v>
      </c>
      <c r="S2423" s="87">
        <v>0</v>
      </c>
      <c r="T2423" s="87">
        <v>0</v>
      </c>
      <c r="U2423" s="87">
        <v>0</v>
      </c>
      <c r="V2423" s="87">
        <v>36</v>
      </c>
      <c r="W2423" s="93" t="s">
        <v>7421</v>
      </c>
      <c r="X2423" s="92" t="str">
        <f>HYPERLINK("https://www.techgoing.com/new-apple-airpods-patent-can-monitor-the-wearers-brainwaves-and-other-biosignals/")</f>
        <v>https://www.techgoing.com/new-apple-airpods-patent-can-monitor-the-wearers-brainwaves-and-other-biosignals/</v>
      </c>
      <c r="Y2423" s="87" t="s">
        <v>8497</v>
      </c>
      <c r="Z2423" s="87"/>
      <c r="AA2423" s="87" t="s">
        <v>10155</v>
      </c>
      <c r="AB2423" s="87" t="s">
        <v>11448</v>
      </c>
      <c r="AC2423" s="93" t="s">
        <v>11457</v>
      </c>
      <c r="AD2423" s="87" t="s">
        <v>11519</v>
      </c>
      <c r="AE2423" s="92" t="str">
        <f>HYPERLINK("https://twitter.com/alejodicovsky/status/1686184880508481536")</f>
        <v>https://twitter.com/alejodicovsky/status/1686184880508481536</v>
      </c>
      <c r="AF2423" s="90">
        <v>45139.055289351854</v>
      </c>
      <c r="AG2423" s="99">
        <v>45139</v>
      </c>
      <c r="AH2423" s="93" t="s">
        <v>13680</v>
      </c>
      <c r="AI2423" s="87" t="b">
        <v>0</v>
      </c>
      <c r="AJ2423" s="87"/>
      <c r="AK2423" s="87"/>
      <c r="AL2423" s="87"/>
      <c r="AM2423" s="87"/>
      <c r="AN2423" s="87"/>
      <c r="AO2423" s="87"/>
      <c r="AP2423" s="87"/>
      <c r="AQ2423" s="87" t="s">
        <v>16968</v>
      </c>
      <c r="AR2423" s="87"/>
      <c r="AS2423" s="87"/>
      <c r="AT2423" s="87"/>
      <c r="AU2423" s="87"/>
      <c r="AV2423" s="92" t="str">
        <f>HYPERLINK("https://pbs.twimg.com/media/F2aIDH-XUAAYG20.jpg")</f>
        <v>https://pbs.twimg.com/media/F2aIDH-XUAAYG20.jpg</v>
      </c>
      <c r="AW2423" s="93" t="s">
        <v>20584</v>
      </c>
      <c r="AX2423" s="93" t="s">
        <v>20584</v>
      </c>
      <c r="AY2423" s="87"/>
      <c r="AZ2423" s="93" t="s">
        <v>22668</v>
      </c>
      <c r="BA2423" s="93" t="s">
        <v>22668</v>
      </c>
      <c r="BB2423" s="93" t="s">
        <v>22668</v>
      </c>
      <c r="BC2423" s="93" t="s">
        <v>20584</v>
      </c>
      <c r="BD2423" s="87">
        <v>24271783</v>
      </c>
      <c r="BE2423" s="87"/>
      <c r="BF2423" s="87"/>
      <c r="BG2423" s="87"/>
      <c r="BH2423" s="87"/>
      <c r="BI2423" s="87"/>
    </row>
    <row r="2424" spans="1:61" x14ac:dyDescent="0.25">
      <c r="A2424" s="63" t="s">
        <v>1057</v>
      </c>
      <c r="B2424" s="63" t="s">
        <v>1057</v>
      </c>
      <c r="C2424" s="64"/>
      <c r="D2424" s="65"/>
      <c r="E2424" s="66"/>
      <c r="F2424" s="67"/>
      <c r="G2424" s="64"/>
      <c r="H2424" s="68"/>
      <c r="I2424" s="69"/>
      <c r="J2424" s="69"/>
      <c r="K2424" s="32"/>
      <c r="L2424" s="76">
        <v>2424</v>
      </c>
      <c r="M2424" s="76"/>
      <c r="N2424" s="71"/>
      <c r="O2424" s="87" t="s">
        <v>179</v>
      </c>
      <c r="P2424" s="90">
        <v>45160.517256944448</v>
      </c>
      <c r="Q2424" s="87" t="s">
        <v>4141</v>
      </c>
      <c r="R2424" s="87">
        <v>0</v>
      </c>
      <c r="S2424" s="87">
        <v>0</v>
      </c>
      <c r="T2424" s="87">
        <v>0</v>
      </c>
      <c r="U2424" s="87">
        <v>0</v>
      </c>
      <c r="V2424" s="87">
        <v>8</v>
      </c>
      <c r="W2424" s="93" t="s">
        <v>7422</v>
      </c>
      <c r="X2424" s="92" t="str">
        <f>HYPERLINK("https://bit.ly/45kxqyI")</f>
        <v>https://bit.ly/45kxqyI</v>
      </c>
      <c r="Y2424" s="87" t="s">
        <v>8374</v>
      </c>
      <c r="Z2424" s="87"/>
      <c r="AA2424" s="87" t="s">
        <v>10156</v>
      </c>
      <c r="AB2424" s="87" t="s">
        <v>11448</v>
      </c>
      <c r="AC2424" s="93" t="s">
        <v>11457</v>
      </c>
      <c r="AD2424" s="87" t="s">
        <v>11519</v>
      </c>
      <c r="AE2424" s="92" t="str">
        <f>HYPERLINK("https://twitter.com/alejodicovsky/status/1693962436657684559")</f>
        <v>https://twitter.com/alejodicovsky/status/1693962436657684559</v>
      </c>
      <c r="AF2424" s="90">
        <v>45160.517256944448</v>
      </c>
      <c r="AG2424" s="99">
        <v>45160</v>
      </c>
      <c r="AH2424" s="93" t="s">
        <v>13681</v>
      </c>
      <c r="AI2424" s="87" t="b">
        <v>0</v>
      </c>
      <c r="AJ2424" s="87"/>
      <c r="AK2424" s="87"/>
      <c r="AL2424" s="87"/>
      <c r="AM2424" s="87"/>
      <c r="AN2424" s="87"/>
      <c r="AO2424" s="87"/>
      <c r="AP2424" s="87"/>
      <c r="AQ2424" s="87" t="s">
        <v>16969</v>
      </c>
      <c r="AR2424" s="87"/>
      <c r="AS2424" s="87"/>
      <c r="AT2424" s="87"/>
      <c r="AU2424" s="87"/>
      <c r="AV2424" s="92" t="str">
        <f>HYPERLINK("https://pbs.twimg.com/media/F4IpjVaWwAAHoOS.jpg")</f>
        <v>https://pbs.twimg.com/media/F4IpjVaWwAAHoOS.jpg</v>
      </c>
      <c r="AW2424" s="93" t="s">
        <v>20585</v>
      </c>
      <c r="AX2424" s="93" t="s">
        <v>20585</v>
      </c>
      <c r="AY2424" s="87"/>
      <c r="AZ2424" s="93" t="s">
        <v>22668</v>
      </c>
      <c r="BA2424" s="93" t="s">
        <v>22668</v>
      </c>
      <c r="BB2424" s="93" t="s">
        <v>22668</v>
      </c>
      <c r="BC2424" s="93" t="s">
        <v>20585</v>
      </c>
      <c r="BD2424" s="87">
        <v>24271783</v>
      </c>
      <c r="BE2424" s="87"/>
      <c r="BF2424" s="87"/>
      <c r="BG2424" s="87"/>
      <c r="BH2424" s="87"/>
      <c r="BI2424" s="87"/>
    </row>
    <row r="2425" spans="1:61" x14ac:dyDescent="0.25">
      <c r="A2425" s="63" t="s">
        <v>1057</v>
      </c>
      <c r="B2425" s="63" t="s">
        <v>1057</v>
      </c>
      <c r="C2425" s="64"/>
      <c r="D2425" s="65"/>
      <c r="E2425" s="66"/>
      <c r="F2425" s="67"/>
      <c r="G2425" s="64"/>
      <c r="H2425" s="68"/>
      <c r="I2425" s="69"/>
      <c r="J2425" s="69"/>
      <c r="K2425" s="32"/>
      <c r="L2425" s="76">
        <v>2425</v>
      </c>
      <c r="M2425" s="76"/>
      <c r="N2425" s="71"/>
      <c r="O2425" s="87" t="s">
        <v>179</v>
      </c>
      <c r="P2425" s="90">
        <v>45142.541284722225</v>
      </c>
      <c r="Q2425" s="87" t="s">
        <v>4142</v>
      </c>
      <c r="R2425" s="87">
        <v>0</v>
      </c>
      <c r="S2425" s="87">
        <v>0</v>
      </c>
      <c r="T2425" s="87">
        <v>0</v>
      </c>
      <c r="U2425" s="87">
        <v>0</v>
      </c>
      <c r="V2425" s="87">
        <v>30</v>
      </c>
      <c r="W2425" s="93" t="s">
        <v>7423</v>
      </c>
      <c r="X2425" s="92" t="str">
        <f>HYPERLINK("https://bit.ly/3OIB7bF")</f>
        <v>https://bit.ly/3OIB7bF</v>
      </c>
      <c r="Y2425" s="87" t="s">
        <v>8374</v>
      </c>
      <c r="Z2425" s="87"/>
      <c r="AA2425" s="87" t="s">
        <v>10157</v>
      </c>
      <c r="AB2425" s="87" t="s">
        <v>11448</v>
      </c>
      <c r="AC2425" s="93" t="s">
        <v>11457</v>
      </c>
      <c r="AD2425" s="87" t="s">
        <v>11519</v>
      </c>
      <c r="AE2425" s="92" t="str">
        <f>HYPERLINK("https://twitter.com/alejodicovsky/status/1687448161906835457")</f>
        <v>https://twitter.com/alejodicovsky/status/1687448161906835457</v>
      </c>
      <c r="AF2425" s="90">
        <v>45142.541284722225</v>
      </c>
      <c r="AG2425" s="99">
        <v>45142</v>
      </c>
      <c r="AH2425" s="93" t="s">
        <v>13682</v>
      </c>
      <c r="AI2425" s="87" t="b">
        <v>0</v>
      </c>
      <c r="AJ2425" s="87"/>
      <c r="AK2425" s="87"/>
      <c r="AL2425" s="87"/>
      <c r="AM2425" s="87"/>
      <c r="AN2425" s="87"/>
      <c r="AO2425" s="87"/>
      <c r="AP2425" s="87"/>
      <c r="AQ2425" s="87" t="s">
        <v>16970</v>
      </c>
      <c r="AR2425" s="87"/>
      <c r="AS2425" s="87"/>
      <c r="AT2425" s="87"/>
      <c r="AU2425" s="87"/>
      <c r="AV2425" s="92" t="str">
        <f>HYPERLINK("https://pbs.twimg.com/media/F2sEiadXUAAP1ke.jpg")</f>
        <v>https://pbs.twimg.com/media/F2sEiadXUAAP1ke.jpg</v>
      </c>
      <c r="AW2425" s="93" t="s">
        <v>20586</v>
      </c>
      <c r="AX2425" s="93" t="s">
        <v>20586</v>
      </c>
      <c r="AY2425" s="87"/>
      <c r="AZ2425" s="93" t="s">
        <v>22668</v>
      </c>
      <c r="BA2425" s="93" t="s">
        <v>22668</v>
      </c>
      <c r="BB2425" s="93" t="s">
        <v>22668</v>
      </c>
      <c r="BC2425" s="93" t="s">
        <v>20586</v>
      </c>
      <c r="BD2425" s="87">
        <v>24271783</v>
      </c>
      <c r="BE2425" s="87"/>
      <c r="BF2425" s="87"/>
      <c r="BG2425" s="87"/>
      <c r="BH2425" s="87"/>
      <c r="BI2425" s="87"/>
    </row>
    <row r="2426" spans="1:61" x14ac:dyDescent="0.25">
      <c r="A2426" s="63" t="s">
        <v>1058</v>
      </c>
      <c r="B2426" s="63" t="s">
        <v>1058</v>
      </c>
      <c r="C2426" s="64"/>
      <c r="D2426" s="65"/>
      <c r="E2426" s="66"/>
      <c r="F2426" s="67"/>
      <c r="G2426" s="64"/>
      <c r="H2426" s="68"/>
      <c r="I2426" s="69"/>
      <c r="J2426" s="69"/>
      <c r="K2426" s="32"/>
      <c r="L2426" s="76">
        <v>2426</v>
      </c>
      <c r="M2426" s="76"/>
      <c r="N2426" s="71"/>
      <c r="O2426" s="87" t="s">
        <v>179</v>
      </c>
      <c r="P2426" s="90">
        <v>45181.543240740742</v>
      </c>
      <c r="Q2426" s="87" t="s">
        <v>4143</v>
      </c>
      <c r="R2426" s="87">
        <v>0</v>
      </c>
      <c r="S2426" s="87">
        <v>0</v>
      </c>
      <c r="T2426" s="87">
        <v>0</v>
      </c>
      <c r="U2426" s="87">
        <v>0</v>
      </c>
      <c r="V2426" s="87">
        <v>32</v>
      </c>
      <c r="W2426" s="93" t="s">
        <v>7424</v>
      </c>
      <c r="X2426" s="87"/>
      <c r="Y2426" s="87"/>
      <c r="Z2426" s="87"/>
      <c r="AA2426" s="87" t="s">
        <v>10158</v>
      </c>
      <c r="AB2426" s="87" t="s">
        <v>11448</v>
      </c>
      <c r="AC2426" s="93" t="s">
        <v>11457</v>
      </c>
      <c r="AD2426" s="87" t="s">
        <v>11519</v>
      </c>
      <c r="AE2426" s="92" t="str">
        <f>HYPERLINK("https://twitter.com/serraempauta/status/1701581996017750407")</f>
        <v>https://twitter.com/serraempauta/status/1701581996017750407</v>
      </c>
      <c r="AF2426" s="90">
        <v>45181.543240740742</v>
      </c>
      <c r="AG2426" s="99">
        <v>45181</v>
      </c>
      <c r="AH2426" s="93" t="s">
        <v>12241</v>
      </c>
      <c r="AI2426" s="87" t="b">
        <v>0</v>
      </c>
      <c r="AJ2426" s="87"/>
      <c r="AK2426" s="87"/>
      <c r="AL2426" s="87"/>
      <c r="AM2426" s="87"/>
      <c r="AN2426" s="87"/>
      <c r="AO2426" s="87"/>
      <c r="AP2426" s="87"/>
      <c r="AQ2426" s="87" t="s">
        <v>16971</v>
      </c>
      <c r="AR2426" s="87"/>
      <c r="AS2426" s="87"/>
      <c r="AT2426" s="87"/>
      <c r="AU2426" s="87"/>
      <c r="AV2426" s="92" t="str">
        <f>HYPERLINK("https://pbs.twimg.com/media/F507yOzXEAAjBc9.jpg")</f>
        <v>https://pbs.twimg.com/media/F507yOzXEAAjBc9.jpg</v>
      </c>
      <c r="AW2426" s="93" t="s">
        <v>20587</v>
      </c>
      <c r="AX2426" s="93" t="s">
        <v>20587</v>
      </c>
      <c r="AY2426" s="87"/>
      <c r="AZ2426" s="93" t="s">
        <v>22668</v>
      </c>
      <c r="BA2426" s="93" t="s">
        <v>22668</v>
      </c>
      <c r="BB2426" s="93" t="s">
        <v>22668</v>
      </c>
      <c r="BC2426" s="93" t="s">
        <v>20587</v>
      </c>
      <c r="BD2426" s="93" t="s">
        <v>23269</v>
      </c>
      <c r="BE2426" s="87"/>
      <c r="BF2426" s="87"/>
      <c r="BG2426" s="87"/>
      <c r="BH2426" s="87"/>
      <c r="BI2426" s="87"/>
    </row>
    <row r="2427" spans="1:61" x14ac:dyDescent="0.25">
      <c r="A2427" s="63" t="s">
        <v>1058</v>
      </c>
      <c r="B2427" s="63" t="s">
        <v>1058</v>
      </c>
      <c r="C2427" s="64"/>
      <c r="D2427" s="65"/>
      <c r="E2427" s="66"/>
      <c r="F2427" s="67"/>
      <c r="G2427" s="64"/>
      <c r="H2427" s="68"/>
      <c r="I2427" s="69"/>
      <c r="J2427" s="69"/>
      <c r="K2427" s="32"/>
      <c r="L2427" s="76">
        <v>2427</v>
      </c>
      <c r="M2427" s="76"/>
      <c r="N2427" s="71"/>
      <c r="O2427" s="87" t="s">
        <v>179</v>
      </c>
      <c r="P2427" s="90">
        <v>45180.652395833335</v>
      </c>
      <c r="Q2427" s="87" t="s">
        <v>4144</v>
      </c>
      <c r="R2427" s="87">
        <v>0</v>
      </c>
      <c r="S2427" s="87">
        <v>0</v>
      </c>
      <c r="T2427" s="87">
        <v>0</v>
      </c>
      <c r="U2427" s="87">
        <v>0</v>
      </c>
      <c r="V2427" s="87">
        <v>50</v>
      </c>
      <c r="W2427" s="93" t="s">
        <v>7424</v>
      </c>
      <c r="X2427" s="87"/>
      <c r="Y2427" s="87"/>
      <c r="Z2427" s="87"/>
      <c r="AA2427" s="87" t="s">
        <v>10159</v>
      </c>
      <c r="AB2427" s="87" t="s">
        <v>11448</v>
      </c>
      <c r="AC2427" s="93" t="s">
        <v>11457</v>
      </c>
      <c r="AD2427" s="87" t="s">
        <v>11519</v>
      </c>
      <c r="AE2427" s="92" t="str">
        <f>HYPERLINK("https://twitter.com/serraempauta/status/1701259163177738530")</f>
        <v>https://twitter.com/serraempauta/status/1701259163177738530</v>
      </c>
      <c r="AF2427" s="90">
        <v>45180.652395833335</v>
      </c>
      <c r="AG2427" s="99">
        <v>45180</v>
      </c>
      <c r="AH2427" s="93" t="s">
        <v>13683</v>
      </c>
      <c r="AI2427" s="87" t="b">
        <v>0</v>
      </c>
      <c r="AJ2427" s="87"/>
      <c r="AK2427" s="87"/>
      <c r="AL2427" s="87"/>
      <c r="AM2427" s="87"/>
      <c r="AN2427" s="87"/>
      <c r="AO2427" s="87"/>
      <c r="AP2427" s="87"/>
      <c r="AQ2427" s="87" t="s">
        <v>16972</v>
      </c>
      <c r="AR2427" s="87"/>
      <c r="AS2427" s="87"/>
      <c r="AT2427" s="87"/>
      <c r="AU2427" s="87"/>
      <c r="AV2427" s="92" t="str">
        <f>HYPERLINK("https://pbs.twimg.com/media/F5wWMC7WkAAr24h.jpg")</f>
        <v>https://pbs.twimg.com/media/F5wWMC7WkAAr24h.jpg</v>
      </c>
      <c r="AW2427" s="93" t="s">
        <v>20588</v>
      </c>
      <c r="AX2427" s="93" t="s">
        <v>20588</v>
      </c>
      <c r="AY2427" s="87"/>
      <c r="AZ2427" s="93" t="s">
        <v>22668</v>
      </c>
      <c r="BA2427" s="93" t="s">
        <v>22668</v>
      </c>
      <c r="BB2427" s="93" t="s">
        <v>22668</v>
      </c>
      <c r="BC2427" s="93" t="s">
        <v>20588</v>
      </c>
      <c r="BD2427" s="93" t="s">
        <v>23269</v>
      </c>
      <c r="BE2427" s="87"/>
      <c r="BF2427" s="87"/>
      <c r="BG2427" s="87"/>
      <c r="BH2427" s="87"/>
      <c r="BI2427" s="87"/>
    </row>
    <row r="2428" spans="1:61" x14ac:dyDescent="0.25">
      <c r="A2428" s="63" t="s">
        <v>1058</v>
      </c>
      <c r="B2428" s="63" t="s">
        <v>1058</v>
      </c>
      <c r="C2428" s="64"/>
      <c r="D2428" s="65"/>
      <c r="E2428" s="66"/>
      <c r="F2428" s="67"/>
      <c r="G2428" s="64"/>
      <c r="H2428" s="68"/>
      <c r="I2428" s="69"/>
      <c r="J2428" s="69"/>
      <c r="K2428" s="32"/>
      <c r="L2428" s="76">
        <v>2428</v>
      </c>
      <c r="M2428" s="76"/>
      <c r="N2428" s="71"/>
      <c r="O2428" s="87" t="s">
        <v>179</v>
      </c>
      <c r="P2428" s="90">
        <v>45179.943564814814</v>
      </c>
      <c r="Q2428" s="87" t="s">
        <v>4145</v>
      </c>
      <c r="R2428" s="87">
        <v>0</v>
      </c>
      <c r="S2428" s="87">
        <v>0</v>
      </c>
      <c r="T2428" s="87">
        <v>0</v>
      </c>
      <c r="U2428" s="87">
        <v>0</v>
      </c>
      <c r="V2428" s="87">
        <v>96</v>
      </c>
      <c r="W2428" s="93" t="s">
        <v>7424</v>
      </c>
      <c r="X2428" s="87"/>
      <c r="Y2428" s="87"/>
      <c r="Z2428" s="87"/>
      <c r="AA2428" s="87" t="s">
        <v>10160</v>
      </c>
      <c r="AB2428" s="87" t="s">
        <v>11448</v>
      </c>
      <c r="AC2428" s="93" t="s">
        <v>11457</v>
      </c>
      <c r="AD2428" s="87" t="s">
        <v>11519</v>
      </c>
      <c r="AE2428" s="92" t="str">
        <f>HYPERLINK("https://twitter.com/serraempauta/status/1701002293192307186")</f>
        <v>https://twitter.com/serraempauta/status/1701002293192307186</v>
      </c>
      <c r="AF2428" s="90">
        <v>45179.943564814814</v>
      </c>
      <c r="AG2428" s="99">
        <v>45179</v>
      </c>
      <c r="AH2428" s="93" t="s">
        <v>13684</v>
      </c>
      <c r="AI2428" s="87" t="b">
        <v>0</v>
      </c>
      <c r="AJ2428" s="87"/>
      <c r="AK2428" s="87"/>
      <c r="AL2428" s="87"/>
      <c r="AM2428" s="87"/>
      <c r="AN2428" s="87"/>
      <c r="AO2428" s="87"/>
      <c r="AP2428" s="87"/>
      <c r="AQ2428" s="87" t="s">
        <v>16973</v>
      </c>
      <c r="AR2428" s="87"/>
      <c r="AS2428" s="87"/>
      <c r="AT2428" s="87"/>
      <c r="AU2428" s="87"/>
      <c r="AV2428" s="92" t="str">
        <f>HYPERLINK("https://pbs.twimg.com/media/F5sskJuasAA-Gqh.jpg")</f>
        <v>https://pbs.twimg.com/media/F5sskJuasAA-Gqh.jpg</v>
      </c>
      <c r="AW2428" s="93" t="s">
        <v>20589</v>
      </c>
      <c r="AX2428" s="93" t="s">
        <v>20589</v>
      </c>
      <c r="AY2428" s="87"/>
      <c r="AZ2428" s="93" t="s">
        <v>22668</v>
      </c>
      <c r="BA2428" s="93" t="s">
        <v>22668</v>
      </c>
      <c r="BB2428" s="93" t="s">
        <v>22668</v>
      </c>
      <c r="BC2428" s="93" t="s">
        <v>20589</v>
      </c>
      <c r="BD2428" s="93" t="s">
        <v>23269</v>
      </c>
      <c r="BE2428" s="87"/>
      <c r="BF2428" s="87"/>
      <c r="BG2428" s="87"/>
      <c r="BH2428" s="87"/>
      <c r="BI2428" s="87"/>
    </row>
    <row r="2429" spans="1:61" x14ac:dyDescent="0.25">
      <c r="A2429" s="63" t="s">
        <v>1058</v>
      </c>
      <c r="B2429" s="63" t="s">
        <v>1058</v>
      </c>
      <c r="C2429" s="64"/>
      <c r="D2429" s="65"/>
      <c r="E2429" s="66"/>
      <c r="F2429" s="67"/>
      <c r="G2429" s="64"/>
      <c r="H2429" s="68"/>
      <c r="I2429" s="69"/>
      <c r="J2429" s="69"/>
      <c r="K2429" s="32"/>
      <c r="L2429" s="76">
        <v>2429</v>
      </c>
      <c r="M2429" s="76"/>
      <c r="N2429" s="71"/>
      <c r="O2429" s="87" t="s">
        <v>179</v>
      </c>
      <c r="P2429" s="90">
        <v>45175.75712962963</v>
      </c>
      <c r="Q2429" s="87" t="s">
        <v>4146</v>
      </c>
      <c r="R2429" s="87">
        <v>0</v>
      </c>
      <c r="S2429" s="87">
        <v>0</v>
      </c>
      <c r="T2429" s="87">
        <v>0</v>
      </c>
      <c r="U2429" s="87">
        <v>0</v>
      </c>
      <c r="V2429" s="87">
        <v>53</v>
      </c>
      <c r="W2429" s="93" t="s">
        <v>7424</v>
      </c>
      <c r="X2429" s="87"/>
      <c r="Y2429" s="87"/>
      <c r="Z2429" s="87"/>
      <c r="AA2429" s="87" t="s">
        <v>10161</v>
      </c>
      <c r="AB2429" s="87" t="s">
        <v>11448</v>
      </c>
      <c r="AC2429" s="93" t="s">
        <v>11457</v>
      </c>
      <c r="AD2429" s="87" t="s">
        <v>11519</v>
      </c>
      <c r="AE2429" s="92" t="str">
        <f>HYPERLINK("https://twitter.com/serraempauta/status/1699485179595600024")</f>
        <v>https://twitter.com/serraempauta/status/1699485179595600024</v>
      </c>
      <c r="AF2429" s="90">
        <v>45175.75712962963</v>
      </c>
      <c r="AG2429" s="99">
        <v>45175</v>
      </c>
      <c r="AH2429" s="93" t="s">
        <v>13685</v>
      </c>
      <c r="AI2429" s="87" t="b">
        <v>0</v>
      </c>
      <c r="AJ2429" s="87"/>
      <c r="AK2429" s="87"/>
      <c r="AL2429" s="87"/>
      <c r="AM2429" s="87"/>
      <c r="AN2429" s="87"/>
      <c r="AO2429" s="87"/>
      <c r="AP2429" s="87"/>
      <c r="AQ2429" s="87" t="s">
        <v>16974</v>
      </c>
      <c r="AR2429" s="87"/>
      <c r="AS2429" s="87"/>
      <c r="AT2429" s="87"/>
      <c r="AU2429" s="87"/>
      <c r="AV2429" s="92" t="str">
        <f>HYPERLINK("https://pbs.twimg.com/media/F5XIwpfXsAAEqIF.jpg")</f>
        <v>https://pbs.twimg.com/media/F5XIwpfXsAAEqIF.jpg</v>
      </c>
      <c r="AW2429" s="93" t="s">
        <v>20590</v>
      </c>
      <c r="AX2429" s="93" t="s">
        <v>20590</v>
      </c>
      <c r="AY2429" s="87"/>
      <c r="AZ2429" s="93" t="s">
        <v>22668</v>
      </c>
      <c r="BA2429" s="93" t="s">
        <v>22668</v>
      </c>
      <c r="BB2429" s="93" t="s">
        <v>22668</v>
      </c>
      <c r="BC2429" s="93" t="s">
        <v>20590</v>
      </c>
      <c r="BD2429" s="93" t="s">
        <v>23269</v>
      </c>
      <c r="BE2429" s="87"/>
      <c r="BF2429" s="87"/>
      <c r="BG2429" s="87"/>
      <c r="BH2429" s="87"/>
      <c r="BI2429" s="87"/>
    </row>
    <row r="2430" spans="1:61" x14ac:dyDescent="0.25">
      <c r="A2430" s="63" t="s">
        <v>1058</v>
      </c>
      <c r="B2430" s="63" t="s">
        <v>1058</v>
      </c>
      <c r="C2430" s="64"/>
      <c r="D2430" s="65"/>
      <c r="E2430" s="66"/>
      <c r="F2430" s="67"/>
      <c r="G2430" s="64"/>
      <c r="H2430" s="68"/>
      <c r="I2430" s="69"/>
      <c r="J2430" s="69"/>
      <c r="K2430" s="32"/>
      <c r="L2430" s="76">
        <v>2430</v>
      </c>
      <c r="M2430" s="76"/>
      <c r="N2430" s="71"/>
      <c r="O2430" s="87" t="s">
        <v>179</v>
      </c>
      <c r="P2430" s="90">
        <v>45175.719629629632</v>
      </c>
      <c r="Q2430" s="87" t="s">
        <v>4147</v>
      </c>
      <c r="R2430" s="87">
        <v>0</v>
      </c>
      <c r="S2430" s="87">
        <v>0</v>
      </c>
      <c r="T2430" s="87">
        <v>0</v>
      </c>
      <c r="U2430" s="87">
        <v>0</v>
      </c>
      <c r="V2430" s="87">
        <v>42</v>
      </c>
      <c r="W2430" s="93" t="s">
        <v>7424</v>
      </c>
      <c r="X2430" s="87"/>
      <c r="Y2430" s="87"/>
      <c r="Z2430" s="87"/>
      <c r="AA2430" s="87" t="s">
        <v>10162</v>
      </c>
      <c r="AB2430" s="87" t="s">
        <v>11448</v>
      </c>
      <c r="AC2430" s="93" t="s">
        <v>11457</v>
      </c>
      <c r="AD2430" s="87" t="s">
        <v>11519</v>
      </c>
      <c r="AE2430" s="92" t="str">
        <f>HYPERLINK("https://twitter.com/serraempauta/status/1699471589606060216")</f>
        <v>https://twitter.com/serraempauta/status/1699471589606060216</v>
      </c>
      <c r="AF2430" s="90">
        <v>45175.719629629632</v>
      </c>
      <c r="AG2430" s="99">
        <v>45175</v>
      </c>
      <c r="AH2430" s="93" t="s">
        <v>13686</v>
      </c>
      <c r="AI2430" s="87" t="b">
        <v>0</v>
      </c>
      <c r="AJ2430" s="87"/>
      <c r="AK2430" s="87"/>
      <c r="AL2430" s="87"/>
      <c r="AM2430" s="87"/>
      <c r="AN2430" s="87"/>
      <c r="AO2430" s="87"/>
      <c r="AP2430" s="87"/>
      <c r="AQ2430" s="87" t="s">
        <v>16975</v>
      </c>
      <c r="AR2430" s="87"/>
      <c r="AS2430" s="87"/>
      <c r="AT2430" s="87"/>
      <c r="AU2430" s="87"/>
      <c r="AV2430" s="92" t="str">
        <f>HYPERLINK("https://pbs.twimg.com/media/F5W8ZmkWwAARUGn.jpg")</f>
        <v>https://pbs.twimg.com/media/F5W8ZmkWwAARUGn.jpg</v>
      </c>
      <c r="AW2430" s="93" t="s">
        <v>20591</v>
      </c>
      <c r="AX2430" s="93" t="s">
        <v>20591</v>
      </c>
      <c r="AY2430" s="87"/>
      <c r="AZ2430" s="93" t="s">
        <v>22668</v>
      </c>
      <c r="BA2430" s="93" t="s">
        <v>22668</v>
      </c>
      <c r="BB2430" s="93" t="s">
        <v>22668</v>
      </c>
      <c r="BC2430" s="93" t="s">
        <v>20591</v>
      </c>
      <c r="BD2430" s="93" t="s">
        <v>23269</v>
      </c>
      <c r="BE2430" s="87"/>
      <c r="BF2430" s="87"/>
      <c r="BG2430" s="87"/>
      <c r="BH2430" s="87"/>
      <c r="BI2430" s="87"/>
    </row>
    <row r="2431" spans="1:61" x14ac:dyDescent="0.25">
      <c r="A2431" s="63" t="s">
        <v>1058</v>
      </c>
      <c r="B2431" s="63" t="s">
        <v>1058</v>
      </c>
      <c r="C2431" s="64"/>
      <c r="D2431" s="65"/>
      <c r="E2431" s="66"/>
      <c r="F2431" s="67"/>
      <c r="G2431" s="64"/>
      <c r="H2431" s="68"/>
      <c r="I2431" s="69"/>
      <c r="J2431" s="69"/>
      <c r="K2431" s="32"/>
      <c r="L2431" s="76">
        <v>2431</v>
      </c>
      <c r="M2431" s="76"/>
      <c r="N2431" s="71"/>
      <c r="O2431" s="87" t="s">
        <v>179</v>
      </c>
      <c r="P2431" s="90">
        <v>45173.875972222224</v>
      </c>
      <c r="Q2431" s="87" t="s">
        <v>4148</v>
      </c>
      <c r="R2431" s="87">
        <v>0</v>
      </c>
      <c r="S2431" s="87">
        <v>0</v>
      </c>
      <c r="T2431" s="87">
        <v>0</v>
      </c>
      <c r="U2431" s="87">
        <v>0</v>
      </c>
      <c r="V2431" s="87">
        <v>114</v>
      </c>
      <c r="W2431" s="93" t="s">
        <v>7424</v>
      </c>
      <c r="X2431" s="87"/>
      <c r="Y2431" s="87"/>
      <c r="Z2431" s="87"/>
      <c r="AA2431" s="87" t="s">
        <v>10163</v>
      </c>
      <c r="AB2431" s="87" t="s">
        <v>11448</v>
      </c>
      <c r="AC2431" s="93" t="s">
        <v>11457</v>
      </c>
      <c r="AD2431" s="87" t="s">
        <v>11519</v>
      </c>
      <c r="AE2431" s="92" t="str">
        <f>HYPERLINK("https://twitter.com/serraempauta/status/1698803473465106442")</f>
        <v>https://twitter.com/serraempauta/status/1698803473465106442</v>
      </c>
      <c r="AF2431" s="90">
        <v>45173.875972222224</v>
      </c>
      <c r="AG2431" s="99">
        <v>45173</v>
      </c>
      <c r="AH2431" s="93" t="s">
        <v>13687</v>
      </c>
      <c r="AI2431" s="87" t="b">
        <v>0</v>
      </c>
      <c r="AJ2431" s="87"/>
      <c r="AK2431" s="87"/>
      <c r="AL2431" s="87"/>
      <c r="AM2431" s="87"/>
      <c r="AN2431" s="87"/>
      <c r="AO2431" s="87"/>
      <c r="AP2431" s="87"/>
      <c r="AQ2431" s="87" t="s">
        <v>16976</v>
      </c>
      <c r="AR2431" s="87"/>
      <c r="AS2431" s="87"/>
      <c r="AT2431" s="87"/>
      <c r="AU2431" s="87"/>
      <c r="AV2431" s="92" t="str">
        <f>HYPERLINK("https://pbs.twimg.com/media/F5Ncv8ZWIAAqRlq.jpg")</f>
        <v>https://pbs.twimg.com/media/F5Ncv8ZWIAAqRlq.jpg</v>
      </c>
      <c r="AW2431" s="93" t="s">
        <v>20592</v>
      </c>
      <c r="AX2431" s="93" t="s">
        <v>20592</v>
      </c>
      <c r="AY2431" s="87"/>
      <c r="AZ2431" s="93" t="s">
        <v>22668</v>
      </c>
      <c r="BA2431" s="93" t="s">
        <v>22668</v>
      </c>
      <c r="BB2431" s="93" t="s">
        <v>22668</v>
      </c>
      <c r="BC2431" s="93" t="s">
        <v>20592</v>
      </c>
      <c r="BD2431" s="93" t="s">
        <v>23269</v>
      </c>
      <c r="BE2431" s="87"/>
      <c r="BF2431" s="87"/>
      <c r="BG2431" s="87"/>
      <c r="BH2431" s="87"/>
      <c r="BI2431" s="87"/>
    </row>
    <row r="2432" spans="1:61" x14ac:dyDescent="0.25">
      <c r="A2432" s="63" t="s">
        <v>1058</v>
      </c>
      <c r="B2432" s="63" t="s">
        <v>1058</v>
      </c>
      <c r="C2432" s="64"/>
      <c r="D2432" s="65"/>
      <c r="E2432" s="66"/>
      <c r="F2432" s="67"/>
      <c r="G2432" s="64"/>
      <c r="H2432" s="68"/>
      <c r="I2432" s="69"/>
      <c r="J2432" s="69"/>
      <c r="K2432" s="32"/>
      <c r="L2432" s="76">
        <v>2432</v>
      </c>
      <c r="M2432" s="76"/>
      <c r="N2432" s="71"/>
      <c r="O2432" s="87" t="s">
        <v>179</v>
      </c>
      <c r="P2432" s="90">
        <v>45173.832789351851</v>
      </c>
      <c r="Q2432" s="87" t="s">
        <v>4149</v>
      </c>
      <c r="R2432" s="87">
        <v>0</v>
      </c>
      <c r="S2432" s="87">
        <v>0</v>
      </c>
      <c r="T2432" s="87">
        <v>0</v>
      </c>
      <c r="U2432" s="87">
        <v>0</v>
      </c>
      <c r="V2432" s="87">
        <v>73</v>
      </c>
      <c r="W2432" s="93" t="s">
        <v>7424</v>
      </c>
      <c r="X2432" s="87"/>
      <c r="Y2432" s="87"/>
      <c r="Z2432" s="87"/>
      <c r="AA2432" s="87" t="s">
        <v>10164</v>
      </c>
      <c r="AB2432" s="87" t="s">
        <v>11448</v>
      </c>
      <c r="AC2432" s="93" t="s">
        <v>11457</v>
      </c>
      <c r="AD2432" s="87" t="s">
        <v>11519</v>
      </c>
      <c r="AE2432" s="92" t="str">
        <f>HYPERLINK("https://twitter.com/serraempauta/status/1698787821769687075")</f>
        <v>https://twitter.com/serraempauta/status/1698787821769687075</v>
      </c>
      <c r="AF2432" s="90">
        <v>45173.832789351851</v>
      </c>
      <c r="AG2432" s="99">
        <v>45173</v>
      </c>
      <c r="AH2432" s="93" t="s">
        <v>13688</v>
      </c>
      <c r="AI2432" s="87" t="b">
        <v>0</v>
      </c>
      <c r="AJ2432" s="87"/>
      <c r="AK2432" s="87"/>
      <c r="AL2432" s="87"/>
      <c r="AM2432" s="87"/>
      <c r="AN2432" s="87"/>
      <c r="AO2432" s="87"/>
      <c r="AP2432" s="87"/>
      <c r="AQ2432" s="87" t="s">
        <v>16977</v>
      </c>
      <c r="AR2432" s="87"/>
      <c r="AS2432" s="87"/>
      <c r="AT2432" s="87"/>
      <c r="AU2432" s="87"/>
      <c r="AV2432" s="92" t="str">
        <f>HYPERLINK("https://pbs.twimg.com/media/F5NOgScXkAATNh7.jpg")</f>
        <v>https://pbs.twimg.com/media/F5NOgScXkAATNh7.jpg</v>
      </c>
      <c r="AW2432" s="93" t="s">
        <v>20593</v>
      </c>
      <c r="AX2432" s="93" t="s">
        <v>20593</v>
      </c>
      <c r="AY2432" s="87"/>
      <c r="AZ2432" s="93" t="s">
        <v>22668</v>
      </c>
      <c r="BA2432" s="93" t="s">
        <v>22668</v>
      </c>
      <c r="BB2432" s="93" t="s">
        <v>22668</v>
      </c>
      <c r="BC2432" s="93" t="s">
        <v>20593</v>
      </c>
      <c r="BD2432" s="93" t="s">
        <v>23269</v>
      </c>
      <c r="BE2432" s="87"/>
      <c r="BF2432" s="87"/>
      <c r="BG2432" s="87"/>
      <c r="BH2432" s="87"/>
      <c r="BI2432" s="87"/>
    </row>
    <row r="2433" spans="1:61" x14ac:dyDescent="0.25">
      <c r="A2433" s="63" t="s">
        <v>1058</v>
      </c>
      <c r="B2433" s="63" t="s">
        <v>1058</v>
      </c>
      <c r="C2433" s="64"/>
      <c r="D2433" s="65"/>
      <c r="E2433" s="66"/>
      <c r="F2433" s="67"/>
      <c r="G2433" s="64"/>
      <c r="H2433" s="68"/>
      <c r="I2433" s="69"/>
      <c r="J2433" s="69"/>
      <c r="K2433" s="32"/>
      <c r="L2433" s="76">
        <v>2433</v>
      </c>
      <c r="M2433" s="76"/>
      <c r="N2433" s="71"/>
      <c r="O2433" s="87" t="s">
        <v>179</v>
      </c>
      <c r="P2433" s="90">
        <v>45173.79446759259</v>
      </c>
      <c r="Q2433" s="87" t="s">
        <v>4150</v>
      </c>
      <c r="R2433" s="87">
        <v>0</v>
      </c>
      <c r="S2433" s="87">
        <v>0</v>
      </c>
      <c r="T2433" s="87">
        <v>0</v>
      </c>
      <c r="U2433" s="87">
        <v>0</v>
      </c>
      <c r="V2433" s="87">
        <v>58</v>
      </c>
      <c r="W2433" s="93" t="s">
        <v>7424</v>
      </c>
      <c r="X2433" s="87"/>
      <c r="Y2433" s="87"/>
      <c r="Z2433" s="87"/>
      <c r="AA2433" s="87"/>
      <c r="AB2433" s="87"/>
      <c r="AC2433" s="93" t="s">
        <v>11457</v>
      </c>
      <c r="AD2433" s="87" t="s">
        <v>11519</v>
      </c>
      <c r="AE2433" s="92" t="str">
        <f>HYPERLINK("https://twitter.com/serraempauta/status/1698773935121162303")</f>
        <v>https://twitter.com/serraempauta/status/1698773935121162303</v>
      </c>
      <c r="AF2433" s="90">
        <v>45173.79446759259</v>
      </c>
      <c r="AG2433" s="99">
        <v>45173</v>
      </c>
      <c r="AH2433" s="93" t="s">
        <v>13689</v>
      </c>
      <c r="AI2433" s="87"/>
      <c r="AJ2433" s="87"/>
      <c r="AK2433" s="87"/>
      <c r="AL2433" s="87"/>
      <c r="AM2433" s="87"/>
      <c r="AN2433" s="87"/>
      <c r="AO2433" s="87"/>
      <c r="AP2433" s="87"/>
      <c r="AQ2433" s="87"/>
      <c r="AR2433" s="87"/>
      <c r="AS2433" s="87"/>
      <c r="AT2433" s="87"/>
      <c r="AU2433" s="87"/>
      <c r="AV2433" s="92" t="str">
        <f>HYPERLINK("https://pbs.twimg.com/profile_images/1261635740972265477/zeIC9qlw_normal.jpg")</f>
        <v>https://pbs.twimg.com/profile_images/1261635740972265477/zeIC9qlw_normal.jpg</v>
      </c>
      <c r="AW2433" s="93" t="s">
        <v>20594</v>
      </c>
      <c r="AX2433" s="93" t="s">
        <v>20594</v>
      </c>
      <c r="AY2433" s="87"/>
      <c r="AZ2433" s="93" t="s">
        <v>22668</v>
      </c>
      <c r="BA2433" s="93" t="s">
        <v>22668</v>
      </c>
      <c r="BB2433" s="93" t="s">
        <v>22668</v>
      </c>
      <c r="BC2433" s="93" t="s">
        <v>20594</v>
      </c>
      <c r="BD2433" s="93" t="s">
        <v>23269</v>
      </c>
      <c r="BE2433" s="87"/>
      <c r="BF2433" s="87"/>
      <c r="BG2433" s="87"/>
      <c r="BH2433" s="87"/>
      <c r="BI2433" s="87"/>
    </row>
    <row r="2434" spans="1:61" x14ac:dyDescent="0.25">
      <c r="A2434" s="63" t="s">
        <v>1058</v>
      </c>
      <c r="B2434" s="63" t="s">
        <v>1058</v>
      </c>
      <c r="C2434" s="64"/>
      <c r="D2434" s="65"/>
      <c r="E2434" s="66"/>
      <c r="F2434" s="67"/>
      <c r="G2434" s="64"/>
      <c r="H2434" s="68"/>
      <c r="I2434" s="69"/>
      <c r="J2434" s="69"/>
      <c r="K2434" s="32"/>
      <c r="L2434" s="76">
        <v>2434</v>
      </c>
      <c r="M2434" s="76"/>
      <c r="N2434" s="71"/>
      <c r="O2434" s="87" t="s">
        <v>179</v>
      </c>
      <c r="P2434" s="90">
        <v>45170.668993055559</v>
      </c>
      <c r="Q2434" s="87" t="s">
        <v>4151</v>
      </c>
      <c r="R2434" s="87">
        <v>0</v>
      </c>
      <c r="S2434" s="87">
        <v>1</v>
      </c>
      <c r="T2434" s="87">
        <v>0</v>
      </c>
      <c r="U2434" s="87">
        <v>0</v>
      </c>
      <c r="V2434" s="87">
        <v>45</v>
      </c>
      <c r="W2434" s="93" t="s">
        <v>7424</v>
      </c>
      <c r="X2434" s="87"/>
      <c r="Y2434" s="87"/>
      <c r="Z2434" s="87"/>
      <c r="AA2434" s="87" t="s">
        <v>10165</v>
      </c>
      <c r="AB2434" s="87" t="s">
        <v>11448</v>
      </c>
      <c r="AC2434" s="93" t="s">
        <v>11457</v>
      </c>
      <c r="AD2434" s="87" t="s">
        <v>11519</v>
      </c>
      <c r="AE2434" s="92" t="str">
        <f>HYPERLINK("https://twitter.com/serraempauta/status/1697641302634979442")</f>
        <v>https://twitter.com/serraempauta/status/1697641302634979442</v>
      </c>
      <c r="AF2434" s="90">
        <v>45170.668993055559</v>
      </c>
      <c r="AG2434" s="99">
        <v>45170</v>
      </c>
      <c r="AH2434" s="93" t="s">
        <v>13690</v>
      </c>
      <c r="AI2434" s="87" t="b">
        <v>0</v>
      </c>
      <c r="AJ2434" s="87"/>
      <c r="AK2434" s="87"/>
      <c r="AL2434" s="87"/>
      <c r="AM2434" s="87"/>
      <c r="AN2434" s="87"/>
      <c r="AO2434" s="87"/>
      <c r="AP2434" s="87"/>
      <c r="AQ2434" s="87" t="s">
        <v>16978</v>
      </c>
      <c r="AR2434" s="87"/>
      <c r="AS2434" s="87"/>
      <c r="AT2434" s="87"/>
      <c r="AU2434" s="87"/>
      <c r="AV2434" s="92" t="str">
        <f>HYPERLINK("https://pbs.twimg.com/media/F487wtwWcAAOb7v.jpg")</f>
        <v>https://pbs.twimg.com/media/F487wtwWcAAOb7v.jpg</v>
      </c>
      <c r="AW2434" s="93" t="s">
        <v>20595</v>
      </c>
      <c r="AX2434" s="93" t="s">
        <v>20595</v>
      </c>
      <c r="AY2434" s="87"/>
      <c r="AZ2434" s="93" t="s">
        <v>22668</v>
      </c>
      <c r="BA2434" s="93" t="s">
        <v>22668</v>
      </c>
      <c r="BB2434" s="93" t="s">
        <v>22668</v>
      </c>
      <c r="BC2434" s="93" t="s">
        <v>20595</v>
      </c>
      <c r="BD2434" s="93" t="s">
        <v>23269</v>
      </c>
      <c r="BE2434" s="87"/>
      <c r="BF2434" s="87"/>
      <c r="BG2434" s="87"/>
      <c r="BH2434" s="87"/>
      <c r="BI2434" s="87"/>
    </row>
    <row r="2435" spans="1:61" x14ac:dyDescent="0.25">
      <c r="A2435" s="63" t="s">
        <v>1058</v>
      </c>
      <c r="B2435" s="63" t="s">
        <v>1058</v>
      </c>
      <c r="C2435" s="64"/>
      <c r="D2435" s="65"/>
      <c r="E2435" s="66"/>
      <c r="F2435" s="67"/>
      <c r="G2435" s="64"/>
      <c r="H2435" s="68"/>
      <c r="I2435" s="69"/>
      <c r="J2435" s="69"/>
      <c r="K2435" s="32"/>
      <c r="L2435" s="76">
        <v>2435</v>
      </c>
      <c r="M2435" s="76"/>
      <c r="N2435" s="71"/>
      <c r="O2435" s="87" t="s">
        <v>179</v>
      </c>
      <c r="P2435" s="90">
        <v>45170.664641203701</v>
      </c>
      <c r="Q2435" s="87" t="s">
        <v>4152</v>
      </c>
      <c r="R2435" s="87">
        <v>0</v>
      </c>
      <c r="S2435" s="87">
        <v>0</v>
      </c>
      <c r="T2435" s="87">
        <v>0</v>
      </c>
      <c r="U2435" s="87">
        <v>0</v>
      </c>
      <c r="V2435" s="87">
        <v>53</v>
      </c>
      <c r="W2435" s="93" t="s">
        <v>7424</v>
      </c>
      <c r="X2435" s="87"/>
      <c r="Y2435" s="87"/>
      <c r="Z2435" s="87"/>
      <c r="AA2435" s="87" t="s">
        <v>10166</v>
      </c>
      <c r="AB2435" s="87" t="s">
        <v>11448</v>
      </c>
      <c r="AC2435" s="93" t="s">
        <v>11457</v>
      </c>
      <c r="AD2435" s="87" t="s">
        <v>11519</v>
      </c>
      <c r="AE2435" s="92" t="str">
        <f>HYPERLINK("https://twitter.com/serraempauta/status/1697639722456129825")</f>
        <v>https://twitter.com/serraempauta/status/1697639722456129825</v>
      </c>
      <c r="AF2435" s="90">
        <v>45170.664641203701</v>
      </c>
      <c r="AG2435" s="99">
        <v>45170</v>
      </c>
      <c r="AH2435" s="93" t="s">
        <v>13691</v>
      </c>
      <c r="AI2435" s="87" t="b">
        <v>0</v>
      </c>
      <c r="AJ2435" s="87"/>
      <c r="AK2435" s="87"/>
      <c r="AL2435" s="87"/>
      <c r="AM2435" s="87"/>
      <c r="AN2435" s="87"/>
      <c r="AO2435" s="87"/>
      <c r="AP2435" s="87"/>
      <c r="AQ2435" s="87" t="s">
        <v>16979</v>
      </c>
      <c r="AR2435" s="87"/>
      <c r="AS2435" s="87"/>
      <c r="AT2435" s="87"/>
      <c r="AU2435" s="87"/>
      <c r="AV2435" s="92" t="str">
        <f>HYPERLINK("https://pbs.twimg.com/media/F486T9CWkAA23EK.jpg")</f>
        <v>https://pbs.twimg.com/media/F486T9CWkAA23EK.jpg</v>
      </c>
      <c r="AW2435" s="93" t="s">
        <v>20596</v>
      </c>
      <c r="AX2435" s="93" t="s">
        <v>20596</v>
      </c>
      <c r="AY2435" s="87"/>
      <c r="AZ2435" s="93" t="s">
        <v>22668</v>
      </c>
      <c r="BA2435" s="93" t="s">
        <v>22668</v>
      </c>
      <c r="BB2435" s="93" t="s">
        <v>22668</v>
      </c>
      <c r="BC2435" s="93" t="s">
        <v>20596</v>
      </c>
      <c r="BD2435" s="93" t="s">
        <v>23269</v>
      </c>
      <c r="BE2435" s="87"/>
      <c r="BF2435" s="87"/>
      <c r="BG2435" s="87"/>
      <c r="BH2435" s="87"/>
      <c r="BI2435" s="87"/>
    </row>
    <row r="2436" spans="1:61" x14ac:dyDescent="0.25">
      <c r="A2436" s="63" t="s">
        <v>1058</v>
      </c>
      <c r="B2436" s="63" t="s">
        <v>1058</v>
      </c>
      <c r="C2436" s="64"/>
      <c r="D2436" s="65"/>
      <c r="E2436" s="66"/>
      <c r="F2436" s="67"/>
      <c r="G2436" s="64"/>
      <c r="H2436" s="68"/>
      <c r="I2436" s="69"/>
      <c r="J2436" s="69"/>
      <c r="K2436" s="32"/>
      <c r="L2436" s="76">
        <v>2436</v>
      </c>
      <c r="M2436" s="76"/>
      <c r="N2436" s="71"/>
      <c r="O2436" s="87" t="s">
        <v>179</v>
      </c>
      <c r="P2436" s="90">
        <v>45161.652800925927</v>
      </c>
      <c r="Q2436" s="87" t="s">
        <v>4153</v>
      </c>
      <c r="R2436" s="87">
        <v>0</v>
      </c>
      <c r="S2436" s="87">
        <v>1</v>
      </c>
      <c r="T2436" s="87">
        <v>0</v>
      </c>
      <c r="U2436" s="87">
        <v>0</v>
      </c>
      <c r="V2436" s="87">
        <v>70</v>
      </c>
      <c r="W2436" s="93" t="s">
        <v>7424</v>
      </c>
      <c r="X2436" s="87"/>
      <c r="Y2436" s="87"/>
      <c r="Z2436" s="87"/>
      <c r="AA2436" s="87" t="s">
        <v>10167</v>
      </c>
      <c r="AB2436" s="87" t="s">
        <v>11448</v>
      </c>
      <c r="AC2436" s="93" t="s">
        <v>11457</v>
      </c>
      <c r="AD2436" s="87" t="s">
        <v>11519</v>
      </c>
      <c r="AE2436" s="92" t="str">
        <f>HYPERLINK("https://twitter.com/serraempauta/status/1694373942700511358")</f>
        <v>https://twitter.com/serraempauta/status/1694373942700511358</v>
      </c>
      <c r="AF2436" s="90">
        <v>45161.652800925927</v>
      </c>
      <c r="AG2436" s="99">
        <v>45161</v>
      </c>
      <c r="AH2436" s="93" t="s">
        <v>13692</v>
      </c>
      <c r="AI2436" s="87" t="b">
        <v>0</v>
      </c>
      <c r="AJ2436" s="87"/>
      <c r="AK2436" s="87"/>
      <c r="AL2436" s="87"/>
      <c r="AM2436" s="87"/>
      <c r="AN2436" s="87"/>
      <c r="AO2436" s="87"/>
      <c r="AP2436" s="87"/>
      <c r="AQ2436" s="87" t="s">
        <v>16980</v>
      </c>
      <c r="AR2436" s="87"/>
      <c r="AS2436" s="87"/>
      <c r="AT2436" s="87"/>
      <c r="AU2436" s="87"/>
      <c r="AV2436" s="92" t="str">
        <f>HYPERLINK("https://pbs.twimg.com/media/F4OgHLBWUAApl7J.jpg")</f>
        <v>https://pbs.twimg.com/media/F4OgHLBWUAApl7J.jpg</v>
      </c>
      <c r="AW2436" s="93" t="s">
        <v>20597</v>
      </c>
      <c r="AX2436" s="93" t="s">
        <v>20597</v>
      </c>
      <c r="AY2436" s="87"/>
      <c r="AZ2436" s="93" t="s">
        <v>22668</v>
      </c>
      <c r="BA2436" s="93" t="s">
        <v>22668</v>
      </c>
      <c r="BB2436" s="93" t="s">
        <v>22668</v>
      </c>
      <c r="BC2436" s="93" t="s">
        <v>20597</v>
      </c>
      <c r="BD2436" s="93" t="s">
        <v>23269</v>
      </c>
      <c r="BE2436" s="87"/>
      <c r="BF2436" s="87"/>
      <c r="BG2436" s="87"/>
      <c r="BH2436" s="87"/>
      <c r="BI2436" s="87"/>
    </row>
    <row r="2437" spans="1:61" x14ac:dyDescent="0.25">
      <c r="A2437" s="63" t="s">
        <v>1058</v>
      </c>
      <c r="B2437" s="63" t="s">
        <v>1058</v>
      </c>
      <c r="C2437" s="64"/>
      <c r="D2437" s="65"/>
      <c r="E2437" s="66"/>
      <c r="F2437" s="67"/>
      <c r="G2437" s="64"/>
      <c r="H2437" s="68"/>
      <c r="I2437" s="69"/>
      <c r="J2437" s="69"/>
      <c r="K2437" s="32"/>
      <c r="L2437" s="76">
        <v>2437</v>
      </c>
      <c r="M2437" s="76"/>
      <c r="N2437" s="71"/>
      <c r="O2437" s="87" t="s">
        <v>179</v>
      </c>
      <c r="P2437" s="90">
        <v>45160.974687499998</v>
      </c>
      <c r="Q2437" s="87" t="s">
        <v>4154</v>
      </c>
      <c r="R2437" s="87">
        <v>0</v>
      </c>
      <c r="S2437" s="87">
        <v>0</v>
      </c>
      <c r="T2437" s="87">
        <v>0</v>
      </c>
      <c r="U2437" s="87">
        <v>0</v>
      </c>
      <c r="V2437" s="87">
        <v>75</v>
      </c>
      <c r="W2437" s="93" t="s">
        <v>7424</v>
      </c>
      <c r="X2437" s="87"/>
      <c r="Y2437" s="87"/>
      <c r="Z2437" s="87"/>
      <c r="AA2437" s="87" t="s">
        <v>10168</v>
      </c>
      <c r="AB2437" s="87" t="s">
        <v>11448</v>
      </c>
      <c r="AC2437" s="93" t="s">
        <v>11457</v>
      </c>
      <c r="AD2437" s="87" t="s">
        <v>11519</v>
      </c>
      <c r="AE2437" s="92" t="str">
        <f>HYPERLINK("https://twitter.com/serraempauta/status/1694128203860718057")</f>
        <v>https://twitter.com/serraempauta/status/1694128203860718057</v>
      </c>
      <c r="AF2437" s="90">
        <v>45160.974687499998</v>
      </c>
      <c r="AG2437" s="99">
        <v>45160</v>
      </c>
      <c r="AH2437" s="93" t="s">
        <v>13693</v>
      </c>
      <c r="AI2437" s="87" t="b">
        <v>0</v>
      </c>
      <c r="AJ2437" s="87"/>
      <c r="AK2437" s="87"/>
      <c r="AL2437" s="87"/>
      <c r="AM2437" s="87"/>
      <c r="AN2437" s="87"/>
      <c r="AO2437" s="87"/>
      <c r="AP2437" s="87"/>
      <c r="AQ2437" s="87" t="s">
        <v>16981</v>
      </c>
      <c r="AR2437" s="87"/>
      <c r="AS2437" s="87"/>
      <c r="AT2437" s="87"/>
      <c r="AU2437" s="87"/>
      <c r="AV2437" s="92" t="str">
        <f>HYPERLINK("https://pbs.twimg.com/media/F4LAni8WYAA0Etl.jpg")</f>
        <v>https://pbs.twimg.com/media/F4LAni8WYAA0Etl.jpg</v>
      </c>
      <c r="AW2437" s="93" t="s">
        <v>20598</v>
      </c>
      <c r="AX2437" s="93" t="s">
        <v>20598</v>
      </c>
      <c r="AY2437" s="87"/>
      <c r="AZ2437" s="93" t="s">
        <v>22668</v>
      </c>
      <c r="BA2437" s="93" t="s">
        <v>22668</v>
      </c>
      <c r="BB2437" s="93" t="s">
        <v>22668</v>
      </c>
      <c r="BC2437" s="93" t="s">
        <v>20598</v>
      </c>
      <c r="BD2437" s="93" t="s">
        <v>23269</v>
      </c>
      <c r="BE2437" s="87"/>
      <c r="BF2437" s="87"/>
      <c r="BG2437" s="87"/>
      <c r="BH2437" s="87"/>
      <c r="BI2437" s="87"/>
    </row>
    <row r="2438" spans="1:61" x14ac:dyDescent="0.25">
      <c r="A2438" s="63" t="s">
        <v>1058</v>
      </c>
      <c r="B2438" s="63" t="s">
        <v>1058</v>
      </c>
      <c r="C2438" s="64"/>
      <c r="D2438" s="65"/>
      <c r="E2438" s="66"/>
      <c r="F2438" s="67"/>
      <c r="G2438" s="64"/>
      <c r="H2438" s="68"/>
      <c r="I2438" s="69"/>
      <c r="J2438" s="69"/>
      <c r="K2438" s="32"/>
      <c r="L2438" s="76">
        <v>2438</v>
      </c>
      <c r="M2438" s="76"/>
      <c r="N2438" s="71"/>
      <c r="O2438" s="87" t="s">
        <v>179</v>
      </c>
      <c r="P2438" s="90">
        <v>45159.51221064815</v>
      </c>
      <c r="Q2438" s="87" t="s">
        <v>4155</v>
      </c>
      <c r="R2438" s="87">
        <v>0</v>
      </c>
      <c r="S2438" s="87">
        <v>0</v>
      </c>
      <c r="T2438" s="87">
        <v>0</v>
      </c>
      <c r="U2438" s="87">
        <v>0</v>
      </c>
      <c r="V2438" s="87">
        <v>68</v>
      </c>
      <c r="W2438" s="93" t="s">
        <v>7424</v>
      </c>
      <c r="X2438" s="87"/>
      <c r="Y2438" s="87"/>
      <c r="Z2438" s="87"/>
      <c r="AA2438" s="87" t="s">
        <v>10169</v>
      </c>
      <c r="AB2438" s="87" t="s">
        <v>11448</v>
      </c>
      <c r="AC2438" s="93" t="s">
        <v>11457</v>
      </c>
      <c r="AD2438" s="87" t="s">
        <v>11519</v>
      </c>
      <c r="AE2438" s="92" t="str">
        <f>HYPERLINK("https://twitter.com/serraempauta/status/1693598220109144348")</f>
        <v>https://twitter.com/serraempauta/status/1693598220109144348</v>
      </c>
      <c r="AF2438" s="90">
        <v>45159.51221064815</v>
      </c>
      <c r="AG2438" s="99">
        <v>45159</v>
      </c>
      <c r="AH2438" s="93" t="s">
        <v>13694</v>
      </c>
      <c r="AI2438" s="87" t="b">
        <v>0</v>
      </c>
      <c r="AJ2438" s="87"/>
      <c r="AK2438" s="87"/>
      <c r="AL2438" s="87"/>
      <c r="AM2438" s="87"/>
      <c r="AN2438" s="87"/>
      <c r="AO2438" s="87"/>
      <c r="AP2438" s="87"/>
      <c r="AQ2438" s="87" t="s">
        <v>16982</v>
      </c>
      <c r="AR2438" s="87"/>
      <c r="AS2438" s="87"/>
      <c r="AT2438" s="87"/>
      <c r="AU2438" s="87"/>
      <c r="AV2438" s="92" t="str">
        <f>HYPERLINK("https://pbs.twimg.com/media/F4DemWSWIAA0gm3.jpg")</f>
        <v>https://pbs.twimg.com/media/F4DemWSWIAA0gm3.jpg</v>
      </c>
      <c r="AW2438" s="93" t="s">
        <v>20599</v>
      </c>
      <c r="AX2438" s="93" t="s">
        <v>20599</v>
      </c>
      <c r="AY2438" s="87"/>
      <c r="AZ2438" s="93" t="s">
        <v>22668</v>
      </c>
      <c r="BA2438" s="93" t="s">
        <v>22668</v>
      </c>
      <c r="BB2438" s="93" t="s">
        <v>22668</v>
      </c>
      <c r="BC2438" s="93" t="s">
        <v>20599</v>
      </c>
      <c r="BD2438" s="93" t="s">
        <v>23269</v>
      </c>
      <c r="BE2438" s="87"/>
      <c r="BF2438" s="87"/>
      <c r="BG2438" s="87"/>
      <c r="BH2438" s="87"/>
      <c r="BI2438" s="87"/>
    </row>
    <row r="2439" spans="1:61" x14ac:dyDescent="0.25">
      <c r="A2439" s="63" t="s">
        <v>1058</v>
      </c>
      <c r="B2439" s="63" t="s">
        <v>1058</v>
      </c>
      <c r="C2439" s="64"/>
      <c r="D2439" s="65"/>
      <c r="E2439" s="66"/>
      <c r="F2439" s="67"/>
      <c r="G2439" s="64"/>
      <c r="H2439" s="68"/>
      <c r="I2439" s="69"/>
      <c r="J2439" s="69"/>
      <c r="K2439" s="32"/>
      <c r="L2439" s="76">
        <v>2439</v>
      </c>
      <c r="M2439" s="76"/>
      <c r="N2439" s="71"/>
      <c r="O2439" s="87" t="s">
        <v>179</v>
      </c>
      <c r="P2439" s="90">
        <v>45159.503981481481</v>
      </c>
      <c r="Q2439" s="87" t="s">
        <v>4156</v>
      </c>
      <c r="R2439" s="87">
        <v>0</v>
      </c>
      <c r="S2439" s="87">
        <v>0</v>
      </c>
      <c r="T2439" s="87">
        <v>0</v>
      </c>
      <c r="U2439" s="87">
        <v>0</v>
      </c>
      <c r="V2439" s="87">
        <v>43</v>
      </c>
      <c r="W2439" s="93" t="s">
        <v>7424</v>
      </c>
      <c r="X2439" s="87"/>
      <c r="Y2439" s="87"/>
      <c r="Z2439" s="87"/>
      <c r="AA2439" s="87" t="s">
        <v>10170</v>
      </c>
      <c r="AB2439" s="87" t="s">
        <v>11448</v>
      </c>
      <c r="AC2439" s="93" t="s">
        <v>11457</v>
      </c>
      <c r="AD2439" s="87" t="s">
        <v>11519</v>
      </c>
      <c r="AE2439" s="92" t="str">
        <f>HYPERLINK("https://twitter.com/serraempauta/status/1693595236474245276")</f>
        <v>https://twitter.com/serraempauta/status/1693595236474245276</v>
      </c>
      <c r="AF2439" s="90">
        <v>45159.503981481481</v>
      </c>
      <c r="AG2439" s="99">
        <v>45159</v>
      </c>
      <c r="AH2439" s="93" t="s">
        <v>13695</v>
      </c>
      <c r="AI2439" s="87" t="b">
        <v>0</v>
      </c>
      <c r="AJ2439" s="87"/>
      <c r="AK2439" s="87"/>
      <c r="AL2439" s="87"/>
      <c r="AM2439" s="87"/>
      <c r="AN2439" s="87"/>
      <c r="AO2439" s="87"/>
      <c r="AP2439" s="87"/>
      <c r="AQ2439" s="87" t="s">
        <v>16983</v>
      </c>
      <c r="AR2439" s="87"/>
      <c r="AS2439" s="87"/>
      <c r="AT2439" s="87"/>
      <c r="AU2439" s="87"/>
      <c r="AV2439" s="92" t="str">
        <f>HYPERLINK("https://pbs.twimg.com/media/F4Db4zfWQAEyzsK.jpg")</f>
        <v>https://pbs.twimg.com/media/F4Db4zfWQAEyzsK.jpg</v>
      </c>
      <c r="AW2439" s="93" t="s">
        <v>20600</v>
      </c>
      <c r="AX2439" s="93" t="s">
        <v>20600</v>
      </c>
      <c r="AY2439" s="87"/>
      <c r="AZ2439" s="93" t="s">
        <v>22668</v>
      </c>
      <c r="BA2439" s="93" t="s">
        <v>22668</v>
      </c>
      <c r="BB2439" s="93" t="s">
        <v>22668</v>
      </c>
      <c r="BC2439" s="93" t="s">
        <v>20600</v>
      </c>
      <c r="BD2439" s="93" t="s">
        <v>23269</v>
      </c>
      <c r="BE2439" s="87"/>
      <c r="BF2439" s="87"/>
      <c r="BG2439" s="87"/>
      <c r="BH2439" s="87"/>
      <c r="BI2439" s="87"/>
    </row>
    <row r="2440" spans="1:61" x14ac:dyDescent="0.25">
      <c r="A2440" s="63" t="s">
        <v>1058</v>
      </c>
      <c r="B2440" s="63" t="s">
        <v>1058</v>
      </c>
      <c r="C2440" s="64"/>
      <c r="D2440" s="65"/>
      <c r="E2440" s="66"/>
      <c r="F2440" s="67"/>
      <c r="G2440" s="64"/>
      <c r="H2440" s="68"/>
      <c r="I2440" s="69"/>
      <c r="J2440" s="69"/>
      <c r="K2440" s="32"/>
      <c r="L2440" s="76">
        <v>2440</v>
      </c>
      <c r="M2440" s="76"/>
      <c r="N2440" s="71"/>
      <c r="O2440" s="87" t="s">
        <v>179</v>
      </c>
      <c r="P2440" s="90">
        <v>45158.929039351853</v>
      </c>
      <c r="Q2440" s="87" t="s">
        <v>4157</v>
      </c>
      <c r="R2440" s="87">
        <v>0</v>
      </c>
      <c r="S2440" s="87">
        <v>0</v>
      </c>
      <c r="T2440" s="87">
        <v>0</v>
      </c>
      <c r="U2440" s="87">
        <v>0</v>
      </c>
      <c r="V2440" s="87">
        <v>47</v>
      </c>
      <c r="W2440" s="93" t="s">
        <v>7424</v>
      </c>
      <c r="X2440" s="87"/>
      <c r="Y2440" s="87"/>
      <c r="Z2440" s="87"/>
      <c r="AA2440" s="87" t="s">
        <v>10171</v>
      </c>
      <c r="AB2440" s="87" t="s">
        <v>11448</v>
      </c>
      <c r="AC2440" s="93" t="s">
        <v>11457</v>
      </c>
      <c r="AD2440" s="87" t="s">
        <v>11519</v>
      </c>
      <c r="AE2440" s="92" t="str">
        <f>HYPERLINK("https://twitter.com/serraempauta/status/1693386885458972762")</f>
        <v>https://twitter.com/serraempauta/status/1693386885458972762</v>
      </c>
      <c r="AF2440" s="90">
        <v>45158.929039351853</v>
      </c>
      <c r="AG2440" s="99">
        <v>45158</v>
      </c>
      <c r="AH2440" s="93" t="s">
        <v>13696</v>
      </c>
      <c r="AI2440" s="87" t="b">
        <v>0</v>
      </c>
      <c r="AJ2440" s="87"/>
      <c r="AK2440" s="87"/>
      <c r="AL2440" s="87"/>
      <c r="AM2440" s="87"/>
      <c r="AN2440" s="87"/>
      <c r="AO2440" s="87"/>
      <c r="AP2440" s="87"/>
      <c r="AQ2440" s="87" t="s">
        <v>16984</v>
      </c>
      <c r="AR2440" s="87"/>
      <c r="AS2440" s="87"/>
      <c r="AT2440" s="87"/>
      <c r="AU2440" s="87"/>
      <c r="AV2440" s="92" t="str">
        <f>HYPERLINK("https://pbs.twimg.com/media/F4AeZHmWUAACQkV.jpg")</f>
        <v>https://pbs.twimg.com/media/F4AeZHmWUAACQkV.jpg</v>
      </c>
      <c r="AW2440" s="93" t="s">
        <v>20601</v>
      </c>
      <c r="AX2440" s="93" t="s">
        <v>20601</v>
      </c>
      <c r="AY2440" s="87"/>
      <c r="AZ2440" s="93" t="s">
        <v>22668</v>
      </c>
      <c r="BA2440" s="93" t="s">
        <v>22668</v>
      </c>
      <c r="BB2440" s="93" t="s">
        <v>22668</v>
      </c>
      <c r="BC2440" s="93" t="s">
        <v>20601</v>
      </c>
      <c r="BD2440" s="93" t="s">
        <v>23269</v>
      </c>
      <c r="BE2440" s="87"/>
      <c r="BF2440" s="87"/>
      <c r="BG2440" s="87"/>
      <c r="BH2440" s="87"/>
      <c r="BI2440" s="87"/>
    </row>
    <row r="2441" spans="1:61" x14ac:dyDescent="0.25">
      <c r="A2441" s="63" t="s">
        <v>1058</v>
      </c>
      <c r="B2441" s="63" t="s">
        <v>1058</v>
      </c>
      <c r="C2441" s="64"/>
      <c r="D2441" s="65"/>
      <c r="E2441" s="66"/>
      <c r="F2441" s="67"/>
      <c r="G2441" s="64"/>
      <c r="H2441" s="68"/>
      <c r="I2441" s="69"/>
      <c r="J2441" s="69"/>
      <c r="K2441" s="32"/>
      <c r="L2441" s="76">
        <v>2441</v>
      </c>
      <c r="M2441" s="76"/>
      <c r="N2441" s="71"/>
      <c r="O2441" s="87" t="s">
        <v>179</v>
      </c>
      <c r="P2441" s="90">
        <v>45158.579444444447</v>
      </c>
      <c r="Q2441" s="87" t="s">
        <v>4158</v>
      </c>
      <c r="R2441" s="87">
        <v>0</v>
      </c>
      <c r="S2441" s="87">
        <v>0</v>
      </c>
      <c r="T2441" s="87">
        <v>0</v>
      </c>
      <c r="U2441" s="87">
        <v>0</v>
      </c>
      <c r="V2441" s="87">
        <v>31</v>
      </c>
      <c r="W2441" s="93" t="s">
        <v>7424</v>
      </c>
      <c r="X2441" s="87"/>
      <c r="Y2441" s="87"/>
      <c r="Z2441" s="87"/>
      <c r="AA2441" s="87" t="s">
        <v>10172</v>
      </c>
      <c r="AB2441" s="87" t="s">
        <v>11448</v>
      </c>
      <c r="AC2441" s="93" t="s">
        <v>11457</v>
      </c>
      <c r="AD2441" s="87" t="s">
        <v>11519</v>
      </c>
      <c r="AE2441" s="92" t="str">
        <f>HYPERLINK("https://twitter.com/serraempauta/status/1693260197102231960")</f>
        <v>https://twitter.com/serraempauta/status/1693260197102231960</v>
      </c>
      <c r="AF2441" s="90">
        <v>45158.579444444447</v>
      </c>
      <c r="AG2441" s="99">
        <v>45158</v>
      </c>
      <c r="AH2441" s="93" t="s">
        <v>13697</v>
      </c>
      <c r="AI2441" s="87" t="b">
        <v>0</v>
      </c>
      <c r="AJ2441" s="87"/>
      <c r="AK2441" s="87"/>
      <c r="AL2441" s="87"/>
      <c r="AM2441" s="87"/>
      <c r="AN2441" s="87"/>
      <c r="AO2441" s="87"/>
      <c r="AP2441" s="87"/>
      <c r="AQ2441" s="87" t="s">
        <v>16985</v>
      </c>
      <c r="AR2441" s="87"/>
      <c r="AS2441" s="87"/>
      <c r="AT2441" s="87"/>
      <c r="AU2441" s="87"/>
      <c r="AV2441" s="92" t="str">
        <f>HYPERLINK("https://pbs.twimg.com/media/F3-rK1uXIAASsgS.jpg")</f>
        <v>https://pbs.twimg.com/media/F3-rK1uXIAASsgS.jpg</v>
      </c>
      <c r="AW2441" s="93" t="s">
        <v>20602</v>
      </c>
      <c r="AX2441" s="93" t="s">
        <v>20602</v>
      </c>
      <c r="AY2441" s="87"/>
      <c r="AZ2441" s="93" t="s">
        <v>22668</v>
      </c>
      <c r="BA2441" s="93" t="s">
        <v>22668</v>
      </c>
      <c r="BB2441" s="93" t="s">
        <v>22668</v>
      </c>
      <c r="BC2441" s="93" t="s">
        <v>20602</v>
      </c>
      <c r="BD2441" s="93" t="s">
        <v>23269</v>
      </c>
      <c r="BE2441" s="87"/>
      <c r="BF2441" s="87"/>
      <c r="BG2441" s="87"/>
      <c r="BH2441" s="87"/>
      <c r="BI2441" s="87"/>
    </row>
    <row r="2442" spans="1:61" x14ac:dyDescent="0.25">
      <c r="A2442" s="63" t="s">
        <v>1058</v>
      </c>
      <c r="B2442" s="63" t="s">
        <v>1058</v>
      </c>
      <c r="C2442" s="64"/>
      <c r="D2442" s="65"/>
      <c r="E2442" s="66"/>
      <c r="F2442" s="67"/>
      <c r="G2442" s="64"/>
      <c r="H2442" s="68"/>
      <c r="I2442" s="69"/>
      <c r="J2442" s="69"/>
      <c r="K2442" s="32"/>
      <c r="L2442" s="76">
        <v>2442</v>
      </c>
      <c r="M2442" s="76"/>
      <c r="N2442" s="71"/>
      <c r="O2442" s="87" t="s">
        <v>179</v>
      </c>
      <c r="P2442" s="90">
        <v>45158.558148148149</v>
      </c>
      <c r="Q2442" s="87" t="s">
        <v>4159</v>
      </c>
      <c r="R2442" s="87">
        <v>0</v>
      </c>
      <c r="S2442" s="87">
        <v>1</v>
      </c>
      <c r="T2442" s="87">
        <v>0</v>
      </c>
      <c r="U2442" s="87">
        <v>0</v>
      </c>
      <c r="V2442" s="87">
        <v>49</v>
      </c>
      <c r="W2442" s="93" t="s">
        <v>7424</v>
      </c>
      <c r="X2442" s="87"/>
      <c r="Y2442" s="87"/>
      <c r="Z2442" s="87"/>
      <c r="AA2442" s="87" t="s">
        <v>10173</v>
      </c>
      <c r="AB2442" s="87" t="s">
        <v>11448</v>
      </c>
      <c r="AC2442" s="93" t="s">
        <v>11457</v>
      </c>
      <c r="AD2442" s="87" t="s">
        <v>11519</v>
      </c>
      <c r="AE2442" s="92" t="str">
        <f>HYPERLINK("https://twitter.com/serraempauta/status/1693252476789551372")</f>
        <v>https://twitter.com/serraempauta/status/1693252476789551372</v>
      </c>
      <c r="AF2442" s="90">
        <v>45158.558148148149</v>
      </c>
      <c r="AG2442" s="99">
        <v>45158</v>
      </c>
      <c r="AH2442" s="93" t="s">
        <v>13698</v>
      </c>
      <c r="AI2442" s="87" t="b">
        <v>0</v>
      </c>
      <c r="AJ2442" s="87"/>
      <c r="AK2442" s="87"/>
      <c r="AL2442" s="87"/>
      <c r="AM2442" s="87"/>
      <c r="AN2442" s="87"/>
      <c r="AO2442" s="87"/>
      <c r="AP2442" s="87"/>
      <c r="AQ2442" s="87" t="s">
        <v>16986</v>
      </c>
      <c r="AR2442" s="87"/>
      <c r="AS2442" s="87"/>
      <c r="AT2442" s="87"/>
      <c r="AU2442" s="87"/>
      <c r="AV2442" s="92" t="str">
        <f>HYPERLINK("https://pbs.twimg.com/media/F3-kJhSXcAAhUDD.jpg")</f>
        <v>https://pbs.twimg.com/media/F3-kJhSXcAAhUDD.jpg</v>
      </c>
      <c r="AW2442" s="93" t="s">
        <v>20603</v>
      </c>
      <c r="AX2442" s="93" t="s">
        <v>20603</v>
      </c>
      <c r="AY2442" s="87"/>
      <c r="AZ2442" s="93" t="s">
        <v>22668</v>
      </c>
      <c r="BA2442" s="93" t="s">
        <v>22668</v>
      </c>
      <c r="BB2442" s="93" t="s">
        <v>22668</v>
      </c>
      <c r="BC2442" s="93" t="s">
        <v>20603</v>
      </c>
      <c r="BD2442" s="93" t="s">
        <v>23269</v>
      </c>
      <c r="BE2442" s="87"/>
      <c r="BF2442" s="87"/>
      <c r="BG2442" s="87"/>
      <c r="BH2442" s="87"/>
      <c r="BI2442" s="87"/>
    </row>
    <row r="2443" spans="1:61" x14ac:dyDescent="0.25">
      <c r="A2443" s="63" t="s">
        <v>1058</v>
      </c>
      <c r="B2443" s="63" t="s">
        <v>1058</v>
      </c>
      <c r="C2443" s="64"/>
      <c r="D2443" s="65"/>
      <c r="E2443" s="66"/>
      <c r="F2443" s="67"/>
      <c r="G2443" s="64"/>
      <c r="H2443" s="68"/>
      <c r="I2443" s="69"/>
      <c r="J2443" s="69"/>
      <c r="K2443" s="32"/>
      <c r="L2443" s="76">
        <v>2443</v>
      </c>
      <c r="M2443" s="76"/>
      <c r="N2443" s="71"/>
      <c r="O2443" s="87" t="s">
        <v>179</v>
      </c>
      <c r="P2443" s="90">
        <v>45158.557754629626</v>
      </c>
      <c r="Q2443" s="87" t="s">
        <v>4160</v>
      </c>
      <c r="R2443" s="87">
        <v>0</v>
      </c>
      <c r="S2443" s="87">
        <v>1</v>
      </c>
      <c r="T2443" s="87">
        <v>0</v>
      </c>
      <c r="U2443" s="87">
        <v>0</v>
      </c>
      <c r="V2443" s="87">
        <v>172</v>
      </c>
      <c r="W2443" s="93" t="s">
        <v>7424</v>
      </c>
      <c r="X2443" s="87"/>
      <c r="Y2443" s="87"/>
      <c r="Z2443" s="87"/>
      <c r="AA2443" s="87" t="s">
        <v>10174</v>
      </c>
      <c r="AB2443" s="87" t="s">
        <v>11448</v>
      </c>
      <c r="AC2443" s="93" t="s">
        <v>11457</v>
      </c>
      <c r="AD2443" s="87" t="s">
        <v>11519</v>
      </c>
      <c r="AE2443" s="92" t="str">
        <f>HYPERLINK("https://twitter.com/serraempauta/status/1693252335114367141")</f>
        <v>https://twitter.com/serraempauta/status/1693252335114367141</v>
      </c>
      <c r="AF2443" s="90">
        <v>45158.557754629626</v>
      </c>
      <c r="AG2443" s="99">
        <v>45158</v>
      </c>
      <c r="AH2443" s="93" t="s">
        <v>13699</v>
      </c>
      <c r="AI2443" s="87" t="b">
        <v>0</v>
      </c>
      <c r="AJ2443" s="87"/>
      <c r="AK2443" s="87"/>
      <c r="AL2443" s="87"/>
      <c r="AM2443" s="87"/>
      <c r="AN2443" s="87"/>
      <c r="AO2443" s="87"/>
      <c r="AP2443" s="87"/>
      <c r="AQ2443" s="87" t="s">
        <v>16987</v>
      </c>
      <c r="AR2443" s="87"/>
      <c r="AS2443" s="87"/>
      <c r="AT2443" s="87"/>
      <c r="AU2443" s="87"/>
      <c r="AV2443" s="92" t="str">
        <f>HYPERLINK("https://pbs.twimg.com/media/F3-kBRRXgAAG3zO.jpg")</f>
        <v>https://pbs.twimg.com/media/F3-kBRRXgAAG3zO.jpg</v>
      </c>
      <c r="AW2443" s="93" t="s">
        <v>20604</v>
      </c>
      <c r="AX2443" s="93" t="s">
        <v>20604</v>
      </c>
      <c r="AY2443" s="87"/>
      <c r="AZ2443" s="93" t="s">
        <v>22668</v>
      </c>
      <c r="BA2443" s="93" t="s">
        <v>22668</v>
      </c>
      <c r="BB2443" s="93" t="s">
        <v>22668</v>
      </c>
      <c r="BC2443" s="93" t="s">
        <v>20604</v>
      </c>
      <c r="BD2443" s="93" t="s">
        <v>23269</v>
      </c>
      <c r="BE2443" s="87"/>
      <c r="BF2443" s="87"/>
      <c r="BG2443" s="87"/>
      <c r="BH2443" s="87"/>
      <c r="BI2443" s="87"/>
    </row>
    <row r="2444" spans="1:61" x14ac:dyDescent="0.25">
      <c r="A2444" s="63" t="s">
        <v>1058</v>
      </c>
      <c r="B2444" s="63" t="s">
        <v>1058</v>
      </c>
      <c r="C2444" s="64"/>
      <c r="D2444" s="65"/>
      <c r="E2444" s="66"/>
      <c r="F2444" s="67"/>
      <c r="G2444" s="64"/>
      <c r="H2444" s="68"/>
      <c r="I2444" s="69"/>
      <c r="J2444" s="69"/>
      <c r="K2444" s="32"/>
      <c r="L2444" s="76">
        <v>2444</v>
      </c>
      <c r="M2444" s="76"/>
      <c r="N2444" s="71"/>
      <c r="O2444" s="87" t="s">
        <v>179</v>
      </c>
      <c r="P2444" s="90">
        <v>45147.883969907409</v>
      </c>
      <c r="Q2444" s="87" t="s">
        <v>4161</v>
      </c>
      <c r="R2444" s="87">
        <v>0</v>
      </c>
      <c r="S2444" s="87">
        <v>0</v>
      </c>
      <c r="T2444" s="87">
        <v>0</v>
      </c>
      <c r="U2444" s="87">
        <v>0</v>
      </c>
      <c r="V2444" s="87">
        <v>33</v>
      </c>
      <c r="W2444" s="93" t="s">
        <v>7424</v>
      </c>
      <c r="X2444" s="87"/>
      <c r="Y2444" s="87"/>
      <c r="Z2444" s="87"/>
      <c r="AA2444" s="87" t="s">
        <v>10175</v>
      </c>
      <c r="AB2444" s="87" t="s">
        <v>11448</v>
      </c>
      <c r="AC2444" s="93" t="s">
        <v>11457</v>
      </c>
      <c r="AD2444" s="87" t="s">
        <v>11519</v>
      </c>
      <c r="AE2444" s="92" t="str">
        <f>HYPERLINK("https://twitter.com/serraempauta/status/1689384283809411072")</f>
        <v>https://twitter.com/serraempauta/status/1689384283809411072</v>
      </c>
      <c r="AF2444" s="90">
        <v>45147.883969907409</v>
      </c>
      <c r="AG2444" s="99">
        <v>45147</v>
      </c>
      <c r="AH2444" s="93" t="s">
        <v>13700</v>
      </c>
      <c r="AI2444" s="87" t="b">
        <v>0</v>
      </c>
      <c r="AJ2444" s="87"/>
      <c r="AK2444" s="87"/>
      <c r="AL2444" s="87"/>
      <c r="AM2444" s="87"/>
      <c r="AN2444" s="87"/>
      <c r="AO2444" s="87"/>
      <c r="AP2444" s="87"/>
      <c r="AQ2444" s="87" t="s">
        <v>16988</v>
      </c>
      <c r="AR2444" s="87"/>
      <c r="AS2444" s="87"/>
      <c r="AT2444" s="87"/>
      <c r="AU2444" s="87"/>
      <c r="AV2444" s="92" t="str">
        <f>HYPERLINK("https://pbs.twimg.com/media/F3HmDA9XIAABaw6.jpg")</f>
        <v>https://pbs.twimg.com/media/F3HmDA9XIAABaw6.jpg</v>
      </c>
      <c r="AW2444" s="93" t="s">
        <v>20605</v>
      </c>
      <c r="AX2444" s="93" t="s">
        <v>20605</v>
      </c>
      <c r="AY2444" s="87"/>
      <c r="AZ2444" s="93" t="s">
        <v>22668</v>
      </c>
      <c r="BA2444" s="93" t="s">
        <v>22668</v>
      </c>
      <c r="BB2444" s="93" t="s">
        <v>22668</v>
      </c>
      <c r="BC2444" s="93" t="s">
        <v>20605</v>
      </c>
      <c r="BD2444" s="93" t="s">
        <v>23269</v>
      </c>
      <c r="BE2444" s="87"/>
      <c r="BF2444" s="87"/>
      <c r="BG2444" s="87"/>
      <c r="BH2444" s="87"/>
      <c r="BI2444" s="87"/>
    </row>
    <row r="2445" spans="1:61" x14ac:dyDescent="0.25">
      <c r="A2445" s="63" t="s">
        <v>1058</v>
      </c>
      <c r="B2445" s="63" t="s">
        <v>1058</v>
      </c>
      <c r="C2445" s="64"/>
      <c r="D2445" s="65"/>
      <c r="E2445" s="66"/>
      <c r="F2445" s="67"/>
      <c r="G2445" s="64"/>
      <c r="H2445" s="68"/>
      <c r="I2445" s="69"/>
      <c r="J2445" s="69"/>
      <c r="K2445" s="32"/>
      <c r="L2445" s="76">
        <v>2445</v>
      </c>
      <c r="M2445" s="76"/>
      <c r="N2445" s="71"/>
      <c r="O2445" s="87" t="s">
        <v>179</v>
      </c>
      <c r="P2445" s="90">
        <v>45147.850648148145</v>
      </c>
      <c r="Q2445" s="87" t="s">
        <v>4162</v>
      </c>
      <c r="R2445" s="87">
        <v>0</v>
      </c>
      <c r="S2445" s="87">
        <v>0</v>
      </c>
      <c r="T2445" s="87">
        <v>0</v>
      </c>
      <c r="U2445" s="87">
        <v>0</v>
      </c>
      <c r="V2445" s="87">
        <v>46</v>
      </c>
      <c r="W2445" s="93" t="s">
        <v>7424</v>
      </c>
      <c r="X2445" s="87"/>
      <c r="Y2445" s="87"/>
      <c r="Z2445" s="87"/>
      <c r="AA2445" s="87" t="s">
        <v>10176</v>
      </c>
      <c r="AB2445" s="87" t="s">
        <v>11448</v>
      </c>
      <c r="AC2445" s="93" t="s">
        <v>11457</v>
      </c>
      <c r="AD2445" s="87" t="s">
        <v>11519</v>
      </c>
      <c r="AE2445" s="92" t="str">
        <f>HYPERLINK("https://twitter.com/serraempauta/status/1689372209897160704")</f>
        <v>https://twitter.com/serraempauta/status/1689372209897160704</v>
      </c>
      <c r="AF2445" s="90">
        <v>45147.850648148145</v>
      </c>
      <c r="AG2445" s="99">
        <v>45147</v>
      </c>
      <c r="AH2445" s="93" t="s">
        <v>13701</v>
      </c>
      <c r="AI2445" s="87" t="b">
        <v>0</v>
      </c>
      <c r="AJ2445" s="87"/>
      <c r="AK2445" s="87"/>
      <c r="AL2445" s="87"/>
      <c r="AM2445" s="87"/>
      <c r="AN2445" s="87"/>
      <c r="AO2445" s="87"/>
      <c r="AP2445" s="87"/>
      <c r="AQ2445" s="87" t="s">
        <v>16989</v>
      </c>
      <c r="AR2445" s="87"/>
      <c r="AS2445" s="87"/>
      <c r="AT2445" s="87"/>
      <c r="AU2445" s="87"/>
      <c r="AV2445" s="92" t="str">
        <f>HYPERLINK("https://pbs.twimg.com/media/F3HbENnXAAYUPpF.jpg")</f>
        <v>https://pbs.twimg.com/media/F3HbENnXAAYUPpF.jpg</v>
      </c>
      <c r="AW2445" s="93" t="s">
        <v>20606</v>
      </c>
      <c r="AX2445" s="93" t="s">
        <v>20606</v>
      </c>
      <c r="AY2445" s="87"/>
      <c r="AZ2445" s="93" t="s">
        <v>22668</v>
      </c>
      <c r="BA2445" s="93" t="s">
        <v>22668</v>
      </c>
      <c r="BB2445" s="93" t="s">
        <v>22668</v>
      </c>
      <c r="BC2445" s="93" t="s">
        <v>20606</v>
      </c>
      <c r="BD2445" s="93" t="s">
        <v>23269</v>
      </c>
      <c r="BE2445" s="87"/>
      <c r="BF2445" s="87"/>
      <c r="BG2445" s="87"/>
      <c r="BH2445" s="87"/>
      <c r="BI2445" s="87"/>
    </row>
    <row r="2446" spans="1:61" x14ac:dyDescent="0.25">
      <c r="A2446" s="63" t="s">
        <v>1058</v>
      </c>
      <c r="B2446" s="63" t="s">
        <v>1058</v>
      </c>
      <c r="C2446" s="64"/>
      <c r="D2446" s="65"/>
      <c r="E2446" s="66"/>
      <c r="F2446" s="67"/>
      <c r="G2446" s="64"/>
      <c r="H2446" s="68"/>
      <c r="I2446" s="69"/>
      <c r="J2446" s="69"/>
      <c r="K2446" s="32"/>
      <c r="L2446" s="76">
        <v>2446</v>
      </c>
      <c r="M2446" s="76"/>
      <c r="N2446" s="71"/>
      <c r="O2446" s="87" t="s">
        <v>179</v>
      </c>
      <c r="P2446" s="90">
        <v>45147.791261574072</v>
      </c>
      <c r="Q2446" s="87" t="s">
        <v>4163</v>
      </c>
      <c r="R2446" s="87">
        <v>0</v>
      </c>
      <c r="S2446" s="87">
        <v>1</v>
      </c>
      <c r="T2446" s="87">
        <v>0</v>
      </c>
      <c r="U2446" s="87">
        <v>1</v>
      </c>
      <c r="V2446" s="87">
        <v>98</v>
      </c>
      <c r="W2446" s="93" t="s">
        <v>7424</v>
      </c>
      <c r="X2446" s="87"/>
      <c r="Y2446" s="87"/>
      <c r="Z2446" s="87"/>
      <c r="AA2446" s="87" t="s">
        <v>10177</v>
      </c>
      <c r="AB2446" s="87" t="s">
        <v>11448</v>
      </c>
      <c r="AC2446" s="93" t="s">
        <v>11457</v>
      </c>
      <c r="AD2446" s="87" t="s">
        <v>11519</v>
      </c>
      <c r="AE2446" s="92" t="str">
        <f>HYPERLINK("https://twitter.com/serraempauta/status/1689350690630516736")</f>
        <v>https://twitter.com/serraempauta/status/1689350690630516736</v>
      </c>
      <c r="AF2446" s="90">
        <v>45147.791261574072</v>
      </c>
      <c r="AG2446" s="99">
        <v>45147</v>
      </c>
      <c r="AH2446" s="93" t="s">
        <v>13702</v>
      </c>
      <c r="AI2446" s="87" t="b">
        <v>0</v>
      </c>
      <c r="AJ2446" s="87"/>
      <c r="AK2446" s="87"/>
      <c r="AL2446" s="87"/>
      <c r="AM2446" s="87"/>
      <c r="AN2446" s="87"/>
      <c r="AO2446" s="87"/>
      <c r="AP2446" s="87"/>
      <c r="AQ2446" s="87" t="s">
        <v>16990</v>
      </c>
      <c r="AR2446" s="87"/>
      <c r="AS2446" s="87"/>
      <c r="AT2446" s="87"/>
      <c r="AU2446" s="87"/>
      <c r="AV2446" s="92" t="str">
        <f>HYPERLINK("https://pbs.twimg.com/media/F3HHfqrXcAAJIZz.jpg")</f>
        <v>https://pbs.twimg.com/media/F3HHfqrXcAAJIZz.jpg</v>
      </c>
      <c r="AW2446" s="93" t="s">
        <v>20607</v>
      </c>
      <c r="AX2446" s="93" t="s">
        <v>20607</v>
      </c>
      <c r="AY2446" s="87"/>
      <c r="AZ2446" s="93" t="s">
        <v>22668</v>
      </c>
      <c r="BA2446" s="93" t="s">
        <v>22668</v>
      </c>
      <c r="BB2446" s="93" t="s">
        <v>22668</v>
      </c>
      <c r="BC2446" s="93" t="s">
        <v>20607</v>
      </c>
      <c r="BD2446" s="93" t="s">
        <v>23269</v>
      </c>
      <c r="BE2446" s="87"/>
      <c r="BF2446" s="87"/>
      <c r="BG2446" s="87"/>
      <c r="BH2446" s="87"/>
      <c r="BI2446" s="87"/>
    </row>
    <row r="2447" spans="1:61" x14ac:dyDescent="0.25">
      <c r="A2447" s="63" t="s">
        <v>1058</v>
      </c>
      <c r="B2447" s="63" t="s">
        <v>1058</v>
      </c>
      <c r="C2447" s="64"/>
      <c r="D2447" s="65"/>
      <c r="E2447" s="66"/>
      <c r="F2447" s="67"/>
      <c r="G2447" s="64"/>
      <c r="H2447" s="68"/>
      <c r="I2447" s="69"/>
      <c r="J2447" s="69"/>
      <c r="K2447" s="32"/>
      <c r="L2447" s="76">
        <v>2447</v>
      </c>
      <c r="M2447" s="76"/>
      <c r="N2447" s="71"/>
      <c r="O2447" s="87" t="s">
        <v>179</v>
      </c>
      <c r="P2447" s="90">
        <v>45145.769745370373</v>
      </c>
      <c r="Q2447" s="87" t="s">
        <v>4164</v>
      </c>
      <c r="R2447" s="87">
        <v>0</v>
      </c>
      <c r="S2447" s="87">
        <v>1</v>
      </c>
      <c r="T2447" s="87">
        <v>0</v>
      </c>
      <c r="U2447" s="87">
        <v>0</v>
      </c>
      <c r="V2447" s="87">
        <v>53</v>
      </c>
      <c r="W2447" s="93" t="s">
        <v>7424</v>
      </c>
      <c r="X2447" s="87"/>
      <c r="Y2447" s="87"/>
      <c r="Z2447" s="87"/>
      <c r="AA2447" s="87" t="s">
        <v>10178</v>
      </c>
      <c r="AB2447" s="87" t="s">
        <v>11448</v>
      </c>
      <c r="AC2447" s="93" t="s">
        <v>11457</v>
      </c>
      <c r="AD2447" s="87" t="s">
        <v>11519</v>
      </c>
      <c r="AE2447" s="92" t="str">
        <f>HYPERLINK("https://twitter.com/serraempauta/status/1688618114836033536")</f>
        <v>https://twitter.com/serraempauta/status/1688618114836033536</v>
      </c>
      <c r="AF2447" s="90">
        <v>45145.769745370373</v>
      </c>
      <c r="AG2447" s="99">
        <v>45145</v>
      </c>
      <c r="AH2447" s="93" t="s">
        <v>13703</v>
      </c>
      <c r="AI2447" s="87" t="b">
        <v>0</v>
      </c>
      <c r="AJ2447" s="87"/>
      <c r="AK2447" s="87"/>
      <c r="AL2447" s="87"/>
      <c r="AM2447" s="87"/>
      <c r="AN2447" s="87"/>
      <c r="AO2447" s="87"/>
      <c r="AP2447" s="87"/>
      <c r="AQ2447" s="87" t="s">
        <v>16991</v>
      </c>
      <c r="AR2447" s="87"/>
      <c r="AS2447" s="87"/>
      <c r="AT2447" s="87"/>
      <c r="AU2447" s="87"/>
      <c r="AV2447" s="92" t="str">
        <f>HYPERLINK("https://pbs.twimg.com/media/F28tNnGXgAAktWV.jpg")</f>
        <v>https://pbs.twimg.com/media/F28tNnGXgAAktWV.jpg</v>
      </c>
      <c r="AW2447" s="93" t="s">
        <v>20608</v>
      </c>
      <c r="AX2447" s="93" t="s">
        <v>20608</v>
      </c>
      <c r="AY2447" s="87"/>
      <c r="AZ2447" s="93" t="s">
        <v>22668</v>
      </c>
      <c r="BA2447" s="93" t="s">
        <v>22668</v>
      </c>
      <c r="BB2447" s="93" t="s">
        <v>22668</v>
      </c>
      <c r="BC2447" s="93" t="s">
        <v>20608</v>
      </c>
      <c r="BD2447" s="93" t="s">
        <v>23269</v>
      </c>
      <c r="BE2447" s="87"/>
      <c r="BF2447" s="87"/>
      <c r="BG2447" s="87"/>
      <c r="BH2447" s="87"/>
      <c r="BI2447" s="87"/>
    </row>
    <row r="2448" spans="1:61" x14ac:dyDescent="0.25">
      <c r="A2448" s="63" t="s">
        <v>1058</v>
      </c>
      <c r="B2448" s="63" t="s">
        <v>1058</v>
      </c>
      <c r="C2448" s="64"/>
      <c r="D2448" s="65"/>
      <c r="E2448" s="66"/>
      <c r="F2448" s="67"/>
      <c r="G2448" s="64"/>
      <c r="H2448" s="68"/>
      <c r="I2448" s="69"/>
      <c r="J2448" s="69"/>
      <c r="K2448" s="32"/>
      <c r="L2448" s="76">
        <v>2448</v>
      </c>
      <c r="M2448" s="76"/>
      <c r="N2448" s="71"/>
      <c r="O2448" s="87" t="s">
        <v>179</v>
      </c>
      <c r="P2448" s="90">
        <v>45145.605717592596</v>
      </c>
      <c r="Q2448" s="87" t="s">
        <v>4165</v>
      </c>
      <c r="R2448" s="87">
        <v>0</v>
      </c>
      <c r="S2448" s="87">
        <v>0</v>
      </c>
      <c r="T2448" s="87">
        <v>0</v>
      </c>
      <c r="U2448" s="87">
        <v>0</v>
      </c>
      <c r="V2448" s="87">
        <v>41</v>
      </c>
      <c r="W2448" s="93" t="s">
        <v>7424</v>
      </c>
      <c r="X2448" s="87"/>
      <c r="Y2448" s="87"/>
      <c r="Z2448" s="87"/>
      <c r="AA2448" s="87" t="s">
        <v>10179</v>
      </c>
      <c r="AB2448" s="87" t="s">
        <v>11448</v>
      </c>
      <c r="AC2448" s="93" t="s">
        <v>11457</v>
      </c>
      <c r="AD2448" s="87" t="s">
        <v>11519</v>
      </c>
      <c r="AE2448" s="92" t="str">
        <f>HYPERLINK("https://twitter.com/serraempauta/status/1688558675810508802")</f>
        <v>https://twitter.com/serraempauta/status/1688558675810508802</v>
      </c>
      <c r="AF2448" s="90">
        <v>45145.605717592596</v>
      </c>
      <c r="AG2448" s="99">
        <v>45145</v>
      </c>
      <c r="AH2448" s="93" t="s">
        <v>13704</v>
      </c>
      <c r="AI2448" s="87" t="b">
        <v>0</v>
      </c>
      <c r="AJ2448" s="87"/>
      <c r="AK2448" s="87"/>
      <c r="AL2448" s="87"/>
      <c r="AM2448" s="87"/>
      <c r="AN2448" s="87"/>
      <c r="AO2448" s="87"/>
      <c r="AP2448" s="87"/>
      <c r="AQ2448" s="87" t="s">
        <v>16992</v>
      </c>
      <c r="AR2448" s="87"/>
      <c r="AS2448" s="87"/>
      <c r="AT2448" s="87"/>
      <c r="AU2448" s="87"/>
      <c r="AV2448" s="92" t="str">
        <f>HYPERLINK("https://pbs.twimg.com/media/F273Jn7XIAAMyyu.jpg")</f>
        <v>https://pbs.twimg.com/media/F273Jn7XIAAMyyu.jpg</v>
      </c>
      <c r="AW2448" s="93" t="s">
        <v>20609</v>
      </c>
      <c r="AX2448" s="93" t="s">
        <v>20609</v>
      </c>
      <c r="AY2448" s="87"/>
      <c r="AZ2448" s="93" t="s">
        <v>22668</v>
      </c>
      <c r="BA2448" s="93" t="s">
        <v>22668</v>
      </c>
      <c r="BB2448" s="93" t="s">
        <v>22668</v>
      </c>
      <c r="BC2448" s="93" t="s">
        <v>20609</v>
      </c>
      <c r="BD2448" s="93" t="s">
        <v>23269</v>
      </c>
      <c r="BE2448" s="87"/>
      <c r="BF2448" s="87"/>
      <c r="BG2448" s="87"/>
      <c r="BH2448" s="87"/>
      <c r="BI2448" s="87"/>
    </row>
    <row r="2449" spans="1:61" x14ac:dyDescent="0.25">
      <c r="A2449" s="63" t="s">
        <v>1058</v>
      </c>
      <c r="B2449" s="63" t="s">
        <v>1058</v>
      </c>
      <c r="C2449" s="64"/>
      <c r="D2449" s="65"/>
      <c r="E2449" s="66"/>
      <c r="F2449" s="67"/>
      <c r="G2449" s="64"/>
      <c r="H2449" s="68"/>
      <c r="I2449" s="69"/>
      <c r="J2449" s="69"/>
      <c r="K2449" s="32"/>
      <c r="L2449" s="76">
        <v>2449</v>
      </c>
      <c r="M2449" s="76"/>
      <c r="N2449" s="71"/>
      <c r="O2449" s="87" t="s">
        <v>179</v>
      </c>
      <c r="P2449" s="90">
        <v>45145.55259259259</v>
      </c>
      <c r="Q2449" s="87" t="s">
        <v>4166</v>
      </c>
      <c r="R2449" s="87">
        <v>0</v>
      </c>
      <c r="S2449" s="87">
        <v>0</v>
      </c>
      <c r="T2449" s="87">
        <v>0</v>
      </c>
      <c r="U2449" s="87">
        <v>0</v>
      </c>
      <c r="V2449" s="87">
        <v>26</v>
      </c>
      <c r="W2449" s="93" t="s">
        <v>7424</v>
      </c>
      <c r="X2449" s="87"/>
      <c r="Y2449" s="87"/>
      <c r="Z2449" s="87"/>
      <c r="AA2449" s="87" t="s">
        <v>10180</v>
      </c>
      <c r="AB2449" s="87" t="s">
        <v>11448</v>
      </c>
      <c r="AC2449" s="93" t="s">
        <v>11457</v>
      </c>
      <c r="AD2449" s="87" t="s">
        <v>11519</v>
      </c>
      <c r="AE2449" s="92" t="str">
        <f>HYPERLINK("https://twitter.com/serraempauta/status/1688539421728018432")</f>
        <v>https://twitter.com/serraempauta/status/1688539421728018432</v>
      </c>
      <c r="AF2449" s="90">
        <v>45145.55259259259</v>
      </c>
      <c r="AG2449" s="99">
        <v>45145</v>
      </c>
      <c r="AH2449" s="93" t="s">
        <v>13705</v>
      </c>
      <c r="AI2449" s="87" t="b">
        <v>0</v>
      </c>
      <c r="AJ2449" s="87"/>
      <c r="AK2449" s="87"/>
      <c r="AL2449" s="87"/>
      <c r="AM2449" s="87"/>
      <c r="AN2449" s="87"/>
      <c r="AO2449" s="87"/>
      <c r="AP2449" s="87"/>
      <c r="AQ2449" s="87" t="s">
        <v>16993</v>
      </c>
      <c r="AR2449" s="87"/>
      <c r="AS2449" s="87"/>
      <c r="AT2449" s="87"/>
      <c r="AU2449" s="87"/>
      <c r="AV2449" s="92" t="str">
        <f>HYPERLINK("https://pbs.twimg.com/media/F27lpLtXYAADGVq.jpg")</f>
        <v>https://pbs.twimg.com/media/F27lpLtXYAADGVq.jpg</v>
      </c>
      <c r="AW2449" s="93" t="s">
        <v>20610</v>
      </c>
      <c r="AX2449" s="93" t="s">
        <v>20610</v>
      </c>
      <c r="AY2449" s="87"/>
      <c r="AZ2449" s="93" t="s">
        <v>22668</v>
      </c>
      <c r="BA2449" s="93" t="s">
        <v>22668</v>
      </c>
      <c r="BB2449" s="93" t="s">
        <v>22668</v>
      </c>
      <c r="BC2449" s="93" t="s">
        <v>20610</v>
      </c>
      <c r="BD2449" s="93" t="s">
        <v>23269</v>
      </c>
      <c r="BE2449" s="87"/>
      <c r="BF2449" s="87"/>
      <c r="BG2449" s="87"/>
      <c r="BH2449" s="87"/>
      <c r="BI2449" s="87"/>
    </row>
    <row r="2450" spans="1:61" x14ac:dyDescent="0.25">
      <c r="A2450" s="63" t="s">
        <v>1058</v>
      </c>
      <c r="B2450" s="63" t="s">
        <v>1058</v>
      </c>
      <c r="C2450" s="64"/>
      <c r="D2450" s="65"/>
      <c r="E2450" s="66"/>
      <c r="F2450" s="67"/>
      <c r="G2450" s="64"/>
      <c r="H2450" s="68"/>
      <c r="I2450" s="69"/>
      <c r="J2450" s="69"/>
      <c r="K2450" s="32"/>
      <c r="L2450" s="76">
        <v>2450</v>
      </c>
      <c r="M2450" s="76"/>
      <c r="N2450" s="71"/>
      <c r="O2450" s="87" t="s">
        <v>179</v>
      </c>
      <c r="P2450" s="90">
        <v>45145.519571759258</v>
      </c>
      <c r="Q2450" s="87" t="s">
        <v>4167</v>
      </c>
      <c r="R2450" s="87">
        <v>0</v>
      </c>
      <c r="S2450" s="87">
        <v>0</v>
      </c>
      <c r="T2450" s="87">
        <v>0</v>
      </c>
      <c r="U2450" s="87">
        <v>0</v>
      </c>
      <c r="V2450" s="87">
        <v>42</v>
      </c>
      <c r="W2450" s="93" t="s">
        <v>7424</v>
      </c>
      <c r="X2450" s="87"/>
      <c r="Y2450" s="87"/>
      <c r="Z2450" s="87"/>
      <c r="AA2450" s="87" t="s">
        <v>10181</v>
      </c>
      <c r="AB2450" s="87" t="s">
        <v>11448</v>
      </c>
      <c r="AC2450" s="93" t="s">
        <v>11457</v>
      </c>
      <c r="AD2450" s="87" t="s">
        <v>11519</v>
      </c>
      <c r="AE2450" s="92" t="str">
        <f>HYPERLINK("https://twitter.com/serraempauta/status/1688527455642943488")</f>
        <v>https://twitter.com/serraempauta/status/1688527455642943488</v>
      </c>
      <c r="AF2450" s="90">
        <v>45145.519571759258</v>
      </c>
      <c r="AG2450" s="99">
        <v>45145</v>
      </c>
      <c r="AH2450" s="93" t="s">
        <v>13706</v>
      </c>
      <c r="AI2450" s="87" t="b">
        <v>0</v>
      </c>
      <c r="AJ2450" s="87"/>
      <c r="AK2450" s="87"/>
      <c r="AL2450" s="87"/>
      <c r="AM2450" s="87"/>
      <c r="AN2450" s="87"/>
      <c r="AO2450" s="87"/>
      <c r="AP2450" s="87"/>
      <c r="AQ2450" s="87" t="s">
        <v>16994</v>
      </c>
      <c r="AR2450" s="87"/>
      <c r="AS2450" s="87"/>
      <c r="AT2450" s="87"/>
      <c r="AU2450" s="87"/>
      <c r="AV2450" s="92" t="str">
        <f>HYPERLINK("https://pbs.twimg.com/media/F27awUIXAAAz95a.jpg")</f>
        <v>https://pbs.twimg.com/media/F27awUIXAAAz95a.jpg</v>
      </c>
      <c r="AW2450" s="93" t="s">
        <v>20611</v>
      </c>
      <c r="AX2450" s="93" t="s">
        <v>20611</v>
      </c>
      <c r="AY2450" s="87"/>
      <c r="AZ2450" s="93" t="s">
        <v>22668</v>
      </c>
      <c r="BA2450" s="93" t="s">
        <v>22668</v>
      </c>
      <c r="BB2450" s="93" t="s">
        <v>22668</v>
      </c>
      <c r="BC2450" s="93" t="s">
        <v>20611</v>
      </c>
      <c r="BD2450" s="93" t="s">
        <v>23269</v>
      </c>
      <c r="BE2450" s="87"/>
      <c r="BF2450" s="87"/>
      <c r="BG2450" s="87"/>
      <c r="BH2450" s="87"/>
      <c r="BI2450" s="87"/>
    </row>
    <row r="2451" spans="1:61" x14ac:dyDescent="0.25">
      <c r="A2451" s="63" t="s">
        <v>1058</v>
      </c>
      <c r="B2451" s="63" t="s">
        <v>1058</v>
      </c>
      <c r="C2451" s="64"/>
      <c r="D2451" s="65"/>
      <c r="E2451" s="66"/>
      <c r="F2451" s="67"/>
      <c r="G2451" s="64"/>
      <c r="H2451" s="68"/>
      <c r="I2451" s="69"/>
      <c r="J2451" s="69"/>
      <c r="K2451" s="32"/>
      <c r="L2451" s="76">
        <v>2451</v>
      </c>
      <c r="M2451" s="76"/>
      <c r="N2451" s="71"/>
      <c r="O2451" s="87" t="s">
        <v>179</v>
      </c>
      <c r="P2451" s="90">
        <v>45134.549571759257</v>
      </c>
      <c r="Q2451" s="87" t="s">
        <v>4168</v>
      </c>
      <c r="R2451" s="87">
        <v>0</v>
      </c>
      <c r="S2451" s="87">
        <v>0</v>
      </c>
      <c r="T2451" s="87">
        <v>0</v>
      </c>
      <c r="U2451" s="87">
        <v>0</v>
      </c>
      <c r="V2451" s="87">
        <v>34</v>
      </c>
      <c r="W2451" s="93" t="s">
        <v>7424</v>
      </c>
      <c r="X2451" s="87"/>
      <c r="Y2451" s="87"/>
      <c r="Z2451" s="87"/>
      <c r="AA2451" s="87" t="s">
        <v>10182</v>
      </c>
      <c r="AB2451" s="87" t="s">
        <v>11448</v>
      </c>
      <c r="AC2451" s="93" t="s">
        <v>11457</v>
      </c>
      <c r="AD2451" s="87" t="s">
        <v>11519</v>
      </c>
      <c r="AE2451" s="92" t="str">
        <f>HYPERLINK("https://twitter.com/serraempauta/status/1684552061457690625")</f>
        <v>https://twitter.com/serraempauta/status/1684552061457690625</v>
      </c>
      <c r="AF2451" s="90">
        <v>45134.549571759257</v>
      </c>
      <c r="AG2451" s="99">
        <v>45134</v>
      </c>
      <c r="AH2451" s="93" t="s">
        <v>13707</v>
      </c>
      <c r="AI2451" s="87" t="b">
        <v>0</v>
      </c>
      <c r="AJ2451" s="87"/>
      <c r="AK2451" s="87"/>
      <c r="AL2451" s="87"/>
      <c r="AM2451" s="87"/>
      <c r="AN2451" s="87"/>
      <c r="AO2451" s="87"/>
      <c r="AP2451" s="87"/>
      <c r="AQ2451" s="87" t="s">
        <v>16995</v>
      </c>
      <c r="AR2451" s="87"/>
      <c r="AS2451" s="87"/>
      <c r="AT2451" s="87"/>
      <c r="AU2451" s="87"/>
      <c r="AV2451" s="92" t="str">
        <f>HYPERLINK("https://pbs.twimg.com/media/F2C7KkPXkAErvw5.jpg")</f>
        <v>https://pbs.twimg.com/media/F2C7KkPXkAErvw5.jpg</v>
      </c>
      <c r="AW2451" s="93" t="s">
        <v>20612</v>
      </c>
      <c r="AX2451" s="93" t="s">
        <v>20612</v>
      </c>
      <c r="AY2451" s="87"/>
      <c r="AZ2451" s="93" t="s">
        <v>22668</v>
      </c>
      <c r="BA2451" s="93" t="s">
        <v>22668</v>
      </c>
      <c r="BB2451" s="93" t="s">
        <v>22668</v>
      </c>
      <c r="BC2451" s="93" t="s">
        <v>20612</v>
      </c>
      <c r="BD2451" s="93" t="s">
        <v>23269</v>
      </c>
      <c r="BE2451" s="87"/>
      <c r="BF2451" s="87"/>
      <c r="BG2451" s="87"/>
      <c r="BH2451" s="87"/>
      <c r="BI2451" s="87"/>
    </row>
    <row r="2452" spans="1:61" x14ac:dyDescent="0.25">
      <c r="A2452" s="63" t="s">
        <v>1058</v>
      </c>
      <c r="B2452" s="63" t="s">
        <v>1058</v>
      </c>
      <c r="C2452" s="64"/>
      <c r="D2452" s="65"/>
      <c r="E2452" s="66"/>
      <c r="F2452" s="67"/>
      <c r="G2452" s="64"/>
      <c r="H2452" s="68"/>
      <c r="I2452" s="69"/>
      <c r="J2452" s="69"/>
      <c r="K2452" s="32"/>
      <c r="L2452" s="76">
        <v>2452</v>
      </c>
      <c r="M2452" s="76"/>
      <c r="N2452" s="71"/>
      <c r="O2452" s="87" t="s">
        <v>179</v>
      </c>
      <c r="P2452" s="90">
        <v>45133.906875000001</v>
      </c>
      <c r="Q2452" s="87" t="s">
        <v>4169</v>
      </c>
      <c r="R2452" s="87">
        <v>0</v>
      </c>
      <c r="S2452" s="87">
        <v>1</v>
      </c>
      <c r="T2452" s="87">
        <v>0</v>
      </c>
      <c r="U2452" s="87">
        <v>0</v>
      </c>
      <c r="V2452" s="87">
        <v>53</v>
      </c>
      <c r="W2452" s="93" t="s">
        <v>7424</v>
      </c>
      <c r="X2452" s="87"/>
      <c r="Y2452" s="87"/>
      <c r="Z2452" s="87"/>
      <c r="AA2452" s="87" t="s">
        <v>10183</v>
      </c>
      <c r="AB2452" s="87" t="s">
        <v>11448</v>
      </c>
      <c r="AC2452" s="93" t="s">
        <v>11457</v>
      </c>
      <c r="AD2452" s="87" t="s">
        <v>11519</v>
      </c>
      <c r="AE2452" s="92" t="str">
        <f>HYPERLINK("https://twitter.com/serraempauta/status/1684319156491935745")</f>
        <v>https://twitter.com/serraempauta/status/1684319156491935745</v>
      </c>
      <c r="AF2452" s="90">
        <v>45133.906875000001</v>
      </c>
      <c r="AG2452" s="99">
        <v>45133</v>
      </c>
      <c r="AH2452" s="93" t="s">
        <v>13708</v>
      </c>
      <c r="AI2452" s="87" t="b">
        <v>0</v>
      </c>
      <c r="AJ2452" s="87"/>
      <c r="AK2452" s="87"/>
      <c r="AL2452" s="87"/>
      <c r="AM2452" s="87"/>
      <c r="AN2452" s="87"/>
      <c r="AO2452" s="87"/>
      <c r="AP2452" s="87"/>
      <c r="AQ2452" s="87" t="s">
        <v>16996</v>
      </c>
      <c r="AR2452" s="87"/>
      <c r="AS2452" s="87"/>
      <c r="AT2452" s="87"/>
      <c r="AU2452" s="87"/>
      <c r="AV2452" s="92" t="str">
        <f>HYPERLINK("https://pbs.twimg.com/media/F1_nUGKWcAMJgw7.jpg")</f>
        <v>https://pbs.twimg.com/media/F1_nUGKWcAMJgw7.jpg</v>
      </c>
      <c r="AW2452" s="93" t="s">
        <v>20613</v>
      </c>
      <c r="AX2452" s="93" t="s">
        <v>20613</v>
      </c>
      <c r="AY2452" s="87"/>
      <c r="AZ2452" s="93" t="s">
        <v>22668</v>
      </c>
      <c r="BA2452" s="93" t="s">
        <v>22668</v>
      </c>
      <c r="BB2452" s="93" t="s">
        <v>22668</v>
      </c>
      <c r="BC2452" s="93" t="s">
        <v>20613</v>
      </c>
      <c r="BD2452" s="93" t="s">
        <v>23269</v>
      </c>
      <c r="BE2452" s="87"/>
      <c r="BF2452" s="87"/>
      <c r="BG2452" s="87"/>
      <c r="BH2452" s="87"/>
      <c r="BI2452" s="87"/>
    </row>
    <row r="2453" spans="1:61" x14ac:dyDescent="0.25">
      <c r="A2453" s="63" t="s">
        <v>1058</v>
      </c>
      <c r="B2453" s="63" t="s">
        <v>1058</v>
      </c>
      <c r="C2453" s="64"/>
      <c r="D2453" s="65"/>
      <c r="E2453" s="66"/>
      <c r="F2453" s="67"/>
      <c r="G2453" s="64"/>
      <c r="H2453" s="68"/>
      <c r="I2453" s="69"/>
      <c r="J2453" s="69"/>
      <c r="K2453" s="32"/>
      <c r="L2453" s="76">
        <v>2453</v>
      </c>
      <c r="M2453" s="76"/>
      <c r="N2453" s="71"/>
      <c r="O2453" s="87" t="s">
        <v>179</v>
      </c>
      <c r="P2453" s="90">
        <v>45133.879872685182</v>
      </c>
      <c r="Q2453" s="87" t="s">
        <v>4170</v>
      </c>
      <c r="R2453" s="87">
        <v>0</v>
      </c>
      <c r="S2453" s="87">
        <v>0</v>
      </c>
      <c r="T2453" s="87">
        <v>0</v>
      </c>
      <c r="U2453" s="87">
        <v>0</v>
      </c>
      <c r="V2453" s="87">
        <v>69</v>
      </c>
      <c r="W2453" s="93" t="s">
        <v>7424</v>
      </c>
      <c r="X2453" s="87"/>
      <c r="Y2453" s="87"/>
      <c r="Z2453" s="87"/>
      <c r="AA2453" s="87" t="s">
        <v>10184</v>
      </c>
      <c r="AB2453" s="87" t="s">
        <v>11448</v>
      </c>
      <c r="AC2453" s="93" t="s">
        <v>11457</v>
      </c>
      <c r="AD2453" s="87" t="s">
        <v>11519</v>
      </c>
      <c r="AE2453" s="92" t="str">
        <f>HYPERLINK("https://twitter.com/serraempauta/status/1684309368672493568")</f>
        <v>https://twitter.com/serraempauta/status/1684309368672493568</v>
      </c>
      <c r="AF2453" s="90">
        <v>45133.879872685182</v>
      </c>
      <c r="AG2453" s="99">
        <v>45133</v>
      </c>
      <c r="AH2453" s="93" t="s">
        <v>13709</v>
      </c>
      <c r="AI2453" s="87" t="b">
        <v>0</v>
      </c>
      <c r="AJ2453" s="87"/>
      <c r="AK2453" s="87"/>
      <c r="AL2453" s="87"/>
      <c r="AM2453" s="87"/>
      <c r="AN2453" s="87"/>
      <c r="AO2453" s="87"/>
      <c r="AP2453" s="87"/>
      <c r="AQ2453" s="87" t="s">
        <v>16997</v>
      </c>
      <c r="AR2453" s="87"/>
      <c r="AS2453" s="87"/>
      <c r="AT2453" s="87"/>
      <c r="AU2453" s="87"/>
      <c r="AV2453" s="92" t="str">
        <f>HYPERLINK("https://pbs.twimg.com/media/F1_eb_EWAAYKlfQ.jpg")</f>
        <v>https://pbs.twimg.com/media/F1_eb_EWAAYKlfQ.jpg</v>
      </c>
      <c r="AW2453" s="93" t="s">
        <v>20614</v>
      </c>
      <c r="AX2453" s="93" t="s">
        <v>20614</v>
      </c>
      <c r="AY2453" s="87"/>
      <c r="AZ2453" s="93" t="s">
        <v>22668</v>
      </c>
      <c r="BA2453" s="93" t="s">
        <v>22668</v>
      </c>
      <c r="BB2453" s="93" t="s">
        <v>22668</v>
      </c>
      <c r="BC2453" s="93" t="s">
        <v>20614</v>
      </c>
      <c r="BD2453" s="93" t="s">
        <v>23269</v>
      </c>
      <c r="BE2453" s="87"/>
      <c r="BF2453" s="87"/>
      <c r="BG2453" s="87"/>
      <c r="BH2453" s="87"/>
      <c r="BI2453" s="87"/>
    </row>
    <row r="2454" spans="1:61" x14ac:dyDescent="0.25">
      <c r="A2454" s="63" t="s">
        <v>1058</v>
      </c>
      <c r="B2454" s="63" t="s">
        <v>1058</v>
      </c>
      <c r="C2454" s="64"/>
      <c r="D2454" s="65"/>
      <c r="E2454" s="66"/>
      <c r="F2454" s="67"/>
      <c r="G2454" s="64"/>
      <c r="H2454" s="68"/>
      <c r="I2454" s="69"/>
      <c r="J2454" s="69"/>
      <c r="K2454" s="32"/>
      <c r="L2454" s="76">
        <v>2454</v>
      </c>
      <c r="M2454" s="76"/>
      <c r="N2454" s="71"/>
      <c r="O2454" s="87" t="s">
        <v>179</v>
      </c>
      <c r="P2454" s="90">
        <v>45133.781041666669</v>
      </c>
      <c r="Q2454" s="87" t="s">
        <v>4171</v>
      </c>
      <c r="R2454" s="87">
        <v>0</v>
      </c>
      <c r="S2454" s="87">
        <v>0</v>
      </c>
      <c r="T2454" s="87">
        <v>0</v>
      </c>
      <c r="U2454" s="87">
        <v>0</v>
      </c>
      <c r="V2454" s="87">
        <v>41</v>
      </c>
      <c r="W2454" s="93" t="s">
        <v>7424</v>
      </c>
      <c r="X2454" s="87"/>
      <c r="Y2454" s="87"/>
      <c r="Z2454" s="87"/>
      <c r="AA2454" s="87" t="s">
        <v>10185</v>
      </c>
      <c r="AB2454" s="87" t="s">
        <v>11448</v>
      </c>
      <c r="AC2454" s="93" t="s">
        <v>11457</v>
      </c>
      <c r="AD2454" s="87" t="s">
        <v>11519</v>
      </c>
      <c r="AE2454" s="92" t="str">
        <f>HYPERLINK("https://twitter.com/serraempauta/status/1684273556501266432")</f>
        <v>https://twitter.com/serraempauta/status/1684273556501266432</v>
      </c>
      <c r="AF2454" s="90">
        <v>45133.781041666669</v>
      </c>
      <c r="AG2454" s="99">
        <v>45133</v>
      </c>
      <c r="AH2454" s="93" t="s">
        <v>13710</v>
      </c>
      <c r="AI2454" s="87" t="b">
        <v>0</v>
      </c>
      <c r="AJ2454" s="87"/>
      <c r="AK2454" s="87"/>
      <c r="AL2454" s="87"/>
      <c r="AM2454" s="87"/>
      <c r="AN2454" s="87"/>
      <c r="AO2454" s="87"/>
      <c r="AP2454" s="87"/>
      <c r="AQ2454" s="87" t="s">
        <v>16998</v>
      </c>
      <c r="AR2454" s="87"/>
      <c r="AS2454" s="87"/>
      <c r="AT2454" s="87"/>
      <c r="AU2454" s="87"/>
      <c r="AV2454" s="92" t="str">
        <f>HYPERLINK("https://pbs.twimg.com/media/F1-93TSWcAAsMK2.jpg")</f>
        <v>https://pbs.twimg.com/media/F1-93TSWcAAsMK2.jpg</v>
      </c>
      <c r="AW2454" s="93" t="s">
        <v>20615</v>
      </c>
      <c r="AX2454" s="93" t="s">
        <v>20615</v>
      </c>
      <c r="AY2454" s="87"/>
      <c r="AZ2454" s="93" t="s">
        <v>22668</v>
      </c>
      <c r="BA2454" s="93" t="s">
        <v>22668</v>
      </c>
      <c r="BB2454" s="93" t="s">
        <v>22668</v>
      </c>
      <c r="BC2454" s="93" t="s">
        <v>20615</v>
      </c>
      <c r="BD2454" s="93" t="s">
        <v>23269</v>
      </c>
      <c r="BE2454" s="87"/>
      <c r="BF2454" s="87"/>
      <c r="BG2454" s="87"/>
      <c r="BH2454" s="87"/>
      <c r="BI2454" s="87"/>
    </row>
    <row r="2455" spans="1:61" x14ac:dyDescent="0.25">
      <c r="A2455" s="63" t="s">
        <v>1058</v>
      </c>
      <c r="B2455" s="63" t="s">
        <v>1058</v>
      </c>
      <c r="C2455" s="64"/>
      <c r="D2455" s="65"/>
      <c r="E2455" s="66"/>
      <c r="F2455" s="67"/>
      <c r="G2455" s="64"/>
      <c r="H2455" s="68"/>
      <c r="I2455" s="69"/>
      <c r="J2455" s="69"/>
      <c r="K2455" s="32"/>
      <c r="L2455" s="76">
        <v>2455</v>
      </c>
      <c r="M2455" s="76"/>
      <c r="N2455" s="71"/>
      <c r="O2455" s="87" t="s">
        <v>179</v>
      </c>
      <c r="P2455" s="90">
        <v>45133.717546296299</v>
      </c>
      <c r="Q2455" s="87" t="s">
        <v>4172</v>
      </c>
      <c r="R2455" s="87">
        <v>1</v>
      </c>
      <c r="S2455" s="87">
        <v>1</v>
      </c>
      <c r="T2455" s="87">
        <v>0</v>
      </c>
      <c r="U2455" s="87">
        <v>0</v>
      </c>
      <c r="V2455" s="87">
        <v>54</v>
      </c>
      <c r="W2455" s="93" t="s">
        <v>7424</v>
      </c>
      <c r="X2455" s="87"/>
      <c r="Y2455" s="87"/>
      <c r="Z2455" s="87"/>
      <c r="AA2455" s="87" t="s">
        <v>10186</v>
      </c>
      <c r="AB2455" s="87" t="s">
        <v>11448</v>
      </c>
      <c r="AC2455" s="93" t="s">
        <v>11457</v>
      </c>
      <c r="AD2455" s="87" t="s">
        <v>11519</v>
      </c>
      <c r="AE2455" s="92" t="str">
        <f>HYPERLINK("https://twitter.com/serraempauta/status/1684250545123360769")</f>
        <v>https://twitter.com/serraempauta/status/1684250545123360769</v>
      </c>
      <c r="AF2455" s="90">
        <v>45133.717546296299</v>
      </c>
      <c r="AG2455" s="99">
        <v>45133</v>
      </c>
      <c r="AH2455" s="93" t="s">
        <v>13711</v>
      </c>
      <c r="AI2455" s="87" t="b">
        <v>0</v>
      </c>
      <c r="AJ2455" s="87"/>
      <c r="AK2455" s="87"/>
      <c r="AL2455" s="87"/>
      <c r="AM2455" s="87"/>
      <c r="AN2455" s="87"/>
      <c r="AO2455" s="87"/>
      <c r="AP2455" s="87"/>
      <c r="AQ2455" s="87" t="s">
        <v>16999</v>
      </c>
      <c r="AR2455" s="87"/>
      <c r="AS2455" s="87"/>
      <c r="AT2455" s="87"/>
      <c r="AU2455" s="87"/>
      <c r="AV2455" s="92" t="str">
        <f>HYPERLINK("https://pbs.twimg.com/media/F1-o7l6WAAMWdI_.jpg")</f>
        <v>https://pbs.twimg.com/media/F1-o7l6WAAMWdI_.jpg</v>
      </c>
      <c r="AW2455" s="93" t="s">
        <v>20616</v>
      </c>
      <c r="AX2455" s="93" t="s">
        <v>20616</v>
      </c>
      <c r="AY2455" s="87"/>
      <c r="AZ2455" s="93" t="s">
        <v>22668</v>
      </c>
      <c r="BA2455" s="93" t="s">
        <v>22668</v>
      </c>
      <c r="BB2455" s="93" t="s">
        <v>22668</v>
      </c>
      <c r="BC2455" s="93" t="s">
        <v>20616</v>
      </c>
      <c r="BD2455" s="93" t="s">
        <v>23269</v>
      </c>
      <c r="BE2455" s="87"/>
      <c r="BF2455" s="87"/>
      <c r="BG2455" s="87"/>
      <c r="BH2455" s="87"/>
      <c r="BI2455" s="87"/>
    </row>
    <row r="2456" spans="1:61" x14ac:dyDescent="0.25">
      <c r="A2456" s="63" t="s">
        <v>1058</v>
      </c>
      <c r="B2456" s="63" t="s">
        <v>1058</v>
      </c>
      <c r="C2456" s="64"/>
      <c r="D2456" s="65"/>
      <c r="E2456" s="66"/>
      <c r="F2456" s="67"/>
      <c r="G2456" s="64"/>
      <c r="H2456" s="68"/>
      <c r="I2456" s="69"/>
      <c r="J2456" s="69"/>
      <c r="K2456" s="32"/>
      <c r="L2456" s="76">
        <v>2456</v>
      </c>
      <c r="M2456" s="76"/>
      <c r="N2456" s="71"/>
      <c r="O2456" s="87" t="s">
        <v>179</v>
      </c>
      <c r="P2456" s="90">
        <v>45133.561712962961</v>
      </c>
      <c r="Q2456" s="87" t="s">
        <v>4173</v>
      </c>
      <c r="R2456" s="87">
        <v>0</v>
      </c>
      <c r="S2456" s="87">
        <v>0</v>
      </c>
      <c r="T2456" s="87">
        <v>0</v>
      </c>
      <c r="U2456" s="87">
        <v>0</v>
      </c>
      <c r="V2456" s="87">
        <v>65</v>
      </c>
      <c r="W2456" s="93" t="s">
        <v>7424</v>
      </c>
      <c r="X2456" s="87"/>
      <c r="Y2456" s="87"/>
      <c r="Z2456" s="87"/>
      <c r="AA2456" s="87" t="s">
        <v>10187</v>
      </c>
      <c r="AB2456" s="87" t="s">
        <v>11448</v>
      </c>
      <c r="AC2456" s="93" t="s">
        <v>11457</v>
      </c>
      <c r="AD2456" s="87" t="s">
        <v>11519</v>
      </c>
      <c r="AE2456" s="92" t="str">
        <f>HYPERLINK("https://twitter.com/serraempauta/status/1684194071890235392")</f>
        <v>https://twitter.com/serraempauta/status/1684194071890235392</v>
      </c>
      <c r="AF2456" s="90">
        <v>45133.561712962961</v>
      </c>
      <c r="AG2456" s="99">
        <v>45133</v>
      </c>
      <c r="AH2456" s="93" t="s">
        <v>13712</v>
      </c>
      <c r="AI2456" s="87" t="b">
        <v>0</v>
      </c>
      <c r="AJ2456" s="87"/>
      <c r="AK2456" s="87"/>
      <c r="AL2456" s="87"/>
      <c r="AM2456" s="87"/>
      <c r="AN2456" s="87"/>
      <c r="AO2456" s="87"/>
      <c r="AP2456" s="87"/>
      <c r="AQ2456" s="87" t="s">
        <v>17000</v>
      </c>
      <c r="AR2456" s="87"/>
      <c r="AS2456" s="87"/>
      <c r="AT2456" s="87"/>
      <c r="AU2456" s="87"/>
      <c r="AV2456" s="92" t="str">
        <f>HYPERLINK("https://pbs.twimg.com/media/F191k_oWAAEPf6t.jpg")</f>
        <v>https://pbs.twimg.com/media/F191k_oWAAEPf6t.jpg</v>
      </c>
      <c r="AW2456" s="93" t="s">
        <v>20617</v>
      </c>
      <c r="AX2456" s="93" t="s">
        <v>20617</v>
      </c>
      <c r="AY2456" s="87"/>
      <c r="AZ2456" s="93" t="s">
        <v>22668</v>
      </c>
      <c r="BA2456" s="93" t="s">
        <v>22668</v>
      </c>
      <c r="BB2456" s="93" t="s">
        <v>22668</v>
      </c>
      <c r="BC2456" s="93" t="s">
        <v>20617</v>
      </c>
      <c r="BD2456" s="93" t="s">
        <v>23269</v>
      </c>
      <c r="BE2456" s="87"/>
      <c r="BF2456" s="87"/>
      <c r="BG2456" s="87"/>
      <c r="BH2456" s="87"/>
      <c r="BI2456" s="87"/>
    </row>
    <row r="2457" spans="1:61" x14ac:dyDescent="0.25">
      <c r="A2457" s="63" t="s">
        <v>1058</v>
      </c>
      <c r="B2457" s="63" t="s">
        <v>1058</v>
      </c>
      <c r="C2457" s="64"/>
      <c r="D2457" s="65"/>
      <c r="E2457" s="66"/>
      <c r="F2457" s="67"/>
      <c r="G2457" s="64"/>
      <c r="H2457" s="68"/>
      <c r="I2457" s="69"/>
      <c r="J2457" s="69"/>
      <c r="K2457" s="32"/>
      <c r="L2457" s="76">
        <v>2457</v>
      </c>
      <c r="M2457" s="76"/>
      <c r="N2457" s="71"/>
      <c r="O2457" s="87" t="s">
        <v>179</v>
      </c>
      <c r="P2457" s="90">
        <v>45132.905497685184</v>
      </c>
      <c r="Q2457" s="87" t="s">
        <v>4174</v>
      </c>
      <c r="R2457" s="87">
        <v>0</v>
      </c>
      <c r="S2457" s="87">
        <v>1</v>
      </c>
      <c r="T2457" s="87">
        <v>0</v>
      </c>
      <c r="U2457" s="87">
        <v>0</v>
      </c>
      <c r="V2457" s="87">
        <v>39</v>
      </c>
      <c r="W2457" s="93" t="s">
        <v>7424</v>
      </c>
      <c r="X2457" s="87"/>
      <c r="Y2457" s="87"/>
      <c r="Z2457" s="87"/>
      <c r="AA2457" s="87" t="s">
        <v>10188</v>
      </c>
      <c r="AB2457" s="87" t="s">
        <v>11448</v>
      </c>
      <c r="AC2457" s="93" t="s">
        <v>11457</v>
      </c>
      <c r="AD2457" s="87" t="s">
        <v>11519</v>
      </c>
      <c r="AE2457" s="92" t="str">
        <f>HYPERLINK("https://twitter.com/serraempauta/status/1683956269948850180")</f>
        <v>https://twitter.com/serraempauta/status/1683956269948850180</v>
      </c>
      <c r="AF2457" s="90">
        <v>45132.905497685184</v>
      </c>
      <c r="AG2457" s="99">
        <v>45132</v>
      </c>
      <c r="AH2457" s="93" t="s">
        <v>13713</v>
      </c>
      <c r="AI2457" s="87" t="b">
        <v>0</v>
      </c>
      <c r="AJ2457" s="87"/>
      <c r="AK2457" s="87"/>
      <c r="AL2457" s="87"/>
      <c r="AM2457" s="87"/>
      <c r="AN2457" s="87"/>
      <c r="AO2457" s="87"/>
      <c r="AP2457" s="87"/>
      <c r="AQ2457" s="87" t="s">
        <v>17001</v>
      </c>
      <c r="AR2457" s="87"/>
      <c r="AS2457" s="87"/>
      <c r="AT2457" s="87"/>
      <c r="AU2457" s="87"/>
      <c r="AV2457" s="92" t="str">
        <f>HYPERLINK("https://pbs.twimg.com/media/F16dS61WIAA6put.jpg")</f>
        <v>https://pbs.twimg.com/media/F16dS61WIAA6put.jpg</v>
      </c>
      <c r="AW2457" s="93" t="s">
        <v>20618</v>
      </c>
      <c r="AX2457" s="93" t="s">
        <v>20618</v>
      </c>
      <c r="AY2457" s="87"/>
      <c r="AZ2457" s="93" t="s">
        <v>22668</v>
      </c>
      <c r="BA2457" s="93" t="s">
        <v>22668</v>
      </c>
      <c r="BB2457" s="93" t="s">
        <v>22668</v>
      </c>
      <c r="BC2457" s="93" t="s">
        <v>20618</v>
      </c>
      <c r="BD2457" s="93" t="s">
        <v>23269</v>
      </c>
      <c r="BE2457" s="87"/>
      <c r="BF2457" s="87"/>
      <c r="BG2457" s="87"/>
      <c r="BH2457" s="87"/>
      <c r="BI2457" s="87"/>
    </row>
    <row r="2458" spans="1:61" x14ac:dyDescent="0.25">
      <c r="A2458" s="63" t="s">
        <v>1058</v>
      </c>
      <c r="B2458" s="63" t="s">
        <v>1058</v>
      </c>
      <c r="C2458" s="64"/>
      <c r="D2458" s="65"/>
      <c r="E2458" s="66"/>
      <c r="F2458" s="67"/>
      <c r="G2458" s="64"/>
      <c r="H2458" s="68"/>
      <c r="I2458" s="69"/>
      <c r="J2458" s="69"/>
      <c r="K2458" s="32"/>
      <c r="L2458" s="76">
        <v>2458</v>
      </c>
      <c r="M2458" s="76"/>
      <c r="N2458" s="71"/>
      <c r="O2458" s="87" t="s">
        <v>179</v>
      </c>
      <c r="P2458" s="90">
        <v>45132.875277777777</v>
      </c>
      <c r="Q2458" s="87" t="s">
        <v>4175</v>
      </c>
      <c r="R2458" s="87">
        <v>0</v>
      </c>
      <c r="S2458" s="87">
        <v>0</v>
      </c>
      <c r="T2458" s="87">
        <v>0</v>
      </c>
      <c r="U2458" s="87">
        <v>0</v>
      </c>
      <c r="V2458" s="87">
        <v>42</v>
      </c>
      <c r="W2458" s="93" t="s">
        <v>7424</v>
      </c>
      <c r="X2458" s="87"/>
      <c r="Y2458" s="87"/>
      <c r="Z2458" s="87"/>
      <c r="AA2458" s="87" t="s">
        <v>10189</v>
      </c>
      <c r="AB2458" s="87" t="s">
        <v>11448</v>
      </c>
      <c r="AC2458" s="93" t="s">
        <v>11457</v>
      </c>
      <c r="AD2458" s="87" t="s">
        <v>11519</v>
      </c>
      <c r="AE2458" s="92" t="str">
        <f>HYPERLINK("https://twitter.com/serraempauta/status/1683945315802419201")</f>
        <v>https://twitter.com/serraempauta/status/1683945315802419201</v>
      </c>
      <c r="AF2458" s="90">
        <v>45132.875277777777</v>
      </c>
      <c r="AG2458" s="99">
        <v>45132</v>
      </c>
      <c r="AH2458" s="93" t="s">
        <v>13714</v>
      </c>
      <c r="AI2458" s="87" t="b">
        <v>0</v>
      </c>
      <c r="AJ2458" s="87"/>
      <c r="AK2458" s="87"/>
      <c r="AL2458" s="87"/>
      <c r="AM2458" s="87"/>
      <c r="AN2458" s="87"/>
      <c r="AO2458" s="87"/>
      <c r="AP2458" s="87"/>
      <c r="AQ2458" s="87" t="s">
        <v>17002</v>
      </c>
      <c r="AR2458" s="87"/>
      <c r="AS2458" s="87"/>
      <c r="AT2458" s="87"/>
      <c r="AU2458" s="87"/>
      <c r="AV2458" s="92" t="str">
        <f>HYPERLINK("https://pbs.twimg.com/media/F16TVfGX0AEfWBW.jpg")</f>
        <v>https://pbs.twimg.com/media/F16TVfGX0AEfWBW.jpg</v>
      </c>
      <c r="AW2458" s="93" t="s">
        <v>20619</v>
      </c>
      <c r="AX2458" s="93" t="s">
        <v>20619</v>
      </c>
      <c r="AY2458" s="87"/>
      <c r="AZ2458" s="93" t="s">
        <v>22668</v>
      </c>
      <c r="BA2458" s="93" t="s">
        <v>22668</v>
      </c>
      <c r="BB2458" s="93" t="s">
        <v>22668</v>
      </c>
      <c r="BC2458" s="93" t="s">
        <v>20619</v>
      </c>
      <c r="BD2458" s="93" t="s">
        <v>23269</v>
      </c>
      <c r="BE2458" s="87"/>
      <c r="BF2458" s="87"/>
      <c r="BG2458" s="87"/>
      <c r="BH2458" s="87"/>
      <c r="BI2458" s="87"/>
    </row>
    <row r="2459" spans="1:61" x14ac:dyDescent="0.25">
      <c r="A2459" s="63" t="s">
        <v>1058</v>
      </c>
      <c r="B2459" s="63" t="s">
        <v>1058</v>
      </c>
      <c r="C2459" s="64"/>
      <c r="D2459" s="65"/>
      <c r="E2459" s="66"/>
      <c r="F2459" s="67"/>
      <c r="G2459" s="64"/>
      <c r="H2459" s="68"/>
      <c r="I2459" s="69"/>
      <c r="J2459" s="69"/>
      <c r="K2459" s="32"/>
      <c r="L2459" s="76">
        <v>2459</v>
      </c>
      <c r="M2459" s="76"/>
      <c r="N2459" s="71"/>
      <c r="O2459" s="87" t="s">
        <v>179</v>
      </c>
      <c r="P2459" s="90">
        <v>45119.88003472222</v>
      </c>
      <c r="Q2459" s="87" t="s">
        <v>4176</v>
      </c>
      <c r="R2459" s="87">
        <v>0</v>
      </c>
      <c r="S2459" s="87">
        <v>0</v>
      </c>
      <c r="T2459" s="87">
        <v>0</v>
      </c>
      <c r="U2459" s="87">
        <v>0</v>
      </c>
      <c r="V2459" s="87">
        <v>72</v>
      </c>
      <c r="W2459" s="93" t="s">
        <v>7424</v>
      </c>
      <c r="X2459" s="87"/>
      <c r="Y2459" s="87"/>
      <c r="Z2459" s="87"/>
      <c r="AA2459" s="87" t="s">
        <v>10190</v>
      </c>
      <c r="AB2459" s="87" t="s">
        <v>11448</v>
      </c>
      <c r="AC2459" s="93" t="s">
        <v>11457</v>
      </c>
      <c r="AD2459" s="87" t="s">
        <v>11519</v>
      </c>
      <c r="AE2459" s="92" t="str">
        <f>HYPERLINK("https://twitter.com/serraempauta/status/1679235996968255492")</f>
        <v>https://twitter.com/serraempauta/status/1679235996968255492</v>
      </c>
      <c r="AF2459" s="90">
        <v>45119.88003472222</v>
      </c>
      <c r="AG2459" s="99">
        <v>45119</v>
      </c>
      <c r="AH2459" s="93" t="s">
        <v>13715</v>
      </c>
      <c r="AI2459" s="87" t="b">
        <v>0</v>
      </c>
      <c r="AJ2459" s="87"/>
      <c r="AK2459" s="87"/>
      <c r="AL2459" s="87"/>
      <c r="AM2459" s="87"/>
      <c r="AN2459" s="87"/>
      <c r="AO2459" s="87"/>
      <c r="AP2459" s="87"/>
      <c r="AQ2459" s="87" t="s">
        <v>17003</v>
      </c>
      <c r="AR2459" s="87"/>
      <c r="AS2459" s="87"/>
      <c r="AT2459" s="87"/>
      <c r="AU2459" s="87"/>
      <c r="AV2459" s="92" t="str">
        <f>HYPERLINK("https://pbs.twimg.com/media/F03YO53XgAETq4a.jpg")</f>
        <v>https://pbs.twimg.com/media/F03YO53XgAETq4a.jpg</v>
      </c>
      <c r="AW2459" s="93" t="s">
        <v>20620</v>
      </c>
      <c r="AX2459" s="93" t="s">
        <v>20620</v>
      </c>
      <c r="AY2459" s="87"/>
      <c r="AZ2459" s="93" t="s">
        <v>22668</v>
      </c>
      <c r="BA2459" s="93" t="s">
        <v>22668</v>
      </c>
      <c r="BB2459" s="93" t="s">
        <v>22668</v>
      </c>
      <c r="BC2459" s="93" t="s">
        <v>20620</v>
      </c>
      <c r="BD2459" s="93" t="s">
        <v>23269</v>
      </c>
      <c r="BE2459" s="87"/>
      <c r="BF2459" s="87"/>
      <c r="BG2459" s="87"/>
      <c r="BH2459" s="87"/>
      <c r="BI2459" s="87"/>
    </row>
    <row r="2460" spans="1:61" x14ac:dyDescent="0.25">
      <c r="A2460" s="63" t="s">
        <v>1058</v>
      </c>
      <c r="B2460" s="63" t="s">
        <v>1058</v>
      </c>
      <c r="C2460" s="64"/>
      <c r="D2460" s="65"/>
      <c r="E2460" s="66"/>
      <c r="F2460" s="67"/>
      <c r="G2460" s="64"/>
      <c r="H2460" s="68"/>
      <c r="I2460" s="69"/>
      <c r="J2460" s="69"/>
      <c r="K2460" s="32"/>
      <c r="L2460" s="76">
        <v>2460</v>
      </c>
      <c r="M2460" s="76"/>
      <c r="N2460" s="71"/>
      <c r="O2460" s="87" t="s">
        <v>179</v>
      </c>
      <c r="P2460" s="90">
        <v>45119.817129629628</v>
      </c>
      <c r="Q2460" s="87" t="s">
        <v>4177</v>
      </c>
      <c r="R2460" s="87">
        <v>0</v>
      </c>
      <c r="S2460" s="87">
        <v>0</v>
      </c>
      <c r="T2460" s="87">
        <v>0</v>
      </c>
      <c r="U2460" s="87">
        <v>0</v>
      </c>
      <c r="V2460" s="87">
        <v>94</v>
      </c>
      <c r="W2460" s="93" t="s">
        <v>7424</v>
      </c>
      <c r="X2460" s="87"/>
      <c r="Y2460" s="87"/>
      <c r="Z2460" s="87"/>
      <c r="AA2460" s="87" t="s">
        <v>10191</v>
      </c>
      <c r="AB2460" s="87" t="s">
        <v>11448</v>
      </c>
      <c r="AC2460" s="93" t="s">
        <v>11457</v>
      </c>
      <c r="AD2460" s="87" t="s">
        <v>11519</v>
      </c>
      <c r="AE2460" s="92" t="str">
        <f>HYPERLINK("https://twitter.com/serraempauta/status/1679213202234568728")</f>
        <v>https://twitter.com/serraempauta/status/1679213202234568728</v>
      </c>
      <c r="AF2460" s="90">
        <v>45119.817129629628</v>
      </c>
      <c r="AG2460" s="99">
        <v>45119</v>
      </c>
      <c r="AH2460" s="93" t="s">
        <v>13716</v>
      </c>
      <c r="AI2460" s="87" t="b">
        <v>0</v>
      </c>
      <c r="AJ2460" s="87"/>
      <c r="AK2460" s="87"/>
      <c r="AL2460" s="87"/>
      <c r="AM2460" s="87"/>
      <c r="AN2460" s="87"/>
      <c r="AO2460" s="87"/>
      <c r="AP2460" s="87"/>
      <c r="AQ2460" s="87" t="s">
        <v>17004</v>
      </c>
      <c r="AR2460" s="87"/>
      <c r="AS2460" s="87"/>
      <c r="AT2460" s="87"/>
      <c r="AU2460" s="87"/>
      <c r="AV2460" s="92" t="str">
        <f>HYPERLINK("https://pbs.twimg.com/media/F03DgIXWcAQUDLg.jpg")</f>
        <v>https://pbs.twimg.com/media/F03DgIXWcAQUDLg.jpg</v>
      </c>
      <c r="AW2460" s="93" t="s">
        <v>20621</v>
      </c>
      <c r="AX2460" s="93" t="s">
        <v>20621</v>
      </c>
      <c r="AY2460" s="87"/>
      <c r="AZ2460" s="93" t="s">
        <v>22668</v>
      </c>
      <c r="BA2460" s="93" t="s">
        <v>22668</v>
      </c>
      <c r="BB2460" s="93" t="s">
        <v>22668</v>
      </c>
      <c r="BC2460" s="93" t="s">
        <v>20621</v>
      </c>
      <c r="BD2460" s="93" t="s">
        <v>23269</v>
      </c>
      <c r="BE2460" s="87"/>
      <c r="BF2460" s="87"/>
      <c r="BG2460" s="87"/>
      <c r="BH2460" s="87"/>
      <c r="BI2460" s="87"/>
    </row>
    <row r="2461" spans="1:61" x14ac:dyDescent="0.25">
      <c r="A2461" s="63" t="s">
        <v>1058</v>
      </c>
      <c r="B2461" s="63" t="s">
        <v>1058</v>
      </c>
      <c r="C2461" s="64"/>
      <c r="D2461" s="65"/>
      <c r="E2461" s="66"/>
      <c r="F2461" s="67"/>
      <c r="G2461" s="64"/>
      <c r="H2461" s="68"/>
      <c r="I2461" s="69"/>
      <c r="J2461" s="69"/>
      <c r="K2461" s="32"/>
      <c r="L2461" s="76">
        <v>2461</v>
      </c>
      <c r="M2461" s="76"/>
      <c r="N2461" s="71"/>
      <c r="O2461" s="87" t="s">
        <v>179</v>
      </c>
      <c r="P2461" s="90">
        <v>45119.781678240739</v>
      </c>
      <c r="Q2461" s="87" t="s">
        <v>4178</v>
      </c>
      <c r="R2461" s="87">
        <v>0</v>
      </c>
      <c r="S2461" s="87">
        <v>0</v>
      </c>
      <c r="T2461" s="87">
        <v>0</v>
      </c>
      <c r="U2461" s="87">
        <v>0</v>
      </c>
      <c r="V2461" s="87">
        <v>71</v>
      </c>
      <c r="W2461" s="93" t="s">
        <v>7424</v>
      </c>
      <c r="X2461" s="87"/>
      <c r="Y2461" s="87"/>
      <c r="Z2461" s="87"/>
      <c r="AA2461" s="87" t="s">
        <v>10192</v>
      </c>
      <c r="AB2461" s="87" t="s">
        <v>11448</v>
      </c>
      <c r="AC2461" s="93" t="s">
        <v>11457</v>
      </c>
      <c r="AD2461" s="87" t="s">
        <v>11519</v>
      </c>
      <c r="AE2461" s="92" t="str">
        <f>HYPERLINK("https://twitter.com/serraempauta/status/1679200356599754753")</f>
        <v>https://twitter.com/serraempauta/status/1679200356599754753</v>
      </c>
      <c r="AF2461" s="90">
        <v>45119.781678240739</v>
      </c>
      <c r="AG2461" s="99">
        <v>45119</v>
      </c>
      <c r="AH2461" s="93" t="s">
        <v>13717</v>
      </c>
      <c r="AI2461" s="87" t="b">
        <v>0</v>
      </c>
      <c r="AJ2461" s="87"/>
      <c r="AK2461" s="87"/>
      <c r="AL2461" s="87"/>
      <c r="AM2461" s="87"/>
      <c r="AN2461" s="87"/>
      <c r="AO2461" s="87"/>
      <c r="AP2461" s="87"/>
      <c r="AQ2461" s="87" t="s">
        <v>17005</v>
      </c>
      <c r="AR2461" s="87"/>
      <c r="AS2461" s="87"/>
      <c r="AT2461" s="87"/>
      <c r="AU2461" s="87"/>
      <c r="AV2461" s="92" t="str">
        <f>HYPERLINK("https://pbs.twimg.com/media/F0230RZXwAAjnIE.jpg")</f>
        <v>https://pbs.twimg.com/media/F0230RZXwAAjnIE.jpg</v>
      </c>
      <c r="AW2461" s="93" t="s">
        <v>20622</v>
      </c>
      <c r="AX2461" s="93" t="s">
        <v>20622</v>
      </c>
      <c r="AY2461" s="87"/>
      <c r="AZ2461" s="93" t="s">
        <v>22668</v>
      </c>
      <c r="BA2461" s="93" t="s">
        <v>22668</v>
      </c>
      <c r="BB2461" s="93" t="s">
        <v>22668</v>
      </c>
      <c r="BC2461" s="93" t="s">
        <v>20622</v>
      </c>
      <c r="BD2461" s="93" t="s">
        <v>23269</v>
      </c>
      <c r="BE2461" s="87"/>
      <c r="BF2461" s="87"/>
      <c r="BG2461" s="87"/>
      <c r="BH2461" s="87"/>
      <c r="BI2461" s="87"/>
    </row>
    <row r="2462" spans="1:61" x14ac:dyDescent="0.25">
      <c r="A2462" s="63" t="s">
        <v>1058</v>
      </c>
      <c r="B2462" s="63" t="s">
        <v>1058</v>
      </c>
      <c r="C2462" s="64"/>
      <c r="D2462" s="65"/>
      <c r="E2462" s="66"/>
      <c r="F2462" s="67"/>
      <c r="G2462" s="64"/>
      <c r="H2462" s="68"/>
      <c r="I2462" s="69"/>
      <c r="J2462" s="69"/>
      <c r="K2462" s="32"/>
      <c r="L2462" s="76">
        <v>2462</v>
      </c>
      <c r="M2462" s="76"/>
      <c r="N2462" s="71"/>
      <c r="O2462" s="87" t="s">
        <v>179</v>
      </c>
      <c r="P2462" s="90">
        <v>45119.576493055552</v>
      </c>
      <c r="Q2462" s="87" t="s">
        <v>4179</v>
      </c>
      <c r="R2462" s="87">
        <v>1</v>
      </c>
      <c r="S2462" s="87">
        <v>0</v>
      </c>
      <c r="T2462" s="87">
        <v>0</v>
      </c>
      <c r="U2462" s="87">
        <v>0</v>
      </c>
      <c r="V2462" s="87">
        <v>117</v>
      </c>
      <c r="W2462" s="93" t="s">
        <v>7424</v>
      </c>
      <c r="X2462" s="87"/>
      <c r="Y2462" s="87"/>
      <c r="Z2462" s="87"/>
      <c r="AA2462" s="87" t="s">
        <v>10193</v>
      </c>
      <c r="AB2462" s="87" t="s">
        <v>11448</v>
      </c>
      <c r="AC2462" s="93" t="s">
        <v>11457</v>
      </c>
      <c r="AD2462" s="87" t="s">
        <v>11519</v>
      </c>
      <c r="AE2462" s="92" t="str">
        <f>HYPERLINK("https://twitter.com/serraempauta/status/1679126000255262726")</f>
        <v>https://twitter.com/serraempauta/status/1679126000255262726</v>
      </c>
      <c r="AF2462" s="90">
        <v>45119.576493055552</v>
      </c>
      <c r="AG2462" s="99">
        <v>45119</v>
      </c>
      <c r="AH2462" s="93" t="s">
        <v>13718</v>
      </c>
      <c r="AI2462" s="87" t="b">
        <v>0</v>
      </c>
      <c r="AJ2462" s="87"/>
      <c r="AK2462" s="87"/>
      <c r="AL2462" s="87"/>
      <c r="AM2462" s="87"/>
      <c r="AN2462" s="87"/>
      <c r="AO2462" s="87"/>
      <c r="AP2462" s="87"/>
      <c r="AQ2462" s="87" t="s">
        <v>17006</v>
      </c>
      <c r="AR2462" s="87"/>
      <c r="AS2462" s="87"/>
      <c r="AT2462" s="87"/>
      <c r="AU2462" s="87"/>
      <c r="AV2462" s="92" t="str">
        <f>HYPERLINK("https://pbs.twimg.com/media/F010MOIWIAIjn7S.jpg")</f>
        <v>https://pbs.twimg.com/media/F010MOIWIAIjn7S.jpg</v>
      </c>
      <c r="AW2462" s="93" t="s">
        <v>20623</v>
      </c>
      <c r="AX2462" s="93" t="s">
        <v>20623</v>
      </c>
      <c r="AY2462" s="87"/>
      <c r="AZ2462" s="93" t="s">
        <v>22668</v>
      </c>
      <c r="BA2462" s="93" t="s">
        <v>22668</v>
      </c>
      <c r="BB2462" s="93" t="s">
        <v>22668</v>
      </c>
      <c r="BC2462" s="93" t="s">
        <v>20623</v>
      </c>
      <c r="BD2462" s="93" t="s">
        <v>23269</v>
      </c>
      <c r="BE2462" s="87"/>
      <c r="BF2462" s="87"/>
      <c r="BG2462" s="87"/>
      <c r="BH2462" s="87"/>
      <c r="BI2462" s="87"/>
    </row>
    <row r="2463" spans="1:61" x14ac:dyDescent="0.25">
      <c r="A2463" s="63" t="s">
        <v>1058</v>
      </c>
      <c r="B2463" s="63" t="s">
        <v>1058</v>
      </c>
      <c r="C2463" s="64"/>
      <c r="D2463" s="65"/>
      <c r="E2463" s="66"/>
      <c r="F2463" s="67"/>
      <c r="G2463" s="64"/>
      <c r="H2463" s="68"/>
      <c r="I2463" s="69"/>
      <c r="J2463" s="69"/>
      <c r="K2463" s="32"/>
      <c r="L2463" s="76">
        <v>2463</v>
      </c>
      <c r="M2463" s="76"/>
      <c r="N2463" s="71"/>
      <c r="O2463" s="87" t="s">
        <v>179</v>
      </c>
      <c r="P2463" s="90">
        <v>45119.546979166669</v>
      </c>
      <c r="Q2463" s="87" t="s">
        <v>4180</v>
      </c>
      <c r="R2463" s="87">
        <v>0</v>
      </c>
      <c r="S2463" s="87">
        <v>0</v>
      </c>
      <c r="T2463" s="87">
        <v>0</v>
      </c>
      <c r="U2463" s="87">
        <v>0</v>
      </c>
      <c r="V2463" s="87">
        <v>52</v>
      </c>
      <c r="W2463" s="93" t="s">
        <v>7424</v>
      </c>
      <c r="X2463" s="87"/>
      <c r="Y2463" s="87"/>
      <c r="Z2463" s="87"/>
      <c r="AA2463" s="87" t="s">
        <v>10194</v>
      </c>
      <c r="AB2463" s="87" t="s">
        <v>11448</v>
      </c>
      <c r="AC2463" s="93" t="s">
        <v>11457</v>
      </c>
      <c r="AD2463" s="87" t="s">
        <v>11519</v>
      </c>
      <c r="AE2463" s="92" t="str">
        <f>HYPERLINK("https://twitter.com/serraempauta/status/1679115305715417089")</f>
        <v>https://twitter.com/serraempauta/status/1679115305715417089</v>
      </c>
      <c r="AF2463" s="90">
        <v>45119.546979166669</v>
      </c>
      <c r="AG2463" s="99">
        <v>45119</v>
      </c>
      <c r="AH2463" s="93" t="s">
        <v>13719</v>
      </c>
      <c r="AI2463" s="87" t="b">
        <v>0</v>
      </c>
      <c r="AJ2463" s="87"/>
      <c r="AK2463" s="87"/>
      <c r="AL2463" s="87"/>
      <c r="AM2463" s="87"/>
      <c r="AN2463" s="87"/>
      <c r="AO2463" s="87"/>
      <c r="AP2463" s="87"/>
      <c r="AQ2463" s="87" t="s">
        <v>17007</v>
      </c>
      <c r="AR2463" s="87"/>
      <c r="AS2463" s="87"/>
      <c r="AT2463" s="87"/>
      <c r="AU2463" s="87"/>
      <c r="AV2463" s="92" t="str">
        <f>HYPERLINK("https://pbs.twimg.com/media/F01qdr-XoAMVHH4.jpg")</f>
        <v>https://pbs.twimg.com/media/F01qdr-XoAMVHH4.jpg</v>
      </c>
      <c r="AW2463" s="93" t="s">
        <v>20624</v>
      </c>
      <c r="AX2463" s="93" t="s">
        <v>20624</v>
      </c>
      <c r="AY2463" s="87"/>
      <c r="AZ2463" s="93" t="s">
        <v>22668</v>
      </c>
      <c r="BA2463" s="93" t="s">
        <v>22668</v>
      </c>
      <c r="BB2463" s="93" t="s">
        <v>22668</v>
      </c>
      <c r="BC2463" s="93" t="s">
        <v>20624</v>
      </c>
      <c r="BD2463" s="93" t="s">
        <v>23269</v>
      </c>
      <c r="BE2463" s="87"/>
      <c r="BF2463" s="87"/>
      <c r="BG2463" s="87"/>
      <c r="BH2463" s="87"/>
      <c r="BI2463" s="87"/>
    </row>
    <row r="2464" spans="1:61" x14ac:dyDescent="0.25">
      <c r="A2464" s="63" t="s">
        <v>1058</v>
      </c>
      <c r="B2464" s="63" t="s">
        <v>1058</v>
      </c>
      <c r="C2464" s="64"/>
      <c r="D2464" s="65"/>
      <c r="E2464" s="66"/>
      <c r="F2464" s="67"/>
      <c r="G2464" s="64"/>
      <c r="H2464" s="68"/>
      <c r="I2464" s="69"/>
      <c r="J2464" s="69"/>
      <c r="K2464" s="32"/>
      <c r="L2464" s="76">
        <v>2464</v>
      </c>
      <c r="M2464" s="76"/>
      <c r="N2464" s="71"/>
      <c r="O2464" s="87" t="s">
        <v>179</v>
      </c>
      <c r="P2464" s="90">
        <v>45119.06827546296</v>
      </c>
      <c r="Q2464" s="87" t="s">
        <v>4181</v>
      </c>
      <c r="R2464" s="87">
        <v>0</v>
      </c>
      <c r="S2464" s="87">
        <v>0</v>
      </c>
      <c r="T2464" s="87">
        <v>0</v>
      </c>
      <c r="U2464" s="87">
        <v>0</v>
      </c>
      <c r="V2464" s="87">
        <v>59</v>
      </c>
      <c r="W2464" s="93" t="s">
        <v>7424</v>
      </c>
      <c r="X2464" s="87"/>
      <c r="Y2464" s="87"/>
      <c r="Z2464" s="87"/>
      <c r="AA2464" s="87" t="s">
        <v>10195</v>
      </c>
      <c r="AB2464" s="87" t="s">
        <v>11448</v>
      </c>
      <c r="AC2464" s="93" t="s">
        <v>11457</v>
      </c>
      <c r="AD2464" s="87" t="s">
        <v>11519</v>
      </c>
      <c r="AE2464" s="92" t="str">
        <f>HYPERLINK("https://twitter.com/serraempauta/status/1678941829083934720")</f>
        <v>https://twitter.com/serraempauta/status/1678941829083934720</v>
      </c>
      <c r="AF2464" s="90">
        <v>45119.06827546296</v>
      </c>
      <c r="AG2464" s="99">
        <v>45119</v>
      </c>
      <c r="AH2464" s="93" t="s">
        <v>13720</v>
      </c>
      <c r="AI2464" s="87" t="b">
        <v>0</v>
      </c>
      <c r="AJ2464" s="87"/>
      <c r="AK2464" s="87"/>
      <c r="AL2464" s="87"/>
      <c r="AM2464" s="87"/>
      <c r="AN2464" s="87"/>
      <c r="AO2464" s="87"/>
      <c r="AP2464" s="87"/>
      <c r="AQ2464" s="87" t="s">
        <v>17008</v>
      </c>
      <c r="AR2464" s="87"/>
      <c r="AS2464" s="87"/>
      <c r="AT2464" s="87"/>
      <c r="AU2464" s="87"/>
      <c r="AV2464" s="92" t="str">
        <f>HYPERLINK("https://pbs.twimg.com/media/F0zMsLUXgAAkwMA.jpg")</f>
        <v>https://pbs.twimg.com/media/F0zMsLUXgAAkwMA.jpg</v>
      </c>
      <c r="AW2464" s="93" t="s">
        <v>20625</v>
      </c>
      <c r="AX2464" s="93" t="s">
        <v>20625</v>
      </c>
      <c r="AY2464" s="87"/>
      <c r="AZ2464" s="93" t="s">
        <v>22668</v>
      </c>
      <c r="BA2464" s="93" t="s">
        <v>22668</v>
      </c>
      <c r="BB2464" s="93" t="s">
        <v>22668</v>
      </c>
      <c r="BC2464" s="93" t="s">
        <v>20625</v>
      </c>
      <c r="BD2464" s="93" t="s">
        <v>23269</v>
      </c>
      <c r="BE2464" s="87"/>
      <c r="BF2464" s="87"/>
      <c r="BG2464" s="87"/>
      <c r="BH2464" s="87"/>
      <c r="BI2464" s="87"/>
    </row>
    <row r="2465" spans="1:61" x14ac:dyDescent="0.25">
      <c r="A2465" s="63" t="s">
        <v>1058</v>
      </c>
      <c r="B2465" s="63" t="s">
        <v>1058</v>
      </c>
      <c r="C2465" s="64"/>
      <c r="D2465" s="65"/>
      <c r="E2465" s="66"/>
      <c r="F2465" s="67"/>
      <c r="G2465" s="64"/>
      <c r="H2465" s="68"/>
      <c r="I2465" s="69"/>
      <c r="J2465" s="69"/>
      <c r="K2465" s="32"/>
      <c r="L2465" s="76">
        <v>2465</v>
      </c>
      <c r="M2465" s="76"/>
      <c r="N2465" s="71"/>
      <c r="O2465" s="87" t="s">
        <v>179</v>
      </c>
      <c r="P2465" s="90">
        <v>45119.046377314815</v>
      </c>
      <c r="Q2465" s="87" t="s">
        <v>4182</v>
      </c>
      <c r="R2465" s="87">
        <v>0</v>
      </c>
      <c r="S2465" s="87">
        <v>0</v>
      </c>
      <c r="T2465" s="87">
        <v>0</v>
      </c>
      <c r="U2465" s="87">
        <v>0</v>
      </c>
      <c r="V2465" s="87">
        <v>57</v>
      </c>
      <c r="W2465" s="93" t="s">
        <v>7424</v>
      </c>
      <c r="X2465" s="87"/>
      <c r="Y2465" s="87"/>
      <c r="Z2465" s="87"/>
      <c r="AA2465" s="87" t="s">
        <v>10196</v>
      </c>
      <c r="AB2465" s="87" t="s">
        <v>11448</v>
      </c>
      <c r="AC2465" s="93" t="s">
        <v>11457</v>
      </c>
      <c r="AD2465" s="87" t="s">
        <v>11519</v>
      </c>
      <c r="AE2465" s="92" t="str">
        <f>HYPERLINK("https://twitter.com/serraempauta/status/1678933889539031040")</f>
        <v>https://twitter.com/serraempauta/status/1678933889539031040</v>
      </c>
      <c r="AF2465" s="90">
        <v>45119.046377314815</v>
      </c>
      <c r="AG2465" s="99">
        <v>45119</v>
      </c>
      <c r="AH2465" s="93" t="s">
        <v>13721</v>
      </c>
      <c r="AI2465" s="87" t="b">
        <v>0</v>
      </c>
      <c r="AJ2465" s="87"/>
      <c r="AK2465" s="87"/>
      <c r="AL2465" s="87"/>
      <c r="AM2465" s="87"/>
      <c r="AN2465" s="87"/>
      <c r="AO2465" s="87"/>
      <c r="AP2465" s="87"/>
      <c r="AQ2465" s="87" t="s">
        <v>17009</v>
      </c>
      <c r="AR2465" s="87"/>
      <c r="AS2465" s="87"/>
      <c r="AT2465" s="87"/>
      <c r="AU2465" s="87"/>
      <c r="AV2465" s="92" t="str">
        <f>HYPERLINK("https://pbs.twimg.com/media/F0zFeGZXgAAsm-N.jpg")</f>
        <v>https://pbs.twimg.com/media/F0zFeGZXgAAsm-N.jpg</v>
      </c>
      <c r="AW2465" s="93" t="s">
        <v>20626</v>
      </c>
      <c r="AX2465" s="93" t="s">
        <v>20626</v>
      </c>
      <c r="AY2465" s="87"/>
      <c r="AZ2465" s="93" t="s">
        <v>22668</v>
      </c>
      <c r="BA2465" s="93" t="s">
        <v>22668</v>
      </c>
      <c r="BB2465" s="93" t="s">
        <v>22668</v>
      </c>
      <c r="BC2465" s="93" t="s">
        <v>20626</v>
      </c>
      <c r="BD2465" s="93" t="s">
        <v>23269</v>
      </c>
      <c r="BE2465" s="87"/>
      <c r="BF2465" s="87"/>
      <c r="BG2465" s="87"/>
      <c r="BH2465" s="87"/>
      <c r="BI2465" s="87"/>
    </row>
    <row r="2466" spans="1:61" x14ac:dyDescent="0.25">
      <c r="A2466" s="63" t="s">
        <v>1058</v>
      </c>
      <c r="B2466" s="63" t="s">
        <v>1058</v>
      </c>
      <c r="C2466" s="64"/>
      <c r="D2466" s="65"/>
      <c r="E2466" s="66"/>
      <c r="F2466" s="67"/>
      <c r="G2466" s="64"/>
      <c r="H2466" s="68"/>
      <c r="I2466" s="69"/>
      <c r="J2466" s="69"/>
      <c r="K2466" s="32"/>
      <c r="L2466" s="76">
        <v>2466</v>
      </c>
      <c r="M2466" s="76"/>
      <c r="N2466" s="71"/>
      <c r="O2466" s="87" t="s">
        <v>179</v>
      </c>
      <c r="P2466" s="90">
        <v>45113.076898148145</v>
      </c>
      <c r="Q2466" s="87" t="s">
        <v>4183</v>
      </c>
      <c r="R2466" s="87">
        <v>0</v>
      </c>
      <c r="S2466" s="87">
        <v>0</v>
      </c>
      <c r="T2466" s="87">
        <v>0</v>
      </c>
      <c r="U2466" s="87">
        <v>0</v>
      </c>
      <c r="V2466" s="87">
        <v>50</v>
      </c>
      <c r="W2466" s="93" t="s">
        <v>7424</v>
      </c>
      <c r="X2466" s="87"/>
      <c r="Y2466" s="87"/>
      <c r="Z2466" s="87"/>
      <c r="AA2466" s="87" t="s">
        <v>10197</v>
      </c>
      <c r="AB2466" s="87" t="s">
        <v>11448</v>
      </c>
      <c r="AC2466" s="93" t="s">
        <v>11457</v>
      </c>
      <c r="AD2466" s="87" t="s">
        <v>11519</v>
      </c>
      <c r="AE2466" s="92" t="str">
        <f>HYPERLINK("https://twitter.com/serraempauta/status/1676770623605940227")</f>
        <v>https://twitter.com/serraempauta/status/1676770623605940227</v>
      </c>
      <c r="AF2466" s="90">
        <v>45113.076898148145</v>
      </c>
      <c r="AG2466" s="99">
        <v>45113</v>
      </c>
      <c r="AH2466" s="93" t="s">
        <v>13722</v>
      </c>
      <c r="AI2466" s="87" t="b">
        <v>0</v>
      </c>
      <c r="AJ2466" s="87"/>
      <c r="AK2466" s="87"/>
      <c r="AL2466" s="87"/>
      <c r="AM2466" s="87"/>
      <c r="AN2466" s="87"/>
      <c r="AO2466" s="87"/>
      <c r="AP2466" s="87"/>
      <c r="AQ2466" s="87" t="s">
        <v>17010</v>
      </c>
      <c r="AR2466" s="87"/>
      <c r="AS2466" s="87"/>
      <c r="AT2466" s="87"/>
      <c r="AU2466" s="87"/>
      <c r="AV2466" s="92" t="str">
        <f>HYPERLINK("https://pbs.twimg.com/media/F0UV_OPXoAAr8wS.jpg")</f>
        <v>https://pbs.twimg.com/media/F0UV_OPXoAAr8wS.jpg</v>
      </c>
      <c r="AW2466" s="93" t="s">
        <v>20627</v>
      </c>
      <c r="AX2466" s="93" t="s">
        <v>20627</v>
      </c>
      <c r="AY2466" s="87"/>
      <c r="AZ2466" s="93" t="s">
        <v>22668</v>
      </c>
      <c r="BA2466" s="93" t="s">
        <v>22668</v>
      </c>
      <c r="BB2466" s="93" t="s">
        <v>22668</v>
      </c>
      <c r="BC2466" s="93" t="s">
        <v>20627</v>
      </c>
      <c r="BD2466" s="93" t="s">
        <v>23269</v>
      </c>
      <c r="BE2466" s="87"/>
      <c r="BF2466" s="87"/>
      <c r="BG2466" s="87"/>
      <c r="BH2466" s="87"/>
      <c r="BI2466" s="87"/>
    </row>
    <row r="2467" spans="1:61" x14ac:dyDescent="0.25">
      <c r="A2467" s="63" t="s">
        <v>1058</v>
      </c>
      <c r="B2467" s="63" t="s">
        <v>1058</v>
      </c>
      <c r="C2467" s="64"/>
      <c r="D2467" s="65"/>
      <c r="E2467" s="66"/>
      <c r="F2467" s="67"/>
      <c r="G2467" s="64"/>
      <c r="H2467" s="68"/>
      <c r="I2467" s="69"/>
      <c r="J2467" s="69"/>
      <c r="K2467" s="32"/>
      <c r="L2467" s="76">
        <v>2467</v>
      </c>
      <c r="M2467" s="76"/>
      <c r="N2467" s="71"/>
      <c r="O2467" s="87" t="s">
        <v>179</v>
      </c>
      <c r="P2467" s="90">
        <v>45112.913495370369</v>
      </c>
      <c r="Q2467" s="87" t="s">
        <v>4184</v>
      </c>
      <c r="R2467" s="87">
        <v>0</v>
      </c>
      <c r="S2467" s="87">
        <v>0</v>
      </c>
      <c r="T2467" s="87">
        <v>0</v>
      </c>
      <c r="U2467" s="87">
        <v>0</v>
      </c>
      <c r="V2467" s="87">
        <v>34</v>
      </c>
      <c r="W2467" s="93" t="s">
        <v>7424</v>
      </c>
      <c r="X2467" s="87"/>
      <c r="Y2467" s="87"/>
      <c r="Z2467" s="87"/>
      <c r="AA2467" s="87" t="s">
        <v>10198</v>
      </c>
      <c r="AB2467" s="87" t="s">
        <v>11448</v>
      </c>
      <c r="AC2467" s="93" t="s">
        <v>11457</v>
      </c>
      <c r="AD2467" s="87" t="s">
        <v>11519</v>
      </c>
      <c r="AE2467" s="92" t="str">
        <f>HYPERLINK("https://twitter.com/serraempauta/status/1676711408476512256")</f>
        <v>https://twitter.com/serraempauta/status/1676711408476512256</v>
      </c>
      <c r="AF2467" s="90">
        <v>45112.913495370369</v>
      </c>
      <c r="AG2467" s="99">
        <v>45112</v>
      </c>
      <c r="AH2467" s="93" t="s">
        <v>13723</v>
      </c>
      <c r="AI2467" s="87" t="b">
        <v>0</v>
      </c>
      <c r="AJ2467" s="87"/>
      <c r="AK2467" s="87"/>
      <c r="AL2467" s="87"/>
      <c r="AM2467" s="87"/>
      <c r="AN2467" s="87"/>
      <c r="AO2467" s="87"/>
      <c r="AP2467" s="87"/>
      <c r="AQ2467" s="87" t="s">
        <v>17011</v>
      </c>
      <c r="AR2467" s="87"/>
      <c r="AS2467" s="87"/>
      <c r="AT2467" s="87"/>
      <c r="AU2467" s="87"/>
      <c r="AV2467" s="92" t="str">
        <f>HYPERLINK("https://pbs.twimg.com/media/F0TgIppXoAA1Ugv.jpg")</f>
        <v>https://pbs.twimg.com/media/F0TgIppXoAA1Ugv.jpg</v>
      </c>
      <c r="AW2467" s="93" t="s">
        <v>20628</v>
      </c>
      <c r="AX2467" s="93" t="s">
        <v>20628</v>
      </c>
      <c r="AY2467" s="87"/>
      <c r="AZ2467" s="93" t="s">
        <v>22668</v>
      </c>
      <c r="BA2467" s="93" t="s">
        <v>22668</v>
      </c>
      <c r="BB2467" s="93" t="s">
        <v>22668</v>
      </c>
      <c r="BC2467" s="93" t="s">
        <v>20628</v>
      </c>
      <c r="BD2467" s="93" t="s">
        <v>23269</v>
      </c>
      <c r="BE2467" s="87"/>
      <c r="BF2467" s="87"/>
      <c r="BG2467" s="87"/>
      <c r="BH2467" s="87"/>
      <c r="BI2467" s="87"/>
    </row>
    <row r="2468" spans="1:61" x14ac:dyDescent="0.25">
      <c r="A2468" s="63" t="s">
        <v>1058</v>
      </c>
      <c r="B2468" s="63" t="s">
        <v>1058</v>
      </c>
      <c r="C2468" s="64"/>
      <c r="D2468" s="65"/>
      <c r="E2468" s="66"/>
      <c r="F2468" s="67"/>
      <c r="G2468" s="64"/>
      <c r="H2468" s="68"/>
      <c r="I2468" s="69"/>
      <c r="J2468" s="69"/>
      <c r="K2468" s="32"/>
      <c r="L2468" s="76">
        <v>2468</v>
      </c>
      <c r="M2468" s="76"/>
      <c r="N2468" s="71"/>
      <c r="O2468" s="87" t="s">
        <v>179</v>
      </c>
      <c r="P2468" s="90">
        <v>45112.875254629631</v>
      </c>
      <c r="Q2468" s="87" t="s">
        <v>4185</v>
      </c>
      <c r="R2468" s="87">
        <v>0</v>
      </c>
      <c r="S2468" s="87">
        <v>0</v>
      </c>
      <c r="T2468" s="87">
        <v>0</v>
      </c>
      <c r="U2468" s="87">
        <v>0</v>
      </c>
      <c r="V2468" s="87">
        <v>34</v>
      </c>
      <c r="W2468" s="93" t="s">
        <v>7424</v>
      </c>
      <c r="X2468" s="87"/>
      <c r="Y2468" s="87"/>
      <c r="Z2468" s="87"/>
      <c r="AA2468" s="87" t="s">
        <v>10199</v>
      </c>
      <c r="AB2468" s="87" t="s">
        <v>11448</v>
      </c>
      <c r="AC2468" s="93" t="s">
        <v>11457</v>
      </c>
      <c r="AD2468" s="87" t="s">
        <v>11519</v>
      </c>
      <c r="AE2468" s="92" t="str">
        <f>HYPERLINK("https://twitter.com/serraempauta/status/1676697551318265856")</f>
        <v>https://twitter.com/serraempauta/status/1676697551318265856</v>
      </c>
      <c r="AF2468" s="90">
        <v>45112.875254629631</v>
      </c>
      <c r="AG2468" s="99">
        <v>45112</v>
      </c>
      <c r="AH2468" s="93" t="s">
        <v>13724</v>
      </c>
      <c r="AI2468" s="87" t="b">
        <v>0</v>
      </c>
      <c r="AJ2468" s="87"/>
      <c r="AK2468" s="87"/>
      <c r="AL2468" s="87"/>
      <c r="AM2468" s="87"/>
      <c r="AN2468" s="87"/>
      <c r="AO2468" s="87"/>
      <c r="AP2468" s="87"/>
      <c r="AQ2468" s="87" t="s">
        <v>17012</v>
      </c>
      <c r="AR2468" s="87"/>
      <c r="AS2468" s="87"/>
      <c r="AT2468" s="87"/>
      <c r="AU2468" s="87"/>
      <c r="AV2468" s="92" t="str">
        <f>HYPERLINK("https://pbs.twimg.com/media/F0TTiE1XoAMS0aR.jpg")</f>
        <v>https://pbs.twimg.com/media/F0TTiE1XoAMS0aR.jpg</v>
      </c>
      <c r="AW2468" s="93" t="s">
        <v>20629</v>
      </c>
      <c r="AX2468" s="93" t="s">
        <v>20629</v>
      </c>
      <c r="AY2468" s="87"/>
      <c r="AZ2468" s="93" t="s">
        <v>22668</v>
      </c>
      <c r="BA2468" s="93" t="s">
        <v>22668</v>
      </c>
      <c r="BB2468" s="93" t="s">
        <v>22668</v>
      </c>
      <c r="BC2468" s="93" t="s">
        <v>20629</v>
      </c>
      <c r="BD2468" s="93" t="s">
        <v>23269</v>
      </c>
      <c r="BE2468" s="87"/>
      <c r="BF2468" s="87"/>
      <c r="BG2468" s="87"/>
      <c r="BH2468" s="87"/>
      <c r="BI2468" s="87"/>
    </row>
    <row r="2469" spans="1:61" x14ac:dyDescent="0.25">
      <c r="A2469" s="63" t="s">
        <v>1058</v>
      </c>
      <c r="B2469" s="63" t="s">
        <v>1058</v>
      </c>
      <c r="C2469" s="64"/>
      <c r="D2469" s="65"/>
      <c r="E2469" s="66"/>
      <c r="F2469" s="67"/>
      <c r="G2469" s="64"/>
      <c r="H2469" s="68"/>
      <c r="I2469" s="69"/>
      <c r="J2469" s="69"/>
      <c r="K2469" s="32"/>
      <c r="L2469" s="76">
        <v>2469</v>
      </c>
      <c r="M2469" s="76"/>
      <c r="N2469" s="71"/>
      <c r="O2469" s="87" t="s">
        <v>179</v>
      </c>
      <c r="P2469" s="90">
        <v>45112.855613425927</v>
      </c>
      <c r="Q2469" s="87" t="s">
        <v>4186</v>
      </c>
      <c r="R2469" s="87">
        <v>0</v>
      </c>
      <c r="S2469" s="87">
        <v>0</v>
      </c>
      <c r="T2469" s="87">
        <v>0</v>
      </c>
      <c r="U2469" s="87">
        <v>0</v>
      </c>
      <c r="V2469" s="87">
        <v>61</v>
      </c>
      <c r="W2469" s="93" t="s">
        <v>7424</v>
      </c>
      <c r="X2469" s="87"/>
      <c r="Y2469" s="87"/>
      <c r="Z2469" s="87"/>
      <c r="AA2469" s="87" t="s">
        <v>10200</v>
      </c>
      <c r="AB2469" s="87" t="s">
        <v>11448</v>
      </c>
      <c r="AC2469" s="93" t="s">
        <v>11457</v>
      </c>
      <c r="AD2469" s="87" t="s">
        <v>11519</v>
      </c>
      <c r="AE2469" s="92" t="str">
        <f>HYPERLINK("https://twitter.com/serraempauta/status/1676690435010437121")</f>
        <v>https://twitter.com/serraempauta/status/1676690435010437121</v>
      </c>
      <c r="AF2469" s="90">
        <v>45112.855613425927</v>
      </c>
      <c r="AG2469" s="99">
        <v>45112</v>
      </c>
      <c r="AH2469" s="93" t="s">
        <v>13725</v>
      </c>
      <c r="AI2469" s="87" t="b">
        <v>0</v>
      </c>
      <c r="AJ2469" s="87"/>
      <c r="AK2469" s="87"/>
      <c r="AL2469" s="87"/>
      <c r="AM2469" s="87"/>
      <c r="AN2469" s="87"/>
      <c r="AO2469" s="87"/>
      <c r="AP2469" s="87"/>
      <c r="AQ2469" s="87" t="s">
        <v>17013</v>
      </c>
      <c r="AR2469" s="87"/>
      <c r="AS2469" s="87"/>
      <c r="AT2469" s="87"/>
      <c r="AU2469" s="87"/>
      <c r="AV2469" s="92" t="str">
        <f>HYPERLINK("https://pbs.twimg.com/media/F0TNDixWcAAUNoA.jpg")</f>
        <v>https://pbs.twimg.com/media/F0TNDixWcAAUNoA.jpg</v>
      </c>
      <c r="AW2469" s="93" t="s">
        <v>20630</v>
      </c>
      <c r="AX2469" s="93" t="s">
        <v>20630</v>
      </c>
      <c r="AY2469" s="87"/>
      <c r="AZ2469" s="93" t="s">
        <v>22668</v>
      </c>
      <c r="BA2469" s="93" t="s">
        <v>22668</v>
      </c>
      <c r="BB2469" s="93" t="s">
        <v>22668</v>
      </c>
      <c r="BC2469" s="93" t="s">
        <v>20630</v>
      </c>
      <c r="BD2469" s="93" t="s">
        <v>23269</v>
      </c>
      <c r="BE2469" s="87"/>
      <c r="BF2469" s="87"/>
      <c r="BG2469" s="87"/>
      <c r="BH2469" s="87"/>
      <c r="BI2469" s="87"/>
    </row>
    <row r="2470" spans="1:61" x14ac:dyDescent="0.25">
      <c r="A2470" s="63" t="s">
        <v>1058</v>
      </c>
      <c r="B2470" s="63" t="s">
        <v>1058</v>
      </c>
      <c r="C2470" s="64"/>
      <c r="D2470" s="65"/>
      <c r="E2470" s="66"/>
      <c r="F2470" s="67"/>
      <c r="G2470" s="64"/>
      <c r="H2470" s="68"/>
      <c r="I2470" s="69"/>
      <c r="J2470" s="69"/>
      <c r="K2470" s="32"/>
      <c r="L2470" s="76">
        <v>2470</v>
      </c>
      <c r="M2470" s="76"/>
      <c r="N2470" s="71"/>
      <c r="O2470" s="87" t="s">
        <v>179</v>
      </c>
      <c r="P2470" s="90">
        <v>45112.816064814811</v>
      </c>
      <c r="Q2470" s="87" t="s">
        <v>4187</v>
      </c>
      <c r="R2470" s="87">
        <v>0</v>
      </c>
      <c r="S2470" s="87">
        <v>1</v>
      </c>
      <c r="T2470" s="87">
        <v>0</v>
      </c>
      <c r="U2470" s="87">
        <v>1</v>
      </c>
      <c r="V2470" s="87">
        <v>181</v>
      </c>
      <c r="W2470" s="93" t="s">
        <v>7424</v>
      </c>
      <c r="X2470" s="87"/>
      <c r="Y2470" s="87"/>
      <c r="Z2470" s="87"/>
      <c r="AA2470" s="87" t="s">
        <v>10201</v>
      </c>
      <c r="AB2470" s="87" t="s">
        <v>11448</v>
      </c>
      <c r="AC2470" s="93" t="s">
        <v>11457</v>
      </c>
      <c r="AD2470" s="87" t="s">
        <v>11519</v>
      </c>
      <c r="AE2470" s="92" t="str">
        <f>HYPERLINK("https://twitter.com/serraempauta/status/1676676100309635087")</f>
        <v>https://twitter.com/serraempauta/status/1676676100309635087</v>
      </c>
      <c r="AF2470" s="90">
        <v>45112.816064814811</v>
      </c>
      <c r="AG2470" s="99">
        <v>45112</v>
      </c>
      <c r="AH2470" s="93" t="s">
        <v>13726</v>
      </c>
      <c r="AI2470" s="87" t="b">
        <v>0</v>
      </c>
      <c r="AJ2470" s="87"/>
      <c r="AK2470" s="87"/>
      <c r="AL2470" s="87"/>
      <c r="AM2470" s="87"/>
      <c r="AN2470" s="87"/>
      <c r="AO2470" s="87"/>
      <c r="AP2470" s="87"/>
      <c r="AQ2470" s="87" t="s">
        <v>17014</v>
      </c>
      <c r="AR2470" s="87"/>
      <c r="AS2470" s="87"/>
      <c r="AT2470" s="87"/>
      <c r="AU2470" s="87"/>
      <c r="AV2470" s="92" t="str">
        <f>HYPERLINK("https://pbs.twimg.com/media/F0TAArSX0B0F6az.jpg")</f>
        <v>https://pbs.twimg.com/media/F0TAArSX0B0F6az.jpg</v>
      </c>
      <c r="AW2470" s="93" t="s">
        <v>20631</v>
      </c>
      <c r="AX2470" s="93" t="s">
        <v>20631</v>
      </c>
      <c r="AY2470" s="87"/>
      <c r="AZ2470" s="93" t="s">
        <v>22668</v>
      </c>
      <c r="BA2470" s="93" t="s">
        <v>22668</v>
      </c>
      <c r="BB2470" s="93" t="s">
        <v>22668</v>
      </c>
      <c r="BC2470" s="93" t="s">
        <v>20631</v>
      </c>
      <c r="BD2470" s="93" t="s">
        <v>23269</v>
      </c>
      <c r="BE2470" s="87"/>
      <c r="BF2470" s="87"/>
      <c r="BG2470" s="87"/>
      <c r="BH2470" s="87"/>
      <c r="BI2470" s="87"/>
    </row>
    <row r="2471" spans="1:61" x14ac:dyDescent="0.25">
      <c r="A2471" s="63" t="s">
        <v>1058</v>
      </c>
      <c r="B2471" s="63" t="s">
        <v>1058</v>
      </c>
      <c r="C2471" s="64"/>
      <c r="D2471" s="65"/>
      <c r="E2471" s="66"/>
      <c r="F2471" s="67"/>
      <c r="G2471" s="64"/>
      <c r="H2471" s="68"/>
      <c r="I2471" s="69"/>
      <c r="J2471" s="69"/>
      <c r="K2471" s="32"/>
      <c r="L2471" s="76">
        <v>2471</v>
      </c>
      <c r="M2471" s="76"/>
      <c r="N2471" s="71"/>
      <c r="O2471" s="87" t="s">
        <v>179</v>
      </c>
      <c r="P2471" s="90">
        <v>45112.659270833334</v>
      </c>
      <c r="Q2471" s="87" t="s">
        <v>4188</v>
      </c>
      <c r="R2471" s="87">
        <v>0</v>
      </c>
      <c r="S2471" s="87">
        <v>0</v>
      </c>
      <c r="T2471" s="87">
        <v>0</v>
      </c>
      <c r="U2471" s="87">
        <v>0</v>
      </c>
      <c r="V2471" s="87">
        <v>29</v>
      </c>
      <c r="W2471" s="93" t="s">
        <v>7424</v>
      </c>
      <c r="X2471" s="87"/>
      <c r="Y2471" s="87"/>
      <c r="Z2471" s="87"/>
      <c r="AA2471" s="87" t="s">
        <v>10202</v>
      </c>
      <c r="AB2471" s="87" t="s">
        <v>11448</v>
      </c>
      <c r="AC2471" s="93" t="s">
        <v>11457</v>
      </c>
      <c r="AD2471" s="87" t="s">
        <v>11519</v>
      </c>
      <c r="AE2471" s="92" t="str">
        <f>HYPERLINK("https://twitter.com/serraempauta/status/1676619282552070145")</f>
        <v>https://twitter.com/serraempauta/status/1676619282552070145</v>
      </c>
      <c r="AF2471" s="90">
        <v>45112.659270833334</v>
      </c>
      <c r="AG2471" s="99">
        <v>45112</v>
      </c>
      <c r="AH2471" s="93" t="s">
        <v>13727</v>
      </c>
      <c r="AI2471" s="87" t="b">
        <v>0</v>
      </c>
      <c r="AJ2471" s="87"/>
      <c r="AK2471" s="87"/>
      <c r="AL2471" s="87"/>
      <c r="AM2471" s="87"/>
      <c r="AN2471" s="87"/>
      <c r="AO2471" s="87"/>
      <c r="AP2471" s="87"/>
      <c r="AQ2471" s="87" t="s">
        <v>17015</v>
      </c>
      <c r="AR2471" s="87"/>
      <c r="AS2471" s="87"/>
      <c r="AT2471" s="87"/>
      <c r="AU2471" s="87"/>
      <c r="AV2471" s="92" t="str">
        <f>HYPERLINK("https://pbs.twimg.com/media/F0SMUjhXoAE0Wu_.jpg")</f>
        <v>https://pbs.twimg.com/media/F0SMUjhXoAE0Wu_.jpg</v>
      </c>
      <c r="AW2471" s="93" t="s">
        <v>20632</v>
      </c>
      <c r="AX2471" s="93" t="s">
        <v>20632</v>
      </c>
      <c r="AY2471" s="87"/>
      <c r="AZ2471" s="93" t="s">
        <v>22668</v>
      </c>
      <c r="BA2471" s="93" t="s">
        <v>22668</v>
      </c>
      <c r="BB2471" s="93" t="s">
        <v>22668</v>
      </c>
      <c r="BC2471" s="93" t="s">
        <v>20632</v>
      </c>
      <c r="BD2471" s="93" t="s">
        <v>23269</v>
      </c>
      <c r="BE2471" s="87"/>
      <c r="BF2471" s="87"/>
      <c r="BG2471" s="87"/>
      <c r="BH2471" s="87"/>
      <c r="BI2471" s="87"/>
    </row>
    <row r="2472" spans="1:61" x14ac:dyDescent="0.25">
      <c r="A2472" s="63" t="s">
        <v>1058</v>
      </c>
      <c r="B2472" s="63" t="s">
        <v>1058</v>
      </c>
      <c r="C2472" s="64"/>
      <c r="D2472" s="65"/>
      <c r="E2472" s="66"/>
      <c r="F2472" s="67"/>
      <c r="G2472" s="64"/>
      <c r="H2472" s="68"/>
      <c r="I2472" s="69"/>
      <c r="J2472" s="69"/>
      <c r="K2472" s="32"/>
      <c r="L2472" s="76">
        <v>2472</v>
      </c>
      <c r="M2472" s="76"/>
      <c r="N2472" s="71"/>
      <c r="O2472" s="87" t="s">
        <v>179</v>
      </c>
      <c r="P2472" s="90">
        <v>45112.552685185183</v>
      </c>
      <c r="Q2472" s="87" t="s">
        <v>4189</v>
      </c>
      <c r="R2472" s="87">
        <v>0</v>
      </c>
      <c r="S2472" s="87">
        <v>0</v>
      </c>
      <c r="T2472" s="87">
        <v>0</v>
      </c>
      <c r="U2472" s="87">
        <v>0</v>
      </c>
      <c r="V2472" s="87">
        <v>35</v>
      </c>
      <c r="W2472" s="93" t="s">
        <v>7424</v>
      </c>
      <c r="X2472" s="87"/>
      <c r="Y2472" s="87"/>
      <c r="Z2472" s="87"/>
      <c r="AA2472" s="87" t="s">
        <v>10203</v>
      </c>
      <c r="AB2472" s="87" t="s">
        <v>11448</v>
      </c>
      <c r="AC2472" s="93" t="s">
        <v>11457</v>
      </c>
      <c r="AD2472" s="87" t="s">
        <v>11519</v>
      </c>
      <c r="AE2472" s="92" t="str">
        <f>HYPERLINK("https://twitter.com/serraempauta/status/1676580656392830976")</f>
        <v>https://twitter.com/serraempauta/status/1676580656392830976</v>
      </c>
      <c r="AF2472" s="90">
        <v>45112.552685185183</v>
      </c>
      <c r="AG2472" s="99">
        <v>45112</v>
      </c>
      <c r="AH2472" s="93" t="s">
        <v>13728</v>
      </c>
      <c r="AI2472" s="87" t="b">
        <v>0</v>
      </c>
      <c r="AJ2472" s="87"/>
      <c r="AK2472" s="87"/>
      <c r="AL2472" s="87"/>
      <c r="AM2472" s="87"/>
      <c r="AN2472" s="87"/>
      <c r="AO2472" s="87"/>
      <c r="AP2472" s="87"/>
      <c r="AQ2472" s="87" t="s">
        <v>17016</v>
      </c>
      <c r="AR2472" s="87"/>
      <c r="AS2472" s="87"/>
      <c r="AT2472" s="87"/>
      <c r="AU2472" s="87"/>
      <c r="AV2472" s="92" t="str">
        <f>HYPERLINK("https://pbs.twimg.com/media/F0RpNH_WwAAylv7.jpg")</f>
        <v>https://pbs.twimg.com/media/F0RpNH_WwAAylv7.jpg</v>
      </c>
      <c r="AW2472" s="93" t="s">
        <v>20633</v>
      </c>
      <c r="AX2472" s="93" t="s">
        <v>20633</v>
      </c>
      <c r="AY2472" s="87"/>
      <c r="AZ2472" s="93" t="s">
        <v>22668</v>
      </c>
      <c r="BA2472" s="93" t="s">
        <v>22668</v>
      </c>
      <c r="BB2472" s="93" t="s">
        <v>22668</v>
      </c>
      <c r="BC2472" s="93" t="s">
        <v>20633</v>
      </c>
      <c r="BD2472" s="93" t="s">
        <v>23269</v>
      </c>
      <c r="BE2472" s="87"/>
      <c r="BF2472" s="87"/>
      <c r="BG2472" s="87"/>
      <c r="BH2472" s="87"/>
      <c r="BI2472" s="87"/>
    </row>
    <row r="2473" spans="1:61" x14ac:dyDescent="0.25">
      <c r="A2473" s="63" t="s">
        <v>1058</v>
      </c>
      <c r="B2473" s="63" t="s">
        <v>1058</v>
      </c>
      <c r="C2473" s="64"/>
      <c r="D2473" s="65"/>
      <c r="E2473" s="66"/>
      <c r="F2473" s="67"/>
      <c r="G2473" s="64"/>
      <c r="H2473" s="68"/>
      <c r="I2473" s="69"/>
      <c r="J2473" s="69"/>
      <c r="K2473" s="32"/>
      <c r="L2473" s="76">
        <v>2473</v>
      </c>
      <c r="M2473" s="76"/>
      <c r="N2473" s="71"/>
      <c r="O2473" s="87" t="s">
        <v>179</v>
      </c>
      <c r="P2473" s="90">
        <v>45111.976631944446</v>
      </c>
      <c r="Q2473" s="87" t="s">
        <v>4190</v>
      </c>
      <c r="R2473" s="87">
        <v>0</v>
      </c>
      <c r="S2473" s="87">
        <v>0</v>
      </c>
      <c r="T2473" s="87">
        <v>0</v>
      </c>
      <c r="U2473" s="87">
        <v>0</v>
      </c>
      <c r="V2473" s="87">
        <v>75</v>
      </c>
      <c r="W2473" s="93" t="s">
        <v>7424</v>
      </c>
      <c r="X2473" s="87"/>
      <c r="Y2473" s="87"/>
      <c r="Z2473" s="87"/>
      <c r="AA2473" s="87" t="s">
        <v>10204</v>
      </c>
      <c r="AB2473" s="87" t="s">
        <v>11448</v>
      </c>
      <c r="AC2473" s="93" t="s">
        <v>11457</v>
      </c>
      <c r="AD2473" s="87" t="s">
        <v>11519</v>
      </c>
      <c r="AE2473" s="92" t="str">
        <f>HYPERLINK("https://twitter.com/serraempauta/status/1676371901378179074")</f>
        <v>https://twitter.com/serraempauta/status/1676371901378179074</v>
      </c>
      <c r="AF2473" s="90">
        <v>45111.976631944446</v>
      </c>
      <c r="AG2473" s="99">
        <v>45111</v>
      </c>
      <c r="AH2473" s="93" t="s">
        <v>13729</v>
      </c>
      <c r="AI2473" s="87" t="b">
        <v>0</v>
      </c>
      <c r="AJ2473" s="87"/>
      <c r="AK2473" s="87"/>
      <c r="AL2473" s="87"/>
      <c r="AM2473" s="87"/>
      <c r="AN2473" s="87"/>
      <c r="AO2473" s="87"/>
      <c r="AP2473" s="87"/>
      <c r="AQ2473" s="87" t="s">
        <v>17017</v>
      </c>
      <c r="AR2473" s="87"/>
      <c r="AS2473" s="87"/>
      <c r="AT2473" s="87"/>
      <c r="AU2473" s="87"/>
      <c r="AV2473" s="92" t="str">
        <f>HYPERLINK("https://pbs.twimg.com/media/F0OrWHYXsAMvm0o.jpg")</f>
        <v>https://pbs.twimg.com/media/F0OrWHYXsAMvm0o.jpg</v>
      </c>
      <c r="AW2473" s="93" t="s">
        <v>20634</v>
      </c>
      <c r="AX2473" s="93" t="s">
        <v>20634</v>
      </c>
      <c r="AY2473" s="87"/>
      <c r="AZ2473" s="93" t="s">
        <v>22668</v>
      </c>
      <c r="BA2473" s="93" t="s">
        <v>22668</v>
      </c>
      <c r="BB2473" s="93" t="s">
        <v>22668</v>
      </c>
      <c r="BC2473" s="93" t="s">
        <v>20634</v>
      </c>
      <c r="BD2473" s="93" t="s">
        <v>23269</v>
      </c>
      <c r="BE2473" s="87"/>
      <c r="BF2473" s="87"/>
      <c r="BG2473" s="87"/>
      <c r="BH2473" s="87"/>
      <c r="BI2473" s="87"/>
    </row>
    <row r="2474" spans="1:61" x14ac:dyDescent="0.25">
      <c r="A2474" s="63" t="s">
        <v>1058</v>
      </c>
      <c r="B2474" s="63" t="s">
        <v>1058</v>
      </c>
      <c r="C2474" s="64"/>
      <c r="D2474" s="65"/>
      <c r="E2474" s="66"/>
      <c r="F2474" s="67"/>
      <c r="G2474" s="64"/>
      <c r="H2474" s="68"/>
      <c r="I2474" s="69"/>
      <c r="J2474" s="69"/>
      <c r="K2474" s="32"/>
      <c r="L2474" s="76">
        <v>2474</v>
      </c>
      <c r="M2474" s="76"/>
      <c r="N2474" s="71"/>
      <c r="O2474" s="87" t="s">
        <v>179</v>
      </c>
      <c r="P2474" s="90">
        <v>45111.960717592592</v>
      </c>
      <c r="Q2474" s="87" t="s">
        <v>4191</v>
      </c>
      <c r="R2474" s="87">
        <v>0</v>
      </c>
      <c r="S2474" s="87">
        <v>0</v>
      </c>
      <c r="T2474" s="87">
        <v>0</v>
      </c>
      <c r="U2474" s="87">
        <v>0</v>
      </c>
      <c r="V2474" s="87">
        <v>40</v>
      </c>
      <c r="W2474" s="93" t="s">
        <v>7424</v>
      </c>
      <c r="X2474" s="87"/>
      <c r="Y2474" s="87"/>
      <c r="Z2474" s="87"/>
      <c r="AA2474" s="87" t="s">
        <v>10205</v>
      </c>
      <c r="AB2474" s="87" t="s">
        <v>11448</v>
      </c>
      <c r="AC2474" s="93" t="s">
        <v>11457</v>
      </c>
      <c r="AD2474" s="87" t="s">
        <v>11519</v>
      </c>
      <c r="AE2474" s="92" t="str">
        <f>HYPERLINK("https://twitter.com/serraempauta/status/1676366133413249025")</f>
        <v>https://twitter.com/serraempauta/status/1676366133413249025</v>
      </c>
      <c r="AF2474" s="90">
        <v>45111.960717592592</v>
      </c>
      <c r="AG2474" s="99">
        <v>45111</v>
      </c>
      <c r="AH2474" s="93" t="s">
        <v>13730</v>
      </c>
      <c r="AI2474" s="87" t="b">
        <v>0</v>
      </c>
      <c r="AJ2474" s="87"/>
      <c r="AK2474" s="87"/>
      <c r="AL2474" s="87"/>
      <c r="AM2474" s="87"/>
      <c r="AN2474" s="87"/>
      <c r="AO2474" s="87"/>
      <c r="AP2474" s="87"/>
      <c r="AQ2474" s="87" t="s">
        <v>17018</v>
      </c>
      <c r="AR2474" s="87"/>
      <c r="AS2474" s="87"/>
      <c r="AT2474" s="87"/>
      <c r="AU2474" s="87"/>
      <c r="AV2474" s="92" t="str">
        <f>HYPERLINK("https://pbs.twimg.com/media/F0OmGsnWAAA9kUp.jpg")</f>
        <v>https://pbs.twimg.com/media/F0OmGsnWAAA9kUp.jpg</v>
      </c>
      <c r="AW2474" s="93" t="s">
        <v>20635</v>
      </c>
      <c r="AX2474" s="93" t="s">
        <v>20635</v>
      </c>
      <c r="AY2474" s="87"/>
      <c r="AZ2474" s="93" t="s">
        <v>22668</v>
      </c>
      <c r="BA2474" s="93" t="s">
        <v>22668</v>
      </c>
      <c r="BB2474" s="93" t="s">
        <v>22668</v>
      </c>
      <c r="BC2474" s="93" t="s">
        <v>20635</v>
      </c>
      <c r="BD2474" s="93" t="s">
        <v>23269</v>
      </c>
      <c r="BE2474" s="87"/>
      <c r="BF2474" s="87"/>
      <c r="BG2474" s="87"/>
      <c r="BH2474" s="87"/>
      <c r="BI2474" s="87"/>
    </row>
    <row r="2475" spans="1:61" x14ac:dyDescent="0.25">
      <c r="A2475" s="63" t="s">
        <v>1058</v>
      </c>
      <c r="B2475" s="63" t="s">
        <v>1058</v>
      </c>
      <c r="C2475" s="64"/>
      <c r="D2475" s="65"/>
      <c r="E2475" s="66"/>
      <c r="F2475" s="67"/>
      <c r="G2475" s="64"/>
      <c r="H2475" s="68"/>
      <c r="I2475" s="69"/>
      <c r="J2475" s="69"/>
      <c r="K2475" s="32"/>
      <c r="L2475" s="76">
        <v>2475</v>
      </c>
      <c r="M2475" s="76"/>
      <c r="N2475" s="71"/>
      <c r="O2475" s="87" t="s">
        <v>179</v>
      </c>
      <c r="P2475" s="90">
        <v>45111.936203703706</v>
      </c>
      <c r="Q2475" s="87" t="s">
        <v>4192</v>
      </c>
      <c r="R2475" s="87">
        <v>0</v>
      </c>
      <c r="S2475" s="87">
        <v>0</v>
      </c>
      <c r="T2475" s="87">
        <v>0</v>
      </c>
      <c r="U2475" s="87">
        <v>0</v>
      </c>
      <c r="V2475" s="87">
        <v>46</v>
      </c>
      <c r="W2475" s="93" t="s">
        <v>7424</v>
      </c>
      <c r="X2475" s="87"/>
      <c r="Y2475" s="87"/>
      <c r="Z2475" s="87"/>
      <c r="AA2475" s="87" t="s">
        <v>10206</v>
      </c>
      <c r="AB2475" s="87" t="s">
        <v>11448</v>
      </c>
      <c r="AC2475" s="93" t="s">
        <v>11457</v>
      </c>
      <c r="AD2475" s="87" t="s">
        <v>11519</v>
      </c>
      <c r="AE2475" s="92" t="str">
        <f>HYPERLINK("https://twitter.com/serraempauta/status/1676357249667661826")</f>
        <v>https://twitter.com/serraempauta/status/1676357249667661826</v>
      </c>
      <c r="AF2475" s="90">
        <v>45111.936203703706</v>
      </c>
      <c r="AG2475" s="99">
        <v>45111</v>
      </c>
      <c r="AH2475" s="93" t="s">
        <v>13731</v>
      </c>
      <c r="AI2475" s="87" t="b">
        <v>0</v>
      </c>
      <c r="AJ2475" s="87"/>
      <c r="AK2475" s="87"/>
      <c r="AL2475" s="87"/>
      <c r="AM2475" s="87"/>
      <c r="AN2475" s="87"/>
      <c r="AO2475" s="87"/>
      <c r="AP2475" s="87"/>
      <c r="AQ2475" s="87" t="s">
        <v>17019</v>
      </c>
      <c r="AR2475" s="87"/>
      <c r="AS2475" s="87"/>
      <c r="AT2475" s="87"/>
      <c r="AU2475" s="87"/>
      <c r="AV2475" s="92" t="str">
        <f>HYPERLINK("https://pbs.twimg.com/media/F0OeB3RXsAA8w6v.jpg")</f>
        <v>https://pbs.twimg.com/media/F0OeB3RXsAA8w6v.jpg</v>
      </c>
      <c r="AW2475" s="93" t="s">
        <v>20636</v>
      </c>
      <c r="AX2475" s="93" t="s">
        <v>20636</v>
      </c>
      <c r="AY2475" s="87"/>
      <c r="AZ2475" s="93" t="s">
        <v>22668</v>
      </c>
      <c r="BA2475" s="93" t="s">
        <v>22668</v>
      </c>
      <c r="BB2475" s="93" t="s">
        <v>22668</v>
      </c>
      <c r="BC2475" s="93" t="s">
        <v>20636</v>
      </c>
      <c r="BD2475" s="93" t="s">
        <v>23269</v>
      </c>
      <c r="BE2475" s="87"/>
      <c r="BF2475" s="87"/>
      <c r="BG2475" s="87"/>
      <c r="BH2475" s="87"/>
      <c r="BI2475" s="87"/>
    </row>
    <row r="2476" spans="1:61" x14ac:dyDescent="0.25">
      <c r="A2476" s="63" t="s">
        <v>1058</v>
      </c>
      <c r="B2476" s="63" t="s">
        <v>1058</v>
      </c>
      <c r="C2476" s="64"/>
      <c r="D2476" s="65"/>
      <c r="E2476" s="66"/>
      <c r="F2476" s="67"/>
      <c r="G2476" s="64"/>
      <c r="H2476" s="68"/>
      <c r="I2476" s="69"/>
      <c r="J2476" s="69"/>
      <c r="K2476" s="32"/>
      <c r="L2476" s="76">
        <v>2476</v>
      </c>
      <c r="M2476" s="76"/>
      <c r="N2476" s="71"/>
      <c r="O2476" s="87" t="s">
        <v>179</v>
      </c>
      <c r="P2476" s="90">
        <v>45111.885416666664</v>
      </c>
      <c r="Q2476" s="87" t="s">
        <v>4193</v>
      </c>
      <c r="R2476" s="87">
        <v>0</v>
      </c>
      <c r="S2476" s="87">
        <v>0</v>
      </c>
      <c r="T2476" s="87">
        <v>0</v>
      </c>
      <c r="U2476" s="87">
        <v>0</v>
      </c>
      <c r="V2476" s="87">
        <v>39</v>
      </c>
      <c r="W2476" s="93" t="s">
        <v>7424</v>
      </c>
      <c r="X2476" s="87"/>
      <c r="Y2476" s="87"/>
      <c r="Z2476" s="87"/>
      <c r="AA2476" s="87" t="s">
        <v>10207</v>
      </c>
      <c r="AB2476" s="87" t="s">
        <v>11448</v>
      </c>
      <c r="AC2476" s="93" t="s">
        <v>11457</v>
      </c>
      <c r="AD2476" s="87" t="s">
        <v>11519</v>
      </c>
      <c r="AE2476" s="92" t="str">
        <f>HYPERLINK("https://twitter.com/serraempauta/status/1676338847330738177")</f>
        <v>https://twitter.com/serraempauta/status/1676338847330738177</v>
      </c>
      <c r="AF2476" s="90">
        <v>45111.885416666664</v>
      </c>
      <c r="AG2476" s="99">
        <v>45111</v>
      </c>
      <c r="AH2476" s="93" t="s">
        <v>13732</v>
      </c>
      <c r="AI2476" s="87" t="b">
        <v>0</v>
      </c>
      <c r="AJ2476" s="87"/>
      <c r="AK2476" s="87"/>
      <c r="AL2476" s="87"/>
      <c r="AM2476" s="87"/>
      <c r="AN2476" s="87"/>
      <c r="AO2476" s="87"/>
      <c r="AP2476" s="87"/>
      <c r="AQ2476" s="87" t="s">
        <v>17020</v>
      </c>
      <c r="AR2476" s="87"/>
      <c r="AS2476" s="87"/>
      <c r="AT2476" s="87"/>
      <c r="AU2476" s="87"/>
      <c r="AV2476" s="92" t="str">
        <f>HYPERLINK("https://pbs.twimg.com/media/F0ONRrvWYAA-zl4.jpg")</f>
        <v>https://pbs.twimg.com/media/F0ONRrvWYAA-zl4.jpg</v>
      </c>
      <c r="AW2476" s="93" t="s">
        <v>20637</v>
      </c>
      <c r="AX2476" s="93" t="s">
        <v>20637</v>
      </c>
      <c r="AY2476" s="87"/>
      <c r="AZ2476" s="93" t="s">
        <v>22668</v>
      </c>
      <c r="BA2476" s="93" t="s">
        <v>22668</v>
      </c>
      <c r="BB2476" s="93" t="s">
        <v>22668</v>
      </c>
      <c r="BC2476" s="93" t="s">
        <v>20637</v>
      </c>
      <c r="BD2476" s="93" t="s">
        <v>23269</v>
      </c>
      <c r="BE2476" s="87"/>
      <c r="BF2476" s="87"/>
      <c r="BG2476" s="87"/>
      <c r="BH2476" s="87"/>
      <c r="BI2476" s="87"/>
    </row>
    <row r="2477" spans="1:61" x14ac:dyDescent="0.25">
      <c r="A2477" s="63" t="s">
        <v>1058</v>
      </c>
      <c r="B2477" s="63" t="s">
        <v>1058</v>
      </c>
      <c r="C2477" s="64"/>
      <c r="D2477" s="65"/>
      <c r="E2477" s="66"/>
      <c r="F2477" s="67"/>
      <c r="G2477" s="64"/>
      <c r="H2477" s="68"/>
      <c r="I2477" s="69"/>
      <c r="J2477" s="69"/>
      <c r="K2477" s="32"/>
      <c r="L2477" s="76">
        <v>2477</v>
      </c>
      <c r="M2477" s="76"/>
      <c r="N2477" s="71"/>
      <c r="O2477" s="87" t="s">
        <v>179</v>
      </c>
      <c r="P2477" s="90">
        <v>45111.799513888887</v>
      </c>
      <c r="Q2477" s="87" t="s">
        <v>4194</v>
      </c>
      <c r="R2477" s="87">
        <v>0</v>
      </c>
      <c r="S2477" s="87">
        <v>0</v>
      </c>
      <c r="T2477" s="87">
        <v>0</v>
      </c>
      <c r="U2477" s="87">
        <v>0</v>
      </c>
      <c r="V2477" s="87">
        <v>48</v>
      </c>
      <c r="W2477" s="93" t="s">
        <v>7424</v>
      </c>
      <c r="X2477" s="87"/>
      <c r="Y2477" s="87"/>
      <c r="Z2477" s="87"/>
      <c r="AA2477" s="87" t="s">
        <v>10208</v>
      </c>
      <c r="AB2477" s="87" t="s">
        <v>11448</v>
      </c>
      <c r="AC2477" s="93" t="s">
        <v>11457</v>
      </c>
      <c r="AD2477" s="87" t="s">
        <v>11519</v>
      </c>
      <c r="AE2477" s="92" t="str">
        <f>HYPERLINK("https://twitter.com/serraempauta/status/1676307715746852877")</f>
        <v>https://twitter.com/serraempauta/status/1676307715746852877</v>
      </c>
      <c r="AF2477" s="90">
        <v>45111.799513888887</v>
      </c>
      <c r="AG2477" s="99">
        <v>45111</v>
      </c>
      <c r="AH2477" s="93" t="s">
        <v>13733</v>
      </c>
      <c r="AI2477" s="87" t="b">
        <v>0</v>
      </c>
      <c r="AJ2477" s="87"/>
      <c r="AK2477" s="87"/>
      <c r="AL2477" s="87"/>
      <c r="AM2477" s="87"/>
      <c r="AN2477" s="87"/>
      <c r="AO2477" s="87"/>
      <c r="AP2477" s="87"/>
      <c r="AQ2477" s="87" t="s">
        <v>17021</v>
      </c>
      <c r="AR2477" s="87"/>
      <c r="AS2477" s="87"/>
      <c r="AT2477" s="87"/>
      <c r="AU2477" s="87"/>
      <c r="AV2477" s="92" t="str">
        <f>HYPERLINK("https://pbs.twimg.com/media/F0Nw-fwWcBMA5ne.jpg")</f>
        <v>https://pbs.twimg.com/media/F0Nw-fwWcBMA5ne.jpg</v>
      </c>
      <c r="AW2477" s="93" t="s">
        <v>20638</v>
      </c>
      <c r="AX2477" s="93" t="s">
        <v>20638</v>
      </c>
      <c r="AY2477" s="87"/>
      <c r="AZ2477" s="93" t="s">
        <v>22668</v>
      </c>
      <c r="BA2477" s="93" t="s">
        <v>22668</v>
      </c>
      <c r="BB2477" s="93" t="s">
        <v>22668</v>
      </c>
      <c r="BC2477" s="93" t="s">
        <v>20638</v>
      </c>
      <c r="BD2477" s="93" t="s">
        <v>23269</v>
      </c>
      <c r="BE2477" s="87"/>
      <c r="BF2477" s="87"/>
      <c r="BG2477" s="87"/>
      <c r="BH2477" s="87"/>
      <c r="BI2477" s="87"/>
    </row>
    <row r="2478" spans="1:61" x14ac:dyDescent="0.25">
      <c r="A2478" s="63" t="s">
        <v>1058</v>
      </c>
      <c r="B2478" s="63" t="s">
        <v>1058</v>
      </c>
      <c r="C2478" s="64"/>
      <c r="D2478" s="65"/>
      <c r="E2478" s="66"/>
      <c r="F2478" s="67"/>
      <c r="G2478" s="64"/>
      <c r="H2478" s="68"/>
      <c r="I2478" s="69"/>
      <c r="J2478" s="69"/>
      <c r="K2478" s="32"/>
      <c r="L2478" s="76">
        <v>2478</v>
      </c>
      <c r="M2478" s="76"/>
      <c r="N2478" s="71"/>
      <c r="O2478" s="87" t="s">
        <v>179</v>
      </c>
      <c r="P2478" s="90">
        <v>45183.821400462963</v>
      </c>
      <c r="Q2478" s="87" t="s">
        <v>4195</v>
      </c>
      <c r="R2478" s="87">
        <v>0</v>
      </c>
      <c r="S2478" s="87">
        <v>0</v>
      </c>
      <c r="T2478" s="87">
        <v>0</v>
      </c>
      <c r="U2478" s="87">
        <v>0</v>
      </c>
      <c r="V2478" s="87">
        <v>22</v>
      </c>
      <c r="W2478" s="93" t="s">
        <v>7424</v>
      </c>
      <c r="X2478" s="87"/>
      <c r="Y2478" s="87"/>
      <c r="Z2478" s="87"/>
      <c r="AA2478" s="87" t="s">
        <v>10209</v>
      </c>
      <c r="AB2478" s="87" t="s">
        <v>11448</v>
      </c>
      <c r="AC2478" s="93" t="s">
        <v>11457</v>
      </c>
      <c r="AD2478" s="87" t="s">
        <v>11519</v>
      </c>
      <c r="AE2478" s="92" t="str">
        <f>HYPERLINK("https://twitter.com/serraempauta/status/1702407572345483641")</f>
        <v>https://twitter.com/serraempauta/status/1702407572345483641</v>
      </c>
      <c r="AF2478" s="90">
        <v>45183.821400462963</v>
      </c>
      <c r="AG2478" s="99">
        <v>45183</v>
      </c>
      <c r="AH2478" s="93" t="s">
        <v>13734</v>
      </c>
      <c r="AI2478" s="87" t="b">
        <v>0</v>
      </c>
      <c r="AJ2478" s="87"/>
      <c r="AK2478" s="87"/>
      <c r="AL2478" s="87"/>
      <c r="AM2478" s="87"/>
      <c r="AN2478" s="87"/>
      <c r="AO2478" s="87"/>
      <c r="AP2478" s="87"/>
      <c r="AQ2478" s="87" t="s">
        <v>17022</v>
      </c>
      <c r="AR2478" s="87"/>
      <c r="AS2478" s="87"/>
      <c r="AT2478" s="87"/>
      <c r="AU2478" s="87"/>
      <c r="AV2478" s="92" t="str">
        <f>HYPERLINK("https://pbs.twimg.com/media/F6Aqp7WXYAECTSC.jpg")</f>
        <v>https://pbs.twimg.com/media/F6Aqp7WXYAECTSC.jpg</v>
      </c>
      <c r="AW2478" s="93" t="s">
        <v>20639</v>
      </c>
      <c r="AX2478" s="93" t="s">
        <v>20639</v>
      </c>
      <c r="AY2478" s="87"/>
      <c r="AZ2478" s="93" t="s">
        <v>22668</v>
      </c>
      <c r="BA2478" s="93" t="s">
        <v>22668</v>
      </c>
      <c r="BB2478" s="93" t="s">
        <v>22668</v>
      </c>
      <c r="BC2478" s="93" t="s">
        <v>20639</v>
      </c>
      <c r="BD2478" s="93" t="s">
        <v>23269</v>
      </c>
      <c r="BE2478" s="87"/>
      <c r="BF2478" s="87"/>
      <c r="BG2478" s="87"/>
      <c r="BH2478" s="87"/>
      <c r="BI2478" s="87"/>
    </row>
    <row r="2479" spans="1:61" x14ac:dyDescent="0.25">
      <c r="A2479" s="63" t="s">
        <v>1058</v>
      </c>
      <c r="B2479" s="63" t="s">
        <v>1058</v>
      </c>
      <c r="C2479" s="64"/>
      <c r="D2479" s="65"/>
      <c r="E2479" s="66"/>
      <c r="F2479" s="67"/>
      <c r="G2479" s="64"/>
      <c r="H2479" s="68"/>
      <c r="I2479" s="69"/>
      <c r="J2479" s="69"/>
      <c r="K2479" s="32"/>
      <c r="L2479" s="76">
        <v>2479</v>
      </c>
      <c r="M2479" s="76"/>
      <c r="N2479" s="71"/>
      <c r="O2479" s="87" t="s">
        <v>179</v>
      </c>
      <c r="P2479" s="90">
        <v>45182.892685185187</v>
      </c>
      <c r="Q2479" s="87" t="s">
        <v>4196</v>
      </c>
      <c r="R2479" s="87">
        <v>0</v>
      </c>
      <c r="S2479" s="87">
        <v>0</v>
      </c>
      <c r="T2479" s="87">
        <v>0</v>
      </c>
      <c r="U2479" s="87">
        <v>0</v>
      </c>
      <c r="V2479" s="87">
        <v>56</v>
      </c>
      <c r="W2479" s="93" t="s">
        <v>7424</v>
      </c>
      <c r="X2479" s="87"/>
      <c r="Y2479" s="87"/>
      <c r="Z2479" s="87"/>
      <c r="AA2479" s="87" t="s">
        <v>10210</v>
      </c>
      <c r="AB2479" s="87" t="s">
        <v>11448</v>
      </c>
      <c r="AC2479" s="93" t="s">
        <v>11457</v>
      </c>
      <c r="AD2479" s="87" t="s">
        <v>11519</v>
      </c>
      <c r="AE2479" s="92" t="str">
        <f>HYPERLINK("https://twitter.com/serraempauta/status/1702071019094114347")</f>
        <v>https://twitter.com/serraempauta/status/1702071019094114347</v>
      </c>
      <c r="AF2479" s="90">
        <v>45182.892685185187</v>
      </c>
      <c r="AG2479" s="99">
        <v>45182</v>
      </c>
      <c r="AH2479" s="93" t="s">
        <v>13735</v>
      </c>
      <c r="AI2479" s="87" t="b">
        <v>0</v>
      </c>
      <c r="AJ2479" s="87"/>
      <c r="AK2479" s="87"/>
      <c r="AL2479" s="87"/>
      <c r="AM2479" s="87"/>
      <c r="AN2479" s="87"/>
      <c r="AO2479" s="87"/>
      <c r="AP2479" s="87"/>
      <c r="AQ2479" s="87" t="s">
        <v>17023</v>
      </c>
      <c r="AR2479" s="87"/>
      <c r="AS2479" s="87"/>
      <c r="AT2479" s="87"/>
      <c r="AU2479" s="87"/>
      <c r="AV2479" s="92" t="str">
        <f>HYPERLINK("https://pbs.twimg.com/media/F574jIZW4AATHq8.jpg")</f>
        <v>https://pbs.twimg.com/media/F574jIZW4AATHq8.jpg</v>
      </c>
      <c r="AW2479" s="93" t="s">
        <v>20640</v>
      </c>
      <c r="AX2479" s="93" t="s">
        <v>20640</v>
      </c>
      <c r="AY2479" s="87"/>
      <c r="AZ2479" s="93" t="s">
        <v>22668</v>
      </c>
      <c r="BA2479" s="93" t="s">
        <v>22668</v>
      </c>
      <c r="BB2479" s="93" t="s">
        <v>22668</v>
      </c>
      <c r="BC2479" s="93" t="s">
        <v>20640</v>
      </c>
      <c r="BD2479" s="93" t="s">
        <v>23269</v>
      </c>
      <c r="BE2479" s="87"/>
      <c r="BF2479" s="87"/>
      <c r="BG2479" s="87"/>
      <c r="BH2479" s="87"/>
      <c r="BI2479" s="87"/>
    </row>
    <row r="2480" spans="1:61" x14ac:dyDescent="0.25">
      <c r="A2480" s="63" t="s">
        <v>1058</v>
      </c>
      <c r="B2480" s="63" t="s">
        <v>1058</v>
      </c>
      <c r="C2480" s="64"/>
      <c r="D2480" s="65"/>
      <c r="E2480" s="66"/>
      <c r="F2480" s="67"/>
      <c r="G2480" s="64"/>
      <c r="H2480" s="68"/>
      <c r="I2480" s="69"/>
      <c r="J2480" s="69"/>
      <c r="K2480" s="32"/>
      <c r="L2480" s="76">
        <v>2480</v>
      </c>
      <c r="M2480" s="76"/>
      <c r="N2480" s="71"/>
      <c r="O2480" s="87" t="s">
        <v>179</v>
      </c>
      <c r="P2480" s="90">
        <v>45181.566643518519</v>
      </c>
      <c r="Q2480" s="87" t="s">
        <v>4197</v>
      </c>
      <c r="R2480" s="87">
        <v>0</v>
      </c>
      <c r="S2480" s="87">
        <v>0</v>
      </c>
      <c r="T2480" s="87">
        <v>0</v>
      </c>
      <c r="U2480" s="87">
        <v>0</v>
      </c>
      <c r="V2480" s="87">
        <v>50</v>
      </c>
      <c r="W2480" s="93" t="s">
        <v>7424</v>
      </c>
      <c r="X2480" s="87"/>
      <c r="Y2480" s="87"/>
      <c r="Z2480" s="87"/>
      <c r="AA2480" s="87" t="s">
        <v>10211</v>
      </c>
      <c r="AB2480" s="87" t="s">
        <v>11448</v>
      </c>
      <c r="AC2480" s="93" t="s">
        <v>11457</v>
      </c>
      <c r="AD2480" s="87" t="s">
        <v>11519</v>
      </c>
      <c r="AE2480" s="92" t="str">
        <f>HYPERLINK("https://twitter.com/serraempauta/status/1701590476577817042")</f>
        <v>https://twitter.com/serraempauta/status/1701590476577817042</v>
      </c>
      <c r="AF2480" s="90">
        <v>45181.566643518519</v>
      </c>
      <c r="AG2480" s="99">
        <v>45181</v>
      </c>
      <c r="AH2480" s="93" t="s">
        <v>13736</v>
      </c>
      <c r="AI2480" s="87" t="b">
        <v>0</v>
      </c>
      <c r="AJ2480" s="87"/>
      <c r="AK2480" s="87"/>
      <c r="AL2480" s="87"/>
      <c r="AM2480" s="87"/>
      <c r="AN2480" s="87"/>
      <c r="AO2480" s="87"/>
      <c r="AP2480" s="87"/>
      <c r="AQ2480" s="87" t="s">
        <v>17024</v>
      </c>
      <c r="AR2480" s="87"/>
      <c r="AS2480" s="87"/>
      <c r="AT2480" s="87"/>
      <c r="AU2480" s="87"/>
      <c r="AV2480" s="92" t="str">
        <f>HYPERLINK("https://pbs.twimg.com/media/F51DhJPa8AAkkQj.jpg")</f>
        <v>https://pbs.twimg.com/media/F51DhJPa8AAkkQj.jpg</v>
      </c>
      <c r="AW2480" s="93" t="s">
        <v>20641</v>
      </c>
      <c r="AX2480" s="93" t="s">
        <v>20641</v>
      </c>
      <c r="AY2480" s="87"/>
      <c r="AZ2480" s="93" t="s">
        <v>22668</v>
      </c>
      <c r="BA2480" s="93" t="s">
        <v>22668</v>
      </c>
      <c r="BB2480" s="93" t="s">
        <v>22668</v>
      </c>
      <c r="BC2480" s="93" t="s">
        <v>20641</v>
      </c>
      <c r="BD2480" s="93" t="s">
        <v>23269</v>
      </c>
      <c r="BE2480" s="87"/>
      <c r="BF2480" s="87"/>
      <c r="BG2480" s="87"/>
      <c r="BH2480" s="87"/>
      <c r="BI2480" s="87"/>
    </row>
    <row r="2481" spans="1:61" x14ac:dyDescent="0.25">
      <c r="A2481" s="63" t="s">
        <v>1058</v>
      </c>
      <c r="B2481" s="63" t="s">
        <v>1058</v>
      </c>
      <c r="C2481" s="64"/>
      <c r="D2481" s="65"/>
      <c r="E2481" s="66"/>
      <c r="F2481" s="67"/>
      <c r="G2481" s="64"/>
      <c r="H2481" s="68"/>
      <c r="I2481" s="69"/>
      <c r="J2481" s="69"/>
      <c r="K2481" s="32"/>
      <c r="L2481" s="76">
        <v>2481</v>
      </c>
      <c r="M2481" s="76"/>
      <c r="N2481" s="71"/>
      <c r="O2481" s="87" t="s">
        <v>179</v>
      </c>
      <c r="P2481" s="90">
        <v>45181.515347222223</v>
      </c>
      <c r="Q2481" s="87" t="s">
        <v>4198</v>
      </c>
      <c r="R2481" s="87">
        <v>0</v>
      </c>
      <c r="S2481" s="87">
        <v>0</v>
      </c>
      <c r="T2481" s="87">
        <v>0</v>
      </c>
      <c r="U2481" s="87">
        <v>0</v>
      </c>
      <c r="V2481" s="87">
        <v>26</v>
      </c>
      <c r="W2481" s="93" t="s">
        <v>7424</v>
      </c>
      <c r="X2481" s="87"/>
      <c r="Y2481" s="87"/>
      <c r="Z2481" s="87"/>
      <c r="AA2481" s="87" t="s">
        <v>10212</v>
      </c>
      <c r="AB2481" s="87" t="s">
        <v>11448</v>
      </c>
      <c r="AC2481" s="93" t="s">
        <v>11457</v>
      </c>
      <c r="AD2481" s="87" t="s">
        <v>11519</v>
      </c>
      <c r="AE2481" s="92" t="str">
        <f>HYPERLINK("https://twitter.com/serraempauta/status/1701571889775137055")</f>
        <v>https://twitter.com/serraempauta/status/1701571889775137055</v>
      </c>
      <c r="AF2481" s="90">
        <v>45181.515347222223</v>
      </c>
      <c r="AG2481" s="99">
        <v>45181</v>
      </c>
      <c r="AH2481" s="93" t="s">
        <v>13737</v>
      </c>
      <c r="AI2481" s="87" t="b">
        <v>0</v>
      </c>
      <c r="AJ2481" s="87"/>
      <c r="AK2481" s="87"/>
      <c r="AL2481" s="87"/>
      <c r="AM2481" s="87"/>
      <c r="AN2481" s="87"/>
      <c r="AO2481" s="87"/>
      <c r="AP2481" s="87"/>
      <c r="AQ2481" s="87" t="s">
        <v>17025</v>
      </c>
      <c r="AR2481" s="87"/>
      <c r="AS2481" s="87"/>
      <c r="AT2481" s="87"/>
      <c r="AU2481" s="87"/>
      <c r="AV2481" s="92" t="str">
        <f>HYPERLINK("https://pbs.twimg.com/media/F50ynQaW4AAgUSM.jpg")</f>
        <v>https://pbs.twimg.com/media/F50ynQaW4AAgUSM.jpg</v>
      </c>
      <c r="AW2481" s="93" t="s">
        <v>20642</v>
      </c>
      <c r="AX2481" s="93" t="s">
        <v>20642</v>
      </c>
      <c r="AY2481" s="87"/>
      <c r="AZ2481" s="93" t="s">
        <v>22668</v>
      </c>
      <c r="BA2481" s="93" t="s">
        <v>22668</v>
      </c>
      <c r="BB2481" s="93" t="s">
        <v>22668</v>
      </c>
      <c r="BC2481" s="93" t="s">
        <v>20642</v>
      </c>
      <c r="BD2481" s="93" t="s">
        <v>23269</v>
      </c>
      <c r="BE2481" s="87"/>
      <c r="BF2481" s="87"/>
      <c r="BG2481" s="87"/>
      <c r="BH2481" s="87"/>
      <c r="BI2481" s="87"/>
    </row>
    <row r="2482" spans="1:61" x14ac:dyDescent="0.25">
      <c r="A2482" s="63" t="s">
        <v>1058</v>
      </c>
      <c r="B2482" s="63" t="s">
        <v>1058</v>
      </c>
      <c r="C2482" s="64"/>
      <c r="D2482" s="65"/>
      <c r="E2482" s="66"/>
      <c r="F2482" s="67"/>
      <c r="G2482" s="64"/>
      <c r="H2482" s="68"/>
      <c r="I2482" s="69"/>
      <c r="J2482" s="69"/>
      <c r="K2482" s="32"/>
      <c r="L2482" s="76">
        <v>2482</v>
      </c>
      <c r="M2482" s="76"/>
      <c r="N2482" s="71"/>
      <c r="O2482" s="87" t="s">
        <v>179</v>
      </c>
      <c r="P2482" s="90">
        <v>45179.989618055559</v>
      </c>
      <c r="Q2482" s="87" t="s">
        <v>4199</v>
      </c>
      <c r="R2482" s="87">
        <v>0</v>
      </c>
      <c r="S2482" s="87">
        <v>0</v>
      </c>
      <c r="T2482" s="87">
        <v>0</v>
      </c>
      <c r="U2482" s="87">
        <v>0</v>
      </c>
      <c r="V2482" s="87">
        <v>48</v>
      </c>
      <c r="W2482" s="93" t="s">
        <v>7424</v>
      </c>
      <c r="X2482" s="87"/>
      <c r="Y2482" s="87"/>
      <c r="Z2482" s="87"/>
      <c r="AA2482" s="87" t="s">
        <v>10213</v>
      </c>
      <c r="AB2482" s="87" t="s">
        <v>11448</v>
      </c>
      <c r="AC2482" s="93" t="s">
        <v>11457</v>
      </c>
      <c r="AD2482" s="87" t="s">
        <v>11519</v>
      </c>
      <c r="AE2482" s="92" t="str">
        <f>HYPERLINK("https://twitter.com/serraempauta/status/1701018983741505734")</f>
        <v>https://twitter.com/serraempauta/status/1701018983741505734</v>
      </c>
      <c r="AF2482" s="90">
        <v>45179.989618055559</v>
      </c>
      <c r="AG2482" s="99">
        <v>45179</v>
      </c>
      <c r="AH2482" s="93" t="s">
        <v>13738</v>
      </c>
      <c r="AI2482" s="87" t="b">
        <v>0</v>
      </c>
      <c r="AJ2482" s="87"/>
      <c r="AK2482" s="87"/>
      <c r="AL2482" s="87"/>
      <c r="AM2482" s="87"/>
      <c r="AN2482" s="87"/>
      <c r="AO2482" s="87"/>
      <c r="AP2482" s="87"/>
      <c r="AQ2482" s="87" t="s">
        <v>17026</v>
      </c>
      <c r="AR2482" s="87"/>
      <c r="AS2482" s="87"/>
      <c r="AT2482" s="87"/>
      <c r="AU2482" s="87"/>
      <c r="AV2482" s="92" t="str">
        <f>HYPERLINK("https://pbs.twimg.com/media/F5s7vlEbAAAJfaV.jpg")</f>
        <v>https://pbs.twimg.com/media/F5s7vlEbAAAJfaV.jpg</v>
      </c>
      <c r="AW2482" s="93" t="s">
        <v>20643</v>
      </c>
      <c r="AX2482" s="93" t="s">
        <v>20643</v>
      </c>
      <c r="AY2482" s="87"/>
      <c r="AZ2482" s="93" t="s">
        <v>22668</v>
      </c>
      <c r="BA2482" s="93" t="s">
        <v>22668</v>
      </c>
      <c r="BB2482" s="93" t="s">
        <v>22668</v>
      </c>
      <c r="BC2482" s="93" t="s">
        <v>20643</v>
      </c>
      <c r="BD2482" s="93" t="s">
        <v>23269</v>
      </c>
      <c r="BE2482" s="87"/>
      <c r="BF2482" s="87"/>
      <c r="BG2482" s="87"/>
      <c r="BH2482" s="87"/>
      <c r="BI2482" s="87"/>
    </row>
    <row r="2483" spans="1:61" x14ac:dyDescent="0.25">
      <c r="A2483" s="63" t="s">
        <v>1058</v>
      </c>
      <c r="B2483" s="63" t="s">
        <v>1058</v>
      </c>
      <c r="C2483" s="64"/>
      <c r="D2483" s="65"/>
      <c r="E2483" s="66"/>
      <c r="F2483" s="67"/>
      <c r="G2483" s="64"/>
      <c r="H2483" s="68"/>
      <c r="I2483" s="69"/>
      <c r="J2483" s="69"/>
      <c r="K2483" s="32"/>
      <c r="L2483" s="76">
        <v>2483</v>
      </c>
      <c r="M2483" s="76"/>
      <c r="N2483" s="71"/>
      <c r="O2483" s="87" t="s">
        <v>179</v>
      </c>
      <c r="P2483" s="90">
        <v>45179.965092592596</v>
      </c>
      <c r="Q2483" s="87" t="s">
        <v>4200</v>
      </c>
      <c r="R2483" s="87">
        <v>0</v>
      </c>
      <c r="S2483" s="87">
        <v>0</v>
      </c>
      <c r="T2483" s="87">
        <v>0</v>
      </c>
      <c r="U2483" s="87">
        <v>0</v>
      </c>
      <c r="V2483" s="87">
        <v>59</v>
      </c>
      <c r="W2483" s="93" t="s">
        <v>7424</v>
      </c>
      <c r="X2483" s="87"/>
      <c r="Y2483" s="87"/>
      <c r="Z2483" s="87"/>
      <c r="AA2483" s="87" t="s">
        <v>10214</v>
      </c>
      <c r="AB2483" s="87" t="s">
        <v>11448</v>
      </c>
      <c r="AC2483" s="93" t="s">
        <v>11457</v>
      </c>
      <c r="AD2483" s="87" t="s">
        <v>11519</v>
      </c>
      <c r="AE2483" s="92" t="str">
        <f>HYPERLINK("https://twitter.com/serraempauta/status/1701010094471913956")</f>
        <v>https://twitter.com/serraempauta/status/1701010094471913956</v>
      </c>
      <c r="AF2483" s="90">
        <v>45179.965092592596</v>
      </c>
      <c r="AG2483" s="99">
        <v>45179</v>
      </c>
      <c r="AH2483" s="93" t="s">
        <v>13739</v>
      </c>
      <c r="AI2483" s="87" t="b">
        <v>0</v>
      </c>
      <c r="AJ2483" s="87"/>
      <c r="AK2483" s="87"/>
      <c r="AL2483" s="87"/>
      <c r="AM2483" s="87"/>
      <c r="AN2483" s="87"/>
      <c r="AO2483" s="87"/>
      <c r="AP2483" s="87"/>
      <c r="AQ2483" s="87" t="s">
        <v>17027</v>
      </c>
      <c r="AR2483" s="87"/>
      <c r="AS2483" s="87"/>
      <c r="AT2483" s="87"/>
      <c r="AU2483" s="87"/>
      <c r="AV2483" s="92" t="str">
        <f>HYPERLINK("https://pbs.twimg.com/media/F5szpiEaMAAQiXi.jpg")</f>
        <v>https://pbs.twimg.com/media/F5szpiEaMAAQiXi.jpg</v>
      </c>
      <c r="AW2483" s="93" t="s">
        <v>20644</v>
      </c>
      <c r="AX2483" s="93" t="s">
        <v>20644</v>
      </c>
      <c r="AY2483" s="87"/>
      <c r="AZ2483" s="93" t="s">
        <v>22668</v>
      </c>
      <c r="BA2483" s="93" t="s">
        <v>22668</v>
      </c>
      <c r="BB2483" s="93" t="s">
        <v>22668</v>
      </c>
      <c r="BC2483" s="93" t="s">
        <v>20644</v>
      </c>
      <c r="BD2483" s="93" t="s">
        <v>23269</v>
      </c>
      <c r="BE2483" s="87"/>
      <c r="BF2483" s="87"/>
      <c r="BG2483" s="87"/>
      <c r="BH2483" s="87"/>
      <c r="BI2483" s="87"/>
    </row>
    <row r="2484" spans="1:61" x14ac:dyDescent="0.25">
      <c r="A2484" s="63" t="s">
        <v>1058</v>
      </c>
      <c r="B2484" s="63" t="s">
        <v>1058</v>
      </c>
      <c r="C2484" s="64"/>
      <c r="D2484" s="65"/>
      <c r="E2484" s="66"/>
      <c r="F2484" s="67"/>
      <c r="G2484" s="64"/>
      <c r="H2484" s="68"/>
      <c r="I2484" s="69"/>
      <c r="J2484" s="69"/>
      <c r="K2484" s="32"/>
      <c r="L2484" s="76">
        <v>2484</v>
      </c>
      <c r="M2484" s="76"/>
      <c r="N2484" s="71"/>
      <c r="O2484" s="87" t="s">
        <v>179</v>
      </c>
      <c r="P2484" s="90">
        <v>45177.785115740742</v>
      </c>
      <c r="Q2484" s="87" t="s">
        <v>4201</v>
      </c>
      <c r="R2484" s="87">
        <v>0</v>
      </c>
      <c r="S2484" s="87">
        <v>1</v>
      </c>
      <c r="T2484" s="87">
        <v>0</v>
      </c>
      <c r="U2484" s="87">
        <v>0</v>
      </c>
      <c r="V2484" s="87">
        <v>34</v>
      </c>
      <c r="W2484" s="93" t="s">
        <v>7424</v>
      </c>
      <c r="X2484" s="87"/>
      <c r="Y2484" s="87"/>
      <c r="Z2484" s="87"/>
      <c r="AA2484" s="87" t="s">
        <v>10215</v>
      </c>
      <c r="AB2484" s="87" t="s">
        <v>11448</v>
      </c>
      <c r="AC2484" s="93" t="s">
        <v>11457</v>
      </c>
      <c r="AD2484" s="87" t="s">
        <v>11519</v>
      </c>
      <c r="AE2484" s="92" t="str">
        <f>HYPERLINK("https://twitter.com/serraempauta/status/1700220096138932707")</f>
        <v>https://twitter.com/serraempauta/status/1700220096138932707</v>
      </c>
      <c r="AF2484" s="90">
        <v>45177.785115740742</v>
      </c>
      <c r="AG2484" s="99">
        <v>45177</v>
      </c>
      <c r="AH2484" s="93" t="s">
        <v>13740</v>
      </c>
      <c r="AI2484" s="87" t="b">
        <v>0</v>
      </c>
      <c r="AJ2484" s="87"/>
      <c r="AK2484" s="87"/>
      <c r="AL2484" s="87"/>
      <c r="AM2484" s="87"/>
      <c r="AN2484" s="87"/>
      <c r="AO2484" s="87"/>
      <c r="AP2484" s="87"/>
      <c r="AQ2484" s="87" t="s">
        <v>17028</v>
      </c>
      <c r="AR2484" s="87"/>
      <c r="AS2484" s="87"/>
      <c r="AT2484" s="87"/>
      <c r="AU2484" s="87"/>
      <c r="AV2484" s="92" t="str">
        <f>HYPERLINK("https://pbs.twimg.com/media/F5hlKCRW0AAtdk3.jpg")</f>
        <v>https://pbs.twimg.com/media/F5hlKCRW0AAtdk3.jpg</v>
      </c>
      <c r="AW2484" s="93" t="s">
        <v>20645</v>
      </c>
      <c r="AX2484" s="93" t="s">
        <v>20645</v>
      </c>
      <c r="AY2484" s="87"/>
      <c r="AZ2484" s="93" t="s">
        <v>22668</v>
      </c>
      <c r="BA2484" s="93" t="s">
        <v>22668</v>
      </c>
      <c r="BB2484" s="93" t="s">
        <v>22668</v>
      </c>
      <c r="BC2484" s="93" t="s">
        <v>20645</v>
      </c>
      <c r="BD2484" s="93" t="s">
        <v>23269</v>
      </c>
      <c r="BE2484" s="87"/>
      <c r="BF2484" s="87"/>
      <c r="BG2484" s="87"/>
      <c r="BH2484" s="87"/>
      <c r="BI2484" s="87"/>
    </row>
    <row r="2485" spans="1:61" x14ac:dyDescent="0.25">
      <c r="A2485" s="63" t="s">
        <v>1058</v>
      </c>
      <c r="B2485" s="63" t="s">
        <v>1058</v>
      </c>
      <c r="C2485" s="64"/>
      <c r="D2485" s="65"/>
      <c r="E2485" s="66"/>
      <c r="F2485" s="67"/>
      <c r="G2485" s="64"/>
      <c r="H2485" s="68"/>
      <c r="I2485" s="69"/>
      <c r="J2485" s="69"/>
      <c r="K2485" s="32"/>
      <c r="L2485" s="76">
        <v>2485</v>
      </c>
      <c r="M2485" s="76"/>
      <c r="N2485" s="71"/>
      <c r="O2485" s="87" t="s">
        <v>179</v>
      </c>
      <c r="P2485" s="90">
        <v>45177.760231481479</v>
      </c>
      <c r="Q2485" s="87" t="s">
        <v>4202</v>
      </c>
      <c r="R2485" s="87">
        <v>0</v>
      </c>
      <c r="S2485" s="87">
        <v>0</v>
      </c>
      <c r="T2485" s="87">
        <v>0</v>
      </c>
      <c r="U2485" s="87">
        <v>0</v>
      </c>
      <c r="V2485" s="87">
        <v>34</v>
      </c>
      <c r="W2485" s="93" t="s">
        <v>7424</v>
      </c>
      <c r="X2485" s="87"/>
      <c r="Y2485" s="87"/>
      <c r="Z2485" s="87"/>
      <c r="AA2485" s="87" t="s">
        <v>10216</v>
      </c>
      <c r="AB2485" s="87" t="s">
        <v>11448</v>
      </c>
      <c r="AC2485" s="93" t="s">
        <v>11457</v>
      </c>
      <c r="AD2485" s="87" t="s">
        <v>11519</v>
      </c>
      <c r="AE2485" s="92" t="str">
        <f>HYPERLINK("https://twitter.com/serraempauta/status/1700211079425425812")</f>
        <v>https://twitter.com/serraempauta/status/1700211079425425812</v>
      </c>
      <c r="AF2485" s="90">
        <v>45177.760231481479</v>
      </c>
      <c r="AG2485" s="99">
        <v>45177</v>
      </c>
      <c r="AH2485" s="93" t="s">
        <v>13741</v>
      </c>
      <c r="AI2485" s="87" t="b">
        <v>0</v>
      </c>
      <c r="AJ2485" s="87"/>
      <c r="AK2485" s="87"/>
      <c r="AL2485" s="87"/>
      <c r="AM2485" s="87"/>
      <c r="AN2485" s="87"/>
      <c r="AO2485" s="87"/>
      <c r="AP2485" s="87"/>
      <c r="AQ2485" s="87" t="s">
        <v>17029</v>
      </c>
      <c r="AR2485" s="87"/>
      <c r="AS2485" s="87"/>
      <c r="AT2485" s="87"/>
      <c r="AU2485" s="87"/>
      <c r="AV2485" s="92" t="str">
        <f>HYPERLINK("https://pbs.twimg.com/media/F5hc9ZBWAAA-aIS.jpg")</f>
        <v>https://pbs.twimg.com/media/F5hc9ZBWAAA-aIS.jpg</v>
      </c>
      <c r="AW2485" s="93" t="s">
        <v>20646</v>
      </c>
      <c r="AX2485" s="93" t="s">
        <v>20646</v>
      </c>
      <c r="AY2485" s="87"/>
      <c r="AZ2485" s="93" t="s">
        <v>22668</v>
      </c>
      <c r="BA2485" s="93" t="s">
        <v>22668</v>
      </c>
      <c r="BB2485" s="93" t="s">
        <v>22668</v>
      </c>
      <c r="BC2485" s="93" t="s">
        <v>20646</v>
      </c>
      <c r="BD2485" s="93" t="s">
        <v>23269</v>
      </c>
      <c r="BE2485" s="87"/>
      <c r="BF2485" s="87"/>
      <c r="BG2485" s="87"/>
      <c r="BH2485" s="87"/>
      <c r="BI2485" s="87"/>
    </row>
    <row r="2486" spans="1:61" x14ac:dyDescent="0.25">
      <c r="A2486" s="63" t="s">
        <v>1058</v>
      </c>
      <c r="B2486" s="63" t="s">
        <v>1058</v>
      </c>
      <c r="C2486" s="64"/>
      <c r="D2486" s="65"/>
      <c r="E2486" s="66"/>
      <c r="F2486" s="67"/>
      <c r="G2486" s="64"/>
      <c r="H2486" s="68"/>
      <c r="I2486" s="69"/>
      <c r="J2486" s="69"/>
      <c r="K2486" s="32"/>
      <c r="L2486" s="76">
        <v>2486</v>
      </c>
      <c r="M2486" s="76"/>
      <c r="N2486" s="71"/>
      <c r="O2486" s="87" t="s">
        <v>179</v>
      </c>
      <c r="P2486" s="90">
        <v>45177.727037037039</v>
      </c>
      <c r="Q2486" s="87" t="s">
        <v>4203</v>
      </c>
      <c r="R2486" s="87">
        <v>0</v>
      </c>
      <c r="S2486" s="87">
        <v>1</v>
      </c>
      <c r="T2486" s="87">
        <v>0</v>
      </c>
      <c r="U2486" s="87">
        <v>0</v>
      </c>
      <c r="V2486" s="87">
        <v>32</v>
      </c>
      <c r="W2486" s="93" t="s">
        <v>7424</v>
      </c>
      <c r="X2486" s="87"/>
      <c r="Y2486" s="87"/>
      <c r="Z2486" s="87"/>
      <c r="AA2486" s="87" t="s">
        <v>10217</v>
      </c>
      <c r="AB2486" s="87" t="s">
        <v>11448</v>
      </c>
      <c r="AC2486" s="93" t="s">
        <v>11457</v>
      </c>
      <c r="AD2486" s="87" t="s">
        <v>11519</v>
      </c>
      <c r="AE2486" s="92" t="str">
        <f>HYPERLINK("https://twitter.com/serraempauta/status/1700199052535644410")</f>
        <v>https://twitter.com/serraempauta/status/1700199052535644410</v>
      </c>
      <c r="AF2486" s="90">
        <v>45177.727037037039</v>
      </c>
      <c r="AG2486" s="99">
        <v>45177</v>
      </c>
      <c r="AH2486" s="93" t="s">
        <v>13742</v>
      </c>
      <c r="AI2486" s="87" t="b">
        <v>0</v>
      </c>
      <c r="AJ2486" s="87"/>
      <c r="AK2486" s="87"/>
      <c r="AL2486" s="87"/>
      <c r="AM2486" s="87"/>
      <c r="AN2486" s="87"/>
      <c r="AO2486" s="87"/>
      <c r="AP2486" s="87"/>
      <c r="AQ2486" s="87" t="s">
        <v>17030</v>
      </c>
      <c r="AR2486" s="87"/>
      <c r="AS2486" s="87"/>
      <c r="AT2486" s="87"/>
      <c r="AU2486" s="87"/>
      <c r="AV2486" s="92" t="str">
        <f>HYPERLINK("https://pbs.twimg.com/media/F5hR_DqXQAERM1u.jpg")</f>
        <v>https://pbs.twimg.com/media/F5hR_DqXQAERM1u.jpg</v>
      </c>
      <c r="AW2486" s="93" t="s">
        <v>20647</v>
      </c>
      <c r="AX2486" s="93" t="s">
        <v>20647</v>
      </c>
      <c r="AY2486" s="87"/>
      <c r="AZ2486" s="93" t="s">
        <v>22668</v>
      </c>
      <c r="BA2486" s="93" t="s">
        <v>22668</v>
      </c>
      <c r="BB2486" s="93" t="s">
        <v>22668</v>
      </c>
      <c r="BC2486" s="93" t="s">
        <v>20647</v>
      </c>
      <c r="BD2486" s="93" t="s">
        <v>23269</v>
      </c>
      <c r="BE2486" s="87"/>
      <c r="BF2486" s="87"/>
      <c r="BG2486" s="87"/>
      <c r="BH2486" s="87"/>
      <c r="BI2486" s="87"/>
    </row>
    <row r="2487" spans="1:61" x14ac:dyDescent="0.25">
      <c r="A2487" s="63" t="s">
        <v>1058</v>
      </c>
      <c r="B2487" s="63" t="s">
        <v>1058</v>
      </c>
      <c r="C2487" s="64"/>
      <c r="D2487" s="65"/>
      <c r="E2487" s="66"/>
      <c r="F2487" s="67"/>
      <c r="G2487" s="64"/>
      <c r="H2487" s="68"/>
      <c r="I2487" s="69"/>
      <c r="J2487" s="69"/>
      <c r="K2487" s="32"/>
      <c r="L2487" s="76">
        <v>2487</v>
      </c>
      <c r="M2487" s="76"/>
      <c r="N2487" s="71"/>
      <c r="O2487" s="87" t="s">
        <v>179</v>
      </c>
      <c r="P2487" s="90">
        <v>45176.62296296296</v>
      </c>
      <c r="Q2487" s="87" t="s">
        <v>4204</v>
      </c>
      <c r="R2487" s="87">
        <v>0</v>
      </c>
      <c r="S2487" s="87">
        <v>0</v>
      </c>
      <c r="T2487" s="87">
        <v>0</v>
      </c>
      <c r="U2487" s="87">
        <v>0</v>
      </c>
      <c r="V2487" s="87">
        <v>37</v>
      </c>
      <c r="W2487" s="93" t="s">
        <v>7424</v>
      </c>
      <c r="X2487" s="87"/>
      <c r="Y2487" s="87"/>
      <c r="Z2487" s="87"/>
      <c r="AA2487" s="87" t="s">
        <v>10218</v>
      </c>
      <c r="AB2487" s="87" t="s">
        <v>11448</v>
      </c>
      <c r="AC2487" s="93" t="s">
        <v>11457</v>
      </c>
      <c r="AD2487" s="87" t="s">
        <v>11519</v>
      </c>
      <c r="AE2487" s="92" t="str">
        <f>HYPERLINK("https://twitter.com/serraempauta/status/1699798946510733665")</f>
        <v>https://twitter.com/serraempauta/status/1699798946510733665</v>
      </c>
      <c r="AF2487" s="90">
        <v>45176.62296296296</v>
      </c>
      <c r="AG2487" s="99">
        <v>45176</v>
      </c>
      <c r="AH2487" s="93" t="s">
        <v>13743</v>
      </c>
      <c r="AI2487" s="87" t="b">
        <v>0</v>
      </c>
      <c r="AJ2487" s="87"/>
      <c r="AK2487" s="87"/>
      <c r="AL2487" s="87"/>
      <c r="AM2487" s="87"/>
      <c r="AN2487" s="87"/>
      <c r="AO2487" s="87"/>
      <c r="AP2487" s="87"/>
      <c r="AQ2487" s="87" t="s">
        <v>17031</v>
      </c>
      <c r="AR2487" s="87"/>
      <c r="AS2487" s="87"/>
      <c r="AT2487" s="87"/>
      <c r="AU2487" s="87"/>
      <c r="AV2487" s="92" t="str">
        <f>HYPERLINK("https://pbs.twimg.com/media/F5bmH4easAAWo9j.jpg")</f>
        <v>https://pbs.twimg.com/media/F5bmH4easAAWo9j.jpg</v>
      </c>
      <c r="AW2487" s="93" t="s">
        <v>20648</v>
      </c>
      <c r="AX2487" s="93" t="s">
        <v>20648</v>
      </c>
      <c r="AY2487" s="87"/>
      <c r="AZ2487" s="93" t="s">
        <v>22668</v>
      </c>
      <c r="BA2487" s="93" t="s">
        <v>22668</v>
      </c>
      <c r="BB2487" s="93" t="s">
        <v>22668</v>
      </c>
      <c r="BC2487" s="93" t="s">
        <v>20648</v>
      </c>
      <c r="BD2487" s="93" t="s">
        <v>23269</v>
      </c>
      <c r="BE2487" s="87"/>
      <c r="BF2487" s="87"/>
      <c r="BG2487" s="87"/>
      <c r="BH2487" s="87"/>
      <c r="BI2487" s="87"/>
    </row>
    <row r="2488" spans="1:61" x14ac:dyDescent="0.25">
      <c r="A2488" s="63" t="s">
        <v>1058</v>
      </c>
      <c r="B2488" s="63" t="s">
        <v>1058</v>
      </c>
      <c r="C2488" s="64"/>
      <c r="D2488" s="65"/>
      <c r="E2488" s="66"/>
      <c r="F2488" s="67"/>
      <c r="G2488" s="64"/>
      <c r="H2488" s="68"/>
      <c r="I2488" s="69"/>
      <c r="J2488" s="69"/>
      <c r="K2488" s="32"/>
      <c r="L2488" s="76">
        <v>2488</v>
      </c>
      <c r="M2488" s="76"/>
      <c r="N2488" s="71"/>
      <c r="O2488" s="87" t="s">
        <v>179</v>
      </c>
      <c r="P2488" s="90">
        <v>45174.068298611113</v>
      </c>
      <c r="Q2488" s="87" t="s">
        <v>4205</v>
      </c>
      <c r="R2488" s="87">
        <v>0</v>
      </c>
      <c r="S2488" s="87">
        <v>0</v>
      </c>
      <c r="T2488" s="87">
        <v>0</v>
      </c>
      <c r="U2488" s="87">
        <v>0</v>
      </c>
      <c r="V2488" s="87">
        <v>79</v>
      </c>
      <c r="W2488" s="93" t="s">
        <v>7424</v>
      </c>
      <c r="X2488" s="87"/>
      <c r="Y2488" s="87"/>
      <c r="Z2488" s="87"/>
      <c r="AA2488" s="87" t="s">
        <v>10219</v>
      </c>
      <c r="AB2488" s="87" t="s">
        <v>11448</v>
      </c>
      <c r="AC2488" s="93" t="s">
        <v>11457</v>
      </c>
      <c r="AD2488" s="87" t="s">
        <v>11519</v>
      </c>
      <c r="AE2488" s="92" t="str">
        <f>HYPERLINK("https://twitter.com/serraempauta/status/1698873167668769046")</f>
        <v>https://twitter.com/serraempauta/status/1698873167668769046</v>
      </c>
      <c r="AF2488" s="90">
        <v>45174.068298611113</v>
      </c>
      <c r="AG2488" s="99">
        <v>45174</v>
      </c>
      <c r="AH2488" s="93" t="s">
        <v>13744</v>
      </c>
      <c r="AI2488" s="87" t="b">
        <v>0</v>
      </c>
      <c r="AJ2488" s="87"/>
      <c r="AK2488" s="87"/>
      <c r="AL2488" s="87"/>
      <c r="AM2488" s="87"/>
      <c r="AN2488" s="87"/>
      <c r="AO2488" s="87"/>
      <c r="AP2488" s="87"/>
      <c r="AQ2488" s="87" t="s">
        <v>17032</v>
      </c>
      <c r="AR2488" s="87"/>
      <c r="AS2488" s="87"/>
      <c r="AT2488" s="87"/>
      <c r="AU2488" s="87"/>
      <c r="AV2488" s="92" t="str">
        <f>HYPERLINK("https://pbs.twimg.com/media/F5OcIdbX0AEtkFR.jpg")</f>
        <v>https://pbs.twimg.com/media/F5OcIdbX0AEtkFR.jpg</v>
      </c>
      <c r="AW2488" s="93" t="s">
        <v>20649</v>
      </c>
      <c r="AX2488" s="93" t="s">
        <v>20649</v>
      </c>
      <c r="AY2488" s="87"/>
      <c r="AZ2488" s="93" t="s">
        <v>22668</v>
      </c>
      <c r="BA2488" s="93" t="s">
        <v>22668</v>
      </c>
      <c r="BB2488" s="93" t="s">
        <v>22668</v>
      </c>
      <c r="BC2488" s="93" t="s">
        <v>20649</v>
      </c>
      <c r="BD2488" s="93" t="s">
        <v>23269</v>
      </c>
      <c r="BE2488" s="87"/>
      <c r="BF2488" s="87"/>
      <c r="BG2488" s="87"/>
      <c r="BH2488" s="87"/>
      <c r="BI2488" s="87"/>
    </row>
    <row r="2489" spans="1:61" x14ac:dyDescent="0.25">
      <c r="A2489" s="63" t="s">
        <v>1058</v>
      </c>
      <c r="B2489" s="63" t="s">
        <v>1058</v>
      </c>
      <c r="C2489" s="64"/>
      <c r="D2489" s="65"/>
      <c r="E2489" s="66"/>
      <c r="F2489" s="67"/>
      <c r="G2489" s="64"/>
      <c r="H2489" s="68"/>
      <c r="I2489" s="69"/>
      <c r="J2489" s="69"/>
      <c r="K2489" s="32"/>
      <c r="L2489" s="76">
        <v>2489</v>
      </c>
      <c r="M2489" s="76"/>
      <c r="N2489" s="71"/>
      <c r="O2489" s="87" t="s">
        <v>179</v>
      </c>
      <c r="P2489" s="90">
        <v>45173.940891203703</v>
      </c>
      <c r="Q2489" s="87" t="s">
        <v>4206</v>
      </c>
      <c r="R2489" s="87">
        <v>0</v>
      </c>
      <c r="S2489" s="87">
        <v>0</v>
      </c>
      <c r="T2489" s="87">
        <v>0</v>
      </c>
      <c r="U2489" s="87">
        <v>0</v>
      </c>
      <c r="V2489" s="87">
        <v>71</v>
      </c>
      <c r="W2489" s="93" t="s">
        <v>7425</v>
      </c>
      <c r="X2489" s="87"/>
      <c r="Y2489" s="87"/>
      <c r="Z2489" s="87"/>
      <c r="AA2489" s="87" t="s">
        <v>10220</v>
      </c>
      <c r="AB2489" s="87" t="s">
        <v>11448</v>
      </c>
      <c r="AC2489" s="93" t="s">
        <v>11457</v>
      </c>
      <c r="AD2489" s="87" t="s">
        <v>11519</v>
      </c>
      <c r="AE2489" s="92" t="str">
        <f>HYPERLINK("https://twitter.com/serraempauta/status/1698826997797982254")</f>
        <v>https://twitter.com/serraempauta/status/1698826997797982254</v>
      </c>
      <c r="AF2489" s="90">
        <v>45173.940891203703</v>
      </c>
      <c r="AG2489" s="99">
        <v>45173</v>
      </c>
      <c r="AH2489" s="93" t="s">
        <v>13745</v>
      </c>
      <c r="AI2489" s="87" t="b">
        <v>0</v>
      </c>
      <c r="AJ2489" s="87"/>
      <c r="AK2489" s="87"/>
      <c r="AL2489" s="87"/>
      <c r="AM2489" s="87"/>
      <c r="AN2489" s="87"/>
      <c r="AO2489" s="87"/>
      <c r="AP2489" s="87"/>
      <c r="AQ2489" s="87" t="s">
        <v>17033</v>
      </c>
      <c r="AR2489" s="87"/>
      <c r="AS2489" s="87"/>
      <c r="AT2489" s="87"/>
      <c r="AU2489" s="87"/>
      <c r="AV2489" s="92" t="str">
        <f>HYPERLINK("https://pbs.twimg.com/media/F5NyJXbW4AAVm39.jpg")</f>
        <v>https://pbs.twimg.com/media/F5NyJXbW4AAVm39.jpg</v>
      </c>
      <c r="AW2489" s="93" t="s">
        <v>20650</v>
      </c>
      <c r="AX2489" s="93" t="s">
        <v>20650</v>
      </c>
      <c r="AY2489" s="87"/>
      <c r="AZ2489" s="93" t="s">
        <v>22668</v>
      </c>
      <c r="BA2489" s="93" t="s">
        <v>22668</v>
      </c>
      <c r="BB2489" s="93" t="s">
        <v>22668</v>
      </c>
      <c r="BC2489" s="93" t="s">
        <v>20650</v>
      </c>
      <c r="BD2489" s="93" t="s">
        <v>23269</v>
      </c>
      <c r="BE2489" s="87"/>
      <c r="BF2489" s="87"/>
      <c r="BG2489" s="87"/>
      <c r="BH2489" s="87"/>
      <c r="BI2489" s="87"/>
    </row>
    <row r="2490" spans="1:61" x14ac:dyDescent="0.25">
      <c r="A2490" s="63" t="s">
        <v>1058</v>
      </c>
      <c r="B2490" s="63" t="s">
        <v>1058</v>
      </c>
      <c r="C2490" s="64"/>
      <c r="D2490" s="65"/>
      <c r="E2490" s="66"/>
      <c r="F2490" s="67"/>
      <c r="G2490" s="64"/>
      <c r="H2490" s="68"/>
      <c r="I2490" s="69"/>
      <c r="J2490" s="69"/>
      <c r="K2490" s="32"/>
      <c r="L2490" s="76">
        <v>2490</v>
      </c>
      <c r="M2490" s="76"/>
      <c r="N2490" s="71"/>
      <c r="O2490" s="87" t="s">
        <v>179</v>
      </c>
      <c r="P2490" s="90">
        <v>45173.938958333332</v>
      </c>
      <c r="Q2490" s="87" t="s">
        <v>4207</v>
      </c>
      <c r="R2490" s="87">
        <v>0</v>
      </c>
      <c r="S2490" s="87">
        <v>0</v>
      </c>
      <c r="T2490" s="87">
        <v>0</v>
      </c>
      <c r="U2490" s="87">
        <v>0</v>
      </c>
      <c r="V2490" s="87">
        <v>161</v>
      </c>
      <c r="W2490" s="93" t="s">
        <v>7426</v>
      </c>
      <c r="X2490" s="87"/>
      <c r="Y2490" s="87"/>
      <c r="Z2490" s="87"/>
      <c r="AA2490" s="87" t="s">
        <v>10221</v>
      </c>
      <c r="AB2490" s="87" t="s">
        <v>11448</v>
      </c>
      <c r="AC2490" s="93" t="s">
        <v>11457</v>
      </c>
      <c r="AD2490" s="87" t="s">
        <v>11519</v>
      </c>
      <c r="AE2490" s="92" t="str">
        <f>HYPERLINK("https://twitter.com/serraempauta/status/1698826297768587438")</f>
        <v>https://twitter.com/serraempauta/status/1698826297768587438</v>
      </c>
      <c r="AF2490" s="90">
        <v>45173.938958333332</v>
      </c>
      <c r="AG2490" s="99">
        <v>45173</v>
      </c>
      <c r="AH2490" s="93" t="s">
        <v>13746</v>
      </c>
      <c r="AI2490" s="87" t="b">
        <v>0</v>
      </c>
      <c r="AJ2490" s="87"/>
      <c r="AK2490" s="87"/>
      <c r="AL2490" s="87"/>
      <c r="AM2490" s="87"/>
      <c r="AN2490" s="87"/>
      <c r="AO2490" s="87"/>
      <c r="AP2490" s="87"/>
      <c r="AQ2490" s="87" t="s">
        <v>17034</v>
      </c>
      <c r="AR2490" s="87"/>
      <c r="AS2490" s="87"/>
      <c r="AT2490" s="87"/>
      <c r="AU2490" s="87"/>
      <c r="AV2490" s="92" t="str">
        <f>HYPERLINK("https://pbs.twimg.com/media/F5NxglCWQAALALE.jpg")</f>
        <v>https://pbs.twimg.com/media/F5NxglCWQAALALE.jpg</v>
      </c>
      <c r="AW2490" s="93" t="s">
        <v>20651</v>
      </c>
      <c r="AX2490" s="93" t="s">
        <v>20651</v>
      </c>
      <c r="AY2490" s="87"/>
      <c r="AZ2490" s="93" t="s">
        <v>22668</v>
      </c>
      <c r="BA2490" s="93" t="s">
        <v>22668</v>
      </c>
      <c r="BB2490" s="93" t="s">
        <v>22668</v>
      </c>
      <c r="BC2490" s="93" t="s">
        <v>20651</v>
      </c>
      <c r="BD2490" s="93" t="s">
        <v>23269</v>
      </c>
      <c r="BE2490" s="87"/>
      <c r="BF2490" s="87"/>
      <c r="BG2490" s="87"/>
      <c r="BH2490" s="87"/>
      <c r="BI2490" s="87"/>
    </row>
    <row r="2491" spans="1:61" x14ac:dyDescent="0.25">
      <c r="A2491" s="63" t="s">
        <v>1058</v>
      </c>
      <c r="B2491" s="63" t="s">
        <v>1058</v>
      </c>
      <c r="C2491" s="64"/>
      <c r="D2491" s="65"/>
      <c r="E2491" s="66"/>
      <c r="F2491" s="67"/>
      <c r="G2491" s="64"/>
      <c r="H2491" s="68"/>
      <c r="I2491" s="69"/>
      <c r="J2491" s="69"/>
      <c r="K2491" s="32"/>
      <c r="L2491" s="76">
        <v>2491</v>
      </c>
      <c r="M2491" s="76"/>
      <c r="N2491" s="71"/>
      <c r="O2491" s="87" t="s">
        <v>179</v>
      </c>
      <c r="P2491" s="90">
        <v>45170.913634259261</v>
      </c>
      <c r="Q2491" s="87" t="s">
        <v>4208</v>
      </c>
      <c r="R2491" s="87">
        <v>0</v>
      </c>
      <c r="S2491" s="87">
        <v>0</v>
      </c>
      <c r="T2491" s="87">
        <v>0</v>
      </c>
      <c r="U2491" s="87">
        <v>0</v>
      </c>
      <c r="V2491" s="87">
        <v>69</v>
      </c>
      <c r="W2491" s="93" t="s">
        <v>7424</v>
      </c>
      <c r="X2491" s="87"/>
      <c r="Y2491" s="87"/>
      <c r="Z2491" s="87"/>
      <c r="AA2491" s="87" t="s">
        <v>10222</v>
      </c>
      <c r="AB2491" s="87" t="s">
        <v>11448</v>
      </c>
      <c r="AC2491" s="93" t="s">
        <v>11457</v>
      </c>
      <c r="AD2491" s="87" t="s">
        <v>11519</v>
      </c>
      <c r="AE2491" s="92" t="str">
        <f>HYPERLINK("https://twitter.com/serraempauta/status/1697729954350293452")</f>
        <v>https://twitter.com/serraempauta/status/1697729954350293452</v>
      </c>
      <c r="AF2491" s="90">
        <v>45170.913634259261</v>
      </c>
      <c r="AG2491" s="99">
        <v>45170</v>
      </c>
      <c r="AH2491" s="93" t="s">
        <v>13747</v>
      </c>
      <c r="AI2491" s="87" t="b">
        <v>0</v>
      </c>
      <c r="AJ2491" s="87"/>
      <c r="AK2491" s="87"/>
      <c r="AL2491" s="87"/>
      <c r="AM2491" s="87"/>
      <c r="AN2491" s="87"/>
      <c r="AO2491" s="87"/>
      <c r="AP2491" s="87"/>
      <c r="AQ2491" s="87" t="s">
        <v>17035</v>
      </c>
      <c r="AR2491" s="87"/>
      <c r="AS2491" s="87"/>
      <c r="AT2491" s="87"/>
      <c r="AU2491" s="87"/>
      <c r="AV2491" s="92" t="str">
        <f>HYPERLINK("https://pbs.twimg.com/media/F4-MZDkXIAAs3jH.jpg")</f>
        <v>https://pbs.twimg.com/media/F4-MZDkXIAAs3jH.jpg</v>
      </c>
      <c r="AW2491" s="93" t="s">
        <v>20652</v>
      </c>
      <c r="AX2491" s="93" t="s">
        <v>20652</v>
      </c>
      <c r="AY2491" s="87"/>
      <c r="AZ2491" s="93" t="s">
        <v>22668</v>
      </c>
      <c r="BA2491" s="93" t="s">
        <v>22668</v>
      </c>
      <c r="BB2491" s="93" t="s">
        <v>22668</v>
      </c>
      <c r="BC2491" s="93" t="s">
        <v>20652</v>
      </c>
      <c r="BD2491" s="93" t="s">
        <v>23269</v>
      </c>
      <c r="BE2491" s="87"/>
      <c r="BF2491" s="87"/>
      <c r="BG2491" s="87"/>
      <c r="BH2491" s="87"/>
      <c r="BI2491" s="87"/>
    </row>
    <row r="2492" spans="1:61" x14ac:dyDescent="0.25">
      <c r="A2492" s="63" t="s">
        <v>1058</v>
      </c>
      <c r="B2492" s="63" t="s">
        <v>1058</v>
      </c>
      <c r="C2492" s="64"/>
      <c r="D2492" s="65"/>
      <c r="E2492" s="66"/>
      <c r="F2492" s="67"/>
      <c r="G2492" s="64"/>
      <c r="H2492" s="68"/>
      <c r="I2492" s="69"/>
      <c r="J2492" s="69"/>
      <c r="K2492" s="32"/>
      <c r="L2492" s="76">
        <v>2492</v>
      </c>
      <c r="M2492" s="76"/>
      <c r="N2492" s="71"/>
      <c r="O2492" s="87" t="s">
        <v>179</v>
      </c>
      <c r="P2492" s="90">
        <v>45170.886018518519</v>
      </c>
      <c r="Q2492" s="87" t="s">
        <v>4209</v>
      </c>
      <c r="R2492" s="87">
        <v>0</v>
      </c>
      <c r="S2492" s="87">
        <v>0</v>
      </c>
      <c r="T2492" s="87">
        <v>0</v>
      </c>
      <c r="U2492" s="87">
        <v>0</v>
      </c>
      <c r="V2492" s="87">
        <v>62</v>
      </c>
      <c r="W2492" s="93" t="s">
        <v>7424</v>
      </c>
      <c r="X2492" s="87"/>
      <c r="Y2492" s="87"/>
      <c r="Z2492" s="87"/>
      <c r="AA2492" s="87" t="s">
        <v>10223</v>
      </c>
      <c r="AB2492" s="87" t="s">
        <v>11448</v>
      </c>
      <c r="AC2492" s="93" t="s">
        <v>11457</v>
      </c>
      <c r="AD2492" s="87" t="s">
        <v>11519</v>
      </c>
      <c r="AE2492" s="92" t="str">
        <f>HYPERLINK("https://twitter.com/serraempauta/status/1697719947386892663")</f>
        <v>https://twitter.com/serraempauta/status/1697719947386892663</v>
      </c>
      <c r="AF2492" s="90">
        <v>45170.886018518519</v>
      </c>
      <c r="AG2492" s="99">
        <v>45170</v>
      </c>
      <c r="AH2492" s="93" t="s">
        <v>13748</v>
      </c>
      <c r="AI2492" s="87" t="b">
        <v>0</v>
      </c>
      <c r="AJ2492" s="87"/>
      <c r="AK2492" s="87"/>
      <c r="AL2492" s="87"/>
      <c r="AM2492" s="87"/>
      <c r="AN2492" s="87"/>
      <c r="AO2492" s="87"/>
      <c r="AP2492" s="87"/>
      <c r="AQ2492" s="87" t="s">
        <v>17036</v>
      </c>
      <c r="AR2492" s="87"/>
      <c r="AS2492" s="87"/>
      <c r="AT2492" s="87"/>
      <c r="AU2492" s="87"/>
      <c r="AV2492" s="92" t="str">
        <f>HYPERLINK("https://pbs.twimg.com/media/F4-DSmrWoAAl4m9.jpg")</f>
        <v>https://pbs.twimg.com/media/F4-DSmrWoAAl4m9.jpg</v>
      </c>
      <c r="AW2492" s="93" t="s">
        <v>20653</v>
      </c>
      <c r="AX2492" s="93" t="s">
        <v>20653</v>
      </c>
      <c r="AY2492" s="87"/>
      <c r="AZ2492" s="93" t="s">
        <v>22668</v>
      </c>
      <c r="BA2492" s="93" t="s">
        <v>22668</v>
      </c>
      <c r="BB2492" s="93" t="s">
        <v>22668</v>
      </c>
      <c r="BC2492" s="93" t="s">
        <v>20653</v>
      </c>
      <c r="BD2492" s="93" t="s">
        <v>23269</v>
      </c>
      <c r="BE2492" s="87"/>
      <c r="BF2492" s="87"/>
      <c r="BG2492" s="87"/>
      <c r="BH2492" s="87"/>
      <c r="BI2492" s="87"/>
    </row>
    <row r="2493" spans="1:61" x14ac:dyDescent="0.25">
      <c r="A2493" s="63" t="s">
        <v>1058</v>
      </c>
      <c r="B2493" s="63" t="s">
        <v>1058</v>
      </c>
      <c r="C2493" s="64"/>
      <c r="D2493" s="65"/>
      <c r="E2493" s="66"/>
      <c r="F2493" s="67"/>
      <c r="G2493" s="64"/>
      <c r="H2493" s="68"/>
      <c r="I2493" s="69"/>
      <c r="J2493" s="69"/>
      <c r="K2493" s="32"/>
      <c r="L2493" s="76">
        <v>2493</v>
      </c>
      <c r="M2493" s="76"/>
      <c r="N2493" s="71"/>
      <c r="O2493" s="87" t="s">
        <v>179</v>
      </c>
      <c r="P2493" s="90">
        <v>45167.586875000001</v>
      </c>
      <c r="Q2493" s="87" t="s">
        <v>4210</v>
      </c>
      <c r="R2493" s="87">
        <v>0</v>
      </c>
      <c r="S2493" s="87">
        <v>0</v>
      </c>
      <c r="T2493" s="87">
        <v>0</v>
      </c>
      <c r="U2493" s="87">
        <v>0</v>
      </c>
      <c r="V2493" s="87">
        <v>47</v>
      </c>
      <c r="W2493" s="93" t="s">
        <v>7424</v>
      </c>
      <c r="X2493" s="87"/>
      <c r="Y2493" s="87"/>
      <c r="Z2493" s="87"/>
      <c r="AA2493" s="87" t="s">
        <v>10224</v>
      </c>
      <c r="AB2493" s="87" t="s">
        <v>11448</v>
      </c>
      <c r="AC2493" s="93" t="s">
        <v>11457</v>
      </c>
      <c r="AD2493" s="87" t="s">
        <v>11519</v>
      </c>
      <c r="AE2493" s="92" t="str">
        <f>HYPERLINK("https://twitter.com/serraempauta/status/1696524380468293871")</f>
        <v>https://twitter.com/serraempauta/status/1696524380468293871</v>
      </c>
      <c r="AF2493" s="90">
        <v>45167.586875000001</v>
      </c>
      <c r="AG2493" s="99">
        <v>45167</v>
      </c>
      <c r="AH2493" s="93" t="s">
        <v>12072</v>
      </c>
      <c r="AI2493" s="87" t="b">
        <v>0</v>
      </c>
      <c r="AJ2493" s="87"/>
      <c r="AK2493" s="87"/>
      <c r="AL2493" s="87"/>
      <c r="AM2493" s="87"/>
      <c r="AN2493" s="87"/>
      <c r="AO2493" s="87"/>
      <c r="AP2493" s="87"/>
      <c r="AQ2493" s="87" t="s">
        <v>17037</v>
      </c>
      <c r="AR2493" s="87"/>
      <c r="AS2493" s="87"/>
      <c r="AT2493" s="87"/>
      <c r="AU2493" s="87"/>
      <c r="AV2493" s="92" t="str">
        <f>HYPERLINK("https://pbs.twimg.com/media/F4tD7TFbgAArzT5.jpg")</f>
        <v>https://pbs.twimg.com/media/F4tD7TFbgAArzT5.jpg</v>
      </c>
      <c r="AW2493" s="93" t="s">
        <v>20654</v>
      </c>
      <c r="AX2493" s="93" t="s">
        <v>20654</v>
      </c>
      <c r="AY2493" s="87"/>
      <c r="AZ2493" s="93" t="s">
        <v>22668</v>
      </c>
      <c r="BA2493" s="93" t="s">
        <v>22668</v>
      </c>
      <c r="BB2493" s="93" t="s">
        <v>22668</v>
      </c>
      <c r="BC2493" s="93" t="s">
        <v>20654</v>
      </c>
      <c r="BD2493" s="93" t="s">
        <v>23269</v>
      </c>
      <c r="BE2493" s="87"/>
      <c r="BF2493" s="87"/>
      <c r="BG2493" s="87"/>
      <c r="BH2493" s="87"/>
      <c r="BI2493" s="87"/>
    </row>
    <row r="2494" spans="1:61" x14ac:dyDescent="0.25">
      <c r="A2494" s="63" t="s">
        <v>1058</v>
      </c>
      <c r="B2494" s="63" t="s">
        <v>1058</v>
      </c>
      <c r="C2494" s="64"/>
      <c r="D2494" s="65"/>
      <c r="E2494" s="66"/>
      <c r="F2494" s="67"/>
      <c r="G2494" s="64"/>
      <c r="H2494" s="68"/>
      <c r="I2494" s="69"/>
      <c r="J2494" s="69"/>
      <c r="K2494" s="32"/>
      <c r="L2494" s="76">
        <v>2494</v>
      </c>
      <c r="M2494" s="76"/>
      <c r="N2494" s="71"/>
      <c r="O2494" s="87" t="s">
        <v>179</v>
      </c>
      <c r="P2494" s="90">
        <v>45161.906412037039</v>
      </c>
      <c r="Q2494" s="87" t="s">
        <v>4211</v>
      </c>
      <c r="R2494" s="87">
        <v>0</v>
      </c>
      <c r="S2494" s="87">
        <v>0</v>
      </c>
      <c r="T2494" s="87">
        <v>0</v>
      </c>
      <c r="U2494" s="87">
        <v>0</v>
      </c>
      <c r="V2494" s="87">
        <v>49</v>
      </c>
      <c r="W2494" s="93" t="s">
        <v>7424</v>
      </c>
      <c r="X2494" s="87"/>
      <c r="Y2494" s="87"/>
      <c r="Z2494" s="87"/>
      <c r="AA2494" s="87" t="s">
        <v>10225</v>
      </c>
      <c r="AB2494" s="87" t="s">
        <v>11448</v>
      </c>
      <c r="AC2494" s="93" t="s">
        <v>11457</v>
      </c>
      <c r="AD2494" s="87" t="s">
        <v>11519</v>
      </c>
      <c r="AE2494" s="92" t="str">
        <f>HYPERLINK("https://twitter.com/serraempauta/status/1694465847497048396")</f>
        <v>https://twitter.com/serraempauta/status/1694465847497048396</v>
      </c>
      <c r="AF2494" s="90">
        <v>45161.906412037039</v>
      </c>
      <c r="AG2494" s="99">
        <v>45161</v>
      </c>
      <c r="AH2494" s="93" t="s">
        <v>12798</v>
      </c>
      <c r="AI2494" s="87" t="b">
        <v>0</v>
      </c>
      <c r="AJ2494" s="87"/>
      <c r="AK2494" s="87"/>
      <c r="AL2494" s="87"/>
      <c r="AM2494" s="87"/>
      <c r="AN2494" s="87"/>
      <c r="AO2494" s="87"/>
      <c r="AP2494" s="87"/>
      <c r="AQ2494" s="87" t="s">
        <v>17038</v>
      </c>
      <c r="AR2494" s="87"/>
      <c r="AS2494" s="87"/>
      <c r="AT2494" s="87"/>
      <c r="AU2494" s="87"/>
      <c r="AV2494" s="92" t="str">
        <f>HYPERLINK("https://pbs.twimg.com/media/F4PzsVsX0AAuEDL.jpg")</f>
        <v>https://pbs.twimg.com/media/F4PzsVsX0AAuEDL.jpg</v>
      </c>
      <c r="AW2494" s="93" t="s">
        <v>20655</v>
      </c>
      <c r="AX2494" s="93" t="s">
        <v>20655</v>
      </c>
      <c r="AY2494" s="87"/>
      <c r="AZ2494" s="93" t="s">
        <v>22668</v>
      </c>
      <c r="BA2494" s="93" t="s">
        <v>22668</v>
      </c>
      <c r="BB2494" s="93" t="s">
        <v>22668</v>
      </c>
      <c r="BC2494" s="93" t="s">
        <v>20655</v>
      </c>
      <c r="BD2494" s="93" t="s">
        <v>23269</v>
      </c>
      <c r="BE2494" s="87"/>
      <c r="BF2494" s="87"/>
      <c r="BG2494" s="87"/>
      <c r="BH2494" s="87"/>
      <c r="BI2494" s="87"/>
    </row>
    <row r="2495" spans="1:61" x14ac:dyDescent="0.25">
      <c r="A2495" s="63" t="s">
        <v>1058</v>
      </c>
      <c r="B2495" s="63" t="s">
        <v>1058</v>
      </c>
      <c r="C2495" s="64"/>
      <c r="D2495" s="65"/>
      <c r="E2495" s="66"/>
      <c r="F2495" s="67"/>
      <c r="G2495" s="64"/>
      <c r="H2495" s="68"/>
      <c r="I2495" s="69"/>
      <c r="J2495" s="69"/>
      <c r="K2495" s="32"/>
      <c r="L2495" s="76">
        <v>2495</v>
      </c>
      <c r="M2495" s="76"/>
      <c r="N2495" s="71"/>
      <c r="O2495" s="87" t="s">
        <v>179</v>
      </c>
      <c r="P2495" s="90">
        <v>45161.866307870368</v>
      </c>
      <c r="Q2495" s="87" t="s">
        <v>4212</v>
      </c>
      <c r="R2495" s="87">
        <v>0</v>
      </c>
      <c r="S2495" s="87">
        <v>0</v>
      </c>
      <c r="T2495" s="87">
        <v>0</v>
      </c>
      <c r="U2495" s="87">
        <v>0</v>
      </c>
      <c r="V2495" s="87">
        <v>275</v>
      </c>
      <c r="W2495" s="93" t="s">
        <v>7424</v>
      </c>
      <c r="X2495" s="87"/>
      <c r="Y2495" s="87"/>
      <c r="Z2495" s="87"/>
      <c r="AA2495" s="87" t="s">
        <v>10226</v>
      </c>
      <c r="AB2495" s="87" t="s">
        <v>11448</v>
      </c>
      <c r="AC2495" s="93" t="s">
        <v>11457</v>
      </c>
      <c r="AD2495" s="87" t="s">
        <v>11519</v>
      </c>
      <c r="AE2495" s="92" t="str">
        <f>HYPERLINK("https://twitter.com/serraempauta/status/1694451312841085279")</f>
        <v>https://twitter.com/serraempauta/status/1694451312841085279</v>
      </c>
      <c r="AF2495" s="90">
        <v>45161.866307870368</v>
      </c>
      <c r="AG2495" s="99">
        <v>45161</v>
      </c>
      <c r="AH2495" s="93" t="s">
        <v>13749</v>
      </c>
      <c r="AI2495" s="87" t="b">
        <v>0</v>
      </c>
      <c r="AJ2495" s="87"/>
      <c r="AK2495" s="87"/>
      <c r="AL2495" s="87"/>
      <c r="AM2495" s="87"/>
      <c r="AN2495" s="87"/>
      <c r="AO2495" s="87"/>
      <c r="AP2495" s="87"/>
      <c r="AQ2495" s="87" t="s">
        <v>17039</v>
      </c>
      <c r="AR2495" s="87"/>
      <c r="AS2495" s="87"/>
      <c r="AT2495" s="87"/>
      <c r="AU2495" s="87"/>
      <c r="AV2495" s="92" t="str">
        <f>HYPERLINK("https://pbs.twimg.com/media/F4Pme5hWkAAfh1Y.jpg")</f>
        <v>https://pbs.twimg.com/media/F4Pme5hWkAAfh1Y.jpg</v>
      </c>
      <c r="AW2495" s="93" t="s">
        <v>20656</v>
      </c>
      <c r="AX2495" s="93" t="s">
        <v>20656</v>
      </c>
      <c r="AY2495" s="87"/>
      <c r="AZ2495" s="93" t="s">
        <v>22668</v>
      </c>
      <c r="BA2495" s="93" t="s">
        <v>22668</v>
      </c>
      <c r="BB2495" s="93" t="s">
        <v>22668</v>
      </c>
      <c r="BC2495" s="93" t="s">
        <v>20656</v>
      </c>
      <c r="BD2495" s="93" t="s">
        <v>23269</v>
      </c>
      <c r="BE2495" s="87"/>
      <c r="BF2495" s="87"/>
      <c r="BG2495" s="87"/>
      <c r="BH2495" s="87"/>
      <c r="BI2495" s="87"/>
    </row>
    <row r="2496" spans="1:61" x14ac:dyDescent="0.25">
      <c r="A2496" s="63" t="s">
        <v>1058</v>
      </c>
      <c r="B2496" s="63" t="s">
        <v>1058</v>
      </c>
      <c r="C2496" s="64"/>
      <c r="D2496" s="65"/>
      <c r="E2496" s="66"/>
      <c r="F2496" s="67"/>
      <c r="G2496" s="64"/>
      <c r="H2496" s="68"/>
      <c r="I2496" s="69"/>
      <c r="J2496" s="69"/>
      <c r="K2496" s="32"/>
      <c r="L2496" s="76">
        <v>2496</v>
      </c>
      <c r="M2496" s="76"/>
      <c r="N2496" s="71"/>
      <c r="O2496" s="87" t="s">
        <v>179</v>
      </c>
      <c r="P2496" s="90">
        <v>45161.824780092589</v>
      </c>
      <c r="Q2496" s="87" t="s">
        <v>4213</v>
      </c>
      <c r="R2496" s="87">
        <v>0</v>
      </c>
      <c r="S2496" s="87">
        <v>0</v>
      </c>
      <c r="T2496" s="87">
        <v>0</v>
      </c>
      <c r="U2496" s="87">
        <v>0</v>
      </c>
      <c r="V2496" s="87">
        <v>50</v>
      </c>
      <c r="W2496" s="93" t="s">
        <v>7424</v>
      </c>
      <c r="X2496" s="87"/>
      <c r="Y2496" s="87"/>
      <c r="Z2496" s="87"/>
      <c r="AA2496" s="87" t="s">
        <v>10227</v>
      </c>
      <c r="AB2496" s="87" t="s">
        <v>11448</v>
      </c>
      <c r="AC2496" s="93" t="s">
        <v>11457</v>
      </c>
      <c r="AD2496" s="87" t="s">
        <v>11519</v>
      </c>
      <c r="AE2496" s="92" t="str">
        <f>HYPERLINK("https://twitter.com/serraempauta/status/1694436263657365594")</f>
        <v>https://twitter.com/serraempauta/status/1694436263657365594</v>
      </c>
      <c r="AF2496" s="90">
        <v>45161.824780092589</v>
      </c>
      <c r="AG2496" s="99">
        <v>45161</v>
      </c>
      <c r="AH2496" s="93" t="s">
        <v>13750</v>
      </c>
      <c r="AI2496" s="87" t="b">
        <v>0</v>
      </c>
      <c r="AJ2496" s="87"/>
      <c r="AK2496" s="87"/>
      <c r="AL2496" s="87"/>
      <c r="AM2496" s="87"/>
      <c r="AN2496" s="87"/>
      <c r="AO2496" s="87"/>
      <c r="AP2496" s="87"/>
      <c r="AQ2496" s="87" t="s">
        <v>17040</v>
      </c>
      <c r="AR2496" s="87"/>
      <c r="AS2496" s="87"/>
      <c r="AT2496" s="87"/>
      <c r="AU2496" s="87"/>
      <c r="AV2496" s="92" t="str">
        <f>HYPERLINK("https://pbs.twimg.com/media/F4PYy3QXsAAPCkF.jpg")</f>
        <v>https://pbs.twimg.com/media/F4PYy3QXsAAPCkF.jpg</v>
      </c>
      <c r="AW2496" s="93" t="s">
        <v>20657</v>
      </c>
      <c r="AX2496" s="93" t="s">
        <v>20657</v>
      </c>
      <c r="AY2496" s="87"/>
      <c r="AZ2496" s="93" t="s">
        <v>22668</v>
      </c>
      <c r="BA2496" s="93" t="s">
        <v>22668</v>
      </c>
      <c r="BB2496" s="93" t="s">
        <v>22668</v>
      </c>
      <c r="BC2496" s="93" t="s">
        <v>20657</v>
      </c>
      <c r="BD2496" s="93" t="s">
        <v>23269</v>
      </c>
      <c r="BE2496" s="87"/>
      <c r="BF2496" s="87"/>
      <c r="BG2496" s="87"/>
      <c r="BH2496" s="87"/>
      <c r="BI2496" s="87"/>
    </row>
    <row r="2497" spans="1:61" x14ac:dyDescent="0.25">
      <c r="A2497" s="63" t="s">
        <v>1058</v>
      </c>
      <c r="B2497" s="63" t="s">
        <v>1058</v>
      </c>
      <c r="C2497" s="64"/>
      <c r="D2497" s="65"/>
      <c r="E2497" s="66"/>
      <c r="F2497" s="67"/>
      <c r="G2497" s="64"/>
      <c r="H2497" s="68"/>
      <c r="I2497" s="69"/>
      <c r="J2497" s="69"/>
      <c r="K2497" s="32"/>
      <c r="L2497" s="76">
        <v>2497</v>
      </c>
      <c r="M2497" s="76"/>
      <c r="N2497" s="71"/>
      <c r="O2497" s="87" t="s">
        <v>179</v>
      </c>
      <c r="P2497" s="90">
        <v>45159.90896990741</v>
      </c>
      <c r="Q2497" s="87" t="s">
        <v>4214</v>
      </c>
      <c r="R2497" s="87">
        <v>0</v>
      </c>
      <c r="S2497" s="87">
        <v>0</v>
      </c>
      <c r="T2497" s="87">
        <v>0</v>
      </c>
      <c r="U2497" s="87">
        <v>0</v>
      </c>
      <c r="V2497" s="87">
        <v>79</v>
      </c>
      <c r="W2497" s="93" t="s">
        <v>7424</v>
      </c>
      <c r="X2497" s="87"/>
      <c r="Y2497" s="87"/>
      <c r="Z2497" s="87"/>
      <c r="AA2497" s="87" t="s">
        <v>10228</v>
      </c>
      <c r="AB2497" s="87" t="s">
        <v>11448</v>
      </c>
      <c r="AC2497" s="93" t="s">
        <v>11457</v>
      </c>
      <c r="AD2497" s="87" t="s">
        <v>11519</v>
      </c>
      <c r="AE2497" s="92" t="str">
        <f>HYPERLINK("https://twitter.com/serraempauta/status/1693742000774787400")</f>
        <v>https://twitter.com/serraempauta/status/1693742000774787400</v>
      </c>
      <c r="AF2497" s="90">
        <v>45159.90896990741</v>
      </c>
      <c r="AG2497" s="99">
        <v>45159</v>
      </c>
      <c r="AH2497" s="93" t="s">
        <v>13751</v>
      </c>
      <c r="AI2497" s="87" t="b">
        <v>0</v>
      </c>
      <c r="AJ2497" s="87"/>
      <c r="AK2497" s="87"/>
      <c r="AL2497" s="87"/>
      <c r="AM2497" s="87"/>
      <c r="AN2497" s="87"/>
      <c r="AO2497" s="87"/>
      <c r="AP2497" s="87"/>
      <c r="AQ2497" s="87" t="s">
        <v>17041</v>
      </c>
      <c r="AR2497" s="87"/>
      <c r="AS2497" s="87"/>
      <c r="AT2497" s="87"/>
      <c r="AU2497" s="87"/>
      <c r="AV2497" s="92" t="str">
        <f>HYPERLINK("https://pbs.twimg.com/media/F4FhXkhWUAAVgPs.jpg")</f>
        <v>https://pbs.twimg.com/media/F4FhXkhWUAAVgPs.jpg</v>
      </c>
      <c r="AW2497" s="93" t="s">
        <v>20658</v>
      </c>
      <c r="AX2497" s="93" t="s">
        <v>20658</v>
      </c>
      <c r="AY2497" s="87"/>
      <c r="AZ2497" s="93" t="s">
        <v>22668</v>
      </c>
      <c r="BA2497" s="93" t="s">
        <v>22668</v>
      </c>
      <c r="BB2497" s="93" t="s">
        <v>22668</v>
      </c>
      <c r="BC2497" s="93" t="s">
        <v>20658</v>
      </c>
      <c r="BD2497" s="93" t="s">
        <v>23269</v>
      </c>
      <c r="BE2497" s="87"/>
      <c r="BF2497" s="87"/>
      <c r="BG2497" s="87"/>
      <c r="BH2497" s="87"/>
      <c r="BI2497" s="87"/>
    </row>
    <row r="2498" spans="1:61" x14ac:dyDescent="0.25">
      <c r="A2498" s="63" t="s">
        <v>1058</v>
      </c>
      <c r="B2498" s="63" t="s">
        <v>1058</v>
      </c>
      <c r="C2498" s="64"/>
      <c r="D2498" s="65"/>
      <c r="E2498" s="66"/>
      <c r="F2498" s="67"/>
      <c r="G2498" s="64"/>
      <c r="H2498" s="68"/>
      <c r="I2498" s="69"/>
      <c r="J2498" s="69"/>
      <c r="K2498" s="32"/>
      <c r="L2498" s="76">
        <v>2498</v>
      </c>
      <c r="M2498" s="76"/>
      <c r="N2498" s="71"/>
      <c r="O2498" s="87" t="s">
        <v>179</v>
      </c>
      <c r="P2498" s="90">
        <v>45159.881851851853</v>
      </c>
      <c r="Q2498" s="87" t="s">
        <v>4215</v>
      </c>
      <c r="R2498" s="87">
        <v>0</v>
      </c>
      <c r="S2498" s="87">
        <v>1</v>
      </c>
      <c r="T2498" s="87">
        <v>0</v>
      </c>
      <c r="U2498" s="87">
        <v>0</v>
      </c>
      <c r="V2498" s="87">
        <v>68</v>
      </c>
      <c r="W2498" s="93" t="s">
        <v>7424</v>
      </c>
      <c r="X2498" s="87"/>
      <c r="Y2498" s="87"/>
      <c r="Z2498" s="87"/>
      <c r="AA2498" s="87" t="s">
        <v>10229</v>
      </c>
      <c r="AB2498" s="87" t="s">
        <v>11448</v>
      </c>
      <c r="AC2498" s="93" t="s">
        <v>11457</v>
      </c>
      <c r="AD2498" s="87" t="s">
        <v>11519</v>
      </c>
      <c r="AE2498" s="92" t="str">
        <f>HYPERLINK("https://twitter.com/serraempauta/status/1693732172065087698")</f>
        <v>https://twitter.com/serraempauta/status/1693732172065087698</v>
      </c>
      <c r="AF2498" s="90">
        <v>45159.881851851853</v>
      </c>
      <c r="AG2498" s="99">
        <v>45159</v>
      </c>
      <c r="AH2498" s="93" t="s">
        <v>13752</v>
      </c>
      <c r="AI2498" s="87" t="b">
        <v>0</v>
      </c>
      <c r="AJ2498" s="87"/>
      <c r="AK2498" s="87"/>
      <c r="AL2498" s="87"/>
      <c r="AM2498" s="87"/>
      <c r="AN2498" s="87"/>
      <c r="AO2498" s="87"/>
      <c r="AP2498" s="87"/>
      <c r="AQ2498" s="87" t="s">
        <v>17042</v>
      </c>
      <c r="AR2498" s="87"/>
      <c r="AS2498" s="87"/>
      <c r="AT2498" s="87"/>
      <c r="AU2498" s="87"/>
      <c r="AV2498" s="92" t="str">
        <f>HYPERLINK("https://pbs.twimg.com/media/F4FYbeyXMAEUv5j.jpg")</f>
        <v>https://pbs.twimg.com/media/F4FYbeyXMAEUv5j.jpg</v>
      </c>
      <c r="AW2498" s="93" t="s">
        <v>20659</v>
      </c>
      <c r="AX2498" s="93" t="s">
        <v>20659</v>
      </c>
      <c r="AY2498" s="87"/>
      <c r="AZ2498" s="93" t="s">
        <v>22668</v>
      </c>
      <c r="BA2498" s="93" t="s">
        <v>22668</v>
      </c>
      <c r="BB2498" s="93" t="s">
        <v>22668</v>
      </c>
      <c r="BC2498" s="93" t="s">
        <v>20659</v>
      </c>
      <c r="BD2498" s="93" t="s">
        <v>23269</v>
      </c>
      <c r="BE2498" s="87"/>
      <c r="BF2498" s="87"/>
      <c r="BG2498" s="87"/>
      <c r="BH2498" s="87"/>
      <c r="BI2498" s="87"/>
    </row>
    <row r="2499" spans="1:61" x14ac:dyDescent="0.25">
      <c r="A2499" s="63" t="s">
        <v>1058</v>
      </c>
      <c r="B2499" s="63" t="s">
        <v>1058</v>
      </c>
      <c r="C2499" s="64"/>
      <c r="D2499" s="65"/>
      <c r="E2499" s="66"/>
      <c r="F2499" s="67"/>
      <c r="G2499" s="64"/>
      <c r="H2499" s="68"/>
      <c r="I2499" s="69"/>
      <c r="J2499" s="69"/>
      <c r="K2499" s="32"/>
      <c r="L2499" s="76">
        <v>2499</v>
      </c>
      <c r="M2499" s="76"/>
      <c r="N2499" s="71"/>
      <c r="O2499" s="87" t="s">
        <v>179</v>
      </c>
      <c r="P2499" s="90">
        <v>45159.620879629627</v>
      </c>
      <c r="Q2499" s="87" t="s">
        <v>4216</v>
      </c>
      <c r="R2499" s="87">
        <v>0</v>
      </c>
      <c r="S2499" s="87">
        <v>0</v>
      </c>
      <c r="T2499" s="87">
        <v>0</v>
      </c>
      <c r="U2499" s="87">
        <v>0</v>
      </c>
      <c r="V2499" s="87">
        <v>47</v>
      </c>
      <c r="W2499" s="93" t="s">
        <v>7424</v>
      </c>
      <c r="X2499" s="87"/>
      <c r="Y2499" s="87"/>
      <c r="Z2499" s="87"/>
      <c r="AA2499" s="87" t="s">
        <v>10230</v>
      </c>
      <c r="AB2499" s="87" t="s">
        <v>11448</v>
      </c>
      <c r="AC2499" s="93" t="s">
        <v>11457</v>
      </c>
      <c r="AD2499" s="87" t="s">
        <v>11519</v>
      </c>
      <c r="AE2499" s="92" t="str">
        <f>HYPERLINK("https://twitter.com/serraempauta/status/1693637597879263568")</f>
        <v>https://twitter.com/serraempauta/status/1693637597879263568</v>
      </c>
      <c r="AF2499" s="90">
        <v>45159.620879629627</v>
      </c>
      <c r="AG2499" s="99">
        <v>45159</v>
      </c>
      <c r="AH2499" s="93" t="s">
        <v>13753</v>
      </c>
      <c r="AI2499" s="87" t="b">
        <v>0</v>
      </c>
      <c r="AJ2499" s="87"/>
      <c r="AK2499" s="87"/>
      <c r="AL2499" s="87"/>
      <c r="AM2499" s="87"/>
      <c r="AN2499" s="87"/>
      <c r="AO2499" s="87"/>
      <c r="AP2499" s="87"/>
      <c r="AQ2499" s="87" t="s">
        <v>17043</v>
      </c>
      <c r="AR2499" s="87"/>
      <c r="AS2499" s="87"/>
      <c r="AT2499" s="87"/>
      <c r="AU2499" s="87"/>
      <c r="AV2499" s="92" t="str">
        <f>HYPERLINK("https://pbs.twimg.com/media/F4ECakYWgAAC6gP.jpg")</f>
        <v>https://pbs.twimg.com/media/F4ECakYWgAAC6gP.jpg</v>
      </c>
      <c r="AW2499" s="93" t="s">
        <v>20660</v>
      </c>
      <c r="AX2499" s="93" t="s">
        <v>20660</v>
      </c>
      <c r="AY2499" s="87"/>
      <c r="AZ2499" s="93" t="s">
        <v>22668</v>
      </c>
      <c r="BA2499" s="93" t="s">
        <v>22668</v>
      </c>
      <c r="BB2499" s="93" t="s">
        <v>22668</v>
      </c>
      <c r="BC2499" s="93" t="s">
        <v>20660</v>
      </c>
      <c r="BD2499" s="93" t="s">
        <v>23269</v>
      </c>
      <c r="BE2499" s="87"/>
      <c r="BF2499" s="87"/>
      <c r="BG2499" s="87"/>
      <c r="BH2499" s="87"/>
      <c r="BI2499" s="87"/>
    </row>
    <row r="2500" spans="1:61" x14ac:dyDescent="0.25">
      <c r="A2500" s="63" t="s">
        <v>1058</v>
      </c>
      <c r="B2500" s="63" t="s">
        <v>1058</v>
      </c>
      <c r="C2500" s="64"/>
      <c r="D2500" s="65"/>
      <c r="E2500" s="66"/>
      <c r="F2500" s="67"/>
      <c r="G2500" s="64"/>
      <c r="H2500" s="68"/>
      <c r="I2500" s="69"/>
      <c r="J2500" s="69"/>
      <c r="K2500" s="32"/>
      <c r="L2500" s="76">
        <v>2500</v>
      </c>
      <c r="M2500" s="76"/>
      <c r="N2500" s="71"/>
      <c r="O2500" s="87" t="s">
        <v>179</v>
      </c>
      <c r="P2500" s="90">
        <v>45148.669745370367</v>
      </c>
      <c r="Q2500" s="87" t="s">
        <v>4217</v>
      </c>
      <c r="R2500" s="87">
        <v>0</v>
      </c>
      <c r="S2500" s="87">
        <v>1</v>
      </c>
      <c r="T2500" s="87">
        <v>0</v>
      </c>
      <c r="U2500" s="87">
        <v>0</v>
      </c>
      <c r="V2500" s="87">
        <v>44</v>
      </c>
      <c r="W2500" s="93" t="s">
        <v>7424</v>
      </c>
      <c r="X2500" s="87"/>
      <c r="Y2500" s="87"/>
      <c r="Z2500" s="87"/>
      <c r="AA2500" s="87" t="s">
        <v>10231</v>
      </c>
      <c r="AB2500" s="87" t="s">
        <v>11448</v>
      </c>
      <c r="AC2500" s="93" t="s">
        <v>11457</v>
      </c>
      <c r="AD2500" s="87" t="s">
        <v>11519</v>
      </c>
      <c r="AE2500" s="92" t="str">
        <f>HYPERLINK("https://twitter.com/serraempauta/status/1689669042368282624")</f>
        <v>https://twitter.com/serraempauta/status/1689669042368282624</v>
      </c>
      <c r="AF2500" s="90">
        <v>45148.669745370367</v>
      </c>
      <c r="AG2500" s="99">
        <v>45148</v>
      </c>
      <c r="AH2500" s="93" t="s">
        <v>13754</v>
      </c>
      <c r="AI2500" s="87" t="b">
        <v>0</v>
      </c>
      <c r="AJ2500" s="87"/>
      <c r="AK2500" s="87"/>
      <c r="AL2500" s="87"/>
      <c r="AM2500" s="87"/>
      <c r="AN2500" s="87"/>
      <c r="AO2500" s="87"/>
      <c r="AP2500" s="87"/>
      <c r="AQ2500" s="87" t="s">
        <v>17044</v>
      </c>
      <c r="AR2500" s="87"/>
      <c r="AS2500" s="87"/>
      <c r="AT2500" s="87"/>
      <c r="AU2500" s="87"/>
      <c r="AV2500" s="92" t="str">
        <f>HYPERLINK("https://pbs.twimg.com/media/F3LpCIpXkAAKt5b.jpg")</f>
        <v>https://pbs.twimg.com/media/F3LpCIpXkAAKt5b.jpg</v>
      </c>
      <c r="AW2500" s="93" t="s">
        <v>20661</v>
      </c>
      <c r="AX2500" s="93" t="s">
        <v>20661</v>
      </c>
      <c r="AY2500" s="87"/>
      <c r="AZ2500" s="93" t="s">
        <v>22668</v>
      </c>
      <c r="BA2500" s="93" t="s">
        <v>22668</v>
      </c>
      <c r="BB2500" s="93" t="s">
        <v>22668</v>
      </c>
      <c r="BC2500" s="93" t="s">
        <v>20661</v>
      </c>
      <c r="BD2500" s="93" t="s">
        <v>23269</v>
      </c>
      <c r="BE2500" s="87"/>
      <c r="BF2500" s="87"/>
      <c r="BG2500" s="87"/>
      <c r="BH2500" s="87"/>
      <c r="BI2500" s="87"/>
    </row>
    <row r="2501" spans="1:61" x14ac:dyDescent="0.25">
      <c r="A2501" s="63" t="s">
        <v>1058</v>
      </c>
      <c r="B2501" s="63" t="s">
        <v>1058</v>
      </c>
      <c r="C2501" s="64"/>
      <c r="D2501" s="65"/>
      <c r="E2501" s="66"/>
      <c r="F2501" s="67"/>
      <c r="G2501" s="64"/>
      <c r="H2501" s="68"/>
      <c r="I2501" s="69"/>
      <c r="J2501" s="69"/>
      <c r="K2501" s="32"/>
      <c r="L2501" s="76">
        <v>2501</v>
      </c>
      <c r="M2501" s="76"/>
      <c r="N2501" s="71"/>
      <c r="O2501" s="87" t="s">
        <v>179</v>
      </c>
      <c r="P2501" s="90">
        <v>45148.59679398148</v>
      </c>
      <c r="Q2501" s="87" t="s">
        <v>4218</v>
      </c>
      <c r="R2501" s="87">
        <v>0</v>
      </c>
      <c r="S2501" s="87">
        <v>1</v>
      </c>
      <c r="T2501" s="87">
        <v>0</v>
      </c>
      <c r="U2501" s="87">
        <v>0</v>
      </c>
      <c r="V2501" s="87">
        <v>37</v>
      </c>
      <c r="W2501" s="93" t="s">
        <v>7424</v>
      </c>
      <c r="X2501" s="87"/>
      <c r="Y2501" s="87"/>
      <c r="Z2501" s="87"/>
      <c r="AA2501" s="87" t="s">
        <v>10232</v>
      </c>
      <c r="AB2501" s="87" t="s">
        <v>11448</v>
      </c>
      <c r="AC2501" s="93" t="s">
        <v>11457</v>
      </c>
      <c r="AD2501" s="87" t="s">
        <v>11519</v>
      </c>
      <c r="AE2501" s="92" t="str">
        <f>HYPERLINK("https://twitter.com/serraempauta/status/1689642605045518337")</f>
        <v>https://twitter.com/serraempauta/status/1689642605045518337</v>
      </c>
      <c r="AF2501" s="90">
        <v>45148.59679398148</v>
      </c>
      <c r="AG2501" s="99">
        <v>45148</v>
      </c>
      <c r="AH2501" s="93" t="s">
        <v>13755</v>
      </c>
      <c r="AI2501" s="87" t="b">
        <v>0</v>
      </c>
      <c r="AJ2501" s="87"/>
      <c r="AK2501" s="87"/>
      <c r="AL2501" s="87"/>
      <c r="AM2501" s="87"/>
      <c r="AN2501" s="87"/>
      <c r="AO2501" s="87"/>
      <c r="AP2501" s="87"/>
      <c r="AQ2501" s="87" t="s">
        <v>17045</v>
      </c>
      <c r="AR2501" s="87"/>
      <c r="AS2501" s="87"/>
      <c r="AT2501" s="87"/>
      <c r="AU2501" s="87"/>
      <c r="AV2501" s="92" t="str">
        <f>HYPERLINK("https://pbs.twimg.com/media/F3LQ_PmbsAA3yC3.jpg")</f>
        <v>https://pbs.twimg.com/media/F3LQ_PmbsAA3yC3.jpg</v>
      </c>
      <c r="AW2501" s="93" t="s">
        <v>20662</v>
      </c>
      <c r="AX2501" s="93" t="s">
        <v>20662</v>
      </c>
      <c r="AY2501" s="87"/>
      <c r="AZ2501" s="93" t="s">
        <v>22668</v>
      </c>
      <c r="BA2501" s="93" t="s">
        <v>22668</v>
      </c>
      <c r="BB2501" s="93" t="s">
        <v>22668</v>
      </c>
      <c r="BC2501" s="93" t="s">
        <v>20662</v>
      </c>
      <c r="BD2501" s="93" t="s">
        <v>23269</v>
      </c>
      <c r="BE2501" s="87"/>
      <c r="BF2501" s="87"/>
      <c r="BG2501" s="87"/>
      <c r="BH2501" s="87"/>
      <c r="BI2501" s="87"/>
    </row>
    <row r="2502" spans="1:61" x14ac:dyDescent="0.25">
      <c r="A2502" s="63" t="s">
        <v>1058</v>
      </c>
      <c r="B2502" s="63" t="s">
        <v>1058</v>
      </c>
      <c r="C2502" s="64"/>
      <c r="D2502" s="65"/>
      <c r="E2502" s="66"/>
      <c r="F2502" s="67"/>
      <c r="G2502" s="64"/>
      <c r="H2502" s="68"/>
      <c r="I2502" s="69"/>
      <c r="J2502" s="69"/>
      <c r="K2502" s="32"/>
      <c r="L2502" s="76">
        <v>2502</v>
      </c>
      <c r="M2502" s="76"/>
      <c r="N2502" s="71"/>
      <c r="O2502" s="87" t="s">
        <v>179</v>
      </c>
      <c r="P2502" s="90">
        <v>45148.588182870371</v>
      </c>
      <c r="Q2502" s="87" t="s">
        <v>4219</v>
      </c>
      <c r="R2502" s="87">
        <v>0</v>
      </c>
      <c r="S2502" s="87">
        <v>1</v>
      </c>
      <c r="T2502" s="87">
        <v>0</v>
      </c>
      <c r="U2502" s="87">
        <v>0</v>
      </c>
      <c r="V2502" s="87">
        <v>63</v>
      </c>
      <c r="W2502" s="93" t="s">
        <v>7424</v>
      </c>
      <c r="X2502" s="87"/>
      <c r="Y2502" s="87"/>
      <c r="Z2502" s="87"/>
      <c r="AA2502" s="87" t="s">
        <v>10233</v>
      </c>
      <c r="AB2502" s="87" t="s">
        <v>11448</v>
      </c>
      <c r="AC2502" s="93" t="s">
        <v>11457</v>
      </c>
      <c r="AD2502" s="87" t="s">
        <v>11519</v>
      </c>
      <c r="AE2502" s="92" t="str">
        <f>HYPERLINK("https://twitter.com/serraempauta/status/1689639485292859395")</f>
        <v>https://twitter.com/serraempauta/status/1689639485292859395</v>
      </c>
      <c r="AF2502" s="90">
        <v>45148.588182870371</v>
      </c>
      <c r="AG2502" s="99">
        <v>45148</v>
      </c>
      <c r="AH2502" s="93" t="s">
        <v>13756</v>
      </c>
      <c r="AI2502" s="87" t="b">
        <v>0</v>
      </c>
      <c r="AJ2502" s="87"/>
      <c r="AK2502" s="87"/>
      <c r="AL2502" s="87"/>
      <c r="AM2502" s="87"/>
      <c r="AN2502" s="87"/>
      <c r="AO2502" s="87"/>
      <c r="AP2502" s="87"/>
      <c r="AQ2502" s="87" t="s">
        <v>17046</v>
      </c>
      <c r="AR2502" s="87"/>
      <c r="AS2502" s="87"/>
      <c r="AT2502" s="87"/>
      <c r="AU2502" s="87"/>
      <c r="AV2502" s="92" t="str">
        <f>HYPERLINK("https://pbs.twimg.com/media/F3LOJIFaoAA4ArG.jpg")</f>
        <v>https://pbs.twimg.com/media/F3LOJIFaoAA4ArG.jpg</v>
      </c>
      <c r="AW2502" s="93" t="s">
        <v>20663</v>
      </c>
      <c r="AX2502" s="93" t="s">
        <v>20663</v>
      </c>
      <c r="AY2502" s="87"/>
      <c r="AZ2502" s="93" t="s">
        <v>22668</v>
      </c>
      <c r="BA2502" s="93" t="s">
        <v>22668</v>
      </c>
      <c r="BB2502" s="93" t="s">
        <v>22668</v>
      </c>
      <c r="BC2502" s="93" t="s">
        <v>20663</v>
      </c>
      <c r="BD2502" s="93" t="s">
        <v>23269</v>
      </c>
      <c r="BE2502" s="87"/>
      <c r="BF2502" s="87"/>
      <c r="BG2502" s="87"/>
      <c r="BH2502" s="87"/>
      <c r="BI2502" s="87"/>
    </row>
    <row r="2503" spans="1:61" x14ac:dyDescent="0.25">
      <c r="A2503" s="63" t="s">
        <v>1058</v>
      </c>
      <c r="B2503" s="63" t="s">
        <v>1058</v>
      </c>
      <c r="C2503" s="64"/>
      <c r="D2503" s="65"/>
      <c r="E2503" s="66"/>
      <c r="F2503" s="67"/>
      <c r="G2503" s="64"/>
      <c r="H2503" s="68"/>
      <c r="I2503" s="69"/>
      <c r="J2503" s="69"/>
      <c r="K2503" s="32"/>
      <c r="L2503" s="76">
        <v>2503</v>
      </c>
      <c r="M2503" s="76"/>
      <c r="N2503" s="71"/>
      <c r="O2503" s="87" t="s">
        <v>179</v>
      </c>
      <c r="P2503" s="90">
        <v>45148.549618055556</v>
      </c>
      <c r="Q2503" s="87" t="s">
        <v>4220</v>
      </c>
      <c r="R2503" s="87">
        <v>0</v>
      </c>
      <c r="S2503" s="87">
        <v>1</v>
      </c>
      <c r="T2503" s="87">
        <v>0</v>
      </c>
      <c r="U2503" s="87">
        <v>0</v>
      </c>
      <c r="V2503" s="87">
        <v>72</v>
      </c>
      <c r="W2503" s="93" t="s">
        <v>7424</v>
      </c>
      <c r="X2503" s="87"/>
      <c r="Y2503" s="87"/>
      <c r="Z2503" s="87"/>
      <c r="AA2503" s="87" t="s">
        <v>10234</v>
      </c>
      <c r="AB2503" s="87" t="s">
        <v>11448</v>
      </c>
      <c r="AC2503" s="93" t="s">
        <v>11457</v>
      </c>
      <c r="AD2503" s="87" t="s">
        <v>11519</v>
      </c>
      <c r="AE2503" s="92" t="str">
        <f>HYPERLINK("https://twitter.com/serraempauta/status/1689625506868609025")</f>
        <v>https://twitter.com/serraempauta/status/1689625506868609025</v>
      </c>
      <c r="AF2503" s="90">
        <v>45148.549618055556</v>
      </c>
      <c r="AG2503" s="99">
        <v>45148</v>
      </c>
      <c r="AH2503" s="93" t="s">
        <v>13757</v>
      </c>
      <c r="AI2503" s="87" t="b">
        <v>0</v>
      </c>
      <c r="AJ2503" s="87"/>
      <c r="AK2503" s="87"/>
      <c r="AL2503" s="87"/>
      <c r="AM2503" s="87"/>
      <c r="AN2503" s="87"/>
      <c r="AO2503" s="87"/>
      <c r="AP2503" s="87"/>
      <c r="AQ2503" s="87" t="s">
        <v>17047</v>
      </c>
      <c r="AR2503" s="87"/>
      <c r="AS2503" s="87"/>
      <c r="AT2503" s="87"/>
      <c r="AU2503" s="87"/>
      <c r="AV2503" s="92" t="str">
        <f>HYPERLINK("https://pbs.twimg.com/media/F3LBcFEWcAACL9S.jpg")</f>
        <v>https://pbs.twimg.com/media/F3LBcFEWcAACL9S.jpg</v>
      </c>
      <c r="AW2503" s="93" t="s">
        <v>20664</v>
      </c>
      <c r="AX2503" s="93" t="s">
        <v>20664</v>
      </c>
      <c r="AY2503" s="87"/>
      <c r="AZ2503" s="93" t="s">
        <v>22668</v>
      </c>
      <c r="BA2503" s="93" t="s">
        <v>22668</v>
      </c>
      <c r="BB2503" s="93" t="s">
        <v>22668</v>
      </c>
      <c r="BC2503" s="93" t="s">
        <v>20664</v>
      </c>
      <c r="BD2503" s="93" t="s">
        <v>23269</v>
      </c>
      <c r="BE2503" s="87"/>
      <c r="BF2503" s="87"/>
      <c r="BG2503" s="87"/>
      <c r="BH2503" s="87"/>
      <c r="BI2503" s="87"/>
    </row>
    <row r="2504" spans="1:61" x14ac:dyDescent="0.25">
      <c r="A2504" s="63" t="s">
        <v>1058</v>
      </c>
      <c r="B2504" s="63" t="s">
        <v>1058</v>
      </c>
      <c r="C2504" s="64"/>
      <c r="D2504" s="65"/>
      <c r="E2504" s="66"/>
      <c r="F2504" s="67"/>
      <c r="G2504" s="64"/>
      <c r="H2504" s="68"/>
      <c r="I2504" s="69"/>
      <c r="J2504" s="69"/>
      <c r="K2504" s="32"/>
      <c r="L2504" s="76">
        <v>2504</v>
      </c>
      <c r="M2504" s="76"/>
      <c r="N2504" s="71"/>
      <c r="O2504" s="87" t="s">
        <v>179</v>
      </c>
      <c r="P2504" s="90">
        <v>45148.525509259256</v>
      </c>
      <c r="Q2504" s="87" t="s">
        <v>4221</v>
      </c>
      <c r="R2504" s="87">
        <v>0</v>
      </c>
      <c r="S2504" s="87">
        <v>0</v>
      </c>
      <c r="T2504" s="87">
        <v>0</v>
      </c>
      <c r="U2504" s="87">
        <v>0</v>
      </c>
      <c r="V2504" s="87">
        <v>24</v>
      </c>
      <c r="W2504" s="93" t="s">
        <v>7424</v>
      </c>
      <c r="X2504" s="87"/>
      <c r="Y2504" s="87"/>
      <c r="Z2504" s="87"/>
      <c r="AA2504" s="87" t="s">
        <v>10235</v>
      </c>
      <c r="AB2504" s="87" t="s">
        <v>11448</v>
      </c>
      <c r="AC2504" s="93" t="s">
        <v>11457</v>
      </c>
      <c r="AD2504" s="87" t="s">
        <v>11519</v>
      </c>
      <c r="AE2504" s="92" t="str">
        <f>HYPERLINK("https://twitter.com/serraempauta/status/1689616771223879680")</f>
        <v>https://twitter.com/serraempauta/status/1689616771223879680</v>
      </c>
      <c r="AF2504" s="90">
        <v>45148.525509259256</v>
      </c>
      <c r="AG2504" s="99">
        <v>45148</v>
      </c>
      <c r="AH2504" s="93" t="s">
        <v>13758</v>
      </c>
      <c r="AI2504" s="87" t="b">
        <v>0</v>
      </c>
      <c r="AJ2504" s="87"/>
      <c r="AK2504" s="87"/>
      <c r="AL2504" s="87"/>
      <c r="AM2504" s="87"/>
      <c r="AN2504" s="87"/>
      <c r="AO2504" s="87"/>
      <c r="AP2504" s="87"/>
      <c r="AQ2504" s="87" t="s">
        <v>17048</v>
      </c>
      <c r="AR2504" s="87"/>
      <c r="AS2504" s="87"/>
      <c r="AT2504" s="87"/>
      <c r="AU2504" s="87"/>
      <c r="AV2504" s="92" t="str">
        <f>HYPERLINK("https://pbs.twimg.com/media/F3K5fmRWsAAyVKQ.jpg")</f>
        <v>https://pbs.twimg.com/media/F3K5fmRWsAAyVKQ.jpg</v>
      </c>
      <c r="AW2504" s="93" t="s">
        <v>20665</v>
      </c>
      <c r="AX2504" s="93" t="s">
        <v>20665</v>
      </c>
      <c r="AY2504" s="87"/>
      <c r="AZ2504" s="93" t="s">
        <v>22668</v>
      </c>
      <c r="BA2504" s="93" t="s">
        <v>22668</v>
      </c>
      <c r="BB2504" s="93" t="s">
        <v>22668</v>
      </c>
      <c r="BC2504" s="93" t="s">
        <v>20665</v>
      </c>
      <c r="BD2504" s="93" t="s">
        <v>23269</v>
      </c>
      <c r="BE2504" s="87"/>
      <c r="BF2504" s="87"/>
      <c r="BG2504" s="87"/>
      <c r="BH2504" s="87"/>
      <c r="BI2504" s="87"/>
    </row>
    <row r="2505" spans="1:61" x14ac:dyDescent="0.25">
      <c r="A2505" s="63" t="s">
        <v>1058</v>
      </c>
      <c r="B2505" s="63" t="s">
        <v>1058</v>
      </c>
      <c r="C2505" s="64"/>
      <c r="D2505" s="65"/>
      <c r="E2505" s="66"/>
      <c r="F2505" s="67"/>
      <c r="G2505" s="64"/>
      <c r="H2505" s="68"/>
      <c r="I2505" s="69"/>
      <c r="J2505" s="69"/>
      <c r="K2505" s="32"/>
      <c r="L2505" s="76">
        <v>2505</v>
      </c>
      <c r="M2505" s="76"/>
      <c r="N2505" s="71"/>
      <c r="O2505" s="87" t="s">
        <v>179</v>
      </c>
      <c r="P2505" s="90">
        <v>45148.502662037034</v>
      </c>
      <c r="Q2505" s="87" t="s">
        <v>4222</v>
      </c>
      <c r="R2505" s="87">
        <v>0</v>
      </c>
      <c r="S2505" s="87">
        <v>1</v>
      </c>
      <c r="T2505" s="87">
        <v>0</v>
      </c>
      <c r="U2505" s="87">
        <v>0</v>
      </c>
      <c r="V2505" s="87">
        <v>39</v>
      </c>
      <c r="W2505" s="93" t="s">
        <v>7424</v>
      </c>
      <c r="X2505" s="87"/>
      <c r="Y2505" s="87"/>
      <c r="Z2505" s="87"/>
      <c r="AA2505" s="87" t="s">
        <v>10236</v>
      </c>
      <c r="AB2505" s="87" t="s">
        <v>11448</v>
      </c>
      <c r="AC2505" s="93" t="s">
        <v>11457</v>
      </c>
      <c r="AD2505" s="87" t="s">
        <v>11519</v>
      </c>
      <c r="AE2505" s="92" t="str">
        <f>HYPERLINK("https://twitter.com/serraempauta/status/1689608493135699969")</f>
        <v>https://twitter.com/serraempauta/status/1689608493135699969</v>
      </c>
      <c r="AF2505" s="90">
        <v>45148.502662037034</v>
      </c>
      <c r="AG2505" s="99">
        <v>45148</v>
      </c>
      <c r="AH2505" s="93" t="s">
        <v>13759</v>
      </c>
      <c r="AI2505" s="87" t="b">
        <v>0</v>
      </c>
      <c r="AJ2505" s="87"/>
      <c r="AK2505" s="87"/>
      <c r="AL2505" s="87"/>
      <c r="AM2505" s="87"/>
      <c r="AN2505" s="87"/>
      <c r="AO2505" s="87"/>
      <c r="AP2505" s="87"/>
      <c r="AQ2505" s="87" t="s">
        <v>17049</v>
      </c>
      <c r="AR2505" s="87"/>
      <c r="AS2505" s="87"/>
      <c r="AT2505" s="87"/>
      <c r="AU2505" s="87"/>
      <c r="AV2505" s="92" t="str">
        <f>HYPERLINK("https://pbs.twimg.com/media/F3Kx5PmW8AA4VgY.jpg")</f>
        <v>https://pbs.twimg.com/media/F3Kx5PmW8AA4VgY.jpg</v>
      </c>
      <c r="AW2505" s="93" t="s">
        <v>20666</v>
      </c>
      <c r="AX2505" s="93" t="s">
        <v>20666</v>
      </c>
      <c r="AY2505" s="87"/>
      <c r="AZ2505" s="93" t="s">
        <v>22668</v>
      </c>
      <c r="BA2505" s="93" t="s">
        <v>22668</v>
      </c>
      <c r="BB2505" s="93" t="s">
        <v>22668</v>
      </c>
      <c r="BC2505" s="93" t="s">
        <v>20666</v>
      </c>
      <c r="BD2505" s="93" t="s">
        <v>23269</v>
      </c>
      <c r="BE2505" s="87"/>
      <c r="BF2505" s="87"/>
      <c r="BG2505" s="87"/>
      <c r="BH2505" s="87"/>
      <c r="BI2505" s="87"/>
    </row>
    <row r="2506" spans="1:61" x14ac:dyDescent="0.25">
      <c r="A2506" s="63" t="s">
        <v>1058</v>
      </c>
      <c r="B2506" s="63" t="s">
        <v>1058</v>
      </c>
      <c r="C2506" s="64"/>
      <c r="D2506" s="65"/>
      <c r="E2506" s="66"/>
      <c r="F2506" s="67"/>
      <c r="G2506" s="64"/>
      <c r="H2506" s="68"/>
      <c r="I2506" s="69"/>
      <c r="J2506" s="69"/>
      <c r="K2506" s="32"/>
      <c r="L2506" s="76">
        <v>2506</v>
      </c>
      <c r="M2506" s="76"/>
      <c r="N2506" s="71"/>
      <c r="O2506" s="87" t="s">
        <v>179</v>
      </c>
      <c r="P2506" s="90">
        <v>45148.458194444444</v>
      </c>
      <c r="Q2506" s="87" t="s">
        <v>4223</v>
      </c>
      <c r="R2506" s="87">
        <v>0</v>
      </c>
      <c r="S2506" s="87">
        <v>0</v>
      </c>
      <c r="T2506" s="87">
        <v>0</v>
      </c>
      <c r="U2506" s="87">
        <v>0</v>
      </c>
      <c r="V2506" s="87">
        <v>27</v>
      </c>
      <c r="W2506" s="93" t="s">
        <v>7424</v>
      </c>
      <c r="X2506" s="87"/>
      <c r="Y2506" s="87"/>
      <c r="Z2506" s="87"/>
      <c r="AA2506" s="87" t="s">
        <v>10237</v>
      </c>
      <c r="AB2506" s="87" t="s">
        <v>11448</v>
      </c>
      <c r="AC2506" s="93" t="s">
        <v>11457</v>
      </c>
      <c r="AD2506" s="87" t="s">
        <v>11519</v>
      </c>
      <c r="AE2506" s="92" t="str">
        <f>HYPERLINK("https://twitter.com/serraempauta/status/1689592379211124736")</f>
        <v>https://twitter.com/serraempauta/status/1689592379211124736</v>
      </c>
      <c r="AF2506" s="90">
        <v>45148.458194444444</v>
      </c>
      <c r="AG2506" s="99">
        <v>45148</v>
      </c>
      <c r="AH2506" s="93" t="s">
        <v>13760</v>
      </c>
      <c r="AI2506" s="87" t="b">
        <v>0</v>
      </c>
      <c r="AJ2506" s="87"/>
      <c r="AK2506" s="87"/>
      <c r="AL2506" s="87"/>
      <c r="AM2506" s="87"/>
      <c r="AN2506" s="87"/>
      <c r="AO2506" s="87"/>
      <c r="AP2506" s="87"/>
      <c r="AQ2506" s="87" t="s">
        <v>17050</v>
      </c>
      <c r="AR2506" s="87"/>
      <c r="AS2506" s="87"/>
      <c r="AT2506" s="87"/>
      <c r="AU2506" s="87"/>
      <c r="AV2506" s="92" t="str">
        <f>HYPERLINK("https://pbs.twimg.com/media/F3KjTwcWkAEQeLT.jpg")</f>
        <v>https://pbs.twimg.com/media/F3KjTwcWkAEQeLT.jpg</v>
      </c>
      <c r="AW2506" s="93" t="s">
        <v>20667</v>
      </c>
      <c r="AX2506" s="93" t="s">
        <v>20667</v>
      </c>
      <c r="AY2506" s="87"/>
      <c r="AZ2506" s="93" t="s">
        <v>22668</v>
      </c>
      <c r="BA2506" s="93" t="s">
        <v>22668</v>
      </c>
      <c r="BB2506" s="93" t="s">
        <v>22668</v>
      </c>
      <c r="BC2506" s="93" t="s">
        <v>20667</v>
      </c>
      <c r="BD2506" s="93" t="s">
        <v>23269</v>
      </c>
      <c r="BE2506" s="87"/>
      <c r="BF2506" s="87"/>
      <c r="BG2506" s="87"/>
      <c r="BH2506" s="87"/>
      <c r="BI2506" s="87"/>
    </row>
    <row r="2507" spans="1:61" x14ac:dyDescent="0.25">
      <c r="A2507" s="63" t="s">
        <v>1058</v>
      </c>
      <c r="B2507" s="63" t="s">
        <v>1058</v>
      </c>
      <c r="C2507" s="64"/>
      <c r="D2507" s="65"/>
      <c r="E2507" s="66"/>
      <c r="F2507" s="67"/>
      <c r="G2507" s="64"/>
      <c r="H2507" s="68"/>
      <c r="I2507" s="69"/>
      <c r="J2507" s="69"/>
      <c r="K2507" s="32"/>
      <c r="L2507" s="76">
        <v>2507</v>
      </c>
      <c r="M2507" s="76"/>
      <c r="N2507" s="71"/>
      <c r="O2507" s="87" t="s">
        <v>179</v>
      </c>
      <c r="P2507" s="90">
        <v>45147.575787037036</v>
      </c>
      <c r="Q2507" s="87" t="s">
        <v>4224</v>
      </c>
      <c r="R2507" s="87">
        <v>0</v>
      </c>
      <c r="S2507" s="87">
        <v>0</v>
      </c>
      <c r="T2507" s="87">
        <v>0</v>
      </c>
      <c r="U2507" s="87">
        <v>0</v>
      </c>
      <c r="V2507" s="87">
        <v>76</v>
      </c>
      <c r="W2507" s="93" t="s">
        <v>7424</v>
      </c>
      <c r="X2507" s="87"/>
      <c r="Y2507" s="87"/>
      <c r="Z2507" s="87"/>
      <c r="AA2507" s="87" t="s">
        <v>10238</v>
      </c>
      <c r="AB2507" s="87" t="s">
        <v>11448</v>
      </c>
      <c r="AC2507" s="93" t="s">
        <v>11457</v>
      </c>
      <c r="AD2507" s="87" t="s">
        <v>11519</v>
      </c>
      <c r="AE2507" s="92" t="str">
        <f>HYPERLINK("https://twitter.com/serraempauta/status/1689272604446633984")</f>
        <v>https://twitter.com/serraempauta/status/1689272604446633984</v>
      </c>
      <c r="AF2507" s="90">
        <v>45147.575787037036</v>
      </c>
      <c r="AG2507" s="99">
        <v>45147</v>
      </c>
      <c r="AH2507" s="93" t="s">
        <v>13761</v>
      </c>
      <c r="AI2507" s="87" t="b">
        <v>0</v>
      </c>
      <c r="AJ2507" s="87"/>
      <c r="AK2507" s="87"/>
      <c r="AL2507" s="87"/>
      <c r="AM2507" s="87"/>
      <c r="AN2507" s="87"/>
      <c r="AO2507" s="87"/>
      <c r="AP2507" s="87"/>
      <c r="AQ2507" s="87" t="s">
        <v>17051</v>
      </c>
      <c r="AR2507" s="87"/>
      <c r="AS2507" s="87"/>
      <c r="AT2507" s="87"/>
      <c r="AU2507" s="87"/>
      <c r="AV2507" s="92" t="str">
        <f>HYPERLINK("https://pbs.twimg.com/media/F3GAeCjWwAEYtqz.jpg")</f>
        <v>https://pbs.twimg.com/media/F3GAeCjWwAEYtqz.jpg</v>
      </c>
      <c r="AW2507" s="93" t="s">
        <v>20668</v>
      </c>
      <c r="AX2507" s="93" t="s">
        <v>20668</v>
      </c>
      <c r="AY2507" s="87"/>
      <c r="AZ2507" s="93" t="s">
        <v>22668</v>
      </c>
      <c r="BA2507" s="93" t="s">
        <v>22668</v>
      </c>
      <c r="BB2507" s="93" t="s">
        <v>22668</v>
      </c>
      <c r="BC2507" s="93" t="s">
        <v>20668</v>
      </c>
      <c r="BD2507" s="93" t="s">
        <v>23269</v>
      </c>
      <c r="BE2507" s="87"/>
      <c r="BF2507" s="87"/>
      <c r="BG2507" s="87"/>
      <c r="BH2507" s="87"/>
      <c r="BI2507" s="87"/>
    </row>
    <row r="2508" spans="1:61" x14ac:dyDescent="0.25">
      <c r="A2508" s="63" t="s">
        <v>1058</v>
      </c>
      <c r="B2508" s="63" t="s">
        <v>1058</v>
      </c>
      <c r="C2508" s="64"/>
      <c r="D2508" s="65"/>
      <c r="E2508" s="66"/>
      <c r="F2508" s="67"/>
      <c r="G2508" s="64"/>
      <c r="H2508" s="68"/>
      <c r="I2508" s="69"/>
      <c r="J2508" s="69"/>
      <c r="K2508" s="32"/>
      <c r="L2508" s="76">
        <v>2508</v>
      </c>
      <c r="M2508" s="76"/>
      <c r="N2508" s="71"/>
      <c r="O2508" s="87" t="s">
        <v>179</v>
      </c>
      <c r="P2508" s="90">
        <v>45146.822326388887</v>
      </c>
      <c r="Q2508" s="87" t="s">
        <v>4225</v>
      </c>
      <c r="R2508" s="87">
        <v>0</v>
      </c>
      <c r="S2508" s="87">
        <v>0</v>
      </c>
      <c r="T2508" s="87">
        <v>0</v>
      </c>
      <c r="U2508" s="87">
        <v>0</v>
      </c>
      <c r="V2508" s="87">
        <v>26</v>
      </c>
      <c r="W2508" s="93" t="s">
        <v>7424</v>
      </c>
      <c r="X2508" s="87"/>
      <c r="Y2508" s="87"/>
      <c r="Z2508" s="87"/>
      <c r="AA2508" s="87" t="s">
        <v>10239</v>
      </c>
      <c r="AB2508" s="87" t="s">
        <v>11448</v>
      </c>
      <c r="AC2508" s="93" t="s">
        <v>11457</v>
      </c>
      <c r="AD2508" s="87" t="s">
        <v>11519</v>
      </c>
      <c r="AE2508" s="92" t="str">
        <f>HYPERLINK("https://twitter.com/serraempauta/status/1688999558741688321")</f>
        <v>https://twitter.com/serraempauta/status/1688999558741688321</v>
      </c>
      <c r="AF2508" s="90">
        <v>45146.822326388887</v>
      </c>
      <c r="AG2508" s="99">
        <v>45146</v>
      </c>
      <c r="AH2508" s="93" t="s">
        <v>13762</v>
      </c>
      <c r="AI2508" s="87" t="b">
        <v>0</v>
      </c>
      <c r="AJ2508" s="87"/>
      <c r="AK2508" s="87"/>
      <c r="AL2508" s="87"/>
      <c r="AM2508" s="87"/>
      <c r="AN2508" s="87"/>
      <c r="AO2508" s="87"/>
      <c r="AP2508" s="87"/>
      <c r="AQ2508" s="87" t="s">
        <v>17052</v>
      </c>
      <c r="AR2508" s="87"/>
      <c r="AS2508" s="87"/>
      <c r="AT2508" s="87"/>
      <c r="AU2508" s="87"/>
      <c r="AV2508" s="92" t="str">
        <f>HYPERLINK("https://pbs.twimg.com/media/F3CIIBYWsAAEFwL.jpg")</f>
        <v>https://pbs.twimg.com/media/F3CIIBYWsAAEFwL.jpg</v>
      </c>
      <c r="AW2508" s="93" t="s">
        <v>20669</v>
      </c>
      <c r="AX2508" s="93" t="s">
        <v>20669</v>
      </c>
      <c r="AY2508" s="87"/>
      <c r="AZ2508" s="93" t="s">
        <v>22668</v>
      </c>
      <c r="BA2508" s="93" t="s">
        <v>22668</v>
      </c>
      <c r="BB2508" s="93" t="s">
        <v>22668</v>
      </c>
      <c r="BC2508" s="93" t="s">
        <v>20669</v>
      </c>
      <c r="BD2508" s="93" t="s">
        <v>23269</v>
      </c>
      <c r="BE2508" s="87"/>
      <c r="BF2508" s="87"/>
      <c r="BG2508" s="87"/>
      <c r="BH2508" s="87"/>
      <c r="BI2508" s="87"/>
    </row>
    <row r="2509" spans="1:61" x14ac:dyDescent="0.25">
      <c r="A2509" s="63" t="s">
        <v>1058</v>
      </c>
      <c r="B2509" s="63" t="s">
        <v>1058</v>
      </c>
      <c r="C2509" s="64"/>
      <c r="D2509" s="65"/>
      <c r="E2509" s="66"/>
      <c r="F2509" s="67"/>
      <c r="G2509" s="64"/>
      <c r="H2509" s="68"/>
      <c r="I2509" s="69"/>
      <c r="J2509" s="69"/>
      <c r="K2509" s="32"/>
      <c r="L2509" s="76">
        <v>2509</v>
      </c>
      <c r="M2509" s="76"/>
      <c r="N2509" s="71"/>
      <c r="O2509" s="87" t="s">
        <v>179</v>
      </c>
      <c r="P2509" s="90">
        <v>45146.726412037038</v>
      </c>
      <c r="Q2509" s="87" t="s">
        <v>4226</v>
      </c>
      <c r="R2509" s="87">
        <v>0</v>
      </c>
      <c r="S2509" s="87">
        <v>0</v>
      </c>
      <c r="T2509" s="87">
        <v>0</v>
      </c>
      <c r="U2509" s="87">
        <v>0</v>
      </c>
      <c r="V2509" s="87">
        <v>32</v>
      </c>
      <c r="W2509" s="93" t="s">
        <v>7424</v>
      </c>
      <c r="X2509" s="87"/>
      <c r="Y2509" s="87"/>
      <c r="Z2509" s="87"/>
      <c r="AA2509" s="87" t="s">
        <v>10240</v>
      </c>
      <c r="AB2509" s="87" t="s">
        <v>11448</v>
      </c>
      <c r="AC2509" s="93" t="s">
        <v>11457</v>
      </c>
      <c r="AD2509" s="87" t="s">
        <v>11519</v>
      </c>
      <c r="AE2509" s="92" t="str">
        <f>HYPERLINK("https://twitter.com/serraempauta/status/1688964798891888640")</f>
        <v>https://twitter.com/serraempauta/status/1688964798891888640</v>
      </c>
      <c r="AF2509" s="90">
        <v>45146.726412037038</v>
      </c>
      <c r="AG2509" s="99">
        <v>45146</v>
      </c>
      <c r="AH2509" s="93" t="s">
        <v>13763</v>
      </c>
      <c r="AI2509" s="87" t="b">
        <v>0</v>
      </c>
      <c r="AJ2509" s="87"/>
      <c r="AK2509" s="87"/>
      <c r="AL2509" s="87"/>
      <c r="AM2509" s="87"/>
      <c r="AN2509" s="87"/>
      <c r="AO2509" s="87"/>
      <c r="AP2509" s="87"/>
      <c r="AQ2509" s="87" t="s">
        <v>17053</v>
      </c>
      <c r="AR2509" s="87"/>
      <c r="AS2509" s="87"/>
      <c r="AT2509" s="87"/>
      <c r="AU2509" s="87"/>
      <c r="AV2509" s="92" t="str">
        <f>HYPERLINK("https://pbs.twimg.com/media/F3BogFxXEAkwJq6.jpg")</f>
        <v>https://pbs.twimg.com/media/F3BogFxXEAkwJq6.jpg</v>
      </c>
      <c r="AW2509" s="93" t="s">
        <v>20670</v>
      </c>
      <c r="AX2509" s="93" t="s">
        <v>20670</v>
      </c>
      <c r="AY2509" s="87"/>
      <c r="AZ2509" s="93" t="s">
        <v>22668</v>
      </c>
      <c r="BA2509" s="93" t="s">
        <v>22668</v>
      </c>
      <c r="BB2509" s="93" t="s">
        <v>22668</v>
      </c>
      <c r="BC2509" s="93" t="s">
        <v>20670</v>
      </c>
      <c r="BD2509" s="93" t="s">
        <v>23269</v>
      </c>
      <c r="BE2509" s="87"/>
      <c r="BF2509" s="87"/>
      <c r="BG2509" s="87"/>
      <c r="BH2509" s="87"/>
      <c r="BI2509" s="87"/>
    </row>
    <row r="2510" spans="1:61" x14ac:dyDescent="0.25">
      <c r="A2510" s="63" t="s">
        <v>1058</v>
      </c>
      <c r="B2510" s="63" t="s">
        <v>1058</v>
      </c>
      <c r="C2510" s="64"/>
      <c r="D2510" s="65"/>
      <c r="E2510" s="66"/>
      <c r="F2510" s="67"/>
      <c r="G2510" s="64"/>
      <c r="H2510" s="68"/>
      <c r="I2510" s="69"/>
      <c r="J2510" s="69"/>
      <c r="K2510" s="32"/>
      <c r="L2510" s="76">
        <v>2510</v>
      </c>
      <c r="M2510" s="76"/>
      <c r="N2510" s="71"/>
      <c r="O2510" s="87" t="s">
        <v>179</v>
      </c>
      <c r="P2510" s="90">
        <v>45146.587870370371</v>
      </c>
      <c r="Q2510" s="87" t="s">
        <v>4227</v>
      </c>
      <c r="R2510" s="87">
        <v>0</v>
      </c>
      <c r="S2510" s="87">
        <v>0</v>
      </c>
      <c r="T2510" s="87">
        <v>0</v>
      </c>
      <c r="U2510" s="87">
        <v>0</v>
      </c>
      <c r="V2510" s="87">
        <v>34</v>
      </c>
      <c r="W2510" s="93" t="s">
        <v>7424</v>
      </c>
      <c r="X2510" s="87"/>
      <c r="Y2510" s="87"/>
      <c r="Z2510" s="87"/>
      <c r="AA2510" s="87" t="s">
        <v>10241</v>
      </c>
      <c r="AB2510" s="87" t="s">
        <v>11448</v>
      </c>
      <c r="AC2510" s="93" t="s">
        <v>11457</v>
      </c>
      <c r="AD2510" s="87" t="s">
        <v>11519</v>
      </c>
      <c r="AE2510" s="92" t="str">
        <f>HYPERLINK("https://twitter.com/serraempauta/status/1688914593215889408")</f>
        <v>https://twitter.com/serraempauta/status/1688914593215889408</v>
      </c>
      <c r="AF2510" s="90">
        <v>45146.587870370371</v>
      </c>
      <c r="AG2510" s="99">
        <v>45146</v>
      </c>
      <c r="AH2510" s="93" t="s">
        <v>13764</v>
      </c>
      <c r="AI2510" s="87" t="b">
        <v>0</v>
      </c>
      <c r="AJ2510" s="87"/>
      <c r="AK2510" s="87"/>
      <c r="AL2510" s="87"/>
      <c r="AM2510" s="87"/>
      <c r="AN2510" s="87"/>
      <c r="AO2510" s="87"/>
      <c r="AP2510" s="87"/>
      <c r="AQ2510" s="87" t="s">
        <v>17054</v>
      </c>
      <c r="AR2510" s="87"/>
      <c r="AS2510" s="87"/>
      <c r="AT2510" s="87"/>
      <c r="AU2510" s="87"/>
      <c r="AV2510" s="92" t="str">
        <f>HYPERLINK("https://pbs.twimg.com/media/F3A63YXbEAM_cTm.jpg")</f>
        <v>https://pbs.twimg.com/media/F3A63YXbEAM_cTm.jpg</v>
      </c>
      <c r="AW2510" s="93" t="s">
        <v>20671</v>
      </c>
      <c r="AX2510" s="93" t="s">
        <v>20671</v>
      </c>
      <c r="AY2510" s="87"/>
      <c r="AZ2510" s="93" t="s">
        <v>22668</v>
      </c>
      <c r="BA2510" s="93" t="s">
        <v>22668</v>
      </c>
      <c r="BB2510" s="93" t="s">
        <v>22668</v>
      </c>
      <c r="BC2510" s="93" t="s">
        <v>20671</v>
      </c>
      <c r="BD2510" s="93" t="s">
        <v>23269</v>
      </c>
      <c r="BE2510" s="87"/>
      <c r="BF2510" s="87"/>
      <c r="BG2510" s="87"/>
      <c r="BH2510" s="87"/>
      <c r="BI2510" s="87"/>
    </row>
    <row r="2511" spans="1:61" x14ac:dyDescent="0.25">
      <c r="A2511" s="63" t="s">
        <v>1058</v>
      </c>
      <c r="B2511" s="63" t="s">
        <v>1058</v>
      </c>
      <c r="C2511" s="64"/>
      <c r="D2511" s="65"/>
      <c r="E2511" s="66"/>
      <c r="F2511" s="67"/>
      <c r="G2511" s="64"/>
      <c r="H2511" s="68"/>
      <c r="I2511" s="69"/>
      <c r="J2511" s="69"/>
      <c r="K2511" s="32"/>
      <c r="L2511" s="76">
        <v>2511</v>
      </c>
      <c r="M2511" s="76"/>
      <c r="N2511" s="71"/>
      <c r="O2511" s="87" t="s">
        <v>179</v>
      </c>
      <c r="P2511" s="90">
        <v>45146.538912037038</v>
      </c>
      <c r="Q2511" s="87" t="s">
        <v>4228</v>
      </c>
      <c r="R2511" s="87">
        <v>0</v>
      </c>
      <c r="S2511" s="87">
        <v>1</v>
      </c>
      <c r="T2511" s="87">
        <v>0</v>
      </c>
      <c r="U2511" s="87">
        <v>0</v>
      </c>
      <c r="V2511" s="87">
        <v>48</v>
      </c>
      <c r="W2511" s="93" t="s">
        <v>7424</v>
      </c>
      <c r="X2511" s="87"/>
      <c r="Y2511" s="87"/>
      <c r="Z2511" s="87"/>
      <c r="AA2511" s="87" t="s">
        <v>10242</v>
      </c>
      <c r="AB2511" s="87" t="s">
        <v>11448</v>
      </c>
      <c r="AC2511" s="93" t="s">
        <v>11457</v>
      </c>
      <c r="AD2511" s="87" t="s">
        <v>11519</v>
      </c>
      <c r="AE2511" s="92" t="str">
        <f>HYPERLINK("https://twitter.com/serraempauta/status/1688896852572123136")</f>
        <v>https://twitter.com/serraempauta/status/1688896852572123136</v>
      </c>
      <c r="AF2511" s="90">
        <v>45146.538912037038</v>
      </c>
      <c r="AG2511" s="99">
        <v>45146</v>
      </c>
      <c r="AH2511" s="93" t="s">
        <v>13765</v>
      </c>
      <c r="AI2511" s="87" t="b">
        <v>0</v>
      </c>
      <c r="AJ2511" s="87"/>
      <c r="AK2511" s="87"/>
      <c r="AL2511" s="87"/>
      <c r="AM2511" s="87"/>
      <c r="AN2511" s="87"/>
      <c r="AO2511" s="87"/>
      <c r="AP2511" s="87"/>
      <c r="AQ2511" s="87" t="s">
        <v>17055</v>
      </c>
      <c r="AR2511" s="87"/>
      <c r="AS2511" s="87"/>
      <c r="AT2511" s="87"/>
      <c r="AU2511" s="87"/>
      <c r="AV2511" s="92" t="str">
        <f>HYPERLINK("https://pbs.twimg.com/media/F3Aqt6GXwAAEHqX.jpg")</f>
        <v>https://pbs.twimg.com/media/F3Aqt6GXwAAEHqX.jpg</v>
      </c>
      <c r="AW2511" s="93" t="s">
        <v>20672</v>
      </c>
      <c r="AX2511" s="93" t="s">
        <v>20672</v>
      </c>
      <c r="AY2511" s="87"/>
      <c r="AZ2511" s="93" t="s">
        <v>22668</v>
      </c>
      <c r="BA2511" s="93" t="s">
        <v>22668</v>
      </c>
      <c r="BB2511" s="93" t="s">
        <v>22668</v>
      </c>
      <c r="BC2511" s="93" t="s">
        <v>20672</v>
      </c>
      <c r="BD2511" s="93" t="s">
        <v>23269</v>
      </c>
      <c r="BE2511" s="87"/>
      <c r="BF2511" s="87"/>
      <c r="BG2511" s="87"/>
      <c r="BH2511" s="87"/>
      <c r="BI2511" s="87"/>
    </row>
    <row r="2512" spans="1:61" x14ac:dyDescent="0.25">
      <c r="A2512" s="63" t="s">
        <v>1058</v>
      </c>
      <c r="B2512" s="63" t="s">
        <v>1058</v>
      </c>
      <c r="C2512" s="64"/>
      <c r="D2512" s="65"/>
      <c r="E2512" s="66"/>
      <c r="F2512" s="67"/>
      <c r="G2512" s="64"/>
      <c r="H2512" s="68"/>
      <c r="I2512" s="69"/>
      <c r="J2512" s="69"/>
      <c r="K2512" s="32"/>
      <c r="L2512" s="76">
        <v>2512</v>
      </c>
      <c r="M2512" s="76"/>
      <c r="N2512" s="71"/>
      <c r="O2512" s="87" t="s">
        <v>179</v>
      </c>
      <c r="P2512" s="90">
        <v>45146.506631944445</v>
      </c>
      <c r="Q2512" s="87" t="s">
        <v>4229</v>
      </c>
      <c r="R2512" s="87">
        <v>0</v>
      </c>
      <c r="S2512" s="87">
        <v>1</v>
      </c>
      <c r="T2512" s="87">
        <v>0</v>
      </c>
      <c r="U2512" s="87">
        <v>0</v>
      </c>
      <c r="V2512" s="87">
        <v>81</v>
      </c>
      <c r="W2512" s="93" t="s">
        <v>7424</v>
      </c>
      <c r="X2512" s="87"/>
      <c r="Y2512" s="87"/>
      <c r="Z2512" s="87"/>
      <c r="AA2512" s="87" t="s">
        <v>10243</v>
      </c>
      <c r="AB2512" s="87" t="s">
        <v>11448</v>
      </c>
      <c r="AC2512" s="93" t="s">
        <v>11457</v>
      </c>
      <c r="AD2512" s="87" t="s">
        <v>11519</v>
      </c>
      <c r="AE2512" s="92" t="str">
        <f>HYPERLINK("https://twitter.com/serraempauta/status/1688885152930217984")</f>
        <v>https://twitter.com/serraempauta/status/1688885152930217984</v>
      </c>
      <c r="AF2512" s="90">
        <v>45146.506631944445</v>
      </c>
      <c r="AG2512" s="99">
        <v>45146</v>
      </c>
      <c r="AH2512" s="93" t="s">
        <v>13766</v>
      </c>
      <c r="AI2512" s="87" t="b">
        <v>0</v>
      </c>
      <c r="AJ2512" s="87"/>
      <c r="AK2512" s="87"/>
      <c r="AL2512" s="87"/>
      <c r="AM2512" s="87"/>
      <c r="AN2512" s="87"/>
      <c r="AO2512" s="87"/>
      <c r="AP2512" s="87"/>
      <c r="AQ2512" s="87" t="s">
        <v>17056</v>
      </c>
      <c r="AR2512" s="87"/>
      <c r="AS2512" s="87"/>
      <c r="AT2512" s="87"/>
      <c r="AU2512" s="87"/>
      <c r="AV2512" s="92" t="str">
        <f>HYPERLINK("https://pbs.twimg.com/media/F3AgDi1XAAEo8dt.jpg")</f>
        <v>https://pbs.twimg.com/media/F3AgDi1XAAEo8dt.jpg</v>
      </c>
      <c r="AW2512" s="93" t="s">
        <v>20673</v>
      </c>
      <c r="AX2512" s="93" t="s">
        <v>20673</v>
      </c>
      <c r="AY2512" s="87"/>
      <c r="AZ2512" s="93" t="s">
        <v>22668</v>
      </c>
      <c r="BA2512" s="93" t="s">
        <v>22668</v>
      </c>
      <c r="BB2512" s="93" t="s">
        <v>22668</v>
      </c>
      <c r="BC2512" s="93" t="s">
        <v>20673</v>
      </c>
      <c r="BD2512" s="93" t="s">
        <v>23269</v>
      </c>
      <c r="BE2512" s="87"/>
      <c r="BF2512" s="87"/>
      <c r="BG2512" s="87"/>
      <c r="BH2512" s="87"/>
      <c r="BI2512" s="87"/>
    </row>
    <row r="2513" spans="1:61" x14ac:dyDescent="0.25">
      <c r="A2513" s="63" t="s">
        <v>1058</v>
      </c>
      <c r="B2513" s="63" t="s">
        <v>1058</v>
      </c>
      <c r="C2513" s="64"/>
      <c r="D2513" s="65"/>
      <c r="E2513" s="66"/>
      <c r="F2513" s="67"/>
      <c r="G2513" s="64"/>
      <c r="H2513" s="68"/>
      <c r="I2513" s="69"/>
      <c r="J2513" s="69"/>
      <c r="K2513" s="32"/>
      <c r="L2513" s="76">
        <v>2513</v>
      </c>
      <c r="M2513" s="76"/>
      <c r="N2513" s="71"/>
      <c r="O2513" s="87" t="s">
        <v>179</v>
      </c>
      <c r="P2513" s="90">
        <v>45146.467326388891</v>
      </c>
      <c r="Q2513" s="87" t="s">
        <v>4230</v>
      </c>
      <c r="R2513" s="87">
        <v>0</v>
      </c>
      <c r="S2513" s="87">
        <v>0</v>
      </c>
      <c r="T2513" s="87">
        <v>0</v>
      </c>
      <c r="U2513" s="87">
        <v>0</v>
      </c>
      <c r="V2513" s="87">
        <v>34</v>
      </c>
      <c r="W2513" s="93" t="s">
        <v>7424</v>
      </c>
      <c r="X2513" s="87"/>
      <c r="Y2513" s="87"/>
      <c r="Z2513" s="87"/>
      <c r="AA2513" s="87" t="s">
        <v>10244</v>
      </c>
      <c r="AB2513" s="87" t="s">
        <v>11448</v>
      </c>
      <c r="AC2513" s="93" t="s">
        <v>11457</v>
      </c>
      <c r="AD2513" s="87" t="s">
        <v>11519</v>
      </c>
      <c r="AE2513" s="92" t="str">
        <f>HYPERLINK("https://twitter.com/serraempauta/status/1688870909287776256")</f>
        <v>https://twitter.com/serraempauta/status/1688870909287776256</v>
      </c>
      <c r="AF2513" s="90">
        <v>45146.467326388891</v>
      </c>
      <c r="AG2513" s="99">
        <v>45146</v>
      </c>
      <c r="AH2513" s="93" t="s">
        <v>13767</v>
      </c>
      <c r="AI2513" s="87" t="b">
        <v>0</v>
      </c>
      <c r="AJ2513" s="87"/>
      <c r="AK2513" s="87"/>
      <c r="AL2513" s="87"/>
      <c r="AM2513" s="87"/>
      <c r="AN2513" s="87"/>
      <c r="AO2513" s="87"/>
      <c r="AP2513" s="87"/>
      <c r="AQ2513" s="87" t="s">
        <v>17057</v>
      </c>
      <c r="AR2513" s="87"/>
      <c r="AS2513" s="87"/>
      <c r="AT2513" s="87"/>
      <c r="AU2513" s="87"/>
      <c r="AV2513" s="92" t="str">
        <f>HYPERLINK("https://pbs.twimg.com/media/F3ATH9jWAAUMsqy.jpg")</f>
        <v>https://pbs.twimg.com/media/F3ATH9jWAAUMsqy.jpg</v>
      </c>
      <c r="AW2513" s="93" t="s">
        <v>20674</v>
      </c>
      <c r="AX2513" s="93" t="s">
        <v>20674</v>
      </c>
      <c r="AY2513" s="87"/>
      <c r="AZ2513" s="93" t="s">
        <v>22668</v>
      </c>
      <c r="BA2513" s="93" t="s">
        <v>22668</v>
      </c>
      <c r="BB2513" s="93" t="s">
        <v>22668</v>
      </c>
      <c r="BC2513" s="93" t="s">
        <v>20674</v>
      </c>
      <c r="BD2513" s="93" t="s">
        <v>23269</v>
      </c>
      <c r="BE2513" s="87"/>
      <c r="BF2513" s="87"/>
      <c r="BG2513" s="87"/>
      <c r="BH2513" s="87"/>
      <c r="BI2513" s="87"/>
    </row>
    <row r="2514" spans="1:61" x14ac:dyDescent="0.25">
      <c r="A2514" s="63" t="s">
        <v>1058</v>
      </c>
      <c r="B2514" s="63" t="s">
        <v>1058</v>
      </c>
      <c r="C2514" s="64"/>
      <c r="D2514" s="65"/>
      <c r="E2514" s="66"/>
      <c r="F2514" s="67"/>
      <c r="G2514" s="64"/>
      <c r="H2514" s="68"/>
      <c r="I2514" s="69"/>
      <c r="J2514" s="69"/>
      <c r="K2514" s="32"/>
      <c r="L2514" s="76">
        <v>2514</v>
      </c>
      <c r="M2514" s="76"/>
      <c r="N2514" s="71"/>
      <c r="O2514" s="87" t="s">
        <v>179</v>
      </c>
      <c r="P2514" s="90">
        <v>45135.603333333333</v>
      </c>
      <c r="Q2514" s="87" t="s">
        <v>4231</v>
      </c>
      <c r="R2514" s="87">
        <v>0</v>
      </c>
      <c r="S2514" s="87">
        <v>0</v>
      </c>
      <c r="T2514" s="87">
        <v>0</v>
      </c>
      <c r="U2514" s="87">
        <v>0</v>
      </c>
      <c r="V2514" s="87">
        <v>37</v>
      </c>
      <c r="W2514" s="93" t="s">
        <v>7424</v>
      </c>
      <c r="X2514" s="87"/>
      <c r="Y2514" s="87"/>
      <c r="Z2514" s="87"/>
      <c r="AA2514" s="87" t="s">
        <v>10245</v>
      </c>
      <c r="AB2514" s="87" t="s">
        <v>11448</v>
      </c>
      <c r="AC2514" s="93" t="s">
        <v>11457</v>
      </c>
      <c r="AD2514" s="87" t="s">
        <v>11519</v>
      </c>
      <c r="AE2514" s="92" t="str">
        <f>HYPERLINK("https://twitter.com/serraempauta/status/1684933932406444032")</f>
        <v>https://twitter.com/serraempauta/status/1684933932406444032</v>
      </c>
      <c r="AF2514" s="90">
        <v>45135.603333333333</v>
      </c>
      <c r="AG2514" s="99">
        <v>45135</v>
      </c>
      <c r="AH2514" s="93" t="s">
        <v>13768</v>
      </c>
      <c r="AI2514" s="87" t="b">
        <v>0</v>
      </c>
      <c r="AJ2514" s="87"/>
      <c r="AK2514" s="87"/>
      <c r="AL2514" s="87"/>
      <c r="AM2514" s="87"/>
      <c r="AN2514" s="87"/>
      <c r="AO2514" s="87"/>
      <c r="AP2514" s="87"/>
      <c r="AQ2514" s="87" t="s">
        <v>17058</v>
      </c>
      <c r="AR2514" s="87"/>
      <c r="AS2514" s="87"/>
      <c r="AT2514" s="87"/>
      <c r="AU2514" s="87"/>
      <c r="AV2514" s="92" t="str">
        <f>HYPERLINK("https://pbs.twimg.com/media/F2IWeaDXkAESdgs.jpg")</f>
        <v>https://pbs.twimg.com/media/F2IWeaDXkAESdgs.jpg</v>
      </c>
      <c r="AW2514" s="93" t="s">
        <v>20675</v>
      </c>
      <c r="AX2514" s="93" t="s">
        <v>20675</v>
      </c>
      <c r="AY2514" s="87"/>
      <c r="AZ2514" s="93" t="s">
        <v>22668</v>
      </c>
      <c r="BA2514" s="93" t="s">
        <v>22668</v>
      </c>
      <c r="BB2514" s="93" t="s">
        <v>22668</v>
      </c>
      <c r="BC2514" s="93" t="s">
        <v>20675</v>
      </c>
      <c r="BD2514" s="93" t="s">
        <v>23269</v>
      </c>
      <c r="BE2514" s="87"/>
      <c r="BF2514" s="87"/>
      <c r="BG2514" s="87"/>
      <c r="BH2514" s="87"/>
      <c r="BI2514" s="87"/>
    </row>
    <row r="2515" spans="1:61" x14ac:dyDescent="0.25">
      <c r="A2515" s="63" t="s">
        <v>1058</v>
      </c>
      <c r="B2515" s="63" t="s">
        <v>1058</v>
      </c>
      <c r="C2515" s="64"/>
      <c r="D2515" s="65"/>
      <c r="E2515" s="66"/>
      <c r="F2515" s="67"/>
      <c r="G2515" s="64"/>
      <c r="H2515" s="68"/>
      <c r="I2515" s="69"/>
      <c r="J2515" s="69"/>
      <c r="K2515" s="32"/>
      <c r="L2515" s="76">
        <v>2515</v>
      </c>
      <c r="M2515" s="76"/>
      <c r="N2515" s="71"/>
      <c r="O2515" s="87" t="s">
        <v>179</v>
      </c>
      <c r="P2515" s="90">
        <v>45135.570081018515</v>
      </c>
      <c r="Q2515" s="87" t="s">
        <v>4232</v>
      </c>
      <c r="R2515" s="87">
        <v>0</v>
      </c>
      <c r="S2515" s="87">
        <v>0</v>
      </c>
      <c r="T2515" s="87">
        <v>0</v>
      </c>
      <c r="U2515" s="87">
        <v>0</v>
      </c>
      <c r="V2515" s="87">
        <v>24</v>
      </c>
      <c r="W2515" s="93" t="s">
        <v>7424</v>
      </c>
      <c r="X2515" s="87"/>
      <c r="Y2515" s="87"/>
      <c r="Z2515" s="87"/>
      <c r="AA2515" s="87" t="s">
        <v>10246</v>
      </c>
      <c r="AB2515" s="87" t="s">
        <v>11448</v>
      </c>
      <c r="AC2515" s="93" t="s">
        <v>11457</v>
      </c>
      <c r="AD2515" s="87" t="s">
        <v>11519</v>
      </c>
      <c r="AE2515" s="92" t="str">
        <f>HYPERLINK("https://twitter.com/serraempauta/status/1684921881936244736")</f>
        <v>https://twitter.com/serraempauta/status/1684921881936244736</v>
      </c>
      <c r="AF2515" s="90">
        <v>45135.570081018515</v>
      </c>
      <c r="AG2515" s="99">
        <v>45135</v>
      </c>
      <c r="AH2515" s="93" t="s">
        <v>13769</v>
      </c>
      <c r="AI2515" s="87" t="b">
        <v>0</v>
      </c>
      <c r="AJ2515" s="87"/>
      <c r="AK2515" s="87"/>
      <c r="AL2515" s="87"/>
      <c r="AM2515" s="87"/>
      <c r="AN2515" s="87"/>
      <c r="AO2515" s="87"/>
      <c r="AP2515" s="87"/>
      <c r="AQ2515" s="87" t="s">
        <v>17059</v>
      </c>
      <c r="AR2515" s="87"/>
      <c r="AS2515" s="87"/>
      <c r="AT2515" s="87"/>
      <c r="AU2515" s="87"/>
      <c r="AV2515" s="92" t="str">
        <f>HYPERLINK("https://pbs.twimg.com/media/F2ILg3EXwAAM1K7.jpg")</f>
        <v>https://pbs.twimg.com/media/F2ILg3EXwAAM1K7.jpg</v>
      </c>
      <c r="AW2515" s="93" t="s">
        <v>20676</v>
      </c>
      <c r="AX2515" s="93" t="s">
        <v>20676</v>
      </c>
      <c r="AY2515" s="87"/>
      <c r="AZ2515" s="93" t="s">
        <v>22668</v>
      </c>
      <c r="BA2515" s="93" t="s">
        <v>22668</v>
      </c>
      <c r="BB2515" s="93" t="s">
        <v>22668</v>
      </c>
      <c r="BC2515" s="93" t="s">
        <v>20676</v>
      </c>
      <c r="BD2515" s="93" t="s">
        <v>23269</v>
      </c>
      <c r="BE2515" s="87"/>
      <c r="BF2515" s="87"/>
      <c r="BG2515" s="87"/>
      <c r="BH2515" s="87"/>
      <c r="BI2515" s="87"/>
    </row>
    <row r="2516" spans="1:61" x14ac:dyDescent="0.25">
      <c r="A2516" s="63" t="s">
        <v>1058</v>
      </c>
      <c r="B2516" s="63" t="s">
        <v>1058</v>
      </c>
      <c r="C2516" s="64"/>
      <c r="D2516" s="65"/>
      <c r="E2516" s="66"/>
      <c r="F2516" s="67"/>
      <c r="G2516" s="64"/>
      <c r="H2516" s="68"/>
      <c r="I2516" s="69"/>
      <c r="J2516" s="69"/>
      <c r="K2516" s="32"/>
      <c r="L2516" s="76">
        <v>2516</v>
      </c>
      <c r="M2516" s="76"/>
      <c r="N2516" s="71"/>
      <c r="O2516" s="87" t="s">
        <v>179</v>
      </c>
      <c r="P2516" s="90">
        <v>45135.522118055553</v>
      </c>
      <c r="Q2516" s="87" t="s">
        <v>4233</v>
      </c>
      <c r="R2516" s="87">
        <v>0</v>
      </c>
      <c r="S2516" s="87">
        <v>0</v>
      </c>
      <c r="T2516" s="87">
        <v>0</v>
      </c>
      <c r="U2516" s="87">
        <v>0</v>
      </c>
      <c r="V2516" s="87">
        <v>33</v>
      </c>
      <c r="W2516" s="93" t="s">
        <v>7424</v>
      </c>
      <c r="X2516" s="87"/>
      <c r="Y2516" s="87"/>
      <c r="Z2516" s="87"/>
      <c r="AA2516" s="87" t="s">
        <v>10247</v>
      </c>
      <c r="AB2516" s="87" t="s">
        <v>11448</v>
      </c>
      <c r="AC2516" s="93" t="s">
        <v>11457</v>
      </c>
      <c r="AD2516" s="87" t="s">
        <v>11519</v>
      </c>
      <c r="AE2516" s="92" t="str">
        <f>HYPERLINK("https://twitter.com/serraempauta/status/1684904499213635584")</f>
        <v>https://twitter.com/serraempauta/status/1684904499213635584</v>
      </c>
      <c r="AF2516" s="90">
        <v>45135.522118055553</v>
      </c>
      <c r="AG2516" s="99">
        <v>45135</v>
      </c>
      <c r="AH2516" s="93" t="s">
        <v>13770</v>
      </c>
      <c r="AI2516" s="87" t="b">
        <v>0</v>
      </c>
      <c r="AJ2516" s="87"/>
      <c r="AK2516" s="87"/>
      <c r="AL2516" s="87"/>
      <c r="AM2516" s="87"/>
      <c r="AN2516" s="87"/>
      <c r="AO2516" s="87"/>
      <c r="AP2516" s="87"/>
      <c r="AQ2516" s="87" t="s">
        <v>17060</v>
      </c>
      <c r="AR2516" s="87"/>
      <c r="AS2516" s="87"/>
      <c r="AT2516" s="87"/>
      <c r="AU2516" s="87"/>
      <c r="AV2516" s="92" t="str">
        <f>HYPERLINK("https://pbs.twimg.com/media/F2H7tLvXgAAngZR.jpg")</f>
        <v>https://pbs.twimg.com/media/F2H7tLvXgAAngZR.jpg</v>
      </c>
      <c r="AW2516" s="93" t="s">
        <v>20677</v>
      </c>
      <c r="AX2516" s="93" t="s">
        <v>20677</v>
      </c>
      <c r="AY2516" s="87"/>
      <c r="AZ2516" s="93" t="s">
        <v>22668</v>
      </c>
      <c r="BA2516" s="93" t="s">
        <v>22668</v>
      </c>
      <c r="BB2516" s="93" t="s">
        <v>22668</v>
      </c>
      <c r="BC2516" s="93" t="s">
        <v>20677</v>
      </c>
      <c r="BD2516" s="93" t="s">
        <v>23269</v>
      </c>
      <c r="BE2516" s="87"/>
      <c r="BF2516" s="87"/>
      <c r="BG2516" s="87"/>
      <c r="BH2516" s="87"/>
      <c r="BI2516" s="87"/>
    </row>
    <row r="2517" spans="1:61" x14ac:dyDescent="0.25">
      <c r="A2517" s="63" t="s">
        <v>1058</v>
      </c>
      <c r="B2517" s="63" t="s">
        <v>1058</v>
      </c>
      <c r="C2517" s="64"/>
      <c r="D2517" s="65"/>
      <c r="E2517" s="66"/>
      <c r="F2517" s="67"/>
      <c r="G2517" s="64"/>
      <c r="H2517" s="68"/>
      <c r="I2517" s="69"/>
      <c r="J2517" s="69"/>
      <c r="K2517" s="32"/>
      <c r="L2517" s="76">
        <v>2517</v>
      </c>
      <c r="M2517" s="76"/>
      <c r="N2517" s="71"/>
      <c r="O2517" s="87" t="s">
        <v>179</v>
      </c>
      <c r="P2517" s="90">
        <v>45135.49527777778</v>
      </c>
      <c r="Q2517" s="87" t="s">
        <v>4234</v>
      </c>
      <c r="R2517" s="87">
        <v>0</v>
      </c>
      <c r="S2517" s="87">
        <v>2</v>
      </c>
      <c r="T2517" s="87">
        <v>0</v>
      </c>
      <c r="U2517" s="87">
        <v>0</v>
      </c>
      <c r="V2517" s="87">
        <v>49</v>
      </c>
      <c r="W2517" s="93" t="s">
        <v>7424</v>
      </c>
      <c r="X2517" s="87"/>
      <c r="Y2517" s="87"/>
      <c r="Z2517" s="87"/>
      <c r="AA2517" s="87" t="s">
        <v>10248</v>
      </c>
      <c r="AB2517" s="87" t="s">
        <v>11448</v>
      </c>
      <c r="AC2517" s="93" t="s">
        <v>11457</v>
      </c>
      <c r="AD2517" s="87" t="s">
        <v>11519</v>
      </c>
      <c r="AE2517" s="92" t="str">
        <f>HYPERLINK("https://twitter.com/serraempauta/status/1684894775558774784")</f>
        <v>https://twitter.com/serraempauta/status/1684894775558774784</v>
      </c>
      <c r="AF2517" s="90">
        <v>45135.49527777778</v>
      </c>
      <c r="AG2517" s="99">
        <v>45135</v>
      </c>
      <c r="AH2517" s="93" t="s">
        <v>13771</v>
      </c>
      <c r="AI2517" s="87" t="b">
        <v>0</v>
      </c>
      <c r="AJ2517" s="87"/>
      <c r="AK2517" s="87"/>
      <c r="AL2517" s="87"/>
      <c r="AM2517" s="87"/>
      <c r="AN2517" s="87"/>
      <c r="AO2517" s="87"/>
      <c r="AP2517" s="87"/>
      <c r="AQ2517" s="87" t="s">
        <v>17061</v>
      </c>
      <c r="AR2517" s="87"/>
      <c r="AS2517" s="87"/>
      <c r="AT2517" s="87"/>
      <c r="AU2517" s="87"/>
      <c r="AV2517" s="92" t="str">
        <f>HYPERLINK("https://pbs.twimg.com/media/F2Hy3XqXQAEPGQD.jpg")</f>
        <v>https://pbs.twimg.com/media/F2Hy3XqXQAEPGQD.jpg</v>
      </c>
      <c r="AW2517" s="93" t="s">
        <v>20678</v>
      </c>
      <c r="AX2517" s="93" t="s">
        <v>20678</v>
      </c>
      <c r="AY2517" s="87"/>
      <c r="AZ2517" s="93" t="s">
        <v>22668</v>
      </c>
      <c r="BA2517" s="93" t="s">
        <v>22668</v>
      </c>
      <c r="BB2517" s="93" t="s">
        <v>22668</v>
      </c>
      <c r="BC2517" s="93" t="s">
        <v>20678</v>
      </c>
      <c r="BD2517" s="93" t="s">
        <v>23269</v>
      </c>
      <c r="BE2517" s="87"/>
      <c r="BF2517" s="87"/>
      <c r="BG2517" s="87"/>
      <c r="BH2517" s="87"/>
      <c r="BI2517" s="87"/>
    </row>
    <row r="2518" spans="1:61" x14ac:dyDescent="0.25">
      <c r="A2518" s="63" t="s">
        <v>1058</v>
      </c>
      <c r="B2518" s="63" t="s">
        <v>1058</v>
      </c>
      <c r="C2518" s="64"/>
      <c r="D2518" s="65"/>
      <c r="E2518" s="66"/>
      <c r="F2518" s="67"/>
      <c r="G2518" s="64"/>
      <c r="H2518" s="68"/>
      <c r="I2518" s="69"/>
      <c r="J2518" s="69"/>
      <c r="K2518" s="32"/>
      <c r="L2518" s="76">
        <v>2518</v>
      </c>
      <c r="M2518" s="76"/>
      <c r="N2518" s="71"/>
      <c r="O2518" s="87" t="s">
        <v>179</v>
      </c>
      <c r="P2518" s="90">
        <v>45135.468599537038</v>
      </c>
      <c r="Q2518" s="87" t="s">
        <v>4235</v>
      </c>
      <c r="R2518" s="87">
        <v>0</v>
      </c>
      <c r="S2518" s="87">
        <v>0</v>
      </c>
      <c r="T2518" s="87">
        <v>0</v>
      </c>
      <c r="U2518" s="87">
        <v>0</v>
      </c>
      <c r="V2518" s="87">
        <v>26</v>
      </c>
      <c r="W2518" s="93" t="s">
        <v>7424</v>
      </c>
      <c r="X2518" s="87"/>
      <c r="Y2518" s="87"/>
      <c r="Z2518" s="87"/>
      <c r="AA2518" s="87" t="s">
        <v>10249</v>
      </c>
      <c r="AB2518" s="87" t="s">
        <v>11448</v>
      </c>
      <c r="AC2518" s="93" t="s">
        <v>11457</v>
      </c>
      <c r="AD2518" s="87" t="s">
        <v>11519</v>
      </c>
      <c r="AE2518" s="92" t="str">
        <f>HYPERLINK("https://twitter.com/serraempauta/status/1684885105062346752")</f>
        <v>https://twitter.com/serraempauta/status/1684885105062346752</v>
      </c>
      <c r="AF2518" s="90">
        <v>45135.468599537038</v>
      </c>
      <c r="AG2518" s="99">
        <v>45135</v>
      </c>
      <c r="AH2518" s="93" t="s">
        <v>13772</v>
      </c>
      <c r="AI2518" s="87" t="b">
        <v>0</v>
      </c>
      <c r="AJ2518" s="87"/>
      <c r="AK2518" s="87"/>
      <c r="AL2518" s="87"/>
      <c r="AM2518" s="87"/>
      <c r="AN2518" s="87"/>
      <c r="AO2518" s="87"/>
      <c r="AP2518" s="87"/>
      <c r="AQ2518" s="87" t="s">
        <v>17062</v>
      </c>
      <c r="AR2518" s="87"/>
      <c r="AS2518" s="87"/>
      <c r="AT2518" s="87"/>
      <c r="AU2518" s="87"/>
      <c r="AV2518" s="92" t="str">
        <f>HYPERLINK("https://pbs.twimg.com/media/F2HqEbWXgAEJyml.jpg")</f>
        <v>https://pbs.twimg.com/media/F2HqEbWXgAEJyml.jpg</v>
      </c>
      <c r="AW2518" s="93" t="s">
        <v>20679</v>
      </c>
      <c r="AX2518" s="93" t="s">
        <v>20679</v>
      </c>
      <c r="AY2518" s="87"/>
      <c r="AZ2518" s="93" t="s">
        <v>22668</v>
      </c>
      <c r="BA2518" s="93" t="s">
        <v>22668</v>
      </c>
      <c r="BB2518" s="93" t="s">
        <v>22668</v>
      </c>
      <c r="BC2518" s="93" t="s">
        <v>20679</v>
      </c>
      <c r="BD2518" s="93" t="s">
        <v>23269</v>
      </c>
      <c r="BE2518" s="87"/>
      <c r="BF2518" s="87"/>
      <c r="BG2518" s="87"/>
      <c r="BH2518" s="87"/>
      <c r="BI2518" s="87"/>
    </row>
    <row r="2519" spans="1:61" x14ac:dyDescent="0.25">
      <c r="A2519" s="63" t="s">
        <v>1058</v>
      </c>
      <c r="B2519" s="63" t="s">
        <v>1058</v>
      </c>
      <c r="C2519" s="64"/>
      <c r="D2519" s="65"/>
      <c r="E2519" s="66"/>
      <c r="F2519" s="67"/>
      <c r="G2519" s="64"/>
      <c r="H2519" s="68"/>
      <c r="I2519" s="69"/>
      <c r="J2519" s="69"/>
      <c r="K2519" s="32"/>
      <c r="L2519" s="76">
        <v>2519</v>
      </c>
      <c r="M2519" s="76"/>
      <c r="N2519" s="71"/>
      <c r="O2519" s="87" t="s">
        <v>179</v>
      </c>
      <c r="P2519" s="90">
        <v>45134.971238425926</v>
      </c>
      <c r="Q2519" s="87" t="s">
        <v>4236</v>
      </c>
      <c r="R2519" s="87">
        <v>0</v>
      </c>
      <c r="S2519" s="87">
        <v>0</v>
      </c>
      <c r="T2519" s="87">
        <v>0</v>
      </c>
      <c r="U2519" s="87">
        <v>0</v>
      </c>
      <c r="V2519" s="87">
        <v>34</v>
      </c>
      <c r="W2519" s="93" t="s">
        <v>7424</v>
      </c>
      <c r="X2519" s="87"/>
      <c r="Y2519" s="87"/>
      <c r="Z2519" s="87"/>
      <c r="AA2519" s="87" t="s">
        <v>10250</v>
      </c>
      <c r="AB2519" s="87" t="s">
        <v>11448</v>
      </c>
      <c r="AC2519" s="93" t="s">
        <v>11457</v>
      </c>
      <c r="AD2519" s="87" t="s">
        <v>11519</v>
      </c>
      <c r="AE2519" s="92" t="str">
        <f>HYPERLINK("https://twitter.com/serraempauta/status/1684704869754527744")</f>
        <v>https://twitter.com/serraempauta/status/1684704869754527744</v>
      </c>
      <c r="AF2519" s="90">
        <v>45134.971238425926</v>
      </c>
      <c r="AG2519" s="99">
        <v>45134</v>
      </c>
      <c r="AH2519" s="93" t="s">
        <v>13773</v>
      </c>
      <c r="AI2519" s="87" t="b">
        <v>0</v>
      </c>
      <c r="AJ2519" s="87"/>
      <c r="AK2519" s="87"/>
      <c r="AL2519" s="87"/>
      <c r="AM2519" s="87"/>
      <c r="AN2519" s="87"/>
      <c r="AO2519" s="87"/>
      <c r="AP2519" s="87"/>
      <c r="AQ2519" s="87" t="s">
        <v>17063</v>
      </c>
      <c r="AR2519" s="87"/>
      <c r="AS2519" s="87"/>
      <c r="AT2519" s="87"/>
      <c r="AU2519" s="87"/>
      <c r="AV2519" s="92" t="str">
        <f>HYPERLINK("https://pbs.twimg.com/media/F2FGJSmXoAA0L07.jpg")</f>
        <v>https://pbs.twimg.com/media/F2FGJSmXoAA0L07.jpg</v>
      </c>
      <c r="AW2519" s="93" t="s">
        <v>20680</v>
      </c>
      <c r="AX2519" s="93" t="s">
        <v>20680</v>
      </c>
      <c r="AY2519" s="87"/>
      <c r="AZ2519" s="93" t="s">
        <v>22668</v>
      </c>
      <c r="BA2519" s="93" t="s">
        <v>22668</v>
      </c>
      <c r="BB2519" s="93" t="s">
        <v>22668</v>
      </c>
      <c r="BC2519" s="93" t="s">
        <v>20680</v>
      </c>
      <c r="BD2519" s="93" t="s">
        <v>23269</v>
      </c>
      <c r="BE2519" s="87"/>
      <c r="BF2519" s="87"/>
      <c r="BG2519" s="87"/>
      <c r="BH2519" s="87"/>
      <c r="BI2519" s="87"/>
    </row>
    <row r="2520" spans="1:61" x14ac:dyDescent="0.25">
      <c r="A2520" s="63" t="s">
        <v>1058</v>
      </c>
      <c r="B2520" s="63" t="s">
        <v>1058</v>
      </c>
      <c r="C2520" s="64"/>
      <c r="D2520" s="65"/>
      <c r="E2520" s="66"/>
      <c r="F2520" s="67"/>
      <c r="G2520" s="64"/>
      <c r="H2520" s="68"/>
      <c r="I2520" s="69"/>
      <c r="J2520" s="69"/>
      <c r="K2520" s="32"/>
      <c r="L2520" s="76">
        <v>2520</v>
      </c>
      <c r="M2520" s="76"/>
      <c r="N2520" s="71"/>
      <c r="O2520" s="87" t="s">
        <v>179</v>
      </c>
      <c r="P2520" s="90">
        <v>45134.939016203702</v>
      </c>
      <c r="Q2520" s="87" t="s">
        <v>4237</v>
      </c>
      <c r="R2520" s="87">
        <v>0</v>
      </c>
      <c r="S2520" s="87">
        <v>0</v>
      </c>
      <c r="T2520" s="87">
        <v>0</v>
      </c>
      <c r="U2520" s="87">
        <v>0</v>
      </c>
      <c r="V2520" s="87">
        <v>41</v>
      </c>
      <c r="W2520" s="93" t="s">
        <v>7424</v>
      </c>
      <c r="X2520" s="87"/>
      <c r="Y2520" s="87"/>
      <c r="Z2520" s="87"/>
      <c r="AA2520" s="87" t="s">
        <v>10251</v>
      </c>
      <c r="AB2520" s="87" t="s">
        <v>11448</v>
      </c>
      <c r="AC2520" s="93" t="s">
        <v>11457</v>
      </c>
      <c r="AD2520" s="87" t="s">
        <v>11519</v>
      </c>
      <c r="AE2520" s="92" t="str">
        <f>HYPERLINK("https://twitter.com/serraempauta/status/1684693192032063488")</f>
        <v>https://twitter.com/serraempauta/status/1684693192032063488</v>
      </c>
      <c r="AF2520" s="90">
        <v>45134.939016203702</v>
      </c>
      <c r="AG2520" s="99">
        <v>45134</v>
      </c>
      <c r="AH2520" s="93" t="s">
        <v>13774</v>
      </c>
      <c r="AI2520" s="87" t="b">
        <v>0</v>
      </c>
      <c r="AJ2520" s="87"/>
      <c r="AK2520" s="87"/>
      <c r="AL2520" s="87"/>
      <c r="AM2520" s="87"/>
      <c r="AN2520" s="87"/>
      <c r="AO2520" s="87"/>
      <c r="AP2520" s="87"/>
      <c r="AQ2520" s="87" t="s">
        <v>17064</v>
      </c>
      <c r="AR2520" s="87"/>
      <c r="AS2520" s="87"/>
      <c r="AT2520" s="87"/>
      <c r="AU2520" s="87"/>
      <c r="AV2520" s="92" t="str">
        <f>HYPERLINK("https://pbs.twimg.com/media/F2E7hR4WAAE3rQ7.jpg")</f>
        <v>https://pbs.twimg.com/media/F2E7hR4WAAE3rQ7.jpg</v>
      </c>
      <c r="AW2520" s="93" t="s">
        <v>20681</v>
      </c>
      <c r="AX2520" s="93" t="s">
        <v>20681</v>
      </c>
      <c r="AY2520" s="87"/>
      <c r="AZ2520" s="93" t="s">
        <v>22668</v>
      </c>
      <c r="BA2520" s="93" t="s">
        <v>22668</v>
      </c>
      <c r="BB2520" s="93" t="s">
        <v>22668</v>
      </c>
      <c r="BC2520" s="93" t="s">
        <v>20681</v>
      </c>
      <c r="BD2520" s="93" t="s">
        <v>23269</v>
      </c>
      <c r="BE2520" s="87"/>
      <c r="BF2520" s="87"/>
      <c r="BG2520" s="87"/>
      <c r="BH2520" s="87"/>
      <c r="BI2520" s="87"/>
    </row>
    <row r="2521" spans="1:61" x14ac:dyDescent="0.25">
      <c r="A2521" s="63" t="s">
        <v>1058</v>
      </c>
      <c r="B2521" s="63" t="s">
        <v>1058</v>
      </c>
      <c r="C2521" s="64"/>
      <c r="D2521" s="65"/>
      <c r="E2521" s="66"/>
      <c r="F2521" s="67"/>
      <c r="G2521" s="64"/>
      <c r="H2521" s="68"/>
      <c r="I2521" s="69"/>
      <c r="J2521" s="69"/>
      <c r="K2521" s="32"/>
      <c r="L2521" s="76">
        <v>2521</v>
      </c>
      <c r="M2521" s="76"/>
      <c r="N2521" s="71"/>
      <c r="O2521" s="87" t="s">
        <v>179</v>
      </c>
      <c r="P2521" s="90">
        <v>45134.898738425924</v>
      </c>
      <c r="Q2521" s="87" t="s">
        <v>4238</v>
      </c>
      <c r="R2521" s="87">
        <v>0</v>
      </c>
      <c r="S2521" s="87">
        <v>1</v>
      </c>
      <c r="T2521" s="87">
        <v>0</v>
      </c>
      <c r="U2521" s="87">
        <v>0</v>
      </c>
      <c r="V2521" s="87">
        <v>45</v>
      </c>
      <c r="W2521" s="93" t="s">
        <v>7424</v>
      </c>
      <c r="X2521" s="87"/>
      <c r="Y2521" s="87"/>
      <c r="Z2521" s="87"/>
      <c r="AA2521" s="87" t="s">
        <v>10252</v>
      </c>
      <c r="AB2521" s="87" t="s">
        <v>11448</v>
      </c>
      <c r="AC2521" s="93" t="s">
        <v>11457</v>
      </c>
      <c r="AD2521" s="87" t="s">
        <v>11519</v>
      </c>
      <c r="AE2521" s="92" t="str">
        <f>HYPERLINK("https://twitter.com/serraempauta/status/1684678596219072512")</f>
        <v>https://twitter.com/serraempauta/status/1684678596219072512</v>
      </c>
      <c r="AF2521" s="90">
        <v>45134.898738425924</v>
      </c>
      <c r="AG2521" s="99">
        <v>45134</v>
      </c>
      <c r="AH2521" s="93" t="s">
        <v>13775</v>
      </c>
      <c r="AI2521" s="87" t="b">
        <v>0</v>
      </c>
      <c r="AJ2521" s="87"/>
      <c r="AK2521" s="87"/>
      <c r="AL2521" s="87"/>
      <c r="AM2521" s="87"/>
      <c r="AN2521" s="87"/>
      <c r="AO2521" s="87"/>
      <c r="AP2521" s="87"/>
      <c r="AQ2521" s="87" t="s">
        <v>17065</v>
      </c>
      <c r="AR2521" s="87"/>
      <c r="AS2521" s="87"/>
      <c r="AT2521" s="87"/>
      <c r="AU2521" s="87"/>
      <c r="AV2521" s="92" t="str">
        <f>HYPERLINK("https://pbs.twimg.com/media/F2EuP3yXwAA5P4f.jpg")</f>
        <v>https://pbs.twimg.com/media/F2EuP3yXwAA5P4f.jpg</v>
      </c>
      <c r="AW2521" s="93" t="s">
        <v>20682</v>
      </c>
      <c r="AX2521" s="93" t="s">
        <v>20682</v>
      </c>
      <c r="AY2521" s="87"/>
      <c r="AZ2521" s="93" t="s">
        <v>22668</v>
      </c>
      <c r="BA2521" s="93" t="s">
        <v>22668</v>
      </c>
      <c r="BB2521" s="93" t="s">
        <v>22668</v>
      </c>
      <c r="BC2521" s="93" t="s">
        <v>20682</v>
      </c>
      <c r="BD2521" s="93" t="s">
        <v>23269</v>
      </c>
      <c r="BE2521" s="87"/>
      <c r="BF2521" s="87"/>
      <c r="BG2521" s="87"/>
      <c r="BH2521" s="87"/>
      <c r="BI2521" s="87"/>
    </row>
    <row r="2522" spans="1:61" x14ac:dyDescent="0.25">
      <c r="A2522" s="63" t="s">
        <v>1058</v>
      </c>
      <c r="B2522" s="63" t="s">
        <v>1058</v>
      </c>
      <c r="C2522" s="64"/>
      <c r="D2522" s="65"/>
      <c r="E2522" s="66"/>
      <c r="F2522" s="67"/>
      <c r="G2522" s="64"/>
      <c r="H2522" s="68"/>
      <c r="I2522" s="69"/>
      <c r="J2522" s="69"/>
      <c r="K2522" s="32"/>
      <c r="L2522" s="76">
        <v>2522</v>
      </c>
      <c r="M2522" s="76"/>
      <c r="N2522" s="71"/>
      <c r="O2522" s="87" t="s">
        <v>179</v>
      </c>
      <c r="P2522" s="90">
        <v>45134.85359953704</v>
      </c>
      <c r="Q2522" s="87" t="s">
        <v>4239</v>
      </c>
      <c r="R2522" s="87">
        <v>0</v>
      </c>
      <c r="S2522" s="87">
        <v>0</v>
      </c>
      <c r="T2522" s="87">
        <v>0</v>
      </c>
      <c r="U2522" s="87">
        <v>0</v>
      </c>
      <c r="V2522" s="87">
        <v>30</v>
      </c>
      <c r="W2522" s="93" t="s">
        <v>7424</v>
      </c>
      <c r="X2522" s="87"/>
      <c r="Y2522" s="87"/>
      <c r="Z2522" s="87"/>
      <c r="AA2522" s="87" t="s">
        <v>10253</v>
      </c>
      <c r="AB2522" s="87" t="s">
        <v>11448</v>
      </c>
      <c r="AC2522" s="93" t="s">
        <v>11457</v>
      </c>
      <c r="AD2522" s="87" t="s">
        <v>11519</v>
      </c>
      <c r="AE2522" s="92" t="str">
        <f>HYPERLINK("https://twitter.com/serraempauta/status/1684662237892431873")</f>
        <v>https://twitter.com/serraempauta/status/1684662237892431873</v>
      </c>
      <c r="AF2522" s="90">
        <v>45134.85359953704</v>
      </c>
      <c r="AG2522" s="99">
        <v>45134</v>
      </c>
      <c r="AH2522" s="93" t="s">
        <v>13776</v>
      </c>
      <c r="AI2522" s="87" t="b">
        <v>0</v>
      </c>
      <c r="AJ2522" s="87"/>
      <c r="AK2522" s="87"/>
      <c r="AL2522" s="87"/>
      <c r="AM2522" s="87"/>
      <c r="AN2522" s="87"/>
      <c r="AO2522" s="87"/>
      <c r="AP2522" s="87"/>
      <c r="AQ2522" s="87" t="s">
        <v>17066</v>
      </c>
      <c r="AR2522" s="87"/>
      <c r="AS2522" s="87"/>
      <c r="AT2522" s="87"/>
      <c r="AU2522" s="87"/>
      <c r="AV2522" s="92" t="str">
        <f>HYPERLINK("https://pbs.twimg.com/media/F2EfXrYXoAAsfhM.jpg")</f>
        <v>https://pbs.twimg.com/media/F2EfXrYXoAAsfhM.jpg</v>
      </c>
      <c r="AW2522" s="93" t="s">
        <v>20683</v>
      </c>
      <c r="AX2522" s="93" t="s">
        <v>20683</v>
      </c>
      <c r="AY2522" s="87"/>
      <c r="AZ2522" s="93" t="s">
        <v>22668</v>
      </c>
      <c r="BA2522" s="93" t="s">
        <v>22668</v>
      </c>
      <c r="BB2522" s="93" t="s">
        <v>22668</v>
      </c>
      <c r="BC2522" s="93" t="s">
        <v>20683</v>
      </c>
      <c r="BD2522" s="93" t="s">
        <v>23269</v>
      </c>
      <c r="BE2522" s="87"/>
      <c r="BF2522" s="87"/>
      <c r="BG2522" s="87"/>
      <c r="BH2522" s="87"/>
      <c r="BI2522" s="87"/>
    </row>
    <row r="2523" spans="1:61" x14ac:dyDescent="0.25">
      <c r="A2523" s="63" t="s">
        <v>1058</v>
      </c>
      <c r="B2523" s="63" t="s">
        <v>1058</v>
      </c>
      <c r="C2523" s="64"/>
      <c r="D2523" s="65"/>
      <c r="E2523" s="66"/>
      <c r="F2523" s="67"/>
      <c r="G2523" s="64"/>
      <c r="H2523" s="68"/>
      <c r="I2523" s="69"/>
      <c r="J2523" s="69"/>
      <c r="K2523" s="32"/>
      <c r="L2523" s="76">
        <v>2523</v>
      </c>
      <c r="M2523" s="76"/>
      <c r="N2523" s="71"/>
      <c r="O2523" s="87" t="s">
        <v>179</v>
      </c>
      <c r="P2523" s="90">
        <v>45134.678946759261</v>
      </c>
      <c r="Q2523" s="87" t="s">
        <v>4240</v>
      </c>
      <c r="R2523" s="87">
        <v>0</v>
      </c>
      <c r="S2523" s="87">
        <v>0</v>
      </c>
      <c r="T2523" s="87">
        <v>0</v>
      </c>
      <c r="U2523" s="87">
        <v>0</v>
      </c>
      <c r="V2523" s="87">
        <v>21</v>
      </c>
      <c r="W2523" s="93" t="s">
        <v>7424</v>
      </c>
      <c r="X2523" s="87"/>
      <c r="Y2523" s="87"/>
      <c r="Z2523" s="87"/>
      <c r="AA2523" s="87" t="s">
        <v>10254</v>
      </c>
      <c r="AB2523" s="87" t="s">
        <v>11448</v>
      </c>
      <c r="AC2523" s="93" t="s">
        <v>11457</v>
      </c>
      <c r="AD2523" s="87" t="s">
        <v>11519</v>
      </c>
      <c r="AE2523" s="92" t="str">
        <f>HYPERLINK("https://twitter.com/serraempauta/status/1684598945601683468")</f>
        <v>https://twitter.com/serraempauta/status/1684598945601683468</v>
      </c>
      <c r="AF2523" s="90">
        <v>45134.678946759261</v>
      </c>
      <c r="AG2523" s="99">
        <v>45134</v>
      </c>
      <c r="AH2523" s="93" t="s">
        <v>13777</v>
      </c>
      <c r="AI2523" s="87" t="b">
        <v>0</v>
      </c>
      <c r="AJ2523" s="87"/>
      <c r="AK2523" s="87"/>
      <c r="AL2523" s="87"/>
      <c r="AM2523" s="87"/>
      <c r="AN2523" s="87"/>
      <c r="AO2523" s="87"/>
      <c r="AP2523" s="87"/>
      <c r="AQ2523" s="87" t="s">
        <v>17067</v>
      </c>
      <c r="AR2523" s="87"/>
      <c r="AS2523" s="87"/>
      <c r="AT2523" s="87"/>
      <c r="AU2523" s="87"/>
      <c r="AV2523" s="92" t="str">
        <f>HYPERLINK("https://pbs.twimg.com/media/F2DlzmUWAAMGPZH.jpg")</f>
        <v>https://pbs.twimg.com/media/F2DlzmUWAAMGPZH.jpg</v>
      </c>
      <c r="AW2523" s="93" t="s">
        <v>20684</v>
      </c>
      <c r="AX2523" s="93" t="s">
        <v>20684</v>
      </c>
      <c r="AY2523" s="87"/>
      <c r="AZ2523" s="93" t="s">
        <v>22668</v>
      </c>
      <c r="BA2523" s="93" t="s">
        <v>22668</v>
      </c>
      <c r="BB2523" s="93" t="s">
        <v>22668</v>
      </c>
      <c r="BC2523" s="93" t="s">
        <v>20684</v>
      </c>
      <c r="BD2523" s="93" t="s">
        <v>23269</v>
      </c>
      <c r="BE2523" s="87"/>
      <c r="BF2523" s="87"/>
      <c r="BG2523" s="87"/>
      <c r="BH2523" s="87"/>
      <c r="BI2523" s="87"/>
    </row>
    <row r="2524" spans="1:61" x14ac:dyDescent="0.25">
      <c r="A2524" s="63" t="s">
        <v>1058</v>
      </c>
      <c r="B2524" s="63" t="s">
        <v>1058</v>
      </c>
      <c r="C2524" s="64"/>
      <c r="D2524" s="65"/>
      <c r="E2524" s="66"/>
      <c r="F2524" s="67"/>
      <c r="G2524" s="64"/>
      <c r="H2524" s="68"/>
      <c r="I2524" s="69"/>
      <c r="J2524" s="69"/>
      <c r="K2524" s="32"/>
      <c r="L2524" s="76">
        <v>2524</v>
      </c>
      <c r="M2524" s="76"/>
      <c r="N2524" s="71"/>
      <c r="O2524" s="87" t="s">
        <v>179</v>
      </c>
      <c r="P2524" s="90">
        <v>45134.585300925923</v>
      </c>
      <c r="Q2524" s="87" t="s">
        <v>4241</v>
      </c>
      <c r="R2524" s="87">
        <v>0</v>
      </c>
      <c r="S2524" s="87">
        <v>0</v>
      </c>
      <c r="T2524" s="87">
        <v>0</v>
      </c>
      <c r="U2524" s="87">
        <v>0</v>
      </c>
      <c r="V2524" s="87">
        <v>39</v>
      </c>
      <c r="W2524" s="93" t="s">
        <v>7424</v>
      </c>
      <c r="X2524" s="87"/>
      <c r="Y2524" s="87"/>
      <c r="Z2524" s="87"/>
      <c r="AA2524" s="87" t="s">
        <v>10255</v>
      </c>
      <c r="AB2524" s="87" t="s">
        <v>11448</v>
      </c>
      <c r="AC2524" s="93" t="s">
        <v>11457</v>
      </c>
      <c r="AD2524" s="87" t="s">
        <v>11519</v>
      </c>
      <c r="AE2524" s="92" t="str">
        <f>HYPERLINK("https://twitter.com/serraempauta/status/1684565010348122112")</f>
        <v>https://twitter.com/serraempauta/status/1684565010348122112</v>
      </c>
      <c r="AF2524" s="90">
        <v>45134.585300925923</v>
      </c>
      <c r="AG2524" s="99">
        <v>45134</v>
      </c>
      <c r="AH2524" s="93" t="s">
        <v>13778</v>
      </c>
      <c r="AI2524" s="87" t="b">
        <v>0</v>
      </c>
      <c r="AJ2524" s="87"/>
      <c r="AK2524" s="87"/>
      <c r="AL2524" s="87"/>
      <c r="AM2524" s="87"/>
      <c r="AN2524" s="87"/>
      <c r="AO2524" s="87"/>
      <c r="AP2524" s="87"/>
      <c r="AQ2524" s="87" t="s">
        <v>17068</v>
      </c>
      <c r="AR2524" s="87"/>
      <c r="AS2524" s="87"/>
      <c r="AT2524" s="87"/>
      <c r="AU2524" s="87"/>
      <c r="AV2524" s="92" t="str">
        <f>HYPERLINK("https://pbs.twimg.com/media/F2DG8ETaIAQ_iYA.jpg")</f>
        <v>https://pbs.twimg.com/media/F2DG8ETaIAQ_iYA.jpg</v>
      </c>
      <c r="AW2524" s="93" t="s">
        <v>20685</v>
      </c>
      <c r="AX2524" s="93" t="s">
        <v>20685</v>
      </c>
      <c r="AY2524" s="87"/>
      <c r="AZ2524" s="93" t="s">
        <v>22668</v>
      </c>
      <c r="BA2524" s="93" t="s">
        <v>22668</v>
      </c>
      <c r="BB2524" s="93" t="s">
        <v>22668</v>
      </c>
      <c r="BC2524" s="93" t="s">
        <v>20685</v>
      </c>
      <c r="BD2524" s="93" t="s">
        <v>23269</v>
      </c>
      <c r="BE2524" s="87"/>
      <c r="BF2524" s="87"/>
      <c r="BG2524" s="87"/>
      <c r="BH2524" s="87"/>
      <c r="BI2524" s="87"/>
    </row>
    <row r="2525" spans="1:61" x14ac:dyDescent="0.25">
      <c r="A2525" s="63" t="s">
        <v>1058</v>
      </c>
      <c r="B2525" s="63" t="s">
        <v>1058</v>
      </c>
      <c r="C2525" s="64"/>
      <c r="D2525" s="65"/>
      <c r="E2525" s="66"/>
      <c r="F2525" s="67"/>
      <c r="G2525" s="64"/>
      <c r="H2525" s="68"/>
      <c r="I2525" s="69"/>
      <c r="J2525" s="69"/>
      <c r="K2525" s="32"/>
      <c r="L2525" s="76">
        <v>2525</v>
      </c>
      <c r="M2525" s="76"/>
      <c r="N2525" s="71"/>
      <c r="O2525" s="87" t="s">
        <v>179</v>
      </c>
      <c r="P2525" s="90">
        <v>45118.803587962961</v>
      </c>
      <c r="Q2525" s="87" t="s">
        <v>4242</v>
      </c>
      <c r="R2525" s="87">
        <v>0</v>
      </c>
      <c r="S2525" s="87">
        <v>2</v>
      </c>
      <c r="T2525" s="87">
        <v>0</v>
      </c>
      <c r="U2525" s="87">
        <v>1</v>
      </c>
      <c r="V2525" s="87">
        <v>93</v>
      </c>
      <c r="W2525" s="93" t="s">
        <v>7424</v>
      </c>
      <c r="X2525" s="87"/>
      <c r="Y2525" s="87"/>
      <c r="Z2525" s="87"/>
      <c r="AA2525" s="87" t="s">
        <v>10256</v>
      </c>
      <c r="AB2525" s="87" t="s">
        <v>11448</v>
      </c>
      <c r="AC2525" s="93" t="s">
        <v>11457</v>
      </c>
      <c r="AD2525" s="87" t="s">
        <v>11519</v>
      </c>
      <c r="AE2525" s="92" t="str">
        <f>HYPERLINK("https://twitter.com/serraempauta/status/1678845907540819971")</f>
        <v>https://twitter.com/serraempauta/status/1678845907540819971</v>
      </c>
      <c r="AF2525" s="90">
        <v>45118.803587962961</v>
      </c>
      <c r="AG2525" s="99">
        <v>45118</v>
      </c>
      <c r="AH2525" s="93" t="s">
        <v>13779</v>
      </c>
      <c r="AI2525" s="87" t="b">
        <v>0</v>
      </c>
      <c r="AJ2525" s="87"/>
      <c r="AK2525" s="87"/>
      <c r="AL2525" s="87"/>
      <c r="AM2525" s="87"/>
      <c r="AN2525" s="87"/>
      <c r="AO2525" s="87"/>
      <c r="AP2525" s="87"/>
      <c r="AQ2525" s="87" t="s">
        <v>17069</v>
      </c>
      <c r="AR2525" s="87"/>
      <c r="AS2525" s="87"/>
      <c r="AT2525" s="87"/>
      <c r="AU2525" s="87"/>
      <c r="AV2525" s="92" t="str">
        <f>HYPERLINK("https://pbs.twimg.com/media/F0x1YTVWYAEMy89.jpg")</f>
        <v>https://pbs.twimg.com/media/F0x1YTVWYAEMy89.jpg</v>
      </c>
      <c r="AW2525" s="93" t="s">
        <v>20686</v>
      </c>
      <c r="AX2525" s="93" t="s">
        <v>20686</v>
      </c>
      <c r="AY2525" s="87"/>
      <c r="AZ2525" s="93" t="s">
        <v>22668</v>
      </c>
      <c r="BA2525" s="93" t="s">
        <v>22668</v>
      </c>
      <c r="BB2525" s="93" t="s">
        <v>22668</v>
      </c>
      <c r="BC2525" s="93" t="s">
        <v>20686</v>
      </c>
      <c r="BD2525" s="93" t="s">
        <v>23269</v>
      </c>
      <c r="BE2525" s="87"/>
      <c r="BF2525" s="87"/>
      <c r="BG2525" s="87"/>
      <c r="BH2525" s="87"/>
      <c r="BI2525" s="87"/>
    </row>
    <row r="2526" spans="1:61" x14ac:dyDescent="0.25">
      <c r="A2526" s="63" t="s">
        <v>1058</v>
      </c>
      <c r="B2526" s="63" t="s">
        <v>1058</v>
      </c>
      <c r="C2526" s="64"/>
      <c r="D2526" s="65"/>
      <c r="E2526" s="66"/>
      <c r="F2526" s="67"/>
      <c r="G2526" s="64"/>
      <c r="H2526" s="68"/>
      <c r="I2526" s="69"/>
      <c r="J2526" s="69"/>
      <c r="K2526" s="32"/>
      <c r="L2526" s="76">
        <v>2526</v>
      </c>
      <c r="M2526" s="76"/>
      <c r="N2526" s="71"/>
      <c r="O2526" s="87" t="s">
        <v>179</v>
      </c>
      <c r="P2526" s="90">
        <v>45118.728958333333</v>
      </c>
      <c r="Q2526" s="87" t="s">
        <v>4243</v>
      </c>
      <c r="R2526" s="87">
        <v>0</v>
      </c>
      <c r="S2526" s="87">
        <v>0</v>
      </c>
      <c r="T2526" s="87">
        <v>0</v>
      </c>
      <c r="U2526" s="87">
        <v>0</v>
      </c>
      <c r="V2526" s="87">
        <v>30</v>
      </c>
      <c r="W2526" s="93" t="s">
        <v>7424</v>
      </c>
      <c r="X2526" s="87"/>
      <c r="Y2526" s="87"/>
      <c r="Z2526" s="87"/>
      <c r="AA2526" s="87" t="s">
        <v>10257</v>
      </c>
      <c r="AB2526" s="87" t="s">
        <v>11448</v>
      </c>
      <c r="AC2526" s="93" t="s">
        <v>11457</v>
      </c>
      <c r="AD2526" s="87" t="s">
        <v>11519</v>
      </c>
      <c r="AE2526" s="92" t="str">
        <f>HYPERLINK("https://twitter.com/serraempauta/status/1678818861997596672")</f>
        <v>https://twitter.com/serraempauta/status/1678818861997596672</v>
      </c>
      <c r="AF2526" s="90">
        <v>45118.728958333333</v>
      </c>
      <c r="AG2526" s="99">
        <v>45118</v>
      </c>
      <c r="AH2526" s="93" t="s">
        <v>13780</v>
      </c>
      <c r="AI2526" s="87" t="b">
        <v>0</v>
      </c>
      <c r="AJ2526" s="87"/>
      <c r="AK2526" s="87"/>
      <c r="AL2526" s="87"/>
      <c r="AM2526" s="87"/>
      <c r="AN2526" s="87"/>
      <c r="AO2526" s="87"/>
      <c r="AP2526" s="87"/>
      <c r="AQ2526" s="87" t="s">
        <v>17070</v>
      </c>
      <c r="AR2526" s="87"/>
      <c r="AS2526" s="87"/>
      <c r="AT2526" s="87"/>
      <c r="AU2526" s="87"/>
      <c r="AV2526" s="92" t="str">
        <f>HYPERLINK("https://pbs.twimg.com/media/F0xc2WtWIAAOU5n.jpg")</f>
        <v>https://pbs.twimg.com/media/F0xc2WtWIAAOU5n.jpg</v>
      </c>
      <c r="AW2526" s="93" t="s">
        <v>20687</v>
      </c>
      <c r="AX2526" s="93" t="s">
        <v>20687</v>
      </c>
      <c r="AY2526" s="87"/>
      <c r="AZ2526" s="93" t="s">
        <v>22668</v>
      </c>
      <c r="BA2526" s="93" t="s">
        <v>22668</v>
      </c>
      <c r="BB2526" s="93" t="s">
        <v>22668</v>
      </c>
      <c r="BC2526" s="93" t="s">
        <v>20687</v>
      </c>
      <c r="BD2526" s="93" t="s">
        <v>23269</v>
      </c>
      <c r="BE2526" s="87"/>
      <c r="BF2526" s="87"/>
      <c r="BG2526" s="87"/>
      <c r="BH2526" s="87"/>
      <c r="BI2526" s="87"/>
    </row>
    <row r="2527" spans="1:61" x14ac:dyDescent="0.25">
      <c r="A2527" s="63" t="s">
        <v>1058</v>
      </c>
      <c r="B2527" s="63" t="s">
        <v>1058</v>
      </c>
      <c r="C2527" s="64"/>
      <c r="D2527" s="65"/>
      <c r="E2527" s="66"/>
      <c r="F2527" s="67"/>
      <c r="G2527" s="64"/>
      <c r="H2527" s="68"/>
      <c r="I2527" s="69"/>
      <c r="J2527" s="69"/>
      <c r="K2527" s="32"/>
      <c r="L2527" s="76">
        <v>2527</v>
      </c>
      <c r="M2527" s="76"/>
      <c r="N2527" s="71"/>
      <c r="O2527" s="87" t="s">
        <v>179</v>
      </c>
      <c r="P2527" s="90">
        <v>45118.702916666669</v>
      </c>
      <c r="Q2527" s="87" t="s">
        <v>4244</v>
      </c>
      <c r="R2527" s="87">
        <v>0</v>
      </c>
      <c r="S2527" s="87">
        <v>0</v>
      </c>
      <c r="T2527" s="87">
        <v>0</v>
      </c>
      <c r="U2527" s="87">
        <v>0</v>
      </c>
      <c r="V2527" s="87">
        <v>74</v>
      </c>
      <c r="W2527" s="93" t="s">
        <v>7424</v>
      </c>
      <c r="X2527" s="87"/>
      <c r="Y2527" s="87"/>
      <c r="Z2527" s="87"/>
      <c r="AA2527" s="87" t="s">
        <v>10258</v>
      </c>
      <c r="AB2527" s="87" t="s">
        <v>11448</v>
      </c>
      <c r="AC2527" s="93" t="s">
        <v>11457</v>
      </c>
      <c r="AD2527" s="87" t="s">
        <v>11519</v>
      </c>
      <c r="AE2527" s="92" t="str">
        <f>HYPERLINK("https://twitter.com/serraempauta/status/1678809424037543939")</f>
        <v>https://twitter.com/serraempauta/status/1678809424037543939</v>
      </c>
      <c r="AF2527" s="90">
        <v>45118.702916666669</v>
      </c>
      <c r="AG2527" s="99">
        <v>45118</v>
      </c>
      <c r="AH2527" s="93" t="s">
        <v>13781</v>
      </c>
      <c r="AI2527" s="87" t="b">
        <v>0</v>
      </c>
      <c r="AJ2527" s="87"/>
      <c r="AK2527" s="87"/>
      <c r="AL2527" s="87"/>
      <c r="AM2527" s="87"/>
      <c r="AN2527" s="87"/>
      <c r="AO2527" s="87"/>
      <c r="AP2527" s="87"/>
      <c r="AQ2527" s="87" t="s">
        <v>17071</v>
      </c>
      <c r="AR2527" s="87"/>
      <c r="AS2527" s="87"/>
      <c r="AT2527" s="87"/>
      <c r="AU2527" s="87"/>
      <c r="AV2527" s="92" t="str">
        <f>HYPERLINK("https://pbs.twimg.com/media/F0xUROxWcAAFoKi.jpg")</f>
        <v>https://pbs.twimg.com/media/F0xUROxWcAAFoKi.jpg</v>
      </c>
      <c r="AW2527" s="93" t="s">
        <v>20688</v>
      </c>
      <c r="AX2527" s="93" t="s">
        <v>20688</v>
      </c>
      <c r="AY2527" s="87"/>
      <c r="AZ2527" s="93" t="s">
        <v>22668</v>
      </c>
      <c r="BA2527" s="93" t="s">
        <v>22668</v>
      </c>
      <c r="BB2527" s="93" t="s">
        <v>22668</v>
      </c>
      <c r="BC2527" s="93" t="s">
        <v>20688</v>
      </c>
      <c r="BD2527" s="93" t="s">
        <v>23269</v>
      </c>
      <c r="BE2527" s="87"/>
      <c r="BF2527" s="87"/>
      <c r="BG2527" s="87"/>
      <c r="BH2527" s="87"/>
      <c r="BI2527" s="87"/>
    </row>
    <row r="2528" spans="1:61" x14ac:dyDescent="0.25">
      <c r="A2528" s="63" t="s">
        <v>1058</v>
      </c>
      <c r="B2528" s="63" t="s">
        <v>1058</v>
      </c>
      <c r="C2528" s="64"/>
      <c r="D2528" s="65"/>
      <c r="E2528" s="66"/>
      <c r="F2528" s="67"/>
      <c r="G2528" s="64"/>
      <c r="H2528" s="68"/>
      <c r="I2528" s="69"/>
      <c r="J2528" s="69"/>
      <c r="K2528" s="32"/>
      <c r="L2528" s="76">
        <v>2528</v>
      </c>
      <c r="M2528" s="76"/>
      <c r="N2528" s="71"/>
      <c r="O2528" s="87" t="s">
        <v>179</v>
      </c>
      <c r="P2528" s="90">
        <v>45118.607939814814</v>
      </c>
      <c r="Q2528" s="87" t="s">
        <v>4245</v>
      </c>
      <c r="R2528" s="87">
        <v>0</v>
      </c>
      <c r="S2528" s="87">
        <v>0</v>
      </c>
      <c r="T2528" s="87">
        <v>0</v>
      </c>
      <c r="U2528" s="87">
        <v>0</v>
      </c>
      <c r="V2528" s="87">
        <v>73</v>
      </c>
      <c r="W2528" s="93" t="s">
        <v>7425</v>
      </c>
      <c r="X2528" s="87"/>
      <c r="Y2528" s="87"/>
      <c r="Z2528" s="87"/>
      <c r="AA2528" s="87" t="s">
        <v>10259</v>
      </c>
      <c r="AB2528" s="87" t="s">
        <v>11448</v>
      </c>
      <c r="AC2528" s="93" t="s">
        <v>11457</v>
      </c>
      <c r="AD2528" s="87" t="s">
        <v>11519</v>
      </c>
      <c r="AE2528" s="92" t="str">
        <f>HYPERLINK("https://twitter.com/serraempauta/status/1678775008053825537")</f>
        <v>https://twitter.com/serraempauta/status/1678775008053825537</v>
      </c>
      <c r="AF2528" s="90">
        <v>45118.607939814814</v>
      </c>
      <c r="AG2528" s="99">
        <v>45118</v>
      </c>
      <c r="AH2528" s="93" t="s">
        <v>13782</v>
      </c>
      <c r="AI2528" s="87" t="b">
        <v>0</v>
      </c>
      <c r="AJ2528" s="87"/>
      <c r="AK2528" s="87"/>
      <c r="AL2528" s="87"/>
      <c r="AM2528" s="87"/>
      <c r="AN2528" s="87"/>
      <c r="AO2528" s="87"/>
      <c r="AP2528" s="87"/>
      <c r="AQ2528" s="87" t="s">
        <v>17072</v>
      </c>
      <c r="AR2528" s="87"/>
      <c r="AS2528" s="87"/>
      <c r="AT2528" s="87"/>
      <c r="AU2528" s="87"/>
      <c r="AV2528" s="92" t="str">
        <f>HYPERLINK("https://pbs.twimg.com/media/F0w09VBaYAIt5yH.jpg")</f>
        <v>https://pbs.twimg.com/media/F0w09VBaYAIt5yH.jpg</v>
      </c>
      <c r="AW2528" s="93" t="s">
        <v>20689</v>
      </c>
      <c r="AX2528" s="93" t="s">
        <v>20689</v>
      </c>
      <c r="AY2528" s="87"/>
      <c r="AZ2528" s="93" t="s">
        <v>22668</v>
      </c>
      <c r="BA2528" s="93" t="s">
        <v>22668</v>
      </c>
      <c r="BB2528" s="93" t="s">
        <v>22668</v>
      </c>
      <c r="BC2528" s="93" t="s">
        <v>20689</v>
      </c>
      <c r="BD2528" s="93" t="s">
        <v>23269</v>
      </c>
      <c r="BE2528" s="87"/>
      <c r="BF2528" s="87"/>
      <c r="BG2528" s="87"/>
      <c r="BH2528" s="87"/>
      <c r="BI2528" s="87"/>
    </row>
    <row r="2529" spans="1:61" x14ac:dyDescent="0.25">
      <c r="A2529" s="63" t="s">
        <v>1058</v>
      </c>
      <c r="B2529" s="63" t="s">
        <v>1058</v>
      </c>
      <c r="C2529" s="64"/>
      <c r="D2529" s="65"/>
      <c r="E2529" s="66"/>
      <c r="F2529" s="67"/>
      <c r="G2529" s="64"/>
      <c r="H2529" s="68"/>
      <c r="I2529" s="69"/>
      <c r="J2529" s="69"/>
      <c r="K2529" s="32"/>
      <c r="L2529" s="76">
        <v>2529</v>
      </c>
      <c r="M2529" s="76"/>
      <c r="N2529" s="71"/>
      <c r="O2529" s="87" t="s">
        <v>179</v>
      </c>
      <c r="P2529" s="90">
        <v>45118.559756944444</v>
      </c>
      <c r="Q2529" s="87" t="s">
        <v>4246</v>
      </c>
      <c r="R2529" s="87">
        <v>1</v>
      </c>
      <c r="S2529" s="87">
        <v>1</v>
      </c>
      <c r="T2529" s="87">
        <v>0</v>
      </c>
      <c r="U2529" s="87">
        <v>0</v>
      </c>
      <c r="V2529" s="87">
        <v>72</v>
      </c>
      <c r="W2529" s="93" t="s">
        <v>7424</v>
      </c>
      <c r="X2529" s="87"/>
      <c r="Y2529" s="87"/>
      <c r="Z2529" s="87"/>
      <c r="AA2529" s="87" t="s">
        <v>10260</v>
      </c>
      <c r="AB2529" s="87" t="s">
        <v>11448</v>
      </c>
      <c r="AC2529" s="93" t="s">
        <v>11457</v>
      </c>
      <c r="AD2529" s="87" t="s">
        <v>11519</v>
      </c>
      <c r="AE2529" s="92" t="str">
        <f>HYPERLINK("https://twitter.com/serraempauta/status/1678757544775278594")</f>
        <v>https://twitter.com/serraempauta/status/1678757544775278594</v>
      </c>
      <c r="AF2529" s="90">
        <v>45118.559756944444</v>
      </c>
      <c r="AG2529" s="99">
        <v>45118</v>
      </c>
      <c r="AH2529" s="93" t="s">
        <v>13783</v>
      </c>
      <c r="AI2529" s="87" t="b">
        <v>0</v>
      </c>
      <c r="AJ2529" s="87"/>
      <c r="AK2529" s="87"/>
      <c r="AL2529" s="87"/>
      <c r="AM2529" s="87"/>
      <c r="AN2529" s="87"/>
      <c r="AO2529" s="87"/>
      <c r="AP2529" s="87"/>
      <c r="AQ2529" s="87" t="s">
        <v>17073</v>
      </c>
      <c r="AR2529" s="87"/>
      <c r="AS2529" s="87"/>
      <c r="AT2529" s="87"/>
      <c r="AU2529" s="87"/>
      <c r="AV2529" s="92" t="str">
        <f>HYPERLINK("https://pbs.twimg.com/media/F0wlFZiWcAAUmgM.jpg")</f>
        <v>https://pbs.twimg.com/media/F0wlFZiWcAAUmgM.jpg</v>
      </c>
      <c r="AW2529" s="93" t="s">
        <v>20690</v>
      </c>
      <c r="AX2529" s="93" t="s">
        <v>20690</v>
      </c>
      <c r="AY2529" s="87"/>
      <c r="AZ2529" s="93" t="s">
        <v>22668</v>
      </c>
      <c r="BA2529" s="93" t="s">
        <v>22668</v>
      </c>
      <c r="BB2529" s="93" t="s">
        <v>22668</v>
      </c>
      <c r="BC2529" s="93" t="s">
        <v>20690</v>
      </c>
      <c r="BD2529" s="93" t="s">
        <v>23269</v>
      </c>
      <c r="BE2529" s="87"/>
      <c r="BF2529" s="87"/>
      <c r="BG2529" s="87"/>
      <c r="BH2529" s="87"/>
      <c r="BI2529" s="87"/>
    </row>
    <row r="2530" spans="1:61" x14ac:dyDescent="0.25">
      <c r="A2530" s="63" t="s">
        <v>1058</v>
      </c>
      <c r="B2530" s="63" t="s">
        <v>1058</v>
      </c>
      <c r="C2530" s="64"/>
      <c r="D2530" s="65"/>
      <c r="E2530" s="66"/>
      <c r="F2530" s="67"/>
      <c r="G2530" s="64"/>
      <c r="H2530" s="68"/>
      <c r="I2530" s="69"/>
      <c r="J2530" s="69"/>
      <c r="K2530" s="32"/>
      <c r="L2530" s="76">
        <v>2530</v>
      </c>
      <c r="M2530" s="76"/>
      <c r="N2530" s="71"/>
      <c r="O2530" s="87" t="s">
        <v>179</v>
      </c>
      <c r="P2530" s="90">
        <v>45111.489155092589</v>
      </c>
      <c r="Q2530" s="87" t="s">
        <v>4247</v>
      </c>
      <c r="R2530" s="87">
        <v>0</v>
      </c>
      <c r="S2530" s="87">
        <v>0</v>
      </c>
      <c r="T2530" s="87">
        <v>0</v>
      </c>
      <c r="U2530" s="87">
        <v>0</v>
      </c>
      <c r="V2530" s="87">
        <v>25</v>
      </c>
      <c r="W2530" s="93" t="s">
        <v>7424</v>
      </c>
      <c r="X2530" s="87"/>
      <c r="Y2530" s="87"/>
      <c r="Z2530" s="87"/>
      <c r="AA2530" s="87" t="s">
        <v>10261</v>
      </c>
      <c r="AB2530" s="87" t="s">
        <v>11448</v>
      </c>
      <c r="AC2530" s="93" t="s">
        <v>11457</v>
      </c>
      <c r="AD2530" s="87" t="s">
        <v>11519</v>
      </c>
      <c r="AE2530" s="92" t="str">
        <f>HYPERLINK("https://twitter.com/serraempauta/status/1676195247280336896")</f>
        <v>https://twitter.com/serraempauta/status/1676195247280336896</v>
      </c>
      <c r="AF2530" s="90">
        <v>45111.489155092589</v>
      </c>
      <c r="AG2530" s="99">
        <v>45111</v>
      </c>
      <c r="AH2530" s="93" t="s">
        <v>13784</v>
      </c>
      <c r="AI2530" s="87" t="b">
        <v>0</v>
      </c>
      <c r="AJ2530" s="87"/>
      <c r="AK2530" s="87"/>
      <c r="AL2530" s="87"/>
      <c r="AM2530" s="87"/>
      <c r="AN2530" s="87"/>
      <c r="AO2530" s="87"/>
      <c r="AP2530" s="87"/>
      <c r="AQ2530" s="87" t="s">
        <v>17074</v>
      </c>
      <c r="AR2530" s="87"/>
      <c r="AS2530" s="87"/>
      <c r="AT2530" s="87"/>
      <c r="AU2530" s="87"/>
      <c r="AV2530" s="92" t="str">
        <f>HYPERLINK("https://pbs.twimg.com/media/F0MKsHsWIAAJCs-.jpg")</f>
        <v>https://pbs.twimg.com/media/F0MKsHsWIAAJCs-.jpg</v>
      </c>
      <c r="AW2530" s="93" t="s">
        <v>20691</v>
      </c>
      <c r="AX2530" s="93" t="s">
        <v>20691</v>
      </c>
      <c r="AY2530" s="87"/>
      <c r="AZ2530" s="93" t="s">
        <v>22668</v>
      </c>
      <c r="BA2530" s="93" t="s">
        <v>22668</v>
      </c>
      <c r="BB2530" s="93" t="s">
        <v>22668</v>
      </c>
      <c r="BC2530" s="93" t="s">
        <v>20691</v>
      </c>
      <c r="BD2530" s="93" t="s">
        <v>23269</v>
      </c>
      <c r="BE2530" s="87"/>
      <c r="BF2530" s="87"/>
      <c r="BG2530" s="87"/>
      <c r="BH2530" s="87"/>
      <c r="BI2530" s="87"/>
    </row>
    <row r="2531" spans="1:61" x14ac:dyDescent="0.25">
      <c r="A2531" s="63" t="s">
        <v>1058</v>
      </c>
      <c r="B2531" s="63" t="s">
        <v>1058</v>
      </c>
      <c r="C2531" s="64"/>
      <c r="D2531" s="65"/>
      <c r="E2531" s="66"/>
      <c r="F2531" s="67"/>
      <c r="G2531" s="64"/>
      <c r="H2531" s="68"/>
      <c r="I2531" s="69"/>
      <c r="J2531" s="69"/>
      <c r="K2531" s="32"/>
      <c r="L2531" s="76">
        <v>2531</v>
      </c>
      <c r="M2531" s="76"/>
      <c r="N2531" s="71"/>
      <c r="O2531" s="87" t="s">
        <v>179</v>
      </c>
      <c r="P2531" s="90">
        <v>45111.406365740739</v>
      </c>
      <c r="Q2531" s="87" t="s">
        <v>4248</v>
      </c>
      <c r="R2531" s="87">
        <v>0</v>
      </c>
      <c r="S2531" s="87">
        <v>1</v>
      </c>
      <c r="T2531" s="87">
        <v>0</v>
      </c>
      <c r="U2531" s="87">
        <v>0</v>
      </c>
      <c r="V2531" s="87">
        <v>52</v>
      </c>
      <c r="W2531" s="93" t="s">
        <v>7424</v>
      </c>
      <c r="X2531" s="87"/>
      <c r="Y2531" s="87"/>
      <c r="Z2531" s="87"/>
      <c r="AA2531" s="87" t="s">
        <v>10262</v>
      </c>
      <c r="AB2531" s="87" t="s">
        <v>11448</v>
      </c>
      <c r="AC2531" s="93" t="s">
        <v>11457</v>
      </c>
      <c r="AD2531" s="87" t="s">
        <v>11519</v>
      </c>
      <c r="AE2531" s="92" t="str">
        <f>HYPERLINK("https://twitter.com/serraempauta/status/1676165244249309185")</f>
        <v>https://twitter.com/serraempauta/status/1676165244249309185</v>
      </c>
      <c r="AF2531" s="90">
        <v>45111.406365740739</v>
      </c>
      <c r="AG2531" s="99">
        <v>45111</v>
      </c>
      <c r="AH2531" s="93" t="s">
        <v>12489</v>
      </c>
      <c r="AI2531" s="87" t="b">
        <v>0</v>
      </c>
      <c r="AJ2531" s="87"/>
      <c r="AK2531" s="87"/>
      <c r="AL2531" s="87"/>
      <c r="AM2531" s="87"/>
      <c r="AN2531" s="87"/>
      <c r="AO2531" s="87"/>
      <c r="AP2531" s="87"/>
      <c r="AQ2531" s="87" t="s">
        <v>17075</v>
      </c>
      <c r="AR2531" s="87"/>
      <c r="AS2531" s="87"/>
      <c r="AT2531" s="87"/>
      <c r="AU2531" s="87"/>
      <c r="AV2531" s="92" t="str">
        <f>HYPERLINK("https://pbs.twimg.com/media/F0LvZiYWAAIWskj.jpg")</f>
        <v>https://pbs.twimg.com/media/F0LvZiYWAAIWskj.jpg</v>
      </c>
      <c r="AW2531" s="93" t="s">
        <v>20692</v>
      </c>
      <c r="AX2531" s="93" t="s">
        <v>20692</v>
      </c>
      <c r="AY2531" s="87"/>
      <c r="AZ2531" s="93" t="s">
        <v>22668</v>
      </c>
      <c r="BA2531" s="93" t="s">
        <v>22668</v>
      </c>
      <c r="BB2531" s="93" t="s">
        <v>22668</v>
      </c>
      <c r="BC2531" s="93" t="s">
        <v>20692</v>
      </c>
      <c r="BD2531" s="93" t="s">
        <v>23269</v>
      </c>
      <c r="BE2531" s="87"/>
      <c r="BF2531" s="87"/>
      <c r="BG2531" s="87"/>
      <c r="BH2531" s="87"/>
      <c r="BI2531" s="87"/>
    </row>
    <row r="2532" spans="1:61" x14ac:dyDescent="0.25">
      <c r="A2532" s="63" t="s">
        <v>1058</v>
      </c>
      <c r="B2532" s="63" t="s">
        <v>1058</v>
      </c>
      <c r="C2532" s="64"/>
      <c r="D2532" s="65"/>
      <c r="E2532" s="66"/>
      <c r="F2532" s="67"/>
      <c r="G2532" s="64"/>
      <c r="H2532" s="68"/>
      <c r="I2532" s="69"/>
      <c r="J2532" s="69"/>
      <c r="K2532" s="32"/>
      <c r="L2532" s="76">
        <v>2532</v>
      </c>
      <c r="M2532" s="76"/>
      <c r="N2532" s="71"/>
      <c r="O2532" s="87" t="s">
        <v>179</v>
      </c>
      <c r="P2532" s="90">
        <v>45111.38653935185</v>
      </c>
      <c r="Q2532" s="87" t="s">
        <v>4249</v>
      </c>
      <c r="R2532" s="87">
        <v>0</v>
      </c>
      <c r="S2532" s="87">
        <v>1</v>
      </c>
      <c r="T2532" s="87">
        <v>1</v>
      </c>
      <c r="U2532" s="87">
        <v>0</v>
      </c>
      <c r="V2532" s="87">
        <v>54</v>
      </c>
      <c r="W2532" s="93" t="s">
        <v>7424</v>
      </c>
      <c r="X2532" s="87"/>
      <c r="Y2532" s="87"/>
      <c r="Z2532" s="87"/>
      <c r="AA2532" s="87" t="s">
        <v>10263</v>
      </c>
      <c r="AB2532" s="87" t="s">
        <v>11448</v>
      </c>
      <c r="AC2532" s="93" t="s">
        <v>11457</v>
      </c>
      <c r="AD2532" s="87" t="s">
        <v>11519</v>
      </c>
      <c r="AE2532" s="92" t="str">
        <f>HYPERLINK("https://twitter.com/serraempauta/status/1676158057208750081")</f>
        <v>https://twitter.com/serraempauta/status/1676158057208750081</v>
      </c>
      <c r="AF2532" s="90">
        <v>45111.38653935185</v>
      </c>
      <c r="AG2532" s="99">
        <v>45111</v>
      </c>
      <c r="AH2532" s="93" t="s">
        <v>13785</v>
      </c>
      <c r="AI2532" s="87" t="b">
        <v>0</v>
      </c>
      <c r="AJ2532" s="87"/>
      <c r="AK2532" s="87"/>
      <c r="AL2532" s="87"/>
      <c r="AM2532" s="87"/>
      <c r="AN2532" s="87"/>
      <c r="AO2532" s="87"/>
      <c r="AP2532" s="87"/>
      <c r="AQ2532" s="87" t="s">
        <v>17076</v>
      </c>
      <c r="AR2532" s="87"/>
      <c r="AS2532" s="87"/>
      <c r="AT2532" s="87"/>
      <c r="AU2532" s="87"/>
      <c r="AV2532" s="92" t="str">
        <f>HYPERLINK("https://pbs.twimg.com/media/F0Lo3TRXgAAH8a9.jpg")</f>
        <v>https://pbs.twimg.com/media/F0Lo3TRXgAAH8a9.jpg</v>
      </c>
      <c r="AW2532" s="93" t="s">
        <v>20693</v>
      </c>
      <c r="AX2532" s="93" t="s">
        <v>20693</v>
      </c>
      <c r="AY2532" s="87"/>
      <c r="AZ2532" s="93" t="s">
        <v>22668</v>
      </c>
      <c r="BA2532" s="93" t="s">
        <v>22668</v>
      </c>
      <c r="BB2532" s="93" t="s">
        <v>22668</v>
      </c>
      <c r="BC2532" s="93" t="s">
        <v>20693</v>
      </c>
      <c r="BD2532" s="93" t="s">
        <v>23269</v>
      </c>
      <c r="BE2532" s="87"/>
      <c r="BF2532" s="87"/>
      <c r="BG2532" s="87"/>
      <c r="BH2532" s="87"/>
      <c r="BI2532" s="87"/>
    </row>
    <row r="2533" spans="1:61" x14ac:dyDescent="0.25">
      <c r="A2533" s="63" t="s">
        <v>1058</v>
      </c>
      <c r="B2533" s="63" t="s">
        <v>1058</v>
      </c>
      <c r="C2533" s="64"/>
      <c r="D2533" s="65"/>
      <c r="E2533" s="66"/>
      <c r="F2533" s="67"/>
      <c r="G2533" s="64"/>
      <c r="H2533" s="68"/>
      <c r="I2533" s="69"/>
      <c r="J2533" s="69"/>
      <c r="K2533" s="32"/>
      <c r="L2533" s="76">
        <v>2533</v>
      </c>
      <c r="M2533" s="76"/>
      <c r="N2533" s="71"/>
      <c r="O2533" s="87" t="s">
        <v>179</v>
      </c>
      <c r="P2533" s="90">
        <v>45111.089143518519</v>
      </c>
      <c r="Q2533" s="87" t="s">
        <v>4250</v>
      </c>
      <c r="R2533" s="87">
        <v>1</v>
      </c>
      <c r="S2533" s="87">
        <v>1</v>
      </c>
      <c r="T2533" s="87">
        <v>0</v>
      </c>
      <c r="U2533" s="87">
        <v>0</v>
      </c>
      <c r="V2533" s="87">
        <v>102</v>
      </c>
      <c r="W2533" s="93" t="s">
        <v>7424</v>
      </c>
      <c r="X2533" s="87"/>
      <c r="Y2533" s="87"/>
      <c r="Z2533" s="87"/>
      <c r="AA2533" s="87" t="s">
        <v>10264</v>
      </c>
      <c r="AB2533" s="87" t="s">
        <v>11448</v>
      </c>
      <c r="AC2533" s="93" t="s">
        <v>11457</v>
      </c>
      <c r="AD2533" s="87" t="s">
        <v>11519</v>
      </c>
      <c r="AE2533" s="92" t="str">
        <f>HYPERLINK("https://twitter.com/serraempauta/status/1676050288577314817")</f>
        <v>https://twitter.com/serraempauta/status/1676050288577314817</v>
      </c>
      <c r="AF2533" s="90">
        <v>45111.089143518519</v>
      </c>
      <c r="AG2533" s="99">
        <v>45111</v>
      </c>
      <c r="AH2533" s="93" t="s">
        <v>13786</v>
      </c>
      <c r="AI2533" s="87" t="b">
        <v>0</v>
      </c>
      <c r="AJ2533" s="87"/>
      <c r="AK2533" s="87"/>
      <c r="AL2533" s="87"/>
      <c r="AM2533" s="87"/>
      <c r="AN2533" s="87"/>
      <c r="AO2533" s="87"/>
      <c r="AP2533" s="87"/>
      <c r="AQ2533" s="87" t="s">
        <v>17077</v>
      </c>
      <c r="AR2533" s="87"/>
      <c r="AS2533" s="87"/>
      <c r="AT2533" s="87"/>
      <c r="AU2533" s="87"/>
      <c r="AV2533" s="92" t="str">
        <f>HYPERLINK("https://pbs.twimg.com/media/F0KG2blWAAEtZSe.jpg")</f>
        <v>https://pbs.twimg.com/media/F0KG2blWAAEtZSe.jpg</v>
      </c>
      <c r="AW2533" s="93" t="s">
        <v>20694</v>
      </c>
      <c r="AX2533" s="93" t="s">
        <v>20694</v>
      </c>
      <c r="AY2533" s="87"/>
      <c r="AZ2533" s="93" t="s">
        <v>22668</v>
      </c>
      <c r="BA2533" s="93" t="s">
        <v>22668</v>
      </c>
      <c r="BB2533" s="93" t="s">
        <v>22668</v>
      </c>
      <c r="BC2533" s="93" t="s">
        <v>20694</v>
      </c>
      <c r="BD2533" s="93" t="s">
        <v>23269</v>
      </c>
      <c r="BE2533" s="87"/>
      <c r="BF2533" s="87"/>
      <c r="BG2533" s="87"/>
      <c r="BH2533" s="87"/>
      <c r="BI2533" s="87"/>
    </row>
    <row r="2534" spans="1:61" x14ac:dyDescent="0.25">
      <c r="A2534" s="63" t="s">
        <v>1058</v>
      </c>
      <c r="B2534" s="63" t="s">
        <v>1058</v>
      </c>
      <c r="C2534" s="64"/>
      <c r="D2534" s="65"/>
      <c r="E2534" s="66"/>
      <c r="F2534" s="67"/>
      <c r="G2534" s="64"/>
      <c r="H2534" s="68"/>
      <c r="I2534" s="69"/>
      <c r="J2534" s="69"/>
      <c r="K2534" s="32"/>
      <c r="L2534" s="76">
        <v>2534</v>
      </c>
      <c r="M2534" s="76"/>
      <c r="N2534" s="71"/>
      <c r="O2534" s="87" t="s">
        <v>179</v>
      </c>
      <c r="P2534" s="90">
        <v>45111.067604166667</v>
      </c>
      <c r="Q2534" s="87" t="s">
        <v>4251</v>
      </c>
      <c r="R2534" s="87">
        <v>0</v>
      </c>
      <c r="S2534" s="87">
        <v>2</v>
      </c>
      <c r="T2534" s="87">
        <v>1</v>
      </c>
      <c r="U2534" s="87">
        <v>0</v>
      </c>
      <c r="V2534" s="87">
        <v>50</v>
      </c>
      <c r="W2534" s="93" t="s">
        <v>7424</v>
      </c>
      <c r="X2534" s="87"/>
      <c r="Y2534" s="87"/>
      <c r="Z2534" s="87"/>
      <c r="AA2534" s="87" t="s">
        <v>10265</v>
      </c>
      <c r="AB2534" s="87" t="s">
        <v>11448</v>
      </c>
      <c r="AC2534" s="93" t="s">
        <v>11457</v>
      </c>
      <c r="AD2534" s="87" t="s">
        <v>11519</v>
      </c>
      <c r="AE2534" s="92" t="str">
        <f>HYPERLINK("https://twitter.com/serraempauta/status/1676042480767193089")</f>
        <v>https://twitter.com/serraempauta/status/1676042480767193089</v>
      </c>
      <c r="AF2534" s="90">
        <v>45111.067604166667</v>
      </c>
      <c r="AG2534" s="99">
        <v>45111</v>
      </c>
      <c r="AH2534" s="93" t="s">
        <v>13787</v>
      </c>
      <c r="AI2534" s="87" t="b">
        <v>0</v>
      </c>
      <c r="AJ2534" s="87"/>
      <c r="AK2534" s="87"/>
      <c r="AL2534" s="87"/>
      <c r="AM2534" s="87"/>
      <c r="AN2534" s="87"/>
      <c r="AO2534" s="87"/>
      <c r="AP2534" s="87"/>
      <c r="AQ2534" s="87" t="s">
        <v>17078</v>
      </c>
      <c r="AR2534" s="87"/>
      <c r="AS2534" s="87"/>
      <c r="AT2534" s="87"/>
      <c r="AU2534" s="87"/>
      <c r="AV2534" s="92" t="str">
        <f>HYPERLINK("https://pbs.twimg.com/media/F0J_v6TWAAAF9Yz.jpg")</f>
        <v>https://pbs.twimg.com/media/F0J_v6TWAAAF9Yz.jpg</v>
      </c>
      <c r="AW2534" s="93" t="s">
        <v>20695</v>
      </c>
      <c r="AX2534" s="93" t="s">
        <v>20695</v>
      </c>
      <c r="AY2534" s="87"/>
      <c r="AZ2534" s="93" t="s">
        <v>22668</v>
      </c>
      <c r="BA2534" s="93" t="s">
        <v>22668</v>
      </c>
      <c r="BB2534" s="93" t="s">
        <v>22668</v>
      </c>
      <c r="BC2534" s="93" t="s">
        <v>20695</v>
      </c>
      <c r="BD2534" s="93" t="s">
        <v>23269</v>
      </c>
      <c r="BE2534" s="87"/>
      <c r="BF2534" s="87"/>
      <c r="BG2534" s="87"/>
      <c r="BH2534" s="87"/>
      <c r="BI2534" s="87"/>
    </row>
    <row r="2535" spans="1:61" x14ac:dyDescent="0.25">
      <c r="A2535" s="63" t="s">
        <v>1058</v>
      </c>
      <c r="B2535" s="63" t="s">
        <v>1058</v>
      </c>
      <c r="C2535" s="64"/>
      <c r="D2535" s="65"/>
      <c r="E2535" s="66"/>
      <c r="F2535" s="67"/>
      <c r="G2535" s="64"/>
      <c r="H2535" s="68"/>
      <c r="I2535" s="69"/>
      <c r="J2535" s="69"/>
      <c r="K2535" s="32"/>
      <c r="L2535" s="76">
        <v>2535</v>
      </c>
      <c r="M2535" s="76"/>
      <c r="N2535" s="71"/>
      <c r="O2535" s="87" t="s">
        <v>179</v>
      </c>
      <c r="P2535" s="90">
        <v>45110.894201388888</v>
      </c>
      <c r="Q2535" s="87" t="s">
        <v>4252</v>
      </c>
      <c r="R2535" s="87">
        <v>0</v>
      </c>
      <c r="S2535" s="87">
        <v>1</v>
      </c>
      <c r="T2535" s="87">
        <v>0</v>
      </c>
      <c r="U2535" s="87">
        <v>0</v>
      </c>
      <c r="V2535" s="87">
        <v>45</v>
      </c>
      <c r="W2535" s="93" t="s">
        <v>7424</v>
      </c>
      <c r="X2535" s="87"/>
      <c r="Y2535" s="87"/>
      <c r="Z2535" s="87"/>
      <c r="AA2535" s="87" t="s">
        <v>10266</v>
      </c>
      <c r="AB2535" s="87" t="s">
        <v>11448</v>
      </c>
      <c r="AC2535" s="93" t="s">
        <v>11457</v>
      </c>
      <c r="AD2535" s="87" t="s">
        <v>11519</v>
      </c>
      <c r="AE2535" s="92" t="str">
        <f>HYPERLINK("https://twitter.com/serraempauta/status/1675979643000614913")</f>
        <v>https://twitter.com/serraempauta/status/1675979643000614913</v>
      </c>
      <c r="AF2535" s="90">
        <v>45110.894201388888</v>
      </c>
      <c r="AG2535" s="99">
        <v>45110</v>
      </c>
      <c r="AH2535" s="93" t="s">
        <v>13788</v>
      </c>
      <c r="AI2535" s="87" t="b">
        <v>0</v>
      </c>
      <c r="AJ2535" s="87"/>
      <c r="AK2535" s="87"/>
      <c r="AL2535" s="87"/>
      <c r="AM2535" s="87"/>
      <c r="AN2535" s="87"/>
      <c r="AO2535" s="87"/>
      <c r="AP2535" s="87"/>
      <c r="AQ2535" s="87" t="s">
        <v>17079</v>
      </c>
      <c r="AR2535" s="87"/>
      <c r="AS2535" s="87"/>
      <c r="AT2535" s="87"/>
      <c r="AU2535" s="87"/>
      <c r="AV2535" s="92" t="str">
        <f>HYPERLINK("https://pbs.twimg.com/media/F0JGlTHWcAADIfl.jpg")</f>
        <v>https://pbs.twimg.com/media/F0JGlTHWcAADIfl.jpg</v>
      </c>
      <c r="AW2535" s="93" t="s">
        <v>20696</v>
      </c>
      <c r="AX2535" s="93" t="s">
        <v>20696</v>
      </c>
      <c r="AY2535" s="87"/>
      <c r="AZ2535" s="93" t="s">
        <v>22668</v>
      </c>
      <c r="BA2535" s="93" t="s">
        <v>22668</v>
      </c>
      <c r="BB2535" s="93" t="s">
        <v>22668</v>
      </c>
      <c r="BC2535" s="93" t="s">
        <v>20696</v>
      </c>
      <c r="BD2535" s="93" t="s">
        <v>23269</v>
      </c>
      <c r="BE2535" s="87"/>
      <c r="BF2535" s="87"/>
      <c r="BG2535" s="87"/>
      <c r="BH2535" s="87"/>
      <c r="BI2535" s="87"/>
    </row>
    <row r="2536" spans="1:61" x14ac:dyDescent="0.25">
      <c r="A2536" s="63" t="s">
        <v>1058</v>
      </c>
      <c r="B2536" s="63" t="s">
        <v>1058</v>
      </c>
      <c r="C2536" s="64"/>
      <c r="D2536" s="65"/>
      <c r="E2536" s="66"/>
      <c r="F2536" s="67"/>
      <c r="G2536" s="64"/>
      <c r="H2536" s="68"/>
      <c r="I2536" s="69"/>
      <c r="J2536" s="69"/>
      <c r="K2536" s="32"/>
      <c r="L2536" s="76">
        <v>2536</v>
      </c>
      <c r="M2536" s="76"/>
      <c r="N2536" s="71"/>
      <c r="O2536" s="87" t="s">
        <v>179</v>
      </c>
      <c r="P2536" s="90">
        <v>45110.615474537037</v>
      </c>
      <c r="Q2536" s="87" t="s">
        <v>4253</v>
      </c>
      <c r="R2536" s="87">
        <v>0</v>
      </c>
      <c r="S2536" s="87">
        <v>0</v>
      </c>
      <c r="T2536" s="87">
        <v>0</v>
      </c>
      <c r="U2536" s="87">
        <v>0</v>
      </c>
      <c r="V2536" s="87">
        <v>79</v>
      </c>
      <c r="W2536" s="93" t="s">
        <v>7424</v>
      </c>
      <c r="X2536" s="87"/>
      <c r="Y2536" s="87"/>
      <c r="Z2536" s="87"/>
      <c r="AA2536" s="87" t="s">
        <v>10267</v>
      </c>
      <c r="AB2536" s="87" t="s">
        <v>11448</v>
      </c>
      <c r="AC2536" s="93" t="s">
        <v>11457</v>
      </c>
      <c r="AD2536" s="87" t="s">
        <v>11519</v>
      </c>
      <c r="AE2536" s="92" t="str">
        <f>HYPERLINK("https://twitter.com/serraempauta/status/1675878634186321920")</f>
        <v>https://twitter.com/serraempauta/status/1675878634186321920</v>
      </c>
      <c r="AF2536" s="90">
        <v>45110.615474537037</v>
      </c>
      <c r="AG2536" s="99">
        <v>45110</v>
      </c>
      <c r="AH2536" s="93" t="s">
        <v>13789</v>
      </c>
      <c r="AI2536" s="87" t="b">
        <v>0</v>
      </c>
      <c r="AJ2536" s="87"/>
      <c r="AK2536" s="87"/>
      <c r="AL2536" s="87"/>
      <c r="AM2536" s="87"/>
      <c r="AN2536" s="87"/>
      <c r="AO2536" s="87"/>
      <c r="AP2536" s="87"/>
      <c r="AQ2536" s="87" t="s">
        <v>17080</v>
      </c>
      <c r="AR2536" s="87"/>
      <c r="AS2536" s="87"/>
      <c r="AT2536" s="87"/>
      <c r="AU2536" s="87"/>
      <c r="AV2536" s="92" t="str">
        <f>HYPERLINK("https://pbs.twimg.com/media/F0Hquz3WwAIQbKy.jpg")</f>
        <v>https://pbs.twimg.com/media/F0Hquz3WwAIQbKy.jpg</v>
      </c>
      <c r="AW2536" s="93" t="s">
        <v>20697</v>
      </c>
      <c r="AX2536" s="93" t="s">
        <v>20697</v>
      </c>
      <c r="AY2536" s="87"/>
      <c r="AZ2536" s="93" t="s">
        <v>22668</v>
      </c>
      <c r="BA2536" s="93" t="s">
        <v>22668</v>
      </c>
      <c r="BB2536" s="93" t="s">
        <v>22668</v>
      </c>
      <c r="BC2536" s="93" t="s">
        <v>20697</v>
      </c>
      <c r="BD2536" s="93" t="s">
        <v>23269</v>
      </c>
      <c r="BE2536" s="87"/>
      <c r="BF2536" s="87"/>
      <c r="BG2536" s="87"/>
      <c r="BH2536" s="87"/>
      <c r="BI2536" s="87"/>
    </row>
    <row r="2537" spans="1:61" x14ac:dyDescent="0.25">
      <c r="A2537" s="63" t="s">
        <v>1058</v>
      </c>
      <c r="B2537" s="63" t="s">
        <v>1058</v>
      </c>
      <c r="C2537" s="64"/>
      <c r="D2537" s="65"/>
      <c r="E2537" s="66"/>
      <c r="F2537" s="67"/>
      <c r="G2537" s="64"/>
      <c r="H2537" s="68"/>
      <c r="I2537" s="69"/>
      <c r="J2537" s="69"/>
      <c r="K2537" s="32"/>
      <c r="L2537" s="76">
        <v>2537</v>
      </c>
      <c r="M2537" s="76"/>
      <c r="N2537" s="71"/>
      <c r="O2537" s="87" t="s">
        <v>179</v>
      </c>
      <c r="P2537" s="90">
        <v>45110.592615740738</v>
      </c>
      <c r="Q2537" s="87" t="s">
        <v>4254</v>
      </c>
      <c r="R2537" s="87">
        <v>0</v>
      </c>
      <c r="S2537" s="87">
        <v>1</v>
      </c>
      <c r="T2537" s="87">
        <v>0</v>
      </c>
      <c r="U2537" s="87">
        <v>0</v>
      </c>
      <c r="V2537" s="87">
        <v>37</v>
      </c>
      <c r="W2537" s="93" t="s">
        <v>7424</v>
      </c>
      <c r="X2537" s="87"/>
      <c r="Y2537" s="87"/>
      <c r="Z2537" s="87"/>
      <c r="AA2537" s="87" t="s">
        <v>10268</v>
      </c>
      <c r="AB2537" s="87" t="s">
        <v>11448</v>
      </c>
      <c r="AC2537" s="93" t="s">
        <v>11457</v>
      </c>
      <c r="AD2537" s="87" t="s">
        <v>11519</v>
      </c>
      <c r="AE2537" s="92" t="str">
        <f>HYPERLINK("https://twitter.com/serraempauta/status/1675870350914072577")</f>
        <v>https://twitter.com/serraempauta/status/1675870350914072577</v>
      </c>
      <c r="AF2537" s="90">
        <v>45110.592615740738</v>
      </c>
      <c r="AG2537" s="99">
        <v>45110</v>
      </c>
      <c r="AH2537" s="93" t="s">
        <v>13790</v>
      </c>
      <c r="AI2537" s="87" t="b">
        <v>0</v>
      </c>
      <c r="AJ2537" s="87"/>
      <c r="AK2537" s="87"/>
      <c r="AL2537" s="87"/>
      <c r="AM2537" s="87"/>
      <c r="AN2537" s="87"/>
      <c r="AO2537" s="87"/>
      <c r="AP2537" s="87"/>
      <c r="AQ2537" s="87" t="s">
        <v>17081</v>
      </c>
      <c r="AR2537" s="87"/>
      <c r="AS2537" s="87"/>
      <c r="AT2537" s="87"/>
      <c r="AU2537" s="87"/>
      <c r="AV2537" s="92" t="str">
        <f>HYPERLINK("https://pbs.twimg.com/media/F0HjMe5XwAEp89y.jpg")</f>
        <v>https://pbs.twimg.com/media/F0HjMe5XwAEp89y.jpg</v>
      </c>
      <c r="AW2537" s="93" t="s">
        <v>20698</v>
      </c>
      <c r="AX2537" s="93" t="s">
        <v>20698</v>
      </c>
      <c r="AY2537" s="87"/>
      <c r="AZ2537" s="93" t="s">
        <v>22668</v>
      </c>
      <c r="BA2537" s="93" t="s">
        <v>22668</v>
      </c>
      <c r="BB2537" s="93" t="s">
        <v>22668</v>
      </c>
      <c r="BC2537" s="93" t="s">
        <v>20698</v>
      </c>
      <c r="BD2537" s="93" t="s">
        <v>23269</v>
      </c>
      <c r="BE2537" s="87"/>
      <c r="BF2537" s="87"/>
      <c r="BG2537" s="87"/>
      <c r="BH2537" s="87"/>
      <c r="BI2537" s="87"/>
    </row>
    <row r="2538" spans="1:61" x14ac:dyDescent="0.25">
      <c r="A2538" s="63" t="s">
        <v>1058</v>
      </c>
      <c r="B2538" s="63" t="s">
        <v>1058</v>
      </c>
      <c r="C2538" s="64"/>
      <c r="D2538" s="65"/>
      <c r="E2538" s="66"/>
      <c r="F2538" s="67"/>
      <c r="G2538" s="64"/>
      <c r="H2538" s="68"/>
      <c r="I2538" s="69"/>
      <c r="J2538" s="69"/>
      <c r="K2538" s="32"/>
      <c r="L2538" s="76">
        <v>2538</v>
      </c>
      <c r="M2538" s="76"/>
      <c r="N2538" s="71"/>
      <c r="O2538" s="87" t="s">
        <v>179</v>
      </c>
      <c r="P2538" s="90">
        <v>45188.554293981484</v>
      </c>
      <c r="Q2538" s="87" t="s">
        <v>4255</v>
      </c>
      <c r="R2538" s="87">
        <v>0</v>
      </c>
      <c r="S2538" s="87">
        <v>0</v>
      </c>
      <c r="T2538" s="87">
        <v>1</v>
      </c>
      <c r="U2538" s="87">
        <v>0</v>
      </c>
      <c r="V2538" s="87">
        <v>53</v>
      </c>
      <c r="W2538" s="93" t="s">
        <v>7424</v>
      </c>
      <c r="X2538" s="87"/>
      <c r="Y2538" s="87"/>
      <c r="Z2538" s="87"/>
      <c r="AA2538" s="87" t="s">
        <v>10269</v>
      </c>
      <c r="AB2538" s="87" t="s">
        <v>11448</v>
      </c>
      <c r="AC2538" s="93" t="s">
        <v>11457</v>
      </c>
      <c r="AD2538" s="87" t="s">
        <v>11519</v>
      </c>
      <c r="AE2538" s="92" t="str">
        <f>HYPERLINK("https://twitter.com/serraempauta/status/1704122715370618966")</f>
        <v>https://twitter.com/serraempauta/status/1704122715370618966</v>
      </c>
      <c r="AF2538" s="90">
        <v>45188.554293981484</v>
      </c>
      <c r="AG2538" s="99">
        <v>45188</v>
      </c>
      <c r="AH2538" s="93" t="s">
        <v>13791</v>
      </c>
      <c r="AI2538" s="87" t="b">
        <v>0</v>
      </c>
      <c r="AJ2538" s="87"/>
      <c r="AK2538" s="87"/>
      <c r="AL2538" s="87"/>
      <c r="AM2538" s="87"/>
      <c r="AN2538" s="87"/>
      <c r="AO2538" s="87"/>
      <c r="AP2538" s="87"/>
      <c r="AQ2538" s="87" t="s">
        <v>17082</v>
      </c>
      <c r="AR2538" s="87"/>
      <c r="AS2538" s="87"/>
      <c r="AT2538" s="87"/>
      <c r="AU2538" s="87"/>
      <c r="AV2538" s="92" t="str">
        <f>HYPERLINK("https://pbs.twimg.com/media/F6ZCkdMXAAA9ZS_.jpg")</f>
        <v>https://pbs.twimg.com/media/F6ZCkdMXAAA9ZS_.jpg</v>
      </c>
      <c r="AW2538" s="93" t="s">
        <v>20699</v>
      </c>
      <c r="AX2538" s="93" t="s">
        <v>20699</v>
      </c>
      <c r="AY2538" s="87"/>
      <c r="AZ2538" s="93" t="s">
        <v>22668</v>
      </c>
      <c r="BA2538" s="93" t="s">
        <v>22668</v>
      </c>
      <c r="BB2538" s="93" t="s">
        <v>22668</v>
      </c>
      <c r="BC2538" s="93" t="s">
        <v>20699</v>
      </c>
      <c r="BD2538" s="93" t="s">
        <v>23269</v>
      </c>
      <c r="BE2538" s="87"/>
      <c r="BF2538" s="87"/>
      <c r="BG2538" s="87"/>
      <c r="BH2538" s="87"/>
      <c r="BI2538" s="87"/>
    </row>
    <row r="2539" spans="1:61" x14ac:dyDescent="0.25">
      <c r="A2539" s="63" t="s">
        <v>1058</v>
      </c>
      <c r="B2539" s="63" t="s">
        <v>1058</v>
      </c>
      <c r="C2539" s="64"/>
      <c r="D2539" s="65"/>
      <c r="E2539" s="66"/>
      <c r="F2539" s="67"/>
      <c r="G2539" s="64"/>
      <c r="H2539" s="68"/>
      <c r="I2539" s="69"/>
      <c r="J2539" s="69"/>
      <c r="K2539" s="32"/>
      <c r="L2539" s="76">
        <v>2539</v>
      </c>
      <c r="M2539" s="76"/>
      <c r="N2539" s="71"/>
      <c r="O2539" s="87" t="s">
        <v>179</v>
      </c>
      <c r="P2539" s="90">
        <v>45188.538923611108</v>
      </c>
      <c r="Q2539" s="87" t="s">
        <v>4256</v>
      </c>
      <c r="R2539" s="87">
        <v>0</v>
      </c>
      <c r="S2539" s="87">
        <v>0</v>
      </c>
      <c r="T2539" s="87">
        <v>0</v>
      </c>
      <c r="U2539" s="87">
        <v>0</v>
      </c>
      <c r="V2539" s="87">
        <v>23</v>
      </c>
      <c r="W2539" s="93" t="s">
        <v>7424</v>
      </c>
      <c r="X2539" s="87"/>
      <c r="Y2539" s="87"/>
      <c r="Z2539" s="87"/>
      <c r="AA2539" s="87" t="s">
        <v>10270</v>
      </c>
      <c r="AB2539" s="87" t="s">
        <v>11448</v>
      </c>
      <c r="AC2539" s="93" t="s">
        <v>11457</v>
      </c>
      <c r="AD2539" s="87" t="s">
        <v>11519</v>
      </c>
      <c r="AE2539" s="92" t="str">
        <f>HYPERLINK("https://twitter.com/serraempauta/status/1704117149046804888")</f>
        <v>https://twitter.com/serraempauta/status/1704117149046804888</v>
      </c>
      <c r="AF2539" s="90">
        <v>45188.538923611108</v>
      </c>
      <c r="AG2539" s="99">
        <v>45188</v>
      </c>
      <c r="AH2539" s="93" t="s">
        <v>13792</v>
      </c>
      <c r="AI2539" s="87" t="b">
        <v>0</v>
      </c>
      <c r="AJ2539" s="87"/>
      <c r="AK2539" s="87"/>
      <c r="AL2539" s="87"/>
      <c r="AM2539" s="87"/>
      <c r="AN2539" s="87"/>
      <c r="AO2539" s="87"/>
      <c r="AP2539" s="87"/>
      <c r="AQ2539" s="87" t="s">
        <v>17083</v>
      </c>
      <c r="AR2539" s="87"/>
      <c r="AS2539" s="87"/>
      <c r="AT2539" s="87"/>
      <c r="AU2539" s="87"/>
      <c r="AV2539" s="92" t="str">
        <f>HYPERLINK("https://pbs.twimg.com/media/F6Y9gqkW8AEKiDa.jpg")</f>
        <v>https://pbs.twimg.com/media/F6Y9gqkW8AEKiDa.jpg</v>
      </c>
      <c r="AW2539" s="93" t="s">
        <v>20700</v>
      </c>
      <c r="AX2539" s="93" t="s">
        <v>20700</v>
      </c>
      <c r="AY2539" s="87"/>
      <c r="AZ2539" s="93" t="s">
        <v>22668</v>
      </c>
      <c r="BA2539" s="93" t="s">
        <v>22668</v>
      </c>
      <c r="BB2539" s="93" t="s">
        <v>22668</v>
      </c>
      <c r="BC2539" s="93" t="s">
        <v>20700</v>
      </c>
      <c r="BD2539" s="93" t="s">
        <v>23269</v>
      </c>
      <c r="BE2539" s="87"/>
      <c r="BF2539" s="87"/>
      <c r="BG2539" s="87"/>
      <c r="BH2539" s="87"/>
      <c r="BI2539" s="87"/>
    </row>
    <row r="2540" spans="1:61" x14ac:dyDescent="0.25">
      <c r="A2540" s="63" t="s">
        <v>1058</v>
      </c>
      <c r="B2540" s="63" t="s">
        <v>1058</v>
      </c>
      <c r="C2540" s="64"/>
      <c r="D2540" s="65"/>
      <c r="E2540" s="66"/>
      <c r="F2540" s="67"/>
      <c r="G2540" s="64"/>
      <c r="H2540" s="68"/>
      <c r="I2540" s="69"/>
      <c r="J2540" s="69"/>
      <c r="K2540" s="32"/>
      <c r="L2540" s="76">
        <v>2540</v>
      </c>
      <c r="M2540" s="76"/>
      <c r="N2540" s="71"/>
      <c r="O2540" s="87" t="s">
        <v>179</v>
      </c>
      <c r="P2540" s="90">
        <v>45188.50885416667</v>
      </c>
      <c r="Q2540" s="87" t="s">
        <v>4257</v>
      </c>
      <c r="R2540" s="87">
        <v>0</v>
      </c>
      <c r="S2540" s="87">
        <v>0</v>
      </c>
      <c r="T2540" s="87">
        <v>0</v>
      </c>
      <c r="U2540" s="87">
        <v>0</v>
      </c>
      <c r="V2540" s="87">
        <v>38</v>
      </c>
      <c r="W2540" s="93" t="s">
        <v>7424</v>
      </c>
      <c r="X2540" s="87"/>
      <c r="Y2540" s="87"/>
      <c r="Z2540" s="87"/>
      <c r="AA2540" s="87" t="s">
        <v>10271</v>
      </c>
      <c r="AB2540" s="87" t="s">
        <v>11448</v>
      </c>
      <c r="AC2540" s="93" t="s">
        <v>11457</v>
      </c>
      <c r="AD2540" s="87" t="s">
        <v>11519</v>
      </c>
      <c r="AE2540" s="92" t="str">
        <f>HYPERLINK("https://twitter.com/serraempauta/status/1704106251402060111")</f>
        <v>https://twitter.com/serraempauta/status/1704106251402060111</v>
      </c>
      <c r="AF2540" s="90">
        <v>45188.50885416667</v>
      </c>
      <c r="AG2540" s="99">
        <v>45188</v>
      </c>
      <c r="AH2540" s="93" t="s">
        <v>13793</v>
      </c>
      <c r="AI2540" s="87" t="b">
        <v>0</v>
      </c>
      <c r="AJ2540" s="87"/>
      <c r="AK2540" s="87"/>
      <c r="AL2540" s="87"/>
      <c r="AM2540" s="87"/>
      <c r="AN2540" s="87"/>
      <c r="AO2540" s="87"/>
      <c r="AP2540" s="87"/>
      <c r="AQ2540" s="87" t="s">
        <v>17084</v>
      </c>
      <c r="AR2540" s="87"/>
      <c r="AS2540" s="87"/>
      <c r="AT2540" s="87"/>
      <c r="AU2540" s="87"/>
      <c r="AV2540" s="92" t="str">
        <f>HYPERLINK("https://pbs.twimg.com/media/F6YzmM2WEAAgERr.jpg")</f>
        <v>https://pbs.twimg.com/media/F6YzmM2WEAAgERr.jpg</v>
      </c>
      <c r="AW2540" s="93" t="s">
        <v>20701</v>
      </c>
      <c r="AX2540" s="93" t="s">
        <v>20701</v>
      </c>
      <c r="AY2540" s="87"/>
      <c r="AZ2540" s="93" t="s">
        <v>22668</v>
      </c>
      <c r="BA2540" s="93" t="s">
        <v>22668</v>
      </c>
      <c r="BB2540" s="93" t="s">
        <v>22668</v>
      </c>
      <c r="BC2540" s="93" t="s">
        <v>20701</v>
      </c>
      <c r="BD2540" s="93" t="s">
        <v>23269</v>
      </c>
      <c r="BE2540" s="87"/>
      <c r="BF2540" s="87"/>
      <c r="BG2540" s="87"/>
      <c r="BH2540" s="87"/>
      <c r="BI2540" s="87"/>
    </row>
    <row r="2541" spans="1:61" x14ac:dyDescent="0.25">
      <c r="A2541" s="63" t="s">
        <v>1058</v>
      </c>
      <c r="B2541" s="63" t="s">
        <v>1058</v>
      </c>
      <c r="C2541" s="64"/>
      <c r="D2541" s="65"/>
      <c r="E2541" s="66"/>
      <c r="F2541" s="67"/>
      <c r="G2541" s="64"/>
      <c r="H2541" s="68"/>
      <c r="I2541" s="69"/>
      <c r="J2541" s="69"/>
      <c r="K2541" s="32"/>
      <c r="L2541" s="76">
        <v>2541</v>
      </c>
      <c r="M2541" s="76"/>
      <c r="N2541" s="71"/>
      <c r="O2541" s="87" t="s">
        <v>179</v>
      </c>
      <c r="P2541" s="90">
        <v>45188.480474537035</v>
      </c>
      <c r="Q2541" s="87" t="s">
        <v>4258</v>
      </c>
      <c r="R2541" s="87">
        <v>0</v>
      </c>
      <c r="S2541" s="87">
        <v>0</v>
      </c>
      <c r="T2541" s="87">
        <v>0</v>
      </c>
      <c r="U2541" s="87">
        <v>0</v>
      </c>
      <c r="V2541" s="87">
        <v>30</v>
      </c>
      <c r="W2541" s="93" t="s">
        <v>7424</v>
      </c>
      <c r="X2541" s="87"/>
      <c r="Y2541" s="87"/>
      <c r="Z2541" s="87"/>
      <c r="AA2541" s="87" t="s">
        <v>10272</v>
      </c>
      <c r="AB2541" s="87" t="s">
        <v>11448</v>
      </c>
      <c r="AC2541" s="93" t="s">
        <v>11457</v>
      </c>
      <c r="AD2541" s="87" t="s">
        <v>11519</v>
      </c>
      <c r="AE2541" s="92" t="str">
        <f>HYPERLINK("https://twitter.com/serraempauta/status/1704095963881554014")</f>
        <v>https://twitter.com/serraempauta/status/1704095963881554014</v>
      </c>
      <c r="AF2541" s="90">
        <v>45188.480474537035</v>
      </c>
      <c r="AG2541" s="99">
        <v>45188</v>
      </c>
      <c r="AH2541" s="93" t="s">
        <v>13794</v>
      </c>
      <c r="AI2541" s="87" t="b">
        <v>0</v>
      </c>
      <c r="AJ2541" s="87"/>
      <c r="AK2541" s="87"/>
      <c r="AL2541" s="87"/>
      <c r="AM2541" s="87"/>
      <c r="AN2541" s="87"/>
      <c r="AO2541" s="87"/>
      <c r="AP2541" s="87"/>
      <c r="AQ2541" s="87" t="s">
        <v>17085</v>
      </c>
      <c r="AR2541" s="87"/>
      <c r="AS2541" s="87"/>
      <c r="AT2541" s="87"/>
      <c r="AU2541" s="87"/>
      <c r="AV2541" s="92" t="str">
        <f>HYPERLINK("https://pbs.twimg.com/media/F6YqPl6XMAAbFJQ.jpg")</f>
        <v>https://pbs.twimg.com/media/F6YqPl6XMAAbFJQ.jpg</v>
      </c>
      <c r="AW2541" s="93" t="s">
        <v>20702</v>
      </c>
      <c r="AX2541" s="93" t="s">
        <v>20702</v>
      </c>
      <c r="AY2541" s="87"/>
      <c r="AZ2541" s="93" t="s">
        <v>22668</v>
      </c>
      <c r="BA2541" s="93" t="s">
        <v>22668</v>
      </c>
      <c r="BB2541" s="93" t="s">
        <v>22668</v>
      </c>
      <c r="BC2541" s="93" t="s">
        <v>20702</v>
      </c>
      <c r="BD2541" s="93" t="s">
        <v>23269</v>
      </c>
      <c r="BE2541" s="87"/>
      <c r="BF2541" s="87"/>
      <c r="BG2541" s="87"/>
      <c r="BH2541" s="87"/>
      <c r="BI2541" s="87"/>
    </row>
    <row r="2542" spans="1:61" x14ac:dyDescent="0.25">
      <c r="A2542" s="63" t="s">
        <v>1058</v>
      </c>
      <c r="B2542" s="63" t="s">
        <v>1058</v>
      </c>
      <c r="C2542" s="64"/>
      <c r="D2542" s="65"/>
      <c r="E2542" s="66"/>
      <c r="F2542" s="67"/>
      <c r="G2542" s="64"/>
      <c r="H2542" s="68"/>
      <c r="I2542" s="69"/>
      <c r="J2542" s="69"/>
      <c r="K2542" s="32"/>
      <c r="L2542" s="76">
        <v>2542</v>
      </c>
      <c r="M2542" s="76"/>
      <c r="N2542" s="71"/>
      <c r="O2542" s="87" t="s">
        <v>179</v>
      </c>
      <c r="P2542" s="90">
        <v>45187.043842592589</v>
      </c>
      <c r="Q2542" s="87" t="s">
        <v>4259</v>
      </c>
      <c r="R2542" s="87">
        <v>0</v>
      </c>
      <c r="S2542" s="87">
        <v>0</v>
      </c>
      <c r="T2542" s="87">
        <v>0</v>
      </c>
      <c r="U2542" s="87">
        <v>0</v>
      </c>
      <c r="V2542" s="87">
        <v>63</v>
      </c>
      <c r="W2542" s="93" t="s">
        <v>7424</v>
      </c>
      <c r="X2542" s="87"/>
      <c r="Y2542" s="87"/>
      <c r="Z2542" s="87"/>
      <c r="AA2542" s="87" t="s">
        <v>10273</v>
      </c>
      <c r="AB2542" s="87" t="s">
        <v>11448</v>
      </c>
      <c r="AC2542" s="93" t="s">
        <v>11457</v>
      </c>
      <c r="AD2542" s="87" t="s">
        <v>11519</v>
      </c>
      <c r="AE2542" s="92" t="str">
        <f>HYPERLINK("https://twitter.com/serraempauta/status/1703575348565135673")</f>
        <v>https://twitter.com/serraempauta/status/1703575348565135673</v>
      </c>
      <c r="AF2542" s="90">
        <v>45187.043842592589</v>
      </c>
      <c r="AG2542" s="99">
        <v>45187</v>
      </c>
      <c r="AH2542" s="93" t="s">
        <v>13795</v>
      </c>
      <c r="AI2542" s="87" t="b">
        <v>0</v>
      </c>
      <c r="AJ2542" s="87"/>
      <c r="AK2542" s="87"/>
      <c r="AL2542" s="87"/>
      <c r="AM2542" s="87"/>
      <c r="AN2542" s="87"/>
      <c r="AO2542" s="87"/>
      <c r="AP2542" s="87"/>
      <c r="AQ2542" s="87" t="s">
        <v>17086</v>
      </c>
      <c r="AR2542" s="87"/>
      <c r="AS2542" s="87"/>
      <c r="AT2542" s="87"/>
      <c r="AU2542" s="87"/>
      <c r="AV2542" s="92" t="str">
        <f>HYPERLINK("https://pbs.twimg.com/media/F6RQvrJXcAABJeP.jpg")</f>
        <v>https://pbs.twimg.com/media/F6RQvrJXcAABJeP.jpg</v>
      </c>
      <c r="AW2542" s="93" t="s">
        <v>20703</v>
      </c>
      <c r="AX2542" s="93" t="s">
        <v>20703</v>
      </c>
      <c r="AY2542" s="87"/>
      <c r="AZ2542" s="93" t="s">
        <v>22668</v>
      </c>
      <c r="BA2542" s="93" t="s">
        <v>22668</v>
      </c>
      <c r="BB2542" s="93" t="s">
        <v>22668</v>
      </c>
      <c r="BC2542" s="93" t="s">
        <v>20703</v>
      </c>
      <c r="BD2542" s="93" t="s">
        <v>23269</v>
      </c>
      <c r="BE2542" s="87"/>
      <c r="BF2542" s="87"/>
      <c r="BG2542" s="87"/>
      <c r="BH2542" s="87"/>
      <c r="BI2542" s="87"/>
    </row>
    <row r="2543" spans="1:61" x14ac:dyDescent="0.25">
      <c r="A2543" s="63" t="s">
        <v>1058</v>
      </c>
      <c r="B2543" s="63" t="s">
        <v>1058</v>
      </c>
      <c r="C2543" s="64"/>
      <c r="D2543" s="65"/>
      <c r="E2543" s="66"/>
      <c r="F2543" s="67"/>
      <c r="G2543" s="64"/>
      <c r="H2543" s="68"/>
      <c r="I2543" s="69"/>
      <c r="J2543" s="69"/>
      <c r="K2543" s="32"/>
      <c r="L2543" s="76">
        <v>2543</v>
      </c>
      <c r="M2543" s="76"/>
      <c r="N2543" s="71"/>
      <c r="O2543" s="87" t="s">
        <v>179</v>
      </c>
      <c r="P2543" s="90">
        <v>45183.576261574075</v>
      </c>
      <c r="Q2543" s="87" t="s">
        <v>4260</v>
      </c>
      <c r="R2543" s="87">
        <v>0</v>
      </c>
      <c r="S2543" s="87">
        <v>0</v>
      </c>
      <c r="T2543" s="87">
        <v>0</v>
      </c>
      <c r="U2543" s="87">
        <v>0</v>
      </c>
      <c r="V2543" s="87">
        <v>28</v>
      </c>
      <c r="W2543" s="93" t="s">
        <v>7424</v>
      </c>
      <c r="X2543" s="87"/>
      <c r="Y2543" s="87"/>
      <c r="Z2543" s="87"/>
      <c r="AA2543" s="87" t="s">
        <v>10274</v>
      </c>
      <c r="AB2543" s="87" t="s">
        <v>11448</v>
      </c>
      <c r="AC2543" s="93" t="s">
        <v>11457</v>
      </c>
      <c r="AD2543" s="87" t="s">
        <v>11519</v>
      </c>
      <c r="AE2543" s="92" t="str">
        <f>HYPERLINK("https://twitter.com/serraempauta/status/1702318737012273297")</f>
        <v>https://twitter.com/serraempauta/status/1702318737012273297</v>
      </c>
      <c r="AF2543" s="90">
        <v>45183.576261574075</v>
      </c>
      <c r="AG2543" s="99">
        <v>45183</v>
      </c>
      <c r="AH2543" s="93" t="s">
        <v>13796</v>
      </c>
      <c r="AI2543" s="87" t="b">
        <v>0</v>
      </c>
      <c r="AJ2543" s="87"/>
      <c r="AK2543" s="87"/>
      <c r="AL2543" s="87"/>
      <c r="AM2543" s="87"/>
      <c r="AN2543" s="87"/>
      <c r="AO2543" s="87"/>
      <c r="AP2543" s="87"/>
      <c r="AQ2543" s="87" t="s">
        <v>17087</v>
      </c>
      <c r="AR2543" s="87"/>
      <c r="AS2543" s="87"/>
      <c r="AT2543" s="87"/>
      <c r="AU2543" s="87"/>
      <c r="AV2543" s="92" t="str">
        <f>HYPERLINK("https://pbs.twimg.com/media/F5_Z0VBaUAAD6aO.jpg")</f>
        <v>https://pbs.twimg.com/media/F5_Z0VBaUAAD6aO.jpg</v>
      </c>
      <c r="AW2543" s="93" t="s">
        <v>20704</v>
      </c>
      <c r="AX2543" s="93" t="s">
        <v>20704</v>
      </c>
      <c r="AY2543" s="87"/>
      <c r="AZ2543" s="93" t="s">
        <v>22668</v>
      </c>
      <c r="BA2543" s="93" t="s">
        <v>22668</v>
      </c>
      <c r="BB2543" s="93" t="s">
        <v>22668</v>
      </c>
      <c r="BC2543" s="93" t="s">
        <v>20704</v>
      </c>
      <c r="BD2543" s="93" t="s">
        <v>23269</v>
      </c>
      <c r="BE2543" s="87"/>
      <c r="BF2543" s="87"/>
      <c r="BG2543" s="87"/>
      <c r="BH2543" s="87"/>
      <c r="BI2543" s="87"/>
    </row>
    <row r="2544" spans="1:61" x14ac:dyDescent="0.25">
      <c r="A2544" s="63" t="s">
        <v>1058</v>
      </c>
      <c r="B2544" s="63" t="s">
        <v>1058</v>
      </c>
      <c r="C2544" s="64"/>
      <c r="D2544" s="65"/>
      <c r="E2544" s="66"/>
      <c r="F2544" s="67"/>
      <c r="G2544" s="64"/>
      <c r="H2544" s="68"/>
      <c r="I2544" s="69"/>
      <c r="J2544" s="69"/>
      <c r="K2544" s="32"/>
      <c r="L2544" s="76">
        <v>2544</v>
      </c>
      <c r="M2544" s="76"/>
      <c r="N2544" s="71"/>
      <c r="O2544" s="87" t="s">
        <v>179</v>
      </c>
      <c r="P2544" s="90">
        <v>45183.574479166666</v>
      </c>
      <c r="Q2544" s="87" t="s">
        <v>4261</v>
      </c>
      <c r="R2544" s="87">
        <v>0</v>
      </c>
      <c r="S2544" s="87">
        <v>0</v>
      </c>
      <c r="T2544" s="87">
        <v>0</v>
      </c>
      <c r="U2544" s="87">
        <v>0</v>
      </c>
      <c r="V2544" s="87">
        <v>21</v>
      </c>
      <c r="W2544" s="93" t="s">
        <v>7424</v>
      </c>
      <c r="X2544" s="87"/>
      <c r="Y2544" s="87"/>
      <c r="Z2544" s="87"/>
      <c r="AA2544" s="87" t="s">
        <v>10275</v>
      </c>
      <c r="AB2544" s="87" t="s">
        <v>11448</v>
      </c>
      <c r="AC2544" s="93" t="s">
        <v>11457</v>
      </c>
      <c r="AD2544" s="87" t="s">
        <v>11519</v>
      </c>
      <c r="AE2544" s="92" t="str">
        <f>HYPERLINK("https://twitter.com/serraempauta/status/1702318093366907144")</f>
        <v>https://twitter.com/serraempauta/status/1702318093366907144</v>
      </c>
      <c r="AF2544" s="90">
        <v>45183.574479166666</v>
      </c>
      <c r="AG2544" s="99">
        <v>45183</v>
      </c>
      <c r="AH2544" s="93" t="s">
        <v>13797</v>
      </c>
      <c r="AI2544" s="87" t="b">
        <v>0</v>
      </c>
      <c r="AJ2544" s="87"/>
      <c r="AK2544" s="87"/>
      <c r="AL2544" s="87"/>
      <c r="AM2544" s="87"/>
      <c r="AN2544" s="87"/>
      <c r="AO2544" s="87"/>
      <c r="AP2544" s="87"/>
      <c r="AQ2544" s="87" t="s">
        <v>17088</v>
      </c>
      <c r="AR2544" s="87"/>
      <c r="AS2544" s="87"/>
      <c r="AT2544" s="87"/>
      <c r="AU2544" s="87"/>
      <c r="AV2544" s="92" t="str">
        <f>HYPERLINK("https://pbs.twimg.com/media/F5_CvaNXcAA3NBW.jpg")</f>
        <v>https://pbs.twimg.com/media/F5_CvaNXcAA3NBW.jpg</v>
      </c>
      <c r="AW2544" s="93" t="s">
        <v>20705</v>
      </c>
      <c r="AX2544" s="93" t="s">
        <v>20705</v>
      </c>
      <c r="AY2544" s="87"/>
      <c r="AZ2544" s="93" t="s">
        <v>22668</v>
      </c>
      <c r="BA2544" s="93" t="s">
        <v>22668</v>
      </c>
      <c r="BB2544" s="93" t="s">
        <v>22668</v>
      </c>
      <c r="BC2544" s="93" t="s">
        <v>20705</v>
      </c>
      <c r="BD2544" s="93" t="s">
        <v>23269</v>
      </c>
      <c r="BE2544" s="87"/>
      <c r="BF2544" s="87"/>
      <c r="BG2544" s="87"/>
      <c r="BH2544" s="87"/>
      <c r="BI2544" s="87"/>
    </row>
    <row r="2545" spans="1:61" x14ac:dyDescent="0.25">
      <c r="A2545" s="63" t="s">
        <v>1058</v>
      </c>
      <c r="B2545" s="63" t="s">
        <v>1058</v>
      </c>
      <c r="C2545" s="64"/>
      <c r="D2545" s="65"/>
      <c r="E2545" s="66"/>
      <c r="F2545" s="67"/>
      <c r="G2545" s="64"/>
      <c r="H2545" s="68"/>
      <c r="I2545" s="69"/>
      <c r="J2545" s="69"/>
      <c r="K2545" s="32"/>
      <c r="L2545" s="76">
        <v>2545</v>
      </c>
      <c r="M2545" s="76"/>
      <c r="N2545" s="71"/>
      <c r="O2545" s="87" t="s">
        <v>179</v>
      </c>
      <c r="P2545" s="90">
        <v>45183.507037037038</v>
      </c>
      <c r="Q2545" s="87" t="s">
        <v>4262</v>
      </c>
      <c r="R2545" s="87">
        <v>0</v>
      </c>
      <c r="S2545" s="87">
        <v>0</v>
      </c>
      <c r="T2545" s="87">
        <v>0</v>
      </c>
      <c r="U2545" s="87">
        <v>0</v>
      </c>
      <c r="V2545" s="87">
        <v>27</v>
      </c>
      <c r="W2545" s="93" t="s">
        <v>7424</v>
      </c>
      <c r="X2545" s="87"/>
      <c r="Y2545" s="87"/>
      <c r="Z2545" s="87"/>
      <c r="AA2545" s="87" t="s">
        <v>10276</v>
      </c>
      <c r="AB2545" s="87" t="s">
        <v>11448</v>
      </c>
      <c r="AC2545" s="93" t="s">
        <v>11457</v>
      </c>
      <c r="AD2545" s="87" t="s">
        <v>11519</v>
      </c>
      <c r="AE2545" s="92" t="str">
        <f>HYPERLINK("https://twitter.com/serraempauta/status/1702293653769658722")</f>
        <v>https://twitter.com/serraempauta/status/1702293653769658722</v>
      </c>
      <c r="AF2545" s="90">
        <v>45183.507037037038</v>
      </c>
      <c r="AG2545" s="99">
        <v>45183</v>
      </c>
      <c r="AH2545" s="93" t="s">
        <v>13798</v>
      </c>
      <c r="AI2545" s="87" t="b">
        <v>0</v>
      </c>
      <c r="AJ2545" s="87"/>
      <c r="AK2545" s="87"/>
      <c r="AL2545" s="87"/>
      <c r="AM2545" s="87"/>
      <c r="AN2545" s="87"/>
      <c r="AO2545" s="87"/>
      <c r="AP2545" s="87"/>
      <c r="AQ2545" s="87" t="s">
        <v>17088</v>
      </c>
      <c r="AR2545" s="87"/>
      <c r="AS2545" s="87"/>
      <c r="AT2545" s="87"/>
      <c r="AU2545" s="87"/>
      <c r="AV2545" s="92" t="str">
        <f>HYPERLINK("https://pbs.twimg.com/media/F5_CvaNXcAA3NBW.jpg")</f>
        <v>https://pbs.twimg.com/media/F5_CvaNXcAA3NBW.jpg</v>
      </c>
      <c r="AW2545" s="93" t="s">
        <v>20706</v>
      </c>
      <c r="AX2545" s="93" t="s">
        <v>20706</v>
      </c>
      <c r="AY2545" s="87"/>
      <c r="AZ2545" s="93" t="s">
        <v>22668</v>
      </c>
      <c r="BA2545" s="93" t="s">
        <v>22668</v>
      </c>
      <c r="BB2545" s="93" t="s">
        <v>22668</v>
      </c>
      <c r="BC2545" s="93" t="s">
        <v>20706</v>
      </c>
      <c r="BD2545" s="93" t="s">
        <v>23269</v>
      </c>
      <c r="BE2545" s="87"/>
      <c r="BF2545" s="87"/>
      <c r="BG2545" s="87"/>
      <c r="BH2545" s="87"/>
      <c r="BI2545" s="87"/>
    </row>
    <row r="2546" spans="1:61" x14ac:dyDescent="0.25">
      <c r="A2546" s="63" t="s">
        <v>1058</v>
      </c>
      <c r="B2546" s="63" t="s">
        <v>1058</v>
      </c>
      <c r="C2546" s="64"/>
      <c r="D2546" s="65"/>
      <c r="E2546" s="66"/>
      <c r="F2546" s="67"/>
      <c r="G2546" s="64"/>
      <c r="H2546" s="68"/>
      <c r="I2546" s="69"/>
      <c r="J2546" s="69"/>
      <c r="K2546" s="32"/>
      <c r="L2546" s="76">
        <v>2546</v>
      </c>
      <c r="M2546" s="76"/>
      <c r="N2546" s="71"/>
      <c r="O2546" s="87" t="s">
        <v>179</v>
      </c>
      <c r="P2546" s="90">
        <v>45183.465833333335</v>
      </c>
      <c r="Q2546" s="87" t="s">
        <v>4263</v>
      </c>
      <c r="R2546" s="87">
        <v>0</v>
      </c>
      <c r="S2546" s="87">
        <v>0</v>
      </c>
      <c r="T2546" s="87">
        <v>0</v>
      </c>
      <c r="U2546" s="87">
        <v>0</v>
      </c>
      <c r="V2546" s="87">
        <v>35</v>
      </c>
      <c r="W2546" s="93" t="s">
        <v>7424</v>
      </c>
      <c r="X2546" s="87"/>
      <c r="Y2546" s="87"/>
      <c r="Z2546" s="87"/>
      <c r="AA2546" s="87" t="s">
        <v>10277</v>
      </c>
      <c r="AB2546" s="87" t="s">
        <v>11448</v>
      </c>
      <c r="AC2546" s="93" t="s">
        <v>11457</v>
      </c>
      <c r="AD2546" s="87" t="s">
        <v>11519</v>
      </c>
      <c r="AE2546" s="92" t="str">
        <f>HYPERLINK("https://twitter.com/serraempauta/status/1702278718754877669")</f>
        <v>https://twitter.com/serraempauta/status/1702278718754877669</v>
      </c>
      <c r="AF2546" s="90">
        <v>45183.465833333335</v>
      </c>
      <c r="AG2546" s="99">
        <v>45183</v>
      </c>
      <c r="AH2546" s="93" t="s">
        <v>13799</v>
      </c>
      <c r="AI2546" s="87" t="b">
        <v>0</v>
      </c>
      <c r="AJ2546" s="87"/>
      <c r="AK2546" s="87"/>
      <c r="AL2546" s="87"/>
      <c r="AM2546" s="87"/>
      <c r="AN2546" s="87"/>
      <c r="AO2546" s="87"/>
      <c r="AP2546" s="87"/>
      <c r="AQ2546" s="87" t="s">
        <v>17089</v>
      </c>
      <c r="AR2546" s="87"/>
      <c r="AS2546" s="87"/>
      <c r="AT2546" s="87"/>
      <c r="AU2546" s="87"/>
      <c r="AV2546" s="92" t="str">
        <f>HYPERLINK("https://pbs.twimg.com/media/F5-1dNLWYAA1tX8.jpg")</f>
        <v>https://pbs.twimg.com/media/F5-1dNLWYAA1tX8.jpg</v>
      </c>
      <c r="AW2546" s="93" t="s">
        <v>20707</v>
      </c>
      <c r="AX2546" s="93" t="s">
        <v>20707</v>
      </c>
      <c r="AY2546" s="87"/>
      <c r="AZ2546" s="93" t="s">
        <v>22668</v>
      </c>
      <c r="BA2546" s="93" t="s">
        <v>22668</v>
      </c>
      <c r="BB2546" s="93" t="s">
        <v>22668</v>
      </c>
      <c r="BC2546" s="93" t="s">
        <v>20707</v>
      </c>
      <c r="BD2546" s="93" t="s">
        <v>23269</v>
      </c>
      <c r="BE2546" s="87"/>
      <c r="BF2546" s="87"/>
      <c r="BG2546" s="87"/>
      <c r="BH2546" s="87"/>
      <c r="BI2546" s="87"/>
    </row>
    <row r="2547" spans="1:61" x14ac:dyDescent="0.25">
      <c r="A2547" s="63" t="s">
        <v>1058</v>
      </c>
      <c r="B2547" s="63" t="s">
        <v>1058</v>
      </c>
      <c r="C2547" s="64"/>
      <c r="D2547" s="65"/>
      <c r="E2547" s="66"/>
      <c r="F2547" s="67"/>
      <c r="G2547" s="64"/>
      <c r="H2547" s="68"/>
      <c r="I2547" s="69"/>
      <c r="J2547" s="69"/>
      <c r="K2547" s="32"/>
      <c r="L2547" s="76">
        <v>2547</v>
      </c>
      <c r="M2547" s="76"/>
      <c r="N2547" s="71"/>
      <c r="O2547" s="87" t="s">
        <v>179</v>
      </c>
      <c r="P2547" s="90">
        <v>45180.587118055555</v>
      </c>
      <c r="Q2547" s="87" t="s">
        <v>4264</v>
      </c>
      <c r="R2547" s="87">
        <v>0</v>
      </c>
      <c r="S2547" s="87">
        <v>0</v>
      </c>
      <c r="T2547" s="87">
        <v>0</v>
      </c>
      <c r="U2547" s="87">
        <v>0</v>
      </c>
      <c r="V2547" s="87">
        <v>38</v>
      </c>
      <c r="W2547" s="93" t="s">
        <v>7424</v>
      </c>
      <c r="X2547" s="87"/>
      <c r="Y2547" s="87"/>
      <c r="Z2547" s="87"/>
      <c r="AA2547" s="87" t="s">
        <v>10278</v>
      </c>
      <c r="AB2547" s="87" t="s">
        <v>11448</v>
      </c>
      <c r="AC2547" s="93" t="s">
        <v>11457</v>
      </c>
      <c r="AD2547" s="87" t="s">
        <v>11519</v>
      </c>
      <c r="AE2547" s="92" t="str">
        <f>HYPERLINK("https://twitter.com/serraempauta/status/1701235510444806429")</f>
        <v>https://twitter.com/serraempauta/status/1701235510444806429</v>
      </c>
      <c r="AF2547" s="90">
        <v>45180.587118055555</v>
      </c>
      <c r="AG2547" s="99">
        <v>45180</v>
      </c>
      <c r="AH2547" s="93" t="s">
        <v>13800</v>
      </c>
      <c r="AI2547" s="87" t="b">
        <v>0</v>
      </c>
      <c r="AJ2547" s="87"/>
      <c r="AK2547" s="87"/>
      <c r="AL2547" s="87"/>
      <c r="AM2547" s="87"/>
      <c r="AN2547" s="87"/>
      <c r="AO2547" s="87"/>
      <c r="AP2547" s="87"/>
      <c r="AQ2547" s="87" t="s">
        <v>17090</v>
      </c>
      <c r="AR2547" s="87"/>
      <c r="AS2547" s="87"/>
      <c r="AT2547" s="87"/>
      <c r="AU2547" s="87"/>
      <c r="AV2547" s="92" t="str">
        <f>HYPERLINK("https://pbs.twimg.com/media/F5wAqzTW8AADDbB.jpg")</f>
        <v>https://pbs.twimg.com/media/F5wAqzTW8AADDbB.jpg</v>
      </c>
      <c r="AW2547" s="93" t="s">
        <v>20708</v>
      </c>
      <c r="AX2547" s="93" t="s">
        <v>20708</v>
      </c>
      <c r="AY2547" s="87"/>
      <c r="AZ2547" s="93" t="s">
        <v>22668</v>
      </c>
      <c r="BA2547" s="93" t="s">
        <v>22668</v>
      </c>
      <c r="BB2547" s="93" t="s">
        <v>22668</v>
      </c>
      <c r="BC2547" s="93" t="s">
        <v>20708</v>
      </c>
      <c r="BD2547" s="93" t="s">
        <v>23269</v>
      </c>
      <c r="BE2547" s="87"/>
      <c r="BF2547" s="87"/>
      <c r="BG2547" s="87"/>
      <c r="BH2547" s="87"/>
      <c r="BI2547" s="87"/>
    </row>
    <row r="2548" spans="1:61" x14ac:dyDescent="0.25">
      <c r="A2548" s="63" t="s">
        <v>1058</v>
      </c>
      <c r="B2548" s="63" t="s">
        <v>1058</v>
      </c>
      <c r="C2548" s="64"/>
      <c r="D2548" s="65"/>
      <c r="E2548" s="66"/>
      <c r="F2548" s="67"/>
      <c r="G2548" s="64"/>
      <c r="H2548" s="68"/>
      <c r="I2548" s="69"/>
      <c r="J2548" s="69"/>
      <c r="K2548" s="32"/>
      <c r="L2548" s="76">
        <v>2548</v>
      </c>
      <c r="M2548" s="76"/>
      <c r="N2548" s="71"/>
      <c r="O2548" s="87" t="s">
        <v>179</v>
      </c>
      <c r="P2548" s="90">
        <v>45180.533750000002</v>
      </c>
      <c r="Q2548" s="87" t="s">
        <v>4265</v>
      </c>
      <c r="R2548" s="87">
        <v>0</v>
      </c>
      <c r="S2548" s="87">
        <v>0</v>
      </c>
      <c r="T2548" s="87">
        <v>0</v>
      </c>
      <c r="U2548" s="87">
        <v>0</v>
      </c>
      <c r="V2548" s="87">
        <v>32</v>
      </c>
      <c r="W2548" s="93" t="s">
        <v>7424</v>
      </c>
      <c r="X2548" s="87"/>
      <c r="Y2548" s="87"/>
      <c r="Z2548" s="87"/>
      <c r="AA2548" s="87" t="s">
        <v>10279</v>
      </c>
      <c r="AB2548" s="87" t="s">
        <v>11448</v>
      </c>
      <c r="AC2548" s="93" t="s">
        <v>11457</v>
      </c>
      <c r="AD2548" s="87" t="s">
        <v>11519</v>
      </c>
      <c r="AE2548" s="92" t="str">
        <f>HYPERLINK("https://twitter.com/serraempauta/status/1701216170093801730")</f>
        <v>https://twitter.com/serraempauta/status/1701216170093801730</v>
      </c>
      <c r="AF2548" s="90">
        <v>45180.533750000002</v>
      </c>
      <c r="AG2548" s="99">
        <v>45180</v>
      </c>
      <c r="AH2548" s="93" t="s">
        <v>13801</v>
      </c>
      <c r="AI2548" s="87" t="b">
        <v>0</v>
      </c>
      <c r="AJ2548" s="87"/>
      <c r="AK2548" s="87"/>
      <c r="AL2548" s="87"/>
      <c r="AM2548" s="87"/>
      <c r="AN2548" s="87"/>
      <c r="AO2548" s="87"/>
      <c r="AP2548" s="87"/>
      <c r="AQ2548" s="87" t="s">
        <v>17091</v>
      </c>
      <c r="AR2548" s="87"/>
      <c r="AS2548" s="87"/>
      <c r="AT2548" s="87"/>
      <c r="AU2548" s="87"/>
      <c r="AV2548" s="92" t="str">
        <f>HYPERLINK("https://pbs.twimg.com/media/F5vvFgpXAAAj03h.jpg")</f>
        <v>https://pbs.twimg.com/media/F5vvFgpXAAAj03h.jpg</v>
      </c>
      <c r="AW2548" s="93" t="s">
        <v>20709</v>
      </c>
      <c r="AX2548" s="93" t="s">
        <v>20709</v>
      </c>
      <c r="AY2548" s="87"/>
      <c r="AZ2548" s="93" t="s">
        <v>22668</v>
      </c>
      <c r="BA2548" s="93" t="s">
        <v>22668</v>
      </c>
      <c r="BB2548" s="93" t="s">
        <v>22668</v>
      </c>
      <c r="BC2548" s="93" t="s">
        <v>20709</v>
      </c>
      <c r="BD2548" s="93" t="s">
        <v>23269</v>
      </c>
      <c r="BE2548" s="87"/>
      <c r="BF2548" s="87"/>
      <c r="BG2548" s="87"/>
      <c r="BH2548" s="87"/>
      <c r="BI2548" s="87"/>
    </row>
    <row r="2549" spans="1:61" x14ac:dyDescent="0.25">
      <c r="A2549" s="63" t="s">
        <v>1058</v>
      </c>
      <c r="B2549" s="63" t="s">
        <v>1058</v>
      </c>
      <c r="C2549" s="64"/>
      <c r="D2549" s="65"/>
      <c r="E2549" s="66"/>
      <c r="F2549" s="67"/>
      <c r="G2549" s="64"/>
      <c r="H2549" s="68"/>
      <c r="I2549" s="69"/>
      <c r="J2549" s="69"/>
      <c r="K2549" s="32"/>
      <c r="L2549" s="76">
        <v>2549</v>
      </c>
      <c r="M2549" s="76"/>
      <c r="N2549" s="71"/>
      <c r="O2549" s="87" t="s">
        <v>179</v>
      </c>
      <c r="P2549" s="90">
        <v>45177.595717592594</v>
      </c>
      <c r="Q2549" s="87" t="s">
        <v>4266</v>
      </c>
      <c r="R2549" s="87">
        <v>0</v>
      </c>
      <c r="S2549" s="87">
        <v>0</v>
      </c>
      <c r="T2549" s="87">
        <v>0</v>
      </c>
      <c r="U2549" s="87">
        <v>0</v>
      </c>
      <c r="V2549" s="87">
        <v>42</v>
      </c>
      <c r="W2549" s="93" t="s">
        <v>7424</v>
      </c>
      <c r="X2549" s="87"/>
      <c r="Y2549" s="87"/>
      <c r="Z2549" s="87"/>
      <c r="AA2549" s="87" t="s">
        <v>10280</v>
      </c>
      <c r="AB2549" s="87" t="s">
        <v>11448</v>
      </c>
      <c r="AC2549" s="93" t="s">
        <v>11457</v>
      </c>
      <c r="AD2549" s="87" t="s">
        <v>11519</v>
      </c>
      <c r="AE2549" s="92" t="str">
        <f>HYPERLINK("https://twitter.com/serraempauta/status/1700151464058905069")</f>
        <v>https://twitter.com/serraempauta/status/1700151464058905069</v>
      </c>
      <c r="AF2549" s="90">
        <v>45177.595717592594</v>
      </c>
      <c r="AG2549" s="99">
        <v>45177</v>
      </c>
      <c r="AH2549" s="93" t="s">
        <v>13802</v>
      </c>
      <c r="AI2549" s="87" t="b">
        <v>0</v>
      </c>
      <c r="AJ2549" s="87"/>
      <c r="AK2549" s="87"/>
      <c r="AL2549" s="87"/>
      <c r="AM2549" s="87"/>
      <c r="AN2549" s="87"/>
      <c r="AO2549" s="87"/>
      <c r="AP2549" s="87"/>
      <c r="AQ2549" s="87" t="s">
        <v>17092</v>
      </c>
      <c r="AR2549" s="87"/>
      <c r="AS2549" s="87"/>
      <c r="AT2549" s="87"/>
      <c r="AU2549" s="87"/>
      <c r="AV2549" s="92" t="str">
        <f>HYPERLINK("https://pbs.twimg.com/media/F5gmvdLXMAEPt2d.jpg")</f>
        <v>https://pbs.twimg.com/media/F5gmvdLXMAEPt2d.jpg</v>
      </c>
      <c r="AW2549" s="93" t="s">
        <v>20710</v>
      </c>
      <c r="AX2549" s="93" t="s">
        <v>20710</v>
      </c>
      <c r="AY2549" s="87"/>
      <c r="AZ2549" s="93" t="s">
        <v>22668</v>
      </c>
      <c r="BA2549" s="93" t="s">
        <v>22668</v>
      </c>
      <c r="BB2549" s="93" t="s">
        <v>22668</v>
      </c>
      <c r="BC2549" s="93" t="s">
        <v>20710</v>
      </c>
      <c r="BD2549" s="93" t="s">
        <v>23269</v>
      </c>
      <c r="BE2549" s="87"/>
      <c r="BF2549" s="87"/>
      <c r="BG2549" s="87"/>
      <c r="BH2549" s="87"/>
      <c r="BI2549" s="87"/>
    </row>
    <row r="2550" spans="1:61" x14ac:dyDescent="0.25">
      <c r="A2550" s="63" t="s">
        <v>1058</v>
      </c>
      <c r="B2550" s="63" t="s">
        <v>1058</v>
      </c>
      <c r="C2550" s="64"/>
      <c r="D2550" s="65"/>
      <c r="E2550" s="66"/>
      <c r="F2550" s="67"/>
      <c r="G2550" s="64"/>
      <c r="H2550" s="68"/>
      <c r="I2550" s="69"/>
      <c r="J2550" s="69"/>
      <c r="K2550" s="32"/>
      <c r="L2550" s="76">
        <v>2550</v>
      </c>
      <c r="M2550" s="76"/>
      <c r="N2550" s="71"/>
      <c r="O2550" s="87" t="s">
        <v>179</v>
      </c>
      <c r="P2550" s="90">
        <v>45176.705243055556</v>
      </c>
      <c r="Q2550" s="87" t="s">
        <v>4267</v>
      </c>
      <c r="R2550" s="87">
        <v>0</v>
      </c>
      <c r="S2550" s="87">
        <v>0</v>
      </c>
      <c r="T2550" s="87">
        <v>0</v>
      </c>
      <c r="U2550" s="87">
        <v>0</v>
      </c>
      <c r="V2550" s="87">
        <v>43</v>
      </c>
      <c r="W2550" s="93" t="s">
        <v>7424</v>
      </c>
      <c r="X2550" s="87"/>
      <c r="Y2550" s="87"/>
      <c r="Z2550" s="87"/>
      <c r="AA2550" s="87" t="s">
        <v>10281</v>
      </c>
      <c r="AB2550" s="87" t="s">
        <v>11448</v>
      </c>
      <c r="AC2550" s="93" t="s">
        <v>11457</v>
      </c>
      <c r="AD2550" s="87" t="s">
        <v>11519</v>
      </c>
      <c r="AE2550" s="92" t="str">
        <f>HYPERLINK("https://twitter.com/serraempauta/status/1699828766258712869")</f>
        <v>https://twitter.com/serraempauta/status/1699828766258712869</v>
      </c>
      <c r="AF2550" s="90">
        <v>45176.705243055556</v>
      </c>
      <c r="AG2550" s="99">
        <v>45176</v>
      </c>
      <c r="AH2550" s="93" t="s">
        <v>13803</v>
      </c>
      <c r="AI2550" s="87" t="b">
        <v>0</v>
      </c>
      <c r="AJ2550" s="87"/>
      <c r="AK2550" s="87"/>
      <c r="AL2550" s="87"/>
      <c r="AM2550" s="87"/>
      <c r="AN2550" s="87"/>
      <c r="AO2550" s="87"/>
      <c r="AP2550" s="87"/>
      <c r="AQ2550" s="87" t="s">
        <v>17093</v>
      </c>
      <c r="AR2550" s="87"/>
      <c r="AS2550" s="87"/>
      <c r="AT2550" s="87"/>
      <c r="AU2550" s="87"/>
      <c r="AV2550" s="92" t="str">
        <f>HYPERLINK("https://pbs.twimg.com/media/F5cBP7hW0AEe9zl.jpg")</f>
        <v>https://pbs.twimg.com/media/F5cBP7hW0AEe9zl.jpg</v>
      </c>
      <c r="AW2550" s="93" t="s">
        <v>20711</v>
      </c>
      <c r="AX2550" s="93" t="s">
        <v>20711</v>
      </c>
      <c r="AY2550" s="87"/>
      <c r="AZ2550" s="93" t="s">
        <v>22668</v>
      </c>
      <c r="BA2550" s="93" t="s">
        <v>22668</v>
      </c>
      <c r="BB2550" s="93" t="s">
        <v>22668</v>
      </c>
      <c r="BC2550" s="93" t="s">
        <v>20711</v>
      </c>
      <c r="BD2550" s="93" t="s">
        <v>23269</v>
      </c>
      <c r="BE2550" s="87"/>
      <c r="BF2550" s="87"/>
      <c r="BG2550" s="87"/>
      <c r="BH2550" s="87"/>
      <c r="BI2550" s="87"/>
    </row>
    <row r="2551" spans="1:61" x14ac:dyDescent="0.25">
      <c r="A2551" s="63" t="s">
        <v>1058</v>
      </c>
      <c r="B2551" s="63" t="s">
        <v>1058</v>
      </c>
      <c r="C2551" s="64"/>
      <c r="D2551" s="65"/>
      <c r="E2551" s="66"/>
      <c r="F2551" s="67"/>
      <c r="G2551" s="64"/>
      <c r="H2551" s="68"/>
      <c r="I2551" s="69"/>
      <c r="J2551" s="69"/>
      <c r="K2551" s="32"/>
      <c r="L2551" s="76">
        <v>2551</v>
      </c>
      <c r="M2551" s="76"/>
      <c r="N2551" s="71"/>
      <c r="O2551" s="87" t="s">
        <v>179</v>
      </c>
      <c r="P2551" s="90">
        <v>45170.532534722224</v>
      </c>
      <c r="Q2551" s="87" t="s">
        <v>4268</v>
      </c>
      <c r="R2551" s="87">
        <v>0</v>
      </c>
      <c r="S2551" s="87">
        <v>1</v>
      </c>
      <c r="T2551" s="87">
        <v>0</v>
      </c>
      <c r="U2551" s="87">
        <v>0</v>
      </c>
      <c r="V2551" s="87">
        <v>53</v>
      </c>
      <c r="W2551" s="93" t="s">
        <v>7424</v>
      </c>
      <c r="X2551" s="87"/>
      <c r="Y2551" s="87"/>
      <c r="Z2551" s="87"/>
      <c r="AA2551" s="87" t="s">
        <v>10282</v>
      </c>
      <c r="AB2551" s="87" t="s">
        <v>11448</v>
      </c>
      <c r="AC2551" s="93" t="s">
        <v>11457</v>
      </c>
      <c r="AD2551" s="87" t="s">
        <v>11519</v>
      </c>
      <c r="AE2551" s="92" t="str">
        <f>HYPERLINK("https://twitter.com/serraempauta/status/1697591850159218968")</f>
        <v>https://twitter.com/serraempauta/status/1697591850159218968</v>
      </c>
      <c r="AF2551" s="90">
        <v>45170.532534722224</v>
      </c>
      <c r="AG2551" s="99">
        <v>45170</v>
      </c>
      <c r="AH2551" s="93" t="s">
        <v>13804</v>
      </c>
      <c r="AI2551" s="87" t="b">
        <v>0</v>
      </c>
      <c r="AJ2551" s="87"/>
      <c r="AK2551" s="87"/>
      <c r="AL2551" s="87"/>
      <c r="AM2551" s="87"/>
      <c r="AN2551" s="87"/>
      <c r="AO2551" s="87"/>
      <c r="AP2551" s="87"/>
      <c r="AQ2551" s="87" t="s">
        <v>17094</v>
      </c>
      <c r="AR2551" s="87"/>
      <c r="AS2551" s="87"/>
      <c r="AT2551" s="87"/>
      <c r="AU2551" s="87"/>
      <c r="AV2551" s="92" t="str">
        <f>HYPERLINK("https://pbs.twimg.com/media/F48OyTnWwAAuXhG.jpg")</f>
        <v>https://pbs.twimg.com/media/F48OyTnWwAAuXhG.jpg</v>
      </c>
      <c r="AW2551" s="93" t="s">
        <v>20712</v>
      </c>
      <c r="AX2551" s="93" t="s">
        <v>20712</v>
      </c>
      <c r="AY2551" s="87"/>
      <c r="AZ2551" s="93" t="s">
        <v>22668</v>
      </c>
      <c r="BA2551" s="93" t="s">
        <v>22668</v>
      </c>
      <c r="BB2551" s="93" t="s">
        <v>22668</v>
      </c>
      <c r="BC2551" s="93" t="s">
        <v>20712</v>
      </c>
      <c r="BD2551" s="93" t="s">
        <v>23269</v>
      </c>
      <c r="BE2551" s="87"/>
      <c r="BF2551" s="87"/>
      <c r="BG2551" s="87"/>
      <c r="BH2551" s="87"/>
      <c r="BI2551" s="87"/>
    </row>
    <row r="2552" spans="1:61" x14ac:dyDescent="0.25">
      <c r="A2552" s="63" t="s">
        <v>1058</v>
      </c>
      <c r="B2552" s="63" t="s">
        <v>1058</v>
      </c>
      <c r="C2552" s="64"/>
      <c r="D2552" s="65"/>
      <c r="E2552" s="66"/>
      <c r="F2552" s="67"/>
      <c r="G2552" s="64"/>
      <c r="H2552" s="68"/>
      <c r="I2552" s="69"/>
      <c r="J2552" s="69"/>
      <c r="K2552" s="32"/>
      <c r="L2552" s="76">
        <v>2552</v>
      </c>
      <c r="M2552" s="76"/>
      <c r="N2552" s="71"/>
      <c r="O2552" s="87" t="s">
        <v>179</v>
      </c>
      <c r="P2552" s="90">
        <v>45170.499675925923</v>
      </c>
      <c r="Q2552" s="87" t="s">
        <v>4269</v>
      </c>
      <c r="R2552" s="87">
        <v>0</v>
      </c>
      <c r="S2552" s="87">
        <v>0</v>
      </c>
      <c r="T2552" s="87">
        <v>0</v>
      </c>
      <c r="U2552" s="87">
        <v>0</v>
      </c>
      <c r="V2552" s="87">
        <v>40</v>
      </c>
      <c r="W2552" s="93" t="s">
        <v>7424</v>
      </c>
      <c r="X2552" s="87"/>
      <c r="Y2552" s="87"/>
      <c r="Z2552" s="87"/>
      <c r="AA2552" s="87" t="s">
        <v>10283</v>
      </c>
      <c r="AB2552" s="87" t="s">
        <v>11448</v>
      </c>
      <c r="AC2552" s="93" t="s">
        <v>11457</v>
      </c>
      <c r="AD2552" s="87" t="s">
        <v>11519</v>
      </c>
      <c r="AE2552" s="92" t="str">
        <f>HYPERLINK("https://twitter.com/serraempauta/status/1697579942282686889")</f>
        <v>https://twitter.com/serraempauta/status/1697579942282686889</v>
      </c>
      <c r="AF2552" s="90">
        <v>45170.499675925923</v>
      </c>
      <c r="AG2552" s="99">
        <v>45170</v>
      </c>
      <c r="AH2552" s="93" t="s">
        <v>13805</v>
      </c>
      <c r="AI2552" s="87" t="b">
        <v>0</v>
      </c>
      <c r="AJ2552" s="87"/>
      <c r="AK2552" s="87"/>
      <c r="AL2552" s="87"/>
      <c r="AM2552" s="87"/>
      <c r="AN2552" s="87"/>
      <c r="AO2552" s="87"/>
      <c r="AP2552" s="87"/>
      <c r="AQ2552" s="87" t="s">
        <v>17095</v>
      </c>
      <c r="AR2552" s="87"/>
      <c r="AS2552" s="87"/>
      <c r="AT2552" s="87"/>
      <c r="AU2552" s="87"/>
      <c r="AV2552" s="92" t="str">
        <f>HYPERLINK("https://pbs.twimg.com/media/F48D8y3XAAAoyOc.jpg")</f>
        <v>https://pbs.twimg.com/media/F48D8y3XAAAoyOc.jpg</v>
      </c>
      <c r="AW2552" s="93" t="s">
        <v>20713</v>
      </c>
      <c r="AX2552" s="93" t="s">
        <v>20713</v>
      </c>
      <c r="AY2552" s="87"/>
      <c r="AZ2552" s="93" t="s">
        <v>22668</v>
      </c>
      <c r="BA2552" s="93" t="s">
        <v>22668</v>
      </c>
      <c r="BB2552" s="93" t="s">
        <v>22668</v>
      </c>
      <c r="BC2552" s="93" t="s">
        <v>20713</v>
      </c>
      <c r="BD2552" s="93" t="s">
        <v>23269</v>
      </c>
      <c r="BE2552" s="87"/>
      <c r="BF2552" s="87"/>
      <c r="BG2552" s="87"/>
      <c r="BH2552" s="87"/>
      <c r="BI2552" s="87"/>
    </row>
    <row r="2553" spans="1:61" x14ac:dyDescent="0.25">
      <c r="A2553" s="63" t="s">
        <v>1058</v>
      </c>
      <c r="B2553" s="63" t="s">
        <v>1058</v>
      </c>
      <c r="C2553" s="64"/>
      <c r="D2553" s="65"/>
      <c r="E2553" s="66"/>
      <c r="F2553" s="67"/>
      <c r="G2553" s="64"/>
      <c r="H2553" s="68"/>
      <c r="I2553" s="69"/>
      <c r="J2553" s="69"/>
      <c r="K2553" s="32"/>
      <c r="L2553" s="76">
        <v>2553</v>
      </c>
      <c r="M2553" s="76"/>
      <c r="N2553" s="71"/>
      <c r="O2553" s="87" t="s">
        <v>179</v>
      </c>
      <c r="P2553" s="90">
        <v>45170.101053240738</v>
      </c>
      <c r="Q2553" s="87" t="s">
        <v>4270</v>
      </c>
      <c r="R2553" s="87">
        <v>1</v>
      </c>
      <c r="S2553" s="87">
        <v>2</v>
      </c>
      <c r="T2553" s="87">
        <v>0</v>
      </c>
      <c r="U2553" s="87">
        <v>0</v>
      </c>
      <c r="V2553" s="87">
        <v>118</v>
      </c>
      <c r="W2553" s="93" t="s">
        <v>7424</v>
      </c>
      <c r="X2553" s="87"/>
      <c r="Y2553" s="87"/>
      <c r="Z2553" s="87"/>
      <c r="AA2553" s="87" t="s">
        <v>10284</v>
      </c>
      <c r="AB2553" s="87" t="s">
        <v>11448</v>
      </c>
      <c r="AC2553" s="93" t="s">
        <v>11457</v>
      </c>
      <c r="AD2553" s="87" t="s">
        <v>11519</v>
      </c>
      <c r="AE2553" s="92" t="str">
        <f>HYPERLINK("https://twitter.com/serraempauta/status/1697435486631964932")</f>
        <v>https://twitter.com/serraempauta/status/1697435486631964932</v>
      </c>
      <c r="AF2553" s="90">
        <v>45170.101053240738</v>
      </c>
      <c r="AG2553" s="99">
        <v>45170</v>
      </c>
      <c r="AH2553" s="93" t="s">
        <v>13806</v>
      </c>
      <c r="AI2553" s="87" t="b">
        <v>0</v>
      </c>
      <c r="AJ2553" s="87"/>
      <c r="AK2553" s="87"/>
      <c r="AL2553" s="87"/>
      <c r="AM2553" s="87"/>
      <c r="AN2553" s="87"/>
      <c r="AO2553" s="87"/>
      <c r="AP2553" s="87"/>
      <c r="AQ2553" s="87" t="s">
        <v>17096</v>
      </c>
      <c r="AR2553" s="87"/>
      <c r="AS2553" s="87"/>
      <c r="AT2553" s="87"/>
      <c r="AU2553" s="87"/>
      <c r="AV2553" s="92" t="str">
        <f>HYPERLINK("https://pbs.twimg.com/media/F46Aky8WkAAVJ2v.jpg")</f>
        <v>https://pbs.twimg.com/media/F46Aky8WkAAVJ2v.jpg</v>
      </c>
      <c r="AW2553" s="93" t="s">
        <v>20714</v>
      </c>
      <c r="AX2553" s="93" t="s">
        <v>20714</v>
      </c>
      <c r="AY2553" s="87"/>
      <c r="AZ2553" s="93" t="s">
        <v>22668</v>
      </c>
      <c r="BA2553" s="93" t="s">
        <v>22668</v>
      </c>
      <c r="BB2553" s="93" t="s">
        <v>22668</v>
      </c>
      <c r="BC2553" s="93" t="s">
        <v>20714</v>
      </c>
      <c r="BD2553" s="93" t="s">
        <v>23269</v>
      </c>
      <c r="BE2553" s="87"/>
      <c r="BF2553" s="87"/>
      <c r="BG2553" s="87"/>
      <c r="BH2553" s="87"/>
      <c r="BI2553" s="87"/>
    </row>
    <row r="2554" spans="1:61" x14ac:dyDescent="0.25">
      <c r="A2554" s="63" t="s">
        <v>1058</v>
      </c>
      <c r="B2554" s="63" t="s">
        <v>1058</v>
      </c>
      <c r="C2554" s="64"/>
      <c r="D2554" s="65"/>
      <c r="E2554" s="66"/>
      <c r="F2554" s="67"/>
      <c r="G2554" s="64"/>
      <c r="H2554" s="68"/>
      <c r="I2554" s="69"/>
      <c r="J2554" s="69"/>
      <c r="K2554" s="32"/>
      <c r="L2554" s="76">
        <v>2554</v>
      </c>
      <c r="M2554" s="76"/>
      <c r="N2554" s="71"/>
      <c r="O2554" s="87" t="s">
        <v>179</v>
      </c>
      <c r="P2554" s="90">
        <v>45170.07539351852</v>
      </c>
      <c r="Q2554" s="87" t="s">
        <v>4271</v>
      </c>
      <c r="R2554" s="87">
        <v>0</v>
      </c>
      <c r="S2554" s="87">
        <v>1</v>
      </c>
      <c r="T2554" s="87">
        <v>0</v>
      </c>
      <c r="U2554" s="87">
        <v>0</v>
      </c>
      <c r="V2554" s="87">
        <v>51</v>
      </c>
      <c r="W2554" s="93" t="s">
        <v>7424</v>
      </c>
      <c r="X2554" s="87"/>
      <c r="Y2554" s="87"/>
      <c r="Z2554" s="87"/>
      <c r="AA2554" s="87" t="s">
        <v>10285</v>
      </c>
      <c r="AB2554" s="87" t="s">
        <v>11448</v>
      </c>
      <c r="AC2554" s="93" t="s">
        <v>11457</v>
      </c>
      <c r="AD2554" s="87" t="s">
        <v>11519</v>
      </c>
      <c r="AE2554" s="92" t="str">
        <f>HYPERLINK("https://twitter.com/serraempauta/status/1697426188338176172")</f>
        <v>https://twitter.com/serraempauta/status/1697426188338176172</v>
      </c>
      <c r="AF2554" s="90">
        <v>45170.07539351852</v>
      </c>
      <c r="AG2554" s="99">
        <v>45170</v>
      </c>
      <c r="AH2554" s="93" t="s">
        <v>13807</v>
      </c>
      <c r="AI2554" s="87" t="b">
        <v>0</v>
      </c>
      <c r="AJ2554" s="87"/>
      <c r="AK2554" s="87"/>
      <c r="AL2554" s="87"/>
      <c r="AM2554" s="87"/>
      <c r="AN2554" s="87"/>
      <c r="AO2554" s="87"/>
      <c r="AP2554" s="87"/>
      <c r="AQ2554" s="87" t="s">
        <v>17097</v>
      </c>
      <c r="AR2554" s="87"/>
      <c r="AS2554" s="87"/>
      <c r="AT2554" s="87"/>
      <c r="AU2554" s="87"/>
      <c r="AV2554" s="92" t="str">
        <f>HYPERLINK("https://pbs.twimg.com/media/F454HjxXMAATDO4.jpg")</f>
        <v>https://pbs.twimg.com/media/F454HjxXMAATDO4.jpg</v>
      </c>
      <c r="AW2554" s="93" t="s">
        <v>20715</v>
      </c>
      <c r="AX2554" s="93" t="s">
        <v>20715</v>
      </c>
      <c r="AY2554" s="87"/>
      <c r="AZ2554" s="93" t="s">
        <v>22668</v>
      </c>
      <c r="BA2554" s="93" t="s">
        <v>22668</v>
      </c>
      <c r="BB2554" s="93" t="s">
        <v>22668</v>
      </c>
      <c r="BC2554" s="93" t="s">
        <v>20715</v>
      </c>
      <c r="BD2554" s="93" t="s">
        <v>23269</v>
      </c>
      <c r="BE2554" s="87"/>
      <c r="BF2554" s="87"/>
      <c r="BG2554" s="87"/>
      <c r="BH2554" s="87"/>
      <c r="BI2554" s="87"/>
    </row>
    <row r="2555" spans="1:61" x14ac:dyDescent="0.25">
      <c r="A2555" s="63" t="s">
        <v>1058</v>
      </c>
      <c r="B2555" s="63" t="s">
        <v>1058</v>
      </c>
      <c r="C2555" s="64"/>
      <c r="D2555" s="65"/>
      <c r="E2555" s="66"/>
      <c r="F2555" s="67"/>
      <c r="G2555" s="64"/>
      <c r="H2555" s="68"/>
      <c r="I2555" s="69"/>
      <c r="J2555" s="69"/>
      <c r="K2555" s="32"/>
      <c r="L2555" s="76">
        <v>2555</v>
      </c>
      <c r="M2555" s="76"/>
      <c r="N2555" s="71"/>
      <c r="O2555" s="87" t="s">
        <v>179</v>
      </c>
      <c r="P2555" s="90">
        <v>45170.010729166665</v>
      </c>
      <c r="Q2555" s="87" t="s">
        <v>4272</v>
      </c>
      <c r="R2555" s="87">
        <v>0</v>
      </c>
      <c r="S2555" s="87">
        <v>0</v>
      </c>
      <c r="T2555" s="87">
        <v>0</v>
      </c>
      <c r="U2555" s="87">
        <v>0</v>
      </c>
      <c r="V2555" s="87">
        <v>71</v>
      </c>
      <c r="W2555" s="93" t="s">
        <v>7424</v>
      </c>
      <c r="X2555" s="87"/>
      <c r="Y2555" s="87"/>
      <c r="Z2555" s="87"/>
      <c r="AA2555" s="87" t="s">
        <v>10286</v>
      </c>
      <c r="AB2555" s="87" t="s">
        <v>11448</v>
      </c>
      <c r="AC2555" s="93" t="s">
        <v>11457</v>
      </c>
      <c r="AD2555" s="87" t="s">
        <v>11519</v>
      </c>
      <c r="AE2555" s="92" t="str">
        <f>HYPERLINK("https://twitter.com/serraempauta/status/1697402755848061384")</f>
        <v>https://twitter.com/serraempauta/status/1697402755848061384</v>
      </c>
      <c r="AF2555" s="90">
        <v>45170.010729166665</v>
      </c>
      <c r="AG2555" s="99">
        <v>45170</v>
      </c>
      <c r="AH2555" s="93" t="s">
        <v>13808</v>
      </c>
      <c r="AI2555" s="87" t="b">
        <v>0</v>
      </c>
      <c r="AJ2555" s="87"/>
      <c r="AK2555" s="87"/>
      <c r="AL2555" s="87"/>
      <c r="AM2555" s="87"/>
      <c r="AN2555" s="87"/>
      <c r="AO2555" s="87"/>
      <c r="AP2555" s="87"/>
      <c r="AQ2555" s="87" t="s">
        <v>17098</v>
      </c>
      <c r="AR2555" s="87"/>
      <c r="AS2555" s="87"/>
      <c r="AT2555" s="87"/>
      <c r="AU2555" s="87"/>
      <c r="AV2555" s="92" t="str">
        <f>HYPERLINK("https://pbs.twimg.com/media/F45izYxXoAA7VrO.jpg")</f>
        <v>https://pbs.twimg.com/media/F45izYxXoAA7VrO.jpg</v>
      </c>
      <c r="AW2555" s="93" t="s">
        <v>20716</v>
      </c>
      <c r="AX2555" s="93" t="s">
        <v>20716</v>
      </c>
      <c r="AY2555" s="87"/>
      <c r="AZ2555" s="93" t="s">
        <v>22668</v>
      </c>
      <c r="BA2555" s="93" t="s">
        <v>22668</v>
      </c>
      <c r="BB2555" s="93" t="s">
        <v>22668</v>
      </c>
      <c r="BC2555" s="93" t="s">
        <v>20716</v>
      </c>
      <c r="BD2555" s="93" t="s">
        <v>23269</v>
      </c>
      <c r="BE2555" s="87"/>
      <c r="BF2555" s="87"/>
      <c r="BG2555" s="87"/>
      <c r="BH2555" s="87"/>
      <c r="BI2555" s="87"/>
    </row>
    <row r="2556" spans="1:61" x14ac:dyDescent="0.25">
      <c r="A2556" s="63" t="s">
        <v>1058</v>
      </c>
      <c r="B2556" s="63" t="s">
        <v>1058</v>
      </c>
      <c r="C2556" s="64"/>
      <c r="D2556" s="65"/>
      <c r="E2556" s="66"/>
      <c r="F2556" s="67"/>
      <c r="G2556" s="64"/>
      <c r="H2556" s="68"/>
      <c r="I2556" s="69"/>
      <c r="J2556" s="69"/>
      <c r="K2556" s="32"/>
      <c r="L2556" s="76">
        <v>2556</v>
      </c>
      <c r="M2556" s="76"/>
      <c r="N2556" s="71"/>
      <c r="O2556" s="87" t="s">
        <v>179</v>
      </c>
      <c r="P2556" s="90">
        <v>45169.934687499997</v>
      </c>
      <c r="Q2556" s="87" t="s">
        <v>4273</v>
      </c>
      <c r="R2556" s="87">
        <v>0</v>
      </c>
      <c r="S2556" s="87">
        <v>0</v>
      </c>
      <c r="T2556" s="87">
        <v>0</v>
      </c>
      <c r="U2556" s="87">
        <v>0</v>
      </c>
      <c r="V2556" s="87">
        <v>52</v>
      </c>
      <c r="W2556" s="93" t="s">
        <v>7424</v>
      </c>
      <c r="X2556" s="87"/>
      <c r="Y2556" s="87"/>
      <c r="Z2556" s="87"/>
      <c r="AA2556" s="87" t="s">
        <v>10287</v>
      </c>
      <c r="AB2556" s="87" t="s">
        <v>11448</v>
      </c>
      <c r="AC2556" s="93" t="s">
        <v>11457</v>
      </c>
      <c r="AD2556" s="87" t="s">
        <v>11519</v>
      </c>
      <c r="AE2556" s="92" t="str">
        <f>HYPERLINK("https://twitter.com/serraempauta/status/1697375199371366696")</f>
        <v>https://twitter.com/serraempauta/status/1697375199371366696</v>
      </c>
      <c r="AF2556" s="90">
        <v>45169.934687499997</v>
      </c>
      <c r="AG2556" s="99">
        <v>45169</v>
      </c>
      <c r="AH2556" s="93" t="s">
        <v>13809</v>
      </c>
      <c r="AI2556" s="87" t="b">
        <v>0</v>
      </c>
      <c r="AJ2556" s="87"/>
      <c r="AK2556" s="87"/>
      <c r="AL2556" s="87"/>
      <c r="AM2556" s="87"/>
      <c r="AN2556" s="87"/>
      <c r="AO2556" s="87"/>
      <c r="AP2556" s="87"/>
      <c r="AQ2556" s="87" t="s">
        <v>17099</v>
      </c>
      <c r="AR2556" s="87"/>
      <c r="AS2556" s="87"/>
      <c r="AT2556" s="87"/>
      <c r="AU2556" s="87"/>
      <c r="AV2556" s="92" t="str">
        <f>HYPERLINK("https://pbs.twimg.com/media/F45Jvh9XoAAdKAz.jpg")</f>
        <v>https://pbs.twimg.com/media/F45Jvh9XoAAdKAz.jpg</v>
      </c>
      <c r="AW2556" s="93" t="s">
        <v>20717</v>
      </c>
      <c r="AX2556" s="93" t="s">
        <v>20717</v>
      </c>
      <c r="AY2556" s="87"/>
      <c r="AZ2556" s="93" t="s">
        <v>22668</v>
      </c>
      <c r="BA2556" s="93" t="s">
        <v>22668</v>
      </c>
      <c r="BB2556" s="93" t="s">
        <v>22668</v>
      </c>
      <c r="BC2556" s="93" t="s">
        <v>20717</v>
      </c>
      <c r="BD2556" s="93" t="s">
        <v>23269</v>
      </c>
      <c r="BE2556" s="87"/>
      <c r="BF2556" s="87"/>
      <c r="BG2556" s="87"/>
      <c r="BH2556" s="87"/>
      <c r="BI2556" s="87"/>
    </row>
    <row r="2557" spans="1:61" x14ac:dyDescent="0.25">
      <c r="A2557" s="63" t="s">
        <v>1058</v>
      </c>
      <c r="B2557" s="63" t="s">
        <v>1058</v>
      </c>
      <c r="C2557" s="64"/>
      <c r="D2557" s="65"/>
      <c r="E2557" s="66"/>
      <c r="F2557" s="67"/>
      <c r="G2557" s="64"/>
      <c r="H2557" s="68"/>
      <c r="I2557" s="69"/>
      <c r="J2557" s="69"/>
      <c r="K2557" s="32"/>
      <c r="L2557" s="76">
        <v>2557</v>
      </c>
      <c r="M2557" s="76"/>
      <c r="N2557" s="71"/>
      <c r="O2557" s="87" t="s">
        <v>179</v>
      </c>
      <c r="P2557" s="90">
        <v>45169.886747685188</v>
      </c>
      <c r="Q2557" s="87" t="s">
        <v>4274</v>
      </c>
      <c r="R2557" s="87">
        <v>0</v>
      </c>
      <c r="S2557" s="87">
        <v>0</v>
      </c>
      <c r="T2557" s="87">
        <v>0</v>
      </c>
      <c r="U2557" s="87">
        <v>0</v>
      </c>
      <c r="V2557" s="87">
        <v>55</v>
      </c>
      <c r="W2557" s="93" t="s">
        <v>7424</v>
      </c>
      <c r="X2557" s="87"/>
      <c r="Y2557" s="87"/>
      <c r="Z2557" s="87"/>
      <c r="AA2557" s="87" t="s">
        <v>10288</v>
      </c>
      <c r="AB2557" s="87" t="s">
        <v>11448</v>
      </c>
      <c r="AC2557" s="93" t="s">
        <v>11457</v>
      </c>
      <c r="AD2557" s="87" t="s">
        <v>11519</v>
      </c>
      <c r="AE2557" s="92" t="str">
        <f>HYPERLINK("https://twitter.com/serraempauta/status/1697357823263252935")</f>
        <v>https://twitter.com/serraempauta/status/1697357823263252935</v>
      </c>
      <c r="AF2557" s="90">
        <v>45169.886747685188</v>
      </c>
      <c r="AG2557" s="99">
        <v>45169</v>
      </c>
      <c r="AH2557" s="93" t="s">
        <v>13161</v>
      </c>
      <c r="AI2557" s="87" t="b">
        <v>0</v>
      </c>
      <c r="AJ2557" s="87"/>
      <c r="AK2557" s="87"/>
      <c r="AL2557" s="87"/>
      <c r="AM2557" s="87"/>
      <c r="AN2557" s="87"/>
      <c r="AO2557" s="87"/>
      <c r="AP2557" s="87"/>
      <c r="AQ2557" s="87" t="s">
        <v>17100</v>
      </c>
      <c r="AR2557" s="87"/>
      <c r="AS2557" s="87"/>
      <c r="AT2557" s="87"/>
      <c r="AU2557" s="87"/>
      <c r="AV2557" s="92" t="str">
        <f>HYPERLINK("https://pbs.twimg.com/media/F4458PpWEAA4-Wo.jpg")</f>
        <v>https://pbs.twimg.com/media/F4458PpWEAA4-Wo.jpg</v>
      </c>
      <c r="AW2557" s="93" t="s">
        <v>20718</v>
      </c>
      <c r="AX2557" s="93" t="s">
        <v>20718</v>
      </c>
      <c r="AY2557" s="87"/>
      <c r="AZ2557" s="93" t="s">
        <v>22668</v>
      </c>
      <c r="BA2557" s="93" t="s">
        <v>22668</v>
      </c>
      <c r="BB2557" s="93" t="s">
        <v>22668</v>
      </c>
      <c r="BC2557" s="93" t="s">
        <v>20718</v>
      </c>
      <c r="BD2557" s="93" t="s">
        <v>23269</v>
      </c>
      <c r="BE2557" s="87"/>
      <c r="BF2557" s="87"/>
      <c r="BG2557" s="87"/>
      <c r="BH2557" s="87"/>
      <c r="BI2557" s="87"/>
    </row>
    <row r="2558" spans="1:61" x14ac:dyDescent="0.25">
      <c r="A2558" s="63" t="s">
        <v>1058</v>
      </c>
      <c r="B2558" s="63" t="s">
        <v>1058</v>
      </c>
      <c r="C2558" s="64"/>
      <c r="D2558" s="65"/>
      <c r="E2558" s="66"/>
      <c r="F2558" s="67"/>
      <c r="G2558" s="64"/>
      <c r="H2558" s="68"/>
      <c r="I2558" s="69"/>
      <c r="J2558" s="69"/>
      <c r="K2558" s="32"/>
      <c r="L2558" s="76">
        <v>2558</v>
      </c>
      <c r="M2558" s="76"/>
      <c r="N2558" s="71"/>
      <c r="O2558" s="87" t="s">
        <v>179</v>
      </c>
      <c r="P2558" s="90">
        <v>45160.535891203705</v>
      </c>
      <c r="Q2558" s="87" t="s">
        <v>4275</v>
      </c>
      <c r="R2558" s="87">
        <v>0</v>
      </c>
      <c r="S2558" s="87">
        <v>0</v>
      </c>
      <c r="T2558" s="87">
        <v>0</v>
      </c>
      <c r="U2558" s="87">
        <v>0</v>
      </c>
      <c r="V2558" s="87">
        <v>91</v>
      </c>
      <c r="W2558" s="93" t="s">
        <v>7424</v>
      </c>
      <c r="X2558" s="87"/>
      <c r="Y2558" s="87"/>
      <c r="Z2558" s="87"/>
      <c r="AA2558" s="87" t="s">
        <v>10289</v>
      </c>
      <c r="AB2558" s="87" t="s">
        <v>11448</v>
      </c>
      <c r="AC2558" s="93" t="s">
        <v>11457</v>
      </c>
      <c r="AD2558" s="87" t="s">
        <v>11519</v>
      </c>
      <c r="AE2558" s="92" t="str">
        <f>HYPERLINK("https://twitter.com/serraempauta/status/1693969188014944483")</f>
        <v>https://twitter.com/serraempauta/status/1693969188014944483</v>
      </c>
      <c r="AF2558" s="90">
        <v>45160.535891203705</v>
      </c>
      <c r="AG2558" s="99">
        <v>45160</v>
      </c>
      <c r="AH2558" s="93" t="s">
        <v>13810</v>
      </c>
      <c r="AI2558" s="87" t="b">
        <v>0</v>
      </c>
      <c r="AJ2558" s="87"/>
      <c r="AK2558" s="87"/>
      <c r="AL2558" s="87"/>
      <c r="AM2558" s="87"/>
      <c r="AN2558" s="87"/>
      <c r="AO2558" s="87"/>
      <c r="AP2558" s="87"/>
      <c r="AQ2558" s="87" t="s">
        <v>17101</v>
      </c>
      <c r="AR2558" s="87"/>
      <c r="AS2558" s="87"/>
      <c r="AT2558" s="87"/>
      <c r="AU2558" s="87"/>
      <c r="AV2558" s="92" t="str">
        <f>HYPERLINK("https://pbs.twimg.com/media/F4Iv_ZsXoAA2IkI.jpg")</f>
        <v>https://pbs.twimg.com/media/F4Iv_ZsXoAA2IkI.jpg</v>
      </c>
      <c r="AW2558" s="93" t="s">
        <v>20719</v>
      </c>
      <c r="AX2558" s="93" t="s">
        <v>20719</v>
      </c>
      <c r="AY2558" s="87"/>
      <c r="AZ2558" s="93" t="s">
        <v>22668</v>
      </c>
      <c r="BA2558" s="93" t="s">
        <v>22668</v>
      </c>
      <c r="BB2558" s="93" t="s">
        <v>22668</v>
      </c>
      <c r="BC2558" s="93" t="s">
        <v>20719</v>
      </c>
      <c r="BD2558" s="93" t="s">
        <v>23269</v>
      </c>
      <c r="BE2558" s="87"/>
      <c r="BF2558" s="87"/>
      <c r="BG2558" s="87"/>
      <c r="BH2558" s="87"/>
      <c r="BI2558" s="87"/>
    </row>
    <row r="2559" spans="1:61" x14ac:dyDescent="0.25">
      <c r="A2559" s="63" t="s">
        <v>1058</v>
      </c>
      <c r="B2559" s="63" t="s">
        <v>1058</v>
      </c>
      <c r="C2559" s="64"/>
      <c r="D2559" s="65"/>
      <c r="E2559" s="66"/>
      <c r="F2559" s="67"/>
      <c r="G2559" s="64"/>
      <c r="H2559" s="68"/>
      <c r="I2559" s="69"/>
      <c r="J2559" s="69"/>
      <c r="K2559" s="32"/>
      <c r="L2559" s="76">
        <v>2559</v>
      </c>
      <c r="M2559" s="76"/>
      <c r="N2559" s="71"/>
      <c r="O2559" s="87" t="s">
        <v>179</v>
      </c>
      <c r="P2559" s="90">
        <v>45160.517997685187</v>
      </c>
      <c r="Q2559" s="87" t="s">
        <v>4276</v>
      </c>
      <c r="R2559" s="87">
        <v>0</v>
      </c>
      <c r="S2559" s="87">
        <v>0</v>
      </c>
      <c r="T2559" s="87">
        <v>0</v>
      </c>
      <c r="U2559" s="87">
        <v>0</v>
      </c>
      <c r="V2559" s="87">
        <v>43</v>
      </c>
      <c r="W2559" s="93" t="s">
        <v>7424</v>
      </c>
      <c r="X2559" s="87"/>
      <c r="Y2559" s="87"/>
      <c r="Z2559" s="87"/>
      <c r="AA2559" s="87" t="s">
        <v>10290</v>
      </c>
      <c r="AB2559" s="87" t="s">
        <v>11448</v>
      </c>
      <c r="AC2559" s="93" t="s">
        <v>11457</v>
      </c>
      <c r="AD2559" s="87" t="s">
        <v>11519</v>
      </c>
      <c r="AE2559" s="92" t="str">
        <f>HYPERLINK("https://twitter.com/serraempauta/status/1693962701783871639")</f>
        <v>https://twitter.com/serraempauta/status/1693962701783871639</v>
      </c>
      <c r="AF2559" s="90">
        <v>45160.517997685187</v>
      </c>
      <c r="AG2559" s="99">
        <v>45160</v>
      </c>
      <c r="AH2559" s="93" t="s">
        <v>13811</v>
      </c>
      <c r="AI2559" s="87" t="b">
        <v>0</v>
      </c>
      <c r="AJ2559" s="87"/>
      <c r="AK2559" s="87"/>
      <c r="AL2559" s="87"/>
      <c r="AM2559" s="87"/>
      <c r="AN2559" s="87"/>
      <c r="AO2559" s="87"/>
      <c r="AP2559" s="87"/>
      <c r="AQ2559" s="87" t="s">
        <v>17102</v>
      </c>
      <c r="AR2559" s="87"/>
      <c r="AS2559" s="87"/>
      <c r="AT2559" s="87"/>
      <c r="AU2559" s="87"/>
      <c r="AV2559" s="92" t="str">
        <f>HYPERLINK("https://pbs.twimg.com/media/F4IqGFSWwAA-Xs7.jpg")</f>
        <v>https://pbs.twimg.com/media/F4IqGFSWwAA-Xs7.jpg</v>
      </c>
      <c r="AW2559" s="93" t="s">
        <v>20720</v>
      </c>
      <c r="AX2559" s="93" t="s">
        <v>20720</v>
      </c>
      <c r="AY2559" s="87"/>
      <c r="AZ2559" s="93" t="s">
        <v>22668</v>
      </c>
      <c r="BA2559" s="93" t="s">
        <v>22668</v>
      </c>
      <c r="BB2559" s="93" t="s">
        <v>22668</v>
      </c>
      <c r="BC2559" s="93" t="s">
        <v>20720</v>
      </c>
      <c r="BD2559" s="93" t="s">
        <v>23269</v>
      </c>
      <c r="BE2559" s="87"/>
      <c r="BF2559" s="87"/>
      <c r="BG2559" s="87"/>
      <c r="BH2559" s="87"/>
      <c r="BI2559" s="87"/>
    </row>
    <row r="2560" spans="1:61" x14ac:dyDescent="0.25">
      <c r="A2560" s="63" t="s">
        <v>1058</v>
      </c>
      <c r="B2560" s="63" t="s">
        <v>1058</v>
      </c>
      <c r="C2560" s="64"/>
      <c r="D2560" s="65"/>
      <c r="E2560" s="66"/>
      <c r="F2560" s="67"/>
      <c r="G2560" s="64"/>
      <c r="H2560" s="68"/>
      <c r="I2560" s="69"/>
      <c r="J2560" s="69"/>
      <c r="K2560" s="32"/>
      <c r="L2560" s="76">
        <v>2560</v>
      </c>
      <c r="M2560" s="76"/>
      <c r="N2560" s="71"/>
      <c r="O2560" s="87" t="s">
        <v>179</v>
      </c>
      <c r="P2560" s="90">
        <v>45160.015706018516</v>
      </c>
      <c r="Q2560" s="87" t="s">
        <v>4277</v>
      </c>
      <c r="R2560" s="87">
        <v>0</v>
      </c>
      <c r="S2560" s="87">
        <v>1</v>
      </c>
      <c r="T2560" s="87">
        <v>0</v>
      </c>
      <c r="U2560" s="87">
        <v>0</v>
      </c>
      <c r="V2560" s="87">
        <v>67</v>
      </c>
      <c r="W2560" s="93" t="s">
        <v>7424</v>
      </c>
      <c r="X2560" s="87"/>
      <c r="Y2560" s="87"/>
      <c r="Z2560" s="87"/>
      <c r="AA2560" s="87" t="s">
        <v>10291</v>
      </c>
      <c r="AB2560" s="87" t="s">
        <v>11448</v>
      </c>
      <c r="AC2560" s="93" t="s">
        <v>11457</v>
      </c>
      <c r="AD2560" s="87" t="s">
        <v>11519</v>
      </c>
      <c r="AE2560" s="92" t="str">
        <f>HYPERLINK("https://twitter.com/serraempauta/status/1693780678461022377")</f>
        <v>https://twitter.com/serraempauta/status/1693780678461022377</v>
      </c>
      <c r="AF2560" s="90">
        <v>45160.015706018516</v>
      </c>
      <c r="AG2560" s="99">
        <v>45160</v>
      </c>
      <c r="AH2560" s="93" t="s">
        <v>13812</v>
      </c>
      <c r="AI2560" s="87" t="b">
        <v>0</v>
      </c>
      <c r="AJ2560" s="87"/>
      <c r="AK2560" s="87"/>
      <c r="AL2560" s="87"/>
      <c r="AM2560" s="87"/>
      <c r="AN2560" s="87"/>
      <c r="AO2560" s="87"/>
      <c r="AP2560" s="87"/>
      <c r="AQ2560" s="87" t="s">
        <v>17103</v>
      </c>
      <c r="AR2560" s="87"/>
      <c r="AS2560" s="87"/>
      <c r="AT2560" s="87"/>
      <c r="AU2560" s="87"/>
      <c r="AV2560" s="92" t="str">
        <f>HYPERLINK("https://pbs.twimg.com/media/F4GEi-sW8AEYXQ0.jpg")</f>
        <v>https://pbs.twimg.com/media/F4GEi-sW8AEYXQ0.jpg</v>
      </c>
      <c r="AW2560" s="93" t="s">
        <v>20721</v>
      </c>
      <c r="AX2560" s="93" t="s">
        <v>20721</v>
      </c>
      <c r="AY2560" s="87"/>
      <c r="AZ2560" s="93" t="s">
        <v>22668</v>
      </c>
      <c r="BA2560" s="93" t="s">
        <v>22668</v>
      </c>
      <c r="BB2560" s="93" t="s">
        <v>22668</v>
      </c>
      <c r="BC2560" s="93" t="s">
        <v>20721</v>
      </c>
      <c r="BD2560" s="93" t="s">
        <v>23269</v>
      </c>
      <c r="BE2560" s="87"/>
      <c r="BF2560" s="87"/>
      <c r="BG2560" s="87"/>
      <c r="BH2560" s="87"/>
      <c r="BI2560" s="87"/>
    </row>
    <row r="2561" spans="1:61" x14ac:dyDescent="0.25">
      <c r="A2561" s="63" t="s">
        <v>1058</v>
      </c>
      <c r="B2561" s="63" t="s">
        <v>1058</v>
      </c>
      <c r="C2561" s="64"/>
      <c r="D2561" s="65"/>
      <c r="E2561" s="66"/>
      <c r="F2561" s="67"/>
      <c r="G2561" s="64"/>
      <c r="H2561" s="68"/>
      <c r="I2561" s="69"/>
      <c r="J2561" s="69"/>
      <c r="K2561" s="32"/>
      <c r="L2561" s="76">
        <v>2561</v>
      </c>
      <c r="M2561" s="76"/>
      <c r="N2561" s="71"/>
      <c r="O2561" s="87" t="s">
        <v>179</v>
      </c>
      <c r="P2561" s="90">
        <v>45159.983819444446</v>
      </c>
      <c r="Q2561" s="87" t="s">
        <v>4278</v>
      </c>
      <c r="R2561" s="87">
        <v>0</v>
      </c>
      <c r="S2561" s="87">
        <v>2</v>
      </c>
      <c r="T2561" s="87">
        <v>0</v>
      </c>
      <c r="U2561" s="87">
        <v>0</v>
      </c>
      <c r="V2561" s="87">
        <v>111</v>
      </c>
      <c r="W2561" s="93" t="s">
        <v>7424</v>
      </c>
      <c r="X2561" s="87"/>
      <c r="Y2561" s="87"/>
      <c r="Z2561" s="87"/>
      <c r="AA2561" s="87" t="s">
        <v>10292</v>
      </c>
      <c r="AB2561" s="87" t="s">
        <v>11448</v>
      </c>
      <c r="AC2561" s="93" t="s">
        <v>11457</v>
      </c>
      <c r="AD2561" s="87" t="s">
        <v>11519</v>
      </c>
      <c r="AE2561" s="92" t="str">
        <f>HYPERLINK("https://twitter.com/serraempauta/status/1693769123703251393")</f>
        <v>https://twitter.com/serraempauta/status/1693769123703251393</v>
      </c>
      <c r="AF2561" s="90">
        <v>45159.983819444446</v>
      </c>
      <c r="AG2561" s="99">
        <v>45159</v>
      </c>
      <c r="AH2561" s="93" t="s">
        <v>13813</v>
      </c>
      <c r="AI2561" s="87" t="b">
        <v>0</v>
      </c>
      <c r="AJ2561" s="87"/>
      <c r="AK2561" s="87"/>
      <c r="AL2561" s="87"/>
      <c r="AM2561" s="87"/>
      <c r="AN2561" s="87"/>
      <c r="AO2561" s="87"/>
      <c r="AP2561" s="87"/>
      <c r="AQ2561" s="87" t="s">
        <v>17104</v>
      </c>
      <c r="AR2561" s="87"/>
      <c r="AS2561" s="87"/>
      <c r="AT2561" s="87"/>
      <c r="AU2561" s="87"/>
      <c r="AV2561" s="92" t="str">
        <f>HYPERLINK("https://pbs.twimg.com/media/F4F6AJkXEAAUZCx.jpg")</f>
        <v>https://pbs.twimg.com/media/F4F6AJkXEAAUZCx.jpg</v>
      </c>
      <c r="AW2561" s="93" t="s">
        <v>20722</v>
      </c>
      <c r="AX2561" s="93" t="s">
        <v>20722</v>
      </c>
      <c r="AY2561" s="87"/>
      <c r="AZ2561" s="93" t="s">
        <v>22668</v>
      </c>
      <c r="BA2561" s="93" t="s">
        <v>22668</v>
      </c>
      <c r="BB2561" s="93" t="s">
        <v>22668</v>
      </c>
      <c r="BC2561" s="93" t="s">
        <v>20722</v>
      </c>
      <c r="BD2561" s="93" t="s">
        <v>23269</v>
      </c>
      <c r="BE2561" s="87"/>
      <c r="BF2561" s="87"/>
      <c r="BG2561" s="87"/>
      <c r="BH2561" s="87"/>
      <c r="BI2561" s="87"/>
    </row>
    <row r="2562" spans="1:61" x14ac:dyDescent="0.25">
      <c r="A2562" s="63" t="s">
        <v>1058</v>
      </c>
      <c r="B2562" s="63" t="s">
        <v>1058</v>
      </c>
      <c r="C2562" s="64"/>
      <c r="D2562" s="65"/>
      <c r="E2562" s="66"/>
      <c r="F2562" s="67"/>
      <c r="G2562" s="64"/>
      <c r="H2562" s="68"/>
      <c r="I2562" s="69"/>
      <c r="J2562" s="69"/>
      <c r="K2562" s="32"/>
      <c r="L2562" s="76">
        <v>2562</v>
      </c>
      <c r="M2562" s="76"/>
      <c r="N2562" s="71"/>
      <c r="O2562" s="87" t="s">
        <v>179</v>
      </c>
      <c r="P2562" s="90">
        <v>45155.75640046296</v>
      </c>
      <c r="Q2562" s="87" t="s">
        <v>4279</v>
      </c>
      <c r="R2562" s="87">
        <v>0</v>
      </c>
      <c r="S2562" s="87">
        <v>0</v>
      </c>
      <c r="T2562" s="87">
        <v>0</v>
      </c>
      <c r="U2562" s="87">
        <v>0</v>
      </c>
      <c r="V2562" s="87">
        <v>35</v>
      </c>
      <c r="W2562" s="93" t="s">
        <v>7424</v>
      </c>
      <c r="X2562" s="87"/>
      <c r="Y2562" s="87"/>
      <c r="Z2562" s="87"/>
      <c r="AA2562" s="87" t="s">
        <v>10293</v>
      </c>
      <c r="AB2562" s="87" t="s">
        <v>11448</v>
      </c>
      <c r="AC2562" s="93" t="s">
        <v>11457</v>
      </c>
      <c r="AD2562" s="87" t="s">
        <v>11519</v>
      </c>
      <c r="AE2562" s="92" t="str">
        <f>HYPERLINK("https://twitter.com/serraempauta/status/1692237160601002165")</f>
        <v>https://twitter.com/serraempauta/status/1692237160601002165</v>
      </c>
      <c r="AF2562" s="90">
        <v>45155.75640046296</v>
      </c>
      <c r="AG2562" s="99">
        <v>45155</v>
      </c>
      <c r="AH2562" s="93" t="s">
        <v>13814</v>
      </c>
      <c r="AI2562" s="87" t="b">
        <v>0</v>
      </c>
      <c r="AJ2562" s="87"/>
      <c r="AK2562" s="87"/>
      <c r="AL2562" s="87"/>
      <c r="AM2562" s="87"/>
      <c r="AN2562" s="87"/>
      <c r="AO2562" s="87"/>
      <c r="AP2562" s="87"/>
      <c r="AQ2562" s="87" t="s">
        <v>17105</v>
      </c>
      <c r="AR2562" s="87"/>
      <c r="AS2562" s="87"/>
      <c r="AT2562" s="87"/>
      <c r="AU2562" s="87"/>
      <c r="AV2562" s="92" t="str">
        <f>HYPERLINK("https://pbs.twimg.com/media/F3wIuByWEAAuNjE.jpg")</f>
        <v>https://pbs.twimg.com/media/F3wIuByWEAAuNjE.jpg</v>
      </c>
      <c r="AW2562" s="93" t="s">
        <v>20723</v>
      </c>
      <c r="AX2562" s="93" t="s">
        <v>20723</v>
      </c>
      <c r="AY2562" s="87"/>
      <c r="AZ2562" s="93" t="s">
        <v>22668</v>
      </c>
      <c r="BA2562" s="93" t="s">
        <v>22668</v>
      </c>
      <c r="BB2562" s="93" t="s">
        <v>22668</v>
      </c>
      <c r="BC2562" s="93" t="s">
        <v>20723</v>
      </c>
      <c r="BD2562" s="93" t="s">
        <v>23269</v>
      </c>
      <c r="BE2562" s="87"/>
      <c r="BF2562" s="87"/>
      <c r="BG2562" s="87"/>
      <c r="BH2562" s="87"/>
      <c r="BI2562" s="87"/>
    </row>
    <row r="2563" spans="1:61" x14ac:dyDescent="0.25">
      <c r="A2563" s="63" t="s">
        <v>1058</v>
      </c>
      <c r="B2563" s="63" t="s">
        <v>1058</v>
      </c>
      <c r="C2563" s="64"/>
      <c r="D2563" s="65"/>
      <c r="E2563" s="66"/>
      <c r="F2563" s="67"/>
      <c r="G2563" s="64"/>
      <c r="H2563" s="68"/>
      <c r="I2563" s="69"/>
      <c r="J2563" s="69"/>
      <c r="K2563" s="32"/>
      <c r="L2563" s="76">
        <v>2563</v>
      </c>
      <c r="M2563" s="76"/>
      <c r="N2563" s="71"/>
      <c r="O2563" s="87" t="s">
        <v>179</v>
      </c>
      <c r="P2563" s="90">
        <v>45155.719502314816</v>
      </c>
      <c r="Q2563" s="93" t="s">
        <v>4280</v>
      </c>
      <c r="R2563" s="87">
        <v>0</v>
      </c>
      <c r="S2563" s="87">
        <v>0</v>
      </c>
      <c r="T2563" s="87">
        <v>0</v>
      </c>
      <c r="U2563" s="87">
        <v>0</v>
      </c>
      <c r="V2563" s="87">
        <v>45</v>
      </c>
      <c r="W2563" s="93" t="s">
        <v>7424</v>
      </c>
      <c r="X2563" s="87"/>
      <c r="Y2563" s="87"/>
      <c r="Z2563" s="87"/>
      <c r="AA2563" s="87" t="s">
        <v>10294</v>
      </c>
      <c r="AB2563" s="87" t="s">
        <v>11448</v>
      </c>
      <c r="AC2563" s="93" t="s">
        <v>11457</v>
      </c>
      <c r="AD2563" s="87" t="s">
        <v>11519</v>
      </c>
      <c r="AE2563" s="92" t="str">
        <f>HYPERLINK("https://twitter.com/serraempauta/status/1692223786177737072")</f>
        <v>https://twitter.com/serraempauta/status/1692223786177737072</v>
      </c>
      <c r="AF2563" s="90">
        <v>45155.719502314816</v>
      </c>
      <c r="AG2563" s="99">
        <v>45155</v>
      </c>
      <c r="AH2563" s="93" t="s">
        <v>13815</v>
      </c>
      <c r="AI2563" s="87" t="b">
        <v>0</v>
      </c>
      <c r="AJ2563" s="87"/>
      <c r="AK2563" s="87"/>
      <c r="AL2563" s="87"/>
      <c r="AM2563" s="87"/>
      <c r="AN2563" s="87"/>
      <c r="AO2563" s="87"/>
      <c r="AP2563" s="87"/>
      <c r="AQ2563" s="87" t="s">
        <v>17106</v>
      </c>
      <c r="AR2563" s="87"/>
      <c r="AS2563" s="87"/>
      <c r="AT2563" s="87"/>
      <c r="AU2563" s="87"/>
      <c r="AV2563" s="92" t="str">
        <f>HYPERLINK("https://pbs.twimg.com/media/F3v8jxjXMAseOj7.jpg")</f>
        <v>https://pbs.twimg.com/media/F3v8jxjXMAseOj7.jpg</v>
      </c>
      <c r="AW2563" s="93" t="s">
        <v>20724</v>
      </c>
      <c r="AX2563" s="93" t="s">
        <v>20724</v>
      </c>
      <c r="AY2563" s="87"/>
      <c r="AZ2563" s="93" t="s">
        <v>22668</v>
      </c>
      <c r="BA2563" s="93" t="s">
        <v>22668</v>
      </c>
      <c r="BB2563" s="93" t="s">
        <v>22668</v>
      </c>
      <c r="BC2563" s="93" t="s">
        <v>20724</v>
      </c>
      <c r="BD2563" s="93" t="s">
        <v>23269</v>
      </c>
      <c r="BE2563" s="87"/>
      <c r="BF2563" s="87"/>
      <c r="BG2563" s="87"/>
      <c r="BH2563" s="87"/>
      <c r="BI2563" s="87"/>
    </row>
    <row r="2564" spans="1:61" x14ac:dyDescent="0.25">
      <c r="A2564" s="63" t="s">
        <v>1058</v>
      </c>
      <c r="B2564" s="63" t="s">
        <v>1058</v>
      </c>
      <c r="C2564" s="64"/>
      <c r="D2564" s="65"/>
      <c r="E2564" s="66"/>
      <c r="F2564" s="67"/>
      <c r="G2564" s="64"/>
      <c r="H2564" s="68"/>
      <c r="I2564" s="69"/>
      <c r="J2564" s="69"/>
      <c r="K2564" s="32"/>
      <c r="L2564" s="76">
        <v>2564</v>
      </c>
      <c r="M2564" s="76"/>
      <c r="N2564" s="71"/>
      <c r="O2564" s="87" t="s">
        <v>179</v>
      </c>
      <c r="P2564" s="90">
        <v>45155.510138888887</v>
      </c>
      <c r="Q2564" s="87" t="s">
        <v>4281</v>
      </c>
      <c r="R2564" s="87">
        <v>0</v>
      </c>
      <c r="S2564" s="87">
        <v>0</v>
      </c>
      <c r="T2564" s="87">
        <v>1</v>
      </c>
      <c r="U2564" s="87">
        <v>0</v>
      </c>
      <c r="V2564" s="87">
        <v>99</v>
      </c>
      <c r="W2564" s="93" t="s">
        <v>7424</v>
      </c>
      <c r="X2564" s="87"/>
      <c r="Y2564" s="87"/>
      <c r="Z2564" s="87"/>
      <c r="AA2564" s="87" t="s">
        <v>10295</v>
      </c>
      <c r="AB2564" s="87" t="s">
        <v>11448</v>
      </c>
      <c r="AC2564" s="93" t="s">
        <v>11457</v>
      </c>
      <c r="AD2564" s="87" t="s">
        <v>11519</v>
      </c>
      <c r="AE2564" s="92" t="str">
        <f>HYPERLINK("https://twitter.com/serraempauta/status/1692147918357069892")</f>
        <v>https://twitter.com/serraempauta/status/1692147918357069892</v>
      </c>
      <c r="AF2564" s="90">
        <v>45155.510138888887</v>
      </c>
      <c r="AG2564" s="99">
        <v>45155</v>
      </c>
      <c r="AH2564" s="93" t="s">
        <v>13816</v>
      </c>
      <c r="AI2564" s="87" t="b">
        <v>0</v>
      </c>
      <c r="AJ2564" s="87"/>
      <c r="AK2564" s="87"/>
      <c r="AL2564" s="87"/>
      <c r="AM2564" s="87"/>
      <c r="AN2564" s="87"/>
      <c r="AO2564" s="87"/>
      <c r="AP2564" s="87"/>
      <c r="AQ2564" s="87" t="s">
        <v>17107</v>
      </c>
      <c r="AR2564" s="87"/>
      <c r="AS2564" s="87"/>
      <c r="AT2564" s="87"/>
      <c r="AU2564" s="87"/>
      <c r="AV2564" s="92" t="str">
        <f>HYPERLINK("https://pbs.twimg.com/media/F3u3jrXWcAAdd2E.jpg")</f>
        <v>https://pbs.twimg.com/media/F3u3jrXWcAAdd2E.jpg</v>
      </c>
      <c r="AW2564" s="93" t="s">
        <v>20725</v>
      </c>
      <c r="AX2564" s="93" t="s">
        <v>20725</v>
      </c>
      <c r="AY2564" s="87"/>
      <c r="AZ2564" s="93" t="s">
        <v>22668</v>
      </c>
      <c r="BA2564" s="93" t="s">
        <v>22668</v>
      </c>
      <c r="BB2564" s="93" t="s">
        <v>22668</v>
      </c>
      <c r="BC2564" s="93" t="s">
        <v>20725</v>
      </c>
      <c r="BD2564" s="93" t="s">
        <v>23269</v>
      </c>
      <c r="BE2564" s="87"/>
      <c r="BF2564" s="87"/>
      <c r="BG2564" s="87"/>
      <c r="BH2564" s="87"/>
      <c r="BI2564" s="87"/>
    </row>
    <row r="2565" spans="1:61" x14ac:dyDescent="0.25">
      <c r="A2565" s="63" t="s">
        <v>1058</v>
      </c>
      <c r="B2565" s="63" t="s">
        <v>1058</v>
      </c>
      <c r="C2565" s="64"/>
      <c r="D2565" s="65"/>
      <c r="E2565" s="66"/>
      <c r="F2565" s="67"/>
      <c r="G2565" s="64"/>
      <c r="H2565" s="68"/>
      <c r="I2565" s="69"/>
      <c r="J2565" s="69"/>
      <c r="K2565" s="32"/>
      <c r="L2565" s="76">
        <v>2565</v>
      </c>
      <c r="M2565" s="76"/>
      <c r="N2565" s="71"/>
      <c r="O2565" s="87" t="s">
        <v>179</v>
      </c>
      <c r="P2565" s="90">
        <v>45155.487812500003</v>
      </c>
      <c r="Q2565" s="87" t="s">
        <v>4282</v>
      </c>
      <c r="R2565" s="87">
        <v>0</v>
      </c>
      <c r="S2565" s="87">
        <v>0</v>
      </c>
      <c r="T2565" s="87">
        <v>0</v>
      </c>
      <c r="U2565" s="87">
        <v>0</v>
      </c>
      <c r="V2565" s="87">
        <v>33</v>
      </c>
      <c r="W2565" s="93" t="s">
        <v>7424</v>
      </c>
      <c r="X2565" s="87"/>
      <c r="Y2565" s="87"/>
      <c r="Z2565" s="87"/>
      <c r="AA2565" s="87" t="s">
        <v>10296</v>
      </c>
      <c r="AB2565" s="87" t="s">
        <v>11448</v>
      </c>
      <c r="AC2565" s="93" t="s">
        <v>11457</v>
      </c>
      <c r="AD2565" s="87" t="s">
        <v>11519</v>
      </c>
      <c r="AE2565" s="92" t="str">
        <f>HYPERLINK("https://twitter.com/serraempauta/status/1692139826563174535")</f>
        <v>https://twitter.com/serraempauta/status/1692139826563174535</v>
      </c>
      <c r="AF2565" s="90">
        <v>45155.487812500003</v>
      </c>
      <c r="AG2565" s="99">
        <v>45155</v>
      </c>
      <c r="AH2565" s="93" t="s">
        <v>13817</v>
      </c>
      <c r="AI2565" s="87" t="b">
        <v>0</v>
      </c>
      <c r="AJ2565" s="87"/>
      <c r="AK2565" s="87"/>
      <c r="AL2565" s="87"/>
      <c r="AM2565" s="87"/>
      <c r="AN2565" s="87"/>
      <c r="AO2565" s="87"/>
      <c r="AP2565" s="87"/>
      <c r="AQ2565" s="87" t="s">
        <v>17108</v>
      </c>
      <c r="AR2565" s="87"/>
      <c r="AS2565" s="87"/>
      <c r="AT2565" s="87"/>
      <c r="AU2565" s="87"/>
      <c r="AV2565" s="92" t="str">
        <f>HYPERLINK("https://pbs.twimg.com/media/F3uwMuHXEAAYd0a.jpg")</f>
        <v>https://pbs.twimg.com/media/F3uwMuHXEAAYd0a.jpg</v>
      </c>
      <c r="AW2565" s="93" t="s">
        <v>20726</v>
      </c>
      <c r="AX2565" s="93" t="s">
        <v>20726</v>
      </c>
      <c r="AY2565" s="87"/>
      <c r="AZ2565" s="93" t="s">
        <v>22668</v>
      </c>
      <c r="BA2565" s="93" t="s">
        <v>22668</v>
      </c>
      <c r="BB2565" s="93" t="s">
        <v>22668</v>
      </c>
      <c r="BC2565" s="93" t="s">
        <v>20726</v>
      </c>
      <c r="BD2565" s="93" t="s">
        <v>23269</v>
      </c>
      <c r="BE2565" s="87"/>
      <c r="BF2565" s="87"/>
      <c r="BG2565" s="87"/>
      <c r="BH2565" s="87"/>
      <c r="BI2565" s="87"/>
    </row>
    <row r="2566" spans="1:61" x14ac:dyDescent="0.25">
      <c r="A2566" s="63" t="s">
        <v>1058</v>
      </c>
      <c r="B2566" s="63" t="s">
        <v>1058</v>
      </c>
      <c r="C2566" s="64"/>
      <c r="D2566" s="65"/>
      <c r="E2566" s="66"/>
      <c r="F2566" s="67"/>
      <c r="G2566" s="64"/>
      <c r="H2566" s="68"/>
      <c r="I2566" s="69"/>
      <c r="J2566" s="69"/>
      <c r="K2566" s="32"/>
      <c r="L2566" s="76">
        <v>2566</v>
      </c>
      <c r="M2566" s="76"/>
      <c r="N2566" s="71"/>
      <c r="O2566" s="87" t="s">
        <v>179</v>
      </c>
      <c r="P2566" s="90">
        <v>45155.466979166667</v>
      </c>
      <c r="Q2566" s="87" t="s">
        <v>4283</v>
      </c>
      <c r="R2566" s="87">
        <v>1</v>
      </c>
      <c r="S2566" s="87">
        <v>1</v>
      </c>
      <c r="T2566" s="87">
        <v>0</v>
      </c>
      <c r="U2566" s="87">
        <v>0</v>
      </c>
      <c r="V2566" s="87">
        <v>94</v>
      </c>
      <c r="W2566" s="93" t="s">
        <v>7424</v>
      </c>
      <c r="X2566" s="87"/>
      <c r="Y2566" s="87"/>
      <c r="Z2566" s="87"/>
      <c r="AA2566" s="87" t="s">
        <v>10297</v>
      </c>
      <c r="AB2566" s="87" t="s">
        <v>11448</v>
      </c>
      <c r="AC2566" s="93" t="s">
        <v>11457</v>
      </c>
      <c r="AD2566" s="87" t="s">
        <v>11519</v>
      </c>
      <c r="AE2566" s="92" t="str">
        <f>HYPERLINK("https://twitter.com/serraempauta/status/1692132275721224547")</f>
        <v>https://twitter.com/serraempauta/status/1692132275721224547</v>
      </c>
      <c r="AF2566" s="90">
        <v>45155.466979166667</v>
      </c>
      <c r="AG2566" s="99">
        <v>45155</v>
      </c>
      <c r="AH2566" s="93" t="s">
        <v>13818</v>
      </c>
      <c r="AI2566" s="87" t="b">
        <v>0</v>
      </c>
      <c r="AJ2566" s="87"/>
      <c r="AK2566" s="87"/>
      <c r="AL2566" s="87"/>
      <c r="AM2566" s="87"/>
      <c r="AN2566" s="87"/>
      <c r="AO2566" s="87"/>
      <c r="AP2566" s="87"/>
      <c r="AQ2566" s="87" t="s">
        <v>17109</v>
      </c>
      <c r="AR2566" s="87"/>
      <c r="AS2566" s="87"/>
      <c r="AT2566" s="87"/>
      <c r="AU2566" s="87"/>
      <c r="AV2566" s="92" t="str">
        <f>HYPERLINK("https://pbs.twimg.com/media/F3upVLiXUAEm_Oj.jpg")</f>
        <v>https://pbs.twimg.com/media/F3upVLiXUAEm_Oj.jpg</v>
      </c>
      <c r="AW2566" s="93" t="s">
        <v>20727</v>
      </c>
      <c r="AX2566" s="93" t="s">
        <v>20727</v>
      </c>
      <c r="AY2566" s="87"/>
      <c r="AZ2566" s="93" t="s">
        <v>22668</v>
      </c>
      <c r="BA2566" s="93" t="s">
        <v>22668</v>
      </c>
      <c r="BB2566" s="93" t="s">
        <v>22668</v>
      </c>
      <c r="BC2566" s="93" t="s">
        <v>20727</v>
      </c>
      <c r="BD2566" s="93" t="s">
        <v>23269</v>
      </c>
      <c r="BE2566" s="87"/>
      <c r="BF2566" s="87"/>
      <c r="BG2566" s="87"/>
      <c r="BH2566" s="87"/>
      <c r="BI2566" s="87"/>
    </row>
    <row r="2567" spans="1:61" x14ac:dyDescent="0.25">
      <c r="A2567" s="63" t="s">
        <v>1058</v>
      </c>
      <c r="B2567" s="63" t="s">
        <v>1058</v>
      </c>
      <c r="C2567" s="64"/>
      <c r="D2567" s="65"/>
      <c r="E2567" s="66"/>
      <c r="F2567" s="67"/>
      <c r="G2567" s="64"/>
      <c r="H2567" s="68"/>
      <c r="I2567" s="69"/>
      <c r="J2567" s="69"/>
      <c r="K2567" s="32"/>
      <c r="L2567" s="76">
        <v>2567</v>
      </c>
      <c r="M2567" s="76"/>
      <c r="N2567" s="71"/>
      <c r="O2567" s="87" t="s">
        <v>179</v>
      </c>
      <c r="P2567" s="90">
        <v>45154.845439814817</v>
      </c>
      <c r="Q2567" s="87" t="s">
        <v>4284</v>
      </c>
      <c r="R2567" s="87">
        <v>0</v>
      </c>
      <c r="S2567" s="87">
        <v>1</v>
      </c>
      <c r="T2567" s="87">
        <v>0</v>
      </c>
      <c r="U2567" s="87">
        <v>0</v>
      </c>
      <c r="V2567" s="87">
        <v>42</v>
      </c>
      <c r="W2567" s="93" t="s">
        <v>7424</v>
      </c>
      <c r="X2567" s="87"/>
      <c r="Y2567" s="87"/>
      <c r="Z2567" s="87"/>
      <c r="AA2567" s="87" t="s">
        <v>10298</v>
      </c>
      <c r="AB2567" s="87" t="s">
        <v>11448</v>
      </c>
      <c r="AC2567" s="93" t="s">
        <v>11457</v>
      </c>
      <c r="AD2567" s="87" t="s">
        <v>11519</v>
      </c>
      <c r="AE2567" s="92" t="str">
        <f>HYPERLINK("https://twitter.com/serraempauta/status/1691907036215447810")</f>
        <v>https://twitter.com/serraempauta/status/1691907036215447810</v>
      </c>
      <c r="AF2567" s="90">
        <v>45154.845439814817</v>
      </c>
      <c r="AG2567" s="99">
        <v>45154</v>
      </c>
      <c r="AH2567" s="93" t="s">
        <v>13819</v>
      </c>
      <c r="AI2567" s="87" t="b">
        <v>0</v>
      </c>
      <c r="AJ2567" s="87"/>
      <c r="AK2567" s="87"/>
      <c r="AL2567" s="87"/>
      <c r="AM2567" s="87"/>
      <c r="AN2567" s="87"/>
      <c r="AO2567" s="87"/>
      <c r="AP2567" s="87"/>
      <c r="AQ2567" s="87" t="s">
        <v>17110</v>
      </c>
      <c r="AR2567" s="87"/>
      <c r="AS2567" s="87"/>
      <c r="AT2567" s="87"/>
      <c r="AU2567" s="87"/>
      <c r="AV2567" s="92" t="str">
        <f>HYPERLINK("https://pbs.twimg.com/media/F3rcelLXIAAZWSH.jpg")</f>
        <v>https://pbs.twimg.com/media/F3rcelLXIAAZWSH.jpg</v>
      </c>
      <c r="AW2567" s="93" t="s">
        <v>20728</v>
      </c>
      <c r="AX2567" s="93" t="s">
        <v>20728</v>
      </c>
      <c r="AY2567" s="87"/>
      <c r="AZ2567" s="93" t="s">
        <v>22668</v>
      </c>
      <c r="BA2567" s="93" t="s">
        <v>22668</v>
      </c>
      <c r="BB2567" s="93" t="s">
        <v>22668</v>
      </c>
      <c r="BC2567" s="93" t="s">
        <v>20728</v>
      </c>
      <c r="BD2567" s="93" t="s">
        <v>23269</v>
      </c>
      <c r="BE2567" s="87"/>
      <c r="BF2567" s="87"/>
      <c r="BG2567" s="87"/>
      <c r="BH2567" s="87"/>
      <c r="BI2567" s="87"/>
    </row>
    <row r="2568" spans="1:61" x14ac:dyDescent="0.25">
      <c r="A2568" s="63" t="s">
        <v>1058</v>
      </c>
      <c r="B2568" s="63" t="s">
        <v>1058</v>
      </c>
      <c r="C2568" s="64"/>
      <c r="D2568" s="65"/>
      <c r="E2568" s="66"/>
      <c r="F2568" s="67"/>
      <c r="G2568" s="64"/>
      <c r="H2568" s="68"/>
      <c r="I2568" s="69"/>
      <c r="J2568" s="69"/>
      <c r="K2568" s="32"/>
      <c r="L2568" s="76">
        <v>2568</v>
      </c>
      <c r="M2568" s="76"/>
      <c r="N2568" s="71"/>
      <c r="O2568" s="87" t="s">
        <v>179</v>
      </c>
      <c r="P2568" s="90">
        <v>45154.811238425929</v>
      </c>
      <c r="Q2568" s="87" t="s">
        <v>4285</v>
      </c>
      <c r="R2568" s="87">
        <v>0</v>
      </c>
      <c r="S2568" s="87">
        <v>1</v>
      </c>
      <c r="T2568" s="87">
        <v>0</v>
      </c>
      <c r="U2568" s="87">
        <v>0</v>
      </c>
      <c r="V2568" s="87">
        <v>61</v>
      </c>
      <c r="W2568" s="93" t="s">
        <v>7424</v>
      </c>
      <c r="X2568" s="87"/>
      <c r="Y2568" s="87"/>
      <c r="Z2568" s="87"/>
      <c r="AA2568" s="87" t="s">
        <v>10299</v>
      </c>
      <c r="AB2568" s="87" t="s">
        <v>11448</v>
      </c>
      <c r="AC2568" s="93" t="s">
        <v>11457</v>
      </c>
      <c r="AD2568" s="87" t="s">
        <v>11519</v>
      </c>
      <c r="AE2568" s="92" t="str">
        <f>HYPERLINK("https://twitter.com/serraempauta/status/1691894641623183450")</f>
        <v>https://twitter.com/serraempauta/status/1691894641623183450</v>
      </c>
      <c r="AF2568" s="90">
        <v>45154.811238425929</v>
      </c>
      <c r="AG2568" s="99">
        <v>45154</v>
      </c>
      <c r="AH2568" s="93" t="s">
        <v>13820</v>
      </c>
      <c r="AI2568" s="87" t="b">
        <v>0</v>
      </c>
      <c r="AJ2568" s="87"/>
      <c r="AK2568" s="87"/>
      <c r="AL2568" s="87"/>
      <c r="AM2568" s="87"/>
      <c r="AN2568" s="87"/>
      <c r="AO2568" s="87"/>
      <c r="AP2568" s="87"/>
      <c r="AQ2568" s="87" t="s">
        <v>17111</v>
      </c>
      <c r="AR2568" s="87"/>
      <c r="AS2568" s="87"/>
      <c r="AT2568" s="87"/>
      <c r="AU2568" s="87"/>
      <c r="AV2568" s="92" t="str">
        <f>HYPERLINK("https://pbs.twimg.com/media/F3rRMa4XAAIdMrA.jpg")</f>
        <v>https://pbs.twimg.com/media/F3rRMa4XAAIdMrA.jpg</v>
      </c>
      <c r="AW2568" s="93" t="s">
        <v>20729</v>
      </c>
      <c r="AX2568" s="93" t="s">
        <v>20729</v>
      </c>
      <c r="AY2568" s="87"/>
      <c r="AZ2568" s="93" t="s">
        <v>22668</v>
      </c>
      <c r="BA2568" s="93" t="s">
        <v>22668</v>
      </c>
      <c r="BB2568" s="93" t="s">
        <v>22668</v>
      </c>
      <c r="BC2568" s="93" t="s">
        <v>20729</v>
      </c>
      <c r="BD2568" s="93" t="s">
        <v>23269</v>
      </c>
      <c r="BE2568" s="87"/>
      <c r="BF2568" s="87"/>
      <c r="BG2568" s="87"/>
      <c r="BH2568" s="87"/>
      <c r="BI2568" s="87"/>
    </row>
    <row r="2569" spans="1:61" x14ac:dyDescent="0.25">
      <c r="A2569" s="63" t="s">
        <v>1058</v>
      </c>
      <c r="B2569" s="63" t="s">
        <v>1058</v>
      </c>
      <c r="C2569" s="64"/>
      <c r="D2569" s="65"/>
      <c r="E2569" s="66"/>
      <c r="F2569" s="67"/>
      <c r="G2569" s="64"/>
      <c r="H2569" s="68"/>
      <c r="I2569" s="69"/>
      <c r="J2569" s="69"/>
      <c r="K2569" s="32"/>
      <c r="L2569" s="76">
        <v>2569</v>
      </c>
      <c r="M2569" s="76"/>
      <c r="N2569" s="71"/>
      <c r="O2569" s="87" t="s">
        <v>179</v>
      </c>
      <c r="P2569" s="90">
        <v>45142.70034722222</v>
      </c>
      <c r="Q2569" s="87" t="s">
        <v>4286</v>
      </c>
      <c r="R2569" s="87">
        <v>0</v>
      </c>
      <c r="S2569" s="87">
        <v>0</v>
      </c>
      <c r="T2569" s="87">
        <v>0</v>
      </c>
      <c r="U2569" s="87">
        <v>0</v>
      </c>
      <c r="V2569" s="87">
        <v>47</v>
      </c>
      <c r="W2569" s="93" t="s">
        <v>7424</v>
      </c>
      <c r="X2569" s="87"/>
      <c r="Y2569" s="87"/>
      <c r="Z2569" s="87"/>
      <c r="AA2569" s="87" t="s">
        <v>10300</v>
      </c>
      <c r="AB2569" s="87" t="s">
        <v>11448</v>
      </c>
      <c r="AC2569" s="93" t="s">
        <v>11457</v>
      </c>
      <c r="AD2569" s="87" t="s">
        <v>11519</v>
      </c>
      <c r="AE2569" s="92" t="str">
        <f>HYPERLINK("https://twitter.com/serraempauta/status/1687505805019422733")</f>
        <v>https://twitter.com/serraempauta/status/1687505805019422733</v>
      </c>
      <c r="AF2569" s="90">
        <v>45142.70034722222</v>
      </c>
      <c r="AG2569" s="99">
        <v>45142</v>
      </c>
      <c r="AH2569" s="93" t="s">
        <v>13821</v>
      </c>
      <c r="AI2569" s="87" t="b">
        <v>0</v>
      </c>
      <c r="AJ2569" s="87"/>
      <c r="AK2569" s="87"/>
      <c r="AL2569" s="87"/>
      <c r="AM2569" s="87"/>
      <c r="AN2569" s="87"/>
      <c r="AO2569" s="87"/>
      <c r="AP2569" s="87"/>
      <c r="AQ2569" s="87" t="s">
        <v>17112</v>
      </c>
      <c r="AR2569" s="87"/>
      <c r="AS2569" s="87"/>
      <c r="AT2569" s="87"/>
      <c r="AU2569" s="87"/>
      <c r="AV2569" s="92" t="str">
        <f>HYPERLINK("https://pbs.twimg.com/media/F2s5lQeW8AARnQh.jpg")</f>
        <v>https://pbs.twimg.com/media/F2s5lQeW8AARnQh.jpg</v>
      </c>
      <c r="AW2569" s="93" t="s">
        <v>20730</v>
      </c>
      <c r="AX2569" s="93" t="s">
        <v>20730</v>
      </c>
      <c r="AY2569" s="87"/>
      <c r="AZ2569" s="93" t="s">
        <v>22668</v>
      </c>
      <c r="BA2569" s="93" t="s">
        <v>22668</v>
      </c>
      <c r="BB2569" s="93" t="s">
        <v>22668</v>
      </c>
      <c r="BC2569" s="93" t="s">
        <v>20730</v>
      </c>
      <c r="BD2569" s="93" t="s">
        <v>23269</v>
      </c>
      <c r="BE2569" s="87"/>
      <c r="BF2569" s="87"/>
      <c r="BG2569" s="87"/>
      <c r="BH2569" s="87"/>
      <c r="BI2569" s="87"/>
    </row>
    <row r="2570" spans="1:61" x14ac:dyDescent="0.25">
      <c r="A2570" s="63" t="s">
        <v>1058</v>
      </c>
      <c r="B2570" s="63" t="s">
        <v>1058</v>
      </c>
      <c r="C2570" s="64"/>
      <c r="D2570" s="65"/>
      <c r="E2570" s="66"/>
      <c r="F2570" s="67"/>
      <c r="G2570" s="64"/>
      <c r="H2570" s="68"/>
      <c r="I2570" s="69"/>
      <c r="J2570" s="69"/>
      <c r="K2570" s="32"/>
      <c r="L2570" s="76">
        <v>2570</v>
      </c>
      <c r="M2570" s="76"/>
      <c r="N2570" s="71"/>
      <c r="O2570" s="87" t="s">
        <v>179</v>
      </c>
      <c r="P2570" s="90">
        <v>45142.627268518518</v>
      </c>
      <c r="Q2570" s="87" t="s">
        <v>4287</v>
      </c>
      <c r="R2570" s="87">
        <v>0</v>
      </c>
      <c r="S2570" s="87">
        <v>0</v>
      </c>
      <c r="T2570" s="87">
        <v>0</v>
      </c>
      <c r="U2570" s="87">
        <v>0</v>
      </c>
      <c r="V2570" s="87">
        <v>54</v>
      </c>
      <c r="W2570" s="93" t="s">
        <v>7424</v>
      </c>
      <c r="X2570" s="87"/>
      <c r="Y2570" s="87"/>
      <c r="Z2570" s="87"/>
      <c r="AA2570" s="87" t="s">
        <v>10301</v>
      </c>
      <c r="AB2570" s="87" t="s">
        <v>11448</v>
      </c>
      <c r="AC2570" s="93" t="s">
        <v>11457</v>
      </c>
      <c r="AD2570" s="87" t="s">
        <v>11519</v>
      </c>
      <c r="AE2570" s="92" t="str">
        <f>HYPERLINK("https://twitter.com/serraempauta/status/1687479319675740161")</f>
        <v>https://twitter.com/serraempauta/status/1687479319675740161</v>
      </c>
      <c r="AF2570" s="90">
        <v>45142.627268518518</v>
      </c>
      <c r="AG2570" s="99">
        <v>45142</v>
      </c>
      <c r="AH2570" s="93" t="s">
        <v>13822</v>
      </c>
      <c r="AI2570" s="87" t="b">
        <v>0</v>
      </c>
      <c r="AJ2570" s="87"/>
      <c r="AK2570" s="87"/>
      <c r="AL2570" s="87"/>
      <c r="AM2570" s="87"/>
      <c r="AN2570" s="87"/>
      <c r="AO2570" s="87"/>
      <c r="AP2570" s="87"/>
      <c r="AQ2570" s="87" t="s">
        <v>17113</v>
      </c>
      <c r="AR2570" s="87"/>
      <c r="AS2570" s="87"/>
      <c r="AT2570" s="87"/>
      <c r="AU2570" s="87"/>
      <c r="AV2570" s="92" t="str">
        <f>HYPERLINK("https://pbs.twimg.com/media/F2she33WEAEd-7y.jpg")</f>
        <v>https://pbs.twimg.com/media/F2she33WEAEd-7y.jpg</v>
      </c>
      <c r="AW2570" s="93" t="s">
        <v>20731</v>
      </c>
      <c r="AX2570" s="93" t="s">
        <v>20731</v>
      </c>
      <c r="AY2570" s="87"/>
      <c r="AZ2570" s="93" t="s">
        <v>22668</v>
      </c>
      <c r="BA2570" s="93" t="s">
        <v>22668</v>
      </c>
      <c r="BB2570" s="93" t="s">
        <v>22668</v>
      </c>
      <c r="BC2570" s="93" t="s">
        <v>20731</v>
      </c>
      <c r="BD2570" s="93" t="s">
        <v>23269</v>
      </c>
      <c r="BE2570" s="87"/>
      <c r="BF2570" s="87"/>
      <c r="BG2570" s="87"/>
      <c r="BH2570" s="87"/>
      <c r="BI2570" s="87"/>
    </row>
    <row r="2571" spans="1:61" x14ac:dyDescent="0.25">
      <c r="A2571" s="63" t="s">
        <v>1058</v>
      </c>
      <c r="B2571" s="63" t="s">
        <v>1058</v>
      </c>
      <c r="C2571" s="64"/>
      <c r="D2571" s="65"/>
      <c r="E2571" s="66"/>
      <c r="F2571" s="67"/>
      <c r="G2571" s="64"/>
      <c r="H2571" s="68"/>
      <c r="I2571" s="69"/>
      <c r="J2571" s="69"/>
      <c r="K2571" s="32"/>
      <c r="L2571" s="76">
        <v>2571</v>
      </c>
      <c r="M2571" s="76"/>
      <c r="N2571" s="71"/>
      <c r="O2571" s="87" t="s">
        <v>179</v>
      </c>
      <c r="P2571" s="90">
        <v>45142.542997685188</v>
      </c>
      <c r="Q2571" s="87" t="s">
        <v>4288</v>
      </c>
      <c r="R2571" s="87">
        <v>0</v>
      </c>
      <c r="S2571" s="87">
        <v>0</v>
      </c>
      <c r="T2571" s="87">
        <v>0</v>
      </c>
      <c r="U2571" s="87">
        <v>0</v>
      </c>
      <c r="V2571" s="87">
        <v>63</v>
      </c>
      <c r="W2571" s="93" t="s">
        <v>7424</v>
      </c>
      <c r="X2571" s="87"/>
      <c r="Y2571" s="87"/>
      <c r="Z2571" s="87"/>
      <c r="AA2571" s="87" t="s">
        <v>10302</v>
      </c>
      <c r="AB2571" s="87" t="s">
        <v>11448</v>
      </c>
      <c r="AC2571" s="93" t="s">
        <v>11457</v>
      </c>
      <c r="AD2571" s="87" t="s">
        <v>11519</v>
      </c>
      <c r="AE2571" s="92" t="str">
        <f>HYPERLINK("https://twitter.com/serraempauta/status/1687448783083253760")</f>
        <v>https://twitter.com/serraempauta/status/1687448783083253760</v>
      </c>
      <c r="AF2571" s="90">
        <v>45142.542997685188</v>
      </c>
      <c r="AG2571" s="99">
        <v>45142</v>
      </c>
      <c r="AH2571" s="93" t="s">
        <v>13823</v>
      </c>
      <c r="AI2571" s="87" t="b">
        <v>0</v>
      </c>
      <c r="AJ2571" s="87"/>
      <c r="AK2571" s="87"/>
      <c r="AL2571" s="87"/>
      <c r="AM2571" s="87"/>
      <c r="AN2571" s="87"/>
      <c r="AO2571" s="87"/>
      <c r="AP2571" s="87"/>
      <c r="AQ2571" s="87" t="s">
        <v>17114</v>
      </c>
      <c r="AR2571" s="87"/>
      <c r="AS2571" s="87"/>
      <c r="AT2571" s="87"/>
      <c r="AU2571" s="87"/>
      <c r="AV2571" s="92" t="str">
        <f>HYPERLINK("https://pbs.twimg.com/media/F2sFuKyWUAA_KX2.jpg")</f>
        <v>https://pbs.twimg.com/media/F2sFuKyWUAA_KX2.jpg</v>
      </c>
      <c r="AW2571" s="93" t="s">
        <v>20732</v>
      </c>
      <c r="AX2571" s="93" t="s">
        <v>20732</v>
      </c>
      <c r="AY2571" s="87"/>
      <c r="AZ2571" s="93" t="s">
        <v>22668</v>
      </c>
      <c r="BA2571" s="93" t="s">
        <v>22668</v>
      </c>
      <c r="BB2571" s="93" t="s">
        <v>22668</v>
      </c>
      <c r="BC2571" s="93" t="s">
        <v>20732</v>
      </c>
      <c r="BD2571" s="93" t="s">
        <v>23269</v>
      </c>
      <c r="BE2571" s="87"/>
      <c r="BF2571" s="87"/>
      <c r="BG2571" s="87"/>
      <c r="BH2571" s="87"/>
      <c r="BI2571" s="87"/>
    </row>
    <row r="2572" spans="1:61" x14ac:dyDescent="0.25">
      <c r="A2572" s="63" t="s">
        <v>1058</v>
      </c>
      <c r="B2572" s="63" t="s">
        <v>1058</v>
      </c>
      <c r="C2572" s="64"/>
      <c r="D2572" s="65"/>
      <c r="E2572" s="66"/>
      <c r="F2572" s="67"/>
      <c r="G2572" s="64"/>
      <c r="H2572" s="68"/>
      <c r="I2572" s="69"/>
      <c r="J2572" s="69"/>
      <c r="K2572" s="32"/>
      <c r="L2572" s="76">
        <v>2572</v>
      </c>
      <c r="M2572" s="76"/>
      <c r="N2572" s="71"/>
      <c r="O2572" s="87" t="s">
        <v>179</v>
      </c>
      <c r="P2572" s="90">
        <v>45142.035995370374</v>
      </c>
      <c r="Q2572" s="87" t="s">
        <v>4289</v>
      </c>
      <c r="R2572" s="87">
        <v>0</v>
      </c>
      <c r="S2572" s="87">
        <v>1</v>
      </c>
      <c r="T2572" s="87">
        <v>0</v>
      </c>
      <c r="U2572" s="87">
        <v>0</v>
      </c>
      <c r="V2572" s="87">
        <v>53</v>
      </c>
      <c r="W2572" s="93" t="s">
        <v>7424</v>
      </c>
      <c r="X2572" s="87"/>
      <c r="Y2572" s="87"/>
      <c r="Z2572" s="87"/>
      <c r="AA2572" s="87" t="s">
        <v>10303</v>
      </c>
      <c r="AB2572" s="87" t="s">
        <v>11448</v>
      </c>
      <c r="AC2572" s="93" t="s">
        <v>11457</v>
      </c>
      <c r="AD2572" s="87" t="s">
        <v>11519</v>
      </c>
      <c r="AE2572" s="92" t="str">
        <f>HYPERLINK("https://twitter.com/serraempauta/status/1687265048484278272")</f>
        <v>https://twitter.com/serraempauta/status/1687265048484278272</v>
      </c>
      <c r="AF2572" s="90">
        <v>45142.035995370374</v>
      </c>
      <c r="AG2572" s="99">
        <v>45142</v>
      </c>
      <c r="AH2572" s="93" t="s">
        <v>13824</v>
      </c>
      <c r="AI2572" s="87" t="b">
        <v>0</v>
      </c>
      <c r="AJ2572" s="87"/>
      <c r="AK2572" s="87"/>
      <c r="AL2572" s="87"/>
      <c r="AM2572" s="87"/>
      <c r="AN2572" s="87"/>
      <c r="AO2572" s="87"/>
      <c r="AP2572" s="87"/>
      <c r="AQ2572" s="87" t="s">
        <v>17115</v>
      </c>
      <c r="AR2572" s="87"/>
      <c r="AS2572" s="87"/>
      <c r="AT2572" s="87"/>
      <c r="AU2572" s="87"/>
      <c r="AV2572" s="92" t="str">
        <f>HYPERLINK("https://pbs.twimg.com/media/F2pemC5XEAAWJ9M.jpg")</f>
        <v>https://pbs.twimg.com/media/F2pemC5XEAAWJ9M.jpg</v>
      </c>
      <c r="AW2572" s="93" t="s">
        <v>20733</v>
      </c>
      <c r="AX2572" s="93" t="s">
        <v>20733</v>
      </c>
      <c r="AY2572" s="87"/>
      <c r="AZ2572" s="93" t="s">
        <v>22668</v>
      </c>
      <c r="BA2572" s="93" t="s">
        <v>22668</v>
      </c>
      <c r="BB2572" s="93" t="s">
        <v>22668</v>
      </c>
      <c r="BC2572" s="93" t="s">
        <v>20733</v>
      </c>
      <c r="BD2572" s="93" t="s">
        <v>23269</v>
      </c>
      <c r="BE2572" s="87"/>
      <c r="BF2572" s="87"/>
      <c r="BG2572" s="87"/>
      <c r="BH2572" s="87"/>
      <c r="BI2572" s="87"/>
    </row>
    <row r="2573" spans="1:61" x14ac:dyDescent="0.25">
      <c r="A2573" s="63" t="s">
        <v>1058</v>
      </c>
      <c r="B2573" s="63" t="s">
        <v>1058</v>
      </c>
      <c r="C2573" s="64"/>
      <c r="D2573" s="65"/>
      <c r="E2573" s="66"/>
      <c r="F2573" s="67"/>
      <c r="G2573" s="64"/>
      <c r="H2573" s="68"/>
      <c r="I2573" s="69"/>
      <c r="J2573" s="69"/>
      <c r="K2573" s="32"/>
      <c r="L2573" s="76">
        <v>2573</v>
      </c>
      <c r="M2573" s="76"/>
      <c r="N2573" s="71"/>
      <c r="O2573" s="87" t="s">
        <v>179</v>
      </c>
      <c r="P2573" s="90">
        <v>45141.998148148145</v>
      </c>
      <c r="Q2573" s="87" t="s">
        <v>4290</v>
      </c>
      <c r="R2573" s="87">
        <v>0</v>
      </c>
      <c r="S2573" s="87">
        <v>0</v>
      </c>
      <c r="T2573" s="87">
        <v>0</v>
      </c>
      <c r="U2573" s="87">
        <v>0</v>
      </c>
      <c r="V2573" s="87">
        <v>87</v>
      </c>
      <c r="W2573" s="93" t="s">
        <v>7424</v>
      </c>
      <c r="X2573" s="87"/>
      <c r="Y2573" s="87"/>
      <c r="Z2573" s="87"/>
      <c r="AA2573" s="87" t="s">
        <v>10304</v>
      </c>
      <c r="AB2573" s="87" t="s">
        <v>11448</v>
      </c>
      <c r="AC2573" s="93" t="s">
        <v>11457</v>
      </c>
      <c r="AD2573" s="87" t="s">
        <v>11519</v>
      </c>
      <c r="AE2573" s="92" t="str">
        <f>HYPERLINK("https://twitter.com/serraempauta/status/1687251334586601473")</f>
        <v>https://twitter.com/serraempauta/status/1687251334586601473</v>
      </c>
      <c r="AF2573" s="90">
        <v>45141.998148148145</v>
      </c>
      <c r="AG2573" s="99">
        <v>45141</v>
      </c>
      <c r="AH2573" s="93" t="s">
        <v>13825</v>
      </c>
      <c r="AI2573" s="87" t="b">
        <v>0</v>
      </c>
      <c r="AJ2573" s="87"/>
      <c r="AK2573" s="87"/>
      <c r="AL2573" s="87"/>
      <c r="AM2573" s="87"/>
      <c r="AN2573" s="87"/>
      <c r="AO2573" s="87"/>
      <c r="AP2573" s="87"/>
      <c r="AQ2573" s="87" t="s">
        <v>17116</v>
      </c>
      <c r="AR2573" s="87"/>
      <c r="AS2573" s="87"/>
      <c r="AT2573" s="87"/>
      <c r="AU2573" s="87"/>
      <c r="AV2573" s="92" t="str">
        <f>HYPERLINK("https://pbs.twimg.com/media/F2pSJGKXwAENLa9.jpg")</f>
        <v>https://pbs.twimg.com/media/F2pSJGKXwAENLa9.jpg</v>
      </c>
      <c r="AW2573" s="93" t="s">
        <v>20734</v>
      </c>
      <c r="AX2573" s="93" t="s">
        <v>20734</v>
      </c>
      <c r="AY2573" s="87"/>
      <c r="AZ2573" s="93" t="s">
        <v>22668</v>
      </c>
      <c r="BA2573" s="93" t="s">
        <v>22668</v>
      </c>
      <c r="BB2573" s="93" t="s">
        <v>22668</v>
      </c>
      <c r="BC2573" s="93" t="s">
        <v>20734</v>
      </c>
      <c r="BD2573" s="93" t="s">
        <v>23269</v>
      </c>
      <c r="BE2573" s="87"/>
      <c r="BF2573" s="87"/>
      <c r="BG2573" s="87"/>
      <c r="BH2573" s="87"/>
      <c r="BI2573" s="87"/>
    </row>
    <row r="2574" spans="1:61" x14ac:dyDescent="0.25">
      <c r="A2574" s="63" t="s">
        <v>1058</v>
      </c>
      <c r="B2574" s="63" t="s">
        <v>1058</v>
      </c>
      <c r="C2574" s="64"/>
      <c r="D2574" s="65"/>
      <c r="E2574" s="66"/>
      <c r="F2574" s="67"/>
      <c r="G2574" s="64"/>
      <c r="H2574" s="68"/>
      <c r="I2574" s="69"/>
      <c r="J2574" s="69"/>
      <c r="K2574" s="32"/>
      <c r="L2574" s="76">
        <v>2574</v>
      </c>
      <c r="M2574" s="76"/>
      <c r="N2574" s="71"/>
      <c r="O2574" s="87" t="s">
        <v>179</v>
      </c>
      <c r="P2574" s="90">
        <v>45141.981574074074</v>
      </c>
      <c r="Q2574" s="87" t="s">
        <v>4291</v>
      </c>
      <c r="R2574" s="87">
        <v>0</v>
      </c>
      <c r="S2574" s="87">
        <v>1</v>
      </c>
      <c r="T2574" s="87">
        <v>0</v>
      </c>
      <c r="U2574" s="87">
        <v>0</v>
      </c>
      <c r="V2574" s="87">
        <v>79</v>
      </c>
      <c r="W2574" s="93" t="s">
        <v>7424</v>
      </c>
      <c r="X2574" s="87"/>
      <c r="Y2574" s="87"/>
      <c r="Z2574" s="87"/>
      <c r="AA2574" s="87" t="s">
        <v>10305</v>
      </c>
      <c r="AB2574" s="87" t="s">
        <v>11448</v>
      </c>
      <c r="AC2574" s="93" t="s">
        <v>11457</v>
      </c>
      <c r="AD2574" s="87" t="s">
        <v>11519</v>
      </c>
      <c r="AE2574" s="92" t="str">
        <f>HYPERLINK("https://twitter.com/serraempauta/status/1687245330130112512")</f>
        <v>https://twitter.com/serraempauta/status/1687245330130112512</v>
      </c>
      <c r="AF2574" s="90">
        <v>45141.981574074074</v>
      </c>
      <c r="AG2574" s="99">
        <v>45141</v>
      </c>
      <c r="AH2574" s="93" t="s">
        <v>13826</v>
      </c>
      <c r="AI2574" s="87" t="b">
        <v>0</v>
      </c>
      <c r="AJ2574" s="87"/>
      <c r="AK2574" s="87"/>
      <c r="AL2574" s="87"/>
      <c r="AM2574" s="87"/>
      <c r="AN2574" s="87"/>
      <c r="AO2574" s="87"/>
      <c r="AP2574" s="87"/>
      <c r="AQ2574" s="87" t="s">
        <v>17117</v>
      </c>
      <c r="AR2574" s="87"/>
      <c r="AS2574" s="87"/>
      <c r="AT2574" s="87"/>
      <c r="AU2574" s="87"/>
      <c r="AV2574" s="92" t="str">
        <f>HYPERLINK("https://pbs.twimg.com/media/F2pMrkeXQAAXg2n.jpg")</f>
        <v>https://pbs.twimg.com/media/F2pMrkeXQAAXg2n.jpg</v>
      </c>
      <c r="AW2574" s="93" t="s">
        <v>20735</v>
      </c>
      <c r="AX2574" s="93" t="s">
        <v>20735</v>
      </c>
      <c r="AY2574" s="87"/>
      <c r="AZ2574" s="93" t="s">
        <v>22668</v>
      </c>
      <c r="BA2574" s="93" t="s">
        <v>22668</v>
      </c>
      <c r="BB2574" s="93" t="s">
        <v>22668</v>
      </c>
      <c r="BC2574" s="93" t="s">
        <v>20735</v>
      </c>
      <c r="BD2574" s="93" t="s">
        <v>23269</v>
      </c>
      <c r="BE2574" s="87"/>
      <c r="BF2574" s="87"/>
      <c r="BG2574" s="87"/>
      <c r="BH2574" s="87"/>
      <c r="BI2574" s="87"/>
    </row>
    <row r="2575" spans="1:61" x14ac:dyDescent="0.25">
      <c r="A2575" s="63" t="s">
        <v>1058</v>
      </c>
      <c r="B2575" s="63" t="s">
        <v>1058</v>
      </c>
      <c r="C2575" s="64"/>
      <c r="D2575" s="65"/>
      <c r="E2575" s="66"/>
      <c r="F2575" s="67"/>
      <c r="G2575" s="64"/>
      <c r="H2575" s="68"/>
      <c r="I2575" s="69"/>
      <c r="J2575" s="69"/>
      <c r="K2575" s="32"/>
      <c r="L2575" s="76">
        <v>2575</v>
      </c>
      <c r="M2575" s="76"/>
      <c r="N2575" s="71"/>
      <c r="O2575" s="87" t="s">
        <v>179</v>
      </c>
      <c r="P2575" s="90">
        <v>45141.792870370373</v>
      </c>
      <c r="Q2575" s="87" t="s">
        <v>4292</v>
      </c>
      <c r="R2575" s="87">
        <v>0</v>
      </c>
      <c r="S2575" s="87">
        <v>0</v>
      </c>
      <c r="T2575" s="87">
        <v>0</v>
      </c>
      <c r="U2575" s="87">
        <v>0</v>
      </c>
      <c r="V2575" s="87">
        <v>44</v>
      </c>
      <c r="W2575" s="93" t="s">
        <v>7424</v>
      </c>
      <c r="X2575" s="87"/>
      <c r="Y2575" s="87"/>
      <c r="Z2575" s="87"/>
      <c r="AA2575" s="87" t="s">
        <v>10306</v>
      </c>
      <c r="AB2575" s="87" t="s">
        <v>11448</v>
      </c>
      <c r="AC2575" s="93" t="s">
        <v>11457</v>
      </c>
      <c r="AD2575" s="87" t="s">
        <v>11519</v>
      </c>
      <c r="AE2575" s="92" t="str">
        <f>HYPERLINK("https://twitter.com/serraempauta/status/1687176944893227008")</f>
        <v>https://twitter.com/serraempauta/status/1687176944893227008</v>
      </c>
      <c r="AF2575" s="90">
        <v>45141.792870370373</v>
      </c>
      <c r="AG2575" s="99">
        <v>45141</v>
      </c>
      <c r="AH2575" s="93" t="s">
        <v>13827</v>
      </c>
      <c r="AI2575" s="87" t="b">
        <v>0</v>
      </c>
      <c r="AJ2575" s="87"/>
      <c r="AK2575" s="87"/>
      <c r="AL2575" s="87"/>
      <c r="AM2575" s="87"/>
      <c r="AN2575" s="87"/>
      <c r="AO2575" s="87"/>
      <c r="AP2575" s="87"/>
      <c r="AQ2575" s="87" t="s">
        <v>17118</v>
      </c>
      <c r="AR2575" s="87"/>
      <c r="AS2575" s="87"/>
      <c r="AT2575" s="87"/>
      <c r="AU2575" s="87"/>
      <c r="AV2575" s="92" t="str">
        <f>HYPERLINK("https://pbs.twimg.com/media/F2oOep7XgAYBvxa.jpg")</f>
        <v>https://pbs.twimg.com/media/F2oOep7XgAYBvxa.jpg</v>
      </c>
      <c r="AW2575" s="93" t="s">
        <v>20736</v>
      </c>
      <c r="AX2575" s="93" t="s">
        <v>20736</v>
      </c>
      <c r="AY2575" s="87"/>
      <c r="AZ2575" s="93" t="s">
        <v>22668</v>
      </c>
      <c r="BA2575" s="93" t="s">
        <v>22668</v>
      </c>
      <c r="BB2575" s="93" t="s">
        <v>22668</v>
      </c>
      <c r="BC2575" s="93" t="s">
        <v>20736</v>
      </c>
      <c r="BD2575" s="93" t="s">
        <v>23269</v>
      </c>
      <c r="BE2575" s="87"/>
      <c r="BF2575" s="87"/>
      <c r="BG2575" s="87"/>
      <c r="BH2575" s="87"/>
      <c r="BI2575" s="87"/>
    </row>
    <row r="2576" spans="1:61" x14ac:dyDescent="0.25">
      <c r="A2576" s="63" t="s">
        <v>1058</v>
      </c>
      <c r="B2576" s="63" t="s">
        <v>1058</v>
      </c>
      <c r="C2576" s="64"/>
      <c r="D2576" s="65"/>
      <c r="E2576" s="66"/>
      <c r="F2576" s="67"/>
      <c r="G2576" s="64"/>
      <c r="H2576" s="68"/>
      <c r="I2576" s="69"/>
      <c r="J2576" s="69"/>
      <c r="K2576" s="32"/>
      <c r="L2576" s="76">
        <v>2576</v>
      </c>
      <c r="M2576" s="76"/>
      <c r="N2576" s="71"/>
      <c r="O2576" s="87" t="s">
        <v>179</v>
      </c>
      <c r="P2576" s="90">
        <v>45141.73201388889</v>
      </c>
      <c r="Q2576" s="87" t="s">
        <v>4293</v>
      </c>
      <c r="R2576" s="87">
        <v>0</v>
      </c>
      <c r="S2576" s="87">
        <v>0</v>
      </c>
      <c r="T2576" s="87">
        <v>0</v>
      </c>
      <c r="U2576" s="87">
        <v>0</v>
      </c>
      <c r="V2576" s="87">
        <v>97</v>
      </c>
      <c r="W2576" s="93" t="s">
        <v>7424</v>
      </c>
      <c r="X2576" s="87"/>
      <c r="Y2576" s="87"/>
      <c r="Z2576" s="87"/>
      <c r="AA2576" s="87" t="s">
        <v>10307</v>
      </c>
      <c r="AB2576" s="87" t="s">
        <v>11448</v>
      </c>
      <c r="AC2576" s="93" t="s">
        <v>11457</v>
      </c>
      <c r="AD2576" s="87" t="s">
        <v>11519</v>
      </c>
      <c r="AE2576" s="92" t="str">
        <f>HYPERLINK("https://twitter.com/serraempauta/status/1687154892081623040")</f>
        <v>https://twitter.com/serraempauta/status/1687154892081623040</v>
      </c>
      <c r="AF2576" s="90">
        <v>45141.73201388889</v>
      </c>
      <c r="AG2576" s="99">
        <v>45141</v>
      </c>
      <c r="AH2576" s="93" t="s">
        <v>13828</v>
      </c>
      <c r="AI2576" s="87" t="b">
        <v>0</v>
      </c>
      <c r="AJ2576" s="87"/>
      <c r="AK2576" s="87"/>
      <c r="AL2576" s="87"/>
      <c r="AM2576" s="87"/>
      <c r="AN2576" s="87"/>
      <c r="AO2576" s="87"/>
      <c r="AP2576" s="87"/>
      <c r="AQ2576" s="87" t="s">
        <v>17119</v>
      </c>
      <c r="AR2576" s="87"/>
      <c r="AS2576" s="87"/>
      <c r="AT2576" s="87"/>
      <c r="AU2576" s="87"/>
      <c r="AV2576" s="92" t="str">
        <f>HYPERLINK("https://pbs.twimg.com/media/F2n6bY1XUAAAFF-.jpg")</f>
        <v>https://pbs.twimg.com/media/F2n6bY1XUAAAFF-.jpg</v>
      </c>
      <c r="AW2576" s="93" t="s">
        <v>20737</v>
      </c>
      <c r="AX2576" s="93" t="s">
        <v>20737</v>
      </c>
      <c r="AY2576" s="87"/>
      <c r="AZ2576" s="93" t="s">
        <v>22668</v>
      </c>
      <c r="BA2576" s="93" t="s">
        <v>22668</v>
      </c>
      <c r="BB2576" s="93" t="s">
        <v>22668</v>
      </c>
      <c r="BC2576" s="93" t="s">
        <v>20737</v>
      </c>
      <c r="BD2576" s="93" t="s">
        <v>23269</v>
      </c>
      <c r="BE2576" s="87"/>
      <c r="BF2576" s="87"/>
      <c r="BG2576" s="87"/>
      <c r="BH2576" s="87"/>
      <c r="BI2576" s="87"/>
    </row>
    <row r="2577" spans="1:61" x14ac:dyDescent="0.25">
      <c r="A2577" s="63" t="s">
        <v>1058</v>
      </c>
      <c r="B2577" s="63" t="s">
        <v>1058</v>
      </c>
      <c r="C2577" s="64"/>
      <c r="D2577" s="65"/>
      <c r="E2577" s="66"/>
      <c r="F2577" s="67"/>
      <c r="G2577" s="64"/>
      <c r="H2577" s="68"/>
      <c r="I2577" s="69"/>
      <c r="J2577" s="69"/>
      <c r="K2577" s="32"/>
      <c r="L2577" s="76">
        <v>2577</v>
      </c>
      <c r="M2577" s="76"/>
      <c r="N2577" s="71"/>
      <c r="O2577" s="87" t="s">
        <v>179</v>
      </c>
      <c r="P2577" s="90">
        <v>45131.753692129627</v>
      </c>
      <c r="Q2577" s="87" t="s">
        <v>4294</v>
      </c>
      <c r="R2577" s="87">
        <v>1</v>
      </c>
      <c r="S2577" s="87">
        <v>1</v>
      </c>
      <c r="T2577" s="87">
        <v>0</v>
      </c>
      <c r="U2577" s="87">
        <v>0</v>
      </c>
      <c r="V2577" s="87">
        <v>52</v>
      </c>
      <c r="W2577" s="93" t="s">
        <v>7424</v>
      </c>
      <c r="X2577" s="87"/>
      <c r="Y2577" s="87"/>
      <c r="Z2577" s="87"/>
      <c r="AA2577" s="87" t="s">
        <v>10308</v>
      </c>
      <c r="AB2577" s="87" t="s">
        <v>11448</v>
      </c>
      <c r="AC2577" s="93" t="s">
        <v>11457</v>
      </c>
      <c r="AD2577" s="87" t="s">
        <v>11519</v>
      </c>
      <c r="AE2577" s="92" t="str">
        <f>HYPERLINK("https://twitter.com/serraempauta/status/1683538869382201346")</f>
        <v>https://twitter.com/serraempauta/status/1683538869382201346</v>
      </c>
      <c r="AF2577" s="90">
        <v>45131.753692129627</v>
      </c>
      <c r="AG2577" s="99">
        <v>45131</v>
      </c>
      <c r="AH2577" s="93" t="s">
        <v>13829</v>
      </c>
      <c r="AI2577" s="87" t="b">
        <v>0</v>
      </c>
      <c r="AJ2577" s="87"/>
      <c r="AK2577" s="87"/>
      <c r="AL2577" s="87"/>
      <c r="AM2577" s="87"/>
      <c r="AN2577" s="87"/>
      <c r="AO2577" s="87"/>
      <c r="AP2577" s="87"/>
      <c r="AQ2577" s="87" t="s">
        <v>17120</v>
      </c>
      <c r="AR2577" s="87"/>
      <c r="AS2577" s="87"/>
      <c r="AT2577" s="87"/>
      <c r="AU2577" s="87"/>
      <c r="AV2577" s="92" t="str">
        <f>HYPERLINK("https://pbs.twimg.com/media/F10hrJVWwA0vovk.jpg")</f>
        <v>https://pbs.twimg.com/media/F10hrJVWwA0vovk.jpg</v>
      </c>
      <c r="AW2577" s="93" t="s">
        <v>20738</v>
      </c>
      <c r="AX2577" s="93" t="s">
        <v>20738</v>
      </c>
      <c r="AY2577" s="87"/>
      <c r="AZ2577" s="93" t="s">
        <v>22668</v>
      </c>
      <c r="BA2577" s="93" t="s">
        <v>22668</v>
      </c>
      <c r="BB2577" s="93" t="s">
        <v>22668</v>
      </c>
      <c r="BC2577" s="93" t="s">
        <v>20738</v>
      </c>
      <c r="BD2577" s="93" t="s">
        <v>23269</v>
      </c>
      <c r="BE2577" s="87"/>
      <c r="BF2577" s="87"/>
      <c r="BG2577" s="87"/>
      <c r="BH2577" s="87"/>
      <c r="BI2577" s="87"/>
    </row>
    <row r="2578" spans="1:61" x14ac:dyDescent="0.25">
      <c r="A2578" s="63" t="s">
        <v>1058</v>
      </c>
      <c r="B2578" s="63" t="s">
        <v>1058</v>
      </c>
      <c r="C2578" s="64"/>
      <c r="D2578" s="65"/>
      <c r="E2578" s="66"/>
      <c r="F2578" s="67"/>
      <c r="G2578" s="64"/>
      <c r="H2578" s="68"/>
      <c r="I2578" s="69"/>
      <c r="J2578" s="69"/>
      <c r="K2578" s="32"/>
      <c r="L2578" s="76">
        <v>2578</v>
      </c>
      <c r="M2578" s="76"/>
      <c r="N2578" s="71"/>
      <c r="O2578" s="87" t="s">
        <v>179</v>
      </c>
      <c r="P2578" s="90">
        <v>45131.70034722222</v>
      </c>
      <c r="Q2578" s="87" t="s">
        <v>4295</v>
      </c>
      <c r="R2578" s="87">
        <v>0</v>
      </c>
      <c r="S2578" s="87">
        <v>0</v>
      </c>
      <c r="T2578" s="87">
        <v>0</v>
      </c>
      <c r="U2578" s="87">
        <v>0</v>
      </c>
      <c r="V2578" s="87">
        <v>38</v>
      </c>
      <c r="W2578" s="93" t="s">
        <v>7424</v>
      </c>
      <c r="X2578" s="87"/>
      <c r="Y2578" s="87"/>
      <c r="Z2578" s="87"/>
      <c r="AA2578" s="87" t="s">
        <v>10309</v>
      </c>
      <c r="AB2578" s="87" t="s">
        <v>11448</v>
      </c>
      <c r="AC2578" s="93" t="s">
        <v>11457</v>
      </c>
      <c r="AD2578" s="87" t="s">
        <v>11519</v>
      </c>
      <c r="AE2578" s="92" t="str">
        <f>HYPERLINK("https://twitter.com/serraempauta/status/1683519535998017551")</f>
        <v>https://twitter.com/serraempauta/status/1683519535998017551</v>
      </c>
      <c r="AF2578" s="90">
        <v>45131.70034722222</v>
      </c>
      <c r="AG2578" s="99">
        <v>45131</v>
      </c>
      <c r="AH2578" s="93" t="s">
        <v>13821</v>
      </c>
      <c r="AI2578" s="87" t="b">
        <v>0</v>
      </c>
      <c r="AJ2578" s="87"/>
      <c r="AK2578" s="87"/>
      <c r="AL2578" s="87"/>
      <c r="AM2578" s="87"/>
      <c r="AN2578" s="87"/>
      <c r="AO2578" s="87"/>
      <c r="AP2578" s="87"/>
      <c r="AQ2578" s="87" t="s">
        <v>17121</v>
      </c>
      <c r="AR2578" s="87"/>
      <c r="AS2578" s="87"/>
      <c r="AT2578" s="87"/>
      <c r="AU2578" s="87"/>
      <c r="AV2578" s="92" t="str">
        <f>HYPERLINK("https://pbs.twimg.com/media/F10QFIwWwAAlnly.jpg")</f>
        <v>https://pbs.twimg.com/media/F10QFIwWwAAlnly.jpg</v>
      </c>
      <c r="AW2578" s="93" t="s">
        <v>20739</v>
      </c>
      <c r="AX2578" s="93" t="s">
        <v>20739</v>
      </c>
      <c r="AY2578" s="87"/>
      <c r="AZ2578" s="93" t="s">
        <v>22668</v>
      </c>
      <c r="BA2578" s="93" t="s">
        <v>22668</v>
      </c>
      <c r="BB2578" s="93" t="s">
        <v>22668</v>
      </c>
      <c r="BC2578" s="93" t="s">
        <v>20739</v>
      </c>
      <c r="BD2578" s="93" t="s">
        <v>23269</v>
      </c>
      <c r="BE2578" s="87"/>
      <c r="BF2578" s="87"/>
      <c r="BG2578" s="87"/>
      <c r="BH2578" s="87"/>
      <c r="BI2578" s="87"/>
    </row>
    <row r="2579" spans="1:61" x14ac:dyDescent="0.25">
      <c r="A2579" s="63" t="s">
        <v>1058</v>
      </c>
      <c r="B2579" s="63" t="s">
        <v>1058</v>
      </c>
      <c r="C2579" s="64"/>
      <c r="D2579" s="65"/>
      <c r="E2579" s="66"/>
      <c r="F2579" s="67"/>
      <c r="G2579" s="64"/>
      <c r="H2579" s="68"/>
      <c r="I2579" s="69"/>
      <c r="J2579" s="69"/>
      <c r="K2579" s="32"/>
      <c r="L2579" s="76">
        <v>2579</v>
      </c>
      <c r="M2579" s="76"/>
      <c r="N2579" s="71"/>
      <c r="O2579" s="87" t="s">
        <v>179</v>
      </c>
      <c r="P2579" s="90">
        <v>45114.953113425923</v>
      </c>
      <c r="Q2579" s="87" t="s">
        <v>4296</v>
      </c>
      <c r="R2579" s="87">
        <v>0</v>
      </c>
      <c r="S2579" s="87">
        <v>0</v>
      </c>
      <c r="T2579" s="87">
        <v>0</v>
      </c>
      <c r="U2579" s="87">
        <v>0</v>
      </c>
      <c r="V2579" s="87">
        <v>47</v>
      </c>
      <c r="W2579" s="93" t="s">
        <v>7424</v>
      </c>
      <c r="X2579" s="87"/>
      <c r="Y2579" s="87"/>
      <c r="Z2579" s="87"/>
      <c r="AA2579" s="87" t="s">
        <v>10310</v>
      </c>
      <c r="AB2579" s="87" t="s">
        <v>11448</v>
      </c>
      <c r="AC2579" s="93" t="s">
        <v>11457</v>
      </c>
      <c r="AD2579" s="87" t="s">
        <v>11519</v>
      </c>
      <c r="AE2579" s="92" t="str">
        <f>HYPERLINK("https://twitter.com/serraempauta/status/1677450544296738818")</f>
        <v>https://twitter.com/serraempauta/status/1677450544296738818</v>
      </c>
      <c r="AF2579" s="90">
        <v>45114.953113425923</v>
      </c>
      <c r="AG2579" s="99">
        <v>45114</v>
      </c>
      <c r="AH2579" s="93" t="s">
        <v>13830</v>
      </c>
      <c r="AI2579" s="87" t="b">
        <v>0</v>
      </c>
      <c r="AJ2579" s="87"/>
      <c r="AK2579" s="87"/>
      <c r="AL2579" s="87"/>
      <c r="AM2579" s="87"/>
      <c r="AN2579" s="87"/>
      <c r="AO2579" s="87"/>
      <c r="AP2579" s="87"/>
      <c r="AQ2579" s="87" t="s">
        <v>17122</v>
      </c>
      <c r="AR2579" s="87"/>
      <c r="AS2579" s="87"/>
      <c r="AT2579" s="87"/>
      <c r="AU2579" s="87"/>
      <c r="AV2579" s="92" t="str">
        <f>HYPERLINK("https://pbs.twimg.com/media/F0eAX2kWAAErFLX.jpg")</f>
        <v>https://pbs.twimg.com/media/F0eAX2kWAAErFLX.jpg</v>
      </c>
      <c r="AW2579" s="93" t="s">
        <v>20740</v>
      </c>
      <c r="AX2579" s="93" t="s">
        <v>20740</v>
      </c>
      <c r="AY2579" s="87"/>
      <c r="AZ2579" s="93" t="s">
        <v>22668</v>
      </c>
      <c r="BA2579" s="93" t="s">
        <v>22668</v>
      </c>
      <c r="BB2579" s="93" t="s">
        <v>22668</v>
      </c>
      <c r="BC2579" s="93" t="s">
        <v>20740</v>
      </c>
      <c r="BD2579" s="93" t="s">
        <v>23269</v>
      </c>
      <c r="BE2579" s="87"/>
      <c r="BF2579" s="87"/>
      <c r="BG2579" s="87"/>
      <c r="BH2579" s="87"/>
      <c r="BI2579" s="87"/>
    </row>
    <row r="2580" spans="1:61" x14ac:dyDescent="0.25">
      <c r="A2580" s="63" t="s">
        <v>1058</v>
      </c>
      <c r="B2580" s="63" t="s">
        <v>1058</v>
      </c>
      <c r="C2580" s="64"/>
      <c r="D2580" s="65"/>
      <c r="E2580" s="66"/>
      <c r="F2580" s="67"/>
      <c r="G2580" s="64"/>
      <c r="H2580" s="68"/>
      <c r="I2580" s="69"/>
      <c r="J2580" s="69"/>
      <c r="K2580" s="32"/>
      <c r="L2580" s="76">
        <v>2580</v>
      </c>
      <c r="M2580" s="76"/>
      <c r="N2580" s="71"/>
      <c r="O2580" s="87" t="s">
        <v>179</v>
      </c>
      <c r="P2580" s="90">
        <v>45114.933032407411</v>
      </c>
      <c r="Q2580" s="87" t="s">
        <v>4297</v>
      </c>
      <c r="R2580" s="87">
        <v>0</v>
      </c>
      <c r="S2580" s="87">
        <v>0</v>
      </c>
      <c r="T2580" s="87">
        <v>0</v>
      </c>
      <c r="U2580" s="87">
        <v>0</v>
      </c>
      <c r="V2580" s="87">
        <v>68</v>
      </c>
      <c r="W2580" s="93" t="s">
        <v>7424</v>
      </c>
      <c r="X2580" s="87"/>
      <c r="Y2580" s="87"/>
      <c r="Z2580" s="87"/>
      <c r="AA2580" s="87" t="s">
        <v>10311</v>
      </c>
      <c r="AB2580" s="87" t="s">
        <v>11448</v>
      </c>
      <c r="AC2580" s="93" t="s">
        <v>11457</v>
      </c>
      <c r="AD2580" s="87" t="s">
        <v>11519</v>
      </c>
      <c r="AE2580" s="92" t="str">
        <f>HYPERLINK("https://twitter.com/serraempauta/status/1677443264536870912")</f>
        <v>https://twitter.com/serraempauta/status/1677443264536870912</v>
      </c>
      <c r="AF2580" s="90">
        <v>45114.933032407411</v>
      </c>
      <c r="AG2580" s="99">
        <v>45114</v>
      </c>
      <c r="AH2580" s="93" t="s">
        <v>13831</v>
      </c>
      <c r="AI2580" s="87" t="b">
        <v>0</v>
      </c>
      <c r="AJ2580" s="87"/>
      <c r="AK2580" s="87"/>
      <c r="AL2580" s="87"/>
      <c r="AM2580" s="87"/>
      <c r="AN2580" s="87"/>
      <c r="AO2580" s="87"/>
      <c r="AP2580" s="87"/>
      <c r="AQ2580" s="87" t="s">
        <v>17123</v>
      </c>
      <c r="AR2580" s="87"/>
      <c r="AS2580" s="87"/>
      <c r="AT2580" s="87"/>
      <c r="AU2580" s="87"/>
      <c r="AV2580" s="92" t="str">
        <f>HYPERLINK("https://pbs.twimg.com/media/F0d5wRzXgAAouAp.jpg")</f>
        <v>https://pbs.twimg.com/media/F0d5wRzXgAAouAp.jpg</v>
      </c>
      <c r="AW2580" s="93" t="s">
        <v>20741</v>
      </c>
      <c r="AX2580" s="93" t="s">
        <v>20741</v>
      </c>
      <c r="AY2580" s="87"/>
      <c r="AZ2580" s="93" t="s">
        <v>22668</v>
      </c>
      <c r="BA2580" s="93" t="s">
        <v>22668</v>
      </c>
      <c r="BB2580" s="93" t="s">
        <v>22668</v>
      </c>
      <c r="BC2580" s="93" t="s">
        <v>20741</v>
      </c>
      <c r="BD2580" s="93" t="s">
        <v>23269</v>
      </c>
      <c r="BE2580" s="87"/>
      <c r="BF2580" s="87"/>
      <c r="BG2580" s="87"/>
      <c r="BH2580" s="87"/>
      <c r="BI2580" s="87"/>
    </row>
    <row r="2581" spans="1:61" x14ac:dyDescent="0.25">
      <c r="A2581" s="63" t="s">
        <v>1058</v>
      </c>
      <c r="B2581" s="63" t="s">
        <v>1058</v>
      </c>
      <c r="C2581" s="64"/>
      <c r="D2581" s="65"/>
      <c r="E2581" s="66"/>
      <c r="F2581" s="67"/>
      <c r="G2581" s="64"/>
      <c r="H2581" s="68"/>
      <c r="I2581" s="69"/>
      <c r="J2581" s="69"/>
      <c r="K2581" s="32"/>
      <c r="L2581" s="76">
        <v>2581</v>
      </c>
      <c r="M2581" s="76"/>
      <c r="N2581" s="71"/>
      <c r="O2581" s="87" t="s">
        <v>179</v>
      </c>
      <c r="P2581" s="90">
        <v>45114.852719907409</v>
      </c>
      <c r="Q2581" s="87" t="s">
        <v>4298</v>
      </c>
      <c r="R2581" s="87">
        <v>0</v>
      </c>
      <c r="S2581" s="87">
        <v>0</v>
      </c>
      <c r="T2581" s="87">
        <v>0</v>
      </c>
      <c r="U2581" s="87">
        <v>0</v>
      </c>
      <c r="V2581" s="87">
        <v>51</v>
      </c>
      <c r="W2581" s="93" t="s">
        <v>7424</v>
      </c>
      <c r="X2581" s="87"/>
      <c r="Y2581" s="87"/>
      <c r="Z2581" s="87"/>
      <c r="AA2581" s="87" t="s">
        <v>10312</v>
      </c>
      <c r="AB2581" s="87" t="s">
        <v>11448</v>
      </c>
      <c r="AC2581" s="93" t="s">
        <v>11457</v>
      </c>
      <c r="AD2581" s="87" t="s">
        <v>11519</v>
      </c>
      <c r="AE2581" s="92" t="str">
        <f>HYPERLINK("https://twitter.com/serraempauta/status/1677414162727596032")</f>
        <v>https://twitter.com/serraempauta/status/1677414162727596032</v>
      </c>
      <c r="AF2581" s="90">
        <v>45114.852719907409</v>
      </c>
      <c r="AG2581" s="99">
        <v>45114</v>
      </c>
      <c r="AH2581" s="93" t="s">
        <v>13832</v>
      </c>
      <c r="AI2581" s="87" t="b">
        <v>0</v>
      </c>
      <c r="AJ2581" s="87"/>
      <c r="AK2581" s="87"/>
      <c r="AL2581" s="87"/>
      <c r="AM2581" s="87"/>
      <c r="AN2581" s="87"/>
      <c r="AO2581" s="87"/>
      <c r="AP2581" s="87"/>
      <c r="AQ2581" s="87" t="s">
        <v>17124</v>
      </c>
      <c r="AR2581" s="87"/>
      <c r="AS2581" s="87"/>
      <c r="AT2581" s="87"/>
      <c r="AU2581" s="87"/>
      <c r="AV2581" s="92" t="str">
        <f>HYPERLINK("https://pbs.twimg.com/media/F0dfSGaWAAAy6T3.jpg")</f>
        <v>https://pbs.twimg.com/media/F0dfSGaWAAAy6T3.jpg</v>
      </c>
      <c r="AW2581" s="93" t="s">
        <v>20742</v>
      </c>
      <c r="AX2581" s="93" t="s">
        <v>20742</v>
      </c>
      <c r="AY2581" s="87"/>
      <c r="AZ2581" s="93" t="s">
        <v>22668</v>
      </c>
      <c r="BA2581" s="93" t="s">
        <v>22668</v>
      </c>
      <c r="BB2581" s="93" t="s">
        <v>22668</v>
      </c>
      <c r="BC2581" s="93" t="s">
        <v>20742</v>
      </c>
      <c r="BD2581" s="93" t="s">
        <v>23269</v>
      </c>
      <c r="BE2581" s="87"/>
      <c r="BF2581" s="87"/>
      <c r="BG2581" s="87"/>
      <c r="BH2581" s="87"/>
      <c r="BI2581" s="87"/>
    </row>
    <row r="2582" spans="1:61" x14ac:dyDescent="0.25">
      <c r="A2582" s="63" t="s">
        <v>1058</v>
      </c>
      <c r="B2582" s="63" t="s">
        <v>1058</v>
      </c>
      <c r="C2582" s="64"/>
      <c r="D2582" s="65"/>
      <c r="E2582" s="66"/>
      <c r="F2582" s="67"/>
      <c r="G2582" s="64"/>
      <c r="H2582" s="68"/>
      <c r="I2582" s="69"/>
      <c r="J2582" s="69"/>
      <c r="K2582" s="32"/>
      <c r="L2582" s="76">
        <v>2582</v>
      </c>
      <c r="M2582" s="76"/>
      <c r="N2582" s="71"/>
      <c r="O2582" s="87" t="s">
        <v>179</v>
      </c>
      <c r="P2582" s="90">
        <v>45114.819803240738</v>
      </c>
      <c r="Q2582" s="87" t="s">
        <v>4299</v>
      </c>
      <c r="R2582" s="87">
        <v>0</v>
      </c>
      <c r="S2582" s="87">
        <v>0</v>
      </c>
      <c r="T2582" s="87">
        <v>0</v>
      </c>
      <c r="U2582" s="87">
        <v>0</v>
      </c>
      <c r="V2582" s="87">
        <v>52</v>
      </c>
      <c r="W2582" s="93" t="s">
        <v>7424</v>
      </c>
      <c r="X2582" s="87"/>
      <c r="Y2582" s="87"/>
      <c r="Z2582" s="87"/>
      <c r="AA2582" s="87" t="s">
        <v>10313</v>
      </c>
      <c r="AB2582" s="87" t="s">
        <v>11448</v>
      </c>
      <c r="AC2582" s="93" t="s">
        <v>11457</v>
      </c>
      <c r="AD2582" s="87" t="s">
        <v>11519</v>
      </c>
      <c r="AE2582" s="92" t="str">
        <f>HYPERLINK("https://twitter.com/serraempauta/status/1677402231128170497")</f>
        <v>https://twitter.com/serraempauta/status/1677402231128170497</v>
      </c>
      <c r="AF2582" s="90">
        <v>45114.819803240738</v>
      </c>
      <c r="AG2582" s="99">
        <v>45114</v>
      </c>
      <c r="AH2582" s="93" t="s">
        <v>13833</v>
      </c>
      <c r="AI2582" s="87" t="b">
        <v>0</v>
      </c>
      <c r="AJ2582" s="87"/>
      <c r="AK2582" s="87"/>
      <c r="AL2582" s="87"/>
      <c r="AM2582" s="87"/>
      <c r="AN2582" s="87"/>
      <c r="AO2582" s="87"/>
      <c r="AP2582" s="87"/>
      <c r="AQ2582" s="87" t="s">
        <v>17125</v>
      </c>
      <c r="AR2582" s="87"/>
      <c r="AS2582" s="87"/>
      <c r="AT2582" s="87"/>
      <c r="AU2582" s="87"/>
      <c r="AV2582" s="92" t="str">
        <f>HYPERLINK("https://pbs.twimg.com/media/F0dUa-2WwAMswGf.jpg")</f>
        <v>https://pbs.twimg.com/media/F0dUa-2WwAMswGf.jpg</v>
      </c>
      <c r="AW2582" s="93" t="s">
        <v>20743</v>
      </c>
      <c r="AX2582" s="93" t="s">
        <v>20743</v>
      </c>
      <c r="AY2582" s="87"/>
      <c r="AZ2582" s="93" t="s">
        <v>22668</v>
      </c>
      <c r="BA2582" s="93" t="s">
        <v>22668</v>
      </c>
      <c r="BB2582" s="93" t="s">
        <v>22668</v>
      </c>
      <c r="BC2582" s="93" t="s">
        <v>20743</v>
      </c>
      <c r="BD2582" s="93" t="s">
        <v>23269</v>
      </c>
      <c r="BE2582" s="87"/>
      <c r="BF2582" s="87"/>
      <c r="BG2582" s="87"/>
      <c r="BH2582" s="87"/>
      <c r="BI2582" s="87"/>
    </row>
    <row r="2583" spans="1:61" x14ac:dyDescent="0.25">
      <c r="A2583" s="63" t="s">
        <v>1058</v>
      </c>
      <c r="B2583" s="63" t="s">
        <v>1058</v>
      </c>
      <c r="C2583" s="64"/>
      <c r="D2583" s="65"/>
      <c r="E2583" s="66"/>
      <c r="F2583" s="67"/>
      <c r="G2583" s="64"/>
      <c r="H2583" s="68"/>
      <c r="I2583" s="69"/>
      <c r="J2583" s="69"/>
      <c r="K2583" s="32"/>
      <c r="L2583" s="76">
        <v>2583</v>
      </c>
      <c r="M2583" s="76"/>
      <c r="N2583" s="71"/>
      <c r="O2583" s="87" t="s">
        <v>179</v>
      </c>
      <c r="P2583" s="90">
        <v>45114.762083333335</v>
      </c>
      <c r="Q2583" s="87" t="s">
        <v>4300</v>
      </c>
      <c r="R2583" s="87">
        <v>0</v>
      </c>
      <c r="S2583" s="87">
        <v>1</v>
      </c>
      <c r="T2583" s="87">
        <v>0</v>
      </c>
      <c r="U2583" s="87">
        <v>0</v>
      </c>
      <c r="V2583" s="87">
        <v>63</v>
      </c>
      <c r="W2583" s="93" t="s">
        <v>7424</v>
      </c>
      <c r="X2583" s="87"/>
      <c r="Y2583" s="87"/>
      <c r="Z2583" s="87"/>
      <c r="AA2583" s="87" t="s">
        <v>10314</v>
      </c>
      <c r="AB2583" s="87" t="s">
        <v>11448</v>
      </c>
      <c r="AC2583" s="93" t="s">
        <v>11457</v>
      </c>
      <c r="AD2583" s="87" t="s">
        <v>11519</v>
      </c>
      <c r="AE2583" s="92" t="str">
        <f>HYPERLINK("https://twitter.com/serraempauta/status/1677381314608242689")</f>
        <v>https://twitter.com/serraempauta/status/1677381314608242689</v>
      </c>
      <c r="AF2583" s="90">
        <v>45114.762083333335</v>
      </c>
      <c r="AG2583" s="99">
        <v>45114</v>
      </c>
      <c r="AH2583" s="93" t="s">
        <v>13834</v>
      </c>
      <c r="AI2583" s="87" t="b">
        <v>0</v>
      </c>
      <c r="AJ2583" s="87"/>
      <c r="AK2583" s="87"/>
      <c r="AL2583" s="87"/>
      <c r="AM2583" s="87"/>
      <c r="AN2583" s="87"/>
      <c r="AO2583" s="87"/>
      <c r="AP2583" s="87"/>
      <c r="AQ2583" s="87" t="s">
        <v>17126</v>
      </c>
      <c r="AR2583" s="87"/>
      <c r="AS2583" s="87"/>
      <c r="AT2583" s="87"/>
      <c r="AU2583" s="87"/>
      <c r="AV2583" s="92" t="str">
        <f>HYPERLINK("https://pbs.twimg.com/media/F0dBYxaWYBsKOJT.jpg")</f>
        <v>https://pbs.twimg.com/media/F0dBYxaWYBsKOJT.jpg</v>
      </c>
      <c r="AW2583" s="93" t="s">
        <v>20744</v>
      </c>
      <c r="AX2583" s="93" t="s">
        <v>20744</v>
      </c>
      <c r="AY2583" s="87"/>
      <c r="AZ2583" s="93" t="s">
        <v>22668</v>
      </c>
      <c r="BA2583" s="93" t="s">
        <v>22668</v>
      </c>
      <c r="BB2583" s="93" t="s">
        <v>22668</v>
      </c>
      <c r="BC2583" s="93" t="s">
        <v>20744</v>
      </c>
      <c r="BD2583" s="93" t="s">
        <v>23269</v>
      </c>
      <c r="BE2583" s="87"/>
      <c r="BF2583" s="87"/>
      <c r="BG2583" s="87"/>
      <c r="BH2583" s="87"/>
      <c r="BI2583" s="87"/>
    </row>
    <row r="2584" spans="1:61" x14ac:dyDescent="0.25">
      <c r="A2584" s="63" t="s">
        <v>1058</v>
      </c>
      <c r="B2584" s="63" t="s">
        <v>1058</v>
      </c>
      <c r="C2584" s="64"/>
      <c r="D2584" s="65"/>
      <c r="E2584" s="66"/>
      <c r="F2584" s="67"/>
      <c r="G2584" s="64"/>
      <c r="H2584" s="68"/>
      <c r="I2584" s="69"/>
      <c r="J2584" s="69"/>
      <c r="K2584" s="32"/>
      <c r="L2584" s="76">
        <v>2584</v>
      </c>
      <c r="M2584" s="76"/>
      <c r="N2584" s="71"/>
      <c r="O2584" s="87" t="s">
        <v>179</v>
      </c>
      <c r="P2584" s="90">
        <v>45114.584444444445</v>
      </c>
      <c r="Q2584" s="87" t="s">
        <v>4301</v>
      </c>
      <c r="R2584" s="87">
        <v>0</v>
      </c>
      <c r="S2584" s="87">
        <v>0</v>
      </c>
      <c r="T2584" s="87">
        <v>0</v>
      </c>
      <c r="U2584" s="87">
        <v>0</v>
      </c>
      <c r="V2584" s="87">
        <v>53</v>
      </c>
      <c r="W2584" s="93" t="s">
        <v>7424</v>
      </c>
      <c r="X2584" s="87"/>
      <c r="Y2584" s="87"/>
      <c r="Z2584" s="87"/>
      <c r="AA2584" s="87" t="s">
        <v>10315</v>
      </c>
      <c r="AB2584" s="87" t="s">
        <v>11448</v>
      </c>
      <c r="AC2584" s="93" t="s">
        <v>11457</v>
      </c>
      <c r="AD2584" s="87" t="s">
        <v>11519</v>
      </c>
      <c r="AE2584" s="92" t="str">
        <f>HYPERLINK("https://twitter.com/serraempauta/status/1677316941529194502")</f>
        <v>https://twitter.com/serraempauta/status/1677316941529194502</v>
      </c>
      <c r="AF2584" s="90">
        <v>45114.584444444445</v>
      </c>
      <c r="AG2584" s="99">
        <v>45114</v>
      </c>
      <c r="AH2584" s="93" t="s">
        <v>12671</v>
      </c>
      <c r="AI2584" s="87" t="b">
        <v>0</v>
      </c>
      <c r="AJ2584" s="87"/>
      <c r="AK2584" s="87"/>
      <c r="AL2584" s="87"/>
      <c r="AM2584" s="87"/>
      <c r="AN2584" s="87"/>
      <c r="AO2584" s="87"/>
      <c r="AP2584" s="87"/>
      <c r="AQ2584" s="87" t="s">
        <v>17127</v>
      </c>
      <c r="AR2584" s="87"/>
      <c r="AS2584" s="87"/>
      <c r="AT2584" s="87"/>
      <c r="AU2584" s="87"/>
      <c r="AV2584" s="92" t="str">
        <f>HYPERLINK("https://pbs.twimg.com/media/F0cGze2WIAA41Cv.jpg")</f>
        <v>https://pbs.twimg.com/media/F0cGze2WIAA41Cv.jpg</v>
      </c>
      <c r="AW2584" s="93" t="s">
        <v>20745</v>
      </c>
      <c r="AX2584" s="93" t="s">
        <v>20745</v>
      </c>
      <c r="AY2584" s="87"/>
      <c r="AZ2584" s="93" t="s">
        <v>22668</v>
      </c>
      <c r="BA2584" s="93" t="s">
        <v>22668</v>
      </c>
      <c r="BB2584" s="93" t="s">
        <v>22668</v>
      </c>
      <c r="BC2584" s="93" t="s">
        <v>20745</v>
      </c>
      <c r="BD2584" s="93" t="s">
        <v>23269</v>
      </c>
      <c r="BE2584" s="87"/>
      <c r="BF2584" s="87"/>
      <c r="BG2584" s="87"/>
      <c r="BH2584" s="87"/>
      <c r="BI2584" s="87"/>
    </row>
    <row r="2585" spans="1:61" x14ac:dyDescent="0.25">
      <c r="A2585" s="63" t="s">
        <v>1058</v>
      </c>
      <c r="B2585" s="63" t="s">
        <v>1058</v>
      </c>
      <c r="C2585" s="64"/>
      <c r="D2585" s="65"/>
      <c r="E2585" s="66"/>
      <c r="F2585" s="67"/>
      <c r="G2585" s="64"/>
      <c r="H2585" s="68"/>
      <c r="I2585" s="69"/>
      <c r="J2585" s="69"/>
      <c r="K2585" s="32"/>
      <c r="L2585" s="76">
        <v>2585</v>
      </c>
      <c r="M2585" s="76"/>
      <c r="N2585" s="71"/>
      <c r="O2585" s="87" t="s">
        <v>179</v>
      </c>
      <c r="P2585" s="90">
        <v>45113.889328703706</v>
      </c>
      <c r="Q2585" s="87" t="s">
        <v>4302</v>
      </c>
      <c r="R2585" s="87">
        <v>0</v>
      </c>
      <c r="S2585" s="87">
        <v>0</v>
      </c>
      <c r="T2585" s="87">
        <v>0</v>
      </c>
      <c r="U2585" s="87">
        <v>0</v>
      </c>
      <c r="V2585" s="87">
        <v>38</v>
      </c>
      <c r="W2585" s="93" t="s">
        <v>7424</v>
      </c>
      <c r="X2585" s="87"/>
      <c r="Y2585" s="87"/>
      <c r="Z2585" s="87"/>
      <c r="AA2585" s="87" t="s">
        <v>10316</v>
      </c>
      <c r="AB2585" s="87" t="s">
        <v>11448</v>
      </c>
      <c r="AC2585" s="93" t="s">
        <v>11457</v>
      </c>
      <c r="AD2585" s="87" t="s">
        <v>11519</v>
      </c>
      <c r="AE2585" s="92" t="str">
        <f>HYPERLINK("https://twitter.com/serraempauta/status/1677065039285551106")</f>
        <v>https://twitter.com/serraempauta/status/1677065039285551106</v>
      </c>
      <c r="AF2585" s="90">
        <v>45113.889328703706</v>
      </c>
      <c r="AG2585" s="99">
        <v>45113</v>
      </c>
      <c r="AH2585" s="93" t="s">
        <v>13835</v>
      </c>
      <c r="AI2585" s="87" t="b">
        <v>0</v>
      </c>
      <c r="AJ2585" s="87"/>
      <c r="AK2585" s="87"/>
      <c r="AL2585" s="87"/>
      <c r="AM2585" s="87"/>
      <c r="AN2585" s="87"/>
      <c r="AO2585" s="87"/>
      <c r="AP2585" s="87"/>
      <c r="AQ2585" s="87" t="s">
        <v>17128</v>
      </c>
      <c r="AR2585" s="87"/>
      <c r="AS2585" s="87"/>
      <c r="AT2585" s="87"/>
      <c r="AU2585" s="87"/>
      <c r="AV2585" s="92" t="str">
        <f>HYPERLINK("https://pbs.twimg.com/media/F0YhwVZXoAIJufg.jpg")</f>
        <v>https://pbs.twimg.com/media/F0YhwVZXoAIJufg.jpg</v>
      </c>
      <c r="AW2585" s="93" t="s">
        <v>20746</v>
      </c>
      <c r="AX2585" s="93" t="s">
        <v>20746</v>
      </c>
      <c r="AY2585" s="87"/>
      <c r="AZ2585" s="93" t="s">
        <v>22668</v>
      </c>
      <c r="BA2585" s="93" t="s">
        <v>22668</v>
      </c>
      <c r="BB2585" s="93" t="s">
        <v>22668</v>
      </c>
      <c r="BC2585" s="93" t="s">
        <v>20746</v>
      </c>
      <c r="BD2585" s="93" t="s">
        <v>23269</v>
      </c>
      <c r="BE2585" s="87"/>
      <c r="BF2585" s="87"/>
      <c r="BG2585" s="87"/>
      <c r="BH2585" s="87"/>
      <c r="BI2585" s="87"/>
    </row>
    <row r="2586" spans="1:61" x14ac:dyDescent="0.25">
      <c r="A2586" s="63" t="s">
        <v>1058</v>
      </c>
      <c r="B2586" s="63" t="s">
        <v>1058</v>
      </c>
      <c r="C2586" s="64"/>
      <c r="D2586" s="65"/>
      <c r="E2586" s="66"/>
      <c r="F2586" s="67"/>
      <c r="G2586" s="64"/>
      <c r="H2586" s="68"/>
      <c r="I2586" s="69"/>
      <c r="J2586" s="69"/>
      <c r="K2586" s="32"/>
      <c r="L2586" s="76">
        <v>2586</v>
      </c>
      <c r="M2586" s="76"/>
      <c r="N2586" s="71"/>
      <c r="O2586" s="87" t="s">
        <v>179</v>
      </c>
      <c r="P2586" s="90">
        <v>45113.779918981483</v>
      </c>
      <c r="Q2586" s="87" t="s">
        <v>4303</v>
      </c>
      <c r="R2586" s="87">
        <v>0</v>
      </c>
      <c r="S2586" s="87">
        <v>0</v>
      </c>
      <c r="T2586" s="87">
        <v>0</v>
      </c>
      <c r="U2586" s="87">
        <v>0</v>
      </c>
      <c r="V2586" s="87">
        <v>40</v>
      </c>
      <c r="W2586" s="93" t="s">
        <v>7424</v>
      </c>
      <c r="X2586" s="87"/>
      <c r="Y2586" s="87"/>
      <c r="Z2586" s="87"/>
      <c r="AA2586" s="87" t="s">
        <v>10317</v>
      </c>
      <c r="AB2586" s="87" t="s">
        <v>11448</v>
      </c>
      <c r="AC2586" s="93" t="s">
        <v>11457</v>
      </c>
      <c r="AD2586" s="87" t="s">
        <v>11519</v>
      </c>
      <c r="AE2586" s="92" t="str">
        <f>HYPERLINK("https://twitter.com/serraempauta/status/1677025389195952128")</f>
        <v>https://twitter.com/serraempauta/status/1677025389195952128</v>
      </c>
      <c r="AF2586" s="90">
        <v>45113.779918981483</v>
      </c>
      <c r="AG2586" s="99">
        <v>45113</v>
      </c>
      <c r="AH2586" s="93" t="s">
        <v>13836</v>
      </c>
      <c r="AI2586" s="87" t="b">
        <v>0</v>
      </c>
      <c r="AJ2586" s="87"/>
      <c r="AK2586" s="87"/>
      <c r="AL2586" s="87"/>
      <c r="AM2586" s="87"/>
      <c r="AN2586" s="87"/>
      <c r="AO2586" s="87"/>
      <c r="AP2586" s="87"/>
      <c r="AQ2586" s="87" t="s">
        <v>17129</v>
      </c>
      <c r="AR2586" s="87"/>
      <c r="AS2586" s="87"/>
      <c r="AT2586" s="87"/>
      <c r="AU2586" s="87"/>
      <c r="AV2586" s="92" t="str">
        <f>HYPERLINK("https://pbs.twimg.com/media/F0X9seiX0AA0zQL.jpg")</f>
        <v>https://pbs.twimg.com/media/F0X9seiX0AA0zQL.jpg</v>
      </c>
      <c r="AW2586" s="93" t="s">
        <v>20747</v>
      </c>
      <c r="AX2586" s="93" t="s">
        <v>20747</v>
      </c>
      <c r="AY2586" s="87"/>
      <c r="AZ2586" s="93" t="s">
        <v>22668</v>
      </c>
      <c r="BA2586" s="93" t="s">
        <v>22668</v>
      </c>
      <c r="BB2586" s="93" t="s">
        <v>22668</v>
      </c>
      <c r="BC2586" s="93" t="s">
        <v>20747</v>
      </c>
      <c r="BD2586" s="93" t="s">
        <v>23269</v>
      </c>
      <c r="BE2586" s="87"/>
      <c r="BF2586" s="87"/>
      <c r="BG2586" s="87"/>
      <c r="BH2586" s="87"/>
      <c r="BI2586" s="87"/>
    </row>
    <row r="2587" spans="1:61" x14ac:dyDescent="0.25">
      <c r="A2587" s="63" t="s">
        <v>1058</v>
      </c>
      <c r="B2587" s="63" t="s">
        <v>1058</v>
      </c>
      <c r="C2587" s="64"/>
      <c r="D2587" s="65"/>
      <c r="E2587" s="66"/>
      <c r="F2587" s="67"/>
      <c r="G2587" s="64"/>
      <c r="H2587" s="68"/>
      <c r="I2587" s="69"/>
      <c r="J2587" s="69"/>
      <c r="K2587" s="32"/>
      <c r="L2587" s="76">
        <v>2587</v>
      </c>
      <c r="M2587" s="76"/>
      <c r="N2587" s="71"/>
      <c r="O2587" s="87" t="s">
        <v>179</v>
      </c>
      <c r="P2587" s="90">
        <v>45113.761400462965</v>
      </c>
      <c r="Q2587" s="87" t="s">
        <v>4304</v>
      </c>
      <c r="R2587" s="87">
        <v>0</v>
      </c>
      <c r="S2587" s="87">
        <v>0</v>
      </c>
      <c r="T2587" s="87">
        <v>0</v>
      </c>
      <c r="U2587" s="87">
        <v>0</v>
      </c>
      <c r="V2587" s="87">
        <v>60</v>
      </c>
      <c r="W2587" s="93" t="s">
        <v>7424</v>
      </c>
      <c r="X2587" s="87"/>
      <c r="Y2587" s="87"/>
      <c r="Z2587" s="87"/>
      <c r="AA2587" s="87" t="s">
        <v>10318</v>
      </c>
      <c r="AB2587" s="87" t="s">
        <v>11448</v>
      </c>
      <c r="AC2587" s="93" t="s">
        <v>11457</v>
      </c>
      <c r="AD2587" s="87" t="s">
        <v>11519</v>
      </c>
      <c r="AE2587" s="92" t="str">
        <f>HYPERLINK("https://twitter.com/serraempauta/status/1677018682092838913")</f>
        <v>https://twitter.com/serraempauta/status/1677018682092838913</v>
      </c>
      <c r="AF2587" s="90">
        <v>45113.761400462965</v>
      </c>
      <c r="AG2587" s="99">
        <v>45113</v>
      </c>
      <c r="AH2587" s="93" t="s">
        <v>13837</v>
      </c>
      <c r="AI2587" s="87" t="b">
        <v>0</v>
      </c>
      <c r="AJ2587" s="87"/>
      <c r="AK2587" s="87"/>
      <c r="AL2587" s="87"/>
      <c r="AM2587" s="87"/>
      <c r="AN2587" s="87"/>
      <c r="AO2587" s="87"/>
      <c r="AP2587" s="87"/>
      <c r="AQ2587" s="87" t="s">
        <v>17130</v>
      </c>
      <c r="AR2587" s="87"/>
      <c r="AS2587" s="87"/>
      <c r="AT2587" s="87"/>
      <c r="AU2587" s="87"/>
      <c r="AV2587" s="92" t="str">
        <f>HYPERLINK("https://pbs.twimg.com/media/F0X3mRqWYBc_-R1.jpg")</f>
        <v>https://pbs.twimg.com/media/F0X3mRqWYBc_-R1.jpg</v>
      </c>
      <c r="AW2587" s="93" t="s">
        <v>20748</v>
      </c>
      <c r="AX2587" s="93" t="s">
        <v>20748</v>
      </c>
      <c r="AY2587" s="87"/>
      <c r="AZ2587" s="93" t="s">
        <v>22668</v>
      </c>
      <c r="BA2587" s="93" t="s">
        <v>22668</v>
      </c>
      <c r="BB2587" s="93" t="s">
        <v>22668</v>
      </c>
      <c r="BC2587" s="93" t="s">
        <v>20748</v>
      </c>
      <c r="BD2587" s="93" t="s">
        <v>23269</v>
      </c>
      <c r="BE2587" s="87"/>
      <c r="BF2587" s="87"/>
      <c r="BG2587" s="87"/>
      <c r="BH2587" s="87"/>
      <c r="BI2587" s="87"/>
    </row>
    <row r="2588" spans="1:61" x14ac:dyDescent="0.25">
      <c r="A2588" s="63" t="s">
        <v>1058</v>
      </c>
      <c r="B2588" s="63" t="s">
        <v>1058</v>
      </c>
      <c r="C2588" s="64"/>
      <c r="D2588" s="65"/>
      <c r="E2588" s="66"/>
      <c r="F2588" s="67"/>
      <c r="G2588" s="64"/>
      <c r="H2588" s="68"/>
      <c r="I2588" s="69"/>
      <c r="J2588" s="69"/>
      <c r="K2588" s="32"/>
      <c r="L2588" s="76">
        <v>2588</v>
      </c>
      <c r="M2588" s="76"/>
      <c r="N2588" s="71"/>
      <c r="O2588" s="87" t="s">
        <v>179</v>
      </c>
      <c r="P2588" s="90">
        <v>45113.74181712963</v>
      </c>
      <c r="Q2588" s="87" t="s">
        <v>4305</v>
      </c>
      <c r="R2588" s="87">
        <v>0</v>
      </c>
      <c r="S2588" s="87">
        <v>0</v>
      </c>
      <c r="T2588" s="87">
        <v>0</v>
      </c>
      <c r="U2588" s="87">
        <v>0</v>
      </c>
      <c r="V2588" s="87">
        <v>30</v>
      </c>
      <c r="W2588" s="93" t="s">
        <v>7424</v>
      </c>
      <c r="X2588" s="87"/>
      <c r="Y2588" s="87"/>
      <c r="Z2588" s="87"/>
      <c r="AA2588" s="87" t="s">
        <v>10319</v>
      </c>
      <c r="AB2588" s="87" t="s">
        <v>11448</v>
      </c>
      <c r="AC2588" s="93" t="s">
        <v>11457</v>
      </c>
      <c r="AD2588" s="87" t="s">
        <v>11519</v>
      </c>
      <c r="AE2588" s="92" t="str">
        <f>HYPERLINK("https://twitter.com/serraempauta/status/1677011584965566464")</f>
        <v>https://twitter.com/serraempauta/status/1677011584965566464</v>
      </c>
      <c r="AF2588" s="90">
        <v>45113.74181712963</v>
      </c>
      <c r="AG2588" s="99">
        <v>45113</v>
      </c>
      <c r="AH2588" s="93" t="s">
        <v>13838</v>
      </c>
      <c r="AI2588" s="87" t="b">
        <v>0</v>
      </c>
      <c r="AJ2588" s="87"/>
      <c r="AK2588" s="87"/>
      <c r="AL2588" s="87"/>
      <c r="AM2588" s="87"/>
      <c r="AN2588" s="87"/>
      <c r="AO2588" s="87"/>
      <c r="AP2588" s="87"/>
      <c r="AQ2588" s="87" t="s">
        <v>17131</v>
      </c>
      <c r="AR2588" s="87"/>
      <c r="AS2588" s="87"/>
      <c r="AT2588" s="87"/>
      <c r="AU2588" s="87"/>
      <c r="AV2588" s="92" t="str">
        <f>HYPERLINK("https://pbs.twimg.com/media/F0XxGqnWYAUThUV.jpg")</f>
        <v>https://pbs.twimg.com/media/F0XxGqnWYAUThUV.jpg</v>
      </c>
      <c r="AW2588" s="93" t="s">
        <v>20749</v>
      </c>
      <c r="AX2588" s="93" t="s">
        <v>20749</v>
      </c>
      <c r="AY2588" s="87"/>
      <c r="AZ2588" s="93" t="s">
        <v>22668</v>
      </c>
      <c r="BA2588" s="93" t="s">
        <v>22668</v>
      </c>
      <c r="BB2588" s="93" t="s">
        <v>22668</v>
      </c>
      <c r="BC2588" s="93" t="s">
        <v>20749</v>
      </c>
      <c r="BD2588" s="93" t="s">
        <v>23269</v>
      </c>
      <c r="BE2588" s="87"/>
      <c r="BF2588" s="87"/>
      <c r="BG2588" s="87"/>
      <c r="BH2588" s="87"/>
      <c r="BI2588" s="87"/>
    </row>
    <row r="2589" spans="1:61" x14ac:dyDescent="0.25">
      <c r="A2589" s="63" t="s">
        <v>1058</v>
      </c>
      <c r="B2589" s="63" t="s">
        <v>1058</v>
      </c>
      <c r="C2589" s="64"/>
      <c r="D2589" s="65"/>
      <c r="E2589" s="66"/>
      <c r="F2589" s="67"/>
      <c r="G2589" s="64"/>
      <c r="H2589" s="68"/>
      <c r="I2589" s="69"/>
      <c r="J2589" s="69"/>
      <c r="K2589" s="32"/>
      <c r="L2589" s="76">
        <v>2589</v>
      </c>
      <c r="M2589" s="76"/>
      <c r="N2589" s="71"/>
      <c r="O2589" s="87" t="s">
        <v>179</v>
      </c>
      <c r="P2589" s="90">
        <v>45113.615613425929</v>
      </c>
      <c r="Q2589" s="87" t="s">
        <v>4306</v>
      </c>
      <c r="R2589" s="87">
        <v>1</v>
      </c>
      <c r="S2589" s="87">
        <v>1</v>
      </c>
      <c r="T2589" s="87">
        <v>0</v>
      </c>
      <c r="U2589" s="87">
        <v>0</v>
      </c>
      <c r="V2589" s="87">
        <v>90</v>
      </c>
      <c r="W2589" s="93" t="s">
        <v>7424</v>
      </c>
      <c r="X2589" s="87"/>
      <c r="Y2589" s="87"/>
      <c r="Z2589" s="87"/>
      <c r="AA2589" s="87" t="s">
        <v>10320</v>
      </c>
      <c r="AB2589" s="87" t="s">
        <v>11448</v>
      </c>
      <c r="AC2589" s="93" t="s">
        <v>11457</v>
      </c>
      <c r="AD2589" s="87" t="s">
        <v>11519</v>
      </c>
      <c r="AE2589" s="92" t="str">
        <f>HYPERLINK("https://twitter.com/serraempauta/status/1676965846990876675")</f>
        <v>https://twitter.com/serraempauta/status/1676965846990876675</v>
      </c>
      <c r="AF2589" s="90">
        <v>45113.615613425929</v>
      </c>
      <c r="AG2589" s="99">
        <v>45113</v>
      </c>
      <c r="AH2589" s="93" t="s">
        <v>12513</v>
      </c>
      <c r="AI2589" s="87" t="b">
        <v>0</v>
      </c>
      <c r="AJ2589" s="87"/>
      <c r="AK2589" s="87"/>
      <c r="AL2589" s="87"/>
      <c r="AM2589" s="87"/>
      <c r="AN2589" s="87"/>
      <c r="AO2589" s="87"/>
      <c r="AP2589" s="87"/>
      <c r="AQ2589" s="87" t="s">
        <v>17132</v>
      </c>
      <c r="AR2589" s="87"/>
      <c r="AS2589" s="87"/>
      <c r="AT2589" s="87"/>
      <c r="AU2589" s="87"/>
      <c r="AV2589" s="92" t="str">
        <f>HYPERLINK("https://pbs.twimg.com/media/F0XHhSKaYAE8iwv.jpg")</f>
        <v>https://pbs.twimg.com/media/F0XHhSKaYAE8iwv.jpg</v>
      </c>
      <c r="AW2589" s="93" t="s">
        <v>20750</v>
      </c>
      <c r="AX2589" s="93" t="s">
        <v>20750</v>
      </c>
      <c r="AY2589" s="87"/>
      <c r="AZ2589" s="93" t="s">
        <v>22668</v>
      </c>
      <c r="BA2589" s="93" t="s">
        <v>22668</v>
      </c>
      <c r="BB2589" s="93" t="s">
        <v>22668</v>
      </c>
      <c r="BC2589" s="93" t="s">
        <v>20750</v>
      </c>
      <c r="BD2589" s="93" t="s">
        <v>23269</v>
      </c>
      <c r="BE2589" s="87"/>
      <c r="BF2589" s="87"/>
      <c r="BG2589" s="87"/>
      <c r="BH2589" s="87"/>
      <c r="BI2589" s="87"/>
    </row>
    <row r="2590" spans="1:61" x14ac:dyDescent="0.25">
      <c r="A2590" s="63" t="s">
        <v>1058</v>
      </c>
      <c r="B2590" s="63" t="s">
        <v>1058</v>
      </c>
      <c r="C2590" s="64"/>
      <c r="D2590" s="65"/>
      <c r="E2590" s="66"/>
      <c r="F2590" s="67"/>
      <c r="G2590" s="64"/>
      <c r="H2590" s="68"/>
      <c r="I2590" s="69"/>
      <c r="J2590" s="69"/>
      <c r="K2590" s="32"/>
      <c r="L2590" s="76">
        <v>2590</v>
      </c>
      <c r="M2590" s="76"/>
      <c r="N2590" s="71"/>
      <c r="O2590" s="87" t="s">
        <v>179</v>
      </c>
      <c r="P2590" s="90">
        <v>45113.549826388888</v>
      </c>
      <c r="Q2590" s="87" t="s">
        <v>4307</v>
      </c>
      <c r="R2590" s="87">
        <v>0</v>
      </c>
      <c r="S2590" s="87">
        <v>0</v>
      </c>
      <c r="T2590" s="87">
        <v>0</v>
      </c>
      <c r="U2590" s="87">
        <v>0</v>
      </c>
      <c r="V2590" s="87">
        <v>40</v>
      </c>
      <c r="W2590" s="93" t="s">
        <v>7424</v>
      </c>
      <c r="X2590" s="87"/>
      <c r="Y2590" s="87"/>
      <c r="Z2590" s="87"/>
      <c r="AA2590" s="87" t="s">
        <v>10321</v>
      </c>
      <c r="AB2590" s="87" t="s">
        <v>11448</v>
      </c>
      <c r="AC2590" s="93" t="s">
        <v>11457</v>
      </c>
      <c r="AD2590" s="87" t="s">
        <v>11519</v>
      </c>
      <c r="AE2590" s="92" t="str">
        <f>HYPERLINK("https://twitter.com/serraempauta/status/1676942009573990400")</f>
        <v>https://twitter.com/serraempauta/status/1676942009573990400</v>
      </c>
      <c r="AF2590" s="90">
        <v>45113.549826388888</v>
      </c>
      <c r="AG2590" s="99">
        <v>45113</v>
      </c>
      <c r="AH2590" s="93" t="s">
        <v>13839</v>
      </c>
      <c r="AI2590" s="87" t="b">
        <v>0</v>
      </c>
      <c r="AJ2590" s="87"/>
      <c r="AK2590" s="87"/>
      <c r="AL2590" s="87"/>
      <c r="AM2590" s="87"/>
      <c r="AN2590" s="87"/>
      <c r="AO2590" s="87"/>
      <c r="AP2590" s="87"/>
      <c r="AQ2590" s="87" t="s">
        <v>17133</v>
      </c>
      <c r="AR2590" s="87"/>
      <c r="AS2590" s="87"/>
      <c r="AT2590" s="87"/>
      <c r="AU2590" s="87"/>
      <c r="AV2590" s="92" t="str">
        <f>HYPERLINK("https://pbs.twimg.com/media/F0Wx3YmWAAECYcS.jpg")</f>
        <v>https://pbs.twimg.com/media/F0Wx3YmWAAECYcS.jpg</v>
      </c>
      <c r="AW2590" s="93" t="s">
        <v>20751</v>
      </c>
      <c r="AX2590" s="93" t="s">
        <v>20751</v>
      </c>
      <c r="AY2590" s="87"/>
      <c r="AZ2590" s="93" t="s">
        <v>22668</v>
      </c>
      <c r="BA2590" s="93" t="s">
        <v>22668</v>
      </c>
      <c r="BB2590" s="93" t="s">
        <v>22668</v>
      </c>
      <c r="BC2590" s="93" t="s">
        <v>20751</v>
      </c>
      <c r="BD2590" s="93" t="s">
        <v>23269</v>
      </c>
      <c r="BE2590" s="87"/>
      <c r="BF2590" s="87"/>
      <c r="BG2590" s="87"/>
      <c r="BH2590" s="87"/>
      <c r="BI2590" s="87"/>
    </row>
    <row r="2591" spans="1:61" x14ac:dyDescent="0.25">
      <c r="A2591" s="63" t="s">
        <v>1058</v>
      </c>
      <c r="B2591" s="63" t="s">
        <v>1058</v>
      </c>
      <c r="C2591" s="64"/>
      <c r="D2591" s="65"/>
      <c r="E2591" s="66"/>
      <c r="F2591" s="67"/>
      <c r="G2591" s="64"/>
      <c r="H2591" s="68"/>
      <c r="I2591" s="69"/>
      <c r="J2591" s="69"/>
      <c r="K2591" s="32"/>
      <c r="L2591" s="76">
        <v>2591</v>
      </c>
      <c r="M2591" s="76"/>
      <c r="N2591" s="71"/>
      <c r="O2591" s="87" t="s">
        <v>179</v>
      </c>
      <c r="P2591" s="90">
        <v>45190.768946759257</v>
      </c>
      <c r="Q2591" s="87" t="s">
        <v>4308</v>
      </c>
      <c r="R2591" s="87">
        <v>0</v>
      </c>
      <c r="S2591" s="87">
        <v>0</v>
      </c>
      <c r="T2591" s="87">
        <v>0</v>
      </c>
      <c r="U2591" s="87">
        <v>0</v>
      </c>
      <c r="V2591" s="87">
        <v>46</v>
      </c>
      <c r="W2591" s="93" t="s">
        <v>7424</v>
      </c>
      <c r="X2591" s="87"/>
      <c r="Y2591" s="87"/>
      <c r="Z2591" s="87"/>
      <c r="AA2591" s="87" t="s">
        <v>10322</v>
      </c>
      <c r="AB2591" s="87" t="s">
        <v>11448</v>
      </c>
      <c r="AC2591" s="93" t="s">
        <v>11457</v>
      </c>
      <c r="AD2591" s="87" t="s">
        <v>11519</v>
      </c>
      <c r="AE2591" s="92" t="str">
        <f>HYPERLINK("https://twitter.com/serraempauta/status/1704925280987496772")</f>
        <v>https://twitter.com/serraempauta/status/1704925280987496772</v>
      </c>
      <c r="AF2591" s="90">
        <v>45190.768946759257</v>
      </c>
      <c r="AG2591" s="99">
        <v>45190</v>
      </c>
      <c r="AH2591" s="93" t="s">
        <v>13840</v>
      </c>
      <c r="AI2591" s="87" t="b">
        <v>0</v>
      </c>
      <c r="AJ2591" s="87"/>
      <c r="AK2591" s="87"/>
      <c r="AL2591" s="87"/>
      <c r="AM2591" s="87"/>
      <c r="AN2591" s="87"/>
      <c r="AO2591" s="87"/>
      <c r="AP2591" s="87"/>
      <c r="AQ2591" s="87" t="s">
        <v>17134</v>
      </c>
      <c r="AR2591" s="87"/>
      <c r="AS2591" s="87"/>
      <c r="AT2591" s="87"/>
      <c r="AU2591" s="87"/>
      <c r="AV2591" s="92" t="str">
        <f>HYPERLINK("https://pbs.twimg.com/media/F6kcfNKW0AAzyJM.jpg")</f>
        <v>https://pbs.twimg.com/media/F6kcfNKW0AAzyJM.jpg</v>
      </c>
      <c r="AW2591" s="93" t="s">
        <v>20752</v>
      </c>
      <c r="AX2591" s="93" t="s">
        <v>20752</v>
      </c>
      <c r="AY2591" s="87"/>
      <c r="AZ2591" s="93" t="s">
        <v>22668</v>
      </c>
      <c r="BA2591" s="93" t="s">
        <v>22668</v>
      </c>
      <c r="BB2591" s="93" t="s">
        <v>22668</v>
      </c>
      <c r="BC2591" s="93" t="s">
        <v>20752</v>
      </c>
      <c r="BD2591" s="93" t="s">
        <v>23269</v>
      </c>
      <c r="BE2591" s="87"/>
      <c r="BF2591" s="87"/>
      <c r="BG2591" s="87"/>
      <c r="BH2591" s="87"/>
      <c r="BI2591" s="87"/>
    </row>
    <row r="2592" spans="1:61" x14ac:dyDescent="0.25">
      <c r="A2592" s="63" t="s">
        <v>1058</v>
      </c>
      <c r="B2592" s="63" t="s">
        <v>1058</v>
      </c>
      <c r="C2592" s="64"/>
      <c r="D2592" s="65"/>
      <c r="E2592" s="66"/>
      <c r="F2592" s="67"/>
      <c r="G2592" s="64"/>
      <c r="H2592" s="68"/>
      <c r="I2592" s="69"/>
      <c r="J2592" s="69"/>
      <c r="K2592" s="32"/>
      <c r="L2592" s="76">
        <v>2592</v>
      </c>
      <c r="M2592" s="76"/>
      <c r="N2592" s="71"/>
      <c r="O2592" s="87" t="s">
        <v>179</v>
      </c>
      <c r="P2592" s="90">
        <v>45190.590960648151</v>
      </c>
      <c r="Q2592" s="87" t="s">
        <v>4309</v>
      </c>
      <c r="R2592" s="87">
        <v>0</v>
      </c>
      <c r="S2592" s="87">
        <v>0</v>
      </c>
      <c r="T2592" s="87">
        <v>0</v>
      </c>
      <c r="U2592" s="87">
        <v>0</v>
      </c>
      <c r="V2592" s="87">
        <v>40</v>
      </c>
      <c r="W2592" s="93" t="s">
        <v>7424</v>
      </c>
      <c r="X2592" s="87"/>
      <c r="Y2592" s="87"/>
      <c r="Z2592" s="87"/>
      <c r="AA2592" s="87" t="s">
        <v>10323</v>
      </c>
      <c r="AB2592" s="87" t="s">
        <v>11448</v>
      </c>
      <c r="AC2592" s="93" t="s">
        <v>11457</v>
      </c>
      <c r="AD2592" s="87" t="s">
        <v>11519</v>
      </c>
      <c r="AE2592" s="92" t="str">
        <f>HYPERLINK("https://twitter.com/serraempauta/status/1704860780292657260")</f>
        <v>https://twitter.com/serraempauta/status/1704860780292657260</v>
      </c>
      <c r="AF2592" s="90">
        <v>45190.590960648151</v>
      </c>
      <c r="AG2592" s="99">
        <v>45190</v>
      </c>
      <c r="AH2592" s="93" t="s">
        <v>13841</v>
      </c>
      <c r="AI2592" s="87" t="b">
        <v>0</v>
      </c>
      <c r="AJ2592" s="87"/>
      <c r="AK2592" s="87"/>
      <c r="AL2592" s="87"/>
      <c r="AM2592" s="87"/>
      <c r="AN2592" s="87"/>
      <c r="AO2592" s="87"/>
      <c r="AP2592" s="87"/>
      <c r="AQ2592" s="87" t="s">
        <v>17135</v>
      </c>
      <c r="AR2592" s="87"/>
      <c r="AS2592" s="87"/>
      <c r="AT2592" s="87"/>
      <c r="AU2592" s="87"/>
      <c r="AV2592" s="92" t="str">
        <f>HYPERLINK("https://pbs.twimg.com/media/F6jh1pnWIAAFzHp.jpg")</f>
        <v>https://pbs.twimg.com/media/F6jh1pnWIAAFzHp.jpg</v>
      </c>
      <c r="AW2592" s="93" t="s">
        <v>20753</v>
      </c>
      <c r="AX2592" s="93" t="s">
        <v>20753</v>
      </c>
      <c r="AY2592" s="87"/>
      <c r="AZ2592" s="93" t="s">
        <v>22668</v>
      </c>
      <c r="BA2592" s="93" t="s">
        <v>22668</v>
      </c>
      <c r="BB2592" s="93" t="s">
        <v>22668</v>
      </c>
      <c r="BC2592" s="93" t="s">
        <v>20753</v>
      </c>
      <c r="BD2592" s="93" t="s">
        <v>23269</v>
      </c>
      <c r="BE2592" s="87"/>
      <c r="BF2592" s="87"/>
      <c r="BG2592" s="87"/>
      <c r="BH2592" s="87"/>
      <c r="BI2592" s="87"/>
    </row>
    <row r="2593" spans="1:61" x14ac:dyDescent="0.25">
      <c r="A2593" s="63" t="s">
        <v>1058</v>
      </c>
      <c r="B2593" s="63" t="s">
        <v>1058</v>
      </c>
      <c r="C2593" s="64"/>
      <c r="D2593" s="65"/>
      <c r="E2593" s="66"/>
      <c r="F2593" s="67"/>
      <c r="G2593" s="64"/>
      <c r="H2593" s="68"/>
      <c r="I2593" s="69"/>
      <c r="J2593" s="69"/>
      <c r="K2593" s="32"/>
      <c r="L2593" s="76">
        <v>2593</v>
      </c>
      <c r="M2593" s="76"/>
      <c r="N2593" s="71"/>
      <c r="O2593" s="87" t="s">
        <v>179</v>
      </c>
      <c r="P2593" s="90">
        <v>45186.551539351851</v>
      </c>
      <c r="Q2593" s="87" t="s">
        <v>4310</v>
      </c>
      <c r="R2593" s="87">
        <v>0</v>
      </c>
      <c r="S2593" s="87">
        <v>0</v>
      </c>
      <c r="T2593" s="87">
        <v>0</v>
      </c>
      <c r="U2593" s="87">
        <v>0</v>
      </c>
      <c r="V2593" s="87">
        <v>49</v>
      </c>
      <c r="W2593" s="93" t="s">
        <v>7424</v>
      </c>
      <c r="X2593" s="87"/>
      <c r="Y2593" s="87"/>
      <c r="Z2593" s="87"/>
      <c r="AA2593" s="87" t="s">
        <v>10324</v>
      </c>
      <c r="AB2593" s="87" t="s">
        <v>11448</v>
      </c>
      <c r="AC2593" s="93" t="s">
        <v>11457</v>
      </c>
      <c r="AD2593" s="87" t="s">
        <v>11519</v>
      </c>
      <c r="AE2593" s="92" t="str">
        <f>HYPERLINK("https://twitter.com/serraempauta/status/1703396942749880830")</f>
        <v>https://twitter.com/serraempauta/status/1703396942749880830</v>
      </c>
      <c r="AF2593" s="90">
        <v>45186.551539351851</v>
      </c>
      <c r="AG2593" s="99">
        <v>45186</v>
      </c>
      <c r="AH2593" s="93" t="s">
        <v>13842</v>
      </c>
      <c r="AI2593" s="87" t="b">
        <v>0</v>
      </c>
      <c r="AJ2593" s="87"/>
      <c r="AK2593" s="87"/>
      <c r="AL2593" s="87"/>
      <c r="AM2593" s="87"/>
      <c r="AN2593" s="87"/>
      <c r="AO2593" s="87"/>
      <c r="AP2593" s="87"/>
      <c r="AQ2593" s="87" t="s">
        <v>17136</v>
      </c>
      <c r="AR2593" s="87"/>
      <c r="AS2593" s="87"/>
      <c r="AT2593" s="87"/>
      <c r="AU2593" s="87"/>
      <c r="AV2593" s="92" t="str">
        <f>HYPERLINK("https://pbs.twimg.com/media/F6OufQoWYAAZRli.jpg")</f>
        <v>https://pbs.twimg.com/media/F6OufQoWYAAZRli.jpg</v>
      </c>
      <c r="AW2593" s="93" t="s">
        <v>20754</v>
      </c>
      <c r="AX2593" s="93" t="s">
        <v>20754</v>
      </c>
      <c r="AY2593" s="87"/>
      <c r="AZ2593" s="93" t="s">
        <v>22668</v>
      </c>
      <c r="BA2593" s="93" t="s">
        <v>22668</v>
      </c>
      <c r="BB2593" s="93" t="s">
        <v>22668</v>
      </c>
      <c r="BC2593" s="93" t="s">
        <v>20754</v>
      </c>
      <c r="BD2593" s="93" t="s">
        <v>23269</v>
      </c>
      <c r="BE2593" s="87"/>
      <c r="BF2593" s="87"/>
      <c r="BG2593" s="87"/>
      <c r="BH2593" s="87"/>
      <c r="BI2593" s="87"/>
    </row>
    <row r="2594" spans="1:61" x14ac:dyDescent="0.25">
      <c r="A2594" s="63" t="s">
        <v>1058</v>
      </c>
      <c r="B2594" s="63" t="s">
        <v>1058</v>
      </c>
      <c r="C2594" s="64"/>
      <c r="D2594" s="65"/>
      <c r="E2594" s="66"/>
      <c r="F2594" s="67"/>
      <c r="G2594" s="64"/>
      <c r="H2594" s="68"/>
      <c r="I2594" s="69"/>
      <c r="J2594" s="69"/>
      <c r="K2594" s="32"/>
      <c r="L2594" s="76">
        <v>2594</v>
      </c>
      <c r="M2594" s="76"/>
      <c r="N2594" s="71"/>
      <c r="O2594" s="87" t="s">
        <v>179</v>
      </c>
      <c r="P2594" s="90">
        <v>45185.983194444445</v>
      </c>
      <c r="Q2594" s="87" t="s">
        <v>4311</v>
      </c>
      <c r="R2594" s="87">
        <v>0</v>
      </c>
      <c r="S2594" s="87">
        <v>1</v>
      </c>
      <c r="T2594" s="87">
        <v>0</v>
      </c>
      <c r="U2594" s="87">
        <v>0</v>
      </c>
      <c r="V2594" s="87">
        <v>66</v>
      </c>
      <c r="W2594" s="93" t="s">
        <v>7424</v>
      </c>
      <c r="X2594" s="87"/>
      <c r="Y2594" s="87"/>
      <c r="Z2594" s="87"/>
      <c r="AA2594" s="87" t="s">
        <v>10325</v>
      </c>
      <c r="AB2594" s="87" t="s">
        <v>11448</v>
      </c>
      <c r="AC2594" s="93" t="s">
        <v>11457</v>
      </c>
      <c r="AD2594" s="87" t="s">
        <v>11519</v>
      </c>
      <c r="AE2594" s="92" t="str">
        <f>HYPERLINK("https://twitter.com/serraempauta/status/1703190979983843702")</f>
        <v>https://twitter.com/serraempauta/status/1703190979983843702</v>
      </c>
      <c r="AF2594" s="90">
        <v>45185.983194444445</v>
      </c>
      <c r="AG2594" s="99">
        <v>45185</v>
      </c>
      <c r="AH2594" s="93" t="s">
        <v>13843</v>
      </c>
      <c r="AI2594" s="87" t="b">
        <v>0</v>
      </c>
      <c r="AJ2594" s="87"/>
      <c r="AK2594" s="87"/>
      <c r="AL2594" s="87"/>
      <c r="AM2594" s="87"/>
      <c r="AN2594" s="87"/>
      <c r="AO2594" s="87"/>
      <c r="AP2594" s="87"/>
      <c r="AQ2594" s="87" t="s">
        <v>17137</v>
      </c>
      <c r="AR2594" s="87"/>
      <c r="AS2594" s="87"/>
      <c r="AT2594" s="87"/>
      <c r="AU2594" s="87"/>
      <c r="AV2594" s="92" t="str">
        <f>HYPERLINK("https://pbs.twimg.com/media/F6LzKlUWIAAaqUZ.jpg")</f>
        <v>https://pbs.twimg.com/media/F6LzKlUWIAAaqUZ.jpg</v>
      </c>
      <c r="AW2594" s="93" t="s">
        <v>20755</v>
      </c>
      <c r="AX2594" s="93" t="s">
        <v>20755</v>
      </c>
      <c r="AY2594" s="87"/>
      <c r="AZ2594" s="93" t="s">
        <v>22668</v>
      </c>
      <c r="BA2594" s="93" t="s">
        <v>22668</v>
      </c>
      <c r="BB2594" s="93" t="s">
        <v>22668</v>
      </c>
      <c r="BC2594" s="93" t="s">
        <v>20755</v>
      </c>
      <c r="BD2594" s="93" t="s">
        <v>23269</v>
      </c>
      <c r="BE2594" s="87"/>
      <c r="BF2594" s="87"/>
      <c r="BG2594" s="87"/>
      <c r="BH2594" s="87"/>
      <c r="BI2594" s="87"/>
    </row>
    <row r="2595" spans="1:61" x14ac:dyDescent="0.25">
      <c r="A2595" s="63" t="s">
        <v>1058</v>
      </c>
      <c r="B2595" s="63" t="s">
        <v>1058</v>
      </c>
      <c r="C2595" s="64"/>
      <c r="D2595" s="65"/>
      <c r="E2595" s="66"/>
      <c r="F2595" s="67"/>
      <c r="G2595" s="64"/>
      <c r="H2595" s="68"/>
      <c r="I2595" s="69"/>
      <c r="J2595" s="69"/>
      <c r="K2595" s="32"/>
      <c r="L2595" s="76">
        <v>2595</v>
      </c>
      <c r="M2595" s="76"/>
      <c r="N2595" s="71"/>
      <c r="O2595" s="87" t="s">
        <v>179</v>
      </c>
      <c r="P2595" s="90">
        <v>45183.838842592595</v>
      </c>
      <c r="Q2595" s="87" t="s">
        <v>4312</v>
      </c>
      <c r="R2595" s="87">
        <v>0</v>
      </c>
      <c r="S2595" s="87">
        <v>0</v>
      </c>
      <c r="T2595" s="87">
        <v>0</v>
      </c>
      <c r="U2595" s="87">
        <v>0</v>
      </c>
      <c r="V2595" s="87">
        <v>45</v>
      </c>
      <c r="W2595" s="93" t="s">
        <v>7424</v>
      </c>
      <c r="X2595" s="87"/>
      <c r="Y2595" s="87"/>
      <c r="Z2595" s="87"/>
      <c r="AA2595" s="87" t="s">
        <v>10326</v>
      </c>
      <c r="AB2595" s="87" t="s">
        <v>11448</v>
      </c>
      <c r="AC2595" s="93" t="s">
        <v>11457</v>
      </c>
      <c r="AD2595" s="87" t="s">
        <v>11519</v>
      </c>
      <c r="AE2595" s="92" t="str">
        <f>HYPERLINK("https://twitter.com/serraempauta/status/1702413895078473782")</f>
        <v>https://twitter.com/serraempauta/status/1702413895078473782</v>
      </c>
      <c r="AF2595" s="90">
        <v>45183.838842592595</v>
      </c>
      <c r="AG2595" s="99">
        <v>45183</v>
      </c>
      <c r="AH2595" s="93" t="s">
        <v>13844</v>
      </c>
      <c r="AI2595" s="87" t="b">
        <v>0</v>
      </c>
      <c r="AJ2595" s="87"/>
      <c r="AK2595" s="87"/>
      <c r="AL2595" s="87"/>
      <c r="AM2595" s="87"/>
      <c r="AN2595" s="87"/>
      <c r="AO2595" s="87"/>
      <c r="AP2595" s="87"/>
      <c r="AQ2595" s="87" t="s">
        <v>17138</v>
      </c>
      <c r="AR2595" s="87"/>
      <c r="AS2595" s="87"/>
      <c r="AT2595" s="87"/>
      <c r="AU2595" s="87"/>
      <c r="AV2595" s="92" t="str">
        <f>HYPERLINK("https://pbs.twimg.com/media/F6AwZRNWUAApx77.jpg")</f>
        <v>https://pbs.twimg.com/media/F6AwZRNWUAApx77.jpg</v>
      </c>
      <c r="AW2595" s="93" t="s">
        <v>20756</v>
      </c>
      <c r="AX2595" s="93" t="s">
        <v>20756</v>
      </c>
      <c r="AY2595" s="87"/>
      <c r="AZ2595" s="93" t="s">
        <v>22668</v>
      </c>
      <c r="BA2595" s="93" t="s">
        <v>22668</v>
      </c>
      <c r="BB2595" s="93" t="s">
        <v>22668</v>
      </c>
      <c r="BC2595" s="93" t="s">
        <v>20756</v>
      </c>
      <c r="BD2595" s="93" t="s">
        <v>23269</v>
      </c>
      <c r="BE2595" s="87"/>
      <c r="BF2595" s="87"/>
      <c r="BG2595" s="87"/>
      <c r="BH2595" s="87"/>
      <c r="BI2595" s="87"/>
    </row>
    <row r="2596" spans="1:61" x14ac:dyDescent="0.25">
      <c r="A2596" s="63" t="s">
        <v>1058</v>
      </c>
      <c r="B2596" s="63" t="s">
        <v>1058</v>
      </c>
      <c r="C2596" s="64"/>
      <c r="D2596" s="65"/>
      <c r="E2596" s="66"/>
      <c r="F2596" s="67"/>
      <c r="G2596" s="64"/>
      <c r="H2596" s="68"/>
      <c r="I2596" s="69"/>
      <c r="J2596" s="69"/>
      <c r="K2596" s="32"/>
      <c r="L2596" s="76">
        <v>2596</v>
      </c>
      <c r="M2596" s="76"/>
      <c r="N2596" s="71"/>
      <c r="O2596" s="87" t="s">
        <v>179</v>
      </c>
      <c r="P2596" s="90">
        <v>45182.914317129631</v>
      </c>
      <c r="Q2596" s="87" t="s">
        <v>4313</v>
      </c>
      <c r="R2596" s="87">
        <v>0</v>
      </c>
      <c r="S2596" s="87">
        <v>0</v>
      </c>
      <c r="T2596" s="87">
        <v>0</v>
      </c>
      <c r="U2596" s="87">
        <v>0</v>
      </c>
      <c r="V2596" s="87">
        <v>377</v>
      </c>
      <c r="W2596" s="93" t="s">
        <v>7424</v>
      </c>
      <c r="X2596" s="87"/>
      <c r="Y2596" s="87"/>
      <c r="Z2596" s="87"/>
      <c r="AA2596" s="87" t="s">
        <v>10327</v>
      </c>
      <c r="AB2596" s="87" t="s">
        <v>11447</v>
      </c>
      <c r="AC2596" s="93" t="s">
        <v>11457</v>
      </c>
      <c r="AD2596" s="87" t="s">
        <v>11519</v>
      </c>
      <c r="AE2596" s="92" t="str">
        <f>HYPERLINK("https://twitter.com/serraempauta/status/1702078859540103428")</f>
        <v>https://twitter.com/serraempauta/status/1702078859540103428</v>
      </c>
      <c r="AF2596" s="90">
        <v>45182.914317129631</v>
      </c>
      <c r="AG2596" s="99">
        <v>45182</v>
      </c>
      <c r="AH2596" s="93" t="s">
        <v>13845</v>
      </c>
      <c r="AI2596" s="87" t="b">
        <v>0</v>
      </c>
      <c r="AJ2596" s="87"/>
      <c r="AK2596" s="87"/>
      <c r="AL2596" s="87"/>
      <c r="AM2596" s="87"/>
      <c r="AN2596" s="87"/>
      <c r="AO2596" s="87"/>
      <c r="AP2596" s="87"/>
      <c r="AQ2596" s="87" t="s">
        <v>17139</v>
      </c>
      <c r="AR2596" s="87">
        <v>6200</v>
      </c>
      <c r="AS2596" s="87"/>
      <c r="AT2596" s="87"/>
      <c r="AU2596" s="87"/>
      <c r="AV2596" s="92" t="str">
        <f>HYPERLINK("https://pbs.twimg.com/ext_tw_video_thumb/1702078671610105856/pu/img/BVgh_IzwX2XGYaOT.jpg")</f>
        <v>https://pbs.twimg.com/ext_tw_video_thumb/1702078671610105856/pu/img/BVgh_IzwX2XGYaOT.jpg</v>
      </c>
      <c r="AW2596" s="93" t="s">
        <v>20757</v>
      </c>
      <c r="AX2596" s="93" t="s">
        <v>20757</v>
      </c>
      <c r="AY2596" s="87"/>
      <c r="AZ2596" s="93" t="s">
        <v>22668</v>
      </c>
      <c r="BA2596" s="93" t="s">
        <v>22668</v>
      </c>
      <c r="BB2596" s="93" t="s">
        <v>22668</v>
      </c>
      <c r="BC2596" s="93" t="s">
        <v>20757</v>
      </c>
      <c r="BD2596" s="93" t="s">
        <v>23269</v>
      </c>
      <c r="BE2596" s="87"/>
      <c r="BF2596" s="87"/>
      <c r="BG2596" s="87"/>
      <c r="BH2596" s="87"/>
      <c r="BI2596" s="87"/>
    </row>
    <row r="2597" spans="1:61" x14ac:dyDescent="0.25">
      <c r="A2597" s="63" t="s">
        <v>1058</v>
      </c>
      <c r="B2597" s="63" t="s">
        <v>1058</v>
      </c>
      <c r="C2597" s="64"/>
      <c r="D2597" s="65"/>
      <c r="E2597" s="66"/>
      <c r="F2597" s="67"/>
      <c r="G2597" s="64"/>
      <c r="H2597" s="68"/>
      <c r="I2597" s="69"/>
      <c r="J2597" s="69"/>
      <c r="K2597" s="32"/>
      <c r="L2597" s="76">
        <v>2597</v>
      </c>
      <c r="M2597" s="76"/>
      <c r="N2597" s="71"/>
      <c r="O2597" s="87" t="s">
        <v>179</v>
      </c>
      <c r="P2597" s="90">
        <v>45179.567835648151</v>
      </c>
      <c r="Q2597" s="87" t="s">
        <v>4314</v>
      </c>
      <c r="R2597" s="87">
        <v>0</v>
      </c>
      <c r="S2597" s="87">
        <v>0</v>
      </c>
      <c r="T2597" s="87">
        <v>0</v>
      </c>
      <c r="U2597" s="87">
        <v>0</v>
      </c>
      <c r="V2597" s="87">
        <v>45</v>
      </c>
      <c r="W2597" s="93" t="s">
        <v>7424</v>
      </c>
      <c r="X2597" s="87"/>
      <c r="Y2597" s="87"/>
      <c r="Z2597" s="87"/>
      <c r="AA2597" s="87" t="s">
        <v>10328</v>
      </c>
      <c r="AB2597" s="87" t="s">
        <v>11448</v>
      </c>
      <c r="AC2597" s="93" t="s">
        <v>11457</v>
      </c>
      <c r="AD2597" s="87" t="s">
        <v>11519</v>
      </c>
      <c r="AE2597" s="92" t="str">
        <f>HYPERLINK("https://twitter.com/serraempauta/status/1700866132729647591")</f>
        <v>https://twitter.com/serraempauta/status/1700866132729647591</v>
      </c>
      <c r="AF2597" s="90">
        <v>45179.567835648151</v>
      </c>
      <c r="AG2597" s="99">
        <v>45179</v>
      </c>
      <c r="AH2597" s="93" t="s">
        <v>13846</v>
      </c>
      <c r="AI2597" s="87" t="b">
        <v>0</v>
      </c>
      <c r="AJ2597" s="87"/>
      <c r="AK2597" s="87"/>
      <c r="AL2597" s="87"/>
      <c r="AM2597" s="87"/>
      <c r="AN2597" s="87"/>
      <c r="AO2597" s="87"/>
      <c r="AP2597" s="87"/>
      <c r="AQ2597" s="87" t="s">
        <v>17140</v>
      </c>
      <c r="AR2597" s="87"/>
      <c r="AS2597" s="87"/>
      <c r="AT2597" s="87"/>
      <c r="AU2597" s="87"/>
      <c r="AV2597" s="92" t="str">
        <f>HYPERLINK("https://pbs.twimg.com/media/F5qwV9VXQAAc0rW.jpg")</f>
        <v>https://pbs.twimg.com/media/F5qwV9VXQAAc0rW.jpg</v>
      </c>
      <c r="AW2597" s="93" t="s">
        <v>20758</v>
      </c>
      <c r="AX2597" s="93" t="s">
        <v>20758</v>
      </c>
      <c r="AY2597" s="87"/>
      <c r="AZ2597" s="93" t="s">
        <v>22668</v>
      </c>
      <c r="BA2597" s="93" t="s">
        <v>22668</v>
      </c>
      <c r="BB2597" s="93" t="s">
        <v>22668</v>
      </c>
      <c r="BC2597" s="93" t="s">
        <v>20758</v>
      </c>
      <c r="BD2597" s="93" t="s">
        <v>23269</v>
      </c>
      <c r="BE2597" s="87"/>
      <c r="BF2597" s="87"/>
      <c r="BG2597" s="87"/>
      <c r="BH2597" s="87"/>
      <c r="BI2597" s="87"/>
    </row>
    <row r="2598" spans="1:61" x14ac:dyDescent="0.25">
      <c r="A2598" s="63" t="s">
        <v>1058</v>
      </c>
      <c r="B2598" s="63" t="s">
        <v>1058</v>
      </c>
      <c r="C2598" s="64"/>
      <c r="D2598" s="65"/>
      <c r="E2598" s="66"/>
      <c r="F2598" s="67"/>
      <c r="G2598" s="64"/>
      <c r="H2598" s="68"/>
      <c r="I2598" s="69"/>
      <c r="J2598" s="69"/>
      <c r="K2598" s="32"/>
      <c r="L2598" s="76">
        <v>2598</v>
      </c>
      <c r="M2598" s="76"/>
      <c r="N2598" s="71"/>
      <c r="O2598" s="87" t="s">
        <v>179</v>
      </c>
      <c r="P2598" s="90">
        <v>45176.131469907406</v>
      </c>
      <c r="Q2598" s="87" t="s">
        <v>4315</v>
      </c>
      <c r="R2598" s="87">
        <v>0</v>
      </c>
      <c r="S2598" s="87">
        <v>0</v>
      </c>
      <c r="T2598" s="87">
        <v>0</v>
      </c>
      <c r="U2598" s="87">
        <v>0</v>
      </c>
      <c r="V2598" s="87">
        <v>64</v>
      </c>
      <c r="W2598" s="93" t="s">
        <v>7424</v>
      </c>
      <c r="X2598" s="87"/>
      <c r="Y2598" s="87"/>
      <c r="Z2598" s="87"/>
      <c r="AA2598" s="87" t="s">
        <v>10329</v>
      </c>
      <c r="AB2598" s="87" t="s">
        <v>11448</v>
      </c>
      <c r="AC2598" s="93" t="s">
        <v>11457</v>
      </c>
      <c r="AD2598" s="87" t="s">
        <v>11519</v>
      </c>
      <c r="AE2598" s="92" t="str">
        <f>HYPERLINK("https://twitter.com/serraempauta/status/1699620836284518444")</f>
        <v>https://twitter.com/serraempauta/status/1699620836284518444</v>
      </c>
      <c r="AF2598" s="90">
        <v>45176.131469907406</v>
      </c>
      <c r="AG2598" s="99">
        <v>45176</v>
      </c>
      <c r="AH2598" s="93" t="s">
        <v>13847</v>
      </c>
      <c r="AI2598" s="87" t="b">
        <v>0</v>
      </c>
      <c r="AJ2598" s="87"/>
      <c r="AK2598" s="87"/>
      <c r="AL2598" s="87"/>
      <c r="AM2598" s="87"/>
      <c r="AN2598" s="87"/>
      <c r="AO2598" s="87"/>
      <c r="AP2598" s="87"/>
      <c r="AQ2598" s="87" t="s">
        <v>17141</v>
      </c>
      <c r="AR2598" s="87"/>
      <c r="AS2598" s="87"/>
      <c r="AT2598" s="87"/>
      <c r="AU2598" s="87"/>
      <c r="AV2598" s="92" t="str">
        <f>HYPERLINK("https://pbs.twimg.com/media/F5ZEGIpWcAA3o34.jpg")</f>
        <v>https://pbs.twimg.com/media/F5ZEGIpWcAA3o34.jpg</v>
      </c>
      <c r="AW2598" s="93" t="s">
        <v>20759</v>
      </c>
      <c r="AX2598" s="93" t="s">
        <v>20759</v>
      </c>
      <c r="AY2598" s="87"/>
      <c r="AZ2598" s="93" t="s">
        <v>22668</v>
      </c>
      <c r="BA2598" s="93" t="s">
        <v>22668</v>
      </c>
      <c r="BB2598" s="93" t="s">
        <v>22668</v>
      </c>
      <c r="BC2598" s="93" t="s">
        <v>20759</v>
      </c>
      <c r="BD2598" s="93" t="s">
        <v>23269</v>
      </c>
      <c r="BE2598" s="87"/>
      <c r="BF2598" s="87"/>
      <c r="BG2598" s="87"/>
      <c r="BH2598" s="87"/>
      <c r="BI2598" s="87"/>
    </row>
    <row r="2599" spans="1:61" x14ac:dyDescent="0.25">
      <c r="A2599" s="63" t="s">
        <v>1058</v>
      </c>
      <c r="B2599" s="63" t="s">
        <v>1058</v>
      </c>
      <c r="C2599" s="64"/>
      <c r="D2599" s="65"/>
      <c r="E2599" s="66"/>
      <c r="F2599" s="67"/>
      <c r="G2599" s="64"/>
      <c r="H2599" s="68"/>
      <c r="I2599" s="69"/>
      <c r="J2599" s="69"/>
      <c r="K2599" s="32"/>
      <c r="L2599" s="76">
        <v>2599</v>
      </c>
      <c r="M2599" s="76"/>
      <c r="N2599" s="71"/>
      <c r="O2599" s="87" t="s">
        <v>179</v>
      </c>
      <c r="P2599" s="90">
        <v>45176.079074074078</v>
      </c>
      <c r="Q2599" s="87" t="s">
        <v>4316</v>
      </c>
      <c r="R2599" s="87">
        <v>0</v>
      </c>
      <c r="S2599" s="87">
        <v>0</v>
      </c>
      <c r="T2599" s="87">
        <v>0</v>
      </c>
      <c r="U2599" s="87">
        <v>0</v>
      </c>
      <c r="V2599" s="87">
        <v>62</v>
      </c>
      <c r="W2599" s="93" t="s">
        <v>7424</v>
      </c>
      <c r="X2599" s="87"/>
      <c r="Y2599" s="87"/>
      <c r="Z2599" s="87"/>
      <c r="AA2599" s="87" t="s">
        <v>10330</v>
      </c>
      <c r="AB2599" s="87" t="s">
        <v>11448</v>
      </c>
      <c r="AC2599" s="93" t="s">
        <v>11457</v>
      </c>
      <c r="AD2599" s="87" t="s">
        <v>11519</v>
      </c>
      <c r="AE2599" s="92" t="str">
        <f>HYPERLINK("https://twitter.com/serraempauta/status/1699601849802698937")</f>
        <v>https://twitter.com/serraempauta/status/1699601849802698937</v>
      </c>
      <c r="AF2599" s="90">
        <v>45176.079074074078</v>
      </c>
      <c r="AG2599" s="99">
        <v>45176</v>
      </c>
      <c r="AH2599" s="93" t="s">
        <v>13848</v>
      </c>
      <c r="AI2599" s="87" t="b">
        <v>0</v>
      </c>
      <c r="AJ2599" s="87"/>
      <c r="AK2599" s="87"/>
      <c r="AL2599" s="87"/>
      <c r="AM2599" s="87"/>
      <c r="AN2599" s="87"/>
      <c r="AO2599" s="87"/>
      <c r="AP2599" s="87"/>
      <c r="AQ2599" s="87" t="s">
        <v>17142</v>
      </c>
      <c r="AR2599" s="87"/>
      <c r="AS2599" s="87"/>
      <c r="AT2599" s="87"/>
      <c r="AU2599" s="87"/>
      <c r="AV2599" s="92" t="str">
        <f>HYPERLINK("https://pbs.twimg.com/media/F5Yy2DCWgAAfySj.jpg")</f>
        <v>https://pbs.twimg.com/media/F5Yy2DCWgAAfySj.jpg</v>
      </c>
      <c r="AW2599" s="93" t="s">
        <v>20760</v>
      </c>
      <c r="AX2599" s="93" t="s">
        <v>20760</v>
      </c>
      <c r="AY2599" s="87"/>
      <c r="AZ2599" s="93" t="s">
        <v>22668</v>
      </c>
      <c r="BA2599" s="93" t="s">
        <v>22668</v>
      </c>
      <c r="BB2599" s="93" t="s">
        <v>22668</v>
      </c>
      <c r="BC2599" s="93" t="s">
        <v>20760</v>
      </c>
      <c r="BD2599" s="93" t="s">
        <v>23269</v>
      </c>
      <c r="BE2599" s="87"/>
      <c r="BF2599" s="87"/>
      <c r="BG2599" s="87"/>
      <c r="BH2599" s="87"/>
      <c r="BI2599" s="87"/>
    </row>
    <row r="2600" spans="1:61" x14ac:dyDescent="0.25">
      <c r="A2600" s="63" t="s">
        <v>1058</v>
      </c>
      <c r="B2600" s="63" t="s">
        <v>1058</v>
      </c>
      <c r="C2600" s="64"/>
      <c r="D2600" s="65"/>
      <c r="E2600" s="66"/>
      <c r="F2600" s="67"/>
      <c r="G2600" s="64"/>
      <c r="H2600" s="68"/>
      <c r="I2600" s="69"/>
      <c r="J2600" s="69"/>
      <c r="K2600" s="32"/>
      <c r="L2600" s="76">
        <v>2600</v>
      </c>
      <c r="M2600" s="76"/>
      <c r="N2600" s="71"/>
      <c r="O2600" s="87" t="s">
        <v>179</v>
      </c>
      <c r="P2600" s="90">
        <v>45175.853425925925</v>
      </c>
      <c r="Q2600" s="87" t="s">
        <v>4317</v>
      </c>
      <c r="R2600" s="87">
        <v>0</v>
      </c>
      <c r="S2600" s="87">
        <v>0</v>
      </c>
      <c r="T2600" s="87">
        <v>0</v>
      </c>
      <c r="U2600" s="87">
        <v>0</v>
      </c>
      <c r="V2600" s="87">
        <v>41</v>
      </c>
      <c r="W2600" s="93" t="s">
        <v>7424</v>
      </c>
      <c r="X2600" s="87"/>
      <c r="Y2600" s="87"/>
      <c r="Z2600" s="87"/>
      <c r="AA2600" s="87" t="s">
        <v>10331</v>
      </c>
      <c r="AB2600" s="87" t="s">
        <v>11448</v>
      </c>
      <c r="AC2600" s="93" t="s">
        <v>11457</v>
      </c>
      <c r="AD2600" s="87" t="s">
        <v>11519</v>
      </c>
      <c r="AE2600" s="92" t="str">
        <f>HYPERLINK("https://twitter.com/serraempauta/status/1699520075873554779")</f>
        <v>https://twitter.com/serraempauta/status/1699520075873554779</v>
      </c>
      <c r="AF2600" s="90">
        <v>45175.853425925925</v>
      </c>
      <c r="AG2600" s="99">
        <v>45175</v>
      </c>
      <c r="AH2600" s="93" t="s">
        <v>13849</v>
      </c>
      <c r="AI2600" s="87" t="b">
        <v>0</v>
      </c>
      <c r="AJ2600" s="87"/>
      <c r="AK2600" s="87"/>
      <c r="AL2600" s="87"/>
      <c r="AM2600" s="87"/>
      <c r="AN2600" s="87"/>
      <c r="AO2600" s="87"/>
      <c r="AP2600" s="87"/>
      <c r="AQ2600" s="87" t="s">
        <v>17143</v>
      </c>
      <c r="AR2600" s="87"/>
      <c r="AS2600" s="87"/>
      <c r="AT2600" s="87"/>
      <c r="AU2600" s="87"/>
      <c r="AV2600" s="92" t="str">
        <f>HYPERLINK("https://pbs.twimg.com/media/F5XofhNWcAE6Iv0.jpg")</f>
        <v>https://pbs.twimg.com/media/F5XofhNWcAE6Iv0.jpg</v>
      </c>
      <c r="AW2600" s="93" t="s">
        <v>20761</v>
      </c>
      <c r="AX2600" s="93" t="s">
        <v>20761</v>
      </c>
      <c r="AY2600" s="87"/>
      <c r="AZ2600" s="93" t="s">
        <v>22668</v>
      </c>
      <c r="BA2600" s="93" t="s">
        <v>22668</v>
      </c>
      <c r="BB2600" s="93" t="s">
        <v>22668</v>
      </c>
      <c r="BC2600" s="93" t="s">
        <v>20761</v>
      </c>
      <c r="BD2600" s="93" t="s">
        <v>23269</v>
      </c>
      <c r="BE2600" s="87"/>
      <c r="BF2600" s="87"/>
      <c r="BG2600" s="87"/>
      <c r="BH2600" s="87"/>
      <c r="BI2600" s="87"/>
    </row>
    <row r="2601" spans="1:61" x14ac:dyDescent="0.25">
      <c r="A2601" s="63" t="s">
        <v>1058</v>
      </c>
      <c r="B2601" s="63" t="s">
        <v>1058</v>
      </c>
      <c r="C2601" s="64"/>
      <c r="D2601" s="65"/>
      <c r="E2601" s="66"/>
      <c r="F2601" s="67"/>
      <c r="G2601" s="64"/>
      <c r="H2601" s="68"/>
      <c r="I2601" s="69"/>
      <c r="J2601" s="69"/>
      <c r="K2601" s="32"/>
      <c r="L2601" s="76">
        <v>2601</v>
      </c>
      <c r="M2601" s="76"/>
      <c r="N2601" s="71"/>
      <c r="O2601" s="87" t="s">
        <v>179</v>
      </c>
      <c r="P2601" s="90">
        <v>45175.786851851852</v>
      </c>
      <c r="Q2601" s="87" t="s">
        <v>4318</v>
      </c>
      <c r="R2601" s="87">
        <v>0</v>
      </c>
      <c r="S2601" s="87">
        <v>1</v>
      </c>
      <c r="T2601" s="87">
        <v>0</v>
      </c>
      <c r="U2601" s="87">
        <v>1</v>
      </c>
      <c r="V2601" s="87">
        <v>143</v>
      </c>
      <c r="W2601" s="93" t="s">
        <v>7424</v>
      </c>
      <c r="X2601" s="87"/>
      <c r="Y2601" s="87"/>
      <c r="Z2601" s="87"/>
      <c r="AA2601" s="87" t="s">
        <v>10332</v>
      </c>
      <c r="AB2601" s="87" t="s">
        <v>11448</v>
      </c>
      <c r="AC2601" s="93" t="s">
        <v>11457</v>
      </c>
      <c r="AD2601" s="87" t="s">
        <v>11519</v>
      </c>
      <c r="AE2601" s="92" t="str">
        <f>HYPERLINK("https://twitter.com/serraempauta/status/1699495950740333018")</f>
        <v>https://twitter.com/serraempauta/status/1699495950740333018</v>
      </c>
      <c r="AF2601" s="90">
        <v>45175.786851851852</v>
      </c>
      <c r="AG2601" s="99">
        <v>45175</v>
      </c>
      <c r="AH2601" s="93" t="s">
        <v>13850</v>
      </c>
      <c r="AI2601" s="87" t="b">
        <v>0</v>
      </c>
      <c r="AJ2601" s="87"/>
      <c r="AK2601" s="87"/>
      <c r="AL2601" s="87"/>
      <c r="AM2601" s="87"/>
      <c r="AN2601" s="87"/>
      <c r="AO2601" s="87"/>
      <c r="AP2601" s="87"/>
      <c r="AQ2601" s="87" t="s">
        <v>17144</v>
      </c>
      <c r="AR2601" s="87"/>
      <c r="AS2601" s="87"/>
      <c r="AT2601" s="87"/>
      <c r="AU2601" s="87"/>
      <c r="AV2601" s="92" t="str">
        <f>HYPERLINK("https://pbs.twimg.com/media/F5XSjiZXQAAOizf.jpg")</f>
        <v>https://pbs.twimg.com/media/F5XSjiZXQAAOizf.jpg</v>
      </c>
      <c r="AW2601" s="93" t="s">
        <v>20762</v>
      </c>
      <c r="AX2601" s="93" t="s">
        <v>20762</v>
      </c>
      <c r="AY2601" s="87"/>
      <c r="AZ2601" s="93" t="s">
        <v>22668</v>
      </c>
      <c r="BA2601" s="93" t="s">
        <v>22668</v>
      </c>
      <c r="BB2601" s="93" t="s">
        <v>22668</v>
      </c>
      <c r="BC2601" s="93" t="s">
        <v>20762</v>
      </c>
      <c r="BD2601" s="93" t="s">
        <v>23269</v>
      </c>
      <c r="BE2601" s="87"/>
      <c r="BF2601" s="87"/>
      <c r="BG2601" s="87"/>
      <c r="BH2601" s="87"/>
      <c r="BI2601" s="87"/>
    </row>
    <row r="2602" spans="1:61" x14ac:dyDescent="0.25">
      <c r="A2602" s="63" t="s">
        <v>1058</v>
      </c>
      <c r="B2602" s="63" t="s">
        <v>1058</v>
      </c>
      <c r="C2602" s="64"/>
      <c r="D2602" s="65"/>
      <c r="E2602" s="66"/>
      <c r="F2602" s="67"/>
      <c r="G2602" s="64"/>
      <c r="H2602" s="68"/>
      <c r="I2602" s="69"/>
      <c r="J2602" s="69"/>
      <c r="K2602" s="32"/>
      <c r="L2602" s="76">
        <v>2602</v>
      </c>
      <c r="M2602" s="76"/>
      <c r="N2602" s="71"/>
      <c r="O2602" s="87" t="s">
        <v>179</v>
      </c>
      <c r="P2602" s="90">
        <v>45169.72011574074</v>
      </c>
      <c r="Q2602" s="87" t="s">
        <v>4319</v>
      </c>
      <c r="R2602" s="87">
        <v>0</v>
      </c>
      <c r="S2602" s="87">
        <v>0</v>
      </c>
      <c r="T2602" s="87">
        <v>0</v>
      </c>
      <c r="U2602" s="87">
        <v>0</v>
      </c>
      <c r="V2602" s="87">
        <v>43</v>
      </c>
      <c r="W2602" s="93" t="s">
        <v>7424</v>
      </c>
      <c r="X2602" s="87"/>
      <c r="Y2602" s="87"/>
      <c r="Z2602" s="87"/>
      <c r="AA2602" s="87" t="s">
        <v>10333</v>
      </c>
      <c r="AB2602" s="87" t="s">
        <v>11448</v>
      </c>
      <c r="AC2602" s="93" t="s">
        <v>11457</v>
      </c>
      <c r="AD2602" s="87" t="s">
        <v>11519</v>
      </c>
      <c r="AE2602" s="92" t="str">
        <f>HYPERLINK("https://twitter.com/serraempauta/status/1697297439156208009")</f>
        <v>https://twitter.com/serraempauta/status/1697297439156208009</v>
      </c>
      <c r="AF2602" s="90">
        <v>45169.72011574074</v>
      </c>
      <c r="AG2602" s="99">
        <v>45169</v>
      </c>
      <c r="AH2602" s="93" t="s">
        <v>13851</v>
      </c>
      <c r="AI2602" s="87" t="b">
        <v>0</v>
      </c>
      <c r="AJ2602" s="87"/>
      <c r="AK2602" s="87"/>
      <c r="AL2602" s="87"/>
      <c r="AM2602" s="87"/>
      <c r="AN2602" s="87"/>
      <c r="AO2602" s="87"/>
      <c r="AP2602" s="87"/>
      <c r="AQ2602" s="87" t="s">
        <v>17145</v>
      </c>
      <c r="AR2602" s="87"/>
      <c r="AS2602" s="87"/>
      <c r="AT2602" s="87"/>
      <c r="AU2602" s="87"/>
      <c r="AV2602" s="92" t="str">
        <f>HYPERLINK("https://pbs.twimg.com/media/F44DBJpWMAAoZwO.jpg")</f>
        <v>https://pbs.twimg.com/media/F44DBJpWMAAoZwO.jpg</v>
      </c>
      <c r="AW2602" s="93" t="s">
        <v>20763</v>
      </c>
      <c r="AX2602" s="93" t="s">
        <v>20763</v>
      </c>
      <c r="AY2602" s="87"/>
      <c r="AZ2602" s="93" t="s">
        <v>22668</v>
      </c>
      <c r="BA2602" s="93" t="s">
        <v>22668</v>
      </c>
      <c r="BB2602" s="93" t="s">
        <v>22668</v>
      </c>
      <c r="BC2602" s="93" t="s">
        <v>20763</v>
      </c>
      <c r="BD2602" s="93" t="s">
        <v>23269</v>
      </c>
      <c r="BE2602" s="87"/>
      <c r="BF2602" s="87"/>
      <c r="BG2602" s="87"/>
      <c r="BH2602" s="87"/>
      <c r="BI2602" s="87"/>
    </row>
    <row r="2603" spans="1:61" x14ac:dyDescent="0.25">
      <c r="A2603" s="63" t="s">
        <v>1058</v>
      </c>
      <c r="B2603" s="63" t="s">
        <v>1058</v>
      </c>
      <c r="C2603" s="64"/>
      <c r="D2603" s="65"/>
      <c r="E2603" s="66"/>
      <c r="F2603" s="67"/>
      <c r="G2603" s="64"/>
      <c r="H2603" s="68"/>
      <c r="I2603" s="69"/>
      <c r="J2603" s="69"/>
      <c r="K2603" s="32"/>
      <c r="L2603" s="76">
        <v>2603</v>
      </c>
      <c r="M2603" s="76"/>
      <c r="N2603" s="71"/>
      <c r="O2603" s="87" t="s">
        <v>179</v>
      </c>
      <c r="P2603" s="90">
        <v>45169.574664351851</v>
      </c>
      <c r="Q2603" s="87" t="s">
        <v>4320</v>
      </c>
      <c r="R2603" s="87">
        <v>0</v>
      </c>
      <c r="S2603" s="87">
        <v>0</v>
      </c>
      <c r="T2603" s="87">
        <v>0</v>
      </c>
      <c r="U2603" s="87">
        <v>0</v>
      </c>
      <c r="V2603" s="87">
        <v>64</v>
      </c>
      <c r="W2603" s="93" t="s">
        <v>7424</v>
      </c>
      <c r="X2603" s="87"/>
      <c r="Y2603" s="87"/>
      <c r="Z2603" s="87"/>
      <c r="AA2603" s="87" t="s">
        <v>10334</v>
      </c>
      <c r="AB2603" s="87" t="s">
        <v>11448</v>
      </c>
      <c r="AC2603" s="93" t="s">
        <v>11457</v>
      </c>
      <c r="AD2603" s="87" t="s">
        <v>11519</v>
      </c>
      <c r="AE2603" s="92" t="str">
        <f>HYPERLINK("https://twitter.com/serraempauta/status/1697244730747199860")</f>
        <v>https://twitter.com/serraempauta/status/1697244730747199860</v>
      </c>
      <c r="AF2603" s="90">
        <v>45169.574664351851</v>
      </c>
      <c r="AG2603" s="99">
        <v>45169</v>
      </c>
      <c r="AH2603" s="93" t="s">
        <v>13852</v>
      </c>
      <c r="AI2603" s="87" t="b">
        <v>0</v>
      </c>
      <c r="AJ2603" s="87"/>
      <c r="AK2603" s="87"/>
      <c r="AL2603" s="87"/>
      <c r="AM2603" s="87"/>
      <c r="AN2603" s="87"/>
      <c r="AO2603" s="87"/>
      <c r="AP2603" s="87"/>
      <c r="AQ2603" s="87" t="s">
        <v>17146</v>
      </c>
      <c r="AR2603" s="87"/>
      <c r="AS2603" s="87"/>
      <c r="AT2603" s="87"/>
      <c r="AU2603" s="87"/>
      <c r="AV2603" s="92" t="str">
        <f>HYPERLINK("https://pbs.twimg.com/media/F43TFReXIAACe-F.jpg")</f>
        <v>https://pbs.twimg.com/media/F43TFReXIAACe-F.jpg</v>
      </c>
      <c r="AW2603" s="93" t="s">
        <v>20764</v>
      </c>
      <c r="AX2603" s="93" t="s">
        <v>20764</v>
      </c>
      <c r="AY2603" s="87"/>
      <c r="AZ2603" s="93" t="s">
        <v>22668</v>
      </c>
      <c r="BA2603" s="93" t="s">
        <v>22668</v>
      </c>
      <c r="BB2603" s="93" t="s">
        <v>22668</v>
      </c>
      <c r="BC2603" s="93" t="s">
        <v>20764</v>
      </c>
      <c r="BD2603" s="93" t="s">
        <v>23269</v>
      </c>
      <c r="BE2603" s="87"/>
      <c r="BF2603" s="87"/>
      <c r="BG2603" s="87"/>
      <c r="BH2603" s="87"/>
      <c r="BI2603" s="87"/>
    </row>
    <row r="2604" spans="1:61" x14ac:dyDescent="0.25">
      <c r="A2604" s="63" t="s">
        <v>1058</v>
      </c>
      <c r="B2604" s="63" t="s">
        <v>1058</v>
      </c>
      <c r="C2604" s="64"/>
      <c r="D2604" s="65"/>
      <c r="E2604" s="66"/>
      <c r="F2604" s="67"/>
      <c r="G2604" s="64"/>
      <c r="H2604" s="68"/>
      <c r="I2604" s="69"/>
      <c r="J2604" s="69"/>
      <c r="K2604" s="32"/>
      <c r="L2604" s="76">
        <v>2604</v>
      </c>
      <c r="M2604" s="76"/>
      <c r="N2604" s="71"/>
      <c r="O2604" s="87" t="s">
        <v>179</v>
      </c>
      <c r="P2604" s="90">
        <v>45160.957175925927</v>
      </c>
      <c r="Q2604" s="87" t="s">
        <v>4321</v>
      </c>
      <c r="R2604" s="87">
        <v>0</v>
      </c>
      <c r="S2604" s="87">
        <v>0</v>
      </c>
      <c r="T2604" s="87">
        <v>0</v>
      </c>
      <c r="U2604" s="87">
        <v>0</v>
      </c>
      <c r="V2604" s="87">
        <v>65</v>
      </c>
      <c r="W2604" s="93" t="s">
        <v>7424</v>
      </c>
      <c r="X2604" s="87"/>
      <c r="Y2604" s="87"/>
      <c r="Z2604" s="87"/>
      <c r="AA2604" s="87" t="s">
        <v>10335</v>
      </c>
      <c r="AB2604" s="87" t="s">
        <v>11448</v>
      </c>
      <c r="AC2604" s="93" t="s">
        <v>11457</v>
      </c>
      <c r="AD2604" s="87" t="s">
        <v>11519</v>
      </c>
      <c r="AE2604" s="92" t="str">
        <f>HYPERLINK("https://twitter.com/serraempauta/status/1694121857853649145")</f>
        <v>https://twitter.com/serraempauta/status/1694121857853649145</v>
      </c>
      <c r="AF2604" s="90">
        <v>45160.957175925927</v>
      </c>
      <c r="AG2604" s="99">
        <v>45160</v>
      </c>
      <c r="AH2604" s="93" t="s">
        <v>13853</v>
      </c>
      <c r="AI2604" s="87" t="b">
        <v>0</v>
      </c>
      <c r="AJ2604" s="87"/>
      <c r="AK2604" s="87"/>
      <c r="AL2604" s="87"/>
      <c r="AM2604" s="87"/>
      <c r="AN2604" s="87"/>
      <c r="AO2604" s="87"/>
      <c r="AP2604" s="87"/>
      <c r="AQ2604" s="87" t="s">
        <v>17147</v>
      </c>
      <c r="AR2604" s="87"/>
      <c r="AS2604" s="87"/>
      <c r="AT2604" s="87"/>
      <c r="AU2604" s="87"/>
      <c r="AV2604" s="92" t="str">
        <f>HYPERLINK("https://pbs.twimg.com/media/F4K61tYWIAILNJE.jpg")</f>
        <v>https://pbs.twimg.com/media/F4K61tYWIAILNJE.jpg</v>
      </c>
      <c r="AW2604" s="93" t="s">
        <v>20765</v>
      </c>
      <c r="AX2604" s="93" t="s">
        <v>20765</v>
      </c>
      <c r="AY2604" s="87"/>
      <c r="AZ2604" s="93" t="s">
        <v>22668</v>
      </c>
      <c r="BA2604" s="93" t="s">
        <v>22668</v>
      </c>
      <c r="BB2604" s="93" t="s">
        <v>22668</v>
      </c>
      <c r="BC2604" s="93" t="s">
        <v>20765</v>
      </c>
      <c r="BD2604" s="93" t="s">
        <v>23269</v>
      </c>
      <c r="BE2604" s="87"/>
      <c r="BF2604" s="87"/>
      <c r="BG2604" s="87"/>
      <c r="BH2604" s="87"/>
      <c r="BI2604" s="87"/>
    </row>
    <row r="2605" spans="1:61" x14ac:dyDescent="0.25">
      <c r="A2605" s="63" t="s">
        <v>1058</v>
      </c>
      <c r="B2605" s="63" t="s">
        <v>1058</v>
      </c>
      <c r="C2605" s="64"/>
      <c r="D2605" s="65"/>
      <c r="E2605" s="66"/>
      <c r="F2605" s="67"/>
      <c r="G2605" s="64"/>
      <c r="H2605" s="68"/>
      <c r="I2605" s="69"/>
      <c r="J2605" s="69"/>
      <c r="K2605" s="32"/>
      <c r="L2605" s="76">
        <v>2605</v>
      </c>
      <c r="M2605" s="76"/>
      <c r="N2605" s="71"/>
      <c r="O2605" s="87" t="s">
        <v>179</v>
      </c>
      <c r="P2605" s="90">
        <v>45160.8987037037</v>
      </c>
      <c r="Q2605" s="87" t="s">
        <v>4322</v>
      </c>
      <c r="R2605" s="87">
        <v>0</v>
      </c>
      <c r="S2605" s="87">
        <v>1</v>
      </c>
      <c r="T2605" s="87">
        <v>0</v>
      </c>
      <c r="U2605" s="87">
        <v>0</v>
      </c>
      <c r="V2605" s="87">
        <v>57</v>
      </c>
      <c r="W2605" s="93" t="s">
        <v>7424</v>
      </c>
      <c r="X2605" s="87"/>
      <c r="Y2605" s="87"/>
      <c r="Z2605" s="87"/>
      <c r="AA2605" s="87" t="s">
        <v>10336</v>
      </c>
      <c r="AB2605" s="87" t="s">
        <v>11448</v>
      </c>
      <c r="AC2605" s="93" t="s">
        <v>11457</v>
      </c>
      <c r="AD2605" s="87" t="s">
        <v>11519</v>
      </c>
      <c r="AE2605" s="92" t="str">
        <f>HYPERLINK("https://twitter.com/serraempauta/status/1694100664786227279")</f>
        <v>https://twitter.com/serraempauta/status/1694100664786227279</v>
      </c>
      <c r="AF2605" s="90">
        <v>45160.8987037037</v>
      </c>
      <c r="AG2605" s="99">
        <v>45160</v>
      </c>
      <c r="AH2605" s="93" t="s">
        <v>13854</v>
      </c>
      <c r="AI2605" s="87" t="b">
        <v>0</v>
      </c>
      <c r="AJ2605" s="87"/>
      <c r="AK2605" s="87"/>
      <c r="AL2605" s="87"/>
      <c r="AM2605" s="87"/>
      <c r="AN2605" s="87"/>
      <c r="AO2605" s="87"/>
      <c r="AP2605" s="87"/>
      <c r="AQ2605" s="87" t="s">
        <v>17148</v>
      </c>
      <c r="AR2605" s="87"/>
      <c r="AS2605" s="87"/>
      <c r="AT2605" s="87"/>
      <c r="AU2605" s="87"/>
      <c r="AV2605" s="92" t="str">
        <f>HYPERLINK("https://pbs.twimg.com/media/F4KnjlGXEAAcAri.jpg")</f>
        <v>https://pbs.twimg.com/media/F4KnjlGXEAAcAri.jpg</v>
      </c>
      <c r="AW2605" s="93" t="s">
        <v>20766</v>
      </c>
      <c r="AX2605" s="93" t="s">
        <v>20766</v>
      </c>
      <c r="AY2605" s="87"/>
      <c r="AZ2605" s="93" t="s">
        <v>22668</v>
      </c>
      <c r="BA2605" s="93" t="s">
        <v>22668</v>
      </c>
      <c r="BB2605" s="93" t="s">
        <v>22668</v>
      </c>
      <c r="BC2605" s="93" t="s">
        <v>20766</v>
      </c>
      <c r="BD2605" s="93" t="s">
        <v>23269</v>
      </c>
      <c r="BE2605" s="87"/>
      <c r="BF2605" s="87"/>
      <c r="BG2605" s="87"/>
      <c r="BH2605" s="87"/>
      <c r="BI2605" s="87"/>
    </row>
    <row r="2606" spans="1:61" x14ac:dyDescent="0.25">
      <c r="A2606" s="63" t="s">
        <v>1058</v>
      </c>
      <c r="B2606" s="63" t="s">
        <v>1058</v>
      </c>
      <c r="C2606" s="64"/>
      <c r="D2606" s="65"/>
      <c r="E2606" s="66"/>
      <c r="F2606" s="67"/>
      <c r="G2606" s="64"/>
      <c r="H2606" s="68"/>
      <c r="I2606" s="69"/>
      <c r="J2606" s="69"/>
      <c r="K2606" s="32"/>
      <c r="L2606" s="76">
        <v>2606</v>
      </c>
      <c r="M2606" s="76"/>
      <c r="N2606" s="71"/>
      <c r="O2606" s="87" t="s">
        <v>179</v>
      </c>
      <c r="P2606" s="90">
        <v>45160.83797453704</v>
      </c>
      <c r="Q2606" s="87" t="s">
        <v>4323</v>
      </c>
      <c r="R2606" s="87">
        <v>0</v>
      </c>
      <c r="S2606" s="87">
        <v>0</v>
      </c>
      <c r="T2606" s="87">
        <v>0</v>
      </c>
      <c r="U2606" s="87">
        <v>0</v>
      </c>
      <c r="V2606" s="87">
        <v>66</v>
      </c>
      <c r="W2606" s="93" t="s">
        <v>7424</v>
      </c>
      <c r="X2606" s="87"/>
      <c r="Y2606" s="87"/>
      <c r="Z2606" s="87"/>
      <c r="AA2606" s="87" t="s">
        <v>10337</v>
      </c>
      <c r="AB2606" s="87" t="s">
        <v>11448</v>
      </c>
      <c r="AC2606" s="93" t="s">
        <v>11457</v>
      </c>
      <c r="AD2606" s="87" t="s">
        <v>11519</v>
      </c>
      <c r="AE2606" s="92" t="str">
        <f>HYPERLINK("https://twitter.com/serraempauta/status/1694078660674822404")</f>
        <v>https://twitter.com/serraempauta/status/1694078660674822404</v>
      </c>
      <c r="AF2606" s="90">
        <v>45160.83797453704</v>
      </c>
      <c r="AG2606" s="99">
        <v>45160</v>
      </c>
      <c r="AH2606" s="93" t="s">
        <v>13855</v>
      </c>
      <c r="AI2606" s="87" t="b">
        <v>0</v>
      </c>
      <c r="AJ2606" s="87"/>
      <c r="AK2606" s="87"/>
      <c r="AL2606" s="87"/>
      <c r="AM2606" s="87"/>
      <c r="AN2606" s="87"/>
      <c r="AO2606" s="87"/>
      <c r="AP2606" s="87"/>
      <c r="AQ2606" s="87" t="s">
        <v>17149</v>
      </c>
      <c r="AR2606" s="87"/>
      <c r="AS2606" s="87"/>
      <c r="AT2606" s="87"/>
      <c r="AU2606" s="87"/>
      <c r="AV2606" s="92" t="str">
        <f>HYPERLINK("https://pbs.twimg.com/media/F4KTjt4XgAAH8LM.jpg")</f>
        <v>https://pbs.twimg.com/media/F4KTjt4XgAAH8LM.jpg</v>
      </c>
      <c r="AW2606" s="93" t="s">
        <v>20767</v>
      </c>
      <c r="AX2606" s="93" t="s">
        <v>20767</v>
      </c>
      <c r="AY2606" s="87"/>
      <c r="AZ2606" s="93" t="s">
        <v>22668</v>
      </c>
      <c r="BA2606" s="93" t="s">
        <v>22668</v>
      </c>
      <c r="BB2606" s="93" t="s">
        <v>22668</v>
      </c>
      <c r="BC2606" s="93" t="s">
        <v>20767</v>
      </c>
      <c r="BD2606" s="93" t="s">
        <v>23269</v>
      </c>
      <c r="BE2606" s="87"/>
      <c r="BF2606" s="87"/>
      <c r="BG2606" s="87"/>
      <c r="BH2606" s="87"/>
      <c r="BI2606" s="87"/>
    </row>
    <row r="2607" spans="1:61" x14ac:dyDescent="0.25">
      <c r="A2607" s="63" t="s">
        <v>1058</v>
      </c>
      <c r="B2607" s="63" t="s">
        <v>1058</v>
      </c>
      <c r="C2607" s="64"/>
      <c r="D2607" s="65"/>
      <c r="E2607" s="66"/>
      <c r="F2607" s="67"/>
      <c r="G2607" s="64"/>
      <c r="H2607" s="68"/>
      <c r="I2607" s="69"/>
      <c r="J2607" s="69"/>
      <c r="K2607" s="32"/>
      <c r="L2607" s="76">
        <v>2607</v>
      </c>
      <c r="M2607" s="76"/>
      <c r="N2607" s="71"/>
      <c r="O2607" s="87" t="s">
        <v>179</v>
      </c>
      <c r="P2607" s="90">
        <v>45157.56082175926</v>
      </c>
      <c r="Q2607" s="87" t="s">
        <v>4324</v>
      </c>
      <c r="R2607" s="87">
        <v>0</v>
      </c>
      <c r="S2607" s="87">
        <v>0</v>
      </c>
      <c r="T2607" s="87">
        <v>0</v>
      </c>
      <c r="U2607" s="87">
        <v>0</v>
      </c>
      <c r="V2607" s="87">
        <v>30</v>
      </c>
      <c r="W2607" s="93" t="s">
        <v>7424</v>
      </c>
      <c r="X2607" s="87"/>
      <c r="Y2607" s="87"/>
      <c r="Z2607" s="87"/>
      <c r="AA2607" s="87" t="s">
        <v>10338</v>
      </c>
      <c r="AB2607" s="87" t="s">
        <v>11448</v>
      </c>
      <c r="AC2607" s="93" t="s">
        <v>11457</v>
      </c>
      <c r="AD2607" s="87" t="s">
        <v>11519</v>
      </c>
      <c r="AE2607" s="92" t="str">
        <f>HYPERLINK("https://twitter.com/serraempauta/status/1692891056944070702")</f>
        <v>https://twitter.com/serraempauta/status/1692891056944070702</v>
      </c>
      <c r="AF2607" s="90">
        <v>45157.56082175926</v>
      </c>
      <c r="AG2607" s="99">
        <v>45157</v>
      </c>
      <c r="AH2607" s="93" t="s">
        <v>13856</v>
      </c>
      <c r="AI2607" s="87" t="b">
        <v>0</v>
      </c>
      <c r="AJ2607" s="87"/>
      <c r="AK2607" s="87"/>
      <c r="AL2607" s="87"/>
      <c r="AM2607" s="87"/>
      <c r="AN2607" s="87"/>
      <c r="AO2607" s="87"/>
      <c r="AP2607" s="87"/>
      <c r="AQ2607" s="87" t="s">
        <v>17150</v>
      </c>
      <c r="AR2607" s="87"/>
      <c r="AS2607" s="87"/>
      <c r="AT2607" s="87"/>
      <c r="AU2607" s="87"/>
      <c r="AV2607" s="92" t="str">
        <f>HYPERLINK("https://pbs.twimg.com/media/F35bcMfXAAAtCB8.jpg")</f>
        <v>https://pbs.twimg.com/media/F35bcMfXAAAtCB8.jpg</v>
      </c>
      <c r="AW2607" s="93" t="s">
        <v>20768</v>
      </c>
      <c r="AX2607" s="93" t="s">
        <v>20768</v>
      </c>
      <c r="AY2607" s="87"/>
      <c r="AZ2607" s="93" t="s">
        <v>22668</v>
      </c>
      <c r="BA2607" s="93" t="s">
        <v>22668</v>
      </c>
      <c r="BB2607" s="93" t="s">
        <v>22668</v>
      </c>
      <c r="BC2607" s="93" t="s">
        <v>20768</v>
      </c>
      <c r="BD2607" s="93" t="s">
        <v>23269</v>
      </c>
      <c r="BE2607" s="87"/>
      <c r="BF2607" s="87"/>
      <c r="BG2607" s="87"/>
      <c r="BH2607" s="87"/>
      <c r="BI2607" s="87"/>
    </row>
    <row r="2608" spans="1:61" x14ac:dyDescent="0.25">
      <c r="A2608" s="63" t="s">
        <v>1058</v>
      </c>
      <c r="B2608" s="63" t="s">
        <v>1058</v>
      </c>
      <c r="C2608" s="64"/>
      <c r="D2608" s="65"/>
      <c r="E2608" s="66"/>
      <c r="F2608" s="67"/>
      <c r="G2608" s="64"/>
      <c r="H2608" s="68"/>
      <c r="I2608" s="69"/>
      <c r="J2608" s="69"/>
      <c r="K2608" s="32"/>
      <c r="L2608" s="76">
        <v>2608</v>
      </c>
      <c r="M2608" s="76"/>
      <c r="N2608" s="71"/>
      <c r="O2608" s="87" t="s">
        <v>179</v>
      </c>
      <c r="P2608" s="90">
        <v>45156.959490740737</v>
      </c>
      <c r="Q2608" s="87" t="s">
        <v>4325</v>
      </c>
      <c r="R2608" s="87">
        <v>0</v>
      </c>
      <c r="S2608" s="87">
        <v>0</v>
      </c>
      <c r="T2608" s="87">
        <v>0</v>
      </c>
      <c r="U2608" s="87">
        <v>0</v>
      </c>
      <c r="V2608" s="87">
        <v>42</v>
      </c>
      <c r="W2608" s="93" t="s">
        <v>7424</v>
      </c>
      <c r="X2608" s="87"/>
      <c r="Y2608" s="87"/>
      <c r="Z2608" s="87"/>
      <c r="AA2608" s="87" t="s">
        <v>10339</v>
      </c>
      <c r="AB2608" s="87" t="s">
        <v>11448</v>
      </c>
      <c r="AC2608" s="93" t="s">
        <v>11457</v>
      </c>
      <c r="AD2608" s="87" t="s">
        <v>11519</v>
      </c>
      <c r="AE2608" s="92" t="str">
        <f>HYPERLINK("https://twitter.com/serraempauta/status/1692673145222664592")</f>
        <v>https://twitter.com/serraempauta/status/1692673145222664592</v>
      </c>
      <c r="AF2608" s="90">
        <v>45156.959490740737</v>
      </c>
      <c r="AG2608" s="99">
        <v>45156</v>
      </c>
      <c r="AH2608" s="93" t="s">
        <v>13857</v>
      </c>
      <c r="AI2608" s="87" t="b">
        <v>0</v>
      </c>
      <c r="AJ2608" s="87"/>
      <c r="AK2608" s="87"/>
      <c r="AL2608" s="87"/>
      <c r="AM2608" s="87"/>
      <c r="AN2608" s="87"/>
      <c r="AO2608" s="87"/>
      <c r="AP2608" s="87"/>
      <c r="AQ2608" s="87" t="s">
        <v>17151</v>
      </c>
      <c r="AR2608" s="87"/>
      <c r="AS2608" s="87"/>
      <c r="AT2608" s="87"/>
      <c r="AU2608" s="87"/>
      <c r="AV2608" s="92" t="str">
        <f>HYPERLINK("https://pbs.twimg.com/media/F32VPbyXcAAYc3y.jpg")</f>
        <v>https://pbs.twimg.com/media/F32VPbyXcAAYc3y.jpg</v>
      </c>
      <c r="AW2608" s="93" t="s">
        <v>20769</v>
      </c>
      <c r="AX2608" s="93" t="s">
        <v>20769</v>
      </c>
      <c r="AY2608" s="87"/>
      <c r="AZ2608" s="93" t="s">
        <v>22668</v>
      </c>
      <c r="BA2608" s="93" t="s">
        <v>22668</v>
      </c>
      <c r="BB2608" s="93" t="s">
        <v>22668</v>
      </c>
      <c r="BC2608" s="93" t="s">
        <v>20769</v>
      </c>
      <c r="BD2608" s="93" t="s">
        <v>23269</v>
      </c>
      <c r="BE2608" s="87"/>
      <c r="BF2608" s="87"/>
      <c r="BG2608" s="87"/>
      <c r="BH2608" s="87"/>
      <c r="BI2608" s="87"/>
    </row>
    <row r="2609" spans="1:61" x14ac:dyDescent="0.25">
      <c r="A2609" s="63" t="s">
        <v>1058</v>
      </c>
      <c r="B2609" s="63" t="s">
        <v>1058</v>
      </c>
      <c r="C2609" s="64"/>
      <c r="D2609" s="65"/>
      <c r="E2609" s="66"/>
      <c r="F2609" s="67"/>
      <c r="G2609" s="64"/>
      <c r="H2609" s="68"/>
      <c r="I2609" s="69"/>
      <c r="J2609" s="69"/>
      <c r="K2609" s="32"/>
      <c r="L2609" s="76">
        <v>2609</v>
      </c>
      <c r="M2609" s="76"/>
      <c r="N2609" s="71"/>
      <c r="O2609" s="87" t="s">
        <v>179</v>
      </c>
      <c r="P2609" s="90">
        <v>45156.846053240741</v>
      </c>
      <c r="Q2609" s="87" t="s">
        <v>4326</v>
      </c>
      <c r="R2609" s="87">
        <v>0</v>
      </c>
      <c r="S2609" s="87">
        <v>0</v>
      </c>
      <c r="T2609" s="87">
        <v>0</v>
      </c>
      <c r="U2609" s="87">
        <v>0</v>
      </c>
      <c r="V2609" s="87">
        <v>36</v>
      </c>
      <c r="W2609" s="93" t="s">
        <v>7424</v>
      </c>
      <c r="X2609" s="87"/>
      <c r="Y2609" s="87"/>
      <c r="Z2609" s="87"/>
      <c r="AA2609" s="87" t="s">
        <v>10340</v>
      </c>
      <c r="AB2609" s="87" t="s">
        <v>11448</v>
      </c>
      <c r="AC2609" s="93" t="s">
        <v>11457</v>
      </c>
      <c r="AD2609" s="87" t="s">
        <v>11519</v>
      </c>
      <c r="AE2609" s="92" t="str">
        <f>HYPERLINK("https://twitter.com/serraempauta/status/1692632037335982326")</f>
        <v>https://twitter.com/serraempauta/status/1692632037335982326</v>
      </c>
      <c r="AF2609" s="90">
        <v>45156.846053240741</v>
      </c>
      <c r="AG2609" s="99">
        <v>45156</v>
      </c>
      <c r="AH2609" s="93" t="s">
        <v>13858</v>
      </c>
      <c r="AI2609" s="87" t="b">
        <v>0</v>
      </c>
      <c r="AJ2609" s="87"/>
      <c r="AK2609" s="87"/>
      <c r="AL2609" s="87"/>
      <c r="AM2609" s="87"/>
      <c r="AN2609" s="87"/>
      <c r="AO2609" s="87"/>
      <c r="AP2609" s="87"/>
      <c r="AQ2609" s="87" t="s">
        <v>17152</v>
      </c>
      <c r="AR2609" s="87"/>
      <c r="AS2609" s="87"/>
      <c r="AT2609" s="87"/>
      <c r="AU2609" s="87"/>
      <c r="AV2609" s="92" t="str">
        <f>HYPERLINK("https://pbs.twimg.com/media/F31v3JlX0AEGneG.jpg")</f>
        <v>https://pbs.twimg.com/media/F31v3JlX0AEGneG.jpg</v>
      </c>
      <c r="AW2609" s="93" t="s">
        <v>20770</v>
      </c>
      <c r="AX2609" s="93" t="s">
        <v>20770</v>
      </c>
      <c r="AY2609" s="87"/>
      <c r="AZ2609" s="93" t="s">
        <v>22668</v>
      </c>
      <c r="BA2609" s="93" t="s">
        <v>22668</v>
      </c>
      <c r="BB2609" s="93" t="s">
        <v>22668</v>
      </c>
      <c r="BC2609" s="93" t="s">
        <v>20770</v>
      </c>
      <c r="BD2609" s="93" t="s">
        <v>23269</v>
      </c>
      <c r="BE2609" s="87"/>
      <c r="BF2609" s="87"/>
      <c r="BG2609" s="87"/>
      <c r="BH2609" s="87"/>
      <c r="BI2609" s="87"/>
    </row>
    <row r="2610" spans="1:61" x14ac:dyDescent="0.25">
      <c r="A2610" s="63" t="s">
        <v>1058</v>
      </c>
      <c r="B2610" s="63" t="s">
        <v>1058</v>
      </c>
      <c r="C2610" s="64"/>
      <c r="D2610" s="65"/>
      <c r="E2610" s="66"/>
      <c r="F2610" s="67"/>
      <c r="G2610" s="64"/>
      <c r="H2610" s="68"/>
      <c r="I2610" s="69"/>
      <c r="J2610" s="69"/>
      <c r="K2610" s="32"/>
      <c r="L2610" s="76">
        <v>2610</v>
      </c>
      <c r="M2610" s="76"/>
      <c r="N2610" s="71"/>
      <c r="O2610" s="87" t="s">
        <v>179</v>
      </c>
      <c r="P2610" s="90">
        <v>45156.8044212963</v>
      </c>
      <c r="Q2610" s="87" t="s">
        <v>4327</v>
      </c>
      <c r="R2610" s="87">
        <v>0</v>
      </c>
      <c r="S2610" s="87">
        <v>0</v>
      </c>
      <c r="T2610" s="87">
        <v>0</v>
      </c>
      <c r="U2610" s="87">
        <v>0</v>
      </c>
      <c r="V2610" s="87">
        <v>54</v>
      </c>
      <c r="W2610" s="93" t="s">
        <v>7424</v>
      </c>
      <c r="X2610" s="87"/>
      <c r="Y2610" s="87"/>
      <c r="Z2610" s="87"/>
      <c r="AA2610" s="87" t="s">
        <v>10341</v>
      </c>
      <c r="AB2610" s="87" t="s">
        <v>11448</v>
      </c>
      <c r="AC2610" s="93" t="s">
        <v>11457</v>
      </c>
      <c r="AD2610" s="87" t="s">
        <v>11519</v>
      </c>
      <c r="AE2610" s="92" t="str">
        <f>HYPERLINK("https://twitter.com/serraempauta/status/1692616950034157990")</f>
        <v>https://twitter.com/serraempauta/status/1692616950034157990</v>
      </c>
      <c r="AF2610" s="90">
        <v>45156.8044212963</v>
      </c>
      <c r="AG2610" s="99">
        <v>45156</v>
      </c>
      <c r="AH2610" s="93" t="s">
        <v>13859</v>
      </c>
      <c r="AI2610" s="87" t="b">
        <v>0</v>
      </c>
      <c r="AJ2610" s="87"/>
      <c r="AK2610" s="87"/>
      <c r="AL2610" s="87"/>
      <c r="AM2610" s="87"/>
      <c r="AN2610" s="87"/>
      <c r="AO2610" s="87"/>
      <c r="AP2610" s="87"/>
      <c r="AQ2610" s="87" t="s">
        <v>17153</v>
      </c>
      <c r="AR2610" s="87"/>
      <c r="AS2610" s="87"/>
      <c r="AT2610" s="87"/>
      <c r="AU2610" s="87"/>
      <c r="AV2610" s="92" t="str">
        <f>HYPERLINK("https://pbs.twimg.com/media/F31iJDuXYAAaQOz.jpg")</f>
        <v>https://pbs.twimg.com/media/F31iJDuXYAAaQOz.jpg</v>
      </c>
      <c r="AW2610" s="93" t="s">
        <v>20771</v>
      </c>
      <c r="AX2610" s="93" t="s">
        <v>20771</v>
      </c>
      <c r="AY2610" s="87"/>
      <c r="AZ2610" s="93" t="s">
        <v>22668</v>
      </c>
      <c r="BA2610" s="93" t="s">
        <v>22668</v>
      </c>
      <c r="BB2610" s="93" t="s">
        <v>22668</v>
      </c>
      <c r="BC2610" s="93" t="s">
        <v>20771</v>
      </c>
      <c r="BD2610" s="93" t="s">
        <v>23269</v>
      </c>
      <c r="BE2610" s="87"/>
      <c r="BF2610" s="87"/>
      <c r="BG2610" s="87"/>
      <c r="BH2610" s="87"/>
      <c r="BI2610" s="87"/>
    </row>
    <row r="2611" spans="1:61" x14ac:dyDescent="0.25">
      <c r="A2611" s="63" t="s">
        <v>1058</v>
      </c>
      <c r="B2611" s="63" t="s">
        <v>1058</v>
      </c>
      <c r="C2611" s="64"/>
      <c r="D2611" s="65"/>
      <c r="E2611" s="66"/>
      <c r="F2611" s="67"/>
      <c r="G2611" s="64"/>
      <c r="H2611" s="68"/>
      <c r="I2611" s="69"/>
      <c r="J2611" s="69"/>
      <c r="K2611" s="32"/>
      <c r="L2611" s="76">
        <v>2611</v>
      </c>
      <c r="M2611" s="76"/>
      <c r="N2611" s="71"/>
      <c r="O2611" s="87" t="s">
        <v>179</v>
      </c>
      <c r="P2611" s="90">
        <v>45156.765462962961</v>
      </c>
      <c r="Q2611" s="87" t="s">
        <v>4328</v>
      </c>
      <c r="R2611" s="87">
        <v>0</v>
      </c>
      <c r="S2611" s="87">
        <v>0</v>
      </c>
      <c r="T2611" s="87">
        <v>0</v>
      </c>
      <c r="U2611" s="87">
        <v>0</v>
      </c>
      <c r="V2611" s="87">
        <v>76</v>
      </c>
      <c r="W2611" s="93" t="s">
        <v>7424</v>
      </c>
      <c r="X2611" s="87"/>
      <c r="Y2611" s="87"/>
      <c r="Z2611" s="87"/>
      <c r="AA2611" s="87" t="s">
        <v>10342</v>
      </c>
      <c r="AB2611" s="87" t="s">
        <v>11448</v>
      </c>
      <c r="AC2611" s="93" t="s">
        <v>11457</v>
      </c>
      <c r="AD2611" s="87" t="s">
        <v>11519</v>
      </c>
      <c r="AE2611" s="92" t="str">
        <f>HYPERLINK("https://twitter.com/serraempauta/status/1692602829435707723")</f>
        <v>https://twitter.com/serraempauta/status/1692602829435707723</v>
      </c>
      <c r="AF2611" s="90">
        <v>45156.765462962961</v>
      </c>
      <c r="AG2611" s="99">
        <v>45156</v>
      </c>
      <c r="AH2611" s="93" t="s">
        <v>13860</v>
      </c>
      <c r="AI2611" s="87" t="b">
        <v>0</v>
      </c>
      <c r="AJ2611" s="87"/>
      <c r="AK2611" s="87"/>
      <c r="AL2611" s="87"/>
      <c r="AM2611" s="87"/>
      <c r="AN2611" s="87"/>
      <c r="AO2611" s="87"/>
      <c r="AP2611" s="87"/>
      <c r="AQ2611" s="87" t="s">
        <v>17154</v>
      </c>
      <c r="AR2611" s="87"/>
      <c r="AS2611" s="87"/>
      <c r="AT2611" s="87"/>
      <c r="AU2611" s="87"/>
      <c r="AV2611" s="92" t="str">
        <f>HYPERLINK("https://pbs.twimg.com/media/F31VTGcXAAA8J8A.jpg")</f>
        <v>https://pbs.twimg.com/media/F31VTGcXAAA8J8A.jpg</v>
      </c>
      <c r="AW2611" s="93" t="s">
        <v>20772</v>
      </c>
      <c r="AX2611" s="93" t="s">
        <v>20772</v>
      </c>
      <c r="AY2611" s="87"/>
      <c r="AZ2611" s="93" t="s">
        <v>22668</v>
      </c>
      <c r="BA2611" s="93" t="s">
        <v>22668</v>
      </c>
      <c r="BB2611" s="93" t="s">
        <v>22668</v>
      </c>
      <c r="BC2611" s="93" t="s">
        <v>20772</v>
      </c>
      <c r="BD2611" s="93" t="s">
        <v>23269</v>
      </c>
      <c r="BE2611" s="87"/>
      <c r="BF2611" s="87"/>
      <c r="BG2611" s="87"/>
      <c r="BH2611" s="87"/>
      <c r="BI2611" s="87"/>
    </row>
    <row r="2612" spans="1:61" x14ac:dyDescent="0.25">
      <c r="A2612" s="63" t="s">
        <v>1058</v>
      </c>
      <c r="B2612" s="63" t="s">
        <v>1058</v>
      </c>
      <c r="C2612" s="64"/>
      <c r="D2612" s="65"/>
      <c r="E2612" s="66"/>
      <c r="F2612" s="67"/>
      <c r="G2612" s="64"/>
      <c r="H2612" s="68"/>
      <c r="I2612" s="69"/>
      <c r="J2612" s="69"/>
      <c r="K2612" s="32"/>
      <c r="L2612" s="76">
        <v>2612</v>
      </c>
      <c r="M2612" s="76"/>
      <c r="N2612" s="71"/>
      <c r="O2612" s="87" t="s">
        <v>179</v>
      </c>
      <c r="P2612" s="90">
        <v>45156.627314814818</v>
      </c>
      <c r="Q2612" s="87" t="s">
        <v>4329</v>
      </c>
      <c r="R2612" s="87">
        <v>0</v>
      </c>
      <c r="S2612" s="87">
        <v>1</v>
      </c>
      <c r="T2612" s="87">
        <v>0</v>
      </c>
      <c r="U2612" s="87">
        <v>0</v>
      </c>
      <c r="V2612" s="87">
        <v>53</v>
      </c>
      <c r="W2612" s="93" t="s">
        <v>7424</v>
      </c>
      <c r="X2612" s="87"/>
      <c r="Y2612" s="87"/>
      <c r="Z2612" s="87"/>
      <c r="AA2612" s="87" t="s">
        <v>10343</v>
      </c>
      <c r="AB2612" s="87" t="s">
        <v>11448</v>
      </c>
      <c r="AC2612" s="93" t="s">
        <v>11457</v>
      </c>
      <c r="AD2612" s="87" t="s">
        <v>11519</v>
      </c>
      <c r="AE2612" s="92" t="str">
        <f>HYPERLINK("https://twitter.com/serraempauta/status/1692552768513253597")</f>
        <v>https://twitter.com/serraempauta/status/1692552768513253597</v>
      </c>
      <c r="AF2612" s="90">
        <v>45156.627314814818</v>
      </c>
      <c r="AG2612" s="99">
        <v>45156</v>
      </c>
      <c r="AH2612" s="93" t="s">
        <v>12243</v>
      </c>
      <c r="AI2612" s="87" t="b">
        <v>0</v>
      </c>
      <c r="AJ2612" s="87"/>
      <c r="AK2612" s="87"/>
      <c r="AL2612" s="87"/>
      <c r="AM2612" s="87"/>
      <c r="AN2612" s="87"/>
      <c r="AO2612" s="87"/>
      <c r="AP2612" s="87"/>
      <c r="AQ2612" s="87" t="s">
        <v>17155</v>
      </c>
      <c r="AR2612" s="87"/>
      <c r="AS2612" s="87"/>
      <c r="AT2612" s="87"/>
      <c r="AU2612" s="87"/>
      <c r="AV2612" s="92" t="str">
        <f>HYPERLINK("https://pbs.twimg.com/media/F30nxKsWgAAAnf3.jpg")</f>
        <v>https://pbs.twimg.com/media/F30nxKsWgAAAnf3.jpg</v>
      </c>
      <c r="AW2612" s="93" t="s">
        <v>20773</v>
      </c>
      <c r="AX2612" s="93" t="s">
        <v>20773</v>
      </c>
      <c r="AY2612" s="87"/>
      <c r="AZ2612" s="93" t="s">
        <v>22668</v>
      </c>
      <c r="BA2612" s="93" t="s">
        <v>22668</v>
      </c>
      <c r="BB2612" s="93" t="s">
        <v>22668</v>
      </c>
      <c r="BC2612" s="93" t="s">
        <v>20773</v>
      </c>
      <c r="BD2612" s="93" t="s">
        <v>23269</v>
      </c>
      <c r="BE2612" s="87"/>
      <c r="BF2612" s="87"/>
      <c r="BG2612" s="87"/>
      <c r="BH2612" s="87"/>
      <c r="BI2612" s="87"/>
    </row>
    <row r="2613" spans="1:61" x14ac:dyDescent="0.25">
      <c r="A2613" s="63" t="s">
        <v>1058</v>
      </c>
      <c r="B2613" s="63" t="s">
        <v>1058</v>
      </c>
      <c r="C2613" s="64"/>
      <c r="D2613" s="65"/>
      <c r="E2613" s="66"/>
      <c r="F2613" s="67"/>
      <c r="G2613" s="64"/>
      <c r="H2613" s="68"/>
      <c r="I2613" s="69"/>
      <c r="J2613" s="69"/>
      <c r="K2613" s="32"/>
      <c r="L2613" s="76">
        <v>2613</v>
      </c>
      <c r="M2613" s="76"/>
      <c r="N2613" s="71"/>
      <c r="O2613" s="87" t="s">
        <v>179</v>
      </c>
      <c r="P2613" s="90">
        <v>45156.58284722222</v>
      </c>
      <c r="Q2613" s="93" t="s">
        <v>4330</v>
      </c>
      <c r="R2613" s="87">
        <v>0</v>
      </c>
      <c r="S2613" s="87">
        <v>0</v>
      </c>
      <c r="T2613" s="87">
        <v>0</v>
      </c>
      <c r="U2613" s="87">
        <v>0</v>
      </c>
      <c r="V2613" s="87">
        <v>80</v>
      </c>
      <c r="W2613" s="93" t="s">
        <v>7424</v>
      </c>
      <c r="X2613" s="87"/>
      <c r="Y2613" s="87"/>
      <c r="Z2613" s="87"/>
      <c r="AA2613" s="87" t="s">
        <v>10344</v>
      </c>
      <c r="AB2613" s="87" t="s">
        <v>11448</v>
      </c>
      <c r="AC2613" s="93" t="s">
        <v>11457</v>
      </c>
      <c r="AD2613" s="87" t="s">
        <v>11519</v>
      </c>
      <c r="AE2613" s="92" t="str">
        <f>HYPERLINK("https://twitter.com/serraempauta/status/1692536653615596020")</f>
        <v>https://twitter.com/serraempauta/status/1692536653615596020</v>
      </c>
      <c r="AF2613" s="90">
        <v>45156.58284722222</v>
      </c>
      <c r="AG2613" s="99">
        <v>45156</v>
      </c>
      <c r="AH2613" s="93" t="s">
        <v>13861</v>
      </c>
      <c r="AI2613" s="87" t="b">
        <v>0</v>
      </c>
      <c r="AJ2613" s="87"/>
      <c r="AK2613" s="87"/>
      <c r="AL2613" s="87"/>
      <c r="AM2613" s="87"/>
      <c r="AN2613" s="87"/>
      <c r="AO2613" s="87"/>
      <c r="AP2613" s="87"/>
      <c r="AQ2613" s="87" t="s">
        <v>17156</v>
      </c>
      <c r="AR2613" s="87"/>
      <c r="AS2613" s="87"/>
      <c r="AT2613" s="87"/>
      <c r="AU2613" s="87"/>
      <c r="AV2613" s="92" t="str">
        <f>HYPERLINK("https://pbs.twimg.com/media/F30ZGvmXEAA5q6G.jpg")</f>
        <v>https://pbs.twimg.com/media/F30ZGvmXEAA5q6G.jpg</v>
      </c>
      <c r="AW2613" s="93" t="s">
        <v>20774</v>
      </c>
      <c r="AX2613" s="93" t="s">
        <v>20774</v>
      </c>
      <c r="AY2613" s="87"/>
      <c r="AZ2613" s="93" t="s">
        <v>22668</v>
      </c>
      <c r="BA2613" s="93" t="s">
        <v>22668</v>
      </c>
      <c r="BB2613" s="93" t="s">
        <v>22668</v>
      </c>
      <c r="BC2613" s="93" t="s">
        <v>20774</v>
      </c>
      <c r="BD2613" s="93" t="s">
        <v>23269</v>
      </c>
      <c r="BE2613" s="87"/>
      <c r="BF2613" s="87"/>
      <c r="BG2613" s="87"/>
      <c r="BH2613" s="87"/>
      <c r="BI2613" s="87"/>
    </row>
    <row r="2614" spans="1:61" x14ac:dyDescent="0.25">
      <c r="A2614" s="63" t="s">
        <v>1058</v>
      </c>
      <c r="B2614" s="63" t="s">
        <v>1058</v>
      </c>
      <c r="C2614" s="64"/>
      <c r="D2614" s="65"/>
      <c r="E2614" s="66"/>
      <c r="F2614" s="67"/>
      <c r="G2614" s="64"/>
      <c r="H2614" s="68"/>
      <c r="I2614" s="69"/>
      <c r="J2614" s="69"/>
      <c r="K2614" s="32"/>
      <c r="L2614" s="76">
        <v>2614</v>
      </c>
      <c r="M2614" s="76"/>
      <c r="N2614" s="71"/>
      <c r="O2614" s="87" t="s">
        <v>179</v>
      </c>
      <c r="P2614" s="90">
        <v>45144.575868055559</v>
      </c>
      <c r="Q2614" s="87" t="s">
        <v>4331</v>
      </c>
      <c r="R2614" s="87">
        <v>0</v>
      </c>
      <c r="S2614" s="87">
        <v>0</v>
      </c>
      <c r="T2614" s="87">
        <v>0</v>
      </c>
      <c r="U2614" s="87">
        <v>0</v>
      </c>
      <c r="V2614" s="87">
        <v>47</v>
      </c>
      <c r="W2614" s="93" t="s">
        <v>7424</v>
      </c>
      <c r="X2614" s="87"/>
      <c r="Y2614" s="87"/>
      <c r="Z2614" s="87"/>
      <c r="AA2614" s="87" t="s">
        <v>10345</v>
      </c>
      <c r="AB2614" s="87" t="s">
        <v>11448</v>
      </c>
      <c r="AC2614" s="93" t="s">
        <v>11457</v>
      </c>
      <c r="AD2614" s="87" t="s">
        <v>11519</v>
      </c>
      <c r="AE2614" s="92" t="str">
        <f>HYPERLINK("https://twitter.com/serraempauta/status/1688185467894697985")</f>
        <v>https://twitter.com/serraempauta/status/1688185467894697985</v>
      </c>
      <c r="AF2614" s="90">
        <v>45144.575868055559</v>
      </c>
      <c r="AG2614" s="99">
        <v>45144</v>
      </c>
      <c r="AH2614" s="93" t="s">
        <v>13862</v>
      </c>
      <c r="AI2614" s="87" t="b">
        <v>0</v>
      </c>
      <c r="AJ2614" s="87"/>
      <c r="AK2614" s="87"/>
      <c r="AL2614" s="87"/>
      <c r="AM2614" s="87"/>
      <c r="AN2614" s="87"/>
      <c r="AO2614" s="87"/>
      <c r="AP2614" s="87"/>
      <c r="AQ2614" s="87" t="s">
        <v>17157</v>
      </c>
      <c r="AR2614" s="87"/>
      <c r="AS2614" s="87"/>
      <c r="AT2614" s="87"/>
      <c r="AU2614" s="87"/>
      <c r="AV2614" s="92" t="str">
        <f>HYPERLINK("https://pbs.twimg.com/media/F22juoxW8AAnQaw.jpg")</f>
        <v>https://pbs.twimg.com/media/F22juoxW8AAnQaw.jpg</v>
      </c>
      <c r="AW2614" s="93" t="s">
        <v>20775</v>
      </c>
      <c r="AX2614" s="93" t="s">
        <v>20775</v>
      </c>
      <c r="AY2614" s="87"/>
      <c r="AZ2614" s="93" t="s">
        <v>22668</v>
      </c>
      <c r="BA2614" s="93" t="s">
        <v>22668</v>
      </c>
      <c r="BB2614" s="93" t="s">
        <v>22668</v>
      </c>
      <c r="BC2614" s="93" t="s">
        <v>20775</v>
      </c>
      <c r="BD2614" s="93" t="s">
        <v>23269</v>
      </c>
      <c r="BE2614" s="87"/>
      <c r="BF2614" s="87"/>
      <c r="BG2614" s="87"/>
      <c r="BH2614" s="87"/>
      <c r="BI2614" s="87"/>
    </row>
    <row r="2615" spans="1:61" x14ac:dyDescent="0.25">
      <c r="A2615" s="63" t="s">
        <v>1058</v>
      </c>
      <c r="B2615" s="63" t="s">
        <v>1058</v>
      </c>
      <c r="C2615" s="64"/>
      <c r="D2615" s="65"/>
      <c r="E2615" s="66"/>
      <c r="F2615" s="67"/>
      <c r="G2615" s="64"/>
      <c r="H2615" s="68"/>
      <c r="I2615" s="69"/>
      <c r="J2615" s="69"/>
      <c r="K2615" s="32"/>
      <c r="L2615" s="76">
        <v>2615</v>
      </c>
      <c r="M2615" s="76"/>
      <c r="N2615" s="71"/>
      <c r="O2615" s="87" t="s">
        <v>179</v>
      </c>
      <c r="P2615" s="90">
        <v>45143.910833333335</v>
      </c>
      <c r="Q2615" s="87" t="s">
        <v>4332</v>
      </c>
      <c r="R2615" s="87">
        <v>0</v>
      </c>
      <c r="S2615" s="87">
        <v>0</v>
      </c>
      <c r="T2615" s="87">
        <v>0</v>
      </c>
      <c r="U2615" s="87">
        <v>0</v>
      </c>
      <c r="V2615" s="87">
        <v>82</v>
      </c>
      <c r="W2615" s="93" t="s">
        <v>7424</v>
      </c>
      <c r="X2615" s="87"/>
      <c r="Y2615" s="87"/>
      <c r="Z2615" s="87"/>
      <c r="AA2615" s="87" t="s">
        <v>10346</v>
      </c>
      <c r="AB2615" s="87" t="s">
        <v>11448</v>
      </c>
      <c r="AC2615" s="93" t="s">
        <v>11457</v>
      </c>
      <c r="AD2615" s="87" t="s">
        <v>11519</v>
      </c>
      <c r="AE2615" s="92" t="str">
        <f>HYPERLINK("https://twitter.com/serraempauta/status/1687944470577152001")</f>
        <v>https://twitter.com/serraempauta/status/1687944470577152001</v>
      </c>
      <c r="AF2615" s="90">
        <v>45143.910833333335</v>
      </c>
      <c r="AG2615" s="99">
        <v>45143</v>
      </c>
      <c r="AH2615" s="93" t="s">
        <v>13863</v>
      </c>
      <c r="AI2615" s="87" t="b">
        <v>0</v>
      </c>
      <c r="AJ2615" s="87"/>
      <c r="AK2615" s="87"/>
      <c r="AL2615" s="87"/>
      <c r="AM2615" s="87"/>
      <c r="AN2615" s="87"/>
      <c r="AO2615" s="87"/>
      <c r="AP2615" s="87"/>
      <c r="AQ2615" s="87" t="s">
        <v>17158</v>
      </c>
      <c r="AR2615" s="87"/>
      <c r="AS2615" s="87"/>
      <c r="AT2615" s="87"/>
      <c r="AU2615" s="87"/>
      <c r="AV2615" s="92" t="str">
        <f>HYPERLINK("https://pbs.twimg.com/media/F2zIiJuWEAAF7Mo.jpg")</f>
        <v>https://pbs.twimg.com/media/F2zIiJuWEAAF7Mo.jpg</v>
      </c>
      <c r="AW2615" s="93" t="s">
        <v>20776</v>
      </c>
      <c r="AX2615" s="93" t="s">
        <v>20776</v>
      </c>
      <c r="AY2615" s="87"/>
      <c r="AZ2615" s="93" t="s">
        <v>22668</v>
      </c>
      <c r="BA2615" s="93" t="s">
        <v>22668</v>
      </c>
      <c r="BB2615" s="93" t="s">
        <v>22668</v>
      </c>
      <c r="BC2615" s="93" t="s">
        <v>20776</v>
      </c>
      <c r="BD2615" s="93" t="s">
        <v>23269</v>
      </c>
      <c r="BE2615" s="87"/>
      <c r="BF2615" s="87"/>
      <c r="BG2615" s="87"/>
      <c r="BH2615" s="87"/>
      <c r="BI2615" s="87"/>
    </row>
    <row r="2616" spans="1:61" x14ac:dyDescent="0.25">
      <c r="A2616" s="63" t="s">
        <v>1058</v>
      </c>
      <c r="B2616" s="63" t="s">
        <v>1058</v>
      </c>
      <c r="C2616" s="64"/>
      <c r="D2616" s="65"/>
      <c r="E2616" s="66"/>
      <c r="F2616" s="67"/>
      <c r="G2616" s="64"/>
      <c r="H2616" s="68"/>
      <c r="I2616" s="69"/>
      <c r="J2616" s="69"/>
      <c r="K2616" s="32"/>
      <c r="L2616" s="76">
        <v>2616</v>
      </c>
      <c r="M2616" s="76"/>
      <c r="N2616" s="71"/>
      <c r="O2616" s="87" t="s">
        <v>179</v>
      </c>
      <c r="P2616" s="90">
        <v>45143.860868055555</v>
      </c>
      <c r="Q2616" s="87" t="s">
        <v>4333</v>
      </c>
      <c r="R2616" s="87">
        <v>0</v>
      </c>
      <c r="S2616" s="87">
        <v>0</v>
      </c>
      <c r="T2616" s="87">
        <v>0</v>
      </c>
      <c r="U2616" s="87">
        <v>1</v>
      </c>
      <c r="V2616" s="87">
        <v>117</v>
      </c>
      <c r="W2616" s="93" t="s">
        <v>7424</v>
      </c>
      <c r="X2616" s="87"/>
      <c r="Y2616" s="87"/>
      <c r="Z2616" s="87"/>
      <c r="AA2616" s="87" t="s">
        <v>10347</v>
      </c>
      <c r="AB2616" s="87" t="s">
        <v>11448</v>
      </c>
      <c r="AC2616" s="93" t="s">
        <v>11457</v>
      </c>
      <c r="AD2616" s="87" t="s">
        <v>11519</v>
      </c>
      <c r="AE2616" s="92" t="str">
        <f>HYPERLINK("https://twitter.com/serraempauta/status/1687926362269491200")</f>
        <v>https://twitter.com/serraempauta/status/1687926362269491200</v>
      </c>
      <c r="AF2616" s="90">
        <v>45143.860868055555</v>
      </c>
      <c r="AG2616" s="99">
        <v>45143</v>
      </c>
      <c r="AH2616" s="93" t="s">
        <v>13864</v>
      </c>
      <c r="AI2616" s="87" t="b">
        <v>0</v>
      </c>
      <c r="AJ2616" s="87"/>
      <c r="AK2616" s="87"/>
      <c r="AL2616" s="87"/>
      <c r="AM2616" s="87"/>
      <c r="AN2616" s="87"/>
      <c r="AO2616" s="87"/>
      <c r="AP2616" s="87"/>
      <c r="AQ2616" s="87" t="s">
        <v>17159</v>
      </c>
      <c r="AR2616" s="87"/>
      <c r="AS2616" s="87"/>
      <c r="AT2616" s="87"/>
      <c r="AU2616" s="87"/>
      <c r="AV2616" s="92" t="str">
        <f>HYPERLINK("https://pbs.twimg.com/media/F2y4DDUWYAAPOzE.jpg")</f>
        <v>https://pbs.twimg.com/media/F2y4DDUWYAAPOzE.jpg</v>
      </c>
      <c r="AW2616" s="93" t="s">
        <v>20777</v>
      </c>
      <c r="AX2616" s="93" t="s">
        <v>20777</v>
      </c>
      <c r="AY2616" s="87"/>
      <c r="AZ2616" s="93" t="s">
        <v>22668</v>
      </c>
      <c r="BA2616" s="93" t="s">
        <v>22668</v>
      </c>
      <c r="BB2616" s="93" t="s">
        <v>22668</v>
      </c>
      <c r="BC2616" s="93" t="s">
        <v>20777</v>
      </c>
      <c r="BD2616" s="93" t="s">
        <v>23269</v>
      </c>
      <c r="BE2616" s="87"/>
      <c r="BF2616" s="87"/>
      <c r="BG2616" s="87"/>
      <c r="BH2616" s="87"/>
      <c r="BI2616" s="87"/>
    </row>
    <row r="2617" spans="1:61" x14ac:dyDescent="0.25">
      <c r="A2617" s="63" t="s">
        <v>1058</v>
      </c>
      <c r="B2617" s="63" t="s">
        <v>1058</v>
      </c>
      <c r="C2617" s="64"/>
      <c r="D2617" s="65"/>
      <c r="E2617" s="66"/>
      <c r="F2617" s="67"/>
      <c r="G2617" s="64"/>
      <c r="H2617" s="68"/>
      <c r="I2617" s="69"/>
      <c r="J2617" s="69"/>
      <c r="K2617" s="32"/>
      <c r="L2617" s="76">
        <v>2617</v>
      </c>
      <c r="M2617" s="76"/>
      <c r="N2617" s="71"/>
      <c r="O2617" s="87" t="s">
        <v>179</v>
      </c>
      <c r="P2617" s="90">
        <v>45143.811365740738</v>
      </c>
      <c r="Q2617" s="87" t="s">
        <v>4334</v>
      </c>
      <c r="R2617" s="87">
        <v>0</v>
      </c>
      <c r="S2617" s="87">
        <v>1</v>
      </c>
      <c r="T2617" s="87">
        <v>0</v>
      </c>
      <c r="U2617" s="87">
        <v>0</v>
      </c>
      <c r="V2617" s="87">
        <v>73</v>
      </c>
      <c r="W2617" s="93" t="s">
        <v>7424</v>
      </c>
      <c r="X2617" s="87"/>
      <c r="Y2617" s="87"/>
      <c r="Z2617" s="87"/>
      <c r="AA2617" s="87" t="s">
        <v>10348</v>
      </c>
      <c r="AB2617" s="87" t="s">
        <v>11448</v>
      </c>
      <c r="AC2617" s="93" t="s">
        <v>11457</v>
      </c>
      <c r="AD2617" s="87" t="s">
        <v>11519</v>
      </c>
      <c r="AE2617" s="92" t="str">
        <f>HYPERLINK("https://twitter.com/serraempauta/status/1687908424565014528")</f>
        <v>https://twitter.com/serraempauta/status/1687908424565014528</v>
      </c>
      <c r="AF2617" s="90">
        <v>45143.811365740738</v>
      </c>
      <c r="AG2617" s="99">
        <v>45143</v>
      </c>
      <c r="AH2617" s="93" t="s">
        <v>13865</v>
      </c>
      <c r="AI2617" s="87" t="b">
        <v>0</v>
      </c>
      <c r="AJ2617" s="87"/>
      <c r="AK2617" s="87"/>
      <c r="AL2617" s="87"/>
      <c r="AM2617" s="87"/>
      <c r="AN2617" s="87"/>
      <c r="AO2617" s="87"/>
      <c r="AP2617" s="87"/>
      <c r="AQ2617" s="87" t="s">
        <v>17160</v>
      </c>
      <c r="AR2617" s="87"/>
      <c r="AS2617" s="87"/>
      <c r="AT2617" s="87"/>
      <c r="AU2617" s="87"/>
      <c r="AV2617" s="92" t="str">
        <f>HYPERLINK("https://pbs.twimg.com/media/F2ynt-OXsAI-qX4.jpg")</f>
        <v>https://pbs.twimg.com/media/F2ynt-OXsAI-qX4.jpg</v>
      </c>
      <c r="AW2617" s="93" t="s">
        <v>20778</v>
      </c>
      <c r="AX2617" s="93" t="s">
        <v>20778</v>
      </c>
      <c r="AY2617" s="87"/>
      <c r="AZ2617" s="93" t="s">
        <v>22668</v>
      </c>
      <c r="BA2617" s="93" t="s">
        <v>22668</v>
      </c>
      <c r="BB2617" s="93" t="s">
        <v>22668</v>
      </c>
      <c r="BC2617" s="93" t="s">
        <v>20778</v>
      </c>
      <c r="BD2617" s="93" t="s">
        <v>23269</v>
      </c>
      <c r="BE2617" s="87"/>
      <c r="BF2617" s="87"/>
      <c r="BG2617" s="87"/>
      <c r="BH2617" s="87"/>
      <c r="BI2617" s="87"/>
    </row>
    <row r="2618" spans="1:61" x14ac:dyDescent="0.25">
      <c r="A2618" s="63" t="s">
        <v>1058</v>
      </c>
      <c r="B2618" s="63" t="s">
        <v>1058</v>
      </c>
      <c r="C2618" s="64"/>
      <c r="D2618" s="65"/>
      <c r="E2618" s="66"/>
      <c r="F2618" s="67"/>
      <c r="G2618" s="64"/>
      <c r="H2618" s="68"/>
      <c r="I2618" s="69"/>
      <c r="J2618" s="69"/>
      <c r="K2618" s="32"/>
      <c r="L2618" s="76">
        <v>2618</v>
      </c>
      <c r="M2618" s="76"/>
      <c r="N2618" s="71"/>
      <c r="O2618" s="87" t="s">
        <v>179</v>
      </c>
      <c r="P2618" s="90">
        <v>45143.621944444443</v>
      </c>
      <c r="Q2618" s="87" t="s">
        <v>4335</v>
      </c>
      <c r="R2618" s="87">
        <v>0</v>
      </c>
      <c r="S2618" s="87">
        <v>0</v>
      </c>
      <c r="T2618" s="87">
        <v>0</v>
      </c>
      <c r="U2618" s="87">
        <v>0</v>
      </c>
      <c r="V2618" s="87">
        <v>48</v>
      </c>
      <c r="W2618" s="93" t="s">
        <v>7424</v>
      </c>
      <c r="X2618" s="87"/>
      <c r="Y2618" s="87"/>
      <c r="Z2618" s="87"/>
      <c r="AA2618" s="87" t="s">
        <v>10349</v>
      </c>
      <c r="AB2618" s="87" t="s">
        <v>11448</v>
      </c>
      <c r="AC2618" s="93" t="s">
        <v>11457</v>
      </c>
      <c r="AD2618" s="87" t="s">
        <v>11519</v>
      </c>
      <c r="AE2618" s="92" t="str">
        <f>HYPERLINK("https://twitter.com/serraempauta/status/1687839779184939008")</f>
        <v>https://twitter.com/serraempauta/status/1687839779184939008</v>
      </c>
      <c r="AF2618" s="90">
        <v>45143.621944444443</v>
      </c>
      <c r="AG2618" s="99">
        <v>45143</v>
      </c>
      <c r="AH2618" s="93" t="s">
        <v>13866</v>
      </c>
      <c r="AI2618" s="87" t="b">
        <v>0</v>
      </c>
      <c r="AJ2618" s="87"/>
      <c r="AK2618" s="87"/>
      <c r="AL2618" s="87"/>
      <c r="AM2618" s="87"/>
      <c r="AN2618" s="87"/>
      <c r="AO2618" s="87"/>
      <c r="AP2618" s="87"/>
      <c r="AQ2618" s="87" t="s">
        <v>17161</v>
      </c>
      <c r="AR2618" s="87"/>
      <c r="AS2618" s="87"/>
      <c r="AT2618" s="87"/>
      <c r="AU2618" s="87"/>
      <c r="AV2618" s="92" t="str">
        <f>HYPERLINK("https://pbs.twimg.com/media/F2xpSJTW0AAmAGN.jpg")</f>
        <v>https://pbs.twimg.com/media/F2xpSJTW0AAmAGN.jpg</v>
      </c>
      <c r="AW2618" s="93" t="s">
        <v>20779</v>
      </c>
      <c r="AX2618" s="93" t="s">
        <v>20779</v>
      </c>
      <c r="AY2618" s="87"/>
      <c r="AZ2618" s="93" t="s">
        <v>22668</v>
      </c>
      <c r="BA2618" s="93" t="s">
        <v>22668</v>
      </c>
      <c r="BB2618" s="93" t="s">
        <v>22668</v>
      </c>
      <c r="BC2618" s="93" t="s">
        <v>20779</v>
      </c>
      <c r="BD2618" s="93" t="s">
        <v>23269</v>
      </c>
      <c r="BE2618" s="87"/>
      <c r="BF2618" s="87"/>
      <c r="BG2618" s="87"/>
      <c r="BH2618" s="87"/>
      <c r="BI2618" s="87"/>
    </row>
    <row r="2619" spans="1:61" x14ac:dyDescent="0.25">
      <c r="A2619" s="63" t="s">
        <v>1058</v>
      </c>
      <c r="B2619" s="63" t="s">
        <v>1058</v>
      </c>
      <c r="C2619" s="64"/>
      <c r="D2619" s="65"/>
      <c r="E2619" s="66"/>
      <c r="F2619" s="67"/>
      <c r="G2619" s="64"/>
      <c r="H2619" s="68"/>
      <c r="I2619" s="69"/>
      <c r="J2619" s="69"/>
      <c r="K2619" s="32"/>
      <c r="L2619" s="76">
        <v>2619</v>
      </c>
      <c r="M2619" s="76"/>
      <c r="N2619" s="71"/>
      <c r="O2619" s="87" t="s">
        <v>179</v>
      </c>
      <c r="P2619" s="90">
        <v>45143.595196759263</v>
      </c>
      <c r="Q2619" s="87" t="s">
        <v>4336</v>
      </c>
      <c r="R2619" s="87">
        <v>0</v>
      </c>
      <c r="S2619" s="87">
        <v>0</v>
      </c>
      <c r="T2619" s="87">
        <v>0</v>
      </c>
      <c r="U2619" s="87">
        <v>0</v>
      </c>
      <c r="V2619" s="87">
        <v>52</v>
      </c>
      <c r="W2619" s="93" t="s">
        <v>7424</v>
      </c>
      <c r="X2619" s="87"/>
      <c r="Y2619" s="87"/>
      <c r="Z2619" s="87"/>
      <c r="AA2619" s="87" t="s">
        <v>10350</v>
      </c>
      <c r="AB2619" s="87" t="s">
        <v>11448</v>
      </c>
      <c r="AC2619" s="93" t="s">
        <v>11457</v>
      </c>
      <c r="AD2619" s="87" t="s">
        <v>11519</v>
      </c>
      <c r="AE2619" s="92" t="str">
        <f>HYPERLINK("https://twitter.com/serraempauta/status/1687830084755787776")</f>
        <v>https://twitter.com/serraempauta/status/1687830084755787776</v>
      </c>
      <c r="AF2619" s="90">
        <v>45143.595196759263</v>
      </c>
      <c r="AG2619" s="99">
        <v>45143</v>
      </c>
      <c r="AH2619" s="93" t="s">
        <v>13867</v>
      </c>
      <c r="AI2619" s="87" t="b">
        <v>0</v>
      </c>
      <c r="AJ2619" s="87"/>
      <c r="AK2619" s="87"/>
      <c r="AL2619" s="87"/>
      <c r="AM2619" s="87"/>
      <c r="AN2619" s="87"/>
      <c r="AO2619" s="87"/>
      <c r="AP2619" s="87"/>
      <c r="AQ2619" s="87" t="s">
        <v>17162</v>
      </c>
      <c r="AR2619" s="87"/>
      <c r="AS2619" s="87"/>
      <c r="AT2619" s="87"/>
      <c r="AU2619" s="87"/>
      <c r="AV2619" s="92" t="str">
        <f>HYPERLINK("https://pbs.twimg.com/media/F2xgcYtWgAAEAy-.jpg")</f>
        <v>https://pbs.twimg.com/media/F2xgcYtWgAAEAy-.jpg</v>
      </c>
      <c r="AW2619" s="93" t="s">
        <v>20780</v>
      </c>
      <c r="AX2619" s="93" t="s">
        <v>20780</v>
      </c>
      <c r="AY2619" s="87"/>
      <c r="AZ2619" s="93" t="s">
        <v>22668</v>
      </c>
      <c r="BA2619" s="93" t="s">
        <v>22668</v>
      </c>
      <c r="BB2619" s="93" t="s">
        <v>22668</v>
      </c>
      <c r="BC2619" s="93" t="s">
        <v>20780</v>
      </c>
      <c r="BD2619" s="93" t="s">
        <v>23269</v>
      </c>
      <c r="BE2619" s="87"/>
      <c r="BF2619" s="87"/>
      <c r="BG2619" s="87"/>
      <c r="BH2619" s="87"/>
      <c r="BI2619" s="87"/>
    </row>
    <row r="2620" spans="1:61" x14ac:dyDescent="0.25">
      <c r="A2620" s="63" t="s">
        <v>1058</v>
      </c>
      <c r="B2620" s="63" t="s">
        <v>1058</v>
      </c>
      <c r="C2620" s="64"/>
      <c r="D2620" s="65"/>
      <c r="E2620" s="66"/>
      <c r="F2620" s="67"/>
      <c r="G2620" s="64"/>
      <c r="H2620" s="68"/>
      <c r="I2620" s="69"/>
      <c r="J2620" s="69"/>
      <c r="K2620" s="32"/>
      <c r="L2620" s="76">
        <v>2620</v>
      </c>
      <c r="M2620" s="76"/>
      <c r="N2620" s="71"/>
      <c r="O2620" s="87" t="s">
        <v>179</v>
      </c>
      <c r="P2620" s="90">
        <v>45143.549849537034</v>
      </c>
      <c r="Q2620" s="87" t="s">
        <v>4337</v>
      </c>
      <c r="R2620" s="87">
        <v>0</v>
      </c>
      <c r="S2620" s="87">
        <v>0</v>
      </c>
      <c r="T2620" s="87">
        <v>0</v>
      </c>
      <c r="U2620" s="87">
        <v>0</v>
      </c>
      <c r="V2620" s="87">
        <v>61</v>
      </c>
      <c r="W2620" s="93" t="s">
        <v>7424</v>
      </c>
      <c r="X2620" s="87"/>
      <c r="Y2620" s="87"/>
      <c r="Z2620" s="87"/>
      <c r="AA2620" s="87" t="s">
        <v>10351</v>
      </c>
      <c r="AB2620" s="87" t="s">
        <v>11448</v>
      </c>
      <c r="AC2620" s="93" t="s">
        <v>11457</v>
      </c>
      <c r="AD2620" s="87" t="s">
        <v>11519</v>
      </c>
      <c r="AE2620" s="92" t="str">
        <f>HYPERLINK("https://twitter.com/serraempauta/status/1687813651506376704")</f>
        <v>https://twitter.com/serraempauta/status/1687813651506376704</v>
      </c>
      <c r="AF2620" s="90">
        <v>45143.549849537034</v>
      </c>
      <c r="AG2620" s="99">
        <v>45143</v>
      </c>
      <c r="AH2620" s="93" t="s">
        <v>13868</v>
      </c>
      <c r="AI2620" s="87" t="b">
        <v>0</v>
      </c>
      <c r="AJ2620" s="87"/>
      <c r="AK2620" s="87"/>
      <c r="AL2620" s="87"/>
      <c r="AM2620" s="87"/>
      <c r="AN2620" s="87"/>
      <c r="AO2620" s="87"/>
      <c r="AP2620" s="87"/>
      <c r="AQ2620" s="87" t="s">
        <v>17163</v>
      </c>
      <c r="AR2620" s="87"/>
      <c r="AS2620" s="87"/>
      <c r="AT2620" s="87"/>
      <c r="AU2620" s="87"/>
      <c r="AV2620" s="92" t="str">
        <f>HYPERLINK("https://pbs.twimg.com/media/F2xRkIlXMAAD95A.jpg")</f>
        <v>https://pbs.twimg.com/media/F2xRkIlXMAAD95A.jpg</v>
      </c>
      <c r="AW2620" s="93" t="s">
        <v>20781</v>
      </c>
      <c r="AX2620" s="93" t="s">
        <v>20781</v>
      </c>
      <c r="AY2620" s="87"/>
      <c r="AZ2620" s="93" t="s">
        <v>22668</v>
      </c>
      <c r="BA2620" s="93" t="s">
        <v>22668</v>
      </c>
      <c r="BB2620" s="93" t="s">
        <v>22668</v>
      </c>
      <c r="BC2620" s="93" t="s">
        <v>20781</v>
      </c>
      <c r="BD2620" s="93" t="s">
        <v>23269</v>
      </c>
      <c r="BE2620" s="87"/>
      <c r="BF2620" s="87"/>
      <c r="BG2620" s="87"/>
      <c r="BH2620" s="87"/>
      <c r="BI2620" s="87"/>
    </row>
    <row r="2621" spans="1:61" x14ac:dyDescent="0.25">
      <c r="A2621" s="63" t="s">
        <v>1058</v>
      </c>
      <c r="B2621" s="63" t="s">
        <v>1058</v>
      </c>
      <c r="C2621" s="64"/>
      <c r="D2621" s="65"/>
      <c r="E2621" s="66"/>
      <c r="F2621" s="67"/>
      <c r="G2621" s="64"/>
      <c r="H2621" s="68"/>
      <c r="I2621" s="69"/>
      <c r="J2621" s="69"/>
      <c r="K2621" s="32"/>
      <c r="L2621" s="76">
        <v>2621</v>
      </c>
      <c r="M2621" s="76"/>
      <c r="N2621" s="71"/>
      <c r="O2621" s="87" t="s">
        <v>179</v>
      </c>
      <c r="P2621" s="90">
        <v>45143.53162037037</v>
      </c>
      <c r="Q2621" s="87" t="s">
        <v>4338</v>
      </c>
      <c r="R2621" s="87">
        <v>0</v>
      </c>
      <c r="S2621" s="87">
        <v>0</v>
      </c>
      <c r="T2621" s="87">
        <v>0</v>
      </c>
      <c r="U2621" s="87">
        <v>0</v>
      </c>
      <c r="V2621" s="87">
        <v>38</v>
      </c>
      <c r="W2621" s="93" t="s">
        <v>7424</v>
      </c>
      <c r="X2621" s="87"/>
      <c r="Y2621" s="87"/>
      <c r="Z2621" s="87"/>
      <c r="AA2621" s="87" t="s">
        <v>10352</v>
      </c>
      <c r="AB2621" s="87" t="s">
        <v>11448</v>
      </c>
      <c r="AC2621" s="93" t="s">
        <v>11457</v>
      </c>
      <c r="AD2621" s="87" t="s">
        <v>11519</v>
      </c>
      <c r="AE2621" s="92" t="str">
        <f>HYPERLINK("https://twitter.com/serraempauta/status/1687807047457243136")</f>
        <v>https://twitter.com/serraempauta/status/1687807047457243136</v>
      </c>
      <c r="AF2621" s="90">
        <v>45143.53162037037</v>
      </c>
      <c r="AG2621" s="99">
        <v>45143</v>
      </c>
      <c r="AH2621" s="93" t="s">
        <v>13869</v>
      </c>
      <c r="AI2621" s="87" t="b">
        <v>0</v>
      </c>
      <c r="AJ2621" s="87"/>
      <c r="AK2621" s="87"/>
      <c r="AL2621" s="87"/>
      <c r="AM2621" s="87"/>
      <c r="AN2621" s="87"/>
      <c r="AO2621" s="87"/>
      <c r="AP2621" s="87"/>
      <c r="AQ2621" s="87" t="s">
        <v>17164</v>
      </c>
      <c r="AR2621" s="87"/>
      <c r="AS2621" s="87"/>
      <c r="AT2621" s="87"/>
      <c r="AU2621" s="87"/>
      <c r="AV2621" s="92" t="str">
        <f>HYPERLINK("https://pbs.twimg.com/media/F2xLeOTWQAALB48.jpg")</f>
        <v>https://pbs.twimg.com/media/F2xLeOTWQAALB48.jpg</v>
      </c>
      <c r="AW2621" s="93" t="s">
        <v>20782</v>
      </c>
      <c r="AX2621" s="93" t="s">
        <v>20782</v>
      </c>
      <c r="AY2621" s="87"/>
      <c r="AZ2621" s="93" t="s">
        <v>22668</v>
      </c>
      <c r="BA2621" s="93" t="s">
        <v>22668</v>
      </c>
      <c r="BB2621" s="93" t="s">
        <v>22668</v>
      </c>
      <c r="BC2621" s="93" t="s">
        <v>20782</v>
      </c>
      <c r="BD2621" s="93" t="s">
        <v>23269</v>
      </c>
      <c r="BE2621" s="87"/>
      <c r="BF2621" s="87"/>
      <c r="BG2621" s="87"/>
      <c r="BH2621" s="87"/>
      <c r="BI2621" s="87"/>
    </row>
    <row r="2622" spans="1:61" x14ac:dyDescent="0.25">
      <c r="A2622" s="63" t="s">
        <v>1058</v>
      </c>
      <c r="B2622" s="63" t="s">
        <v>1058</v>
      </c>
      <c r="C2622" s="64"/>
      <c r="D2622" s="65"/>
      <c r="E2622" s="66"/>
      <c r="F2622" s="67"/>
      <c r="G2622" s="64"/>
      <c r="H2622" s="68"/>
      <c r="I2622" s="69"/>
      <c r="J2622" s="69"/>
      <c r="K2622" s="32"/>
      <c r="L2622" s="76">
        <v>2622</v>
      </c>
      <c r="M2622" s="76"/>
      <c r="N2622" s="71"/>
      <c r="O2622" s="87" t="s">
        <v>179</v>
      </c>
      <c r="P2622" s="90">
        <v>45142.966840277775</v>
      </c>
      <c r="Q2622" s="87" t="s">
        <v>4339</v>
      </c>
      <c r="R2622" s="87">
        <v>0</v>
      </c>
      <c r="S2622" s="87">
        <v>0</v>
      </c>
      <c r="T2622" s="87">
        <v>0</v>
      </c>
      <c r="U2622" s="87">
        <v>0</v>
      </c>
      <c r="V2622" s="87">
        <v>49</v>
      </c>
      <c r="W2622" s="93" t="s">
        <v>7424</v>
      </c>
      <c r="X2622" s="87"/>
      <c r="Y2622" s="87"/>
      <c r="Z2622" s="87"/>
      <c r="AA2622" s="87" t="s">
        <v>10353</v>
      </c>
      <c r="AB2622" s="87" t="s">
        <v>11448</v>
      </c>
      <c r="AC2622" s="93" t="s">
        <v>11457</v>
      </c>
      <c r="AD2622" s="87" t="s">
        <v>11519</v>
      </c>
      <c r="AE2622" s="92" t="str">
        <f>HYPERLINK("https://twitter.com/serraempauta/status/1687602375857438720")</f>
        <v>https://twitter.com/serraempauta/status/1687602375857438720</v>
      </c>
      <c r="AF2622" s="90">
        <v>45142.966840277775</v>
      </c>
      <c r="AG2622" s="99">
        <v>45142</v>
      </c>
      <c r="AH2622" s="93" t="s">
        <v>13870</v>
      </c>
      <c r="AI2622" s="87" t="b">
        <v>0</v>
      </c>
      <c r="AJ2622" s="87"/>
      <c r="AK2622" s="87"/>
      <c r="AL2622" s="87"/>
      <c r="AM2622" s="87"/>
      <c r="AN2622" s="87"/>
      <c r="AO2622" s="87"/>
      <c r="AP2622" s="87"/>
      <c r="AQ2622" s="87" t="s">
        <v>17165</v>
      </c>
      <c r="AR2622" s="87"/>
      <c r="AS2622" s="87"/>
      <c r="AT2622" s="87"/>
      <c r="AU2622" s="87"/>
      <c r="AV2622" s="92" t="str">
        <f>HYPERLINK("https://pbs.twimg.com/media/F2uRaWNWYAAiZyK.jpg")</f>
        <v>https://pbs.twimg.com/media/F2uRaWNWYAAiZyK.jpg</v>
      </c>
      <c r="AW2622" s="93" t="s">
        <v>20783</v>
      </c>
      <c r="AX2622" s="93" t="s">
        <v>20783</v>
      </c>
      <c r="AY2622" s="87"/>
      <c r="AZ2622" s="93" t="s">
        <v>22668</v>
      </c>
      <c r="BA2622" s="93" t="s">
        <v>22668</v>
      </c>
      <c r="BB2622" s="93" t="s">
        <v>22668</v>
      </c>
      <c r="BC2622" s="93" t="s">
        <v>20783</v>
      </c>
      <c r="BD2622" s="93" t="s">
        <v>23269</v>
      </c>
      <c r="BE2622" s="87"/>
      <c r="BF2622" s="87"/>
      <c r="BG2622" s="87"/>
      <c r="BH2622" s="87"/>
      <c r="BI2622" s="87"/>
    </row>
    <row r="2623" spans="1:61" x14ac:dyDescent="0.25">
      <c r="A2623" s="63" t="s">
        <v>1058</v>
      </c>
      <c r="B2623" s="63" t="s">
        <v>1058</v>
      </c>
      <c r="C2623" s="64"/>
      <c r="D2623" s="65"/>
      <c r="E2623" s="66"/>
      <c r="F2623" s="67"/>
      <c r="G2623" s="64"/>
      <c r="H2623" s="68"/>
      <c r="I2623" s="69"/>
      <c r="J2623" s="69"/>
      <c r="K2623" s="32"/>
      <c r="L2623" s="76">
        <v>2623</v>
      </c>
      <c r="M2623" s="76"/>
      <c r="N2623" s="71"/>
      <c r="O2623" s="87" t="s">
        <v>179</v>
      </c>
      <c r="P2623" s="90">
        <v>45142.948113425926</v>
      </c>
      <c r="Q2623" s="87" t="s">
        <v>4340</v>
      </c>
      <c r="R2623" s="87">
        <v>0</v>
      </c>
      <c r="S2623" s="87">
        <v>0</v>
      </c>
      <c r="T2623" s="87">
        <v>0</v>
      </c>
      <c r="U2623" s="87">
        <v>0</v>
      </c>
      <c r="V2623" s="87">
        <v>53</v>
      </c>
      <c r="W2623" s="93" t="s">
        <v>7424</v>
      </c>
      <c r="X2623" s="87"/>
      <c r="Y2623" s="87"/>
      <c r="Z2623" s="87"/>
      <c r="AA2623" s="87" t="s">
        <v>10354</v>
      </c>
      <c r="AB2623" s="87" t="s">
        <v>11448</v>
      </c>
      <c r="AC2623" s="93" t="s">
        <v>11457</v>
      </c>
      <c r="AD2623" s="87" t="s">
        <v>11519</v>
      </c>
      <c r="AE2623" s="92" t="str">
        <f>HYPERLINK("https://twitter.com/serraempauta/status/1687595590996185088")</f>
        <v>https://twitter.com/serraempauta/status/1687595590996185088</v>
      </c>
      <c r="AF2623" s="90">
        <v>45142.948113425926</v>
      </c>
      <c r="AG2623" s="99">
        <v>45142</v>
      </c>
      <c r="AH2623" s="93" t="s">
        <v>13871</v>
      </c>
      <c r="AI2623" s="87" t="b">
        <v>0</v>
      </c>
      <c r="AJ2623" s="87"/>
      <c r="AK2623" s="87"/>
      <c r="AL2623" s="87"/>
      <c r="AM2623" s="87"/>
      <c r="AN2623" s="87"/>
      <c r="AO2623" s="87"/>
      <c r="AP2623" s="87"/>
      <c r="AQ2623" s="87" t="s">
        <v>17166</v>
      </c>
      <c r="AR2623" s="87"/>
      <c r="AS2623" s="87"/>
      <c r="AT2623" s="87"/>
      <c r="AU2623" s="87"/>
      <c r="AV2623" s="92" t="str">
        <f>HYPERLINK("https://pbs.twimg.com/media/F2uLPDUXkAAJu8k.jpg")</f>
        <v>https://pbs.twimg.com/media/F2uLPDUXkAAJu8k.jpg</v>
      </c>
      <c r="AW2623" s="93" t="s">
        <v>20784</v>
      </c>
      <c r="AX2623" s="93" t="s">
        <v>20784</v>
      </c>
      <c r="AY2623" s="87"/>
      <c r="AZ2623" s="93" t="s">
        <v>22668</v>
      </c>
      <c r="BA2623" s="93" t="s">
        <v>22668</v>
      </c>
      <c r="BB2623" s="93" t="s">
        <v>22668</v>
      </c>
      <c r="BC2623" s="93" t="s">
        <v>20784</v>
      </c>
      <c r="BD2623" s="93" t="s">
        <v>23269</v>
      </c>
      <c r="BE2623" s="87"/>
      <c r="BF2623" s="87"/>
      <c r="BG2623" s="87"/>
      <c r="BH2623" s="87"/>
      <c r="BI2623" s="87"/>
    </row>
    <row r="2624" spans="1:61" x14ac:dyDescent="0.25">
      <c r="A2624" s="63" t="s">
        <v>1058</v>
      </c>
      <c r="B2624" s="63" t="s">
        <v>1058</v>
      </c>
      <c r="C2624" s="64"/>
      <c r="D2624" s="65"/>
      <c r="E2624" s="66"/>
      <c r="F2624" s="67"/>
      <c r="G2624" s="64"/>
      <c r="H2624" s="68"/>
      <c r="I2624" s="69"/>
      <c r="J2624" s="69"/>
      <c r="K2624" s="32"/>
      <c r="L2624" s="76">
        <v>2624</v>
      </c>
      <c r="M2624" s="76"/>
      <c r="N2624" s="71"/>
      <c r="O2624" s="87" t="s">
        <v>179</v>
      </c>
      <c r="P2624" s="90">
        <v>45142.7266087963</v>
      </c>
      <c r="Q2624" s="87" t="s">
        <v>4341</v>
      </c>
      <c r="R2624" s="87">
        <v>0</v>
      </c>
      <c r="S2624" s="87">
        <v>0</v>
      </c>
      <c r="T2624" s="87">
        <v>0</v>
      </c>
      <c r="U2624" s="87">
        <v>0</v>
      </c>
      <c r="V2624" s="87">
        <v>71</v>
      </c>
      <c r="W2624" s="93" t="s">
        <v>7424</v>
      </c>
      <c r="X2624" s="87"/>
      <c r="Y2624" s="87"/>
      <c r="Z2624" s="87"/>
      <c r="AA2624" s="87" t="s">
        <v>10355</v>
      </c>
      <c r="AB2624" s="87" t="s">
        <v>11448</v>
      </c>
      <c r="AC2624" s="93" t="s">
        <v>11457</v>
      </c>
      <c r="AD2624" s="87" t="s">
        <v>11519</v>
      </c>
      <c r="AE2624" s="92" t="str">
        <f>HYPERLINK("https://twitter.com/serraempauta/status/1687515319760195585")</f>
        <v>https://twitter.com/serraempauta/status/1687515319760195585</v>
      </c>
      <c r="AF2624" s="90">
        <v>45142.7266087963</v>
      </c>
      <c r="AG2624" s="99">
        <v>45142</v>
      </c>
      <c r="AH2624" s="93" t="s">
        <v>13872</v>
      </c>
      <c r="AI2624" s="87" t="b">
        <v>0</v>
      </c>
      <c r="AJ2624" s="87"/>
      <c r="AK2624" s="87"/>
      <c r="AL2624" s="87"/>
      <c r="AM2624" s="87"/>
      <c r="AN2624" s="87"/>
      <c r="AO2624" s="87"/>
      <c r="AP2624" s="87"/>
      <c r="AQ2624" s="87" t="s">
        <v>17167</v>
      </c>
      <c r="AR2624" s="87"/>
      <c r="AS2624" s="87"/>
      <c r="AT2624" s="87"/>
      <c r="AU2624" s="87"/>
      <c r="AV2624" s="92" t="str">
        <f>HYPERLINK("https://pbs.twimg.com/media/F2tCPEYXUAMhqAo.jpg")</f>
        <v>https://pbs.twimg.com/media/F2tCPEYXUAMhqAo.jpg</v>
      </c>
      <c r="AW2624" s="93" t="s">
        <v>20785</v>
      </c>
      <c r="AX2624" s="93" t="s">
        <v>20785</v>
      </c>
      <c r="AY2624" s="87"/>
      <c r="AZ2624" s="93" t="s">
        <v>22668</v>
      </c>
      <c r="BA2624" s="93" t="s">
        <v>22668</v>
      </c>
      <c r="BB2624" s="93" t="s">
        <v>22668</v>
      </c>
      <c r="BC2624" s="93" t="s">
        <v>20785</v>
      </c>
      <c r="BD2624" s="93" t="s">
        <v>23269</v>
      </c>
      <c r="BE2624" s="87"/>
      <c r="BF2624" s="87"/>
      <c r="BG2624" s="87"/>
      <c r="BH2624" s="87"/>
      <c r="BI2624" s="87"/>
    </row>
    <row r="2625" spans="1:61" x14ac:dyDescent="0.25">
      <c r="A2625" s="63" t="s">
        <v>1058</v>
      </c>
      <c r="B2625" s="63" t="s">
        <v>1058</v>
      </c>
      <c r="C2625" s="64"/>
      <c r="D2625" s="65"/>
      <c r="E2625" s="66"/>
      <c r="F2625" s="67"/>
      <c r="G2625" s="64"/>
      <c r="H2625" s="68"/>
      <c r="I2625" s="69"/>
      <c r="J2625" s="69"/>
      <c r="K2625" s="32"/>
      <c r="L2625" s="76">
        <v>2625</v>
      </c>
      <c r="M2625" s="76"/>
      <c r="N2625" s="71"/>
      <c r="O2625" s="87" t="s">
        <v>179</v>
      </c>
      <c r="P2625" s="90">
        <v>45132.691782407404</v>
      </c>
      <c r="Q2625" s="87" t="s">
        <v>4342</v>
      </c>
      <c r="R2625" s="87">
        <v>1</v>
      </c>
      <c r="S2625" s="87">
        <v>1</v>
      </c>
      <c r="T2625" s="87">
        <v>0</v>
      </c>
      <c r="U2625" s="87">
        <v>0</v>
      </c>
      <c r="V2625" s="87">
        <v>41</v>
      </c>
      <c r="W2625" s="93" t="s">
        <v>7424</v>
      </c>
      <c r="X2625" s="87"/>
      <c r="Y2625" s="87"/>
      <c r="Z2625" s="87"/>
      <c r="AA2625" s="87" t="s">
        <v>10356</v>
      </c>
      <c r="AB2625" s="87" t="s">
        <v>11448</v>
      </c>
      <c r="AC2625" s="93" t="s">
        <v>11457</v>
      </c>
      <c r="AD2625" s="87" t="s">
        <v>11519</v>
      </c>
      <c r="AE2625" s="92" t="str">
        <f>HYPERLINK("https://twitter.com/serraempauta/status/1683878820640686081")</f>
        <v>https://twitter.com/serraempauta/status/1683878820640686081</v>
      </c>
      <c r="AF2625" s="90">
        <v>45132.691782407404</v>
      </c>
      <c r="AG2625" s="99">
        <v>45132</v>
      </c>
      <c r="AH2625" s="93" t="s">
        <v>13873</v>
      </c>
      <c r="AI2625" s="87" t="b">
        <v>0</v>
      </c>
      <c r="AJ2625" s="87"/>
      <c r="AK2625" s="87"/>
      <c r="AL2625" s="87"/>
      <c r="AM2625" s="87"/>
      <c r="AN2625" s="87"/>
      <c r="AO2625" s="87"/>
      <c r="AP2625" s="87"/>
      <c r="AQ2625" s="87" t="s">
        <v>17168</v>
      </c>
      <c r="AR2625" s="87"/>
      <c r="AS2625" s="87"/>
      <c r="AT2625" s="87"/>
      <c r="AU2625" s="87"/>
      <c r="AV2625" s="92" t="str">
        <f>HYPERLINK("https://pbs.twimg.com/media/F15W2uCXsAMwKJQ.jpg")</f>
        <v>https://pbs.twimg.com/media/F15W2uCXsAMwKJQ.jpg</v>
      </c>
      <c r="AW2625" s="93" t="s">
        <v>20786</v>
      </c>
      <c r="AX2625" s="93" t="s">
        <v>20786</v>
      </c>
      <c r="AY2625" s="87"/>
      <c r="AZ2625" s="93" t="s">
        <v>22668</v>
      </c>
      <c r="BA2625" s="93" t="s">
        <v>22668</v>
      </c>
      <c r="BB2625" s="93" t="s">
        <v>22668</v>
      </c>
      <c r="BC2625" s="93" t="s">
        <v>20786</v>
      </c>
      <c r="BD2625" s="93" t="s">
        <v>23269</v>
      </c>
      <c r="BE2625" s="87"/>
      <c r="BF2625" s="87"/>
      <c r="BG2625" s="87"/>
      <c r="BH2625" s="87"/>
      <c r="BI2625" s="87"/>
    </row>
    <row r="2626" spans="1:61" x14ac:dyDescent="0.25">
      <c r="A2626" s="63" t="s">
        <v>1058</v>
      </c>
      <c r="B2626" s="63" t="s">
        <v>1058</v>
      </c>
      <c r="C2626" s="64"/>
      <c r="D2626" s="65"/>
      <c r="E2626" s="66"/>
      <c r="F2626" s="67"/>
      <c r="G2626" s="64"/>
      <c r="H2626" s="68"/>
      <c r="I2626" s="69"/>
      <c r="J2626" s="69"/>
      <c r="K2626" s="32"/>
      <c r="L2626" s="76">
        <v>2626</v>
      </c>
      <c r="M2626" s="76"/>
      <c r="N2626" s="71"/>
      <c r="O2626" s="87" t="s">
        <v>179</v>
      </c>
      <c r="P2626" s="90">
        <v>45132.666296296295</v>
      </c>
      <c r="Q2626" s="87" t="s">
        <v>4343</v>
      </c>
      <c r="R2626" s="87">
        <v>1</v>
      </c>
      <c r="S2626" s="87">
        <v>1</v>
      </c>
      <c r="T2626" s="87">
        <v>0</v>
      </c>
      <c r="U2626" s="87">
        <v>0</v>
      </c>
      <c r="V2626" s="87">
        <v>75</v>
      </c>
      <c r="W2626" s="93" t="s">
        <v>7424</v>
      </c>
      <c r="X2626" s="87"/>
      <c r="Y2626" s="87"/>
      <c r="Z2626" s="87"/>
      <c r="AA2626" s="87" t="s">
        <v>10357</v>
      </c>
      <c r="AB2626" s="87" t="s">
        <v>11448</v>
      </c>
      <c r="AC2626" s="93" t="s">
        <v>11457</v>
      </c>
      <c r="AD2626" s="87" t="s">
        <v>11519</v>
      </c>
      <c r="AE2626" s="92" t="str">
        <f>HYPERLINK("https://twitter.com/serraempauta/status/1683869584670044163")</f>
        <v>https://twitter.com/serraempauta/status/1683869584670044163</v>
      </c>
      <c r="AF2626" s="90">
        <v>45132.666296296295</v>
      </c>
      <c r="AG2626" s="99">
        <v>45132</v>
      </c>
      <c r="AH2626" s="93" t="s">
        <v>13874</v>
      </c>
      <c r="AI2626" s="87" t="b">
        <v>0</v>
      </c>
      <c r="AJ2626" s="87"/>
      <c r="AK2626" s="87"/>
      <c r="AL2626" s="87"/>
      <c r="AM2626" s="87"/>
      <c r="AN2626" s="87"/>
      <c r="AO2626" s="87"/>
      <c r="AP2626" s="87"/>
      <c r="AQ2626" s="87" t="s">
        <v>17169</v>
      </c>
      <c r="AR2626" s="87"/>
      <c r="AS2626" s="87"/>
      <c r="AT2626" s="87"/>
      <c r="AU2626" s="87"/>
      <c r="AV2626" s="92" t="str">
        <f>HYPERLINK("https://pbs.twimg.com/media/F15OdI7XoAURLxE.jpg")</f>
        <v>https://pbs.twimg.com/media/F15OdI7XoAURLxE.jpg</v>
      </c>
      <c r="AW2626" s="93" t="s">
        <v>20787</v>
      </c>
      <c r="AX2626" s="93" t="s">
        <v>20787</v>
      </c>
      <c r="AY2626" s="87"/>
      <c r="AZ2626" s="93" t="s">
        <v>22668</v>
      </c>
      <c r="BA2626" s="93" t="s">
        <v>22668</v>
      </c>
      <c r="BB2626" s="93" t="s">
        <v>22668</v>
      </c>
      <c r="BC2626" s="93" t="s">
        <v>20787</v>
      </c>
      <c r="BD2626" s="93" t="s">
        <v>23269</v>
      </c>
      <c r="BE2626" s="87"/>
      <c r="BF2626" s="87"/>
      <c r="BG2626" s="87"/>
      <c r="BH2626" s="87"/>
      <c r="BI2626" s="87"/>
    </row>
    <row r="2627" spans="1:61" x14ac:dyDescent="0.25">
      <c r="A2627" s="63" t="s">
        <v>1058</v>
      </c>
      <c r="B2627" s="63" t="s">
        <v>1058</v>
      </c>
      <c r="C2627" s="64"/>
      <c r="D2627" s="65"/>
      <c r="E2627" s="66"/>
      <c r="F2627" s="67"/>
      <c r="G2627" s="64"/>
      <c r="H2627" s="68"/>
      <c r="I2627" s="69"/>
      <c r="J2627" s="69"/>
      <c r="K2627" s="32"/>
      <c r="L2627" s="76">
        <v>2627</v>
      </c>
      <c r="M2627" s="76"/>
      <c r="N2627" s="71"/>
      <c r="O2627" s="87" t="s">
        <v>179</v>
      </c>
      <c r="P2627" s="90">
        <v>45132.596979166665</v>
      </c>
      <c r="Q2627" s="87" t="s">
        <v>4344</v>
      </c>
      <c r="R2627" s="87">
        <v>0</v>
      </c>
      <c r="S2627" s="87">
        <v>0</v>
      </c>
      <c r="T2627" s="87">
        <v>0</v>
      </c>
      <c r="U2627" s="87">
        <v>0</v>
      </c>
      <c r="V2627" s="87">
        <v>34</v>
      </c>
      <c r="W2627" s="93" t="s">
        <v>7424</v>
      </c>
      <c r="X2627" s="87"/>
      <c r="Y2627" s="87"/>
      <c r="Z2627" s="87"/>
      <c r="AA2627" s="87" t="s">
        <v>10358</v>
      </c>
      <c r="AB2627" s="87" t="s">
        <v>11448</v>
      </c>
      <c r="AC2627" s="93" t="s">
        <v>11457</v>
      </c>
      <c r="AD2627" s="87" t="s">
        <v>11519</v>
      </c>
      <c r="AE2627" s="92" t="str">
        <f>HYPERLINK("https://twitter.com/serraempauta/status/1683844464366718976")</f>
        <v>https://twitter.com/serraempauta/status/1683844464366718976</v>
      </c>
      <c r="AF2627" s="90">
        <v>45132.596979166665</v>
      </c>
      <c r="AG2627" s="99">
        <v>45132</v>
      </c>
      <c r="AH2627" s="93" t="s">
        <v>13875</v>
      </c>
      <c r="AI2627" s="87" t="b">
        <v>0</v>
      </c>
      <c r="AJ2627" s="87"/>
      <c r="AK2627" s="87"/>
      <c r="AL2627" s="87"/>
      <c r="AM2627" s="87"/>
      <c r="AN2627" s="87"/>
      <c r="AO2627" s="87"/>
      <c r="AP2627" s="87"/>
      <c r="AQ2627" s="87" t="s">
        <v>17170</v>
      </c>
      <c r="AR2627" s="87"/>
      <c r="AS2627" s="87"/>
      <c r="AT2627" s="87"/>
      <c r="AU2627" s="87"/>
      <c r="AV2627" s="92" t="str">
        <f>HYPERLINK("https://pbs.twimg.com/media/F143V87XwAMURCa.jpg")</f>
        <v>https://pbs.twimg.com/media/F143V87XwAMURCa.jpg</v>
      </c>
      <c r="AW2627" s="93" t="s">
        <v>20788</v>
      </c>
      <c r="AX2627" s="93" t="s">
        <v>20788</v>
      </c>
      <c r="AY2627" s="87"/>
      <c r="AZ2627" s="93" t="s">
        <v>22668</v>
      </c>
      <c r="BA2627" s="93" t="s">
        <v>22668</v>
      </c>
      <c r="BB2627" s="93" t="s">
        <v>22668</v>
      </c>
      <c r="BC2627" s="93" t="s">
        <v>20788</v>
      </c>
      <c r="BD2627" s="93" t="s">
        <v>23269</v>
      </c>
      <c r="BE2627" s="87"/>
      <c r="BF2627" s="87"/>
      <c r="BG2627" s="87"/>
      <c r="BH2627" s="87"/>
      <c r="BI2627" s="87"/>
    </row>
    <row r="2628" spans="1:61" x14ac:dyDescent="0.25">
      <c r="A2628" s="63" t="s">
        <v>1058</v>
      </c>
      <c r="B2628" s="63" t="s">
        <v>1058</v>
      </c>
      <c r="C2628" s="64"/>
      <c r="D2628" s="65"/>
      <c r="E2628" s="66"/>
      <c r="F2628" s="67"/>
      <c r="G2628" s="64"/>
      <c r="H2628" s="68"/>
      <c r="I2628" s="69"/>
      <c r="J2628" s="69"/>
      <c r="K2628" s="32"/>
      <c r="L2628" s="76">
        <v>2628</v>
      </c>
      <c r="M2628" s="76"/>
      <c r="N2628" s="71"/>
      <c r="O2628" s="87" t="s">
        <v>179</v>
      </c>
      <c r="P2628" s="90">
        <v>45132.551122685189</v>
      </c>
      <c r="Q2628" s="87" t="s">
        <v>4345</v>
      </c>
      <c r="R2628" s="87">
        <v>1</v>
      </c>
      <c r="S2628" s="87">
        <v>1</v>
      </c>
      <c r="T2628" s="87">
        <v>0</v>
      </c>
      <c r="U2628" s="87">
        <v>0</v>
      </c>
      <c r="V2628" s="87">
        <v>69</v>
      </c>
      <c r="W2628" s="93" t="s">
        <v>7424</v>
      </c>
      <c r="X2628" s="87"/>
      <c r="Y2628" s="87"/>
      <c r="Z2628" s="87"/>
      <c r="AA2628" s="87" t="s">
        <v>10359</v>
      </c>
      <c r="AB2628" s="87" t="s">
        <v>11448</v>
      </c>
      <c r="AC2628" s="93" t="s">
        <v>11457</v>
      </c>
      <c r="AD2628" s="87" t="s">
        <v>11519</v>
      </c>
      <c r="AE2628" s="92" t="str">
        <f>HYPERLINK("https://twitter.com/serraempauta/status/1683827848799199232")</f>
        <v>https://twitter.com/serraempauta/status/1683827848799199232</v>
      </c>
      <c r="AF2628" s="90">
        <v>45132.551122685189</v>
      </c>
      <c r="AG2628" s="99">
        <v>45132</v>
      </c>
      <c r="AH2628" s="93" t="s">
        <v>13876</v>
      </c>
      <c r="AI2628" s="87" t="b">
        <v>0</v>
      </c>
      <c r="AJ2628" s="87"/>
      <c r="AK2628" s="87"/>
      <c r="AL2628" s="87"/>
      <c r="AM2628" s="87"/>
      <c r="AN2628" s="87"/>
      <c r="AO2628" s="87"/>
      <c r="AP2628" s="87"/>
      <c r="AQ2628" s="87" t="s">
        <v>17171</v>
      </c>
      <c r="AR2628" s="87"/>
      <c r="AS2628" s="87"/>
      <c r="AT2628" s="87"/>
      <c r="AU2628" s="87"/>
      <c r="AV2628" s="92" t="str">
        <f>HYPERLINK("https://pbs.twimg.com/media/F14ofssWEAAi5EH.jpg")</f>
        <v>https://pbs.twimg.com/media/F14ofssWEAAi5EH.jpg</v>
      </c>
      <c r="AW2628" s="93" t="s">
        <v>20789</v>
      </c>
      <c r="AX2628" s="93" t="s">
        <v>20789</v>
      </c>
      <c r="AY2628" s="87"/>
      <c r="AZ2628" s="93" t="s">
        <v>22668</v>
      </c>
      <c r="BA2628" s="93" t="s">
        <v>22668</v>
      </c>
      <c r="BB2628" s="93" t="s">
        <v>22668</v>
      </c>
      <c r="BC2628" s="93" t="s">
        <v>20789</v>
      </c>
      <c r="BD2628" s="93" t="s">
        <v>23269</v>
      </c>
      <c r="BE2628" s="87"/>
      <c r="BF2628" s="87"/>
      <c r="BG2628" s="87"/>
      <c r="BH2628" s="87"/>
      <c r="BI2628" s="87"/>
    </row>
    <row r="2629" spans="1:61" x14ac:dyDescent="0.25">
      <c r="A2629" s="63" t="s">
        <v>1058</v>
      </c>
      <c r="B2629" s="63" t="s">
        <v>1058</v>
      </c>
      <c r="C2629" s="64"/>
      <c r="D2629" s="65"/>
      <c r="E2629" s="66"/>
      <c r="F2629" s="67"/>
      <c r="G2629" s="64"/>
      <c r="H2629" s="68"/>
      <c r="I2629" s="69"/>
      <c r="J2629" s="69"/>
      <c r="K2629" s="32"/>
      <c r="L2629" s="76">
        <v>2629</v>
      </c>
      <c r="M2629" s="76"/>
      <c r="N2629" s="71"/>
      <c r="O2629" s="87" t="s">
        <v>179</v>
      </c>
      <c r="P2629" s="90">
        <v>45131.824687499997</v>
      </c>
      <c r="Q2629" s="87" t="s">
        <v>4346</v>
      </c>
      <c r="R2629" s="87">
        <v>0</v>
      </c>
      <c r="S2629" s="87">
        <v>0</v>
      </c>
      <c r="T2629" s="87">
        <v>0</v>
      </c>
      <c r="U2629" s="87">
        <v>0</v>
      </c>
      <c r="V2629" s="87">
        <v>45</v>
      </c>
      <c r="W2629" s="93" t="s">
        <v>7424</v>
      </c>
      <c r="X2629" s="87"/>
      <c r="Y2629" s="87"/>
      <c r="Z2629" s="87"/>
      <c r="AA2629" s="87" t="s">
        <v>10360</v>
      </c>
      <c r="AB2629" s="87" t="s">
        <v>11448</v>
      </c>
      <c r="AC2629" s="93" t="s">
        <v>11457</v>
      </c>
      <c r="AD2629" s="87" t="s">
        <v>11519</v>
      </c>
      <c r="AE2629" s="92" t="str">
        <f>HYPERLINK("https://twitter.com/serraempauta/status/1683564597234614273")</f>
        <v>https://twitter.com/serraempauta/status/1683564597234614273</v>
      </c>
      <c r="AF2629" s="90">
        <v>45131.824687499997</v>
      </c>
      <c r="AG2629" s="99">
        <v>45131</v>
      </c>
      <c r="AH2629" s="93" t="s">
        <v>13877</v>
      </c>
      <c r="AI2629" s="87" t="b">
        <v>0</v>
      </c>
      <c r="AJ2629" s="87"/>
      <c r="AK2629" s="87"/>
      <c r="AL2629" s="87"/>
      <c r="AM2629" s="87"/>
      <c r="AN2629" s="87"/>
      <c r="AO2629" s="87"/>
      <c r="AP2629" s="87"/>
      <c r="AQ2629" s="87" t="s">
        <v>17172</v>
      </c>
      <c r="AR2629" s="87"/>
      <c r="AS2629" s="87"/>
      <c r="AT2629" s="87"/>
      <c r="AU2629" s="87"/>
      <c r="AV2629" s="92" t="str">
        <f>HYPERLINK("https://pbs.twimg.com/media/F105EW5XsAAKYUn.jpg")</f>
        <v>https://pbs.twimg.com/media/F105EW5XsAAKYUn.jpg</v>
      </c>
      <c r="AW2629" s="93" t="s">
        <v>20790</v>
      </c>
      <c r="AX2629" s="93" t="s">
        <v>20790</v>
      </c>
      <c r="AY2629" s="87"/>
      <c r="AZ2629" s="93" t="s">
        <v>22668</v>
      </c>
      <c r="BA2629" s="93" t="s">
        <v>22668</v>
      </c>
      <c r="BB2629" s="93" t="s">
        <v>22668</v>
      </c>
      <c r="BC2629" s="93" t="s">
        <v>20790</v>
      </c>
      <c r="BD2629" s="93" t="s">
        <v>23269</v>
      </c>
      <c r="BE2629" s="87"/>
      <c r="BF2629" s="87"/>
      <c r="BG2629" s="87"/>
      <c r="BH2629" s="87"/>
      <c r="BI2629" s="87"/>
    </row>
    <row r="2630" spans="1:61" x14ac:dyDescent="0.25">
      <c r="A2630" s="63" t="s">
        <v>1058</v>
      </c>
      <c r="B2630" s="63" t="s">
        <v>1058</v>
      </c>
      <c r="C2630" s="64"/>
      <c r="D2630" s="65"/>
      <c r="E2630" s="66"/>
      <c r="F2630" s="67"/>
      <c r="G2630" s="64"/>
      <c r="H2630" s="68"/>
      <c r="I2630" s="69"/>
      <c r="J2630" s="69"/>
      <c r="K2630" s="32"/>
      <c r="L2630" s="76">
        <v>2630</v>
      </c>
      <c r="M2630" s="76"/>
      <c r="N2630" s="71"/>
      <c r="O2630" s="87" t="s">
        <v>179</v>
      </c>
      <c r="P2630" s="90">
        <v>45117.904502314814</v>
      </c>
      <c r="Q2630" s="87" t="s">
        <v>4347</v>
      </c>
      <c r="R2630" s="87">
        <v>0</v>
      </c>
      <c r="S2630" s="87">
        <v>0</v>
      </c>
      <c r="T2630" s="87">
        <v>0</v>
      </c>
      <c r="U2630" s="87">
        <v>0</v>
      </c>
      <c r="V2630" s="87">
        <v>60</v>
      </c>
      <c r="W2630" s="93" t="s">
        <v>7424</v>
      </c>
      <c r="X2630" s="87"/>
      <c r="Y2630" s="87"/>
      <c r="Z2630" s="87"/>
      <c r="AA2630" s="87" t="s">
        <v>10361</v>
      </c>
      <c r="AB2630" s="87" t="s">
        <v>11448</v>
      </c>
      <c r="AC2630" s="93" t="s">
        <v>11457</v>
      </c>
      <c r="AD2630" s="87" t="s">
        <v>11519</v>
      </c>
      <c r="AE2630" s="92" t="str">
        <f>HYPERLINK("https://twitter.com/serraempauta/status/1678520087995641859")</f>
        <v>https://twitter.com/serraempauta/status/1678520087995641859</v>
      </c>
      <c r="AF2630" s="90">
        <v>45117.904502314814</v>
      </c>
      <c r="AG2630" s="99">
        <v>45117</v>
      </c>
      <c r="AH2630" s="93" t="s">
        <v>13878</v>
      </c>
      <c r="AI2630" s="87" t="b">
        <v>0</v>
      </c>
      <c r="AJ2630" s="87"/>
      <c r="AK2630" s="87"/>
      <c r="AL2630" s="87"/>
      <c r="AM2630" s="87"/>
      <c r="AN2630" s="87"/>
      <c r="AO2630" s="87"/>
      <c r="AP2630" s="87"/>
      <c r="AQ2630" s="87" t="s">
        <v>17173</v>
      </c>
      <c r="AR2630" s="87"/>
      <c r="AS2630" s="87"/>
      <c r="AT2630" s="87"/>
      <c r="AU2630" s="87"/>
      <c r="AV2630" s="92" t="str">
        <f>HYPERLINK("https://pbs.twimg.com/media/F0tNHqcXoAEBoJQ.jpg")</f>
        <v>https://pbs.twimg.com/media/F0tNHqcXoAEBoJQ.jpg</v>
      </c>
      <c r="AW2630" s="93" t="s">
        <v>20791</v>
      </c>
      <c r="AX2630" s="93" t="s">
        <v>20791</v>
      </c>
      <c r="AY2630" s="87"/>
      <c r="AZ2630" s="93" t="s">
        <v>22668</v>
      </c>
      <c r="BA2630" s="93" t="s">
        <v>22668</v>
      </c>
      <c r="BB2630" s="93" t="s">
        <v>22668</v>
      </c>
      <c r="BC2630" s="93" t="s">
        <v>20791</v>
      </c>
      <c r="BD2630" s="93" t="s">
        <v>23269</v>
      </c>
      <c r="BE2630" s="87"/>
      <c r="BF2630" s="87"/>
      <c r="BG2630" s="87"/>
      <c r="BH2630" s="87"/>
      <c r="BI2630" s="87"/>
    </row>
    <row r="2631" spans="1:61" x14ac:dyDescent="0.25">
      <c r="A2631" s="63" t="s">
        <v>1058</v>
      </c>
      <c r="B2631" s="63" t="s">
        <v>1058</v>
      </c>
      <c r="C2631" s="64"/>
      <c r="D2631" s="65"/>
      <c r="E2631" s="66"/>
      <c r="F2631" s="67"/>
      <c r="G2631" s="64"/>
      <c r="H2631" s="68"/>
      <c r="I2631" s="69"/>
      <c r="J2631" s="69"/>
      <c r="K2631" s="32"/>
      <c r="L2631" s="76">
        <v>2631</v>
      </c>
      <c r="M2631" s="76"/>
      <c r="N2631" s="71"/>
      <c r="O2631" s="87" t="s">
        <v>179</v>
      </c>
      <c r="P2631" s="90">
        <v>45117.780497685184</v>
      </c>
      <c r="Q2631" s="87" t="s">
        <v>4348</v>
      </c>
      <c r="R2631" s="87">
        <v>0</v>
      </c>
      <c r="S2631" s="87">
        <v>0</v>
      </c>
      <c r="T2631" s="87">
        <v>0</v>
      </c>
      <c r="U2631" s="87">
        <v>0</v>
      </c>
      <c r="V2631" s="87">
        <v>46</v>
      </c>
      <c r="W2631" s="93" t="s">
        <v>7424</v>
      </c>
      <c r="X2631" s="87"/>
      <c r="Y2631" s="87"/>
      <c r="Z2631" s="87"/>
      <c r="AA2631" s="87" t="s">
        <v>10362</v>
      </c>
      <c r="AB2631" s="87" t="s">
        <v>11448</v>
      </c>
      <c r="AC2631" s="93" t="s">
        <v>11457</v>
      </c>
      <c r="AD2631" s="87" t="s">
        <v>11519</v>
      </c>
      <c r="AE2631" s="92" t="str">
        <f>HYPERLINK("https://twitter.com/serraempauta/status/1678475152642678799")</f>
        <v>https://twitter.com/serraempauta/status/1678475152642678799</v>
      </c>
      <c r="AF2631" s="90">
        <v>45117.780497685184</v>
      </c>
      <c r="AG2631" s="99">
        <v>45117</v>
      </c>
      <c r="AH2631" s="93" t="s">
        <v>13879</v>
      </c>
      <c r="AI2631" s="87" t="b">
        <v>0</v>
      </c>
      <c r="AJ2631" s="87"/>
      <c r="AK2631" s="87"/>
      <c r="AL2631" s="87"/>
      <c r="AM2631" s="87"/>
      <c r="AN2631" s="87"/>
      <c r="AO2631" s="87"/>
      <c r="AP2631" s="87"/>
      <c r="AQ2631" s="87" t="s">
        <v>17174</v>
      </c>
      <c r="AR2631" s="87"/>
      <c r="AS2631" s="87"/>
      <c r="AT2631" s="87"/>
      <c r="AU2631" s="87"/>
      <c r="AV2631" s="92" t="str">
        <f>HYPERLINK("https://pbs.twimg.com/media/F0skOxRWIAYJmXL.jpg")</f>
        <v>https://pbs.twimg.com/media/F0skOxRWIAYJmXL.jpg</v>
      </c>
      <c r="AW2631" s="93" t="s">
        <v>20792</v>
      </c>
      <c r="AX2631" s="93" t="s">
        <v>20792</v>
      </c>
      <c r="AY2631" s="87"/>
      <c r="AZ2631" s="93" t="s">
        <v>22668</v>
      </c>
      <c r="BA2631" s="93" t="s">
        <v>22668</v>
      </c>
      <c r="BB2631" s="93" t="s">
        <v>22668</v>
      </c>
      <c r="BC2631" s="93" t="s">
        <v>20792</v>
      </c>
      <c r="BD2631" s="93" t="s">
        <v>23269</v>
      </c>
      <c r="BE2631" s="87"/>
      <c r="BF2631" s="87"/>
      <c r="BG2631" s="87"/>
      <c r="BH2631" s="87"/>
      <c r="BI2631" s="87"/>
    </row>
    <row r="2632" spans="1:61" x14ac:dyDescent="0.25">
      <c r="A2632" s="63" t="s">
        <v>1058</v>
      </c>
      <c r="B2632" s="63" t="s">
        <v>1058</v>
      </c>
      <c r="C2632" s="64"/>
      <c r="D2632" s="65"/>
      <c r="E2632" s="66"/>
      <c r="F2632" s="67"/>
      <c r="G2632" s="64"/>
      <c r="H2632" s="68"/>
      <c r="I2632" s="69"/>
      <c r="J2632" s="69"/>
      <c r="K2632" s="32"/>
      <c r="L2632" s="76">
        <v>2632</v>
      </c>
      <c r="M2632" s="76"/>
      <c r="N2632" s="71"/>
      <c r="O2632" s="87" t="s">
        <v>179</v>
      </c>
      <c r="P2632" s="90">
        <v>45117.763854166667</v>
      </c>
      <c r="Q2632" s="87" t="s">
        <v>4349</v>
      </c>
      <c r="R2632" s="87">
        <v>0</v>
      </c>
      <c r="S2632" s="87">
        <v>1</v>
      </c>
      <c r="T2632" s="87">
        <v>0</v>
      </c>
      <c r="U2632" s="87">
        <v>0</v>
      </c>
      <c r="V2632" s="87">
        <v>53</v>
      </c>
      <c r="W2632" s="93" t="s">
        <v>7424</v>
      </c>
      <c r="X2632" s="87"/>
      <c r="Y2632" s="87"/>
      <c r="Z2632" s="87"/>
      <c r="AA2632" s="87" t="s">
        <v>10363</v>
      </c>
      <c r="AB2632" s="87" t="s">
        <v>11448</v>
      </c>
      <c r="AC2632" s="93" t="s">
        <v>11457</v>
      </c>
      <c r="AD2632" s="87" t="s">
        <v>11519</v>
      </c>
      <c r="AE2632" s="92" t="str">
        <f>HYPERLINK("https://twitter.com/serraempauta/status/1678469121707483149")</f>
        <v>https://twitter.com/serraempauta/status/1678469121707483149</v>
      </c>
      <c r="AF2632" s="90">
        <v>45117.763854166667</v>
      </c>
      <c r="AG2632" s="99">
        <v>45117</v>
      </c>
      <c r="AH2632" s="93" t="s">
        <v>13880</v>
      </c>
      <c r="AI2632" s="87" t="b">
        <v>0</v>
      </c>
      <c r="AJ2632" s="87"/>
      <c r="AK2632" s="87"/>
      <c r="AL2632" s="87"/>
      <c r="AM2632" s="87"/>
      <c r="AN2632" s="87"/>
      <c r="AO2632" s="87"/>
      <c r="AP2632" s="87"/>
      <c r="AQ2632" s="87" t="s">
        <v>17175</v>
      </c>
      <c r="AR2632" s="87"/>
      <c r="AS2632" s="87"/>
      <c r="AT2632" s="87"/>
      <c r="AU2632" s="87"/>
      <c r="AV2632" s="92" t="str">
        <f>HYPERLINK("https://pbs.twimg.com/media/F0seuJzXwAAY9bl.jpg")</f>
        <v>https://pbs.twimg.com/media/F0seuJzXwAAY9bl.jpg</v>
      </c>
      <c r="AW2632" s="93" t="s">
        <v>20793</v>
      </c>
      <c r="AX2632" s="93" t="s">
        <v>20793</v>
      </c>
      <c r="AY2632" s="87"/>
      <c r="AZ2632" s="93" t="s">
        <v>22668</v>
      </c>
      <c r="BA2632" s="93" t="s">
        <v>22668</v>
      </c>
      <c r="BB2632" s="93" t="s">
        <v>22668</v>
      </c>
      <c r="BC2632" s="93" t="s">
        <v>20793</v>
      </c>
      <c r="BD2632" s="93" t="s">
        <v>23269</v>
      </c>
      <c r="BE2632" s="87"/>
      <c r="BF2632" s="87"/>
      <c r="BG2632" s="87"/>
      <c r="BH2632" s="87"/>
      <c r="BI2632" s="87"/>
    </row>
    <row r="2633" spans="1:61" x14ac:dyDescent="0.25">
      <c r="A2633" s="63" t="s">
        <v>1058</v>
      </c>
      <c r="B2633" s="63" t="s">
        <v>1058</v>
      </c>
      <c r="C2633" s="64"/>
      <c r="D2633" s="65"/>
      <c r="E2633" s="66"/>
      <c r="F2633" s="67"/>
      <c r="G2633" s="64"/>
      <c r="H2633" s="68"/>
      <c r="I2633" s="69"/>
      <c r="J2633" s="69"/>
      <c r="K2633" s="32"/>
      <c r="L2633" s="76">
        <v>2633</v>
      </c>
      <c r="M2633" s="76"/>
      <c r="N2633" s="71"/>
      <c r="O2633" s="87" t="s">
        <v>179</v>
      </c>
      <c r="P2633" s="90">
        <v>45117.734444444446</v>
      </c>
      <c r="Q2633" s="87" t="s">
        <v>4350</v>
      </c>
      <c r="R2633" s="87">
        <v>1</v>
      </c>
      <c r="S2633" s="87">
        <v>1</v>
      </c>
      <c r="T2633" s="87">
        <v>0</v>
      </c>
      <c r="U2633" s="87">
        <v>0</v>
      </c>
      <c r="V2633" s="87">
        <v>117</v>
      </c>
      <c r="W2633" s="93" t="s">
        <v>7424</v>
      </c>
      <c r="X2633" s="87"/>
      <c r="Y2633" s="87"/>
      <c r="Z2633" s="87"/>
      <c r="AA2633" s="87" t="s">
        <v>10364</v>
      </c>
      <c r="AB2633" s="87" t="s">
        <v>11448</v>
      </c>
      <c r="AC2633" s="93" t="s">
        <v>11457</v>
      </c>
      <c r="AD2633" s="87" t="s">
        <v>11519</v>
      </c>
      <c r="AE2633" s="92" t="str">
        <f>HYPERLINK("https://twitter.com/serraempauta/status/1678458465067343880")</f>
        <v>https://twitter.com/serraempauta/status/1678458465067343880</v>
      </c>
      <c r="AF2633" s="90">
        <v>45117.734444444446</v>
      </c>
      <c r="AG2633" s="99">
        <v>45117</v>
      </c>
      <c r="AH2633" s="93" t="s">
        <v>13881</v>
      </c>
      <c r="AI2633" s="87" t="b">
        <v>0</v>
      </c>
      <c r="AJ2633" s="87"/>
      <c r="AK2633" s="87"/>
      <c r="AL2633" s="87"/>
      <c r="AM2633" s="87"/>
      <c r="AN2633" s="87"/>
      <c r="AO2633" s="87"/>
      <c r="AP2633" s="87"/>
      <c r="AQ2633" s="87" t="s">
        <v>17176</v>
      </c>
      <c r="AR2633" s="87"/>
      <c r="AS2633" s="87"/>
      <c r="AT2633" s="87"/>
      <c r="AU2633" s="87"/>
      <c r="AV2633" s="92" t="str">
        <f>HYPERLINK("https://pbs.twimg.com/media/F0sU4QRWIAYnF_C.jpg")</f>
        <v>https://pbs.twimg.com/media/F0sU4QRWIAYnF_C.jpg</v>
      </c>
      <c r="AW2633" s="93" t="s">
        <v>20794</v>
      </c>
      <c r="AX2633" s="93" t="s">
        <v>20794</v>
      </c>
      <c r="AY2633" s="87"/>
      <c r="AZ2633" s="93" t="s">
        <v>22668</v>
      </c>
      <c r="BA2633" s="93" t="s">
        <v>22668</v>
      </c>
      <c r="BB2633" s="93" t="s">
        <v>22668</v>
      </c>
      <c r="BC2633" s="93" t="s">
        <v>20794</v>
      </c>
      <c r="BD2633" s="93" t="s">
        <v>23269</v>
      </c>
      <c r="BE2633" s="87"/>
      <c r="BF2633" s="87"/>
      <c r="BG2633" s="87"/>
      <c r="BH2633" s="87"/>
      <c r="BI2633" s="87"/>
    </row>
    <row r="2634" spans="1:61" x14ac:dyDescent="0.25">
      <c r="A2634" s="63" t="s">
        <v>1058</v>
      </c>
      <c r="B2634" s="63" t="s">
        <v>1058</v>
      </c>
      <c r="C2634" s="64"/>
      <c r="D2634" s="65"/>
      <c r="E2634" s="66"/>
      <c r="F2634" s="67"/>
      <c r="G2634" s="64"/>
      <c r="H2634" s="68"/>
      <c r="I2634" s="69"/>
      <c r="J2634" s="69"/>
      <c r="K2634" s="32"/>
      <c r="L2634" s="76">
        <v>2634</v>
      </c>
      <c r="M2634" s="76"/>
      <c r="N2634" s="71"/>
      <c r="O2634" s="87" t="s">
        <v>179</v>
      </c>
      <c r="P2634" s="90">
        <v>45117.617592592593</v>
      </c>
      <c r="Q2634" s="87" t="s">
        <v>4351</v>
      </c>
      <c r="R2634" s="87">
        <v>0</v>
      </c>
      <c r="S2634" s="87">
        <v>0</v>
      </c>
      <c r="T2634" s="87">
        <v>0</v>
      </c>
      <c r="U2634" s="87">
        <v>0</v>
      </c>
      <c r="V2634" s="87">
        <v>48</v>
      </c>
      <c r="W2634" s="93" t="s">
        <v>7424</v>
      </c>
      <c r="X2634" s="87"/>
      <c r="Y2634" s="87"/>
      <c r="Z2634" s="87"/>
      <c r="AA2634" s="87" t="s">
        <v>10365</v>
      </c>
      <c r="AB2634" s="87" t="s">
        <v>11448</v>
      </c>
      <c r="AC2634" s="93" t="s">
        <v>11457</v>
      </c>
      <c r="AD2634" s="87" t="s">
        <v>11519</v>
      </c>
      <c r="AE2634" s="92" t="str">
        <f>HYPERLINK("https://twitter.com/serraempauta/status/1678416117113446405")</f>
        <v>https://twitter.com/serraempauta/status/1678416117113446405</v>
      </c>
      <c r="AF2634" s="90">
        <v>45117.617592592593</v>
      </c>
      <c r="AG2634" s="99">
        <v>45117</v>
      </c>
      <c r="AH2634" s="93" t="s">
        <v>13882</v>
      </c>
      <c r="AI2634" s="87" t="b">
        <v>0</v>
      </c>
      <c r="AJ2634" s="87"/>
      <c r="AK2634" s="87"/>
      <c r="AL2634" s="87"/>
      <c r="AM2634" s="87"/>
      <c r="AN2634" s="87"/>
      <c r="AO2634" s="87"/>
      <c r="AP2634" s="87"/>
      <c r="AQ2634" s="87" t="s">
        <v>17177</v>
      </c>
      <c r="AR2634" s="87"/>
      <c r="AS2634" s="87"/>
      <c r="AT2634" s="87"/>
      <c r="AU2634" s="87"/>
      <c r="AV2634" s="92" t="str">
        <f>HYPERLINK("https://pbs.twimg.com/media/F0rujzOWcAg9G7e.jpg")</f>
        <v>https://pbs.twimg.com/media/F0rujzOWcAg9G7e.jpg</v>
      </c>
      <c r="AW2634" s="93" t="s">
        <v>20795</v>
      </c>
      <c r="AX2634" s="93" t="s">
        <v>20795</v>
      </c>
      <c r="AY2634" s="87"/>
      <c r="AZ2634" s="93" t="s">
        <v>22668</v>
      </c>
      <c r="BA2634" s="93" t="s">
        <v>22668</v>
      </c>
      <c r="BB2634" s="93" t="s">
        <v>22668</v>
      </c>
      <c r="BC2634" s="93" t="s">
        <v>20795</v>
      </c>
      <c r="BD2634" s="93" t="s">
        <v>23269</v>
      </c>
      <c r="BE2634" s="87"/>
      <c r="BF2634" s="87"/>
      <c r="BG2634" s="87"/>
      <c r="BH2634" s="87"/>
      <c r="BI2634" s="87"/>
    </row>
    <row r="2635" spans="1:61" x14ac:dyDescent="0.25">
      <c r="A2635" s="63" t="s">
        <v>1058</v>
      </c>
      <c r="B2635" s="63" t="s">
        <v>1058</v>
      </c>
      <c r="C2635" s="64"/>
      <c r="D2635" s="65"/>
      <c r="E2635" s="66"/>
      <c r="F2635" s="67"/>
      <c r="G2635" s="64"/>
      <c r="H2635" s="68"/>
      <c r="I2635" s="69"/>
      <c r="J2635" s="69"/>
      <c r="K2635" s="32"/>
      <c r="L2635" s="76">
        <v>2635</v>
      </c>
      <c r="M2635" s="76"/>
      <c r="N2635" s="71"/>
      <c r="O2635" s="87" t="s">
        <v>179</v>
      </c>
      <c r="P2635" s="90">
        <v>45117.543321759258</v>
      </c>
      <c r="Q2635" s="87" t="s">
        <v>4352</v>
      </c>
      <c r="R2635" s="87">
        <v>0</v>
      </c>
      <c r="S2635" s="87">
        <v>0</v>
      </c>
      <c r="T2635" s="87">
        <v>0</v>
      </c>
      <c r="U2635" s="87">
        <v>0</v>
      </c>
      <c r="V2635" s="87">
        <v>40</v>
      </c>
      <c r="W2635" s="93" t="s">
        <v>7424</v>
      </c>
      <c r="X2635" s="87"/>
      <c r="Y2635" s="87"/>
      <c r="Z2635" s="87"/>
      <c r="AA2635" s="87" t="s">
        <v>10366</v>
      </c>
      <c r="AB2635" s="87" t="s">
        <v>11448</v>
      </c>
      <c r="AC2635" s="93" t="s">
        <v>11457</v>
      </c>
      <c r="AD2635" s="87" t="s">
        <v>11519</v>
      </c>
      <c r="AE2635" s="92" t="str">
        <f>HYPERLINK("https://twitter.com/serraempauta/status/1678389201090347015")</f>
        <v>https://twitter.com/serraempauta/status/1678389201090347015</v>
      </c>
      <c r="AF2635" s="90">
        <v>45117.543321759258</v>
      </c>
      <c r="AG2635" s="99">
        <v>45117</v>
      </c>
      <c r="AH2635" s="93" t="s">
        <v>13883</v>
      </c>
      <c r="AI2635" s="87" t="b">
        <v>0</v>
      </c>
      <c r="AJ2635" s="87"/>
      <c r="AK2635" s="87"/>
      <c r="AL2635" s="87"/>
      <c r="AM2635" s="87"/>
      <c r="AN2635" s="87"/>
      <c r="AO2635" s="87"/>
      <c r="AP2635" s="87"/>
      <c r="AQ2635" s="87" t="s">
        <v>17178</v>
      </c>
      <c r="AR2635" s="87"/>
      <c r="AS2635" s="87"/>
      <c r="AT2635" s="87"/>
      <c r="AU2635" s="87"/>
      <c r="AV2635" s="92" t="str">
        <f>HYPERLINK("https://pbs.twimg.com/media/F0rWE9SWAAEyE9z.jpg")</f>
        <v>https://pbs.twimg.com/media/F0rWE9SWAAEyE9z.jpg</v>
      </c>
      <c r="AW2635" s="93" t="s">
        <v>20796</v>
      </c>
      <c r="AX2635" s="93" t="s">
        <v>20796</v>
      </c>
      <c r="AY2635" s="87"/>
      <c r="AZ2635" s="93" t="s">
        <v>22668</v>
      </c>
      <c r="BA2635" s="93" t="s">
        <v>22668</v>
      </c>
      <c r="BB2635" s="93" t="s">
        <v>22668</v>
      </c>
      <c r="BC2635" s="93" t="s">
        <v>20796</v>
      </c>
      <c r="BD2635" s="93" t="s">
        <v>23269</v>
      </c>
      <c r="BE2635" s="87"/>
      <c r="BF2635" s="87"/>
      <c r="BG2635" s="87"/>
      <c r="BH2635" s="87"/>
      <c r="BI2635" s="87"/>
    </row>
    <row r="2636" spans="1:61" x14ac:dyDescent="0.25">
      <c r="A2636" s="63" t="s">
        <v>1058</v>
      </c>
      <c r="B2636" s="63" t="s">
        <v>1058</v>
      </c>
      <c r="C2636" s="64"/>
      <c r="D2636" s="65"/>
      <c r="E2636" s="66"/>
      <c r="F2636" s="67"/>
      <c r="G2636" s="64"/>
      <c r="H2636" s="68"/>
      <c r="I2636" s="69"/>
      <c r="J2636" s="69"/>
      <c r="K2636" s="32"/>
      <c r="L2636" s="76">
        <v>2636</v>
      </c>
      <c r="M2636" s="76"/>
      <c r="N2636" s="71"/>
      <c r="O2636" s="87" t="s">
        <v>179</v>
      </c>
      <c r="P2636" s="90">
        <v>45117.517604166664</v>
      </c>
      <c r="Q2636" s="87" t="s">
        <v>4353</v>
      </c>
      <c r="R2636" s="87">
        <v>0</v>
      </c>
      <c r="S2636" s="87">
        <v>0</v>
      </c>
      <c r="T2636" s="87">
        <v>0</v>
      </c>
      <c r="U2636" s="87">
        <v>0</v>
      </c>
      <c r="V2636" s="87">
        <v>41</v>
      </c>
      <c r="W2636" s="93" t="s">
        <v>7424</v>
      </c>
      <c r="X2636" s="87"/>
      <c r="Y2636" s="87"/>
      <c r="Z2636" s="87"/>
      <c r="AA2636" s="87" t="s">
        <v>10367</v>
      </c>
      <c r="AB2636" s="87" t="s">
        <v>11448</v>
      </c>
      <c r="AC2636" s="93" t="s">
        <v>11457</v>
      </c>
      <c r="AD2636" s="87" t="s">
        <v>11519</v>
      </c>
      <c r="AE2636" s="92" t="str">
        <f>HYPERLINK("https://twitter.com/serraempauta/status/1678379883276238849")</f>
        <v>https://twitter.com/serraempauta/status/1678379883276238849</v>
      </c>
      <c r="AF2636" s="90">
        <v>45117.517604166664</v>
      </c>
      <c r="AG2636" s="99">
        <v>45117</v>
      </c>
      <c r="AH2636" s="93" t="s">
        <v>13884</v>
      </c>
      <c r="AI2636" s="87" t="b">
        <v>0</v>
      </c>
      <c r="AJ2636" s="87"/>
      <c r="AK2636" s="87"/>
      <c r="AL2636" s="87"/>
      <c r="AM2636" s="87"/>
      <c r="AN2636" s="87"/>
      <c r="AO2636" s="87"/>
      <c r="AP2636" s="87"/>
      <c r="AQ2636" s="87" t="s">
        <v>17179</v>
      </c>
      <c r="AR2636" s="87"/>
      <c r="AS2636" s="87"/>
      <c r="AT2636" s="87"/>
      <c r="AU2636" s="87"/>
      <c r="AV2636" s="92" t="str">
        <f>HYPERLINK("https://pbs.twimg.com/media/F0rNmO4WwAMbGA9.jpg")</f>
        <v>https://pbs.twimg.com/media/F0rNmO4WwAMbGA9.jpg</v>
      </c>
      <c r="AW2636" s="93" t="s">
        <v>20797</v>
      </c>
      <c r="AX2636" s="93" t="s">
        <v>20797</v>
      </c>
      <c r="AY2636" s="87"/>
      <c r="AZ2636" s="93" t="s">
        <v>22668</v>
      </c>
      <c r="BA2636" s="93" t="s">
        <v>22668</v>
      </c>
      <c r="BB2636" s="93" t="s">
        <v>22668</v>
      </c>
      <c r="BC2636" s="93" t="s">
        <v>20797</v>
      </c>
      <c r="BD2636" s="93" t="s">
        <v>23269</v>
      </c>
      <c r="BE2636" s="87"/>
      <c r="BF2636" s="87"/>
      <c r="BG2636" s="87"/>
      <c r="BH2636" s="87"/>
      <c r="BI2636" s="87"/>
    </row>
    <row r="2637" spans="1:61" x14ac:dyDescent="0.25">
      <c r="A2637" s="63" t="s">
        <v>1058</v>
      </c>
      <c r="B2637" s="63" t="s">
        <v>1058</v>
      </c>
      <c r="C2637" s="64"/>
      <c r="D2637" s="65"/>
      <c r="E2637" s="66"/>
      <c r="F2637" s="67"/>
      <c r="G2637" s="64"/>
      <c r="H2637" s="68"/>
      <c r="I2637" s="69"/>
      <c r="J2637" s="69"/>
      <c r="K2637" s="32"/>
      <c r="L2637" s="76">
        <v>2637</v>
      </c>
      <c r="M2637" s="76"/>
      <c r="N2637" s="71"/>
      <c r="O2637" s="87" t="s">
        <v>179</v>
      </c>
      <c r="P2637" s="90">
        <v>45117.516979166663</v>
      </c>
      <c r="Q2637" s="87" t="s">
        <v>4354</v>
      </c>
      <c r="R2637" s="87">
        <v>0</v>
      </c>
      <c r="S2637" s="87">
        <v>0</v>
      </c>
      <c r="T2637" s="87">
        <v>0</v>
      </c>
      <c r="U2637" s="87">
        <v>0</v>
      </c>
      <c r="V2637" s="87">
        <v>29</v>
      </c>
      <c r="W2637" s="93" t="s">
        <v>7424</v>
      </c>
      <c r="X2637" s="87"/>
      <c r="Y2637" s="87"/>
      <c r="Z2637" s="87"/>
      <c r="AA2637" s="87" t="s">
        <v>10368</v>
      </c>
      <c r="AB2637" s="87" t="s">
        <v>11448</v>
      </c>
      <c r="AC2637" s="93" t="s">
        <v>11457</v>
      </c>
      <c r="AD2637" s="87" t="s">
        <v>11519</v>
      </c>
      <c r="AE2637" s="92" t="str">
        <f>HYPERLINK("https://twitter.com/serraempauta/status/1678379655647178752")</f>
        <v>https://twitter.com/serraempauta/status/1678379655647178752</v>
      </c>
      <c r="AF2637" s="90">
        <v>45117.516979166663</v>
      </c>
      <c r="AG2637" s="99">
        <v>45117</v>
      </c>
      <c r="AH2637" s="93" t="s">
        <v>13885</v>
      </c>
      <c r="AI2637" s="87" t="b">
        <v>0</v>
      </c>
      <c r="AJ2637" s="87"/>
      <c r="AK2637" s="87"/>
      <c r="AL2637" s="87"/>
      <c r="AM2637" s="87"/>
      <c r="AN2637" s="87"/>
      <c r="AO2637" s="87"/>
      <c r="AP2637" s="87"/>
      <c r="AQ2637" s="87" t="s">
        <v>17180</v>
      </c>
      <c r="AR2637" s="87"/>
      <c r="AS2637" s="87"/>
      <c r="AT2637" s="87"/>
      <c r="AU2637" s="87"/>
      <c r="AV2637" s="92" t="str">
        <f>HYPERLINK("https://pbs.twimg.com/media/F0rNZU7WAAActlK.jpg")</f>
        <v>https://pbs.twimg.com/media/F0rNZU7WAAActlK.jpg</v>
      </c>
      <c r="AW2637" s="93" t="s">
        <v>20798</v>
      </c>
      <c r="AX2637" s="93" t="s">
        <v>20798</v>
      </c>
      <c r="AY2637" s="87"/>
      <c r="AZ2637" s="93" t="s">
        <v>22668</v>
      </c>
      <c r="BA2637" s="93" t="s">
        <v>22668</v>
      </c>
      <c r="BB2637" s="93" t="s">
        <v>22668</v>
      </c>
      <c r="BC2637" s="93" t="s">
        <v>20798</v>
      </c>
      <c r="BD2637" s="93" t="s">
        <v>23269</v>
      </c>
      <c r="BE2637" s="87"/>
      <c r="BF2637" s="87"/>
      <c r="BG2637" s="87"/>
      <c r="BH2637" s="87"/>
      <c r="BI2637" s="87"/>
    </row>
    <row r="2638" spans="1:61" x14ac:dyDescent="0.25">
      <c r="A2638" s="63" t="s">
        <v>1058</v>
      </c>
      <c r="B2638" s="63" t="s">
        <v>1058</v>
      </c>
      <c r="C2638" s="64"/>
      <c r="D2638" s="65"/>
      <c r="E2638" s="66"/>
      <c r="F2638" s="67"/>
      <c r="G2638" s="64"/>
      <c r="H2638" s="68"/>
      <c r="I2638" s="69"/>
      <c r="J2638" s="69"/>
      <c r="K2638" s="32"/>
      <c r="L2638" s="76">
        <v>2638</v>
      </c>
      <c r="M2638" s="76"/>
      <c r="N2638" s="71"/>
      <c r="O2638" s="87" t="s">
        <v>179</v>
      </c>
      <c r="P2638" s="90">
        <v>45117.09480324074</v>
      </c>
      <c r="Q2638" s="87" t="s">
        <v>4355</v>
      </c>
      <c r="R2638" s="87">
        <v>0</v>
      </c>
      <c r="S2638" s="87">
        <v>0</v>
      </c>
      <c r="T2638" s="87">
        <v>0</v>
      </c>
      <c r="U2638" s="87">
        <v>0</v>
      </c>
      <c r="V2638" s="87">
        <v>78</v>
      </c>
      <c r="W2638" s="93" t="s">
        <v>7424</v>
      </c>
      <c r="X2638" s="87"/>
      <c r="Y2638" s="87"/>
      <c r="Z2638" s="87"/>
      <c r="AA2638" s="87" t="s">
        <v>10369</v>
      </c>
      <c r="AB2638" s="87" t="s">
        <v>11448</v>
      </c>
      <c r="AC2638" s="93" t="s">
        <v>11457</v>
      </c>
      <c r="AD2638" s="87" t="s">
        <v>11519</v>
      </c>
      <c r="AE2638" s="92" t="str">
        <f>HYPERLINK("https://twitter.com/serraempauta/status/1678226663715352578")</f>
        <v>https://twitter.com/serraempauta/status/1678226663715352578</v>
      </c>
      <c r="AF2638" s="90">
        <v>45117.09480324074</v>
      </c>
      <c r="AG2638" s="99">
        <v>45117</v>
      </c>
      <c r="AH2638" s="93" t="s">
        <v>13886</v>
      </c>
      <c r="AI2638" s="87" t="b">
        <v>0</v>
      </c>
      <c r="AJ2638" s="87"/>
      <c r="AK2638" s="87"/>
      <c r="AL2638" s="87"/>
      <c r="AM2638" s="87"/>
      <c r="AN2638" s="87"/>
      <c r="AO2638" s="87"/>
      <c r="AP2638" s="87"/>
      <c r="AQ2638" s="87" t="s">
        <v>17181</v>
      </c>
      <c r="AR2638" s="87"/>
      <c r="AS2638" s="87"/>
      <c r="AT2638" s="87"/>
      <c r="AU2638" s="87"/>
      <c r="AV2638" s="92" t="str">
        <f>HYPERLINK("https://pbs.twimg.com/media/F0pCOsTXgAMKrI1.jpg")</f>
        <v>https://pbs.twimg.com/media/F0pCOsTXgAMKrI1.jpg</v>
      </c>
      <c r="AW2638" s="93" t="s">
        <v>20799</v>
      </c>
      <c r="AX2638" s="93" t="s">
        <v>20799</v>
      </c>
      <c r="AY2638" s="87"/>
      <c r="AZ2638" s="93" t="s">
        <v>22668</v>
      </c>
      <c r="BA2638" s="93" t="s">
        <v>22668</v>
      </c>
      <c r="BB2638" s="93" t="s">
        <v>22668</v>
      </c>
      <c r="BC2638" s="93" t="s">
        <v>20799</v>
      </c>
      <c r="BD2638" s="93" t="s">
        <v>23269</v>
      </c>
      <c r="BE2638" s="87"/>
      <c r="BF2638" s="87"/>
      <c r="BG2638" s="87"/>
      <c r="BH2638" s="87"/>
      <c r="BI2638" s="87"/>
    </row>
    <row r="2639" spans="1:61" x14ac:dyDescent="0.25">
      <c r="A2639" s="63" t="s">
        <v>1058</v>
      </c>
      <c r="B2639" s="63" t="s">
        <v>1058</v>
      </c>
      <c r="C2639" s="64"/>
      <c r="D2639" s="65"/>
      <c r="E2639" s="66"/>
      <c r="F2639" s="67"/>
      <c r="G2639" s="64"/>
      <c r="H2639" s="68"/>
      <c r="I2639" s="69"/>
      <c r="J2639" s="69"/>
      <c r="K2639" s="32"/>
      <c r="L2639" s="76">
        <v>2639</v>
      </c>
      <c r="M2639" s="76"/>
      <c r="N2639" s="71"/>
      <c r="O2639" s="87" t="s">
        <v>179</v>
      </c>
      <c r="P2639" s="90">
        <v>45117.074837962966</v>
      </c>
      <c r="Q2639" s="87" t="s">
        <v>4356</v>
      </c>
      <c r="R2639" s="87">
        <v>0</v>
      </c>
      <c r="S2639" s="87">
        <v>0</v>
      </c>
      <c r="T2639" s="87">
        <v>0</v>
      </c>
      <c r="U2639" s="87">
        <v>0</v>
      </c>
      <c r="V2639" s="87">
        <v>127</v>
      </c>
      <c r="W2639" s="93" t="s">
        <v>7424</v>
      </c>
      <c r="X2639" s="87"/>
      <c r="Y2639" s="87"/>
      <c r="Z2639" s="87"/>
      <c r="AA2639" s="87" t="s">
        <v>10370</v>
      </c>
      <c r="AB2639" s="87" t="s">
        <v>11448</v>
      </c>
      <c r="AC2639" s="93" t="s">
        <v>11457</v>
      </c>
      <c r="AD2639" s="87" t="s">
        <v>11519</v>
      </c>
      <c r="AE2639" s="92" t="str">
        <f>HYPERLINK("https://twitter.com/serraempauta/status/1678219428457070592")</f>
        <v>https://twitter.com/serraempauta/status/1678219428457070592</v>
      </c>
      <c r="AF2639" s="90">
        <v>45117.074837962966</v>
      </c>
      <c r="AG2639" s="99">
        <v>45117</v>
      </c>
      <c r="AH2639" s="93" t="s">
        <v>13887</v>
      </c>
      <c r="AI2639" s="87" t="b">
        <v>0</v>
      </c>
      <c r="AJ2639" s="87"/>
      <c r="AK2639" s="87"/>
      <c r="AL2639" s="87"/>
      <c r="AM2639" s="87"/>
      <c r="AN2639" s="87"/>
      <c r="AO2639" s="87"/>
      <c r="AP2639" s="87"/>
      <c r="AQ2639" s="87" t="s">
        <v>17182</v>
      </c>
      <c r="AR2639" s="87"/>
      <c r="AS2639" s="87"/>
      <c r="AT2639" s="87"/>
      <c r="AU2639" s="87"/>
      <c r="AV2639" s="92" t="str">
        <f>HYPERLINK("https://pbs.twimg.com/media/F0o7q6KWwAAlvRF.jpg")</f>
        <v>https://pbs.twimg.com/media/F0o7q6KWwAAlvRF.jpg</v>
      </c>
      <c r="AW2639" s="93" t="s">
        <v>20800</v>
      </c>
      <c r="AX2639" s="93" t="s">
        <v>20800</v>
      </c>
      <c r="AY2639" s="87"/>
      <c r="AZ2639" s="93" t="s">
        <v>22668</v>
      </c>
      <c r="BA2639" s="93" t="s">
        <v>22668</v>
      </c>
      <c r="BB2639" s="93" t="s">
        <v>22668</v>
      </c>
      <c r="BC2639" s="93" t="s">
        <v>20800</v>
      </c>
      <c r="BD2639" s="93" t="s">
        <v>23269</v>
      </c>
      <c r="BE2639" s="87"/>
      <c r="BF2639" s="87"/>
      <c r="BG2639" s="87"/>
      <c r="BH2639" s="87"/>
      <c r="BI2639" s="87"/>
    </row>
    <row r="2640" spans="1:61" x14ac:dyDescent="0.25">
      <c r="A2640" s="63" t="s">
        <v>1058</v>
      </c>
      <c r="B2640" s="63" t="s">
        <v>1058</v>
      </c>
      <c r="C2640" s="64"/>
      <c r="D2640" s="65"/>
      <c r="E2640" s="66"/>
      <c r="F2640" s="67"/>
      <c r="G2640" s="64"/>
      <c r="H2640" s="68"/>
      <c r="I2640" s="69"/>
      <c r="J2640" s="69"/>
      <c r="K2640" s="32"/>
      <c r="L2640" s="76">
        <v>2640</v>
      </c>
      <c r="M2640" s="76"/>
      <c r="N2640" s="71"/>
      <c r="O2640" s="87" t="s">
        <v>179</v>
      </c>
      <c r="P2640" s="90">
        <v>45115.869039351855</v>
      </c>
      <c r="Q2640" s="87" t="s">
        <v>4357</v>
      </c>
      <c r="R2640" s="87">
        <v>0</v>
      </c>
      <c r="S2640" s="87">
        <v>0</v>
      </c>
      <c r="T2640" s="87">
        <v>0</v>
      </c>
      <c r="U2640" s="87">
        <v>0</v>
      </c>
      <c r="V2640" s="87">
        <v>66</v>
      </c>
      <c r="W2640" s="93" t="s">
        <v>7424</v>
      </c>
      <c r="X2640" s="87"/>
      <c r="Y2640" s="87"/>
      <c r="Z2640" s="87"/>
      <c r="AA2640" s="87" t="s">
        <v>10371</v>
      </c>
      <c r="AB2640" s="87" t="s">
        <v>11448</v>
      </c>
      <c r="AC2640" s="93" t="s">
        <v>11457</v>
      </c>
      <c r="AD2640" s="87" t="s">
        <v>11519</v>
      </c>
      <c r="AE2640" s="92" t="str">
        <f>HYPERLINK("https://twitter.com/serraempauta/status/1677782462112382978")</f>
        <v>https://twitter.com/serraempauta/status/1677782462112382978</v>
      </c>
      <c r="AF2640" s="90">
        <v>45115.869039351855</v>
      </c>
      <c r="AG2640" s="99">
        <v>45115</v>
      </c>
      <c r="AH2640" s="93" t="s">
        <v>11913</v>
      </c>
      <c r="AI2640" s="87" t="b">
        <v>0</v>
      </c>
      <c r="AJ2640" s="87"/>
      <c r="AK2640" s="87"/>
      <c r="AL2640" s="87"/>
      <c r="AM2640" s="87"/>
      <c r="AN2640" s="87"/>
      <c r="AO2640" s="87"/>
      <c r="AP2640" s="87"/>
      <c r="AQ2640" s="87" t="s">
        <v>17183</v>
      </c>
      <c r="AR2640" s="87"/>
      <c r="AS2640" s="87"/>
      <c r="AT2640" s="87"/>
      <c r="AU2640" s="87"/>
      <c r="AV2640" s="92" t="str">
        <f>HYPERLINK("https://pbs.twimg.com/media/F0iuO6FXoAAxYPF.jpg")</f>
        <v>https://pbs.twimg.com/media/F0iuO6FXoAAxYPF.jpg</v>
      </c>
      <c r="AW2640" s="93" t="s">
        <v>20801</v>
      </c>
      <c r="AX2640" s="93" t="s">
        <v>20801</v>
      </c>
      <c r="AY2640" s="87"/>
      <c r="AZ2640" s="93" t="s">
        <v>22668</v>
      </c>
      <c r="BA2640" s="93" t="s">
        <v>22668</v>
      </c>
      <c r="BB2640" s="93" t="s">
        <v>22668</v>
      </c>
      <c r="BC2640" s="93" t="s">
        <v>20801</v>
      </c>
      <c r="BD2640" s="93" t="s">
        <v>23269</v>
      </c>
      <c r="BE2640" s="87"/>
      <c r="BF2640" s="87"/>
      <c r="BG2640" s="87"/>
      <c r="BH2640" s="87"/>
      <c r="BI2640" s="87"/>
    </row>
    <row r="2641" spans="1:61" x14ac:dyDescent="0.25">
      <c r="A2641" s="63" t="s">
        <v>1058</v>
      </c>
      <c r="B2641" s="63" t="s">
        <v>1058</v>
      </c>
      <c r="C2641" s="64"/>
      <c r="D2641" s="65"/>
      <c r="E2641" s="66"/>
      <c r="F2641" s="67"/>
      <c r="G2641" s="64"/>
      <c r="H2641" s="68"/>
      <c r="I2641" s="69"/>
      <c r="J2641" s="69"/>
      <c r="K2641" s="32"/>
      <c r="L2641" s="76">
        <v>2641</v>
      </c>
      <c r="M2641" s="76"/>
      <c r="N2641" s="71"/>
      <c r="O2641" s="87" t="s">
        <v>179</v>
      </c>
      <c r="P2641" s="90">
        <v>45196.586006944446</v>
      </c>
      <c r="Q2641" s="87" t="s">
        <v>4358</v>
      </c>
      <c r="R2641" s="87">
        <v>0</v>
      </c>
      <c r="S2641" s="87">
        <v>1</v>
      </c>
      <c r="T2641" s="87">
        <v>1</v>
      </c>
      <c r="U2641" s="87">
        <v>0</v>
      </c>
      <c r="V2641" s="87">
        <v>48</v>
      </c>
      <c r="W2641" s="93" t="s">
        <v>7424</v>
      </c>
      <c r="X2641" s="87"/>
      <c r="Y2641" s="87"/>
      <c r="Z2641" s="87"/>
      <c r="AA2641" s="87" t="s">
        <v>10372</v>
      </c>
      <c r="AB2641" s="87" t="s">
        <v>11448</v>
      </c>
      <c r="AC2641" s="93" t="s">
        <v>11457</v>
      </c>
      <c r="AD2641" s="87" t="s">
        <v>11519</v>
      </c>
      <c r="AE2641" s="92" t="str">
        <f>HYPERLINK("https://twitter.com/serraempauta/status/1707033314035450216")</f>
        <v>https://twitter.com/serraempauta/status/1707033314035450216</v>
      </c>
      <c r="AF2641" s="90">
        <v>45196.586006944446</v>
      </c>
      <c r="AG2641" s="99">
        <v>45196</v>
      </c>
      <c r="AH2641" s="93" t="s">
        <v>13888</v>
      </c>
      <c r="AI2641" s="87" t="b">
        <v>0</v>
      </c>
      <c r="AJ2641" s="87"/>
      <c r="AK2641" s="87"/>
      <c r="AL2641" s="87"/>
      <c r="AM2641" s="87"/>
      <c r="AN2641" s="87"/>
      <c r="AO2641" s="87"/>
      <c r="AP2641" s="87"/>
      <c r="AQ2641" s="87" t="s">
        <v>17184</v>
      </c>
      <c r="AR2641" s="87"/>
      <c r="AS2641" s="87"/>
      <c r="AT2641" s="87"/>
      <c r="AU2641" s="87"/>
      <c r="AV2641" s="92" t="str">
        <f>HYPERLINK("https://pbs.twimg.com/media/F7CZvyTXoAQKAmE.jpg")</f>
        <v>https://pbs.twimg.com/media/F7CZvyTXoAQKAmE.jpg</v>
      </c>
      <c r="AW2641" s="93" t="s">
        <v>20802</v>
      </c>
      <c r="AX2641" s="93" t="s">
        <v>20802</v>
      </c>
      <c r="AY2641" s="87"/>
      <c r="AZ2641" s="93" t="s">
        <v>22668</v>
      </c>
      <c r="BA2641" s="93" t="s">
        <v>22668</v>
      </c>
      <c r="BB2641" s="93" t="s">
        <v>22668</v>
      </c>
      <c r="BC2641" s="93" t="s">
        <v>20802</v>
      </c>
      <c r="BD2641" s="93" t="s">
        <v>23269</v>
      </c>
      <c r="BE2641" s="87"/>
      <c r="BF2641" s="87"/>
      <c r="BG2641" s="87"/>
      <c r="BH2641" s="87"/>
      <c r="BI2641" s="87"/>
    </row>
    <row r="2642" spans="1:61" x14ac:dyDescent="0.25">
      <c r="A2642" s="63" t="s">
        <v>1058</v>
      </c>
      <c r="B2642" s="63" t="s">
        <v>1058</v>
      </c>
      <c r="C2642" s="64"/>
      <c r="D2642" s="65"/>
      <c r="E2642" s="66"/>
      <c r="F2642" s="67"/>
      <c r="G2642" s="64"/>
      <c r="H2642" s="68"/>
      <c r="I2642" s="69"/>
      <c r="J2642" s="69"/>
      <c r="K2642" s="32"/>
      <c r="L2642" s="76">
        <v>2642</v>
      </c>
      <c r="M2642" s="76"/>
      <c r="N2642" s="71"/>
      <c r="O2642" s="87" t="s">
        <v>179</v>
      </c>
      <c r="P2642" s="90">
        <v>45195.793622685182</v>
      </c>
      <c r="Q2642" s="87" t="s">
        <v>4359</v>
      </c>
      <c r="R2642" s="87">
        <v>0</v>
      </c>
      <c r="S2642" s="87">
        <v>0</v>
      </c>
      <c r="T2642" s="87">
        <v>0</v>
      </c>
      <c r="U2642" s="87">
        <v>0</v>
      </c>
      <c r="V2642" s="87">
        <v>30</v>
      </c>
      <c r="W2642" s="93" t="s">
        <v>7424</v>
      </c>
      <c r="X2642" s="87"/>
      <c r="Y2642" s="87"/>
      <c r="Z2642" s="87"/>
      <c r="AA2642" s="87" t="s">
        <v>10373</v>
      </c>
      <c r="AB2642" s="87" t="s">
        <v>11448</v>
      </c>
      <c r="AC2642" s="93" t="s">
        <v>11457</v>
      </c>
      <c r="AD2642" s="87" t="s">
        <v>11519</v>
      </c>
      <c r="AE2642" s="92" t="str">
        <f>HYPERLINK("https://twitter.com/serraempauta/status/1706746164035342462")</f>
        <v>https://twitter.com/serraempauta/status/1706746164035342462</v>
      </c>
      <c r="AF2642" s="90">
        <v>45195.793622685182</v>
      </c>
      <c r="AG2642" s="99">
        <v>45195</v>
      </c>
      <c r="AH2642" s="93" t="s">
        <v>13889</v>
      </c>
      <c r="AI2642" s="87" t="b">
        <v>0</v>
      </c>
      <c r="AJ2642" s="87"/>
      <c r="AK2642" s="87"/>
      <c r="AL2642" s="87"/>
      <c r="AM2642" s="87"/>
      <c r="AN2642" s="87"/>
      <c r="AO2642" s="87"/>
      <c r="AP2642" s="87"/>
      <c r="AQ2642" s="87" t="s">
        <v>17185</v>
      </c>
      <c r="AR2642" s="87"/>
      <c r="AS2642" s="87"/>
      <c r="AT2642" s="87"/>
      <c r="AU2642" s="87"/>
      <c r="AV2642" s="92" t="str">
        <f>HYPERLINK("https://pbs.twimg.com/media/F6-UlnlWgAEe1TQ.jpg")</f>
        <v>https://pbs.twimg.com/media/F6-UlnlWgAEe1TQ.jpg</v>
      </c>
      <c r="AW2642" s="93" t="s">
        <v>20803</v>
      </c>
      <c r="AX2642" s="93" t="s">
        <v>20803</v>
      </c>
      <c r="AY2642" s="87"/>
      <c r="AZ2642" s="93" t="s">
        <v>22668</v>
      </c>
      <c r="BA2642" s="93" t="s">
        <v>22668</v>
      </c>
      <c r="BB2642" s="93" t="s">
        <v>22668</v>
      </c>
      <c r="BC2642" s="93" t="s">
        <v>20803</v>
      </c>
      <c r="BD2642" s="93" t="s">
        <v>23269</v>
      </c>
      <c r="BE2642" s="87"/>
      <c r="BF2642" s="87"/>
      <c r="BG2642" s="87"/>
      <c r="BH2642" s="87"/>
      <c r="BI2642" s="87"/>
    </row>
    <row r="2643" spans="1:61" x14ac:dyDescent="0.25">
      <c r="A2643" s="63" t="s">
        <v>1058</v>
      </c>
      <c r="B2643" s="63" t="s">
        <v>1058</v>
      </c>
      <c r="C2643" s="64"/>
      <c r="D2643" s="65"/>
      <c r="E2643" s="66"/>
      <c r="F2643" s="67"/>
      <c r="G2643" s="64"/>
      <c r="H2643" s="68"/>
      <c r="I2643" s="69"/>
      <c r="J2643" s="69"/>
      <c r="K2643" s="32"/>
      <c r="L2643" s="76">
        <v>2643</v>
      </c>
      <c r="M2643" s="76"/>
      <c r="N2643" s="71"/>
      <c r="O2643" s="87" t="s">
        <v>179</v>
      </c>
      <c r="P2643" s="90">
        <v>45194.738310185188</v>
      </c>
      <c r="Q2643" s="87" t="s">
        <v>4360</v>
      </c>
      <c r="R2643" s="87">
        <v>0</v>
      </c>
      <c r="S2643" s="87">
        <v>0</v>
      </c>
      <c r="T2643" s="87">
        <v>0</v>
      </c>
      <c r="U2643" s="87">
        <v>0</v>
      </c>
      <c r="V2643" s="87">
        <v>37</v>
      </c>
      <c r="W2643" s="93" t="s">
        <v>7424</v>
      </c>
      <c r="X2643" s="87"/>
      <c r="Y2643" s="87"/>
      <c r="Z2643" s="87"/>
      <c r="AA2643" s="87" t="s">
        <v>10374</v>
      </c>
      <c r="AB2643" s="87" t="s">
        <v>11448</v>
      </c>
      <c r="AC2643" s="93" t="s">
        <v>11457</v>
      </c>
      <c r="AD2643" s="87" t="s">
        <v>11519</v>
      </c>
      <c r="AE2643" s="92" t="str">
        <f>HYPERLINK("https://twitter.com/serraempauta/status/1706363730659844594")</f>
        <v>https://twitter.com/serraempauta/status/1706363730659844594</v>
      </c>
      <c r="AF2643" s="90">
        <v>45194.738310185188</v>
      </c>
      <c r="AG2643" s="99">
        <v>45194</v>
      </c>
      <c r="AH2643" s="93" t="s">
        <v>13890</v>
      </c>
      <c r="AI2643" s="87" t="b">
        <v>0</v>
      </c>
      <c r="AJ2643" s="87"/>
      <c r="AK2643" s="87"/>
      <c r="AL2643" s="87"/>
      <c r="AM2643" s="87"/>
      <c r="AN2643" s="87"/>
      <c r="AO2643" s="87"/>
      <c r="AP2643" s="87"/>
      <c r="AQ2643" s="87" t="s">
        <v>17186</v>
      </c>
      <c r="AR2643" s="87"/>
      <c r="AS2643" s="87"/>
      <c r="AT2643" s="87"/>
      <c r="AU2643" s="87"/>
      <c r="AV2643" s="92" t="str">
        <f>HYPERLINK("https://pbs.twimg.com/media/F644xAeX0AAZ3y7.jpg")</f>
        <v>https://pbs.twimg.com/media/F644xAeX0AAZ3y7.jpg</v>
      </c>
      <c r="AW2643" s="93" t="s">
        <v>20804</v>
      </c>
      <c r="AX2643" s="93" t="s">
        <v>20804</v>
      </c>
      <c r="AY2643" s="87"/>
      <c r="AZ2643" s="93" t="s">
        <v>22668</v>
      </c>
      <c r="BA2643" s="93" t="s">
        <v>22668</v>
      </c>
      <c r="BB2643" s="93" t="s">
        <v>22668</v>
      </c>
      <c r="BC2643" s="93" t="s">
        <v>20804</v>
      </c>
      <c r="BD2643" s="93" t="s">
        <v>23269</v>
      </c>
      <c r="BE2643" s="87"/>
      <c r="BF2643" s="87"/>
      <c r="BG2643" s="87"/>
      <c r="BH2643" s="87"/>
      <c r="BI2643" s="87"/>
    </row>
    <row r="2644" spans="1:61" x14ac:dyDescent="0.25">
      <c r="A2644" s="63" t="s">
        <v>1058</v>
      </c>
      <c r="B2644" s="63" t="s">
        <v>1058</v>
      </c>
      <c r="C2644" s="64"/>
      <c r="D2644" s="65"/>
      <c r="E2644" s="66"/>
      <c r="F2644" s="67"/>
      <c r="G2644" s="64"/>
      <c r="H2644" s="68"/>
      <c r="I2644" s="69"/>
      <c r="J2644" s="69"/>
      <c r="K2644" s="32"/>
      <c r="L2644" s="76">
        <v>2644</v>
      </c>
      <c r="M2644" s="76"/>
      <c r="N2644" s="71"/>
      <c r="O2644" s="87" t="s">
        <v>179</v>
      </c>
      <c r="P2644" s="90">
        <v>45191.667546296296</v>
      </c>
      <c r="Q2644" s="87" t="s">
        <v>4361</v>
      </c>
      <c r="R2644" s="87">
        <v>0</v>
      </c>
      <c r="S2644" s="87">
        <v>0</v>
      </c>
      <c r="T2644" s="87">
        <v>0</v>
      </c>
      <c r="U2644" s="87">
        <v>0</v>
      </c>
      <c r="V2644" s="87">
        <v>34</v>
      </c>
      <c r="W2644" s="93" t="s">
        <v>7424</v>
      </c>
      <c r="X2644" s="87"/>
      <c r="Y2644" s="87"/>
      <c r="Z2644" s="87"/>
      <c r="AA2644" s="87" t="s">
        <v>10375</v>
      </c>
      <c r="AB2644" s="87" t="s">
        <v>11448</v>
      </c>
      <c r="AC2644" s="93" t="s">
        <v>11457</v>
      </c>
      <c r="AD2644" s="87" t="s">
        <v>11519</v>
      </c>
      <c r="AE2644" s="92" t="str">
        <f>HYPERLINK("https://twitter.com/serraempauta/status/1705250920626352185")</f>
        <v>https://twitter.com/serraempauta/status/1705250920626352185</v>
      </c>
      <c r="AF2644" s="90">
        <v>45191.667546296296</v>
      </c>
      <c r="AG2644" s="99">
        <v>45191</v>
      </c>
      <c r="AH2644" s="93" t="s">
        <v>13891</v>
      </c>
      <c r="AI2644" s="87" t="b">
        <v>0</v>
      </c>
      <c r="AJ2644" s="87"/>
      <c r="AK2644" s="87"/>
      <c r="AL2644" s="87"/>
      <c r="AM2644" s="87"/>
      <c r="AN2644" s="87"/>
      <c r="AO2644" s="87"/>
      <c r="AP2644" s="87"/>
      <c r="AQ2644" s="87" t="s">
        <v>17187</v>
      </c>
      <c r="AR2644" s="87"/>
      <c r="AS2644" s="87"/>
      <c r="AT2644" s="87"/>
      <c r="AU2644" s="87"/>
      <c r="AV2644" s="92" t="str">
        <f>HYPERLINK("https://pbs.twimg.com/media/F6pEq9pXsAAbNCw.jpg")</f>
        <v>https://pbs.twimg.com/media/F6pEq9pXsAAbNCw.jpg</v>
      </c>
      <c r="AW2644" s="93" t="s">
        <v>20805</v>
      </c>
      <c r="AX2644" s="93" t="s">
        <v>20805</v>
      </c>
      <c r="AY2644" s="87"/>
      <c r="AZ2644" s="93" t="s">
        <v>22668</v>
      </c>
      <c r="BA2644" s="93" t="s">
        <v>22668</v>
      </c>
      <c r="BB2644" s="93" t="s">
        <v>22668</v>
      </c>
      <c r="BC2644" s="93" t="s">
        <v>20805</v>
      </c>
      <c r="BD2644" s="93" t="s">
        <v>23269</v>
      </c>
      <c r="BE2644" s="87"/>
      <c r="BF2644" s="87"/>
      <c r="BG2644" s="87"/>
      <c r="BH2644" s="87"/>
      <c r="BI2644" s="87"/>
    </row>
    <row r="2645" spans="1:61" x14ac:dyDescent="0.25">
      <c r="A2645" s="63" t="s">
        <v>1058</v>
      </c>
      <c r="B2645" s="63" t="s">
        <v>1058</v>
      </c>
      <c r="C2645" s="64"/>
      <c r="D2645" s="65"/>
      <c r="E2645" s="66"/>
      <c r="F2645" s="67"/>
      <c r="G2645" s="64"/>
      <c r="H2645" s="68"/>
      <c r="I2645" s="69"/>
      <c r="J2645" s="69"/>
      <c r="K2645" s="32"/>
      <c r="L2645" s="76">
        <v>2645</v>
      </c>
      <c r="M2645" s="76"/>
      <c r="N2645" s="71"/>
      <c r="O2645" s="87" t="s">
        <v>179</v>
      </c>
      <c r="P2645" s="90">
        <v>45190.475821759261</v>
      </c>
      <c r="Q2645" s="87" t="s">
        <v>4362</v>
      </c>
      <c r="R2645" s="87">
        <v>0</v>
      </c>
      <c r="S2645" s="87">
        <v>0</v>
      </c>
      <c r="T2645" s="87">
        <v>0</v>
      </c>
      <c r="U2645" s="87">
        <v>0</v>
      </c>
      <c r="V2645" s="87">
        <v>33</v>
      </c>
      <c r="W2645" s="93" t="s">
        <v>7424</v>
      </c>
      <c r="X2645" s="87"/>
      <c r="Y2645" s="87"/>
      <c r="Z2645" s="87"/>
      <c r="AA2645" s="87" t="s">
        <v>10376</v>
      </c>
      <c r="AB2645" s="87" t="s">
        <v>11448</v>
      </c>
      <c r="AC2645" s="93" t="s">
        <v>11457</v>
      </c>
      <c r="AD2645" s="87" t="s">
        <v>11519</v>
      </c>
      <c r="AE2645" s="92" t="str">
        <f>HYPERLINK("https://twitter.com/serraempauta/status/1704819055226466353")</f>
        <v>https://twitter.com/serraempauta/status/1704819055226466353</v>
      </c>
      <c r="AF2645" s="90">
        <v>45190.475821759261</v>
      </c>
      <c r="AG2645" s="99">
        <v>45190</v>
      </c>
      <c r="AH2645" s="93" t="s">
        <v>13892</v>
      </c>
      <c r="AI2645" s="87" t="b">
        <v>0</v>
      </c>
      <c r="AJ2645" s="87"/>
      <c r="AK2645" s="87"/>
      <c r="AL2645" s="87"/>
      <c r="AM2645" s="87"/>
      <c r="AN2645" s="87"/>
      <c r="AO2645" s="87"/>
      <c r="AP2645" s="87"/>
      <c r="AQ2645" s="87" t="s">
        <v>17188</v>
      </c>
      <c r="AR2645" s="87"/>
      <c r="AS2645" s="87"/>
      <c r="AT2645" s="87"/>
      <c r="AU2645" s="87"/>
      <c r="AV2645" s="92" t="str">
        <f>HYPERLINK("https://pbs.twimg.com/media/F6i73jPWsAACttO.jpg")</f>
        <v>https://pbs.twimg.com/media/F6i73jPWsAACttO.jpg</v>
      </c>
      <c r="AW2645" s="93" t="s">
        <v>20806</v>
      </c>
      <c r="AX2645" s="93" t="s">
        <v>20806</v>
      </c>
      <c r="AY2645" s="87"/>
      <c r="AZ2645" s="93" t="s">
        <v>22668</v>
      </c>
      <c r="BA2645" s="93" t="s">
        <v>22668</v>
      </c>
      <c r="BB2645" s="93" t="s">
        <v>22668</v>
      </c>
      <c r="BC2645" s="93" t="s">
        <v>20806</v>
      </c>
      <c r="BD2645" s="93" t="s">
        <v>23269</v>
      </c>
      <c r="BE2645" s="87"/>
      <c r="BF2645" s="87"/>
      <c r="BG2645" s="87"/>
      <c r="BH2645" s="87"/>
      <c r="BI2645" s="87"/>
    </row>
    <row r="2646" spans="1:61" x14ac:dyDescent="0.25">
      <c r="A2646" s="63" t="s">
        <v>1058</v>
      </c>
      <c r="B2646" s="63" t="s">
        <v>1058</v>
      </c>
      <c r="C2646" s="64"/>
      <c r="D2646" s="65"/>
      <c r="E2646" s="66"/>
      <c r="F2646" s="67"/>
      <c r="G2646" s="64"/>
      <c r="H2646" s="68"/>
      <c r="I2646" s="69"/>
      <c r="J2646" s="69"/>
      <c r="K2646" s="32"/>
      <c r="L2646" s="76">
        <v>2646</v>
      </c>
      <c r="M2646" s="76"/>
      <c r="N2646" s="71"/>
      <c r="O2646" s="87" t="s">
        <v>179</v>
      </c>
      <c r="P2646" s="90">
        <v>45184.861481481479</v>
      </c>
      <c r="Q2646" s="87" t="s">
        <v>4363</v>
      </c>
      <c r="R2646" s="87">
        <v>0</v>
      </c>
      <c r="S2646" s="87">
        <v>0</v>
      </c>
      <c r="T2646" s="87">
        <v>0</v>
      </c>
      <c r="U2646" s="87">
        <v>0</v>
      </c>
      <c r="V2646" s="87">
        <v>39</v>
      </c>
      <c r="W2646" s="93" t="s">
        <v>7424</v>
      </c>
      <c r="X2646" s="87"/>
      <c r="Y2646" s="87"/>
      <c r="Z2646" s="87"/>
      <c r="AA2646" s="87" t="s">
        <v>10377</v>
      </c>
      <c r="AB2646" s="87" t="s">
        <v>11448</v>
      </c>
      <c r="AC2646" s="93" t="s">
        <v>11457</v>
      </c>
      <c r="AD2646" s="87" t="s">
        <v>11519</v>
      </c>
      <c r="AE2646" s="92" t="str">
        <f>HYPERLINK("https://twitter.com/serraempauta/status/1702784486008598532")</f>
        <v>https://twitter.com/serraempauta/status/1702784486008598532</v>
      </c>
      <c r="AF2646" s="90">
        <v>45184.861481481479</v>
      </c>
      <c r="AG2646" s="99">
        <v>45184</v>
      </c>
      <c r="AH2646" s="93" t="s">
        <v>13893</v>
      </c>
      <c r="AI2646" s="87" t="b">
        <v>0</v>
      </c>
      <c r="AJ2646" s="87"/>
      <c r="AK2646" s="87"/>
      <c r="AL2646" s="87"/>
      <c r="AM2646" s="87"/>
      <c r="AN2646" s="87"/>
      <c r="AO2646" s="87"/>
      <c r="AP2646" s="87"/>
      <c r="AQ2646" s="87" t="s">
        <v>17189</v>
      </c>
      <c r="AR2646" s="87"/>
      <c r="AS2646" s="87"/>
      <c r="AT2646" s="87"/>
      <c r="AU2646" s="87"/>
      <c r="AV2646" s="92" t="str">
        <f>HYPERLINK("https://pbs.twimg.com/media/F6GBdT1XMAAzFlq.jpg")</f>
        <v>https://pbs.twimg.com/media/F6GBdT1XMAAzFlq.jpg</v>
      </c>
      <c r="AW2646" s="93" t="s">
        <v>20807</v>
      </c>
      <c r="AX2646" s="93" t="s">
        <v>20807</v>
      </c>
      <c r="AY2646" s="87"/>
      <c r="AZ2646" s="93" t="s">
        <v>22668</v>
      </c>
      <c r="BA2646" s="93" t="s">
        <v>22668</v>
      </c>
      <c r="BB2646" s="93" t="s">
        <v>22668</v>
      </c>
      <c r="BC2646" s="93" t="s">
        <v>20807</v>
      </c>
      <c r="BD2646" s="93" t="s">
        <v>23269</v>
      </c>
      <c r="BE2646" s="87"/>
      <c r="BF2646" s="87"/>
      <c r="BG2646" s="87"/>
      <c r="BH2646" s="87"/>
      <c r="BI2646" s="87"/>
    </row>
    <row r="2647" spans="1:61" x14ac:dyDescent="0.25">
      <c r="A2647" s="63" t="s">
        <v>1058</v>
      </c>
      <c r="B2647" s="63" t="s">
        <v>1058</v>
      </c>
      <c r="C2647" s="64"/>
      <c r="D2647" s="65"/>
      <c r="E2647" s="66"/>
      <c r="F2647" s="67"/>
      <c r="G2647" s="64"/>
      <c r="H2647" s="68"/>
      <c r="I2647" s="69"/>
      <c r="J2647" s="69"/>
      <c r="K2647" s="32"/>
      <c r="L2647" s="76">
        <v>2647</v>
      </c>
      <c r="M2647" s="76"/>
      <c r="N2647" s="71"/>
      <c r="O2647" s="87" t="s">
        <v>179</v>
      </c>
      <c r="P2647" s="90">
        <v>45184.841898148145</v>
      </c>
      <c r="Q2647" s="87" t="s">
        <v>4364</v>
      </c>
      <c r="R2647" s="87">
        <v>0</v>
      </c>
      <c r="S2647" s="87">
        <v>0</v>
      </c>
      <c r="T2647" s="87">
        <v>0</v>
      </c>
      <c r="U2647" s="87">
        <v>0</v>
      </c>
      <c r="V2647" s="87">
        <v>26</v>
      </c>
      <c r="W2647" s="93" t="s">
        <v>7424</v>
      </c>
      <c r="X2647" s="87"/>
      <c r="Y2647" s="87"/>
      <c r="Z2647" s="87"/>
      <c r="AA2647" s="87" t="s">
        <v>10378</v>
      </c>
      <c r="AB2647" s="87" t="s">
        <v>11448</v>
      </c>
      <c r="AC2647" s="93" t="s">
        <v>11457</v>
      </c>
      <c r="AD2647" s="87" t="s">
        <v>11519</v>
      </c>
      <c r="AE2647" s="92" t="str">
        <f>HYPERLINK("https://twitter.com/serraempauta/status/1702777390693314724")</f>
        <v>https://twitter.com/serraempauta/status/1702777390693314724</v>
      </c>
      <c r="AF2647" s="90">
        <v>45184.841898148145</v>
      </c>
      <c r="AG2647" s="99">
        <v>45184</v>
      </c>
      <c r="AH2647" s="93" t="s">
        <v>13894</v>
      </c>
      <c r="AI2647" s="87" t="b">
        <v>0</v>
      </c>
      <c r="AJ2647" s="87"/>
      <c r="AK2647" s="87"/>
      <c r="AL2647" s="87"/>
      <c r="AM2647" s="87"/>
      <c r="AN2647" s="87"/>
      <c r="AO2647" s="87"/>
      <c r="AP2647" s="87"/>
      <c r="AQ2647" s="87" t="s">
        <v>17190</v>
      </c>
      <c r="AR2647" s="87"/>
      <c r="AS2647" s="87"/>
      <c r="AT2647" s="87"/>
      <c r="AU2647" s="87"/>
      <c r="AV2647" s="92" t="str">
        <f>HYPERLINK("https://pbs.twimg.com/media/F6F6_xEXAAED4DO.jpg")</f>
        <v>https://pbs.twimg.com/media/F6F6_xEXAAED4DO.jpg</v>
      </c>
      <c r="AW2647" s="93" t="s">
        <v>20808</v>
      </c>
      <c r="AX2647" s="93" t="s">
        <v>20808</v>
      </c>
      <c r="AY2647" s="87"/>
      <c r="AZ2647" s="93" t="s">
        <v>22668</v>
      </c>
      <c r="BA2647" s="93" t="s">
        <v>22668</v>
      </c>
      <c r="BB2647" s="93" t="s">
        <v>22668</v>
      </c>
      <c r="BC2647" s="93" t="s">
        <v>20808</v>
      </c>
      <c r="BD2647" s="93" t="s">
        <v>23269</v>
      </c>
      <c r="BE2647" s="87"/>
      <c r="BF2647" s="87"/>
      <c r="BG2647" s="87"/>
      <c r="BH2647" s="87"/>
      <c r="BI2647" s="87"/>
    </row>
    <row r="2648" spans="1:61" x14ac:dyDescent="0.25">
      <c r="A2648" s="63" t="s">
        <v>1058</v>
      </c>
      <c r="B2648" s="63" t="s">
        <v>1058</v>
      </c>
      <c r="C2648" s="64"/>
      <c r="D2648" s="65"/>
      <c r="E2648" s="66"/>
      <c r="F2648" s="67"/>
      <c r="G2648" s="64"/>
      <c r="H2648" s="68"/>
      <c r="I2648" s="69"/>
      <c r="J2648" s="69"/>
      <c r="K2648" s="32"/>
      <c r="L2648" s="76">
        <v>2648</v>
      </c>
      <c r="M2648" s="76"/>
      <c r="N2648" s="71"/>
      <c r="O2648" s="87" t="s">
        <v>179</v>
      </c>
      <c r="P2648" s="90">
        <v>45184.80364583333</v>
      </c>
      <c r="Q2648" s="87" t="s">
        <v>4365</v>
      </c>
      <c r="R2648" s="87">
        <v>0</v>
      </c>
      <c r="S2648" s="87">
        <v>0</v>
      </c>
      <c r="T2648" s="87">
        <v>0</v>
      </c>
      <c r="U2648" s="87">
        <v>0</v>
      </c>
      <c r="V2648" s="87">
        <v>35</v>
      </c>
      <c r="W2648" s="93" t="s">
        <v>7424</v>
      </c>
      <c r="X2648" s="87"/>
      <c r="Y2648" s="87"/>
      <c r="Z2648" s="87"/>
      <c r="AA2648" s="87" t="s">
        <v>10379</v>
      </c>
      <c r="AB2648" s="87" t="s">
        <v>11448</v>
      </c>
      <c r="AC2648" s="93" t="s">
        <v>11457</v>
      </c>
      <c r="AD2648" s="87" t="s">
        <v>11519</v>
      </c>
      <c r="AE2648" s="92" t="str">
        <f>HYPERLINK("https://twitter.com/serraempauta/status/1702763528921223613")</f>
        <v>https://twitter.com/serraempauta/status/1702763528921223613</v>
      </c>
      <c r="AF2648" s="90">
        <v>45184.80364583333</v>
      </c>
      <c r="AG2648" s="99">
        <v>45184</v>
      </c>
      <c r="AH2648" s="93" t="s">
        <v>11686</v>
      </c>
      <c r="AI2648" s="87" t="b">
        <v>0</v>
      </c>
      <c r="AJ2648" s="87"/>
      <c r="AK2648" s="87"/>
      <c r="AL2648" s="87"/>
      <c r="AM2648" s="87"/>
      <c r="AN2648" s="87"/>
      <c r="AO2648" s="87"/>
      <c r="AP2648" s="87"/>
      <c r="AQ2648" s="87" t="s">
        <v>17191</v>
      </c>
      <c r="AR2648" s="87"/>
      <c r="AS2648" s="87"/>
      <c r="AT2648" s="87"/>
      <c r="AU2648" s="87"/>
      <c r="AV2648" s="92" t="str">
        <f>HYPERLINK("https://pbs.twimg.com/media/F6FuZSeWgAA8Mdj.jpg")</f>
        <v>https://pbs.twimg.com/media/F6FuZSeWgAA8Mdj.jpg</v>
      </c>
      <c r="AW2648" s="93" t="s">
        <v>20809</v>
      </c>
      <c r="AX2648" s="93" t="s">
        <v>20809</v>
      </c>
      <c r="AY2648" s="87"/>
      <c r="AZ2648" s="93" t="s">
        <v>22668</v>
      </c>
      <c r="BA2648" s="93" t="s">
        <v>22668</v>
      </c>
      <c r="BB2648" s="93" t="s">
        <v>22668</v>
      </c>
      <c r="BC2648" s="93" t="s">
        <v>20809</v>
      </c>
      <c r="BD2648" s="93" t="s">
        <v>23269</v>
      </c>
      <c r="BE2648" s="87"/>
      <c r="BF2648" s="87"/>
      <c r="BG2648" s="87"/>
      <c r="BH2648" s="87"/>
      <c r="BI2648" s="87"/>
    </row>
    <row r="2649" spans="1:61" x14ac:dyDescent="0.25">
      <c r="A2649" s="63" t="s">
        <v>1058</v>
      </c>
      <c r="B2649" s="63" t="s">
        <v>1058</v>
      </c>
      <c r="C2649" s="64"/>
      <c r="D2649" s="65"/>
      <c r="E2649" s="66"/>
      <c r="F2649" s="67"/>
      <c r="G2649" s="64"/>
      <c r="H2649" s="68"/>
      <c r="I2649" s="69"/>
      <c r="J2649" s="69"/>
      <c r="K2649" s="32"/>
      <c r="L2649" s="76">
        <v>2649</v>
      </c>
      <c r="M2649" s="76"/>
      <c r="N2649" s="71"/>
      <c r="O2649" s="87" t="s">
        <v>179</v>
      </c>
      <c r="P2649" s="90">
        <v>45184.75571759259</v>
      </c>
      <c r="Q2649" s="87" t="s">
        <v>4366</v>
      </c>
      <c r="R2649" s="87">
        <v>0</v>
      </c>
      <c r="S2649" s="87">
        <v>0</v>
      </c>
      <c r="T2649" s="87">
        <v>0</v>
      </c>
      <c r="U2649" s="87">
        <v>0</v>
      </c>
      <c r="V2649" s="87">
        <v>43</v>
      </c>
      <c r="W2649" s="93" t="s">
        <v>7424</v>
      </c>
      <c r="X2649" s="87"/>
      <c r="Y2649" s="87"/>
      <c r="Z2649" s="87"/>
      <c r="AA2649" s="87" t="s">
        <v>10380</v>
      </c>
      <c r="AB2649" s="87" t="s">
        <v>11448</v>
      </c>
      <c r="AC2649" s="93" t="s">
        <v>11457</v>
      </c>
      <c r="AD2649" s="87" t="s">
        <v>11519</v>
      </c>
      <c r="AE2649" s="92" t="str">
        <f>HYPERLINK("https://twitter.com/serraempauta/status/1702746158337020328")</f>
        <v>https://twitter.com/serraempauta/status/1702746158337020328</v>
      </c>
      <c r="AF2649" s="90">
        <v>45184.75571759259</v>
      </c>
      <c r="AG2649" s="99">
        <v>45184</v>
      </c>
      <c r="AH2649" s="93" t="s">
        <v>13895</v>
      </c>
      <c r="AI2649" s="87" t="b">
        <v>0</v>
      </c>
      <c r="AJ2649" s="87"/>
      <c r="AK2649" s="87"/>
      <c r="AL2649" s="87"/>
      <c r="AM2649" s="87"/>
      <c r="AN2649" s="87"/>
      <c r="AO2649" s="87"/>
      <c r="AP2649" s="87"/>
      <c r="AQ2649" s="87" t="s">
        <v>17192</v>
      </c>
      <c r="AR2649" s="87"/>
      <c r="AS2649" s="87"/>
      <c r="AT2649" s="87"/>
      <c r="AU2649" s="87"/>
      <c r="AV2649" s="92" t="str">
        <f>HYPERLINK("https://pbs.twimg.com/media/F6FemX7WUAANU0B.jpg")</f>
        <v>https://pbs.twimg.com/media/F6FemX7WUAANU0B.jpg</v>
      </c>
      <c r="AW2649" s="93" t="s">
        <v>20810</v>
      </c>
      <c r="AX2649" s="93" t="s">
        <v>20810</v>
      </c>
      <c r="AY2649" s="87"/>
      <c r="AZ2649" s="93" t="s">
        <v>22668</v>
      </c>
      <c r="BA2649" s="93" t="s">
        <v>22668</v>
      </c>
      <c r="BB2649" s="93" t="s">
        <v>22668</v>
      </c>
      <c r="BC2649" s="93" t="s">
        <v>20810</v>
      </c>
      <c r="BD2649" s="93" t="s">
        <v>23269</v>
      </c>
      <c r="BE2649" s="87"/>
      <c r="BF2649" s="87"/>
      <c r="BG2649" s="87"/>
      <c r="BH2649" s="87"/>
      <c r="BI2649" s="87"/>
    </row>
    <row r="2650" spans="1:61" x14ac:dyDescent="0.25">
      <c r="A2650" s="63" t="s">
        <v>1058</v>
      </c>
      <c r="B2650" s="63" t="s">
        <v>1058</v>
      </c>
      <c r="C2650" s="64"/>
      <c r="D2650" s="65"/>
      <c r="E2650" s="66"/>
      <c r="F2650" s="67"/>
      <c r="G2650" s="64"/>
      <c r="H2650" s="68"/>
      <c r="I2650" s="69"/>
      <c r="J2650" s="69"/>
      <c r="K2650" s="32"/>
      <c r="L2650" s="76">
        <v>2650</v>
      </c>
      <c r="M2650" s="76"/>
      <c r="N2650" s="71"/>
      <c r="O2650" s="87" t="s">
        <v>179</v>
      </c>
      <c r="P2650" s="90">
        <v>45184.598969907405</v>
      </c>
      <c r="Q2650" s="87" t="s">
        <v>4367</v>
      </c>
      <c r="R2650" s="87">
        <v>0</v>
      </c>
      <c r="S2650" s="87">
        <v>0</v>
      </c>
      <c r="T2650" s="87">
        <v>0</v>
      </c>
      <c r="U2650" s="87">
        <v>0</v>
      </c>
      <c r="V2650" s="87">
        <v>30</v>
      </c>
      <c r="W2650" s="93" t="s">
        <v>7424</v>
      </c>
      <c r="X2650" s="87"/>
      <c r="Y2650" s="87"/>
      <c r="Z2650" s="87"/>
      <c r="AA2650" s="87" t="s">
        <v>10381</v>
      </c>
      <c r="AB2650" s="87" t="s">
        <v>11448</v>
      </c>
      <c r="AC2650" s="93" t="s">
        <v>11457</v>
      </c>
      <c r="AD2650" s="87" t="s">
        <v>11519</v>
      </c>
      <c r="AE2650" s="92" t="str">
        <f>HYPERLINK("https://twitter.com/serraempauta/status/1702689355247071542")</f>
        <v>https://twitter.com/serraempauta/status/1702689355247071542</v>
      </c>
      <c r="AF2650" s="90">
        <v>45184.598969907405</v>
      </c>
      <c r="AG2650" s="99">
        <v>45184</v>
      </c>
      <c r="AH2650" s="93" t="s">
        <v>13896</v>
      </c>
      <c r="AI2650" s="87" t="b">
        <v>0</v>
      </c>
      <c r="AJ2650" s="87"/>
      <c r="AK2650" s="87"/>
      <c r="AL2650" s="87"/>
      <c r="AM2650" s="87"/>
      <c r="AN2650" s="87"/>
      <c r="AO2650" s="87"/>
      <c r="AP2650" s="87"/>
      <c r="AQ2650" s="87" t="s">
        <v>17193</v>
      </c>
      <c r="AR2650" s="87"/>
      <c r="AS2650" s="87"/>
      <c r="AT2650" s="87"/>
      <c r="AU2650" s="87"/>
      <c r="AV2650" s="92" t="str">
        <f>HYPERLINK("https://pbs.twimg.com/media/F6Eq8MCXMAArVaL.jpg")</f>
        <v>https://pbs.twimg.com/media/F6Eq8MCXMAArVaL.jpg</v>
      </c>
      <c r="AW2650" s="93" t="s">
        <v>20811</v>
      </c>
      <c r="AX2650" s="93" t="s">
        <v>20811</v>
      </c>
      <c r="AY2650" s="87"/>
      <c r="AZ2650" s="93" t="s">
        <v>22668</v>
      </c>
      <c r="BA2650" s="93" t="s">
        <v>22668</v>
      </c>
      <c r="BB2650" s="93" t="s">
        <v>22668</v>
      </c>
      <c r="BC2650" s="93" t="s">
        <v>20811</v>
      </c>
      <c r="BD2650" s="93" t="s">
        <v>23269</v>
      </c>
      <c r="BE2650" s="87"/>
      <c r="BF2650" s="87"/>
      <c r="BG2650" s="87"/>
      <c r="BH2650" s="87"/>
      <c r="BI2650" s="87"/>
    </row>
    <row r="2651" spans="1:61" x14ac:dyDescent="0.25">
      <c r="A2651" s="63" t="s">
        <v>1058</v>
      </c>
      <c r="B2651" s="63" t="s">
        <v>1058</v>
      </c>
      <c r="C2651" s="64"/>
      <c r="D2651" s="65"/>
      <c r="E2651" s="66"/>
      <c r="F2651" s="67"/>
      <c r="G2651" s="64"/>
      <c r="H2651" s="68"/>
      <c r="I2651" s="69"/>
      <c r="J2651" s="69"/>
      <c r="K2651" s="32"/>
      <c r="L2651" s="76">
        <v>2651</v>
      </c>
      <c r="M2651" s="76"/>
      <c r="N2651" s="71"/>
      <c r="O2651" s="87" t="s">
        <v>179</v>
      </c>
      <c r="P2651" s="90">
        <v>45184.564988425926</v>
      </c>
      <c r="Q2651" s="87" t="s">
        <v>4368</v>
      </c>
      <c r="R2651" s="87">
        <v>0</v>
      </c>
      <c r="S2651" s="87">
        <v>0</v>
      </c>
      <c r="T2651" s="87">
        <v>0</v>
      </c>
      <c r="U2651" s="87">
        <v>0</v>
      </c>
      <c r="V2651" s="87">
        <v>36</v>
      </c>
      <c r="W2651" s="93" t="s">
        <v>7424</v>
      </c>
      <c r="X2651" s="87"/>
      <c r="Y2651" s="87"/>
      <c r="Z2651" s="87"/>
      <c r="AA2651" s="87" t="s">
        <v>10382</v>
      </c>
      <c r="AB2651" s="87" t="s">
        <v>11448</v>
      </c>
      <c r="AC2651" s="93" t="s">
        <v>11457</v>
      </c>
      <c r="AD2651" s="87" t="s">
        <v>11519</v>
      </c>
      <c r="AE2651" s="92" t="str">
        <f>HYPERLINK("https://twitter.com/serraempauta/status/1702677041521332530")</f>
        <v>https://twitter.com/serraempauta/status/1702677041521332530</v>
      </c>
      <c r="AF2651" s="90">
        <v>45184.564988425926</v>
      </c>
      <c r="AG2651" s="99">
        <v>45184</v>
      </c>
      <c r="AH2651" s="93" t="s">
        <v>13897</v>
      </c>
      <c r="AI2651" s="87" t="b">
        <v>0</v>
      </c>
      <c r="AJ2651" s="87"/>
      <c r="AK2651" s="87"/>
      <c r="AL2651" s="87"/>
      <c r="AM2651" s="87"/>
      <c r="AN2651" s="87"/>
      <c r="AO2651" s="87"/>
      <c r="AP2651" s="87"/>
      <c r="AQ2651" s="87" t="s">
        <v>17194</v>
      </c>
      <c r="AR2651" s="87"/>
      <c r="AS2651" s="87"/>
      <c r="AT2651" s="87"/>
      <c r="AU2651" s="87"/>
      <c r="AV2651" s="92" t="str">
        <f>HYPERLINK("https://pbs.twimg.com/media/F6EfvH5XMAAyXdY.jpg")</f>
        <v>https://pbs.twimg.com/media/F6EfvH5XMAAyXdY.jpg</v>
      </c>
      <c r="AW2651" s="93" t="s">
        <v>20812</v>
      </c>
      <c r="AX2651" s="93" t="s">
        <v>20812</v>
      </c>
      <c r="AY2651" s="87"/>
      <c r="AZ2651" s="93" t="s">
        <v>22668</v>
      </c>
      <c r="BA2651" s="93" t="s">
        <v>22668</v>
      </c>
      <c r="BB2651" s="93" t="s">
        <v>22668</v>
      </c>
      <c r="BC2651" s="93" t="s">
        <v>20812</v>
      </c>
      <c r="BD2651" s="93" t="s">
        <v>23269</v>
      </c>
      <c r="BE2651" s="87"/>
      <c r="BF2651" s="87"/>
      <c r="BG2651" s="87"/>
      <c r="BH2651" s="87"/>
      <c r="BI2651" s="87"/>
    </row>
    <row r="2652" spans="1:61" x14ac:dyDescent="0.25">
      <c r="A2652" s="63" t="s">
        <v>1058</v>
      </c>
      <c r="B2652" s="63" t="s">
        <v>1058</v>
      </c>
      <c r="C2652" s="64"/>
      <c r="D2652" s="65"/>
      <c r="E2652" s="66"/>
      <c r="F2652" s="67"/>
      <c r="G2652" s="64"/>
      <c r="H2652" s="68"/>
      <c r="I2652" s="69"/>
      <c r="J2652" s="69"/>
      <c r="K2652" s="32"/>
      <c r="L2652" s="76">
        <v>2652</v>
      </c>
      <c r="M2652" s="76"/>
      <c r="N2652" s="71"/>
      <c r="O2652" s="87" t="s">
        <v>179</v>
      </c>
      <c r="P2652" s="90">
        <v>45178.598310185182</v>
      </c>
      <c r="Q2652" s="87" t="s">
        <v>4369</v>
      </c>
      <c r="R2652" s="87">
        <v>0</v>
      </c>
      <c r="S2652" s="87">
        <v>0</v>
      </c>
      <c r="T2652" s="87">
        <v>0</v>
      </c>
      <c r="U2652" s="87">
        <v>0</v>
      </c>
      <c r="V2652" s="87">
        <v>44</v>
      </c>
      <c r="W2652" s="93" t="s">
        <v>7424</v>
      </c>
      <c r="X2652" s="87"/>
      <c r="Y2652" s="87"/>
      <c r="Z2652" s="87"/>
      <c r="AA2652" s="87" t="s">
        <v>10383</v>
      </c>
      <c r="AB2652" s="87" t="s">
        <v>11448</v>
      </c>
      <c r="AC2652" s="93" t="s">
        <v>11457</v>
      </c>
      <c r="AD2652" s="87" t="s">
        <v>11519</v>
      </c>
      <c r="AE2652" s="92" t="str">
        <f>HYPERLINK("https://twitter.com/serraempauta/status/1700514791012376956")</f>
        <v>https://twitter.com/serraempauta/status/1700514791012376956</v>
      </c>
      <c r="AF2652" s="90">
        <v>45178.598310185182</v>
      </c>
      <c r="AG2652" s="99">
        <v>45178</v>
      </c>
      <c r="AH2652" s="93" t="s">
        <v>13898</v>
      </c>
      <c r="AI2652" s="87" t="b">
        <v>0</v>
      </c>
      <c r="AJ2652" s="87"/>
      <c r="AK2652" s="87"/>
      <c r="AL2652" s="87"/>
      <c r="AM2652" s="87"/>
      <c r="AN2652" s="87"/>
      <c r="AO2652" s="87"/>
      <c r="AP2652" s="87"/>
      <c r="AQ2652" s="87" t="s">
        <v>17195</v>
      </c>
      <c r="AR2652" s="87"/>
      <c r="AS2652" s="87"/>
      <c r="AT2652" s="87"/>
      <c r="AU2652" s="87"/>
      <c r="AV2652" s="92" t="str">
        <f>HYPERLINK("https://pbs.twimg.com/media/F5lxLvpWEAAE0Br.jpg")</f>
        <v>https://pbs.twimg.com/media/F5lxLvpWEAAE0Br.jpg</v>
      </c>
      <c r="AW2652" s="93" t="s">
        <v>20813</v>
      </c>
      <c r="AX2652" s="93" t="s">
        <v>20813</v>
      </c>
      <c r="AY2652" s="87"/>
      <c r="AZ2652" s="93" t="s">
        <v>22668</v>
      </c>
      <c r="BA2652" s="93" t="s">
        <v>22668</v>
      </c>
      <c r="BB2652" s="93" t="s">
        <v>22668</v>
      </c>
      <c r="BC2652" s="93" t="s">
        <v>20813</v>
      </c>
      <c r="BD2652" s="93" t="s">
        <v>23269</v>
      </c>
      <c r="BE2652" s="87"/>
      <c r="BF2652" s="87"/>
      <c r="BG2652" s="87"/>
      <c r="BH2652" s="87"/>
      <c r="BI2652" s="87"/>
    </row>
    <row r="2653" spans="1:61" x14ac:dyDescent="0.25">
      <c r="A2653" s="63" t="s">
        <v>1058</v>
      </c>
      <c r="B2653" s="63" t="s">
        <v>1058</v>
      </c>
      <c r="C2653" s="64"/>
      <c r="D2653" s="65"/>
      <c r="E2653" s="66"/>
      <c r="F2653" s="67"/>
      <c r="G2653" s="64"/>
      <c r="H2653" s="68"/>
      <c r="I2653" s="69"/>
      <c r="J2653" s="69"/>
      <c r="K2653" s="32"/>
      <c r="L2653" s="76">
        <v>2653</v>
      </c>
      <c r="M2653" s="76"/>
      <c r="N2653" s="71"/>
      <c r="O2653" s="87" t="s">
        <v>179</v>
      </c>
      <c r="P2653" s="90">
        <v>45178.576006944444</v>
      </c>
      <c r="Q2653" s="87" t="s">
        <v>4370</v>
      </c>
      <c r="R2653" s="87">
        <v>0</v>
      </c>
      <c r="S2653" s="87">
        <v>0</v>
      </c>
      <c r="T2653" s="87">
        <v>0</v>
      </c>
      <c r="U2653" s="87">
        <v>0</v>
      </c>
      <c r="V2653" s="87">
        <v>44</v>
      </c>
      <c r="W2653" s="93" t="s">
        <v>7424</v>
      </c>
      <c r="X2653" s="87"/>
      <c r="Y2653" s="87"/>
      <c r="Z2653" s="87"/>
      <c r="AA2653" s="87" t="s">
        <v>10384</v>
      </c>
      <c r="AB2653" s="87" t="s">
        <v>11448</v>
      </c>
      <c r="AC2653" s="93" t="s">
        <v>11457</v>
      </c>
      <c r="AD2653" s="87" t="s">
        <v>11519</v>
      </c>
      <c r="AE2653" s="92" t="str">
        <f>HYPERLINK("https://twitter.com/serraempauta/status/1700506705149202474")</f>
        <v>https://twitter.com/serraempauta/status/1700506705149202474</v>
      </c>
      <c r="AF2653" s="90">
        <v>45178.576006944444</v>
      </c>
      <c r="AG2653" s="99">
        <v>45178</v>
      </c>
      <c r="AH2653" s="93" t="s">
        <v>13899</v>
      </c>
      <c r="AI2653" s="87" t="b">
        <v>0</v>
      </c>
      <c r="AJ2653" s="87"/>
      <c r="AK2653" s="87"/>
      <c r="AL2653" s="87"/>
      <c r="AM2653" s="87"/>
      <c r="AN2653" s="87"/>
      <c r="AO2653" s="87"/>
      <c r="AP2653" s="87"/>
      <c r="AQ2653" s="87" t="s">
        <v>17196</v>
      </c>
      <c r="AR2653" s="87"/>
      <c r="AS2653" s="87"/>
      <c r="AT2653" s="87"/>
      <c r="AU2653" s="87"/>
      <c r="AV2653" s="92" t="str">
        <f>HYPERLINK("https://pbs.twimg.com/media/F5lpl8CX0AA7JKA.jpg")</f>
        <v>https://pbs.twimg.com/media/F5lpl8CX0AA7JKA.jpg</v>
      </c>
      <c r="AW2653" s="93" t="s">
        <v>20814</v>
      </c>
      <c r="AX2653" s="93" t="s">
        <v>20814</v>
      </c>
      <c r="AY2653" s="87"/>
      <c r="AZ2653" s="93" t="s">
        <v>22668</v>
      </c>
      <c r="BA2653" s="93" t="s">
        <v>22668</v>
      </c>
      <c r="BB2653" s="93" t="s">
        <v>22668</v>
      </c>
      <c r="BC2653" s="93" t="s">
        <v>20814</v>
      </c>
      <c r="BD2653" s="93" t="s">
        <v>23269</v>
      </c>
      <c r="BE2653" s="87"/>
      <c r="BF2653" s="87"/>
      <c r="BG2653" s="87"/>
      <c r="BH2653" s="87"/>
      <c r="BI2653" s="87"/>
    </row>
    <row r="2654" spans="1:61" x14ac:dyDescent="0.25">
      <c r="A2654" s="63" t="s">
        <v>1058</v>
      </c>
      <c r="B2654" s="63" t="s">
        <v>1058</v>
      </c>
      <c r="C2654" s="64"/>
      <c r="D2654" s="65"/>
      <c r="E2654" s="66"/>
      <c r="F2654" s="67"/>
      <c r="G2654" s="64"/>
      <c r="H2654" s="68"/>
      <c r="I2654" s="69"/>
      <c r="J2654" s="69"/>
      <c r="K2654" s="32"/>
      <c r="L2654" s="76">
        <v>2654</v>
      </c>
      <c r="M2654" s="76"/>
      <c r="N2654" s="71"/>
      <c r="O2654" s="87" t="s">
        <v>179</v>
      </c>
      <c r="P2654" s="90">
        <v>45178.527233796296</v>
      </c>
      <c r="Q2654" s="87" t="s">
        <v>4371</v>
      </c>
      <c r="R2654" s="87">
        <v>0</v>
      </c>
      <c r="S2654" s="87">
        <v>0</v>
      </c>
      <c r="T2654" s="87">
        <v>0</v>
      </c>
      <c r="U2654" s="87">
        <v>0</v>
      </c>
      <c r="V2654" s="87">
        <v>41</v>
      </c>
      <c r="W2654" s="93" t="s">
        <v>7424</v>
      </c>
      <c r="X2654" s="87"/>
      <c r="Y2654" s="87"/>
      <c r="Z2654" s="87"/>
      <c r="AA2654" s="87" t="s">
        <v>10385</v>
      </c>
      <c r="AB2654" s="87" t="s">
        <v>11448</v>
      </c>
      <c r="AC2654" s="93" t="s">
        <v>11457</v>
      </c>
      <c r="AD2654" s="87" t="s">
        <v>11519</v>
      </c>
      <c r="AE2654" s="92" t="str">
        <f>HYPERLINK("https://twitter.com/serraempauta/status/1700489033602707650")</f>
        <v>https://twitter.com/serraempauta/status/1700489033602707650</v>
      </c>
      <c r="AF2654" s="90">
        <v>45178.527233796296</v>
      </c>
      <c r="AG2654" s="99">
        <v>45178</v>
      </c>
      <c r="AH2654" s="93" t="s">
        <v>13900</v>
      </c>
      <c r="AI2654" s="87" t="b">
        <v>0</v>
      </c>
      <c r="AJ2654" s="87"/>
      <c r="AK2654" s="87"/>
      <c r="AL2654" s="87"/>
      <c r="AM2654" s="87"/>
      <c r="AN2654" s="87"/>
      <c r="AO2654" s="87"/>
      <c r="AP2654" s="87"/>
      <c r="AQ2654" s="87" t="s">
        <v>17197</v>
      </c>
      <c r="AR2654" s="87"/>
      <c r="AS2654" s="87"/>
      <c r="AT2654" s="87"/>
      <c r="AU2654" s="87"/>
      <c r="AV2654" s="92" t="str">
        <f>HYPERLINK("https://pbs.twimg.com/media/F5lZwAPXoAA9I4s.jpg")</f>
        <v>https://pbs.twimg.com/media/F5lZwAPXoAA9I4s.jpg</v>
      </c>
      <c r="AW2654" s="93" t="s">
        <v>20815</v>
      </c>
      <c r="AX2654" s="93" t="s">
        <v>20815</v>
      </c>
      <c r="AY2654" s="87"/>
      <c r="AZ2654" s="93" t="s">
        <v>22668</v>
      </c>
      <c r="BA2654" s="93" t="s">
        <v>22668</v>
      </c>
      <c r="BB2654" s="93" t="s">
        <v>22668</v>
      </c>
      <c r="BC2654" s="93" t="s">
        <v>20815</v>
      </c>
      <c r="BD2654" s="93" t="s">
        <v>23269</v>
      </c>
      <c r="BE2654" s="87"/>
      <c r="BF2654" s="87"/>
      <c r="BG2654" s="87"/>
      <c r="BH2654" s="87"/>
      <c r="BI2654" s="87"/>
    </row>
    <row r="2655" spans="1:61" x14ac:dyDescent="0.25">
      <c r="A2655" s="63" t="s">
        <v>1058</v>
      </c>
      <c r="B2655" s="63" t="s">
        <v>1058</v>
      </c>
      <c r="C2655" s="64"/>
      <c r="D2655" s="65"/>
      <c r="E2655" s="66"/>
      <c r="F2655" s="67"/>
      <c r="G2655" s="64"/>
      <c r="H2655" s="68"/>
      <c r="I2655" s="69"/>
      <c r="J2655" s="69"/>
      <c r="K2655" s="32"/>
      <c r="L2655" s="76">
        <v>2655</v>
      </c>
      <c r="M2655" s="76"/>
      <c r="N2655" s="71"/>
      <c r="O2655" s="87" t="s">
        <v>179</v>
      </c>
      <c r="P2655" s="90">
        <v>45177.831307870372</v>
      </c>
      <c r="Q2655" s="87" t="s">
        <v>4372</v>
      </c>
      <c r="R2655" s="87">
        <v>0</v>
      </c>
      <c r="S2655" s="87">
        <v>0</v>
      </c>
      <c r="T2655" s="87">
        <v>0</v>
      </c>
      <c r="U2655" s="87">
        <v>0</v>
      </c>
      <c r="V2655" s="87">
        <v>117</v>
      </c>
      <c r="W2655" s="93" t="s">
        <v>7424</v>
      </c>
      <c r="X2655" s="87"/>
      <c r="Y2655" s="87"/>
      <c r="Z2655" s="87"/>
      <c r="AA2655" s="87" t="s">
        <v>10386</v>
      </c>
      <c r="AB2655" s="87" t="s">
        <v>11448</v>
      </c>
      <c r="AC2655" s="93" t="s">
        <v>11457</v>
      </c>
      <c r="AD2655" s="87" t="s">
        <v>11519</v>
      </c>
      <c r="AE2655" s="92" t="str">
        <f>HYPERLINK("https://twitter.com/serraempauta/status/1700236837522956512")</f>
        <v>https://twitter.com/serraempauta/status/1700236837522956512</v>
      </c>
      <c r="AF2655" s="90">
        <v>45177.831307870372</v>
      </c>
      <c r="AG2655" s="99">
        <v>45177</v>
      </c>
      <c r="AH2655" s="93" t="s">
        <v>13901</v>
      </c>
      <c r="AI2655" s="87" t="b">
        <v>0</v>
      </c>
      <c r="AJ2655" s="87"/>
      <c r="AK2655" s="87"/>
      <c r="AL2655" s="87"/>
      <c r="AM2655" s="87"/>
      <c r="AN2655" s="87"/>
      <c r="AO2655" s="87"/>
      <c r="AP2655" s="87"/>
      <c r="AQ2655" s="87" t="s">
        <v>17198</v>
      </c>
      <c r="AR2655" s="87"/>
      <c r="AS2655" s="87"/>
      <c r="AT2655" s="87"/>
      <c r="AU2655" s="87"/>
      <c r="AV2655" s="92" t="str">
        <f>HYPERLINK("https://pbs.twimg.com/media/F5h0Y6vWQAAMp93.jpg")</f>
        <v>https://pbs.twimg.com/media/F5h0Y6vWQAAMp93.jpg</v>
      </c>
      <c r="AW2655" s="93" t="s">
        <v>20816</v>
      </c>
      <c r="AX2655" s="93" t="s">
        <v>20816</v>
      </c>
      <c r="AY2655" s="87"/>
      <c r="AZ2655" s="93" t="s">
        <v>22668</v>
      </c>
      <c r="BA2655" s="93" t="s">
        <v>22668</v>
      </c>
      <c r="BB2655" s="93" t="s">
        <v>22668</v>
      </c>
      <c r="BC2655" s="93" t="s">
        <v>20816</v>
      </c>
      <c r="BD2655" s="93" t="s">
        <v>23269</v>
      </c>
      <c r="BE2655" s="87"/>
      <c r="BF2655" s="87"/>
      <c r="BG2655" s="87"/>
      <c r="BH2655" s="87"/>
      <c r="BI2655" s="87"/>
    </row>
    <row r="2656" spans="1:61" x14ac:dyDescent="0.25">
      <c r="A2656" s="63" t="s">
        <v>1058</v>
      </c>
      <c r="B2656" s="63" t="s">
        <v>1058</v>
      </c>
      <c r="C2656" s="64"/>
      <c r="D2656" s="65"/>
      <c r="E2656" s="66"/>
      <c r="F2656" s="67"/>
      <c r="G2656" s="64"/>
      <c r="H2656" s="68"/>
      <c r="I2656" s="69"/>
      <c r="J2656" s="69"/>
      <c r="K2656" s="32"/>
      <c r="L2656" s="76">
        <v>2656</v>
      </c>
      <c r="M2656" s="76"/>
      <c r="N2656" s="71"/>
      <c r="O2656" s="87" t="s">
        <v>179</v>
      </c>
      <c r="P2656" s="90">
        <v>45173.039502314816</v>
      </c>
      <c r="Q2656" s="87" t="s">
        <v>4373</v>
      </c>
      <c r="R2656" s="87">
        <v>0</v>
      </c>
      <c r="S2656" s="87">
        <v>0</v>
      </c>
      <c r="T2656" s="87">
        <v>0</v>
      </c>
      <c r="U2656" s="87">
        <v>0</v>
      </c>
      <c r="V2656" s="87">
        <v>65</v>
      </c>
      <c r="W2656" s="93" t="s">
        <v>7424</v>
      </c>
      <c r="X2656" s="87"/>
      <c r="Y2656" s="87"/>
      <c r="Z2656" s="87"/>
      <c r="AA2656" s="87" t="s">
        <v>10387</v>
      </c>
      <c r="AB2656" s="87" t="s">
        <v>11448</v>
      </c>
      <c r="AC2656" s="93" t="s">
        <v>11457</v>
      </c>
      <c r="AD2656" s="87" t="s">
        <v>11519</v>
      </c>
      <c r="AE2656" s="92" t="str">
        <f>HYPERLINK("https://twitter.com/serraempauta/status/1698500345100394845")</f>
        <v>https://twitter.com/serraempauta/status/1698500345100394845</v>
      </c>
      <c r="AF2656" s="90">
        <v>45173.039502314816</v>
      </c>
      <c r="AG2656" s="99">
        <v>45173</v>
      </c>
      <c r="AH2656" s="93" t="s">
        <v>13902</v>
      </c>
      <c r="AI2656" s="87" t="b">
        <v>0</v>
      </c>
      <c r="AJ2656" s="87"/>
      <c r="AK2656" s="87"/>
      <c r="AL2656" s="87"/>
      <c r="AM2656" s="87"/>
      <c r="AN2656" s="87"/>
      <c r="AO2656" s="87"/>
      <c r="AP2656" s="87"/>
      <c r="AQ2656" s="87" t="s">
        <v>17199</v>
      </c>
      <c r="AR2656" s="87"/>
      <c r="AS2656" s="87"/>
      <c r="AT2656" s="87"/>
      <c r="AU2656" s="87"/>
      <c r="AV2656" s="92" t="str">
        <f>HYPERLINK("https://pbs.twimg.com/media/F5JJDkgXwAAud7N.jpg")</f>
        <v>https://pbs.twimg.com/media/F5JJDkgXwAAud7N.jpg</v>
      </c>
      <c r="AW2656" s="93" t="s">
        <v>20817</v>
      </c>
      <c r="AX2656" s="93" t="s">
        <v>20817</v>
      </c>
      <c r="AY2656" s="87"/>
      <c r="AZ2656" s="93" t="s">
        <v>22668</v>
      </c>
      <c r="BA2656" s="93" t="s">
        <v>22668</v>
      </c>
      <c r="BB2656" s="93" t="s">
        <v>22668</v>
      </c>
      <c r="BC2656" s="93" t="s">
        <v>20817</v>
      </c>
      <c r="BD2656" s="93" t="s">
        <v>23269</v>
      </c>
      <c r="BE2656" s="87"/>
      <c r="BF2656" s="87"/>
      <c r="BG2656" s="87"/>
      <c r="BH2656" s="87"/>
      <c r="BI2656" s="87"/>
    </row>
    <row r="2657" spans="1:61" x14ac:dyDescent="0.25">
      <c r="A2657" s="63" t="s">
        <v>1058</v>
      </c>
      <c r="B2657" s="63" t="s">
        <v>1058</v>
      </c>
      <c r="C2657" s="64"/>
      <c r="D2657" s="65"/>
      <c r="E2657" s="66"/>
      <c r="F2657" s="67"/>
      <c r="G2657" s="64"/>
      <c r="H2657" s="68"/>
      <c r="I2657" s="69"/>
      <c r="J2657" s="69"/>
      <c r="K2657" s="32"/>
      <c r="L2657" s="76">
        <v>2657</v>
      </c>
      <c r="M2657" s="76"/>
      <c r="N2657" s="71"/>
      <c r="O2657" s="87" t="s">
        <v>179</v>
      </c>
      <c r="P2657" s="90">
        <v>45172.997118055559</v>
      </c>
      <c r="Q2657" s="87" t="s">
        <v>4374</v>
      </c>
      <c r="R2657" s="87">
        <v>0</v>
      </c>
      <c r="S2657" s="87">
        <v>0</v>
      </c>
      <c r="T2657" s="87">
        <v>0</v>
      </c>
      <c r="U2657" s="87">
        <v>0</v>
      </c>
      <c r="V2657" s="87">
        <v>74</v>
      </c>
      <c r="W2657" s="93" t="s">
        <v>7424</v>
      </c>
      <c r="X2657" s="87"/>
      <c r="Y2657" s="87"/>
      <c r="Z2657" s="87"/>
      <c r="AA2657" s="87" t="s">
        <v>10388</v>
      </c>
      <c r="AB2657" s="87" t="s">
        <v>11448</v>
      </c>
      <c r="AC2657" s="93" t="s">
        <v>11457</v>
      </c>
      <c r="AD2657" s="87" t="s">
        <v>11519</v>
      </c>
      <c r="AE2657" s="92" t="str">
        <f>HYPERLINK("https://twitter.com/serraempauta/status/1698484985697636710")</f>
        <v>https://twitter.com/serraempauta/status/1698484985697636710</v>
      </c>
      <c r="AF2657" s="90">
        <v>45172.997118055559</v>
      </c>
      <c r="AG2657" s="99">
        <v>45172</v>
      </c>
      <c r="AH2657" s="93" t="s">
        <v>13903</v>
      </c>
      <c r="AI2657" s="87" t="b">
        <v>0</v>
      </c>
      <c r="AJ2657" s="87"/>
      <c r="AK2657" s="87"/>
      <c r="AL2657" s="87"/>
      <c r="AM2657" s="87"/>
      <c r="AN2657" s="87"/>
      <c r="AO2657" s="87"/>
      <c r="AP2657" s="87"/>
      <c r="AQ2657" s="87" t="s">
        <v>17200</v>
      </c>
      <c r="AR2657" s="87"/>
      <c r="AS2657" s="87"/>
      <c r="AT2657" s="87"/>
      <c r="AU2657" s="87"/>
      <c r="AV2657" s="92" t="str">
        <f>HYPERLINK("https://pbs.twimg.com/media/F5I7FqeXgAEb4dN.jpg")</f>
        <v>https://pbs.twimg.com/media/F5I7FqeXgAEb4dN.jpg</v>
      </c>
      <c r="AW2657" s="93" t="s">
        <v>20818</v>
      </c>
      <c r="AX2657" s="93" t="s">
        <v>20818</v>
      </c>
      <c r="AY2657" s="87"/>
      <c r="AZ2657" s="93" t="s">
        <v>22668</v>
      </c>
      <c r="BA2657" s="93" t="s">
        <v>22668</v>
      </c>
      <c r="BB2657" s="93" t="s">
        <v>22668</v>
      </c>
      <c r="BC2657" s="93" t="s">
        <v>20818</v>
      </c>
      <c r="BD2657" s="93" t="s">
        <v>23269</v>
      </c>
      <c r="BE2657" s="87"/>
      <c r="BF2657" s="87"/>
      <c r="BG2657" s="87"/>
      <c r="BH2657" s="87"/>
      <c r="BI2657" s="87"/>
    </row>
    <row r="2658" spans="1:61" x14ac:dyDescent="0.25">
      <c r="A2658" s="63" t="s">
        <v>1058</v>
      </c>
      <c r="B2658" s="63" t="s">
        <v>1058</v>
      </c>
      <c r="C2658" s="64"/>
      <c r="D2658" s="65"/>
      <c r="E2658" s="66"/>
      <c r="F2658" s="67"/>
      <c r="G2658" s="64"/>
      <c r="H2658" s="68"/>
      <c r="I2658" s="69"/>
      <c r="J2658" s="69"/>
      <c r="K2658" s="32"/>
      <c r="L2658" s="76">
        <v>2658</v>
      </c>
      <c r="M2658" s="76"/>
      <c r="N2658" s="71"/>
      <c r="O2658" s="87" t="s">
        <v>179</v>
      </c>
      <c r="P2658" s="90">
        <v>45163.637071759258</v>
      </c>
      <c r="Q2658" s="87" t="s">
        <v>4375</v>
      </c>
      <c r="R2658" s="87">
        <v>0</v>
      </c>
      <c r="S2658" s="87">
        <v>0</v>
      </c>
      <c r="T2658" s="87">
        <v>0</v>
      </c>
      <c r="U2658" s="87">
        <v>0</v>
      </c>
      <c r="V2658" s="87">
        <v>37</v>
      </c>
      <c r="W2658" s="93" t="s">
        <v>7424</v>
      </c>
      <c r="X2658" s="87"/>
      <c r="Y2658" s="87"/>
      <c r="Z2658" s="87"/>
      <c r="AA2658" s="87" t="s">
        <v>10389</v>
      </c>
      <c r="AB2658" s="87" t="s">
        <v>11448</v>
      </c>
      <c r="AC2658" s="93" t="s">
        <v>11457</v>
      </c>
      <c r="AD2658" s="87" t="s">
        <v>11519</v>
      </c>
      <c r="AE2658" s="92" t="str">
        <f>HYPERLINK("https://twitter.com/serraempauta/status/1695093020008329591")</f>
        <v>https://twitter.com/serraempauta/status/1695093020008329591</v>
      </c>
      <c r="AF2658" s="90">
        <v>45163.637071759258</v>
      </c>
      <c r="AG2658" s="99">
        <v>45163</v>
      </c>
      <c r="AH2658" s="93" t="s">
        <v>13904</v>
      </c>
      <c r="AI2658" s="87" t="b">
        <v>0</v>
      </c>
      <c r="AJ2658" s="87"/>
      <c r="AK2658" s="87"/>
      <c r="AL2658" s="87"/>
      <c r="AM2658" s="87"/>
      <c r="AN2658" s="87"/>
      <c r="AO2658" s="87"/>
      <c r="AP2658" s="87"/>
      <c r="AQ2658" s="87" t="s">
        <v>17201</v>
      </c>
      <c r="AR2658" s="87"/>
      <c r="AS2658" s="87"/>
      <c r="AT2658" s="87"/>
      <c r="AU2658" s="87"/>
      <c r="AV2658" s="92" t="str">
        <f>HYPERLINK("https://pbs.twimg.com/media/F4YuEphWgAA8IMA.jpg")</f>
        <v>https://pbs.twimg.com/media/F4YuEphWgAA8IMA.jpg</v>
      </c>
      <c r="AW2658" s="93" t="s">
        <v>20819</v>
      </c>
      <c r="AX2658" s="93" t="s">
        <v>20819</v>
      </c>
      <c r="AY2658" s="87"/>
      <c r="AZ2658" s="93" t="s">
        <v>22668</v>
      </c>
      <c r="BA2658" s="93" t="s">
        <v>22668</v>
      </c>
      <c r="BB2658" s="93" t="s">
        <v>22668</v>
      </c>
      <c r="BC2658" s="93" t="s">
        <v>20819</v>
      </c>
      <c r="BD2658" s="93" t="s">
        <v>23269</v>
      </c>
      <c r="BE2658" s="87"/>
      <c r="BF2658" s="87"/>
      <c r="BG2658" s="87"/>
      <c r="BH2658" s="87"/>
      <c r="BI2658" s="87"/>
    </row>
    <row r="2659" spans="1:61" x14ac:dyDescent="0.25">
      <c r="A2659" s="63" t="s">
        <v>1058</v>
      </c>
      <c r="B2659" s="63" t="s">
        <v>1058</v>
      </c>
      <c r="C2659" s="64"/>
      <c r="D2659" s="65"/>
      <c r="E2659" s="66"/>
      <c r="F2659" s="67"/>
      <c r="G2659" s="64"/>
      <c r="H2659" s="68"/>
      <c r="I2659" s="69"/>
      <c r="J2659" s="69"/>
      <c r="K2659" s="32"/>
      <c r="L2659" s="76">
        <v>2659</v>
      </c>
      <c r="M2659" s="76"/>
      <c r="N2659" s="71"/>
      <c r="O2659" s="87" t="s">
        <v>179</v>
      </c>
      <c r="P2659" s="90">
        <v>45163.515405092592</v>
      </c>
      <c r="Q2659" s="87" t="s">
        <v>4376</v>
      </c>
      <c r="R2659" s="87">
        <v>0</v>
      </c>
      <c r="S2659" s="87">
        <v>0</v>
      </c>
      <c r="T2659" s="87">
        <v>0</v>
      </c>
      <c r="U2659" s="87">
        <v>0</v>
      </c>
      <c r="V2659" s="87">
        <v>29</v>
      </c>
      <c r="W2659" s="93" t="s">
        <v>7424</v>
      </c>
      <c r="X2659" s="87"/>
      <c r="Y2659" s="87"/>
      <c r="Z2659" s="87"/>
      <c r="AA2659" s="87" t="s">
        <v>10390</v>
      </c>
      <c r="AB2659" s="87" t="s">
        <v>11448</v>
      </c>
      <c r="AC2659" s="93" t="s">
        <v>11457</v>
      </c>
      <c r="AD2659" s="87" t="s">
        <v>11519</v>
      </c>
      <c r="AE2659" s="92" t="str">
        <f>HYPERLINK("https://twitter.com/serraempauta/status/1695048925755978105")</f>
        <v>https://twitter.com/serraempauta/status/1695048925755978105</v>
      </c>
      <c r="AF2659" s="90">
        <v>45163.515405092592</v>
      </c>
      <c r="AG2659" s="99">
        <v>45163</v>
      </c>
      <c r="AH2659" s="93" t="s">
        <v>13905</v>
      </c>
      <c r="AI2659" s="87" t="b">
        <v>0</v>
      </c>
      <c r="AJ2659" s="87"/>
      <c r="AK2659" s="87"/>
      <c r="AL2659" s="87"/>
      <c r="AM2659" s="87"/>
      <c r="AN2659" s="87"/>
      <c r="AO2659" s="87"/>
      <c r="AP2659" s="87"/>
      <c r="AQ2659" s="87" t="s">
        <v>17202</v>
      </c>
      <c r="AR2659" s="87"/>
      <c r="AS2659" s="87"/>
      <c r="AT2659" s="87"/>
      <c r="AU2659" s="87"/>
      <c r="AV2659" s="92" t="str">
        <f>HYPERLINK("https://pbs.twimg.com/media/F4YGAqcXcAAPA8B.jpg")</f>
        <v>https://pbs.twimg.com/media/F4YGAqcXcAAPA8B.jpg</v>
      </c>
      <c r="AW2659" s="93" t="s">
        <v>20820</v>
      </c>
      <c r="AX2659" s="93" t="s">
        <v>20820</v>
      </c>
      <c r="AY2659" s="87"/>
      <c r="AZ2659" s="93" t="s">
        <v>22668</v>
      </c>
      <c r="BA2659" s="93" t="s">
        <v>22668</v>
      </c>
      <c r="BB2659" s="93" t="s">
        <v>22668</v>
      </c>
      <c r="BC2659" s="93" t="s">
        <v>20820</v>
      </c>
      <c r="BD2659" s="93" t="s">
        <v>23269</v>
      </c>
      <c r="BE2659" s="87"/>
      <c r="BF2659" s="87"/>
      <c r="BG2659" s="87"/>
      <c r="BH2659" s="87"/>
      <c r="BI2659" s="87"/>
    </row>
    <row r="2660" spans="1:61" x14ac:dyDescent="0.25">
      <c r="A2660" s="63" t="s">
        <v>1058</v>
      </c>
      <c r="B2660" s="63" t="s">
        <v>1058</v>
      </c>
      <c r="C2660" s="64"/>
      <c r="D2660" s="65"/>
      <c r="E2660" s="66"/>
      <c r="F2660" s="67"/>
      <c r="G2660" s="64"/>
      <c r="H2660" s="68"/>
      <c r="I2660" s="69"/>
      <c r="J2660" s="69"/>
      <c r="K2660" s="32"/>
      <c r="L2660" s="76">
        <v>2660</v>
      </c>
      <c r="M2660" s="76"/>
      <c r="N2660" s="71"/>
      <c r="O2660" s="87" t="s">
        <v>179</v>
      </c>
      <c r="P2660" s="90">
        <v>45163.490636574075</v>
      </c>
      <c r="Q2660" s="87" t="s">
        <v>4377</v>
      </c>
      <c r="R2660" s="87">
        <v>0</v>
      </c>
      <c r="S2660" s="87">
        <v>0</v>
      </c>
      <c r="T2660" s="87">
        <v>0</v>
      </c>
      <c r="U2660" s="87">
        <v>0</v>
      </c>
      <c r="V2660" s="87">
        <v>45</v>
      </c>
      <c r="W2660" s="93" t="s">
        <v>7424</v>
      </c>
      <c r="X2660" s="87"/>
      <c r="Y2660" s="87"/>
      <c r="Z2660" s="87"/>
      <c r="AA2660" s="87" t="s">
        <v>10391</v>
      </c>
      <c r="AB2660" s="87" t="s">
        <v>11448</v>
      </c>
      <c r="AC2660" s="93" t="s">
        <v>11457</v>
      </c>
      <c r="AD2660" s="87" t="s">
        <v>11519</v>
      </c>
      <c r="AE2660" s="92" t="str">
        <f>HYPERLINK("https://twitter.com/serraempauta/status/1695039951165866453")</f>
        <v>https://twitter.com/serraempauta/status/1695039951165866453</v>
      </c>
      <c r="AF2660" s="90">
        <v>45163.490636574075</v>
      </c>
      <c r="AG2660" s="99">
        <v>45163</v>
      </c>
      <c r="AH2660" s="93" t="s">
        <v>13906</v>
      </c>
      <c r="AI2660" s="87" t="b">
        <v>0</v>
      </c>
      <c r="AJ2660" s="87"/>
      <c r="AK2660" s="87"/>
      <c r="AL2660" s="87"/>
      <c r="AM2660" s="87"/>
      <c r="AN2660" s="87"/>
      <c r="AO2660" s="87"/>
      <c r="AP2660" s="87"/>
      <c r="AQ2660" s="87" t="s">
        <v>17203</v>
      </c>
      <c r="AR2660" s="87"/>
      <c r="AS2660" s="87"/>
      <c r="AT2660" s="87"/>
      <c r="AU2660" s="87"/>
      <c r="AV2660" s="92" t="str">
        <f>HYPERLINK("https://pbs.twimg.com/media/F4X92RWXgAAsJ_7.jpg")</f>
        <v>https://pbs.twimg.com/media/F4X92RWXgAAsJ_7.jpg</v>
      </c>
      <c r="AW2660" s="93" t="s">
        <v>20821</v>
      </c>
      <c r="AX2660" s="93" t="s">
        <v>20821</v>
      </c>
      <c r="AY2660" s="87"/>
      <c r="AZ2660" s="93" t="s">
        <v>22668</v>
      </c>
      <c r="BA2660" s="93" t="s">
        <v>22668</v>
      </c>
      <c r="BB2660" s="93" t="s">
        <v>22668</v>
      </c>
      <c r="BC2660" s="93" t="s">
        <v>20821</v>
      </c>
      <c r="BD2660" s="93" t="s">
        <v>23269</v>
      </c>
      <c r="BE2660" s="87"/>
      <c r="BF2660" s="87"/>
      <c r="BG2660" s="87"/>
      <c r="BH2660" s="87"/>
      <c r="BI2660" s="87"/>
    </row>
    <row r="2661" spans="1:61" x14ac:dyDescent="0.25">
      <c r="A2661" s="63" t="s">
        <v>1058</v>
      </c>
      <c r="B2661" s="63" t="s">
        <v>1058</v>
      </c>
      <c r="C2661" s="64"/>
      <c r="D2661" s="65"/>
      <c r="E2661" s="66"/>
      <c r="F2661" s="67"/>
      <c r="G2661" s="64"/>
      <c r="H2661" s="68"/>
      <c r="I2661" s="69"/>
      <c r="J2661" s="69"/>
      <c r="K2661" s="32"/>
      <c r="L2661" s="76">
        <v>2661</v>
      </c>
      <c r="M2661" s="76"/>
      <c r="N2661" s="71"/>
      <c r="O2661" s="87" t="s">
        <v>179</v>
      </c>
      <c r="P2661" s="90">
        <v>45162.889351851853</v>
      </c>
      <c r="Q2661" s="87" t="s">
        <v>4378</v>
      </c>
      <c r="R2661" s="87">
        <v>0</v>
      </c>
      <c r="S2661" s="87">
        <v>0</v>
      </c>
      <c r="T2661" s="87">
        <v>0</v>
      </c>
      <c r="U2661" s="87">
        <v>0</v>
      </c>
      <c r="V2661" s="87">
        <v>212</v>
      </c>
      <c r="W2661" s="93" t="s">
        <v>7424</v>
      </c>
      <c r="X2661" s="87"/>
      <c r="Y2661" s="87"/>
      <c r="Z2661" s="87"/>
      <c r="AA2661" s="87" t="s">
        <v>10392</v>
      </c>
      <c r="AB2661" s="87" t="s">
        <v>11448</v>
      </c>
      <c r="AC2661" s="93" t="s">
        <v>11457</v>
      </c>
      <c r="AD2661" s="87" t="s">
        <v>11519</v>
      </c>
      <c r="AE2661" s="92" t="str">
        <f>HYPERLINK("https://twitter.com/serraempauta/status/1694822055126954416")</f>
        <v>https://twitter.com/serraempauta/status/1694822055126954416</v>
      </c>
      <c r="AF2661" s="90">
        <v>45162.889351851853</v>
      </c>
      <c r="AG2661" s="99">
        <v>45162</v>
      </c>
      <c r="AH2661" s="93" t="s">
        <v>13907</v>
      </c>
      <c r="AI2661" s="87" t="b">
        <v>0</v>
      </c>
      <c r="AJ2661" s="87"/>
      <c r="AK2661" s="87"/>
      <c r="AL2661" s="87"/>
      <c r="AM2661" s="87"/>
      <c r="AN2661" s="87"/>
      <c r="AO2661" s="87"/>
      <c r="AP2661" s="87"/>
      <c r="AQ2661" s="87" t="s">
        <v>17204</v>
      </c>
      <c r="AR2661" s="87"/>
      <c r="AS2661" s="87"/>
      <c r="AT2661" s="87"/>
      <c r="AU2661" s="87"/>
      <c r="AV2661" s="92" t="str">
        <f>HYPERLINK("https://pbs.twimg.com/media/F4U3qeOWQAEUyZ4.jpg")</f>
        <v>https://pbs.twimg.com/media/F4U3qeOWQAEUyZ4.jpg</v>
      </c>
      <c r="AW2661" s="93" t="s">
        <v>20822</v>
      </c>
      <c r="AX2661" s="93" t="s">
        <v>20822</v>
      </c>
      <c r="AY2661" s="87"/>
      <c r="AZ2661" s="93" t="s">
        <v>22668</v>
      </c>
      <c r="BA2661" s="93" t="s">
        <v>22668</v>
      </c>
      <c r="BB2661" s="93" t="s">
        <v>22668</v>
      </c>
      <c r="BC2661" s="93" t="s">
        <v>20822</v>
      </c>
      <c r="BD2661" s="93" t="s">
        <v>23269</v>
      </c>
      <c r="BE2661" s="87"/>
      <c r="BF2661" s="87"/>
      <c r="BG2661" s="87"/>
      <c r="BH2661" s="87"/>
      <c r="BI2661" s="87"/>
    </row>
    <row r="2662" spans="1:61" x14ac:dyDescent="0.25">
      <c r="A2662" s="63" t="s">
        <v>1058</v>
      </c>
      <c r="B2662" s="63" t="s">
        <v>1058</v>
      </c>
      <c r="C2662" s="64"/>
      <c r="D2662" s="65"/>
      <c r="E2662" s="66"/>
      <c r="F2662" s="67"/>
      <c r="G2662" s="64"/>
      <c r="H2662" s="68"/>
      <c r="I2662" s="69"/>
      <c r="J2662" s="69"/>
      <c r="K2662" s="32"/>
      <c r="L2662" s="76">
        <v>2662</v>
      </c>
      <c r="M2662" s="76"/>
      <c r="N2662" s="71"/>
      <c r="O2662" s="87" t="s">
        <v>179</v>
      </c>
      <c r="P2662" s="90">
        <v>45162.865520833337</v>
      </c>
      <c r="Q2662" s="87" t="s">
        <v>4379</v>
      </c>
      <c r="R2662" s="87">
        <v>0</v>
      </c>
      <c r="S2662" s="87">
        <v>0</v>
      </c>
      <c r="T2662" s="87">
        <v>0</v>
      </c>
      <c r="U2662" s="87">
        <v>0</v>
      </c>
      <c r="V2662" s="87">
        <v>39</v>
      </c>
      <c r="W2662" s="93" t="s">
        <v>7424</v>
      </c>
      <c r="X2662" s="87"/>
      <c r="Y2662" s="87"/>
      <c r="Z2662" s="87"/>
      <c r="AA2662" s="87" t="s">
        <v>10393</v>
      </c>
      <c r="AB2662" s="87" t="s">
        <v>11448</v>
      </c>
      <c r="AC2662" s="93" t="s">
        <v>11457</v>
      </c>
      <c r="AD2662" s="87" t="s">
        <v>11519</v>
      </c>
      <c r="AE2662" s="92" t="str">
        <f>HYPERLINK("https://twitter.com/serraempauta/status/1694813417557615088")</f>
        <v>https://twitter.com/serraempauta/status/1694813417557615088</v>
      </c>
      <c r="AF2662" s="90">
        <v>45162.865520833337</v>
      </c>
      <c r="AG2662" s="99">
        <v>45162</v>
      </c>
      <c r="AH2662" s="93" t="s">
        <v>13908</v>
      </c>
      <c r="AI2662" s="87" t="b">
        <v>0</v>
      </c>
      <c r="AJ2662" s="87"/>
      <c r="AK2662" s="87"/>
      <c r="AL2662" s="87"/>
      <c r="AM2662" s="87"/>
      <c r="AN2662" s="87"/>
      <c r="AO2662" s="87"/>
      <c r="AP2662" s="87"/>
      <c r="AQ2662" s="87" t="s">
        <v>17205</v>
      </c>
      <c r="AR2662" s="87"/>
      <c r="AS2662" s="87"/>
      <c r="AT2662" s="87"/>
      <c r="AU2662" s="87"/>
      <c r="AV2662" s="92" t="str">
        <f>HYPERLINK("https://pbs.twimg.com/media/F4Uv0PSXgAAdIon.jpg")</f>
        <v>https://pbs.twimg.com/media/F4Uv0PSXgAAdIon.jpg</v>
      </c>
      <c r="AW2662" s="93" t="s">
        <v>20823</v>
      </c>
      <c r="AX2662" s="93" t="s">
        <v>20823</v>
      </c>
      <c r="AY2662" s="87"/>
      <c r="AZ2662" s="93" t="s">
        <v>22668</v>
      </c>
      <c r="BA2662" s="93" t="s">
        <v>22668</v>
      </c>
      <c r="BB2662" s="93" t="s">
        <v>22668</v>
      </c>
      <c r="BC2662" s="93" t="s">
        <v>20823</v>
      </c>
      <c r="BD2662" s="93" t="s">
        <v>23269</v>
      </c>
      <c r="BE2662" s="87"/>
      <c r="BF2662" s="87"/>
      <c r="BG2662" s="87"/>
      <c r="BH2662" s="87"/>
      <c r="BI2662" s="87"/>
    </row>
    <row r="2663" spans="1:61" x14ac:dyDescent="0.25">
      <c r="A2663" s="63" t="s">
        <v>1058</v>
      </c>
      <c r="B2663" s="63" t="s">
        <v>1058</v>
      </c>
      <c r="C2663" s="64"/>
      <c r="D2663" s="65"/>
      <c r="E2663" s="66"/>
      <c r="F2663" s="67"/>
      <c r="G2663" s="64"/>
      <c r="H2663" s="68"/>
      <c r="I2663" s="69"/>
      <c r="J2663" s="69"/>
      <c r="K2663" s="32"/>
      <c r="L2663" s="76">
        <v>2663</v>
      </c>
      <c r="M2663" s="76"/>
      <c r="N2663" s="71"/>
      <c r="O2663" s="87" t="s">
        <v>179</v>
      </c>
      <c r="P2663" s="90">
        <v>45162.769872685189</v>
      </c>
      <c r="Q2663" s="87" t="s">
        <v>4380</v>
      </c>
      <c r="R2663" s="87">
        <v>0</v>
      </c>
      <c r="S2663" s="87">
        <v>0</v>
      </c>
      <c r="T2663" s="87">
        <v>0</v>
      </c>
      <c r="U2663" s="87">
        <v>0</v>
      </c>
      <c r="V2663" s="87">
        <v>404</v>
      </c>
      <c r="W2663" s="93" t="s">
        <v>7424</v>
      </c>
      <c r="X2663" s="87"/>
      <c r="Y2663" s="87"/>
      <c r="Z2663" s="87"/>
      <c r="AA2663" s="87" t="s">
        <v>10394</v>
      </c>
      <c r="AB2663" s="87" t="s">
        <v>11448</v>
      </c>
      <c r="AC2663" s="93" t="s">
        <v>11457</v>
      </c>
      <c r="AD2663" s="87" t="s">
        <v>11519</v>
      </c>
      <c r="AE2663" s="92" t="str">
        <f>HYPERLINK("https://twitter.com/serraempauta/status/1694778757670662465")</f>
        <v>https://twitter.com/serraempauta/status/1694778757670662465</v>
      </c>
      <c r="AF2663" s="90">
        <v>45162.769872685189</v>
      </c>
      <c r="AG2663" s="99">
        <v>45162</v>
      </c>
      <c r="AH2663" s="93" t="s">
        <v>13909</v>
      </c>
      <c r="AI2663" s="87" t="b">
        <v>0</v>
      </c>
      <c r="AJ2663" s="87"/>
      <c r="AK2663" s="87"/>
      <c r="AL2663" s="87"/>
      <c r="AM2663" s="87"/>
      <c r="AN2663" s="87"/>
      <c r="AO2663" s="87"/>
      <c r="AP2663" s="87"/>
      <c r="AQ2663" s="87" t="s">
        <v>17206</v>
      </c>
      <c r="AR2663" s="87"/>
      <c r="AS2663" s="87"/>
      <c r="AT2663" s="87"/>
      <c r="AU2663" s="87"/>
      <c r="AV2663" s="92" t="str">
        <f>HYPERLINK("https://pbs.twimg.com/media/F4UQSvnXoAAzoxV.jpg")</f>
        <v>https://pbs.twimg.com/media/F4UQSvnXoAAzoxV.jpg</v>
      </c>
      <c r="AW2663" s="93" t="s">
        <v>20824</v>
      </c>
      <c r="AX2663" s="93" t="s">
        <v>20824</v>
      </c>
      <c r="AY2663" s="87"/>
      <c r="AZ2663" s="93" t="s">
        <v>22668</v>
      </c>
      <c r="BA2663" s="93" t="s">
        <v>22668</v>
      </c>
      <c r="BB2663" s="93" t="s">
        <v>22668</v>
      </c>
      <c r="BC2663" s="93" t="s">
        <v>20824</v>
      </c>
      <c r="BD2663" s="93" t="s">
        <v>23269</v>
      </c>
      <c r="BE2663" s="87"/>
      <c r="BF2663" s="87"/>
      <c r="BG2663" s="87"/>
      <c r="BH2663" s="87"/>
      <c r="BI2663" s="87"/>
    </row>
    <row r="2664" spans="1:61" x14ac:dyDescent="0.25">
      <c r="A2664" s="63" t="s">
        <v>1058</v>
      </c>
      <c r="B2664" s="63" t="s">
        <v>1058</v>
      </c>
      <c r="C2664" s="64"/>
      <c r="D2664" s="65"/>
      <c r="E2664" s="66"/>
      <c r="F2664" s="67"/>
      <c r="G2664" s="64"/>
      <c r="H2664" s="68"/>
      <c r="I2664" s="69"/>
      <c r="J2664" s="69"/>
      <c r="K2664" s="32"/>
      <c r="L2664" s="76">
        <v>2664</v>
      </c>
      <c r="M2664" s="76"/>
      <c r="N2664" s="71"/>
      <c r="O2664" s="87" t="s">
        <v>179</v>
      </c>
      <c r="P2664" s="90">
        <v>45162.716481481482</v>
      </c>
      <c r="Q2664" s="87" t="s">
        <v>4381</v>
      </c>
      <c r="R2664" s="87">
        <v>0</v>
      </c>
      <c r="S2664" s="87">
        <v>0</v>
      </c>
      <c r="T2664" s="87">
        <v>0</v>
      </c>
      <c r="U2664" s="87">
        <v>0</v>
      </c>
      <c r="V2664" s="87">
        <v>278</v>
      </c>
      <c r="W2664" s="93" t="s">
        <v>7424</v>
      </c>
      <c r="X2664" s="87"/>
      <c r="Y2664" s="87"/>
      <c r="Z2664" s="87"/>
      <c r="AA2664" s="87" t="s">
        <v>10395</v>
      </c>
      <c r="AB2664" s="87" t="s">
        <v>11448</v>
      </c>
      <c r="AC2664" s="93" t="s">
        <v>11457</v>
      </c>
      <c r="AD2664" s="87" t="s">
        <v>11519</v>
      </c>
      <c r="AE2664" s="92" t="str">
        <f>HYPERLINK("https://twitter.com/serraempauta/status/1694759406859133201")</f>
        <v>https://twitter.com/serraempauta/status/1694759406859133201</v>
      </c>
      <c r="AF2664" s="90">
        <v>45162.716481481482</v>
      </c>
      <c r="AG2664" s="99">
        <v>45162</v>
      </c>
      <c r="AH2664" s="93" t="s">
        <v>13910</v>
      </c>
      <c r="AI2664" s="87" t="b">
        <v>0</v>
      </c>
      <c r="AJ2664" s="87"/>
      <c r="AK2664" s="87"/>
      <c r="AL2664" s="87"/>
      <c r="AM2664" s="87"/>
      <c r="AN2664" s="87"/>
      <c r="AO2664" s="87"/>
      <c r="AP2664" s="87"/>
      <c r="AQ2664" s="87" t="s">
        <v>17207</v>
      </c>
      <c r="AR2664" s="87"/>
      <c r="AS2664" s="87"/>
      <c r="AT2664" s="87"/>
      <c r="AU2664" s="87"/>
      <c r="AV2664" s="92" t="str">
        <f>HYPERLINK("https://pbs.twimg.com/media/F4T-sJdWQAA1P50.jpg")</f>
        <v>https://pbs.twimg.com/media/F4T-sJdWQAA1P50.jpg</v>
      </c>
      <c r="AW2664" s="93" t="s">
        <v>20825</v>
      </c>
      <c r="AX2664" s="93" t="s">
        <v>20825</v>
      </c>
      <c r="AY2664" s="87"/>
      <c r="AZ2664" s="93" t="s">
        <v>22668</v>
      </c>
      <c r="BA2664" s="93" t="s">
        <v>22668</v>
      </c>
      <c r="BB2664" s="93" t="s">
        <v>22668</v>
      </c>
      <c r="BC2664" s="93" t="s">
        <v>20825</v>
      </c>
      <c r="BD2664" s="93" t="s">
        <v>23269</v>
      </c>
      <c r="BE2664" s="87"/>
      <c r="BF2664" s="87"/>
      <c r="BG2664" s="87"/>
      <c r="BH2664" s="87"/>
      <c r="BI2664" s="87"/>
    </row>
    <row r="2665" spans="1:61" x14ac:dyDescent="0.25">
      <c r="A2665" s="63" t="s">
        <v>1058</v>
      </c>
      <c r="B2665" s="63" t="s">
        <v>1058</v>
      </c>
      <c r="C2665" s="64"/>
      <c r="D2665" s="65"/>
      <c r="E2665" s="66"/>
      <c r="F2665" s="67"/>
      <c r="G2665" s="64"/>
      <c r="H2665" s="68"/>
      <c r="I2665" s="69"/>
      <c r="J2665" s="69"/>
      <c r="K2665" s="32"/>
      <c r="L2665" s="76">
        <v>2665</v>
      </c>
      <c r="M2665" s="76"/>
      <c r="N2665" s="71"/>
      <c r="O2665" s="87" t="s">
        <v>179</v>
      </c>
      <c r="P2665" s="90">
        <v>45162.613159722219</v>
      </c>
      <c r="Q2665" s="87" t="s">
        <v>4382</v>
      </c>
      <c r="R2665" s="87">
        <v>0</v>
      </c>
      <c r="S2665" s="87">
        <v>0</v>
      </c>
      <c r="T2665" s="87">
        <v>0</v>
      </c>
      <c r="U2665" s="87">
        <v>0</v>
      </c>
      <c r="V2665" s="87">
        <v>112</v>
      </c>
      <c r="W2665" s="93" t="s">
        <v>7424</v>
      </c>
      <c r="X2665" s="87"/>
      <c r="Y2665" s="87"/>
      <c r="Z2665" s="87"/>
      <c r="AA2665" s="87" t="s">
        <v>10396</v>
      </c>
      <c r="AB2665" s="87" t="s">
        <v>11448</v>
      </c>
      <c r="AC2665" s="93" t="s">
        <v>11457</v>
      </c>
      <c r="AD2665" s="87" t="s">
        <v>11519</v>
      </c>
      <c r="AE2665" s="92" t="str">
        <f>HYPERLINK("https://twitter.com/serraempauta/status/1694721965557440881")</f>
        <v>https://twitter.com/serraempauta/status/1694721965557440881</v>
      </c>
      <c r="AF2665" s="90">
        <v>45162.613159722219</v>
      </c>
      <c r="AG2665" s="99">
        <v>45162</v>
      </c>
      <c r="AH2665" s="93" t="s">
        <v>13911</v>
      </c>
      <c r="AI2665" s="87" t="b">
        <v>0</v>
      </c>
      <c r="AJ2665" s="87"/>
      <c r="AK2665" s="87"/>
      <c r="AL2665" s="87"/>
      <c r="AM2665" s="87"/>
      <c r="AN2665" s="87"/>
      <c r="AO2665" s="87"/>
      <c r="AP2665" s="87"/>
      <c r="AQ2665" s="87" t="s">
        <v>17208</v>
      </c>
      <c r="AR2665" s="87"/>
      <c r="AS2665" s="87"/>
      <c r="AT2665" s="87"/>
      <c r="AU2665" s="87"/>
      <c r="AV2665" s="92" t="str">
        <f>HYPERLINK("https://pbs.twimg.com/media/F4Tco-QbQAEpa2H.jpg")</f>
        <v>https://pbs.twimg.com/media/F4Tco-QbQAEpa2H.jpg</v>
      </c>
      <c r="AW2665" s="93" t="s">
        <v>20826</v>
      </c>
      <c r="AX2665" s="93" t="s">
        <v>20826</v>
      </c>
      <c r="AY2665" s="87"/>
      <c r="AZ2665" s="93" t="s">
        <v>22668</v>
      </c>
      <c r="BA2665" s="93" t="s">
        <v>22668</v>
      </c>
      <c r="BB2665" s="93" t="s">
        <v>22668</v>
      </c>
      <c r="BC2665" s="93" t="s">
        <v>20826</v>
      </c>
      <c r="BD2665" s="93" t="s">
        <v>23269</v>
      </c>
      <c r="BE2665" s="87"/>
      <c r="BF2665" s="87"/>
      <c r="BG2665" s="87"/>
      <c r="BH2665" s="87"/>
      <c r="BI2665" s="87"/>
    </row>
    <row r="2666" spans="1:61" x14ac:dyDescent="0.25">
      <c r="A2666" s="63" t="s">
        <v>1058</v>
      </c>
      <c r="B2666" s="63" t="s">
        <v>1058</v>
      </c>
      <c r="C2666" s="64"/>
      <c r="D2666" s="65"/>
      <c r="E2666" s="66"/>
      <c r="F2666" s="67"/>
      <c r="G2666" s="64"/>
      <c r="H2666" s="68"/>
      <c r="I2666" s="69"/>
      <c r="J2666" s="69"/>
      <c r="K2666" s="32"/>
      <c r="L2666" s="76">
        <v>2666</v>
      </c>
      <c r="M2666" s="76"/>
      <c r="N2666" s="71"/>
      <c r="O2666" s="87" t="s">
        <v>179</v>
      </c>
      <c r="P2666" s="90">
        <v>45162.568784722222</v>
      </c>
      <c r="Q2666" s="87" t="s">
        <v>4383</v>
      </c>
      <c r="R2666" s="87">
        <v>0</v>
      </c>
      <c r="S2666" s="87">
        <v>0</v>
      </c>
      <c r="T2666" s="87">
        <v>0</v>
      </c>
      <c r="U2666" s="87">
        <v>0</v>
      </c>
      <c r="V2666" s="87">
        <v>73</v>
      </c>
      <c r="W2666" s="93" t="s">
        <v>7424</v>
      </c>
      <c r="X2666" s="87"/>
      <c r="Y2666" s="87"/>
      <c r="Z2666" s="87"/>
      <c r="AA2666" s="87" t="s">
        <v>10397</v>
      </c>
      <c r="AB2666" s="87" t="s">
        <v>11448</v>
      </c>
      <c r="AC2666" s="93" t="s">
        <v>11457</v>
      </c>
      <c r="AD2666" s="87" t="s">
        <v>11519</v>
      </c>
      <c r="AE2666" s="92" t="str">
        <f>HYPERLINK("https://twitter.com/serraempauta/status/1694705882926305533")</f>
        <v>https://twitter.com/serraempauta/status/1694705882926305533</v>
      </c>
      <c r="AF2666" s="90">
        <v>45162.568784722222</v>
      </c>
      <c r="AG2666" s="99">
        <v>45162</v>
      </c>
      <c r="AH2666" s="93" t="s">
        <v>13912</v>
      </c>
      <c r="AI2666" s="87" t="b">
        <v>0</v>
      </c>
      <c r="AJ2666" s="87"/>
      <c r="AK2666" s="87"/>
      <c r="AL2666" s="87"/>
      <c r="AM2666" s="87"/>
      <c r="AN2666" s="87"/>
      <c r="AO2666" s="87"/>
      <c r="AP2666" s="87"/>
      <c r="AQ2666" s="87" t="s">
        <v>17209</v>
      </c>
      <c r="AR2666" s="87"/>
      <c r="AS2666" s="87"/>
      <c r="AT2666" s="87"/>
      <c r="AU2666" s="87"/>
      <c r="AV2666" s="92" t="str">
        <f>HYPERLINK("https://pbs.twimg.com/media/F4TOA6IWcAAdQXu.jpg")</f>
        <v>https://pbs.twimg.com/media/F4TOA6IWcAAdQXu.jpg</v>
      </c>
      <c r="AW2666" s="93" t="s">
        <v>20827</v>
      </c>
      <c r="AX2666" s="93" t="s">
        <v>20827</v>
      </c>
      <c r="AY2666" s="87"/>
      <c r="AZ2666" s="93" t="s">
        <v>22668</v>
      </c>
      <c r="BA2666" s="93" t="s">
        <v>22668</v>
      </c>
      <c r="BB2666" s="93" t="s">
        <v>22668</v>
      </c>
      <c r="BC2666" s="93" t="s">
        <v>20827</v>
      </c>
      <c r="BD2666" s="93" t="s">
        <v>23269</v>
      </c>
      <c r="BE2666" s="87"/>
      <c r="BF2666" s="87"/>
      <c r="BG2666" s="87"/>
      <c r="BH2666" s="87"/>
      <c r="BI2666" s="87"/>
    </row>
    <row r="2667" spans="1:61" x14ac:dyDescent="0.25">
      <c r="A2667" s="63" t="s">
        <v>1058</v>
      </c>
      <c r="B2667" s="63" t="s">
        <v>1058</v>
      </c>
      <c r="C2667" s="64"/>
      <c r="D2667" s="65"/>
      <c r="E2667" s="66"/>
      <c r="F2667" s="67"/>
      <c r="G2667" s="64"/>
      <c r="H2667" s="68"/>
      <c r="I2667" s="69"/>
      <c r="J2667" s="69"/>
      <c r="K2667" s="32"/>
      <c r="L2667" s="76">
        <v>2667</v>
      </c>
      <c r="M2667" s="76"/>
      <c r="N2667" s="71"/>
      <c r="O2667" s="87" t="s">
        <v>179</v>
      </c>
      <c r="P2667" s="90">
        <v>45162.552349537036</v>
      </c>
      <c r="Q2667" s="87" t="s">
        <v>4384</v>
      </c>
      <c r="R2667" s="87">
        <v>0</v>
      </c>
      <c r="S2667" s="87">
        <v>0</v>
      </c>
      <c r="T2667" s="87">
        <v>0</v>
      </c>
      <c r="U2667" s="87">
        <v>0</v>
      </c>
      <c r="V2667" s="87">
        <v>35</v>
      </c>
      <c r="W2667" s="93" t="s">
        <v>7424</v>
      </c>
      <c r="X2667" s="87"/>
      <c r="Y2667" s="87"/>
      <c r="Z2667" s="87"/>
      <c r="AA2667" s="87" t="s">
        <v>10398</v>
      </c>
      <c r="AB2667" s="87" t="s">
        <v>11448</v>
      </c>
      <c r="AC2667" s="93" t="s">
        <v>11457</v>
      </c>
      <c r="AD2667" s="87" t="s">
        <v>11519</v>
      </c>
      <c r="AE2667" s="92" t="str">
        <f>HYPERLINK("https://twitter.com/serraempauta/status/1694699926477758812")</f>
        <v>https://twitter.com/serraempauta/status/1694699926477758812</v>
      </c>
      <c r="AF2667" s="90">
        <v>45162.552349537036</v>
      </c>
      <c r="AG2667" s="99">
        <v>45162</v>
      </c>
      <c r="AH2667" s="93" t="s">
        <v>13913</v>
      </c>
      <c r="AI2667" s="87" t="b">
        <v>0</v>
      </c>
      <c r="AJ2667" s="87"/>
      <c r="AK2667" s="87"/>
      <c r="AL2667" s="87"/>
      <c r="AM2667" s="87"/>
      <c r="AN2667" s="87"/>
      <c r="AO2667" s="87"/>
      <c r="AP2667" s="87"/>
      <c r="AQ2667" s="87" t="s">
        <v>17210</v>
      </c>
      <c r="AR2667" s="87"/>
      <c r="AS2667" s="87"/>
      <c r="AT2667" s="87"/>
      <c r="AU2667" s="87"/>
      <c r="AV2667" s="92" t="str">
        <f>HYPERLINK("https://pbs.twimg.com/media/F4TImQGXkAEDLSG.jpg")</f>
        <v>https://pbs.twimg.com/media/F4TImQGXkAEDLSG.jpg</v>
      </c>
      <c r="AW2667" s="93" t="s">
        <v>20828</v>
      </c>
      <c r="AX2667" s="93" t="s">
        <v>20828</v>
      </c>
      <c r="AY2667" s="87"/>
      <c r="AZ2667" s="93" t="s">
        <v>22668</v>
      </c>
      <c r="BA2667" s="93" t="s">
        <v>22668</v>
      </c>
      <c r="BB2667" s="93" t="s">
        <v>22668</v>
      </c>
      <c r="BC2667" s="93" t="s">
        <v>20828</v>
      </c>
      <c r="BD2667" s="93" t="s">
        <v>23269</v>
      </c>
      <c r="BE2667" s="87"/>
      <c r="BF2667" s="87"/>
      <c r="BG2667" s="87"/>
      <c r="BH2667" s="87"/>
      <c r="BI2667" s="87"/>
    </row>
    <row r="2668" spans="1:61" x14ac:dyDescent="0.25">
      <c r="A2668" s="63" t="s">
        <v>1058</v>
      </c>
      <c r="B2668" s="63" t="s">
        <v>1058</v>
      </c>
      <c r="C2668" s="64"/>
      <c r="D2668" s="65"/>
      <c r="E2668" s="66"/>
      <c r="F2668" s="67"/>
      <c r="G2668" s="64"/>
      <c r="H2668" s="68"/>
      <c r="I2668" s="69"/>
      <c r="J2668" s="69"/>
      <c r="K2668" s="32"/>
      <c r="L2668" s="76">
        <v>2668</v>
      </c>
      <c r="M2668" s="76"/>
      <c r="N2668" s="71"/>
      <c r="O2668" s="87" t="s">
        <v>179</v>
      </c>
      <c r="P2668" s="90">
        <v>45149.818958333337</v>
      </c>
      <c r="Q2668" s="87" t="s">
        <v>4385</v>
      </c>
      <c r="R2668" s="87">
        <v>0</v>
      </c>
      <c r="S2668" s="87">
        <v>1</v>
      </c>
      <c r="T2668" s="87">
        <v>0</v>
      </c>
      <c r="U2668" s="87">
        <v>0</v>
      </c>
      <c r="V2668" s="87">
        <v>34</v>
      </c>
      <c r="W2668" s="93" t="s">
        <v>7424</v>
      </c>
      <c r="X2668" s="87"/>
      <c r="Y2668" s="87"/>
      <c r="Z2668" s="87"/>
      <c r="AA2668" s="87" t="s">
        <v>10399</v>
      </c>
      <c r="AB2668" s="87" t="s">
        <v>11448</v>
      </c>
      <c r="AC2668" s="93" t="s">
        <v>11457</v>
      </c>
      <c r="AD2668" s="87" t="s">
        <v>11519</v>
      </c>
      <c r="AE2668" s="92" t="str">
        <f>HYPERLINK("https://twitter.com/serraempauta/status/1690085500558643200")</f>
        <v>https://twitter.com/serraempauta/status/1690085500558643200</v>
      </c>
      <c r="AF2668" s="90">
        <v>45149.818958333337</v>
      </c>
      <c r="AG2668" s="99">
        <v>45149</v>
      </c>
      <c r="AH2668" s="93" t="s">
        <v>13914</v>
      </c>
      <c r="AI2668" s="87" t="b">
        <v>0</v>
      </c>
      <c r="AJ2668" s="87"/>
      <c r="AK2668" s="87"/>
      <c r="AL2668" s="87"/>
      <c r="AM2668" s="87"/>
      <c r="AN2668" s="87"/>
      <c r="AO2668" s="87"/>
      <c r="AP2668" s="87"/>
      <c r="AQ2668" s="87" t="s">
        <v>17211</v>
      </c>
      <c r="AR2668" s="87"/>
      <c r="AS2668" s="87"/>
      <c r="AT2668" s="87"/>
      <c r="AU2668" s="87"/>
      <c r="AV2668" s="92" t="str">
        <f>HYPERLINK("https://pbs.twimg.com/media/F3Rjy8UWIAAXBeE.jpg")</f>
        <v>https://pbs.twimg.com/media/F3Rjy8UWIAAXBeE.jpg</v>
      </c>
      <c r="AW2668" s="93" t="s">
        <v>20829</v>
      </c>
      <c r="AX2668" s="93" t="s">
        <v>20829</v>
      </c>
      <c r="AY2668" s="87"/>
      <c r="AZ2668" s="93" t="s">
        <v>22668</v>
      </c>
      <c r="BA2668" s="93" t="s">
        <v>22668</v>
      </c>
      <c r="BB2668" s="93" t="s">
        <v>22668</v>
      </c>
      <c r="BC2668" s="93" t="s">
        <v>20829</v>
      </c>
      <c r="BD2668" s="93" t="s">
        <v>23269</v>
      </c>
      <c r="BE2668" s="87"/>
      <c r="BF2668" s="87"/>
      <c r="BG2668" s="87"/>
      <c r="BH2668" s="87"/>
      <c r="BI2668" s="87"/>
    </row>
    <row r="2669" spans="1:61" x14ac:dyDescent="0.25">
      <c r="A2669" s="63" t="s">
        <v>1058</v>
      </c>
      <c r="B2669" s="63" t="s">
        <v>1058</v>
      </c>
      <c r="C2669" s="64"/>
      <c r="D2669" s="65"/>
      <c r="E2669" s="66"/>
      <c r="F2669" s="67"/>
      <c r="G2669" s="64"/>
      <c r="H2669" s="68"/>
      <c r="I2669" s="69"/>
      <c r="J2669" s="69"/>
      <c r="K2669" s="32"/>
      <c r="L2669" s="76">
        <v>2669</v>
      </c>
      <c r="M2669" s="76"/>
      <c r="N2669" s="71"/>
      <c r="O2669" s="87" t="s">
        <v>179</v>
      </c>
      <c r="P2669" s="90">
        <v>45149.781469907408</v>
      </c>
      <c r="Q2669" s="87" t="s">
        <v>4386</v>
      </c>
      <c r="R2669" s="87">
        <v>0</v>
      </c>
      <c r="S2669" s="87">
        <v>1</v>
      </c>
      <c r="T2669" s="87">
        <v>0</v>
      </c>
      <c r="U2669" s="87">
        <v>0</v>
      </c>
      <c r="V2669" s="87">
        <v>39</v>
      </c>
      <c r="W2669" s="93" t="s">
        <v>7424</v>
      </c>
      <c r="X2669" s="87"/>
      <c r="Y2669" s="87"/>
      <c r="Z2669" s="87"/>
      <c r="AA2669" s="87" t="s">
        <v>10400</v>
      </c>
      <c r="AB2669" s="87" t="s">
        <v>11448</v>
      </c>
      <c r="AC2669" s="93" t="s">
        <v>11457</v>
      </c>
      <c r="AD2669" s="87" t="s">
        <v>11519</v>
      </c>
      <c r="AE2669" s="92" t="str">
        <f>HYPERLINK("https://twitter.com/serraempauta/status/1690071914293673984")</f>
        <v>https://twitter.com/serraempauta/status/1690071914293673984</v>
      </c>
      <c r="AF2669" s="90">
        <v>45149.781469907408</v>
      </c>
      <c r="AG2669" s="99">
        <v>45149</v>
      </c>
      <c r="AH2669" s="93" t="s">
        <v>13915</v>
      </c>
      <c r="AI2669" s="87" t="b">
        <v>0</v>
      </c>
      <c r="AJ2669" s="87"/>
      <c r="AK2669" s="87"/>
      <c r="AL2669" s="87"/>
      <c r="AM2669" s="87"/>
      <c r="AN2669" s="87"/>
      <c r="AO2669" s="87"/>
      <c r="AP2669" s="87"/>
      <c r="AQ2669" s="87" t="s">
        <v>17212</v>
      </c>
      <c r="AR2669" s="87"/>
      <c r="AS2669" s="87"/>
      <c r="AT2669" s="87"/>
      <c r="AU2669" s="87"/>
      <c r="AV2669" s="92" t="str">
        <f>HYPERLINK("https://pbs.twimg.com/media/F3RXbtGWkAAiNqC.jpg")</f>
        <v>https://pbs.twimg.com/media/F3RXbtGWkAAiNqC.jpg</v>
      </c>
      <c r="AW2669" s="93" t="s">
        <v>20830</v>
      </c>
      <c r="AX2669" s="93" t="s">
        <v>20830</v>
      </c>
      <c r="AY2669" s="87"/>
      <c r="AZ2669" s="93" t="s">
        <v>22668</v>
      </c>
      <c r="BA2669" s="93" t="s">
        <v>22668</v>
      </c>
      <c r="BB2669" s="93" t="s">
        <v>22668</v>
      </c>
      <c r="BC2669" s="93" t="s">
        <v>20830</v>
      </c>
      <c r="BD2669" s="93" t="s">
        <v>23269</v>
      </c>
      <c r="BE2669" s="87"/>
      <c r="BF2669" s="87"/>
      <c r="BG2669" s="87"/>
      <c r="BH2669" s="87"/>
      <c r="BI2669" s="87"/>
    </row>
    <row r="2670" spans="1:61" x14ac:dyDescent="0.25">
      <c r="A2670" s="63" t="s">
        <v>1058</v>
      </c>
      <c r="B2670" s="63" t="s">
        <v>1058</v>
      </c>
      <c r="C2670" s="64"/>
      <c r="D2670" s="65"/>
      <c r="E2670" s="66"/>
      <c r="F2670" s="67"/>
      <c r="G2670" s="64"/>
      <c r="H2670" s="68"/>
      <c r="I2670" s="69"/>
      <c r="J2670" s="69"/>
      <c r="K2670" s="32"/>
      <c r="L2670" s="76">
        <v>2670</v>
      </c>
      <c r="M2670" s="76"/>
      <c r="N2670" s="71"/>
      <c r="O2670" s="87" t="s">
        <v>179</v>
      </c>
      <c r="P2670" s="90">
        <v>45149.571481481478</v>
      </c>
      <c r="Q2670" s="87" t="s">
        <v>4387</v>
      </c>
      <c r="R2670" s="87">
        <v>0</v>
      </c>
      <c r="S2670" s="87">
        <v>0</v>
      </c>
      <c r="T2670" s="87">
        <v>0</v>
      </c>
      <c r="U2670" s="87">
        <v>1</v>
      </c>
      <c r="V2670" s="87">
        <v>140</v>
      </c>
      <c r="W2670" s="93" t="s">
        <v>7424</v>
      </c>
      <c r="X2670" s="87"/>
      <c r="Y2670" s="87"/>
      <c r="Z2670" s="87"/>
      <c r="AA2670" s="87" t="s">
        <v>10401</v>
      </c>
      <c r="AB2670" s="87" t="s">
        <v>11448</v>
      </c>
      <c r="AC2670" s="93" t="s">
        <v>11457</v>
      </c>
      <c r="AD2670" s="87" t="s">
        <v>11519</v>
      </c>
      <c r="AE2670" s="92" t="str">
        <f>HYPERLINK("https://twitter.com/serraempauta/status/1689995820991463425")</f>
        <v>https://twitter.com/serraempauta/status/1689995820991463425</v>
      </c>
      <c r="AF2670" s="90">
        <v>45149.571481481478</v>
      </c>
      <c r="AG2670" s="99">
        <v>45149</v>
      </c>
      <c r="AH2670" s="93" t="s">
        <v>13916</v>
      </c>
      <c r="AI2670" s="87" t="b">
        <v>0</v>
      </c>
      <c r="AJ2670" s="87"/>
      <c r="AK2670" s="87"/>
      <c r="AL2670" s="87"/>
      <c r="AM2670" s="87"/>
      <c r="AN2670" s="87"/>
      <c r="AO2670" s="87"/>
      <c r="AP2670" s="87"/>
      <c r="AQ2670" s="87" t="s">
        <v>17213</v>
      </c>
      <c r="AR2670" s="87"/>
      <c r="AS2670" s="87"/>
      <c r="AT2670" s="87"/>
      <c r="AU2670" s="87"/>
      <c r="AV2670" s="92" t="str">
        <f>HYPERLINK("https://pbs.twimg.com/media/F3QSOb0WkAIFs0C.jpg")</f>
        <v>https://pbs.twimg.com/media/F3QSOb0WkAIFs0C.jpg</v>
      </c>
      <c r="AW2670" s="93" t="s">
        <v>20831</v>
      </c>
      <c r="AX2670" s="93" t="s">
        <v>20831</v>
      </c>
      <c r="AY2670" s="87"/>
      <c r="AZ2670" s="93" t="s">
        <v>22668</v>
      </c>
      <c r="BA2670" s="93" t="s">
        <v>22668</v>
      </c>
      <c r="BB2670" s="93" t="s">
        <v>22668</v>
      </c>
      <c r="BC2670" s="93" t="s">
        <v>20831</v>
      </c>
      <c r="BD2670" s="93" t="s">
        <v>23269</v>
      </c>
      <c r="BE2670" s="87"/>
      <c r="BF2670" s="87"/>
      <c r="BG2670" s="87"/>
      <c r="BH2670" s="87"/>
      <c r="BI2670" s="87"/>
    </row>
    <row r="2671" spans="1:61" x14ac:dyDescent="0.25">
      <c r="A2671" s="63" t="s">
        <v>1058</v>
      </c>
      <c r="B2671" s="63" t="s">
        <v>1058</v>
      </c>
      <c r="C2671" s="64"/>
      <c r="D2671" s="65"/>
      <c r="E2671" s="66"/>
      <c r="F2671" s="67"/>
      <c r="G2671" s="64"/>
      <c r="H2671" s="68"/>
      <c r="I2671" s="69"/>
      <c r="J2671" s="69"/>
      <c r="K2671" s="32"/>
      <c r="L2671" s="76">
        <v>2671</v>
      </c>
      <c r="M2671" s="76"/>
      <c r="N2671" s="71"/>
      <c r="O2671" s="87" t="s">
        <v>179</v>
      </c>
      <c r="P2671" s="90">
        <v>45149.536712962959</v>
      </c>
      <c r="Q2671" s="87" t="s">
        <v>4388</v>
      </c>
      <c r="R2671" s="87">
        <v>0</v>
      </c>
      <c r="S2671" s="87">
        <v>0</v>
      </c>
      <c r="T2671" s="87">
        <v>0</v>
      </c>
      <c r="U2671" s="87">
        <v>0</v>
      </c>
      <c r="V2671" s="87">
        <v>30</v>
      </c>
      <c r="W2671" s="93" t="s">
        <v>7424</v>
      </c>
      <c r="X2671" s="87"/>
      <c r="Y2671" s="87"/>
      <c r="Z2671" s="87"/>
      <c r="AA2671" s="87" t="s">
        <v>10402</v>
      </c>
      <c r="AB2671" s="87" t="s">
        <v>11448</v>
      </c>
      <c r="AC2671" s="93" t="s">
        <v>11457</v>
      </c>
      <c r="AD2671" s="87" t="s">
        <v>11519</v>
      </c>
      <c r="AE2671" s="92" t="str">
        <f>HYPERLINK("https://twitter.com/serraempauta/status/1689983219414769664")</f>
        <v>https://twitter.com/serraempauta/status/1689983219414769664</v>
      </c>
      <c r="AF2671" s="90">
        <v>45149.536712962959</v>
      </c>
      <c r="AG2671" s="99">
        <v>45149</v>
      </c>
      <c r="AH2671" s="93" t="s">
        <v>13917</v>
      </c>
      <c r="AI2671" s="87" t="b">
        <v>0</v>
      </c>
      <c r="AJ2671" s="87"/>
      <c r="AK2671" s="87"/>
      <c r="AL2671" s="87"/>
      <c r="AM2671" s="87"/>
      <c r="AN2671" s="87"/>
      <c r="AO2671" s="87"/>
      <c r="AP2671" s="87"/>
      <c r="AQ2671" s="87" t="s">
        <v>17214</v>
      </c>
      <c r="AR2671" s="87"/>
      <c r="AS2671" s="87"/>
      <c r="AT2671" s="87"/>
      <c r="AU2671" s="87"/>
      <c r="AV2671" s="92" t="str">
        <f>HYPERLINK("https://pbs.twimg.com/media/F3QGxfNWMAA3_b1.jpg")</f>
        <v>https://pbs.twimg.com/media/F3QGxfNWMAA3_b1.jpg</v>
      </c>
      <c r="AW2671" s="93" t="s">
        <v>20832</v>
      </c>
      <c r="AX2671" s="93" t="s">
        <v>20832</v>
      </c>
      <c r="AY2671" s="87"/>
      <c r="AZ2671" s="93" t="s">
        <v>22668</v>
      </c>
      <c r="BA2671" s="93" t="s">
        <v>22668</v>
      </c>
      <c r="BB2671" s="93" t="s">
        <v>22668</v>
      </c>
      <c r="BC2671" s="93" t="s">
        <v>20832</v>
      </c>
      <c r="BD2671" s="93" t="s">
        <v>23269</v>
      </c>
      <c r="BE2671" s="87"/>
      <c r="BF2671" s="87"/>
      <c r="BG2671" s="87"/>
      <c r="BH2671" s="87"/>
      <c r="BI2671" s="87"/>
    </row>
    <row r="2672" spans="1:61" x14ac:dyDescent="0.25">
      <c r="A2672" s="63" t="s">
        <v>1058</v>
      </c>
      <c r="B2672" s="63" t="s">
        <v>1058</v>
      </c>
      <c r="C2672" s="64"/>
      <c r="D2672" s="65"/>
      <c r="E2672" s="66"/>
      <c r="F2672" s="67"/>
      <c r="G2672" s="64"/>
      <c r="H2672" s="68"/>
      <c r="I2672" s="69"/>
      <c r="J2672" s="69"/>
      <c r="K2672" s="32"/>
      <c r="L2672" s="76">
        <v>2672</v>
      </c>
      <c r="M2672" s="76"/>
      <c r="N2672" s="71"/>
      <c r="O2672" s="87" t="s">
        <v>179</v>
      </c>
      <c r="P2672" s="90">
        <v>45149.51662037037</v>
      </c>
      <c r="Q2672" s="87" t="s">
        <v>4389</v>
      </c>
      <c r="R2672" s="87">
        <v>0</v>
      </c>
      <c r="S2672" s="87">
        <v>0</v>
      </c>
      <c r="T2672" s="87">
        <v>0</v>
      </c>
      <c r="U2672" s="87">
        <v>0</v>
      </c>
      <c r="V2672" s="87">
        <v>36</v>
      </c>
      <c r="W2672" s="93" t="s">
        <v>7424</v>
      </c>
      <c r="X2672" s="87"/>
      <c r="Y2672" s="87"/>
      <c r="Z2672" s="87"/>
      <c r="AA2672" s="87" t="s">
        <v>10403</v>
      </c>
      <c r="AB2672" s="87" t="s">
        <v>11448</v>
      </c>
      <c r="AC2672" s="93" t="s">
        <v>11457</v>
      </c>
      <c r="AD2672" s="87" t="s">
        <v>11519</v>
      </c>
      <c r="AE2672" s="92" t="str">
        <f>HYPERLINK("https://twitter.com/serraempauta/status/1689975938509918208")</f>
        <v>https://twitter.com/serraempauta/status/1689975938509918208</v>
      </c>
      <c r="AF2672" s="90">
        <v>45149.51662037037</v>
      </c>
      <c r="AG2672" s="99">
        <v>45149</v>
      </c>
      <c r="AH2672" s="93" t="s">
        <v>13918</v>
      </c>
      <c r="AI2672" s="87" t="b">
        <v>0</v>
      </c>
      <c r="AJ2672" s="87"/>
      <c r="AK2672" s="87"/>
      <c r="AL2672" s="87"/>
      <c r="AM2672" s="87"/>
      <c r="AN2672" s="87"/>
      <c r="AO2672" s="87"/>
      <c r="AP2672" s="87"/>
      <c r="AQ2672" s="87" t="s">
        <v>17215</v>
      </c>
      <c r="AR2672" s="87"/>
      <c r="AS2672" s="87"/>
      <c r="AT2672" s="87"/>
      <c r="AU2672" s="87"/>
      <c r="AV2672" s="92" t="str">
        <f>HYPERLINK("https://pbs.twimg.com/media/F3QAJywWAAAg91X.jpg")</f>
        <v>https://pbs.twimg.com/media/F3QAJywWAAAg91X.jpg</v>
      </c>
      <c r="AW2672" s="93" t="s">
        <v>20833</v>
      </c>
      <c r="AX2672" s="93" t="s">
        <v>20833</v>
      </c>
      <c r="AY2672" s="87"/>
      <c r="AZ2672" s="93" t="s">
        <v>22668</v>
      </c>
      <c r="BA2672" s="93" t="s">
        <v>22668</v>
      </c>
      <c r="BB2672" s="93" t="s">
        <v>22668</v>
      </c>
      <c r="BC2672" s="93" t="s">
        <v>20833</v>
      </c>
      <c r="BD2672" s="93" t="s">
        <v>23269</v>
      </c>
      <c r="BE2672" s="87"/>
      <c r="BF2672" s="87"/>
      <c r="BG2672" s="87"/>
      <c r="BH2672" s="87"/>
      <c r="BI2672" s="87"/>
    </row>
    <row r="2673" spans="1:61" x14ac:dyDescent="0.25">
      <c r="A2673" s="63" t="s">
        <v>1058</v>
      </c>
      <c r="B2673" s="63" t="s">
        <v>1058</v>
      </c>
      <c r="C2673" s="64"/>
      <c r="D2673" s="65"/>
      <c r="E2673" s="66"/>
      <c r="F2673" s="67"/>
      <c r="G2673" s="64"/>
      <c r="H2673" s="68"/>
      <c r="I2673" s="69"/>
      <c r="J2673" s="69"/>
      <c r="K2673" s="32"/>
      <c r="L2673" s="76">
        <v>2673</v>
      </c>
      <c r="M2673" s="76"/>
      <c r="N2673" s="71"/>
      <c r="O2673" s="87" t="s">
        <v>179</v>
      </c>
      <c r="P2673" s="90">
        <v>45149.485717592594</v>
      </c>
      <c r="Q2673" s="87" t="s">
        <v>4390</v>
      </c>
      <c r="R2673" s="87">
        <v>0</v>
      </c>
      <c r="S2673" s="87">
        <v>0</v>
      </c>
      <c r="T2673" s="87">
        <v>0</v>
      </c>
      <c r="U2673" s="87">
        <v>0</v>
      </c>
      <c r="V2673" s="87">
        <v>45</v>
      </c>
      <c r="W2673" s="93" t="s">
        <v>7424</v>
      </c>
      <c r="X2673" s="87"/>
      <c r="Y2673" s="87"/>
      <c r="Z2673" s="87"/>
      <c r="AA2673" s="87" t="s">
        <v>10404</v>
      </c>
      <c r="AB2673" s="87" t="s">
        <v>11448</v>
      </c>
      <c r="AC2673" s="93" t="s">
        <v>11457</v>
      </c>
      <c r="AD2673" s="87" t="s">
        <v>11519</v>
      </c>
      <c r="AE2673" s="92" t="str">
        <f>HYPERLINK("https://twitter.com/serraempauta/status/1689964738082414592")</f>
        <v>https://twitter.com/serraempauta/status/1689964738082414592</v>
      </c>
      <c r="AF2673" s="90">
        <v>45149.485717592594</v>
      </c>
      <c r="AG2673" s="99">
        <v>45149</v>
      </c>
      <c r="AH2673" s="93" t="s">
        <v>13919</v>
      </c>
      <c r="AI2673" s="87" t="b">
        <v>0</v>
      </c>
      <c r="AJ2673" s="87"/>
      <c r="AK2673" s="87"/>
      <c r="AL2673" s="87"/>
      <c r="AM2673" s="87"/>
      <c r="AN2673" s="87"/>
      <c r="AO2673" s="87"/>
      <c r="AP2673" s="87"/>
      <c r="AQ2673" s="87" t="s">
        <v>17216</v>
      </c>
      <c r="AR2673" s="87"/>
      <c r="AS2673" s="87"/>
      <c r="AT2673" s="87"/>
      <c r="AU2673" s="87"/>
      <c r="AV2673" s="92" t="str">
        <f>HYPERLINK("https://pbs.twimg.com/media/F3P1-F4XgAApVaM.jpg")</f>
        <v>https://pbs.twimg.com/media/F3P1-F4XgAApVaM.jpg</v>
      </c>
      <c r="AW2673" s="93" t="s">
        <v>20834</v>
      </c>
      <c r="AX2673" s="93" t="s">
        <v>20834</v>
      </c>
      <c r="AY2673" s="87"/>
      <c r="AZ2673" s="93" t="s">
        <v>22668</v>
      </c>
      <c r="BA2673" s="93" t="s">
        <v>22668</v>
      </c>
      <c r="BB2673" s="93" t="s">
        <v>22668</v>
      </c>
      <c r="BC2673" s="93" t="s">
        <v>20834</v>
      </c>
      <c r="BD2673" s="93" t="s">
        <v>23269</v>
      </c>
      <c r="BE2673" s="87"/>
      <c r="BF2673" s="87"/>
      <c r="BG2673" s="87"/>
      <c r="BH2673" s="87"/>
      <c r="BI2673" s="87"/>
    </row>
    <row r="2674" spans="1:61" x14ac:dyDescent="0.25">
      <c r="A2674" s="63" t="s">
        <v>1058</v>
      </c>
      <c r="B2674" s="63" t="s">
        <v>1058</v>
      </c>
      <c r="C2674" s="64"/>
      <c r="D2674" s="65"/>
      <c r="E2674" s="66"/>
      <c r="F2674" s="67"/>
      <c r="G2674" s="64"/>
      <c r="H2674" s="68"/>
      <c r="I2674" s="69"/>
      <c r="J2674" s="69"/>
      <c r="K2674" s="32"/>
      <c r="L2674" s="76">
        <v>2674</v>
      </c>
      <c r="M2674" s="76"/>
      <c r="N2674" s="71"/>
      <c r="O2674" s="87" t="s">
        <v>179</v>
      </c>
      <c r="P2674" s="90">
        <v>45137.668020833335</v>
      </c>
      <c r="Q2674" s="87" t="s">
        <v>4391</v>
      </c>
      <c r="R2674" s="87">
        <v>0</v>
      </c>
      <c r="S2674" s="87">
        <v>0</v>
      </c>
      <c r="T2674" s="87">
        <v>0</v>
      </c>
      <c r="U2674" s="87">
        <v>0</v>
      </c>
      <c r="V2674" s="87">
        <v>51</v>
      </c>
      <c r="W2674" s="93" t="s">
        <v>7424</v>
      </c>
      <c r="X2674" s="87"/>
      <c r="Y2674" s="87"/>
      <c r="Z2674" s="87"/>
      <c r="AA2674" s="87" t="s">
        <v>10405</v>
      </c>
      <c r="AB2674" s="87" t="s">
        <v>11448</v>
      </c>
      <c r="AC2674" s="93" t="s">
        <v>11457</v>
      </c>
      <c r="AD2674" s="87" t="s">
        <v>11519</v>
      </c>
      <c r="AE2674" s="92" t="str">
        <f>HYPERLINK("https://twitter.com/serraempauta/status/1685682150538883072")</f>
        <v>https://twitter.com/serraempauta/status/1685682150538883072</v>
      </c>
      <c r="AF2674" s="90">
        <v>45137.668020833335</v>
      </c>
      <c r="AG2674" s="99">
        <v>45137</v>
      </c>
      <c r="AH2674" s="93" t="s">
        <v>13920</v>
      </c>
      <c r="AI2674" s="87" t="b">
        <v>0</v>
      </c>
      <c r="AJ2674" s="87"/>
      <c r="AK2674" s="87"/>
      <c r="AL2674" s="87"/>
      <c r="AM2674" s="87"/>
      <c r="AN2674" s="87"/>
      <c r="AO2674" s="87"/>
      <c r="AP2674" s="87"/>
      <c r="AQ2674" s="87" t="s">
        <v>17217</v>
      </c>
      <c r="AR2674" s="87"/>
      <c r="AS2674" s="87"/>
      <c r="AT2674" s="87"/>
      <c r="AU2674" s="87"/>
      <c r="AV2674" s="92" t="str">
        <f>HYPERLINK("https://pbs.twimg.com/media/F2S--XbWcAAmT_c.jpg")</f>
        <v>https://pbs.twimg.com/media/F2S--XbWcAAmT_c.jpg</v>
      </c>
      <c r="AW2674" s="93" t="s">
        <v>20835</v>
      </c>
      <c r="AX2674" s="93" t="s">
        <v>20835</v>
      </c>
      <c r="AY2674" s="87"/>
      <c r="AZ2674" s="93" t="s">
        <v>22668</v>
      </c>
      <c r="BA2674" s="93" t="s">
        <v>22668</v>
      </c>
      <c r="BB2674" s="93" t="s">
        <v>22668</v>
      </c>
      <c r="BC2674" s="93" t="s">
        <v>20835</v>
      </c>
      <c r="BD2674" s="93" t="s">
        <v>23269</v>
      </c>
      <c r="BE2674" s="87"/>
      <c r="BF2674" s="87"/>
      <c r="BG2674" s="87"/>
      <c r="BH2674" s="87"/>
      <c r="BI2674" s="87"/>
    </row>
    <row r="2675" spans="1:61" x14ac:dyDescent="0.25">
      <c r="A2675" s="63" t="s">
        <v>1058</v>
      </c>
      <c r="B2675" s="63" t="s">
        <v>1058</v>
      </c>
      <c r="C2675" s="64"/>
      <c r="D2675" s="65"/>
      <c r="E2675" s="66"/>
      <c r="F2675" s="67"/>
      <c r="G2675" s="64"/>
      <c r="H2675" s="68"/>
      <c r="I2675" s="69"/>
      <c r="J2675" s="69"/>
      <c r="K2675" s="32"/>
      <c r="L2675" s="76">
        <v>2675</v>
      </c>
      <c r="M2675" s="76"/>
      <c r="N2675" s="71"/>
      <c r="O2675" s="87" t="s">
        <v>179</v>
      </c>
      <c r="P2675" s="90">
        <v>45137.626817129632</v>
      </c>
      <c r="Q2675" s="87" t="s">
        <v>4392</v>
      </c>
      <c r="R2675" s="87">
        <v>0</v>
      </c>
      <c r="S2675" s="87">
        <v>0</v>
      </c>
      <c r="T2675" s="87">
        <v>0</v>
      </c>
      <c r="U2675" s="87">
        <v>0</v>
      </c>
      <c r="V2675" s="87">
        <v>51</v>
      </c>
      <c r="W2675" s="93" t="s">
        <v>7424</v>
      </c>
      <c r="X2675" s="87"/>
      <c r="Y2675" s="87"/>
      <c r="Z2675" s="87"/>
      <c r="AA2675" s="87" t="s">
        <v>10406</v>
      </c>
      <c r="AB2675" s="87" t="s">
        <v>11448</v>
      </c>
      <c r="AC2675" s="93" t="s">
        <v>11457</v>
      </c>
      <c r="AD2675" s="87" t="s">
        <v>11519</v>
      </c>
      <c r="AE2675" s="92" t="str">
        <f>HYPERLINK("https://twitter.com/serraempauta/status/1685667216929239040")</f>
        <v>https://twitter.com/serraempauta/status/1685667216929239040</v>
      </c>
      <c r="AF2675" s="90">
        <v>45137.626817129632</v>
      </c>
      <c r="AG2675" s="99">
        <v>45137</v>
      </c>
      <c r="AH2675" s="93" t="s">
        <v>13921</v>
      </c>
      <c r="AI2675" s="87" t="b">
        <v>0</v>
      </c>
      <c r="AJ2675" s="87"/>
      <c r="AK2675" s="87"/>
      <c r="AL2675" s="87"/>
      <c r="AM2675" s="87"/>
      <c r="AN2675" s="87"/>
      <c r="AO2675" s="87"/>
      <c r="AP2675" s="87"/>
      <c r="AQ2675" s="87" t="s">
        <v>17218</v>
      </c>
      <c r="AR2675" s="87"/>
      <c r="AS2675" s="87"/>
      <c r="AT2675" s="87"/>
      <c r="AU2675" s="87"/>
      <c r="AV2675" s="92" t="str">
        <f>HYPERLINK("https://pbs.twimg.com/media/F2SxZSvXYAAo1dx.jpg")</f>
        <v>https://pbs.twimg.com/media/F2SxZSvXYAAo1dx.jpg</v>
      </c>
      <c r="AW2675" s="93" t="s">
        <v>20836</v>
      </c>
      <c r="AX2675" s="93" t="s">
        <v>20836</v>
      </c>
      <c r="AY2675" s="87"/>
      <c r="AZ2675" s="93" t="s">
        <v>22668</v>
      </c>
      <c r="BA2675" s="93" t="s">
        <v>22668</v>
      </c>
      <c r="BB2675" s="93" t="s">
        <v>22668</v>
      </c>
      <c r="BC2675" s="93" t="s">
        <v>20836</v>
      </c>
      <c r="BD2675" s="93" t="s">
        <v>23269</v>
      </c>
      <c r="BE2675" s="87"/>
      <c r="BF2675" s="87"/>
      <c r="BG2675" s="87"/>
      <c r="BH2675" s="87"/>
      <c r="BI2675" s="87"/>
    </row>
    <row r="2676" spans="1:61" x14ac:dyDescent="0.25">
      <c r="A2676" s="63" t="s">
        <v>1058</v>
      </c>
      <c r="B2676" s="63" t="s">
        <v>1058</v>
      </c>
      <c r="C2676" s="64"/>
      <c r="D2676" s="65"/>
      <c r="E2676" s="66"/>
      <c r="F2676" s="67"/>
      <c r="G2676" s="64"/>
      <c r="H2676" s="68"/>
      <c r="I2676" s="69"/>
      <c r="J2676" s="69"/>
      <c r="K2676" s="32"/>
      <c r="L2676" s="76">
        <v>2676</v>
      </c>
      <c r="M2676" s="76"/>
      <c r="N2676" s="71"/>
      <c r="O2676" s="87" t="s">
        <v>179</v>
      </c>
      <c r="P2676" s="90">
        <v>45137.614004629628</v>
      </c>
      <c r="Q2676" s="87" t="s">
        <v>4393</v>
      </c>
      <c r="R2676" s="87">
        <v>0</v>
      </c>
      <c r="S2676" s="87">
        <v>0</v>
      </c>
      <c r="T2676" s="87">
        <v>0</v>
      </c>
      <c r="U2676" s="87">
        <v>0</v>
      </c>
      <c r="V2676" s="87">
        <v>76</v>
      </c>
      <c r="W2676" s="93" t="s">
        <v>7424</v>
      </c>
      <c r="X2676" s="87"/>
      <c r="Y2676" s="87"/>
      <c r="Z2676" s="87"/>
      <c r="AA2676" s="87" t="s">
        <v>10407</v>
      </c>
      <c r="AB2676" s="87" t="s">
        <v>11448</v>
      </c>
      <c r="AC2676" s="93" t="s">
        <v>11457</v>
      </c>
      <c r="AD2676" s="87" t="s">
        <v>11519</v>
      </c>
      <c r="AE2676" s="92" t="str">
        <f>HYPERLINK("https://twitter.com/serraempauta/status/1685662574694592513")</f>
        <v>https://twitter.com/serraempauta/status/1685662574694592513</v>
      </c>
      <c r="AF2676" s="90">
        <v>45137.614004629628</v>
      </c>
      <c r="AG2676" s="99">
        <v>45137</v>
      </c>
      <c r="AH2676" s="93" t="s">
        <v>13249</v>
      </c>
      <c r="AI2676" s="87" t="b">
        <v>0</v>
      </c>
      <c r="AJ2676" s="87"/>
      <c r="AK2676" s="87"/>
      <c r="AL2676" s="87"/>
      <c r="AM2676" s="87"/>
      <c r="AN2676" s="87"/>
      <c r="AO2676" s="87"/>
      <c r="AP2676" s="87"/>
      <c r="AQ2676" s="87" t="s">
        <v>17219</v>
      </c>
      <c r="AR2676" s="87"/>
      <c r="AS2676" s="87"/>
      <c r="AT2676" s="87"/>
      <c r="AU2676" s="87"/>
      <c r="AV2676" s="92" t="str">
        <f>HYPERLINK("https://pbs.twimg.com/media/F2StK7xXsAAXwod.jpg")</f>
        <v>https://pbs.twimg.com/media/F2StK7xXsAAXwod.jpg</v>
      </c>
      <c r="AW2676" s="93" t="s">
        <v>20837</v>
      </c>
      <c r="AX2676" s="93" t="s">
        <v>20837</v>
      </c>
      <c r="AY2676" s="87"/>
      <c r="AZ2676" s="93" t="s">
        <v>22668</v>
      </c>
      <c r="BA2676" s="93" t="s">
        <v>22668</v>
      </c>
      <c r="BB2676" s="93" t="s">
        <v>22668</v>
      </c>
      <c r="BC2676" s="93" t="s">
        <v>20837</v>
      </c>
      <c r="BD2676" s="93" t="s">
        <v>23269</v>
      </c>
      <c r="BE2676" s="87"/>
      <c r="BF2676" s="87"/>
      <c r="BG2676" s="87"/>
      <c r="BH2676" s="87"/>
      <c r="BI2676" s="87"/>
    </row>
    <row r="2677" spans="1:61" x14ac:dyDescent="0.25">
      <c r="A2677" s="63" t="s">
        <v>1058</v>
      </c>
      <c r="B2677" s="63" t="s">
        <v>1058</v>
      </c>
      <c r="C2677" s="64"/>
      <c r="D2677" s="65"/>
      <c r="E2677" s="66"/>
      <c r="F2677" s="67"/>
      <c r="G2677" s="64"/>
      <c r="H2677" s="68"/>
      <c r="I2677" s="69"/>
      <c r="J2677" s="69"/>
      <c r="K2677" s="32"/>
      <c r="L2677" s="76">
        <v>2677</v>
      </c>
      <c r="M2677" s="76"/>
      <c r="N2677" s="71"/>
      <c r="O2677" s="87" t="s">
        <v>179</v>
      </c>
      <c r="P2677" s="90">
        <v>45137.021539351852</v>
      </c>
      <c r="Q2677" s="87" t="s">
        <v>4394</v>
      </c>
      <c r="R2677" s="87">
        <v>0</v>
      </c>
      <c r="S2677" s="87">
        <v>0</v>
      </c>
      <c r="T2677" s="87">
        <v>0</v>
      </c>
      <c r="U2677" s="87">
        <v>0</v>
      </c>
      <c r="V2677" s="87">
        <v>46</v>
      </c>
      <c r="W2677" s="93" t="s">
        <v>7424</v>
      </c>
      <c r="X2677" s="87"/>
      <c r="Y2677" s="87"/>
      <c r="Z2677" s="87"/>
      <c r="AA2677" s="87" t="s">
        <v>10408</v>
      </c>
      <c r="AB2677" s="87" t="s">
        <v>11448</v>
      </c>
      <c r="AC2677" s="93" t="s">
        <v>11457</v>
      </c>
      <c r="AD2677" s="87" t="s">
        <v>11519</v>
      </c>
      <c r="AE2677" s="92" t="str">
        <f>HYPERLINK("https://twitter.com/serraempauta/status/1685447874195120128")</f>
        <v>https://twitter.com/serraempauta/status/1685447874195120128</v>
      </c>
      <c r="AF2677" s="90">
        <v>45137.021539351852</v>
      </c>
      <c r="AG2677" s="99">
        <v>45137</v>
      </c>
      <c r="AH2677" s="93" t="s">
        <v>13922</v>
      </c>
      <c r="AI2677" s="87" t="b">
        <v>0</v>
      </c>
      <c r="AJ2677" s="87"/>
      <c r="AK2677" s="87"/>
      <c r="AL2677" s="87"/>
      <c r="AM2677" s="87"/>
      <c r="AN2677" s="87"/>
      <c r="AO2677" s="87"/>
      <c r="AP2677" s="87"/>
      <c r="AQ2677" s="87" t="s">
        <v>17220</v>
      </c>
      <c r="AR2677" s="87"/>
      <c r="AS2677" s="87"/>
      <c r="AT2677" s="87"/>
      <c r="AU2677" s="87"/>
      <c r="AV2677" s="92" t="str">
        <f>HYPERLINK("https://pbs.twimg.com/media/F2Pp5txXgAA91q2.jpg")</f>
        <v>https://pbs.twimg.com/media/F2Pp5txXgAA91q2.jpg</v>
      </c>
      <c r="AW2677" s="93" t="s">
        <v>20838</v>
      </c>
      <c r="AX2677" s="93" t="s">
        <v>20838</v>
      </c>
      <c r="AY2677" s="87"/>
      <c r="AZ2677" s="93" t="s">
        <v>22668</v>
      </c>
      <c r="BA2677" s="93" t="s">
        <v>22668</v>
      </c>
      <c r="BB2677" s="93" t="s">
        <v>22668</v>
      </c>
      <c r="BC2677" s="93" t="s">
        <v>20838</v>
      </c>
      <c r="BD2677" s="93" t="s">
        <v>23269</v>
      </c>
      <c r="BE2677" s="87"/>
      <c r="BF2677" s="87"/>
      <c r="BG2677" s="87"/>
      <c r="BH2677" s="87"/>
      <c r="BI2677" s="87"/>
    </row>
    <row r="2678" spans="1:61" x14ac:dyDescent="0.25">
      <c r="A2678" s="63" t="s">
        <v>1058</v>
      </c>
      <c r="B2678" s="63" t="s">
        <v>1058</v>
      </c>
      <c r="C2678" s="64"/>
      <c r="D2678" s="65"/>
      <c r="E2678" s="66"/>
      <c r="F2678" s="67"/>
      <c r="G2678" s="64"/>
      <c r="H2678" s="68"/>
      <c r="I2678" s="69"/>
      <c r="J2678" s="69"/>
      <c r="K2678" s="32"/>
      <c r="L2678" s="76">
        <v>2678</v>
      </c>
      <c r="M2678" s="76"/>
      <c r="N2678" s="71"/>
      <c r="O2678" s="87" t="s">
        <v>179</v>
      </c>
      <c r="P2678" s="90">
        <v>45137.001145833332</v>
      </c>
      <c r="Q2678" s="87" t="s">
        <v>4395</v>
      </c>
      <c r="R2678" s="87">
        <v>0</v>
      </c>
      <c r="S2678" s="87">
        <v>0</v>
      </c>
      <c r="T2678" s="87">
        <v>0</v>
      </c>
      <c r="U2678" s="87">
        <v>0</v>
      </c>
      <c r="V2678" s="87">
        <v>41</v>
      </c>
      <c r="W2678" s="93" t="s">
        <v>7424</v>
      </c>
      <c r="X2678" s="87"/>
      <c r="Y2678" s="87"/>
      <c r="Z2678" s="87"/>
      <c r="AA2678" s="87" t="s">
        <v>10409</v>
      </c>
      <c r="AB2678" s="87" t="s">
        <v>11448</v>
      </c>
      <c r="AC2678" s="93" t="s">
        <v>11457</v>
      </c>
      <c r="AD2678" s="87" t="s">
        <v>11519</v>
      </c>
      <c r="AE2678" s="92" t="str">
        <f>HYPERLINK("https://twitter.com/serraempauta/status/1685440480442454016")</f>
        <v>https://twitter.com/serraempauta/status/1685440480442454016</v>
      </c>
      <c r="AF2678" s="90">
        <v>45137.001145833332</v>
      </c>
      <c r="AG2678" s="99">
        <v>45137</v>
      </c>
      <c r="AH2678" s="93" t="s">
        <v>13923</v>
      </c>
      <c r="AI2678" s="87" t="b">
        <v>0</v>
      </c>
      <c r="AJ2678" s="87"/>
      <c r="AK2678" s="87"/>
      <c r="AL2678" s="87"/>
      <c r="AM2678" s="87"/>
      <c r="AN2678" s="87"/>
      <c r="AO2678" s="87"/>
      <c r="AP2678" s="87"/>
      <c r="AQ2678" s="87" t="s">
        <v>17221</v>
      </c>
      <c r="AR2678" s="87"/>
      <c r="AS2678" s="87"/>
      <c r="AT2678" s="87"/>
      <c r="AU2678" s="87"/>
      <c r="AV2678" s="92" t="str">
        <f>HYPERLINK("https://pbs.twimg.com/media/F2PjLUmXkAUoJAu.jpg")</f>
        <v>https://pbs.twimg.com/media/F2PjLUmXkAUoJAu.jpg</v>
      </c>
      <c r="AW2678" s="93" t="s">
        <v>20839</v>
      </c>
      <c r="AX2678" s="93" t="s">
        <v>20839</v>
      </c>
      <c r="AY2678" s="87"/>
      <c r="AZ2678" s="93" t="s">
        <v>22668</v>
      </c>
      <c r="BA2678" s="93" t="s">
        <v>22668</v>
      </c>
      <c r="BB2678" s="93" t="s">
        <v>22668</v>
      </c>
      <c r="BC2678" s="93" t="s">
        <v>20839</v>
      </c>
      <c r="BD2678" s="93" t="s">
        <v>23269</v>
      </c>
      <c r="BE2678" s="87"/>
      <c r="BF2678" s="87"/>
      <c r="BG2678" s="87"/>
      <c r="BH2678" s="87"/>
      <c r="BI2678" s="87"/>
    </row>
    <row r="2679" spans="1:61" x14ac:dyDescent="0.25">
      <c r="A2679" s="63" t="s">
        <v>1058</v>
      </c>
      <c r="B2679" s="63" t="s">
        <v>1058</v>
      </c>
      <c r="C2679" s="64"/>
      <c r="D2679" s="65"/>
      <c r="E2679" s="66"/>
      <c r="F2679" s="67"/>
      <c r="G2679" s="64"/>
      <c r="H2679" s="68"/>
      <c r="I2679" s="69"/>
      <c r="J2679" s="69"/>
      <c r="K2679" s="32"/>
      <c r="L2679" s="76">
        <v>2679</v>
      </c>
      <c r="M2679" s="76"/>
      <c r="N2679" s="71"/>
      <c r="O2679" s="87" t="s">
        <v>179</v>
      </c>
      <c r="P2679" s="90">
        <v>45136.947060185186</v>
      </c>
      <c r="Q2679" s="87" t="s">
        <v>4396</v>
      </c>
      <c r="R2679" s="87">
        <v>0</v>
      </c>
      <c r="S2679" s="87">
        <v>0</v>
      </c>
      <c r="T2679" s="87">
        <v>0</v>
      </c>
      <c r="U2679" s="87">
        <v>0</v>
      </c>
      <c r="V2679" s="87">
        <v>50</v>
      </c>
      <c r="W2679" s="93" t="s">
        <v>7424</v>
      </c>
      <c r="X2679" s="87"/>
      <c r="Y2679" s="87"/>
      <c r="Z2679" s="87"/>
      <c r="AA2679" s="87" t="s">
        <v>10410</v>
      </c>
      <c r="AB2679" s="87" t="s">
        <v>11448</v>
      </c>
      <c r="AC2679" s="93" t="s">
        <v>11457</v>
      </c>
      <c r="AD2679" s="87" t="s">
        <v>11519</v>
      </c>
      <c r="AE2679" s="92" t="str">
        <f>HYPERLINK("https://twitter.com/serraempauta/status/1685420882301190144")</f>
        <v>https://twitter.com/serraempauta/status/1685420882301190144</v>
      </c>
      <c r="AF2679" s="90">
        <v>45136.947060185186</v>
      </c>
      <c r="AG2679" s="99">
        <v>45136</v>
      </c>
      <c r="AH2679" s="93" t="s">
        <v>13924</v>
      </c>
      <c r="AI2679" s="87" t="b">
        <v>0</v>
      </c>
      <c r="AJ2679" s="87"/>
      <c r="AK2679" s="87"/>
      <c r="AL2679" s="87"/>
      <c r="AM2679" s="87"/>
      <c r="AN2679" s="87"/>
      <c r="AO2679" s="87"/>
      <c r="AP2679" s="87"/>
      <c r="AQ2679" s="87" t="s">
        <v>17222</v>
      </c>
      <c r="AR2679" s="87"/>
      <c r="AS2679" s="87"/>
      <c r="AT2679" s="87"/>
      <c r="AU2679" s="87"/>
      <c r="AV2679" s="92" t="str">
        <f>HYPERLINK("https://pbs.twimg.com/media/F2PRWlGWYAEogMQ.jpg")</f>
        <v>https://pbs.twimg.com/media/F2PRWlGWYAEogMQ.jpg</v>
      </c>
      <c r="AW2679" s="93" t="s">
        <v>20840</v>
      </c>
      <c r="AX2679" s="93" t="s">
        <v>20840</v>
      </c>
      <c r="AY2679" s="87"/>
      <c r="AZ2679" s="93" t="s">
        <v>22668</v>
      </c>
      <c r="BA2679" s="93" t="s">
        <v>22668</v>
      </c>
      <c r="BB2679" s="93" t="s">
        <v>22668</v>
      </c>
      <c r="BC2679" s="93" t="s">
        <v>20840</v>
      </c>
      <c r="BD2679" s="93" t="s">
        <v>23269</v>
      </c>
      <c r="BE2679" s="87"/>
      <c r="BF2679" s="87"/>
      <c r="BG2679" s="87"/>
      <c r="BH2679" s="87"/>
      <c r="BI2679" s="87"/>
    </row>
    <row r="2680" spans="1:61" x14ac:dyDescent="0.25">
      <c r="A2680" s="63" t="s">
        <v>1058</v>
      </c>
      <c r="B2680" s="63" t="s">
        <v>1058</v>
      </c>
      <c r="C2680" s="64"/>
      <c r="D2680" s="65"/>
      <c r="E2680" s="66"/>
      <c r="F2680" s="67"/>
      <c r="G2680" s="64"/>
      <c r="H2680" s="68"/>
      <c r="I2680" s="69"/>
      <c r="J2680" s="69"/>
      <c r="K2680" s="32"/>
      <c r="L2680" s="76">
        <v>2680</v>
      </c>
      <c r="M2680" s="76"/>
      <c r="N2680" s="71"/>
      <c r="O2680" s="87" t="s">
        <v>179</v>
      </c>
      <c r="P2680" s="90">
        <v>45121.792256944442</v>
      </c>
      <c r="Q2680" s="87" t="s">
        <v>4397</v>
      </c>
      <c r="R2680" s="87">
        <v>0</v>
      </c>
      <c r="S2680" s="87">
        <v>0</v>
      </c>
      <c r="T2680" s="87">
        <v>0</v>
      </c>
      <c r="U2680" s="87">
        <v>0</v>
      </c>
      <c r="V2680" s="87">
        <v>56</v>
      </c>
      <c r="W2680" s="93" t="s">
        <v>7424</v>
      </c>
      <c r="X2680" s="87"/>
      <c r="Y2680" s="87"/>
      <c r="Z2680" s="87"/>
      <c r="AA2680" s="87" t="s">
        <v>10411</v>
      </c>
      <c r="AB2680" s="87" t="s">
        <v>11448</v>
      </c>
      <c r="AC2680" s="93" t="s">
        <v>11457</v>
      </c>
      <c r="AD2680" s="87" t="s">
        <v>11519</v>
      </c>
      <c r="AE2680" s="92" t="str">
        <f>HYPERLINK("https://twitter.com/serraempauta/status/1679928965027250178")</f>
        <v>https://twitter.com/serraempauta/status/1679928965027250178</v>
      </c>
      <c r="AF2680" s="90">
        <v>45121.792256944442</v>
      </c>
      <c r="AG2680" s="99">
        <v>45121</v>
      </c>
      <c r="AH2680" s="93" t="s">
        <v>13925</v>
      </c>
      <c r="AI2680" s="87" t="b">
        <v>0</v>
      </c>
      <c r="AJ2680" s="87"/>
      <c r="AK2680" s="87"/>
      <c r="AL2680" s="87"/>
      <c r="AM2680" s="87"/>
      <c r="AN2680" s="87"/>
      <c r="AO2680" s="87"/>
      <c r="AP2680" s="87"/>
      <c r="AQ2680" s="87" t="s">
        <v>17223</v>
      </c>
      <c r="AR2680" s="87"/>
      <c r="AS2680" s="87"/>
      <c r="AT2680" s="87"/>
      <c r="AU2680" s="87"/>
      <c r="AV2680" s="92" t="str">
        <f>HYPERLINK("https://pbs.twimg.com/media/F1BOfJzWwAg44ej.jpg")</f>
        <v>https://pbs.twimg.com/media/F1BOfJzWwAg44ej.jpg</v>
      </c>
      <c r="AW2680" s="93" t="s">
        <v>20841</v>
      </c>
      <c r="AX2680" s="93" t="s">
        <v>20841</v>
      </c>
      <c r="AY2680" s="87"/>
      <c r="AZ2680" s="93" t="s">
        <v>22668</v>
      </c>
      <c r="BA2680" s="93" t="s">
        <v>22668</v>
      </c>
      <c r="BB2680" s="93" t="s">
        <v>22668</v>
      </c>
      <c r="BC2680" s="93" t="s">
        <v>20841</v>
      </c>
      <c r="BD2680" s="93" t="s">
        <v>23269</v>
      </c>
      <c r="BE2680" s="87"/>
      <c r="BF2680" s="87"/>
      <c r="BG2680" s="87"/>
      <c r="BH2680" s="87"/>
      <c r="BI2680" s="87"/>
    </row>
    <row r="2681" spans="1:61" x14ac:dyDescent="0.25">
      <c r="A2681" s="63" t="s">
        <v>1058</v>
      </c>
      <c r="B2681" s="63" t="s">
        <v>1058</v>
      </c>
      <c r="C2681" s="64"/>
      <c r="D2681" s="65"/>
      <c r="E2681" s="66"/>
      <c r="F2681" s="67"/>
      <c r="G2681" s="64"/>
      <c r="H2681" s="68"/>
      <c r="I2681" s="69"/>
      <c r="J2681" s="69"/>
      <c r="K2681" s="32"/>
      <c r="L2681" s="76">
        <v>2681</v>
      </c>
      <c r="M2681" s="76"/>
      <c r="N2681" s="71"/>
      <c r="O2681" s="87" t="s">
        <v>179</v>
      </c>
      <c r="P2681" s="90">
        <v>45121.774571759262</v>
      </c>
      <c r="Q2681" s="87" t="s">
        <v>4398</v>
      </c>
      <c r="R2681" s="87">
        <v>0</v>
      </c>
      <c r="S2681" s="87">
        <v>0</v>
      </c>
      <c r="T2681" s="87">
        <v>0</v>
      </c>
      <c r="U2681" s="87">
        <v>0</v>
      </c>
      <c r="V2681" s="87">
        <v>116</v>
      </c>
      <c r="W2681" s="93" t="s">
        <v>7424</v>
      </c>
      <c r="X2681" s="87"/>
      <c r="Y2681" s="87"/>
      <c r="Z2681" s="87"/>
      <c r="AA2681" s="87" t="s">
        <v>10412</v>
      </c>
      <c r="AB2681" s="87" t="s">
        <v>11448</v>
      </c>
      <c r="AC2681" s="93" t="s">
        <v>11457</v>
      </c>
      <c r="AD2681" s="87" t="s">
        <v>11519</v>
      </c>
      <c r="AE2681" s="92" t="str">
        <f>HYPERLINK("https://twitter.com/serraempauta/status/1679922554306215940")</f>
        <v>https://twitter.com/serraempauta/status/1679922554306215940</v>
      </c>
      <c r="AF2681" s="90">
        <v>45121.774571759262</v>
      </c>
      <c r="AG2681" s="99">
        <v>45121</v>
      </c>
      <c r="AH2681" s="93" t="s">
        <v>11848</v>
      </c>
      <c r="AI2681" s="87" t="b">
        <v>0</v>
      </c>
      <c r="AJ2681" s="87"/>
      <c r="AK2681" s="87"/>
      <c r="AL2681" s="87"/>
      <c r="AM2681" s="87"/>
      <c r="AN2681" s="87"/>
      <c r="AO2681" s="87"/>
      <c r="AP2681" s="87"/>
      <c r="AQ2681" s="87" t="s">
        <v>17224</v>
      </c>
      <c r="AR2681" s="87"/>
      <c r="AS2681" s="87"/>
      <c r="AT2681" s="87"/>
      <c r="AU2681" s="87"/>
      <c r="AV2681" s="92" t="str">
        <f>HYPERLINK("https://pbs.twimg.com/media/F1BIporXgAAOcZF.jpg")</f>
        <v>https://pbs.twimg.com/media/F1BIporXgAAOcZF.jpg</v>
      </c>
      <c r="AW2681" s="93" t="s">
        <v>20842</v>
      </c>
      <c r="AX2681" s="93" t="s">
        <v>20842</v>
      </c>
      <c r="AY2681" s="87"/>
      <c r="AZ2681" s="93" t="s">
        <v>22668</v>
      </c>
      <c r="BA2681" s="93" t="s">
        <v>22668</v>
      </c>
      <c r="BB2681" s="93" t="s">
        <v>22668</v>
      </c>
      <c r="BC2681" s="93" t="s">
        <v>20842</v>
      </c>
      <c r="BD2681" s="93" t="s">
        <v>23269</v>
      </c>
      <c r="BE2681" s="87"/>
      <c r="BF2681" s="87"/>
      <c r="BG2681" s="87"/>
      <c r="BH2681" s="87"/>
      <c r="BI2681" s="87"/>
    </row>
    <row r="2682" spans="1:61" x14ac:dyDescent="0.25">
      <c r="A2682" s="63" t="s">
        <v>1058</v>
      </c>
      <c r="B2682" s="63" t="s">
        <v>1058</v>
      </c>
      <c r="C2682" s="64"/>
      <c r="D2682" s="65"/>
      <c r="E2682" s="66"/>
      <c r="F2682" s="67"/>
      <c r="G2682" s="64"/>
      <c r="H2682" s="68"/>
      <c r="I2682" s="69"/>
      <c r="J2682" s="69"/>
      <c r="K2682" s="32"/>
      <c r="L2682" s="76">
        <v>2682</v>
      </c>
      <c r="M2682" s="76"/>
      <c r="N2682" s="71"/>
      <c r="O2682" s="87" t="s">
        <v>179</v>
      </c>
      <c r="P2682" s="90">
        <v>45121.750983796293</v>
      </c>
      <c r="Q2682" s="87" t="s">
        <v>4399</v>
      </c>
      <c r="R2682" s="87">
        <v>0</v>
      </c>
      <c r="S2682" s="87">
        <v>0</v>
      </c>
      <c r="T2682" s="87">
        <v>0</v>
      </c>
      <c r="U2682" s="87">
        <v>0</v>
      </c>
      <c r="V2682" s="87">
        <v>74</v>
      </c>
      <c r="W2682" s="93" t="s">
        <v>7424</v>
      </c>
      <c r="X2682" s="87"/>
      <c r="Y2682" s="87"/>
      <c r="Z2682" s="87"/>
      <c r="AA2682" s="87" t="s">
        <v>10413</v>
      </c>
      <c r="AB2682" s="87" t="s">
        <v>11448</v>
      </c>
      <c r="AC2682" s="93" t="s">
        <v>11457</v>
      </c>
      <c r="AD2682" s="87" t="s">
        <v>11519</v>
      </c>
      <c r="AE2682" s="92" t="str">
        <f>HYPERLINK("https://twitter.com/serraempauta/status/1679914008965529600")</f>
        <v>https://twitter.com/serraempauta/status/1679914008965529600</v>
      </c>
      <c r="AF2682" s="90">
        <v>45121.750983796293</v>
      </c>
      <c r="AG2682" s="99">
        <v>45121</v>
      </c>
      <c r="AH2682" s="93" t="s">
        <v>13926</v>
      </c>
      <c r="AI2682" s="87" t="b">
        <v>0</v>
      </c>
      <c r="AJ2682" s="87"/>
      <c r="AK2682" s="87"/>
      <c r="AL2682" s="87"/>
      <c r="AM2682" s="87"/>
      <c r="AN2682" s="87"/>
      <c r="AO2682" s="87"/>
      <c r="AP2682" s="87"/>
      <c r="AQ2682" s="87" t="s">
        <v>17225</v>
      </c>
      <c r="AR2682" s="87"/>
      <c r="AS2682" s="87"/>
      <c r="AT2682" s="87"/>
      <c r="AU2682" s="87"/>
      <c r="AV2682" s="92" t="str">
        <f>HYPERLINK("https://pbs.twimg.com/media/F1BA3W9WAAEcP-B.jpg")</f>
        <v>https://pbs.twimg.com/media/F1BA3W9WAAEcP-B.jpg</v>
      </c>
      <c r="AW2682" s="93" t="s">
        <v>20843</v>
      </c>
      <c r="AX2682" s="93" t="s">
        <v>20843</v>
      </c>
      <c r="AY2682" s="87"/>
      <c r="AZ2682" s="93" t="s">
        <v>22668</v>
      </c>
      <c r="BA2682" s="93" t="s">
        <v>22668</v>
      </c>
      <c r="BB2682" s="93" t="s">
        <v>22668</v>
      </c>
      <c r="BC2682" s="93" t="s">
        <v>20843</v>
      </c>
      <c r="BD2682" s="93" t="s">
        <v>23269</v>
      </c>
      <c r="BE2682" s="87"/>
      <c r="BF2682" s="87"/>
      <c r="BG2682" s="87"/>
      <c r="BH2682" s="87"/>
      <c r="BI2682" s="87"/>
    </row>
    <row r="2683" spans="1:61" x14ac:dyDescent="0.25">
      <c r="A2683" s="63" t="s">
        <v>1058</v>
      </c>
      <c r="B2683" s="63" t="s">
        <v>1058</v>
      </c>
      <c r="C2683" s="64"/>
      <c r="D2683" s="65"/>
      <c r="E2683" s="66"/>
      <c r="F2683" s="67"/>
      <c r="G2683" s="64"/>
      <c r="H2683" s="68"/>
      <c r="I2683" s="69"/>
      <c r="J2683" s="69"/>
      <c r="K2683" s="32"/>
      <c r="L2683" s="76">
        <v>2683</v>
      </c>
      <c r="M2683" s="76"/>
      <c r="N2683" s="71"/>
      <c r="O2683" s="87" t="s">
        <v>179</v>
      </c>
      <c r="P2683" s="90">
        <v>45121.7344212963</v>
      </c>
      <c r="Q2683" s="87" t="s">
        <v>4400</v>
      </c>
      <c r="R2683" s="87">
        <v>0</v>
      </c>
      <c r="S2683" s="87">
        <v>0</v>
      </c>
      <c r="T2683" s="87">
        <v>0</v>
      </c>
      <c r="U2683" s="87">
        <v>0</v>
      </c>
      <c r="V2683" s="87">
        <v>65</v>
      </c>
      <c r="W2683" s="93" t="s">
        <v>7424</v>
      </c>
      <c r="X2683" s="87"/>
      <c r="Y2683" s="87"/>
      <c r="Z2683" s="87"/>
      <c r="AA2683" s="87" t="s">
        <v>10414</v>
      </c>
      <c r="AB2683" s="87" t="s">
        <v>11448</v>
      </c>
      <c r="AC2683" s="93" t="s">
        <v>11457</v>
      </c>
      <c r="AD2683" s="87" t="s">
        <v>11519</v>
      </c>
      <c r="AE2683" s="92" t="str">
        <f>HYPERLINK("https://twitter.com/serraempauta/status/1679908006706675725")</f>
        <v>https://twitter.com/serraempauta/status/1679908006706675725</v>
      </c>
      <c r="AF2683" s="90">
        <v>45121.7344212963</v>
      </c>
      <c r="AG2683" s="99">
        <v>45121</v>
      </c>
      <c r="AH2683" s="93" t="s">
        <v>13927</v>
      </c>
      <c r="AI2683" s="87" t="b">
        <v>0</v>
      </c>
      <c r="AJ2683" s="87"/>
      <c r="AK2683" s="87"/>
      <c r="AL2683" s="87"/>
      <c r="AM2683" s="87"/>
      <c r="AN2683" s="87"/>
      <c r="AO2683" s="87"/>
      <c r="AP2683" s="87"/>
      <c r="AQ2683" s="87" t="s">
        <v>17226</v>
      </c>
      <c r="AR2683" s="87"/>
      <c r="AS2683" s="87"/>
      <c r="AT2683" s="87"/>
      <c r="AU2683" s="87"/>
      <c r="AV2683" s="92" t="str">
        <f>HYPERLINK("https://pbs.twimg.com/media/F1A7bFfWcAA22Uy.jpg")</f>
        <v>https://pbs.twimg.com/media/F1A7bFfWcAA22Uy.jpg</v>
      </c>
      <c r="AW2683" s="93" t="s">
        <v>20844</v>
      </c>
      <c r="AX2683" s="93" t="s">
        <v>20844</v>
      </c>
      <c r="AY2683" s="87"/>
      <c r="AZ2683" s="93" t="s">
        <v>22668</v>
      </c>
      <c r="BA2683" s="93" t="s">
        <v>22668</v>
      </c>
      <c r="BB2683" s="93" t="s">
        <v>22668</v>
      </c>
      <c r="BC2683" s="93" t="s">
        <v>20844</v>
      </c>
      <c r="BD2683" s="93" t="s">
        <v>23269</v>
      </c>
      <c r="BE2683" s="87"/>
      <c r="BF2683" s="87"/>
      <c r="BG2683" s="87"/>
      <c r="BH2683" s="87"/>
      <c r="BI2683" s="87"/>
    </row>
    <row r="2684" spans="1:61" x14ac:dyDescent="0.25">
      <c r="A2684" s="63" t="s">
        <v>1058</v>
      </c>
      <c r="B2684" s="63" t="s">
        <v>1058</v>
      </c>
      <c r="C2684" s="64"/>
      <c r="D2684" s="65"/>
      <c r="E2684" s="66"/>
      <c r="F2684" s="67"/>
      <c r="G2684" s="64"/>
      <c r="H2684" s="68"/>
      <c r="I2684" s="69"/>
      <c r="J2684" s="69"/>
      <c r="K2684" s="32"/>
      <c r="L2684" s="76">
        <v>2684</v>
      </c>
      <c r="M2684" s="76"/>
      <c r="N2684" s="71"/>
      <c r="O2684" s="87" t="s">
        <v>179</v>
      </c>
      <c r="P2684" s="90">
        <v>45121.650578703702</v>
      </c>
      <c r="Q2684" s="87" t="s">
        <v>4401</v>
      </c>
      <c r="R2684" s="87">
        <v>0</v>
      </c>
      <c r="S2684" s="87">
        <v>0</v>
      </c>
      <c r="T2684" s="87">
        <v>0</v>
      </c>
      <c r="U2684" s="87">
        <v>0</v>
      </c>
      <c r="V2684" s="87">
        <v>51</v>
      </c>
      <c r="W2684" s="93" t="s">
        <v>7424</v>
      </c>
      <c r="X2684" s="87"/>
      <c r="Y2684" s="87"/>
      <c r="Z2684" s="87"/>
      <c r="AA2684" s="87" t="s">
        <v>10415</v>
      </c>
      <c r="AB2684" s="87" t="s">
        <v>11448</v>
      </c>
      <c r="AC2684" s="93" t="s">
        <v>11457</v>
      </c>
      <c r="AD2684" s="87" t="s">
        <v>11519</v>
      </c>
      <c r="AE2684" s="92" t="str">
        <f>HYPERLINK("https://twitter.com/serraempauta/status/1679877621046300672")</f>
        <v>https://twitter.com/serraempauta/status/1679877621046300672</v>
      </c>
      <c r="AF2684" s="90">
        <v>45121.650578703702</v>
      </c>
      <c r="AG2684" s="99">
        <v>45121</v>
      </c>
      <c r="AH2684" s="93" t="s">
        <v>13928</v>
      </c>
      <c r="AI2684" s="87" t="b">
        <v>0</v>
      </c>
      <c r="AJ2684" s="87"/>
      <c r="AK2684" s="87"/>
      <c r="AL2684" s="87"/>
      <c r="AM2684" s="87"/>
      <c r="AN2684" s="87"/>
      <c r="AO2684" s="87"/>
      <c r="AP2684" s="87"/>
      <c r="AQ2684" s="87" t="s">
        <v>17227</v>
      </c>
      <c r="AR2684" s="87"/>
      <c r="AS2684" s="87"/>
      <c r="AT2684" s="87"/>
      <c r="AU2684" s="87"/>
      <c r="AV2684" s="92" t="str">
        <f>HYPERLINK("https://pbs.twimg.com/media/F1AfvExWAAUo8ZH.jpg")</f>
        <v>https://pbs.twimg.com/media/F1AfvExWAAUo8ZH.jpg</v>
      </c>
      <c r="AW2684" s="93" t="s">
        <v>20845</v>
      </c>
      <c r="AX2684" s="93" t="s">
        <v>20845</v>
      </c>
      <c r="AY2684" s="87"/>
      <c r="AZ2684" s="93" t="s">
        <v>22668</v>
      </c>
      <c r="BA2684" s="93" t="s">
        <v>22668</v>
      </c>
      <c r="BB2684" s="93" t="s">
        <v>22668</v>
      </c>
      <c r="BC2684" s="93" t="s">
        <v>20845</v>
      </c>
      <c r="BD2684" s="93" t="s">
        <v>23269</v>
      </c>
      <c r="BE2684" s="87"/>
      <c r="BF2684" s="87"/>
      <c r="BG2684" s="87"/>
      <c r="BH2684" s="87"/>
      <c r="BI2684" s="87"/>
    </row>
    <row r="2685" spans="1:61" x14ac:dyDescent="0.25">
      <c r="A2685" s="63" t="s">
        <v>1058</v>
      </c>
      <c r="B2685" s="63" t="s">
        <v>1058</v>
      </c>
      <c r="C2685" s="64"/>
      <c r="D2685" s="65"/>
      <c r="E2685" s="66"/>
      <c r="F2685" s="67"/>
      <c r="G2685" s="64"/>
      <c r="H2685" s="68"/>
      <c r="I2685" s="69"/>
      <c r="J2685" s="69"/>
      <c r="K2685" s="32"/>
      <c r="L2685" s="76">
        <v>2685</v>
      </c>
      <c r="M2685" s="76"/>
      <c r="N2685" s="71"/>
      <c r="O2685" s="87" t="s">
        <v>179</v>
      </c>
      <c r="P2685" s="90">
        <v>45121.631030092591</v>
      </c>
      <c r="Q2685" s="87" t="s">
        <v>4402</v>
      </c>
      <c r="R2685" s="87">
        <v>0</v>
      </c>
      <c r="S2685" s="87">
        <v>0</v>
      </c>
      <c r="T2685" s="87">
        <v>0</v>
      </c>
      <c r="U2685" s="87">
        <v>0</v>
      </c>
      <c r="V2685" s="87">
        <v>33</v>
      </c>
      <c r="W2685" s="93" t="s">
        <v>7424</v>
      </c>
      <c r="X2685" s="87"/>
      <c r="Y2685" s="87"/>
      <c r="Z2685" s="87"/>
      <c r="AA2685" s="87" t="s">
        <v>10416</v>
      </c>
      <c r="AB2685" s="87" t="s">
        <v>11448</v>
      </c>
      <c r="AC2685" s="93" t="s">
        <v>11457</v>
      </c>
      <c r="AD2685" s="87" t="s">
        <v>11519</v>
      </c>
      <c r="AE2685" s="92" t="str">
        <f>HYPERLINK("https://twitter.com/serraempauta/status/1679870536648732674")</f>
        <v>https://twitter.com/serraempauta/status/1679870536648732674</v>
      </c>
      <c r="AF2685" s="90">
        <v>45121.631030092591</v>
      </c>
      <c r="AG2685" s="99">
        <v>45121</v>
      </c>
      <c r="AH2685" s="93" t="s">
        <v>13929</v>
      </c>
      <c r="AI2685" s="87" t="b">
        <v>0</v>
      </c>
      <c r="AJ2685" s="87"/>
      <c r="AK2685" s="87"/>
      <c r="AL2685" s="87"/>
      <c r="AM2685" s="87"/>
      <c r="AN2685" s="87"/>
      <c r="AO2685" s="87"/>
      <c r="AP2685" s="87"/>
      <c r="AQ2685" s="87" t="s">
        <v>17228</v>
      </c>
      <c r="AR2685" s="87"/>
      <c r="AS2685" s="87"/>
      <c r="AT2685" s="87"/>
      <c r="AU2685" s="87"/>
      <c r="AV2685" s="92" t="str">
        <f>HYPERLINK("https://pbs.twimg.com/media/F1AZV17WAAI0K8-.jpg")</f>
        <v>https://pbs.twimg.com/media/F1AZV17WAAI0K8-.jpg</v>
      </c>
      <c r="AW2685" s="93" t="s">
        <v>20846</v>
      </c>
      <c r="AX2685" s="93" t="s">
        <v>20846</v>
      </c>
      <c r="AY2685" s="87"/>
      <c r="AZ2685" s="93" t="s">
        <v>22668</v>
      </c>
      <c r="BA2685" s="93" t="s">
        <v>22668</v>
      </c>
      <c r="BB2685" s="93" t="s">
        <v>22668</v>
      </c>
      <c r="BC2685" s="93" t="s">
        <v>20846</v>
      </c>
      <c r="BD2685" s="93" t="s">
        <v>23269</v>
      </c>
      <c r="BE2685" s="87"/>
      <c r="BF2685" s="87"/>
      <c r="BG2685" s="87"/>
      <c r="BH2685" s="87"/>
      <c r="BI2685" s="87"/>
    </row>
    <row r="2686" spans="1:61" x14ac:dyDescent="0.25">
      <c r="A2686" s="63" t="s">
        <v>1058</v>
      </c>
      <c r="B2686" s="63" t="s">
        <v>1058</v>
      </c>
      <c r="C2686" s="64"/>
      <c r="D2686" s="65"/>
      <c r="E2686" s="66"/>
      <c r="F2686" s="67"/>
      <c r="G2686" s="64"/>
      <c r="H2686" s="68"/>
      <c r="I2686" s="69"/>
      <c r="J2686" s="69"/>
      <c r="K2686" s="32"/>
      <c r="L2686" s="76">
        <v>2686</v>
      </c>
      <c r="M2686" s="76"/>
      <c r="N2686" s="71"/>
      <c r="O2686" s="87" t="s">
        <v>179</v>
      </c>
      <c r="P2686" s="90">
        <v>45121.609479166669</v>
      </c>
      <c r="Q2686" s="87" t="s">
        <v>4403</v>
      </c>
      <c r="R2686" s="87">
        <v>0</v>
      </c>
      <c r="S2686" s="87">
        <v>0</v>
      </c>
      <c r="T2686" s="87">
        <v>0</v>
      </c>
      <c r="U2686" s="87">
        <v>0</v>
      </c>
      <c r="V2686" s="87">
        <v>59</v>
      </c>
      <c r="W2686" s="93" t="s">
        <v>7424</v>
      </c>
      <c r="X2686" s="87"/>
      <c r="Y2686" s="87"/>
      <c r="Z2686" s="87"/>
      <c r="AA2686" s="87" t="s">
        <v>10417</v>
      </c>
      <c r="AB2686" s="87" t="s">
        <v>11448</v>
      </c>
      <c r="AC2686" s="93" t="s">
        <v>11457</v>
      </c>
      <c r="AD2686" s="87" t="s">
        <v>11519</v>
      </c>
      <c r="AE2686" s="92" t="str">
        <f>HYPERLINK("https://twitter.com/serraempauta/status/1679862728461103104")</f>
        <v>https://twitter.com/serraempauta/status/1679862728461103104</v>
      </c>
      <c r="AF2686" s="90">
        <v>45121.609479166669</v>
      </c>
      <c r="AG2686" s="99">
        <v>45121</v>
      </c>
      <c r="AH2686" s="93" t="s">
        <v>13930</v>
      </c>
      <c r="AI2686" s="87" t="b">
        <v>0</v>
      </c>
      <c r="AJ2686" s="87"/>
      <c r="AK2686" s="87"/>
      <c r="AL2686" s="87"/>
      <c r="AM2686" s="87"/>
      <c r="AN2686" s="87"/>
      <c r="AO2686" s="87"/>
      <c r="AP2686" s="87"/>
      <c r="AQ2686" s="87" t="s">
        <v>17229</v>
      </c>
      <c r="AR2686" s="87"/>
      <c r="AS2686" s="87"/>
      <c r="AT2686" s="87"/>
      <c r="AU2686" s="87"/>
      <c r="AV2686" s="92" t="str">
        <f>HYPERLINK("https://pbs.twimg.com/media/F1ASPnOXgAMs8X5.jpg")</f>
        <v>https://pbs.twimg.com/media/F1ASPnOXgAMs8X5.jpg</v>
      </c>
      <c r="AW2686" s="93" t="s">
        <v>20847</v>
      </c>
      <c r="AX2686" s="93" t="s">
        <v>20847</v>
      </c>
      <c r="AY2686" s="87"/>
      <c r="AZ2686" s="93" t="s">
        <v>22668</v>
      </c>
      <c r="BA2686" s="93" t="s">
        <v>22668</v>
      </c>
      <c r="BB2686" s="93" t="s">
        <v>22668</v>
      </c>
      <c r="BC2686" s="93" t="s">
        <v>20847</v>
      </c>
      <c r="BD2686" s="93" t="s">
        <v>23269</v>
      </c>
      <c r="BE2686" s="87"/>
      <c r="BF2686" s="87"/>
      <c r="BG2686" s="87"/>
      <c r="BH2686" s="87"/>
      <c r="BI2686" s="87"/>
    </row>
    <row r="2687" spans="1:61" x14ac:dyDescent="0.25">
      <c r="A2687" s="63" t="s">
        <v>1058</v>
      </c>
      <c r="B2687" s="63" t="s">
        <v>1058</v>
      </c>
      <c r="C2687" s="64"/>
      <c r="D2687" s="65"/>
      <c r="E2687" s="66"/>
      <c r="F2687" s="67"/>
      <c r="G2687" s="64"/>
      <c r="H2687" s="68"/>
      <c r="I2687" s="69"/>
      <c r="J2687" s="69"/>
      <c r="K2687" s="32"/>
      <c r="L2687" s="76">
        <v>2687</v>
      </c>
      <c r="M2687" s="76"/>
      <c r="N2687" s="71"/>
      <c r="O2687" s="87" t="s">
        <v>179</v>
      </c>
      <c r="P2687" s="90">
        <v>45120.948182870372</v>
      </c>
      <c r="Q2687" s="87" t="s">
        <v>4404</v>
      </c>
      <c r="R2687" s="87">
        <v>0</v>
      </c>
      <c r="S2687" s="87">
        <v>0</v>
      </c>
      <c r="T2687" s="87">
        <v>0</v>
      </c>
      <c r="U2687" s="87">
        <v>0</v>
      </c>
      <c r="V2687" s="87">
        <v>51</v>
      </c>
      <c r="W2687" s="93" t="s">
        <v>7424</v>
      </c>
      <c r="X2687" s="87"/>
      <c r="Y2687" s="87"/>
      <c r="Z2687" s="87"/>
      <c r="AA2687" s="87" t="s">
        <v>10418</v>
      </c>
      <c r="AB2687" s="87" t="s">
        <v>11448</v>
      </c>
      <c r="AC2687" s="93" t="s">
        <v>11457</v>
      </c>
      <c r="AD2687" s="87" t="s">
        <v>11519</v>
      </c>
      <c r="AE2687" s="92" t="str">
        <f>HYPERLINK("https://twitter.com/serraempauta/status/1679623083886256129")</f>
        <v>https://twitter.com/serraempauta/status/1679623083886256129</v>
      </c>
      <c r="AF2687" s="90">
        <v>45120.948182870372</v>
      </c>
      <c r="AG2687" s="99">
        <v>45120</v>
      </c>
      <c r="AH2687" s="93" t="s">
        <v>13931</v>
      </c>
      <c r="AI2687" s="87" t="b">
        <v>0</v>
      </c>
      <c r="AJ2687" s="87"/>
      <c r="AK2687" s="87"/>
      <c r="AL2687" s="87"/>
      <c r="AM2687" s="87"/>
      <c r="AN2687" s="87"/>
      <c r="AO2687" s="87"/>
      <c r="AP2687" s="87"/>
      <c r="AQ2687" s="87" t="s">
        <v>17230</v>
      </c>
      <c r="AR2687" s="87"/>
      <c r="AS2687" s="87"/>
      <c r="AT2687" s="87"/>
      <c r="AU2687" s="87"/>
      <c r="AV2687" s="92" t="str">
        <f>HYPERLINK("https://pbs.twimg.com/media/F084SVkWYAArEdR.jpg")</f>
        <v>https://pbs.twimg.com/media/F084SVkWYAArEdR.jpg</v>
      </c>
      <c r="AW2687" s="93" t="s">
        <v>20848</v>
      </c>
      <c r="AX2687" s="93" t="s">
        <v>20848</v>
      </c>
      <c r="AY2687" s="87"/>
      <c r="AZ2687" s="93" t="s">
        <v>22668</v>
      </c>
      <c r="BA2687" s="93" t="s">
        <v>22668</v>
      </c>
      <c r="BB2687" s="93" t="s">
        <v>22668</v>
      </c>
      <c r="BC2687" s="93" t="s">
        <v>20848</v>
      </c>
      <c r="BD2687" s="93" t="s">
        <v>23269</v>
      </c>
      <c r="BE2687" s="87"/>
      <c r="BF2687" s="87"/>
      <c r="BG2687" s="87"/>
      <c r="BH2687" s="87"/>
      <c r="BI2687" s="87"/>
    </row>
    <row r="2688" spans="1:61" x14ac:dyDescent="0.25">
      <c r="A2688" s="63" t="s">
        <v>1058</v>
      </c>
      <c r="B2688" s="63" t="s">
        <v>1058</v>
      </c>
      <c r="C2688" s="64"/>
      <c r="D2688" s="65"/>
      <c r="E2688" s="66"/>
      <c r="F2688" s="67"/>
      <c r="G2688" s="64"/>
      <c r="H2688" s="68"/>
      <c r="I2688" s="69"/>
      <c r="J2688" s="69"/>
      <c r="K2688" s="32"/>
      <c r="L2688" s="76">
        <v>2688</v>
      </c>
      <c r="M2688" s="76"/>
      <c r="N2688" s="71"/>
      <c r="O2688" s="87" t="s">
        <v>179</v>
      </c>
      <c r="P2688" s="90">
        <v>45120.920775462961</v>
      </c>
      <c r="Q2688" s="87" t="s">
        <v>4405</v>
      </c>
      <c r="R2688" s="87">
        <v>0</v>
      </c>
      <c r="S2688" s="87">
        <v>0</v>
      </c>
      <c r="T2688" s="87">
        <v>0</v>
      </c>
      <c r="U2688" s="87">
        <v>0</v>
      </c>
      <c r="V2688" s="87">
        <v>47</v>
      </c>
      <c r="W2688" s="93" t="s">
        <v>7424</v>
      </c>
      <c r="X2688" s="87"/>
      <c r="Y2688" s="87"/>
      <c r="Z2688" s="87"/>
      <c r="AA2688" s="87" t="s">
        <v>10419</v>
      </c>
      <c r="AB2688" s="87" t="s">
        <v>11448</v>
      </c>
      <c r="AC2688" s="93" t="s">
        <v>11457</v>
      </c>
      <c r="AD2688" s="87" t="s">
        <v>11519</v>
      </c>
      <c r="AE2688" s="92" t="str">
        <f>HYPERLINK("https://twitter.com/serraempauta/status/1679613148972695553")</f>
        <v>https://twitter.com/serraempauta/status/1679613148972695553</v>
      </c>
      <c r="AF2688" s="90">
        <v>45120.920775462961</v>
      </c>
      <c r="AG2688" s="99">
        <v>45120</v>
      </c>
      <c r="AH2688" s="93" t="s">
        <v>13932</v>
      </c>
      <c r="AI2688" s="87" t="b">
        <v>0</v>
      </c>
      <c r="AJ2688" s="87"/>
      <c r="AK2688" s="87"/>
      <c r="AL2688" s="87"/>
      <c r="AM2688" s="87"/>
      <c r="AN2688" s="87"/>
      <c r="AO2688" s="87"/>
      <c r="AP2688" s="87"/>
      <c r="AQ2688" s="87" t="s">
        <v>17231</v>
      </c>
      <c r="AR2688" s="87"/>
      <c r="AS2688" s="87"/>
      <c r="AT2688" s="87"/>
      <c r="AU2688" s="87"/>
      <c r="AV2688" s="92" t="str">
        <f>HYPERLINK("https://pbs.twimg.com/media/F08vPvVWYAcnhlp.jpg")</f>
        <v>https://pbs.twimg.com/media/F08vPvVWYAcnhlp.jpg</v>
      </c>
      <c r="AW2688" s="93" t="s">
        <v>20849</v>
      </c>
      <c r="AX2688" s="93" t="s">
        <v>20849</v>
      </c>
      <c r="AY2688" s="87"/>
      <c r="AZ2688" s="93" t="s">
        <v>22668</v>
      </c>
      <c r="BA2688" s="93" t="s">
        <v>22668</v>
      </c>
      <c r="BB2688" s="93" t="s">
        <v>22668</v>
      </c>
      <c r="BC2688" s="93" t="s">
        <v>20849</v>
      </c>
      <c r="BD2688" s="93" t="s">
        <v>23269</v>
      </c>
      <c r="BE2688" s="87"/>
      <c r="BF2688" s="87"/>
      <c r="BG2688" s="87"/>
      <c r="BH2688" s="87"/>
      <c r="BI2688" s="87"/>
    </row>
    <row r="2689" spans="1:61" x14ac:dyDescent="0.25">
      <c r="A2689" s="63" t="s">
        <v>1058</v>
      </c>
      <c r="B2689" s="63" t="s">
        <v>1058</v>
      </c>
      <c r="C2689" s="64"/>
      <c r="D2689" s="65"/>
      <c r="E2689" s="66"/>
      <c r="F2689" s="67"/>
      <c r="G2689" s="64"/>
      <c r="H2689" s="68"/>
      <c r="I2689" s="69"/>
      <c r="J2689" s="69"/>
      <c r="K2689" s="32"/>
      <c r="L2689" s="76">
        <v>2689</v>
      </c>
      <c r="M2689" s="76"/>
      <c r="N2689" s="71"/>
      <c r="O2689" s="87" t="s">
        <v>179</v>
      </c>
      <c r="P2689" s="90">
        <v>45120.863888888889</v>
      </c>
      <c r="Q2689" s="87" t="s">
        <v>4406</v>
      </c>
      <c r="R2689" s="87">
        <v>0</v>
      </c>
      <c r="S2689" s="87">
        <v>0</v>
      </c>
      <c r="T2689" s="87">
        <v>0</v>
      </c>
      <c r="U2689" s="87">
        <v>0</v>
      </c>
      <c r="V2689" s="87">
        <v>30</v>
      </c>
      <c r="W2689" s="93" t="s">
        <v>7424</v>
      </c>
      <c r="X2689" s="87"/>
      <c r="Y2689" s="87"/>
      <c r="Z2689" s="87"/>
      <c r="AA2689" s="87" t="s">
        <v>10420</v>
      </c>
      <c r="AB2689" s="87" t="s">
        <v>11448</v>
      </c>
      <c r="AC2689" s="93" t="s">
        <v>11457</v>
      </c>
      <c r="AD2689" s="87" t="s">
        <v>11519</v>
      </c>
      <c r="AE2689" s="92" t="str">
        <f>HYPERLINK("https://twitter.com/serraempauta/status/1679592537831399430")</f>
        <v>https://twitter.com/serraempauta/status/1679592537831399430</v>
      </c>
      <c r="AF2689" s="90">
        <v>45120.863888888889</v>
      </c>
      <c r="AG2689" s="99">
        <v>45120</v>
      </c>
      <c r="AH2689" s="93" t="s">
        <v>13933</v>
      </c>
      <c r="AI2689" s="87" t="b">
        <v>0</v>
      </c>
      <c r="AJ2689" s="87"/>
      <c r="AK2689" s="87"/>
      <c r="AL2689" s="87"/>
      <c r="AM2689" s="87"/>
      <c r="AN2689" s="87"/>
      <c r="AO2689" s="87"/>
      <c r="AP2689" s="87"/>
      <c r="AQ2689" s="87" t="s">
        <v>17232</v>
      </c>
      <c r="AR2689" s="87"/>
      <c r="AS2689" s="87"/>
      <c r="AT2689" s="87"/>
      <c r="AU2689" s="87"/>
      <c r="AV2689" s="92" t="str">
        <f>HYPERLINK("https://pbs.twimg.com/media/F08cf_5XgAA0_pu.jpg")</f>
        <v>https://pbs.twimg.com/media/F08cf_5XgAA0_pu.jpg</v>
      </c>
      <c r="AW2689" s="93" t="s">
        <v>20850</v>
      </c>
      <c r="AX2689" s="93" t="s">
        <v>20850</v>
      </c>
      <c r="AY2689" s="87"/>
      <c r="AZ2689" s="93" t="s">
        <v>22668</v>
      </c>
      <c r="BA2689" s="93" t="s">
        <v>22668</v>
      </c>
      <c r="BB2689" s="93" t="s">
        <v>22668</v>
      </c>
      <c r="BC2689" s="93" t="s">
        <v>20850</v>
      </c>
      <c r="BD2689" s="93" t="s">
        <v>23269</v>
      </c>
      <c r="BE2689" s="87"/>
      <c r="BF2689" s="87"/>
      <c r="BG2689" s="87"/>
      <c r="BH2689" s="87"/>
      <c r="BI2689" s="87"/>
    </row>
    <row r="2690" spans="1:61" x14ac:dyDescent="0.25">
      <c r="A2690" s="63" t="s">
        <v>1058</v>
      </c>
      <c r="B2690" s="63" t="s">
        <v>1058</v>
      </c>
      <c r="C2690" s="64"/>
      <c r="D2690" s="65"/>
      <c r="E2690" s="66"/>
      <c r="F2690" s="67"/>
      <c r="G2690" s="64"/>
      <c r="H2690" s="68"/>
      <c r="I2690" s="69"/>
      <c r="J2690" s="69"/>
      <c r="K2690" s="32"/>
      <c r="L2690" s="76">
        <v>2690</v>
      </c>
      <c r="M2690" s="76"/>
      <c r="N2690" s="71"/>
      <c r="O2690" s="87" t="s">
        <v>179</v>
      </c>
      <c r="P2690" s="90">
        <v>45120.833703703705</v>
      </c>
      <c r="Q2690" s="87" t="s">
        <v>4407</v>
      </c>
      <c r="R2690" s="87">
        <v>0</v>
      </c>
      <c r="S2690" s="87">
        <v>0</v>
      </c>
      <c r="T2690" s="87">
        <v>0</v>
      </c>
      <c r="U2690" s="87">
        <v>0</v>
      </c>
      <c r="V2690" s="87">
        <v>42</v>
      </c>
      <c r="W2690" s="93" t="s">
        <v>7424</v>
      </c>
      <c r="X2690" s="87"/>
      <c r="Y2690" s="87"/>
      <c r="Z2690" s="87"/>
      <c r="AA2690" s="87" t="s">
        <v>10421</v>
      </c>
      <c r="AB2690" s="87" t="s">
        <v>11448</v>
      </c>
      <c r="AC2690" s="93" t="s">
        <v>11457</v>
      </c>
      <c r="AD2690" s="87" t="s">
        <v>11519</v>
      </c>
      <c r="AE2690" s="92" t="str">
        <f>HYPERLINK("https://twitter.com/serraempauta/status/1679581596087644161")</f>
        <v>https://twitter.com/serraempauta/status/1679581596087644161</v>
      </c>
      <c r="AF2690" s="90">
        <v>45120.833703703705</v>
      </c>
      <c r="AG2690" s="99">
        <v>45120</v>
      </c>
      <c r="AH2690" s="93" t="s">
        <v>13934</v>
      </c>
      <c r="AI2690" s="87" t="b">
        <v>0</v>
      </c>
      <c r="AJ2690" s="87"/>
      <c r="AK2690" s="87"/>
      <c r="AL2690" s="87"/>
      <c r="AM2690" s="87"/>
      <c r="AN2690" s="87"/>
      <c r="AO2690" s="87"/>
      <c r="AP2690" s="87"/>
      <c r="AQ2690" s="87" t="s">
        <v>17233</v>
      </c>
      <c r="AR2690" s="87"/>
      <c r="AS2690" s="87"/>
      <c r="AT2690" s="87"/>
      <c r="AU2690" s="87"/>
      <c r="AV2690" s="92" t="str">
        <f>HYPERLINK("https://pbs.twimg.com/media/F08SjQoWIAAk9wp.jpg")</f>
        <v>https://pbs.twimg.com/media/F08SjQoWIAAk9wp.jpg</v>
      </c>
      <c r="AW2690" s="93" t="s">
        <v>20851</v>
      </c>
      <c r="AX2690" s="93" t="s">
        <v>20851</v>
      </c>
      <c r="AY2690" s="87"/>
      <c r="AZ2690" s="93" t="s">
        <v>22668</v>
      </c>
      <c r="BA2690" s="93" t="s">
        <v>22668</v>
      </c>
      <c r="BB2690" s="93" t="s">
        <v>22668</v>
      </c>
      <c r="BC2690" s="93" t="s">
        <v>20851</v>
      </c>
      <c r="BD2690" s="93" t="s">
        <v>23269</v>
      </c>
      <c r="BE2690" s="87"/>
      <c r="BF2690" s="87"/>
      <c r="BG2690" s="87"/>
      <c r="BH2690" s="87"/>
      <c r="BI2690" s="87"/>
    </row>
    <row r="2691" spans="1:61" x14ac:dyDescent="0.25">
      <c r="A2691" s="63" t="s">
        <v>1058</v>
      </c>
      <c r="B2691" s="63" t="s">
        <v>1058</v>
      </c>
      <c r="C2691" s="64"/>
      <c r="D2691" s="65"/>
      <c r="E2691" s="66"/>
      <c r="F2691" s="67"/>
      <c r="G2691" s="64"/>
      <c r="H2691" s="68"/>
      <c r="I2691" s="69"/>
      <c r="J2691" s="69"/>
      <c r="K2691" s="32"/>
      <c r="L2691" s="76">
        <v>2691</v>
      </c>
      <c r="M2691" s="76"/>
      <c r="N2691" s="71"/>
      <c r="O2691" s="87" t="s">
        <v>179</v>
      </c>
      <c r="P2691" s="90">
        <v>45120.792372685188</v>
      </c>
      <c r="Q2691" s="87" t="s">
        <v>4408</v>
      </c>
      <c r="R2691" s="87">
        <v>0</v>
      </c>
      <c r="S2691" s="87">
        <v>0</v>
      </c>
      <c r="T2691" s="87">
        <v>0</v>
      </c>
      <c r="U2691" s="87">
        <v>0</v>
      </c>
      <c r="V2691" s="87">
        <v>201</v>
      </c>
      <c r="W2691" s="93" t="s">
        <v>7424</v>
      </c>
      <c r="X2691" s="87"/>
      <c r="Y2691" s="87"/>
      <c r="Z2691" s="87"/>
      <c r="AA2691" s="87" t="s">
        <v>10422</v>
      </c>
      <c r="AB2691" s="87" t="s">
        <v>11448</v>
      </c>
      <c r="AC2691" s="93" t="s">
        <v>11457</v>
      </c>
      <c r="AD2691" s="87" t="s">
        <v>11519</v>
      </c>
      <c r="AE2691" s="92" t="str">
        <f>HYPERLINK("https://twitter.com/serraempauta/status/1679566620535005185")</f>
        <v>https://twitter.com/serraempauta/status/1679566620535005185</v>
      </c>
      <c r="AF2691" s="90">
        <v>45120.792372685188</v>
      </c>
      <c r="AG2691" s="99">
        <v>45120</v>
      </c>
      <c r="AH2691" s="93" t="s">
        <v>13935</v>
      </c>
      <c r="AI2691" s="87" t="b">
        <v>0</v>
      </c>
      <c r="AJ2691" s="87"/>
      <c r="AK2691" s="87"/>
      <c r="AL2691" s="87"/>
      <c r="AM2691" s="87"/>
      <c r="AN2691" s="87"/>
      <c r="AO2691" s="87"/>
      <c r="AP2691" s="87"/>
      <c r="AQ2691" s="87" t="s">
        <v>17234</v>
      </c>
      <c r="AR2691" s="87"/>
      <c r="AS2691" s="87"/>
      <c r="AT2691" s="87"/>
      <c r="AU2691" s="87"/>
      <c r="AV2691" s="92" t="str">
        <f>HYPERLINK("https://pbs.twimg.com/media/F08E6zmXwAIjJqE.jpg")</f>
        <v>https://pbs.twimg.com/media/F08E6zmXwAIjJqE.jpg</v>
      </c>
      <c r="AW2691" s="93" t="s">
        <v>20852</v>
      </c>
      <c r="AX2691" s="93" t="s">
        <v>20852</v>
      </c>
      <c r="AY2691" s="87"/>
      <c r="AZ2691" s="93" t="s">
        <v>22668</v>
      </c>
      <c r="BA2691" s="93" t="s">
        <v>22668</v>
      </c>
      <c r="BB2691" s="93" t="s">
        <v>22668</v>
      </c>
      <c r="BC2691" s="93" t="s">
        <v>20852</v>
      </c>
      <c r="BD2691" s="93" t="s">
        <v>23269</v>
      </c>
      <c r="BE2691" s="87"/>
      <c r="BF2691" s="87"/>
      <c r="BG2691" s="87"/>
      <c r="BH2691" s="87"/>
      <c r="BI2691" s="87"/>
    </row>
    <row r="2692" spans="1:61" x14ac:dyDescent="0.25">
      <c r="A2692" s="63" t="s">
        <v>1058</v>
      </c>
      <c r="B2692" s="63" t="s">
        <v>1058</v>
      </c>
      <c r="C2692" s="64"/>
      <c r="D2692" s="65"/>
      <c r="E2692" s="66"/>
      <c r="F2692" s="67"/>
      <c r="G2692" s="64"/>
      <c r="H2692" s="68"/>
      <c r="I2692" s="69"/>
      <c r="J2692" s="69"/>
      <c r="K2692" s="32"/>
      <c r="L2692" s="76">
        <v>2692</v>
      </c>
      <c r="M2692" s="76"/>
      <c r="N2692" s="71"/>
      <c r="O2692" s="87" t="s">
        <v>179</v>
      </c>
      <c r="P2692" s="90">
        <v>45120.736805555556</v>
      </c>
      <c r="Q2692" s="87" t="s">
        <v>4409</v>
      </c>
      <c r="R2692" s="87">
        <v>0</v>
      </c>
      <c r="S2692" s="87">
        <v>1</v>
      </c>
      <c r="T2692" s="87">
        <v>0</v>
      </c>
      <c r="U2692" s="87">
        <v>0</v>
      </c>
      <c r="V2692" s="87">
        <v>61</v>
      </c>
      <c r="W2692" s="93" t="s">
        <v>7424</v>
      </c>
      <c r="X2692" s="87"/>
      <c r="Y2692" s="87"/>
      <c r="Z2692" s="87"/>
      <c r="AA2692" s="87" t="s">
        <v>10423</v>
      </c>
      <c r="AB2692" s="87" t="s">
        <v>11448</v>
      </c>
      <c r="AC2692" s="93" t="s">
        <v>11457</v>
      </c>
      <c r="AD2692" s="87" t="s">
        <v>11519</v>
      </c>
      <c r="AE2692" s="92" t="str">
        <f>HYPERLINK("https://twitter.com/serraempauta/status/1679546483756900364")</f>
        <v>https://twitter.com/serraempauta/status/1679546483756900364</v>
      </c>
      <c r="AF2692" s="90">
        <v>45120.736805555556</v>
      </c>
      <c r="AG2692" s="99">
        <v>45120</v>
      </c>
      <c r="AH2692" s="93" t="s">
        <v>13936</v>
      </c>
      <c r="AI2692" s="87" t="b">
        <v>0</v>
      </c>
      <c r="AJ2692" s="87"/>
      <c r="AK2692" s="87"/>
      <c r="AL2692" s="87"/>
      <c r="AM2692" s="87"/>
      <c r="AN2692" s="87"/>
      <c r="AO2692" s="87"/>
      <c r="AP2692" s="87"/>
      <c r="AQ2692" s="87" t="s">
        <v>17235</v>
      </c>
      <c r="AR2692" s="87"/>
      <c r="AS2692" s="87"/>
      <c r="AT2692" s="87"/>
      <c r="AU2692" s="87"/>
      <c r="AV2692" s="92" t="str">
        <f>HYPERLINK("https://pbs.twimg.com/media/F07ynwQXgAIJgNk.jpg")</f>
        <v>https://pbs.twimg.com/media/F07ynwQXgAIJgNk.jpg</v>
      </c>
      <c r="AW2692" s="93" t="s">
        <v>20853</v>
      </c>
      <c r="AX2692" s="93" t="s">
        <v>20853</v>
      </c>
      <c r="AY2692" s="87"/>
      <c r="AZ2692" s="93" t="s">
        <v>22668</v>
      </c>
      <c r="BA2692" s="93" t="s">
        <v>22668</v>
      </c>
      <c r="BB2692" s="93" t="s">
        <v>22668</v>
      </c>
      <c r="BC2692" s="93" t="s">
        <v>20853</v>
      </c>
      <c r="BD2692" s="93" t="s">
        <v>23269</v>
      </c>
      <c r="BE2692" s="87"/>
      <c r="BF2692" s="87"/>
      <c r="BG2692" s="87"/>
      <c r="BH2692" s="87"/>
      <c r="BI2692" s="87"/>
    </row>
    <row r="2693" spans="1:61" x14ac:dyDescent="0.25">
      <c r="A2693" s="63" t="s">
        <v>1058</v>
      </c>
      <c r="B2693" s="63" t="s">
        <v>1058</v>
      </c>
      <c r="C2693" s="64"/>
      <c r="D2693" s="65"/>
      <c r="E2693" s="66"/>
      <c r="F2693" s="67"/>
      <c r="G2693" s="64"/>
      <c r="H2693" s="68"/>
      <c r="I2693" s="69"/>
      <c r="J2693" s="69"/>
      <c r="K2693" s="32"/>
      <c r="L2693" s="76">
        <v>2693</v>
      </c>
      <c r="M2693" s="76"/>
      <c r="N2693" s="71"/>
      <c r="O2693" s="87" t="s">
        <v>179</v>
      </c>
      <c r="P2693" s="90">
        <v>45196.628993055558</v>
      </c>
      <c r="Q2693" s="87" t="s">
        <v>4410</v>
      </c>
      <c r="R2693" s="87">
        <v>0</v>
      </c>
      <c r="S2693" s="87">
        <v>0</v>
      </c>
      <c r="T2693" s="87">
        <v>0</v>
      </c>
      <c r="U2693" s="87">
        <v>0</v>
      </c>
      <c r="V2693" s="87">
        <v>22</v>
      </c>
      <c r="W2693" s="93" t="s">
        <v>7424</v>
      </c>
      <c r="X2693" s="87"/>
      <c r="Y2693" s="87"/>
      <c r="Z2693" s="87"/>
      <c r="AA2693" s="87" t="s">
        <v>10424</v>
      </c>
      <c r="AB2693" s="87" t="s">
        <v>11448</v>
      </c>
      <c r="AC2693" s="93" t="s">
        <v>11457</v>
      </c>
      <c r="AD2693" s="87" t="s">
        <v>11519</v>
      </c>
      <c r="AE2693" s="92" t="str">
        <f>HYPERLINK("https://twitter.com/serraempauta/status/1707048891886026933")</f>
        <v>https://twitter.com/serraempauta/status/1707048891886026933</v>
      </c>
      <c r="AF2693" s="90">
        <v>45196.628993055558</v>
      </c>
      <c r="AG2693" s="99">
        <v>45196</v>
      </c>
      <c r="AH2693" s="93" t="s">
        <v>13937</v>
      </c>
      <c r="AI2693" s="87" t="b">
        <v>0</v>
      </c>
      <c r="AJ2693" s="87"/>
      <c r="AK2693" s="87"/>
      <c r="AL2693" s="87"/>
      <c r="AM2693" s="87"/>
      <c r="AN2693" s="87"/>
      <c r="AO2693" s="87"/>
      <c r="AP2693" s="87"/>
      <c r="AQ2693" s="87" t="s">
        <v>17236</v>
      </c>
      <c r="AR2693" s="87"/>
      <c r="AS2693" s="87"/>
      <c r="AT2693" s="87"/>
      <c r="AU2693" s="87"/>
      <c r="AV2693" s="92" t="str">
        <f>HYPERLINK("https://pbs.twimg.com/media/F7Cn5jyWQAAuAmq.jpg")</f>
        <v>https://pbs.twimg.com/media/F7Cn5jyWQAAuAmq.jpg</v>
      </c>
      <c r="AW2693" s="93" t="s">
        <v>20854</v>
      </c>
      <c r="AX2693" s="93" t="s">
        <v>20854</v>
      </c>
      <c r="AY2693" s="87"/>
      <c r="AZ2693" s="93" t="s">
        <v>22668</v>
      </c>
      <c r="BA2693" s="93" t="s">
        <v>22668</v>
      </c>
      <c r="BB2693" s="93" t="s">
        <v>22668</v>
      </c>
      <c r="BC2693" s="93" t="s">
        <v>20854</v>
      </c>
      <c r="BD2693" s="93" t="s">
        <v>23269</v>
      </c>
      <c r="BE2693" s="87"/>
      <c r="BF2693" s="87"/>
      <c r="BG2693" s="87"/>
      <c r="BH2693" s="87"/>
      <c r="BI2693" s="87"/>
    </row>
    <row r="2694" spans="1:61" x14ac:dyDescent="0.25">
      <c r="A2694" s="63" t="s">
        <v>1058</v>
      </c>
      <c r="B2694" s="63" t="s">
        <v>1058</v>
      </c>
      <c r="C2694" s="64"/>
      <c r="D2694" s="65"/>
      <c r="E2694" s="66"/>
      <c r="F2694" s="67"/>
      <c r="G2694" s="64"/>
      <c r="H2694" s="68"/>
      <c r="I2694" s="69"/>
      <c r="J2694" s="69"/>
      <c r="K2694" s="32"/>
      <c r="L2694" s="76">
        <v>2694</v>
      </c>
      <c r="M2694" s="76"/>
      <c r="N2694" s="71"/>
      <c r="O2694" s="87" t="s">
        <v>179</v>
      </c>
      <c r="P2694" s="90">
        <v>45196.546446759261</v>
      </c>
      <c r="Q2694" s="87" t="s">
        <v>4411</v>
      </c>
      <c r="R2694" s="87">
        <v>0</v>
      </c>
      <c r="S2694" s="87">
        <v>0</v>
      </c>
      <c r="T2694" s="87">
        <v>0</v>
      </c>
      <c r="U2694" s="87">
        <v>0</v>
      </c>
      <c r="V2694" s="87">
        <v>29</v>
      </c>
      <c r="W2694" s="93" t="s">
        <v>7424</v>
      </c>
      <c r="X2694" s="87"/>
      <c r="Y2694" s="87"/>
      <c r="Z2694" s="87"/>
      <c r="AA2694" s="87" t="s">
        <v>10425</v>
      </c>
      <c r="AB2694" s="87" t="s">
        <v>11448</v>
      </c>
      <c r="AC2694" s="93" t="s">
        <v>11457</v>
      </c>
      <c r="AD2694" s="87" t="s">
        <v>11519</v>
      </c>
      <c r="AE2694" s="92" t="str">
        <f>HYPERLINK("https://twitter.com/serraempauta/status/1707018975031288101")</f>
        <v>https://twitter.com/serraempauta/status/1707018975031288101</v>
      </c>
      <c r="AF2694" s="90">
        <v>45196.546446759261</v>
      </c>
      <c r="AG2694" s="99">
        <v>45196</v>
      </c>
      <c r="AH2694" s="93" t="s">
        <v>13938</v>
      </c>
      <c r="AI2694" s="87" t="b">
        <v>0</v>
      </c>
      <c r="AJ2694" s="87"/>
      <c r="AK2694" s="87"/>
      <c r="AL2694" s="87"/>
      <c r="AM2694" s="87"/>
      <c r="AN2694" s="87"/>
      <c r="AO2694" s="87"/>
      <c r="AP2694" s="87"/>
      <c r="AQ2694" s="87" t="s">
        <v>17237</v>
      </c>
      <c r="AR2694" s="87"/>
      <c r="AS2694" s="87"/>
      <c r="AT2694" s="87"/>
      <c r="AU2694" s="87"/>
      <c r="AV2694" s="92" t="str">
        <f>HYPERLINK("https://pbs.twimg.com/media/F7CMr6HXcAEfPTY.jpg")</f>
        <v>https://pbs.twimg.com/media/F7CMr6HXcAEfPTY.jpg</v>
      </c>
      <c r="AW2694" s="93" t="s">
        <v>20855</v>
      </c>
      <c r="AX2694" s="93" t="s">
        <v>20855</v>
      </c>
      <c r="AY2694" s="87"/>
      <c r="AZ2694" s="93" t="s">
        <v>22668</v>
      </c>
      <c r="BA2694" s="93" t="s">
        <v>22668</v>
      </c>
      <c r="BB2694" s="93" t="s">
        <v>22668</v>
      </c>
      <c r="BC2694" s="93" t="s">
        <v>20855</v>
      </c>
      <c r="BD2694" s="93" t="s">
        <v>23269</v>
      </c>
      <c r="BE2694" s="87"/>
      <c r="BF2694" s="87"/>
      <c r="BG2694" s="87"/>
      <c r="BH2694" s="87"/>
      <c r="BI2694" s="87"/>
    </row>
    <row r="2695" spans="1:61" x14ac:dyDescent="0.25">
      <c r="A2695" s="63" t="s">
        <v>1058</v>
      </c>
      <c r="B2695" s="63" t="s">
        <v>1058</v>
      </c>
      <c r="C2695" s="64"/>
      <c r="D2695" s="65"/>
      <c r="E2695" s="66"/>
      <c r="F2695" s="67"/>
      <c r="G2695" s="64"/>
      <c r="H2695" s="68"/>
      <c r="I2695" s="69"/>
      <c r="J2695" s="69"/>
      <c r="K2695" s="32"/>
      <c r="L2695" s="76">
        <v>2695</v>
      </c>
      <c r="M2695" s="76"/>
      <c r="N2695" s="71"/>
      <c r="O2695" s="87" t="s">
        <v>179</v>
      </c>
      <c r="P2695" s="90">
        <v>45195.004143518519</v>
      </c>
      <c r="Q2695" s="87" t="s">
        <v>4412</v>
      </c>
      <c r="R2695" s="87">
        <v>0</v>
      </c>
      <c r="S2695" s="87">
        <v>0</v>
      </c>
      <c r="T2695" s="87">
        <v>0</v>
      </c>
      <c r="U2695" s="87">
        <v>0</v>
      </c>
      <c r="V2695" s="87">
        <v>43</v>
      </c>
      <c r="W2695" s="93" t="s">
        <v>7424</v>
      </c>
      <c r="X2695" s="87"/>
      <c r="Y2695" s="87"/>
      <c r="Z2695" s="87"/>
      <c r="AA2695" s="87" t="s">
        <v>10426</v>
      </c>
      <c r="AB2695" s="87" t="s">
        <v>11448</v>
      </c>
      <c r="AC2695" s="93" t="s">
        <v>11457</v>
      </c>
      <c r="AD2695" s="87" t="s">
        <v>11519</v>
      </c>
      <c r="AE2695" s="92" t="str">
        <f>HYPERLINK("https://twitter.com/serraempauta/status/1706460066134568964")</f>
        <v>https://twitter.com/serraempauta/status/1706460066134568964</v>
      </c>
      <c r="AF2695" s="90">
        <v>45195.004143518519</v>
      </c>
      <c r="AG2695" s="99">
        <v>45195</v>
      </c>
      <c r="AH2695" s="93" t="s">
        <v>13939</v>
      </c>
      <c r="AI2695" s="87" t="b">
        <v>0</v>
      </c>
      <c r="AJ2695" s="87"/>
      <c r="AK2695" s="87"/>
      <c r="AL2695" s="87"/>
      <c r="AM2695" s="87"/>
      <c r="AN2695" s="87"/>
      <c r="AO2695" s="87"/>
      <c r="AP2695" s="87"/>
      <c r="AQ2695" s="87" t="s">
        <v>17238</v>
      </c>
      <c r="AR2695" s="87"/>
      <c r="AS2695" s="87"/>
      <c r="AT2695" s="87"/>
      <c r="AU2695" s="87"/>
      <c r="AV2695" s="92" t="str">
        <f>HYPERLINK("https://pbs.twimg.com/media/F66QXvbXwAATrch.jpg")</f>
        <v>https://pbs.twimg.com/media/F66QXvbXwAATrch.jpg</v>
      </c>
      <c r="AW2695" s="93" t="s">
        <v>20856</v>
      </c>
      <c r="AX2695" s="93" t="s">
        <v>20856</v>
      </c>
      <c r="AY2695" s="87"/>
      <c r="AZ2695" s="93" t="s">
        <v>22668</v>
      </c>
      <c r="BA2695" s="93" t="s">
        <v>22668</v>
      </c>
      <c r="BB2695" s="93" t="s">
        <v>22668</v>
      </c>
      <c r="BC2695" s="93" t="s">
        <v>20856</v>
      </c>
      <c r="BD2695" s="93" t="s">
        <v>23269</v>
      </c>
      <c r="BE2695" s="87"/>
      <c r="BF2695" s="87"/>
      <c r="BG2695" s="87"/>
      <c r="BH2695" s="87"/>
      <c r="BI2695" s="87"/>
    </row>
    <row r="2696" spans="1:61" x14ac:dyDescent="0.25">
      <c r="A2696" s="63" t="s">
        <v>1058</v>
      </c>
      <c r="B2696" s="63" t="s">
        <v>1058</v>
      </c>
      <c r="C2696" s="64"/>
      <c r="D2696" s="65"/>
      <c r="E2696" s="66"/>
      <c r="F2696" s="67"/>
      <c r="G2696" s="64"/>
      <c r="H2696" s="68"/>
      <c r="I2696" s="69"/>
      <c r="J2696" s="69"/>
      <c r="K2696" s="32"/>
      <c r="L2696" s="76">
        <v>2696</v>
      </c>
      <c r="M2696" s="76"/>
      <c r="N2696" s="71"/>
      <c r="O2696" s="87" t="s">
        <v>179</v>
      </c>
      <c r="P2696" s="90">
        <v>45194.615798611114</v>
      </c>
      <c r="Q2696" s="87" t="s">
        <v>4413</v>
      </c>
      <c r="R2696" s="87">
        <v>0</v>
      </c>
      <c r="S2696" s="87">
        <v>0</v>
      </c>
      <c r="T2696" s="87">
        <v>0</v>
      </c>
      <c r="U2696" s="87">
        <v>0</v>
      </c>
      <c r="V2696" s="87">
        <v>23</v>
      </c>
      <c r="W2696" s="93" t="s">
        <v>7424</v>
      </c>
      <c r="X2696" s="87"/>
      <c r="Y2696" s="87"/>
      <c r="Z2696" s="87"/>
      <c r="AA2696" s="87" t="s">
        <v>10427</v>
      </c>
      <c r="AB2696" s="87" t="s">
        <v>11448</v>
      </c>
      <c r="AC2696" s="93" t="s">
        <v>11457</v>
      </c>
      <c r="AD2696" s="87" t="s">
        <v>11519</v>
      </c>
      <c r="AE2696" s="92" t="str">
        <f>HYPERLINK("https://twitter.com/serraempauta/status/1706319334652404027")</f>
        <v>https://twitter.com/serraempauta/status/1706319334652404027</v>
      </c>
      <c r="AF2696" s="90">
        <v>45194.615798611114</v>
      </c>
      <c r="AG2696" s="99">
        <v>45194</v>
      </c>
      <c r="AH2696" s="93" t="s">
        <v>13940</v>
      </c>
      <c r="AI2696" s="87" t="b">
        <v>0</v>
      </c>
      <c r="AJ2696" s="87"/>
      <c r="AK2696" s="87"/>
      <c r="AL2696" s="87"/>
      <c r="AM2696" s="87"/>
      <c r="AN2696" s="87"/>
      <c r="AO2696" s="87"/>
      <c r="AP2696" s="87"/>
      <c r="AQ2696" s="87" t="s">
        <v>17239</v>
      </c>
      <c r="AR2696" s="87"/>
      <c r="AS2696" s="87"/>
      <c r="AT2696" s="87"/>
      <c r="AU2696" s="87"/>
      <c r="AV2696" s="92" t="str">
        <f>HYPERLINK("https://pbs.twimg.com/media/F64QYlrWYAAYX1M.jpg")</f>
        <v>https://pbs.twimg.com/media/F64QYlrWYAAYX1M.jpg</v>
      </c>
      <c r="AW2696" s="93" t="s">
        <v>20857</v>
      </c>
      <c r="AX2696" s="93" t="s">
        <v>20857</v>
      </c>
      <c r="AY2696" s="87"/>
      <c r="AZ2696" s="93" t="s">
        <v>22668</v>
      </c>
      <c r="BA2696" s="93" t="s">
        <v>22668</v>
      </c>
      <c r="BB2696" s="93" t="s">
        <v>22668</v>
      </c>
      <c r="BC2696" s="93" t="s">
        <v>20857</v>
      </c>
      <c r="BD2696" s="93" t="s">
        <v>23269</v>
      </c>
      <c r="BE2696" s="87"/>
      <c r="BF2696" s="87"/>
      <c r="BG2696" s="87"/>
      <c r="BH2696" s="87"/>
      <c r="BI2696" s="87"/>
    </row>
    <row r="2697" spans="1:61" x14ac:dyDescent="0.25">
      <c r="A2697" s="63" t="s">
        <v>1058</v>
      </c>
      <c r="B2697" s="63" t="s">
        <v>1058</v>
      </c>
      <c r="C2697" s="64"/>
      <c r="D2697" s="65"/>
      <c r="E2697" s="66"/>
      <c r="F2697" s="67"/>
      <c r="G2697" s="64"/>
      <c r="H2697" s="68"/>
      <c r="I2697" s="69"/>
      <c r="J2697" s="69"/>
      <c r="K2697" s="32"/>
      <c r="L2697" s="76">
        <v>2697</v>
      </c>
      <c r="M2697" s="76"/>
      <c r="N2697" s="71"/>
      <c r="O2697" s="87" t="s">
        <v>179</v>
      </c>
      <c r="P2697" s="90">
        <v>45194.594583333332</v>
      </c>
      <c r="Q2697" s="87" t="s">
        <v>4414</v>
      </c>
      <c r="R2697" s="87">
        <v>0</v>
      </c>
      <c r="S2697" s="87">
        <v>0</v>
      </c>
      <c r="T2697" s="87">
        <v>0</v>
      </c>
      <c r="U2697" s="87">
        <v>0</v>
      </c>
      <c r="V2697" s="87">
        <v>21</v>
      </c>
      <c r="W2697" s="93" t="s">
        <v>7424</v>
      </c>
      <c r="X2697" s="87"/>
      <c r="Y2697" s="87"/>
      <c r="Z2697" s="87"/>
      <c r="AA2697" s="87" t="s">
        <v>10428</v>
      </c>
      <c r="AB2697" s="87" t="s">
        <v>11448</v>
      </c>
      <c r="AC2697" s="93" t="s">
        <v>11457</v>
      </c>
      <c r="AD2697" s="87" t="s">
        <v>11519</v>
      </c>
      <c r="AE2697" s="92" t="str">
        <f>HYPERLINK("https://twitter.com/serraempauta/status/1706311643603341491")</f>
        <v>https://twitter.com/serraempauta/status/1706311643603341491</v>
      </c>
      <c r="AF2697" s="90">
        <v>45194.594583333332</v>
      </c>
      <c r="AG2697" s="99">
        <v>45194</v>
      </c>
      <c r="AH2697" s="93" t="s">
        <v>13941</v>
      </c>
      <c r="AI2697" s="87" t="b">
        <v>0</v>
      </c>
      <c r="AJ2697" s="87"/>
      <c r="AK2697" s="87"/>
      <c r="AL2697" s="87"/>
      <c r="AM2697" s="87"/>
      <c r="AN2697" s="87"/>
      <c r="AO2697" s="87"/>
      <c r="AP2697" s="87"/>
      <c r="AQ2697" s="87" t="s">
        <v>17240</v>
      </c>
      <c r="AR2697" s="87"/>
      <c r="AS2697" s="87"/>
      <c r="AT2697" s="87"/>
      <c r="AU2697" s="87"/>
      <c r="AV2697" s="92" t="str">
        <f>HYPERLINK("https://pbs.twimg.com/media/F64JZLcWsAADE1v.jpg")</f>
        <v>https://pbs.twimg.com/media/F64JZLcWsAADE1v.jpg</v>
      </c>
      <c r="AW2697" s="93" t="s">
        <v>20858</v>
      </c>
      <c r="AX2697" s="93" t="s">
        <v>20858</v>
      </c>
      <c r="AY2697" s="87"/>
      <c r="AZ2697" s="93" t="s">
        <v>22668</v>
      </c>
      <c r="BA2697" s="93" t="s">
        <v>22668</v>
      </c>
      <c r="BB2697" s="93" t="s">
        <v>22668</v>
      </c>
      <c r="BC2697" s="93" t="s">
        <v>20858</v>
      </c>
      <c r="BD2697" s="93" t="s">
        <v>23269</v>
      </c>
      <c r="BE2697" s="87"/>
      <c r="BF2697" s="87"/>
      <c r="BG2697" s="87"/>
      <c r="BH2697" s="87"/>
      <c r="BI2697" s="87"/>
    </row>
    <row r="2698" spans="1:61" x14ac:dyDescent="0.25">
      <c r="A2698" s="63" t="s">
        <v>1058</v>
      </c>
      <c r="B2698" s="63" t="s">
        <v>1058</v>
      </c>
      <c r="C2698" s="64"/>
      <c r="D2698" s="65"/>
      <c r="E2698" s="66"/>
      <c r="F2698" s="67"/>
      <c r="G2698" s="64"/>
      <c r="H2698" s="68"/>
      <c r="I2698" s="69"/>
      <c r="J2698" s="69"/>
      <c r="K2698" s="32"/>
      <c r="L2698" s="76">
        <v>2698</v>
      </c>
      <c r="M2698" s="76"/>
      <c r="N2698" s="71"/>
      <c r="O2698" s="87" t="s">
        <v>179</v>
      </c>
      <c r="P2698" s="90">
        <v>45192.935659722221</v>
      </c>
      <c r="Q2698" s="87" t="s">
        <v>4415</v>
      </c>
      <c r="R2698" s="87">
        <v>0</v>
      </c>
      <c r="S2698" s="87">
        <v>0</v>
      </c>
      <c r="T2698" s="87">
        <v>0</v>
      </c>
      <c r="U2698" s="87">
        <v>0</v>
      </c>
      <c r="V2698" s="87">
        <v>48</v>
      </c>
      <c r="W2698" s="93" t="s">
        <v>7424</v>
      </c>
      <c r="X2698" s="87"/>
      <c r="Y2698" s="87"/>
      <c r="Z2698" s="87"/>
      <c r="AA2698" s="87" t="s">
        <v>10429</v>
      </c>
      <c r="AB2698" s="87" t="s">
        <v>11448</v>
      </c>
      <c r="AC2698" s="93" t="s">
        <v>11457</v>
      </c>
      <c r="AD2698" s="87" t="s">
        <v>11519</v>
      </c>
      <c r="AE2698" s="92" t="str">
        <f>HYPERLINK("https://twitter.com/serraempauta/status/1705710471746122037")</f>
        <v>https://twitter.com/serraempauta/status/1705710471746122037</v>
      </c>
      <c r="AF2698" s="90">
        <v>45192.935659722221</v>
      </c>
      <c r="AG2698" s="99">
        <v>45192</v>
      </c>
      <c r="AH2698" s="93" t="s">
        <v>13942</v>
      </c>
      <c r="AI2698" s="87" t="b">
        <v>0</v>
      </c>
      <c r="AJ2698" s="87"/>
      <c r="AK2698" s="87"/>
      <c r="AL2698" s="87"/>
      <c r="AM2698" s="87"/>
      <c r="AN2698" s="87"/>
      <c r="AO2698" s="87"/>
      <c r="AP2698" s="87"/>
      <c r="AQ2698" s="87" t="s">
        <v>17241</v>
      </c>
      <c r="AR2698" s="87"/>
      <c r="AS2698" s="87"/>
      <c r="AT2698" s="87"/>
      <c r="AU2698" s="87"/>
      <c r="AV2698" s="92" t="str">
        <f>HYPERLINK("https://pbs.twimg.com/media/F6vmoVqW8AAhMXt.jpg")</f>
        <v>https://pbs.twimg.com/media/F6vmoVqW8AAhMXt.jpg</v>
      </c>
      <c r="AW2698" s="93" t="s">
        <v>20859</v>
      </c>
      <c r="AX2698" s="93" t="s">
        <v>20859</v>
      </c>
      <c r="AY2698" s="87"/>
      <c r="AZ2698" s="93" t="s">
        <v>22668</v>
      </c>
      <c r="BA2698" s="93" t="s">
        <v>22668</v>
      </c>
      <c r="BB2698" s="93" t="s">
        <v>22668</v>
      </c>
      <c r="BC2698" s="93" t="s">
        <v>20859</v>
      </c>
      <c r="BD2698" s="93" t="s">
        <v>23269</v>
      </c>
      <c r="BE2698" s="87"/>
      <c r="BF2698" s="87"/>
      <c r="BG2698" s="87"/>
      <c r="BH2698" s="87"/>
      <c r="BI2698" s="87"/>
    </row>
    <row r="2699" spans="1:61" x14ac:dyDescent="0.25">
      <c r="A2699" s="63" t="s">
        <v>1058</v>
      </c>
      <c r="B2699" s="63" t="s">
        <v>1058</v>
      </c>
      <c r="C2699" s="64"/>
      <c r="D2699" s="65"/>
      <c r="E2699" s="66"/>
      <c r="F2699" s="67"/>
      <c r="G2699" s="64"/>
      <c r="H2699" s="68"/>
      <c r="I2699" s="69"/>
      <c r="J2699" s="69"/>
      <c r="K2699" s="32"/>
      <c r="L2699" s="76">
        <v>2699</v>
      </c>
      <c r="M2699" s="76"/>
      <c r="N2699" s="71"/>
      <c r="O2699" s="87" t="s">
        <v>179</v>
      </c>
      <c r="P2699" s="90">
        <v>45191.580046296294</v>
      </c>
      <c r="Q2699" s="87" t="s">
        <v>4416</v>
      </c>
      <c r="R2699" s="87">
        <v>0</v>
      </c>
      <c r="S2699" s="87">
        <v>0</v>
      </c>
      <c r="T2699" s="87">
        <v>0</v>
      </c>
      <c r="U2699" s="87">
        <v>0</v>
      </c>
      <c r="V2699" s="87">
        <v>33</v>
      </c>
      <c r="W2699" s="93" t="s">
        <v>7424</v>
      </c>
      <c r="X2699" s="87"/>
      <c r="Y2699" s="87"/>
      <c r="Z2699" s="87"/>
      <c r="AA2699" s="87" t="s">
        <v>10430</v>
      </c>
      <c r="AB2699" s="87" t="s">
        <v>11448</v>
      </c>
      <c r="AC2699" s="93" t="s">
        <v>11457</v>
      </c>
      <c r="AD2699" s="87" t="s">
        <v>11519</v>
      </c>
      <c r="AE2699" s="92" t="str">
        <f>HYPERLINK("https://twitter.com/serraempauta/status/1705219213684535636")</f>
        <v>https://twitter.com/serraempauta/status/1705219213684535636</v>
      </c>
      <c r="AF2699" s="90">
        <v>45191.580046296294</v>
      </c>
      <c r="AG2699" s="99">
        <v>45191</v>
      </c>
      <c r="AH2699" s="93" t="s">
        <v>13943</v>
      </c>
      <c r="AI2699" s="87" t="b">
        <v>0</v>
      </c>
      <c r="AJ2699" s="87"/>
      <c r="AK2699" s="87"/>
      <c r="AL2699" s="87"/>
      <c r="AM2699" s="87"/>
      <c r="AN2699" s="87"/>
      <c r="AO2699" s="87"/>
      <c r="AP2699" s="87"/>
      <c r="AQ2699" s="87" t="s">
        <v>17242</v>
      </c>
      <c r="AR2699" s="87"/>
      <c r="AS2699" s="87"/>
      <c r="AT2699" s="87"/>
      <c r="AU2699" s="87"/>
      <c r="AV2699" s="92" t="str">
        <f>HYPERLINK("https://pbs.twimg.com/media/F6on1QAXgAAge2Z.jpg")</f>
        <v>https://pbs.twimg.com/media/F6on1QAXgAAge2Z.jpg</v>
      </c>
      <c r="AW2699" s="93" t="s">
        <v>20860</v>
      </c>
      <c r="AX2699" s="93" t="s">
        <v>20860</v>
      </c>
      <c r="AY2699" s="87"/>
      <c r="AZ2699" s="93" t="s">
        <v>22668</v>
      </c>
      <c r="BA2699" s="93" t="s">
        <v>22668</v>
      </c>
      <c r="BB2699" s="93" t="s">
        <v>22668</v>
      </c>
      <c r="BC2699" s="93" t="s">
        <v>20860</v>
      </c>
      <c r="BD2699" s="93" t="s">
        <v>23269</v>
      </c>
      <c r="BE2699" s="87"/>
      <c r="BF2699" s="87"/>
      <c r="BG2699" s="87"/>
      <c r="BH2699" s="87"/>
      <c r="BI2699" s="87"/>
    </row>
    <row r="2700" spans="1:61" x14ac:dyDescent="0.25">
      <c r="A2700" s="63" t="s">
        <v>1058</v>
      </c>
      <c r="B2700" s="63" t="s">
        <v>1058</v>
      </c>
      <c r="C2700" s="64"/>
      <c r="D2700" s="65"/>
      <c r="E2700" s="66"/>
      <c r="F2700" s="67"/>
      <c r="G2700" s="64"/>
      <c r="H2700" s="68"/>
      <c r="I2700" s="69"/>
      <c r="J2700" s="69"/>
      <c r="K2700" s="32"/>
      <c r="L2700" s="76">
        <v>2700</v>
      </c>
      <c r="M2700" s="76"/>
      <c r="N2700" s="71"/>
      <c r="O2700" s="87" t="s">
        <v>179</v>
      </c>
      <c r="P2700" s="90">
        <v>45191.538472222222</v>
      </c>
      <c r="Q2700" s="87" t="s">
        <v>4417</v>
      </c>
      <c r="R2700" s="87">
        <v>0</v>
      </c>
      <c r="S2700" s="87">
        <v>0</v>
      </c>
      <c r="T2700" s="87">
        <v>0</v>
      </c>
      <c r="U2700" s="87">
        <v>0</v>
      </c>
      <c r="V2700" s="87">
        <v>27</v>
      </c>
      <c r="W2700" s="93" t="s">
        <v>7424</v>
      </c>
      <c r="X2700" s="87"/>
      <c r="Y2700" s="87"/>
      <c r="Z2700" s="87"/>
      <c r="AA2700" s="87" t="s">
        <v>10431</v>
      </c>
      <c r="AB2700" s="87" t="s">
        <v>11448</v>
      </c>
      <c r="AC2700" s="93" t="s">
        <v>11457</v>
      </c>
      <c r="AD2700" s="87" t="s">
        <v>11519</v>
      </c>
      <c r="AE2700" s="92" t="str">
        <f>HYPERLINK("https://twitter.com/serraempauta/status/1705204147799064745")</f>
        <v>https://twitter.com/serraempauta/status/1705204147799064745</v>
      </c>
      <c r="AF2700" s="90">
        <v>45191.538472222222</v>
      </c>
      <c r="AG2700" s="99">
        <v>45191</v>
      </c>
      <c r="AH2700" s="93" t="s">
        <v>13944</v>
      </c>
      <c r="AI2700" s="87" t="b">
        <v>0</v>
      </c>
      <c r="AJ2700" s="87"/>
      <c r="AK2700" s="87"/>
      <c r="AL2700" s="87"/>
      <c r="AM2700" s="87"/>
      <c r="AN2700" s="87"/>
      <c r="AO2700" s="87"/>
      <c r="AP2700" s="87"/>
      <c r="AQ2700" s="87" t="s">
        <v>17243</v>
      </c>
      <c r="AR2700" s="87"/>
      <c r="AS2700" s="87"/>
      <c r="AT2700" s="87"/>
      <c r="AU2700" s="87"/>
      <c r="AV2700" s="92" t="str">
        <f>HYPERLINK("https://pbs.twimg.com/media/F6oaIXJXkAAfVfG.jpg")</f>
        <v>https://pbs.twimg.com/media/F6oaIXJXkAAfVfG.jpg</v>
      </c>
      <c r="AW2700" s="93" t="s">
        <v>20861</v>
      </c>
      <c r="AX2700" s="93" t="s">
        <v>20861</v>
      </c>
      <c r="AY2700" s="87"/>
      <c r="AZ2700" s="93" t="s">
        <v>22668</v>
      </c>
      <c r="BA2700" s="93" t="s">
        <v>22668</v>
      </c>
      <c r="BB2700" s="93" t="s">
        <v>22668</v>
      </c>
      <c r="BC2700" s="93" t="s">
        <v>20861</v>
      </c>
      <c r="BD2700" s="93" t="s">
        <v>23269</v>
      </c>
      <c r="BE2700" s="87"/>
      <c r="BF2700" s="87"/>
      <c r="BG2700" s="87"/>
      <c r="BH2700" s="87"/>
      <c r="BI2700" s="87"/>
    </row>
    <row r="2701" spans="1:61" x14ac:dyDescent="0.25">
      <c r="A2701" s="63" t="s">
        <v>1058</v>
      </c>
      <c r="B2701" s="63" t="s">
        <v>1058</v>
      </c>
      <c r="C2701" s="64"/>
      <c r="D2701" s="65"/>
      <c r="E2701" s="66"/>
      <c r="F2701" s="67"/>
      <c r="G2701" s="64"/>
      <c r="H2701" s="68"/>
      <c r="I2701" s="69"/>
      <c r="J2701" s="69"/>
      <c r="K2701" s="32"/>
      <c r="L2701" s="76">
        <v>2701</v>
      </c>
      <c r="M2701" s="76"/>
      <c r="N2701" s="71"/>
      <c r="O2701" s="87" t="s">
        <v>179</v>
      </c>
      <c r="P2701" s="90">
        <v>45191.490289351852</v>
      </c>
      <c r="Q2701" s="87" t="s">
        <v>4418</v>
      </c>
      <c r="R2701" s="87">
        <v>0</v>
      </c>
      <c r="S2701" s="87">
        <v>0</v>
      </c>
      <c r="T2701" s="87">
        <v>0</v>
      </c>
      <c r="U2701" s="87">
        <v>0</v>
      </c>
      <c r="V2701" s="87">
        <v>32</v>
      </c>
      <c r="W2701" s="93" t="s">
        <v>7424</v>
      </c>
      <c r="X2701" s="87"/>
      <c r="Y2701" s="87"/>
      <c r="Z2701" s="87"/>
      <c r="AA2701" s="87" t="s">
        <v>10432</v>
      </c>
      <c r="AB2701" s="87" t="s">
        <v>11448</v>
      </c>
      <c r="AC2701" s="93" t="s">
        <v>11457</v>
      </c>
      <c r="AD2701" s="87" t="s">
        <v>11519</v>
      </c>
      <c r="AE2701" s="92" t="str">
        <f>HYPERLINK("https://twitter.com/serraempauta/status/1705186687716859949")</f>
        <v>https://twitter.com/serraempauta/status/1705186687716859949</v>
      </c>
      <c r="AF2701" s="90">
        <v>45191.490289351852</v>
      </c>
      <c r="AG2701" s="99">
        <v>45191</v>
      </c>
      <c r="AH2701" s="93" t="s">
        <v>13945</v>
      </c>
      <c r="AI2701" s="87" t="b">
        <v>0</v>
      </c>
      <c r="AJ2701" s="87"/>
      <c r="AK2701" s="87"/>
      <c r="AL2701" s="87"/>
      <c r="AM2701" s="87"/>
      <c r="AN2701" s="87"/>
      <c r="AO2701" s="87"/>
      <c r="AP2701" s="87"/>
      <c r="AQ2701" s="87" t="s">
        <v>17244</v>
      </c>
      <c r="AR2701" s="87"/>
      <c r="AS2701" s="87"/>
      <c r="AT2701" s="87"/>
      <c r="AU2701" s="87"/>
      <c r="AV2701" s="92" t="str">
        <f>HYPERLINK("https://pbs.twimg.com/media/F6oKQDkXIAAc_YG.jpg")</f>
        <v>https://pbs.twimg.com/media/F6oKQDkXIAAc_YG.jpg</v>
      </c>
      <c r="AW2701" s="93" t="s">
        <v>20862</v>
      </c>
      <c r="AX2701" s="93" t="s">
        <v>20862</v>
      </c>
      <c r="AY2701" s="87"/>
      <c r="AZ2701" s="93" t="s">
        <v>22668</v>
      </c>
      <c r="BA2701" s="93" t="s">
        <v>22668</v>
      </c>
      <c r="BB2701" s="93" t="s">
        <v>22668</v>
      </c>
      <c r="BC2701" s="93" t="s">
        <v>20862</v>
      </c>
      <c r="BD2701" s="93" t="s">
        <v>23269</v>
      </c>
      <c r="BE2701" s="87"/>
      <c r="BF2701" s="87"/>
      <c r="BG2701" s="87"/>
      <c r="BH2701" s="87"/>
      <c r="BI2701" s="87"/>
    </row>
    <row r="2702" spans="1:61" x14ac:dyDescent="0.25">
      <c r="A2702" s="63" t="s">
        <v>1058</v>
      </c>
      <c r="B2702" s="63" t="s">
        <v>1058</v>
      </c>
      <c r="C2702" s="64"/>
      <c r="D2702" s="65"/>
      <c r="E2702" s="66"/>
      <c r="F2702" s="67"/>
      <c r="G2702" s="64"/>
      <c r="H2702" s="68"/>
      <c r="I2702" s="69"/>
      <c r="J2702" s="69"/>
      <c r="K2702" s="32"/>
      <c r="L2702" s="76">
        <v>2702</v>
      </c>
      <c r="M2702" s="76"/>
      <c r="N2702" s="71"/>
      <c r="O2702" s="87" t="s">
        <v>179</v>
      </c>
      <c r="P2702" s="90">
        <v>45189.573969907404</v>
      </c>
      <c r="Q2702" s="87" t="s">
        <v>4419</v>
      </c>
      <c r="R2702" s="87">
        <v>0</v>
      </c>
      <c r="S2702" s="87">
        <v>0</v>
      </c>
      <c r="T2702" s="87">
        <v>0</v>
      </c>
      <c r="U2702" s="87">
        <v>0</v>
      </c>
      <c r="V2702" s="87">
        <v>147</v>
      </c>
      <c r="W2702" s="93" t="s">
        <v>7424</v>
      </c>
      <c r="X2702" s="87"/>
      <c r="Y2702" s="87"/>
      <c r="Z2702" s="87"/>
      <c r="AA2702" s="87" t="s">
        <v>10433</v>
      </c>
      <c r="AB2702" s="87" t="s">
        <v>11448</v>
      </c>
      <c r="AC2702" s="93" t="s">
        <v>11457</v>
      </c>
      <c r="AD2702" s="87" t="s">
        <v>11519</v>
      </c>
      <c r="AE2702" s="92" t="str">
        <f>HYPERLINK("https://twitter.com/serraempauta/status/1704492236874953055")</f>
        <v>https://twitter.com/serraempauta/status/1704492236874953055</v>
      </c>
      <c r="AF2702" s="90">
        <v>45189.573969907404</v>
      </c>
      <c r="AG2702" s="99">
        <v>45189</v>
      </c>
      <c r="AH2702" s="93" t="s">
        <v>13946</v>
      </c>
      <c r="AI2702" s="87" t="b">
        <v>0</v>
      </c>
      <c r="AJ2702" s="87"/>
      <c r="AK2702" s="87"/>
      <c r="AL2702" s="87"/>
      <c r="AM2702" s="87"/>
      <c r="AN2702" s="87"/>
      <c r="AO2702" s="87"/>
      <c r="AP2702" s="87"/>
      <c r="AQ2702" s="87" t="s">
        <v>17245</v>
      </c>
      <c r="AR2702" s="87"/>
      <c r="AS2702" s="87"/>
      <c r="AT2702" s="87"/>
      <c r="AU2702" s="87"/>
      <c r="AV2702" s="92" t="str">
        <f>HYPERLINK("https://pbs.twimg.com/media/F6eSpVzWUAAUrUw.jpg")</f>
        <v>https://pbs.twimg.com/media/F6eSpVzWUAAUrUw.jpg</v>
      </c>
      <c r="AW2702" s="93" t="s">
        <v>20863</v>
      </c>
      <c r="AX2702" s="93" t="s">
        <v>20863</v>
      </c>
      <c r="AY2702" s="87"/>
      <c r="AZ2702" s="93" t="s">
        <v>22668</v>
      </c>
      <c r="BA2702" s="93" t="s">
        <v>22668</v>
      </c>
      <c r="BB2702" s="93" t="s">
        <v>22668</v>
      </c>
      <c r="BC2702" s="93" t="s">
        <v>20863</v>
      </c>
      <c r="BD2702" s="93" t="s">
        <v>23269</v>
      </c>
      <c r="BE2702" s="87"/>
      <c r="BF2702" s="87"/>
      <c r="BG2702" s="87"/>
      <c r="BH2702" s="87"/>
      <c r="BI2702" s="87"/>
    </row>
    <row r="2703" spans="1:61" x14ac:dyDescent="0.25">
      <c r="A2703" s="63" t="s">
        <v>1058</v>
      </c>
      <c r="B2703" s="63" t="s">
        <v>1058</v>
      </c>
      <c r="C2703" s="64"/>
      <c r="D2703" s="65"/>
      <c r="E2703" s="66"/>
      <c r="F2703" s="67"/>
      <c r="G2703" s="64"/>
      <c r="H2703" s="68"/>
      <c r="I2703" s="69"/>
      <c r="J2703" s="69"/>
      <c r="K2703" s="32"/>
      <c r="L2703" s="76">
        <v>2703</v>
      </c>
      <c r="M2703" s="76"/>
      <c r="N2703" s="71"/>
      <c r="O2703" s="87" t="s">
        <v>179</v>
      </c>
      <c r="P2703" s="90">
        <v>45187.614293981482</v>
      </c>
      <c r="Q2703" s="87" t="s">
        <v>4420</v>
      </c>
      <c r="R2703" s="87">
        <v>0</v>
      </c>
      <c r="S2703" s="87">
        <v>0</v>
      </c>
      <c r="T2703" s="87">
        <v>0</v>
      </c>
      <c r="U2703" s="87">
        <v>0</v>
      </c>
      <c r="V2703" s="87">
        <v>32</v>
      </c>
      <c r="W2703" s="93" t="s">
        <v>7424</v>
      </c>
      <c r="X2703" s="87"/>
      <c r="Y2703" s="87"/>
      <c r="Z2703" s="87"/>
      <c r="AA2703" s="87" t="s">
        <v>10434</v>
      </c>
      <c r="AB2703" s="87" t="s">
        <v>11448</v>
      </c>
      <c r="AC2703" s="93" t="s">
        <v>11457</v>
      </c>
      <c r="AD2703" s="87" t="s">
        <v>11519</v>
      </c>
      <c r="AE2703" s="92" t="str">
        <f>HYPERLINK("https://twitter.com/serraempauta/status/1703782072647586198")</f>
        <v>https://twitter.com/serraempauta/status/1703782072647586198</v>
      </c>
      <c r="AF2703" s="90">
        <v>45187.614293981482</v>
      </c>
      <c r="AG2703" s="99">
        <v>45187</v>
      </c>
      <c r="AH2703" s="93" t="s">
        <v>13947</v>
      </c>
      <c r="AI2703" s="87" t="b">
        <v>0</v>
      </c>
      <c r="AJ2703" s="87"/>
      <c r="AK2703" s="87"/>
      <c r="AL2703" s="87"/>
      <c r="AM2703" s="87"/>
      <c r="AN2703" s="87"/>
      <c r="AO2703" s="87"/>
      <c r="AP2703" s="87"/>
      <c r="AQ2703" s="87" t="s">
        <v>17246</v>
      </c>
      <c r="AR2703" s="87"/>
      <c r="AS2703" s="87"/>
      <c r="AT2703" s="87"/>
      <c r="AU2703" s="87"/>
      <c r="AV2703" s="92" t="str">
        <f>HYPERLINK("https://pbs.twimg.com/media/F6UMwuMXgAA4Byv.jpg")</f>
        <v>https://pbs.twimg.com/media/F6UMwuMXgAA4Byv.jpg</v>
      </c>
      <c r="AW2703" s="93" t="s">
        <v>20864</v>
      </c>
      <c r="AX2703" s="93" t="s">
        <v>20864</v>
      </c>
      <c r="AY2703" s="87"/>
      <c r="AZ2703" s="93" t="s">
        <v>22668</v>
      </c>
      <c r="BA2703" s="93" t="s">
        <v>22668</v>
      </c>
      <c r="BB2703" s="93" t="s">
        <v>22668</v>
      </c>
      <c r="BC2703" s="93" t="s">
        <v>20864</v>
      </c>
      <c r="BD2703" s="93" t="s">
        <v>23269</v>
      </c>
      <c r="BE2703" s="87"/>
      <c r="BF2703" s="87"/>
      <c r="BG2703" s="87"/>
      <c r="BH2703" s="87"/>
      <c r="BI2703" s="87"/>
    </row>
    <row r="2704" spans="1:61" x14ac:dyDescent="0.25">
      <c r="A2704" s="63" t="s">
        <v>1058</v>
      </c>
      <c r="B2704" s="63" t="s">
        <v>1058</v>
      </c>
      <c r="C2704" s="64"/>
      <c r="D2704" s="65"/>
      <c r="E2704" s="66"/>
      <c r="F2704" s="67"/>
      <c r="G2704" s="64"/>
      <c r="H2704" s="68"/>
      <c r="I2704" s="69"/>
      <c r="J2704" s="69"/>
      <c r="K2704" s="32"/>
      <c r="L2704" s="76">
        <v>2704</v>
      </c>
      <c r="M2704" s="76"/>
      <c r="N2704" s="71"/>
      <c r="O2704" s="87" t="s">
        <v>179</v>
      </c>
      <c r="P2704" s="90">
        <v>45187.567731481482</v>
      </c>
      <c r="Q2704" s="87" t="s">
        <v>4421</v>
      </c>
      <c r="R2704" s="87">
        <v>0</v>
      </c>
      <c r="S2704" s="87">
        <v>0</v>
      </c>
      <c r="T2704" s="87">
        <v>0</v>
      </c>
      <c r="U2704" s="87">
        <v>0</v>
      </c>
      <c r="V2704" s="87">
        <v>38</v>
      </c>
      <c r="W2704" s="93" t="s">
        <v>7424</v>
      </c>
      <c r="X2704" s="87"/>
      <c r="Y2704" s="87"/>
      <c r="Z2704" s="87"/>
      <c r="AA2704" s="87" t="s">
        <v>10435</v>
      </c>
      <c r="AB2704" s="87" t="s">
        <v>11448</v>
      </c>
      <c r="AC2704" s="93" t="s">
        <v>11457</v>
      </c>
      <c r="AD2704" s="87" t="s">
        <v>11519</v>
      </c>
      <c r="AE2704" s="92" t="str">
        <f>HYPERLINK("https://twitter.com/serraempauta/status/1703765198006276138")</f>
        <v>https://twitter.com/serraempauta/status/1703765198006276138</v>
      </c>
      <c r="AF2704" s="90">
        <v>45187.567731481482</v>
      </c>
      <c r="AG2704" s="99">
        <v>45187</v>
      </c>
      <c r="AH2704" s="93" t="s">
        <v>13948</v>
      </c>
      <c r="AI2704" s="87" t="b">
        <v>0</v>
      </c>
      <c r="AJ2704" s="87"/>
      <c r="AK2704" s="87"/>
      <c r="AL2704" s="87"/>
      <c r="AM2704" s="87"/>
      <c r="AN2704" s="87"/>
      <c r="AO2704" s="87"/>
      <c r="AP2704" s="87"/>
      <c r="AQ2704" s="87" t="s">
        <v>17247</v>
      </c>
      <c r="AR2704" s="87"/>
      <c r="AS2704" s="87"/>
      <c r="AT2704" s="87"/>
      <c r="AU2704" s="87"/>
      <c r="AV2704" s="92" t="str">
        <f>HYPERLINK("https://pbs.twimg.com/media/F6T9afgXQAE3EDj.jpg")</f>
        <v>https://pbs.twimg.com/media/F6T9afgXQAE3EDj.jpg</v>
      </c>
      <c r="AW2704" s="93" t="s">
        <v>20865</v>
      </c>
      <c r="AX2704" s="93" t="s">
        <v>20865</v>
      </c>
      <c r="AY2704" s="87"/>
      <c r="AZ2704" s="93" t="s">
        <v>22668</v>
      </c>
      <c r="BA2704" s="93" t="s">
        <v>22668</v>
      </c>
      <c r="BB2704" s="93" t="s">
        <v>22668</v>
      </c>
      <c r="BC2704" s="93" t="s">
        <v>20865</v>
      </c>
      <c r="BD2704" s="93" t="s">
        <v>23269</v>
      </c>
      <c r="BE2704" s="87"/>
      <c r="BF2704" s="87"/>
      <c r="BG2704" s="87"/>
      <c r="BH2704" s="87"/>
      <c r="BI2704" s="87"/>
    </row>
    <row r="2705" spans="1:61" x14ac:dyDescent="0.25">
      <c r="A2705" s="63" t="s">
        <v>1058</v>
      </c>
      <c r="B2705" s="63" t="s">
        <v>1058</v>
      </c>
      <c r="C2705" s="64"/>
      <c r="D2705" s="65"/>
      <c r="E2705" s="66"/>
      <c r="F2705" s="67"/>
      <c r="G2705" s="64"/>
      <c r="H2705" s="68"/>
      <c r="I2705" s="69"/>
      <c r="J2705" s="69"/>
      <c r="K2705" s="32"/>
      <c r="L2705" s="76">
        <v>2705</v>
      </c>
      <c r="M2705" s="76"/>
      <c r="N2705" s="71"/>
      <c r="O2705" s="87" t="s">
        <v>179</v>
      </c>
      <c r="P2705" s="90">
        <v>45187.537719907406</v>
      </c>
      <c r="Q2705" s="87" t="s">
        <v>4422</v>
      </c>
      <c r="R2705" s="87">
        <v>0</v>
      </c>
      <c r="S2705" s="87">
        <v>0</v>
      </c>
      <c r="T2705" s="87">
        <v>0</v>
      </c>
      <c r="U2705" s="87">
        <v>0</v>
      </c>
      <c r="V2705" s="87">
        <v>30</v>
      </c>
      <c r="W2705" s="93" t="s">
        <v>7424</v>
      </c>
      <c r="X2705" s="87"/>
      <c r="Y2705" s="87"/>
      <c r="Z2705" s="87"/>
      <c r="AA2705" s="87" t="s">
        <v>10436</v>
      </c>
      <c r="AB2705" s="87" t="s">
        <v>11448</v>
      </c>
      <c r="AC2705" s="93" t="s">
        <v>11457</v>
      </c>
      <c r="AD2705" s="87" t="s">
        <v>11519</v>
      </c>
      <c r="AE2705" s="92" t="str">
        <f>HYPERLINK("https://twitter.com/serraempauta/status/1703754324168356342")</f>
        <v>https://twitter.com/serraempauta/status/1703754324168356342</v>
      </c>
      <c r="AF2705" s="90">
        <v>45187.537719907406</v>
      </c>
      <c r="AG2705" s="99">
        <v>45187</v>
      </c>
      <c r="AH2705" s="93" t="s">
        <v>13949</v>
      </c>
      <c r="AI2705" s="87" t="b">
        <v>0</v>
      </c>
      <c r="AJ2705" s="87"/>
      <c r="AK2705" s="87"/>
      <c r="AL2705" s="87"/>
      <c r="AM2705" s="87"/>
      <c r="AN2705" s="87"/>
      <c r="AO2705" s="87"/>
      <c r="AP2705" s="87"/>
      <c r="AQ2705" s="87" t="s">
        <v>17248</v>
      </c>
      <c r="AR2705" s="87"/>
      <c r="AS2705" s="87"/>
      <c r="AT2705" s="87"/>
      <c r="AU2705" s="87"/>
      <c r="AV2705" s="92" t="str">
        <f>HYPERLINK("https://pbs.twimg.com/media/F6TzhfXWUAAea_C.jpg")</f>
        <v>https://pbs.twimg.com/media/F6TzhfXWUAAea_C.jpg</v>
      </c>
      <c r="AW2705" s="93" t="s">
        <v>20866</v>
      </c>
      <c r="AX2705" s="93" t="s">
        <v>20866</v>
      </c>
      <c r="AY2705" s="87"/>
      <c r="AZ2705" s="93" t="s">
        <v>22668</v>
      </c>
      <c r="BA2705" s="93" t="s">
        <v>22668</v>
      </c>
      <c r="BB2705" s="93" t="s">
        <v>22668</v>
      </c>
      <c r="BC2705" s="93" t="s">
        <v>20866</v>
      </c>
      <c r="BD2705" s="93" t="s">
        <v>23269</v>
      </c>
      <c r="BE2705" s="87"/>
      <c r="BF2705" s="87"/>
      <c r="BG2705" s="87"/>
      <c r="BH2705" s="87"/>
      <c r="BI2705" s="87"/>
    </row>
    <row r="2706" spans="1:61" x14ac:dyDescent="0.25">
      <c r="A2706" s="63" t="s">
        <v>1058</v>
      </c>
      <c r="B2706" s="63" t="s">
        <v>1058</v>
      </c>
      <c r="C2706" s="64"/>
      <c r="D2706" s="65"/>
      <c r="E2706" s="66"/>
      <c r="F2706" s="67"/>
      <c r="G2706" s="64"/>
      <c r="H2706" s="68"/>
      <c r="I2706" s="69"/>
      <c r="J2706" s="69"/>
      <c r="K2706" s="32"/>
      <c r="L2706" s="76">
        <v>2706</v>
      </c>
      <c r="M2706" s="76"/>
      <c r="N2706" s="71"/>
      <c r="O2706" s="87" t="s">
        <v>179</v>
      </c>
      <c r="P2706" s="90">
        <v>45187.502222222225</v>
      </c>
      <c r="Q2706" s="87" t="s">
        <v>4423</v>
      </c>
      <c r="R2706" s="87">
        <v>0</v>
      </c>
      <c r="S2706" s="87">
        <v>0</v>
      </c>
      <c r="T2706" s="87">
        <v>0</v>
      </c>
      <c r="U2706" s="87">
        <v>0</v>
      </c>
      <c r="V2706" s="87">
        <v>32</v>
      </c>
      <c r="W2706" s="93" t="s">
        <v>7424</v>
      </c>
      <c r="X2706" s="87"/>
      <c r="Y2706" s="87"/>
      <c r="Z2706" s="87"/>
      <c r="AA2706" s="87" t="s">
        <v>10437</v>
      </c>
      <c r="AB2706" s="87" t="s">
        <v>11448</v>
      </c>
      <c r="AC2706" s="93" t="s">
        <v>11457</v>
      </c>
      <c r="AD2706" s="87" t="s">
        <v>11519</v>
      </c>
      <c r="AE2706" s="92" t="str">
        <f>HYPERLINK("https://twitter.com/serraempauta/status/1703741458463776984")</f>
        <v>https://twitter.com/serraempauta/status/1703741458463776984</v>
      </c>
      <c r="AF2706" s="90">
        <v>45187.502222222225</v>
      </c>
      <c r="AG2706" s="99">
        <v>45187</v>
      </c>
      <c r="AH2706" s="93" t="s">
        <v>13950</v>
      </c>
      <c r="AI2706" s="87" t="b">
        <v>0</v>
      </c>
      <c r="AJ2706" s="87"/>
      <c r="AK2706" s="87"/>
      <c r="AL2706" s="87"/>
      <c r="AM2706" s="87"/>
      <c r="AN2706" s="87"/>
      <c r="AO2706" s="87"/>
      <c r="AP2706" s="87"/>
      <c r="AQ2706" s="87" t="s">
        <v>17249</v>
      </c>
      <c r="AR2706" s="87"/>
      <c r="AS2706" s="87"/>
      <c r="AT2706" s="87"/>
      <c r="AU2706" s="87"/>
      <c r="AV2706" s="92" t="str">
        <f>HYPERLINK("https://pbs.twimg.com/media/F6Tn0jYXcAAZe3i.jpg")</f>
        <v>https://pbs.twimg.com/media/F6Tn0jYXcAAZe3i.jpg</v>
      </c>
      <c r="AW2706" s="93" t="s">
        <v>20867</v>
      </c>
      <c r="AX2706" s="93" t="s">
        <v>20867</v>
      </c>
      <c r="AY2706" s="87"/>
      <c r="AZ2706" s="93" t="s">
        <v>22668</v>
      </c>
      <c r="BA2706" s="93" t="s">
        <v>22668</v>
      </c>
      <c r="BB2706" s="93" t="s">
        <v>22668</v>
      </c>
      <c r="BC2706" s="93" t="s">
        <v>20867</v>
      </c>
      <c r="BD2706" s="93" t="s">
        <v>23269</v>
      </c>
      <c r="BE2706" s="87"/>
      <c r="BF2706" s="87"/>
      <c r="BG2706" s="87"/>
      <c r="BH2706" s="87"/>
      <c r="BI2706" s="87"/>
    </row>
    <row r="2707" spans="1:61" x14ac:dyDescent="0.25">
      <c r="A2707" s="63" t="s">
        <v>1058</v>
      </c>
      <c r="B2707" s="63" t="s">
        <v>1058</v>
      </c>
      <c r="C2707" s="64"/>
      <c r="D2707" s="65"/>
      <c r="E2707" s="66"/>
      <c r="F2707" s="67"/>
      <c r="G2707" s="64"/>
      <c r="H2707" s="68"/>
      <c r="I2707" s="69"/>
      <c r="J2707" s="69"/>
      <c r="K2707" s="32"/>
      <c r="L2707" s="76">
        <v>2707</v>
      </c>
      <c r="M2707" s="76"/>
      <c r="N2707" s="71"/>
      <c r="O2707" s="87" t="s">
        <v>179</v>
      </c>
      <c r="P2707" s="90">
        <v>45181.893113425926</v>
      </c>
      <c r="Q2707" s="87" t="s">
        <v>4424</v>
      </c>
      <c r="R2707" s="87">
        <v>0</v>
      </c>
      <c r="S2707" s="87">
        <v>0</v>
      </c>
      <c r="T2707" s="87">
        <v>0</v>
      </c>
      <c r="U2707" s="87">
        <v>0</v>
      </c>
      <c r="V2707" s="87">
        <v>40</v>
      </c>
      <c r="W2707" s="93" t="s">
        <v>7424</v>
      </c>
      <c r="X2707" s="87"/>
      <c r="Y2707" s="87"/>
      <c r="Z2707" s="87"/>
      <c r="AA2707" s="87" t="s">
        <v>10438</v>
      </c>
      <c r="AB2707" s="87" t="s">
        <v>11448</v>
      </c>
      <c r="AC2707" s="93" t="s">
        <v>11457</v>
      </c>
      <c r="AD2707" s="87" t="s">
        <v>11519</v>
      </c>
      <c r="AE2707" s="92" t="str">
        <f>HYPERLINK("https://twitter.com/serraempauta/status/1701708785381933171")</f>
        <v>https://twitter.com/serraempauta/status/1701708785381933171</v>
      </c>
      <c r="AF2707" s="90">
        <v>45181.893113425926</v>
      </c>
      <c r="AG2707" s="99">
        <v>45181</v>
      </c>
      <c r="AH2707" s="93" t="s">
        <v>13951</v>
      </c>
      <c r="AI2707" s="87" t="b">
        <v>0</v>
      </c>
      <c r="AJ2707" s="87"/>
      <c r="AK2707" s="87"/>
      <c r="AL2707" s="87"/>
      <c r="AM2707" s="87"/>
      <c r="AN2707" s="87"/>
      <c r="AO2707" s="87"/>
      <c r="AP2707" s="87"/>
      <c r="AQ2707" s="87" t="s">
        <v>17250</v>
      </c>
      <c r="AR2707" s="87"/>
      <c r="AS2707" s="87"/>
      <c r="AT2707" s="87"/>
      <c r="AU2707" s="87"/>
      <c r="AV2707" s="92" t="str">
        <f>HYPERLINK("https://pbs.twimg.com/media/F52vGQcXMAAFoOZ.jpg")</f>
        <v>https://pbs.twimg.com/media/F52vGQcXMAAFoOZ.jpg</v>
      </c>
      <c r="AW2707" s="93" t="s">
        <v>20868</v>
      </c>
      <c r="AX2707" s="93" t="s">
        <v>20868</v>
      </c>
      <c r="AY2707" s="87"/>
      <c r="AZ2707" s="93" t="s">
        <v>22668</v>
      </c>
      <c r="BA2707" s="93" t="s">
        <v>22668</v>
      </c>
      <c r="BB2707" s="93" t="s">
        <v>22668</v>
      </c>
      <c r="BC2707" s="93" t="s">
        <v>20868</v>
      </c>
      <c r="BD2707" s="93" t="s">
        <v>23269</v>
      </c>
      <c r="BE2707" s="87"/>
      <c r="BF2707" s="87"/>
      <c r="BG2707" s="87"/>
      <c r="BH2707" s="87"/>
      <c r="BI2707" s="87"/>
    </row>
    <row r="2708" spans="1:61" x14ac:dyDescent="0.25">
      <c r="A2708" s="63" t="s">
        <v>1058</v>
      </c>
      <c r="B2708" s="63" t="s">
        <v>1058</v>
      </c>
      <c r="C2708" s="64"/>
      <c r="D2708" s="65"/>
      <c r="E2708" s="66"/>
      <c r="F2708" s="67"/>
      <c r="G2708" s="64"/>
      <c r="H2708" s="68"/>
      <c r="I2708" s="69"/>
      <c r="J2708" s="69"/>
      <c r="K2708" s="32"/>
      <c r="L2708" s="76">
        <v>2708</v>
      </c>
      <c r="M2708" s="76"/>
      <c r="N2708" s="71"/>
      <c r="O2708" s="87" t="s">
        <v>179</v>
      </c>
      <c r="P2708" s="90">
        <v>45181.841574074075</v>
      </c>
      <c r="Q2708" s="87" t="s">
        <v>4425</v>
      </c>
      <c r="R2708" s="87">
        <v>0</v>
      </c>
      <c r="S2708" s="87">
        <v>0</v>
      </c>
      <c r="T2708" s="87">
        <v>0</v>
      </c>
      <c r="U2708" s="87">
        <v>0</v>
      </c>
      <c r="V2708" s="87">
        <v>35</v>
      </c>
      <c r="W2708" s="93" t="s">
        <v>7424</v>
      </c>
      <c r="X2708" s="87"/>
      <c r="Y2708" s="87"/>
      <c r="Z2708" s="87"/>
      <c r="AA2708" s="87" t="s">
        <v>10439</v>
      </c>
      <c r="AB2708" s="87" t="s">
        <v>11448</v>
      </c>
      <c r="AC2708" s="93" t="s">
        <v>11457</v>
      </c>
      <c r="AD2708" s="87" t="s">
        <v>11519</v>
      </c>
      <c r="AE2708" s="92" t="str">
        <f>HYPERLINK("https://twitter.com/serraempauta/status/1701690109626589297")</f>
        <v>https://twitter.com/serraempauta/status/1701690109626589297</v>
      </c>
      <c r="AF2708" s="90">
        <v>45181.841574074075</v>
      </c>
      <c r="AG2708" s="99">
        <v>45181</v>
      </c>
      <c r="AH2708" s="93" t="s">
        <v>13952</v>
      </c>
      <c r="AI2708" s="87" t="b">
        <v>0</v>
      </c>
      <c r="AJ2708" s="87"/>
      <c r="AK2708" s="87"/>
      <c r="AL2708" s="87"/>
      <c r="AM2708" s="87"/>
      <c r="AN2708" s="87"/>
      <c r="AO2708" s="87"/>
      <c r="AP2708" s="87"/>
      <c r="AQ2708" s="87" t="s">
        <v>17251</v>
      </c>
      <c r="AR2708" s="87"/>
      <c r="AS2708" s="87"/>
      <c r="AT2708" s="87"/>
      <c r="AU2708" s="87"/>
      <c r="AV2708" s="92" t="str">
        <f>HYPERLINK("https://pbs.twimg.com/media/F52eIY1WEAALA93.jpg")</f>
        <v>https://pbs.twimg.com/media/F52eIY1WEAALA93.jpg</v>
      </c>
      <c r="AW2708" s="93" t="s">
        <v>20869</v>
      </c>
      <c r="AX2708" s="93" t="s">
        <v>20869</v>
      </c>
      <c r="AY2708" s="87"/>
      <c r="AZ2708" s="93" t="s">
        <v>22668</v>
      </c>
      <c r="BA2708" s="93" t="s">
        <v>22668</v>
      </c>
      <c r="BB2708" s="93" t="s">
        <v>22668</v>
      </c>
      <c r="BC2708" s="93" t="s">
        <v>20869</v>
      </c>
      <c r="BD2708" s="93" t="s">
        <v>23269</v>
      </c>
      <c r="BE2708" s="87"/>
      <c r="BF2708" s="87"/>
      <c r="BG2708" s="87"/>
      <c r="BH2708" s="87"/>
      <c r="BI2708" s="87"/>
    </row>
    <row r="2709" spans="1:61" x14ac:dyDescent="0.25">
      <c r="A2709" s="63" t="s">
        <v>1058</v>
      </c>
      <c r="B2709" s="63" t="s">
        <v>1058</v>
      </c>
      <c r="C2709" s="64"/>
      <c r="D2709" s="65"/>
      <c r="E2709" s="66"/>
      <c r="F2709" s="67"/>
      <c r="G2709" s="64"/>
      <c r="H2709" s="68"/>
      <c r="I2709" s="69"/>
      <c r="J2709" s="69"/>
      <c r="K2709" s="32"/>
      <c r="L2709" s="76">
        <v>2709</v>
      </c>
      <c r="M2709" s="76"/>
      <c r="N2709" s="71"/>
      <c r="O2709" s="87" t="s">
        <v>179</v>
      </c>
      <c r="P2709" s="90">
        <v>45181.803506944445</v>
      </c>
      <c r="Q2709" s="87" t="s">
        <v>4426</v>
      </c>
      <c r="R2709" s="87">
        <v>0</v>
      </c>
      <c r="S2709" s="87">
        <v>0</v>
      </c>
      <c r="T2709" s="87">
        <v>0</v>
      </c>
      <c r="U2709" s="87">
        <v>0</v>
      </c>
      <c r="V2709" s="87">
        <v>39</v>
      </c>
      <c r="W2709" s="93" t="s">
        <v>7424</v>
      </c>
      <c r="X2709" s="87"/>
      <c r="Y2709" s="87"/>
      <c r="Z2709" s="87"/>
      <c r="AA2709" s="87" t="s">
        <v>10440</v>
      </c>
      <c r="AB2709" s="87" t="s">
        <v>11448</v>
      </c>
      <c r="AC2709" s="93" t="s">
        <v>11457</v>
      </c>
      <c r="AD2709" s="87" t="s">
        <v>11519</v>
      </c>
      <c r="AE2709" s="92" t="str">
        <f>HYPERLINK("https://twitter.com/serraempauta/status/1701676315282223125")</f>
        <v>https://twitter.com/serraempauta/status/1701676315282223125</v>
      </c>
      <c r="AF2709" s="90">
        <v>45181.803506944445</v>
      </c>
      <c r="AG2709" s="99">
        <v>45181</v>
      </c>
      <c r="AH2709" s="93" t="s">
        <v>13953</v>
      </c>
      <c r="AI2709" s="87" t="b">
        <v>0</v>
      </c>
      <c r="AJ2709" s="87"/>
      <c r="AK2709" s="87"/>
      <c r="AL2709" s="87"/>
      <c r="AM2709" s="87"/>
      <c r="AN2709" s="87"/>
      <c r="AO2709" s="87"/>
      <c r="AP2709" s="87"/>
      <c r="AQ2709" s="87" t="s">
        <v>17252</v>
      </c>
      <c r="AR2709" s="87"/>
      <c r="AS2709" s="87"/>
      <c r="AT2709" s="87"/>
      <c r="AU2709" s="87"/>
      <c r="AV2709" s="92" t="str">
        <f>HYPERLINK("https://pbs.twimg.com/media/F52RlTNXQAE1Hn4.jpg")</f>
        <v>https://pbs.twimg.com/media/F52RlTNXQAE1Hn4.jpg</v>
      </c>
      <c r="AW2709" s="93" t="s">
        <v>20870</v>
      </c>
      <c r="AX2709" s="93" t="s">
        <v>20870</v>
      </c>
      <c r="AY2709" s="87"/>
      <c r="AZ2709" s="93" t="s">
        <v>22668</v>
      </c>
      <c r="BA2709" s="93" t="s">
        <v>22668</v>
      </c>
      <c r="BB2709" s="93" t="s">
        <v>22668</v>
      </c>
      <c r="BC2709" s="93" t="s">
        <v>20870</v>
      </c>
      <c r="BD2709" s="93" t="s">
        <v>23269</v>
      </c>
      <c r="BE2709" s="87"/>
      <c r="BF2709" s="87"/>
      <c r="BG2709" s="87"/>
      <c r="BH2709" s="87"/>
      <c r="BI2709" s="87"/>
    </row>
    <row r="2710" spans="1:61" x14ac:dyDescent="0.25">
      <c r="A2710" s="63" t="s">
        <v>1058</v>
      </c>
      <c r="B2710" s="63" t="s">
        <v>1058</v>
      </c>
      <c r="C2710" s="64"/>
      <c r="D2710" s="65"/>
      <c r="E2710" s="66"/>
      <c r="F2710" s="67"/>
      <c r="G2710" s="64"/>
      <c r="H2710" s="68"/>
      <c r="I2710" s="69"/>
      <c r="J2710" s="69"/>
      <c r="K2710" s="32"/>
      <c r="L2710" s="76">
        <v>2710</v>
      </c>
      <c r="M2710" s="76"/>
      <c r="N2710" s="71"/>
      <c r="O2710" s="87" t="s">
        <v>179</v>
      </c>
      <c r="P2710" s="90">
        <v>45174.63554398148</v>
      </c>
      <c r="Q2710" s="87" t="s">
        <v>4427</v>
      </c>
      <c r="R2710" s="87">
        <v>0</v>
      </c>
      <c r="S2710" s="87">
        <v>0</v>
      </c>
      <c r="T2710" s="87">
        <v>0</v>
      </c>
      <c r="U2710" s="87">
        <v>0</v>
      </c>
      <c r="V2710" s="87">
        <v>63</v>
      </c>
      <c r="W2710" s="93" t="s">
        <v>7424</v>
      </c>
      <c r="X2710" s="87"/>
      <c r="Y2710" s="87"/>
      <c r="Z2710" s="87"/>
      <c r="AA2710" s="87" t="s">
        <v>10441</v>
      </c>
      <c r="AB2710" s="87" t="s">
        <v>11448</v>
      </c>
      <c r="AC2710" s="93" t="s">
        <v>11457</v>
      </c>
      <c r="AD2710" s="87" t="s">
        <v>11519</v>
      </c>
      <c r="AE2710" s="92" t="str">
        <f>HYPERLINK("https://twitter.com/serraempauta/status/1699078732361740693")</f>
        <v>https://twitter.com/serraempauta/status/1699078732361740693</v>
      </c>
      <c r="AF2710" s="90">
        <v>45174.63554398148</v>
      </c>
      <c r="AG2710" s="99">
        <v>45174</v>
      </c>
      <c r="AH2710" s="93" t="s">
        <v>13954</v>
      </c>
      <c r="AI2710" s="87" t="b">
        <v>0</v>
      </c>
      <c r="AJ2710" s="87"/>
      <c r="AK2710" s="87"/>
      <c r="AL2710" s="87"/>
      <c r="AM2710" s="87"/>
      <c r="AN2710" s="87"/>
      <c r="AO2710" s="87"/>
      <c r="AP2710" s="87"/>
      <c r="AQ2710" s="87" t="s">
        <v>17253</v>
      </c>
      <c r="AR2710" s="87"/>
      <c r="AS2710" s="87"/>
      <c r="AT2710" s="87"/>
      <c r="AU2710" s="87"/>
      <c r="AV2710" s="92" t="str">
        <f>HYPERLINK("https://pbs.twimg.com/media/F5RXGPHW0AAcm-1.jpg")</f>
        <v>https://pbs.twimg.com/media/F5RXGPHW0AAcm-1.jpg</v>
      </c>
      <c r="AW2710" s="93" t="s">
        <v>20871</v>
      </c>
      <c r="AX2710" s="93" t="s">
        <v>20871</v>
      </c>
      <c r="AY2710" s="87"/>
      <c r="AZ2710" s="93" t="s">
        <v>22668</v>
      </c>
      <c r="BA2710" s="93" t="s">
        <v>22668</v>
      </c>
      <c r="BB2710" s="93" t="s">
        <v>22668</v>
      </c>
      <c r="BC2710" s="93" t="s">
        <v>20871</v>
      </c>
      <c r="BD2710" s="93" t="s">
        <v>23269</v>
      </c>
      <c r="BE2710" s="87"/>
      <c r="BF2710" s="87"/>
      <c r="BG2710" s="87"/>
      <c r="BH2710" s="87"/>
      <c r="BI2710" s="87"/>
    </row>
    <row r="2711" spans="1:61" x14ac:dyDescent="0.25">
      <c r="A2711" s="63" t="s">
        <v>1058</v>
      </c>
      <c r="B2711" s="63" t="s">
        <v>1058</v>
      </c>
      <c r="C2711" s="64"/>
      <c r="D2711" s="65"/>
      <c r="E2711" s="66"/>
      <c r="F2711" s="67"/>
      <c r="G2711" s="64"/>
      <c r="H2711" s="68"/>
      <c r="I2711" s="69"/>
      <c r="J2711" s="69"/>
      <c r="K2711" s="32"/>
      <c r="L2711" s="76">
        <v>2711</v>
      </c>
      <c r="M2711" s="76"/>
      <c r="N2711" s="71"/>
      <c r="O2711" s="87" t="s">
        <v>179</v>
      </c>
      <c r="P2711" s="90">
        <v>45174.579641203702</v>
      </c>
      <c r="Q2711" s="87" t="s">
        <v>4428</v>
      </c>
      <c r="R2711" s="87">
        <v>0</v>
      </c>
      <c r="S2711" s="87">
        <v>0</v>
      </c>
      <c r="T2711" s="87">
        <v>0</v>
      </c>
      <c r="U2711" s="87">
        <v>0</v>
      </c>
      <c r="V2711" s="87">
        <v>62</v>
      </c>
      <c r="W2711" s="93" t="s">
        <v>7424</v>
      </c>
      <c r="X2711" s="87"/>
      <c r="Y2711" s="87"/>
      <c r="Z2711" s="87"/>
      <c r="AA2711" s="87" t="s">
        <v>10442</v>
      </c>
      <c r="AB2711" s="87" t="s">
        <v>11448</v>
      </c>
      <c r="AC2711" s="93" t="s">
        <v>11457</v>
      </c>
      <c r="AD2711" s="87" t="s">
        <v>11519</v>
      </c>
      <c r="AE2711" s="92" t="str">
        <f>HYPERLINK("https://twitter.com/serraempauta/status/1699058471508070491")</f>
        <v>https://twitter.com/serraempauta/status/1699058471508070491</v>
      </c>
      <c r="AF2711" s="90">
        <v>45174.579641203702</v>
      </c>
      <c r="AG2711" s="99">
        <v>45174</v>
      </c>
      <c r="AH2711" s="93" t="s">
        <v>13955</v>
      </c>
      <c r="AI2711" s="87" t="b">
        <v>0</v>
      </c>
      <c r="AJ2711" s="87"/>
      <c r="AK2711" s="87"/>
      <c r="AL2711" s="87"/>
      <c r="AM2711" s="87"/>
      <c r="AN2711" s="87"/>
      <c r="AO2711" s="87"/>
      <c r="AP2711" s="87"/>
      <c r="AQ2711" s="87" t="s">
        <v>17254</v>
      </c>
      <c r="AR2711" s="87"/>
      <c r="AS2711" s="87"/>
      <c r="AT2711" s="87"/>
      <c r="AU2711" s="87"/>
      <c r="AV2711" s="92" t="str">
        <f>HYPERLINK("https://pbs.twimg.com/media/F5REqscbQAAUXVn.jpg")</f>
        <v>https://pbs.twimg.com/media/F5REqscbQAAUXVn.jpg</v>
      </c>
      <c r="AW2711" s="93" t="s">
        <v>20872</v>
      </c>
      <c r="AX2711" s="93" t="s">
        <v>20872</v>
      </c>
      <c r="AY2711" s="87"/>
      <c r="AZ2711" s="93" t="s">
        <v>22668</v>
      </c>
      <c r="BA2711" s="93" t="s">
        <v>22668</v>
      </c>
      <c r="BB2711" s="93" t="s">
        <v>22668</v>
      </c>
      <c r="BC2711" s="93" t="s">
        <v>20872</v>
      </c>
      <c r="BD2711" s="93" t="s">
        <v>23269</v>
      </c>
      <c r="BE2711" s="87"/>
      <c r="BF2711" s="87"/>
      <c r="BG2711" s="87"/>
      <c r="BH2711" s="87"/>
      <c r="BI2711" s="87"/>
    </row>
    <row r="2712" spans="1:61" x14ac:dyDescent="0.25">
      <c r="A2712" s="63" t="s">
        <v>1058</v>
      </c>
      <c r="B2712" s="63" t="s">
        <v>1058</v>
      </c>
      <c r="C2712" s="64"/>
      <c r="D2712" s="65"/>
      <c r="E2712" s="66"/>
      <c r="F2712" s="67"/>
      <c r="G2712" s="64"/>
      <c r="H2712" s="68"/>
      <c r="I2712" s="69"/>
      <c r="J2712" s="69"/>
      <c r="K2712" s="32"/>
      <c r="L2712" s="76">
        <v>2712</v>
      </c>
      <c r="M2712" s="76"/>
      <c r="N2712" s="71"/>
      <c r="O2712" s="87" t="s">
        <v>179</v>
      </c>
      <c r="P2712" s="90">
        <v>45174.548368055555</v>
      </c>
      <c r="Q2712" s="87" t="s">
        <v>4429</v>
      </c>
      <c r="R2712" s="87">
        <v>0</v>
      </c>
      <c r="S2712" s="87">
        <v>0</v>
      </c>
      <c r="T2712" s="87">
        <v>0</v>
      </c>
      <c r="U2712" s="87">
        <v>0</v>
      </c>
      <c r="V2712" s="87">
        <v>55</v>
      </c>
      <c r="W2712" s="93" t="s">
        <v>7424</v>
      </c>
      <c r="X2712" s="87"/>
      <c r="Y2712" s="87"/>
      <c r="Z2712" s="87"/>
      <c r="AA2712" s="87" t="s">
        <v>10443</v>
      </c>
      <c r="AB2712" s="87" t="s">
        <v>11448</v>
      </c>
      <c r="AC2712" s="93" t="s">
        <v>11457</v>
      </c>
      <c r="AD2712" s="87" t="s">
        <v>11519</v>
      </c>
      <c r="AE2712" s="92" t="str">
        <f>HYPERLINK("https://twitter.com/serraempauta/status/1699047141585367311")</f>
        <v>https://twitter.com/serraempauta/status/1699047141585367311</v>
      </c>
      <c r="AF2712" s="90">
        <v>45174.548368055555</v>
      </c>
      <c r="AG2712" s="99">
        <v>45174</v>
      </c>
      <c r="AH2712" s="93" t="s">
        <v>13956</v>
      </c>
      <c r="AI2712" s="87" t="b">
        <v>0</v>
      </c>
      <c r="AJ2712" s="87"/>
      <c r="AK2712" s="87"/>
      <c r="AL2712" s="87"/>
      <c r="AM2712" s="87"/>
      <c r="AN2712" s="87"/>
      <c r="AO2712" s="87"/>
      <c r="AP2712" s="87"/>
      <c r="AQ2712" s="87" t="s">
        <v>17255</v>
      </c>
      <c r="AR2712" s="87"/>
      <c r="AS2712" s="87"/>
      <c r="AT2712" s="87"/>
      <c r="AU2712" s="87"/>
      <c r="AV2712" s="92" t="str">
        <f>HYPERLINK("https://pbs.twimg.com/media/F5Q6XQqXUAAJoKr.jpg")</f>
        <v>https://pbs.twimg.com/media/F5Q6XQqXUAAJoKr.jpg</v>
      </c>
      <c r="AW2712" s="93" t="s">
        <v>20873</v>
      </c>
      <c r="AX2712" s="93" t="s">
        <v>20873</v>
      </c>
      <c r="AY2712" s="87"/>
      <c r="AZ2712" s="93" t="s">
        <v>22668</v>
      </c>
      <c r="BA2712" s="93" t="s">
        <v>22668</v>
      </c>
      <c r="BB2712" s="93" t="s">
        <v>22668</v>
      </c>
      <c r="BC2712" s="93" t="s">
        <v>20873</v>
      </c>
      <c r="BD2712" s="93" t="s">
        <v>23269</v>
      </c>
      <c r="BE2712" s="87"/>
      <c r="BF2712" s="87"/>
      <c r="BG2712" s="87"/>
      <c r="BH2712" s="87"/>
      <c r="BI2712" s="87"/>
    </row>
    <row r="2713" spans="1:61" x14ac:dyDescent="0.25">
      <c r="A2713" s="63" t="s">
        <v>1058</v>
      </c>
      <c r="B2713" s="63" t="s">
        <v>1058</v>
      </c>
      <c r="C2713" s="64"/>
      <c r="D2713" s="65"/>
      <c r="E2713" s="66"/>
      <c r="F2713" s="67"/>
      <c r="G2713" s="64"/>
      <c r="H2713" s="68"/>
      <c r="I2713" s="69"/>
      <c r="J2713" s="69"/>
      <c r="K2713" s="32"/>
      <c r="L2713" s="76">
        <v>2713</v>
      </c>
      <c r="M2713" s="76"/>
      <c r="N2713" s="71"/>
      <c r="O2713" s="87" t="s">
        <v>179</v>
      </c>
      <c r="P2713" s="90">
        <v>45174.515023148146</v>
      </c>
      <c r="Q2713" s="87" t="s">
        <v>4430</v>
      </c>
      <c r="R2713" s="87">
        <v>0</v>
      </c>
      <c r="S2713" s="87">
        <v>0</v>
      </c>
      <c r="T2713" s="87">
        <v>0</v>
      </c>
      <c r="U2713" s="87">
        <v>0</v>
      </c>
      <c r="V2713" s="87">
        <v>70</v>
      </c>
      <c r="W2713" s="93" t="s">
        <v>7424</v>
      </c>
      <c r="X2713" s="87"/>
      <c r="Y2713" s="87"/>
      <c r="Z2713" s="87"/>
      <c r="AA2713" s="87" t="s">
        <v>10444</v>
      </c>
      <c r="AB2713" s="87" t="s">
        <v>11448</v>
      </c>
      <c r="AC2713" s="93" t="s">
        <v>11457</v>
      </c>
      <c r="AD2713" s="87" t="s">
        <v>11519</v>
      </c>
      <c r="AE2713" s="92" t="str">
        <f>HYPERLINK("https://twitter.com/serraempauta/status/1699035056927387676")</f>
        <v>https://twitter.com/serraempauta/status/1699035056927387676</v>
      </c>
      <c r="AF2713" s="90">
        <v>45174.515023148146</v>
      </c>
      <c r="AG2713" s="99">
        <v>45174</v>
      </c>
      <c r="AH2713" s="93" t="s">
        <v>13957</v>
      </c>
      <c r="AI2713" s="87" t="b">
        <v>0</v>
      </c>
      <c r="AJ2713" s="87"/>
      <c r="AK2713" s="87"/>
      <c r="AL2713" s="87"/>
      <c r="AM2713" s="87"/>
      <c r="AN2713" s="87"/>
      <c r="AO2713" s="87"/>
      <c r="AP2713" s="87"/>
      <c r="AQ2713" s="87" t="s">
        <v>17256</v>
      </c>
      <c r="AR2713" s="87"/>
      <c r="AS2713" s="87"/>
      <c r="AT2713" s="87"/>
      <c r="AU2713" s="87"/>
      <c r="AV2713" s="92" t="str">
        <f>HYPERLINK("https://pbs.twimg.com/media/F5QvX9eXMAAwoZH.jpg")</f>
        <v>https://pbs.twimg.com/media/F5QvX9eXMAAwoZH.jpg</v>
      </c>
      <c r="AW2713" s="93" t="s">
        <v>20874</v>
      </c>
      <c r="AX2713" s="93" t="s">
        <v>20874</v>
      </c>
      <c r="AY2713" s="87"/>
      <c r="AZ2713" s="93" t="s">
        <v>22668</v>
      </c>
      <c r="BA2713" s="93" t="s">
        <v>22668</v>
      </c>
      <c r="BB2713" s="93" t="s">
        <v>22668</v>
      </c>
      <c r="BC2713" s="93" t="s">
        <v>20874</v>
      </c>
      <c r="BD2713" s="93" t="s">
        <v>23269</v>
      </c>
      <c r="BE2713" s="87"/>
      <c r="BF2713" s="87"/>
      <c r="BG2713" s="87"/>
      <c r="BH2713" s="87"/>
      <c r="BI2713" s="87"/>
    </row>
    <row r="2714" spans="1:61" x14ac:dyDescent="0.25">
      <c r="A2714" s="63" t="s">
        <v>1058</v>
      </c>
      <c r="B2714" s="63" t="s">
        <v>1058</v>
      </c>
      <c r="C2714" s="64"/>
      <c r="D2714" s="65"/>
      <c r="E2714" s="66"/>
      <c r="F2714" s="67"/>
      <c r="G2714" s="64"/>
      <c r="H2714" s="68"/>
      <c r="I2714" s="69"/>
      <c r="J2714" s="69"/>
      <c r="K2714" s="32"/>
      <c r="L2714" s="76">
        <v>2714</v>
      </c>
      <c r="M2714" s="76"/>
      <c r="N2714" s="71"/>
      <c r="O2714" s="87" t="s">
        <v>179</v>
      </c>
      <c r="P2714" s="90">
        <v>45174.47452546296</v>
      </c>
      <c r="Q2714" s="87" t="s">
        <v>4431</v>
      </c>
      <c r="R2714" s="87">
        <v>0</v>
      </c>
      <c r="S2714" s="87">
        <v>0</v>
      </c>
      <c r="T2714" s="87">
        <v>0</v>
      </c>
      <c r="U2714" s="87">
        <v>0</v>
      </c>
      <c r="V2714" s="87">
        <v>44</v>
      </c>
      <c r="W2714" s="93" t="s">
        <v>7424</v>
      </c>
      <c r="X2714" s="87"/>
      <c r="Y2714" s="87"/>
      <c r="Z2714" s="87"/>
      <c r="AA2714" s="87" t="s">
        <v>10445</v>
      </c>
      <c r="AB2714" s="87" t="s">
        <v>11448</v>
      </c>
      <c r="AC2714" s="93" t="s">
        <v>11457</v>
      </c>
      <c r="AD2714" s="87" t="s">
        <v>11519</v>
      </c>
      <c r="AE2714" s="92" t="str">
        <f>HYPERLINK("https://twitter.com/serraempauta/status/1699020380793340131")</f>
        <v>https://twitter.com/serraempauta/status/1699020380793340131</v>
      </c>
      <c r="AF2714" s="90">
        <v>45174.47452546296</v>
      </c>
      <c r="AG2714" s="99">
        <v>45174</v>
      </c>
      <c r="AH2714" s="93" t="s">
        <v>13958</v>
      </c>
      <c r="AI2714" s="87" t="b">
        <v>0</v>
      </c>
      <c r="AJ2714" s="87"/>
      <c r="AK2714" s="87"/>
      <c r="AL2714" s="87"/>
      <c r="AM2714" s="87"/>
      <c r="AN2714" s="87"/>
      <c r="AO2714" s="87"/>
      <c r="AP2714" s="87"/>
      <c r="AQ2714" s="87" t="s">
        <v>17257</v>
      </c>
      <c r="AR2714" s="87"/>
      <c r="AS2714" s="87"/>
      <c r="AT2714" s="87"/>
      <c r="AU2714" s="87"/>
      <c r="AV2714" s="92" t="str">
        <f>HYPERLINK("https://pbs.twimg.com/media/F5QiBrLXYAA9WGd.jpg")</f>
        <v>https://pbs.twimg.com/media/F5QiBrLXYAA9WGd.jpg</v>
      </c>
      <c r="AW2714" s="93" t="s">
        <v>20875</v>
      </c>
      <c r="AX2714" s="93" t="s">
        <v>20875</v>
      </c>
      <c r="AY2714" s="87"/>
      <c r="AZ2714" s="93" t="s">
        <v>22668</v>
      </c>
      <c r="BA2714" s="93" t="s">
        <v>22668</v>
      </c>
      <c r="BB2714" s="93" t="s">
        <v>22668</v>
      </c>
      <c r="BC2714" s="93" t="s">
        <v>20875</v>
      </c>
      <c r="BD2714" s="93" t="s">
        <v>23269</v>
      </c>
      <c r="BE2714" s="87"/>
      <c r="BF2714" s="87"/>
      <c r="BG2714" s="87"/>
      <c r="BH2714" s="87"/>
      <c r="BI2714" s="87"/>
    </row>
    <row r="2715" spans="1:61" x14ac:dyDescent="0.25">
      <c r="A2715" s="63" t="s">
        <v>1058</v>
      </c>
      <c r="B2715" s="63" t="s">
        <v>1058</v>
      </c>
      <c r="C2715" s="64"/>
      <c r="D2715" s="65"/>
      <c r="E2715" s="66"/>
      <c r="F2715" s="67"/>
      <c r="G2715" s="64"/>
      <c r="H2715" s="68"/>
      <c r="I2715" s="69"/>
      <c r="J2715" s="69"/>
      <c r="K2715" s="32"/>
      <c r="L2715" s="76">
        <v>2715</v>
      </c>
      <c r="M2715" s="76"/>
      <c r="N2715" s="71"/>
      <c r="O2715" s="87" t="s">
        <v>179</v>
      </c>
      <c r="P2715" s="90">
        <v>45167.551203703704</v>
      </c>
      <c r="Q2715" s="87" t="s">
        <v>4432</v>
      </c>
      <c r="R2715" s="87">
        <v>0</v>
      </c>
      <c r="S2715" s="87">
        <v>0</v>
      </c>
      <c r="T2715" s="87">
        <v>0</v>
      </c>
      <c r="U2715" s="87">
        <v>0</v>
      </c>
      <c r="V2715" s="87">
        <v>45</v>
      </c>
      <c r="W2715" s="93" t="s">
        <v>7424</v>
      </c>
      <c r="X2715" s="87"/>
      <c r="Y2715" s="87"/>
      <c r="Z2715" s="87"/>
      <c r="AA2715" s="87" t="s">
        <v>10446</v>
      </c>
      <c r="AB2715" s="87" t="s">
        <v>11448</v>
      </c>
      <c r="AC2715" s="93" t="s">
        <v>11457</v>
      </c>
      <c r="AD2715" s="87" t="s">
        <v>11519</v>
      </c>
      <c r="AE2715" s="92" t="str">
        <f>HYPERLINK("https://twitter.com/serraempauta/status/1696511450414555203")</f>
        <v>https://twitter.com/serraempauta/status/1696511450414555203</v>
      </c>
      <c r="AF2715" s="90">
        <v>45167.551203703704</v>
      </c>
      <c r="AG2715" s="99">
        <v>45167</v>
      </c>
      <c r="AH2715" s="93" t="s">
        <v>13959</v>
      </c>
      <c r="AI2715" s="87" t="b">
        <v>0</v>
      </c>
      <c r="AJ2715" s="87"/>
      <c r="AK2715" s="87"/>
      <c r="AL2715" s="87"/>
      <c r="AM2715" s="87"/>
      <c r="AN2715" s="87"/>
      <c r="AO2715" s="87"/>
      <c r="AP2715" s="87"/>
      <c r="AQ2715" s="87" t="s">
        <v>17258</v>
      </c>
      <c r="AR2715" s="87"/>
      <c r="AS2715" s="87"/>
      <c r="AT2715" s="87"/>
      <c r="AU2715" s="87"/>
      <c r="AV2715" s="92" t="str">
        <f>HYPERLINK("https://pbs.twimg.com/media/F4s4KvWX0AAHi0p.png")</f>
        <v>https://pbs.twimg.com/media/F4s4KvWX0AAHi0p.png</v>
      </c>
      <c r="AW2715" s="93" t="s">
        <v>20876</v>
      </c>
      <c r="AX2715" s="93" t="s">
        <v>20876</v>
      </c>
      <c r="AY2715" s="87"/>
      <c r="AZ2715" s="93" t="s">
        <v>22668</v>
      </c>
      <c r="BA2715" s="93" t="s">
        <v>22668</v>
      </c>
      <c r="BB2715" s="93" t="s">
        <v>22668</v>
      </c>
      <c r="BC2715" s="93" t="s">
        <v>20876</v>
      </c>
      <c r="BD2715" s="93" t="s">
        <v>23269</v>
      </c>
      <c r="BE2715" s="87"/>
      <c r="BF2715" s="87"/>
      <c r="BG2715" s="87"/>
      <c r="BH2715" s="87"/>
      <c r="BI2715" s="87"/>
    </row>
    <row r="2716" spans="1:61" x14ac:dyDescent="0.25">
      <c r="A2716" s="63" t="s">
        <v>1058</v>
      </c>
      <c r="B2716" s="63" t="s">
        <v>1058</v>
      </c>
      <c r="C2716" s="64"/>
      <c r="D2716" s="65"/>
      <c r="E2716" s="66"/>
      <c r="F2716" s="67"/>
      <c r="G2716" s="64"/>
      <c r="H2716" s="68"/>
      <c r="I2716" s="69"/>
      <c r="J2716" s="69"/>
      <c r="K2716" s="32"/>
      <c r="L2716" s="76">
        <v>2716</v>
      </c>
      <c r="M2716" s="76"/>
      <c r="N2716" s="71"/>
      <c r="O2716" s="87" t="s">
        <v>179</v>
      </c>
      <c r="P2716" s="90">
        <v>45166.89565972222</v>
      </c>
      <c r="Q2716" s="87" t="s">
        <v>4433</v>
      </c>
      <c r="R2716" s="87">
        <v>0</v>
      </c>
      <c r="S2716" s="87">
        <v>0</v>
      </c>
      <c r="T2716" s="87">
        <v>0</v>
      </c>
      <c r="U2716" s="87">
        <v>0</v>
      </c>
      <c r="V2716" s="87">
        <v>56</v>
      </c>
      <c r="W2716" s="93" t="s">
        <v>7425</v>
      </c>
      <c r="X2716" s="87"/>
      <c r="Y2716" s="87"/>
      <c r="Z2716" s="87"/>
      <c r="AA2716" s="87" t="s">
        <v>10447</v>
      </c>
      <c r="AB2716" s="87" t="s">
        <v>11448</v>
      </c>
      <c r="AC2716" s="93" t="s">
        <v>11457</v>
      </c>
      <c r="AD2716" s="87" t="s">
        <v>11519</v>
      </c>
      <c r="AE2716" s="92" t="str">
        <f>HYPERLINK("https://twitter.com/serraempauta/status/1696273892610834730")</f>
        <v>https://twitter.com/serraempauta/status/1696273892610834730</v>
      </c>
      <c r="AF2716" s="90">
        <v>45166.89565972222</v>
      </c>
      <c r="AG2716" s="99">
        <v>45166</v>
      </c>
      <c r="AH2716" s="93" t="s">
        <v>13960</v>
      </c>
      <c r="AI2716" s="87" t="b">
        <v>0</v>
      </c>
      <c r="AJ2716" s="87"/>
      <c r="AK2716" s="87"/>
      <c r="AL2716" s="87"/>
      <c r="AM2716" s="87"/>
      <c r="AN2716" s="87"/>
      <c r="AO2716" s="87"/>
      <c r="AP2716" s="87"/>
      <c r="AQ2716" s="87" t="s">
        <v>17259</v>
      </c>
      <c r="AR2716" s="87"/>
      <c r="AS2716" s="87"/>
      <c r="AT2716" s="87"/>
      <c r="AU2716" s="87"/>
      <c r="AV2716" s="92" t="str">
        <f>HYPERLINK("https://pbs.twimg.com/media/F4pgHI6XYAA5THi.jpg")</f>
        <v>https://pbs.twimg.com/media/F4pgHI6XYAA5THi.jpg</v>
      </c>
      <c r="AW2716" s="93" t="s">
        <v>20877</v>
      </c>
      <c r="AX2716" s="93" t="s">
        <v>20877</v>
      </c>
      <c r="AY2716" s="87"/>
      <c r="AZ2716" s="93" t="s">
        <v>22668</v>
      </c>
      <c r="BA2716" s="93" t="s">
        <v>22668</v>
      </c>
      <c r="BB2716" s="93" t="s">
        <v>22668</v>
      </c>
      <c r="BC2716" s="93" t="s">
        <v>20877</v>
      </c>
      <c r="BD2716" s="93" t="s">
        <v>23269</v>
      </c>
      <c r="BE2716" s="87"/>
      <c r="BF2716" s="87"/>
      <c r="BG2716" s="87"/>
      <c r="BH2716" s="87"/>
      <c r="BI2716" s="87"/>
    </row>
    <row r="2717" spans="1:61" x14ac:dyDescent="0.25">
      <c r="A2717" s="63" t="s">
        <v>1058</v>
      </c>
      <c r="B2717" s="63" t="s">
        <v>1058</v>
      </c>
      <c r="C2717" s="64"/>
      <c r="D2717" s="65"/>
      <c r="E2717" s="66"/>
      <c r="F2717" s="67"/>
      <c r="G2717" s="64"/>
      <c r="H2717" s="68"/>
      <c r="I2717" s="69"/>
      <c r="J2717" s="69"/>
      <c r="K2717" s="32"/>
      <c r="L2717" s="76">
        <v>2717</v>
      </c>
      <c r="M2717" s="76"/>
      <c r="N2717" s="71"/>
      <c r="O2717" s="87" t="s">
        <v>179</v>
      </c>
      <c r="P2717" s="90">
        <v>45166.869189814817</v>
      </c>
      <c r="Q2717" s="87" t="s">
        <v>4434</v>
      </c>
      <c r="R2717" s="87">
        <v>0</v>
      </c>
      <c r="S2717" s="87">
        <v>0</v>
      </c>
      <c r="T2717" s="87">
        <v>0</v>
      </c>
      <c r="U2717" s="87">
        <v>0</v>
      </c>
      <c r="V2717" s="87">
        <v>54</v>
      </c>
      <c r="W2717" s="93" t="s">
        <v>7424</v>
      </c>
      <c r="X2717" s="87"/>
      <c r="Y2717" s="87"/>
      <c r="Z2717" s="87"/>
      <c r="AA2717" s="87" t="s">
        <v>10448</v>
      </c>
      <c r="AB2717" s="87" t="s">
        <v>11448</v>
      </c>
      <c r="AC2717" s="93" t="s">
        <v>11457</v>
      </c>
      <c r="AD2717" s="87" t="s">
        <v>11519</v>
      </c>
      <c r="AE2717" s="92" t="str">
        <f>HYPERLINK("https://twitter.com/serraempauta/status/1696264296898904173")</f>
        <v>https://twitter.com/serraempauta/status/1696264296898904173</v>
      </c>
      <c r="AF2717" s="90">
        <v>45166.869189814817</v>
      </c>
      <c r="AG2717" s="99">
        <v>45166</v>
      </c>
      <c r="AH2717" s="93" t="s">
        <v>13961</v>
      </c>
      <c r="AI2717" s="87" t="b">
        <v>0</v>
      </c>
      <c r="AJ2717" s="87"/>
      <c r="AK2717" s="87"/>
      <c r="AL2717" s="87"/>
      <c r="AM2717" s="87"/>
      <c r="AN2717" s="87"/>
      <c r="AO2717" s="87"/>
      <c r="AP2717" s="87"/>
      <c r="AQ2717" s="87" t="s">
        <v>17260</v>
      </c>
      <c r="AR2717" s="87"/>
      <c r="AS2717" s="87"/>
      <c r="AT2717" s="87"/>
      <c r="AU2717" s="87"/>
      <c r="AV2717" s="92" t="str">
        <f>HYPERLINK("https://pbs.twimg.com/media/F4pXYa0WcAELRz2.jpg")</f>
        <v>https://pbs.twimg.com/media/F4pXYa0WcAELRz2.jpg</v>
      </c>
      <c r="AW2717" s="93" t="s">
        <v>20878</v>
      </c>
      <c r="AX2717" s="93" t="s">
        <v>20878</v>
      </c>
      <c r="AY2717" s="87"/>
      <c r="AZ2717" s="93" t="s">
        <v>22668</v>
      </c>
      <c r="BA2717" s="93" t="s">
        <v>22668</v>
      </c>
      <c r="BB2717" s="93" t="s">
        <v>22668</v>
      </c>
      <c r="BC2717" s="93" t="s">
        <v>20878</v>
      </c>
      <c r="BD2717" s="93" t="s">
        <v>23269</v>
      </c>
      <c r="BE2717" s="87"/>
      <c r="BF2717" s="87"/>
      <c r="BG2717" s="87"/>
      <c r="BH2717" s="87"/>
      <c r="BI2717" s="87"/>
    </row>
    <row r="2718" spans="1:61" x14ac:dyDescent="0.25">
      <c r="A2718" s="63" t="s">
        <v>1058</v>
      </c>
      <c r="B2718" s="63" t="s">
        <v>1058</v>
      </c>
      <c r="C2718" s="64"/>
      <c r="D2718" s="65"/>
      <c r="E2718" s="66"/>
      <c r="F2718" s="67"/>
      <c r="G2718" s="64"/>
      <c r="H2718" s="68"/>
      <c r="I2718" s="69"/>
      <c r="J2718" s="69"/>
      <c r="K2718" s="32"/>
      <c r="L2718" s="76">
        <v>2718</v>
      </c>
      <c r="M2718" s="76"/>
      <c r="N2718" s="71"/>
      <c r="O2718" s="87" t="s">
        <v>179</v>
      </c>
      <c r="P2718" s="90">
        <v>45166.773865740739</v>
      </c>
      <c r="Q2718" s="87" t="s">
        <v>4435</v>
      </c>
      <c r="R2718" s="87">
        <v>0</v>
      </c>
      <c r="S2718" s="87">
        <v>0</v>
      </c>
      <c r="T2718" s="87">
        <v>0</v>
      </c>
      <c r="U2718" s="87">
        <v>0</v>
      </c>
      <c r="V2718" s="87">
        <v>55</v>
      </c>
      <c r="W2718" s="93" t="s">
        <v>7424</v>
      </c>
      <c r="X2718" s="87"/>
      <c r="Y2718" s="87"/>
      <c r="Z2718" s="87"/>
      <c r="AA2718" s="87" t="s">
        <v>10449</v>
      </c>
      <c r="AB2718" s="87" t="s">
        <v>11448</v>
      </c>
      <c r="AC2718" s="93" t="s">
        <v>11457</v>
      </c>
      <c r="AD2718" s="87" t="s">
        <v>11519</v>
      </c>
      <c r="AE2718" s="92" t="str">
        <f>HYPERLINK("https://twitter.com/serraempauta/status/1696229752967778389")</f>
        <v>https://twitter.com/serraempauta/status/1696229752967778389</v>
      </c>
      <c r="AF2718" s="90">
        <v>45166.773865740739</v>
      </c>
      <c r="AG2718" s="99">
        <v>45166</v>
      </c>
      <c r="AH2718" s="93" t="s">
        <v>13962</v>
      </c>
      <c r="AI2718" s="87" t="b">
        <v>0</v>
      </c>
      <c r="AJ2718" s="87"/>
      <c r="AK2718" s="87"/>
      <c r="AL2718" s="87"/>
      <c r="AM2718" s="87"/>
      <c r="AN2718" s="87"/>
      <c r="AO2718" s="87"/>
      <c r="AP2718" s="87"/>
      <c r="AQ2718" s="87" t="s">
        <v>17261</v>
      </c>
      <c r="AR2718" s="87"/>
      <c r="AS2718" s="87"/>
      <c r="AT2718" s="87"/>
      <c r="AU2718" s="87"/>
      <c r="AV2718" s="92" t="str">
        <f>HYPERLINK("https://pbs.twimg.com/media/F4o39yAWQAA9wgo.jpg")</f>
        <v>https://pbs.twimg.com/media/F4o39yAWQAA9wgo.jpg</v>
      </c>
      <c r="AW2718" s="93" t="s">
        <v>20879</v>
      </c>
      <c r="AX2718" s="93" t="s">
        <v>20879</v>
      </c>
      <c r="AY2718" s="87"/>
      <c r="AZ2718" s="93" t="s">
        <v>22668</v>
      </c>
      <c r="BA2718" s="93" t="s">
        <v>22668</v>
      </c>
      <c r="BB2718" s="93" t="s">
        <v>22668</v>
      </c>
      <c r="BC2718" s="93" t="s">
        <v>20879</v>
      </c>
      <c r="BD2718" s="93" t="s">
        <v>23269</v>
      </c>
      <c r="BE2718" s="87"/>
      <c r="BF2718" s="87"/>
      <c r="BG2718" s="87"/>
      <c r="BH2718" s="87"/>
      <c r="BI2718" s="87"/>
    </row>
    <row r="2719" spans="1:61" x14ac:dyDescent="0.25">
      <c r="A2719" s="63" t="s">
        <v>1058</v>
      </c>
      <c r="B2719" s="63" t="s">
        <v>1058</v>
      </c>
      <c r="C2719" s="64"/>
      <c r="D2719" s="65"/>
      <c r="E2719" s="66"/>
      <c r="F2719" s="67"/>
      <c r="G2719" s="64"/>
      <c r="H2719" s="68"/>
      <c r="I2719" s="69"/>
      <c r="J2719" s="69"/>
      <c r="K2719" s="32"/>
      <c r="L2719" s="76">
        <v>2719</v>
      </c>
      <c r="M2719" s="76"/>
      <c r="N2719" s="71"/>
      <c r="O2719" s="87" t="s">
        <v>179</v>
      </c>
      <c r="P2719" s="90">
        <v>45166.754259259258</v>
      </c>
      <c r="Q2719" s="87" t="s">
        <v>4436</v>
      </c>
      <c r="R2719" s="87">
        <v>0</v>
      </c>
      <c r="S2719" s="87">
        <v>0</v>
      </c>
      <c r="T2719" s="87">
        <v>0</v>
      </c>
      <c r="U2719" s="87">
        <v>0</v>
      </c>
      <c r="V2719" s="87">
        <v>44</v>
      </c>
      <c r="W2719" s="93" t="s">
        <v>7427</v>
      </c>
      <c r="X2719" s="87"/>
      <c r="Y2719" s="87"/>
      <c r="Z2719" s="87"/>
      <c r="AA2719" s="87" t="s">
        <v>10450</v>
      </c>
      <c r="AB2719" s="87" t="s">
        <v>11448</v>
      </c>
      <c r="AC2719" s="93" t="s">
        <v>11457</v>
      </c>
      <c r="AD2719" s="87" t="s">
        <v>11519</v>
      </c>
      <c r="AE2719" s="92" t="str">
        <f>HYPERLINK("https://twitter.com/serraempauta/status/1696222650878574756")</f>
        <v>https://twitter.com/serraempauta/status/1696222650878574756</v>
      </c>
      <c r="AF2719" s="90">
        <v>45166.754259259258</v>
      </c>
      <c r="AG2719" s="99">
        <v>45166</v>
      </c>
      <c r="AH2719" s="93" t="s">
        <v>13963</v>
      </c>
      <c r="AI2719" s="87" t="b">
        <v>0</v>
      </c>
      <c r="AJ2719" s="87"/>
      <c r="AK2719" s="87"/>
      <c r="AL2719" s="87"/>
      <c r="AM2719" s="87"/>
      <c r="AN2719" s="87"/>
      <c r="AO2719" s="87"/>
      <c r="AP2719" s="87"/>
      <c r="AQ2719" s="87" t="s">
        <v>17262</v>
      </c>
      <c r="AR2719" s="87"/>
      <c r="AS2719" s="87"/>
      <c r="AT2719" s="87"/>
      <c r="AU2719" s="87"/>
      <c r="AV2719" s="92" t="str">
        <f>HYPERLINK("https://pbs.twimg.com/media/F4oxgeEXAAAz0u2.jpg")</f>
        <v>https://pbs.twimg.com/media/F4oxgeEXAAAz0u2.jpg</v>
      </c>
      <c r="AW2719" s="93" t="s">
        <v>20880</v>
      </c>
      <c r="AX2719" s="93" t="s">
        <v>20880</v>
      </c>
      <c r="AY2719" s="87"/>
      <c r="AZ2719" s="93" t="s">
        <v>22668</v>
      </c>
      <c r="BA2719" s="93" t="s">
        <v>22668</v>
      </c>
      <c r="BB2719" s="93" t="s">
        <v>22668</v>
      </c>
      <c r="BC2719" s="93" t="s">
        <v>20880</v>
      </c>
      <c r="BD2719" s="93" t="s">
        <v>23269</v>
      </c>
      <c r="BE2719" s="87"/>
      <c r="BF2719" s="87"/>
      <c r="BG2719" s="87"/>
      <c r="BH2719" s="87"/>
      <c r="BI2719" s="87"/>
    </row>
    <row r="2720" spans="1:61" x14ac:dyDescent="0.25">
      <c r="A2720" s="63" t="s">
        <v>1058</v>
      </c>
      <c r="B2720" s="63" t="s">
        <v>1058</v>
      </c>
      <c r="C2720" s="64"/>
      <c r="D2720" s="65"/>
      <c r="E2720" s="66"/>
      <c r="F2720" s="67"/>
      <c r="G2720" s="64"/>
      <c r="H2720" s="68"/>
      <c r="I2720" s="69"/>
      <c r="J2720" s="69"/>
      <c r="K2720" s="32"/>
      <c r="L2720" s="76">
        <v>2720</v>
      </c>
      <c r="M2720" s="76"/>
      <c r="N2720" s="71"/>
      <c r="O2720" s="87" t="s">
        <v>179</v>
      </c>
      <c r="P2720" s="90">
        <v>45153.617013888892</v>
      </c>
      <c r="Q2720" s="87" t="s">
        <v>4437</v>
      </c>
      <c r="R2720" s="87">
        <v>0</v>
      </c>
      <c r="S2720" s="87">
        <v>0</v>
      </c>
      <c r="T2720" s="87">
        <v>0</v>
      </c>
      <c r="U2720" s="87">
        <v>0</v>
      </c>
      <c r="V2720" s="87">
        <v>52</v>
      </c>
      <c r="W2720" s="93" t="s">
        <v>7424</v>
      </c>
      <c r="X2720" s="87"/>
      <c r="Y2720" s="87"/>
      <c r="Z2720" s="87"/>
      <c r="AA2720" s="87" t="s">
        <v>10451</v>
      </c>
      <c r="AB2720" s="87" t="s">
        <v>11448</v>
      </c>
      <c r="AC2720" s="93" t="s">
        <v>11457</v>
      </c>
      <c r="AD2720" s="87" t="s">
        <v>11519</v>
      </c>
      <c r="AE2720" s="92" t="str">
        <f>HYPERLINK("https://twitter.com/serraempauta/status/1691461870887276545")</f>
        <v>https://twitter.com/serraempauta/status/1691461870887276545</v>
      </c>
      <c r="AF2720" s="90">
        <v>45153.617013888892</v>
      </c>
      <c r="AG2720" s="99">
        <v>45153</v>
      </c>
      <c r="AH2720" s="93" t="s">
        <v>13964</v>
      </c>
      <c r="AI2720" s="87" t="b">
        <v>0</v>
      </c>
      <c r="AJ2720" s="87"/>
      <c r="AK2720" s="87"/>
      <c r="AL2720" s="87"/>
      <c r="AM2720" s="87"/>
      <c r="AN2720" s="87"/>
      <c r="AO2720" s="87"/>
      <c r="AP2720" s="87"/>
      <c r="AQ2720" s="87" t="s">
        <v>17263</v>
      </c>
      <c r="AR2720" s="87"/>
      <c r="AS2720" s="87"/>
      <c r="AT2720" s="87"/>
      <c r="AU2720" s="87"/>
      <c r="AV2720" s="92" t="str">
        <f>HYPERLINK("https://pbs.twimg.com/media/F3lHmWmbMAEHPYt.jpg")</f>
        <v>https://pbs.twimg.com/media/F3lHmWmbMAEHPYt.jpg</v>
      </c>
      <c r="AW2720" s="93" t="s">
        <v>20881</v>
      </c>
      <c r="AX2720" s="93" t="s">
        <v>20881</v>
      </c>
      <c r="AY2720" s="87"/>
      <c r="AZ2720" s="93" t="s">
        <v>22668</v>
      </c>
      <c r="BA2720" s="93" t="s">
        <v>22668</v>
      </c>
      <c r="BB2720" s="93" t="s">
        <v>22668</v>
      </c>
      <c r="BC2720" s="93" t="s">
        <v>20881</v>
      </c>
      <c r="BD2720" s="93" t="s">
        <v>23269</v>
      </c>
      <c r="BE2720" s="87"/>
      <c r="BF2720" s="87"/>
      <c r="BG2720" s="87"/>
      <c r="BH2720" s="87"/>
      <c r="BI2720" s="87"/>
    </row>
    <row r="2721" spans="1:61" x14ac:dyDescent="0.25">
      <c r="A2721" s="63" t="s">
        <v>1058</v>
      </c>
      <c r="B2721" s="63" t="s">
        <v>1058</v>
      </c>
      <c r="C2721" s="64"/>
      <c r="D2721" s="65"/>
      <c r="E2721" s="66"/>
      <c r="F2721" s="67"/>
      <c r="G2721" s="64"/>
      <c r="H2721" s="68"/>
      <c r="I2721" s="69"/>
      <c r="J2721" s="69"/>
      <c r="K2721" s="32"/>
      <c r="L2721" s="76">
        <v>2721</v>
      </c>
      <c r="M2721" s="76"/>
      <c r="N2721" s="71"/>
      <c r="O2721" s="87" t="s">
        <v>179</v>
      </c>
      <c r="P2721" s="90">
        <v>45153.578483796293</v>
      </c>
      <c r="Q2721" s="87" t="s">
        <v>4438</v>
      </c>
      <c r="R2721" s="87">
        <v>0</v>
      </c>
      <c r="S2721" s="87">
        <v>1</v>
      </c>
      <c r="T2721" s="87">
        <v>0</v>
      </c>
      <c r="U2721" s="87">
        <v>0</v>
      </c>
      <c r="V2721" s="87">
        <v>39</v>
      </c>
      <c r="W2721" s="93" t="s">
        <v>7424</v>
      </c>
      <c r="X2721" s="87"/>
      <c r="Y2721" s="87"/>
      <c r="Z2721" s="87"/>
      <c r="AA2721" s="87" t="s">
        <v>10452</v>
      </c>
      <c r="AB2721" s="87" t="s">
        <v>11448</v>
      </c>
      <c r="AC2721" s="93" t="s">
        <v>11457</v>
      </c>
      <c r="AD2721" s="87" t="s">
        <v>11519</v>
      </c>
      <c r="AE2721" s="92" t="str">
        <f>HYPERLINK("https://twitter.com/serraempauta/status/1691447908493926401")</f>
        <v>https://twitter.com/serraempauta/status/1691447908493926401</v>
      </c>
      <c r="AF2721" s="90">
        <v>45153.578483796293</v>
      </c>
      <c r="AG2721" s="99">
        <v>45153</v>
      </c>
      <c r="AH2721" s="93" t="s">
        <v>13965</v>
      </c>
      <c r="AI2721" s="87" t="b">
        <v>0</v>
      </c>
      <c r="AJ2721" s="87"/>
      <c r="AK2721" s="87"/>
      <c r="AL2721" s="87"/>
      <c r="AM2721" s="87"/>
      <c r="AN2721" s="87"/>
      <c r="AO2721" s="87"/>
      <c r="AP2721" s="87"/>
      <c r="AQ2721" s="87" t="s">
        <v>17264</v>
      </c>
      <c r="AR2721" s="87"/>
      <c r="AS2721" s="87"/>
      <c r="AT2721" s="87"/>
      <c r="AU2721" s="87"/>
      <c r="AV2721" s="92" t="str">
        <f>HYPERLINK("https://pbs.twimg.com/media/F3k65q5aQAIy7aC.jpg")</f>
        <v>https://pbs.twimg.com/media/F3k65q5aQAIy7aC.jpg</v>
      </c>
      <c r="AW2721" s="93" t="s">
        <v>20882</v>
      </c>
      <c r="AX2721" s="93" t="s">
        <v>20882</v>
      </c>
      <c r="AY2721" s="87"/>
      <c r="AZ2721" s="93" t="s">
        <v>22668</v>
      </c>
      <c r="BA2721" s="93" t="s">
        <v>22668</v>
      </c>
      <c r="BB2721" s="93" t="s">
        <v>22668</v>
      </c>
      <c r="BC2721" s="93" t="s">
        <v>20882</v>
      </c>
      <c r="BD2721" s="93" t="s">
        <v>23269</v>
      </c>
      <c r="BE2721" s="87"/>
      <c r="BF2721" s="87"/>
      <c r="BG2721" s="87"/>
      <c r="BH2721" s="87"/>
      <c r="BI2721" s="87"/>
    </row>
    <row r="2722" spans="1:61" x14ac:dyDescent="0.25">
      <c r="A2722" s="63" t="s">
        <v>1058</v>
      </c>
      <c r="B2722" s="63" t="s">
        <v>1058</v>
      </c>
      <c r="C2722" s="64"/>
      <c r="D2722" s="65"/>
      <c r="E2722" s="66"/>
      <c r="F2722" s="67"/>
      <c r="G2722" s="64"/>
      <c r="H2722" s="68"/>
      <c r="I2722" s="69"/>
      <c r="J2722" s="69"/>
      <c r="K2722" s="32"/>
      <c r="L2722" s="76">
        <v>2722</v>
      </c>
      <c r="M2722" s="76"/>
      <c r="N2722" s="71"/>
      <c r="O2722" s="87" t="s">
        <v>179</v>
      </c>
      <c r="P2722" s="90">
        <v>45153.541643518518</v>
      </c>
      <c r="Q2722" s="87" t="s">
        <v>4439</v>
      </c>
      <c r="R2722" s="87">
        <v>0</v>
      </c>
      <c r="S2722" s="87">
        <v>0</v>
      </c>
      <c r="T2722" s="87">
        <v>0</v>
      </c>
      <c r="U2722" s="87">
        <v>0</v>
      </c>
      <c r="V2722" s="87">
        <v>34</v>
      </c>
      <c r="W2722" s="93" t="s">
        <v>7424</v>
      </c>
      <c r="X2722" s="87"/>
      <c r="Y2722" s="87"/>
      <c r="Z2722" s="87"/>
      <c r="AA2722" s="87" t="s">
        <v>10453</v>
      </c>
      <c r="AB2722" s="87" t="s">
        <v>11448</v>
      </c>
      <c r="AC2722" s="93" t="s">
        <v>11457</v>
      </c>
      <c r="AD2722" s="87" t="s">
        <v>11519</v>
      </c>
      <c r="AE2722" s="92" t="str">
        <f>HYPERLINK("https://twitter.com/serraempauta/status/1691434558342692865")</f>
        <v>https://twitter.com/serraempauta/status/1691434558342692865</v>
      </c>
      <c r="AF2722" s="90">
        <v>45153.541643518518</v>
      </c>
      <c r="AG2722" s="99">
        <v>45153</v>
      </c>
      <c r="AH2722" s="93" t="s">
        <v>13966</v>
      </c>
      <c r="AI2722" s="87" t="b">
        <v>0</v>
      </c>
      <c r="AJ2722" s="87"/>
      <c r="AK2722" s="87"/>
      <c r="AL2722" s="87"/>
      <c r="AM2722" s="87"/>
      <c r="AN2722" s="87"/>
      <c r="AO2722" s="87"/>
      <c r="AP2722" s="87"/>
      <c r="AQ2722" s="87" t="s">
        <v>17265</v>
      </c>
      <c r="AR2722" s="87"/>
      <c r="AS2722" s="87"/>
      <c r="AT2722" s="87"/>
      <c r="AU2722" s="87"/>
      <c r="AV2722" s="92" t="str">
        <f>HYPERLINK("https://pbs.twimg.com/media/F3kuwxAWAAEPx25.jpg")</f>
        <v>https://pbs.twimg.com/media/F3kuwxAWAAEPx25.jpg</v>
      </c>
      <c r="AW2722" s="93" t="s">
        <v>20883</v>
      </c>
      <c r="AX2722" s="93" t="s">
        <v>20883</v>
      </c>
      <c r="AY2722" s="87"/>
      <c r="AZ2722" s="93" t="s">
        <v>22668</v>
      </c>
      <c r="BA2722" s="93" t="s">
        <v>22668</v>
      </c>
      <c r="BB2722" s="93" t="s">
        <v>22668</v>
      </c>
      <c r="BC2722" s="93" t="s">
        <v>20883</v>
      </c>
      <c r="BD2722" s="93" t="s">
        <v>23269</v>
      </c>
      <c r="BE2722" s="87"/>
      <c r="BF2722" s="87"/>
      <c r="BG2722" s="87"/>
      <c r="BH2722" s="87"/>
      <c r="BI2722" s="87"/>
    </row>
    <row r="2723" spans="1:61" x14ac:dyDescent="0.25">
      <c r="A2723" s="63" t="s">
        <v>1058</v>
      </c>
      <c r="B2723" s="63" t="s">
        <v>1058</v>
      </c>
      <c r="C2723" s="64"/>
      <c r="D2723" s="65"/>
      <c r="E2723" s="66"/>
      <c r="F2723" s="67"/>
      <c r="G2723" s="64"/>
      <c r="H2723" s="68"/>
      <c r="I2723" s="69"/>
      <c r="J2723" s="69"/>
      <c r="K2723" s="32"/>
      <c r="L2723" s="76">
        <v>2723</v>
      </c>
      <c r="M2723" s="76"/>
      <c r="N2723" s="71"/>
      <c r="O2723" s="87" t="s">
        <v>179</v>
      </c>
      <c r="P2723" s="90">
        <v>45153.526747685188</v>
      </c>
      <c r="Q2723" s="87" t="s">
        <v>4440</v>
      </c>
      <c r="R2723" s="87">
        <v>0</v>
      </c>
      <c r="S2723" s="87">
        <v>0</v>
      </c>
      <c r="T2723" s="87">
        <v>0</v>
      </c>
      <c r="U2723" s="87">
        <v>0</v>
      </c>
      <c r="V2723" s="87">
        <v>75</v>
      </c>
      <c r="W2723" s="93" t="s">
        <v>7424</v>
      </c>
      <c r="X2723" s="87"/>
      <c r="Y2723" s="87"/>
      <c r="Z2723" s="87"/>
      <c r="AA2723" s="87" t="s">
        <v>10454</v>
      </c>
      <c r="AB2723" s="87" t="s">
        <v>11448</v>
      </c>
      <c r="AC2723" s="93" t="s">
        <v>11457</v>
      </c>
      <c r="AD2723" s="87" t="s">
        <v>11519</v>
      </c>
      <c r="AE2723" s="92" t="str">
        <f>HYPERLINK("https://twitter.com/serraempauta/status/1691429158339899392")</f>
        <v>https://twitter.com/serraempauta/status/1691429158339899392</v>
      </c>
      <c r="AF2723" s="90">
        <v>45153.526747685188</v>
      </c>
      <c r="AG2723" s="99">
        <v>45153</v>
      </c>
      <c r="AH2723" s="93" t="s">
        <v>13967</v>
      </c>
      <c r="AI2723" s="87" t="b">
        <v>0</v>
      </c>
      <c r="AJ2723" s="87"/>
      <c r="AK2723" s="87"/>
      <c r="AL2723" s="87"/>
      <c r="AM2723" s="87"/>
      <c r="AN2723" s="87"/>
      <c r="AO2723" s="87"/>
      <c r="AP2723" s="87"/>
      <c r="AQ2723" s="87" t="s">
        <v>17266</v>
      </c>
      <c r="AR2723" s="87"/>
      <c r="AS2723" s="87"/>
      <c r="AT2723" s="87"/>
      <c r="AU2723" s="87"/>
      <c r="AV2723" s="92" t="str">
        <f>HYPERLINK("https://pbs.twimg.com/media/F3kp2GzXkAAOndG.jpg")</f>
        <v>https://pbs.twimg.com/media/F3kp2GzXkAAOndG.jpg</v>
      </c>
      <c r="AW2723" s="93" t="s">
        <v>20884</v>
      </c>
      <c r="AX2723" s="93" t="s">
        <v>20884</v>
      </c>
      <c r="AY2723" s="87"/>
      <c r="AZ2723" s="93" t="s">
        <v>22668</v>
      </c>
      <c r="BA2723" s="93" t="s">
        <v>22668</v>
      </c>
      <c r="BB2723" s="93" t="s">
        <v>22668</v>
      </c>
      <c r="BC2723" s="93" t="s">
        <v>20884</v>
      </c>
      <c r="BD2723" s="93" t="s">
        <v>23269</v>
      </c>
      <c r="BE2723" s="87"/>
      <c r="BF2723" s="87"/>
      <c r="BG2723" s="87"/>
      <c r="BH2723" s="87"/>
      <c r="BI2723" s="87"/>
    </row>
    <row r="2724" spans="1:61" x14ac:dyDescent="0.25">
      <c r="A2724" s="63" t="s">
        <v>1058</v>
      </c>
      <c r="B2724" s="63" t="s">
        <v>1058</v>
      </c>
      <c r="C2724" s="64"/>
      <c r="D2724" s="65"/>
      <c r="E2724" s="66"/>
      <c r="F2724" s="67"/>
      <c r="G2724" s="64"/>
      <c r="H2724" s="68"/>
      <c r="I2724" s="69"/>
      <c r="J2724" s="69"/>
      <c r="K2724" s="32"/>
      <c r="L2724" s="76">
        <v>2724</v>
      </c>
      <c r="M2724" s="76"/>
      <c r="N2724" s="71"/>
      <c r="O2724" s="87" t="s">
        <v>179</v>
      </c>
      <c r="P2724" s="90">
        <v>45153.487326388888</v>
      </c>
      <c r="Q2724" s="87" t="s">
        <v>4441</v>
      </c>
      <c r="R2724" s="87">
        <v>1</v>
      </c>
      <c r="S2724" s="87">
        <v>2</v>
      </c>
      <c r="T2724" s="87">
        <v>0</v>
      </c>
      <c r="U2724" s="87">
        <v>0</v>
      </c>
      <c r="V2724" s="87">
        <v>117</v>
      </c>
      <c r="W2724" s="93" t="s">
        <v>7424</v>
      </c>
      <c r="X2724" s="87"/>
      <c r="Y2724" s="87"/>
      <c r="Z2724" s="87"/>
      <c r="AA2724" s="87" t="s">
        <v>10455</v>
      </c>
      <c r="AB2724" s="87" t="s">
        <v>11448</v>
      </c>
      <c r="AC2724" s="93" t="s">
        <v>11457</v>
      </c>
      <c r="AD2724" s="87" t="s">
        <v>11519</v>
      </c>
      <c r="AE2724" s="92" t="str">
        <f>HYPERLINK("https://twitter.com/serraempauta/status/1691414875505901570")</f>
        <v>https://twitter.com/serraempauta/status/1691414875505901570</v>
      </c>
      <c r="AF2724" s="90">
        <v>45153.487326388888</v>
      </c>
      <c r="AG2724" s="99">
        <v>45153</v>
      </c>
      <c r="AH2724" s="93" t="s">
        <v>13968</v>
      </c>
      <c r="AI2724" s="87" t="b">
        <v>0</v>
      </c>
      <c r="AJ2724" s="87"/>
      <c r="AK2724" s="87"/>
      <c r="AL2724" s="87"/>
      <c r="AM2724" s="87"/>
      <c r="AN2724" s="87"/>
      <c r="AO2724" s="87"/>
      <c r="AP2724" s="87"/>
      <c r="AQ2724" s="87" t="s">
        <v>17267</v>
      </c>
      <c r="AR2724" s="87"/>
      <c r="AS2724" s="87"/>
      <c r="AT2724" s="87"/>
      <c r="AU2724" s="87"/>
      <c r="AV2724" s="92" t="str">
        <f>HYPERLINK("https://pbs.twimg.com/media/F3kc3FvXYAARvXa.jpg")</f>
        <v>https://pbs.twimg.com/media/F3kc3FvXYAARvXa.jpg</v>
      </c>
      <c r="AW2724" s="93" t="s">
        <v>20885</v>
      </c>
      <c r="AX2724" s="93" t="s">
        <v>20885</v>
      </c>
      <c r="AY2724" s="87"/>
      <c r="AZ2724" s="93" t="s">
        <v>22668</v>
      </c>
      <c r="BA2724" s="93" t="s">
        <v>22668</v>
      </c>
      <c r="BB2724" s="93" t="s">
        <v>22668</v>
      </c>
      <c r="BC2724" s="93" t="s">
        <v>20885</v>
      </c>
      <c r="BD2724" s="93" t="s">
        <v>23269</v>
      </c>
      <c r="BE2724" s="87"/>
      <c r="BF2724" s="87"/>
      <c r="BG2724" s="87"/>
      <c r="BH2724" s="87"/>
      <c r="BI2724" s="87"/>
    </row>
    <row r="2725" spans="1:61" x14ac:dyDescent="0.25">
      <c r="A2725" s="63" t="s">
        <v>1058</v>
      </c>
      <c r="B2725" s="63" t="s">
        <v>1058</v>
      </c>
      <c r="C2725" s="64"/>
      <c r="D2725" s="65"/>
      <c r="E2725" s="66"/>
      <c r="F2725" s="67"/>
      <c r="G2725" s="64"/>
      <c r="H2725" s="68"/>
      <c r="I2725" s="69"/>
      <c r="J2725" s="69"/>
      <c r="K2725" s="32"/>
      <c r="L2725" s="76">
        <v>2725</v>
      </c>
      <c r="M2725" s="76"/>
      <c r="N2725" s="71"/>
      <c r="O2725" s="87" t="s">
        <v>179</v>
      </c>
      <c r="P2725" s="90">
        <v>45152.91679398148</v>
      </c>
      <c r="Q2725" s="87" t="s">
        <v>4442</v>
      </c>
      <c r="R2725" s="87">
        <v>0</v>
      </c>
      <c r="S2725" s="87">
        <v>0</v>
      </c>
      <c r="T2725" s="87">
        <v>0</v>
      </c>
      <c r="U2725" s="87">
        <v>0</v>
      </c>
      <c r="V2725" s="87">
        <v>42</v>
      </c>
      <c r="W2725" s="93" t="s">
        <v>7424</v>
      </c>
      <c r="X2725" s="87"/>
      <c r="Y2725" s="87"/>
      <c r="Z2725" s="87"/>
      <c r="AA2725" s="87" t="s">
        <v>10456</v>
      </c>
      <c r="AB2725" s="87" t="s">
        <v>11448</v>
      </c>
      <c r="AC2725" s="93" t="s">
        <v>11457</v>
      </c>
      <c r="AD2725" s="87" t="s">
        <v>11519</v>
      </c>
      <c r="AE2725" s="92" t="str">
        <f>HYPERLINK("https://twitter.com/serraempauta/status/1691208119655817216")</f>
        <v>https://twitter.com/serraempauta/status/1691208119655817216</v>
      </c>
      <c r="AF2725" s="90">
        <v>45152.91679398148</v>
      </c>
      <c r="AG2725" s="99">
        <v>45152</v>
      </c>
      <c r="AH2725" s="93" t="s">
        <v>13969</v>
      </c>
      <c r="AI2725" s="87" t="b">
        <v>0</v>
      </c>
      <c r="AJ2725" s="87"/>
      <c r="AK2725" s="87"/>
      <c r="AL2725" s="87"/>
      <c r="AM2725" s="87"/>
      <c r="AN2725" s="87"/>
      <c r="AO2725" s="87"/>
      <c r="AP2725" s="87"/>
      <c r="AQ2725" s="87" t="s">
        <v>17268</v>
      </c>
      <c r="AR2725" s="87"/>
      <c r="AS2725" s="87"/>
      <c r="AT2725" s="87"/>
      <c r="AU2725" s="87"/>
      <c r="AV2725" s="92" t="str">
        <f>HYPERLINK("https://pbs.twimg.com/media/F3hg0SFWUAA1ObU.jpg")</f>
        <v>https://pbs.twimg.com/media/F3hg0SFWUAA1ObU.jpg</v>
      </c>
      <c r="AW2725" s="93" t="s">
        <v>20886</v>
      </c>
      <c r="AX2725" s="93" t="s">
        <v>20886</v>
      </c>
      <c r="AY2725" s="87"/>
      <c r="AZ2725" s="93" t="s">
        <v>22668</v>
      </c>
      <c r="BA2725" s="93" t="s">
        <v>22668</v>
      </c>
      <c r="BB2725" s="93" t="s">
        <v>22668</v>
      </c>
      <c r="BC2725" s="93" t="s">
        <v>20886</v>
      </c>
      <c r="BD2725" s="93" t="s">
        <v>23269</v>
      </c>
      <c r="BE2725" s="87"/>
      <c r="BF2725" s="87"/>
      <c r="BG2725" s="87"/>
      <c r="BH2725" s="87"/>
      <c r="BI2725" s="87"/>
    </row>
    <row r="2726" spans="1:61" x14ac:dyDescent="0.25">
      <c r="A2726" s="63" t="s">
        <v>1058</v>
      </c>
      <c r="B2726" s="63" t="s">
        <v>1058</v>
      </c>
      <c r="C2726" s="64"/>
      <c r="D2726" s="65"/>
      <c r="E2726" s="66"/>
      <c r="F2726" s="67"/>
      <c r="G2726" s="64"/>
      <c r="H2726" s="68"/>
      <c r="I2726" s="69"/>
      <c r="J2726" s="69"/>
      <c r="K2726" s="32"/>
      <c r="L2726" s="76">
        <v>2726</v>
      </c>
      <c r="M2726" s="76"/>
      <c r="N2726" s="71"/>
      <c r="O2726" s="87" t="s">
        <v>179</v>
      </c>
      <c r="P2726" s="90">
        <v>45152.8671412037</v>
      </c>
      <c r="Q2726" s="87" t="s">
        <v>4443</v>
      </c>
      <c r="R2726" s="87">
        <v>0</v>
      </c>
      <c r="S2726" s="87">
        <v>1</v>
      </c>
      <c r="T2726" s="87">
        <v>0</v>
      </c>
      <c r="U2726" s="87">
        <v>0</v>
      </c>
      <c r="V2726" s="87">
        <v>71</v>
      </c>
      <c r="W2726" s="93" t="s">
        <v>7424</v>
      </c>
      <c r="X2726" s="87"/>
      <c r="Y2726" s="87"/>
      <c r="Z2726" s="87"/>
      <c r="AA2726" s="87" t="s">
        <v>10457</v>
      </c>
      <c r="AB2726" s="87" t="s">
        <v>11448</v>
      </c>
      <c r="AC2726" s="93" t="s">
        <v>11457</v>
      </c>
      <c r="AD2726" s="87" t="s">
        <v>11519</v>
      </c>
      <c r="AE2726" s="92" t="str">
        <f>HYPERLINK("https://twitter.com/serraempauta/status/1691190125374455808")</f>
        <v>https://twitter.com/serraempauta/status/1691190125374455808</v>
      </c>
      <c r="AF2726" s="90">
        <v>45152.8671412037</v>
      </c>
      <c r="AG2726" s="99">
        <v>45152</v>
      </c>
      <c r="AH2726" s="93" t="s">
        <v>13970</v>
      </c>
      <c r="AI2726" s="87" t="b">
        <v>0</v>
      </c>
      <c r="AJ2726" s="87"/>
      <c r="AK2726" s="87"/>
      <c r="AL2726" s="87"/>
      <c r="AM2726" s="87"/>
      <c r="AN2726" s="87"/>
      <c r="AO2726" s="87"/>
      <c r="AP2726" s="87"/>
      <c r="AQ2726" s="87" t="s">
        <v>17269</v>
      </c>
      <c r="AR2726" s="87"/>
      <c r="AS2726" s="87"/>
      <c r="AT2726" s="87"/>
      <c r="AU2726" s="87"/>
      <c r="AV2726" s="92" t="str">
        <f>HYPERLINK("https://pbs.twimg.com/media/F3hQcNvWwAEMZ9C.jpg")</f>
        <v>https://pbs.twimg.com/media/F3hQcNvWwAEMZ9C.jpg</v>
      </c>
      <c r="AW2726" s="93" t="s">
        <v>20887</v>
      </c>
      <c r="AX2726" s="93" t="s">
        <v>20887</v>
      </c>
      <c r="AY2726" s="87"/>
      <c r="AZ2726" s="93" t="s">
        <v>22668</v>
      </c>
      <c r="BA2726" s="93" t="s">
        <v>22668</v>
      </c>
      <c r="BB2726" s="93" t="s">
        <v>22668</v>
      </c>
      <c r="BC2726" s="93" t="s">
        <v>20887</v>
      </c>
      <c r="BD2726" s="93" t="s">
        <v>23269</v>
      </c>
      <c r="BE2726" s="87"/>
      <c r="BF2726" s="87"/>
      <c r="BG2726" s="87"/>
      <c r="BH2726" s="87"/>
      <c r="BI2726" s="87"/>
    </row>
    <row r="2727" spans="1:61" x14ac:dyDescent="0.25">
      <c r="A2727" s="63" t="s">
        <v>1058</v>
      </c>
      <c r="B2727" s="63" t="s">
        <v>1058</v>
      </c>
      <c r="C2727" s="64"/>
      <c r="D2727" s="65"/>
      <c r="E2727" s="66"/>
      <c r="F2727" s="67"/>
      <c r="G2727" s="64"/>
      <c r="H2727" s="68"/>
      <c r="I2727" s="69"/>
      <c r="J2727" s="69"/>
      <c r="K2727" s="32"/>
      <c r="L2727" s="76">
        <v>2727</v>
      </c>
      <c r="M2727" s="76"/>
      <c r="N2727" s="71"/>
      <c r="O2727" s="87" t="s">
        <v>179</v>
      </c>
      <c r="P2727" s="90">
        <v>45152.61173611111</v>
      </c>
      <c r="Q2727" s="87" t="s">
        <v>4444</v>
      </c>
      <c r="R2727" s="87">
        <v>0</v>
      </c>
      <c r="S2727" s="87">
        <v>0</v>
      </c>
      <c r="T2727" s="87">
        <v>0</v>
      </c>
      <c r="U2727" s="87">
        <v>0</v>
      </c>
      <c r="V2727" s="87">
        <v>62</v>
      </c>
      <c r="W2727" s="93" t="s">
        <v>7424</v>
      </c>
      <c r="X2727" s="87"/>
      <c r="Y2727" s="87"/>
      <c r="Z2727" s="87"/>
      <c r="AA2727" s="87" t="s">
        <v>10458</v>
      </c>
      <c r="AB2727" s="87" t="s">
        <v>11448</v>
      </c>
      <c r="AC2727" s="93" t="s">
        <v>11457</v>
      </c>
      <c r="AD2727" s="87" t="s">
        <v>11519</v>
      </c>
      <c r="AE2727" s="92" t="str">
        <f>HYPERLINK("https://twitter.com/serraempauta/status/1691097569756344321")</f>
        <v>https://twitter.com/serraempauta/status/1691097569756344321</v>
      </c>
      <c r="AF2727" s="90">
        <v>45152.61173611111</v>
      </c>
      <c r="AG2727" s="99">
        <v>45152</v>
      </c>
      <c r="AH2727" s="93" t="s">
        <v>13971</v>
      </c>
      <c r="AI2727" s="87" t="b">
        <v>0</v>
      </c>
      <c r="AJ2727" s="87"/>
      <c r="AK2727" s="87"/>
      <c r="AL2727" s="87"/>
      <c r="AM2727" s="87"/>
      <c r="AN2727" s="87"/>
      <c r="AO2727" s="87"/>
      <c r="AP2727" s="87"/>
      <c r="AQ2727" s="87" t="s">
        <v>17270</v>
      </c>
      <c r="AR2727" s="87"/>
      <c r="AS2727" s="87"/>
      <c r="AT2727" s="87"/>
      <c r="AU2727" s="87"/>
      <c r="AV2727" s="92" t="str">
        <f>HYPERLINK("https://pbs.twimg.com/media/F3f8RY4XUAAnVFS.jpg")</f>
        <v>https://pbs.twimg.com/media/F3f8RY4XUAAnVFS.jpg</v>
      </c>
      <c r="AW2727" s="93" t="s">
        <v>20888</v>
      </c>
      <c r="AX2727" s="93" t="s">
        <v>20888</v>
      </c>
      <c r="AY2727" s="87"/>
      <c r="AZ2727" s="93" t="s">
        <v>22668</v>
      </c>
      <c r="BA2727" s="93" t="s">
        <v>22668</v>
      </c>
      <c r="BB2727" s="93" t="s">
        <v>22668</v>
      </c>
      <c r="BC2727" s="93" t="s">
        <v>20888</v>
      </c>
      <c r="BD2727" s="93" t="s">
        <v>23269</v>
      </c>
      <c r="BE2727" s="87"/>
      <c r="BF2727" s="87"/>
      <c r="BG2727" s="87"/>
      <c r="BH2727" s="87"/>
      <c r="BI2727" s="87"/>
    </row>
    <row r="2728" spans="1:61" x14ac:dyDescent="0.25">
      <c r="A2728" s="63" t="s">
        <v>1058</v>
      </c>
      <c r="B2728" s="63" t="s">
        <v>1058</v>
      </c>
      <c r="C2728" s="64"/>
      <c r="D2728" s="65"/>
      <c r="E2728" s="66"/>
      <c r="F2728" s="67"/>
      <c r="G2728" s="64"/>
      <c r="H2728" s="68"/>
      <c r="I2728" s="69"/>
      <c r="J2728" s="69"/>
      <c r="K2728" s="32"/>
      <c r="L2728" s="76">
        <v>2728</v>
      </c>
      <c r="M2728" s="76"/>
      <c r="N2728" s="71"/>
      <c r="O2728" s="87" t="s">
        <v>179</v>
      </c>
      <c r="P2728" s="90">
        <v>45152.586886574078</v>
      </c>
      <c r="Q2728" s="87" t="s">
        <v>4445</v>
      </c>
      <c r="R2728" s="87">
        <v>0</v>
      </c>
      <c r="S2728" s="87">
        <v>0</v>
      </c>
      <c r="T2728" s="87">
        <v>0</v>
      </c>
      <c r="U2728" s="87">
        <v>0</v>
      </c>
      <c r="V2728" s="87">
        <v>66</v>
      </c>
      <c r="W2728" s="93" t="s">
        <v>7424</v>
      </c>
      <c r="X2728" s="87"/>
      <c r="Y2728" s="87"/>
      <c r="Z2728" s="87"/>
      <c r="AA2728" s="87" t="s">
        <v>10459</v>
      </c>
      <c r="AB2728" s="87" t="s">
        <v>11448</v>
      </c>
      <c r="AC2728" s="93" t="s">
        <v>11457</v>
      </c>
      <c r="AD2728" s="87" t="s">
        <v>11519</v>
      </c>
      <c r="AE2728" s="92" t="str">
        <f>HYPERLINK("https://twitter.com/serraempauta/status/1691088567244611584")</f>
        <v>https://twitter.com/serraempauta/status/1691088567244611584</v>
      </c>
      <c r="AF2728" s="90">
        <v>45152.586886574078</v>
      </c>
      <c r="AG2728" s="99">
        <v>45152</v>
      </c>
      <c r="AH2728" s="93" t="s">
        <v>13972</v>
      </c>
      <c r="AI2728" s="87" t="b">
        <v>0</v>
      </c>
      <c r="AJ2728" s="87"/>
      <c r="AK2728" s="87"/>
      <c r="AL2728" s="87"/>
      <c r="AM2728" s="87"/>
      <c r="AN2728" s="87"/>
      <c r="AO2728" s="87"/>
      <c r="AP2728" s="87"/>
      <c r="AQ2728" s="87" t="s">
        <v>17271</v>
      </c>
      <c r="AR2728" s="87"/>
      <c r="AS2728" s="87"/>
      <c r="AT2728" s="87"/>
      <c r="AU2728" s="87"/>
      <c r="AV2728" s="92" t="str">
        <f>HYPERLINK("https://pbs.twimg.com/media/F3f0Fb8XUAAp2EC.jpg")</f>
        <v>https://pbs.twimg.com/media/F3f0Fb8XUAAp2EC.jpg</v>
      </c>
      <c r="AW2728" s="93" t="s">
        <v>20889</v>
      </c>
      <c r="AX2728" s="93" t="s">
        <v>20889</v>
      </c>
      <c r="AY2728" s="87"/>
      <c r="AZ2728" s="93" t="s">
        <v>22668</v>
      </c>
      <c r="BA2728" s="93" t="s">
        <v>22668</v>
      </c>
      <c r="BB2728" s="93" t="s">
        <v>22668</v>
      </c>
      <c r="BC2728" s="93" t="s">
        <v>20889</v>
      </c>
      <c r="BD2728" s="93" t="s">
        <v>23269</v>
      </c>
      <c r="BE2728" s="87"/>
      <c r="BF2728" s="87"/>
      <c r="BG2728" s="87"/>
      <c r="BH2728" s="87"/>
      <c r="BI2728" s="87"/>
    </row>
    <row r="2729" spans="1:61" x14ac:dyDescent="0.25">
      <c r="A2729" s="63" t="s">
        <v>1058</v>
      </c>
      <c r="B2729" s="63" t="s">
        <v>1058</v>
      </c>
      <c r="C2729" s="64"/>
      <c r="D2729" s="65"/>
      <c r="E2729" s="66"/>
      <c r="F2729" s="67"/>
      <c r="G2729" s="64"/>
      <c r="H2729" s="68"/>
      <c r="I2729" s="69"/>
      <c r="J2729" s="69"/>
      <c r="K2729" s="32"/>
      <c r="L2729" s="76">
        <v>2729</v>
      </c>
      <c r="M2729" s="76"/>
      <c r="N2729" s="71"/>
      <c r="O2729" s="87" t="s">
        <v>179</v>
      </c>
      <c r="P2729" s="90">
        <v>45152.551203703704</v>
      </c>
      <c r="Q2729" s="87" t="s">
        <v>4446</v>
      </c>
      <c r="R2729" s="87">
        <v>0</v>
      </c>
      <c r="S2729" s="87">
        <v>0</v>
      </c>
      <c r="T2729" s="87">
        <v>0</v>
      </c>
      <c r="U2729" s="87">
        <v>0</v>
      </c>
      <c r="V2729" s="87">
        <v>35</v>
      </c>
      <c r="W2729" s="93" t="s">
        <v>7424</v>
      </c>
      <c r="X2729" s="87"/>
      <c r="Y2729" s="87"/>
      <c r="Z2729" s="87"/>
      <c r="AA2729" s="87" t="s">
        <v>10460</v>
      </c>
      <c r="AB2729" s="87" t="s">
        <v>11448</v>
      </c>
      <c r="AC2729" s="93" t="s">
        <v>11457</v>
      </c>
      <c r="AD2729" s="87" t="s">
        <v>11519</v>
      </c>
      <c r="AE2729" s="92" t="str">
        <f>HYPERLINK("https://twitter.com/serraempauta/status/1691075633378439168")</f>
        <v>https://twitter.com/serraempauta/status/1691075633378439168</v>
      </c>
      <c r="AF2729" s="90">
        <v>45152.551203703704</v>
      </c>
      <c r="AG2729" s="99">
        <v>45152</v>
      </c>
      <c r="AH2729" s="93" t="s">
        <v>13959</v>
      </c>
      <c r="AI2729" s="87" t="b">
        <v>0</v>
      </c>
      <c r="AJ2729" s="87"/>
      <c r="AK2729" s="87"/>
      <c r="AL2729" s="87"/>
      <c r="AM2729" s="87"/>
      <c r="AN2729" s="87"/>
      <c r="AO2729" s="87"/>
      <c r="AP2729" s="87"/>
      <c r="AQ2729" s="87" t="s">
        <v>17272</v>
      </c>
      <c r="AR2729" s="87"/>
      <c r="AS2729" s="87"/>
      <c r="AT2729" s="87"/>
      <c r="AU2729" s="87"/>
      <c r="AV2729" s="92" t="str">
        <f>HYPERLINK("https://pbs.twimg.com/media/F3foUiKXIAA0jkS.jpg")</f>
        <v>https://pbs.twimg.com/media/F3foUiKXIAA0jkS.jpg</v>
      </c>
      <c r="AW2729" s="93" t="s">
        <v>20890</v>
      </c>
      <c r="AX2729" s="93" t="s">
        <v>20890</v>
      </c>
      <c r="AY2729" s="87"/>
      <c r="AZ2729" s="93" t="s">
        <v>22668</v>
      </c>
      <c r="BA2729" s="93" t="s">
        <v>22668</v>
      </c>
      <c r="BB2729" s="93" t="s">
        <v>22668</v>
      </c>
      <c r="BC2729" s="93" t="s">
        <v>20890</v>
      </c>
      <c r="BD2729" s="93" t="s">
        <v>23269</v>
      </c>
      <c r="BE2729" s="87"/>
      <c r="BF2729" s="87"/>
      <c r="BG2729" s="87"/>
      <c r="BH2729" s="87"/>
      <c r="BI2729" s="87"/>
    </row>
    <row r="2730" spans="1:61" x14ac:dyDescent="0.25">
      <c r="A2730" s="63" t="s">
        <v>1058</v>
      </c>
      <c r="B2730" s="63" t="s">
        <v>1058</v>
      </c>
      <c r="C2730" s="64"/>
      <c r="D2730" s="65"/>
      <c r="E2730" s="66"/>
      <c r="F2730" s="67"/>
      <c r="G2730" s="64"/>
      <c r="H2730" s="68"/>
      <c r="I2730" s="69"/>
      <c r="J2730" s="69"/>
      <c r="K2730" s="32"/>
      <c r="L2730" s="76">
        <v>2730</v>
      </c>
      <c r="M2730" s="76"/>
      <c r="N2730" s="71"/>
      <c r="O2730" s="87" t="s">
        <v>179</v>
      </c>
      <c r="P2730" s="90">
        <v>45140.585659722223</v>
      </c>
      <c r="Q2730" s="87" t="s">
        <v>4447</v>
      </c>
      <c r="R2730" s="87">
        <v>0</v>
      </c>
      <c r="S2730" s="87">
        <v>0</v>
      </c>
      <c r="T2730" s="87">
        <v>0</v>
      </c>
      <c r="U2730" s="87">
        <v>0</v>
      </c>
      <c r="V2730" s="87">
        <v>42</v>
      </c>
      <c r="W2730" s="93" t="s">
        <v>7424</v>
      </c>
      <c r="X2730" s="87"/>
      <c r="Y2730" s="87"/>
      <c r="Z2730" s="87"/>
      <c r="AA2730" s="87" t="s">
        <v>10461</v>
      </c>
      <c r="AB2730" s="87" t="s">
        <v>11448</v>
      </c>
      <c r="AC2730" s="93" t="s">
        <v>11457</v>
      </c>
      <c r="AD2730" s="87" t="s">
        <v>11519</v>
      </c>
      <c r="AE2730" s="92" t="str">
        <f>HYPERLINK("https://twitter.com/serraempauta/status/1686739468009472000")</f>
        <v>https://twitter.com/serraempauta/status/1686739468009472000</v>
      </c>
      <c r="AF2730" s="90">
        <v>45140.585659722223</v>
      </c>
      <c r="AG2730" s="99">
        <v>45140</v>
      </c>
      <c r="AH2730" s="93" t="s">
        <v>13973</v>
      </c>
      <c r="AI2730" s="87" t="b">
        <v>0</v>
      </c>
      <c r="AJ2730" s="87"/>
      <c r="AK2730" s="87"/>
      <c r="AL2730" s="87"/>
      <c r="AM2730" s="87"/>
      <c r="AN2730" s="87"/>
      <c r="AO2730" s="87"/>
      <c r="AP2730" s="87"/>
      <c r="AQ2730" s="87" t="s">
        <v>17273</v>
      </c>
      <c r="AR2730" s="87"/>
      <c r="AS2730" s="87"/>
      <c r="AT2730" s="87"/>
      <c r="AU2730" s="87"/>
      <c r="AV2730" s="92" t="str">
        <f>HYPERLINK("https://pbs.twimg.com/media/F2iAmh3WcAAA4dr.jpg")</f>
        <v>https://pbs.twimg.com/media/F2iAmh3WcAAA4dr.jpg</v>
      </c>
      <c r="AW2730" s="93" t="s">
        <v>20891</v>
      </c>
      <c r="AX2730" s="93" t="s">
        <v>20891</v>
      </c>
      <c r="AY2730" s="87"/>
      <c r="AZ2730" s="93" t="s">
        <v>22668</v>
      </c>
      <c r="BA2730" s="93" t="s">
        <v>22668</v>
      </c>
      <c r="BB2730" s="93" t="s">
        <v>22668</v>
      </c>
      <c r="BC2730" s="93" t="s">
        <v>20891</v>
      </c>
      <c r="BD2730" s="93" t="s">
        <v>23269</v>
      </c>
      <c r="BE2730" s="87"/>
      <c r="BF2730" s="87"/>
      <c r="BG2730" s="87"/>
      <c r="BH2730" s="87"/>
      <c r="BI2730" s="87"/>
    </row>
    <row r="2731" spans="1:61" x14ac:dyDescent="0.25">
      <c r="A2731" s="63" t="s">
        <v>1058</v>
      </c>
      <c r="B2731" s="63" t="s">
        <v>1058</v>
      </c>
      <c r="C2731" s="64"/>
      <c r="D2731" s="65"/>
      <c r="E2731" s="66"/>
      <c r="F2731" s="67"/>
      <c r="G2731" s="64"/>
      <c r="H2731" s="68"/>
      <c r="I2731" s="69"/>
      <c r="J2731" s="69"/>
      <c r="K2731" s="32"/>
      <c r="L2731" s="76">
        <v>2731</v>
      </c>
      <c r="M2731" s="76"/>
      <c r="N2731" s="71"/>
      <c r="O2731" s="87" t="s">
        <v>179</v>
      </c>
      <c r="P2731" s="90">
        <v>45140.527245370373</v>
      </c>
      <c r="Q2731" s="87" t="s">
        <v>4448</v>
      </c>
      <c r="R2731" s="87">
        <v>0</v>
      </c>
      <c r="S2731" s="87">
        <v>1</v>
      </c>
      <c r="T2731" s="87">
        <v>0</v>
      </c>
      <c r="U2731" s="87">
        <v>0</v>
      </c>
      <c r="V2731" s="87">
        <v>32</v>
      </c>
      <c r="W2731" s="93" t="s">
        <v>7424</v>
      </c>
      <c r="X2731" s="87"/>
      <c r="Y2731" s="87"/>
      <c r="Z2731" s="87"/>
      <c r="AA2731" s="87" t="s">
        <v>10462</v>
      </c>
      <c r="AB2731" s="87" t="s">
        <v>11448</v>
      </c>
      <c r="AC2731" s="93" t="s">
        <v>11457</v>
      </c>
      <c r="AD2731" s="87" t="s">
        <v>11519</v>
      </c>
      <c r="AE2731" s="92" t="str">
        <f>HYPERLINK("https://twitter.com/serraempauta/status/1686718299147481088")</f>
        <v>https://twitter.com/serraempauta/status/1686718299147481088</v>
      </c>
      <c r="AF2731" s="90">
        <v>45140.527245370373</v>
      </c>
      <c r="AG2731" s="99">
        <v>45140</v>
      </c>
      <c r="AH2731" s="93" t="s">
        <v>13974</v>
      </c>
      <c r="AI2731" s="87" t="b">
        <v>0</v>
      </c>
      <c r="AJ2731" s="87"/>
      <c r="AK2731" s="87"/>
      <c r="AL2731" s="87"/>
      <c r="AM2731" s="87"/>
      <c r="AN2731" s="87"/>
      <c r="AO2731" s="87"/>
      <c r="AP2731" s="87"/>
      <c r="AQ2731" s="87" t="s">
        <v>17274</v>
      </c>
      <c r="AR2731" s="87"/>
      <c r="AS2731" s="87"/>
      <c r="AT2731" s="87"/>
      <c r="AU2731" s="87"/>
      <c r="AV2731" s="92" t="str">
        <f>HYPERLINK("https://pbs.twimg.com/media/F2htWKAW0AAskfA.jpg")</f>
        <v>https://pbs.twimg.com/media/F2htWKAW0AAskfA.jpg</v>
      </c>
      <c r="AW2731" s="93" t="s">
        <v>20892</v>
      </c>
      <c r="AX2731" s="93" t="s">
        <v>20892</v>
      </c>
      <c r="AY2731" s="87"/>
      <c r="AZ2731" s="93" t="s">
        <v>22668</v>
      </c>
      <c r="BA2731" s="93" t="s">
        <v>22668</v>
      </c>
      <c r="BB2731" s="93" t="s">
        <v>22668</v>
      </c>
      <c r="BC2731" s="93" t="s">
        <v>20892</v>
      </c>
      <c r="BD2731" s="93" t="s">
        <v>23269</v>
      </c>
      <c r="BE2731" s="87"/>
      <c r="BF2731" s="87"/>
      <c r="BG2731" s="87"/>
      <c r="BH2731" s="87"/>
      <c r="BI2731" s="87"/>
    </row>
    <row r="2732" spans="1:61" x14ac:dyDescent="0.25">
      <c r="A2732" s="63" t="s">
        <v>1058</v>
      </c>
      <c r="B2732" s="63" t="s">
        <v>1058</v>
      </c>
      <c r="C2732" s="64"/>
      <c r="D2732" s="65"/>
      <c r="E2732" s="66"/>
      <c r="F2732" s="67"/>
      <c r="G2732" s="64"/>
      <c r="H2732" s="68"/>
      <c r="I2732" s="69"/>
      <c r="J2732" s="69"/>
      <c r="K2732" s="32"/>
      <c r="L2732" s="76">
        <v>2732</v>
      </c>
      <c r="M2732" s="76"/>
      <c r="N2732" s="71"/>
      <c r="O2732" s="87" t="s">
        <v>179</v>
      </c>
      <c r="P2732" s="90">
        <v>45140.493344907409</v>
      </c>
      <c r="Q2732" s="87" t="s">
        <v>4449</v>
      </c>
      <c r="R2732" s="87">
        <v>0</v>
      </c>
      <c r="S2732" s="87">
        <v>0</v>
      </c>
      <c r="T2732" s="87">
        <v>0</v>
      </c>
      <c r="U2732" s="87">
        <v>0</v>
      </c>
      <c r="V2732" s="87">
        <v>65</v>
      </c>
      <c r="W2732" s="93" t="s">
        <v>7424</v>
      </c>
      <c r="X2732" s="87"/>
      <c r="Y2732" s="87"/>
      <c r="Z2732" s="87"/>
      <c r="AA2732" s="87" t="s">
        <v>10463</v>
      </c>
      <c r="AB2732" s="87" t="s">
        <v>11448</v>
      </c>
      <c r="AC2732" s="93" t="s">
        <v>11457</v>
      </c>
      <c r="AD2732" s="87" t="s">
        <v>11519</v>
      </c>
      <c r="AE2732" s="92" t="str">
        <f>HYPERLINK("https://twitter.com/serraempauta/status/1686706011992731648")</f>
        <v>https://twitter.com/serraempauta/status/1686706011992731648</v>
      </c>
      <c r="AF2732" s="90">
        <v>45140.493344907409</v>
      </c>
      <c r="AG2732" s="99">
        <v>45140</v>
      </c>
      <c r="AH2732" s="93" t="s">
        <v>13975</v>
      </c>
      <c r="AI2732" s="87" t="b">
        <v>0</v>
      </c>
      <c r="AJ2732" s="87"/>
      <c r="AK2732" s="87"/>
      <c r="AL2732" s="87"/>
      <c r="AM2732" s="87"/>
      <c r="AN2732" s="87"/>
      <c r="AO2732" s="87"/>
      <c r="AP2732" s="87"/>
      <c r="AQ2732" s="87" t="s">
        <v>17275</v>
      </c>
      <c r="AR2732" s="87"/>
      <c r="AS2732" s="87"/>
      <c r="AT2732" s="87"/>
      <c r="AU2732" s="87"/>
      <c r="AV2732" s="92" t="str">
        <f>HYPERLINK("https://pbs.twimg.com/media/F2hiKpeWQAApWe5.jpg")</f>
        <v>https://pbs.twimg.com/media/F2hiKpeWQAApWe5.jpg</v>
      </c>
      <c r="AW2732" s="93" t="s">
        <v>20893</v>
      </c>
      <c r="AX2732" s="93" t="s">
        <v>20893</v>
      </c>
      <c r="AY2732" s="87"/>
      <c r="AZ2732" s="93" t="s">
        <v>22668</v>
      </c>
      <c r="BA2732" s="93" t="s">
        <v>22668</v>
      </c>
      <c r="BB2732" s="93" t="s">
        <v>22668</v>
      </c>
      <c r="BC2732" s="93" t="s">
        <v>20893</v>
      </c>
      <c r="BD2732" s="93" t="s">
        <v>23269</v>
      </c>
      <c r="BE2732" s="87"/>
      <c r="BF2732" s="87"/>
      <c r="BG2732" s="87"/>
      <c r="BH2732" s="87"/>
      <c r="BI2732" s="87"/>
    </row>
    <row r="2733" spans="1:61" x14ac:dyDescent="0.25">
      <c r="A2733" s="63" t="s">
        <v>1058</v>
      </c>
      <c r="B2733" s="63" t="s">
        <v>1058</v>
      </c>
      <c r="C2733" s="64"/>
      <c r="D2733" s="65"/>
      <c r="E2733" s="66"/>
      <c r="F2733" s="67"/>
      <c r="G2733" s="64"/>
      <c r="H2733" s="68"/>
      <c r="I2733" s="69"/>
      <c r="J2733" s="69"/>
      <c r="K2733" s="32"/>
      <c r="L2733" s="76">
        <v>2733</v>
      </c>
      <c r="M2733" s="76"/>
      <c r="N2733" s="71"/>
      <c r="O2733" s="87" t="s">
        <v>179</v>
      </c>
      <c r="P2733" s="90">
        <v>45139.763020833336</v>
      </c>
      <c r="Q2733" s="87" t="s">
        <v>4450</v>
      </c>
      <c r="R2733" s="87">
        <v>0</v>
      </c>
      <c r="S2733" s="87">
        <v>0</v>
      </c>
      <c r="T2733" s="87">
        <v>0</v>
      </c>
      <c r="U2733" s="87">
        <v>0</v>
      </c>
      <c r="V2733" s="87">
        <v>29</v>
      </c>
      <c r="W2733" s="93" t="s">
        <v>7424</v>
      </c>
      <c r="X2733" s="87"/>
      <c r="Y2733" s="87"/>
      <c r="Z2733" s="87"/>
      <c r="AA2733" s="87" t="s">
        <v>10464</v>
      </c>
      <c r="AB2733" s="87" t="s">
        <v>11448</v>
      </c>
      <c r="AC2733" s="93" t="s">
        <v>11457</v>
      </c>
      <c r="AD2733" s="87" t="s">
        <v>11523</v>
      </c>
      <c r="AE2733" s="92" t="str">
        <f>HYPERLINK("https://twitter.com/serraempauta/status/1686441350735024138")</f>
        <v>https://twitter.com/serraempauta/status/1686441350735024138</v>
      </c>
      <c r="AF2733" s="90">
        <v>45139.763020833336</v>
      </c>
      <c r="AG2733" s="99">
        <v>45139</v>
      </c>
      <c r="AH2733" s="93" t="s">
        <v>13976</v>
      </c>
      <c r="AI2733" s="87" t="b">
        <v>0</v>
      </c>
      <c r="AJ2733" s="87"/>
      <c r="AK2733" s="87"/>
      <c r="AL2733" s="87"/>
      <c r="AM2733" s="87"/>
      <c r="AN2733" s="87"/>
      <c r="AO2733" s="87"/>
      <c r="AP2733" s="87"/>
      <c r="AQ2733" s="87" t="s">
        <v>17276</v>
      </c>
      <c r="AR2733" s="87"/>
      <c r="AS2733" s="87"/>
      <c r="AT2733" s="87"/>
      <c r="AU2733" s="87"/>
      <c r="AV2733" s="92" t="str">
        <f>HYPERLINK("https://pbs.twimg.com/media/F2dxaJzW8AEgycJ.jpg")</f>
        <v>https://pbs.twimg.com/media/F2dxaJzW8AEgycJ.jpg</v>
      </c>
      <c r="AW2733" s="93" t="s">
        <v>20894</v>
      </c>
      <c r="AX2733" s="93" t="s">
        <v>20894</v>
      </c>
      <c r="AY2733" s="87"/>
      <c r="AZ2733" s="93" t="s">
        <v>22668</v>
      </c>
      <c r="BA2733" s="93" t="s">
        <v>22668</v>
      </c>
      <c r="BB2733" s="93" t="s">
        <v>22668</v>
      </c>
      <c r="BC2733" s="93" t="s">
        <v>20894</v>
      </c>
      <c r="BD2733" s="93" t="s">
        <v>23269</v>
      </c>
      <c r="BE2733" s="87"/>
      <c r="BF2733" s="87"/>
      <c r="BG2733" s="87"/>
      <c r="BH2733" s="87"/>
      <c r="BI2733" s="87"/>
    </row>
    <row r="2734" spans="1:61" x14ac:dyDescent="0.25">
      <c r="A2734" s="63" t="s">
        <v>1058</v>
      </c>
      <c r="B2734" s="63" t="s">
        <v>1058</v>
      </c>
      <c r="C2734" s="64"/>
      <c r="D2734" s="65"/>
      <c r="E2734" s="66"/>
      <c r="F2734" s="67"/>
      <c r="G2734" s="64"/>
      <c r="H2734" s="68"/>
      <c r="I2734" s="69"/>
      <c r="J2734" s="69"/>
      <c r="K2734" s="32"/>
      <c r="L2734" s="76">
        <v>2734</v>
      </c>
      <c r="M2734" s="76"/>
      <c r="N2734" s="71"/>
      <c r="O2734" s="87" t="s">
        <v>179</v>
      </c>
      <c r="P2734" s="90">
        <v>45139.601956018516</v>
      </c>
      <c r="Q2734" s="87" t="s">
        <v>4451</v>
      </c>
      <c r="R2734" s="87">
        <v>1</v>
      </c>
      <c r="S2734" s="87">
        <v>1</v>
      </c>
      <c r="T2734" s="87">
        <v>0</v>
      </c>
      <c r="U2734" s="87">
        <v>0</v>
      </c>
      <c r="V2734" s="87">
        <v>94</v>
      </c>
      <c r="W2734" s="93" t="s">
        <v>7424</v>
      </c>
      <c r="X2734" s="87"/>
      <c r="Y2734" s="87"/>
      <c r="Z2734" s="87"/>
      <c r="AA2734" s="87" t="s">
        <v>10465</v>
      </c>
      <c r="AB2734" s="87" t="s">
        <v>11448</v>
      </c>
      <c r="AC2734" s="93" t="s">
        <v>11457</v>
      </c>
      <c r="AD2734" s="87" t="s">
        <v>11519</v>
      </c>
      <c r="AE2734" s="92" t="str">
        <f>HYPERLINK("https://twitter.com/serraempauta/status/1686382983555809280")</f>
        <v>https://twitter.com/serraempauta/status/1686382983555809280</v>
      </c>
      <c r="AF2734" s="90">
        <v>45139.601956018516</v>
      </c>
      <c r="AG2734" s="99">
        <v>45139</v>
      </c>
      <c r="AH2734" s="93" t="s">
        <v>13977</v>
      </c>
      <c r="AI2734" s="87" t="b">
        <v>0</v>
      </c>
      <c r="AJ2734" s="87"/>
      <c r="AK2734" s="87"/>
      <c r="AL2734" s="87"/>
      <c r="AM2734" s="87"/>
      <c r="AN2734" s="87"/>
      <c r="AO2734" s="87"/>
      <c r="AP2734" s="87"/>
      <c r="AQ2734" s="87" t="s">
        <v>17277</v>
      </c>
      <c r="AR2734" s="87"/>
      <c r="AS2734" s="87"/>
      <c r="AT2734" s="87"/>
      <c r="AU2734" s="87"/>
      <c r="AV2734" s="92" t="str">
        <f>HYPERLINK("https://pbs.twimg.com/media/F2c8YCma4AEXuS-.jpg")</f>
        <v>https://pbs.twimg.com/media/F2c8YCma4AEXuS-.jpg</v>
      </c>
      <c r="AW2734" s="93" t="s">
        <v>20895</v>
      </c>
      <c r="AX2734" s="93" t="s">
        <v>20895</v>
      </c>
      <c r="AY2734" s="87"/>
      <c r="AZ2734" s="93" t="s">
        <v>22668</v>
      </c>
      <c r="BA2734" s="93" t="s">
        <v>22668</v>
      </c>
      <c r="BB2734" s="93" t="s">
        <v>22668</v>
      </c>
      <c r="BC2734" s="93" t="s">
        <v>20895</v>
      </c>
      <c r="BD2734" s="93" t="s">
        <v>23269</v>
      </c>
      <c r="BE2734" s="87"/>
      <c r="BF2734" s="87"/>
      <c r="BG2734" s="87"/>
      <c r="BH2734" s="87"/>
      <c r="BI2734" s="87"/>
    </row>
    <row r="2735" spans="1:61" x14ac:dyDescent="0.25">
      <c r="A2735" s="63" t="s">
        <v>1058</v>
      </c>
      <c r="B2735" s="63" t="s">
        <v>1058</v>
      </c>
      <c r="C2735" s="64"/>
      <c r="D2735" s="65"/>
      <c r="E2735" s="66"/>
      <c r="F2735" s="67"/>
      <c r="G2735" s="64"/>
      <c r="H2735" s="68"/>
      <c r="I2735" s="69"/>
      <c r="J2735" s="69"/>
      <c r="K2735" s="32"/>
      <c r="L2735" s="76">
        <v>2735</v>
      </c>
      <c r="M2735" s="76"/>
      <c r="N2735" s="71"/>
      <c r="O2735" s="87" t="s">
        <v>179</v>
      </c>
      <c r="P2735" s="90">
        <v>45139.59070601852</v>
      </c>
      <c r="Q2735" s="87" t="s">
        <v>4452</v>
      </c>
      <c r="R2735" s="87">
        <v>0</v>
      </c>
      <c r="S2735" s="87">
        <v>1</v>
      </c>
      <c r="T2735" s="87">
        <v>0</v>
      </c>
      <c r="U2735" s="87">
        <v>0</v>
      </c>
      <c r="V2735" s="87">
        <v>71</v>
      </c>
      <c r="W2735" s="93" t="s">
        <v>7424</v>
      </c>
      <c r="X2735" s="87"/>
      <c r="Y2735" s="87"/>
      <c r="Z2735" s="87"/>
      <c r="AA2735" s="87" t="s">
        <v>10466</v>
      </c>
      <c r="AB2735" s="87" t="s">
        <v>11448</v>
      </c>
      <c r="AC2735" s="93" t="s">
        <v>11457</v>
      </c>
      <c r="AD2735" s="87" t="s">
        <v>11519</v>
      </c>
      <c r="AE2735" s="92" t="str">
        <f>HYPERLINK("https://twitter.com/serraempauta/status/1686378906860023810")</f>
        <v>https://twitter.com/serraempauta/status/1686378906860023810</v>
      </c>
      <c r="AF2735" s="90">
        <v>45139.59070601852</v>
      </c>
      <c r="AG2735" s="99">
        <v>45139</v>
      </c>
      <c r="AH2735" s="93" t="s">
        <v>13978</v>
      </c>
      <c r="AI2735" s="87" t="b">
        <v>0</v>
      </c>
      <c r="AJ2735" s="87"/>
      <c r="AK2735" s="87"/>
      <c r="AL2735" s="87"/>
      <c r="AM2735" s="87"/>
      <c r="AN2735" s="87"/>
      <c r="AO2735" s="87"/>
      <c r="AP2735" s="87"/>
      <c r="AQ2735" s="87" t="s">
        <v>17278</v>
      </c>
      <c r="AR2735" s="87"/>
      <c r="AS2735" s="87"/>
      <c r="AT2735" s="87"/>
      <c r="AU2735" s="87"/>
      <c r="AV2735" s="92" t="str">
        <f>HYPERLINK("https://pbs.twimg.com/media/F2c4qhzaAAAgvTi.jpg")</f>
        <v>https://pbs.twimg.com/media/F2c4qhzaAAAgvTi.jpg</v>
      </c>
      <c r="AW2735" s="93" t="s">
        <v>20896</v>
      </c>
      <c r="AX2735" s="93" t="s">
        <v>20896</v>
      </c>
      <c r="AY2735" s="87"/>
      <c r="AZ2735" s="93" t="s">
        <v>22668</v>
      </c>
      <c r="BA2735" s="93" t="s">
        <v>22668</v>
      </c>
      <c r="BB2735" s="93" t="s">
        <v>22668</v>
      </c>
      <c r="BC2735" s="93" t="s">
        <v>20896</v>
      </c>
      <c r="BD2735" s="93" t="s">
        <v>23269</v>
      </c>
      <c r="BE2735" s="87"/>
      <c r="BF2735" s="87"/>
      <c r="BG2735" s="87"/>
      <c r="BH2735" s="87"/>
      <c r="BI2735" s="87"/>
    </row>
    <row r="2736" spans="1:61" x14ac:dyDescent="0.25">
      <c r="A2736" s="63" t="s">
        <v>1058</v>
      </c>
      <c r="B2736" s="63" t="s">
        <v>1058</v>
      </c>
      <c r="C2736" s="64"/>
      <c r="D2736" s="65"/>
      <c r="E2736" s="66"/>
      <c r="F2736" s="67"/>
      <c r="G2736" s="64"/>
      <c r="H2736" s="68"/>
      <c r="I2736" s="69"/>
      <c r="J2736" s="69"/>
      <c r="K2736" s="32"/>
      <c r="L2736" s="76">
        <v>2736</v>
      </c>
      <c r="M2736" s="76"/>
      <c r="N2736" s="71"/>
      <c r="O2736" s="87" t="s">
        <v>179</v>
      </c>
      <c r="P2736" s="90">
        <v>45139.567048611112</v>
      </c>
      <c r="Q2736" s="87" t="s">
        <v>4453</v>
      </c>
      <c r="R2736" s="87">
        <v>0</v>
      </c>
      <c r="S2736" s="87">
        <v>0</v>
      </c>
      <c r="T2736" s="87">
        <v>0</v>
      </c>
      <c r="U2736" s="87">
        <v>0</v>
      </c>
      <c r="V2736" s="87">
        <v>46</v>
      </c>
      <c r="W2736" s="93" t="s">
        <v>7424</v>
      </c>
      <c r="X2736" s="87"/>
      <c r="Y2736" s="87"/>
      <c r="Z2736" s="87"/>
      <c r="AA2736" s="87" t="s">
        <v>10467</v>
      </c>
      <c r="AB2736" s="87" t="s">
        <v>11448</v>
      </c>
      <c r="AC2736" s="93" t="s">
        <v>11457</v>
      </c>
      <c r="AD2736" s="87" t="s">
        <v>11519</v>
      </c>
      <c r="AE2736" s="92" t="str">
        <f>HYPERLINK("https://twitter.com/serraempauta/status/1686370332385456128")</f>
        <v>https://twitter.com/serraempauta/status/1686370332385456128</v>
      </c>
      <c r="AF2736" s="90">
        <v>45139.567048611112</v>
      </c>
      <c r="AG2736" s="99">
        <v>45139</v>
      </c>
      <c r="AH2736" s="93" t="s">
        <v>13979</v>
      </c>
      <c r="AI2736" s="87" t="b">
        <v>0</v>
      </c>
      <c r="AJ2736" s="87"/>
      <c r="AK2736" s="87"/>
      <c r="AL2736" s="87"/>
      <c r="AM2736" s="87"/>
      <c r="AN2736" s="87"/>
      <c r="AO2736" s="87"/>
      <c r="AP2736" s="87"/>
      <c r="AQ2736" s="87" t="s">
        <v>17279</v>
      </c>
      <c r="AR2736" s="87"/>
      <c r="AS2736" s="87"/>
      <c r="AT2736" s="87"/>
      <c r="AU2736" s="87"/>
      <c r="AV2736" s="92" t="str">
        <f>HYPERLINK("https://pbs.twimg.com/media/F2cw3-DXMAAILJJ.jpg")</f>
        <v>https://pbs.twimg.com/media/F2cw3-DXMAAILJJ.jpg</v>
      </c>
      <c r="AW2736" s="93" t="s">
        <v>20897</v>
      </c>
      <c r="AX2736" s="93" t="s">
        <v>20897</v>
      </c>
      <c r="AY2736" s="87"/>
      <c r="AZ2736" s="93" t="s">
        <v>22668</v>
      </c>
      <c r="BA2736" s="93" t="s">
        <v>22668</v>
      </c>
      <c r="BB2736" s="93" t="s">
        <v>22668</v>
      </c>
      <c r="BC2736" s="93" t="s">
        <v>20897</v>
      </c>
      <c r="BD2736" s="93" t="s">
        <v>23269</v>
      </c>
      <c r="BE2736" s="87"/>
      <c r="BF2736" s="87"/>
      <c r="BG2736" s="87"/>
      <c r="BH2736" s="87"/>
      <c r="BI2736" s="87"/>
    </row>
    <row r="2737" spans="1:61" x14ac:dyDescent="0.25">
      <c r="A2737" s="63" t="s">
        <v>1058</v>
      </c>
      <c r="B2737" s="63" t="s">
        <v>1058</v>
      </c>
      <c r="C2737" s="64"/>
      <c r="D2737" s="65"/>
      <c r="E2737" s="66"/>
      <c r="F2737" s="67"/>
      <c r="G2737" s="64"/>
      <c r="H2737" s="68"/>
      <c r="I2737" s="69"/>
      <c r="J2737" s="69"/>
      <c r="K2737" s="32"/>
      <c r="L2737" s="76">
        <v>2737</v>
      </c>
      <c r="M2737" s="76"/>
      <c r="N2737" s="71"/>
      <c r="O2737" s="87" t="s">
        <v>179</v>
      </c>
      <c r="P2737" s="90">
        <v>45139.527962962966</v>
      </c>
      <c r="Q2737" s="87" t="s">
        <v>4454</v>
      </c>
      <c r="R2737" s="87">
        <v>0</v>
      </c>
      <c r="S2737" s="87">
        <v>1</v>
      </c>
      <c r="T2737" s="87">
        <v>0</v>
      </c>
      <c r="U2737" s="87">
        <v>0</v>
      </c>
      <c r="V2737" s="87">
        <v>57</v>
      </c>
      <c r="W2737" s="93" t="s">
        <v>7424</v>
      </c>
      <c r="X2737" s="87"/>
      <c r="Y2737" s="87"/>
      <c r="Z2737" s="87"/>
      <c r="AA2737" s="87" t="s">
        <v>10468</v>
      </c>
      <c r="AB2737" s="87" t="s">
        <v>11448</v>
      </c>
      <c r="AC2737" s="93" t="s">
        <v>11457</v>
      </c>
      <c r="AD2737" s="87" t="s">
        <v>11519</v>
      </c>
      <c r="AE2737" s="92" t="str">
        <f>HYPERLINK("https://twitter.com/serraempauta/status/1686356168661155840")</f>
        <v>https://twitter.com/serraempauta/status/1686356168661155840</v>
      </c>
      <c r="AF2737" s="90">
        <v>45139.527962962966</v>
      </c>
      <c r="AG2737" s="99">
        <v>45139</v>
      </c>
      <c r="AH2737" s="93" t="s">
        <v>13980</v>
      </c>
      <c r="AI2737" s="87" t="b">
        <v>0</v>
      </c>
      <c r="AJ2737" s="87"/>
      <c r="AK2737" s="87"/>
      <c r="AL2737" s="87"/>
      <c r="AM2737" s="87"/>
      <c r="AN2737" s="87"/>
      <c r="AO2737" s="87"/>
      <c r="AP2737" s="87"/>
      <c r="AQ2737" s="87" t="s">
        <v>17280</v>
      </c>
      <c r="AR2737" s="87"/>
      <c r="AS2737" s="87"/>
      <c r="AT2737" s="87"/>
      <c r="AU2737" s="87"/>
      <c r="AV2737" s="92" t="str">
        <f>HYPERLINK("https://pbs.twimg.com/media/F2cj_bHWEAAqe1u.jpg")</f>
        <v>https://pbs.twimg.com/media/F2cj_bHWEAAqe1u.jpg</v>
      </c>
      <c r="AW2737" s="93" t="s">
        <v>20898</v>
      </c>
      <c r="AX2737" s="93" t="s">
        <v>20898</v>
      </c>
      <c r="AY2737" s="87"/>
      <c r="AZ2737" s="93" t="s">
        <v>22668</v>
      </c>
      <c r="BA2737" s="93" t="s">
        <v>22668</v>
      </c>
      <c r="BB2737" s="93" t="s">
        <v>22668</v>
      </c>
      <c r="BC2737" s="93" t="s">
        <v>20898</v>
      </c>
      <c r="BD2737" s="93" t="s">
        <v>23269</v>
      </c>
      <c r="BE2737" s="87"/>
      <c r="BF2737" s="87"/>
      <c r="BG2737" s="87"/>
      <c r="BH2737" s="87"/>
      <c r="BI2737" s="87"/>
    </row>
    <row r="2738" spans="1:61" x14ac:dyDescent="0.25">
      <c r="A2738" s="63" t="s">
        <v>1058</v>
      </c>
      <c r="B2738" s="63" t="s">
        <v>1058</v>
      </c>
      <c r="C2738" s="64"/>
      <c r="D2738" s="65"/>
      <c r="E2738" s="66"/>
      <c r="F2738" s="67"/>
      <c r="G2738" s="64"/>
      <c r="H2738" s="68"/>
      <c r="I2738" s="69"/>
      <c r="J2738" s="69"/>
      <c r="K2738" s="32"/>
      <c r="L2738" s="76">
        <v>2738</v>
      </c>
      <c r="M2738" s="76"/>
      <c r="N2738" s="71"/>
      <c r="O2738" s="87" t="s">
        <v>179</v>
      </c>
      <c r="P2738" s="90">
        <v>45126.536319444444</v>
      </c>
      <c r="Q2738" s="87" t="s">
        <v>4455</v>
      </c>
      <c r="R2738" s="87">
        <v>0</v>
      </c>
      <c r="S2738" s="87">
        <v>0</v>
      </c>
      <c r="T2738" s="87">
        <v>0</v>
      </c>
      <c r="U2738" s="87">
        <v>0</v>
      </c>
      <c r="V2738" s="87">
        <v>52</v>
      </c>
      <c r="W2738" s="93" t="s">
        <v>7424</v>
      </c>
      <c r="X2738" s="87"/>
      <c r="Y2738" s="87"/>
      <c r="Z2738" s="87"/>
      <c r="AA2738" s="87" t="s">
        <v>10469</v>
      </c>
      <c r="AB2738" s="87" t="s">
        <v>11448</v>
      </c>
      <c r="AC2738" s="93" t="s">
        <v>11458</v>
      </c>
      <c r="AD2738" s="87" t="s">
        <v>11519</v>
      </c>
      <c r="AE2738" s="92" t="str">
        <f>HYPERLINK("https://twitter.com/serraempauta/status/1681648157711630336")</f>
        <v>https://twitter.com/serraempauta/status/1681648157711630336</v>
      </c>
      <c r="AF2738" s="90">
        <v>45126.536319444444</v>
      </c>
      <c r="AG2738" s="99">
        <v>45126</v>
      </c>
      <c r="AH2738" s="93" t="s">
        <v>13981</v>
      </c>
      <c r="AI2738" s="87" t="b">
        <v>0</v>
      </c>
      <c r="AJ2738" s="87"/>
      <c r="AK2738" s="87"/>
      <c r="AL2738" s="87"/>
      <c r="AM2738" s="87"/>
      <c r="AN2738" s="87"/>
      <c r="AO2738" s="87"/>
      <c r="AP2738" s="87"/>
      <c r="AQ2738" s="87" t="s">
        <v>17281</v>
      </c>
      <c r="AR2738" s="87"/>
      <c r="AS2738" s="87"/>
      <c r="AT2738" s="87"/>
      <c r="AU2738" s="87"/>
      <c r="AV2738" s="92" t="str">
        <f>HYPERLINK("https://pbs.twimg.com/media/F1ZqFWXWcAANoUs.jpg")</f>
        <v>https://pbs.twimg.com/media/F1ZqFWXWcAANoUs.jpg</v>
      </c>
      <c r="AW2738" s="93" t="s">
        <v>20899</v>
      </c>
      <c r="AX2738" s="93" t="s">
        <v>20899</v>
      </c>
      <c r="AY2738" s="87"/>
      <c r="AZ2738" s="93" t="s">
        <v>22668</v>
      </c>
      <c r="BA2738" s="93" t="s">
        <v>22668</v>
      </c>
      <c r="BB2738" s="93" t="s">
        <v>22668</v>
      </c>
      <c r="BC2738" s="93" t="s">
        <v>20899</v>
      </c>
      <c r="BD2738" s="93" t="s">
        <v>23269</v>
      </c>
      <c r="BE2738" s="87"/>
      <c r="BF2738" s="87"/>
      <c r="BG2738" s="87"/>
      <c r="BH2738" s="87"/>
      <c r="BI2738" s="87"/>
    </row>
    <row r="2739" spans="1:61" x14ac:dyDescent="0.25">
      <c r="A2739" s="63" t="s">
        <v>1058</v>
      </c>
      <c r="B2739" s="63" t="s">
        <v>1058</v>
      </c>
      <c r="C2739" s="64"/>
      <c r="D2739" s="65"/>
      <c r="E2739" s="66"/>
      <c r="F2739" s="67"/>
      <c r="G2739" s="64"/>
      <c r="H2739" s="68"/>
      <c r="I2739" s="69"/>
      <c r="J2739" s="69"/>
      <c r="K2739" s="32"/>
      <c r="L2739" s="76">
        <v>2739</v>
      </c>
      <c r="M2739" s="76"/>
      <c r="N2739" s="71"/>
      <c r="O2739" s="87" t="s">
        <v>179</v>
      </c>
      <c r="P2739" s="90">
        <v>45126.535127314812</v>
      </c>
      <c r="Q2739" s="87" t="s">
        <v>4456</v>
      </c>
      <c r="R2739" s="87">
        <v>0</v>
      </c>
      <c r="S2739" s="87">
        <v>0</v>
      </c>
      <c r="T2739" s="87">
        <v>0</v>
      </c>
      <c r="U2739" s="87">
        <v>0</v>
      </c>
      <c r="V2739" s="87">
        <v>80</v>
      </c>
      <c r="W2739" s="93" t="s">
        <v>7424</v>
      </c>
      <c r="X2739" s="87"/>
      <c r="Y2739" s="87"/>
      <c r="Z2739" s="87"/>
      <c r="AA2739" s="87" t="s">
        <v>10470</v>
      </c>
      <c r="AB2739" s="87" t="s">
        <v>11448</v>
      </c>
      <c r="AC2739" s="93" t="s">
        <v>11458</v>
      </c>
      <c r="AD2739" s="87" t="s">
        <v>11519</v>
      </c>
      <c r="AE2739" s="92" t="str">
        <f>HYPERLINK("https://twitter.com/serraempauta/status/1681647724775522306")</f>
        <v>https://twitter.com/serraempauta/status/1681647724775522306</v>
      </c>
      <c r="AF2739" s="90">
        <v>45126.535127314812</v>
      </c>
      <c r="AG2739" s="99">
        <v>45126</v>
      </c>
      <c r="AH2739" s="93" t="s">
        <v>13982</v>
      </c>
      <c r="AI2739" s="87" t="b">
        <v>0</v>
      </c>
      <c r="AJ2739" s="87"/>
      <c r="AK2739" s="87"/>
      <c r="AL2739" s="87"/>
      <c r="AM2739" s="87"/>
      <c r="AN2739" s="87"/>
      <c r="AO2739" s="87"/>
      <c r="AP2739" s="87"/>
      <c r="AQ2739" s="87" t="s">
        <v>17282</v>
      </c>
      <c r="AR2739" s="87"/>
      <c r="AS2739" s="87"/>
      <c r="AT2739" s="87"/>
      <c r="AU2739" s="87"/>
      <c r="AV2739" s="92" t="str">
        <f>HYPERLINK("https://pbs.twimg.com/media/F1ZpsCTXoAIkKkQ.jpg")</f>
        <v>https://pbs.twimg.com/media/F1ZpsCTXoAIkKkQ.jpg</v>
      </c>
      <c r="AW2739" s="93" t="s">
        <v>20900</v>
      </c>
      <c r="AX2739" s="93" t="s">
        <v>20900</v>
      </c>
      <c r="AY2739" s="87"/>
      <c r="AZ2739" s="93" t="s">
        <v>22668</v>
      </c>
      <c r="BA2739" s="93" t="s">
        <v>22668</v>
      </c>
      <c r="BB2739" s="93" t="s">
        <v>22668</v>
      </c>
      <c r="BC2739" s="93" t="s">
        <v>20900</v>
      </c>
      <c r="BD2739" s="93" t="s">
        <v>23269</v>
      </c>
      <c r="BE2739" s="87"/>
      <c r="BF2739" s="87"/>
      <c r="BG2739" s="87"/>
      <c r="BH2739" s="87"/>
      <c r="BI2739" s="87"/>
    </row>
    <row r="2740" spans="1:61" x14ac:dyDescent="0.25">
      <c r="A2740" s="63" t="s">
        <v>1058</v>
      </c>
      <c r="B2740" s="63" t="s">
        <v>1058</v>
      </c>
      <c r="C2740" s="64"/>
      <c r="D2740" s="65"/>
      <c r="E2740" s="66"/>
      <c r="F2740" s="67"/>
      <c r="G2740" s="64"/>
      <c r="H2740" s="68"/>
      <c r="I2740" s="69"/>
      <c r="J2740" s="69"/>
      <c r="K2740" s="32"/>
      <c r="L2740" s="76">
        <v>2740</v>
      </c>
      <c r="M2740" s="76"/>
      <c r="N2740" s="71"/>
      <c r="O2740" s="87" t="s">
        <v>179</v>
      </c>
      <c r="P2740" s="90">
        <v>45126.534363425926</v>
      </c>
      <c r="Q2740" s="87" t="s">
        <v>4457</v>
      </c>
      <c r="R2740" s="87">
        <v>0</v>
      </c>
      <c r="S2740" s="87">
        <v>0</v>
      </c>
      <c r="T2740" s="87">
        <v>0</v>
      </c>
      <c r="U2740" s="87">
        <v>0</v>
      </c>
      <c r="V2740" s="87">
        <v>50</v>
      </c>
      <c r="W2740" s="93" t="s">
        <v>7424</v>
      </c>
      <c r="X2740" s="87"/>
      <c r="Y2740" s="87"/>
      <c r="Z2740" s="87"/>
      <c r="AA2740" s="87" t="s">
        <v>10471</v>
      </c>
      <c r="AB2740" s="87" t="s">
        <v>11448</v>
      </c>
      <c r="AC2740" s="93" t="s">
        <v>11458</v>
      </c>
      <c r="AD2740" s="87" t="s">
        <v>11519</v>
      </c>
      <c r="AE2740" s="92" t="str">
        <f>HYPERLINK("https://twitter.com/serraempauta/status/1681647445548171267")</f>
        <v>https://twitter.com/serraempauta/status/1681647445548171267</v>
      </c>
      <c r="AF2740" s="90">
        <v>45126.534363425926</v>
      </c>
      <c r="AG2740" s="99">
        <v>45126</v>
      </c>
      <c r="AH2740" s="93" t="s">
        <v>13983</v>
      </c>
      <c r="AI2740" s="87" t="b">
        <v>0</v>
      </c>
      <c r="AJ2740" s="87"/>
      <c r="AK2740" s="87"/>
      <c r="AL2740" s="87"/>
      <c r="AM2740" s="87"/>
      <c r="AN2740" s="87"/>
      <c r="AO2740" s="87"/>
      <c r="AP2740" s="87"/>
      <c r="AQ2740" s="87" t="s">
        <v>17283</v>
      </c>
      <c r="AR2740" s="87"/>
      <c r="AS2740" s="87"/>
      <c r="AT2740" s="87"/>
      <c r="AU2740" s="87"/>
      <c r="AV2740" s="92" t="str">
        <f>HYPERLINK("https://pbs.twimg.com/media/F1Zpb1dX0AElObk.jpg")</f>
        <v>https://pbs.twimg.com/media/F1Zpb1dX0AElObk.jpg</v>
      </c>
      <c r="AW2740" s="93" t="s">
        <v>20901</v>
      </c>
      <c r="AX2740" s="93" t="s">
        <v>20901</v>
      </c>
      <c r="AY2740" s="87"/>
      <c r="AZ2740" s="93" t="s">
        <v>22668</v>
      </c>
      <c r="BA2740" s="93" t="s">
        <v>22668</v>
      </c>
      <c r="BB2740" s="93" t="s">
        <v>22668</v>
      </c>
      <c r="BC2740" s="93" t="s">
        <v>20901</v>
      </c>
      <c r="BD2740" s="93" t="s">
        <v>23269</v>
      </c>
      <c r="BE2740" s="87"/>
      <c r="BF2740" s="87"/>
      <c r="BG2740" s="87"/>
      <c r="BH2740" s="87"/>
      <c r="BI2740" s="87"/>
    </row>
    <row r="2741" spans="1:61" x14ac:dyDescent="0.25">
      <c r="A2741" s="63" t="s">
        <v>1058</v>
      </c>
      <c r="B2741" s="63" t="s">
        <v>1058</v>
      </c>
      <c r="C2741" s="64"/>
      <c r="D2741" s="65"/>
      <c r="E2741" s="66"/>
      <c r="F2741" s="67"/>
      <c r="G2741" s="64"/>
      <c r="H2741" s="68"/>
      <c r="I2741" s="69"/>
      <c r="J2741" s="69"/>
      <c r="K2741" s="32"/>
      <c r="L2741" s="76">
        <v>2741</v>
      </c>
      <c r="M2741" s="76"/>
      <c r="N2741" s="71"/>
      <c r="O2741" s="87" t="s">
        <v>179</v>
      </c>
      <c r="P2741" s="90">
        <v>45125.714918981481</v>
      </c>
      <c r="Q2741" s="87" t="s">
        <v>4458</v>
      </c>
      <c r="R2741" s="87">
        <v>0</v>
      </c>
      <c r="S2741" s="87">
        <v>1</v>
      </c>
      <c r="T2741" s="87">
        <v>0</v>
      </c>
      <c r="U2741" s="87">
        <v>0</v>
      </c>
      <c r="V2741" s="87">
        <v>53</v>
      </c>
      <c r="W2741" s="93" t="s">
        <v>7424</v>
      </c>
      <c r="X2741" s="87"/>
      <c r="Y2741" s="87"/>
      <c r="Z2741" s="87"/>
      <c r="AA2741" s="87" t="s">
        <v>10472</v>
      </c>
      <c r="AB2741" s="87" t="s">
        <v>11448</v>
      </c>
      <c r="AC2741" s="93" t="s">
        <v>11457</v>
      </c>
      <c r="AD2741" s="87" t="s">
        <v>11519</v>
      </c>
      <c r="AE2741" s="92" t="str">
        <f>HYPERLINK("https://twitter.com/serraempauta/status/1681350492142682136")</f>
        <v>https://twitter.com/serraempauta/status/1681350492142682136</v>
      </c>
      <c r="AF2741" s="90">
        <v>45125.714918981481</v>
      </c>
      <c r="AG2741" s="99">
        <v>45125</v>
      </c>
      <c r="AH2741" s="93" t="s">
        <v>13984</v>
      </c>
      <c r="AI2741" s="87" t="b">
        <v>0</v>
      </c>
      <c r="AJ2741" s="87"/>
      <c r="AK2741" s="87"/>
      <c r="AL2741" s="87"/>
      <c r="AM2741" s="87"/>
      <c r="AN2741" s="87"/>
      <c r="AO2741" s="87"/>
      <c r="AP2741" s="87"/>
      <c r="AQ2741" s="87" t="s">
        <v>17284</v>
      </c>
      <c r="AR2741" s="87"/>
      <c r="AS2741" s="87"/>
      <c r="AT2741" s="87"/>
      <c r="AU2741" s="87"/>
      <c r="AV2741" s="92" t="str">
        <f>HYPERLINK("https://pbs.twimg.com/media/F1VbW0wXwBAM-b5.jpg")</f>
        <v>https://pbs.twimg.com/media/F1VbW0wXwBAM-b5.jpg</v>
      </c>
      <c r="AW2741" s="93" t="s">
        <v>20902</v>
      </c>
      <c r="AX2741" s="93" t="s">
        <v>20902</v>
      </c>
      <c r="AY2741" s="87"/>
      <c r="AZ2741" s="93" t="s">
        <v>22668</v>
      </c>
      <c r="BA2741" s="93" t="s">
        <v>22668</v>
      </c>
      <c r="BB2741" s="93" t="s">
        <v>22668</v>
      </c>
      <c r="BC2741" s="93" t="s">
        <v>20902</v>
      </c>
      <c r="BD2741" s="93" t="s">
        <v>23269</v>
      </c>
      <c r="BE2741" s="87"/>
      <c r="BF2741" s="87"/>
      <c r="BG2741" s="87"/>
      <c r="BH2741" s="87"/>
      <c r="BI2741" s="87"/>
    </row>
    <row r="2742" spans="1:61" x14ac:dyDescent="0.25">
      <c r="A2742" s="63" t="s">
        <v>1058</v>
      </c>
      <c r="B2742" s="63" t="s">
        <v>1058</v>
      </c>
      <c r="C2742" s="64"/>
      <c r="D2742" s="65"/>
      <c r="E2742" s="66"/>
      <c r="F2742" s="67"/>
      <c r="G2742" s="64"/>
      <c r="H2742" s="68"/>
      <c r="I2742" s="69"/>
      <c r="J2742" s="69"/>
      <c r="K2742" s="32"/>
      <c r="L2742" s="76">
        <v>2742</v>
      </c>
      <c r="M2742" s="76"/>
      <c r="N2742" s="71"/>
      <c r="O2742" s="87" t="s">
        <v>179</v>
      </c>
      <c r="P2742" s="90">
        <v>45125.695196759261</v>
      </c>
      <c r="Q2742" s="87" t="s">
        <v>4459</v>
      </c>
      <c r="R2742" s="87">
        <v>0</v>
      </c>
      <c r="S2742" s="87">
        <v>0</v>
      </c>
      <c r="T2742" s="87">
        <v>0</v>
      </c>
      <c r="U2742" s="87">
        <v>0</v>
      </c>
      <c r="V2742" s="87">
        <v>40</v>
      </c>
      <c r="W2742" s="93" t="s">
        <v>7424</v>
      </c>
      <c r="X2742" s="87"/>
      <c r="Y2742" s="87"/>
      <c r="Z2742" s="87"/>
      <c r="AA2742" s="87" t="s">
        <v>10473</v>
      </c>
      <c r="AB2742" s="87" t="s">
        <v>11448</v>
      </c>
      <c r="AC2742" s="93" t="s">
        <v>11457</v>
      </c>
      <c r="AD2742" s="87" t="s">
        <v>11519</v>
      </c>
      <c r="AE2742" s="92" t="str">
        <f>HYPERLINK("https://twitter.com/serraempauta/status/1681343343727460355")</f>
        <v>https://twitter.com/serraempauta/status/1681343343727460355</v>
      </c>
      <c r="AF2742" s="90">
        <v>45125.695196759261</v>
      </c>
      <c r="AG2742" s="99">
        <v>45125</v>
      </c>
      <c r="AH2742" s="93" t="s">
        <v>13985</v>
      </c>
      <c r="AI2742" s="87" t="b">
        <v>0</v>
      </c>
      <c r="AJ2742" s="87"/>
      <c r="AK2742" s="87"/>
      <c r="AL2742" s="87"/>
      <c r="AM2742" s="87"/>
      <c r="AN2742" s="87"/>
      <c r="AO2742" s="87"/>
      <c r="AP2742" s="87"/>
      <c r="AQ2742" s="87" t="s">
        <v>17285</v>
      </c>
      <c r="AR2742" s="87"/>
      <c r="AS2742" s="87"/>
      <c r="AT2742" s="87"/>
      <c r="AU2742" s="87"/>
      <c r="AV2742" s="92" t="str">
        <f>HYPERLINK("https://pbs.twimg.com/media/F1VU21bXwAo_igX.jpg")</f>
        <v>https://pbs.twimg.com/media/F1VU21bXwAo_igX.jpg</v>
      </c>
      <c r="AW2742" s="93" t="s">
        <v>20903</v>
      </c>
      <c r="AX2742" s="93" t="s">
        <v>20903</v>
      </c>
      <c r="AY2742" s="87"/>
      <c r="AZ2742" s="93" t="s">
        <v>22668</v>
      </c>
      <c r="BA2742" s="93" t="s">
        <v>22668</v>
      </c>
      <c r="BB2742" s="93" t="s">
        <v>22668</v>
      </c>
      <c r="BC2742" s="93" t="s">
        <v>20903</v>
      </c>
      <c r="BD2742" s="93" t="s">
        <v>23269</v>
      </c>
      <c r="BE2742" s="87"/>
      <c r="BF2742" s="87"/>
      <c r="BG2742" s="87"/>
      <c r="BH2742" s="87"/>
      <c r="BI2742" s="87"/>
    </row>
    <row r="2743" spans="1:61" x14ac:dyDescent="0.25">
      <c r="A2743" s="63" t="s">
        <v>1058</v>
      </c>
      <c r="B2743" s="63" t="s">
        <v>1058</v>
      </c>
      <c r="C2743" s="64"/>
      <c r="D2743" s="65"/>
      <c r="E2743" s="66"/>
      <c r="F2743" s="67"/>
      <c r="G2743" s="64"/>
      <c r="H2743" s="68"/>
      <c r="I2743" s="69"/>
      <c r="J2743" s="69"/>
      <c r="K2743" s="32"/>
      <c r="L2743" s="76">
        <v>2743</v>
      </c>
      <c r="M2743" s="76"/>
      <c r="N2743" s="71"/>
      <c r="O2743" s="87" t="s">
        <v>179</v>
      </c>
      <c r="P2743" s="90">
        <v>45125.681192129632</v>
      </c>
      <c r="Q2743" s="87" t="s">
        <v>4460</v>
      </c>
      <c r="R2743" s="87">
        <v>0</v>
      </c>
      <c r="S2743" s="87">
        <v>0</v>
      </c>
      <c r="T2743" s="87">
        <v>0</v>
      </c>
      <c r="U2743" s="87">
        <v>0</v>
      </c>
      <c r="V2743" s="87">
        <v>36</v>
      </c>
      <c r="W2743" s="93" t="s">
        <v>7424</v>
      </c>
      <c r="X2743" s="87"/>
      <c r="Y2743" s="87"/>
      <c r="Z2743" s="87"/>
      <c r="AA2743" s="87" t="s">
        <v>10474</v>
      </c>
      <c r="AB2743" s="87" t="s">
        <v>11448</v>
      </c>
      <c r="AC2743" s="93" t="s">
        <v>11457</v>
      </c>
      <c r="AD2743" s="87" t="s">
        <v>11519</v>
      </c>
      <c r="AE2743" s="92" t="str">
        <f>HYPERLINK("https://twitter.com/serraempauta/status/1681338266560151552")</f>
        <v>https://twitter.com/serraempauta/status/1681338266560151552</v>
      </c>
      <c r="AF2743" s="90">
        <v>45125.681192129632</v>
      </c>
      <c r="AG2743" s="99">
        <v>45125</v>
      </c>
      <c r="AH2743" s="93" t="s">
        <v>13986</v>
      </c>
      <c r="AI2743" s="87" t="b">
        <v>0</v>
      </c>
      <c r="AJ2743" s="87"/>
      <c r="AK2743" s="87"/>
      <c r="AL2743" s="87"/>
      <c r="AM2743" s="87"/>
      <c r="AN2743" s="87"/>
      <c r="AO2743" s="87"/>
      <c r="AP2743" s="87"/>
      <c r="AQ2743" s="87" t="s">
        <v>17286</v>
      </c>
      <c r="AR2743" s="87"/>
      <c r="AS2743" s="87"/>
      <c r="AT2743" s="87"/>
      <c r="AU2743" s="87"/>
      <c r="AV2743" s="92" t="str">
        <f>HYPERLINK("https://pbs.twimg.com/media/F1VQPOeXwAUll5p.jpg")</f>
        <v>https://pbs.twimg.com/media/F1VQPOeXwAUll5p.jpg</v>
      </c>
      <c r="AW2743" s="93" t="s">
        <v>20904</v>
      </c>
      <c r="AX2743" s="93" t="s">
        <v>20904</v>
      </c>
      <c r="AY2743" s="87"/>
      <c r="AZ2743" s="93" t="s">
        <v>22668</v>
      </c>
      <c r="BA2743" s="93" t="s">
        <v>22668</v>
      </c>
      <c r="BB2743" s="93" t="s">
        <v>22668</v>
      </c>
      <c r="BC2743" s="93" t="s">
        <v>20904</v>
      </c>
      <c r="BD2743" s="93" t="s">
        <v>23269</v>
      </c>
      <c r="BE2743" s="87"/>
      <c r="BF2743" s="87"/>
      <c r="BG2743" s="87"/>
      <c r="BH2743" s="87"/>
      <c r="BI2743" s="87"/>
    </row>
    <row r="2744" spans="1:61" x14ac:dyDescent="0.25">
      <c r="A2744" s="63" t="s">
        <v>1058</v>
      </c>
      <c r="B2744" s="63" t="s">
        <v>1058</v>
      </c>
      <c r="C2744" s="64"/>
      <c r="D2744" s="65"/>
      <c r="E2744" s="66"/>
      <c r="F2744" s="67"/>
      <c r="G2744" s="64"/>
      <c r="H2744" s="68"/>
      <c r="I2744" s="69"/>
      <c r="J2744" s="69"/>
      <c r="K2744" s="32"/>
      <c r="L2744" s="76">
        <v>2744</v>
      </c>
      <c r="M2744" s="76"/>
      <c r="N2744" s="71"/>
      <c r="O2744" s="87" t="s">
        <v>179</v>
      </c>
      <c r="P2744" s="90">
        <v>45125.551574074074</v>
      </c>
      <c r="Q2744" s="87" t="s">
        <v>4461</v>
      </c>
      <c r="R2744" s="87">
        <v>1</v>
      </c>
      <c r="S2744" s="87">
        <v>1</v>
      </c>
      <c r="T2744" s="87">
        <v>0</v>
      </c>
      <c r="U2744" s="87">
        <v>0</v>
      </c>
      <c r="V2744" s="87">
        <v>85</v>
      </c>
      <c r="W2744" s="93" t="s">
        <v>7424</v>
      </c>
      <c r="X2744" s="87"/>
      <c r="Y2744" s="87"/>
      <c r="Z2744" s="87"/>
      <c r="AA2744" s="87" t="s">
        <v>10475</v>
      </c>
      <c r="AB2744" s="87" t="s">
        <v>11448</v>
      </c>
      <c r="AC2744" s="93" t="s">
        <v>11457</v>
      </c>
      <c r="AD2744" s="87" t="s">
        <v>11519</v>
      </c>
      <c r="AE2744" s="92" t="str">
        <f>HYPERLINK("https://twitter.com/serraempauta/status/1681291295803822081")</f>
        <v>https://twitter.com/serraempauta/status/1681291295803822081</v>
      </c>
      <c r="AF2744" s="90">
        <v>45125.551574074074</v>
      </c>
      <c r="AG2744" s="99">
        <v>45125</v>
      </c>
      <c r="AH2744" s="93" t="s">
        <v>13987</v>
      </c>
      <c r="AI2744" s="87" t="b">
        <v>0</v>
      </c>
      <c r="AJ2744" s="87"/>
      <c r="AK2744" s="87"/>
      <c r="AL2744" s="87"/>
      <c r="AM2744" s="87"/>
      <c r="AN2744" s="87"/>
      <c r="AO2744" s="87"/>
      <c r="AP2744" s="87"/>
      <c r="AQ2744" s="87" t="s">
        <v>17287</v>
      </c>
      <c r="AR2744" s="87"/>
      <c r="AS2744" s="87"/>
      <c r="AT2744" s="87"/>
      <c r="AU2744" s="87"/>
      <c r="AV2744" s="92" t="str">
        <f>HYPERLINK("https://pbs.twimg.com/media/F1UlhL9WcAAvOR0.jpg")</f>
        <v>https://pbs.twimg.com/media/F1UlhL9WcAAvOR0.jpg</v>
      </c>
      <c r="AW2744" s="93" t="s">
        <v>20905</v>
      </c>
      <c r="AX2744" s="93" t="s">
        <v>20905</v>
      </c>
      <c r="AY2744" s="87"/>
      <c r="AZ2744" s="93" t="s">
        <v>22668</v>
      </c>
      <c r="BA2744" s="93" t="s">
        <v>22668</v>
      </c>
      <c r="BB2744" s="93" t="s">
        <v>22668</v>
      </c>
      <c r="BC2744" s="93" t="s">
        <v>20905</v>
      </c>
      <c r="BD2744" s="93" t="s">
        <v>23269</v>
      </c>
      <c r="BE2744" s="87"/>
      <c r="BF2744" s="87"/>
      <c r="BG2744" s="87"/>
      <c r="BH2744" s="87"/>
      <c r="BI2744" s="87"/>
    </row>
    <row r="2745" spans="1:61" x14ac:dyDescent="0.25">
      <c r="A2745" s="63" t="s">
        <v>1058</v>
      </c>
      <c r="B2745" s="63" t="s">
        <v>1058</v>
      </c>
      <c r="C2745" s="64"/>
      <c r="D2745" s="65"/>
      <c r="E2745" s="66"/>
      <c r="F2745" s="67"/>
      <c r="G2745" s="64"/>
      <c r="H2745" s="68"/>
      <c r="I2745" s="69"/>
      <c r="J2745" s="69"/>
      <c r="K2745" s="32"/>
      <c r="L2745" s="76">
        <v>2745</v>
      </c>
      <c r="M2745" s="76"/>
      <c r="N2745" s="71"/>
      <c r="O2745" s="87" t="s">
        <v>179</v>
      </c>
      <c r="P2745" s="90">
        <v>45125.508680555555</v>
      </c>
      <c r="Q2745" s="87" t="s">
        <v>4462</v>
      </c>
      <c r="R2745" s="87">
        <v>0</v>
      </c>
      <c r="S2745" s="87">
        <v>0</v>
      </c>
      <c r="T2745" s="87">
        <v>0</v>
      </c>
      <c r="U2745" s="87">
        <v>0</v>
      </c>
      <c r="V2745" s="87">
        <v>47</v>
      </c>
      <c r="W2745" s="93" t="s">
        <v>7424</v>
      </c>
      <c r="X2745" s="87"/>
      <c r="Y2745" s="87"/>
      <c r="Z2745" s="87"/>
      <c r="AA2745" s="87" t="s">
        <v>10476</v>
      </c>
      <c r="AB2745" s="87" t="s">
        <v>11448</v>
      </c>
      <c r="AC2745" s="93" t="s">
        <v>11457</v>
      </c>
      <c r="AD2745" s="87" t="s">
        <v>11519</v>
      </c>
      <c r="AE2745" s="92" t="str">
        <f>HYPERLINK("https://twitter.com/serraempauta/status/1681275750412955650")</f>
        <v>https://twitter.com/serraempauta/status/1681275750412955650</v>
      </c>
      <c r="AF2745" s="90">
        <v>45125.508680555555</v>
      </c>
      <c r="AG2745" s="99">
        <v>45125</v>
      </c>
      <c r="AH2745" s="93" t="s">
        <v>13988</v>
      </c>
      <c r="AI2745" s="87" t="b">
        <v>0</v>
      </c>
      <c r="AJ2745" s="87"/>
      <c r="AK2745" s="87"/>
      <c r="AL2745" s="87"/>
      <c r="AM2745" s="87"/>
      <c r="AN2745" s="87"/>
      <c r="AO2745" s="87"/>
      <c r="AP2745" s="87"/>
      <c r="AQ2745" s="87" t="s">
        <v>17288</v>
      </c>
      <c r="AR2745" s="87"/>
      <c r="AS2745" s="87"/>
      <c r="AT2745" s="87"/>
      <c r="AU2745" s="87"/>
      <c r="AV2745" s="92" t="str">
        <f>HYPERLINK("https://pbs.twimg.com/media/F1UXYO-XwAAY8t3.jpg")</f>
        <v>https://pbs.twimg.com/media/F1UXYO-XwAAY8t3.jpg</v>
      </c>
      <c r="AW2745" s="93" t="s">
        <v>20906</v>
      </c>
      <c r="AX2745" s="93" t="s">
        <v>20906</v>
      </c>
      <c r="AY2745" s="87"/>
      <c r="AZ2745" s="93" t="s">
        <v>22668</v>
      </c>
      <c r="BA2745" s="93" t="s">
        <v>22668</v>
      </c>
      <c r="BB2745" s="93" t="s">
        <v>22668</v>
      </c>
      <c r="BC2745" s="93" t="s">
        <v>20906</v>
      </c>
      <c r="BD2745" s="93" t="s">
        <v>23269</v>
      </c>
      <c r="BE2745" s="87"/>
      <c r="BF2745" s="87"/>
      <c r="BG2745" s="87"/>
      <c r="BH2745" s="87"/>
      <c r="BI2745" s="87"/>
    </row>
    <row r="2746" spans="1:61" x14ac:dyDescent="0.25">
      <c r="A2746" s="63" t="s">
        <v>1058</v>
      </c>
      <c r="B2746" s="63" t="s">
        <v>1058</v>
      </c>
      <c r="C2746" s="64"/>
      <c r="D2746" s="65"/>
      <c r="E2746" s="66"/>
      <c r="F2746" s="67"/>
      <c r="G2746" s="64"/>
      <c r="H2746" s="68"/>
      <c r="I2746" s="69"/>
      <c r="J2746" s="69"/>
      <c r="K2746" s="32"/>
      <c r="L2746" s="76">
        <v>2746</v>
      </c>
      <c r="M2746" s="76"/>
      <c r="N2746" s="71"/>
      <c r="O2746" s="87" t="s">
        <v>179</v>
      </c>
      <c r="P2746" s="90">
        <v>45124.870069444441</v>
      </c>
      <c r="Q2746" s="87" t="s">
        <v>4463</v>
      </c>
      <c r="R2746" s="87">
        <v>0</v>
      </c>
      <c r="S2746" s="87">
        <v>0</v>
      </c>
      <c r="T2746" s="87">
        <v>0</v>
      </c>
      <c r="U2746" s="87">
        <v>0</v>
      </c>
      <c r="V2746" s="87">
        <v>57</v>
      </c>
      <c r="W2746" s="93" t="s">
        <v>7424</v>
      </c>
      <c r="X2746" s="87"/>
      <c r="Y2746" s="87"/>
      <c r="Z2746" s="87"/>
      <c r="AA2746" s="87" t="s">
        <v>10477</v>
      </c>
      <c r="AB2746" s="87" t="s">
        <v>11448</v>
      </c>
      <c r="AC2746" s="93" t="s">
        <v>11457</v>
      </c>
      <c r="AD2746" s="87" t="s">
        <v>11519</v>
      </c>
      <c r="AE2746" s="92" t="str">
        <f>HYPERLINK("https://twitter.com/serraempauta/status/1681044328318222339")</f>
        <v>https://twitter.com/serraempauta/status/1681044328318222339</v>
      </c>
      <c r="AF2746" s="90">
        <v>45124.870069444441</v>
      </c>
      <c r="AG2746" s="99">
        <v>45124</v>
      </c>
      <c r="AH2746" s="93" t="s">
        <v>13989</v>
      </c>
      <c r="AI2746" s="87" t="b">
        <v>0</v>
      </c>
      <c r="AJ2746" s="87"/>
      <c r="AK2746" s="87"/>
      <c r="AL2746" s="87"/>
      <c r="AM2746" s="87"/>
      <c r="AN2746" s="87"/>
      <c r="AO2746" s="87"/>
      <c r="AP2746" s="87"/>
      <c r="AQ2746" s="87" t="s">
        <v>17289</v>
      </c>
      <c r="AR2746" s="87"/>
      <c r="AS2746" s="87"/>
      <c r="AT2746" s="87"/>
      <c r="AU2746" s="87"/>
      <c r="AV2746" s="92" t="str">
        <f>HYPERLINK("https://pbs.twimg.com/media/F1RE455X0AA8Bsc.jpg")</f>
        <v>https://pbs.twimg.com/media/F1RE455X0AA8Bsc.jpg</v>
      </c>
      <c r="AW2746" s="93" t="s">
        <v>20907</v>
      </c>
      <c r="AX2746" s="93" t="s">
        <v>20907</v>
      </c>
      <c r="AY2746" s="87"/>
      <c r="AZ2746" s="93" t="s">
        <v>22668</v>
      </c>
      <c r="BA2746" s="93" t="s">
        <v>22668</v>
      </c>
      <c r="BB2746" s="93" t="s">
        <v>22668</v>
      </c>
      <c r="BC2746" s="93" t="s">
        <v>20907</v>
      </c>
      <c r="BD2746" s="93" t="s">
        <v>23269</v>
      </c>
      <c r="BE2746" s="87"/>
      <c r="BF2746" s="87"/>
      <c r="BG2746" s="87"/>
      <c r="BH2746" s="87"/>
      <c r="BI2746" s="87"/>
    </row>
    <row r="2747" spans="1:61" x14ac:dyDescent="0.25">
      <c r="A2747" s="63" t="s">
        <v>1058</v>
      </c>
      <c r="B2747" s="63" t="s">
        <v>1058</v>
      </c>
      <c r="C2747" s="64"/>
      <c r="D2747" s="65"/>
      <c r="E2747" s="66"/>
      <c r="F2747" s="67"/>
      <c r="G2747" s="64"/>
      <c r="H2747" s="68"/>
      <c r="I2747" s="69"/>
      <c r="J2747" s="69"/>
      <c r="K2747" s="32"/>
      <c r="L2747" s="76">
        <v>2747</v>
      </c>
      <c r="M2747" s="76"/>
      <c r="N2747" s="71"/>
      <c r="O2747" s="87" t="s">
        <v>179</v>
      </c>
      <c r="P2747" s="90">
        <v>45196.746516203704</v>
      </c>
      <c r="Q2747" s="87" t="s">
        <v>4464</v>
      </c>
      <c r="R2747" s="87">
        <v>0</v>
      </c>
      <c r="S2747" s="87">
        <v>1</v>
      </c>
      <c r="T2747" s="87">
        <v>0</v>
      </c>
      <c r="U2747" s="87">
        <v>0</v>
      </c>
      <c r="V2747" s="87">
        <v>28</v>
      </c>
      <c r="W2747" s="93" t="s">
        <v>7424</v>
      </c>
      <c r="X2747" s="87"/>
      <c r="Y2747" s="87"/>
      <c r="Z2747" s="87"/>
      <c r="AA2747" s="87" t="s">
        <v>10478</v>
      </c>
      <c r="AB2747" s="87" t="s">
        <v>11448</v>
      </c>
      <c r="AC2747" s="93" t="s">
        <v>11457</v>
      </c>
      <c r="AD2747" s="87" t="s">
        <v>11519</v>
      </c>
      <c r="AE2747" s="92" t="str">
        <f>HYPERLINK("https://twitter.com/serraempauta/status/1707091480660099494")</f>
        <v>https://twitter.com/serraempauta/status/1707091480660099494</v>
      </c>
      <c r="AF2747" s="90">
        <v>45196.746516203704</v>
      </c>
      <c r="AG2747" s="99">
        <v>45196</v>
      </c>
      <c r="AH2747" s="93" t="s">
        <v>13990</v>
      </c>
      <c r="AI2747" s="87" t="b">
        <v>0</v>
      </c>
      <c r="AJ2747" s="87"/>
      <c r="AK2747" s="87"/>
      <c r="AL2747" s="87"/>
      <c r="AM2747" s="87"/>
      <c r="AN2747" s="87"/>
      <c r="AO2747" s="87"/>
      <c r="AP2747" s="87"/>
      <c r="AQ2747" s="87" t="s">
        <v>17290</v>
      </c>
      <c r="AR2747" s="87"/>
      <c r="AS2747" s="87"/>
      <c r="AT2747" s="87"/>
      <c r="AU2747" s="87"/>
      <c r="AV2747" s="92" t="str">
        <f>HYPERLINK("https://pbs.twimg.com/media/F7DOpJZXIAA_hRi.jpg")</f>
        <v>https://pbs.twimg.com/media/F7DOpJZXIAA_hRi.jpg</v>
      </c>
      <c r="AW2747" s="93" t="s">
        <v>20908</v>
      </c>
      <c r="AX2747" s="93" t="s">
        <v>20908</v>
      </c>
      <c r="AY2747" s="87"/>
      <c r="AZ2747" s="93" t="s">
        <v>22668</v>
      </c>
      <c r="BA2747" s="93" t="s">
        <v>22668</v>
      </c>
      <c r="BB2747" s="93" t="s">
        <v>22668</v>
      </c>
      <c r="BC2747" s="93" t="s">
        <v>20908</v>
      </c>
      <c r="BD2747" s="93" t="s">
        <v>23269</v>
      </c>
      <c r="BE2747" s="87"/>
      <c r="BF2747" s="87"/>
      <c r="BG2747" s="87"/>
      <c r="BH2747" s="87"/>
      <c r="BI2747" s="87"/>
    </row>
    <row r="2748" spans="1:61" x14ac:dyDescent="0.25">
      <c r="A2748" s="63" t="s">
        <v>1058</v>
      </c>
      <c r="B2748" s="63" t="s">
        <v>1058</v>
      </c>
      <c r="C2748" s="64"/>
      <c r="D2748" s="65"/>
      <c r="E2748" s="66"/>
      <c r="F2748" s="67"/>
      <c r="G2748" s="64"/>
      <c r="H2748" s="68"/>
      <c r="I2748" s="69"/>
      <c r="J2748" s="69"/>
      <c r="K2748" s="32"/>
      <c r="L2748" s="76">
        <v>2748</v>
      </c>
      <c r="M2748" s="76"/>
      <c r="N2748" s="71"/>
      <c r="O2748" s="87" t="s">
        <v>179</v>
      </c>
      <c r="P2748" s="90">
        <v>45196.707013888888</v>
      </c>
      <c r="Q2748" s="87" t="s">
        <v>4465</v>
      </c>
      <c r="R2748" s="87">
        <v>0</v>
      </c>
      <c r="S2748" s="87">
        <v>0</v>
      </c>
      <c r="T2748" s="87">
        <v>0</v>
      </c>
      <c r="U2748" s="87">
        <v>0</v>
      </c>
      <c r="V2748" s="87">
        <v>20</v>
      </c>
      <c r="W2748" s="93" t="s">
        <v>7424</v>
      </c>
      <c r="X2748" s="87"/>
      <c r="Y2748" s="87"/>
      <c r="Z2748" s="87"/>
      <c r="AA2748" s="87" t="s">
        <v>10479</v>
      </c>
      <c r="AB2748" s="87" t="s">
        <v>11448</v>
      </c>
      <c r="AC2748" s="93" t="s">
        <v>11457</v>
      </c>
      <c r="AD2748" s="87" t="s">
        <v>11519</v>
      </c>
      <c r="AE2748" s="92" t="str">
        <f>HYPERLINK("https://twitter.com/serraempauta/status/1707077162283495429")</f>
        <v>https://twitter.com/serraempauta/status/1707077162283495429</v>
      </c>
      <c r="AF2748" s="90">
        <v>45196.707013888888</v>
      </c>
      <c r="AG2748" s="99">
        <v>45196</v>
      </c>
      <c r="AH2748" s="93" t="s">
        <v>13991</v>
      </c>
      <c r="AI2748" s="87" t="b">
        <v>0</v>
      </c>
      <c r="AJ2748" s="87"/>
      <c r="AK2748" s="87"/>
      <c r="AL2748" s="87"/>
      <c r="AM2748" s="87"/>
      <c r="AN2748" s="87"/>
      <c r="AO2748" s="87"/>
      <c r="AP2748" s="87"/>
      <c r="AQ2748" s="87" t="s">
        <v>17291</v>
      </c>
      <c r="AR2748" s="87"/>
      <c r="AS2748" s="87"/>
      <c r="AT2748" s="87"/>
      <c r="AU2748" s="87"/>
      <c r="AV2748" s="92" t="str">
        <f>HYPERLINK("https://pbs.twimg.com/media/F7DBoC8XsAApvxC.jpg")</f>
        <v>https://pbs.twimg.com/media/F7DBoC8XsAApvxC.jpg</v>
      </c>
      <c r="AW2748" s="93" t="s">
        <v>20909</v>
      </c>
      <c r="AX2748" s="93" t="s">
        <v>20909</v>
      </c>
      <c r="AY2748" s="87"/>
      <c r="AZ2748" s="93" t="s">
        <v>22668</v>
      </c>
      <c r="BA2748" s="93" t="s">
        <v>22668</v>
      </c>
      <c r="BB2748" s="93" t="s">
        <v>22668</v>
      </c>
      <c r="BC2748" s="93" t="s">
        <v>20909</v>
      </c>
      <c r="BD2748" s="93" t="s">
        <v>23269</v>
      </c>
      <c r="BE2748" s="87"/>
      <c r="BF2748" s="87"/>
      <c r="BG2748" s="87"/>
      <c r="BH2748" s="87"/>
      <c r="BI2748" s="87"/>
    </row>
    <row r="2749" spans="1:61" x14ac:dyDescent="0.25">
      <c r="A2749" s="63" t="s">
        <v>1058</v>
      </c>
      <c r="B2749" s="63" t="s">
        <v>1058</v>
      </c>
      <c r="C2749" s="64"/>
      <c r="D2749" s="65"/>
      <c r="E2749" s="66"/>
      <c r="F2749" s="67"/>
      <c r="G2749" s="64"/>
      <c r="H2749" s="68"/>
      <c r="I2749" s="69"/>
      <c r="J2749" s="69"/>
      <c r="K2749" s="32"/>
      <c r="L2749" s="76">
        <v>2749</v>
      </c>
      <c r="M2749" s="76"/>
      <c r="N2749" s="71"/>
      <c r="O2749" s="87" t="s">
        <v>179</v>
      </c>
      <c r="P2749" s="90">
        <v>45195.947245370371</v>
      </c>
      <c r="Q2749" s="87" t="s">
        <v>4466</v>
      </c>
      <c r="R2749" s="87">
        <v>0</v>
      </c>
      <c r="S2749" s="87">
        <v>0</v>
      </c>
      <c r="T2749" s="87">
        <v>0</v>
      </c>
      <c r="U2749" s="87">
        <v>0</v>
      </c>
      <c r="V2749" s="87">
        <v>44</v>
      </c>
      <c r="W2749" s="93" t="s">
        <v>7424</v>
      </c>
      <c r="X2749" s="87"/>
      <c r="Y2749" s="87"/>
      <c r="Z2749" s="87"/>
      <c r="AA2749" s="87" t="s">
        <v>10480</v>
      </c>
      <c r="AB2749" s="87" t="s">
        <v>11448</v>
      </c>
      <c r="AC2749" s="93" t="s">
        <v>11457</v>
      </c>
      <c r="AD2749" s="87" t="s">
        <v>11519</v>
      </c>
      <c r="AE2749" s="92" t="str">
        <f>HYPERLINK("https://twitter.com/serraempauta/status/1706801832222249466")</f>
        <v>https://twitter.com/serraempauta/status/1706801832222249466</v>
      </c>
      <c r="AF2749" s="90">
        <v>45195.947245370371</v>
      </c>
      <c r="AG2749" s="99">
        <v>45195</v>
      </c>
      <c r="AH2749" s="93" t="s">
        <v>13992</v>
      </c>
      <c r="AI2749" s="87" t="b">
        <v>0</v>
      </c>
      <c r="AJ2749" s="87"/>
      <c r="AK2749" s="87"/>
      <c r="AL2749" s="87"/>
      <c r="AM2749" s="87"/>
      <c r="AN2749" s="87"/>
      <c r="AO2749" s="87"/>
      <c r="AP2749" s="87"/>
      <c r="AQ2749" s="87" t="s">
        <v>17292</v>
      </c>
      <c r="AR2749" s="87"/>
      <c r="AS2749" s="87"/>
      <c r="AT2749" s="87"/>
      <c r="AU2749" s="87"/>
      <c r="AV2749" s="92" t="str">
        <f>HYPERLINK("https://pbs.twimg.com/media/F6_HN5TWoAAIa5T.jpg")</f>
        <v>https://pbs.twimg.com/media/F6_HN5TWoAAIa5T.jpg</v>
      </c>
      <c r="AW2749" s="93" t="s">
        <v>20910</v>
      </c>
      <c r="AX2749" s="93" t="s">
        <v>20910</v>
      </c>
      <c r="AY2749" s="87"/>
      <c r="AZ2749" s="93" t="s">
        <v>22668</v>
      </c>
      <c r="BA2749" s="93" t="s">
        <v>22668</v>
      </c>
      <c r="BB2749" s="93" t="s">
        <v>22668</v>
      </c>
      <c r="BC2749" s="93" t="s">
        <v>20910</v>
      </c>
      <c r="BD2749" s="93" t="s">
        <v>23269</v>
      </c>
      <c r="BE2749" s="87"/>
      <c r="BF2749" s="87"/>
      <c r="BG2749" s="87"/>
      <c r="BH2749" s="87"/>
      <c r="BI2749" s="87"/>
    </row>
    <row r="2750" spans="1:61" x14ac:dyDescent="0.25">
      <c r="A2750" s="63" t="s">
        <v>1058</v>
      </c>
      <c r="B2750" s="63" t="s">
        <v>1058</v>
      </c>
      <c r="C2750" s="64"/>
      <c r="D2750" s="65"/>
      <c r="E2750" s="66"/>
      <c r="F2750" s="67"/>
      <c r="G2750" s="64"/>
      <c r="H2750" s="68"/>
      <c r="I2750" s="69"/>
      <c r="J2750" s="69"/>
      <c r="K2750" s="32"/>
      <c r="L2750" s="76">
        <v>2750</v>
      </c>
      <c r="M2750" s="76"/>
      <c r="N2750" s="71"/>
      <c r="O2750" s="87" t="s">
        <v>179</v>
      </c>
      <c r="P2750" s="90">
        <v>45195.771157407406</v>
      </c>
      <c r="Q2750" s="87" t="s">
        <v>4467</v>
      </c>
      <c r="R2750" s="87">
        <v>0</v>
      </c>
      <c r="S2750" s="87">
        <v>0</v>
      </c>
      <c r="T2750" s="87">
        <v>0</v>
      </c>
      <c r="U2750" s="87">
        <v>0</v>
      </c>
      <c r="V2750" s="87">
        <v>23</v>
      </c>
      <c r="W2750" s="93" t="s">
        <v>7424</v>
      </c>
      <c r="X2750" s="87"/>
      <c r="Y2750" s="87"/>
      <c r="Z2750" s="87"/>
      <c r="AA2750" s="87" t="s">
        <v>10481</v>
      </c>
      <c r="AB2750" s="87" t="s">
        <v>11448</v>
      </c>
      <c r="AC2750" s="93" t="s">
        <v>11457</v>
      </c>
      <c r="AD2750" s="87" t="s">
        <v>11519</v>
      </c>
      <c r="AE2750" s="92" t="str">
        <f>HYPERLINK("https://twitter.com/serraempauta/status/1706738019724935564")</f>
        <v>https://twitter.com/serraempauta/status/1706738019724935564</v>
      </c>
      <c r="AF2750" s="90">
        <v>45195.771157407406</v>
      </c>
      <c r="AG2750" s="99">
        <v>45195</v>
      </c>
      <c r="AH2750" s="93" t="s">
        <v>11834</v>
      </c>
      <c r="AI2750" s="87" t="b">
        <v>0</v>
      </c>
      <c r="AJ2750" s="87"/>
      <c r="AK2750" s="87"/>
      <c r="AL2750" s="87"/>
      <c r="AM2750" s="87"/>
      <c r="AN2750" s="87"/>
      <c r="AO2750" s="87"/>
      <c r="AP2750" s="87"/>
      <c r="AQ2750" s="87" t="s">
        <v>17293</v>
      </c>
      <c r="AR2750" s="87"/>
      <c r="AS2750" s="87"/>
      <c r="AT2750" s="87"/>
      <c r="AU2750" s="87"/>
      <c r="AV2750" s="92" t="str">
        <f>HYPERLINK("https://pbs.twimg.com/media/F6-NLZpXMAAznlr.jpg")</f>
        <v>https://pbs.twimg.com/media/F6-NLZpXMAAznlr.jpg</v>
      </c>
      <c r="AW2750" s="93" t="s">
        <v>20911</v>
      </c>
      <c r="AX2750" s="93" t="s">
        <v>20911</v>
      </c>
      <c r="AY2750" s="87"/>
      <c r="AZ2750" s="93" t="s">
        <v>22668</v>
      </c>
      <c r="BA2750" s="93" t="s">
        <v>22668</v>
      </c>
      <c r="BB2750" s="93" t="s">
        <v>22668</v>
      </c>
      <c r="BC2750" s="93" t="s">
        <v>20911</v>
      </c>
      <c r="BD2750" s="93" t="s">
        <v>23269</v>
      </c>
      <c r="BE2750" s="87"/>
      <c r="BF2750" s="87"/>
      <c r="BG2750" s="87"/>
      <c r="BH2750" s="87"/>
      <c r="BI2750" s="87"/>
    </row>
    <row r="2751" spans="1:61" x14ac:dyDescent="0.25">
      <c r="A2751" s="63" t="s">
        <v>1058</v>
      </c>
      <c r="B2751" s="63" t="s">
        <v>1058</v>
      </c>
      <c r="C2751" s="64"/>
      <c r="D2751" s="65"/>
      <c r="E2751" s="66"/>
      <c r="F2751" s="67"/>
      <c r="G2751" s="64"/>
      <c r="H2751" s="68"/>
      <c r="I2751" s="69"/>
      <c r="J2751" s="69"/>
      <c r="K2751" s="32"/>
      <c r="L2751" s="76">
        <v>2751</v>
      </c>
      <c r="M2751" s="76"/>
      <c r="N2751" s="71"/>
      <c r="O2751" s="87" t="s">
        <v>179</v>
      </c>
      <c r="P2751" s="90">
        <v>45195.722511574073</v>
      </c>
      <c r="Q2751" s="87" t="s">
        <v>4468</v>
      </c>
      <c r="R2751" s="87">
        <v>0</v>
      </c>
      <c r="S2751" s="87">
        <v>0</v>
      </c>
      <c r="T2751" s="87">
        <v>0</v>
      </c>
      <c r="U2751" s="87">
        <v>0</v>
      </c>
      <c r="V2751" s="87">
        <v>50</v>
      </c>
      <c r="W2751" s="93" t="s">
        <v>7424</v>
      </c>
      <c r="X2751" s="87"/>
      <c r="Y2751" s="87"/>
      <c r="Z2751" s="87"/>
      <c r="AA2751" s="87" t="s">
        <v>10482</v>
      </c>
      <c r="AB2751" s="87" t="s">
        <v>11448</v>
      </c>
      <c r="AC2751" s="93" t="s">
        <v>11457</v>
      </c>
      <c r="AD2751" s="87" t="s">
        <v>11519</v>
      </c>
      <c r="AE2751" s="92" t="str">
        <f>HYPERLINK("https://twitter.com/serraempauta/status/1706720390586814968")</f>
        <v>https://twitter.com/serraempauta/status/1706720390586814968</v>
      </c>
      <c r="AF2751" s="90">
        <v>45195.722511574073</v>
      </c>
      <c r="AG2751" s="99">
        <v>45195</v>
      </c>
      <c r="AH2751" s="93" t="s">
        <v>13993</v>
      </c>
      <c r="AI2751" s="87" t="b">
        <v>0</v>
      </c>
      <c r="AJ2751" s="87"/>
      <c r="AK2751" s="87"/>
      <c r="AL2751" s="87"/>
      <c r="AM2751" s="87"/>
      <c r="AN2751" s="87"/>
      <c r="AO2751" s="87"/>
      <c r="AP2751" s="87"/>
      <c r="AQ2751" s="87" t="s">
        <v>17294</v>
      </c>
      <c r="AR2751" s="87"/>
      <c r="AS2751" s="87"/>
      <c r="AT2751" s="87"/>
      <c r="AU2751" s="87"/>
      <c r="AV2751" s="92" t="str">
        <f>HYPERLINK("https://pbs.twimg.com/media/F699I1BWYAA-bZs.jpg")</f>
        <v>https://pbs.twimg.com/media/F699I1BWYAA-bZs.jpg</v>
      </c>
      <c r="AW2751" s="93" t="s">
        <v>20912</v>
      </c>
      <c r="AX2751" s="93" t="s">
        <v>20912</v>
      </c>
      <c r="AY2751" s="87"/>
      <c r="AZ2751" s="93" t="s">
        <v>22668</v>
      </c>
      <c r="BA2751" s="93" t="s">
        <v>22668</v>
      </c>
      <c r="BB2751" s="93" t="s">
        <v>22668</v>
      </c>
      <c r="BC2751" s="93" t="s">
        <v>20912</v>
      </c>
      <c r="BD2751" s="93" t="s">
        <v>23269</v>
      </c>
      <c r="BE2751" s="87"/>
      <c r="BF2751" s="87"/>
      <c r="BG2751" s="87"/>
      <c r="BH2751" s="87"/>
      <c r="BI2751" s="87"/>
    </row>
    <row r="2752" spans="1:61" x14ac:dyDescent="0.25">
      <c r="A2752" s="63" t="s">
        <v>1058</v>
      </c>
      <c r="B2752" s="63" t="s">
        <v>1058</v>
      </c>
      <c r="C2752" s="64"/>
      <c r="D2752" s="65"/>
      <c r="E2752" s="66"/>
      <c r="F2752" s="67"/>
      <c r="G2752" s="64"/>
      <c r="H2752" s="68"/>
      <c r="I2752" s="69"/>
      <c r="J2752" s="69"/>
      <c r="K2752" s="32"/>
      <c r="L2752" s="76">
        <v>2752</v>
      </c>
      <c r="M2752" s="76"/>
      <c r="N2752" s="71"/>
      <c r="O2752" s="87" t="s">
        <v>179</v>
      </c>
      <c r="P2752" s="90">
        <v>45195.573067129626</v>
      </c>
      <c r="Q2752" s="87" t="s">
        <v>4469</v>
      </c>
      <c r="R2752" s="87">
        <v>0</v>
      </c>
      <c r="S2752" s="87">
        <v>0</v>
      </c>
      <c r="T2752" s="87">
        <v>0</v>
      </c>
      <c r="U2752" s="87">
        <v>0</v>
      </c>
      <c r="V2752" s="87">
        <v>38</v>
      </c>
      <c r="W2752" s="93" t="s">
        <v>7424</v>
      </c>
      <c r="X2752" s="87"/>
      <c r="Y2752" s="87"/>
      <c r="Z2752" s="87"/>
      <c r="AA2752" s="87" t="s">
        <v>10483</v>
      </c>
      <c r="AB2752" s="87" t="s">
        <v>11448</v>
      </c>
      <c r="AC2752" s="93" t="s">
        <v>11457</v>
      </c>
      <c r="AD2752" s="87" t="s">
        <v>11519</v>
      </c>
      <c r="AE2752" s="92" t="str">
        <f>HYPERLINK("https://twitter.com/serraempauta/status/1706666233498612120")</f>
        <v>https://twitter.com/serraempauta/status/1706666233498612120</v>
      </c>
      <c r="AF2752" s="90">
        <v>45195.573067129626</v>
      </c>
      <c r="AG2752" s="99">
        <v>45195</v>
      </c>
      <c r="AH2752" s="93" t="s">
        <v>13994</v>
      </c>
      <c r="AI2752" s="87" t="b">
        <v>0</v>
      </c>
      <c r="AJ2752" s="87"/>
      <c r="AK2752" s="87"/>
      <c r="AL2752" s="87"/>
      <c r="AM2752" s="87"/>
      <c r="AN2752" s="87"/>
      <c r="AO2752" s="87"/>
      <c r="AP2752" s="87"/>
      <c r="AQ2752" s="87" t="s">
        <v>17295</v>
      </c>
      <c r="AR2752" s="87"/>
      <c r="AS2752" s="87"/>
      <c r="AT2752" s="87"/>
      <c r="AU2752" s="87"/>
      <c r="AV2752" s="92" t="str">
        <f>HYPERLINK("https://pbs.twimg.com/media/F69L4-ZbkAEs0jZ.jpg")</f>
        <v>https://pbs.twimg.com/media/F69L4-ZbkAEs0jZ.jpg</v>
      </c>
      <c r="AW2752" s="93" t="s">
        <v>20913</v>
      </c>
      <c r="AX2752" s="93" t="s">
        <v>20913</v>
      </c>
      <c r="AY2752" s="87"/>
      <c r="AZ2752" s="93" t="s">
        <v>22668</v>
      </c>
      <c r="BA2752" s="93" t="s">
        <v>22668</v>
      </c>
      <c r="BB2752" s="93" t="s">
        <v>22668</v>
      </c>
      <c r="BC2752" s="93" t="s">
        <v>20913</v>
      </c>
      <c r="BD2752" s="93" t="s">
        <v>23269</v>
      </c>
      <c r="BE2752" s="87"/>
      <c r="BF2752" s="87"/>
      <c r="BG2752" s="87"/>
      <c r="BH2752" s="87"/>
      <c r="BI2752" s="87"/>
    </row>
    <row r="2753" spans="1:61" x14ac:dyDescent="0.25">
      <c r="A2753" s="63" t="s">
        <v>1058</v>
      </c>
      <c r="B2753" s="63" t="s">
        <v>1058</v>
      </c>
      <c r="C2753" s="64"/>
      <c r="D2753" s="65"/>
      <c r="E2753" s="66"/>
      <c r="F2753" s="67"/>
      <c r="G2753" s="64"/>
      <c r="H2753" s="68"/>
      <c r="I2753" s="69"/>
      <c r="J2753" s="69"/>
      <c r="K2753" s="32"/>
      <c r="L2753" s="76">
        <v>2753</v>
      </c>
      <c r="M2753" s="76"/>
      <c r="N2753" s="71"/>
      <c r="O2753" s="87" t="s">
        <v>179</v>
      </c>
      <c r="P2753" s="90">
        <v>45195.530150462961</v>
      </c>
      <c r="Q2753" s="87" t="s">
        <v>4470</v>
      </c>
      <c r="R2753" s="87">
        <v>0</v>
      </c>
      <c r="S2753" s="87">
        <v>1</v>
      </c>
      <c r="T2753" s="87">
        <v>0</v>
      </c>
      <c r="U2753" s="87">
        <v>0</v>
      </c>
      <c r="V2753" s="87">
        <v>35</v>
      </c>
      <c r="W2753" s="93" t="s">
        <v>7424</v>
      </c>
      <c r="X2753" s="87"/>
      <c r="Y2753" s="87"/>
      <c r="Z2753" s="87"/>
      <c r="AA2753" s="87" t="s">
        <v>10484</v>
      </c>
      <c r="AB2753" s="87" t="s">
        <v>11448</v>
      </c>
      <c r="AC2753" s="93" t="s">
        <v>11457</v>
      </c>
      <c r="AD2753" s="87" t="s">
        <v>11519</v>
      </c>
      <c r="AE2753" s="92" t="str">
        <f>HYPERLINK("https://twitter.com/serraempauta/status/1706650682588099054")</f>
        <v>https://twitter.com/serraempauta/status/1706650682588099054</v>
      </c>
      <c r="AF2753" s="90">
        <v>45195.530150462961</v>
      </c>
      <c r="AG2753" s="99">
        <v>45195</v>
      </c>
      <c r="AH2753" s="93" t="s">
        <v>13995</v>
      </c>
      <c r="AI2753" s="87" t="b">
        <v>0</v>
      </c>
      <c r="AJ2753" s="87"/>
      <c r="AK2753" s="87"/>
      <c r="AL2753" s="87"/>
      <c r="AM2753" s="87"/>
      <c r="AN2753" s="87"/>
      <c r="AO2753" s="87"/>
      <c r="AP2753" s="87"/>
      <c r="AQ2753" s="87" t="s">
        <v>17296</v>
      </c>
      <c r="AR2753" s="87"/>
      <c r="AS2753" s="87"/>
      <c r="AT2753" s="87"/>
      <c r="AU2753" s="87"/>
      <c r="AV2753" s="92" t="str">
        <f>HYPERLINK("https://pbs.twimg.com/media/F689vfRWgAEExcy.jpg")</f>
        <v>https://pbs.twimg.com/media/F689vfRWgAEExcy.jpg</v>
      </c>
      <c r="AW2753" s="93" t="s">
        <v>20914</v>
      </c>
      <c r="AX2753" s="93" t="s">
        <v>20914</v>
      </c>
      <c r="AY2753" s="87"/>
      <c r="AZ2753" s="93" t="s">
        <v>22668</v>
      </c>
      <c r="BA2753" s="93" t="s">
        <v>22668</v>
      </c>
      <c r="BB2753" s="93" t="s">
        <v>22668</v>
      </c>
      <c r="BC2753" s="93" t="s">
        <v>20914</v>
      </c>
      <c r="BD2753" s="93" t="s">
        <v>23269</v>
      </c>
      <c r="BE2753" s="87"/>
      <c r="BF2753" s="87"/>
      <c r="BG2753" s="87"/>
      <c r="BH2753" s="87"/>
      <c r="BI2753" s="87"/>
    </row>
    <row r="2754" spans="1:61" x14ac:dyDescent="0.25">
      <c r="A2754" s="63" t="s">
        <v>1058</v>
      </c>
      <c r="B2754" s="63" t="s">
        <v>1058</v>
      </c>
      <c r="C2754" s="64"/>
      <c r="D2754" s="65"/>
      <c r="E2754" s="66"/>
      <c r="F2754" s="67"/>
      <c r="G2754" s="64"/>
      <c r="H2754" s="68"/>
      <c r="I2754" s="69"/>
      <c r="J2754" s="69"/>
      <c r="K2754" s="32"/>
      <c r="L2754" s="76">
        <v>2754</v>
      </c>
      <c r="M2754" s="76"/>
      <c r="N2754" s="71"/>
      <c r="O2754" s="87" t="s">
        <v>179</v>
      </c>
      <c r="P2754" s="90">
        <v>45194.49732638889</v>
      </c>
      <c r="Q2754" s="87" t="s">
        <v>4471</v>
      </c>
      <c r="R2754" s="87">
        <v>0</v>
      </c>
      <c r="S2754" s="87">
        <v>0</v>
      </c>
      <c r="T2754" s="87">
        <v>0</v>
      </c>
      <c r="U2754" s="87">
        <v>0</v>
      </c>
      <c r="V2754" s="87">
        <v>23</v>
      </c>
      <c r="W2754" s="93" t="s">
        <v>7424</v>
      </c>
      <c r="X2754" s="87"/>
      <c r="Y2754" s="87"/>
      <c r="Z2754" s="87"/>
      <c r="AA2754" s="87" t="s">
        <v>10485</v>
      </c>
      <c r="AB2754" s="87" t="s">
        <v>11448</v>
      </c>
      <c r="AC2754" s="93" t="s">
        <v>11457</v>
      </c>
      <c r="AD2754" s="87" t="s">
        <v>11519</v>
      </c>
      <c r="AE2754" s="92" t="str">
        <f>HYPERLINK("https://twitter.com/serraempauta/status/1706276401769312503")</f>
        <v>https://twitter.com/serraempauta/status/1706276401769312503</v>
      </c>
      <c r="AF2754" s="90">
        <v>45194.49732638889</v>
      </c>
      <c r="AG2754" s="99">
        <v>45194</v>
      </c>
      <c r="AH2754" s="93" t="s">
        <v>13996</v>
      </c>
      <c r="AI2754" s="87" t="b">
        <v>0</v>
      </c>
      <c r="AJ2754" s="87"/>
      <c r="AK2754" s="87"/>
      <c r="AL2754" s="87"/>
      <c r="AM2754" s="87"/>
      <c r="AN2754" s="87"/>
      <c r="AO2754" s="87"/>
      <c r="AP2754" s="87"/>
      <c r="AQ2754" s="87" t="s">
        <v>17297</v>
      </c>
      <c r="AR2754" s="87"/>
      <c r="AS2754" s="87"/>
      <c r="AT2754" s="87"/>
      <c r="AU2754" s="87"/>
      <c r="AV2754" s="92" t="str">
        <f>HYPERLINK("https://pbs.twimg.com/media/F63pVmMXEAAu-y4.jpg")</f>
        <v>https://pbs.twimg.com/media/F63pVmMXEAAu-y4.jpg</v>
      </c>
      <c r="AW2754" s="93" t="s">
        <v>20915</v>
      </c>
      <c r="AX2754" s="93" t="s">
        <v>20915</v>
      </c>
      <c r="AY2754" s="87"/>
      <c r="AZ2754" s="93" t="s">
        <v>22668</v>
      </c>
      <c r="BA2754" s="93" t="s">
        <v>22668</v>
      </c>
      <c r="BB2754" s="93" t="s">
        <v>22668</v>
      </c>
      <c r="BC2754" s="93" t="s">
        <v>20915</v>
      </c>
      <c r="BD2754" s="93" t="s">
        <v>23269</v>
      </c>
      <c r="BE2754" s="87"/>
      <c r="BF2754" s="87"/>
      <c r="BG2754" s="87"/>
      <c r="BH2754" s="87"/>
      <c r="BI2754" s="87"/>
    </row>
    <row r="2755" spans="1:61" x14ac:dyDescent="0.25">
      <c r="A2755" s="63" t="s">
        <v>1058</v>
      </c>
      <c r="B2755" s="63" t="s">
        <v>1058</v>
      </c>
      <c r="C2755" s="64"/>
      <c r="D2755" s="65"/>
      <c r="E2755" s="66"/>
      <c r="F2755" s="67"/>
      <c r="G2755" s="64"/>
      <c r="H2755" s="68"/>
      <c r="I2755" s="69"/>
      <c r="J2755" s="69"/>
      <c r="K2755" s="32"/>
      <c r="L2755" s="76">
        <v>2755</v>
      </c>
      <c r="M2755" s="76"/>
      <c r="N2755" s="71"/>
      <c r="O2755" s="87" t="s">
        <v>179</v>
      </c>
      <c r="P2755" s="90">
        <v>45193.55064814815</v>
      </c>
      <c r="Q2755" s="87" t="s">
        <v>4472</v>
      </c>
      <c r="R2755" s="87">
        <v>0</v>
      </c>
      <c r="S2755" s="87">
        <v>0</v>
      </c>
      <c r="T2755" s="87">
        <v>0</v>
      </c>
      <c r="U2755" s="87">
        <v>0</v>
      </c>
      <c r="V2755" s="87">
        <v>51</v>
      </c>
      <c r="W2755" s="93" t="s">
        <v>7424</v>
      </c>
      <c r="X2755" s="87"/>
      <c r="Y2755" s="87"/>
      <c r="Z2755" s="87"/>
      <c r="AA2755" s="87" t="s">
        <v>10486</v>
      </c>
      <c r="AB2755" s="87" t="s">
        <v>11448</v>
      </c>
      <c r="AC2755" s="93" t="s">
        <v>11457</v>
      </c>
      <c r="AD2755" s="87" t="s">
        <v>11519</v>
      </c>
      <c r="AE2755" s="92" t="str">
        <f>HYPERLINK("https://twitter.com/serraempauta/status/1705933334994391542")</f>
        <v>https://twitter.com/serraempauta/status/1705933334994391542</v>
      </c>
      <c r="AF2755" s="90">
        <v>45193.55064814815</v>
      </c>
      <c r="AG2755" s="99">
        <v>45193</v>
      </c>
      <c r="AH2755" s="93" t="s">
        <v>13997</v>
      </c>
      <c r="AI2755" s="87" t="b">
        <v>0</v>
      </c>
      <c r="AJ2755" s="87"/>
      <c r="AK2755" s="87"/>
      <c r="AL2755" s="87"/>
      <c r="AM2755" s="87"/>
      <c r="AN2755" s="87"/>
      <c r="AO2755" s="87"/>
      <c r="AP2755" s="87"/>
      <c r="AQ2755" s="87" t="s">
        <v>17298</v>
      </c>
      <c r="AR2755" s="87"/>
      <c r="AS2755" s="87"/>
      <c r="AT2755" s="87"/>
      <c r="AU2755" s="87"/>
      <c r="AV2755" s="92" t="str">
        <f>HYPERLINK("https://pbs.twimg.com/media/F6yxUiuXAAAGizY.jpg")</f>
        <v>https://pbs.twimg.com/media/F6yxUiuXAAAGizY.jpg</v>
      </c>
      <c r="AW2755" s="93" t="s">
        <v>20916</v>
      </c>
      <c r="AX2755" s="93" t="s">
        <v>20916</v>
      </c>
      <c r="AY2755" s="87"/>
      <c r="AZ2755" s="93" t="s">
        <v>22668</v>
      </c>
      <c r="BA2755" s="93" t="s">
        <v>22668</v>
      </c>
      <c r="BB2755" s="93" t="s">
        <v>22668</v>
      </c>
      <c r="BC2755" s="93" t="s">
        <v>20916</v>
      </c>
      <c r="BD2755" s="93" t="s">
        <v>23269</v>
      </c>
      <c r="BE2755" s="87"/>
      <c r="BF2755" s="87"/>
      <c r="BG2755" s="87"/>
      <c r="BH2755" s="87"/>
      <c r="BI2755" s="87"/>
    </row>
    <row r="2756" spans="1:61" x14ac:dyDescent="0.25">
      <c r="A2756" s="63" t="s">
        <v>1058</v>
      </c>
      <c r="B2756" s="63" t="s">
        <v>1058</v>
      </c>
      <c r="C2756" s="64"/>
      <c r="D2756" s="65"/>
      <c r="E2756" s="66"/>
      <c r="F2756" s="67"/>
      <c r="G2756" s="64"/>
      <c r="H2756" s="68"/>
      <c r="I2756" s="69"/>
      <c r="J2756" s="69"/>
      <c r="K2756" s="32"/>
      <c r="L2756" s="76">
        <v>2756</v>
      </c>
      <c r="M2756" s="76"/>
      <c r="N2756" s="71"/>
      <c r="O2756" s="87" t="s">
        <v>179</v>
      </c>
      <c r="P2756" s="90">
        <v>45191.952291666668</v>
      </c>
      <c r="Q2756" s="87" t="s">
        <v>4473</v>
      </c>
      <c r="R2756" s="87">
        <v>0</v>
      </c>
      <c r="S2756" s="87">
        <v>0</v>
      </c>
      <c r="T2756" s="87">
        <v>0</v>
      </c>
      <c r="U2756" s="87">
        <v>0</v>
      </c>
      <c r="V2756" s="87">
        <v>36</v>
      </c>
      <c r="W2756" s="93" t="s">
        <v>7424</v>
      </c>
      <c r="X2756" s="87"/>
      <c r="Y2756" s="87"/>
      <c r="Z2756" s="87"/>
      <c r="AA2756" s="87" t="s">
        <v>10487</v>
      </c>
      <c r="AB2756" s="87" t="s">
        <v>11448</v>
      </c>
      <c r="AC2756" s="93" t="s">
        <v>11457</v>
      </c>
      <c r="AD2756" s="87" t="s">
        <v>11519</v>
      </c>
      <c r="AE2756" s="92" t="str">
        <f>HYPERLINK("https://twitter.com/serraempauta/status/1705354111355412970")</f>
        <v>https://twitter.com/serraempauta/status/1705354111355412970</v>
      </c>
      <c r="AF2756" s="90">
        <v>45191.952291666668</v>
      </c>
      <c r="AG2756" s="99">
        <v>45191</v>
      </c>
      <c r="AH2756" s="93" t="s">
        <v>13998</v>
      </c>
      <c r="AI2756" s="87" t="b">
        <v>0</v>
      </c>
      <c r="AJ2756" s="87"/>
      <c r="AK2756" s="87"/>
      <c r="AL2756" s="87"/>
      <c r="AM2756" s="87"/>
      <c r="AN2756" s="87"/>
      <c r="AO2756" s="87"/>
      <c r="AP2756" s="87"/>
      <c r="AQ2756" s="87" t="s">
        <v>17299</v>
      </c>
      <c r="AR2756" s="87"/>
      <c r="AS2756" s="87"/>
      <c r="AT2756" s="87"/>
      <c r="AU2756" s="87"/>
      <c r="AV2756" s="92" t="str">
        <f>HYPERLINK("https://pbs.twimg.com/media/F6qigS4XEAA5IuA.jpg")</f>
        <v>https://pbs.twimg.com/media/F6qigS4XEAA5IuA.jpg</v>
      </c>
      <c r="AW2756" s="93" t="s">
        <v>20917</v>
      </c>
      <c r="AX2756" s="93" t="s">
        <v>20917</v>
      </c>
      <c r="AY2756" s="87"/>
      <c r="AZ2756" s="93" t="s">
        <v>22668</v>
      </c>
      <c r="BA2756" s="93" t="s">
        <v>22668</v>
      </c>
      <c r="BB2756" s="93" t="s">
        <v>22668</v>
      </c>
      <c r="BC2756" s="93" t="s">
        <v>20917</v>
      </c>
      <c r="BD2756" s="93" t="s">
        <v>23269</v>
      </c>
      <c r="BE2756" s="87"/>
      <c r="BF2756" s="87"/>
      <c r="BG2756" s="87"/>
      <c r="BH2756" s="87"/>
      <c r="BI2756" s="87"/>
    </row>
    <row r="2757" spans="1:61" x14ac:dyDescent="0.25">
      <c r="A2757" s="63" t="s">
        <v>1058</v>
      </c>
      <c r="B2757" s="63" t="s">
        <v>1058</v>
      </c>
      <c r="C2757" s="64"/>
      <c r="D2757" s="65"/>
      <c r="E2757" s="66"/>
      <c r="F2757" s="67"/>
      <c r="G2757" s="64"/>
      <c r="H2757" s="68"/>
      <c r="I2757" s="69"/>
      <c r="J2757" s="69"/>
      <c r="K2757" s="32"/>
      <c r="L2757" s="76">
        <v>2757</v>
      </c>
      <c r="M2757" s="76"/>
      <c r="N2757" s="71"/>
      <c r="O2757" s="87" t="s">
        <v>179</v>
      </c>
      <c r="P2757" s="90">
        <v>45191.91611111111</v>
      </c>
      <c r="Q2757" s="87" t="s">
        <v>4474</v>
      </c>
      <c r="R2757" s="87">
        <v>0</v>
      </c>
      <c r="S2757" s="87">
        <v>0</v>
      </c>
      <c r="T2757" s="87">
        <v>0</v>
      </c>
      <c r="U2757" s="87">
        <v>0</v>
      </c>
      <c r="V2757" s="87">
        <v>23</v>
      </c>
      <c r="W2757" s="93" t="s">
        <v>7428</v>
      </c>
      <c r="X2757" s="87"/>
      <c r="Y2757" s="87"/>
      <c r="Z2757" s="87"/>
      <c r="AA2757" s="87" t="s">
        <v>10488</v>
      </c>
      <c r="AB2757" s="87" t="s">
        <v>11448</v>
      </c>
      <c r="AC2757" s="93" t="s">
        <v>11457</v>
      </c>
      <c r="AD2757" s="87" t="s">
        <v>11519</v>
      </c>
      <c r="AE2757" s="92" t="str">
        <f>HYPERLINK("https://twitter.com/serraempauta/status/1705340998266540149")</f>
        <v>https://twitter.com/serraempauta/status/1705340998266540149</v>
      </c>
      <c r="AF2757" s="90">
        <v>45191.91611111111</v>
      </c>
      <c r="AG2757" s="99">
        <v>45191</v>
      </c>
      <c r="AH2757" s="93" t="s">
        <v>13999</v>
      </c>
      <c r="AI2757" s="87" t="b">
        <v>0</v>
      </c>
      <c r="AJ2757" s="87"/>
      <c r="AK2757" s="87"/>
      <c r="AL2757" s="87"/>
      <c r="AM2757" s="87"/>
      <c r="AN2757" s="87"/>
      <c r="AO2757" s="87"/>
      <c r="AP2757" s="87"/>
      <c r="AQ2757" s="87" t="s">
        <v>17300</v>
      </c>
      <c r="AR2757" s="87"/>
      <c r="AS2757" s="87"/>
      <c r="AT2757" s="87"/>
      <c r="AU2757" s="87"/>
      <c r="AV2757" s="92" t="str">
        <f>HYPERLINK("https://pbs.twimg.com/media/F6qWhDZWQAAQYuq.jpg")</f>
        <v>https://pbs.twimg.com/media/F6qWhDZWQAAQYuq.jpg</v>
      </c>
      <c r="AW2757" s="93" t="s">
        <v>20918</v>
      </c>
      <c r="AX2757" s="93" t="s">
        <v>20918</v>
      </c>
      <c r="AY2757" s="87"/>
      <c r="AZ2757" s="93" t="s">
        <v>22668</v>
      </c>
      <c r="BA2757" s="93" t="s">
        <v>22668</v>
      </c>
      <c r="BB2757" s="93" t="s">
        <v>22668</v>
      </c>
      <c r="BC2757" s="93" t="s">
        <v>20918</v>
      </c>
      <c r="BD2757" s="93" t="s">
        <v>23269</v>
      </c>
      <c r="BE2757" s="87"/>
      <c r="BF2757" s="87"/>
      <c r="BG2757" s="87"/>
      <c r="BH2757" s="87"/>
      <c r="BI2757" s="87"/>
    </row>
    <row r="2758" spans="1:61" x14ac:dyDescent="0.25">
      <c r="A2758" s="63" t="s">
        <v>1058</v>
      </c>
      <c r="B2758" s="63" t="s">
        <v>1058</v>
      </c>
      <c r="C2758" s="64"/>
      <c r="D2758" s="65"/>
      <c r="E2758" s="66"/>
      <c r="F2758" s="67"/>
      <c r="G2758" s="64"/>
      <c r="H2758" s="68"/>
      <c r="I2758" s="69"/>
      <c r="J2758" s="69"/>
      <c r="K2758" s="32"/>
      <c r="L2758" s="76">
        <v>2758</v>
      </c>
      <c r="M2758" s="76"/>
      <c r="N2758" s="71"/>
      <c r="O2758" s="87" t="s">
        <v>179</v>
      </c>
      <c r="P2758" s="90">
        <v>45191.835335648146</v>
      </c>
      <c r="Q2758" s="87" t="s">
        <v>4475</v>
      </c>
      <c r="R2758" s="87">
        <v>0</v>
      </c>
      <c r="S2758" s="87">
        <v>0</v>
      </c>
      <c r="T2758" s="87">
        <v>0</v>
      </c>
      <c r="U2758" s="87">
        <v>0</v>
      </c>
      <c r="V2758" s="87">
        <v>14</v>
      </c>
      <c r="W2758" s="93" t="s">
        <v>7429</v>
      </c>
      <c r="X2758" s="87"/>
      <c r="Y2758" s="87"/>
      <c r="Z2758" s="87"/>
      <c r="AA2758" s="87" t="s">
        <v>10489</v>
      </c>
      <c r="AB2758" s="87" t="s">
        <v>11448</v>
      </c>
      <c r="AC2758" s="93" t="s">
        <v>11457</v>
      </c>
      <c r="AD2758" s="87" t="s">
        <v>11519</v>
      </c>
      <c r="AE2758" s="92" t="str">
        <f>HYPERLINK("https://twitter.com/serraempauta/status/1705311726084784273")</f>
        <v>https://twitter.com/serraempauta/status/1705311726084784273</v>
      </c>
      <c r="AF2758" s="90">
        <v>45191.835335648146</v>
      </c>
      <c r="AG2758" s="99">
        <v>45191</v>
      </c>
      <c r="AH2758" s="93" t="s">
        <v>14000</v>
      </c>
      <c r="AI2758" s="87" t="b">
        <v>0</v>
      </c>
      <c r="AJ2758" s="87"/>
      <c r="AK2758" s="87"/>
      <c r="AL2758" s="87"/>
      <c r="AM2758" s="87"/>
      <c r="AN2758" s="87"/>
      <c r="AO2758" s="87"/>
      <c r="AP2758" s="87"/>
      <c r="AQ2758" s="87" t="s">
        <v>17301</v>
      </c>
      <c r="AR2758" s="87"/>
      <c r="AS2758" s="87"/>
      <c r="AT2758" s="87"/>
      <c r="AU2758" s="87"/>
      <c r="AV2758" s="92" t="str">
        <f>HYPERLINK("https://pbs.twimg.com/media/F6p7-MUXoAAfc0Q.jpg")</f>
        <v>https://pbs.twimg.com/media/F6p7-MUXoAAfc0Q.jpg</v>
      </c>
      <c r="AW2758" s="93" t="s">
        <v>20919</v>
      </c>
      <c r="AX2758" s="93" t="s">
        <v>20919</v>
      </c>
      <c r="AY2758" s="87"/>
      <c r="AZ2758" s="93" t="s">
        <v>22668</v>
      </c>
      <c r="BA2758" s="93" t="s">
        <v>22668</v>
      </c>
      <c r="BB2758" s="93" t="s">
        <v>22668</v>
      </c>
      <c r="BC2758" s="93" t="s">
        <v>20919</v>
      </c>
      <c r="BD2758" s="93" t="s">
        <v>23269</v>
      </c>
      <c r="BE2758" s="87"/>
      <c r="BF2758" s="87"/>
      <c r="BG2758" s="87"/>
      <c r="BH2758" s="87"/>
      <c r="BI2758" s="87"/>
    </row>
    <row r="2759" spans="1:61" x14ac:dyDescent="0.25">
      <c r="A2759" s="63" t="s">
        <v>1058</v>
      </c>
      <c r="B2759" s="63" t="s">
        <v>1058</v>
      </c>
      <c r="C2759" s="64"/>
      <c r="D2759" s="65"/>
      <c r="E2759" s="66"/>
      <c r="F2759" s="67"/>
      <c r="G2759" s="64"/>
      <c r="H2759" s="68"/>
      <c r="I2759" s="69"/>
      <c r="J2759" s="69"/>
      <c r="K2759" s="32"/>
      <c r="L2759" s="76">
        <v>2759</v>
      </c>
      <c r="M2759" s="76"/>
      <c r="N2759" s="71"/>
      <c r="O2759" s="87" t="s">
        <v>179</v>
      </c>
      <c r="P2759" s="90">
        <v>45190.514062499999</v>
      </c>
      <c r="Q2759" s="87" t="s">
        <v>4476</v>
      </c>
      <c r="R2759" s="87">
        <v>0</v>
      </c>
      <c r="S2759" s="87">
        <v>0</v>
      </c>
      <c r="T2759" s="87">
        <v>0</v>
      </c>
      <c r="U2759" s="87">
        <v>0</v>
      </c>
      <c r="V2759" s="87">
        <v>21</v>
      </c>
      <c r="W2759" s="93" t="s">
        <v>7424</v>
      </c>
      <c r="X2759" s="87"/>
      <c r="Y2759" s="87"/>
      <c r="Z2759" s="87"/>
      <c r="AA2759" s="87" t="s">
        <v>10490</v>
      </c>
      <c r="AB2759" s="87" t="s">
        <v>11448</v>
      </c>
      <c r="AC2759" s="93" t="s">
        <v>11457</v>
      </c>
      <c r="AD2759" s="87" t="s">
        <v>11519</v>
      </c>
      <c r="AE2759" s="92" t="str">
        <f>HYPERLINK("https://twitter.com/serraempauta/status/1704832912846127612")</f>
        <v>https://twitter.com/serraempauta/status/1704832912846127612</v>
      </c>
      <c r="AF2759" s="90">
        <v>45190.514062499999</v>
      </c>
      <c r="AG2759" s="99">
        <v>45190</v>
      </c>
      <c r="AH2759" s="93" t="s">
        <v>14001</v>
      </c>
      <c r="AI2759" s="87" t="b">
        <v>0</v>
      </c>
      <c r="AJ2759" s="87"/>
      <c r="AK2759" s="87"/>
      <c r="AL2759" s="87"/>
      <c r="AM2759" s="87"/>
      <c r="AN2759" s="87"/>
      <c r="AO2759" s="87"/>
      <c r="AP2759" s="87"/>
      <c r="AQ2759" s="87" t="s">
        <v>17302</v>
      </c>
      <c r="AR2759" s="87"/>
      <c r="AS2759" s="87"/>
      <c r="AT2759" s="87"/>
      <c r="AU2759" s="87"/>
      <c r="AV2759" s="92" t="str">
        <f>HYPERLINK("https://pbs.twimg.com/media/F6jIfV6XQAAgAt7.jpg")</f>
        <v>https://pbs.twimg.com/media/F6jIfV6XQAAgAt7.jpg</v>
      </c>
      <c r="AW2759" s="93" t="s">
        <v>20920</v>
      </c>
      <c r="AX2759" s="93" t="s">
        <v>20920</v>
      </c>
      <c r="AY2759" s="87"/>
      <c r="AZ2759" s="93" t="s">
        <v>22668</v>
      </c>
      <c r="BA2759" s="93" t="s">
        <v>22668</v>
      </c>
      <c r="BB2759" s="93" t="s">
        <v>22668</v>
      </c>
      <c r="BC2759" s="93" t="s">
        <v>20920</v>
      </c>
      <c r="BD2759" s="93" t="s">
        <v>23269</v>
      </c>
      <c r="BE2759" s="87"/>
      <c r="BF2759" s="87"/>
      <c r="BG2759" s="87"/>
      <c r="BH2759" s="87"/>
      <c r="BI2759" s="87"/>
    </row>
    <row r="2760" spans="1:61" x14ac:dyDescent="0.25">
      <c r="A2760" s="63" t="s">
        <v>1058</v>
      </c>
      <c r="B2760" s="63" t="s">
        <v>1058</v>
      </c>
      <c r="C2760" s="64"/>
      <c r="D2760" s="65"/>
      <c r="E2760" s="66"/>
      <c r="F2760" s="67"/>
      <c r="G2760" s="64"/>
      <c r="H2760" s="68"/>
      <c r="I2760" s="69"/>
      <c r="J2760" s="69"/>
      <c r="K2760" s="32"/>
      <c r="L2760" s="76">
        <v>2760</v>
      </c>
      <c r="M2760" s="76"/>
      <c r="N2760" s="71"/>
      <c r="O2760" s="87" t="s">
        <v>179</v>
      </c>
      <c r="P2760" s="90">
        <v>45190.496122685188</v>
      </c>
      <c r="Q2760" s="87" t="s">
        <v>4477</v>
      </c>
      <c r="R2760" s="87">
        <v>0</v>
      </c>
      <c r="S2760" s="87">
        <v>0</v>
      </c>
      <c r="T2760" s="87">
        <v>0</v>
      </c>
      <c r="U2760" s="87">
        <v>0</v>
      </c>
      <c r="V2760" s="87">
        <v>31</v>
      </c>
      <c r="W2760" s="93" t="s">
        <v>7424</v>
      </c>
      <c r="X2760" s="87"/>
      <c r="Y2760" s="87"/>
      <c r="Z2760" s="87"/>
      <c r="AA2760" s="87" t="s">
        <v>10491</v>
      </c>
      <c r="AB2760" s="87" t="s">
        <v>11448</v>
      </c>
      <c r="AC2760" s="93" t="s">
        <v>11457</v>
      </c>
      <c r="AD2760" s="87" t="s">
        <v>11519</v>
      </c>
      <c r="AE2760" s="92" t="str">
        <f>HYPERLINK("https://twitter.com/serraempauta/status/1704826410894762004")</f>
        <v>https://twitter.com/serraempauta/status/1704826410894762004</v>
      </c>
      <c r="AF2760" s="90">
        <v>45190.496122685188</v>
      </c>
      <c r="AG2760" s="99">
        <v>45190</v>
      </c>
      <c r="AH2760" s="93" t="s">
        <v>14002</v>
      </c>
      <c r="AI2760" s="87" t="b">
        <v>0</v>
      </c>
      <c r="AJ2760" s="87"/>
      <c r="AK2760" s="87"/>
      <c r="AL2760" s="87"/>
      <c r="AM2760" s="87"/>
      <c r="AN2760" s="87"/>
      <c r="AO2760" s="87"/>
      <c r="AP2760" s="87"/>
      <c r="AQ2760" s="87" t="s">
        <v>17303</v>
      </c>
      <c r="AR2760" s="87"/>
      <c r="AS2760" s="87"/>
      <c r="AT2760" s="87"/>
      <c r="AU2760" s="87"/>
      <c r="AV2760" s="92" t="str">
        <f>HYPERLINK("https://pbs.twimg.com/media/F6jCk4WXQAAcm98.jpg")</f>
        <v>https://pbs.twimg.com/media/F6jCk4WXQAAcm98.jpg</v>
      </c>
      <c r="AW2760" s="93" t="s">
        <v>20921</v>
      </c>
      <c r="AX2760" s="93" t="s">
        <v>20921</v>
      </c>
      <c r="AY2760" s="87"/>
      <c r="AZ2760" s="93" t="s">
        <v>22668</v>
      </c>
      <c r="BA2760" s="93" t="s">
        <v>22668</v>
      </c>
      <c r="BB2760" s="93" t="s">
        <v>22668</v>
      </c>
      <c r="BC2760" s="93" t="s">
        <v>20921</v>
      </c>
      <c r="BD2760" s="93" t="s">
        <v>23269</v>
      </c>
      <c r="BE2760" s="87"/>
      <c r="BF2760" s="87"/>
      <c r="BG2760" s="87"/>
      <c r="BH2760" s="87"/>
      <c r="BI2760" s="87"/>
    </row>
    <row r="2761" spans="1:61" x14ac:dyDescent="0.25">
      <c r="A2761" s="63" t="s">
        <v>1058</v>
      </c>
      <c r="B2761" s="63" t="s">
        <v>1058</v>
      </c>
      <c r="C2761" s="64"/>
      <c r="D2761" s="65"/>
      <c r="E2761" s="66"/>
      <c r="F2761" s="67"/>
      <c r="G2761" s="64"/>
      <c r="H2761" s="68"/>
      <c r="I2761" s="69"/>
      <c r="J2761" s="69"/>
      <c r="K2761" s="32"/>
      <c r="L2761" s="76">
        <v>2761</v>
      </c>
      <c r="M2761" s="76"/>
      <c r="N2761" s="71"/>
      <c r="O2761" s="87" t="s">
        <v>179</v>
      </c>
      <c r="P2761" s="90">
        <v>45188.854675925926</v>
      </c>
      <c r="Q2761" s="87" t="s">
        <v>4478</v>
      </c>
      <c r="R2761" s="87">
        <v>0</v>
      </c>
      <c r="S2761" s="87">
        <v>1</v>
      </c>
      <c r="T2761" s="87">
        <v>0</v>
      </c>
      <c r="U2761" s="87">
        <v>0</v>
      </c>
      <c r="V2761" s="87">
        <v>32</v>
      </c>
      <c r="W2761" s="93" t="s">
        <v>7424</v>
      </c>
      <c r="X2761" s="87"/>
      <c r="Y2761" s="87"/>
      <c r="Z2761" s="87"/>
      <c r="AA2761" s="87" t="s">
        <v>10492</v>
      </c>
      <c r="AB2761" s="87" t="s">
        <v>11448</v>
      </c>
      <c r="AC2761" s="93" t="s">
        <v>11457</v>
      </c>
      <c r="AD2761" s="87" t="s">
        <v>11519</v>
      </c>
      <c r="AE2761" s="92" t="str">
        <f>HYPERLINK("https://twitter.com/serraempauta/status/1704231572063363215")</f>
        <v>https://twitter.com/serraempauta/status/1704231572063363215</v>
      </c>
      <c r="AF2761" s="90">
        <v>45188.854675925926</v>
      </c>
      <c r="AG2761" s="99">
        <v>45188</v>
      </c>
      <c r="AH2761" s="93" t="s">
        <v>14003</v>
      </c>
      <c r="AI2761" s="87" t="b">
        <v>0</v>
      </c>
      <c r="AJ2761" s="87"/>
      <c r="AK2761" s="87"/>
      <c r="AL2761" s="87"/>
      <c r="AM2761" s="87"/>
      <c r="AN2761" s="87"/>
      <c r="AO2761" s="87"/>
      <c r="AP2761" s="87"/>
      <c r="AQ2761" s="87" t="s">
        <v>17304</v>
      </c>
      <c r="AR2761" s="87"/>
      <c r="AS2761" s="87"/>
      <c r="AT2761" s="87"/>
      <c r="AU2761" s="87"/>
      <c r="AV2761" s="92" t="str">
        <f>HYPERLINK("https://pbs.twimg.com/media/F6alkZLWkAA-LmB.jpg")</f>
        <v>https://pbs.twimg.com/media/F6alkZLWkAA-LmB.jpg</v>
      </c>
      <c r="AW2761" s="93" t="s">
        <v>20922</v>
      </c>
      <c r="AX2761" s="93" t="s">
        <v>20922</v>
      </c>
      <c r="AY2761" s="87"/>
      <c r="AZ2761" s="93" t="s">
        <v>22668</v>
      </c>
      <c r="BA2761" s="93" t="s">
        <v>22668</v>
      </c>
      <c r="BB2761" s="93" t="s">
        <v>22668</v>
      </c>
      <c r="BC2761" s="93" t="s">
        <v>20922</v>
      </c>
      <c r="BD2761" s="93" t="s">
        <v>23269</v>
      </c>
      <c r="BE2761" s="87"/>
      <c r="BF2761" s="87"/>
      <c r="BG2761" s="87"/>
      <c r="BH2761" s="87"/>
      <c r="BI2761" s="87"/>
    </row>
    <row r="2762" spans="1:61" x14ac:dyDescent="0.25">
      <c r="A2762" s="63" t="s">
        <v>1058</v>
      </c>
      <c r="B2762" s="63" t="s">
        <v>1058</v>
      </c>
      <c r="C2762" s="64"/>
      <c r="D2762" s="65"/>
      <c r="E2762" s="66"/>
      <c r="F2762" s="67"/>
      <c r="G2762" s="64"/>
      <c r="H2762" s="68"/>
      <c r="I2762" s="69"/>
      <c r="J2762" s="69"/>
      <c r="K2762" s="32"/>
      <c r="L2762" s="76">
        <v>2762</v>
      </c>
      <c r="M2762" s="76"/>
      <c r="N2762" s="71"/>
      <c r="O2762" s="87" t="s">
        <v>179</v>
      </c>
      <c r="P2762" s="90">
        <v>45185.902083333334</v>
      </c>
      <c r="Q2762" s="87" t="s">
        <v>4479</v>
      </c>
      <c r="R2762" s="87">
        <v>0</v>
      </c>
      <c r="S2762" s="87">
        <v>1</v>
      </c>
      <c r="T2762" s="87">
        <v>1</v>
      </c>
      <c r="U2762" s="87">
        <v>0</v>
      </c>
      <c r="V2762" s="87">
        <v>96</v>
      </c>
      <c r="W2762" s="93" t="s">
        <v>7424</v>
      </c>
      <c r="X2762" s="87"/>
      <c r="Y2762" s="87"/>
      <c r="Z2762" s="87"/>
      <c r="AA2762" s="87" t="s">
        <v>10493</v>
      </c>
      <c r="AB2762" s="87" t="s">
        <v>11448</v>
      </c>
      <c r="AC2762" s="93" t="s">
        <v>11457</v>
      </c>
      <c r="AD2762" s="87" t="s">
        <v>11519</v>
      </c>
      <c r="AE2762" s="92" t="str">
        <f>HYPERLINK("https://twitter.com/serraempauta/status/1703161588457345439")</f>
        <v>https://twitter.com/serraempauta/status/1703161588457345439</v>
      </c>
      <c r="AF2762" s="90">
        <v>45185.902083333334</v>
      </c>
      <c r="AG2762" s="99">
        <v>45185</v>
      </c>
      <c r="AH2762" s="93" t="s">
        <v>14004</v>
      </c>
      <c r="AI2762" s="87" t="b">
        <v>0</v>
      </c>
      <c r="AJ2762" s="87"/>
      <c r="AK2762" s="87"/>
      <c r="AL2762" s="87"/>
      <c r="AM2762" s="87"/>
      <c r="AN2762" s="87"/>
      <c r="AO2762" s="87"/>
      <c r="AP2762" s="87"/>
      <c r="AQ2762" s="87" t="s">
        <v>17305</v>
      </c>
      <c r="AR2762" s="87"/>
      <c r="AS2762" s="87"/>
      <c r="AT2762" s="87"/>
      <c r="AU2762" s="87"/>
      <c r="AV2762" s="92" t="str">
        <f>HYPERLINK("https://pbs.twimg.com/media/F6LYaVuWIAEqGDW.jpg")</f>
        <v>https://pbs.twimg.com/media/F6LYaVuWIAEqGDW.jpg</v>
      </c>
      <c r="AW2762" s="93" t="s">
        <v>20923</v>
      </c>
      <c r="AX2762" s="93" t="s">
        <v>20923</v>
      </c>
      <c r="AY2762" s="87"/>
      <c r="AZ2762" s="93" t="s">
        <v>22668</v>
      </c>
      <c r="BA2762" s="93" t="s">
        <v>22668</v>
      </c>
      <c r="BB2762" s="93" t="s">
        <v>22668</v>
      </c>
      <c r="BC2762" s="93" t="s">
        <v>20923</v>
      </c>
      <c r="BD2762" s="93" t="s">
        <v>23269</v>
      </c>
      <c r="BE2762" s="87"/>
      <c r="BF2762" s="87"/>
      <c r="BG2762" s="87"/>
      <c r="BH2762" s="87"/>
      <c r="BI2762" s="87"/>
    </row>
    <row r="2763" spans="1:61" x14ac:dyDescent="0.25">
      <c r="A2763" s="63" t="s">
        <v>1058</v>
      </c>
      <c r="B2763" s="63" t="s">
        <v>1058</v>
      </c>
      <c r="C2763" s="64"/>
      <c r="D2763" s="65"/>
      <c r="E2763" s="66"/>
      <c r="F2763" s="67"/>
      <c r="G2763" s="64"/>
      <c r="H2763" s="68"/>
      <c r="I2763" s="69"/>
      <c r="J2763" s="69"/>
      <c r="K2763" s="32"/>
      <c r="L2763" s="76">
        <v>2763</v>
      </c>
      <c r="M2763" s="76"/>
      <c r="N2763" s="71"/>
      <c r="O2763" s="87" t="s">
        <v>179</v>
      </c>
      <c r="P2763" s="90">
        <v>45185.901678240742</v>
      </c>
      <c r="Q2763" s="87" t="s">
        <v>4480</v>
      </c>
      <c r="R2763" s="87">
        <v>0</v>
      </c>
      <c r="S2763" s="87">
        <v>0</v>
      </c>
      <c r="T2763" s="87">
        <v>0</v>
      </c>
      <c r="U2763" s="87">
        <v>0</v>
      </c>
      <c r="V2763" s="87">
        <v>72</v>
      </c>
      <c r="W2763" s="93" t="s">
        <v>7424</v>
      </c>
      <c r="X2763" s="87"/>
      <c r="Y2763" s="87"/>
      <c r="Z2763" s="87"/>
      <c r="AA2763" s="87" t="s">
        <v>10494</v>
      </c>
      <c r="AB2763" s="87" t="s">
        <v>11448</v>
      </c>
      <c r="AC2763" s="93" t="s">
        <v>11457</v>
      </c>
      <c r="AD2763" s="87" t="s">
        <v>11519</v>
      </c>
      <c r="AE2763" s="92" t="str">
        <f>HYPERLINK("https://twitter.com/serraempauta/status/1703161439861555241")</f>
        <v>https://twitter.com/serraempauta/status/1703161439861555241</v>
      </c>
      <c r="AF2763" s="90">
        <v>45185.901678240742</v>
      </c>
      <c r="AG2763" s="99">
        <v>45185</v>
      </c>
      <c r="AH2763" s="93" t="s">
        <v>14005</v>
      </c>
      <c r="AI2763" s="87" t="b">
        <v>0</v>
      </c>
      <c r="AJ2763" s="87"/>
      <c r="AK2763" s="87"/>
      <c r="AL2763" s="87"/>
      <c r="AM2763" s="87"/>
      <c r="AN2763" s="87"/>
      <c r="AO2763" s="87"/>
      <c r="AP2763" s="87"/>
      <c r="AQ2763" s="87" t="s">
        <v>17306</v>
      </c>
      <c r="AR2763" s="87"/>
      <c r="AS2763" s="87"/>
      <c r="AT2763" s="87"/>
      <c r="AU2763" s="87"/>
      <c r="AV2763" s="92" t="str">
        <f>HYPERLINK("https://pbs.twimg.com/media/F6LYRDEXAAACiBX.jpg")</f>
        <v>https://pbs.twimg.com/media/F6LYRDEXAAACiBX.jpg</v>
      </c>
      <c r="AW2763" s="93" t="s">
        <v>20924</v>
      </c>
      <c r="AX2763" s="93" t="s">
        <v>20924</v>
      </c>
      <c r="AY2763" s="87"/>
      <c r="AZ2763" s="93" t="s">
        <v>22668</v>
      </c>
      <c r="BA2763" s="93" t="s">
        <v>22668</v>
      </c>
      <c r="BB2763" s="93" t="s">
        <v>22668</v>
      </c>
      <c r="BC2763" s="93" t="s">
        <v>20924</v>
      </c>
      <c r="BD2763" s="93" t="s">
        <v>23269</v>
      </c>
      <c r="BE2763" s="87"/>
      <c r="BF2763" s="87"/>
      <c r="BG2763" s="87"/>
      <c r="BH2763" s="87"/>
      <c r="BI2763" s="87"/>
    </row>
    <row r="2764" spans="1:61" x14ac:dyDescent="0.25">
      <c r="A2764" s="63" t="s">
        <v>1058</v>
      </c>
      <c r="B2764" s="63" t="s">
        <v>1058</v>
      </c>
      <c r="C2764" s="64"/>
      <c r="D2764" s="65"/>
      <c r="E2764" s="66"/>
      <c r="F2764" s="67"/>
      <c r="G2764" s="64"/>
      <c r="H2764" s="68"/>
      <c r="I2764" s="69"/>
      <c r="J2764" s="69"/>
      <c r="K2764" s="32"/>
      <c r="L2764" s="76">
        <v>2764</v>
      </c>
      <c r="M2764" s="76"/>
      <c r="N2764" s="71"/>
      <c r="O2764" s="87" t="s">
        <v>179</v>
      </c>
      <c r="P2764" s="90">
        <v>45185.901041666664</v>
      </c>
      <c r="Q2764" s="87" t="s">
        <v>4481</v>
      </c>
      <c r="R2764" s="87">
        <v>0</v>
      </c>
      <c r="S2764" s="87">
        <v>0</v>
      </c>
      <c r="T2764" s="87">
        <v>0</v>
      </c>
      <c r="U2764" s="87">
        <v>0</v>
      </c>
      <c r="V2764" s="87">
        <v>73</v>
      </c>
      <c r="W2764" s="93" t="s">
        <v>7424</v>
      </c>
      <c r="X2764" s="87"/>
      <c r="Y2764" s="87"/>
      <c r="Z2764" s="87"/>
      <c r="AA2764" s="87" t="s">
        <v>10495</v>
      </c>
      <c r="AB2764" s="87" t="s">
        <v>11448</v>
      </c>
      <c r="AC2764" s="93" t="s">
        <v>11457</v>
      </c>
      <c r="AD2764" s="87" t="s">
        <v>11519</v>
      </c>
      <c r="AE2764" s="92" t="str">
        <f>HYPERLINK("https://twitter.com/serraempauta/status/1703161211280408962")</f>
        <v>https://twitter.com/serraempauta/status/1703161211280408962</v>
      </c>
      <c r="AF2764" s="90">
        <v>45185.901041666664</v>
      </c>
      <c r="AG2764" s="99">
        <v>45185</v>
      </c>
      <c r="AH2764" s="93" t="s">
        <v>14006</v>
      </c>
      <c r="AI2764" s="87" t="b">
        <v>0</v>
      </c>
      <c r="AJ2764" s="87"/>
      <c r="AK2764" s="87"/>
      <c r="AL2764" s="87"/>
      <c r="AM2764" s="87"/>
      <c r="AN2764" s="87"/>
      <c r="AO2764" s="87"/>
      <c r="AP2764" s="87"/>
      <c r="AQ2764" s="87" t="s">
        <v>17307</v>
      </c>
      <c r="AR2764" s="87"/>
      <c r="AS2764" s="87"/>
      <c r="AT2764" s="87"/>
      <c r="AU2764" s="87"/>
      <c r="AV2764" s="92" t="str">
        <f>HYPERLINK("https://pbs.twimg.com/media/F6LYFeoXcAAXZt8.jpg")</f>
        <v>https://pbs.twimg.com/media/F6LYFeoXcAAXZt8.jpg</v>
      </c>
      <c r="AW2764" s="93" t="s">
        <v>20925</v>
      </c>
      <c r="AX2764" s="93" t="s">
        <v>20925</v>
      </c>
      <c r="AY2764" s="87"/>
      <c r="AZ2764" s="93" t="s">
        <v>22668</v>
      </c>
      <c r="BA2764" s="93" t="s">
        <v>22668</v>
      </c>
      <c r="BB2764" s="93" t="s">
        <v>22668</v>
      </c>
      <c r="BC2764" s="93" t="s">
        <v>20925</v>
      </c>
      <c r="BD2764" s="93" t="s">
        <v>23269</v>
      </c>
      <c r="BE2764" s="87"/>
      <c r="BF2764" s="87"/>
      <c r="BG2764" s="87"/>
      <c r="BH2764" s="87"/>
      <c r="BI2764" s="87"/>
    </row>
    <row r="2765" spans="1:61" x14ac:dyDescent="0.25">
      <c r="A2765" s="63" t="s">
        <v>1058</v>
      </c>
      <c r="B2765" s="63" t="s">
        <v>1058</v>
      </c>
      <c r="C2765" s="64"/>
      <c r="D2765" s="65"/>
      <c r="E2765" s="66"/>
      <c r="F2765" s="67"/>
      <c r="G2765" s="64"/>
      <c r="H2765" s="68"/>
      <c r="I2765" s="69"/>
      <c r="J2765" s="69"/>
      <c r="K2765" s="32"/>
      <c r="L2765" s="76">
        <v>2765</v>
      </c>
      <c r="M2765" s="76"/>
      <c r="N2765" s="71"/>
      <c r="O2765" s="87" t="s">
        <v>179</v>
      </c>
      <c r="P2765" s="90">
        <v>45180.865069444444</v>
      </c>
      <c r="Q2765" s="87" t="s">
        <v>4482</v>
      </c>
      <c r="R2765" s="87">
        <v>0</v>
      </c>
      <c r="S2765" s="87">
        <v>0</v>
      </c>
      <c r="T2765" s="87">
        <v>0</v>
      </c>
      <c r="U2765" s="87">
        <v>0</v>
      </c>
      <c r="V2765" s="87">
        <v>57</v>
      </c>
      <c r="W2765" s="93" t="s">
        <v>7424</v>
      </c>
      <c r="X2765" s="87"/>
      <c r="Y2765" s="87"/>
      <c r="Z2765" s="87"/>
      <c r="AA2765" s="87" t="s">
        <v>10496</v>
      </c>
      <c r="AB2765" s="87" t="s">
        <v>11448</v>
      </c>
      <c r="AC2765" s="93" t="s">
        <v>11457</v>
      </c>
      <c r="AD2765" s="87" t="s">
        <v>11519</v>
      </c>
      <c r="AE2765" s="92" t="str">
        <f>HYPERLINK("https://twitter.com/serraempauta/status/1701336233958346936")</f>
        <v>https://twitter.com/serraempauta/status/1701336233958346936</v>
      </c>
      <c r="AF2765" s="90">
        <v>45180.865069444444</v>
      </c>
      <c r="AG2765" s="99">
        <v>45180</v>
      </c>
      <c r="AH2765" s="93" t="s">
        <v>14007</v>
      </c>
      <c r="AI2765" s="87" t="b">
        <v>0</v>
      </c>
      <c r="AJ2765" s="87"/>
      <c r="AK2765" s="87"/>
      <c r="AL2765" s="87"/>
      <c r="AM2765" s="87"/>
      <c r="AN2765" s="87"/>
      <c r="AO2765" s="87"/>
      <c r="AP2765" s="87"/>
      <c r="AQ2765" s="87" t="s">
        <v>17308</v>
      </c>
      <c r="AR2765" s="87"/>
      <c r="AS2765" s="87"/>
      <c r="AT2765" s="87"/>
      <c r="AU2765" s="87"/>
      <c r="AV2765" s="92" t="str">
        <f>HYPERLINK("https://pbs.twimg.com/media/F5xcSD9XAAAjCjx.jpg")</f>
        <v>https://pbs.twimg.com/media/F5xcSD9XAAAjCjx.jpg</v>
      </c>
      <c r="AW2765" s="93" t="s">
        <v>20926</v>
      </c>
      <c r="AX2765" s="93" t="s">
        <v>20926</v>
      </c>
      <c r="AY2765" s="87"/>
      <c r="AZ2765" s="93" t="s">
        <v>22668</v>
      </c>
      <c r="BA2765" s="93" t="s">
        <v>22668</v>
      </c>
      <c r="BB2765" s="93" t="s">
        <v>22668</v>
      </c>
      <c r="BC2765" s="93" t="s">
        <v>20926</v>
      </c>
      <c r="BD2765" s="93" t="s">
        <v>23269</v>
      </c>
      <c r="BE2765" s="87"/>
      <c r="BF2765" s="87"/>
      <c r="BG2765" s="87"/>
      <c r="BH2765" s="87"/>
      <c r="BI2765" s="87"/>
    </row>
    <row r="2766" spans="1:61" x14ac:dyDescent="0.25">
      <c r="A2766" s="63" t="s">
        <v>1058</v>
      </c>
      <c r="B2766" s="63" t="s">
        <v>1058</v>
      </c>
      <c r="C2766" s="64"/>
      <c r="D2766" s="65"/>
      <c r="E2766" s="66"/>
      <c r="F2766" s="67"/>
      <c r="G2766" s="64"/>
      <c r="H2766" s="68"/>
      <c r="I2766" s="69"/>
      <c r="J2766" s="69"/>
      <c r="K2766" s="32"/>
      <c r="L2766" s="76">
        <v>2766</v>
      </c>
      <c r="M2766" s="76"/>
      <c r="N2766" s="71"/>
      <c r="O2766" s="87" t="s">
        <v>179</v>
      </c>
      <c r="P2766" s="90">
        <v>45180.822916666664</v>
      </c>
      <c r="Q2766" s="87" t="s">
        <v>4483</v>
      </c>
      <c r="R2766" s="87">
        <v>0</v>
      </c>
      <c r="S2766" s="87">
        <v>0</v>
      </c>
      <c r="T2766" s="87">
        <v>0</v>
      </c>
      <c r="U2766" s="87">
        <v>0</v>
      </c>
      <c r="V2766" s="87">
        <v>37</v>
      </c>
      <c r="W2766" s="93" t="s">
        <v>7430</v>
      </c>
      <c r="X2766" s="87"/>
      <c r="Y2766" s="87"/>
      <c r="Z2766" s="87"/>
      <c r="AA2766" s="87" t="s">
        <v>10497</v>
      </c>
      <c r="AB2766" s="87" t="s">
        <v>11448</v>
      </c>
      <c r="AC2766" s="93" t="s">
        <v>11457</v>
      </c>
      <c r="AD2766" s="87" t="s">
        <v>11519</v>
      </c>
      <c r="AE2766" s="92" t="str">
        <f>HYPERLINK("https://twitter.com/serraempauta/status/1701320957976055904")</f>
        <v>https://twitter.com/serraempauta/status/1701320957976055904</v>
      </c>
      <c r="AF2766" s="90">
        <v>45180.822916666664</v>
      </c>
      <c r="AG2766" s="99">
        <v>45180</v>
      </c>
      <c r="AH2766" s="93" t="s">
        <v>14008</v>
      </c>
      <c r="AI2766" s="87" t="b">
        <v>0</v>
      </c>
      <c r="AJ2766" s="87"/>
      <c r="AK2766" s="87"/>
      <c r="AL2766" s="87"/>
      <c r="AM2766" s="87"/>
      <c r="AN2766" s="87"/>
      <c r="AO2766" s="87"/>
      <c r="AP2766" s="87"/>
      <c r="AQ2766" s="87" t="s">
        <v>17309</v>
      </c>
      <c r="AR2766" s="87"/>
      <c r="AS2766" s="87"/>
      <c r="AT2766" s="87"/>
      <c r="AU2766" s="87"/>
      <c r="AV2766" s="92" t="str">
        <f>HYPERLINK("https://pbs.twimg.com/media/F5xOT0zWwAARQfp.jpg")</f>
        <v>https://pbs.twimg.com/media/F5xOT0zWwAARQfp.jpg</v>
      </c>
      <c r="AW2766" s="93" t="s">
        <v>20927</v>
      </c>
      <c r="AX2766" s="93" t="s">
        <v>20927</v>
      </c>
      <c r="AY2766" s="87"/>
      <c r="AZ2766" s="93" t="s">
        <v>22668</v>
      </c>
      <c r="BA2766" s="93" t="s">
        <v>22668</v>
      </c>
      <c r="BB2766" s="93" t="s">
        <v>22668</v>
      </c>
      <c r="BC2766" s="93" t="s">
        <v>20927</v>
      </c>
      <c r="BD2766" s="93" t="s">
        <v>23269</v>
      </c>
      <c r="BE2766" s="87"/>
      <c r="BF2766" s="87"/>
      <c r="BG2766" s="87"/>
      <c r="BH2766" s="87"/>
      <c r="BI2766" s="87"/>
    </row>
    <row r="2767" spans="1:61" x14ac:dyDescent="0.25">
      <c r="A2767" s="63" t="s">
        <v>1058</v>
      </c>
      <c r="B2767" s="63" t="s">
        <v>1058</v>
      </c>
      <c r="C2767" s="64"/>
      <c r="D2767" s="65"/>
      <c r="E2767" s="66"/>
      <c r="F2767" s="67"/>
      <c r="G2767" s="64"/>
      <c r="H2767" s="68"/>
      <c r="I2767" s="69"/>
      <c r="J2767" s="69"/>
      <c r="K2767" s="32"/>
      <c r="L2767" s="76">
        <v>2767</v>
      </c>
      <c r="M2767" s="76"/>
      <c r="N2767" s="71"/>
      <c r="O2767" s="87" t="s">
        <v>179</v>
      </c>
      <c r="P2767" s="90">
        <v>45180.788483796299</v>
      </c>
      <c r="Q2767" s="87" t="s">
        <v>4484</v>
      </c>
      <c r="R2767" s="87">
        <v>0</v>
      </c>
      <c r="S2767" s="87">
        <v>0</v>
      </c>
      <c r="T2767" s="87">
        <v>0</v>
      </c>
      <c r="U2767" s="87">
        <v>0</v>
      </c>
      <c r="V2767" s="87">
        <v>70</v>
      </c>
      <c r="W2767" s="93" t="s">
        <v>7424</v>
      </c>
      <c r="X2767" s="87"/>
      <c r="Y2767" s="87"/>
      <c r="Z2767" s="87"/>
      <c r="AA2767" s="87" t="s">
        <v>10498</v>
      </c>
      <c r="AB2767" s="87" t="s">
        <v>11448</v>
      </c>
      <c r="AC2767" s="93" t="s">
        <v>11457</v>
      </c>
      <c r="AD2767" s="87" t="s">
        <v>11519</v>
      </c>
      <c r="AE2767" s="92" t="str">
        <f>HYPERLINK("https://twitter.com/serraempauta/status/1701308481112785058")</f>
        <v>https://twitter.com/serraempauta/status/1701308481112785058</v>
      </c>
      <c r="AF2767" s="90">
        <v>45180.788483796299</v>
      </c>
      <c r="AG2767" s="99">
        <v>45180</v>
      </c>
      <c r="AH2767" s="93" t="s">
        <v>14009</v>
      </c>
      <c r="AI2767" s="87" t="b">
        <v>0</v>
      </c>
      <c r="AJ2767" s="87"/>
      <c r="AK2767" s="87"/>
      <c r="AL2767" s="87"/>
      <c r="AM2767" s="87"/>
      <c r="AN2767" s="87"/>
      <c r="AO2767" s="87"/>
      <c r="AP2767" s="87"/>
      <c r="AQ2767" s="87" t="s">
        <v>17310</v>
      </c>
      <c r="AR2767" s="87"/>
      <c r="AS2767" s="87"/>
      <c r="AT2767" s="87"/>
      <c r="AU2767" s="87"/>
      <c r="AV2767" s="92" t="str">
        <f>HYPERLINK("https://pbs.twimg.com/media/F5xDCz6WwAANARs.jpg")</f>
        <v>https://pbs.twimg.com/media/F5xDCz6WwAANARs.jpg</v>
      </c>
      <c r="AW2767" s="93" t="s">
        <v>20928</v>
      </c>
      <c r="AX2767" s="93" t="s">
        <v>20928</v>
      </c>
      <c r="AY2767" s="87"/>
      <c r="AZ2767" s="93" t="s">
        <v>22668</v>
      </c>
      <c r="BA2767" s="93" t="s">
        <v>22668</v>
      </c>
      <c r="BB2767" s="93" t="s">
        <v>22668</v>
      </c>
      <c r="BC2767" s="93" t="s">
        <v>20928</v>
      </c>
      <c r="BD2767" s="93" t="s">
        <v>23269</v>
      </c>
      <c r="BE2767" s="87"/>
      <c r="BF2767" s="87"/>
      <c r="BG2767" s="87"/>
      <c r="BH2767" s="87"/>
      <c r="BI2767" s="87"/>
    </row>
    <row r="2768" spans="1:61" x14ac:dyDescent="0.25">
      <c r="A2768" s="63" t="s">
        <v>1058</v>
      </c>
      <c r="B2768" s="63" t="s">
        <v>1058</v>
      </c>
      <c r="C2768" s="64"/>
      <c r="D2768" s="65"/>
      <c r="E2768" s="66"/>
      <c r="F2768" s="67"/>
      <c r="G2768" s="64"/>
      <c r="H2768" s="68"/>
      <c r="I2768" s="69"/>
      <c r="J2768" s="69"/>
      <c r="K2768" s="32"/>
      <c r="L2768" s="76">
        <v>2768</v>
      </c>
      <c r="M2768" s="76"/>
      <c r="N2768" s="71"/>
      <c r="O2768" s="87" t="s">
        <v>179</v>
      </c>
      <c r="P2768" s="90">
        <v>45180.763819444444</v>
      </c>
      <c r="Q2768" s="87" t="s">
        <v>4485</v>
      </c>
      <c r="R2768" s="87">
        <v>0</v>
      </c>
      <c r="S2768" s="87">
        <v>0</v>
      </c>
      <c r="T2768" s="87">
        <v>0</v>
      </c>
      <c r="U2768" s="87">
        <v>0</v>
      </c>
      <c r="V2768" s="87">
        <v>93</v>
      </c>
      <c r="W2768" s="93" t="s">
        <v>7424</v>
      </c>
      <c r="X2768" s="87"/>
      <c r="Y2768" s="87"/>
      <c r="Z2768" s="87"/>
      <c r="AA2768" s="87" t="s">
        <v>10499</v>
      </c>
      <c r="AB2768" s="87" t="s">
        <v>11448</v>
      </c>
      <c r="AC2768" s="93" t="s">
        <v>11457</v>
      </c>
      <c r="AD2768" s="87" t="s">
        <v>11519</v>
      </c>
      <c r="AE2768" s="92" t="str">
        <f>HYPERLINK("https://twitter.com/serraempauta/status/1701299544477094048")</f>
        <v>https://twitter.com/serraempauta/status/1701299544477094048</v>
      </c>
      <c r="AF2768" s="90">
        <v>45180.763819444444</v>
      </c>
      <c r="AG2768" s="99">
        <v>45180</v>
      </c>
      <c r="AH2768" s="93" t="s">
        <v>14010</v>
      </c>
      <c r="AI2768" s="87" t="b">
        <v>0</v>
      </c>
      <c r="AJ2768" s="87"/>
      <c r="AK2768" s="87"/>
      <c r="AL2768" s="87"/>
      <c r="AM2768" s="87"/>
      <c r="AN2768" s="87"/>
      <c r="AO2768" s="87"/>
      <c r="AP2768" s="87"/>
      <c r="AQ2768" s="87" t="s">
        <v>17311</v>
      </c>
      <c r="AR2768" s="87"/>
      <c r="AS2768" s="87"/>
      <c r="AT2768" s="87"/>
      <c r="AU2768" s="87"/>
      <c r="AV2768" s="92" t="str">
        <f>HYPERLINK("https://pbs.twimg.com/media/F5w66PSWAAAn8UR.jpg")</f>
        <v>https://pbs.twimg.com/media/F5w66PSWAAAn8UR.jpg</v>
      </c>
      <c r="AW2768" s="93" t="s">
        <v>20929</v>
      </c>
      <c r="AX2768" s="93" t="s">
        <v>20929</v>
      </c>
      <c r="AY2768" s="87"/>
      <c r="AZ2768" s="93" t="s">
        <v>22668</v>
      </c>
      <c r="BA2768" s="93" t="s">
        <v>22668</v>
      </c>
      <c r="BB2768" s="93" t="s">
        <v>22668</v>
      </c>
      <c r="BC2768" s="93" t="s">
        <v>20929</v>
      </c>
      <c r="BD2768" s="93" t="s">
        <v>23269</v>
      </c>
      <c r="BE2768" s="87"/>
      <c r="BF2768" s="87"/>
      <c r="BG2768" s="87"/>
      <c r="BH2768" s="87"/>
      <c r="BI2768" s="87"/>
    </row>
    <row r="2769" spans="1:61" x14ac:dyDescent="0.25">
      <c r="A2769" s="63" t="s">
        <v>1058</v>
      </c>
      <c r="B2769" s="63" t="s">
        <v>1058</v>
      </c>
      <c r="C2769" s="64"/>
      <c r="D2769" s="65"/>
      <c r="E2769" s="66"/>
      <c r="F2769" s="67"/>
      <c r="G2769" s="64"/>
      <c r="H2769" s="68"/>
      <c r="I2769" s="69"/>
      <c r="J2769" s="69"/>
      <c r="K2769" s="32"/>
      <c r="L2769" s="76">
        <v>2769</v>
      </c>
      <c r="M2769" s="76"/>
      <c r="N2769" s="71"/>
      <c r="O2769" s="87" t="s">
        <v>179</v>
      </c>
      <c r="P2769" s="90">
        <v>45173.626215277778</v>
      </c>
      <c r="Q2769" s="87" t="s">
        <v>4486</v>
      </c>
      <c r="R2769" s="87">
        <v>0</v>
      </c>
      <c r="S2769" s="87">
        <v>0</v>
      </c>
      <c r="T2769" s="87">
        <v>0</v>
      </c>
      <c r="U2769" s="87">
        <v>0</v>
      </c>
      <c r="V2769" s="87">
        <v>51</v>
      </c>
      <c r="W2769" s="93" t="s">
        <v>7424</v>
      </c>
      <c r="X2769" s="87"/>
      <c r="Y2769" s="87"/>
      <c r="Z2769" s="87"/>
      <c r="AA2769" s="87" t="s">
        <v>10500</v>
      </c>
      <c r="AB2769" s="87" t="s">
        <v>11448</v>
      </c>
      <c r="AC2769" s="93" t="s">
        <v>11457</v>
      </c>
      <c r="AD2769" s="87" t="s">
        <v>11519</v>
      </c>
      <c r="AE2769" s="92" t="str">
        <f>HYPERLINK("https://twitter.com/serraempauta/status/1698712963090174117")</f>
        <v>https://twitter.com/serraempauta/status/1698712963090174117</v>
      </c>
      <c r="AF2769" s="90">
        <v>45173.626215277778</v>
      </c>
      <c r="AG2769" s="99">
        <v>45173</v>
      </c>
      <c r="AH2769" s="93" t="s">
        <v>14011</v>
      </c>
      <c r="AI2769" s="87" t="b">
        <v>0</v>
      </c>
      <c r="AJ2769" s="87"/>
      <c r="AK2769" s="87"/>
      <c r="AL2769" s="87"/>
      <c r="AM2769" s="87"/>
      <c r="AN2769" s="87"/>
      <c r="AO2769" s="87"/>
      <c r="AP2769" s="87"/>
      <c r="AQ2769" s="87" t="s">
        <v>17312</v>
      </c>
      <c r="AR2769" s="87"/>
      <c r="AS2769" s="87"/>
      <c r="AT2769" s="87"/>
      <c r="AU2769" s="87"/>
      <c r="AV2769" s="92" t="str">
        <f>HYPERLINK("https://pbs.twimg.com/media/F5MKbeUXAAAVeNe.jpg")</f>
        <v>https://pbs.twimg.com/media/F5MKbeUXAAAVeNe.jpg</v>
      </c>
      <c r="AW2769" s="93" t="s">
        <v>20930</v>
      </c>
      <c r="AX2769" s="93" t="s">
        <v>20930</v>
      </c>
      <c r="AY2769" s="87"/>
      <c r="AZ2769" s="93" t="s">
        <v>22668</v>
      </c>
      <c r="BA2769" s="93" t="s">
        <v>22668</v>
      </c>
      <c r="BB2769" s="93" t="s">
        <v>22668</v>
      </c>
      <c r="BC2769" s="93" t="s">
        <v>20930</v>
      </c>
      <c r="BD2769" s="93" t="s">
        <v>23269</v>
      </c>
      <c r="BE2769" s="87"/>
      <c r="BF2769" s="87"/>
      <c r="BG2769" s="87"/>
      <c r="BH2769" s="87"/>
      <c r="BI2769" s="87"/>
    </row>
    <row r="2770" spans="1:61" x14ac:dyDescent="0.25">
      <c r="A2770" s="63" t="s">
        <v>1058</v>
      </c>
      <c r="B2770" s="63" t="s">
        <v>1058</v>
      </c>
      <c r="C2770" s="64"/>
      <c r="D2770" s="65"/>
      <c r="E2770" s="66"/>
      <c r="F2770" s="67"/>
      <c r="G2770" s="64"/>
      <c r="H2770" s="68"/>
      <c r="I2770" s="69"/>
      <c r="J2770" s="69"/>
      <c r="K2770" s="32"/>
      <c r="L2770" s="76">
        <v>2770</v>
      </c>
      <c r="M2770" s="76"/>
      <c r="N2770" s="71"/>
      <c r="O2770" s="87" t="s">
        <v>179</v>
      </c>
      <c r="P2770" s="90">
        <v>45173.590219907404</v>
      </c>
      <c r="Q2770" s="87" t="s">
        <v>4487</v>
      </c>
      <c r="R2770" s="87">
        <v>0</v>
      </c>
      <c r="S2770" s="87">
        <v>1</v>
      </c>
      <c r="T2770" s="87">
        <v>0</v>
      </c>
      <c r="U2770" s="87">
        <v>0</v>
      </c>
      <c r="V2770" s="87">
        <v>51</v>
      </c>
      <c r="W2770" s="93" t="s">
        <v>7424</v>
      </c>
      <c r="X2770" s="87"/>
      <c r="Y2770" s="87"/>
      <c r="Z2770" s="87"/>
      <c r="AA2770" s="87" t="s">
        <v>10501</v>
      </c>
      <c r="AB2770" s="87" t="s">
        <v>11448</v>
      </c>
      <c r="AC2770" s="93" t="s">
        <v>11457</v>
      </c>
      <c r="AD2770" s="87" t="s">
        <v>11519</v>
      </c>
      <c r="AE2770" s="92" t="str">
        <f>HYPERLINK("https://twitter.com/serraempauta/status/1698699916564930909")</f>
        <v>https://twitter.com/serraempauta/status/1698699916564930909</v>
      </c>
      <c r="AF2770" s="90">
        <v>45173.590219907404</v>
      </c>
      <c r="AG2770" s="99">
        <v>45173</v>
      </c>
      <c r="AH2770" s="93" t="s">
        <v>14012</v>
      </c>
      <c r="AI2770" s="87" t="b">
        <v>0</v>
      </c>
      <c r="AJ2770" s="87"/>
      <c r="AK2770" s="87"/>
      <c r="AL2770" s="87"/>
      <c r="AM2770" s="87"/>
      <c r="AN2770" s="87"/>
      <c r="AO2770" s="87"/>
      <c r="AP2770" s="87"/>
      <c r="AQ2770" s="87" t="s">
        <v>17313</v>
      </c>
      <c r="AR2770" s="87"/>
      <c r="AS2770" s="87"/>
      <c r="AT2770" s="87"/>
      <c r="AU2770" s="87"/>
      <c r="AV2770" s="92" t="str">
        <f>HYPERLINK("https://pbs.twimg.com/media/F5L-kNhWAAAXzbz.jpg")</f>
        <v>https://pbs.twimg.com/media/F5L-kNhWAAAXzbz.jpg</v>
      </c>
      <c r="AW2770" s="93" t="s">
        <v>20931</v>
      </c>
      <c r="AX2770" s="93" t="s">
        <v>20931</v>
      </c>
      <c r="AY2770" s="87"/>
      <c r="AZ2770" s="93" t="s">
        <v>22668</v>
      </c>
      <c r="BA2770" s="93" t="s">
        <v>22668</v>
      </c>
      <c r="BB2770" s="93" t="s">
        <v>22668</v>
      </c>
      <c r="BC2770" s="93" t="s">
        <v>20931</v>
      </c>
      <c r="BD2770" s="93" t="s">
        <v>23269</v>
      </c>
      <c r="BE2770" s="87"/>
      <c r="BF2770" s="87"/>
      <c r="BG2770" s="87"/>
      <c r="BH2770" s="87"/>
      <c r="BI2770" s="87"/>
    </row>
    <row r="2771" spans="1:61" x14ac:dyDescent="0.25">
      <c r="A2771" s="63" t="s">
        <v>1058</v>
      </c>
      <c r="B2771" s="63" t="s">
        <v>1058</v>
      </c>
      <c r="C2771" s="64"/>
      <c r="D2771" s="65"/>
      <c r="E2771" s="66"/>
      <c r="F2771" s="67"/>
      <c r="G2771" s="64"/>
      <c r="H2771" s="68"/>
      <c r="I2771" s="69"/>
      <c r="J2771" s="69"/>
      <c r="K2771" s="32"/>
      <c r="L2771" s="76">
        <v>2771</v>
      </c>
      <c r="M2771" s="76"/>
      <c r="N2771" s="71"/>
      <c r="O2771" s="87" t="s">
        <v>179</v>
      </c>
      <c r="P2771" s="90">
        <v>45164.722754629627</v>
      </c>
      <c r="Q2771" s="87" t="s">
        <v>4488</v>
      </c>
      <c r="R2771" s="87">
        <v>0</v>
      </c>
      <c r="S2771" s="87">
        <v>0</v>
      </c>
      <c r="T2771" s="87">
        <v>0</v>
      </c>
      <c r="U2771" s="87">
        <v>0</v>
      </c>
      <c r="V2771" s="87">
        <v>55</v>
      </c>
      <c r="W2771" s="93" t="s">
        <v>7424</v>
      </c>
      <c r="X2771" s="87"/>
      <c r="Y2771" s="87"/>
      <c r="Z2771" s="87"/>
      <c r="AA2771" s="87" t="s">
        <v>10502</v>
      </c>
      <c r="AB2771" s="87" t="s">
        <v>11448</v>
      </c>
      <c r="AC2771" s="93" t="s">
        <v>11457</v>
      </c>
      <c r="AD2771" s="87" t="s">
        <v>11519</v>
      </c>
      <c r="AE2771" s="92" t="str">
        <f>HYPERLINK("https://twitter.com/serraempauta/status/1695486454560940323")</f>
        <v>https://twitter.com/serraempauta/status/1695486454560940323</v>
      </c>
      <c r="AF2771" s="90">
        <v>45164.722754629627</v>
      </c>
      <c r="AG2771" s="99">
        <v>45164</v>
      </c>
      <c r="AH2771" s="93" t="s">
        <v>14013</v>
      </c>
      <c r="AI2771" s="87" t="b">
        <v>0</v>
      </c>
      <c r="AJ2771" s="87"/>
      <c r="AK2771" s="87"/>
      <c r="AL2771" s="87"/>
      <c r="AM2771" s="87"/>
      <c r="AN2771" s="87"/>
      <c r="AO2771" s="87"/>
      <c r="AP2771" s="87"/>
      <c r="AQ2771" s="87" t="s">
        <v>17314</v>
      </c>
      <c r="AR2771" s="87"/>
      <c r="AS2771" s="87"/>
      <c r="AT2771" s="87"/>
      <c r="AU2771" s="87"/>
      <c r="AV2771" s="92" t="str">
        <f>HYPERLINK("https://pbs.twimg.com/media/F4eT7UgXcAAWY_V.jpg")</f>
        <v>https://pbs.twimg.com/media/F4eT7UgXcAAWY_V.jpg</v>
      </c>
      <c r="AW2771" s="93" t="s">
        <v>20932</v>
      </c>
      <c r="AX2771" s="93" t="s">
        <v>20932</v>
      </c>
      <c r="AY2771" s="87"/>
      <c r="AZ2771" s="93" t="s">
        <v>22668</v>
      </c>
      <c r="BA2771" s="93" t="s">
        <v>22668</v>
      </c>
      <c r="BB2771" s="93" t="s">
        <v>22668</v>
      </c>
      <c r="BC2771" s="93" t="s">
        <v>20932</v>
      </c>
      <c r="BD2771" s="93" t="s">
        <v>23269</v>
      </c>
      <c r="BE2771" s="87"/>
      <c r="BF2771" s="87"/>
      <c r="BG2771" s="87"/>
      <c r="BH2771" s="87"/>
      <c r="BI2771" s="87"/>
    </row>
    <row r="2772" spans="1:61" x14ac:dyDescent="0.25">
      <c r="A2772" s="63" t="s">
        <v>1058</v>
      </c>
      <c r="B2772" s="63" t="s">
        <v>1058</v>
      </c>
      <c r="C2772" s="64"/>
      <c r="D2772" s="65"/>
      <c r="E2772" s="66"/>
      <c r="F2772" s="67"/>
      <c r="G2772" s="64"/>
      <c r="H2772" s="68"/>
      <c r="I2772" s="69"/>
      <c r="J2772" s="69"/>
      <c r="K2772" s="32"/>
      <c r="L2772" s="76">
        <v>2772</v>
      </c>
      <c r="M2772" s="76"/>
      <c r="N2772" s="71"/>
      <c r="O2772" s="87" t="s">
        <v>179</v>
      </c>
      <c r="P2772" s="90">
        <v>45164.675451388888</v>
      </c>
      <c r="Q2772" s="87" t="s">
        <v>4489</v>
      </c>
      <c r="R2772" s="87">
        <v>0</v>
      </c>
      <c r="S2772" s="87">
        <v>0</v>
      </c>
      <c r="T2772" s="87">
        <v>0</v>
      </c>
      <c r="U2772" s="87">
        <v>0</v>
      </c>
      <c r="V2772" s="87">
        <v>59</v>
      </c>
      <c r="W2772" s="93" t="s">
        <v>7424</v>
      </c>
      <c r="X2772" s="87"/>
      <c r="Y2772" s="87"/>
      <c r="Z2772" s="87"/>
      <c r="AA2772" s="87" t="s">
        <v>10503</v>
      </c>
      <c r="AB2772" s="87" t="s">
        <v>11448</v>
      </c>
      <c r="AC2772" s="93" t="s">
        <v>11457</v>
      </c>
      <c r="AD2772" s="87" t="s">
        <v>11519</v>
      </c>
      <c r="AE2772" s="92" t="str">
        <f>HYPERLINK("https://twitter.com/serraempauta/status/1695469315783348225")</f>
        <v>https://twitter.com/serraempauta/status/1695469315783348225</v>
      </c>
      <c r="AF2772" s="90">
        <v>45164.675451388888</v>
      </c>
      <c r="AG2772" s="99">
        <v>45164</v>
      </c>
      <c r="AH2772" s="93" t="s">
        <v>14014</v>
      </c>
      <c r="AI2772" s="87" t="b">
        <v>0</v>
      </c>
      <c r="AJ2772" s="87"/>
      <c r="AK2772" s="87"/>
      <c r="AL2772" s="87"/>
      <c r="AM2772" s="87"/>
      <c r="AN2772" s="87"/>
      <c r="AO2772" s="87"/>
      <c r="AP2772" s="87"/>
      <c r="AQ2772" s="87" t="s">
        <v>17315</v>
      </c>
      <c r="AR2772" s="87"/>
      <c r="AS2772" s="87"/>
      <c r="AT2772" s="87"/>
      <c r="AU2772" s="87"/>
      <c r="AV2772" s="92" t="str">
        <f>HYPERLINK("https://pbs.twimg.com/media/F4eEWhVXAAAKclr.jpg")</f>
        <v>https://pbs.twimg.com/media/F4eEWhVXAAAKclr.jpg</v>
      </c>
      <c r="AW2772" s="93" t="s">
        <v>20933</v>
      </c>
      <c r="AX2772" s="93" t="s">
        <v>20933</v>
      </c>
      <c r="AY2772" s="87"/>
      <c r="AZ2772" s="93" t="s">
        <v>22668</v>
      </c>
      <c r="BA2772" s="93" t="s">
        <v>22668</v>
      </c>
      <c r="BB2772" s="93" t="s">
        <v>22668</v>
      </c>
      <c r="BC2772" s="93" t="s">
        <v>20933</v>
      </c>
      <c r="BD2772" s="93" t="s">
        <v>23269</v>
      </c>
      <c r="BE2772" s="87"/>
      <c r="BF2772" s="87"/>
      <c r="BG2772" s="87"/>
      <c r="BH2772" s="87"/>
      <c r="BI2772" s="87"/>
    </row>
    <row r="2773" spans="1:61" x14ac:dyDescent="0.25">
      <c r="A2773" s="63" t="s">
        <v>1058</v>
      </c>
      <c r="B2773" s="63" t="s">
        <v>1058</v>
      </c>
      <c r="C2773" s="64"/>
      <c r="D2773" s="65"/>
      <c r="E2773" s="66"/>
      <c r="F2773" s="67"/>
      <c r="G2773" s="64"/>
      <c r="H2773" s="68"/>
      <c r="I2773" s="69"/>
      <c r="J2773" s="69"/>
      <c r="K2773" s="32"/>
      <c r="L2773" s="76">
        <v>2773</v>
      </c>
      <c r="M2773" s="76"/>
      <c r="N2773" s="71"/>
      <c r="O2773" s="87" t="s">
        <v>179</v>
      </c>
      <c r="P2773" s="90">
        <v>45164.653668981482</v>
      </c>
      <c r="Q2773" s="87" t="s">
        <v>4490</v>
      </c>
      <c r="R2773" s="87">
        <v>0</v>
      </c>
      <c r="S2773" s="87">
        <v>0</v>
      </c>
      <c r="T2773" s="87">
        <v>0</v>
      </c>
      <c r="U2773" s="87">
        <v>0</v>
      </c>
      <c r="V2773" s="87">
        <v>41</v>
      </c>
      <c r="W2773" s="93" t="s">
        <v>7424</v>
      </c>
      <c r="X2773" s="87"/>
      <c r="Y2773" s="87"/>
      <c r="Z2773" s="87"/>
      <c r="AA2773" s="87" t="s">
        <v>10504</v>
      </c>
      <c r="AB2773" s="87" t="s">
        <v>11448</v>
      </c>
      <c r="AC2773" s="93" t="s">
        <v>11457</v>
      </c>
      <c r="AD2773" s="87" t="s">
        <v>11519</v>
      </c>
      <c r="AE2773" s="92" t="str">
        <f>HYPERLINK("https://twitter.com/serraempauta/status/1695461422417760333")</f>
        <v>https://twitter.com/serraempauta/status/1695461422417760333</v>
      </c>
      <c r="AF2773" s="90">
        <v>45164.653668981482</v>
      </c>
      <c r="AG2773" s="99">
        <v>45164</v>
      </c>
      <c r="AH2773" s="93" t="s">
        <v>14015</v>
      </c>
      <c r="AI2773" s="87" t="b">
        <v>0</v>
      </c>
      <c r="AJ2773" s="87"/>
      <c r="AK2773" s="87"/>
      <c r="AL2773" s="87"/>
      <c r="AM2773" s="87"/>
      <c r="AN2773" s="87"/>
      <c r="AO2773" s="87"/>
      <c r="AP2773" s="87"/>
      <c r="AQ2773" s="87" t="s">
        <v>17316</v>
      </c>
      <c r="AR2773" s="87"/>
      <c r="AS2773" s="87"/>
      <c r="AT2773" s="87"/>
      <c r="AU2773" s="87"/>
      <c r="AV2773" s="92" t="str">
        <f>HYPERLINK("https://pbs.twimg.com/media/F4d9LJDXcAAXrsB.jpg")</f>
        <v>https://pbs.twimg.com/media/F4d9LJDXcAAXrsB.jpg</v>
      </c>
      <c r="AW2773" s="93" t="s">
        <v>20934</v>
      </c>
      <c r="AX2773" s="93" t="s">
        <v>20934</v>
      </c>
      <c r="AY2773" s="87"/>
      <c r="AZ2773" s="93" t="s">
        <v>22668</v>
      </c>
      <c r="BA2773" s="93" t="s">
        <v>22668</v>
      </c>
      <c r="BB2773" s="93" t="s">
        <v>22668</v>
      </c>
      <c r="BC2773" s="93" t="s">
        <v>20934</v>
      </c>
      <c r="BD2773" s="93" t="s">
        <v>23269</v>
      </c>
      <c r="BE2773" s="87"/>
      <c r="BF2773" s="87"/>
      <c r="BG2773" s="87"/>
      <c r="BH2773" s="87"/>
      <c r="BI2773" s="87"/>
    </row>
    <row r="2774" spans="1:61" x14ac:dyDescent="0.25">
      <c r="A2774" s="63" t="s">
        <v>1058</v>
      </c>
      <c r="B2774" s="63" t="s">
        <v>1058</v>
      </c>
      <c r="C2774" s="64"/>
      <c r="D2774" s="65"/>
      <c r="E2774" s="66"/>
      <c r="F2774" s="67"/>
      <c r="G2774" s="64"/>
      <c r="H2774" s="68"/>
      <c r="I2774" s="69"/>
      <c r="J2774" s="69"/>
      <c r="K2774" s="32"/>
      <c r="L2774" s="76">
        <v>2774</v>
      </c>
      <c r="M2774" s="76"/>
      <c r="N2774" s="71"/>
      <c r="O2774" s="87" t="s">
        <v>179</v>
      </c>
      <c r="P2774" s="90">
        <v>45163.952222222222</v>
      </c>
      <c r="Q2774" s="87" t="s">
        <v>4491</v>
      </c>
      <c r="R2774" s="87">
        <v>0</v>
      </c>
      <c r="S2774" s="87">
        <v>0</v>
      </c>
      <c r="T2774" s="87">
        <v>0</v>
      </c>
      <c r="U2774" s="87">
        <v>0</v>
      </c>
      <c r="V2774" s="87">
        <v>72</v>
      </c>
      <c r="W2774" s="93" t="s">
        <v>7424</v>
      </c>
      <c r="X2774" s="87"/>
      <c r="Y2774" s="87"/>
      <c r="Z2774" s="87"/>
      <c r="AA2774" s="87" t="s">
        <v>10505</v>
      </c>
      <c r="AB2774" s="87" t="s">
        <v>11448</v>
      </c>
      <c r="AC2774" s="93" t="s">
        <v>11457</v>
      </c>
      <c r="AD2774" s="87" t="s">
        <v>11519</v>
      </c>
      <c r="AE2774" s="92" t="str">
        <f>HYPERLINK("https://twitter.com/serraempauta/status/1695207226871304227")</f>
        <v>https://twitter.com/serraempauta/status/1695207226871304227</v>
      </c>
      <c r="AF2774" s="90">
        <v>45163.952222222222</v>
      </c>
      <c r="AG2774" s="99">
        <v>45163</v>
      </c>
      <c r="AH2774" s="93" t="s">
        <v>14016</v>
      </c>
      <c r="AI2774" s="87" t="b">
        <v>0</v>
      </c>
      <c r="AJ2774" s="87"/>
      <c r="AK2774" s="87"/>
      <c r="AL2774" s="87"/>
      <c r="AM2774" s="87"/>
      <c r="AN2774" s="87"/>
      <c r="AO2774" s="87"/>
      <c r="AP2774" s="87"/>
      <c r="AQ2774" s="87" t="s">
        <v>17317</v>
      </c>
      <c r="AR2774" s="87"/>
      <c r="AS2774" s="87"/>
      <c r="AT2774" s="87"/>
      <c r="AU2774" s="87"/>
      <c r="AV2774" s="92" t="str">
        <f>HYPERLINK("https://pbs.twimg.com/media/F4aV-wyWcAEAvoP.jpg")</f>
        <v>https://pbs.twimg.com/media/F4aV-wyWcAEAvoP.jpg</v>
      </c>
      <c r="AW2774" s="93" t="s">
        <v>20935</v>
      </c>
      <c r="AX2774" s="93" t="s">
        <v>20935</v>
      </c>
      <c r="AY2774" s="87"/>
      <c r="AZ2774" s="93" t="s">
        <v>22668</v>
      </c>
      <c r="BA2774" s="93" t="s">
        <v>22668</v>
      </c>
      <c r="BB2774" s="93" t="s">
        <v>22668</v>
      </c>
      <c r="BC2774" s="93" t="s">
        <v>20935</v>
      </c>
      <c r="BD2774" s="93" t="s">
        <v>23269</v>
      </c>
      <c r="BE2774" s="87"/>
      <c r="BF2774" s="87"/>
      <c r="BG2774" s="87"/>
      <c r="BH2774" s="87"/>
      <c r="BI2774" s="87"/>
    </row>
    <row r="2775" spans="1:61" x14ac:dyDescent="0.25">
      <c r="A2775" s="63" t="s">
        <v>1058</v>
      </c>
      <c r="B2775" s="63" t="s">
        <v>1058</v>
      </c>
      <c r="C2775" s="64"/>
      <c r="D2775" s="65"/>
      <c r="E2775" s="66"/>
      <c r="F2775" s="67"/>
      <c r="G2775" s="64"/>
      <c r="H2775" s="68"/>
      <c r="I2775" s="69"/>
      <c r="J2775" s="69"/>
      <c r="K2775" s="32"/>
      <c r="L2775" s="76">
        <v>2775</v>
      </c>
      <c r="M2775" s="76"/>
      <c r="N2775" s="71"/>
      <c r="O2775" s="87" t="s">
        <v>179</v>
      </c>
      <c r="P2775" s="90">
        <v>45163.936412037037</v>
      </c>
      <c r="Q2775" s="87" t="s">
        <v>4492</v>
      </c>
      <c r="R2775" s="87">
        <v>0</v>
      </c>
      <c r="S2775" s="87">
        <v>0</v>
      </c>
      <c r="T2775" s="87">
        <v>0</v>
      </c>
      <c r="U2775" s="87">
        <v>0</v>
      </c>
      <c r="V2775" s="87">
        <v>26</v>
      </c>
      <c r="W2775" s="93" t="s">
        <v>7424</v>
      </c>
      <c r="X2775" s="87"/>
      <c r="Y2775" s="87"/>
      <c r="Z2775" s="87"/>
      <c r="AA2775" s="87" t="s">
        <v>10506</v>
      </c>
      <c r="AB2775" s="87" t="s">
        <v>11448</v>
      </c>
      <c r="AC2775" s="93" t="s">
        <v>11457</v>
      </c>
      <c r="AD2775" s="87" t="s">
        <v>11519</v>
      </c>
      <c r="AE2775" s="92" t="str">
        <f>HYPERLINK("https://twitter.com/serraempauta/status/1695201496248328375")</f>
        <v>https://twitter.com/serraempauta/status/1695201496248328375</v>
      </c>
      <c r="AF2775" s="90">
        <v>45163.936412037037</v>
      </c>
      <c r="AG2775" s="99">
        <v>45163</v>
      </c>
      <c r="AH2775" s="93" t="s">
        <v>14017</v>
      </c>
      <c r="AI2775" s="87" t="b">
        <v>0</v>
      </c>
      <c r="AJ2775" s="87"/>
      <c r="AK2775" s="87"/>
      <c r="AL2775" s="87"/>
      <c r="AM2775" s="87"/>
      <c r="AN2775" s="87"/>
      <c r="AO2775" s="87"/>
      <c r="AP2775" s="87"/>
      <c r="AQ2775" s="87" t="s">
        <v>17318</v>
      </c>
      <c r="AR2775" s="87"/>
      <c r="AS2775" s="87"/>
      <c r="AT2775" s="87"/>
      <c r="AU2775" s="87"/>
      <c r="AV2775" s="92" t="str">
        <f>HYPERLINK("https://pbs.twimg.com/media/F4aQvc_W8AAI6Qz.jpg")</f>
        <v>https://pbs.twimg.com/media/F4aQvc_W8AAI6Qz.jpg</v>
      </c>
      <c r="AW2775" s="93" t="s">
        <v>20936</v>
      </c>
      <c r="AX2775" s="93" t="s">
        <v>20936</v>
      </c>
      <c r="AY2775" s="87"/>
      <c r="AZ2775" s="93" t="s">
        <v>22668</v>
      </c>
      <c r="BA2775" s="93" t="s">
        <v>22668</v>
      </c>
      <c r="BB2775" s="93" t="s">
        <v>22668</v>
      </c>
      <c r="BC2775" s="93" t="s">
        <v>20936</v>
      </c>
      <c r="BD2775" s="93" t="s">
        <v>23269</v>
      </c>
      <c r="BE2775" s="87"/>
      <c r="BF2775" s="87"/>
      <c r="BG2775" s="87"/>
      <c r="BH2775" s="87"/>
      <c r="BI2775" s="87"/>
    </row>
    <row r="2776" spans="1:61" x14ac:dyDescent="0.25">
      <c r="A2776" s="63" t="s">
        <v>1058</v>
      </c>
      <c r="B2776" s="63" t="s">
        <v>1058</v>
      </c>
      <c r="C2776" s="64"/>
      <c r="D2776" s="65"/>
      <c r="E2776" s="66"/>
      <c r="F2776" s="67"/>
      <c r="G2776" s="64"/>
      <c r="H2776" s="68"/>
      <c r="I2776" s="69"/>
      <c r="J2776" s="69"/>
      <c r="K2776" s="32"/>
      <c r="L2776" s="76">
        <v>2776</v>
      </c>
      <c r="M2776" s="76"/>
      <c r="N2776" s="71"/>
      <c r="O2776" s="87" t="s">
        <v>179</v>
      </c>
      <c r="P2776" s="90">
        <v>45163.912361111114</v>
      </c>
      <c r="Q2776" s="87" t="s">
        <v>4493</v>
      </c>
      <c r="R2776" s="87">
        <v>0</v>
      </c>
      <c r="S2776" s="87">
        <v>1</v>
      </c>
      <c r="T2776" s="87">
        <v>0</v>
      </c>
      <c r="U2776" s="87">
        <v>0</v>
      </c>
      <c r="V2776" s="87">
        <v>124</v>
      </c>
      <c r="W2776" s="93" t="s">
        <v>7424</v>
      </c>
      <c r="X2776" s="87"/>
      <c r="Y2776" s="87"/>
      <c r="Z2776" s="87"/>
      <c r="AA2776" s="87" t="s">
        <v>10507</v>
      </c>
      <c r="AB2776" s="87" t="s">
        <v>11448</v>
      </c>
      <c r="AC2776" s="93" t="s">
        <v>11457</v>
      </c>
      <c r="AD2776" s="87" t="s">
        <v>11519</v>
      </c>
      <c r="AE2776" s="92" t="str">
        <f>HYPERLINK("https://twitter.com/serraempauta/status/1695192781201838553")</f>
        <v>https://twitter.com/serraempauta/status/1695192781201838553</v>
      </c>
      <c r="AF2776" s="90">
        <v>45163.912361111114</v>
      </c>
      <c r="AG2776" s="99">
        <v>45163</v>
      </c>
      <c r="AH2776" s="93" t="s">
        <v>14018</v>
      </c>
      <c r="AI2776" s="87" t="b">
        <v>0</v>
      </c>
      <c r="AJ2776" s="87"/>
      <c r="AK2776" s="87"/>
      <c r="AL2776" s="87"/>
      <c r="AM2776" s="87"/>
      <c r="AN2776" s="87"/>
      <c r="AO2776" s="87"/>
      <c r="AP2776" s="87"/>
      <c r="AQ2776" s="87" t="s">
        <v>17319</v>
      </c>
      <c r="AR2776" s="87"/>
      <c r="AS2776" s="87"/>
      <c r="AT2776" s="87"/>
      <c r="AU2776" s="87"/>
      <c r="AV2776" s="92" t="str">
        <f>HYPERLINK("https://pbs.twimg.com/media/F4aI2G4WcAAkjiY.jpg")</f>
        <v>https://pbs.twimg.com/media/F4aI2G4WcAAkjiY.jpg</v>
      </c>
      <c r="AW2776" s="93" t="s">
        <v>20937</v>
      </c>
      <c r="AX2776" s="93" t="s">
        <v>20937</v>
      </c>
      <c r="AY2776" s="87"/>
      <c r="AZ2776" s="93" t="s">
        <v>22668</v>
      </c>
      <c r="BA2776" s="93" t="s">
        <v>22668</v>
      </c>
      <c r="BB2776" s="93" t="s">
        <v>22668</v>
      </c>
      <c r="BC2776" s="93" t="s">
        <v>20937</v>
      </c>
      <c r="BD2776" s="93" t="s">
        <v>23269</v>
      </c>
      <c r="BE2776" s="87"/>
      <c r="BF2776" s="87"/>
      <c r="BG2776" s="87"/>
      <c r="BH2776" s="87"/>
      <c r="BI2776" s="87"/>
    </row>
    <row r="2777" spans="1:61" x14ac:dyDescent="0.25">
      <c r="A2777" s="63" t="s">
        <v>1058</v>
      </c>
      <c r="B2777" s="63" t="s">
        <v>1058</v>
      </c>
      <c r="C2777" s="64"/>
      <c r="D2777" s="65"/>
      <c r="E2777" s="66"/>
      <c r="F2777" s="67"/>
      <c r="G2777" s="64"/>
      <c r="H2777" s="68"/>
      <c r="I2777" s="69"/>
      <c r="J2777" s="69"/>
      <c r="K2777" s="32"/>
      <c r="L2777" s="76">
        <v>2777</v>
      </c>
      <c r="M2777" s="76"/>
      <c r="N2777" s="71"/>
      <c r="O2777" s="87" t="s">
        <v>179</v>
      </c>
      <c r="P2777" s="90">
        <v>45163.883020833331</v>
      </c>
      <c r="Q2777" s="87" t="s">
        <v>4494</v>
      </c>
      <c r="R2777" s="87">
        <v>0</v>
      </c>
      <c r="S2777" s="87">
        <v>0</v>
      </c>
      <c r="T2777" s="87">
        <v>0</v>
      </c>
      <c r="U2777" s="87">
        <v>0</v>
      </c>
      <c r="V2777" s="87">
        <v>213</v>
      </c>
      <c r="W2777" s="93" t="s">
        <v>7424</v>
      </c>
      <c r="X2777" s="87"/>
      <c r="Y2777" s="87"/>
      <c r="Z2777" s="87"/>
      <c r="AA2777" s="87" t="s">
        <v>10508</v>
      </c>
      <c r="AB2777" s="87" t="s">
        <v>11448</v>
      </c>
      <c r="AC2777" s="93" t="s">
        <v>11457</v>
      </c>
      <c r="AD2777" s="87" t="s">
        <v>11519</v>
      </c>
      <c r="AE2777" s="92" t="str">
        <f>HYPERLINK("https://twitter.com/serraempauta/status/1695182145151549511")</f>
        <v>https://twitter.com/serraempauta/status/1695182145151549511</v>
      </c>
      <c r="AF2777" s="90">
        <v>45163.883020833331</v>
      </c>
      <c r="AG2777" s="99">
        <v>45163</v>
      </c>
      <c r="AH2777" s="93" t="s">
        <v>14019</v>
      </c>
      <c r="AI2777" s="87" t="b">
        <v>0</v>
      </c>
      <c r="AJ2777" s="87"/>
      <c r="AK2777" s="87"/>
      <c r="AL2777" s="87"/>
      <c r="AM2777" s="87"/>
      <c r="AN2777" s="87"/>
      <c r="AO2777" s="87"/>
      <c r="AP2777" s="87"/>
      <c r="AQ2777" s="87" t="s">
        <v>17320</v>
      </c>
      <c r="AR2777" s="87"/>
      <c r="AS2777" s="87"/>
      <c r="AT2777" s="87"/>
      <c r="AU2777" s="87"/>
      <c r="AV2777" s="92" t="str">
        <f>HYPERLINK("https://pbs.twimg.com/media/F4Z_K6gXIAARz4m.jpg")</f>
        <v>https://pbs.twimg.com/media/F4Z_K6gXIAARz4m.jpg</v>
      </c>
      <c r="AW2777" s="93" t="s">
        <v>20938</v>
      </c>
      <c r="AX2777" s="93" t="s">
        <v>20938</v>
      </c>
      <c r="AY2777" s="87"/>
      <c r="AZ2777" s="93" t="s">
        <v>22668</v>
      </c>
      <c r="BA2777" s="93" t="s">
        <v>22668</v>
      </c>
      <c r="BB2777" s="93" t="s">
        <v>22668</v>
      </c>
      <c r="BC2777" s="93" t="s">
        <v>20938</v>
      </c>
      <c r="BD2777" s="93" t="s">
        <v>23269</v>
      </c>
      <c r="BE2777" s="87"/>
      <c r="BF2777" s="87"/>
      <c r="BG2777" s="87"/>
      <c r="BH2777" s="87"/>
      <c r="BI2777" s="87"/>
    </row>
    <row r="2778" spans="1:61" x14ac:dyDescent="0.25">
      <c r="A2778" s="63" t="s">
        <v>1058</v>
      </c>
      <c r="B2778" s="63" t="s">
        <v>1058</v>
      </c>
      <c r="C2778" s="64"/>
      <c r="D2778" s="65"/>
      <c r="E2778" s="66"/>
      <c r="F2778" s="67"/>
      <c r="G2778" s="64"/>
      <c r="H2778" s="68"/>
      <c r="I2778" s="69"/>
      <c r="J2778" s="69"/>
      <c r="K2778" s="32"/>
      <c r="L2778" s="76">
        <v>2778</v>
      </c>
      <c r="M2778" s="76"/>
      <c r="N2778" s="71"/>
      <c r="O2778" s="87" t="s">
        <v>179</v>
      </c>
      <c r="P2778" s="90">
        <v>45152.512997685182</v>
      </c>
      <c r="Q2778" s="87" t="s">
        <v>4495</v>
      </c>
      <c r="R2778" s="87">
        <v>0</v>
      </c>
      <c r="S2778" s="87">
        <v>0</v>
      </c>
      <c r="T2778" s="87">
        <v>0</v>
      </c>
      <c r="U2778" s="87">
        <v>0</v>
      </c>
      <c r="V2778" s="87">
        <v>45</v>
      </c>
      <c r="W2778" s="93" t="s">
        <v>7424</v>
      </c>
      <c r="X2778" s="87"/>
      <c r="Y2778" s="87"/>
      <c r="Z2778" s="87"/>
      <c r="AA2778" s="87" t="s">
        <v>10509</v>
      </c>
      <c r="AB2778" s="87" t="s">
        <v>11448</v>
      </c>
      <c r="AC2778" s="93" t="s">
        <v>11457</v>
      </c>
      <c r="AD2778" s="87" t="s">
        <v>11519</v>
      </c>
      <c r="AE2778" s="92" t="str">
        <f>HYPERLINK("https://twitter.com/serraempauta/status/1691061787053998080")</f>
        <v>https://twitter.com/serraempauta/status/1691061787053998080</v>
      </c>
      <c r="AF2778" s="90">
        <v>45152.512997685182</v>
      </c>
      <c r="AG2778" s="99">
        <v>45152</v>
      </c>
      <c r="AH2778" s="93" t="s">
        <v>14020</v>
      </c>
      <c r="AI2778" s="87" t="b">
        <v>0</v>
      </c>
      <c r="AJ2778" s="87"/>
      <c r="AK2778" s="87"/>
      <c r="AL2778" s="87"/>
      <c r="AM2778" s="87"/>
      <c r="AN2778" s="87"/>
      <c r="AO2778" s="87"/>
      <c r="AP2778" s="87"/>
      <c r="AQ2778" s="87" t="s">
        <v>17321</v>
      </c>
      <c r="AR2778" s="87"/>
      <c r="AS2778" s="87"/>
      <c r="AT2778" s="87"/>
      <c r="AU2778" s="87"/>
      <c r="AV2778" s="92" t="str">
        <f>HYPERLINK("https://pbs.twimg.com/media/F3fbuPgWsAA1oRS.jpg")</f>
        <v>https://pbs.twimg.com/media/F3fbuPgWsAA1oRS.jpg</v>
      </c>
      <c r="AW2778" s="93" t="s">
        <v>20939</v>
      </c>
      <c r="AX2778" s="93" t="s">
        <v>20939</v>
      </c>
      <c r="AY2778" s="87"/>
      <c r="AZ2778" s="93" t="s">
        <v>22668</v>
      </c>
      <c r="BA2778" s="93" t="s">
        <v>22668</v>
      </c>
      <c r="BB2778" s="93" t="s">
        <v>22668</v>
      </c>
      <c r="BC2778" s="93" t="s">
        <v>20939</v>
      </c>
      <c r="BD2778" s="93" t="s">
        <v>23269</v>
      </c>
      <c r="BE2778" s="87"/>
      <c r="BF2778" s="87"/>
      <c r="BG2778" s="87"/>
      <c r="BH2778" s="87"/>
      <c r="BI2778" s="87"/>
    </row>
    <row r="2779" spans="1:61" x14ac:dyDescent="0.25">
      <c r="A2779" s="63" t="s">
        <v>1058</v>
      </c>
      <c r="B2779" s="63" t="s">
        <v>1058</v>
      </c>
      <c r="C2779" s="64"/>
      <c r="D2779" s="65"/>
      <c r="E2779" s="66"/>
      <c r="F2779" s="67"/>
      <c r="G2779" s="64"/>
      <c r="H2779" s="68"/>
      <c r="I2779" s="69"/>
      <c r="J2779" s="69"/>
      <c r="K2779" s="32"/>
      <c r="L2779" s="76">
        <v>2779</v>
      </c>
      <c r="M2779" s="76"/>
      <c r="N2779" s="71"/>
      <c r="O2779" s="87" t="s">
        <v>179</v>
      </c>
      <c r="P2779" s="90">
        <v>45152.0546875</v>
      </c>
      <c r="Q2779" s="87" t="s">
        <v>4496</v>
      </c>
      <c r="R2779" s="87">
        <v>0</v>
      </c>
      <c r="S2779" s="87">
        <v>0</v>
      </c>
      <c r="T2779" s="87">
        <v>0</v>
      </c>
      <c r="U2779" s="87">
        <v>0</v>
      </c>
      <c r="V2779" s="87">
        <v>64</v>
      </c>
      <c r="W2779" s="93" t="s">
        <v>7424</v>
      </c>
      <c r="X2779" s="87"/>
      <c r="Y2779" s="87"/>
      <c r="Z2779" s="87"/>
      <c r="AA2779" s="87" t="s">
        <v>10510</v>
      </c>
      <c r="AB2779" s="87" t="s">
        <v>11448</v>
      </c>
      <c r="AC2779" s="93" t="s">
        <v>11457</v>
      </c>
      <c r="AD2779" s="87" t="s">
        <v>11519</v>
      </c>
      <c r="AE2779" s="92" t="str">
        <f>HYPERLINK("https://twitter.com/serraempauta/status/1690895703147692032")</f>
        <v>https://twitter.com/serraempauta/status/1690895703147692032</v>
      </c>
      <c r="AF2779" s="90">
        <v>45152.0546875</v>
      </c>
      <c r="AG2779" s="99">
        <v>45152</v>
      </c>
      <c r="AH2779" s="93" t="s">
        <v>14021</v>
      </c>
      <c r="AI2779" s="87" t="b">
        <v>0</v>
      </c>
      <c r="AJ2779" s="87"/>
      <c r="AK2779" s="87"/>
      <c r="AL2779" s="87"/>
      <c r="AM2779" s="87"/>
      <c r="AN2779" s="87"/>
      <c r="AO2779" s="87"/>
      <c r="AP2779" s="87"/>
      <c r="AQ2779" s="87" t="s">
        <v>17322</v>
      </c>
      <c r="AR2779" s="87"/>
      <c r="AS2779" s="87"/>
      <c r="AT2779" s="87"/>
      <c r="AU2779" s="87"/>
      <c r="AV2779" s="92" t="str">
        <f>HYPERLINK("https://pbs.twimg.com/media/F3dErJmWQAAIYu8.jpg")</f>
        <v>https://pbs.twimg.com/media/F3dErJmWQAAIYu8.jpg</v>
      </c>
      <c r="AW2779" s="93" t="s">
        <v>20940</v>
      </c>
      <c r="AX2779" s="93" t="s">
        <v>20940</v>
      </c>
      <c r="AY2779" s="87"/>
      <c r="AZ2779" s="93" t="s">
        <v>22668</v>
      </c>
      <c r="BA2779" s="93" t="s">
        <v>22668</v>
      </c>
      <c r="BB2779" s="93" t="s">
        <v>22668</v>
      </c>
      <c r="BC2779" s="93" t="s">
        <v>20940</v>
      </c>
      <c r="BD2779" s="93" t="s">
        <v>23269</v>
      </c>
      <c r="BE2779" s="87"/>
      <c r="BF2779" s="87"/>
      <c r="BG2779" s="87"/>
      <c r="BH2779" s="87"/>
      <c r="BI2779" s="87"/>
    </row>
    <row r="2780" spans="1:61" x14ac:dyDescent="0.25">
      <c r="A2780" s="63" t="s">
        <v>1058</v>
      </c>
      <c r="B2780" s="63" t="s">
        <v>1058</v>
      </c>
      <c r="C2780" s="64"/>
      <c r="D2780" s="65"/>
      <c r="E2780" s="66"/>
      <c r="F2780" s="67"/>
      <c r="G2780" s="64"/>
      <c r="H2780" s="68"/>
      <c r="I2780" s="69"/>
      <c r="J2780" s="69"/>
      <c r="K2780" s="32"/>
      <c r="L2780" s="76">
        <v>2780</v>
      </c>
      <c r="M2780" s="76"/>
      <c r="N2780" s="71"/>
      <c r="O2780" s="87" t="s">
        <v>179</v>
      </c>
      <c r="P2780" s="90">
        <v>45151.910509259258</v>
      </c>
      <c r="Q2780" s="87" t="s">
        <v>4497</v>
      </c>
      <c r="R2780" s="87">
        <v>0</v>
      </c>
      <c r="S2780" s="87">
        <v>0</v>
      </c>
      <c r="T2780" s="87">
        <v>0</v>
      </c>
      <c r="U2780" s="87">
        <v>0</v>
      </c>
      <c r="V2780" s="87">
        <v>40</v>
      </c>
      <c r="W2780" s="93" t="s">
        <v>7424</v>
      </c>
      <c r="X2780" s="87"/>
      <c r="Y2780" s="87"/>
      <c r="Z2780" s="87"/>
      <c r="AA2780" s="87" t="s">
        <v>10511</v>
      </c>
      <c r="AB2780" s="87" t="s">
        <v>11448</v>
      </c>
      <c r="AC2780" s="93" t="s">
        <v>11457</v>
      </c>
      <c r="AD2780" s="87" t="s">
        <v>11519</v>
      </c>
      <c r="AE2780" s="92" t="str">
        <f>HYPERLINK("https://twitter.com/serraempauta/status/1690843453117100032")</f>
        <v>https://twitter.com/serraempauta/status/1690843453117100032</v>
      </c>
      <c r="AF2780" s="90">
        <v>45151.910509259258</v>
      </c>
      <c r="AG2780" s="99">
        <v>45151</v>
      </c>
      <c r="AH2780" s="93" t="s">
        <v>14022</v>
      </c>
      <c r="AI2780" s="87" t="b">
        <v>0</v>
      </c>
      <c r="AJ2780" s="87"/>
      <c r="AK2780" s="87"/>
      <c r="AL2780" s="87"/>
      <c r="AM2780" s="87"/>
      <c r="AN2780" s="87"/>
      <c r="AO2780" s="87"/>
      <c r="AP2780" s="87"/>
      <c r="AQ2780" s="87" t="s">
        <v>17323</v>
      </c>
      <c r="AR2780" s="87"/>
      <c r="AS2780" s="87"/>
      <c r="AT2780" s="87"/>
      <c r="AU2780" s="87"/>
      <c r="AV2780" s="92" t="str">
        <f>HYPERLINK("https://pbs.twimg.com/media/F3cVJh1WQAUEPLe.jpg")</f>
        <v>https://pbs.twimg.com/media/F3cVJh1WQAUEPLe.jpg</v>
      </c>
      <c r="AW2780" s="93" t="s">
        <v>20941</v>
      </c>
      <c r="AX2780" s="93" t="s">
        <v>20941</v>
      </c>
      <c r="AY2780" s="87"/>
      <c r="AZ2780" s="93" t="s">
        <v>22668</v>
      </c>
      <c r="BA2780" s="93" t="s">
        <v>22668</v>
      </c>
      <c r="BB2780" s="93" t="s">
        <v>22668</v>
      </c>
      <c r="BC2780" s="93" t="s">
        <v>20941</v>
      </c>
      <c r="BD2780" s="93" t="s">
        <v>23269</v>
      </c>
      <c r="BE2780" s="87"/>
      <c r="BF2780" s="87"/>
      <c r="BG2780" s="87"/>
      <c r="BH2780" s="87"/>
      <c r="BI2780" s="87"/>
    </row>
    <row r="2781" spans="1:61" x14ac:dyDescent="0.25">
      <c r="A2781" s="63" t="s">
        <v>1058</v>
      </c>
      <c r="B2781" s="63" t="s">
        <v>1058</v>
      </c>
      <c r="C2781" s="64"/>
      <c r="D2781" s="65"/>
      <c r="E2781" s="66"/>
      <c r="F2781" s="67"/>
      <c r="G2781" s="64"/>
      <c r="H2781" s="68"/>
      <c r="I2781" s="69"/>
      <c r="J2781" s="69"/>
      <c r="K2781" s="32"/>
      <c r="L2781" s="76">
        <v>2781</v>
      </c>
      <c r="M2781" s="76"/>
      <c r="N2781" s="71"/>
      <c r="O2781" s="87" t="s">
        <v>179</v>
      </c>
      <c r="P2781" s="90">
        <v>45150.961435185185</v>
      </c>
      <c r="Q2781" s="87" t="s">
        <v>4498</v>
      </c>
      <c r="R2781" s="87">
        <v>1</v>
      </c>
      <c r="S2781" s="87">
        <v>1</v>
      </c>
      <c r="T2781" s="87">
        <v>0</v>
      </c>
      <c r="U2781" s="87">
        <v>0</v>
      </c>
      <c r="V2781" s="87">
        <v>62</v>
      </c>
      <c r="W2781" s="93" t="s">
        <v>7424</v>
      </c>
      <c r="X2781" s="87"/>
      <c r="Y2781" s="87"/>
      <c r="Z2781" s="87"/>
      <c r="AA2781" s="87" t="s">
        <v>10512</v>
      </c>
      <c r="AB2781" s="87" t="s">
        <v>11448</v>
      </c>
      <c r="AC2781" s="93" t="s">
        <v>11457</v>
      </c>
      <c r="AD2781" s="87" t="s">
        <v>11519</v>
      </c>
      <c r="AE2781" s="92" t="str">
        <f>HYPERLINK("https://twitter.com/serraempauta/status/1690499519828398081")</f>
        <v>https://twitter.com/serraempauta/status/1690499519828398081</v>
      </c>
      <c r="AF2781" s="90">
        <v>45150.961435185185</v>
      </c>
      <c r="AG2781" s="99">
        <v>45150</v>
      </c>
      <c r="AH2781" s="93" t="s">
        <v>14023</v>
      </c>
      <c r="AI2781" s="87" t="b">
        <v>0</v>
      </c>
      <c r="AJ2781" s="87"/>
      <c r="AK2781" s="87"/>
      <c r="AL2781" s="87"/>
      <c r="AM2781" s="87"/>
      <c r="AN2781" s="87"/>
      <c r="AO2781" s="87"/>
      <c r="AP2781" s="87"/>
      <c r="AQ2781" s="87" t="s">
        <v>17324</v>
      </c>
      <c r="AR2781" s="87"/>
      <c r="AS2781" s="87"/>
      <c r="AT2781" s="87"/>
      <c r="AU2781" s="87"/>
      <c r="AV2781" s="92" t="str">
        <f>HYPERLINK("https://pbs.twimg.com/media/F3XcV_lWMAA6lkV.jpg")</f>
        <v>https://pbs.twimg.com/media/F3XcV_lWMAA6lkV.jpg</v>
      </c>
      <c r="AW2781" s="93" t="s">
        <v>20942</v>
      </c>
      <c r="AX2781" s="93" t="s">
        <v>20942</v>
      </c>
      <c r="AY2781" s="87"/>
      <c r="AZ2781" s="93" t="s">
        <v>22668</v>
      </c>
      <c r="BA2781" s="93" t="s">
        <v>22668</v>
      </c>
      <c r="BB2781" s="93" t="s">
        <v>22668</v>
      </c>
      <c r="BC2781" s="93" t="s">
        <v>20942</v>
      </c>
      <c r="BD2781" s="93" t="s">
        <v>23269</v>
      </c>
      <c r="BE2781" s="87"/>
      <c r="BF2781" s="87"/>
      <c r="BG2781" s="87"/>
      <c r="BH2781" s="87"/>
      <c r="BI2781" s="87"/>
    </row>
    <row r="2782" spans="1:61" x14ac:dyDescent="0.25">
      <c r="A2782" s="63" t="s">
        <v>1058</v>
      </c>
      <c r="B2782" s="63" t="s">
        <v>1058</v>
      </c>
      <c r="C2782" s="64"/>
      <c r="D2782" s="65"/>
      <c r="E2782" s="66"/>
      <c r="F2782" s="67"/>
      <c r="G2782" s="64"/>
      <c r="H2782" s="68"/>
      <c r="I2782" s="69"/>
      <c r="J2782" s="69"/>
      <c r="K2782" s="32"/>
      <c r="L2782" s="76">
        <v>2782</v>
      </c>
      <c r="M2782" s="76"/>
      <c r="N2782" s="71"/>
      <c r="O2782" s="87" t="s">
        <v>179</v>
      </c>
      <c r="P2782" s="90">
        <v>45150.9296412037</v>
      </c>
      <c r="Q2782" s="87" t="s">
        <v>4499</v>
      </c>
      <c r="R2782" s="87">
        <v>0</v>
      </c>
      <c r="S2782" s="87">
        <v>0</v>
      </c>
      <c r="T2782" s="87">
        <v>0</v>
      </c>
      <c r="U2782" s="87">
        <v>0</v>
      </c>
      <c r="V2782" s="87">
        <v>32</v>
      </c>
      <c r="W2782" s="93" t="s">
        <v>7424</v>
      </c>
      <c r="X2782" s="87"/>
      <c r="Y2782" s="87"/>
      <c r="Z2782" s="87"/>
      <c r="AA2782" s="87" t="s">
        <v>10513</v>
      </c>
      <c r="AB2782" s="87" t="s">
        <v>11448</v>
      </c>
      <c r="AC2782" s="93" t="s">
        <v>11457</v>
      </c>
      <c r="AD2782" s="87" t="s">
        <v>11519</v>
      </c>
      <c r="AE2782" s="92" t="str">
        <f>HYPERLINK("https://twitter.com/serraempauta/status/1690488001246240768")</f>
        <v>https://twitter.com/serraempauta/status/1690488001246240768</v>
      </c>
      <c r="AF2782" s="90">
        <v>45150.9296412037</v>
      </c>
      <c r="AG2782" s="99">
        <v>45150</v>
      </c>
      <c r="AH2782" s="93" t="s">
        <v>14024</v>
      </c>
      <c r="AI2782" s="87" t="b">
        <v>0</v>
      </c>
      <c r="AJ2782" s="87"/>
      <c r="AK2782" s="87"/>
      <c r="AL2782" s="87"/>
      <c r="AM2782" s="87"/>
      <c r="AN2782" s="87"/>
      <c r="AO2782" s="87"/>
      <c r="AP2782" s="87"/>
      <c r="AQ2782" s="87" t="s">
        <v>17325</v>
      </c>
      <c r="AR2782" s="87"/>
      <c r="AS2782" s="87"/>
      <c r="AT2782" s="87"/>
      <c r="AU2782" s="87"/>
      <c r="AV2782" s="92" t="str">
        <f>HYPERLINK("https://pbs.twimg.com/media/F3XR307WkAAASX8.jpg")</f>
        <v>https://pbs.twimg.com/media/F3XR307WkAAASX8.jpg</v>
      </c>
      <c r="AW2782" s="93" t="s">
        <v>20943</v>
      </c>
      <c r="AX2782" s="93" t="s">
        <v>20943</v>
      </c>
      <c r="AY2782" s="87"/>
      <c r="AZ2782" s="93" t="s">
        <v>22668</v>
      </c>
      <c r="BA2782" s="93" t="s">
        <v>22668</v>
      </c>
      <c r="BB2782" s="93" t="s">
        <v>22668</v>
      </c>
      <c r="BC2782" s="93" t="s">
        <v>20943</v>
      </c>
      <c r="BD2782" s="93" t="s">
        <v>23269</v>
      </c>
      <c r="BE2782" s="87"/>
      <c r="BF2782" s="87"/>
      <c r="BG2782" s="87"/>
      <c r="BH2782" s="87"/>
      <c r="BI2782" s="87"/>
    </row>
    <row r="2783" spans="1:61" x14ac:dyDescent="0.25">
      <c r="A2783" s="63" t="s">
        <v>1058</v>
      </c>
      <c r="B2783" s="63" t="s">
        <v>1058</v>
      </c>
      <c r="C2783" s="64"/>
      <c r="D2783" s="65"/>
      <c r="E2783" s="66"/>
      <c r="F2783" s="67"/>
      <c r="G2783" s="64"/>
      <c r="H2783" s="68"/>
      <c r="I2783" s="69"/>
      <c r="J2783" s="69"/>
      <c r="K2783" s="32"/>
      <c r="L2783" s="76">
        <v>2783</v>
      </c>
      <c r="M2783" s="76"/>
      <c r="N2783" s="71"/>
      <c r="O2783" s="87" t="s">
        <v>179</v>
      </c>
      <c r="P2783" s="90">
        <v>45150.614710648151</v>
      </c>
      <c r="Q2783" s="87" t="s">
        <v>4500</v>
      </c>
      <c r="R2783" s="87">
        <v>0</v>
      </c>
      <c r="S2783" s="87">
        <v>0</v>
      </c>
      <c r="T2783" s="87">
        <v>0</v>
      </c>
      <c r="U2783" s="87">
        <v>0</v>
      </c>
      <c r="V2783" s="87">
        <v>35</v>
      </c>
      <c r="W2783" s="93" t="s">
        <v>7424</v>
      </c>
      <c r="X2783" s="87"/>
      <c r="Y2783" s="87"/>
      <c r="Z2783" s="87"/>
      <c r="AA2783" s="87" t="s">
        <v>10514</v>
      </c>
      <c r="AB2783" s="87" t="s">
        <v>11448</v>
      </c>
      <c r="AC2783" s="93" t="s">
        <v>11457</v>
      </c>
      <c r="AD2783" s="87" t="s">
        <v>11519</v>
      </c>
      <c r="AE2783" s="92" t="str">
        <f>HYPERLINK("https://twitter.com/serraempauta/status/1690373873164779520")</f>
        <v>https://twitter.com/serraempauta/status/1690373873164779520</v>
      </c>
      <c r="AF2783" s="90">
        <v>45150.614710648151</v>
      </c>
      <c r="AG2783" s="99">
        <v>45150</v>
      </c>
      <c r="AH2783" s="93" t="s">
        <v>14025</v>
      </c>
      <c r="AI2783" s="87" t="b">
        <v>0</v>
      </c>
      <c r="AJ2783" s="87"/>
      <c r="AK2783" s="87"/>
      <c r="AL2783" s="87"/>
      <c r="AM2783" s="87"/>
      <c r="AN2783" s="87"/>
      <c r="AO2783" s="87"/>
      <c r="AP2783" s="87"/>
      <c r="AQ2783" s="87" t="s">
        <v>17326</v>
      </c>
      <c r="AR2783" s="87"/>
      <c r="AS2783" s="87"/>
      <c r="AT2783" s="87"/>
      <c r="AU2783" s="87"/>
      <c r="AV2783" s="92" t="str">
        <f>HYPERLINK("https://pbs.twimg.com/media/F3VqEv9XMAAX2z1.jpg")</f>
        <v>https://pbs.twimg.com/media/F3VqEv9XMAAX2z1.jpg</v>
      </c>
      <c r="AW2783" s="93" t="s">
        <v>20944</v>
      </c>
      <c r="AX2783" s="93" t="s">
        <v>20944</v>
      </c>
      <c r="AY2783" s="87"/>
      <c r="AZ2783" s="93" t="s">
        <v>22668</v>
      </c>
      <c r="BA2783" s="93" t="s">
        <v>22668</v>
      </c>
      <c r="BB2783" s="93" t="s">
        <v>22668</v>
      </c>
      <c r="BC2783" s="93" t="s">
        <v>20944</v>
      </c>
      <c r="BD2783" s="93" t="s">
        <v>23269</v>
      </c>
      <c r="BE2783" s="87"/>
      <c r="BF2783" s="87"/>
      <c r="BG2783" s="87"/>
      <c r="BH2783" s="87"/>
      <c r="BI2783" s="87"/>
    </row>
    <row r="2784" spans="1:61" x14ac:dyDescent="0.25">
      <c r="A2784" s="63" t="s">
        <v>1058</v>
      </c>
      <c r="B2784" s="63" t="s">
        <v>1058</v>
      </c>
      <c r="C2784" s="64"/>
      <c r="D2784" s="65"/>
      <c r="E2784" s="66"/>
      <c r="F2784" s="67"/>
      <c r="G2784" s="64"/>
      <c r="H2784" s="68"/>
      <c r="I2784" s="69"/>
      <c r="J2784" s="69"/>
      <c r="K2784" s="32"/>
      <c r="L2784" s="76">
        <v>2784</v>
      </c>
      <c r="M2784" s="76"/>
      <c r="N2784" s="71"/>
      <c r="O2784" s="87" t="s">
        <v>179</v>
      </c>
      <c r="P2784" s="90">
        <v>45138.857835648145</v>
      </c>
      <c r="Q2784" s="87" t="s">
        <v>4501</v>
      </c>
      <c r="R2784" s="87">
        <v>0</v>
      </c>
      <c r="S2784" s="87">
        <v>0</v>
      </c>
      <c r="T2784" s="87">
        <v>0</v>
      </c>
      <c r="U2784" s="87">
        <v>0</v>
      </c>
      <c r="V2784" s="87">
        <v>43</v>
      </c>
      <c r="W2784" s="93" t="s">
        <v>7424</v>
      </c>
      <c r="X2784" s="87"/>
      <c r="Y2784" s="87"/>
      <c r="Z2784" s="87"/>
      <c r="AA2784" s="87" t="s">
        <v>10515</v>
      </c>
      <c r="AB2784" s="87" t="s">
        <v>11448</v>
      </c>
      <c r="AC2784" s="93" t="s">
        <v>11457</v>
      </c>
      <c r="AD2784" s="87" t="s">
        <v>11519</v>
      </c>
      <c r="AE2784" s="92" t="str">
        <f>HYPERLINK("https://twitter.com/serraempauta/status/1686113323857719296")</f>
        <v>https://twitter.com/serraempauta/status/1686113323857719296</v>
      </c>
      <c r="AF2784" s="90">
        <v>45138.857835648145</v>
      </c>
      <c r="AG2784" s="99">
        <v>45138</v>
      </c>
      <c r="AH2784" s="93" t="s">
        <v>14026</v>
      </c>
      <c r="AI2784" s="87" t="b">
        <v>0</v>
      </c>
      <c r="AJ2784" s="87"/>
      <c r="AK2784" s="87"/>
      <c r="AL2784" s="87"/>
      <c r="AM2784" s="87"/>
      <c r="AN2784" s="87"/>
      <c r="AO2784" s="87"/>
      <c r="AP2784" s="87"/>
      <c r="AQ2784" s="87" t="s">
        <v>17327</v>
      </c>
      <c r="AR2784" s="87"/>
      <c r="AS2784" s="87"/>
      <c r="AT2784" s="87"/>
      <c r="AU2784" s="87"/>
      <c r="AV2784" s="92" t="str">
        <f>HYPERLINK("https://pbs.twimg.com/media/F2ZHIAwXwAAWQQC.jpg")</f>
        <v>https://pbs.twimg.com/media/F2ZHIAwXwAAWQQC.jpg</v>
      </c>
      <c r="AW2784" s="93" t="s">
        <v>20945</v>
      </c>
      <c r="AX2784" s="93" t="s">
        <v>20945</v>
      </c>
      <c r="AY2784" s="87"/>
      <c r="AZ2784" s="93" t="s">
        <v>22668</v>
      </c>
      <c r="BA2784" s="93" t="s">
        <v>22668</v>
      </c>
      <c r="BB2784" s="93" t="s">
        <v>22668</v>
      </c>
      <c r="BC2784" s="93" t="s">
        <v>20945</v>
      </c>
      <c r="BD2784" s="93" t="s">
        <v>23269</v>
      </c>
      <c r="BE2784" s="87"/>
      <c r="BF2784" s="87"/>
      <c r="BG2784" s="87"/>
      <c r="BH2784" s="87"/>
      <c r="BI2784" s="87"/>
    </row>
    <row r="2785" spans="1:61" x14ac:dyDescent="0.25">
      <c r="A2785" s="63" t="s">
        <v>1058</v>
      </c>
      <c r="B2785" s="63" t="s">
        <v>1058</v>
      </c>
      <c r="C2785" s="64"/>
      <c r="D2785" s="65"/>
      <c r="E2785" s="66"/>
      <c r="F2785" s="67"/>
      <c r="G2785" s="64"/>
      <c r="H2785" s="68"/>
      <c r="I2785" s="69"/>
      <c r="J2785" s="69"/>
      <c r="K2785" s="32"/>
      <c r="L2785" s="76">
        <v>2785</v>
      </c>
      <c r="M2785" s="76"/>
      <c r="N2785" s="71"/>
      <c r="O2785" s="87" t="s">
        <v>179</v>
      </c>
      <c r="P2785" s="90">
        <v>45138.840462962966</v>
      </c>
      <c r="Q2785" s="87" t="s">
        <v>4502</v>
      </c>
      <c r="R2785" s="87">
        <v>0</v>
      </c>
      <c r="S2785" s="87">
        <v>0</v>
      </c>
      <c r="T2785" s="87">
        <v>0</v>
      </c>
      <c r="U2785" s="87">
        <v>0</v>
      </c>
      <c r="V2785" s="87">
        <v>29</v>
      </c>
      <c r="W2785" s="93" t="s">
        <v>7424</v>
      </c>
      <c r="X2785" s="87"/>
      <c r="Y2785" s="87"/>
      <c r="Z2785" s="87"/>
      <c r="AA2785" s="87" t="s">
        <v>10516</v>
      </c>
      <c r="AB2785" s="87" t="s">
        <v>11448</v>
      </c>
      <c r="AC2785" s="93" t="s">
        <v>11457</v>
      </c>
      <c r="AD2785" s="87" t="s">
        <v>11519</v>
      </c>
      <c r="AE2785" s="92" t="str">
        <f>HYPERLINK("https://twitter.com/serraempauta/status/1686107029197217792")</f>
        <v>https://twitter.com/serraempauta/status/1686107029197217792</v>
      </c>
      <c r="AF2785" s="90">
        <v>45138.840462962966</v>
      </c>
      <c r="AG2785" s="99">
        <v>45138</v>
      </c>
      <c r="AH2785" s="93" t="s">
        <v>12635</v>
      </c>
      <c r="AI2785" s="87" t="b">
        <v>0</v>
      </c>
      <c r="AJ2785" s="87"/>
      <c r="AK2785" s="87"/>
      <c r="AL2785" s="87"/>
      <c r="AM2785" s="87"/>
      <c r="AN2785" s="87"/>
      <c r="AO2785" s="87"/>
      <c r="AP2785" s="87"/>
      <c r="AQ2785" s="87" t="s">
        <v>17328</v>
      </c>
      <c r="AR2785" s="87"/>
      <c r="AS2785" s="87"/>
      <c r="AT2785" s="87"/>
      <c r="AU2785" s="87"/>
      <c r="AV2785" s="92" t="str">
        <f>HYPERLINK("https://pbs.twimg.com/media/F2ZBZfIXIAAy-1f.jpg")</f>
        <v>https://pbs.twimg.com/media/F2ZBZfIXIAAy-1f.jpg</v>
      </c>
      <c r="AW2785" s="93" t="s">
        <v>20946</v>
      </c>
      <c r="AX2785" s="93" t="s">
        <v>20946</v>
      </c>
      <c r="AY2785" s="87"/>
      <c r="AZ2785" s="93" t="s">
        <v>22668</v>
      </c>
      <c r="BA2785" s="93" t="s">
        <v>22668</v>
      </c>
      <c r="BB2785" s="93" t="s">
        <v>22668</v>
      </c>
      <c r="BC2785" s="93" t="s">
        <v>20946</v>
      </c>
      <c r="BD2785" s="93" t="s">
        <v>23269</v>
      </c>
      <c r="BE2785" s="87"/>
      <c r="BF2785" s="87"/>
      <c r="BG2785" s="87"/>
      <c r="BH2785" s="87"/>
      <c r="BI2785" s="87"/>
    </row>
    <row r="2786" spans="1:61" x14ac:dyDescent="0.25">
      <c r="A2786" s="63" t="s">
        <v>1058</v>
      </c>
      <c r="B2786" s="63" t="s">
        <v>1058</v>
      </c>
      <c r="C2786" s="64"/>
      <c r="D2786" s="65"/>
      <c r="E2786" s="66"/>
      <c r="F2786" s="67"/>
      <c r="G2786" s="64"/>
      <c r="H2786" s="68"/>
      <c r="I2786" s="69"/>
      <c r="J2786" s="69"/>
      <c r="K2786" s="32"/>
      <c r="L2786" s="76">
        <v>2786</v>
      </c>
      <c r="M2786" s="76"/>
      <c r="N2786" s="71"/>
      <c r="O2786" s="87" t="s">
        <v>179</v>
      </c>
      <c r="P2786" s="90">
        <v>45138.806550925925</v>
      </c>
      <c r="Q2786" s="87" t="s">
        <v>4503</v>
      </c>
      <c r="R2786" s="87">
        <v>0</v>
      </c>
      <c r="S2786" s="87">
        <v>0</v>
      </c>
      <c r="T2786" s="87">
        <v>0</v>
      </c>
      <c r="U2786" s="87">
        <v>0</v>
      </c>
      <c r="V2786" s="87">
        <v>36</v>
      </c>
      <c r="W2786" s="93" t="s">
        <v>7424</v>
      </c>
      <c r="X2786" s="87"/>
      <c r="Y2786" s="87"/>
      <c r="Z2786" s="87"/>
      <c r="AA2786" s="87" t="s">
        <v>10517</v>
      </c>
      <c r="AB2786" s="87" t="s">
        <v>11448</v>
      </c>
      <c r="AC2786" s="93" t="s">
        <v>11457</v>
      </c>
      <c r="AD2786" s="87" t="s">
        <v>11519</v>
      </c>
      <c r="AE2786" s="92" t="str">
        <f>HYPERLINK("https://twitter.com/serraempauta/status/1686094738078777344")</f>
        <v>https://twitter.com/serraempauta/status/1686094738078777344</v>
      </c>
      <c r="AF2786" s="90">
        <v>45138.806550925925</v>
      </c>
      <c r="AG2786" s="99">
        <v>45138</v>
      </c>
      <c r="AH2786" s="93" t="s">
        <v>14027</v>
      </c>
      <c r="AI2786" s="87" t="b">
        <v>0</v>
      </c>
      <c r="AJ2786" s="87"/>
      <c r="AK2786" s="87"/>
      <c r="AL2786" s="87"/>
      <c r="AM2786" s="87"/>
      <c r="AN2786" s="87"/>
      <c r="AO2786" s="87"/>
      <c r="AP2786" s="87"/>
      <c r="AQ2786" s="87" t="s">
        <v>17329</v>
      </c>
      <c r="AR2786" s="87"/>
      <c r="AS2786" s="87"/>
      <c r="AT2786" s="87"/>
      <c r="AU2786" s="87"/>
      <c r="AV2786" s="92" t="str">
        <f>HYPERLINK("https://pbs.twimg.com/media/F2Y2N22WIAAKCRD.jpg")</f>
        <v>https://pbs.twimg.com/media/F2Y2N22WIAAKCRD.jpg</v>
      </c>
      <c r="AW2786" s="93" t="s">
        <v>20947</v>
      </c>
      <c r="AX2786" s="93" t="s">
        <v>20947</v>
      </c>
      <c r="AY2786" s="87"/>
      <c r="AZ2786" s="93" t="s">
        <v>22668</v>
      </c>
      <c r="BA2786" s="93" t="s">
        <v>22668</v>
      </c>
      <c r="BB2786" s="93" t="s">
        <v>22668</v>
      </c>
      <c r="BC2786" s="93" t="s">
        <v>20947</v>
      </c>
      <c r="BD2786" s="93" t="s">
        <v>23269</v>
      </c>
      <c r="BE2786" s="87"/>
      <c r="BF2786" s="87"/>
      <c r="BG2786" s="87"/>
      <c r="BH2786" s="87"/>
      <c r="BI2786" s="87"/>
    </row>
    <row r="2787" spans="1:61" x14ac:dyDescent="0.25">
      <c r="A2787" s="63" t="s">
        <v>1058</v>
      </c>
      <c r="B2787" s="63" t="s">
        <v>1058</v>
      </c>
      <c r="C2787" s="64"/>
      <c r="D2787" s="65"/>
      <c r="E2787" s="66"/>
      <c r="F2787" s="67"/>
      <c r="G2787" s="64"/>
      <c r="H2787" s="68"/>
      <c r="I2787" s="69"/>
      <c r="J2787" s="69"/>
      <c r="K2787" s="32"/>
      <c r="L2787" s="76">
        <v>2787</v>
      </c>
      <c r="M2787" s="76"/>
      <c r="N2787" s="71"/>
      <c r="O2787" s="87" t="s">
        <v>179</v>
      </c>
      <c r="P2787" s="90">
        <v>45138.779733796298</v>
      </c>
      <c r="Q2787" s="87" t="s">
        <v>4504</v>
      </c>
      <c r="R2787" s="87">
        <v>0</v>
      </c>
      <c r="S2787" s="87">
        <v>0</v>
      </c>
      <c r="T2787" s="87">
        <v>0</v>
      </c>
      <c r="U2787" s="87">
        <v>0</v>
      </c>
      <c r="V2787" s="87">
        <v>45</v>
      </c>
      <c r="W2787" s="93" t="s">
        <v>7424</v>
      </c>
      <c r="X2787" s="87"/>
      <c r="Y2787" s="87"/>
      <c r="Z2787" s="87"/>
      <c r="AA2787" s="87" t="s">
        <v>10518</v>
      </c>
      <c r="AB2787" s="87" t="s">
        <v>11448</v>
      </c>
      <c r="AC2787" s="93" t="s">
        <v>11457</v>
      </c>
      <c r="AD2787" s="87" t="s">
        <v>11519</v>
      </c>
      <c r="AE2787" s="92" t="str">
        <f>HYPERLINK("https://twitter.com/serraempauta/status/1686085022325915648")</f>
        <v>https://twitter.com/serraempauta/status/1686085022325915648</v>
      </c>
      <c r="AF2787" s="90">
        <v>45138.779733796298</v>
      </c>
      <c r="AG2787" s="99">
        <v>45138</v>
      </c>
      <c r="AH2787" s="93" t="s">
        <v>14028</v>
      </c>
      <c r="AI2787" s="87" t="b">
        <v>0</v>
      </c>
      <c r="AJ2787" s="87"/>
      <c r="AK2787" s="87"/>
      <c r="AL2787" s="87"/>
      <c r="AM2787" s="87"/>
      <c r="AN2787" s="87"/>
      <c r="AO2787" s="87"/>
      <c r="AP2787" s="87"/>
      <c r="AQ2787" s="87" t="s">
        <v>17330</v>
      </c>
      <c r="AR2787" s="87"/>
      <c r="AS2787" s="87"/>
      <c r="AT2787" s="87"/>
      <c r="AU2787" s="87"/>
      <c r="AV2787" s="92" t="str">
        <f>HYPERLINK("https://pbs.twimg.com/media/F2YtXB5XkAAkpVo.jpg")</f>
        <v>https://pbs.twimg.com/media/F2YtXB5XkAAkpVo.jpg</v>
      </c>
      <c r="AW2787" s="93" t="s">
        <v>20948</v>
      </c>
      <c r="AX2787" s="93" t="s">
        <v>20948</v>
      </c>
      <c r="AY2787" s="87"/>
      <c r="AZ2787" s="93" t="s">
        <v>22668</v>
      </c>
      <c r="BA2787" s="93" t="s">
        <v>22668</v>
      </c>
      <c r="BB2787" s="93" t="s">
        <v>22668</v>
      </c>
      <c r="BC2787" s="93" t="s">
        <v>20948</v>
      </c>
      <c r="BD2787" s="93" t="s">
        <v>23269</v>
      </c>
      <c r="BE2787" s="87"/>
      <c r="BF2787" s="87"/>
      <c r="BG2787" s="87"/>
      <c r="BH2787" s="87"/>
      <c r="BI2787" s="87"/>
    </row>
    <row r="2788" spans="1:61" x14ac:dyDescent="0.25">
      <c r="A2788" s="63" t="s">
        <v>1058</v>
      </c>
      <c r="B2788" s="63" t="s">
        <v>1058</v>
      </c>
      <c r="C2788" s="64"/>
      <c r="D2788" s="65"/>
      <c r="E2788" s="66"/>
      <c r="F2788" s="67"/>
      <c r="G2788" s="64"/>
      <c r="H2788" s="68"/>
      <c r="I2788" s="69"/>
      <c r="J2788" s="69"/>
      <c r="K2788" s="32"/>
      <c r="L2788" s="76">
        <v>2788</v>
      </c>
      <c r="M2788" s="76"/>
      <c r="N2788" s="71"/>
      <c r="O2788" s="87" t="s">
        <v>179</v>
      </c>
      <c r="P2788" s="90">
        <v>45138.739016203705</v>
      </c>
      <c r="Q2788" s="87" t="s">
        <v>4505</v>
      </c>
      <c r="R2788" s="87">
        <v>0</v>
      </c>
      <c r="S2788" s="87">
        <v>0</v>
      </c>
      <c r="T2788" s="87">
        <v>0</v>
      </c>
      <c r="U2788" s="87">
        <v>0</v>
      </c>
      <c r="V2788" s="87">
        <v>71</v>
      </c>
      <c r="W2788" s="93" t="s">
        <v>7424</v>
      </c>
      <c r="X2788" s="87"/>
      <c r="Y2788" s="87"/>
      <c r="Z2788" s="87"/>
      <c r="AA2788" s="87" t="s">
        <v>10519</v>
      </c>
      <c r="AB2788" s="87" t="s">
        <v>11448</v>
      </c>
      <c r="AC2788" s="93" t="s">
        <v>11457</v>
      </c>
      <c r="AD2788" s="87" t="s">
        <v>11519</v>
      </c>
      <c r="AE2788" s="92" t="str">
        <f>HYPERLINK("https://twitter.com/serraempauta/status/1686070263144726532")</f>
        <v>https://twitter.com/serraempauta/status/1686070263144726532</v>
      </c>
      <c r="AF2788" s="90">
        <v>45138.739016203705</v>
      </c>
      <c r="AG2788" s="99">
        <v>45138</v>
      </c>
      <c r="AH2788" s="93" t="s">
        <v>14029</v>
      </c>
      <c r="AI2788" s="87" t="b">
        <v>0</v>
      </c>
      <c r="AJ2788" s="87"/>
      <c r="AK2788" s="87"/>
      <c r="AL2788" s="87"/>
      <c r="AM2788" s="87"/>
      <c r="AN2788" s="87"/>
      <c r="AO2788" s="87"/>
      <c r="AP2788" s="87"/>
      <c r="AQ2788" s="87" t="s">
        <v>17331</v>
      </c>
      <c r="AR2788" s="87"/>
      <c r="AS2788" s="87"/>
      <c r="AT2788" s="87"/>
      <c r="AU2788" s="87"/>
      <c r="AV2788" s="92" t="str">
        <f>HYPERLINK("https://pbs.twimg.com/media/F2Yf9awWAAAMQJP.jpg")</f>
        <v>https://pbs.twimg.com/media/F2Yf9awWAAAMQJP.jpg</v>
      </c>
      <c r="AW2788" s="93" t="s">
        <v>20949</v>
      </c>
      <c r="AX2788" s="93" t="s">
        <v>20949</v>
      </c>
      <c r="AY2788" s="87"/>
      <c r="AZ2788" s="93" t="s">
        <v>22668</v>
      </c>
      <c r="BA2788" s="93" t="s">
        <v>22668</v>
      </c>
      <c r="BB2788" s="93" t="s">
        <v>22668</v>
      </c>
      <c r="BC2788" s="93" t="s">
        <v>20949</v>
      </c>
      <c r="BD2788" s="93" t="s">
        <v>23269</v>
      </c>
      <c r="BE2788" s="87"/>
      <c r="BF2788" s="87"/>
      <c r="BG2788" s="87"/>
      <c r="BH2788" s="87"/>
      <c r="BI2788" s="87"/>
    </row>
    <row r="2789" spans="1:61" x14ac:dyDescent="0.25">
      <c r="A2789" s="63" t="s">
        <v>1058</v>
      </c>
      <c r="B2789" s="63" t="s">
        <v>1058</v>
      </c>
      <c r="C2789" s="64"/>
      <c r="D2789" s="65"/>
      <c r="E2789" s="66"/>
      <c r="F2789" s="67"/>
      <c r="G2789" s="64"/>
      <c r="H2789" s="68"/>
      <c r="I2789" s="69"/>
      <c r="J2789" s="69"/>
      <c r="K2789" s="32"/>
      <c r="L2789" s="76">
        <v>2789</v>
      </c>
      <c r="M2789" s="76"/>
      <c r="N2789" s="71"/>
      <c r="O2789" s="87" t="s">
        <v>179</v>
      </c>
      <c r="P2789" s="90">
        <v>45138.641238425924</v>
      </c>
      <c r="Q2789" s="87" t="s">
        <v>4506</v>
      </c>
      <c r="R2789" s="87">
        <v>0</v>
      </c>
      <c r="S2789" s="87">
        <v>0</v>
      </c>
      <c r="T2789" s="87">
        <v>0</v>
      </c>
      <c r="U2789" s="87">
        <v>0</v>
      </c>
      <c r="V2789" s="87">
        <v>22</v>
      </c>
      <c r="W2789" s="93" t="s">
        <v>7424</v>
      </c>
      <c r="X2789" s="87"/>
      <c r="Y2789" s="87"/>
      <c r="Z2789" s="87"/>
      <c r="AA2789" s="87" t="s">
        <v>10520</v>
      </c>
      <c r="AB2789" s="87" t="s">
        <v>11448</v>
      </c>
      <c r="AC2789" s="93" t="s">
        <v>11457</v>
      </c>
      <c r="AD2789" s="87" t="s">
        <v>11519</v>
      </c>
      <c r="AE2789" s="92" t="str">
        <f>HYPERLINK("https://twitter.com/serraempauta/status/1686034829865897986")</f>
        <v>https://twitter.com/serraempauta/status/1686034829865897986</v>
      </c>
      <c r="AF2789" s="90">
        <v>45138.641238425924</v>
      </c>
      <c r="AG2789" s="99">
        <v>45138</v>
      </c>
      <c r="AH2789" s="93" t="s">
        <v>14030</v>
      </c>
      <c r="AI2789" s="87" t="b">
        <v>0</v>
      </c>
      <c r="AJ2789" s="87"/>
      <c r="AK2789" s="87"/>
      <c r="AL2789" s="87"/>
      <c r="AM2789" s="87"/>
      <c r="AN2789" s="87"/>
      <c r="AO2789" s="87"/>
      <c r="AP2789" s="87"/>
      <c r="AQ2789" s="87" t="s">
        <v>17332</v>
      </c>
      <c r="AR2789" s="87"/>
      <c r="AS2789" s="87"/>
      <c r="AT2789" s="87"/>
      <c r="AU2789" s="87"/>
      <c r="AV2789" s="92" t="str">
        <f>HYPERLINK("https://pbs.twimg.com/media/F2X_vJWXEAAAm0U.jpg")</f>
        <v>https://pbs.twimg.com/media/F2X_vJWXEAAAm0U.jpg</v>
      </c>
      <c r="AW2789" s="93" t="s">
        <v>20950</v>
      </c>
      <c r="AX2789" s="93" t="s">
        <v>20950</v>
      </c>
      <c r="AY2789" s="87"/>
      <c r="AZ2789" s="93" t="s">
        <v>22668</v>
      </c>
      <c r="BA2789" s="93" t="s">
        <v>22668</v>
      </c>
      <c r="BB2789" s="93" t="s">
        <v>22668</v>
      </c>
      <c r="BC2789" s="93" t="s">
        <v>20950</v>
      </c>
      <c r="BD2789" s="93" t="s">
        <v>23269</v>
      </c>
      <c r="BE2789" s="87"/>
      <c r="BF2789" s="87"/>
      <c r="BG2789" s="87"/>
      <c r="BH2789" s="87"/>
      <c r="BI2789" s="87"/>
    </row>
    <row r="2790" spans="1:61" x14ac:dyDescent="0.25">
      <c r="A2790" s="63" t="s">
        <v>1058</v>
      </c>
      <c r="B2790" s="63" t="s">
        <v>1058</v>
      </c>
      <c r="C2790" s="64"/>
      <c r="D2790" s="65"/>
      <c r="E2790" s="66"/>
      <c r="F2790" s="67"/>
      <c r="G2790" s="64"/>
      <c r="H2790" s="68"/>
      <c r="I2790" s="69"/>
      <c r="J2790" s="69"/>
      <c r="K2790" s="32"/>
      <c r="L2790" s="76">
        <v>2790</v>
      </c>
      <c r="M2790" s="76"/>
      <c r="N2790" s="71"/>
      <c r="O2790" s="87" t="s">
        <v>179</v>
      </c>
      <c r="P2790" s="90">
        <v>45138.622233796297</v>
      </c>
      <c r="Q2790" s="87" t="s">
        <v>4507</v>
      </c>
      <c r="R2790" s="87">
        <v>0</v>
      </c>
      <c r="S2790" s="87">
        <v>0</v>
      </c>
      <c r="T2790" s="87">
        <v>0</v>
      </c>
      <c r="U2790" s="87">
        <v>0</v>
      </c>
      <c r="V2790" s="87">
        <v>23</v>
      </c>
      <c r="W2790" s="93" t="s">
        <v>7424</v>
      </c>
      <c r="X2790" s="87"/>
      <c r="Y2790" s="87"/>
      <c r="Z2790" s="87"/>
      <c r="AA2790" s="87" t="s">
        <v>10521</v>
      </c>
      <c r="AB2790" s="87" t="s">
        <v>11448</v>
      </c>
      <c r="AC2790" s="93" t="s">
        <v>11457</v>
      </c>
      <c r="AD2790" s="87" t="s">
        <v>11519</v>
      </c>
      <c r="AE2790" s="92" t="str">
        <f>HYPERLINK("https://twitter.com/serraempauta/status/1686027945536552960")</f>
        <v>https://twitter.com/serraempauta/status/1686027945536552960</v>
      </c>
      <c r="AF2790" s="90">
        <v>45138.622233796297</v>
      </c>
      <c r="AG2790" s="99">
        <v>45138</v>
      </c>
      <c r="AH2790" s="93" t="s">
        <v>14031</v>
      </c>
      <c r="AI2790" s="87" t="b">
        <v>0</v>
      </c>
      <c r="AJ2790" s="87"/>
      <c r="AK2790" s="87"/>
      <c r="AL2790" s="87"/>
      <c r="AM2790" s="87"/>
      <c r="AN2790" s="87"/>
      <c r="AO2790" s="87"/>
      <c r="AP2790" s="87"/>
      <c r="AQ2790" s="87" t="s">
        <v>17333</v>
      </c>
      <c r="AR2790" s="87"/>
      <c r="AS2790" s="87"/>
      <c r="AT2790" s="87"/>
      <c r="AU2790" s="87"/>
      <c r="AV2790" s="92" t="str">
        <f>HYPERLINK("https://pbs.twimg.com/media/F2X5eRBWAAELdmM.jpg")</f>
        <v>https://pbs.twimg.com/media/F2X5eRBWAAELdmM.jpg</v>
      </c>
      <c r="AW2790" s="93" t="s">
        <v>20951</v>
      </c>
      <c r="AX2790" s="93" t="s">
        <v>20951</v>
      </c>
      <c r="AY2790" s="87"/>
      <c r="AZ2790" s="93" t="s">
        <v>22668</v>
      </c>
      <c r="BA2790" s="93" t="s">
        <v>22668</v>
      </c>
      <c r="BB2790" s="93" t="s">
        <v>22668</v>
      </c>
      <c r="BC2790" s="93" t="s">
        <v>20951</v>
      </c>
      <c r="BD2790" s="93" t="s">
        <v>23269</v>
      </c>
      <c r="BE2790" s="87"/>
      <c r="BF2790" s="87"/>
      <c r="BG2790" s="87"/>
      <c r="BH2790" s="87"/>
      <c r="BI2790" s="87"/>
    </row>
    <row r="2791" spans="1:61" x14ac:dyDescent="0.25">
      <c r="A2791" s="63" t="s">
        <v>1058</v>
      </c>
      <c r="B2791" s="63" t="s">
        <v>1058</v>
      </c>
      <c r="C2791" s="64"/>
      <c r="D2791" s="65"/>
      <c r="E2791" s="66"/>
      <c r="F2791" s="67"/>
      <c r="G2791" s="64"/>
      <c r="H2791" s="68"/>
      <c r="I2791" s="69"/>
      <c r="J2791" s="69"/>
      <c r="K2791" s="32"/>
      <c r="L2791" s="76">
        <v>2791</v>
      </c>
      <c r="M2791" s="76"/>
      <c r="N2791" s="71"/>
      <c r="O2791" s="87" t="s">
        <v>179</v>
      </c>
      <c r="P2791" s="90">
        <v>45138.593333333331</v>
      </c>
      <c r="Q2791" s="87" t="s">
        <v>4508</v>
      </c>
      <c r="R2791" s="87">
        <v>0</v>
      </c>
      <c r="S2791" s="87">
        <v>0</v>
      </c>
      <c r="T2791" s="87">
        <v>0</v>
      </c>
      <c r="U2791" s="87">
        <v>0</v>
      </c>
      <c r="V2791" s="87">
        <v>35</v>
      </c>
      <c r="W2791" s="93" t="s">
        <v>7424</v>
      </c>
      <c r="X2791" s="87"/>
      <c r="Y2791" s="87"/>
      <c r="Z2791" s="87"/>
      <c r="AA2791" s="87" t="s">
        <v>10522</v>
      </c>
      <c r="AB2791" s="87" t="s">
        <v>11448</v>
      </c>
      <c r="AC2791" s="93" t="s">
        <v>11457</v>
      </c>
      <c r="AD2791" s="87" t="s">
        <v>11519</v>
      </c>
      <c r="AE2791" s="92" t="str">
        <f>HYPERLINK("https://twitter.com/serraempauta/status/1686017473030610944")</f>
        <v>https://twitter.com/serraempauta/status/1686017473030610944</v>
      </c>
      <c r="AF2791" s="90">
        <v>45138.593333333331</v>
      </c>
      <c r="AG2791" s="99">
        <v>45138</v>
      </c>
      <c r="AH2791" s="93" t="s">
        <v>14032</v>
      </c>
      <c r="AI2791" s="87" t="b">
        <v>0</v>
      </c>
      <c r="AJ2791" s="87"/>
      <c r="AK2791" s="87"/>
      <c r="AL2791" s="87"/>
      <c r="AM2791" s="87"/>
      <c r="AN2791" s="87"/>
      <c r="AO2791" s="87"/>
      <c r="AP2791" s="87"/>
      <c r="AQ2791" s="87" t="s">
        <v>17334</v>
      </c>
      <c r="AR2791" s="87"/>
      <c r="AS2791" s="87"/>
      <c r="AT2791" s="87"/>
      <c r="AU2791" s="87"/>
      <c r="AV2791" s="92" t="str">
        <f>HYPERLINK("https://pbs.twimg.com/media/F2Xv8xQXQAYl9BX.jpg")</f>
        <v>https://pbs.twimg.com/media/F2Xv8xQXQAYl9BX.jpg</v>
      </c>
      <c r="AW2791" s="93" t="s">
        <v>20952</v>
      </c>
      <c r="AX2791" s="93" t="s">
        <v>20952</v>
      </c>
      <c r="AY2791" s="87"/>
      <c r="AZ2791" s="93" t="s">
        <v>22668</v>
      </c>
      <c r="BA2791" s="93" t="s">
        <v>22668</v>
      </c>
      <c r="BB2791" s="93" t="s">
        <v>22668</v>
      </c>
      <c r="BC2791" s="93" t="s">
        <v>20952</v>
      </c>
      <c r="BD2791" s="93" t="s">
        <v>23269</v>
      </c>
      <c r="BE2791" s="87"/>
      <c r="BF2791" s="87"/>
      <c r="BG2791" s="87"/>
      <c r="BH2791" s="87"/>
      <c r="BI2791" s="87"/>
    </row>
    <row r="2792" spans="1:61" x14ac:dyDescent="0.25">
      <c r="A2792" s="63" t="s">
        <v>1058</v>
      </c>
      <c r="B2792" s="63" t="s">
        <v>1058</v>
      </c>
      <c r="C2792" s="64"/>
      <c r="D2792" s="65"/>
      <c r="E2792" s="66"/>
      <c r="F2792" s="67"/>
      <c r="G2792" s="64"/>
      <c r="H2792" s="68"/>
      <c r="I2792" s="69"/>
      <c r="J2792" s="69"/>
      <c r="K2792" s="32"/>
      <c r="L2792" s="76">
        <v>2792</v>
      </c>
      <c r="M2792" s="76"/>
      <c r="N2792" s="71"/>
      <c r="O2792" s="87" t="s">
        <v>179</v>
      </c>
      <c r="P2792" s="90">
        <v>45138.542557870373</v>
      </c>
      <c r="Q2792" s="87" t="s">
        <v>4509</v>
      </c>
      <c r="R2792" s="87">
        <v>0</v>
      </c>
      <c r="S2792" s="87">
        <v>0</v>
      </c>
      <c r="T2792" s="87">
        <v>0</v>
      </c>
      <c r="U2792" s="87">
        <v>0</v>
      </c>
      <c r="V2792" s="87">
        <v>50</v>
      </c>
      <c r="W2792" s="93" t="s">
        <v>7424</v>
      </c>
      <c r="X2792" s="87"/>
      <c r="Y2792" s="87"/>
      <c r="Z2792" s="87"/>
      <c r="AA2792" s="87" t="s">
        <v>10523</v>
      </c>
      <c r="AB2792" s="87" t="s">
        <v>11448</v>
      </c>
      <c r="AC2792" s="93" t="s">
        <v>11457</v>
      </c>
      <c r="AD2792" s="87" t="s">
        <v>11519</v>
      </c>
      <c r="AE2792" s="92" t="str">
        <f>HYPERLINK("https://twitter.com/serraempauta/status/1685999072837083136")</f>
        <v>https://twitter.com/serraempauta/status/1685999072837083136</v>
      </c>
      <c r="AF2792" s="90">
        <v>45138.542557870373</v>
      </c>
      <c r="AG2792" s="99">
        <v>45138</v>
      </c>
      <c r="AH2792" s="93" t="s">
        <v>14033</v>
      </c>
      <c r="AI2792" s="87" t="b">
        <v>0</v>
      </c>
      <c r="AJ2792" s="87"/>
      <c r="AK2792" s="87"/>
      <c r="AL2792" s="87"/>
      <c r="AM2792" s="87"/>
      <c r="AN2792" s="87"/>
      <c r="AO2792" s="87"/>
      <c r="AP2792" s="87"/>
      <c r="AQ2792" s="87" t="s">
        <v>17335</v>
      </c>
      <c r="AR2792" s="87"/>
      <c r="AS2792" s="87"/>
      <c r="AT2792" s="87"/>
      <c r="AU2792" s="87"/>
      <c r="AV2792" s="92" t="str">
        <f>HYPERLINK("https://pbs.twimg.com/media/F2XfN0WXoAADRkf.jpg")</f>
        <v>https://pbs.twimg.com/media/F2XfN0WXoAADRkf.jpg</v>
      </c>
      <c r="AW2792" s="93" t="s">
        <v>20953</v>
      </c>
      <c r="AX2792" s="93" t="s">
        <v>20953</v>
      </c>
      <c r="AY2792" s="87"/>
      <c r="AZ2792" s="93" t="s">
        <v>22668</v>
      </c>
      <c r="BA2792" s="93" t="s">
        <v>22668</v>
      </c>
      <c r="BB2792" s="93" t="s">
        <v>22668</v>
      </c>
      <c r="BC2792" s="93" t="s">
        <v>20953</v>
      </c>
      <c r="BD2792" s="93" t="s">
        <v>23269</v>
      </c>
      <c r="BE2792" s="87"/>
      <c r="BF2792" s="87"/>
      <c r="BG2792" s="87"/>
      <c r="BH2792" s="87"/>
      <c r="BI2792" s="87"/>
    </row>
    <row r="2793" spans="1:61" x14ac:dyDescent="0.25">
      <c r="A2793" s="63" t="s">
        <v>1058</v>
      </c>
      <c r="B2793" s="63" t="s">
        <v>1058</v>
      </c>
      <c r="C2793" s="64"/>
      <c r="D2793" s="65"/>
      <c r="E2793" s="66"/>
      <c r="F2793" s="67"/>
      <c r="G2793" s="64"/>
      <c r="H2793" s="68"/>
      <c r="I2793" s="69"/>
      <c r="J2793" s="69"/>
      <c r="K2793" s="32"/>
      <c r="L2793" s="76">
        <v>2793</v>
      </c>
      <c r="M2793" s="76"/>
      <c r="N2793" s="71"/>
      <c r="O2793" s="87" t="s">
        <v>179</v>
      </c>
      <c r="P2793" s="90">
        <v>45124.85</v>
      </c>
      <c r="Q2793" s="87" t="s">
        <v>4510</v>
      </c>
      <c r="R2793" s="87">
        <v>0</v>
      </c>
      <c r="S2793" s="87">
        <v>0</v>
      </c>
      <c r="T2793" s="87">
        <v>0</v>
      </c>
      <c r="U2793" s="87">
        <v>0</v>
      </c>
      <c r="V2793" s="87">
        <v>69</v>
      </c>
      <c r="W2793" s="93" t="s">
        <v>7424</v>
      </c>
      <c r="X2793" s="87"/>
      <c r="Y2793" s="87"/>
      <c r="Z2793" s="87"/>
      <c r="AA2793" s="87" t="s">
        <v>10524</v>
      </c>
      <c r="AB2793" s="87" t="s">
        <v>11448</v>
      </c>
      <c r="AC2793" s="93" t="s">
        <v>11457</v>
      </c>
      <c r="AD2793" s="87" t="s">
        <v>11519</v>
      </c>
      <c r="AE2793" s="92" t="str">
        <f>HYPERLINK("https://twitter.com/serraempauta/status/1681037055516635136")</f>
        <v>https://twitter.com/serraempauta/status/1681037055516635136</v>
      </c>
      <c r="AF2793" s="90">
        <v>45124.85</v>
      </c>
      <c r="AG2793" s="99">
        <v>45124</v>
      </c>
      <c r="AH2793" s="93" t="s">
        <v>14034</v>
      </c>
      <c r="AI2793" s="87" t="b">
        <v>0</v>
      </c>
      <c r="AJ2793" s="87"/>
      <c r="AK2793" s="87"/>
      <c r="AL2793" s="87"/>
      <c r="AM2793" s="87"/>
      <c r="AN2793" s="87"/>
      <c r="AO2793" s="87"/>
      <c r="AP2793" s="87"/>
      <c r="AQ2793" s="87" t="s">
        <v>17336</v>
      </c>
      <c r="AR2793" s="87"/>
      <c r="AS2793" s="87"/>
      <c r="AT2793" s="87"/>
      <c r="AU2793" s="87"/>
      <c r="AV2793" s="92" t="str">
        <f>HYPERLINK("https://pbs.twimg.com/media/F1Q-SUIWIAEEbgn.jpg")</f>
        <v>https://pbs.twimg.com/media/F1Q-SUIWIAEEbgn.jpg</v>
      </c>
      <c r="AW2793" s="93" t="s">
        <v>20954</v>
      </c>
      <c r="AX2793" s="93" t="s">
        <v>20954</v>
      </c>
      <c r="AY2793" s="87"/>
      <c r="AZ2793" s="93" t="s">
        <v>22668</v>
      </c>
      <c r="BA2793" s="93" t="s">
        <v>22668</v>
      </c>
      <c r="BB2793" s="93" t="s">
        <v>22668</v>
      </c>
      <c r="BC2793" s="93" t="s">
        <v>20954</v>
      </c>
      <c r="BD2793" s="93" t="s">
        <v>23269</v>
      </c>
      <c r="BE2793" s="87"/>
      <c r="BF2793" s="87"/>
      <c r="BG2793" s="87"/>
      <c r="BH2793" s="87"/>
      <c r="BI2793" s="87"/>
    </row>
    <row r="2794" spans="1:61" x14ac:dyDescent="0.25">
      <c r="A2794" s="63" t="s">
        <v>1058</v>
      </c>
      <c r="B2794" s="63" t="s">
        <v>1058</v>
      </c>
      <c r="C2794" s="64"/>
      <c r="D2794" s="65"/>
      <c r="E2794" s="66"/>
      <c r="F2794" s="67"/>
      <c r="G2794" s="64"/>
      <c r="H2794" s="68"/>
      <c r="I2794" s="69"/>
      <c r="J2794" s="69"/>
      <c r="K2794" s="32"/>
      <c r="L2794" s="76">
        <v>2794</v>
      </c>
      <c r="M2794" s="76"/>
      <c r="N2794" s="71"/>
      <c r="O2794" s="87" t="s">
        <v>179</v>
      </c>
      <c r="P2794" s="90">
        <v>45124.599722222221</v>
      </c>
      <c r="Q2794" s="87" t="s">
        <v>4511</v>
      </c>
      <c r="R2794" s="87">
        <v>0</v>
      </c>
      <c r="S2794" s="87">
        <v>0</v>
      </c>
      <c r="T2794" s="87">
        <v>0</v>
      </c>
      <c r="U2794" s="87">
        <v>0</v>
      </c>
      <c r="V2794" s="87">
        <v>84</v>
      </c>
      <c r="W2794" s="93" t="s">
        <v>7424</v>
      </c>
      <c r="X2794" s="87"/>
      <c r="Y2794" s="87"/>
      <c r="Z2794" s="87"/>
      <c r="AA2794" s="87" t="s">
        <v>10525</v>
      </c>
      <c r="AB2794" s="87" t="s">
        <v>11448</v>
      </c>
      <c r="AC2794" s="93" t="s">
        <v>11457</v>
      </c>
      <c r="AD2794" s="87" t="s">
        <v>11519</v>
      </c>
      <c r="AE2794" s="92" t="str">
        <f>HYPERLINK("https://twitter.com/serraempauta/status/1680946358222565377")</f>
        <v>https://twitter.com/serraempauta/status/1680946358222565377</v>
      </c>
      <c r="AF2794" s="90">
        <v>45124.599722222221</v>
      </c>
      <c r="AG2794" s="99">
        <v>45124</v>
      </c>
      <c r="AH2794" s="93" t="s">
        <v>14035</v>
      </c>
      <c r="AI2794" s="87" t="b">
        <v>0</v>
      </c>
      <c r="AJ2794" s="87"/>
      <c r="AK2794" s="87"/>
      <c r="AL2794" s="87"/>
      <c r="AM2794" s="87"/>
      <c r="AN2794" s="87"/>
      <c r="AO2794" s="87"/>
      <c r="AP2794" s="87"/>
      <c r="AQ2794" s="87" t="s">
        <v>17337</v>
      </c>
      <c r="AR2794" s="87"/>
      <c r="AS2794" s="87"/>
      <c r="AT2794" s="87"/>
      <c r="AU2794" s="87"/>
      <c r="AV2794" s="92" t="str">
        <f>HYPERLINK("https://pbs.twimg.com/media/F1PrzIeX0AMwJnt.jpg")</f>
        <v>https://pbs.twimg.com/media/F1PrzIeX0AMwJnt.jpg</v>
      </c>
      <c r="AW2794" s="93" t="s">
        <v>20955</v>
      </c>
      <c r="AX2794" s="93" t="s">
        <v>20955</v>
      </c>
      <c r="AY2794" s="87"/>
      <c r="AZ2794" s="93" t="s">
        <v>22668</v>
      </c>
      <c r="BA2794" s="93" t="s">
        <v>22668</v>
      </c>
      <c r="BB2794" s="93" t="s">
        <v>22668</v>
      </c>
      <c r="BC2794" s="93" t="s">
        <v>20955</v>
      </c>
      <c r="BD2794" s="93" t="s">
        <v>23269</v>
      </c>
      <c r="BE2794" s="87"/>
      <c r="BF2794" s="87"/>
      <c r="BG2794" s="87"/>
      <c r="BH2794" s="87"/>
      <c r="BI2794" s="87"/>
    </row>
    <row r="2795" spans="1:61" x14ac:dyDescent="0.25">
      <c r="A2795" s="63" t="s">
        <v>1058</v>
      </c>
      <c r="B2795" s="63" t="s">
        <v>1058</v>
      </c>
      <c r="C2795" s="64"/>
      <c r="D2795" s="65"/>
      <c r="E2795" s="66"/>
      <c r="F2795" s="67"/>
      <c r="G2795" s="64"/>
      <c r="H2795" s="68"/>
      <c r="I2795" s="69"/>
      <c r="J2795" s="69"/>
      <c r="K2795" s="32"/>
      <c r="L2795" s="76">
        <v>2795</v>
      </c>
      <c r="M2795" s="76"/>
      <c r="N2795" s="71"/>
      <c r="O2795" s="87" t="s">
        <v>179</v>
      </c>
      <c r="P2795" s="90">
        <v>45124.574513888889</v>
      </c>
      <c r="Q2795" s="87" t="s">
        <v>4512</v>
      </c>
      <c r="R2795" s="87">
        <v>0</v>
      </c>
      <c r="S2795" s="87">
        <v>0</v>
      </c>
      <c r="T2795" s="87">
        <v>0</v>
      </c>
      <c r="U2795" s="87">
        <v>0</v>
      </c>
      <c r="V2795" s="87">
        <v>85</v>
      </c>
      <c r="W2795" s="93" t="s">
        <v>7424</v>
      </c>
      <c r="X2795" s="87"/>
      <c r="Y2795" s="87"/>
      <c r="Z2795" s="87"/>
      <c r="AA2795" s="87" t="s">
        <v>10526</v>
      </c>
      <c r="AB2795" s="87" t="s">
        <v>11448</v>
      </c>
      <c r="AC2795" s="93" t="s">
        <v>11457</v>
      </c>
      <c r="AD2795" s="87" t="s">
        <v>11519</v>
      </c>
      <c r="AE2795" s="92" t="str">
        <f>HYPERLINK("https://twitter.com/serraempauta/status/1680937219748421633")</f>
        <v>https://twitter.com/serraempauta/status/1680937219748421633</v>
      </c>
      <c r="AF2795" s="90">
        <v>45124.574513888889</v>
      </c>
      <c r="AG2795" s="99">
        <v>45124</v>
      </c>
      <c r="AH2795" s="93" t="s">
        <v>14036</v>
      </c>
      <c r="AI2795" s="87" t="b">
        <v>0</v>
      </c>
      <c r="AJ2795" s="87"/>
      <c r="AK2795" s="87"/>
      <c r="AL2795" s="87"/>
      <c r="AM2795" s="87"/>
      <c r="AN2795" s="87"/>
      <c r="AO2795" s="87"/>
      <c r="AP2795" s="87"/>
      <c r="AQ2795" s="87" t="s">
        <v>17338</v>
      </c>
      <c r="AR2795" s="87"/>
      <c r="AS2795" s="87"/>
      <c r="AT2795" s="87"/>
      <c r="AU2795" s="87"/>
      <c r="AV2795" s="92" t="str">
        <f>HYPERLINK("https://pbs.twimg.com/media/F1PjeXTWIAMq0k0.jpg")</f>
        <v>https://pbs.twimg.com/media/F1PjeXTWIAMq0k0.jpg</v>
      </c>
      <c r="AW2795" s="93" t="s">
        <v>20956</v>
      </c>
      <c r="AX2795" s="93" t="s">
        <v>20956</v>
      </c>
      <c r="AY2795" s="87"/>
      <c r="AZ2795" s="93" t="s">
        <v>22668</v>
      </c>
      <c r="BA2795" s="93" t="s">
        <v>22668</v>
      </c>
      <c r="BB2795" s="93" t="s">
        <v>22668</v>
      </c>
      <c r="BC2795" s="93" t="s">
        <v>20956</v>
      </c>
      <c r="BD2795" s="93" t="s">
        <v>23269</v>
      </c>
      <c r="BE2795" s="87"/>
      <c r="BF2795" s="87"/>
      <c r="BG2795" s="87"/>
      <c r="BH2795" s="87"/>
      <c r="BI2795" s="87"/>
    </row>
    <row r="2796" spans="1:61" x14ac:dyDescent="0.25">
      <c r="A2796" s="63" t="s">
        <v>1058</v>
      </c>
      <c r="B2796" s="63" t="s">
        <v>1058</v>
      </c>
      <c r="C2796" s="64"/>
      <c r="D2796" s="65"/>
      <c r="E2796" s="66"/>
      <c r="F2796" s="67"/>
      <c r="G2796" s="64"/>
      <c r="H2796" s="68"/>
      <c r="I2796" s="69"/>
      <c r="J2796" s="69"/>
      <c r="K2796" s="32"/>
      <c r="L2796" s="76">
        <v>2796</v>
      </c>
      <c r="M2796" s="76"/>
      <c r="N2796" s="71"/>
      <c r="O2796" s="87" t="s">
        <v>179</v>
      </c>
      <c r="P2796" s="90">
        <v>45124.542488425926</v>
      </c>
      <c r="Q2796" s="87" t="s">
        <v>4513</v>
      </c>
      <c r="R2796" s="87">
        <v>0</v>
      </c>
      <c r="S2796" s="87">
        <v>0</v>
      </c>
      <c r="T2796" s="87">
        <v>0</v>
      </c>
      <c r="U2796" s="87">
        <v>0</v>
      </c>
      <c r="V2796" s="87">
        <v>83</v>
      </c>
      <c r="W2796" s="93" t="s">
        <v>7424</v>
      </c>
      <c r="X2796" s="87"/>
      <c r="Y2796" s="87"/>
      <c r="Z2796" s="87"/>
      <c r="AA2796" s="87" t="s">
        <v>10527</v>
      </c>
      <c r="AB2796" s="87" t="s">
        <v>11448</v>
      </c>
      <c r="AC2796" s="93" t="s">
        <v>11457</v>
      </c>
      <c r="AD2796" s="87" t="s">
        <v>11519</v>
      </c>
      <c r="AE2796" s="92" t="str">
        <f>HYPERLINK("https://twitter.com/serraempauta/status/1680925615233409027")</f>
        <v>https://twitter.com/serraempauta/status/1680925615233409027</v>
      </c>
      <c r="AF2796" s="90">
        <v>45124.542488425926</v>
      </c>
      <c r="AG2796" s="99">
        <v>45124</v>
      </c>
      <c r="AH2796" s="93" t="s">
        <v>14037</v>
      </c>
      <c r="AI2796" s="87" t="b">
        <v>0</v>
      </c>
      <c r="AJ2796" s="87"/>
      <c r="AK2796" s="87"/>
      <c r="AL2796" s="87"/>
      <c r="AM2796" s="87"/>
      <c r="AN2796" s="87"/>
      <c r="AO2796" s="87"/>
      <c r="AP2796" s="87"/>
      <c r="AQ2796" s="87" t="s">
        <v>17339</v>
      </c>
      <c r="AR2796" s="87"/>
      <c r="AS2796" s="87"/>
      <c r="AT2796" s="87"/>
      <c r="AU2796" s="87"/>
      <c r="AV2796" s="92" t="str">
        <f>HYPERLINK("https://pbs.twimg.com/media/F1PY7xTXoAAHGpY.jpg")</f>
        <v>https://pbs.twimg.com/media/F1PY7xTXoAAHGpY.jpg</v>
      </c>
      <c r="AW2796" s="93" t="s">
        <v>20957</v>
      </c>
      <c r="AX2796" s="93" t="s">
        <v>20957</v>
      </c>
      <c r="AY2796" s="87"/>
      <c r="AZ2796" s="93" t="s">
        <v>22668</v>
      </c>
      <c r="BA2796" s="93" t="s">
        <v>22668</v>
      </c>
      <c r="BB2796" s="93" t="s">
        <v>22668</v>
      </c>
      <c r="BC2796" s="93" t="s">
        <v>20957</v>
      </c>
      <c r="BD2796" s="93" t="s">
        <v>23269</v>
      </c>
      <c r="BE2796" s="87"/>
      <c r="BF2796" s="87"/>
      <c r="BG2796" s="87"/>
      <c r="BH2796" s="87"/>
      <c r="BI2796" s="87"/>
    </row>
    <row r="2797" spans="1:61" x14ac:dyDescent="0.25">
      <c r="A2797" s="63" t="s">
        <v>1058</v>
      </c>
      <c r="B2797" s="63" t="s">
        <v>1058</v>
      </c>
      <c r="C2797" s="64"/>
      <c r="D2797" s="65"/>
      <c r="E2797" s="66"/>
      <c r="F2797" s="67"/>
      <c r="G2797" s="64"/>
      <c r="H2797" s="68"/>
      <c r="I2797" s="69"/>
      <c r="J2797" s="69"/>
      <c r="K2797" s="32"/>
      <c r="L2797" s="76">
        <v>2797</v>
      </c>
      <c r="M2797" s="76"/>
      <c r="N2797" s="71"/>
      <c r="O2797" s="87" t="s">
        <v>179</v>
      </c>
      <c r="P2797" s="90">
        <v>45124.517442129632</v>
      </c>
      <c r="Q2797" s="87" t="s">
        <v>4514</v>
      </c>
      <c r="R2797" s="87">
        <v>0</v>
      </c>
      <c r="S2797" s="87">
        <v>0</v>
      </c>
      <c r="T2797" s="87">
        <v>0</v>
      </c>
      <c r="U2797" s="87">
        <v>0</v>
      </c>
      <c r="V2797" s="87">
        <v>67</v>
      </c>
      <c r="W2797" s="93" t="s">
        <v>7424</v>
      </c>
      <c r="X2797" s="87"/>
      <c r="Y2797" s="87"/>
      <c r="Z2797" s="87"/>
      <c r="AA2797" s="87" t="s">
        <v>10528</v>
      </c>
      <c r="AB2797" s="87" t="s">
        <v>11448</v>
      </c>
      <c r="AC2797" s="93" t="s">
        <v>11457</v>
      </c>
      <c r="AD2797" s="87" t="s">
        <v>11519</v>
      </c>
      <c r="AE2797" s="92" t="str">
        <f>HYPERLINK("https://twitter.com/serraempauta/status/1680916540240150531")</f>
        <v>https://twitter.com/serraempauta/status/1680916540240150531</v>
      </c>
      <c r="AF2797" s="90">
        <v>45124.517442129632</v>
      </c>
      <c r="AG2797" s="99">
        <v>45124</v>
      </c>
      <c r="AH2797" s="93" t="s">
        <v>14038</v>
      </c>
      <c r="AI2797" s="87" t="b">
        <v>0</v>
      </c>
      <c r="AJ2797" s="87"/>
      <c r="AK2797" s="87"/>
      <c r="AL2797" s="87"/>
      <c r="AM2797" s="87"/>
      <c r="AN2797" s="87"/>
      <c r="AO2797" s="87"/>
      <c r="AP2797" s="87"/>
      <c r="AQ2797" s="87" t="s">
        <v>17340</v>
      </c>
      <c r="AR2797" s="87"/>
      <c r="AS2797" s="87"/>
      <c r="AT2797" s="87"/>
      <c r="AU2797" s="87"/>
      <c r="AV2797" s="92" t="str">
        <f>HYPERLINK("https://pbs.twimg.com/media/F1PQraRXwAA_ODL.jpg")</f>
        <v>https://pbs.twimg.com/media/F1PQraRXwAA_ODL.jpg</v>
      </c>
      <c r="AW2797" s="93" t="s">
        <v>20958</v>
      </c>
      <c r="AX2797" s="93" t="s">
        <v>20958</v>
      </c>
      <c r="AY2797" s="87"/>
      <c r="AZ2797" s="93" t="s">
        <v>22668</v>
      </c>
      <c r="BA2797" s="93" t="s">
        <v>22668</v>
      </c>
      <c r="BB2797" s="93" t="s">
        <v>22668</v>
      </c>
      <c r="BC2797" s="93" t="s">
        <v>20958</v>
      </c>
      <c r="BD2797" s="93" t="s">
        <v>23269</v>
      </c>
      <c r="BE2797" s="87"/>
      <c r="BF2797" s="87"/>
      <c r="BG2797" s="87"/>
      <c r="BH2797" s="87"/>
      <c r="BI2797" s="87"/>
    </row>
    <row r="2798" spans="1:61" x14ac:dyDescent="0.25">
      <c r="A2798" s="63" t="s">
        <v>1058</v>
      </c>
      <c r="B2798" s="63" t="s">
        <v>1058</v>
      </c>
      <c r="C2798" s="64"/>
      <c r="D2798" s="65"/>
      <c r="E2798" s="66"/>
      <c r="F2798" s="67"/>
      <c r="G2798" s="64"/>
      <c r="H2798" s="68"/>
      <c r="I2798" s="69"/>
      <c r="J2798" s="69"/>
      <c r="K2798" s="32"/>
      <c r="L2798" s="76">
        <v>2798</v>
      </c>
      <c r="M2798" s="76"/>
      <c r="N2798" s="71"/>
      <c r="O2798" s="87" t="s">
        <v>179</v>
      </c>
      <c r="P2798" s="90">
        <v>45124.505208333336</v>
      </c>
      <c r="Q2798" s="87" t="s">
        <v>4515</v>
      </c>
      <c r="R2798" s="87">
        <v>0</v>
      </c>
      <c r="S2798" s="87">
        <v>0</v>
      </c>
      <c r="T2798" s="87">
        <v>0</v>
      </c>
      <c r="U2798" s="87">
        <v>0</v>
      </c>
      <c r="V2798" s="87">
        <v>67</v>
      </c>
      <c r="W2798" s="93" t="s">
        <v>7424</v>
      </c>
      <c r="X2798" s="87"/>
      <c r="Y2798" s="87"/>
      <c r="Z2798" s="87"/>
      <c r="AA2798" s="87" t="s">
        <v>10529</v>
      </c>
      <c r="AB2798" s="87" t="s">
        <v>11448</v>
      </c>
      <c r="AC2798" s="93" t="s">
        <v>11457</v>
      </c>
      <c r="AD2798" s="87" t="s">
        <v>11519</v>
      </c>
      <c r="AE2798" s="92" t="str">
        <f>HYPERLINK("https://twitter.com/serraempauta/status/1680912105539530753")</f>
        <v>https://twitter.com/serraempauta/status/1680912105539530753</v>
      </c>
      <c r="AF2798" s="90">
        <v>45124.505208333336</v>
      </c>
      <c r="AG2798" s="99">
        <v>45124</v>
      </c>
      <c r="AH2798" s="93" t="s">
        <v>14039</v>
      </c>
      <c r="AI2798" s="87" t="b">
        <v>0</v>
      </c>
      <c r="AJ2798" s="87"/>
      <c r="AK2798" s="87"/>
      <c r="AL2798" s="87"/>
      <c r="AM2798" s="87"/>
      <c r="AN2798" s="87"/>
      <c r="AO2798" s="87"/>
      <c r="AP2798" s="87"/>
      <c r="AQ2798" s="87" t="s">
        <v>17341</v>
      </c>
      <c r="AR2798" s="87"/>
      <c r="AS2798" s="87"/>
      <c r="AT2798" s="87"/>
      <c r="AU2798" s="87"/>
      <c r="AV2798" s="92" t="str">
        <f>HYPERLINK("https://pbs.twimg.com/media/F1PMpcMWYAIdY2T.jpg")</f>
        <v>https://pbs.twimg.com/media/F1PMpcMWYAIdY2T.jpg</v>
      </c>
      <c r="AW2798" s="93" t="s">
        <v>20959</v>
      </c>
      <c r="AX2798" s="93" t="s">
        <v>20959</v>
      </c>
      <c r="AY2798" s="87"/>
      <c r="AZ2798" s="93" t="s">
        <v>22668</v>
      </c>
      <c r="BA2798" s="93" t="s">
        <v>22668</v>
      </c>
      <c r="BB2798" s="93" t="s">
        <v>22668</v>
      </c>
      <c r="BC2798" s="93" t="s">
        <v>20959</v>
      </c>
      <c r="BD2798" s="93" t="s">
        <v>23269</v>
      </c>
      <c r="BE2798" s="87"/>
      <c r="BF2798" s="87"/>
      <c r="BG2798" s="87"/>
      <c r="BH2798" s="87"/>
      <c r="BI2798" s="87"/>
    </row>
    <row r="2799" spans="1:61" x14ac:dyDescent="0.25">
      <c r="A2799" s="63" t="s">
        <v>1058</v>
      </c>
      <c r="B2799" s="63" t="s">
        <v>1058</v>
      </c>
      <c r="C2799" s="64"/>
      <c r="D2799" s="65"/>
      <c r="E2799" s="66"/>
      <c r="F2799" s="67"/>
      <c r="G2799" s="64"/>
      <c r="H2799" s="68"/>
      <c r="I2799" s="69"/>
      <c r="J2799" s="69"/>
      <c r="K2799" s="32"/>
      <c r="L2799" s="76">
        <v>2799</v>
      </c>
      <c r="M2799" s="76"/>
      <c r="N2799" s="71"/>
      <c r="O2799" s="87" t="s">
        <v>179</v>
      </c>
      <c r="P2799" s="90">
        <v>45124.485821759263</v>
      </c>
      <c r="Q2799" s="87" t="s">
        <v>4516</v>
      </c>
      <c r="R2799" s="87">
        <v>0</v>
      </c>
      <c r="S2799" s="87">
        <v>0</v>
      </c>
      <c r="T2799" s="87">
        <v>0</v>
      </c>
      <c r="U2799" s="87">
        <v>0</v>
      </c>
      <c r="V2799" s="87">
        <v>49</v>
      </c>
      <c r="W2799" s="93" t="s">
        <v>7424</v>
      </c>
      <c r="X2799" s="87"/>
      <c r="Y2799" s="87"/>
      <c r="Z2799" s="87"/>
      <c r="AA2799" s="87" t="s">
        <v>10530</v>
      </c>
      <c r="AB2799" s="87" t="s">
        <v>11448</v>
      </c>
      <c r="AC2799" s="93" t="s">
        <v>11457</v>
      </c>
      <c r="AD2799" s="87" t="s">
        <v>11519</v>
      </c>
      <c r="AE2799" s="92" t="str">
        <f>HYPERLINK("https://twitter.com/serraempauta/status/1680905079207985152")</f>
        <v>https://twitter.com/serraempauta/status/1680905079207985152</v>
      </c>
      <c r="AF2799" s="90">
        <v>45124.485821759263</v>
      </c>
      <c r="AG2799" s="99">
        <v>45124</v>
      </c>
      <c r="AH2799" s="93" t="s">
        <v>14040</v>
      </c>
      <c r="AI2799" s="87" t="b">
        <v>0</v>
      </c>
      <c r="AJ2799" s="87"/>
      <c r="AK2799" s="87"/>
      <c r="AL2799" s="87"/>
      <c r="AM2799" s="87"/>
      <c r="AN2799" s="87"/>
      <c r="AO2799" s="87"/>
      <c r="AP2799" s="87"/>
      <c r="AQ2799" s="87" t="s">
        <v>17342</v>
      </c>
      <c r="AR2799" s="87"/>
      <c r="AS2799" s="87"/>
      <c r="AT2799" s="87"/>
      <c r="AU2799" s="87"/>
      <c r="AV2799" s="92" t="str">
        <f>HYPERLINK("https://pbs.twimg.com/media/F1PGPnSWIAQYOkH.jpg")</f>
        <v>https://pbs.twimg.com/media/F1PGPnSWIAQYOkH.jpg</v>
      </c>
      <c r="AW2799" s="93" t="s">
        <v>20960</v>
      </c>
      <c r="AX2799" s="93" t="s">
        <v>20960</v>
      </c>
      <c r="AY2799" s="87"/>
      <c r="AZ2799" s="93" t="s">
        <v>22668</v>
      </c>
      <c r="BA2799" s="93" t="s">
        <v>22668</v>
      </c>
      <c r="BB2799" s="93" t="s">
        <v>22668</v>
      </c>
      <c r="BC2799" s="93" t="s">
        <v>20960</v>
      </c>
      <c r="BD2799" s="93" t="s">
        <v>23269</v>
      </c>
      <c r="BE2799" s="87"/>
      <c r="BF2799" s="87"/>
      <c r="BG2799" s="87"/>
      <c r="BH2799" s="87"/>
      <c r="BI2799" s="87"/>
    </row>
    <row r="2800" spans="1:61" x14ac:dyDescent="0.25">
      <c r="A2800" s="63" t="s">
        <v>1058</v>
      </c>
      <c r="B2800" s="63" t="s">
        <v>1058</v>
      </c>
      <c r="C2800" s="64"/>
      <c r="D2800" s="65"/>
      <c r="E2800" s="66"/>
      <c r="F2800" s="67"/>
      <c r="G2800" s="64"/>
      <c r="H2800" s="68"/>
      <c r="I2800" s="69"/>
      <c r="J2800" s="69"/>
      <c r="K2800" s="32"/>
      <c r="L2800" s="76">
        <v>2800</v>
      </c>
      <c r="M2800" s="76"/>
      <c r="N2800" s="71"/>
      <c r="O2800" s="87" t="s">
        <v>179</v>
      </c>
      <c r="P2800" s="90">
        <v>45123.729756944442</v>
      </c>
      <c r="Q2800" s="87" t="s">
        <v>4517</v>
      </c>
      <c r="R2800" s="87">
        <v>0</v>
      </c>
      <c r="S2800" s="87">
        <v>0</v>
      </c>
      <c r="T2800" s="87">
        <v>0</v>
      </c>
      <c r="U2800" s="87">
        <v>0</v>
      </c>
      <c r="V2800" s="87">
        <v>61</v>
      </c>
      <c r="W2800" s="93" t="s">
        <v>7424</v>
      </c>
      <c r="X2800" s="87"/>
      <c r="Y2800" s="87"/>
      <c r="Z2800" s="87"/>
      <c r="AA2800" s="87" t="s">
        <v>10531</v>
      </c>
      <c r="AB2800" s="87" t="s">
        <v>11448</v>
      </c>
      <c r="AC2800" s="93" t="s">
        <v>11457</v>
      </c>
      <c r="AD2800" s="87" t="s">
        <v>11519</v>
      </c>
      <c r="AE2800" s="92" t="str">
        <f>HYPERLINK("https://twitter.com/serraempauta/status/1680631091684691969")</f>
        <v>https://twitter.com/serraempauta/status/1680631091684691969</v>
      </c>
      <c r="AF2800" s="90">
        <v>45123.729756944442</v>
      </c>
      <c r="AG2800" s="99">
        <v>45123</v>
      </c>
      <c r="AH2800" s="93" t="s">
        <v>14041</v>
      </c>
      <c r="AI2800" s="87" t="b">
        <v>0</v>
      </c>
      <c r="AJ2800" s="87"/>
      <c r="AK2800" s="87"/>
      <c r="AL2800" s="87"/>
      <c r="AM2800" s="87"/>
      <c r="AN2800" s="87"/>
      <c r="AO2800" s="87"/>
      <c r="AP2800" s="87"/>
      <c r="AQ2800" s="87" t="s">
        <v>17343</v>
      </c>
      <c r="AR2800" s="87"/>
      <c r="AS2800" s="87"/>
      <c r="AT2800" s="87"/>
      <c r="AU2800" s="87"/>
      <c r="AV2800" s="92" t="str">
        <f>HYPERLINK("https://pbs.twimg.com/media/F1LNCYeXoAAdwL0.jpg")</f>
        <v>https://pbs.twimg.com/media/F1LNCYeXoAAdwL0.jpg</v>
      </c>
      <c r="AW2800" s="93" t="s">
        <v>20961</v>
      </c>
      <c r="AX2800" s="93" t="s">
        <v>20961</v>
      </c>
      <c r="AY2800" s="87"/>
      <c r="AZ2800" s="93" t="s">
        <v>22668</v>
      </c>
      <c r="BA2800" s="93" t="s">
        <v>22668</v>
      </c>
      <c r="BB2800" s="93" t="s">
        <v>22668</v>
      </c>
      <c r="BC2800" s="93" t="s">
        <v>20961</v>
      </c>
      <c r="BD2800" s="93" t="s">
        <v>23269</v>
      </c>
      <c r="BE2800" s="87"/>
      <c r="BF2800" s="87"/>
      <c r="BG2800" s="87"/>
      <c r="BH2800" s="87"/>
      <c r="BI2800" s="87"/>
    </row>
    <row r="2801" spans="1:61" x14ac:dyDescent="0.25">
      <c r="A2801" s="63" t="s">
        <v>1058</v>
      </c>
      <c r="B2801" s="63" t="s">
        <v>1058</v>
      </c>
      <c r="C2801" s="64"/>
      <c r="D2801" s="65"/>
      <c r="E2801" s="66"/>
      <c r="F2801" s="67"/>
      <c r="G2801" s="64"/>
      <c r="H2801" s="68"/>
      <c r="I2801" s="69"/>
      <c r="J2801" s="69"/>
      <c r="K2801" s="32"/>
      <c r="L2801" s="76">
        <v>2801</v>
      </c>
      <c r="M2801" s="76"/>
      <c r="N2801" s="71"/>
      <c r="O2801" s="87" t="s">
        <v>179</v>
      </c>
      <c r="P2801" s="90">
        <v>45123.707037037035</v>
      </c>
      <c r="Q2801" s="87" t="s">
        <v>4518</v>
      </c>
      <c r="R2801" s="87">
        <v>0</v>
      </c>
      <c r="S2801" s="87">
        <v>0</v>
      </c>
      <c r="T2801" s="87">
        <v>0</v>
      </c>
      <c r="U2801" s="87">
        <v>0</v>
      </c>
      <c r="V2801" s="87">
        <v>52</v>
      </c>
      <c r="W2801" s="93" t="s">
        <v>7424</v>
      </c>
      <c r="X2801" s="87"/>
      <c r="Y2801" s="87"/>
      <c r="Z2801" s="87"/>
      <c r="AA2801" s="87" t="s">
        <v>10532</v>
      </c>
      <c r="AB2801" s="87" t="s">
        <v>11448</v>
      </c>
      <c r="AC2801" s="93" t="s">
        <v>11457</v>
      </c>
      <c r="AD2801" s="87" t="s">
        <v>11519</v>
      </c>
      <c r="AE2801" s="92" t="str">
        <f>HYPERLINK("https://twitter.com/serraempauta/status/1680622858312056832")</f>
        <v>https://twitter.com/serraempauta/status/1680622858312056832</v>
      </c>
      <c r="AF2801" s="90">
        <v>45123.707037037035</v>
      </c>
      <c r="AG2801" s="99">
        <v>45123</v>
      </c>
      <c r="AH2801" s="93" t="s">
        <v>14042</v>
      </c>
      <c r="AI2801" s="87" t="b">
        <v>0</v>
      </c>
      <c r="AJ2801" s="87"/>
      <c r="AK2801" s="87"/>
      <c r="AL2801" s="87"/>
      <c r="AM2801" s="87"/>
      <c r="AN2801" s="87"/>
      <c r="AO2801" s="87"/>
      <c r="AP2801" s="87"/>
      <c r="AQ2801" s="87" t="s">
        <v>17344</v>
      </c>
      <c r="AR2801" s="87"/>
      <c r="AS2801" s="87"/>
      <c r="AT2801" s="87"/>
      <c r="AU2801" s="87"/>
      <c r="AV2801" s="92" t="str">
        <f>HYPERLINK("https://pbs.twimg.com/media/F1LFk8TWYAESxKg.jpg")</f>
        <v>https://pbs.twimg.com/media/F1LFk8TWYAESxKg.jpg</v>
      </c>
      <c r="AW2801" s="93" t="s">
        <v>20962</v>
      </c>
      <c r="AX2801" s="93" t="s">
        <v>20962</v>
      </c>
      <c r="AY2801" s="87"/>
      <c r="AZ2801" s="93" t="s">
        <v>22668</v>
      </c>
      <c r="BA2801" s="93" t="s">
        <v>22668</v>
      </c>
      <c r="BB2801" s="93" t="s">
        <v>22668</v>
      </c>
      <c r="BC2801" s="93" t="s">
        <v>20962</v>
      </c>
      <c r="BD2801" s="93" t="s">
        <v>23269</v>
      </c>
      <c r="BE2801" s="87"/>
      <c r="BF2801" s="87"/>
      <c r="BG2801" s="87"/>
      <c r="BH2801" s="87"/>
      <c r="BI2801" s="87"/>
    </row>
    <row r="2802" spans="1:61" x14ac:dyDescent="0.25">
      <c r="A2802" s="63" t="s">
        <v>1058</v>
      </c>
      <c r="B2802" s="63" t="s">
        <v>1058</v>
      </c>
      <c r="C2802" s="64"/>
      <c r="D2802" s="65"/>
      <c r="E2802" s="66"/>
      <c r="F2802" s="67"/>
      <c r="G2802" s="64"/>
      <c r="H2802" s="68"/>
      <c r="I2802" s="69"/>
      <c r="J2802" s="69"/>
      <c r="K2802" s="32"/>
      <c r="L2802" s="76">
        <v>2802</v>
      </c>
      <c r="M2802" s="76"/>
      <c r="N2802" s="71"/>
      <c r="O2802" s="87" t="s">
        <v>179</v>
      </c>
      <c r="P2802" s="90">
        <v>45122.713946759257</v>
      </c>
      <c r="Q2802" s="87" t="s">
        <v>4519</v>
      </c>
      <c r="R2802" s="87">
        <v>0</v>
      </c>
      <c r="S2802" s="87">
        <v>0</v>
      </c>
      <c r="T2802" s="87">
        <v>0</v>
      </c>
      <c r="U2802" s="87">
        <v>0</v>
      </c>
      <c r="V2802" s="87">
        <v>66</v>
      </c>
      <c r="W2802" s="93" t="s">
        <v>7424</v>
      </c>
      <c r="X2802" s="87"/>
      <c r="Y2802" s="87"/>
      <c r="Z2802" s="87"/>
      <c r="AA2802" s="87" t="s">
        <v>10533</v>
      </c>
      <c r="AB2802" s="87" t="s">
        <v>11448</v>
      </c>
      <c r="AC2802" s="93" t="s">
        <v>11457</v>
      </c>
      <c r="AD2802" s="87" t="s">
        <v>11519</v>
      </c>
      <c r="AE2802" s="92" t="str">
        <f>HYPERLINK("https://twitter.com/serraempauta/status/1680262974718500871")</f>
        <v>https://twitter.com/serraempauta/status/1680262974718500871</v>
      </c>
      <c r="AF2802" s="90">
        <v>45122.713946759257</v>
      </c>
      <c r="AG2802" s="99">
        <v>45122</v>
      </c>
      <c r="AH2802" s="93" t="s">
        <v>14043</v>
      </c>
      <c r="AI2802" s="87" t="b">
        <v>0</v>
      </c>
      <c r="AJ2802" s="87"/>
      <c r="AK2802" s="87"/>
      <c r="AL2802" s="87"/>
      <c r="AM2802" s="87"/>
      <c r="AN2802" s="87"/>
      <c r="AO2802" s="87"/>
      <c r="AP2802" s="87"/>
      <c r="AQ2802" s="87" t="s">
        <v>17345</v>
      </c>
      <c r="AR2802" s="87"/>
      <c r="AS2802" s="87"/>
      <c r="AT2802" s="87"/>
      <c r="AU2802" s="87"/>
      <c r="AV2802" s="92" t="str">
        <f>HYPERLINK("https://pbs.twimg.com/media/F1F-PT5WYAE6oeo.jpg")</f>
        <v>https://pbs.twimg.com/media/F1F-PT5WYAE6oeo.jpg</v>
      </c>
      <c r="AW2802" s="93" t="s">
        <v>20963</v>
      </c>
      <c r="AX2802" s="93" t="s">
        <v>20963</v>
      </c>
      <c r="AY2802" s="87"/>
      <c r="AZ2802" s="93" t="s">
        <v>22668</v>
      </c>
      <c r="BA2802" s="93" t="s">
        <v>22668</v>
      </c>
      <c r="BB2802" s="93" t="s">
        <v>22668</v>
      </c>
      <c r="BC2802" s="93" t="s">
        <v>20963</v>
      </c>
      <c r="BD2802" s="93" t="s">
        <v>23269</v>
      </c>
      <c r="BE2802" s="87"/>
      <c r="BF2802" s="87"/>
      <c r="BG2802" s="87"/>
      <c r="BH2802" s="87"/>
      <c r="BI2802" s="87"/>
    </row>
    <row r="2803" spans="1:61" x14ac:dyDescent="0.25">
      <c r="A2803" s="63" t="s">
        <v>1058</v>
      </c>
      <c r="B2803" s="63" t="s">
        <v>1058</v>
      </c>
      <c r="C2803" s="64"/>
      <c r="D2803" s="65"/>
      <c r="E2803" s="66"/>
      <c r="F2803" s="67"/>
      <c r="G2803" s="64"/>
      <c r="H2803" s="68"/>
      <c r="I2803" s="69"/>
      <c r="J2803" s="69"/>
      <c r="K2803" s="32"/>
      <c r="L2803" s="76">
        <v>2803</v>
      </c>
      <c r="M2803" s="76"/>
      <c r="N2803" s="71"/>
      <c r="O2803" s="87" t="s">
        <v>179</v>
      </c>
      <c r="P2803" s="90">
        <v>45121.915775462963</v>
      </c>
      <c r="Q2803" s="87" t="s">
        <v>4520</v>
      </c>
      <c r="R2803" s="87">
        <v>0</v>
      </c>
      <c r="S2803" s="87">
        <v>0</v>
      </c>
      <c r="T2803" s="87">
        <v>0</v>
      </c>
      <c r="U2803" s="87">
        <v>0</v>
      </c>
      <c r="V2803" s="87">
        <v>48</v>
      </c>
      <c r="W2803" s="93" t="s">
        <v>7424</v>
      </c>
      <c r="X2803" s="87"/>
      <c r="Y2803" s="87"/>
      <c r="Z2803" s="87"/>
      <c r="AA2803" s="87" t="s">
        <v>10534</v>
      </c>
      <c r="AB2803" s="87" t="s">
        <v>11448</v>
      </c>
      <c r="AC2803" s="93" t="s">
        <v>11457</v>
      </c>
      <c r="AD2803" s="87" t="s">
        <v>11519</v>
      </c>
      <c r="AE2803" s="92" t="str">
        <f>HYPERLINK("https://twitter.com/serraempauta/status/1679973725503131657")</f>
        <v>https://twitter.com/serraempauta/status/1679973725503131657</v>
      </c>
      <c r="AF2803" s="90">
        <v>45121.915775462963</v>
      </c>
      <c r="AG2803" s="99">
        <v>45121</v>
      </c>
      <c r="AH2803" s="93" t="s">
        <v>14044</v>
      </c>
      <c r="AI2803" s="87" t="b">
        <v>0</v>
      </c>
      <c r="AJ2803" s="87"/>
      <c r="AK2803" s="87"/>
      <c r="AL2803" s="87"/>
      <c r="AM2803" s="87"/>
      <c r="AN2803" s="87"/>
      <c r="AO2803" s="87"/>
      <c r="AP2803" s="87"/>
      <c r="AQ2803" s="87" t="s">
        <v>17346</v>
      </c>
      <c r="AR2803" s="87"/>
      <c r="AS2803" s="87"/>
      <c r="AT2803" s="87"/>
      <c r="AU2803" s="87"/>
      <c r="AV2803" s="92" t="str">
        <f>HYPERLINK("https://pbs.twimg.com/media/F1B3MZQX0AAdrgH.jpg")</f>
        <v>https://pbs.twimg.com/media/F1B3MZQX0AAdrgH.jpg</v>
      </c>
      <c r="AW2803" s="93" t="s">
        <v>20964</v>
      </c>
      <c r="AX2803" s="93" t="s">
        <v>20964</v>
      </c>
      <c r="AY2803" s="87"/>
      <c r="AZ2803" s="93" t="s">
        <v>22668</v>
      </c>
      <c r="BA2803" s="93" t="s">
        <v>22668</v>
      </c>
      <c r="BB2803" s="93" t="s">
        <v>22668</v>
      </c>
      <c r="BC2803" s="93" t="s">
        <v>20964</v>
      </c>
      <c r="BD2803" s="93" t="s">
        <v>23269</v>
      </c>
      <c r="BE2803" s="87"/>
      <c r="BF2803" s="87"/>
      <c r="BG2803" s="87"/>
      <c r="BH2803" s="87"/>
      <c r="BI2803" s="87"/>
    </row>
    <row r="2804" spans="1:61" x14ac:dyDescent="0.25">
      <c r="A2804" s="63" t="s">
        <v>1058</v>
      </c>
      <c r="B2804" s="63" t="s">
        <v>1058</v>
      </c>
      <c r="C2804" s="64"/>
      <c r="D2804" s="65"/>
      <c r="E2804" s="66"/>
      <c r="F2804" s="67"/>
      <c r="G2804" s="64"/>
      <c r="H2804" s="68"/>
      <c r="I2804" s="69"/>
      <c r="J2804" s="69"/>
      <c r="K2804" s="32"/>
      <c r="L2804" s="76">
        <v>2804</v>
      </c>
      <c r="M2804" s="76"/>
      <c r="N2804" s="71"/>
      <c r="O2804" s="87" t="s">
        <v>179</v>
      </c>
      <c r="P2804" s="90">
        <v>45196.792013888888</v>
      </c>
      <c r="Q2804" s="87" t="s">
        <v>4521</v>
      </c>
      <c r="R2804" s="87">
        <v>0</v>
      </c>
      <c r="S2804" s="87">
        <v>0</v>
      </c>
      <c r="T2804" s="87">
        <v>0</v>
      </c>
      <c r="U2804" s="87">
        <v>0</v>
      </c>
      <c r="V2804" s="87">
        <v>21</v>
      </c>
      <c r="W2804" s="93" t="s">
        <v>7424</v>
      </c>
      <c r="X2804" s="87"/>
      <c r="Y2804" s="87"/>
      <c r="Z2804" s="87"/>
      <c r="AA2804" s="87" t="s">
        <v>10535</v>
      </c>
      <c r="AB2804" s="87" t="s">
        <v>11448</v>
      </c>
      <c r="AC2804" s="93" t="s">
        <v>11457</v>
      </c>
      <c r="AD2804" s="87" t="s">
        <v>11519</v>
      </c>
      <c r="AE2804" s="92" t="str">
        <f>HYPERLINK("https://twitter.com/serraempauta/status/1707107966468403431")</f>
        <v>https://twitter.com/serraempauta/status/1707107966468403431</v>
      </c>
      <c r="AF2804" s="90">
        <v>45196.792013888888</v>
      </c>
      <c r="AG2804" s="99">
        <v>45196</v>
      </c>
      <c r="AH2804" s="93" t="s">
        <v>14045</v>
      </c>
      <c r="AI2804" s="87" t="b">
        <v>0</v>
      </c>
      <c r="AJ2804" s="87"/>
      <c r="AK2804" s="87"/>
      <c r="AL2804" s="87"/>
      <c r="AM2804" s="87"/>
      <c r="AN2804" s="87"/>
      <c r="AO2804" s="87"/>
      <c r="AP2804" s="87"/>
      <c r="AQ2804" s="87" t="s">
        <v>17347</v>
      </c>
      <c r="AR2804" s="87"/>
      <c r="AS2804" s="87"/>
      <c r="AT2804" s="87"/>
      <c r="AU2804" s="87"/>
      <c r="AV2804" s="92" t="str">
        <f>HYPERLINK("https://pbs.twimg.com/media/F7Ddn8qXEAAeBaD.jpg")</f>
        <v>https://pbs.twimg.com/media/F7Ddn8qXEAAeBaD.jpg</v>
      </c>
      <c r="AW2804" s="93" t="s">
        <v>20965</v>
      </c>
      <c r="AX2804" s="93" t="s">
        <v>20965</v>
      </c>
      <c r="AY2804" s="87"/>
      <c r="AZ2804" s="93" t="s">
        <v>22668</v>
      </c>
      <c r="BA2804" s="93" t="s">
        <v>22668</v>
      </c>
      <c r="BB2804" s="93" t="s">
        <v>22668</v>
      </c>
      <c r="BC2804" s="93" t="s">
        <v>20965</v>
      </c>
      <c r="BD2804" s="93" t="s">
        <v>23269</v>
      </c>
      <c r="BE2804" s="87"/>
      <c r="BF2804" s="87"/>
      <c r="BG2804" s="87"/>
      <c r="BH2804" s="87"/>
      <c r="BI2804" s="87"/>
    </row>
    <row r="2805" spans="1:61" x14ac:dyDescent="0.25">
      <c r="A2805" s="63" t="s">
        <v>1058</v>
      </c>
      <c r="B2805" s="63" t="s">
        <v>1058</v>
      </c>
      <c r="C2805" s="64"/>
      <c r="D2805" s="65"/>
      <c r="E2805" s="66"/>
      <c r="F2805" s="67"/>
      <c r="G2805" s="64"/>
      <c r="H2805" s="68"/>
      <c r="I2805" s="69"/>
      <c r="J2805" s="69"/>
      <c r="K2805" s="32"/>
      <c r="L2805" s="76">
        <v>2805</v>
      </c>
      <c r="M2805" s="76"/>
      <c r="N2805" s="71"/>
      <c r="O2805" s="87" t="s">
        <v>179</v>
      </c>
      <c r="P2805" s="90">
        <v>45196.540462962963</v>
      </c>
      <c r="Q2805" s="87" t="s">
        <v>4522</v>
      </c>
      <c r="R2805" s="87">
        <v>0</v>
      </c>
      <c r="S2805" s="87">
        <v>1</v>
      </c>
      <c r="T2805" s="87">
        <v>0</v>
      </c>
      <c r="U2805" s="87">
        <v>0</v>
      </c>
      <c r="V2805" s="87">
        <v>40</v>
      </c>
      <c r="W2805" s="93" t="s">
        <v>7424</v>
      </c>
      <c r="X2805" s="87"/>
      <c r="Y2805" s="87"/>
      <c r="Z2805" s="87"/>
      <c r="AA2805" s="87" t="s">
        <v>10536</v>
      </c>
      <c r="AB2805" s="87" t="s">
        <v>11448</v>
      </c>
      <c r="AC2805" s="93" t="s">
        <v>11457</v>
      </c>
      <c r="AD2805" s="87" t="s">
        <v>11519</v>
      </c>
      <c r="AE2805" s="92" t="str">
        <f>HYPERLINK("https://twitter.com/serraempauta/status/1707016807243038755")</f>
        <v>https://twitter.com/serraempauta/status/1707016807243038755</v>
      </c>
      <c r="AF2805" s="90">
        <v>45196.540462962963</v>
      </c>
      <c r="AG2805" s="99">
        <v>45196</v>
      </c>
      <c r="AH2805" s="93" t="s">
        <v>14046</v>
      </c>
      <c r="AI2805" s="87" t="b">
        <v>0</v>
      </c>
      <c r="AJ2805" s="87"/>
      <c r="AK2805" s="87"/>
      <c r="AL2805" s="87"/>
      <c r="AM2805" s="87"/>
      <c r="AN2805" s="87"/>
      <c r="AO2805" s="87"/>
      <c r="AP2805" s="87"/>
      <c r="AQ2805" s="87" t="s">
        <v>17348</v>
      </c>
      <c r="AR2805" s="87"/>
      <c r="AS2805" s="87"/>
      <c r="AT2805" s="87"/>
      <c r="AU2805" s="87"/>
      <c r="AV2805" s="92" t="str">
        <f>HYPERLINK("https://pbs.twimg.com/media/F7CKrJWXMAAdyDi.jpg")</f>
        <v>https://pbs.twimg.com/media/F7CKrJWXMAAdyDi.jpg</v>
      </c>
      <c r="AW2805" s="93" t="s">
        <v>20966</v>
      </c>
      <c r="AX2805" s="93" t="s">
        <v>20966</v>
      </c>
      <c r="AY2805" s="87"/>
      <c r="AZ2805" s="93" t="s">
        <v>22668</v>
      </c>
      <c r="BA2805" s="93" t="s">
        <v>22668</v>
      </c>
      <c r="BB2805" s="93" t="s">
        <v>22668</v>
      </c>
      <c r="BC2805" s="93" t="s">
        <v>20966</v>
      </c>
      <c r="BD2805" s="93" t="s">
        <v>23269</v>
      </c>
      <c r="BE2805" s="87"/>
      <c r="BF2805" s="87"/>
      <c r="BG2805" s="87"/>
      <c r="BH2805" s="87"/>
      <c r="BI2805" s="87"/>
    </row>
    <row r="2806" spans="1:61" x14ac:dyDescent="0.25">
      <c r="A2806" s="63" t="s">
        <v>1058</v>
      </c>
      <c r="B2806" s="63" t="s">
        <v>1058</v>
      </c>
      <c r="C2806" s="64"/>
      <c r="D2806" s="65"/>
      <c r="E2806" s="66"/>
      <c r="F2806" s="67"/>
      <c r="G2806" s="64"/>
      <c r="H2806" s="68"/>
      <c r="I2806" s="69"/>
      <c r="J2806" s="69"/>
      <c r="K2806" s="32"/>
      <c r="L2806" s="76">
        <v>2806</v>
      </c>
      <c r="M2806" s="76"/>
      <c r="N2806" s="71"/>
      <c r="O2806" s="87" t="s">
        <v>179</v>
      </c>
      <c r="P2806" s="90">
        <v>45195.510833333334</v>
      </c>
      <c r="Q2806" s="87" t="s">
        <v>4523</v>
      </c>
      <c r="R2806" s="87">
        <v>0</v>
      </c>
      <c r="S2806" s="87">
        <v>0</v>
      </c>
      <c r="T2806" s="87">
        <v>0</v>
      </c>
      <c r="U2806" s="87">
        <v>0</v>
      </c>
      <c r="V2806" s="87">
        <v>30</v>
      </c>
      <c r="W2806" s="93" t="s">
        <v>7424</v>
      </c>
      <c r="X2806" s="87"/>
      <c r="Y2806" s="87"/>
      <c r="Z2806" s="87"/>
      <c r="AA2806" s="87" t="s">
        <v>10537</v>
      </c>
      <c r="AB2806" s="87" t="s">
        <v>11448</v>
      </c>
      <c r="AC2806" s="93" t="s">
        <v>11457</v>
      </c>
      <c r="AD2806" s="87" t="s">
        <v>11519</v>
      </c>
      <c r="AE2806" s="92" t="str">
        <f>HYPERLINK("https://twitter.com/serraempauta/status/1706643682181763501")</f>
        <v>https://twitter.com/serraempauta/status/1706643682181763501</v>
      </c>
      <c r="AF2806" s="90">
        <v>45195.510833333334</v>
      </c>
      <c r="AG2806" s="99">
        <v>45195</v>
      </c>
      <c r="AH2806" s="93" t="s">
        <v>14047</v>
      </c>
      <c r="AI2806" s="87" t="b">
        <v>0</v>
      </c>
      <c r="AJ2806" s="87"/>
      <c r="AK2806" s="87"/>
      <c r="AL2806" s="87"/>
      <c r="AM2806" s="87"/>
      <c r="AN2806" s="87"/>
      <c r="AO2806" s="87"/>
      <c r="AP2806" s="87"/>
      <c r="AQ2806" s="87" t="s">
        <v>17349</v>
      </c>
      <c r="AR2806" s="87"/>
      <c r="AS2806" s="87"/>
      <c r="AT2806" s="87"/>
      <c r="AU2806" s="87"/>
      <c r="AV2806" s="92" t="str">
        <f>HYPERLINK("https://pbs.twimg.com/media/F683Xa4WYAEINja.jpg")</f>
        <v>https://pbs.twimg.com/media/F683Xa4WYAEINja.jpg</v>
      </c>
      <c r="AW2806" s="93" t="s">
        <v>20967</v>
      </c>
      <c r="AX2806" s="93" t="s">
        <v>20967</v>
      </c>
      <c r="AY2806" s="87"/>
      <c r="AZ2806" s="93" t="s">
        <v>22668</v>
      </c>
      <c r="BA2806" s="93" t="s">
        <v>22668</v>
      </c>
      <c r="BB2806" s="93" t="s">
        <v>22668</v>
      </c>
      <c r="BC2806" s="93" t="s">
        <v>20967</v>
      </c>
      <c r="BD2806" s="93" t="s">
        <v>23269</v>
      </c>
      <c r="BE2806" s="87"/>
      <c r="BF2806" s="87"/>
      <c r="BG2806" s="87"/>
      <c r="BH2806" s="87"/>
      <c r="BI2806" s="87"/>
    </row>
    <row r="2807" spans="1:61" x14ac:dyDescent="0.25">
      <c r="A2807" s="63" t="s">
        <v>1058</v>
      </c>
      <c r="B2807" s="63" t="s">
        <v>1058</v>
      </c>
      <c r="C2807" s="64"/>
      <c r="D2807" s="65"/>
      <c r="E2807" s="66"/>
      <c r="F2807" s="67"/>
      <c r="G2807" s="64"/>
      <c r="H2807" s="68"/>
      <c r="I2807" s="69"/>
      <c r="J2807" s="69"/>
      <c r="K2807" s="32"/>
      <c r="L2807" s="76">
        <v>2807</v>
      </c>
      <c r="M2807" s="76"/>
      <c r="N2807" s="71"/>
      <c r="O2807" s="87" t="s">
        <v>179</v>
      </c>
      <c r="P2807" s="90">
        <v>45194.776180555556</v>
      </c>
      <c r="Q2807" s="87" t="s">
        <v>4524</v>
      </c>
      <c r="R2807" s="87">
        <v>0</v>
      </c>
      <c r="S2807" s="87">
        <v>0</v>
      </c>
      <c r="T2807" s="87">
        <v>0</v>
      </c>
      <c r="U2807" s="87">
        <v>0</v>
      </c>
      <c r="V2807" s="87">
        <v>42</v>
      </c>
      <c r="W2807" s="93" t="s">
        <v>7424</v>
      </c>
      <c r="X2807" s="87"/>
      <c r="Y2807" s="87"/>
      <c r="Z2807" s="87"/>
      <c r="AA2807" s="87" t="s">
        <v>10538</v>
      </c>
      <c r="AB2807" s="87" t="s">
        <v>11448</v>
      </c>
      <c r="AC2807" s="93" t="s">
        <v>11457</v>
      </c>
      <c r="AD2807" s="87" t="s">
        <v>11519</v>
      </c>
      <c r="AE2807" s="92" t="str">
        <f>HYPERLINK("https://twitter.com/serraempauta/status/1706377451738165289")</f>
        <v>https://twitter.com/serraempauta/status/1706377451738165289</v>
      </c>
      <c r="AF2807" s="90">
        <v>45194.776180555556</v>
      </c>
      <c r="AG2807" s="99">
        <v>45194</v>
      </c>
      <c r="AH2807" s="93" t="s">
        <v>14048</v>
      </c>
      <c r="AI2807" s="87" t="b">
        <v>0</v>
      </c>
      <c r="AJ2807" s="87"/>
      <c r="AK2807" s="87"/>
      <c r="AL2807" s="87"/>
      <c r="AM2807" s="87"/>
      <c r="AN2807" s="87"/>
      <c r="AO2807" s="87"/>
      <c r="AP2807" s="87"/>
      <c r="AQ2807" s="87" t="s">
        <v>17350</v>
      </c>
      <c r="AR2807" s="87"/>
      <c r="AS2807" s="87"/>
      <c r="AT2807" s="87"/>
      <c r="AU2807" s="87"/>
      <c r="AV2807" s="92" t="str">
        <f>HYPERLINK("https://pbs.twimg.com/media/F65FPhPXUAAI8jE.jpg")</f>
        <v>https://pbs.twimg.com/media/F65FPhPXUAAI8jE.jpg</v>
      </c>
      <c r="AW2807" s="93" t="s">
        <v>20968</v>
      </c>
      <c r="AX2807" s="93" t="s">
        <v>20968</v>
      </c>
      <c r="AY2807" s="87"/>
      <c r="AZ2807" s="93" t="s">
        <v>22668</v>
      </c>
      <c r="BA2807" s="93" t="s">
        <v>22668</v>
      </c>
      <c r="BB2807" s="93" t="s">
        <v>22668</v>
      </c>
      <c r="BC2807" s="93" t="s">
        <v>20968</v>
      </c>
      <c r="BD2807" s="93" t="s">
        <v>23269</v>
      </c>
      <c r="BE2807" s="87"/>
      <c r="BF2807" s="87"/>
      <c r="BG2807" s="87"/>
      <c r="BH2807" s="87"/>
      <c r="BI2807" s="87"/>
    </row>
    <row r="2808" spans="1:61" x14ac:dyDescent="0.25">
      <c r="A2808" s="63" t="s">
        <v>1058</v>
      </c>
      <c r="B2808" s="63" t="s">
        <v>1058</v>
      </c>
      <c r="C2808" s="64"/>
      <c r="D2808" s="65"/>
      <c r="E2808" s="66"/>
      <c r="F2808" s="67"/>
      <c r="G2808" s="64"/>
      <c r="H2808" s="68"/>
      <c r="I2808" s="69"/>
      <c r="J2808" s="69"/>
      <c r="K2808" s="32"/>
      <c r="L2808" s="76">
        <v>2808</v>
      </c>
      <c r="M2808" s="76"/>
      <c r="N2808" s="71"/>
      <c r="O2808" s="87" t="s">
        <v>179</v>
      </c>
      <c r="P2808" s="90">
        <v>45194.549328703702</v>
      </c>
      <c r="Q2808" s="87" t="s">
        <v>4525</v>
      </c>
      <c r="R2808" s="87">
        <v>0</v>
      </c>
      <c r="S2808" s="87">
        <v>0</v>
      </c>
      <c r="T2808" s="87">
        <v>0</v>
      </c>
      <c r="U2808" s="87">
        <v>0</v>
      </c>
      <c r="V2808" s="87">
        <v>31</v>
      </c>
      <c r="W2808" s="93" t="s">
        <v>7424</v>
      </c>
      <c r="X2808" s="87"/>
      <c r="Y2808" s="87"/>
      <c r="Z2808" s="87"/>
      <c r="AA2808" s="87" t="s">
        <v>10539</v>
      </c>
      <c r="AB2808" s="87" t="s">
        <v>11448</v>
      </c>
      <c r="AC2808" s="93" t="s">
        <v>11457</v>
      </c>
      <c r="AD2808" s="87" t="s">
        <v>11519</v>
      </c>
      <c r="AE2808" s="92" t="str">
        <f>HYPERLINK("https://twitter.com/serraempauta/status/1706295246844252330")</f>
        <v>https://twitter.com/serraempauta/status/1706295246844252330</v>
      </c>
      <c r="AF2808" s="90">
        <v>45194.549328703702</v>
      </c>
      <c r="AG2808" s="99">
        <v>45194</v>
      </c>
      <c r="AH2808" s="93" t="s">
        <v>14049</v>
      </c>
      <c r="AI2808" s="87" t="b">
        <v>0</v>
      </c>
      <c r="AJ2808" s="87"/>
      <c r="AK2808" s="87"/>
      <c r="AL2808" s="87"/>
      <c r="AM2808" s="87"/>
      <c r="AN2808" s="87"/>
      <c r="AO2808" s="87"/>
      <c r="AP2808" s="87"/>
      <c r="AQ2808" s="87" t="s">
        <v>17351</v>
      </c>
      <c r="AR2808" s="87"/>
      <c r="AS2808" s="87"/>
      <c r="AT2808" s="87"/>
      <c r="AU2808" s="87"/>
      <c r="AV2808" s="92" t="str">
        <f>HYPERLINK("https://pbs.twimg.com/media/F636esKW8AAcXnf.jpg")</f>
        <v>https://pbs.twimg.com/media/F636esKW8AAcXnf.jpg</v>
      </c>
      <c r="AW2808" s="93" t="s">
        <v>20969</v>
      </c>
      <c r="AX2808" s="93" t="s">
        <v>20969</v>
      </c>
      <c r="AY2808" s="87"/>
      <c r="AZ2808" s="93" t="s">
        <v>22668</v>
      </c>
      <c r="BA2808" s="93" t="s">
        <v>22668</v>
      </c>
      <c r="BB2808" s="93" t="s">
        <v>22668</v>
      </c>
      <c r="BC2808" s="93" t="s">
        <v>20969</v>
      </c>
      <c r="BD2808" s="93" t="s">
        <v>23269</v>
      </c>
      <c r="BE2808" s="87"/>
      <c r="BF2808" s="87"/>
      <c r="BG2808" s="87"/>
      <c r="BH2808" s="87"/>
      <c r="BI2808" s="87"/>
    </row>
    <row r="2809" spans="1:61" x14ac:dyDescent="0.25">
      <c r="A2809" s="63" t="s">
        <v>1058</v>
      </c>
      <c r="B2809" s="63" t="s">
        <v>1058</v>
      </c>
      <c r="C2809" s="64"/>
      <c r="D2809" s="65"/>
      <c r="E2809" s="66"/>
      <c r="F2809" s="67"/>
      <c r="G2809" s="64"/>
      <c r="H2809" s="68"/>
      <c r="I2809" s="69"/>
      <c r="J2809" s="69"/>
      <c r="K2809" s="32"/>
      <c r="L2809" s="76">
        <v>2809</v>
      </c>
      <c r="M2809" s="76"/>
      <c r="N2809" s="71"/>
      <c r="O2809" s="87" t="s">
        <v>179</v>
      </c>
      <c r="P2809" s="90">
        <v>45194.519652777781</v>
      </c>
      <c r="Q2809" s="87" t="s">
        <v>4526</v>
      </c>
      <c r="R2809" s="87">
        <v>0</v>
      </c>
      <c r="S2809" s="87">
        <v>0</v>
      </c>
      <c r="T2809" s="87">
        <v>0</v>
      </c>
      <c r="U2809" s="87">
        <v>0</v>
      </c>
      <c r="V2809" s="87">
        <v>29</v>
      </c>
      <c r="W2809" s="93" t="s">
        <v>7424</v>
      </c>
      <c r="X2809" s="87"/>
      <c r="Y2809" s="87"/>
      <c r="Z2809" s="87"/>
      <c r="AA2809" s="87" t="s">
        <v>10540</v>
      </c>
      <c r="AB2809" s="87" t="s">
        <v>11448</v>
      </c>
      <c r="AC2809" s="93" t="s">
        <v>11457</v>
      </c>
      <c r="AD2809" s="87" t="s">
        <v>11519</v>
      </c>
      <c r="AE2809" s="92" t="str">
        <f>HYPERLINK("https://twitter.com/serraempauta/status/1706284490933362969")</f>
        <v>https://twitter.com/serraempauta/status/1706284490933362969</v>
      </c>
      <c r="AF2809" s="90">
        <v>45194.519652777781</v>
      </c>
      <c r="AG2809" s="99">
        <v>45194</v>
      </c>
      <c r="AH2809" s="93" t="s">
        <v>14050</v>
      </c>
      <c r="AI2809" s="87" t="b">
        <v>0</v>
      </c>
      <c r="AJ2809" s="87"/>
      <c r="AK2809" s="87"/>
      <c r="AL2809" s="87"/>
      <c r="AM2809" s="87"/>
      <c r="AN2809" s="87"/>
      <c r="AO2809" s="87"/>
      <c r="AP2809" s="87"/>
      <c r="AQ2809" s="87" t="s">
        <v>17352</v>
      </c>
      <c r="AR2809" s="87"/>
      <c r="AS2809" s="87"/>
      <c r="AT2809" s="87"/>
      <c r="AU2809" s="87"/>
      <c r="AV2809" s="92" t="str">
        <f>HYPERLINK("https://pbs.twimg.com/media/F63wsBYWIAA5GM1.jpg")</f>
        <v>https://pbs.twimg.com/media/F63wsBYWIAA5GM1.jpg</v>
      </c>
      <c r="AW2809" s="93" t="s">
        <v>20970</v>
      </c>
      <c r="AX2809" s="93" t="s">
        <v>20970</v>
      </c>
      <c r="AY2809" s="87"/>
      <c r="AZ2809" s="93" t="s">
        <v>22668</v>
      </c>
      <c r="BA2809" s="93" t="s">
        <v>22668</v>
      </c>
      <c r="BB2809" s="93" t="s">
        <v>22668</v>
      </c>
      <c r="BC2809" s="93" t="s">
        <v>20970</v>
      </c>
      <c r="BD2809" s="93" t="s">
        <v>23269</v>
      </c>
      <c r="BE2809" s="87"/>
      <c r="BF2809" s="87"/>
      <c r="BG2809" s="87"/>
      <c r="BH2809" s="87"/>
      <c r="BI2809" s="87"/>
    </row>
    <row r="2810" spans="1:61" x14ac:dyDescent="0.25">
      <c r="A2810" s="63" t="s">
        <v>1058</v>
      </c>
      <c r="B2810" s="63" t="s">
        <v>1058</v>
      </c>
      <c r="C2810" s="64"/>
      <c r="D2810" s="65"/>
      <c r="E2810" s="66"/>
      <c r="F2810" s="67"/>
      <c r="G2810" s="64"/>
      <c r="H2810" s="68"/>
      <c r="I2810" s="69"/>
      <c r="J2810" s="69"/>
      <c r="K2810" s="32"/>
      <c r="L2810" s="76">
        <v>2810</v>
      </c>
      <c r="M2810" s="76"/>
      <c r="N2810" s="71"/>
      <c r="O2810" s="87" t="s">
        <v>179</v>
      </c>
      <c r="P2810" s="90">
        <v>45192.72111111111</v>
      </c>
      <c r="Q2810" s="87" t="s">
        <v>4527</v>
      </c>
      <c r="R2810" s="87">
        <v>0</v>
      </c>
      <c r="S2810" s="87">
        <v>0</v>
      </c>
      <c r="T2810" s="87">
        <v>0</v>
      </c>
      <c r="U2810" s="87">
        <v>0</v>
      </c>
      <c r="V2810" s="87">
        <v>81</v>
      </c>
      <c r="W2810" s="93" t="s">
        <v>7424</v>
      </c>
      <c r="X2810" s="87"/>
      <c r="Y2810" s="87"/>
      <c r="Z2810" s="87"/>
      <c r="AA2810" s="87" t="s">
        <v>10541</v>
      </c>
      <c r="AB2810" s="87" t="s">
        <v>11448</v>
      </c>
      <c r="AC2810" s="93" t="s">
        <v>11457</v>
      </c>
      <c r="AD2810" s="87" t="s">
        <v>11519</v>
      </c>
      <c r="AE2810" s="92" t="str">
        <f>HYPERLINK("https://twitter.com/serraempauta/status/1705632722595582057")</f>
        <v>https://twitter.com/serraempauta/status/1705632722595582057</v>
      </c>
      <c r="AF2810" s="90">
        <v>45192.72111111111</v>
      </c>
      <c r="AG2810" s="99">
        <v>45192</v>
      </c>
      <c r="AH2810" s="93" t="s">
        <v>14051</v>
      </c>
      <c r="AI2810" s="87" t="b">
        <v>0</v>
      </c>
      <c r="AJ2810" s="87"/>
      <c r="AK2810" s="87"/>
      <c r="AL2810" s="87"/>
      <c r="AM2810" s="87"/>
      <c r="AN2810" s="87"/>
      <c r="AO2810" s="87"/>
      <c r="AP2810" s="87"/>
      <c r="AQ2810" s="87" t="s">
        <v>17353</v>
      </c>
      <c r="AR2810" s="87"/>
      <c r="AS2810" s="87"/>
      <c r="AT2810" s="87"/>
      <c r="AU2810" s="87"/>
      <c r="AV2810" s="92" t="str">
        <f>HYPERLINK("https://pbs.twimg.com/media/F6uf52bXYAAAxgt.jpg")</f>
        <v>https://pbs.twimg.com/media/F6uf52bXYAAAxgt.jpg</v>
      </c>
      <c r="AW2810" s="93" t="s">
        <v>20971</v>
      </c>
      <c r="AX2810" s="93" t="s">
        <v>20971</v>
      </c>
      <c r="AY2810" s="87"/>
      <c r="AZ2810" s="93" t="s">
        <v>22668</v>
      </c>
      <c r="BA2810" s="93" t="s">
        <v>22668</v>
      </c>
      <c r="BB2810" s="93" t="s">
        <v>22668</v>
      </c>
      <c r="BC2810" s="93" t="s">
        <v>20971</v>
      </c>
      <c r="BD2810" s="93" t="s">
        <v>23269</v>
      </c>
      <c r="BE2810" s="87"/>
      <c r="BF2810" s="87"/>
      <c r="BG2810" s="87"/>
      <c r="BH2810" s="87"/>
      <c r="BI2810" s="87"/>
    </row>
    <row r="2811" spans="1:61" x14ac:dyDescent="0.25">
      <c r="A2811" s="63" t="s">
        <v>1058</v>
      </c>
      <c r="B2811" s="63" t="s">
        <v>1058</v>
      </c>
      <c r="C2811" s="64"/>
      <c r="D2811" s="65"/>
      <c r="E2811" s="66"/>
      <c r="F2811" s="67"/>
      <c r="G2811" s="64"/>
      <c r="H2811" s="68"/>
      <c r="I2811" s="69"/>
      <c r="J2811" s="69"/>
      <c r="K2811" s="32"/>
      <c r="L2811" s="76">
        <v>2811</v>
      </c>
      <c r="M2811" s="76"/>
      <c r="N2811" s="71"/>
      <c r="O2811" s="87" t="s">
        <v>179</v>
      </c>
      <c r="P2811" s="90">
        <v>45192.647731481484</v>
      </c>
      <c r="Q2811" s="87" t="s">
        <v>4528</v>
      </c>
      <c r="R2811" s="87">
        <v>0</v>
      </c>
      <c r="S2811" s="87">
        <v>0</v>
      </c>
      <c r="T2811" s="87">
        <v>0</v>
      </c>
      <c r="U2811" s="87">
        <v>0</v>
      </c>
      <c r="V2811" s="87">
        <v>73</v>
      </c>
      <c r="W2811" s="93" t="s">
        <v>7424</v>
      </c>
      <c r="X2811" s="87"/>
      <c r="Y2811" s="87"/>
      <c r="Z2811" s="87"/>
      <c r="AA2811" s="87" t="s">
        <v>10542</v>
      </c>
      <c r="AB2811" s="87" t="s">
        <v>11448</v>
      </c>
      <c r="AC2811" s="93" t="s">
        <v>11457</v>
      </c>
      <c r="AD2811" s="87" t="s">
        <v>11519</v>
      </c>
      <c r="AE2811" s="92" t="str">
        <f>HYPERLINK("https://twitter.com/serraempauta/status/1705606127910584543")</f>
        <v>https://twitter.com/serraempauta/status/1705606127910584543</v>
      </c>
      <c r="AF2811" s="90">
        <v>45192.647731481484</v>
      </c>
      <c r="AG2811" s="99">
        <v>45192</v>
      </c>
      <c r="AH2811" s="93" t="s">
        <v>14052</v>
      </c>
      <c r="AI2811" s="87" t="b">
        <v>0</v>
      </c>
      <c r="AJ2811" s="87"/>
      <c r="AK2811" s="87"/>
      <c r="AL2811" s="87"/>
      <c r="AM2811" s="87"/>
      <c r="AN2811" s="87"/>
      <c r="AO2811" s="87"/>
      <c r="AP2811" s="87"/>
      <c r="AQ2811" s="87" t="s">
        <v>17354</v>
      </c>
      <c r="AR2811" s="87"/>
      <c r="AS2811" s="87"/>
      <c r="AT2811" s="87"/>
      <c r="AU2811" s="87"/>
      <c r="AV2811" s="92" t="str">
        <f>HYPERLINK("https://pbs.twimg.com/media/F6uHuV5W0AAJl-W.jpg")</f>
        <v>https://pbs.twimg.com/media/F6uHuV5W0AAJl-W.jpg</v>
      </c>
      <c r="AW2811" s="93" t="s">
        <v>20972</v>
      </c>
      <c r="AX2811" s="93" t="s">
        <v>20972</v>
      </c>
      <c r="AY2811" s="87"/>
      <c r="AZ2811" s="93" t="s">
        <v>22668</v>
      </c>
      <c r="BA2811" s="93" t="s">
        <v>22668</v>
      </c>
      <c r="BB2811" s="93" t="s">
        <v>22668</v>
      </c>
      <c r="BC2811" s="93" t="s">
        <v>20972</v>
      </c>
      <c r="BD2811" s="93" t="s">
        <v>23269</v>
      </c>
      <c r="BE2811" s="87"/>
      <c r="BF2811" s="87"/>
      <c r="BG2811" s="87"/>
      <c r="BH2811" s="87"/>
      <c r="BI2811" s="87"/>
    </row>
    <row r="2812" spans="1:61" x14ac:dyDescent="0.25">
      <c r="A2812" s="63" t="s">
        <v>1058</v>
      </c>
      <c r="B2812" s="63" t="s">
        <v>1058</v>
      </c>
      <c r="C2812" s="64"/>
      <c r="D2812" s="65"/>
      <c r="E2812" s="66"/>
      <c r="F2812" s="67"/>
      <c r="G2812" s="64"/>
      <c r="H2812" s="68"/>
      <c r="I2812" s="69"/>
      <c r="J2812" s="69"/>
      <c r="K2812" s="32"/>
      <c r="L2812" s="76">
        <v>2812</v>
      </c>
      <c r="M2812" s="76"/>
      <c r="N2812" s="71"/>
      <c r="O2812" s="87" t="s">
        <v>179</v>
      </c>
      <c r="P2812" s="90">
        <v>45189.667939814812</v>
      </c>
      <c r="Q2812" s="87" t="s">
        <v>4529</v>
      </c>
      <c r="R2812" s="87">
        <v>0</v>
      </c>
      <c r="S2812" s="87">
        <v>0</v>
      </c>
      <c r="T2812" s="87">
        <v>0</v>
      </c>
      <c r="U2812" s="87">
        <v>0</v>
      </c>
      <c r="V2812" s="87">
        <v>108</v>
      </c>
      <c r="W2812" s="93" t="s">
        <v>7424</v>
      </c>
      <c r="X2812" s="87"/>
      <c r="Y2812" s="87"/>
      <c r="Z2812" s="87"/>
      <c r="AA2812" s="87" t="s">
        <v>10543</v>
      </c>
      <c r="AB2812" s="87" t="s">
        <v>11448</v>
      </c>
      <c r="AC2812" s="93" t="s">
        <v>11457</v>
      </c>
      <c r="AD2812" s="87" t="s">
        <v>11519</v>
      </c>
      <c r="AE2812" s="92" t="str">
        <f>HYPERLINK("https://twitter.com/serraempauta/status/1704526290965946403")</f>
        <v>https://twitter.com/serraempauta/status/1704526290965946403</v>
      </c>
      <c r="AF2812" s="90">
        <v>45189.667939814812</v>
      </c>
      <c r="AG2812" s="99">
        <v>45189</v>
      </c>
      <c r="AH2812" s="93" t="s">
        <v>14053</v>
      </c>
      <c r="AI2812" s="87" t="b">
        <v>0</v>
      </c>
      <c r="AJ2812" s="87"/>
      <c r="AK2812" s="87"/>
      <c r="AL2812" s="87"/>
      <c r="AM2812" s="87"/>
      <c r="AN2812" s="87"/>
      <c r="AO2812" s="87"/>
      <c r="AP2812" s="87"/>
      <c r="AQ2812" s="87" t="s">
        <v>17355</v>
      </c>
      <c r="AR2812" s="87"/>
      <c r="AS2812" s="87"/>
      <c r="AT2812" s="87"/>
      <c r="AU2812" s="87"/>
      <c r="AV2812" s="92" t="str">
        <f>HYPERLINK("https://pbs.twimg.com/media/F6exn3LW0AA-fyp.jpg")</f>
        <v>https://pbs.twimg.com/media/F6exn3LW0AA-fyp.jpg</v>
      </c>
      <c r="AW2812" s="93" t="s">
        <v>20973</v>
      </c>
      <c r="AX2812" s="93" t="s">
        <v>20973</v>
      </c>
      <c r="AY2812" s="87"/>
      <c r="AZ2812" s="93" t="s">
        <v>22668</v>
      </c>
      <c r="BA2812" s="93" t="s">
        <v>22668</v>
      </c>
      <c r="BB2812" s="93" t="s">
        <v>22668</v>
      </c>
      <c r="BC2812" s="93" t="s">
        <v>20973</v>
      </c>
      <c r="BD2812" s="93" t="s">
        <v>23269</v>
      </c>
      <c r="BE2812" s="87"/>
      <c r="BF2812" s="87"/>
      <c r="BG2812" s="87"/>
      <c r="BH2812" s="87"/>
      <c r="BI2812" s="87"/>
    </row>
    <row r="2813" spans="1:61" x14ac:dyDescent="0.25">
      <c r="A2813" s="63" t="s">
        <v>1058</v>
      </c>
      <c r="B2813" s="63" t="s">
        <v>1058</v>
      </c>
      <c r="C2813" s="64"/>
      <c r="D2813" s="65"/>
      <c r="E2813" s="66"/>
      <c r="F2813" s="67"/>
      <c r="G2813" s="64"/>
      <c r="H2813" s="68"/>
      <c r="I2813" s="69"/>
      <c r="J2813" s="69"/>
      <c r="K2813" s="32"/>
      <c r="L2813" s="76">
        <v>2813</v>
      </c>
      <c r="M2813" s="76"/>
      <c r="N2813" s="71"/>
      <c r="O2813" s="87" t="s">
        <v>179</v>
      </c>
      <c r="P2813" s="90">
        <v>45189.65353009259</v>
      </c>
      <c r="Q2813" s="87" t="s">
        <v>4530</v>
      </c>
      <c r="R2813" s="87">
        <v>0</v>
      </c>
      <c r="S2813" s="87">
        <v>0</v>
      </c>
      <c r="T2813" s="87">
        <v>0</v>
      </c>
      <c r="U2813" s="87">
        <v>0</v>
      </c>
      <c r="V2813" s="87">
        <v>99</v>
      </c>
      <c r="W2813" s="93" t="s">
        <v>7424</v>
      </c>
      <c r="X2813" s="87"/>
      <c r="Y2813" s="87"/>
      <c r="Z2813" s="87"/>
      <c r="AA2813" s="87" t="s">
        <v>10544</v>
      </c>
      <c r="AB2813" s="87" t="s">
        <v>11448</v>
      </c>
      <c r="AC2813" s="93" t="s">
        <v>11457</v>
      </c>
      <c r="AD2813" s="87" t="s">
        <v>11519</v>
      </c>
      <c r="AE2813" s="92" t="str">
        <f>HYPERLINK("https://twitter.com/serraempauta/status/1704521068956790880")</f>
        <v>https://twitter.com/serraempauta/status/1704521068956790880</v>
      </c>
      <c r="AF2813" s="90">
        <v>45189.65353009259</v>
      </c>
      <c r="AG2813" s="99">
        <v>45189</v>
      </c>
      <c r="AH2813" s="93" t="s">
        <v>14054</v>
      </c>
      <c r="AI2813" s="87" t="b">
        <v>0</v>
      </c>
      <c r="AJ2813" s="87"/>
      <c r="AK2813" s="87"/>
      <c r="AL2813" s="87"/>
      <c r="AM2813" s="87"/>
      <c r="AN2813" s="87"/>
      <c r="AO2813" s="87"/>
      <c r="AP2813" s="87"/>
      <c r="AQ2813" s="87" t="s">
        <v>17356</v>
      </c>
      <c r="AR2813" s="87"/>
      <c r="AS2813" s="87"/>
      <c r="AT2813" s="87"/>
      <c r="AU2813" s="87"/>
      <c r="AV2813" s="92" t="str">
        <f>HYPERLINK("https://pbs.twimg.com/media/F6eszAfXsAA7g6L.jpg")</f>
        <v>https://pbs.twimg.com/media/F6eszAfXsAA7g6L.jpg</v>
      </c>
      <c r="AW2813" s="93" t="s">
        <v>20974</v>
      </c>
      <c r="AX2813" s="93" t="s">
        <v>20974</v>
      </c>
      <c r="AY2813" s="87"/>
      <c r="AZ2813" s="93" t="s">
        <v>22668</v>
      </c>
      <c r="BA2813" s="93" t="s">
        <v>22668</v>
      </c>
      <c r="BB2813" s="93" t="s">
        <v>22668</v>
      </c>
      <c r="BC2813" s="93" t="s">
        <v>20974</v>
      </c>
      <c r="BD2813" s="93" t="s">
        <v>23269</v>
      </c>
      <c r="BE2813" s="87"/>
      <c r="BF2813" s="87"/>
      <c r="BG2813" s="87"/>
      <c r="BH2813" s="87"/>
      <c r="BI2813" s="87"/>
    </row>
    <row r="2814" spans="1:61" x14ac:dyDescent="0.25">
      <c r="A2814" s="63" t="s">
        <v>1058</v>
      </c>
      <c r="B2814" s="63" t="s">
        <v>1058</v>
      </c>
      <c r="C2814" s="64"/>
      <c r="D2814" s="65"/>
      <c r="E2814" s="66"/>
      <c r="F2814" s="67"/>
      <c r="G2814" s="64"/>
      <c r="H2814" s="68"/>
      <c r="I2814" s="69"/>
      <c r="J2814" s="69"/>
      <c r="K2814" s="32"/>
      <c r="L2814" s="76">
        <v>2814</v>
      </c>
      <c r="M2814" s="76"/>
      <c r="N2814" s="71"/>
      <c r="O2814" s="87" t="s">
        <v>179</v>
      </c>
      <c r="P2814" s="90">
        <v>45189.626388888886</v>
      </c>
      <c r="Q2814" s="87" t="s">
        <v>4531</v>
      </c>
      <c r="R2814" s="87">
        <v>0</v>
      </c>
      <c r="S2814" s="87">
        <v>0</v>
      </c>
      <c r="T2814" s="87">
        <v>0</v>
      </c>
      <c r="U2814" s="87">
        <v>0</v>
      </c>
      <c r="V2814" s="87">
        <v>50</v>
      </c>
      <c r="W2814" s="93" t="s">
        <v>7424</v>
      </c>
      <c r="X2814" s="87"/>
      <c r="Y2814" s="87"/>
      <c r="Z2814" s="87"/>
      <c r="AA2814" s="87" t="s">
        <v>10545</v>
      </c>
      <c r="AB2814" s="87" t="s">
        <v>11448</v>
      </c>
      <c r="AC2814" s="93" t="s">
        <v>11457</v>
      </c>
      <c r="AD2814" s="87" t="s">
        <v>11519</v>
      </c>
      <c r="AE2814" s="92" t="str">
        <f>HYPERLINK("https://twitter.com/serraempauta/status/1704511231476773080")</f>
        <v>https://twitter.com/serraempauta/status/1704511231476773080</v>
      </c>
      <c r="AF2814" s="90">
        <v>45189.626388888886</v>
      </c>
      <c r="AG2814" s="99">
        <v>45189</v>
      </c>
      <c r="AH2814" s="93" t="s">
        <v>11688</v>
      </c>
      <c r="AI2814" s="87" t="b">
        <v>0</v>
      </c>
      <c r="AJ2814" s="87"/>
      <c r="AK2814" s="87"/>
      <c r="AL2814" s="87"/>
      <c r="AM2814" s="87"/>
      <c r="AN2814" s="87"/>
      <c r="AO2814" s="87"/>
      <c r="AP2814" s="87"/>
      <c r="AQ2814" s="87" t="s">
        <v>17357</v>
      </c>
      <c r="AR2814" s="87"/>
      <c r="AS2814" s="87"/>
      <c r="AT2814" s="87"/>
      <c r="AU2814" s="87"/>
      <c r="AV2814" s="92" t="str">
        <f>HYPERLINK("https://pbs.twimg.com/media/F6ej7RaXoAAHo60.jpg")</f>
        <v>https://pbs.twimg.com/media/F6ej7RaXoAAHo60.jpg</v>
      </c>
      <c r="AW2814" s="93" t="s">
        <v>20975</v>
      </c>
      <c r="AX2814" s="93" t="s">
        <v>20975</v>
      </c>
      <c r="AY2814" s="87"/>
      <c r="AZ2814" s="93" t="s">
        <v>22668</v>
      </c>
      <c r="BA2814" s="93" t="s">
        <v>22668</v>
      </c>
      <c r="BB2814" s="93" t="s">
        <v>22668</v>
      </c>
      <c r="BC2814" s="93" t="s">
        <v>20975</v>
      </c>
      <c r="BD2814" s="93" t="s">
        <v>23269</v>
      </c>
      <c r="BE2814" s="87"/>
      <c r="BF2814" s="87"/>
      <c r="BG2814" s="87"/>
      <c r="BH2814" s="87"/>
      <c r="BI2814" s="87"/>
    </row>
    <row r="2815" spans="1:61" x14ac:dyDescent="0.25">
      <c r="A2815" s="63" t="s">
        <v>1058</v>
      </c>
      <c r="B2815" s="63" t="s">
        <v>1058</v>
      </c>
      <c r="C2815" s="64"/>
      <c r="D2815" s="65"/>
      <c r="E2815" s="66"/>
      <c r="F2815" s="67"/>
      <c r="G2815" s="64"/>
      <c r="H2815" s="68"/>
      <c r="I2815" s="69"/>
      <c r="J2815" s="69"/>
      <c r="K2815" s="32"/>
      <c r="L2815" s="76">
        <v>2815</v>
      </c>
      <c r="M2815" s="76"/>
      <c r="N2815" s="71"/>
      <c r="O2815" s="87" t="s">
        <v>179</v>
      </c>
      <c r="P2815" s="90">
        <v>45187.8</v>
      </c>
      <c r="Q2815" s="87" t="s">
        <v>4532</v>
      </c>
      <c r="R2815" s="87">
        <v>0</v>
      </c>
      <c r="S2815" s="87">
        <v>0</v>
      </c>
      <c r="T2815" s="87">
        <v>0</v>
      </c>
      <c r="U2815" s="87">
        <v>0</v>
      </c>
      <c r="V2815" s="87">
        <v>44</v>
      </c>
      <c r="W2815" s="93" t="s">
        <v>7424</v>
      </c>
      <c r="X2815" s="87"/>
      <c r="Y2815" s="87"/>
      <c r="Z2815" s="87"/>
      <c r="AA2815" s="87" t="s">
        <v>10546</v>
      </c>
      <c r="AB2815" s="87" t="s">
        <v>11448</v>
      </c>
      <c r="AC2815" s="93" t="s">
        <v>11457</v>
      </c>
      <c r="AD2815" s="87" t="s">
        <v>11519</v>
      </c>
      <c r="AE2815" s="92" t="str">
        <f>HYPERLINK("https://twitter.com/serraempauta/status/1703849370355920913")</f>
        <v>https://twitter.com/serraempauta/status/1703849370355920913</v>
      </c>
      <c r="AF2815" s="90">
        <v>45187.8</v>
      </c>
      <c r="AG2815" s="99">
        <v>45187</v>
      </c>
      <c r="AH2815" s="93" t="s">
        <v>14055</v>
      </c>
      <c r="AI2815" s="87" t="b">
        <v>0</v>
      </c>
      <c r="AJ2815" s="87"/>
      <c r="AK2815" s="87"/>
      <c r="AL2815" s="87"/>
      <c r="AM2815" s="87"/>
      <c r="AN2815" s="87"/>
      <c r="AO2815" s="87"/>
      <c r="AP2815" s="87"/>
      <c r="AQ2815" s="87" t="s">
        <v>17358</v>
      </c>
      <c r="AR2815" s="87"/>
      <c r="AS2815" s="87"/>
      <c r="AT2815" s="87"/>
      <c r="AU2815" s="87"/>
      <c r="AV2815" s="92" t="str">
        <f>HYPERLINK("https://pbs.twimg.com/media/F6VJ99_W4AEhDSI.jpg")</f>
        <v>https://pbs.twimg.com/media/F6VJ99_W4AEhDSI.jpg</v>
      </c>
      <c r="AW2815" s="93" t="s">
        <v>20976</v>
      </c>
      <c r="AX2815" s="93" t="s">
        <v>20976</v>
      </c>
      <c r="AY2815" s="87"/>
      <c r="AZ2815" s="93" t="s">
        <v>22668</v>
      </c>
      <c r="BA2815" s="93" t="s">
        <v>22668</v>
      </c>
      <c r="BB2815" s="93" t="s">
        <v>22668</v>
      </c>
      <c r="BC2815" s="93" t="s">
        <v>20976</v>
      </c>
      <c r="BD2815" s="93" t="s">
        <v>23269</v>
      </c>
      <c r="BE2815" s="87"/>
      <c r="BF2815" s="87"/>
      <c r="BG2815" s="87"/>
      <c r="BH2815" s="87"/>
      <c r="BI2815" s="87"/>
    </row>
    <row r="2816" spans="1:61" x14ac:dyDescent="0.25">
      <c r="A2816" s="63" t="s">
        <v>1058</v>
      </c>
      <c r="B2816" s="63" t="s">
        <v>1058</v>
      </c>
      <c r="C2816" s="64"/>
      <c r="D2816" s="65"/>
      <c r="E2816" s="66"/>
      <c r="F2816" s="67"/>
      <c r="G2816" s="64"/>
      <c r="H2816" s="68"/>
      <c r="I2816" s="69"/>
      <c r="J2816" s="69"/>
      <c r="K2816" s="32"/>
      <c r="L2816" s="76">
        <v>2816</v>
      </c>
      <c r="M2816" s="76"/>
      <c r="N2816" s="71"/>
      <c r="O2816" s="87" t="s">
        <v>179</v>
      </c>
      <c r="P2816" s="90">
        <v>45187.766400462962</v>
      </c>
      <c r="Q2816" s="87" t="s">
        <v>4533</v>
      </c>
      <c r="R2816" s="87">
        <v>0</v>
      </c>
      <c r="S2816" s="87">
        <v>0</v>
      </c>
      <c r="T2816" s="87">
        <v>0</v>
      </c>
      <c r="U2816" s="87">
        <v>0</v>
      </c>
      <c r="V2816" s="87">
        <v>37</v>
      </c>
      <c r="W2816" s="93" t="s">
        <v>7424</v>
      </c>
      <c r="X2816" s="87"/>
      <c r="Y2816" s="87"/>
      <c r="Z2816" s="87"/>
      <c r="AA2816" s="87" t="s">
        <v>10547</v>
      </c>
      <c r="AB2816" s="87" t="s">
        <v>11448</v>
      </c>
      <c r="AC2816" s="93" t="s">
        <v>11457</v>
      </c>
      <c r="AD2816" s="87" t="s">
        <v>11519</v>
      </c>
      <c r="AE2816" s="92" t="str">
        <f>HYPERLINK("https://twitter.com/serraempauta/status/1703837193989472592")</f>
        <v>https://twitter.com/serraempauta/status/1703837193989472592</v>
      </c>
      <c r="AF2816" s="90">
        <v>45187.766400462962</v>
      </c>
      <c r="AG2816" s="99">
        <v>45187</v>
      </c>
      <c r="AH2816" s="93" t="s">
        <v>14056</v>
      </c>
      <c r="AI2816" s="87" t="b">
        <v>0</v>
      </c>
      <c r="AJ2816" s="87"/>
      <c r="AK2816" s="87"/>
      <c r="AL2816" s="87"/>
      <c r="AM2816" s="87"/>
      <c r="AN2816" s="87"/>
      <c r="AO2816" s="87"/>
      <c r="AP2816" s="87"/>
      <c r="AQ2816" s="87" t="s">
        <v>17359</v>
      </c>
      <c r="AR2816" s="87"/>
      <c r="AS2816" s="87"/>
      <c r="AT2816" s="87"/>
      <c r="AU2816" s="87"/>
      <c r="AV2816" s="92" t="str">
        <f>HYPERLINK("https://pbs.twimg.com/media/F6U-5EWWkAAcr8t.jpg")</f>
        <v>https://pbs.twimg.com/media/F6U-5EWWkAAcr8t.jpg</v>
      </c>
      <c r="AW2816" s="93" t="s">
        <v>20977</v>
      </c>
      <c r="AX2816" s="93" t="s">
        <v>20977</v>
      </c>
      <c r="AY2816" s="87"/>
      <c r="AZ2816" s="93" t="s">
        <v>22668</v>
      </c>
      <c r="BA2816" s="93" t="s">
        <v>22668</v>
      </c>
      <c r="BB2816" s="93" t="s">
        <v>22668</v>
      </c>
      <c r="BC2816" s="93" t="s">
        <v>20977</v>
      </c>
      <c r="BD2816" s="93" t="s">
        <v>23269</v>
      </c>
      <c r="BE2816" s="87"/>
      <c r="BF2816" s="87"/>
      <c r="BG2816" s="87"/>
      <c r="BH2816" s="87"/>
      <c r="BI2816" s="87"/>
    </row>
    <row r="2817" spans="1:61" x14ac:dyDescent="0.25">
      <c r="A2817" s="63" t="s">
        <v>1058</v>
      </c>
      <c r="B2817" s="63" t="s">
        <v>1058</v>
      </c>
      <c r="C2817" s="64"/>
      <c r="D2817" s="65"/>
      <c r="E2817" s="66"/>
      <c r="F2817" s="67"/>
      <c r="G2817" s="64"/>
      <c r="H2817" s="68"/>
      <c r="I2817" s="69"/>
      <c r="J2817" s="69"/>
      <c r="K2817" s="32"/>
      <c r="L2817" s="76">
        <v>2817</v>
      </c>
      <c r="M2817" s="76"/>
      <c r="N2817" s="71"/>
      <c r="O2817" s="87" t="s">
        <v>179</v>
      </c>
      <c r="P2817" s="90">
        <v>45182.737407407411</v>
      </c>
      <c r="Q2817" s="87" t="s">
        <v>4534</v>
      </c>
      <c r="R2817" s="87">
        <v>0</v>
      </c>
      <c r="S2817" s="87">
        <v>0</v>
      </c>
      <c r="T2817" s="87">
        <v>0</v>
      </c>
      <c r="U2817" s="87">
        <v>0</v>
      </c>
      <c r="V2817" s="87">
        <v>31</v>
      </c>
      <c r="W2817" s="93" t="s">
        <v>7424</v>
      </c>
      <c r="X2817" s="87"/>
      <c r="Y2817" s="87"/>
      <c r="Z2817" s="87"/>
      <c r="AA2817" s="87" t="s">
        <v>10548</v>
      </c>
      <c r="AB2817" s="87" t="s">
        <v>11448</v>
      </c>
      <c r="AC2817" s="93" t="s">
        <v>11457</v>
      </c>
      <c r="AD2817" s="87" t="s">
        <v>11519</v>
      </c>
      <c r="AE2817" s="92" t="str">
        <f>HYPERLINK("https://twitter.com/serraempauta/status/1702014749750296602")</f>
        <v>https://twitter.com/serraempauta/status/1702014749750296602</v>
      </c>
      <c r="AF2817" s="90">
        <v>45182.737407407411</v>
      </c>
      <c r="AG2817" s="99">
        <v>45182</v>
      </c>
      <c r="AH2817" s="93" t="s">
        <v>14057</v>
      </c>
      <c r="AI2817" s="87" t="b">
        <v>0</v>
      </c>
      <c r="AJ2817" s="87"/>
      <c r="AK2817" s="87"/>
      <c r="AL2817" s="87"/>
      <c r="AM2817" s="87"/>
      <c r="AN2817" s="87"/>
      <c r="AO2817" s="87"/>
      <c r="AP2817" s="87"/>
      <c r="AQ2817" s="87" t="s">
        <v>17360</v>
      </c>
      <c r="AR2817" s="87"/>
      <c r="AS2817" s="87"/>
      <c r="AT2817" s="87"/>
      <c r="AU2817" s="87"/>
      <c r="AV2817" s="92" t="str">
        <f>HYPERLINK("https://pbs.twimg.com/media/F57FY2xXYAAVsNC.jpg")</f>
        <v>https://pbs.twimg.com/media/F57FY2xXYAAVsNC.jpg</v>
      </c>
      <c r="AW2817" s="93" t="s">
        <v>20978</v>
      </c>
      <c r="AX2817" s="93" t="s">
        <v>20978</v>
      </c>
      <c r="AY2817" s="87"/>
      <c r="AZ2817" s="93" t="s">
        <v>22668</v>
      </c>
      <c r="BA2817" s="93" t="s">
        <v>22668</v>
      </c>
      <c r="BB2817" s="93" t="s">
        <v>22668</v>
      </c>
      <c r="BC2817" s="93" t="s">
        <v>20978</v>
      </c>
      <c r="BD2817" s="93" t="s">
        <v>23269</v>
      </c>
      <c r="BE2817" s="87"/>
      <c r="BF2817" s="87"/>
      <c r="BG2817" s="87"/>
      <c r="BH2817" s="87"/>
      <c r="BI2817" s="87"/>
    </row>
    <row r="2818" spans="1:61" x14ac:dyDescent="0.25">
      <c r="A2818" s="63" t="s">
        <v>1058</v>
      </c>
      <c r="B2818" s="63" t="s">
        <v>1058</v>
      </c>
      <c r="C2818" s="64"/>
      <c r="D2818" s="65"/>
      <c r="E2818" s="66"/>
      <c r="F2818" s="67"/>
      <c r="G2818" s="64"/>
      <c r="H2818" s="68"/>
      <c r="I2818" s="69"/>
      <c r="J2818" s="69"/>
      <c r="K2818" s="32"/>
      <c r="L2818" s="76">
        <v>2818</v>
      </c>
      <c r="M2818" s="76"/>
      <c r="N2818" s="71"/>
      <c r="O2818" s="87" t="s">
        <v>179</v>
      </c>
      <c r="P2818" s="90">
        <v>45182.610925925925</v>
      </c>
      <c r="Q2818" s="87" t="s">
        <v>4535</v>
      </c>
      <c r="R2818" s="87">
        <v>0</v>
      </c>
      <c r="S2818" s="87">
        <v>0</v>
      </c>
      <c r="T2818" s="87">
        <v>0</v>
      </c>
      <c r="U2818" s="87">
        <v>0</v>
      </c>
      <c r="V2818" s="87">
        <v>45</v>
      </c>
      <c r="W2818" s="93" t="s">
        <v>7424</v>
      </c>
      <c r="X2818" s="87"/>
      <c r="Y2818" s="87"/>
      <c r="Z2818" s="87"/>
      <c r="AA2818" s="87" t="s">
        <v>10549</v>
      </c>
      <c r="AB2818" s="87" t="s">
        <v>11448</v>
      </c>
      <c r="AC2818" s="93" t="s">
        <v>11457</v>
      </c>
      <c r="AD2818" s="87" t="s">
        <v>11519</v>
      </c>
      <c r="AE2818" s="92" t="str">
        <f>HYPERLINK("https://twitter.com/serraempauta/status/1701968912840048978")</f>
        <v>https://twitter.com/serraempauta/status/1701968912840048978</v>
      </c>
      <c r="AF2818" s="90">
        <v>45182.610925925925</v>
      </c>
      <c r="AG2818" s="99">
        <v>45182</v>
      </c>
      <c r="AH2818" s="93" t="s">
        <v>14058</v>
      </c>
      <c r="AI2818" s="87" t="b">
        <v>0</v>
      </c>
      <c r="AJ2818" s="87"/>
      <c r="AK2818" s="87"/>
      <c r="AL2818" s="87"/>
      <c r="AM2818" s="87"/>
      <c r="AN2818" s="87"/>
      <c r="AO2818" s="87"/>
      <c r="AP2818" s="87"/>
      <c r="AQ2818" s="87" t="s">
        <v>17361</v>
      </c>
      <c r="AR2818" s="87"/>
      <c r="AS2818" s="87"/>
      <c r="AT2818" s="87"/>
      <c r="AU2818" s="87"/>
      <c r="AV2818" s="92" t="str">
        <f>HYPERLINK("https://pbs.twimg.com/media/F56bs2eXcAAbykn.jpg")</f>
        <v>https://pbs.twimg.com/media/F56bs2eXcAAbykn.jpg</v>
      </c>
      <c r="AW2818" s="93" t="s">
        <v>20979</v>
      </c>
      <c r="AX2818" s="93" t="s">
        <v>20979</v>
      </c>
      <c r="AY2818" s="87"/>
      <c r="AZ2818" s="93" t="s">
        <v>22668</v>
      </c>
      <c r="BA2818" s="93" t="s">
        <v>22668</v>
      </c>
      <c r="BB2818" s="93" t="s">
        <v>22668</v>
      </c>
      <c r="BC2818" s="93" t="s">
        <v>20979</v>
      </c>
      <c r="BD2818" s="93" t="s">
        <v>23269</v>
      </c>
      <c r="BE2818" s="87"/>
      <c r="BF2818" s="87"/>
      <c r="BG2818" s="87"/>
      <c r="BH2818" s="87"/>
      <c r="BI2818" s="87"/>
    </row>
    <row r="2819" spans="1:61" x14ac:dyDescent="0.25">
      <c r="A2819" s="63" t="s">
        <v>1058</v>
      </c>
      <c r="B2819" s="63" t="s">
        <v>1058</v>
      </c>
      <c r="C2819" s="64"/>
      <c r="D2819" s="65"/>
      <c r="E2819" s="66"/>
      <c r="F2819" s="67"/>
      <c r="G2819" s="64"/>
      <c r="H2819" s="68"/>
      <c r="I2819" s="69"/>
      <c r="J2819" s="69"/>
      <c r="K2819" s="32"/>
      <c r="L2819" s="76">
        <v>2819</v>
      </c>
      <c r="M2819" s="76"/>
      <c r="N2819" s="71"/>
      <c r="O2819" s="87" t="s">
        <v>179</v>
      </c>
      <c r="P2819" s="90">
        <v>45182.590208333335</v>
      </c>
      <c r="Q2819" s="87" t="s">
        <v>4536</v>
      </c>
      <c r="R2819" s="87">
        <v>0</v>
      </c>
      <c r="S2819" s="87">
        <v>0</v>
      </c>
      <c r="T2819" s="87">
        <v>0</v>
      </c>
      <c r="U2819" s="87">
        <v>0</v>
      </c>
      <c r="V2819" s="87">
        <v>66</v>
      </c>
      <c r="W2819" s="93" t="s">
        <v>7424</v>
      </c>
      <c r="X2819" s="87"/>
      <c r="Y2819" s="87"/>
      <c r="Z2819" s="87"/>
      <c r="AA2819" s="87" t="s">
        <v>10550</v>
      </c>
      <c r="AB2819" s="87" t="s">
        <v>11448</v>
      </c>
      <c r="AC2819" s="93" t="s">
        <v>11457</v>
      </c>
      <c r="AD2819" s="87" t="s">
        <v>11519</v>
      </c>
      <c r="AE2819" s="92" t="str">
        <f>HYPERLINK("https://twitter.com/serraempauta/status/1701961405623111980")</f>
        <v>https://twitter.com/serraempauta/status/1701961405623111980</v>
      </c>
      <c r="AF2819" s="90">
        <v>45182.590208333335</v>
      </c>
      <c r="AG2819" s="99">
        <v>45182</v>
      </c>
      <c r="AH2819" s="93" t="s">
        <v>14059</v>
      </c>
      <c r="AI2819" s="87" t="b">
        <v>0</v>
      </c>
      <c r="AJ2819" s="87"/>
      <c r="AK2819" s="87"/>
      <c r="AL2819" s="87"/>
      <c r="AM2819" s="87"/>
      <c r="AN2819" s="87"/>
      <c r="AO2819" s="87"/>
      <c r="AP2819" s="87"/>
      <c r="AQ2819" s="87" t="s">
        <v>17362</v>
      </c>
      <c r="AR2819" s="87"/>
      <c r="AS2819" s="87"/>
      <c r="AT2819" s="87"/>
      <c r="AU2819" s="87"/>
      <c r="AV2819" s="92" t="str">
        <f>HYPERLINK("https://pbs.twimg.com/media/F56U359WAAEVCyb.jpg")</f>
        <v>https://pbs.twimg.com/media/F56U359WAAEVCyb.jpg</v>
      </c>
      <c r="AW2819" s="93" t="s">
        <v>20980</v>
      </c>
      <c r="AX2819" s="93" t="s">
        <v>20980</v>
      </c>
      <c r="AY2819" s="87"/>
      <c r="AZ2819" s="93" t="s">
        <v>22668</v>
      </c>
      <c r="BA2819" s="93" t="s">
        <v>22668</v>
      </c>
      <c r="BB2819" s="93" t="s">
        <v>22668</v>
      </c>
      <c r="BC2819" s="93" t="s">
        <v>20980</v>
      </c>
      <c r="BD2819" s="93" t="s">
        <v>23269</v>
      </c>
      <c r="BE2819" s="87"/>
      <c r="BF2819" s="87"/>
      <c r="BG2819" s="87"/>
      <c r="BH2819" s="87"/>
      <c r="BI2819" s="87"/>
    </row>
    <row r="2820" spans="1:61" x14ac:dyDescent="0.25">
      <c r="A2820" s="63" t="s">
        <v>1058</v>
      </c>
      <c r="B2820" s="63" t="s">
        <v>1058</v>
      </c>
      <c r="C2820" s="64"/>
      <c r="D2820" s="65"/>
      <c r="E2820" s="66"/>
      <c r="F2820" s="67"/>
      <c r="G2820" s="64"/>
      <c r="H2820" s="68"/>
      <c r="I2820" s="69"/>
      <c r="J2820" s="69"/>
      <c r="K2820" s="32"/>
      <c r="L2820" s="76">
        <v>2820</v>
      </c>
      <c r="M2820" s="76"/>
      <c r="N2820" s="71"/>
      <c r="O2820" s="87" t="s">
        <v>179</v>
      </c>
      <c r="P2820" s="90">
        <v>45182.55872685185</v>
      </c>
      <c r="Q2820" s="87" t="s">
        <v>4537</v>
      </c>
      <c r="R2820" s="87">
        <v>0</v>
      </c>
      <c r="S2820" s="87">
        <v>0</v>
      </c>
      <c r="T2820" s="87">
        <v>0</v>
      </c>
      <c r="U2820" s="87">
        <v>0</v>
      </c>
      <c r="V2820" s="87">
        <v>47</v>
      </c>
      <c r="W2820" s="93" t="s">
        <v>7424</v>
      </c>
      <c r="X2820" s="87"/>
      <c r="Y2820" s="87"/>
      <c r="Z2820" s="87"/>
      <c r="AA2820" s="87" t="s">
        <v>10551</v>
      </c>
      <c r="AB2820" s="87" t="s">
        <v>11448</v>
      </c>
      <c r="AC2820" s="93" t="s">
        <v>11457</v>
      </c>
      <c r="AD2820" s="87" t="s">
        <v>11519</v>
      </c>
      <c r="AE2820" s="92" t="str">
        <f>HYPERLINK("https://twitter.com/serraempauta/status/1701949994540875905")</f>
        <v>https://twitter.com/serraempauta/status/1701949994540875905</v>
      </c>
      <c r="AF2820" s="90">
        <v>45182.55872685185</v>
      </c>
      <c r="AG2820" s="99">
        <v>45182</v>
      </c>
      <c r="AH2820" s="93" t="s">
        <v>14060</v>
      </c>
      <c r="AI2820" s="87" t="b">
        <v>0</v>
      </c>
      <c r="AJ2820" s="87"/>
      <c r="AK2820" s="87"/>
      <c r="AL2820" s="87"/>
      <c r="AM2820" s="87"/>
      <c r="AN2820" s="87"/>
      <c r="AO2820" s="87"/>
      <c r="AP2820" s="87"/>
      <c r="AQ2820" s="87" t="s">
        <v>17363</v>
      </c>
      <c r="AR2820" s="87"/>
      <c r="AS2820" s="87"/>
      <c r="AT2820" s="87"/>
      <c r="AU2820" s="87"/>
      <c r="AV2820" s="92" t="str">
        <f>HYPERLINK("https://pbs.twimg.com/media/F56Kd69WUAAJiWT.jpg")</f>
        <v>https://pbs.twimg.com/media/F56Kd69WUAAJiWT.jpg</v>
      </c>
      <c r="AW2820" s="93" t="s">
        <v>20981</v>
      </c>
      <c r="AX2820" s="93" t="s">
        <v>20981</v>
      </c>
      <c r="AY2820" s="87"/>
      <c r="AZ2820" s="93" t="s">
        <v>22668</v>
      </c>
      <c r="BA2820" s="93" t="s">
        <v>22668</v>
      </c>
      <c r="BB2820" s="93" t="s">
        <v>22668</v>
      </c>
      <c r="BC2820" s="93" t="s">
        <v>20981</v>
      </c>
      <c r="BD2820" s="93" t="s">
        <v>23269</v>
      </c>
      <c r="BE2820" s="87"/>
      <c r="BF2820" s="87"/>
      <c r="BG2820" s="87"/>
      <c r="BH2820" s="87"/>
      <c r="BI2820" s="87"/>
    </row>
    <row r="2821" spans="1:61" x14ac:dyDescent="0.25">
      <c r="A2821" s="63" t="s">
        <v>1058</v>
      </c>
      <c r="B2821" s="63" t="s">
        <v>1058</v>
      </c>
      <c r="C2821" s="64"/>
      <c r="D2821" s="65"/>
      <c r="E2821" s="66"/>
      <c r="F2821" s="67"/>
      <c r="G2821" s="64"/>
      <c r="H2821" s="68"/>
      <c r="I2821" s="69"/>
      <c r="J2821" s="69"/>
      <c r="K2821" s="32"/>
      <c r="L2821" s="76">
        <v>2821</v>
      </c>
      <c r="M2821" s="76"/>
      <c r="N2821" s="71"/>
      <c r="O2821" s="87" t="s">
        <v>179</v>
      </c>
      <c r="P2821" s="90">
        <v>45182.510034722225</v>
      </c>
      <c r="Q2821" s="87" t="s">
        <v>4538</v>
      </c>
      <c r="R2821" s="87">
        <v>0</v>
      </c>
      <c r="S2821" s="87">
        <v>0</v>
      </c>
      <c r="T2821" s="87">
        <v>0</v>
      </c>
      <c r="U2821" s="87">
        <v>0</v>
      </c>
      <c r="V2821" s="87">
        <v>33</v>
      </c>
      <c r="W2821" s="93" t="s">
        <v>7424</v>
      </c>
      <c r="X2821" s="87"/>
      <c r="Y2821" s="87"/>
      <c r="Z2821" s="87"/>
      <c r="AA2821" s="87" t="s">
        <v>10552</v>
      </c>
      <c r="AB2821" s="87" t="s">
        <v>11448</v>
      </c>
      <c r="AC2821" s="93" t="s">
        <v>11457</v>
      </c>
      <c r="AD2821" s="87" t="s">
        <v>11519</v>
      </c>
      <c r="AE2821" s="92" t="str">
        <f>HYPERLINK("https://twitter.com/serraempauta/status/1701932349858988216")</f>
        <v>https://twitter.com/serraempauta/status/1701932349858988216</v>
      </c>
      <c r="AF2821" s="90">
        <v>45182.510034722225</v>
      </c>
      <c r="AG2821" s="99">
        <v>45182</v>
      </c>
      <c r="AH2821" s="93" t="s">
        <v>14061</v>
      </c>
      <c r="AI2821" s="87" t="b">
        <v>0</v>
      </c>
      <c r="AJ2821" s="87"/>
      <c r="AK2821" s="87"/>
      <c r="AL2821" s="87"/>
      <c r="AM2821" s="87"/>
      <c r="AN2821" s="87"/>
      <c r="AO2821" s="87"/>
      <c r="AP2821" s="87"/>
      <c r="AQ2821" s="87" t="s">
        <v>17364</v>
      </c>
      <c r="AR2821" s="87"/>
      <c r="AS2821" s="87"/>
      <c r="AT2821" s="87"/>
      <c r="AU2821" s="87"/>
      <c r="AV2821" s="92" t="str">
        <f>HYPERLINK("https://pbs.twimg.com/media/F556cWmWMAApmMj.jpg")</f>
        <v>https://pbs.twimg.com/media/F556cWmWMAApmMj.jpg</v>
      </c>
      <c r="AW2821" s="93" t="s">
        <v>20982</v>
      </c>
      <c r="AX2821" s="93" t="s">
        <v>20982</v>
      </c>
      <c r="AY2821" s="87"/>
      <c r="AZ2821" s="93" t="s">
        <v>22668</v>
      </c>
      <c r="BA2821" s="93" t="s">
        <v>22668</v>
      </c>
      <c r="BB2821" s="93" t="s">
        <v>22668</v>
      </c>
      <c r="BC2821" s="93" t="s">
        <v>20982</v>
      </c>
      <c r="BD2821" s="93" t="s">
        <v>23269</v>
      </c>
      <c r="BE2821" s="87"/>
      <c r="BF2821" s="87"/>
      <c r="BG2821" s="87"/>
      <c r="BH2821" s="87"/>
      <c r="BI2821" s="87"/>
    </row>
    <row r="2822" spans="1:61" x14ac:dyDescent="0.25">
      <c r="A2822" s="63" t="s">
        <v>1058</v>
      </c>
      <c r="B2822" s="63" t="s">
        <v>1058</v>
      </c>
      <c r="C2822" s="64"/>
      <c r="D2822" s="65"/>
      <c r="E2822" s="66"/>
      <c r="F2822" s="67"/>
      <c r="G2822" s="64"/>
      <c r="H2822" s="68"/>
      <c r="I2822" s="69"/>
      <c r="J2822" s="69"/>
      <c r="K2822" s="32"/>
      <c r="L2822" s="76">
        <v>2822</v>
      </c>
      <c r="M2822" s="76"/>
      <c r="N2822" s="71"/>
      <c r="O2822" s="87" t="s">
        <v>179</v>
      </c>
      <c r="P2822" s="90">
        <v>45182.487638888888</v>
      </c>
      <c r="Q2822" s="87" t="s">
        <v>4539</v>
      </c>
      <c r="R2822" s="87">
        <v>0</v>
      </c>
      <c r="S2822" s="87">
        <v>1</v>
      </c>
      <c r="T2822" s="87">
        <v>0</v>
      </c>
      <c r="U2822" s="87">
        <v>0</v>
      </c>
      <c r="V2822" s="87">
        <v>121</v>
      </c>
      <c r="W2822" s="93" t="s">
        <v>7424</v>
      </c>
      <c r="X2822" s="87"/>
      <c r="Y2822" s="87"/>
      <c r="Z2822" s="87"/>
      <c r="AA2822" s="87" t="s">
        <v>10553</v>
      </c>
      <c r="AB2822" s="87" t="s">
        <v>11448</v>
      </c>
      <c r="AC2822" s="93" t="s">
        <v>11457</v>
      </c>
      <c r="AD2822" s="87" t="s">
        <v>11519</v>
      </c>
      <c r="AE2822" s="92" t="str">
        <f>HYPERLINK("https://twitter.com/serraempauta/status/1701924235101258182")</f>
        <v>https://twitter.com/serraempauta/status/1701924235101258182</v>
      </c>
      <c r="AF2822" s="90">
        <v>45182.487638888888</v>
      </c>
      <c r="AG2822" s="99">
        <v>45182</v>
      </c>
      <c r="AH2822" s="93" t="s">
        <v>14062</v>
      </c>
      <c r="AI2822" s="87" t="b">
        <v>0</v>
      </c>
      <c r="AJ2822" s="87"/>
      <c r="AK2822" s="87"/>
      <c r="AL2822" s="87"/>
      <c r="AM2822" s="87"/>
      <c r="AN2822" s="87"/>
      <c r="AO2822" s="87"/>
      <c r="AP2822" s="87"/>
      <c r="AQ2822" s="87" t="s">
        <v>17365</v>
      </c>
      <c r="AR2822" s="87"/>
      <c r="AS2822" s="87"/>
      <c r="AT2822" s="87"/>
      <c r="AU2822" s="87"/>
      <c r="AV2822" s="92" t="str">
        <f>HYPERLINK("https://pbs.twimg.com/media/F55y7VgWMAAseFH.jpg")</f>
        <v>https://pbs.twimg.com/media/F55y7VgWMAAseFH.jpg</v>
      </c>
      <c r="AW2822" s="93" t="s">
        <v>20983</v>
      </c>
      <c r="AX2822" s="93" t="s">
        <v>20983</v>
      </c>
      <c r="AY2822" s="87"/>
      <c r="AZ2822" s="93" t="s">
        <v>22668</v>
      </c>
      <c r="BA2822" s="93" t="s">
        <v>22668</v>
      </c>
      <c r="BB2822" s="93" t="s">
        <v>22668</v>
      </c>
      <c r="BC2822" s="93" t="s">
        <v>20983</v>
      </c>
      <c r="BD2822" s="93" t="s">
        <v>23269</v>
      </c>
      <c r="BE2822" s="87"/>
      <c r="BF2822" s="87"/>
      <c r="BG2822" s="87"/>
      <c r="BH2822" s="87"/>
      <c r="BI2822" s="87"/>
    </row>
    <row r="2823" spans="1:61" x14ac:dyDescent="0.25">
      <c r="A2823" s="63" t="s">
        <v>1058</v>
      </c>
      <c r="B2823" s="63" t="s">
        <v>1058</v>
      </c>
      <c r="C2823" s="64"/>
      <c r="D2823" s="65"/>
      <c r="E2823" s="66"/>
      <c r="F2823" s="67"/>
      <c r="G2823" s="64"/>
      <c r="H2823" s="68"/>
      <c r="I2823" s="69"/>
      <c r="J2823" s="69"/>
      <c r="K2823" s="32"/>
      <c r="L2823" s="76">
        <v>2823</v>
      </c>
      <c r="M2823" s="76"/>
      <c r="N2823" s="71"/>
      <c r="O2823" s="87" t="s">
        <v>179</v>
      </c>
      <c r="P2823" s="90">
        <v>45168.753368055557</v>
      </c>
      <c r="Q2823" s="87" t="s">
        <v>4540</v>
      </c>
      <c r="R2823" s="87">
        <v>0</v>
      </c>
      <c r="S2823" s="87">
        <v>0</v>
      </c>
      <c r="T2823" s="87">
        <v>0</v>
      </c>
      <c r="U2823" s="87">
        <v>0</v>
      </c>
      <c r="V2823" s="87">
        <v>68</v>
      </c>
      <c r="W2823" s="93" t="s">
        <v>7424</v>
      </c>
      <c r="X2823" s="87"/>
      <c r="Y2823" s="87"/>
      <c r="Z2823" s="87"/>
      <c r="AA2823" s="87" t="s">
        <v>10554</v>
      </c>
      <c r="AB2823" s="87" t="s">
        <v>11448</v>
      </c>
      <c r="AC2823" s="93" t="s">
        <v>11457</v>
      </c>
      <c r="AD2823" s="87" t="s">
        <v>11519</v>
      </c>
      <c r="AE2823" s="92" t="str">
        <f>HYPERLINK("https://twitter.com/serraempauta/status/1696947100628529457")</f>
        <v>https://twitter.com/serraempauta/status/1696947100628529457</v>
      </c>
      <c r="AF2823" s="90">
        <v>45168.753368055557</v>
      </c>
      <c r="AG2823" s="99">
        <v>45168</v>
      </c>
      <c r="AH2823" s="93" t="s">
        <v>14063</v>
      </c>
      <c r="AI2823" s="87" t="b">
        <v>0</v>
      </c>
      <c r="AJ2823" s="87"/>
      <c r="AK2823" s="87"/>
      <c r="AL2823" s="87"/>
      <c r="AM2823" s="87"/>
      <c r="AN2823" s="87"/>
      <c r="AO2823" s="87"/>
      <c r="AP2823" s="87"/>
      <c r="AQ2823" s="87" t="s">
        <v>17366</v>
      </c>
      <c r="AR2823" s="87"/>
      <c r="AS2823" s="87"/>
      <c r="AT2823" s="87"/>
      <c r="AU2823" s="87"/>
      <c r="AV2823" s="92" t="str">
        <f>HYPERLINK("https://pbs.twimg.com/media/F4zEZDNXkAA6Hgb.jpg")</f>
        <v>https://pbs.twimg.com/media/F4zEZDNXkAA6Hgb.jpg</v>
      </c>
      <c r="AW2823" s="93" t="s">
        <v>20984</v>
      </c>
      <c r="AX2823" s="93" t="s">
        <v>20984</v>
      </c>
      <c r="AY2823" s="87"/>
      <c r="AZ2823" s="93" t="s">
        <v>22668</v>
      </c>
      <c r="BA2823" s="93" t="s">
        <v>22668</v>
      </c>
      <c r="BB2823" s="93" t="s">
        <v>22668</v>
      </c>
      <c r="BC2823" s="93" t="s">
        <v>20984</v>
      </c>
      <c r="BD2823" s="93" t="s">
        <v>23269</v>
      </c>
      <c r="BE2823" s="87"/>
      <c r="BF2823" s="87"/>
      <c r="BG2823" s="87"/>
      <c r="BH2823" s="87"/>
      <c r="BI2823" s="87"/>
    </row>
    <row r="2824" spans="1:61" x14ac:dyDescent="0.25">
      <c r="A2824" s="63" t="s">
        <v>1058</v>
      </c>
      <c r="B2824" s="63" t="s">
        <v>1058</v>
      </c>
      <c r="C2824" s="64"/>
      <c r="D2824" s="65"/>
      <c r="E2824" s="66"/>
      <c r="F2824" s="67"/>
      <c r="G2824" s="64"/>
      <c r="H2824" s="68"/>
      <c r="I2824" s="69"/>
      <c r="J2824" s="69"/>
      <c r="K2824" s="32"/>
      <c r="L2824" s="76">
        <v>2824</v>
      </c>
      <c r="M2824" s="76"/>
      <c r="N2824" s="71"/>
      <c r="O2824" s="87" t="s">
        <v>179</v>
      </c>
      <c r="P2824" s="90">
        <v>45168.730162037034</v>
      </c>
      <c r="Q2824" s="87" t="s">
        <v>4541</v>
      </c>
      <c r="R2824" s="87">
        <v>0</v>
      </c>
      <c r="S2824" s="87">
        <v>0</v>
      </c>
      <c r="T2824" s="87">
        <v>0</v>
      </c>
      <c r="U2824" s="87">
        <v>0</v>
      </c>
      <c r="V2824" s="87">
        <v>55</v>
      </c>
      <c r="W2824" s="93" t="s">
        <v>7424</v>
      </c>
      <c r="X2824" s="87"/>
      <c r="Y2824" s="87"/>
      <c r="Z2824" s="87"/>
      <c r="AA2824" s="87" t="s">
        <v>10555</v>
      </c>
      <c r="AB2824" s="87" t="s">
        <v>11448</v>
      </c>
      <c r="AC2824" s="93" t="s">
        <v>11457</v>
      </c>
      <c r="AD2824" s="87" t="s">
        <v>11519</v>
      </c>
      <c r="AE2824" s="92" t="str">
        <f>HYPERLINK("https://twitter.com/serraempauta/status/1696938693703975406")</f>
        <v>https://twitter.com/serraempauta/status/1696938693703975406</v>
      </c>
      <c r="AF2824" s="90">
        <v>45168.730162037034</v>
      </c>
      <c r="AG2824" s="99">
        <v>45168</v>
      </c>
      <c r="AH2824" s="93" t="s">
        <v>14064</v>
      </c>
      <c r="AI2824" s="87" t="b">
        <v>0</v>
      </c>
      <c r="AJ2824" s="87"/>
      <c r="AK2824" s="87"/>
      <c r="AL2824" s="87"/>
      <c r="AM2824" s="87"/>
      <c r="AN2824" s="87"/>
      <c r="AO2824" s="87"/>
      <c r="AP2824" s="87"/>
      <c r="AQ2824" s="87" t="s">
        <v>17367</v>
      </c>
      <c r="AR2824" s="87"/>
      <c r="AS2824" s="87"/>
      <c r="AT2824" s="87"/>
      <c r="AU2824" s="87"/>
      <c r="AV2824" s="92" t="str">
        <f>HYPERLINK("https://pbs.twimg.com/media/F4y8vqxWgAExiev.jpg")</f>
        <v>https://pbs.twimg.com/media/F4y8vqxWgAExiev.jpg</v>
      </c>
      <c r="AW2824" s="93" t="s">
        <v>20985</v>
      </c>
      <c r="AX2824" s="93" t="s">
        <v>20985</v>
      </c>
      <c r="AY2824" s="87"/>
      <c r="AZ2824" s="93" t="s">
        <v>22668</v>
      </c>
      <c r="BA2824" s="93" t="s">
        <v>22668</v>
      </c>
      <c r="BB2824" s="93" t="s">
        <v>22668</v>
      </c>
      <c r="BC2824" s="93" t="s">
        <v>20985</v>
      </c>
      <c r="BD2824" s="93" t="s">
        <v>23269</v>
      </c>
      <c r="BE2824" s="87"/>
      <c r="BF2824" s="87"/>
      <c r="BG2824" s="87"/>
      <c r="BH2824" s="87"/>
      <c r="BI2824" s="87"/>
    </row>
    <row r="2825" spans="1:61" x14ac:dyDescent="0.25">
      <c r="A2825" s="63" t="s">
        <v>1058</v>
      </c>
      <c r="B2825" s="63" t="s">
        <v>1058</v>
      </c>
      <c r="C2825" s="64"/>
      <c r="D2825" s="65"/>
      <c r="E2825" s="66"/>
      <c r="F2825" s="67"/>
      <c r="G2825" s="64"/>
      <c r="H2825" s="68"/>
      <c r="I2825" s="69"/>
      <c r="J2825" s="69"/>
      <c r="K2825" s="32"/>
      <c r="L2825" s="76">
        <v>2825</v>
      </c>
      <c r="M2825" s="76"/>
      <c r="N2825" s="71"/>
      <c r="O2825" s="87" t="s">
        <v>179</v>
      </c>
      <c r="P2825" s="90">
        <v>45168.704872685186</v>
      </c>
      <c r="Q2825" s="87" t="s">
        <v>4542</v>
      </c>
      <c r="R2825" s="87">
        <v>0</v>
      </c>
      <c r="S2825" s="87">
        <v>0</v>
      </c>
      <c r="T2825" s="87">
        <v>0</v>
      </c>
      <c r="U2825" s="87">
        <v>0</v>
      </c>
      <c r="V2825" s="87">
        <v>55</v>
      </c>
      <c r="W2825" s="93" t="s">
        <v>7424</v>
      </c>
      <c r="X2825" s="87"/>
      <c r="Y2825" s="87"/>
      <c r="Z2825" s="87"/>
      <c r="AA2825" s="87" t="s">
        <v>10556</v>
      </c>
      <c r="AB2825" s="87" t="s">
        <v>11448</v>
      </c>
      <c r="AC2825" s="93" t="s">
        <v>11457</v>
      </c>
      <c r="AD2825" s="87" t="s">
        <v>11519</v>
      </c>
      <c r="AE2825" s="92" t="str">
        <f>HYPERLINK("https://twitter.com/serraempauta/status/1696929527425818805")</f>
        <v>https://twitter.com/serraempauta/status/1696929527425818805</v>
      </c>
      <c r="AF2825" s="90">
        <v>45168.704872685186</v>
      </c>
      <c r="AG2825" s="99">
        <v>45168</v>
      </c>
      <c r="AH2825" s="93" t="s">
        <v>14065</v>
      </c>
      <c r="AI2825" s="87" t="b">
        <v>0</v>
      </c>
      <c r="AJ2825" s="87"/>
      <c r="AK2825" s="87"/>
      <c r="AL2825" s="87"/>
      <c r="AM2825" s="87"/>
      <c r="AN2825" s="87"/>
      <c r="AO2825" s="87"/>
      <c r="AP2825" s="87"/>
      <c r="AQ2825" s="87" t="s">
        <v>17368</v>
      </c>
      <c r="AR2825" s="87"/>
      <c r="AS2825" s="87"/>
      <c r="AT2825" s="87"/>
      <c r="AU2825" s="87"/>
      <c r="AV2825" s="92" t="str">
        <f>HYPERLINK("https://pbs.twimg.com/media/F4y0aFCXIAA5wvY.jpg")</f>
        <v>https://pbs.twimg.com/media/F4y0aFCXIAA5wvY.jpg</v>
      </c>
      <c r="AW2825" s="93" t="s">
        <v>20986</v>
      </c>
      <c r="AX2825" s="93" t="s">
        <v>20986</v>
      </c>
      <c r="AY2825" s="87"/>
      <c r="AZ2825" s="93" t="s">
        <v>22668</v>
      </c>
      <c r="BA2825" s="93" t="s">
        <v>22668</v>
      </c>
      <c r="BB2825" s="93" t="s">
        <v>22668</v>
      </c>
      <c r="BC2825" s="93" t="s">
        <v>20986</v>
      </c>
      <c r="BD2825" s="93" t="s">
        <v>23269</v>
      </c>
      <c r="BE2825" s="87"/>
      <c r="BF2825" s="87"/>
      <c r="BG2825" s="87"/>
      <c r="BH2825" s="87"/>
      <c r="BI2825" s="87"/>
    </row>
    <row r="2826" spans="1:61" x14ac:dyDescent="0.25">
      <c r="A2826" s="63" t="s">
        <v>1058</v>
      </c>
      <c r="B2826" s="63" t="s">
        <v>1058</v>
      </c>
      <c r="C2826" s="64"/>
      <c r="D2826" s="65"/>
      <c r="E2826" s="66"/>
      <c r="F2826" s="67"/>
      <c r="G2826" s="64"/>
      <c r="H2826" s="68"/>
      <c r="I2826" s="69"/>
      <c r="J2826" s="69"/>
      <c r="K2826" s="32"/>
      <c r="L2826" s="76">
        <v>2826</v>
      </c>
      <c r="M2826" s="76"/>
      <c r="N2826" s="71"/>
      <c r="O2826" s="87" t="s">
        <v>179</v>
      </c>
      <c r="P2826" s="90">
        <v>45168.605254629627</v>
      </c>
      <c r="Q2826" s="87" t="s">
        <v>4543</v>
      </c>
      <c r="R2826" s="87">
        <v>0</v>
      </c>
      <c r="S2826" s="87">
        <v>1</v>
      </c>
      <c r="T2826" s="87">
        <v>0</v>
      </c>
      <c r="U2826" s="87">
        <v>0</v>
      </c>
      <c r="V2826" s="87">
        <v>62</v>
      </c>
      <c r="W2826" s="93" t="s">
        <v>7424</v>
      </c>
      <c r="X2826" s="87"/>
      <c r="Y2826" s="87"/>
      <c r="Z2826" s="87"/>
      <c r="AA2826" s="87" t="s">
        <v>10557</v>
      </c>
      <c r="AB2826" s="87" t="s">
        <v>11448</v>
      </c>
      <c r="AC2826" s="93" t="s">
        <v>11457</v>
      </c>
      <c r="AD2826" s="87" t="s">
        <v>11519</v>
      </c>
      <c r="AE2826" s="92" t="str">
        <f>HYPERLINK("https://twitter.com/serraempauta/status/1696893426480857382")</f>
        <v>https://twitter.com/serraempauta/status/1696893426480857382</v>
      </c>
      <c r="AF2826" s="90">
        <v>45168.605254629627</v>
      </c>
      <c r="AG2826" s="99">
        <v>45168</v>
      </c>
      <c r="AH2826" s="93" t="s">
        <v>14066</v>
      </c>
      <c r="AI2826" s="87" t="b">
        <v>0</v>
      </c>
      <c r="AJ2826" s="87"/>
      <c r="AK2826" s="87"/>
      <c r="AL2826" s="87"/>
      <c r="AM2826" s="87"/>
      <c r="AN2826" s="87"/>
      <c r="AO2826" s="87"/>
      <c r="AP2826" s="87"/>
      <c r="AQ2826" s="87" t="s">
        <v>17369</v>
      </c>
      <c r="AR2826" s="87"/>
      <c r="AS2826" s="87"/>
      <c r="AT2826" s="87"/>
      <c r="AU2826" s="87"/>
      <c r="AV2826" s="92" t="str">
        <f>HYPERLINK("https://pbs.twimg.com/media/F4yTkjaWsAA-ztK.png")</f>
        <v>https://pbs.twimg.com/media/F4yTkjaWsAA-ztK.png</v>
      </c>
      <c r="AW2826" s="93" t="s">
        <v>20987</v>
      </c>
      <c r="AX2826" s="93" t="s">
        <v>20987</v>
      </c>
      <c r="AY2826" s="87"/>
      <c r="AZ2826" s="93" t="s">
        <v>22668</v>
      </c>
      <c r="BA2826" s="93" t="s">
        <v>22668</v>
      </c>
      <c r="BB2826" s="93" t="s">
        <v>22668</v>
      </c>
      <c r="BC2826" s="93" t="s">
        <v>20987</v>
      </c>
      <c r="BD2826" s="93" t="s">
        <v>23269</v>
      </c>
      <c r="BE2826" s="87"/>
      <c r="BF2826" s="87"/>
      <c r="BG2826" s="87"/>
      <c r="BH2826" s="87"/>
      <c r="BI2826" s="87"/>
    </row>
    <row r="2827" spans="1:61" x14ac:dyDescent="0.25">
      <c r="A2827" s="63" t="s">
        <v>1058</v>
      </c>
      <c r="B2827" s="63" t="s">
        <v>1058</v>
      </c>
      <c r="C2827" s="64"/>
      <c r="D2827" s="65"/>
      <c r="E2827" s="66"/>
      <c r="F2827" s="67"/>
      <c r="G2827" s="64"/>
      <c r="H2827" s="68"/>
      <c r="I2827" s="69"/>
      <c r="J2827" s="69"/>
      <c r="K2827" s="32"/>
      <c r="L2827" s="76">
        <v>2827</v>
      </c>
      <c r="M2827" s="76"/>
      <c r="N2827" s="71"/>
      <c r="O2827" s="87" t="s">
        <v>179</v>
      </c>
      <c r="P2827" s="90">
        <v>45168.57576388889</v>
      </c>
      <c r="Q2827" s="87" t="s">
        <v>4544</v>
      </c>
      <c r="R2827" s="87">
        <v>0</v>
      </c>
      <c r="S2827" s="87">
        <v>0</v>
      </c>
      <c r="T2827" s="87">
        <v>0</v>
      </c>
      <c r="U2827" s="87">
        <v>0</v>
      </c>
      <c r="V2827" s="87">
        <v>62</v>
      </c>
      <c r="W2827" s="93" t="s">
        <v>7424</v>
      </c>
      <c r="X2827" s="87"/>
      <c r="Y2827" s="87"/>
      <c r="Z2827" s="87"/>
      <c r="AA2827" s="87" t="s">
        <v>10558</v>
      </c>
      <c r="AB2827" s="87" t="s">
        <v>11448</v>
      </c>
      <c r="AC2827" s="93" t="s">
        <v>11457</v>
      </c>
      <c r="AD2827" s="87" t="s">
        <v>11519</v>
      </c>
      <c r="AE2827" s="92" t="str">
        <f>HYPERLINK("https://twitter.com/serraempauta/status/1696882741063664116")</f>
        <v>https://twitter.com/serraempauta/status/1696882741063664116</v>
      </c>
      <c r="AF2827" s="90">
        <v>45168.57576388889</v>
      </c>
      <c r="AG2827" s="99">
        <v>45168</v>
      </c>
      <c r="AH2827" s="93" t="s">
        <v>14067</v>
      </c>
      <c r="AI2827" s="87" t="b">
        <v>0</v>
      </c>
      <c r="AJ2827" s="87"/>
      <c r="AK2827" s="87"/>
      <c r="AL2827" s="87"/>
      <c r="AM2827" s="87"/>
      <c r="AN2827" s="87"/>
      <c r="AO2827" s="87"/>
      <c r="AP2827" s="87"/>
      <c r="AQ2827" s="87" t="s">
        <v>17370</v>
      </c>
      <c r="AR2827" s="87"/>
      <c r="AS2827" s="87"/>
      <c r="AT2827" s="87"/>
      <c r="AU2827" s="87"/>
      <c r="AV2827" s="92" t="str">
        <f>HYPERLINK("https://pbs.twimg.com/media/F4yJ2w5WUAAIBre.jpg")</f>
        <v>https://pbs.twimg.com/media/F4yJ2w5WUAAIBre.jpg</v>
      </c>
      <c r="AW2827" s="93" t="s">
        <v>20988</v>
      </c>
      <c r="AX2827" s="93" t="s">
        <v>20988</v>
      </c>
      <c r="AY2827" s="87"/>
      <c r="AZ2827" s="93" t="s">
        <v>22668</v>
      </c>
      <c r="BA2827" s="93" t="s">
        <v>22668</v>
      </c>
      <c r="BB2827" s="93" t="s">
        <v>22668</v>
      </c>
      <c r="BC2827" s="93" t="s">
        <v>20988</v>
      </c>
      <c r="BD2827" s="93" t="s">
        <v>23269</v>
      </c>
      <c r="BE2827" s="87"/>
      <c r="BF2827" s="87"/>
      <c r="BG2827" s="87"/>
      <c r="BH2827" s="87"/>
      <c r="BI2827" s="87"/>
    </row>
    <row r="2828" spans="1:61" x14ac:dyDescent="0.25">
      <c r="A2828" s="63" t="s">
        <v>1058</v>
      </c>
      <c r="B2828" s="63" t="s">
        <v>1058</v>
      </c>
      <c r="C2828" s="64"/>
      <c r="D2828" s="65"/>
      <c r="E2828" s="66"/>
      <c r="F2828" s="67"/>
      <c r="G2828" s="64"/>
      <c r="H2828" s="68"/>
      <c r="I2828" s="69"/>
      <c r="J2828" s="69"/>
      <c r="K2828" s="32"/>
      <c r="L2828" s="76">
        <v>2828</v>
      </c>
      <c r="M2828" s="76"/>
      <c r="N2828" s="71"/>
      <c r="O2828" s="87" t="s">
        <v>179</v>
      </c>
      <c r="P2828" s="90">
        <v>45168.525972222225</v>
      </c>
      <c r="Q2828" s="87" t="s">
        <v>4545</v>
      </c>
      <c r="R2828" s="87">
        <v>0</v>
      </c>
      <c r="S2828" s="87">
        <v>0</v>
      </c>
      <c r="T2828" s="87">
        <v>0</v>
      </c>
      <c r="U2828" s="87">
        <v>0</v>
      </c>
      <c r="V2828" s="87">
        <v>41</v>
      </c>
      <c r="W2828" s="93" t="s">
        <v>7424</v>
      </c>
      <c r="X2828" s="87"/>
      <c r="Y2828" s="87"/>
      <c r="Z2828" s="87"/>
      <c r="AA2828" s="87" t="s">
        <v>10559</v>
      </c>
      <c r="AB2828" s="87" t="s">
        <v>11448</v>
      </c>
      <c r="AC2828" s="93" t="s">
        <v>11457</v>
      </c>
      <c r="AD2828" s="87" t="s">
        <v>11519</v>
      </c>
      <c r="AE2828" s="92" t="str">
        <f>HYPERLINK("https://twitter.com/serraempauta/status/1696864697176170868")</f>
        <v>https://twitter.com/serraempauta/status/1696864697176170868</v>
      </c>
      <c r="AF2828" s="90">
        <v>45168.525972222225</v>
      </c>
      <c r="AG2828" s="99">
        <v>45168</v>
      </c>
      <c r="AH2828" s="93" t="s">
        <v>14068</v>
      </c>
      <c r="AI2828" s="87" t="b">
        <v>0</v>
      </c>
      <c r="AJ2828" s="87"/>
      <c r="AK2828" s="87"/>
      <c r="AL2828" s="87"/>
      <c r="AM2828" s="87"/>
      <c r="AN2828" s="87"/>
      <c r="AO2828" s="87"/>
      <c r="AP2828" s="87"/>
      <c r="AQ2828" s="87" t="s">
        <v>17371</v>
      </c>
      <c r="AR2828" s="87"/>
      <c r="AS2828" s="87"/>
      <c r="AT2828" s="87"/>
      <c r="AU2828" s="87"/>
      <c r="AV2828" s="92" t="str">
        <f>HYPERLINK("https://pbs.twimg.com/media/F4x5cdzXsAA8wq8.jpg")</f>
        <v>https://pbs.twimg.com/media/F4x5cdzXsAA8wq8.jpg</v>
      </c>
      <c r="AW2828" s="93" t="s">
        <v>20989</v>
      </c>
      <c r="AX2828" s="93" t="s">
        <v>20989</v>
      </c>
      <c r="AY2828" s="87"/>
      <c r="AZ2828" s="93" t="s">
        <v>22668</v>
      </c>
      <c r="BA2828" s="93" t="s">
        <v>22668</v>
      </c>
      <c r="BB2828" s="93" t="s">
        <v>22668</v>
      </c>
      <c r="BC2828" s="93" t="s">
        <v>20989</v>
      </c>
      <c r="BD2828" s="93" t="s">
        <v>23269</v>
      </c>
      <c r="BE2828" s="87"/>
      <c r="BF2828" s="87"/>
      <c r="BG2828" s="87"/>
      <c r="BH2828" s="87"/>
      <c r="BI2828" s="87"/>
    </row>
    <row r="2829" spans="1:61" x14ac:dyDescent="0.25">
      <c r="A2829" s="63" t="s">
        <v>1058</v>
      </c>
      <c r="B2829" s="63" t="s">
        <v>1058</v>
      </c>
      <c r="C2829" s="64"/>
      <c r="D2829" s="65"/>
      <c r="E2829" s="66"/>
      <c r="F2829" s="67"/>
      <c r="G2829" s="64"/>
      <c r="H2829" s="68"/>
      <c r="I2829" s="69"/>
      <c r="J2829" s="69"/>
      <c r="K2829" s="32"/>
      <c r="L2829" s="76">
        <v>2829</v>
      </c>
      <c r="M2829" s="76"/>
      <c r="N2829" s="71"/>
      <c r="O2829" s="87" t="s">
        <v>179</v>
      </c>
      <c r="P2829" s="90">
        <v>45167.918067129627</v>
      </c>
      <c r="Q2829" s="87" t="s">
        <v>4546</v>
      </c>
      <c r="R2829" s="87">
        <v>0</v>
      </c>
      <c r="S2829" s="87">
        <v>1</v>
      </c>
      <c r="T2829" s="87">
        <v>0</v>
      </c>
      <c r="U2829" s="87">
        <v>0</v>
      </c>
      <c r="V2829" s="87">
        <v>54</v>
      </c>
      <c r="W2829" s="93" t="s">
        <v>7424</v>
      </c>
      <c r="X2829" s="87"/>
      <c r="Y2829" s="87"/>
      <c r="Z2829" s="87"/>
      <c r="AA2829" s="87" t="s">
        <v>10560</v>
      </c>
      <c r="AB2829" s="87" t="s">
        <v>11448</v>
      </c>
      <c r="AC2829" s="93" t="s">
        <v>11457</v>
      </c>
      <c r="AD2829" s="87" t="s">
        <v>11519</v>
      </c>
      <c r="AE2829" s="92" t="str">
        <f>HYPERLINK("https://twitter.com/serraempauta/status/1696644398900019294")</f>
        <v>https://twitter.com/serraempauta/status/1696644398900019294</v>
      </c>
      <c r="AF2829" s="90">
        <v>45167.918067129627</v>
      </c>
      <c r="AG2829" s="99">
        <v>45167</v>
      </c>
      <c r="AH2829" s="93" t="s">
        <v>14069</v>
      </c>
      <c r="AI2829" s="87" t="b">
        <v>0</v>
      </c>
      <c r="AJ2829" s="87"/>
      <c r="AK2829" s="87"/>
      <c r="AL2829" s="87"/>
      <c r="AM2829" s="87"/>
      <c r="AN2829" s="87"/>
      <c r="AO2829" s="87"/>
      <c r="AP2829" s="87"/>
      <c r="AQ2829" s="87" t="s">
        <v>17372</v>
      </c>
      <c r="AR2829" s="87"/>
      <c r="AS2829" s="87"/>
      <c r="AT2829" s="87"/>
      <c r="AU2829" s="87"/>
      <c r="AV2829" s="92" t="str">
        <f>HYPERLINK("https://pbs.twimg.com/media/F4uxFR_WMAA0Gtb.jpg")</f>
        <v>https://pbs.twimg.com/media/F4uxFR_WMAA0Gtb.jpg</v>
      </c>
      <c r="AW2829" s="93" t="s">
        <v>20990</v>
      </c>
      <c r="AX2829" s="93" t="s">
        <v>20990</v>
      </c>
      <c r="AY2829" s="87"/>
      <c r="AZ2829" s="93" t="s">
        <v>22668</v>
      </c>
      <c r="BA2829" s="93" t="s">
        <v>22668</v>
      </c>
      <c r="BB2829" s="93" t="s">
        <v>22668</v>
      </c>
      <c r="BC2829" s="93" t="s">
        <v>20990</v>
      </c>
      <c r="BD2829" s="93" t="s">
        <v>23269</v>
      </c>
      <c r="BE2829" s="87"/>
      <c r="BF2829" s="87"/>
      <c r="BG2829" s="87"/>
      <c r="BH2829" s="87"/>
      <c r="BI2829" s="87"/>
    </row>
    <row r="2830" spans="1:61" x14ac:dyDescent="0.25">
      <c r="A2830" s="63" t="s">
        <v>1058</v>
      </c>
      <c r="B2830" s="63" t="s">
        <v>1058</v>
      </c>
      <c r="C2830" s="64"/>
      <c r="D2830" s="65"/>
      <c r="E2830" s="66"/>
      <c r="F2830" s="67"/>
      <c r="G2830" s="64"/>
      <c r="H2830" s="68"/>
      <c r="I2830" s="69"/>
      <c r="J2830" s="69"/>
      <c r="K2830" s="32"/>
      <c r="L2830" s="76">
        <v>2830</v>
      </c>
      <c r="M2830" s="76"/>
      <c r="N2830" s="71"/>
      <c r="O2830" s="87" t="s">
        <v>179</v>
      </c>
      <c r="P2830" s="90">
        <v>45167.815763888888</v>
      </c>
      <c r="Q2830" s="87" t="s">
        <v>4547</v>
      </c>
      <c r="R2830" s="87">
        <v>0</v>
      </c>
      <c r="S2830" s="87">
        <v>0</v>
      </c>
      <c r="T2830" s="87">
        <v>0</v>
      </c>
      <c r="U2830" s="87">
        <v>0</v>
      </c>
      <c r="V2830" s="87">
        <v>76</v>
      </c>
      <c r="W2830" s="93" t="s">
        <v>7424</v>
      </c>
      <c r="X2830" s="87"/>
      <c r="Y2830" s="87"/>
      <c r="Z2830" s="87"/>
      <c r="AA2830" s="87" t="s">
        <v>10561</v>
      </c>
      <c r="AB2830" s="87" t="s">
        <v>11448</v>
      </c>
      <c r="AC2830" s="93" t="s">
        <v>11457</v>
      </c>
      <c r="AD2830" s="87" t="s">
        <v>11519</v>
      </c>
      <c r="AE2830" s="92" t="str">
        <f>HYPERLINK("https://twitter.com/serraempauta/status/1696607327049183415")</f>
        <v>https://twitter.com/serraempauta/status/1696607327049183415</v>
      </c>
      <c r="AF2830" s="90">
        <v>45167.815763888888</v>
      </c>
      <c r="AG2830" s="99">
        <v>45167</v>
      </c>
      <c r="AH2830" s="93" t="s">
        <v>14070</v>
      </c>
      <c r="AI2830" s="87" t="b">
        <v>0</v>
      </c>
      <c r="AJ2830" s="87"/>
      <c r="AK2830" s="87"/>
      <c r="AL2830" s="87"/>
      <c r="AM2830" s="87"/>
      <c r="AN2830" s="87"/>
      <c r="AO2830" s="87"/>
      <c r="AP2830" s="87"/>
      <c r="AQ2830" s="87" t="s">
        <v>17373</v>
      </c>
      <c r="AR2830" s="87"/>
      <c r="AS2830" s="87"/>
      <c r="AT2830" s="87"/>
      <c r="AU2830" s="87"/>
      <c r="AV2830" s="92" t="str">
        <f>HYPERLINK("https://pbs.twimg.com/media/F4uPWNvXoAAEcBu.jpg")</f>
        <v>https://pbs.twimg.com/media/F4uPWNvXoAAEcBu.jpg</v>
      </c>
      <c r="AW2830" s="93" t="s">
        <v>20991</v>
      </c>
      <c r="AX2830" s="93" t="s">
        <v>20991</v>
      </c>
      <c r="AY2830" s="87"/>
      <c r="AZ2830" s="93" t="s">
        <v>22668</v>
      </c>
      <c r="BA2830" s="93" t="s">
        <v>22668</v>
      </c>
      <c r="BB2830" s="93" t="s">
        <v>22668</v>
      </c>
      <c r="BC2830" s="93" t="s">
        <v>20991</v>
      </c>
      <c r="BD2830" s="93" t="s">
        <v>23269</v>
      </c>
      <c r="BE2830" s="87"/>
      <c r="BF2830" s="87"/>
      <c r="BG2830" s="87"/>
      <c r="BH2830" s="87"/>
      <c r="BI2830" s="87"/>
    </row>
    <row r="2831" spans="1:61" x14ac:dyDescent="0.25">
      <c r="A2831" s="63" t="s">
        <v>1058</v>
      </c>
      <c r="B2831" s="63" t="s">
        <v>1058</v>
      </c>
      <c r="C2831" s="64"/>
      <c r="D2831" s="65"/>
      <c r="E2831" s="66"/>
      <c r="F2831" s="67"/>
      <c r="G2831" s="64"/>
      <c r="H2831" s="68"/>
      <c r="I2831" s="69"/>
      <c r="J2831" s="69"/>
      <c r="K2831" s="32"/>
      <c r="L2831" s="76">
        <v>2831</v>
      </c>
      <c r="M2831" s="76"/>
      <c r="N2831" s="71"/>
      <c r="O2831" s="87" t="s">
        <v>179</v>
      </c>
      <c r="P2831" s="90">
        <v>45154.612361111111</v>
      </c>
      <c r="Q2831" s="87" t="s">
        <v>4548</v>
      </c>
      <c r="R2831" s="87">
        <v>0</v>
      </c>
      <c r="S2831" s="87">
        <v>0</v>
      </c>
      <c r="T2831" s="87">
        <v>0</v>
      </c>
      <c r="U2831" s="87">
        <v>0</v>
      </c>
      <c r="V2831" s="87">
        <v>59</v>
      </c>
      <c r="W2831" s="93" t="s">
        <v>7424</v>
      </c>
      <c r="X2831" s="87"/>
      <c r="Y2831" s="87"/>
      <c r="Z2831" s="87"/>
      <c r="AA2831" s="87" t="s">
        <v>10562</v>
      </c>
      <c r="AB2831" s="87" t="s">
        <v>11448</v>
      </c>
      <c r="AC2831" s="93" t="s">
        <v>11457</v>
      </c>
      <c r="AD2831" s="87" t="s">
        <v>11519</v>
      </c>
      <c r="AE2831" s="92" t="str">
        <f>HYPERLINK("https://twitter.com/serraempauta/status/1691822571237347767")</f>
        <v>https://twitter.com/serraempauta/status/1691822571237347767</v>
      </c>
      <c r="AF2831" s="90">
        <v>45154.612361111111</v>
      </c>
      <c r="AG2831" s="99">
        <v>45154</v>
      </c>
      <c r="AH2831" s="93" t="s">
        <v>14071</v>
      </c>
      <c r="AI2831" s="87" t="b">
        <v>0</v>
      </c>
      <c r="AJ2831" s="87"/>
      <c r="AK2831" s="87"/>
      <c r="AL2831" s="87"/>
      <c r="AM2831" s="87"/>
      <c r="AN2831" s="87"/>
      <c r="AO2831" s="87"/>
      <c r="AP2831" s="87"/>
      <c r="AQ2831" s="87" t="s">
        <v>17374</v>
      </c>
      <c r="AR2831" s="87"/>
      <c r="AS2831" s="87"/>
      <c r="AT2831" s="87"/>
      <c r="AU2831" s="87"/>
      <c r="AV2831" s="92" t="str">
        <f>HYPERLINK("https://pbs.twimg.com/media/F3qPqATW8AINBQu.jpg")</f>
        <v>https://pbs.twimg.com/media/F3qPqATW8AINBQu.jpg</v>
      </c>
      <c r="AW2831" s="93" t="s">
        <v>20992</v>
      </c>
      <c r="AX2831" s="93" t="s">
        <v>20992</v>
      </c>
      <c r="AY2831" s="87"/>
      <c r="AZ2831" s="93" t="s">
        <v>22668</v>
      </c>
      <c r="BA2831" s="93" t="s">
        <v>22668</v>
      </c>
      <c r="BB2831" s="93" t="s">
        <v>22668</v>
      </c>
      <c r="BC2831" s="93" t="s">
        <v>20992</v>
      </c>
      <c r="BD2831" s="93" t="s">
        <v>23269</v>
      </c>
      <c r="BE2831" s="87"/>
      <c r="BF2831" s="87"/>
      <c r="BG2831" s="87"/>
      <c r="BH2831" s="87"/>
      <c r="BI2831" s="87"/>
    </row>
    <row r="2832" spans="1:61" x14ac:dyDescent="0.25">
      <c r="A2832" s="63" t="s">
        <v>1058</v>
      </c>
      <c r="B2832" s="63" t="s">
        <v>1058</v>
      </c>
      <c r="C2832" s="64"/>
      <c r="D2832" s="65"/>
      <c r="E2832" s="66"/>
      <c r="F2832" s="67"/>
      <c r="G2832" s="64"/>
      <c r="H2832" s="68"/>
      <c r="I2832" s="69"/>
      <c r="J2832" s="69"/>
      <c r="K2832" s="32"/>
      <c r="L2832" s="76">
        <v>2832</v>
      </c>
      <c r="M2832" s="76"/>
      <c r="N2832" s="71"/>
      <c r="O2832" s="87" t="s">
        <v>179</v>
      </c>
      <c r="P2832" s="90">
        <v>45154.590590277781</v>
      </c>
      <c r="Q2832" s="87" t="s">
        <v>4549</v>
      </c>
      <c r="R2832" s="87">
        <v>0</v>
      </c>
      <c r="S2832" s="87">
        <v>0</v>
      </c>
      <c r="T2832" s="87">
        <v>0</v>
      </c>
      <c r="U2832" s="87">
        <v>0</v>
      </c>
      <c r="V2832" s="87">
        <v>56</v>
      </c>
      <c r="W2832" s="93" t="s">
        <v>7424</v>
      </c>
      <c r="X2832" s="87"/>
      <c r="Y2832" s="87"/>
      <c r="Z2832" s="87"/>
      <c r="AA2832" s="87" t="s">
        <v>10563</v>
      </c>
      <c r="AB2832" s="87" t="s">
        <v>11448</v>
      </c>
      <c r="AC2832" s="93" t="s">
        <v>11457</v>
      </c>
      <c r="AD2832" s="87" t="s">
        <v>11519</v>
      </c>
      <c r="AE2832" s="92" t="str">
        <f>HYPERLINK("https://twitter.com/serraempauta/status/1691814683827679569")</f>
        <v>https://twitter.com/serraempauta/status/1691814683827679569</v>
      </c>
      <c r="AF2832" s="90">
        <v>45154.590590277781</v>
      </c>
      <c r="AG2832" s="99">
        <v>45154</v>
      </c>
      <c r="AH2832" s="93" t="s">
        <v>14072</v>
      </c>
      <c r="AI2832" s="87" t="b">
        <v>0</v>
      </c>
      <c r="AJ2832" s="87"/>
      <c r="AK2832" s="87"/>
      <c r="AL2832" s="87"/>
      <c r="AM2832" s="87"/>
      <c r="AN2832" s="87"/>
      <c r="AO2832" s="87"/>
      <c r="AP2832" s="87"/>
      <c r="AQ2832" s="87" t="s">
        <v>17375</v>
      </c>
      <c r="AR2832" s="87"/>
      <c r="AS2832" s="87"/>
      <c r="AT2832" s="87"/>
      <c r="AU2832" s="87"/>
      <c r="AV2832" s="92" t="str">
        <f>HYPERLINK("https://pbs.twimg.com/media/F3qIe0HW0AEJrGY.jpg")</f>
        <v>https://pbs.twimg.com/media/F3qIe0HW0AEJrGY.jpg</v>
      </c>
      <c r="AW2832" s="93" t="s">
        <v>20993</v>
      </c>
      <c r="AX2832" s="93" t="s">
        <v>20993</v>
      </c>
      <c r="AY2832" s="87"/>
      <c r="AZ2832" s="93" t="s">
        <v>22668</v>
      </c>
      <c r="BA2832" s="93" t="s">
        <v>22668</v>
      </c>
      <c r="BB2832" s="93" t="s">
        <v>22668</v>
      </c>
      <c r="BC2832" s="93" t="s">
        <v>20993</v>
      </c>
      <c r="BD2832" s="93" t="s">
        <v>23269</v>
      </c>
      <c r="BE2832" s="87"/>
      <c r="BF2832" s="87"/>
      <c r="BG2832" s="87"/>
      <c r="BH2832" s="87"/>
      <c r="BI2832" s="87"/>
    </row>
    <row r="2833" spans="1:61" x14ac:dyDescent="0.25">
      <c r="A2833" s="63" t="s">
        <v>1058</v>
      </c>
      <c r="B2833" s="63" t="s">
        <v>1058</v>
      </c>
      <c r="C2833" s="64"/>
      <c r="D2833" s="65"/>
      <c r="E2833" s="66"/>
      <c r="F2833" s="67"/>
      <c r="G2833" s="64"/>
      <c r="H2833" s="68"/>
      <c r="I2833" s="69"/>
      <c r="J2833" s="69"/>
      <c r="K2833" s="32"/>
      <c r="L2833" s="76">
        <v>2833</v>
      </c>
      <c r="M2833" s="76"/>
      <c r="N2833" s="71"/>
      <c r="O2833" s="87" t="s">
        <v>179</v>
      </c>
      <c r="P2833" s="90">
        <v>45154.552569444444</v>
      </c>
      <c r="Q2833" s="87" t="s">
        <v>4550</v>
      </c>
      <c r="R2833" s="87">
        <v>1</v>
      </c>
      <c r="S2833" s="87">
        <v>1</v>
      </c>
      <c r="T2833" s="87">
        <v>1</v>
      </c>
      <c r="U2833" s="87">
        <v>0</v>
      </c>
      <c r="V2833" s="87">
        <v>129</v>
      </c>
      <c r="W2833" s="93" t="s">
        <v>7424</v>
      </c>
      <c r="X2833" s="87"/>
      <c r="Y2833" s="87"/>
      <c r="Z2833" s="87"/>
      <c r="AA2833" s="87" t="s">
        <v>10564</v>
      </c>
      <c r="AB2833" s="87" t="s">
        <v>11448</v>
      </c>
      <c r="AC2833" s="93" t="s">
        <v>11457</v>
      </c>
      <c r="AD2833" s="87" t="s">
        <v>11519</v>
      </c>
      <c r="AE2833" s="92" t="str">
        <f>HYPERLINK("https://twitter.com/serraempauta/status/1691800904435990541")</f>
        <v>https://twitter.com/serraempauta/status/1691800904435990541</v>
      </c>
      <c r="AF2833" s="90">
        <v>45154.552569444444</v>
      </c>
      <c r="AG2833" s="99">
        <v>45154</v>
      </c>
      <c r="AH2833" s="93" t="s">
        <v>14073</v>
      </c>
      <c r="AI2833" s="87" t="b">
        <v>0</v>
      </c>
      <c r="AJ2833" s="87"/>
      <c r="AK2833" s="87"/>
      <c r="AL2833" s="87"/>
      <c r="AM2833" s="87"/>
      <c r="AN2833" s="87"/>
      <c r="AO2833" s="87"/>
      <c r="AP2833" s="87"/>
      <c r="AQ2833" s="87" t="s">
        <v>17376</v>
      </c>
      <c r="AR2833" s="87"/>
      <c r="AS2833" s="87"/>
      <c r="AT2833" s="87"/>
      <c r="AU2833" s="87"/>
      <c r="AV2833" s="92" t="str">
        <f>HYPERLINK("https://pbs.twimg.com/media/F3p78viW8AEAHOa.jpg")</f>
        <v>https://pbs.twimg.com/media/F3p78viW8AEAHOa.jpg</v>
      </c>
      <c r="AW2833" s="93" t="s">
        <v>20994</v>
      </c>
      <c r="AX2833" s="93" t="s">
        <v>20994</v>
      </c>
      <c r="AY2833" s="87"/>
      <c r="AZ2833" s="93" t="s">
        <v>22668</v>
      </c>
      <c r="BA2833" s="93" t="s">
        <v>22668</v>
      </c>
      <c r="BB2833" s="93" t="s">
        <v>22668</v>
      </c>
      <c r="BC2833" s="93" t="s">
        <v>20994</v>
      </c>
      <c r="BD2833" s="93" t="s">
        <v>23269</v>
      </c>
      <c r="BE2833" s="87"/>
      <c r="BF2833" s="87"/>
      <c r="BG2833" s="87"/>
      <c r="BH2833" s="87"/>
      <c r="BI2833" s="87"/>
    </row>
    <row r="2834" spans="1:61" x14ac:dyDescent="0.25">
      <c r="A2834" s="63" t="s">
        <v>1058</v>
      </c>
      <c r="B2834" s="63" t="s">
        <v>1058</v>
      </c>
      <c r="C2834" s="64"/>
      <c r="D2834" s="65"/>
      <c r="E2834" s="66"/>
      <c r="F2834" s="67"/>
      <c r="G2834" s="64"/>
      <c r="H2834" s="68"/>
      <c r="I2834" s="69"/>
      <c r="J2834" s="69"/>
      <c r="K2834" s="32"/>
      <c r="L2834" s="76">
        <v>2834</v>
      </c>
      <c r="M2834" s="76"/>
      <c r="N2834" s="71"/>
      <c r="O2834" s="87" t="s">
        <v>179</v>
      </c>
      <c r="P2834" s="90">
        <v>45153.869537037041</v>
      </c>
      <c r="Q2834" s="87" t="s">
        <v>4551</v>
      </c>
      <c r="R2834" s="87">
        <v>0</v>
      </c>
      <c r="S2834" s="87">
        <v>0</v>
      </c>
      <c r="T2834" s="87">
        <v>0</v>
      </c>
      <c r="U2834" s="87">
        <v>0</v>
      </c>
      <c r="V2834" s="87">
        <v>40</v>
      </c>
      <c r="W2834" s="93" t="s">
        <v>7424</v>
      </c>
      <c r="X2834" s="87"/>
      <c r="Y2834" s="87"/>
      <c r="Z2834" s="87"/>
      <c r="AA2834" s="87" t="s">
        <v>10565</v>
      </c>
      <c r="AB2834" s="87" t="s">
        <v>11448</v>
      </c>
      <c r="AC2834" s="93" t="s">
        <v>11457</v>
      </c>
      <c r="AD2834" s="87" t="s">
        <v>11519</v>
      </c>
      <c r="AE2834" s="92" t="str">
        <f>HYPERLINK("https://twitter.com/serraempauta/status/1691553381813305355")</f>
        <v>https://twitter.com/serraempauta/status/1691553381813305355</v>
      </c>
      <c r="AF2834" s="90">
        <v>45153.869537037041</v>
      </c>
      <c r="AG2834" s="99">
        <v>45153</v>
      </c>
      <c r="AH2834" s="93" t="s">
        <v>14074</v>
      </c>
      <c r="AI2834" s="87" t="b">
        <v>0</v>
      </c>
      <c r="AJ2834" s="87"/>
      <c r="AK2834" s="87"/>
      <c r="AL2834" s="87"/>
      <c r="AM2834" s="87"/>
      <c r="AN2834" s="87"/>
      <c r="AO2834" s="87"/>
      <c r="AP2834" s="87"/>
      <c r="AQ2834" s="87" t="s">
        <v>17377</v>
      </c>
      <c r="AR2834" s="87"/>
      <c r="AS2834" s="87"/>
      <c r="AT2834" s="87"/>
      <c r="AU2834" s="87"/>
      <c r="AV2834" s="92" t="str">
        <f>HYPERLINK("https://pbs.twimg.com/media/F3ma1PVWkAApj9w.jpg")</f>
        <v>https://pbs.twimg.com/media/F3ma1PVWkAApj9w.jpg</v>
      </c>
      <c r="AW2834" s="93" t="s">
        <v>20995</v>
      </c>
      <c r="AX2834" s="93" t="s">
        <v>20995</v>
      </c>
      <c r="AY2834" s="87"/>
      <c r="AZ2834" s="93" t="s">
        <v>22668</v>
      </c>
      <c r="BA2834" s="93" t="s">
        <v>22668</v>
      </c>
      <c r="BB2834" s="93" t="s">
        <v>22668</v>
      </c>
      <c r="BC2834" s="93" t="s">
        <v>20995</v>
      </c>
      <c r="BD2834" s="93" t="s">
        <v>23269</v>
      </c>
      <c r="BE2834" s="87"/>
      <c r="BF2834" s="87"/>
      <c r="BG2834" s="87"/>
      <c r="BH2834" s="87"/>
      <c r="BI2834" s="87"/>
    </row>
    <row r="2835" spans="1:61" x14ac:dyDescent="0.25">
      <c r="A2835" s="63" t="s">
        <v>1058</v>
      </c>
      <c r="B2835" s="63" t="s">
        <v>1058</v>
      </c>
      <c r="C2835" s="64"/>
      <c r="D2835" s="65"/>
      <c r="E2835" s="66"/>
      <c r="F2835" s="67"/>
      <c r="G2835" s="64"/>
      <c r="H2835" s="68"/>
      <c r="I2835" s="69"/>
      <c r="J2835" s="69"/>
      <c r="K2835" s="32"/>
      <c r="L2835" s="76">
        <v>2835</v>
      </c>
      <c r="M2835" s="76"/>
      <c r="N2835" s="71"/>
      <c r="O2835" s="87" t="s">
        <v>179</v>
      </c>
      <c r="P2835" s="90">
        <v>45153.81858796296</v>
      </c>
      <c r="Q2835" s="87" t="s">
        <v>4552</v>
      </c>
      <c r="R2835" s="87">
        <v>0</v>
      </c>
      <c r="S2835" s="87">
        <v>0</v>
      </c>
      <c r="T2835" s="87">
        <v>0</v>
      </c>
      <c r="U2835" s="87">
        <v>0</v>
      </c>
      <c r="V2835" s="87">
        <v>66</v>
      </c>
      <c r="W2835" s="93" t="s">
        <v>7424</v>
      </c>
      <c r="X2835" s="87"/>
      <c r="Y2835" s="87"/>
      <c r="Z2835" s="87"/>
      <c r="AA2835" s="87" t="s">
        <v>10566</v>
      </c>
      <c r="AB2835" s="87" t="s">
        <v>11448</v>
      </c>
      <c r="AC2835" s="93" t="s">
        <v>11457</v>
      </c>
      <c r="AD2835" s="87" t="s">
        <v>11519</v>
      </c>
      <c r="AE2835" s="92" t="str">
        <f>HYPERLINK("https://twitter.com/serraempauta/status/1691534918763880451")</f>
        <v>https://twitter.com/serraempauta/status/1691534918763880451</v>
      </c>
      <c r="AF2835" s="90">
        <v>45153.81858796296</v>
      </c>
      <c r="AG2835" s="99">
        <v>45153</v>
      </c>
      <c r="AH2835" s="93" t="s">
        <v>12219</v>
      </c>
      <c r="AI2835" s="87" t="b">
        <v>0</v>
      </c>
      <c r="AJ2835" s="87"/>
      <c r="AK2835" s="87"/>
      <c r="AL2835" s="87"/>
      <c r="AM2835" s="87"/>
      <c r="AN2835" s="87"/>
      <c r="AO2835" s="87"/>
      <c r="AP2835" s="87"/>
      <c r="AQ2835" s="87" t="s">
        <v>17378</v>
      </c>
      <c r="AR2835" s="87"/>
      <c r="AS2835" s="87"/>
      <c r="AT2835" s="87"/>
      <c r="AU2835" s="87"/>
      <c r="AV2835" s="92" t="str">
        <f>HYPERLINK("https://pbs.twimg.com/media/F3mKCjoXkAEgsJ9.jpg")</f>
        <v>https://pbs.twimg.com/media/F3mKCjoXkAEgsJ9.jpg</v>
      </c>
      <c r="AW2835" s="93" t="s">
        <v>20996</v>
      </c>
      <c r="AX2835" s="93" t="s">
        <v>20996</v>
      </c>
      <c r="AY2835" s="87"/>
      <c r="AZ2835" s="93" t="s">
        <v>22668</v>
      </c>
      <c r="BA2835" s="93" t="s">
        <v>22668</v>
      </c>
      <c r="BB2835" s="93" t="s">
        <v>22668</v>
      </c>
      <c r="BC2835" s="93" t="s">
        <v>20996</v>
      </c>
      <c r="BD2835" s="93" t="s">
        <v>23269</v>
      </c>
      <c r="BE2835" s="87"/>
      <c r="BF2835" s="87"/>
      <c r="BG2835" s="87"/>
      <c r="BH2835" s="87"/>
      <c r="BI2835" s="87"/>
    </row>
    <row r="2836" spans="1:61" x14ac:dyDescent="0.25">
      <c r="A2836" s="63" t="s">
        <v>1058</v>
      </c>
      <c r="B2836" s="63" t="s">
        <v>1058</v>
      </c>
      <c r="C2836" s="64"/>
      <c r="D2836" s="65"/>
      <c r="E2836" s="66"/>
      <c r="F2836" s="67"/>
      <c r="G2836" s="64"/>
      <c r="H2836" s="68"/>
      <c r="I2836" s="69"/>
      <c r="J2836" s="69"/>
      <c r="K2836" s="32"/>
      <c r="L2836" s="76">
        <v>2836</v>
      </c>
      <c r="M2836" s="76"/>
      <c r="N2836" s="71"/>
      <c r="O2836" s="87" t="s">
        <v>179</v>
      </c>
      <c r="P2836" s="90">
        <v>45153.796817129631</v>
      </c>
      <c r="Q2836" s="87" t="s">
        <v>4553</v>
      </c>
      <c r="R2836" s="87">
        <v>0</v>
      </c>
      <c r="S2836" s="87">
        <v>0</v>
      </c>
      <c r="T2836" s="87">
        <v>0</v>
      </c>
      <c r="U2836" s="87">
        <v>0</v>
      </c>
      <c r="V2836" s="87">
        <v>38</v>
      </c>
      <c r="W2836" s="93" t="s">
        <v>7424</v>
      </c>
      <c r="X2836" s="87"/>
      <c r="Y2836" s="87"/>
      <c r="Z2836" s="87"/>
      <c r="AA2836" s="87" t="s">
        <v>10567</v>
      </c>
      <c r="AB2836" s="87" t="s">
        <v>11448</v>
      </c>
      <c r="AC2836" s="93" t="s">
        <v>11457</v>
      </c>
      <c r="AD2836" s="87" t="s">
        <v>11519</v>
      </c>
      <c r="AE2836" s="92" t="str">
        <f>HYPERLINK("https://twitter.com/serraempauta/status/1691527029294784513")</f>
        <v>https://twitter.com/serraempauta/status/1691527029294784513</v>
      </c>
      <c r="AF2836" s="90">
        <v>45153.796817129631</v>
      </c>
      <c r="AG2836" s="99">
        <v>45153</v>
      </c>
      <c r="AH2836" s="93" t="s">
        <v>13124</v>
      </c>
      <c r="AI2836" s="87" t="b">
        <v>0</v>
      </c>
      <c r="AJ2836" s="87"/>
      <c r="AK2836" s="87"/>
      <c r="AL2836" s="87"/>
      <c r="AM2836" s="87"/>
      <c r="AN2836" s="87"/>
      <c r="AO2836" s="87"/>
      <c r="AP2836" s="87"/>
      <c r="AQ2836" s="87" t="s">
        <v>17379</v>
      </c>
      <c r="AR2836" s="87"/>
      <c r="AS2836" s="87"/>
      <c r="AT2836" s="87"/>
      <c r="AU2836" s="87"/>
      <c r="AV2836" s="92" t="str">
        <f>HYPERLINK("https://pbs.twimg.com/media/F3mC2VuXcAAdi1X.jpg")</f>
        <v>https://pbs.twimg.com/media/F3mC2VuXcAAdi1X.jpg</v>
      </c>
      <c r="AW2836" s="93" t="s">
        <v>20997</v>
      </c>
      <c r="AX2836" s="93" t="s">
        <v>20997</v>
      </c>
      <c r="AY2836" s="87"/>
      <c r="AZ2836" s="93" t="s">
        <v>22668</v>
      </c>
      <c r="BA2836" s="93" t="s">
        <v>22668</v>
      </c>
      <c r="BB2836" s="93" t="s">
        <v>22668</v>
      </c>
      <c r="BC2836" s="93" t="s">
        <v>20997</v>
      </c>
      <c r="BD2836" s="93" t="s">
        <v>23269</v>
      </c>
      <c r="BE2836" s="87"/>
      <c r="BF2836" s="87"/>
      <c r="BG2836" s="87"/>
      <c r="BH2836" s="87"/>
      <c r="BI2836" s="87"/>
    </row>
    <row r="2837" spans="1:61" x14ac:dyDescent="0.25">
      <c r="A2837" s="63" t="s">
        <v>1058</v>
      </c>
      <c r="B2837" s="63" t="s">
        <v>1058</v>
      </c>
      <c r="C2837" s="64"/>
      <c r="D2837" s="65"/>
      <c r="E2837" s="66"/>
      <c r="F2837" s="67"/>
      <c r="G2837" s="64"/>
      <c r="H2837" s="68"/>
      <c r="I2837" s="69"/>
      <c r="J2837" s="69"/>
      <c r="K2837" s="32"/>
      <c r="L2837" s="76">
        <v>2837</v>
      </c>
      <c r="M2837" s="76"/>
      <c r="N2837" s="71"/>
      <c r="O2837" s="87" t="s">
        <v>179</v>
      </c>
      <c r="P2837" s="90">
        <v>45153.772615740738</v>
      </c>
      <c r="Q2837" s="87" t="s">
        <v>4554</v>
      </c>
      <c r="R2837" s="87">
        <v>0</v>
      </c>
      <c r="S2837" s="87">
        <v>0</v>
      </c>
      <c r="T2837" s="87">
        <v>0</v>
      </c>
      <c r="U2837" s="87">
        <v>0</v>
      </c>
      <c r="V2837" s="87">
        <v>29</v>
      </c>
      <c r="W2837" s="93" t="s">
        <v>7424</v>
      </c>
      <c r="X2837" s="87"/>
      <c r="Y2837" s="87"/>
      <c r="Z2837" s="87"/>
      <c r="AA2837" s="87" t="s">
        <v>10568</v>
      </c>
      <c r="AB2837" s="87" t="s">
        <v>11448</v>
      </c>
      <c r="AC2837" s="93" t="s">
        <v>11457</v>
      </c>
      <c r="AD2837" s="87" t="s">
        <v>11519</v>
      </c>
      <c r="AE2837" s="92" t="str">
        <f>HYPERLINK("https://twitter.com/serraempauta/status/1691518259315494913")</f>
        <v>https://twitter.com/serraempauta/status/1691518259315494913</v>
      </c>
      <c r="AF2837" s="90">
        <v>45153.772615740738</v>
      </c>
      <c r="AG2837" s="99">
        <v>45153</v>
      </c>
      <c r="AH2837" s="93" t="s">
        <v>12569</v>
      </c>
      <c r="AI2837" s="87" t="b">
        <v>0</v>
      </c>
      <c r="AJ2837" s="87"/>
      <c r="AK2837" s="87"/>
      <c r="AL2837" s="87"/>
      <c r="AM2837" s="87"/>
      <c r="AN2837" s="87"/>
      <c r="AO2837" s="87"/>
      <c r="AP2837" s="87"/>
      <c r="AQ2837" s="87" t="s">
        <v>17380</v>
      </c>
      <c r="AR2837" s="87"/>
      <c r="AS2837" s="87"/>
      <c r="AT2837" s="87"/>
      <c r="AU2837" s="87"/>
      <c r="AV2837" s="92" t="str">
        <f>HYPERLINK("https://pbs.twimg.com/media/F3l64GDXIAIRO8o.jpg")</f>
        <v>https://pbs.twimg.com/media/F3l64GDXIAIRO8o.jpg</v>
      </c>
      <c r="AW2837" s="93" t="s">
        <v>20998</v>
      </c>
      <c r="AX2837" s="93" t="s">
        <v>20998</v>
      </c>
      <c r="AY2837" s="87"/>
      <c r="AZ2837" s="93" t="s">
        <v>22668</v>
      </c>
      <c r="BA2837" s="93" t="s">
        <v>22668</v>
      </c>
      <c r="BB2837" s="93" t="s">
        <v>22668</v>
      </c>
      <c r="BC2837" s="93" t="s">
        <v>20998</v>
      </c>
      <c r="BD2837" s="93" t="s">
        <v>23269</v>
      </c>
      <c r="BE2837" s="87"/>
      <c r="BF2837" s="87"/>
      <c r="BG2837" s="87"/>
      <c r="BH2837" s="87"/>
      <c r="BI2837" s="87"/>
    </row>
    <row r="2838" spans="1:61" x14ac:dyDescent="0.25">
      <c r="A2838" s="63" t="s">
        <v>1058</v>
      </c>
      <c r="B2838" s="63" t="s">
        <v>1058</v>
      </c>
      <c r="C2838" s="64"/>
      <c r="D2838" s="65"/>
      <c r="E2838" s="66"/>
      <c r="F2838" s="67"/>
      <c r="G2838" s="64"/>
      <c r="H2838" s="68"/>
      <c r="I2838" s="69"/>
      <c r="J2838" s="69"/>
      <c r="K2838" s="32"/>
      <c r="L2838" s="76">
        <v>2838</v>
      </c>
      <c r="M2838" s="76"/>
      <c r="N2838" s="71"/>
      <c r="O2838" s="87" t="s">
        <v>179</v>
      </c>
      <c r="P2838" s="90">
        <v>45141.587013888886</v>
      </c>
      <c r="Q2838" s="87" t="s">
        <v>4555</v>
      </c>
      <c r="R2838" s="87">
        <v>0</v>
      </c>
      <c r="S2838" s="87">
        <v>0</v>
      </c>
      <c r="T2838" s="87">
        <v>0</v>
      </c>
      <c r="U2838" s="87">
        <v>0</v>
      </c>
      <c r="V2838" s="87">
        <v>45</v>
      </c>
      <c r="W2838" s="93" t="s">
        <v>7424</v>
      </c>
      <c r="X2838" s="87"/>
      <c r="Y2838" s="87"/>
      <c r="Z2838" s="87"/>
      <c r="AA2838" s="87" t="s">
        <v>10569</v>
      </c>
      <c r="AB2838" s="87" t="s">
        <v>11448</v>
      </c>
      <c r="AC2838" s="93" t="s">
        <v>11457</v>
      </c>
      <c r="AD2838" s="87" t="s">
        <v>11519</v>
      </c>
      <c r="AE2838" s="92" t="str">
        <f>HYPERLINK("https://twitter.com/serraempauta/status/1687102346491555840")</f>
        <v>https://twitter.com/serraempauta/status/1687102346491555840</v>
      </c>
      <c r="AF2838" s="90">
        <v>45141.587013888886</v>
      </c>
      <c r="AG2838" s="99">
        <v>45141</v>
      </c>
      <c r="AH2838" s="93" t="s">
        <v>14075</v>
      </c>
      <c r="AI2838" s="87" t="b">
        <v>0</v>
      </c>
      <c r="AJ2838" s="87"/>
      <c r="AK2838" s="87"/>
      <c r="AL2838" s="87"/>
      <c r="AM2838" s="87"/>
      <c r="AN2838" s="87"/>
      <c r="AO2838" s="87"/>
      <c r="AP2838" s="87"/>
      <c r="AQ2838" s="87" t="s">
        <v>17381</v>
      </c>
      <c r="AR2838" s="87"/>
      <c r="AS2838" s="87"/>
      <c r="AT2838" s="87"/>
      <c r="AU2838" s="87"/>
      <c r="AV2838" s="92" t="str">
        <f>HYPERLINK("https://pbs.twimg.com/media/F2nKnxxbgAAZIPp.jpg")</f>
        <v>https://pbs.twimg.com/media/F2nKnxxbgAAZIPp.jpg</v>
      </c>
      <c r="AW2838" s="93" t="s">
        <v>20999</v>
      </c>
      <c r="AX2838" s="93" t="s">
        <v>20999</v>
      </c>
      <c r="AY2838" s="87"/>
      <c r="AZ2838" s="93" t="s">
        <v>22668</v>
      </c>
      <c r="BA2838" s="93" t="s">
        <v>22668</v>
      </c>
      <c r="BB2838" s="93" t="s">
        <v>22668</v>
      </c>
      <c r="BC2838" s="93" t="s">
        <v>20999</v>
      </c>
      <c r="BD2838" s="93" t="s">
        <v>23269</v>
      </c>
      <c r="BE2838" s="87"/>
      <c r="BF2838" s="87"/>
      <c r="BG2838" s="87"/>
      <c r="BH2838" s="87"/>
      <c r="BI2838" s="87"/>
    </row>
    <row r="2839" spans="1:61" x14ac:dyDescent="0.25">
      <c r="A2839" s="63" t="s">
        <v>1058</v>
      </c>
      <c r="B2839" s="63" t="s">
        <v>1058</v>
      </c>
      <c r="C2839" s="64"/>
      <c r="D2839" s="65"/>
      <c r="E2839" s="66"/>
      <c r="F2839" s="67"/>
      <c r="G2839" s="64"/>
      <c r="H2839" s="68"/>
      <c r="I2839" s="69"/>
      <c r="J2839" s="69"/>
      <c r="K2839" s="32"/>
      <c r="L2839" s="76">
        <v>2839</v>
      </c>
      <c r="M2839" s="76"/>
      <c r="N2839" s="71"/>
      <c r="O2839" s="87" t="s">
        <v>179</v>
      </c>
      <c r="P2839" s="90">
        <v>45141.535532407404</v>
      </c>
      <c r="Q2839" s="87" t="s">
        <v>4556</v>
      </c>
      <c r="R2839" s="87">
        <v>0</v>
      </c>
      <c r="S2839" s="87">
        <v>0</v>
      </c>
      <c r="T2839" s="87">
        <v>0</v>
      </c>
      <c r="U2839" s="87">
        <v>0</v>
      </c>
      <c r="V2839" s="87">
        <v>46</v>
      </c>
      <c r="W2839" s="93" t="s">
        <v>7424</v>
      </c>
      <c r="X2839" s="87"/>
      <c r="Y2839" s="87"/>
      <c r="Z2839" s="87"/>
      <c r="AA2839" s="87" t="s">
        <v>10570</v>
      </c>
      <c r="AB2839" s="87" t="s">
        <v>11448</v>
      </c>
      <c r="AC2839" s="93" t="s">
        <v>11457</v>
      </c>
      <c r="AD2839" s="87" t="s">
        <v>11519</v>
      </c>
      <c r="AE2839" s="92" t="str">
        <f>HYPERLINK("https://twitter.com/serraempauta/status/1687083690189369346")</f>
        <v>https://twitter.com/serraempauta/status/1687083690189369346</v>
      </c>
      <c r="AF2839" s="90">
        <v>45141.535532407404</v>
      </c>
      <c r="AG2839" s="99">
        <v>45141</v>
      </c>
      <c r="AH2839" s="93" t="s">
        <v>14076</v>
      </c>
      <c r="AI2839" s="87" t="b">
        <v>0</v>
      </c>
      <c r="AJ2839" s="87"/>
      <c r="AK2839" s="87"/>
      <c r="AL2839" s="87"/>
      <c r="AM2839" s="87"/>
      <c r="AN2839" s="87"/>
      <c r="AO2839" s="87"/>
      <c r="AP2839" s="87"/>
      <c r="AQ2839" s="87" t="s">
        <v>17382</v>
      </c>
      <c r="AR2839" s="87"/>
      <c r="AS2839" s="87"/>
      <c r="AT2839" s="87"/>
      <c r="AU2839" s="87"/>
      <c r="AV2839" s="92" t="str">
        <f>HYPERLINK("https://pbs.twimg.com/media/F2m5q3HW0AElMgO.jpg")</f>
        <v>https://pbs.twimg.com/media/F2m5q3HW0AElMgO.jpg</v>
      </c>
      <c r="AW2839" s="93" t="s">
        <v>21000</v>
      </c>
      <c r="AX2839" s="93" t="s">
        <v>21000</v>
      </c>
      <c r="AY2839" s="87"/>
      <c r="AZ2839" s="93" t="s">
        <v>22668</v>
      </c>
      <c r="BA2839" s="93" t="s">
        <v>22668</v>
      </c>
      <c r="BB2839" s="93" t="s">
        <v>22668</v>
      </c>
      <c r="BC2839" s="93" t="s">
        <v>21000</v>
      </c>
      <c r="BD2839" s="93" t="s">
        <v>23269</v>
      </c>
      <c r="BE2839" s="87"/>
      <c r="BF2839" s="87"/>
      <c r="BG2839" s="87"/>
      <c r="BH2839" s="87"/>
      <c r="BI2839" s="87"/>
    </row>
    <row r="2840" spans="1:61" x14ac:dyDescent="0.25">
      <c r="A2840" s="63" t="s">
        <v>1058</v>
      </c>
      <c r="B2840" s="63" t="s">
        <v>1058</v>
      </c>
      <c r="C2840" s="64"/>
      <c r="D2840" s="65"/>
      <c r="E2840" s="66"/>
      <c r="F2840" s="67"/>
      <c r="G2840" s="64"/>
      <c r="H2840" s="68"/>
      <c r="I2840" s="69"/>
      <c r="J2840" s="69"/>
      <c r="K2840" s="32"/>
      <c r="L2840" s="76">
        <v>2840</v>
      </c>
      <c r="M2840" s="76"/>
      <c r="N2840" s="71"/>
      <c r="O2840" s="87" t="s">
        <v>179</v>
      </c>
      <c r="P2840" s="90">
        <v>45141.506435185183</v>
      </c>
      <c r="Q2840" s="87" t="s">
        <v>4557</v>
      </c>
      <c r="R2840" s="87">
        <v>0</v>
      </c>
      <c r="S2840" s="87">
        <v>0</v>
      </c>
      <c r="T2840" s="87">
        <v>0</v>
      </c>
      <c r="U2840" s="87">
        <v>0</v>
      </c>
      <c r="V2840" s="87">
        <v>75</v>
      </c>
      <c r="W2840" s="93" t="s">
        <v>7424</v>
      </c>
      <c r="X2840" s="87"/>
      <c r="Y2840" s="87"/>
      <c r="Z2840" s="87"/>
      <c r="AA2840" s="87" t="s">
        <v>10571</v>
      </c>
      <c r="AB2840" s="87" t="s">
        <v>11448</v>
      </c>
      <c r="AC2840" s="93" t="s">
        <v>11457</v>
      </c>
      <c r="AD2840" s="87" t="s">
        <v>11519</v>
      </c>
      <c r="AE2840" s="92" t="str">
        <f>HYPERLINK("https://twitter.com/serraempauta/status/1687073145847529472")</f>
        <v>https://twitter.com/serraempauta/status/1687073145847529472</v>
      </c>
      <c r="AF2840" s="90">
        <v>45141.506435185183</v>
      </c>
      <c r="AG2840" s="99">
        <v>45141</v>
      </c>
      <c r="AH2840" s="93" t="s">
        <v>14077</v>
      </c>
      <c r="AI2840" s="87" t="b">
        <v>0</v>
      </c>
      <c r="AJ2840" s="87"/>
      <c r="AK2840" s="87"/>
      <c r="AL2840" s="87"/>
      <c r="AM2840" s="87"/>
      <c r="AN2840" s="87"/>
      <c r="AO2840" s="87"/>
      <c r="AP2840" s="87"/>
      <c r="AQ2840" s="87" t="s">
        <v>17383</v>
      </c>
      <c r="AR2840" s="87"/>
      <c r="AS2840" s="87"/>
      <c r="AT2840" s="87"/>
      <c r="AU2840" s="87"/>
      <c r="AV2840" s="92" t="str">
        <f>HYPERLINK("https://pbs.twimg.com/media/F2mwFG_XAAISjLm.jpg")</f>
        <v>https://pbs.twimg.com/media/F2mwFG_XAAISjLm.jpg</v>
      </c>
      <c r="AW2840" s="93" t="s">
        <v>21001</v>
      </c>
      <c r="AX2840" s="93" t="s">
        <v>21001</v>
      </c>
      <c r="AY2840" s="87"/>
      <c r="AZ2840" s="93" t="s">
        <v>22668</v>
      </c>
      <c r="BA2840" s="93" t="s">
        <v>22668</v>
      </c>
      <c r="BB2840" s="93" t="s">
        <v>22668</v>
      </c>
      <c r="BC2840" s="93" t="s">
        <v>21001</v>
      </c>
      <c r="BD2840" s="93" t="s">
        <v>23269</v>
      </c>
      <c r="BE2840" s="87"/>
      <c r="BF2840" s="87"/>
      <c r="BG2840" s="87"/>
      <c r="BH2840" s="87"/>
      <c r="BI2840" s="87"/>
    </row>
    <row r="2841" spans="1:61" x14ac:dyDescent="0.25">
      <c r="A2841" s="63" t="s">
        <v>1058</v>
      </c>
      <c r="B2841" s="63" t="s">
        <v>1058</v>
      </c>
      <c r="C2841" s="64"/>
      <c r="D2841" s="65"/>
      <c r="E2841" s="66"/>
      <c r="F2841" s="67"/>
      <c r="G2841" s="64"/>
      <c r="H2841" s="68"/>
      <c r="I2841" s="69"/>
      <c r="J2841" s="69"/>
      <c r="K2841" s="32"/>
      <c r="L2841" s="76">
        <v>2841</v>
      </c>
      <c r="M2841" s="76"/>
      <c r="N2841" s="71"/>
      <c r="O2841" s="87" t="s">
        <v>179</v>
      </c>
      <c r="P2841" s="90">
        <v>45140.869467592594</v>
      </c>
      <c r="Q2841" s="87" t="s">
        <v>4558</v>
      </c>
      <c r="R2841" s="87">
        <v>0</v>
      </c>
      <c r="S2841" s="87">
        <v>0</v>
      </c>
      <c r="T2841" s="87">
        <v>0</v>
      </c>
      <c r="U2841" s="87">
        <v>0</v>
      </c>
      <c r="V2841" s="87">
        <v>44</v>
      </c>
      <c r="W2841" s="93" t="s">
        <v>7424</v>
      </c>
      <c r="X2841" s="87"/>
      <c r="Y2841" s="87"/>
      <c r="Z2841" s="87"/>
      <c r="AA2841" s="87" t="s">
        <v>10572</v>
      </c>
      <c r="AB2841" s="87" t="s">
        <v>11448</v>
      </c>
      <c r="AC2841" s="93" t="s">
        <v>11457</v>
      </c>
      <c r="AD2841" s="87" t="s">
        <v>11519</v>
      </c>
      <c r="AE2841" s="92" t="str">
        <f>HYPERLINK("https://twitter.com/serraempauta/status/1686842315002748928")</f>
        <v>https://twitter.com/serraempauta/status/1686842315002748928</v>
      </c>
      <c r="AF2841" s="90">
        <v>45140.869467592594</v>
      </c>
      <c r="AG2841" s="99">
        <v>45140</v>
      </c>
      <c r="AH2841" s="93" t="s">
        <v>14078</v>
      </c>
      <c r="AI2841" s="87" t="b">
        <v>0</v>
      </c>
      <c r="AJ2841" s="87"/>
      <c r="AK2841" s="87"/>
      <c r="AL2841" s="87"/>
      <c r="AM2841" s="87"/>
      <c r="AN2841" s="87"/>
      <c r="AO2841" s="87"/>
      <c r="AP2841" s="87"/>
      <c r="AQ2841" s="87" t="s">
        <v>17384</v>
      </c>
      <c r="AR2841" s="87"/>
      <c r="AS2841" s="87"/>
      <c r="AT2841" s="87"/>
      <c r="AU2841" s="87"/>
      <c r="AV2841" s="92" t="str">
        <f>HYPERLINK("https://pbs.twimg.com/media/F2jeJB8WQAAA6E8.jpg")</f>
        <v>https://pbs.twimg.com/media/F2jeJB8WQAAA6E8.jpg</v>
      </c>
      <c r="AW2841" s="93" t="s">
        <v>21002</v>
      </c>
      <c r="AX2841" s="93" t="s">
        <v>21002</v>
      </c>
      <c r="AY2841" s="87"/>
      <c r="AZ2841" s="93" t="s">
        <v>22668</v>
      </c>
      <c r="BA2841" s="93" t="s">
        <v>22668</v>
      </c>
      <c r="BB2841" s="93" t="s">
        <v>22668</v>
      </c>
      <c r="BC2841" s="93" t="s">
        <v>21002</v>
      </c>
      <c r="BD2841" s="93" t="s">
        <v>23269</v>
      </c>
      <c r="BE2841" s="87"/>
      <c r="BF2841" s="87"/>
      <c r="BG2841" s="87"/>
      <c r="BH2841" s="87"/>
      <c r="BI2841" s="87"/>
    </row>
    <row r="2842" spans="1:61" x14ac:dyDescent="0.25">
      <c r="A2842" s="63" t="s">
        <v>1058</v>
      </c>
      <c r="B2842" s="63" t="s">
        <v>1058</v>
      </c>
      <c r="C2842" s="64"/>
      <c r="D2842" s="65"/>
      <c r="E2842" s="66"/>
      <c r="F2842" s="67"/>
      <c r="G2842" s="64"/>
      <c r="H2842" s="68"/>
      <c r="I2842" s="69"/>
      <c r="J2842" s="69"/>
      <c r="K2842" s="32"/>
      <c r="L2842" s="76">
        <v>2842</v>
      </c>
      <c r="M2842" s="76"/>
      <c r="N2842" s="71"/>
      <c r="O2842" s="87" t="s">
        <v>179</v>
      </c>
      <c r="P2842" s="90">
        <v>45140.635300925926</v>
      </c>
      <c r="Q2842" s="87" t="s">
        <v>4559</v>
      </c>
      <c r="R2842" s="87">
        <v>0</v>
      </c>
      <c r="S2842" s="87">
        <v>0</v>
      </c>
      <c r="T2842" s="87">
        <v>0</v>
      </c>
      <c r="U2842" s="87">
        <v>0</v>
      </c>
      <c r="V2842" s="87">
        <v>32</v>
      </c>
      <c r="W2842" s="93" t="s">
        <v>7424</v>
      </c>
      <c r="X2842" s="87"/>
      <c r="Y2842" s="87"/>
      <c r="Z2842" s="87"/>
      <c r="AA2842" s="87" t="s">
        <v>10573</v>
      </c>
      <c r="AB2842" s="87" t="s">
        <v>11448</v>
      </c>
      <c r="AC2842" s="93" t="s">
        <v>11457</v>
      </c>
      <c r="AD2842" s="87" t="s">
        <v>11519</v>
      </c>
      <c r="AE2842" s="92" t="str">
        <f>HYPERLINK("https://twitter.com/serraempauta/status/1686757455915536384")</f>
        <v>https://twitter.com/serraempauta/status/1686757455915536384</v>
      </c>
      <c r="AF2842" s="90">
        <v>45140.635300925926</v>
      </c>
      <c r="AG2842" s="99">
        <v>45140</v>
      </c>
      <c r="AH2842" s="93" t="s">
        <v>14079</v>
      </c>
      <c r="AI2842" s="87" t="b">
        <v>0</v>
      </c>
      <c r="AJ2842" s="87"/>
      <c r="AK2842" s="87"/>
      <c r="AL2842" s="87"/>
      <c r="AM2842" s="87"/>
      <c r="AN2842" s="87"/>
      <c r="AO2842" s="87"/>
      <c r="AP2842" s="87"/>
      <c r="AQ2842" s="87" t="s">
        <v>17385</v>
      </c>
      <c r="AR2842" s="87"/>
      <c r="AS2842" s="87"/>
      <c r="AT2842" s="87"/>
      <c r="AU2842" s="87"/>
      <c r="AV2842" s="92" t="str">
        <f>HYPERLINK("https://pbs.twimg.com/media/F2iQ9ftWMAAdTpZ.jpg")</f>
        <v>https://pbs.twimg.com/media/F2iQ9ftWMAAdTpZ.jpg</v>
      </c>
      <c r="AW2842" s="93" t="s">
        <v>21003</v>
      </c>
      <c r="AX2842" s="93" t="s">
        <v>21003</v>
      </c>
      <c r="AY2842" s="87"/>
      <c r="AZ2842" s="93" t="s">
        <v>22668</v>
      </c>
      <c r="BA2842" s="93" t="s">
        <v>22668</v>
      </c>
      <c r="BB2842" s="93" t="s">
        <v>22668</v>
      </c>
      <c r="BC2842" s="93" t="s">
        <v>21003</v>
      </c>
      <c r="BD2842" s="93" t="s">
        <v>23269</v>
      </c>
      <c r="BE2842" s="87"/>
      <c r="BF2842" s="87"/>
      <c r="BG2842" s="87"/>
      <c r="BH2842" s="87"/>
      <c r="BI2842" s="87"/>
    </row>
    <row r="2843" spans="1:61" x14ac:dyDescent="0.25">
      <c r="A2843" s="63" t="s">
        <v>1058</v>
      </c>
      <c r="B2843" s="63" t="s">
        <v>1058</v>
      </c>
      <c r="C2843" s="64"/>
      <c r="D2843" s="65"/>
      <c r="E2843" s="66"/>
      <c r="F2843" s="67"/>
      <c r="G2843" s="64"/>
      <c r="H2843" s="68"/>
      <c r="I2843" s="69"/>
      <c r="J2843" s="69"/>
      <c r="K2843" s="32"/>
      <c r="L2843" s="76">
        <v>2843</v>
      </c>
      <c r="M2843" s="76"/>
      <c r="N2843" s="71"/>
      <c r="O2843" s="87" t="s">
        <v>179</v>
      </c>
      <c r="P2843" s="90">
        <v>45130.563252314816</v>
      </c>
      <c r="Q2843" s="87" t="s">
        <v>4560</v>
      </c>
      <c r="R2843" s="87">
        <v>0</v>
      </c>
      <c r="S2843" s="87">
        <v>1</v>
      </c>
      <c r="T2843" s="87">
        <v>0</v>
      </c>
      <c r="U2843" s="87">
        <v>0</v>
      </c>
      <c r="V2843" s="87">
        <v>65</v>
      </c>
      <c r="W2843" s="93" t="s">
        <v>7424</v>
      </c>
      <c r="X2843" s="87"/>
      <c r="Y2843" s="87"/>
      <c r="Z2843" s="87"/>
      <c r="AA2843" s="87" t="s">
        <v>10574</v>
      </c>
      <c r="AB2843" s="87" t="s">
        <v>11448</v>
      </c>
      <c r="AC2843" s="93" t="s">
        <v>11458</v>
      </c>
      <c r="AD2843" s="87" t="s">
        <v>11519</v>
      </c>
      <c r="AE2843" s="92" t="str">
        <f>HYPERLINK("https://twitter.com/serraempauta/status/1683107469189324804")</f>
        <v>https://twitter.com/serraempauta/status/1683107469189324804</v>
      </c>
      <c r="AF2843" s="90">
        <v>45130.563252314816</v>
      </c>
      <c r="AG2843" s="99">
        <v>45130</v>
      </c>
      <c r="AH2843" s="93" t="s">
        <v>14080</v>
      </c>
      <c r="AI2843" s="87" t="b">
        <v>0</v>
      </c>
      <c r="AJ2843" s="87"/>
      <c r="AK2843" s="87"/>
      <c r="AL2843" s="87"/>
      <c r="AM2843" s="87"/>
      <c r="AN2843" s="87"/>
      <c r="AO2843" s="87"/>
      <c r="AP2843" s="87"/>
      <c r="AQ2843" s="87" t="s">
        <v>17386</v>
      </c>
      <c r="AR2843" s="87"/>
      <c r="AS2843" s="87"/>
      <c r="AT2843" s="87"/>
      <c r="AU2843" s="87"/>
      <c r="AV2843" s="92" t="str">
        <f>HYPERLINK("https://pbs.twimg.com/media/F1uZUXEWYAI4omg.jpg")</f>
        <v>https://pbs.twimg.com/media/F1uZUXEWYAI4omg.jpg</v>
      </c>
      <c r="AW2843" s="93" t="s">
        <v>21004</v>
      </c>
      <c r="AX2843" s="93" t="s">
        <v>21004</v>
      </c>
      <c r="AY2843" s="87"/>
      <c r="AZ2843" s="93" t="s">
        <v>22668</v>
      </c>
      <c r="BA2843" s="93" t="s">
        <v>22668</v>
      </c>
      <c r="BB2843" s="93" t="s">
        <v>22668</v>
      </c>
      <c r="BC2843" s="93" t="s">
        <v>21004</v>
      </c>
      <c r="BD2843" s="93" t="s">
        <v>23269</v>
      </c>
      <c r="BE2843" s="87"/>
      <c r="BF2843" s="87"/>
      <c r="BG2843" s="87"/>
      <c r="BH2843" s="87"/>
      <c r="BI2843" s="87"/>
    </row>
    <row r="2844" spans="1:61" x14ac:dyDescent="0.25">
      <c r="A2844" s="63" t="s">
        <v>1058</v>
      </c>
      <c r="B2844" s="63" t="s">
        <v>1058</v>
      </c>
      <c r="C2844" s="64"/>
      <c r="D2844" s="65"/>
      <c r="E2844" s="66"/>
      <c r="F2844" s="67"/>
      <c r="G2844" s="64"/>
      <c r="H2844" s="68"/>
      <c r="I2844" s="69"/>
      <c r="J2844" s="69"/>
      <c r="K2844" s="32"/>
      <c r="L2844" s="76">
        <v>2844</v>
      </c>
      <c r="M2844" s="76"/>
      <c r="N2844" s="71"/>
      <c r="O2844" s="87" t="s">
        <v>179</v>
      </c>
      <c r="P2844" s="90">
        <v>45128.573634259257</v>
      </c>
      <c r="Q2844" s="87" t="s">
        <v>4561</v>
      </c>
      <c r="R2844" s="87">
        <v>0</v>
      </c>
      <c r="S2844" s="87">
        <v>0</v>
      </c>
      <c r="T2844" s="87">
        <v>0</v>
      </c>
      <c r="U2844" s="87">
        <v>0</v>
      </c>
      <c r="V2844" s="87">
        <v>47</v>
      </c>
      <c r="W2844" s="93" t="s">
        <v>7424</v>
      </c>
      <c r="X2844" s="87"/>
      <c r="Y2844" s="87"/>
      <c r="Z2844" s="87"/>
      <c r="AA2844" s="87" t="s">
        <v>10575</v>
      </c>
      <c r="AB2844" s="87" t="s">
        <v>11448</v>
      </c>
      <c r="AC2844" s="93" t="s">
        <v>11458</v>
      </c>
      <c r="AD2844" s="87" t="s">
        <v>11519</v>
      </c>
      <c r="AE2844" s="92" t="str">
        <f>HYPERLINK("https://twitter.com/serraempauta/status/1682386452418637825")</f>
        <v>https://twitter.com/serraempauta/status/1682386452418637825</v>
      </c>
      <c r="AF2844" s="90">
        <v>45128.573634259257</v>
      </c>
      <c r="AG2844" s="99">
        <v>45128</v>
      </c>
      <c r="AH2844" s="93" t="s">
        <v>14081</v>
      </c>
      <c r="AI2844" s="87" t="b">
        <v>0</v>
      </c>
      <c r="AJ2844" s="87"/>
      <c r="AK2844" s="87"/>
      <c r="AL2844" s="87"/>
      <c r="AM2844" s="87"/>
      <c r="AN2844" s="87"/>
      <c r="AO2844" s="87"/>
      <c r="AP2844" s="87"/>
      <c r="AQ2844" s="87" t="s">
        <v>17387</v>
      </c>
      <c r="AR2844" s="87"/>
      <c r="AS2844" s="87"/>
      <c r="AT2844" s="87"/>
      <c r="AU2844" s="87"/>
      <c r="AV2844" s="92" t="str">
        <f>HYPERLINK("https://pbs.twimg.com/media/F1kJjrdXgAEN5zi.jpg")</f>
        <v>https://pbs.twimg.com/media/F1kJjrdXgAEN5zi.jpg</v>
      </c>
      <c r="AW2844" s="93" t="s">
        <v>21005</v>
      </c>
      <c r="AX2844" s="93" t="s">
        <v>21005</v>
      </c>
      <c r="AY2844" s="87"/>
      <c r="AZ2844" s="93" t="s">
        <v>22668</v>
      </c>
      <c r="BA2844" s="93" t="s">
        <v>22668</v>
      </c>
      <c r="BB2844" s="93" t="s">
        <v>22668</v>
      </c>
      <c r="BC2844" s="93" t="s">
        <v>21005</v>
      </c>
      <c r="BD2844" s="93" t="s">
        <v>23269</v>
      </c>
      <c r="BE2844" s="87"/>
      <c r="BF2844" s="87"/>
      <c r="BG2844" s="87"/>
      <c r="BH2844" s="87"/>
      <c r="BI2844" s="87"/>
    </row>
    <row r="2845" spans="1:61" x14ac:dyDescent="0.25">
      <c r="A2845" s="63" t="s">
        <v>1058</v>
      </c>
      <c r="B2845" s="63" t="s">
        <v>1058</v>
      </c>
      <c r="C2845" s="64"/>
      <c r="D2845" s="65"/>
      <c r="E2845" s="66"/>
      <c r="F2845" s="67"/>
      <c r="G2845" s="64"/>
      <c r="H2845" s="68"/>
      <c r="I2845" s="69"/>
      <c r="J2845" s="69"/>
      <c r="K2845" s="32"/>
      <c r="L2845" s="76">
        <v>2845</v>
      </c>
      <c r="M2845" s="76"/>
      <c r="N2845" s="71"/>
      <c r="O2845" s="87" t="s">
        <v>179</v>
      </c>
      <c r="P2845" s="90">
        <v>45128.572500000002</v>
      </c>
      <c r="Q2845" s="87" t="s">
        <v>4562</v>
      </c>
      <c r="R2845" s="87">
        <v>0</v>
      </c>
      <c r="S2845" s="87">
        <v>0</v>
      </c>
      <c r="T2845" s="87">
        <v>0</v>
      </c>
      <c r="U2845" s="87">
        <v>0</v>
      </c>
      <c r="V2845" s="87">
        <v>69</v>
      </c>
      <c r="W2845" s="93" t="s">
        <v>7424</v>
      </c>
      <c r="X2845" s="87"/>
      <c r="Y2845" s="87"/>
      <c r="Z2845" s="87"/>
      <c r="AA2845" s="87" t="s">
        <v>10576</v>
      </c>
      <c r="AB2845" s="87" t="s">
        <v>11448</v>
      </c>
      <c r="AC2845" s="93" t="s">
        <v>11458</v>
      </c>
      <c r="AD2845" s="87" t="s">
        <v>11519</v>
      </c>
      <c r="AE2845" s="92" t="str">
        <f>HYPERLINK("https://twitter.com/serraempauta/status/1682386040869343235")</f>
        <v>https://twitter.com/serraempauta/status/1682386040869343235</v>
      </c>
      <c r="AF2845" s="90">
        <v>45128.572500000002</v>
      </c>
      <c r="AG2845" s="99">
        <v>45128</v>
      </c>
      <c r="AH2845" s="93" t="s">
        <v>14082</v>
      </c>
      <c r="AI2845" s="87" t="b">
        <v>0</v>
      </c>
      <c r="AJ2845" s="87"/>
      <c r="AK2845" s="87"/>
      <c r="AL2845" s="87"/>
      <c r="AM2845" s="87"/>
      <c r="AN2845" s="87"/>
      <c r="AO2845" s="87"/>
      <c r="AP2845" s="87"/>
      <c r="AQ2845" s="87" t="s">
        <v>17388</v>
      </c>
      <c r="AR2845" s="87"/>
      <c r="AS2845" s="87"/>
      <c r="AT2845" s="87"/>
      <c r="AU2845" s="87"/>
      <c r="AV2845" s="92" t="str">
        <f>HYPERLINK("https://pbs.twimg.com/media/F1kJLiyX0AIKdQi.jpg")</f>
        <v>https://pbs.twimg.com/media/F1kJLiyX0AIKdQi.jpg</v>
      </c>
      <c r="AW2845" s="93" t="s">
        <v>21006</v>
      </c>
      <c r="AX2845" s="93" t="s">
        <v>21006</v>
      </c>
      <c r="AY2845" s="87"/>
      <c r="AZ2845" s="93" t="s">
        <v>22668</v>
      </c>
      <c r="BA2845" s="93" t="s">
        <v>22668</v>
      </c>
      <c r="BB2845" s="93" t="s">
        <v>22668</v>
      </c>
      <c r="BC2845" s="93" t="s">
        <v>21006</v>
      </c>
      <c r="BD2845" s="93" t="s">
        <v>23269</v>
      </c>
      <c r="BE2845" s="87"/>
      <c r="BF2845" s="87"/>
      <c r="BG2845" s="87"/>
      <c r="BH2845" s="87"/>
      <c r="BI2845" s="87"/>
    </row>
    <row r="2846" spans="1:61" x14ac:dyDescent="0.25">
      <c r="A2846" s="63" t="s">
        <v>1058</v>
      </c>
      <c r="B2846" s="63" t="s">
        <v>1058</v>
      </c>
      <c r="C2846" s="64"/>
      <c r="D2846" s="65"/>
      <c r="E2846" s="66"/>
      <c r="F2846" s="67"/>
      <c r="G2846" s="64"/>
      <c r="H2846" s="68"/>
      <c r="I2846" s="69"/>
      <c r="J2846" s="69"/>
      <c r="K2846" s="32"/>
      <c r="L2846" s="76">
        <v>2846</v>
      </c>
      <c r="M2846" s="76"/>
      <c r="N2846" s="71"/>
      <c r="O2846" s="87" t="s">
        <v>179</v>
      </c>
      <c r="P2846" s="90">
        <v>45127.537777777776</v>
      </c>
      <c r="Q2846" s="87" t="s">
        <v>4563</v>
      </c>
      <c r="R2846" s="87">
        <v>0</v>
      </c>
      <c r="S2846" s="87">
        <v>0</v>
      </c>
      <c r="T2846" s="87">
        <v>0</v>
      </c>
      <c r="U2846" s="87">
        <v>0</v>
      </c>
      <c r="V2846" s="87">
        <v>43</v>
      </c>
      <c r="W2846" s="93" t="s">
        <v>7424</v>
      </c>
      <c r="X2846" s="87"/>
      <c r="Y2846" s="87"/>
      <c r="Z2846" s="87"/>
      <c r="AA2846" s="87" t="s">
        <v>10577</v>
      </c>
      <c r="AB2846" s="87" t="s">
        <v>11448</v>
      </c>
      <c r="AC2846" s="93" t="s">
        <v>11458</v>
      </c>
      <c r="AD2846" s="87" t="s">
        <v>11519</v>
      </c>
      <c r="AE2846" s="92" t="str">
        <f>HYPERLINK("https://twitter.com/serraempauta/status/1682011070813151233")</f>
        <v>https://twitter.com/serraempauta/status/1682011070813151233</v>
      </c>
      <c r="AF2846" s="90">
        <v>45127.537777777776</v>
      </c>
      <c r="AG2846" s="99">
        <v>45127</v>
      </c>
      <c r="AH2846" s="93" t="s">
        <v>14083</v>
      </c>
      <c r="AI2846" s="87" t="b">
        <v>0</v>
      </c>
      <c r="AJ2846" s="87"/>
      <c r="AK2846" s="87"/>
      <c r="AL2846" s="87"/>
      <c r="AM2846" s="87"/>
      <c r="AN2846" s="87"/>
      <c r="AO2846" s="87"/>
      <c r="AP2846" s="87"/>
      <c r="AQ2846" s="87" t="s">
        <v>17389</v>
      </c>
      <c r="AR2846" s="87"/>
      <c r="AS2846" s="87"/>
      <c r="AT2846" s="87"/>
      <c r="AU2846" s="87"/>
      <c r="AV2846" s="92" t="str">
        <f>HYPERLINK("https://pbs.twimg.com/media/F1e0JqkXsAIMM6j.jpg")</f>
        <v>https://pbs.twimg.com/media/F1e0JqkXsAIMM6j.jpg</v>
      </c>
      <c r="AW2846" s="93" t="s">
        <v>21007</v>
      </c>
      <c r="AX2846" s="93" t="s">
        <v>21007</v>
      </c>
      <c r="AY2846" s="87"/>
      <c r="AZ2846" s="93" t="s">
        <v>22668</v>
      </c>
      <c r="BA2846" s="93" t="s">
        <v>22668</v>
      </c>
      <c r="BB2846" s="93" t="s">
        <v>22668</v>
      </c>
      <c r="BC2846" s="93" t="s">
        <v>21007</v>
      </c>
      <c r="BD2846" s="93" t="s">
        <v>23269</v>
      </c>
      <c r="BE2846" s="87"/>
      <c r="BF2846" s="87"/>
      <c r="BG2846" s="87"/>
      <c r="BH2846" s="87"/>
      <c r="BI2846" s="87"/>
    </row>
    <row r="2847" spans="1:61" x14ac:dyDescent="0.25">
      <c r="A2847" s="63" t="s">
        <v>1059</v>
      </c>
      <c r="B2847" s="63" t="s">
        <v>1059</v>
      </c>
      <c r="C2847" s="64"/>
      <c r="D2847" s="65"/>
      <c r="E2847" s="66"/>
      <c r="F2847" s="67"/>
      <c r="G2847" s="64"/>
      <c r="H2847" s="68"/>
      <c r="I2847" s="69"/>
      <c r="J2847" s="69"/>
      <c r="K2847" s="32"/>
      <c r="L2847" s="76">
        <v>2847</v>
      </c>
      <c r="M2847" s="76"/>
      <c r="N2847" s="71"/>
      <c r="O2847" s="87" t="s">
        <v>179</v>
      </c>
      <c r="P2847" s="90">
        <v>45173.710578703707</v>
      </c>
      <c r="Q2847" s="87" t="s">
        <v>4564</v>
      </c>
      <c r="R2847" s="87">
        <v>1</v>
      </c>
      <c r="S2847" s="87">
        <v>1</v>
      </c>
      <c r="T2847" s="87">
        <v>0</v>
      </c>
      <c r="U2847" s="87">
        <v>0</v>
      </c>
      <c r="V2847" s="87">
        <v>18</v>
      </c>
      <c r="W2847" s="93" t="s">
        <v>6694</v>
      </c>
      <c r="X2847" s="87"/>
      <c r="Y2847" s="87"/>
      <c r="Z2847" s="87"/>
      <c r="AA2847" s="87" t="s">
        <v>10578</v>
      </c>
      <c r="AB2847" s="87" t="s">
        <v>11448</v>
      </c>
      <c r="AC2847" s="93" t="s">
        <v>11462</v>
      </c>
      <c r="AD2847" s="87" t="s">
        <v>11519</v>
      </c>
      <c r="AE2847" s="92" t="str">
        <f>HYPERLINK("https://twitter.com/omatheusbonitao/status/1698743536730959969")</f>
        <v>https://twitter.com/omatheusbonitao/status/1698743536730959969</v>
      </c>
      <c r="AF2847" s="90">
        <v>45173.710578703707</v>
      </c>
      <c r="AG2847" s="99">
        <v>45173</v>
      </c>
      <c r="AH2847" s="93" t="s">
        <v>14084</v>
      </c>
      <c r="AI2847" s="87" t="b">
        <v>0</v>
      </c>
      <c r="AJ2847" s="87"/>
      <c r="AK2847" s="87"/>
      <c r="AL2847" s="87"/>
      <c r="AM2847" s="87"/>
      <c r="AN2847" s="87"/>
      <c r="AO2847" s="87"/>
      <c r="AP2847" s="87"/>
      <c r="AQ2847" s="87" t="s">
        <v>17390</v>
      </c>
      <c r="AR2847" s="87"/>
      <c r="AS2847" s="87"/>
      <c r="AT2847" s="87"/>
      <c r="AU2847" s="87"/>
      <c r="AV2847" s="92" t="str">
        <f>HYPERLINK("https://pbs.twimg.com/media/F5MmPqUWUAAFWJ4.png")</f>
        <v>https://pbs.twimg.com/media/F5MmPqUWUAAFWJ4.png</v>
      </c>
      <c r="AW2847" s="93" t="s">
        <v>21008</v>
      </c>
      <c r="AX2847" s="93" t="s">
        <v>21008</v>
      </c>
      <c r="AY2847" s="87"/>
      <c r="AZ2847" s="93" t="s">
        <v>22668</v>
      </c>
      <c r="BA2847" s="93" t="s">
        <v>22668</v>
      </c>
      <c r="BB2847" s="93" t="s">
        <v>22668</v>
      </c>
      <c r="BC2847" s="93" t="s">
        <v>21008</v>
      </c>
      <c r="BD2847" s="93" t="s">
        <v>23270</v>
      </c>
      <c r="BE2847" s="87"/>
      <c r="BF2847" s="87"/>
      <c r="BG2847" s="87"/>
      <c r="BH2847" s="87"/>
      <c r="BI2847" s="87"/>
    </row>
    <row r="2848" spans="1:61" x14ac:dyDescent="0.25">
      <c r="A2848" s="63" t="s">
        <v>1060</v>
      </c>
      <c r="B2848" s="63" t="s">
        <v>1060</v>
      </c>
      <c r="C2848" s="64"/>
      <c r="D2848" s="65"/>
      <c r="E2848" s="66"/>
      <c r="F2848" s="67"/>
      <c r="G2848" s="64"/>
      <c r="H2848" s="68"/>
      <c r="I2848" s="69"/>
      <c r="J2848" s="69"/>
      <c r="K2848" s="32"/>
      <c r="L2848" s="76">
        <v>2848</v>
      </c>
      <c r="M2848" s="76"/>
      <c r="N2848" s="71"/>
      <c r="O2848" s="87" t="s">
        <v>179</v>
      </c>
      <c r="P2848" s="90">
        <v>45194.523344907408</v>
      </c>
      <c r="Q2848" s="87" t="s">
        <v>4565</v>
      </c>
      <c r="R2848" s="87">
        <v>0</v>
      </c>
      <c r="S2848" s="87">
        <v>0</v>
      </c>
      <c r="T2848" s="87">
        <v>0</v>
      </c>
      <c r="U2848" s="87">
        <v>0</v>
      </c>
      <c r="V2848" s="87">
        <v>15</v>
      </c>
      <c r="W2848" s="93" t="s">
        <v>6555</v>
      </c>
      <c r="X2848" s="87"/>
      <c r="Y2848" s="87"/>
      <c r="Z2848" s="87"/>
      <c r="AA2848" s="87"/>
      <c r="AB2848" s="87"/>
      <c r="AC2848" s="93" t="s">
        <v>11457</v>
      </c>
      <c r="AD2848" s="87" t="s">
        <v>11519</v>
      </c>
      <c r="AE2848" s="92" t="str">
        <f>HYPERLINK("https://twitter.com/viniciusown/status/1706285829579051176")</f>
        <v>https://twitter.com/viniciusown/status/1706285829579051176</v>
      </c>
      <c r="AF2848" s="90">
        <v>45194.523344907408</v>
      </c>
      <c r="AG2848" s="99">
        <v>45194</v>
      </c>
      <c r="AH2848" s="93" t="s">
        <v>14085</v>
      </c>
      <c r="AI2848" s="87"/>
      <c r="AJ2848" s="87"/>
      <c r="AK2848" s="87"/>
      <c r="AL2848" s="87"/>
      <c r="AM2848" s="87"/>
      <c r="AN2848" s="87"/>
      <c r="AO2848" s="87"/>
      <c r="AP2848" s="87"/>
      <c r="AQ2848" s="87"/>
      <c r="AR2848" s="87"/>
      <c r="AS2848" s="87"/>
      <c r="AT2848" s="87"/>
      <c r="AU2848" s="87"/>
      <c r="AV2848" s="92" t="str">
        <f>HYPERLINK("https://pbs.twimg.com/profile_images/1706284825378729984/f65IrMIw_normal.jpg")</f>
        <v>https://pbs.twimg.com/profile_images/1706284825378729984/f65IrMIw_normal.jpg</v>
      </c>
      <c r="AW2848" s="93" t="s">
        <v>21009</v>
      </c>
      <c r="AX2848" s="93" t="s">
        <v>21009</v>
      </c>
      <c r="AY2848" s="87"/>
      <c r="AZ2848" s="93" t="s">
        <v>22668</v>
      </c>
      <c r="BA2848" s="93" t="s">
        <v>22668</v>
      </c>
      <c r="BB2848" s="93" t="s">
        <v>22668</v>
      </c>
      <c r="BC2848" s="93" t="s">
        <v>21009</v>
      </c>
      <c r="BD2848" s="87">
        <v>2881275026</v>
      </c>
      <c r="BE2848" s="87"/>
      <c r="BF2848" s="87"/>
      <c r="BG2848" s="87"/>
      <c r="BH2848" s="87"/>
      <c r="BI2848" s="87"/>
    </row>
    <row r="2849" spans="1:61" x14ac:dyDescent="0.25">
      <c r="A2849" s="63" t="s">
        <v>1061</v>
      </c>
      <c r="B2849" s="63" t="s">
        <v>1751</v>
      </c>
      <c r="C2849" s="64"/>
      <c r="D2849" s="65"/>
      <c r="E2849" s="66"/>
      <c r="F2849" s="67"/>
      <c r="G2849" s="64"/>
      <c r="H2849" s="68"/>
      <c r="I2849" s="69"/>
      <c r="J2849" s="69"/>
      <c r="K2849" s="32"/>
      <c r="L2849" s="76">
        <v>2849</v>
      </c>
      <c r="M2849" s="76"/>
      <c r="N2849" s="71"/>
      <c r="O2849" s="87" t="s">
        <v>1844</v>
      </c>
      <c r="P2849" s="90">
        <v>45160.434236111112</v>
      </c>
      <c r="Q2849" s="87" t="s">
        <v>4566</v>
      </c>
      <c r="R2849" s="87">
        <v>0</v>
      </c>
      <c r="S2849" s="87">
        <v>0</v>
      </c>
      <c r="T2849" s="87">
        <v>0</v>
      </c>
      <c r="U2849" s="87">
        <v>0</v>
      </c>
      <c r="V2849" s="87">
        <v>25</v>
      </c>
      <c r="W2849" s="93" t="s">
        <v>7431</v>
      </c>
      <c r="X2849" s="87"/>
      <c r="Y2849" s="87"/>
      <c r="Z2849" s="87" t="s">
        <v>8598</v>
      </c>
      <c r="AA2849" s="87"/>
      <c r="AB2849" s="87"/>
      <c r="AC2849" s="93" t="s">
        <v>11458</v>
      </c>
      <c r="AD2849" s="87" t="s">
        <v>11519</v>
      </c>
      <c r="AE2849" s="92" t="str">
        <f>HYPERLINK("https://twitter.com/sandrapedroso/status/1693932350357315847")</f>
        <v>https://twitter.com/sandrapedroso/status/1693932350357315847</v>
      </c>
      <c r="AF2849" s="90">
        <v>45160.434236111112</v>
      </c>
      <c r="AG2849" s="99">
        <v>45160</v>
      </c>
      <c r="AH2849" s="93" t="s">
        <v>14086</v>
      </c>
      <c r="AI2849" s="87"/>
      <c r="AJ2849" s="87"/>
      <c r="AK2849" s="87"/>
      <c r="AL2849" s="87"/>
      <c r="AM2849" s="87"/>
      <c r="AN2849" s="87"/>
      <c r="AO2849" s="87"/>
      <c r="AP2849" s="87"/>
      <c r="AQ2849" s="87"/>
      <c r="AR2849" s="87"/>
      <c r="AS2849" s="87"/>
      <c r="AT2849" s="87"/>
      <c r="AU2849" s="87"/>
      <c r="AV2849" s="92" t="str">
        <f>HYPERLINK("https://pbs.twimg.com/profile_images/1630854665440043008/FgR_C2AQ_normal.jpg")</f>
        <v>https://pbs.twimg.com/profile_images/1630854665440043008/FgR_C2AQ_normal.jpg</v>
      </c>
      <c r="AW2849" s="93" t="s">
        <v>21010</v>
      </c>
      <c r="AX2849" s="93" t="s">
        <v>22436</v>
      </c>
      <c r="AY2849" s="93" t="s">
        <v>22608</v>
      </c>
      <c r="AZ2849" s="93" t="s">
        <v>22436</v>
      </c>
      <c r="BA2849" s="93" t="s">
        <v>22668</v>
      </c>
      <c r="BB2849" s="93" t="s">
        <v>22668</v>
      </c>
      <c r="BC2849" s="93" t="s">
        <v>22436</v>
      </c>
      <c r="BD2849" s="87">
        <v>43459972</v>
      </c>
      <c r="BE2849" s="87"/>
      <c r="BF2849" s="87"/>
      <c r="BG2849" s="87"/>
      <c r="BH2849" s="87"/>
      <c r="BI2849" s="87"/>
    </row>
    <row r="2850" spans="1:61" x14ac:dyDescent="0.25">
      <c r="A2850" s="63" t="s">
        <v>1061</v>
      </c>
      <c r="B2850" s="63" t="s">
        <v>1752</v>
      </c>
      <c r="C2850" s="64"/>
      <c r="D2850" s="65"/>
      <c r="E2850" s="66"/>
      <c r="F2850" s="67"/>
      <c r="G2850" s="64"/>
      <c r="H2850" s="68"/>
      <c r="I2850" s="69"/>
      <c r="J2850" s="69"/>
      <c r="K2850" s="32"/>
      <c r="L2850" s="76">
        <v>2850</v>
      </c>
      <c r="M2850" s="76"/>
      <c r="N2850" s="71"/>
      <c r="O2850" s="87" t="s">
        <v>1840</v>
      </c>
      <c r="P2850" s="90">
        <v>45160.434236111112</v>
      </c>
      <c r="Q2850" s="87" t="s">
        <v>4566</v>
      </c>
      <c r="R2850" s="87">
        <v>0</v>
      </c>
      <c r="S2850" s="87">
        <v>0</v>
      </c>
      <c r="T2850" s="87">
        <v>0</v>
      </c>
      <c r="U2850" s="87">
        <v>0</v>
      </c>
      <c r="V2850" s="87">
        <v>25</v>
      </c>
      <c r="W2850" s="93" t="s">
        <v>7431</v>
      </c>
      <c r="X2850" s="87"/>
      <c r="Y2850" s="87"/>
      <c r="Z2850" s="87" t="s">
        <v>8598</v>
      </c>
      <c r="AA2850" s="87"/>
      <c r="AB2850" s="87"/>
      <c r="AC2850" s="93" t="s">
        <v>11458</v>
      </c>
      <c r="AD2850" s="87" t="s">
        <v>11519</v>
      </c>
      <c r="AE2850" s="92" t="str">
        <f>HYPERLINK("https://twitter.com/sandrapedroso/status/1693932350357315847")</f>
        <v>https://twitter.com/sandrapedroso/status/1693932350357315847</v>
      </c>
      <c r="AF2850" s="90">
        <v>45160.434236111112</v>
      </c>
      <c r="AG2850" s="99">
        <v>45160</v>
      </c>
      <c r="AH2850" s="93" t="s">
        <v>14086</v>
      </c>
      <c r="AI2850" s="87"/>
      <c r="AJ2850" s="87"/>
      <c r="AK2850" s="87"/>
      <c r="AL2850" s="87"/>
      <c r="AM2850" s="87"/>
      <c r="AN2850" s="87"/>
      <c r="AO2850" s="87"/>
      <c r="AP2850" s="87"/>
      <c r="AQ2850" s="87"/>
      <c r="AR2850" s="87"/>
      <c r="AS2850" s="87"/>
      <c r="AT2850" s="87"/>
      <c r="AU2850" s="87"/>
      <c r="AV2850" s="92" t="str">
        <f>HYPERLINK("https://pbs.twimg.com/profile_images/1630854665440043008/FgR_C2AQ_normal.jpg")</f>
        <v>https://pbs.twimg.com/profile_images/1630854665440043008/FgR_C2AQ_normal.jpg</v>
      </c>
      <c r="AW2850" s="93" t="s">
        <v>21010</v>
      </c>
      <c r="AX2850" s="93" t="s">
        <v>22436</v>
      </c>
      <c r="AY2850" s="93" t="s">
        <v>22608</v>
      </c>
      <c r="AZ2850" s="93" t="s">
        <v>22436</v>
      </c>
      <c r="BA2850" s="93" t="s">
        <v>22668</v>
      </c>
      <c r="BB2850" s="93" t="s">
        <v>22668</v>
      </c>
      <c r="BC2850" s="93" t="s">
        <v>22436</v>
      </c>
      <c r="BD2850" s="87">
        <v>43459972</v>
      </c>
      <c r="BE2850" s="87"/>
      <c r="BF2850" s="87"/>
      <c r="BG2850" s="87"/>
      <c r="BH2850" s="87"/>
      <c r="BI2850" s="87"/>
    </row>
    <row r="2851" spans="1:61" x14ac:dyDescent="0.25">
      <c r="A2851" s="63" t="s">
        <v>1061</v>
      </c>
      <c r="B2851" s="63" t="s">
        <v>1749</v>
      </c>
      <c r="C2851" s="64"/>
      <c r="D2851" s="65"/>
      <c r="E2851" s="66"/>
      <c r="F2851" s="67"/>
      <c r="G2851" s="64"/>
      <c r="H2851" s="68"/>
      <c r="I2851" s="69"/>
      <c r="J2851" s="69"/>
      <c r="K2851" s="32"/>
      <c r="L2851" s="76">
        <v>2851</v>
      </c>
      <c r="M2851" s="76"/>
      <c r="N2851" s="71"/>
      <c r="O2851" s="87" t="s">
        <v>1844</v>
      </c>
      <c r="P2851" s="90">
        <v>45160.434236111112</v>
      </c>
      <c r="Q2851" s="87" t="s">
        <v>4566</v>
      </c>
      <c r="R2851" s="87">
        <v>0</v>
      </c>
      <c r="S2851" s="87">
        <v>0</v>
      </c>
      <c r="T2851" s="87">
        <v>0</v>
      </c>
      <c r="U2851" s="87">
        <v>0</v>
      </c>
      <c r="V2851" s="87">
        <v>25</v>
      </c>
      <c r="W2851" s="93" t="s">
        <v>7431</v>
      </c>
      <c r="X2851" s="87"/>
      <c r="Y2851" s="87"/>
      <c r="Z2851" s="87" t="s">
        <v>8598</v>
      </c>
      <c r="AA2851" s="87"/>
      <c r="AB2851" s="87"/>
      <c r="AC2851" s="93" t="s">
        <v>11458</v>
      </c>
      <c r="AD2851" s="87" t="s">
        <v>11519</v>
      </c>
      <c r="AE2851" s="92" t="str">
        <f>HYPERLINK("https://twitter.com/sandrapedroso/status/1693932350357315847")</f>
        <v>https://twitter.com/sandrapedroso/status/1693932350357315847</v>
      </c>
      <c r="AF2851" s="90">
        <v>45160.434236111112</v>
      </c>
      <c r="AG2851" s="99">
        <v>45160</v>
      </c>
      <c r="AH2851" s="93" t="s">
        <v>14086</v>
      </c>
      <c r="AI2851" s="87"/>
      <c r="AJ2851" s="87"/>
      <c r="AK2851" s="87"/>
      <c r="AL2851" s="87"/>
      <c r="AM2851" s="87"/>
      <c r="AN2851" s="87"/>
      <c r="AO2851" s="87"/>
      <c r="AP2851" s="87"/>
      <c r="AQ2851" s="87"/>
      <c r="AR2851" s="87"/>
      <c r="AS2851" s="87"/>
      <c r="AT2851" s="87"/>
      <c r="AU2851" s="87"/>
      <c r="AV2851" s="92" t="str">
        <f>HYPERLINK("https://pbs.twimg.com/profile_images/1630854665440043008/FgR_C2AQ_normal.jpg")</f>
        <v>https://pbs.twimg.com/profile_images/1630854665440043008/FgR_C2AQ_normal.jpg</v>
      </c>
      <c r="AW2851" s="93" t="s">
        <v>21010</v>
      </c>
      <c r="AX2851" s="93" t="s">
        <v>22436</v>
      </c>
      <c r="AY2851" s="93" t="s">
        <v>22608</v>
      </c>
      <c r="AZ2851" s="93" t="s">
        <v>22436</v>
      </c>
      <c r="BA2851" s="93" t="s">
        <v>22668</v>
      </c>
      <c r="BB2851" s="93" t="s">
        <v>22668</v>
      </c>
      <c r="BC2851" s="93" t="s">
        <v>22436</v>
      </c>
      <c r="BD2851" s="87">
        <v>43459972</v>
      </c>
      <c r="BE2851" s="87"/>
      <c r="BF2851" s="87"/>
      <c r="BG2851" s="87"/>
      <c r="BH2851" s="87"/>
      <c r="BI2851" s="87"/>
    </row>
    <row r="2852" spans="1:61" x14ac:dyDescent="0.25">
      <c r="A2852" s="63" t="s">
        <v>1062</v>
      </c>
      <c r="B2852" s="63" t="s">
        <v>1062</v>
      </c>
      <c r="C2852" s="64"/>
      <c r="D2852" s="65"/>
      <c r="E2852" s="66"/>
      <c r="F2852" s="67"/>
      <c r="G2852" s="64"/>
      <c r="H2852" s="68"/>
      <c r="I2852" s="69"/>
      <c r="J2852" s="69"/>
      <c r="K2852" s="32"/>
      <c r="L2852" s="76">
        <v>2852</v>
      </c>
      <c r="M2852" s="76"/>
      <c r="N2852" s="71"/>
      <c r="O2852" s="87" t="s">
        <v>179</v>
      </c>
      <c r="P2852" s="90">
        <v>45146.546678240738</v>
      </c>
      <c r="Q2852" s="87" t="s">
        <v>4567</v>
      </c>
      <c r="R2852" s="87">
        <v>0</v>
      </c>
      <c r="S2852" s="87">
        <v>2</v>
      </c>
      <c r="T2852" s="87">
        <v>0</v>
      </c>
      <c r="U2852" s="87">
        <v>0</v>
      </c>
      <c r="V2852" s="87">
        <v>67</v>
      </c>
      <c r="W2852" s="93" t="s">
        <v>7432</v>
      </c>
      <c r="X2852" s="87"/>
      <c r="Y2852" s="87"/>
      <c r="Z2852" s="87"/>
      <c r="AA2852" s="87" t="s">
        <v>10579</v>
      </c>
      <c r="AB2852" s="87" t="s">
        <v>11447</v>
      </c>
      <c r="AC2852" s="93" t="s">
        <v>11459</v>
      </c>
      <c r="AD2852" s="87" t="s">
        <v>11519</v>
      </c>
      <c r="AE2852" s="92" t="str">
        <f>HYPERLINK("https://twitter.com/andersonkouzaca/status/1688899665230467072")</f>
        <v>https://twitter.com/andersonkouzaca/status/1688899665230467072</v>
      </c>
      <c r="AF2852" s="90">
        <v>45146.546678240738</v>
      </c>
      <c r="AG2852" s="99">
        <v>45146</v>
      </c>
      <c r="AH2852" s="93" t="s">
        <v>14087</v>
      </c>
      <c r="AI2852" s="87" t="b">
        <v>0</v>
      </c>
      <c r="AJ2852" s="87"/>
      <c r="AK2852" s="87"/>
      <c r="AL2852" s="87"/>
      <c r="AM2852" s="87"/>
      <c r="AN2852" s="87"/>
      <c r="AO2852" s="87"/>
      <c r="AP2852" s="87"/>
      <c r="AQ2852" s="87" t="s">
        <v>17391</v>
      </c>
      <c r="AR2852" s="87">
        <v>94611</v>
      </c>
      <c r="AS2852" s="87"/>
      <c r="AT2852" s="87"/>
      <c r="AU2852" s="87"/>
      <c r="AV2852" s="92" t="str">
        <f>HYPERLINK("https://pbs.twimg.com/ext_tw_video_thumb/1688899546888159232/pu/img/VXvQkkW_slXOm_Mn.jpg")</f>
        <v>https://pbs.twimg.com/ext_tw_video_thumb/1688899546888159232/pu/img/VXvQkkW_slXOm_Mn.jpg</v>
      </c>
      <c r="AW2852" s="93" t="s">
        <v>21011</v>
      </c>
      <c r="AX2852" s="93" t="s">
        <v>21011</v>
      </c>
      <c r="AY2852" s="87"/>
      <c r="AZ2852" s="93" t="s">
        <v>22668</v>
      </c>
      <c r="BA2852" s="93" t="s">
        <v>22668</v>
      </c>
      <c r="BB2852" s="93" t="s">
        <v>22668</v>
      </c>
      <c r="BC2852" s="93" t="s">
        <v>21011</v>
      </c>
      <c r="BD2852" s="87">
        <v>3007676985</v>
      </c>
      <c r="BE2852" s="87"/>
      <c r="BF2852" s="87"/>
      <c r="BG2852" s="87"/>
      <c r="BH2852" s="87"/>
      <c r="BI2852" s="87"/>
    </row>
    <row r="2853" spans="1:61" x14ac:dyDescent="0.25">
      <c r="A2853" s="63" t="s">
        <v>1063</v>
      </c>
      <c r="B2853" s="63" t="s">
        <v>1063</v>
      </c>
      <c r="C2853" s="64"/>
      <c r="D2853" s="65"/>
      <c r="E2853" s="66"/>
      <c r="F2853" s="67"/>
      <c r="G2853" s="64"/>
      <c r="H2853" s="68"/>
      <c r="I2853" s="69"/>
      <c r="J2853" s="69"/>
      <c r="K2853" s="32"/>
      <c r="L2853" s="76">
        <v>2853</v>
      </c>
      <c r="M2853" s="76"/>
      <c r="N2853" s="71"/>
      <c r="O2853" s="87" t="s">
        <v>179</v>
      </c>
      <c r="P2853" s="90">
        <v>45188.365381944444</v>
      </c>
      <c r="Q2853" s="87" t="s">
        <v>4568</v>
      </c>
      <c r="R2853" s="87">
        <v>0</v>
      </c>
      <c r="S2853" s="87">
        <v>0</v>
      </c>
      <c r="T2853" s="87">
        <v>0</v>
      </c>
      <c r="U2853" s="87">
        <v>0</v>
      </c>
      <c r="V2853" s="87">
        <v>5</v>
      </c>
      <c r="W2853" s="93" t="s">
        <v>7433</v>
      </c>
      <c r="X2853" s="87"/>
      <c r="Y2853" s="87"/>
      <c r="Z2853" s="87"/>
      <c r="AA2853" s="87" t="s">
        <v>10580</v>
      </c>
      <c r="AB2853" s="87" t="s">
        <v>11448</v>
      </c>
      <c r="AC2853" s="93" t="s">
        <v>11459</v>
      </c>
      <c r="AD2853" s="87" t="s">
        <v>11519</v>
      </c>
      <c r="AE2853" s="92" t="str">
        <f>HYPERLINK("https://twitter.com/maynardbarreto/status/1704054255756210393")</f>
        <v>https://twitter.com/maynardbarreto/status/1704054255756210393</v>
      </c>
      <c r="AF2853" s="90">
        <v>45188.365381944444</v>
      </c>
      <c r="AG2853" s="99">
        <v>45188</v>
      </c>
      <c r="AH2853" s="93" t="s">
        <v>14088</v>
      </c>
      <c r="AI2853" s="87" t="b">
        <v>0</v>
      </c>
      <c r="AJ2853" s="87" t="s">
        <v>15177</v>
      </c>
      <c r="AK2853" s="87" t="s">
        <v>15234</v>
      </c>
      <c r="AL2853" s="87" t="s">
        <v>15237</v>
      </c>
      <c r="AM2853" s="87" t="s">
        <v>15249</v>
      </c>
      <c r="AN2853" s="87" t="s">
        <v>15314</v>
      </c>
      <c r="AO2853" s="87" t="s">
        <v>15381</v>
      </c>
      <c r="AP2853" s="87" t="s">
        <v>15438</v>
      </c>
      <c r="AQ2853" s="87" t="s">
        <v>17392</v>
      </c>
      <c r="AR2853" s="87"/>
      <c r="AS2853" s="87"/>
      <c r="AT2853" s="87"/>
      <c r="AU2853" s="87"/>
      <c r="AV2853" s="92" t="str">
        <f>HYPERLINK("https://pbs.twimg.com/media/F6YEUKoW0AAcXol.jpg")</f>
        <v>https://pbs.twimg.com/media/F6YEUKoW0AAcXol.jpg</v>
      </c>
      <c r="AW2853" s="93" t="s">
        <v>21012</v>
      </c>
      <c r="AX2853" s="93" t="s">
        <v>21012</v>
      </c>
      <c r="AY2853" s="87"/>
      <c r="AZ2853" s="93" t="s">
        <v>22668</v>
      </c>
      <c r="BA2853" s="93" t="s">
        <v>22668</v>
      </c>
      <c r="BB2853" s="93" t="s">
        <v>22668</v>
      </c>
      <c r="BC2853" s="93" t="s">
        <v>21012</v>
      </c>
      <c r="BD2853" s="93" t="s">
        <v>23271</v>
      </c>
      <c r="BE2853" s="87"/>
      <c r="BF2853" s="87"/>
      <c r="BG2853" s="87"/>
      <c r="BH2853" s="87"/>
      <c r="BI2853" s="87"/>
    </row>
    <row r="2854" spans="1:61" x14ac:dyDescent="0.25">
      <c r="A2854" s="63" t="s">
        <v>1064</v>
      </c>
      <c r="B2854" s="63" t="s">
        <v>1064</v>
      </c>
      <c r="C2854" s="64"/>
      <c r="D2854" s="65"/>
      <c r="E2854" s="66"/>
      <c r="F2854" s="67"/>
      <c r="G2854" s="64"/>
      <c r="H2854" s="68"/>
      <c r="I2854" s="69"/>
      <c r="J2854" s="69"/>
      <c r="K2854" s="32"/>
      <c r="L2854" s="76">
        <v>2854</v>
      </c>
      <c r="M2854" s="76"/>
      <c r="N2854" s="71"/>
      <c r="O2854" s="87" t="s">
        <v>179</v>
      </c>
      <c r="P2854" s="90">
        <v>45141.645567129628</v>
      </c>
      <c r="Q2854" s="87" t="s">
        <v>4569</v>
      </c>
      <c r="R2854" s="87">
        <v>0</v>
      </c>
      <c r="S2854" s="87">
        <v>1</v>
      </c>
      <c r="T2854" s="87">
        <v>0</v>
      </c>
      <c r="U2854" s="87">
        <v>0</v>
      </c>
      <c r="V2854" s="87">
        <v>126</v>
      </c>
      <c r="W2854" s="93" t="s">
        <v>7434</v>
      </c>
      <c r="X2854" s="87"/>
      <c r="Y2854" s="87"/>
      <c r="Z2854" s="87"/>
      <c r="AA2854" s="87"/>
      <c r="AB2854" s="87"/>
      <c r="AC2854" s="93" t="s">
        <v>11459</v>
      </c>
      <c r="AD2854" s="87" t="s">
        <v>11519</v>
      </c>
      <c r="AE2854" s="92" t="str">
        <f>HYPERLINK("https://twitter.com/diegoaraujots/status/1687123563990351872")</f>
        <v>https://twitter.com/diegoaraujots/status/1687123563990351872</v>
      </c>
      <c r="AF2854" s="90">
        <v>45141.645567129628</v>
      </c>
      <c r="AG2854" s="99">
        <v>45141</v>
      </c>
      <c r="AH2854" s="93" t="s">
        <v>14089</v>
      </c>
      <c r="AI2854" s="87"/>
      <c r="AJ2854" s="87"/>
      <c r="AK2854" s="87"/>
      <c r="AL2854" s="87"/>
      <c r="AM2854" s="87"/>
      <c r="AN2854" s="87"/>
      <c r="AO2854" s="87"/>
      <c r="AP2854" s="87"/>
      <c r="AQ2854" s="87"/>
      <c r="AR2854" s="87"/>
      <c r="AS2854" s="87"/>
      <c r="AT2854" s="87"/>
      <c r="AU2854" s="87"/>
      <c r="AV2854" s="92" t="str">
        <f>HYPERLINK("https://pbs.twimg.com/profile_images/1700304363476910080/VjwLNEx2_normal.jpg")</f>
        <v>https://pbs.twimg.com/profile_images/1700304363476910080/VjwLNEx2_normal.jpg</v>
      </c>
      <c r="AW2854" s="93" t="s">
        <v>21013</v>
      </c>
      <c r="AX2854" s="93" t="s">
        <v>21013</v>
      </c>
      <c r="AY2854" s="87"/>
      <c r="AZ2854" s="93" t="s">
        <v>22668</v>
      </c>
      <c r="BA2854" s="93" t="s">
        <v>22668</v>
      </c>
      <c r="BB2854" s="93" t="s">
        <v>22668</v>
      </c>
      <c r="BC2854" s="93" t="s">
        <v>21013</v>
      </c>
      <c r="BD2854" s="87">
        <v>2378325093</v>
      </c>
      <c r="BE2854" s="87"/>
      <c r="BF2854" s="87"/>
      <c r="BG2854" s="87"/>
      <c r="BH2854" s="87"/>
      <c r="BI2854" s="87"/>
    </row>
    <row r="2855" spans="1:61" x14ac:dyDescent="0.25">
      <c r="A2855" s="63" t="s">
        <v>1064</v>
      </c>
      <c r="B2855" s="63" t="s">
        <v>1064</v>
      </c>
      <c r="C2855" s="64"/>
      <c r="D2855" s="65"/>
      <c r="E2855" s="66"/>
      <c r="F2855" s="67"/>
      <c r="G2855" s="64"/>
      <c r="H2855" s="68"/>
      <c r="I2855" s="69"/>
      <c r="J2855" s="69"/>
      <c r="K2855" s="32"/>
      <c r="L2855" s="76">
        <v>2855</v>
      </c>
      <c r="M2855" s="76"/>
      <c r="N2855" s="71"/>
      <c r="O2855" s="87" t="s">
        <v>179</v>
      </c>
      <c r="P2855" s="90">
        <v>45141.453530092593</v>
      </c>
      <c r="Q2855" s="87" t="s">
        <v>4570</v>
      </c>
      <c r="R2855" s="87">
        <v>0</v>
      </c>
      <c r="S2855" s="87">
        <v>5</v>
      </c>
      <c r="T2855" s="87">
        <v>0</v>
      </c>
      <c r="U2855" s="87">
        <v>0</v>
      </c>
      <c r="V2855" s="87">
        <v>144</v>
      </c>
      <c r="W2855" s="93" t="s">
        <v>7435</v>
      </c>
      <c r="X2855" s="87"/>
      <c r="Y2855" s="87"/>
      <c r="Z2855" s="87"/>
      <c r="AA2855" s="87" t="s">
        <v>10581</v>
      </c>
      <c r="AB2855" s="87" t="s">
        <v>11447</v>
      </c>
      <c r="AC2855" s="93" t="s">
        <v>11459</v>
      </c>
      <c r="AD2855" s="87" t="s">
        <v>11519</v>
      </c>
      <c r="AE2855" s="92" t="str">
        <f>HYPERLINK("https://twitter.com/diegoaraujots/status/1687053971947417600")</f>
        <v>https://twitter.com/diegoaraujots/status/1687053971947417600</v>
      </c>
      <c r="AF2855" s="90">
        <v>45141.453530092593</v>
      </c>
      <c r="AG2855" s="99">
        <v>45141</v>
      </c>
      <c r="AH2855" s="93" t="s">
        <v>14090</v>
      </c>
      <c r="AI2855" s="87" t="b">
        <v>0</v>
      </c>
      <c r="AJ2855" s="87"/>
      <c r="AK2855" s="87"/>
      <c r="AL2855" s="87"/>
      <c r="AM2855" s="87"/>
      <c r="AN2855" s="87"/>
      <c r="AO2855" s="87"/>
      <c r="AP2855" s="87"/>
      <c r="AQ2855" s="87" t="s">
        <v>17393</v>
      </c>
      <c r="AR2855" s="87">
        <v>5899</v>
      </c>
      <c r="AS2855" s="87"/>
      <c r="AT2855" s="87"/>
      <c r="AU2855" s="87"/>
      <c r="AV2855" s="92" t="str">
        <f>HYPERLINK("https://pbs.twimg.com/ext_tw_video_thumb/1687053940481802240/pu/img/6zlZjb5lplEm0qaw.jpg")</f>
        <v>https://pbs.twimg.com/ext_tw_video_thumb/1687053940481802240/pu/img/6zlZjb5lplEm0qaw.jpg</v>
      </c>
      <c r="AW2855" s="93" t="s">
        <v>21014</v>
      </c>
      <c r="AX2855" s="93" t="s">
        <v>21014</v>
      </c>
      <c r="AY2855" s="87"/>
      <c r="AZ2855" s="93" t="s">
        <v>22668</v>
      </c>
      <c r="BA2855" s="93" t="s">
        <v>22668</v>
      </c>
      <c r="BB2855" s="93" t="s">
        <v>22668</v>
      </c>
      <c r="BC2855" s="93" t="s">
        <v>21014</v>
      </c>
      <c r="BD2855" s="87">
        <v>2378325093</v>
      </c>
      <c r="BE2855" s="87"/>
      <c r="BF2855" s="87"/>
      <c r="BG2855" s="87"/>
      <c r="BH2855" s="87"/>
      <c r="BI2855" s="87"/>
    </row>
    <row r="2856" spans="1:61" x14ac:dyDescent="0.25">
      <c r="A2856" s="63" t="s">
        <v>1064</v>
      </c>
      <c r="B2856" s="63" t="s">
        <v>1064</v>
      </c>
      <c r="C2856" s="64"/>
      <c r="D2856" s="65"/>
      <c r="E2856" s="66"/>
      <c r="F2856" s="67"/>
      <c r="G2856" s="64"/>
      <c r="H2856" s="68"/>
      <c r="I2856" s="69"/>
      <c r="J2856" s="69"/>
      <c r="K2856" s="32"/>
      <c r="L2856" s="76">
        <v>2856</v>
      </c>
      <c r="M2856" s="76"/>
      <c r="N2856" s="71"/>
      <c r="O2856" s="87" t="s">
        <v>179</v>
      </c>
      <c r="P2856" s="90">
        <v>45147.988564814812</v>
      </c>
      <c r="Q2856" s="87" t="s">
        <v>4571</v>
      </c>
      <c r="R2856" s="87">
        <v>1</v>
      </c>
      <c r="S2856" s="87">
        <v>6</v>
      </c>
      <c r="T2856" s="87">
        <v>0</v>
      </c>
      <c r="U2856" s="87">
        <v>0</v>
      </c>
      <c r="V2856" s="87">
        <v>170</v>
      </c>
      <c r="W2856" s="93" t="s">
        <v>7436</v>
      </c>
      <c r="X2856" s="87"/>
      <c r="Y2856" s="87"/>
      <c r="Z2856" s="87"/>
      <c r="AA2856" s="87" t="s">
        <v>10582</v>
      </c>
      <c r="AB2856" s="87" t="s">
        <v>11448</v>
      </c>
      <c r="AC2856" s="93" t="s">
        <v>11459</v>
      </c>
      <c r="AD2856" s="87" t="s">
        <v>11519</v>
      </c>
      <c r="AE2856" s="92" t="str">
        <f>HYPERLINK("https://twitter.com/diegoaraujots/status/1689422187604672512")</f>
        <v>https://twitter.com/diegoaraujots/status/1689422187604672512</v>
      </c>
      <c r="AF2856" s="90">
        <v>45147.988564814812</v>
      </c>
      <c r="AG2856" s="99">
        <v>45147</v>
      </c>
      <c r="AH2856" s="93" t="s">
        <v>14091</v>
      </c>
      <c r="AI2856" s="87" t="b">
        <v>0</v>
      </c>
      <c r="AJ2856" s="87"/>
      <c r="AK2856" s="87"/>
      <c r="AL2856" s="87"/>
      <c r="AM2856" s="87"/>
      <c r="AN2856" s="87"/>
      <c r="AO2856" s="87"/>
      <c r="AP2856" s="87"/>
      <c r="AQ2856" s="87" t="s">
        <v>17394</v>
      </c>
      <c r="AR2856" s="87"/>
      <c r="AS2856" s="87"/>
      <c r="AT2856" s="87"/>
      <c r="AU2856" s="87"/>
      <c r="AV2856" s="92" t="str">
        <f>HYPERLINK("https://pbs.twimg.com/media/F3IIhqaWEAAzL_T.jpg")</f>
        <v>https://pbs.twimg.com/media/F3IIhqaWEAAzL_T.jpg</v>
      </c>
      <c r="AW2856" s="93" t="s">
        <v>21015</v>
      </c>
      <c r="AX2856" s="93" t="s">
        <v>21015</v>
      </c>
      <c r="AY2856" s="87"/>
      <c r="AZ2856" s="93" t="s">
        <v>22668</v>
      </c>
      <c r="BA2856" s="93" t="s">
        <v>22668</v>
      </c>
      <c r="BB2856" s="93" t="s">
        <v>22668</v>
      </c>
      <c r="BC2856" s="93" t="s">
        <v>21015</v>
      </c>
      <c r="BD2856" s="87">
        <v>2378325093</v>
      </c>
      <c r="BE2856" s="87"/>
      <c r="BF2856" s="87"/>
      <c r="BG2856" s="87"/>
      <c r="BH2856" s="87"/>
      <c r="BI2856" s="87"/>
    </row>
    <row r="2857" spans="1:61" x14ac:dyDescent="0.25">
      <c r="A2857" s="63" t="s">
        <v>1064</v>
      </c>
      <c r="B2857" s="63" t="s">
        <v>1064</v>
      </c>
      <c r="C2857" s="64"/>
      <c r="D2857" s="65"/>
      <c r="E2857" s="66"/>
      <c r="F2857" s="67"/>
      <c r="G2857" s="64"/>
      <c r="H2857" s="68"/>
      <c r="I2857" s="69"/>
      <c r="J2857" s="69"/>
      <c r="K2857" s="32"/>
      <c r="L2857" s="76">
        <v>2857</v>
      </c>
      <c r="M2857" s="76"/>
      <c r="N2857" s="71"/>
      <c r="O2857" s="87" t="s">
        <v>179</v>
      </c>
      <c r="P2857" s="90">
        <v>45173.406689814816</v>
      </c>
      <c r="Q2857" s="87" t="s">
        <v>4572</v>
      </c>
      <c r="R2857" s="87">
        <v>0</v>
      </c>
      <c r="S2857" s="87">
        <v>7</v>
      </c>
      <c r="T2857" s="87">
        <v>1</v>
      </c>
      <c r="U2857" s="87">
        <v>0</v>
      </c>
      <c r="V2857" s="87">
        <v>230</v>
      </c>
      <c r="W2857" s="93" t="s">
        <v>7437</v>
      </c>
      <c r="X2857" s="87"/>
      <c r="Y2857" s="87"/>
      <c r="Z2857" s="87"/>
      <c r="AA2857" s="87" t="s">
        <v>10583</v>
      </c>
      <c r="AB2857" s="87" t="s">
        <v>11448</v>
      </c>
      <c r="AC2857" s="93" t="s">
        <v>11459</v>
      </c>
      <c r="AD2857" s="87" t="s">
        <v>11519</v>
      </c>
      <c r="AE2857" s="92" t="str">
        <f>HYPERLINK("https://twitter.com/diegoaraujots/status/1698633410153955424")</f>
        <v>https://twitter.com/diegoaraujots/status/1698633410153955424</v>
      </c>
      <c r="AF2857" s="90">
        <v>45173.406689814816</v>
      </c>
      <c r="AG2857" s="99">
        <v>45173</v>
      </c>
      <c r="AH2857" s="93" t="s">
        <v>14092</v>
      </c>
      <c r="AI2857" s="87" t="b">
        <v>0</v>
      </c>
      <c r="AJ2857" s="87"/>
      <c r="AK2857" s="87"/>
      <c r="AL2857" s="87"/>
      <c r="AM2857" s="87"/>
      <c r="AN2857" s="87"/>
      <c r="AO2857" s="87"/>
      <c r="AP2857" s="87"/>
      <c r="AQ2857" s="87" t="s">
        <v>17395</v>
      </c>
      <c r="AR2857" s="87"/>
      <c r="AS2857" s="87"/>
      <c r="AT2857" s="87"/>
      <c r="AU2857" s="87"/>
      <c r="AV2857" s="92" t="str">
        <f>HYPERLINK("https://pbs.twimg.com/media/F5LCFb3WgAAaKLV.jpg")</f>
        <v>https://pbs.twimg.com/media/F5LCFb3WgAAaKLV.jpg</v>
      </c>
      <c r="AW2857" s="93" t="s">
        <v>21016</v>
      </c>
      <c r="AX2857" s="93" t="s">
        <v>21016</v>
      </c>
      <c r="AY2857" s="87"/>
      <c r="AZ2857" s="93" t="s">
        <v>22668</v>
      </c>
      <c r="BA2857" s="93" t="s">
        <v>22668</v>
      </c>
      <c r="BB2857" s="93" t="s">
        <v>22668</v>
      </c>
      <c r="BC2857" s="93" t="s">
        <v>21016</v>
      </c>
      <c r="BD2857" s="87">
        <v>2378325093</v>
      </c>
      <c r="BE2857" s="87"/>
      <c r="BF2857" s="87"/>
      <c r="BG2857" s="87"/>
      <c r="BH2857" s="87"/>
      <c r="BI2857" s="87"/>
    </row>
    <row r="2858" spans="1:61" x14ac:dyDescent="0.25">
      <c r="A2858" s="63" t="s">
        <v>1064</v>
      </c>
      <c r="B2858" s="63" t="s">
        <v>1064</v>
      </c>
      <c r="C2858" s="64"/>
      <c r="D2858" s="65"/>
      <c r="E2858" s="66"/>
      <c r="F2858" s="67"/>
      <c r="G2858" s="64"/>
      <c r="H2858" s="68"/>
      <c r="I2858" s="69"/>
      <c r="J2858" s="69"/>
      <c r="K2858" s="32"/>
      <c r="L2858" s="76">
        <v>2858</v>
      </c>
      <c r="M2858" s="76"/>
      <c r="N2858" s="71"/>
      <c r="O2858" s="87" t="s">
        <v>179</v>
      </c>
      <c r="P2858" s="90">
        <v>45150.488229166665</v>
      </c>
      <c r="Q2858" s="87" t="s">
        <v>4573</v>
      </c>
      <c r="R2858" s="87">
        <v>0</v>
      </c>
      <c r="S2858" s="87">
        <v>6</v>
      </c>
      <c r="T2858" s="87">
        <v>1</v>
      </c>
      <c r="U2858" s="87">
        <v>0</v>
      </c>
      <c r="V2858" s="87">
        <v>184</v>
      </c>
      <c r="W2858" s="93" t="s">
        <v>7438</v>
      </c>
      <c r="X2858" s="87"/>
      <c r="Y2858" s="87"/>
      <c r="Z2858" s="87"/>
      <c r="AA2858" s="87" t="s">
        <v>10584</v>
      </c>
      <c r="AB2858" s="87" t="s">
        <v>11448</v>
      </c>
      <c r="AC2858" s="93" t="s">
        <v>11459</v>
      </c>
      <c r="AD2858" s="87" t="s">
        <v>11519</v>
      </c>
      <c r="AE2858" s="92" t="str">
        <f>HYPERLINK("https://twitter.com/diegoaraujots/status/1690328035138887680")</f>
        <v>https://twitter.com/diegoaraujots/status/1690328035138887680</v>
      </c>
      <c r="AF2858" s="90">
        <v>45150.488229166665</v>
      </c>
      <c r="AG2858" s="99">
        <v>45150</v>
      </c>
      <c r="AH2858" s="93" t="s">
        <v>14093</v>
      </c>
      <c r="AI2858" s="87" t="b">
        <v>0</v>
      </c>
      <c r="AJ2858" s="87"/>
      <c r="AK2858" s="87"/>
      <c r="AL2858" s="87"/>
      <c r="AM2858" s="87"/>
      <c r="AN2858" s="87"/>
      <c r="AO2858" s="87"/>
      <c r="AP2858" s="87"/>
      <c r="AQ2858" s="87" t="s">
        <v>17396</v>
      </c>
      <c r="AR2858" s="87"/>
      <c r="AS2858" s="87"/>
      <c r="AT2858" s="87"/>
      <c r="AU2858" s="87"/>
      <c r="AV2858" s="92" t="str">
        <f>HYPERLINK("https://pbs.twimg.com/media/F3VAYqUWQAAvQeY.jpg")</f>
        <v>https://pbs.twimg.com/media/F3VAYqUWQAAvQeY.jpg</v>
      </c>
      <c r="AW2858" s="93" t="s">
        <v>21017</v>
      </c>
      <c r="AX2858" s="93" t="s">
        <v>21017</v>
      </c>
      <c r="AY2858" s="87"/>
      <c r="AZ2858" s="93" t="s">
        <v>22668</v>
      </c>
      <c r="BA2858" s="93" t="s">
        <v>22668</v>
      </c>
      <c r="BB2858" s="93" t="s">
        <v>22668</v>
      </c>
      <c r="BC2858" s="93" t="s">
        <v>21017</v>
      </c>
      <c r="BD2858" s="87">
        <v>2378325093</v>
      </c>
      <c r="BE2858" s="87"/>
      <c r="BF2858" s="87"/>
      <c r="BG2858" s="87"/>
      <c r="BH2858" s="87"/>
      <c r="BI2858" s="87"/>
    </row>
    <row r="2859" spans="1:61" x14ac:dyDescent="0.25">
      <c r="A2859" s="63" t="s">
        <v>1064</v>
      </c>
      <c r="B2859" s="63" t="s">
        <v>1064</v>
      </c>
      <c r="C2859" s="64"/>
      <c r="D2859" s="65"/>
      <c r="E2859" s="66"/>
      <c r="F2859" s="67"/>
      <c r="G2859" s="64"/>
      <c r="H2859" s="68"/>
      <c r="I2859" s="69"/>
      <c r="J2859" s="69"/>
      <c r="K2859" s="32"/>
      <c r="L2859" s="76">
        <v>2859</v>
      </c>
      <c r="M2859" s="76"/>
      <c r="N2859" s="71"/>
      <c r="O2859" s="87" t="s">
        <v>179</v>
      </c>
      <c r="P2859" s="90">
        <v>45193.067557870374</v>
      </c>
      <c r="Q2859" s="87" t="s">
        <v>4574</v>
      </c>
      <c r="R2859" s="87">
        <v>0</v>
      </c>
      <c r="S2859" s="87">
        <v>4</v>
      </c>
      <c r="T2859" s="87">
        <v>1</v>
      </c>
      <c r="U2859" s="87">
        <v>0</v>
      </c>
      <c r="V2859" s="87">
        <v>60</v>
      </c>
      <c r="W2859" s="93" t="s">
        <v>7439</v>
      </c>
      <c r="X2859" s="87"/>
      <c r="Y2859" s="87"/>
      <c r="Z2859" s="87"/>
      <c r="AA2859" s="87" t="s">
        <v>10585</v>
      </c>
      <c r="AB2859" s="87" t="s">
        <v>11448</v>
      </c>
      <c r="AC2859" s="93" t="s">
        <v>11459</v>
      </c>
      <c r="AD2859" s="87" t="s">
        <v>11519</v>
      </c>
      <c r="AE2859" s="92" t="str">
        <f>HYPERLINK("https://twitter.com/diegoaraujots/status/1705758267928879250")</f>
        <v>https://twitter.com/diegoaraujots/status/1705758267928879250</v>
      </c>
      <c r="AF2859" s="90">
        <v>45193.067557870374</v>
      </c>
      <c r="AG2859" s="99">
        <v>45193</v>
      </c>
      <c r="AH2859" s="93" t="s">
        <v>14094</v>
      </c>
      <c r="AI2859" s="87" t="b">
        <v>0</v>
      </c>
      <c r="AJ2859" s="87"/>
      <c r="AK2859" s="87"/>
      <c r="AL2859" s="87"/>
      <c r="AM2859" s="87"/>
      <c r="AN2859" s="87"/>
      <c r="AO2859" s="87"/>
      <c r="AP2859" s="87"/>
      <c r="AQ2859" s="87" t="s">
        <v>17397</v>
      </c>
      <c r="AR2859" s="87"/>
      <c r="AS2859" s="87"/>
      <c r="AT2859" s="87"/>
      <c r="AU2859" s="87"/>
      <c r="AV2859" s="92" t="str">
        <f>HYPERLINK("https://pbs.twimg.com/media/F6wSGsuW0AA3Pv3.jpg")</f>
        <v>https://pbs.twimg.com/media/F6wSGsuW0AA3Pv3.jpg</v>
      </c>
      <c r="AW2859" s="93" t="s">
        <v>21018</v>
      </c>
      <c r="AX2859" s="93" t="s">
        <v>21018</v>
      </c>
      <c r="AY2859" s="87"/>
      <c r="AZ2859" s="93" t="s">
        <v>22668</v>
      </c>
      <c r="BA2859" s="93" t="s">
        <v>22668</v>
      </c>
      <c r="BB2859" s="93" t="s">
        <v>22668</v>
      </c>
      <c r="BC2859" s="93" t="s">
        <v>21018</v>
      </c>
      <c r="BD2859" s="87">
        <v>2378325093</v>
      </c>
      <c r="BE2859" s="87"/>
      <c r="BF2859" s="87"/>
      <c r="BG2859" s="87"/>
      <c r="BH2859" s="87"/>
      <c r="BI2859" s="87"/>
    </row>
    <row r="2860" spans="1:61" x14ac:dyDescent="0.25">
      <c r="A2860" s="63" t="s">
        <v>1065</v>
      </c>
      <c r="B2860" s="63" t="s">
        <v>1065</v>
      </c>
      <c r="C2860" s="64"/>
      <c r="D2860" s="65"/>
      <c r="E2860" s="66"/>
      <c r="F2860" s="67"/>
      <c r="G2860" s="64"/>
      <c r="H2860" s="68"/>
      <c r="I2860" s="69"/>
      <c r="J2860" s="69"/>
      <c r="K2860" s="32"/>
      <c r="L2860" s="76">
        <v>2860</v>
      </c>
      <c r="M2860" s="76"/>
      <c r="N2860" s="71"/>
      <c r="O2860" s="87" t="s">
        <v>179</v>
      </c>
      <c r="P2860" s="90">
        <v>45132.73641203704</v>
      </c>
      <c r="Q2860" s="87" t="s">
        <v>4575</v>
      </c>
      <c r="R2860" s="87">
        <v>0</v>
      </c>
      <c r="S2860" s="87">
        <v>0</v>
      </c>
      <c r="T2860" s="87">
        <v>0</v>
      </c>
      <c r="U2860" s="87">
        <v>0</v>
      </c>
      <c r="V2860" s="87">
        <v>6</v>
      </c>
      <c r="W2860" s="93" t="s">
        <v>7440</v>
      </c>
      <c r="X2860" s="92" t="str">
        <f>HYPERLINK("https://blogdohiellevy.com.br/ex-miss-brasil-emplaca-seu-primeiro-projeto-de-lei-como-deputada-na-assembleia-legislativa-incentivo-ao-empreendedorismo-na-terceira-idade/")</f>
        <v>https://blogdohiellevy.com.br/ex-miss-brasil-emplaca-seu-primeiro-projeto-de-lei-como-deputada-na-assembleia-legislativa-incentivo-ao-empreendedorismo-na-terceira-idade/</v>
      </c>
      <c r="Y2860" s="87" t="s">
        <v>8373</v>
      </c>
      <c r="Z2860" s="87"/>
      <c r="AA2860" s="87" t="s">
        <v>10586</v>
      </c>
      <c r="AB2860" s="87" t="s">
        <v>11448</v>
      </c>
      <c r="AC2860" s="93" t="s">
        <v>11457</v>
      </c>
      <c r="AD2860" s="87" t="s">
        <v>11519</v>
      </c>
      <c r="AE2860" s="92" t="str">
        <f>HYPERLINK("https://twitter.com/blogdohiel/status/1683894992215867406")</f>
        <v>https://twitter.com/blogdohiel/status/1683894992215867406</v>
      </c>
      <c r="AF2860" s="90">
        <v>45132.73641203704</v>
      </c>
      <c r="AG2860" s="99">
        <v>45132</v>
      </c>
      <c r="AH2860" s="93" t="s">
        <v>14095</v>
      </c>
      <c r="AI2860" s="87" t="b">
        <v>0</v>
      </c>
      <c r="AJ2860" s="87"/>
      <c r="AK2860" s="87"/>
      <c r="AL2860" s="87"/>
      <c r="AM2860" s="87"/>
      <c r="AN2860" s="87"/>
      <c r="AO2860" s="87"/>
      <c r="AP2860" s="87"/>
      <c r="AQ2860" s="87" t="s">
        <v>17398</v>
      </c>
      <c r="AR2860" s="87"/>
      <c r="AS2860" s="87"/>
      <c r="AT2860" s="87"/>
      <c r="AU2860" s="87"/>
      <c r="AV2860" s="92" t="str">
        <f>HYPERLINK("https://pbs.twimg.com/media/F15lkP6WAAQ0wbl.jpg")</f>
        <v>https://pbs.twimg.com/media/F15lkP6WAAQ0wbl.jpg</v>
      </c>
      <c r="AW2860" s="93" t="s">
        <v>21019</v>
      </c>
      <c r="AX2860" s="93" t="s">
        <v>21019</v>
      </c>
      <c r="AY2860" s="87"/>
      <c r="AZ2860" s="93" t="s">
        <v>22668</v>
      </c>
      <c r="BA2860" s="93" t="s">
        <v>22668</v>
      </c>
      <c r="BB2860" s="93" t="s">
        <v>22668</v>
      </c>
      <c r="BC2860" s="93" t="s">
        <v>21019</v>
      </c>
      <c r="BD2860" s="93" t="s">
        <v>23272</v>
      </c>
      <c r="BE2860" s="87"/>
      <c r="BF2860" s="87"/>
      <c r="BG2860" s="87"/>
      <c r="BH2860" s="87"/>
      <c r="BI2860" s="87"/>
    </row>
    <row r="2861" spans="1:61" x14ac:dyDescent="0.25">
      <c r="A2861" s="63" t="s">
        <v>1065</v>
      </c>
      <c r="B2861" s="63" t="s">
        <v>1065</v>
      </c>
      <c r="C2861" s="64"/>
      <c r="D2861" s="65"/>
      <c r="E2861" s="66"/>
      <c r="F2861" s="67"/>
      <c r="G2861" s="64"/>
      <c r="H2861" s="68"/>
      <c r="I2861" s="69"/>
      <c r="J2861" s="69"/>
      <c r="K2861" s="32"/>
      <c r="L2861" s="76">
        <v>2861</v>
      </c>
      <c r="M2861" s="76"/>
      <c r="N2861" s="71"/>
      <c r="O2861" s="87" t="s">
        <v>179</v>
      </c>
      <c r="P2861" s="90">
        <v>45177.757800925923</v>
      </c>
      <c r="Q2861" s="87" t="s">
        <v>4576</v>
      </c>
      <c r="R2861" s="87">
        <v>0</v>
      </c>
      <c r="S2861" s="87">
        <v>0</v>
      </c>
      <c r="T2861" s="87">
        <v>0</v>
      </c>
      <c r="U2861" s="87">
        <v>0</v>
      </c>
      <c r="V2861" s="87">
        <v>17</v>
      </c>
      <c r="W2861" s="93" t="s">
        <v>7441</v>
      </c>
      <c r="X2861" s="92" t="str">
        <f>HYPERLINK("https://blogdohiellevy.com.br/moradores-da-zona-sul-de-manaus-sao-certificados-em-curso-de-empreendedorismo/")</f>
        <v>https://blogdohiellevy.com.br/moradores-da-zona-sul-de-manaus-sao-certificados-em-curso-de-empreendedorismo/</v>
      </c>
      <c r="Y2861" s="87" t="s">
        <v>8373</v>
      </c>
      <c r="Z2861" s="87"/>
      <c r="AA2861" s="87"/>
      <c r="AB2861" s="87"/>
      <c r="AC2861" s="93" t="s">
        <v>11457</v>
      </c>
      <c r="AD2861" s="87" t="s">
        <v>11519</v>
      </c>
      <c r="AE2861" s="92" t="str">
        <f>HYPERLINK("https://twitter.com/blogdohiel/status/1700210198349017288")</f>
        <v>https://twitter.com/blogdohiel/status/1700210198349017288</v>
      </c>
      <c r="AF2861" s="90">
        <v>45177.757800925923</v>
      </c>
      <c r="AG2861" s="99">
        <v>45177</v>
      </c>
      <c r="AH2861" s="93" t="s">
        <v>14096</v>
      </c>
      <c r="AI2861" s="87" t="b">
        <v>0</v>
      </c>
      <c r="AJ2861" s="87"/>
      <c r="AK2861" s="87"/>
      <c r="AL2861" s="87"/>
      <c r="AM2861" s="87"/>
      <c r="AN2861" s="87"/>
      <c r="AO2861" s="87"/>
      <c r="AP2861" s="87"/>
      <c r="AQ2861" s="87"/>
      <c r="AR2861" s="87"/>
      <c r="AS2861" s="87"/>
      <c r="AT2861" s="87"/>
      <c r="AU2861" s="87"/>
      <c r="AV2861" s="92" t="str">
        <f>HYPERLINK("https://pbs.twimg.com/profile_images/1428428579885486081/0Mg8DapI_normal.jpg")</f>
        <v>https://pbs.twimg.com/profile_images/1428428579885486081/0Mg8DapI_normal.jpg</v>
      </c>
      <c r="AW2861" s="93" t="s">
        <v>21020</v>
      </c>
      <c r="AX2861" s="93" t="s">
        <v>21020</v>
      </c>
      <c r="AY2861" s="87"/>
      <c r="AZ2861" s="93" t="s">
        <v>22668</v>
      </c>
      <c r="BA2861" s="93" t="s">
        <v>22668</v>
      </c>
      <c r="BB2861" s="93" t="s">
        <v>22668</v>
      </c>
      <c r="BC2861" s="93" t="s">
        <v>21020</v>
      </c>
      <c r="BD2861" s="93" t="s">
        <v>23272</v>
      </c>
      <c r="BE2861" s="87"/>
      <c r="BF2861" s="87"/>
      <c r="BG2861" s="87"/>
      <c r="BH2861" s="87"/>
      <c r="BI2861" s="87"/>
    </row>
    <row r="2862" spans="1:61" x14ac:dyDescent="0.25">
      <c r="A2862" s="63" t="s">
        <v>1066</v>
      </c>
      <c r="B2862" s="63" t="s">
        <v>1066</v>
      </c>
      <c r="C2862" s="64"/>
      <c r="D2862" s="65"/>
      <c r="E2862" s="66"/>
      <c r="F2862" s="67"/>
      <c r="G2862" s="64"/>
      <c r="H2862" s="68"/>
      <c r="I2862" s="69"/>
      <c r="J2862" s="69"/>
      <c r="K2862" s="32"/>
      <c r="L2862" s="76">
        <v>2862</v>
      </c>
      <c r="M2862" s="76"/>
      <c r="N2862" s="71"/>
      <c r="O2862" s="87" t="s">
        <v>179</v>
      </c>
      <c r="P2862" s="90">
        <v>45176.211782407408</v>
      </c>
      <c r="Q2862" s="87" t="s">
        <v>4577</v>
      </c>
      <c r="R2862" s="87">
        <v>0</v>
      </c>
      <c r="S2862" s="87">
        <v>1</v>
      </c>
      <c r="T2862" s="87">
        <v>0</v>
      </c>
      <c r="U2862" s="87">
        <v>0</v>
      </c>
      <c r="V2862" s="87">
        <v>51</v>
      </c>
      <c r="W2862" s="93" t="s">
        <v>7442</v>
      </c>
      <c r="X2862" s="87"/>
      <c r="Y2862" s="87"/>
      <c r="Z2862" s="87"/>
      <c r="AA2862" s="87" t="s">
        <v>10587</v>
      </c>
      <c r="AB2862" s="87" t="s">
        <v>11447</v>
      </c>
      <c r="AC2862" s="93" t="s">
        <v>11457</v>
      </c>
      <c r="AD2862" s="87" t="s">
        <v>11519</v>
      </c>
      <c r="AE2862" s="92" t="str">
        <f>HYPERLINK("https://twitter.com/hablasraiam/status/1699649941260382663")</f>
        <v>https://twitter.com/hablasraiam/status/1699649941260382663</v>
      </c>
      <c r="AF2862" s="90">
        <v>45176.211782407408</v>
      </c>
      <c r="AG2862" s="99">
        <v>45176</v>
      </c>
      <c r="AH2862" s="93" t="s">
        <v>14097</v>
      </c>
      <c r="AI2862" s="87" t="b">
        <v>0</v>
      </c>
      <c r="AJ2862" s="87"/>
      <c r="AK2862" s="87"/>
      <c r="AL2862" s="87"/>
      <c r="AM2862" s="87"/>
      <c r="AN2862" s="87"/>
      <c r="AO2862" s="87"/>
      <c r="AP2862" s="87"/>
      <c r="AQ2862" s="87" t="s">
        <v>17399</v>
      </c>
      <c r="AR2862" s="87">
        <v>41470</v>
      </c>
      <c r="AS2862" s="87"/>
      <c r="AT2862" s="87"/>
      <c r="AU2862" s="87"/>
      <c r="AV2862" s="92" t="str">
        <f>HYPERLINK("https://pbs.twimg.com/ext_tw_video_thumb/1699649514150285312/pu/img/VqBoU2yRjlGryFLO.jpg")</f>
        <v>https://pbs.twimg.com/ext_tw_video_thumb/1699649514150285312/pu/img/VqBoU2yRjlGryFLO.jpg</v>
      </c>
      <c r="AW2862" s="93" t="s">
        <v>21021</v>
      </c>
      <c r="AX2862" s="93" t="s">
        <v>21021</v>
      </c>
      <c r="AY2862" s="87"/>
      <c r="AZ2862" s="93" t="s">
        <v>22668</v>
      </c>
      <c r="BA2862" s="93" t="s">
        <v>22668</v>
      </c>
      <c r="BB2862" s="93" t="s">
        <v>22668</v>
      </c>
      <c r="BC2862" s="93" t="s">
        <v>21021</v>
      </c>
      <c r="BD2862" s="93" t="s">
        <v>23273</v>
      </c>
      <c r="BE2862" s="87"/>
      <c r="BF2862" s="87"/>
      <c r="BG2862" s="87"/>
      <c r="BH2862" s="87"/>
      <c r="BI2862" s="87"/>
    </row>
    <row r="2863" spans="1:61" x14ac:dyDescent="0.25">
      <c r="A2863" s="63" t="s">
        <v>1066</v>
      </c>
      <c r="B2863" s="63" t="s">
        <v>1066</v>
      </c>
      <c r="C2863" s="64"/>
      <c r="D2863" s="65"/>
      <c r="E2863" s="66"/>
      <c r="F2863" s="67"/>
      <c r="G2863" s="64"/>
      <c r="H2863" s="68"/>
      <c r="I2863" s="69"/>
      <c r="J2863" s="69"/>
      <c r="K2863" s="32"/>
      <c r="L2863" s="76">
        <v>2863</v>
      </c>
      <c r="M2863" s="76"/>
      <c r="N2863" s="71"/>
      <c r="O2863" s="87" t="s">
        <v>179</v>
      </c>
      <c r="P2863" s="90">
        <v>45176.177581018521</v>
      </c>
      <c r="Q2863" s="87" t="s">
        <v>4578</v>
      </c>
      <c r="R2863" s="87">
        <v>0</v>
      </c>
      <c r="S2863" s="87">
        <v>1</v>
      </c>
      <c r="T2863" s="87">
        <v>0</v>
      </c>
      <c r="U2863" s="87">
        <v>0</v>
      </c>
      <c r="V2863" s="87">
        <v>57</v>
      </c>
      <c r="W2863" s="93" t="s">
        <v>7443</v>
      </c>
      <c r="X2863" s="87"/>
      <c r="Y2863" s="87"/>
      <c r="Z2863" s="87"/>
      <c r="AA2863" s="87" t="s">
        <v>10588</v>
      </c>
      <c r="AB2863" s="87" t="s">
        <v>11447</v>
      </c>
      <c r="AC2863" s="93" t="s">
        <v>11457</v>
      </c>
      <c r="AD2863" s="87" t="s">
        <v>11519</v>
      </c>
      <c r="AE2863" s="92" t="str">
        <f>HYPERLINK("https://twitter.com/hablasraiam/status/1699637544969789527")</f>
        <v>https://twitter.com/hablasraiam/status/1699637544969789527</v>
      </c>
      <c r="AF2863" s="90">
        <v>45176.177581018521</v>
      </c>
      <c r="AG2863" s="99">
        <v>45176</v>
      </c>
      <c r="AH2863" s="93" t="s">
        <v>14098</v>
      </c>
      <c r="AI2863" s="87" t="b">
        <v>0</v>
      </c>
      <c r="AJ2863" s="87"/>
      <c r="AK2863" s="87"/>
      <c r="AL2863" s="87"/>
      <c r="AM2863" s="87"/>
      <c r="AN2863" s="87"/>
      <c r="AO2863" s="87"/>
      <c r="AP2863" s="87"/>
      <c r="AQ2863" s="87" t="s">
        <v>17400</v>
      </c>
      <c r="AR2863" s="87">
        <v>49133</v>
      </c>
      <c r="AS2863" s="87"/>
      <c r="AT2863" s="87"/>
      <c r="AU2863" s="87"/>
      <c r="AV2863" s="92" t="str">
        <f>HYPERLINK("https://pbs.twimg.com/ext_tw_video_thumb/1699636969314123776/pu/img/MbSEclUmsl_6Op3F.jpg")</f>
        <v>https://pbs.twimg.com/ext_tw_video_thumb/1699636969314123776/pu/img/MbSEclUmsl_6Op3F.jpg</v>
      </c>
      <c r="AW2863" s="93" t="s">
        <v>21022</v>
      </c>
      <c r="AX2863" s="93" t="s">
        <v>21022</v>
      </c>
      <c r="AY2863" s="87"/>
      <c r="AZ2863" s="93" t="s">
        <v>22668</v>
      </c>
      <c r="BA2863" s="93" t="s">
        <v>22668</v>
      </c>
      <c r="BB2863" s="93" t="s">
        <v>22668</v>
      </c>
      <c r="BC2863" s="93" t="s">
        <v>21022</v>
      </c>
      <c r="BD2863" s="93" t="s">
        <v>23273</v>
      </c>
      <c r="BE2863" s="87"/>
      <c r="BF2863" s="87"/>
      <c r="BG2863" s="87"/>
      <c r="BH2863" s="87"/>
      <c r="BI2863" s="87"/>
    </row>
    <row r="2864" spans="1:61" x14ac:dyDescent="0.25">
      <c r="A2864" s="63" t="s">
        <v>865</v>
      </c>
      <c r="B2864" s="63" t="s">
        <v>1436</v>
      </c>
      <c r="C2864" s="64"/>
      <c r="D2864" s="65"/>
      <c r="E2864" s="66"/>
      <c r="F2864" s="67"/>
      <c r="G2864" s="64"/>
      <c r="H2864" s="68"/>
      <c r="I2864" s="69"/>
      <c r="J2864" s="69"/>
      <c r="K2864" s="32"/>
      <c r="L2864" s="76">
        <v>2864</v>
      </c>
      <c r="M2864" s="76"/>
      <c r="N2864" s="71"/>
      <c r="O2864" s="87" t="s">
        <v>1839</v>
      </c>
      <c r="P2864" s="90">
        <v>45167.889525462961</v>
      </c>
      <c r="Q2864" s="87" t="s">
        <v>4579</v>
      </c>
      <c r="R2864" s="87">
        <v>0</v>
      </c>
      <c r="S2864" s="87">
        <v>7</v>
      </c>
      <c r="T2864" s="87">
        <v>0</v>
      </c>
      <c r="U2864" s="87">
        <v>1</v>
      </c>
      <c r="V2864" s="87">
        <v>1695</v>
      </c>
      <c r="W2864" s="93" t="s">
        <v>7444</v>
      </c>
      <c r="X2864" s="92" t="str">
        <f>HYPERLINK("http://bit.ly/DesafioZO")</f>
        <v>http://bit.ly/DesafioZO</v>
      </c>
      <c r="Y2864" s="87" t="s">
        <v>8374</v>
      </c>
      <c r="Z2864" s="87" t="s">
        <v>1436</v>
      </c>
      <c r="AA2864" s="87" t="s">
        <v>10589</v>
      </c>
      <c r="AB2864" s="87" t="s">
        <v>11448</v>
      </c>
      <c r="AC2864" s="93" t="s">
        <v>11457</v>
      </c>
      <c r="AD2864" s="87" t="s">
        <v>11519</v>
      </c>
      <c r="AE2864" s="92" t="str">
        <f>HYPERLINK("https://twitter.com/uerj_oficial/status/1696634054735536574")</f>
        <v>https://twitter.com/uerj_oficial/status/1696634054735536574</v>
      </c>
      <c r="AF2864" s="90">
        <v>45167.889525462961</v>
      </c>
      <c r="AG2864" s="99">
        <v>45167</v>
      </c>
      <c r="AH2864" s="93" t="s">
        <v>14099</v>
      </c>
      <c r="AI2864" s="87" t="b">
        <v>0</v>
      </c>
      <c r="AJ2864" s="87"/>
      <c r="AK2864" s="87"/>
      <c r="AL2864" s="87"/>
      <c r="AM2864" s="87"/>
      <c r="AN2864" s="87"/>
      <c r="AO2864" s="87"/>
      <c r="AP2864" s="87"/>
      <c r="AQ2864" s="87" t="s">
        <v>17401</v>
      </c>
      <c r="AR2864" s="87"/>
      <c r="AS2864" s="87"/>
      <c r="AT2864" s="87"/>
      <c r="AU2864" s="87"/>
      <c r="AV2864" s="92" t="str">
        <f>HYPERLINK("https://pbs.twimg.com/media/F4unoFfWsAAgHqs.jpg")</f>
        <v>https://pbs.twimg.com/media/F4unoFfWsAAgHqs.jpg</v>
      </c>
      <c r="AW2864" s="93" t="s">
        <v>21023</v>
      </c>
      <c r="AX2864" s="93" t="s">
        <v>21023</v>
      </c>
      <c r="AY2864" s="87"/>
      <c r="AZ2864" s="93" t="s">
        <v>22668</v>
      </c>
      <c r="BA2864" s="93" t="s">
        <v>22668</v>
      </c>
      <c r="BB2864" s="93" t="s">
        <v>22668</v>
      </c>
      <c r="BC2864" s="93" t="s">
        <v>21023</v>
      </c>
      <c r="BD2864" s="87">
        <v>260361481</v>
      </c>
      <c r="BE2864" s="87"/>
      <c r="BF2864" s="87"/>
      <c r="BG2864" s="87"/>
      <c r="BH2864" s="87"/>
      <c r="BI2864" s="87"/>
    </row>
    <row r="2865" spans="1:61" x14ac:dyDescent="0.25">
      <c r="A2865" s="63" t="s">
        <v>865</v>
      </c>
      <c r="B2865" s="63" t="s">
        <v>1436</v>
      </c>
      <c r="C2865" s="64"/>
      <c r="D2865" s="65"/>
      <c r="E2865" s="66"/>
      <c r="F2865" s="67"/>
      <c r="G2865" s="64"/>
      <c r="H2865" s="68"/>
      <c r="I2865" s="69"/>
      <c r="J2865" s="69"/>
      <c r="K2865" s="32"/>
      <c r="L2865" s="76">
        <v>2865</v>
      </c>
      <c r="M2865" s="76"/>
      <c r="N2865" s="71"/>
      <c r="O2865" s="87" t="s">
        <v>1839</v>
      </c>
      <c r="P2865" s="90">
        <v>45164.710451388892</v>
      </c>
      <c r="Q2865" s="87" t="s">
        <v>3677</v>
      </c>
      <c r="R2865" s="87">
        <v>0</v>
      </c>
      <c r="S2865" s="87">
        <v>10</v>
      </c>
      <c r="T2865" s="87">
        <v>0</v>
      </c>
      <c r="U2865" s="87">
        <v>1</v>
      </c>
      <c r="V2865" s="87">
        <v>1603</v>
      </c>
      <c r="W2865" s="87"/>
      <c r="X2865" s="92" t="str">
        <f>HYPERLINK("https://www.programacentelha.com.br/")</f>
        <v>https://www.programacentelha.com.br/</v>
      </c>
      <c r="Y2865" s="87" t="s">
        <v>8373</v>
      </c>
      <c r="Z2865" s="87" t="s">
        <v>8585</v>
      </c>
      <c r="AA2865" s="87" t="s">
        <v>9839</v>
      </c>
      <c r="AB2865" s="87" t="s">
        <v>11448</v>
      </c>
      <c r="AC2865" s="93" t="s">
        <v>11462</v>
      </c>
      <c r="AD2865" s="87" t="s">
        <v>11519</v>
      </c>
      <c r="AE2865" s="92" t="str">
        <f>HYPERLINK("https://twitter.com/uerj_oficial/status/1695481996141613324")</f>
        <v>https://twitter.com/uerj_oficial/status/1695481996141613324</v>
      </c>
      <c r="AF2865" s="90">
        <v>45164.710451388892</v>
      </c>
      <c r="AG2865" s="99">
        <v>45164</v>
      </c>
      <c r="AH2865" s="93" t="s">
        <v>13258</v>
      </c>
      <c r="AI2865" s="87" t="b">
        <v>0</v>
      </c>
      <c r="AJ2865" s="87"/>
      <c r="AK2865" s="87"/>
      <c r="AL2865" s="87"/>
      <c r="AM2865" s="87"/>
      <c r="AN2865" s="87"/>
      <c r="AO2865" s="87"/>
      <c r="AP2865" s="87"/>
      <c r="AQ2865" s="87" t="s">
        <v>16652</v>
      </c>
      <c r="AR2865" s="87"/>
      <c r="AS2865" s="87"/>
      <c r="AT2865" s="87"/>
      <c r="AU2865" s="87"/>
      <c r="AV2865" s="92" t="str">
        <f>HYPERLINK("https://pbs.twimg.com/media/F4eP5BuXYAAn36s.jpg")</f>
        <v>https://pbs.twimg.com/media/F4eP5BuXYAAn36s.jpg</v>
      </c>
      <c r="AW2865" s="93" t="s">
        <v>20115</v>
      </c>
      <c r="AX2865" s="93" t="s">
        <v>20115</v>
      </c>
      <c r="AY2865" s="87"/>
      <c r="AZ2865" s="93" t="s">
        <v>22668</v>
      </c>
      <c r="BA2865" s="93" t="s">
        <v>22668</v>
      </c>
      <c r="BB2865" s="93" t="s">
        <v>22668</v>
      </c>
      <c r="BC2865" s="93" t="s">
        <v>20115</v>
      </c>
      <c r="BD2865" s="87">
        <v>260361481</v>
      </c>
      <c r="BE2865" s="87"/>
      <c r="BF2865" s="87"/>
      <c r="BG2865" s="87"/>
      <c r="BH2865" s="87"/>
      <c r="BI2865" s="87"/>
    </row>
    <row r="2866" spans="1:61" x14ac:dyDescent="0.25">
      <c r="A2866" s="63" t="s">
        <v>865</v>
      </c>
      <c r="B2866" s="63" t="s">
        <v>1435</v>
      </c>
      <c r="C2866" s="64"/>
      <c r="D2866" s="65"/>
      <c r="E2866" s="66"/>
      <c r="F2866" s="67"/>
      <c r="G2866" s="64"/>
      <c r="H2866" s="68"/>
      <c r="I2866" s="69"/>
      <c r="J2866" s="69"/>
      <c r="K2866" s="32"/>
      <c r="L2866" s="76">
        <v>2866</v>
      </c>
      <c r="M2866" s="76"/>
      <c r="N2866" s="71"/>
      <c r="O2866" s="87" t="s">
        <v>1839</v>
      </c>
      <c r="P2866" s="90">
        <v>45164.710451388892</v>
      </c>
      <c r="Q2866" s="87" t="s">
        <v>3677</v>
      </c>
      <c r="R2866" s="87">
        <v>0</v>
      </c>
      <c r="S2866" s="87">
        <v>10</v>
      </c>
      <c r="T2866" s="87">
        <v>0</v>
      </c>
      <c r="U2866" s="87">
        <v>1</v>
      </c>
      <c r="V2866" s="87">
        <v>1603</v>
      </c>
      <c r="W2866" s="87"/>
      <c r="X2866" s="92" t="str">
        <f>HYPERLINK("https://www.programacentelha.com.br/")</f>
        <v>https://www.programacentelha.com.br/</v>
      </c>
      <c r="Y2866" s="87" t="s">
        <v>8373</v>
      </c>
      <c r="Z2866" s="87" t="s">
        <v>8585</v>
      </c>
      <c r="AA2866" s="87" t="s">
        <v>9839</v>
      </c>
      <c r="AB2866" s="87" t="s">
        <v>11448</v>
      </c>
      <c r="AC2866" s="93" t="s">
        <v>11462</v>
      </c>
      <c r="AD2866" s="87" t="s">
        <v>11519</v>
      </c>
      <c r="AE2866" s="92" t="str">
        <f>HYPERLINK("https://twitter.com/uerj_oficial/status/1695481996141613324")</f>
        <v>https://twitter.com/uerj_oficial/status/1695481996141613324</v>
      </c>
      <c r="AF2866" s="90">
        <v>45164.710451388892</v>
      </c>
      <c r="AG2866" s="99">
        <v>45164</v>
      </c>
      <c r="AH2866" s="93" t="s">
        <v>13258</v>
      </c>
      <c r="AI2866" s="87" t="b">
        <v>0</v>
      </c>
      <c r="AJ2866" s="87"/>
      <c r="AK2866" s="87"/>
      <c r="AL2866" s="87"/>
      <c r="AM2866" s="87"/>
      <c r="AN2866" s="87"/>
      <c r="AO2866" s="87"/>
      <c r="AP2866" s="87"/>
      <c r="AQ2866" s="87" t="s">
        <v>16652</v>
      </c>
      <c r="AR2866" s="87"/>
      <c r="AS2866" s="87"/>
      <c r="AT2866" s="87"/>
      <c r="AU2866" s="87"/>
      <c r="AV2866" s="92" t="str">
        <f>HYPERLINK("https://pbs.twimg.com/media/F4eP5BuXYAAn36s.jpg")</f>
        <v>https://pbs.twimg.com/media/F4eP5BuXYAAn36s.jpg</v>
      </c>
      <c r="AW2866" s="93" t="s">
        <v>20115</v>
      </c>
      <c r="AX2866" s="93" t="s">
        <v>20115</v>
      </c>
      <c r="AY2866" s="87"/>
      <c r="AZ2866" s="93" t="s">
        <v>22668</v>
      </c>
      <c r="BA2866" s="93" t="s">
        <v>22668</v>
      </c>
      <c r="BB2866" s="93" t="s">
        <v>22668</v>
      </c>
      <c r="BC2866" s="93" t="s">
        <v>20115</v>
      </c>
      <c r="BD2866" s="87">
        <v>260361481</v>
      </c>
      <c r="BE2866" s="87"/>
      <c r="BF2866" s="87"/>
      <c r="BG2866" s="87"/>
      <c r="BH2866" s="87"/>
      <c r="BI2866" s="87"/>
    </row>
    <row r="2867" spans="1:61" x14ac:dyDescent="0.25">
      <c r="A2867" s="63" t="s">
        <v>865</v>
      </c>
      <c r="B2867" s="63" t="s">
        <v>1753</v>
      </c>
      <c r="C2867" s="64"/>
      <c r="D2867" s="65"/>
      <c r="E2867" s="66"/>
      <c r="F2867" s="67"/>
      <c r="G2867" s="64"/>
      <c r="H2867" s="68"/>
      <c r="I2867" s="69"/>
      <c r="J2867" s="69"/>
      <c r="K2867" s="32"/>
      <c r="L2867" s="76">
        <v>2867</v>
      </c>
      <c r="M2867" s="76"/>
      <c r="N2867" s="71"/>
      <c r="O2867" s="87" t="s">
        <v>1839</v>
      </c>
      <c r="P2867" s="90">
        <v>45164.710451388892</v>
      </c>
      <c r="Q2867" s="87" t="s">
        <v>3677</v>
      </c>
      <c r="R2867" s="87">
        <v>0</v>
      </c>
      <c r="S2867" s="87">
        <v>10</v>
      </c>
      <c r="T2867" s="87">
        <v>0</v>
      </c>
      <c r="U2867" s="87">
        <v>1</v>
      </c>
      <c r="V2867" s="87">
        <v>1603</v>
      </c>
      <c r="W2867" s="87"/>
      <c r="X2867" s="92" t="str">
        <f>HYPERLINK("https://www.programacentelha.com.br/")</f>
        <v>https://www.programacentelha.com.br/</v>
      </c>
      <c r="Y2867" s="87" t="s">
        <v>8373</v>
      </c>
      <c r="Z2867" s="87" t="s">
        <v>8585</v>
      </c>
      <c r="AA2867" s="87" t="s">
        <v>9839</v>
      </c>
      <c r="AB2867" s="87" t="s">
        <v>11448</v>
      </c>
      <c r="AC2867" s="93" t="s">
        <v>11462</v>
      </c>
      <c r="AD2867" s="87" t="s">
        <v>11519</v>
      </c>
      <c r="AE2867" s="92" t="str">
        <f>HYPERLINK("https://twitter.com/uerj_oficial/status/1695481996141613324")</f>
        <v>https://twitter.com/uerj_oficial/status/1695481996141613324</v>
      </c>
      <c r="AF2867" s="90">
        <v>45164.710451388892</v>
      </c>
      <c r="AG2867" s="99">
        <v>45164</v>
      </c>
      <c r="AH2867" s="93" t="s">
        <v>13258</v>
      </c>
      <c r="AI2867" s="87" t="b">
        <v>0</v>
      </c>
      <c r="AJ2867" s="87"/>
      <c r="AK2867" s="87"/>
      <c r="AL2867" s="87"/>
      <c r="AM2867" s="87"/>
      <c r="AN2867" s="87"/>
      <c r="AO2867" s="87"/>
      <c r="AP2867" s="87"/>
      <c r="AQ2867" s="87" t="s">
        <v>16652</v>
      </c>
      <c r="AR2867" s="87"/>
      <c r="AS2867" s="87"/>
      <c r="AT2867" s="87"/>
      <c r="AU2867" s="87"/>
      <c r="AV2867" s="92" t="str">
        <f>HYPERLINK("https://pbs.twimg.com/media/F4eP5BuXYAAn36s.jpg")</f>
        <v>https://pbs.twimg.com/media/F4eP5BuXYAAn36s.jpg</v>
      </c>
      <c r="AW2867" s="93" t="s">
        <v>20115</v>
      </c>
      <c r="AX2867" s="93" t="s">
        <v>20115</v>
      </c>
      <c r="AY2867" s="87"/>
      <c r="AZ2867" s="93" t="s">
        <v>22668</v>
      </c>
      <c r="BA2867" s="93" t="s">
        <v>22668</v>
      </c>
      <c r="BB2867" s="93" t="s">
        <v>22668</v>
      </c>
      <c r="BC2867" s="93" t="s">
        <v>20115</v>
      </c>
      <c r="BD2867" s="87">
        <v>260361481</v>
      </c>
      <c r="BE2867" s="87"/>
      <c r="BF2867" s="87"/>
      <c r="BG2867" s="87"/>
      <c r="BH2867" s="87"/>
      <c r="BI2867" s="87"/>
    </row>
    <row r="2868" spans="1:61" x14ac:dyDescent="0.25">
      <c r="A2868" s="63" t="s">
        <v>1067</v>
      </c>
      <c r="B2868" s="63" t="s">
        <v>865</v>
      </c>
      <c r="C2868" s="64"/>
      <c r="D2868" s="65"/>
      <c r="E2868" s="66"/>
      <c r="F2868" s="67"/>
      <c r="G2868" s="64"/>
      <c r="H2868" s="68"/>
      <c r="I2868" s="69"/>
      <c r="J2868" s="69"/>
      <c r="K2868" s="32"/>
      <c r="L2868" s="76">
        <v>2868</v>
      </c>
      <c r="M2868" s="76"/>
      <c r="N2868" s="71"/>
      <c r="O2868" s="87" t="s">
        <v>1842</v>
      </c>
      <c r="P2868" s="90">
        <v>45168.063634259262</v>
      </c>
      <c r="Q2868" s="87" t="s">
        <v>4580</v>
      </c>
      <c r="R2868" s="87">
        <v>0</v>
      </c>
      <c r="S2868" s="87">
        <v>2</v>
      </c>
      <c r="T2868" s="87">
        <v>0</v>
      </c>
      <c r="U2868" s="87">
        <v>0</v>
      </c>
      <c r="V2868" s="87">
        <v>148</v>
      </c>
      <c r="W2868" s="93" t="s">
        <v>7445</v>
      </c>
      <c r="X2868" s="87"/>
      <c r="Y2868" s="87"/>
      <c r="Z2868" s="87"/>
      <c r="AA2868" s="87"/>
      <c r="AB2868" s="87"/>
      <c r="AC2868" s="93" t="s">
        <v>11457</v>
      </c>
      <c r="AD2868" s="87" t="s">
        <v>11519</v>
      </c>
      <c r="AE2868" s="92" t="str">
        <f>HYPERLINK("https://twitter.com/rodrigobru25208/status/1696697149373735350")</f>
        <v>https://twitter.com/rodrigobru25208/status/1696697149373735350</v>
      </c>
      <c r="AF2868" s="90">
        <v>45168.063634259262</v>
      </c>
      <c r="AG2868" s="99">
        <v>45168</v>
      </c>
      <c r="AH2868" s="93" t="s">
        <v>14100</v>
      </c>
      <c r="AI2868" s="87"/>
      <c r="AJ2868" s="87"/>
      <c r="AK2868" s="87"/>
      <c r="AL2868" s="87"/>
      <c r="AM2868" s="87"/>
      <c r="AN2868" s="87"/>
      <c r="AO2868" s="87"/>
      <c r="AP2868" s="87"/>
      <c r="AQ2868" s="87"/>
      <c r="AR2868" s="87"/>
      <c r="AS2868" s="87"/>
      <c r="AT2868" s="87"/>
      <c r="AU2868" s="87"/>
      <c r="AV2868" s="92" t="str">
        <f>HYPERLINK("https://pbs.twimg.com/profile_images/1660702258814697482/PvGgyaq8_normal.jpg")</f>
        <v>https://pbs.twimg.com/profile_images/1660702258814697482/PvGgyaq8_normal.jpg</v>
      </c>
      <c r="AW2868" s="93" t="s">
        <v>21024</v>
      </c>
      <c r="AX2868" s="93" t="s">
        <v>21024</v>
      </c>
      <c r="AY2868" s="87"/>
      <c r="AZ2868" s="93" t="s">
        <v>22668</v>
      </c>
      <c r="BA2868" s="93" t="s">
        <v>21023</v>
      </c>
      <c r="BB2868" s="93" t="s">
        <v>22668</v>
      </c>
      <c r="BC2868" s="93" t="s">
        <v>21023</v>
      </c>
      <c r="BD2868" s="93" t="s">
        <v>23274</v>
      </c>
      <c r="BE2868" s="87"/>
      <c r="BF2868" s="87"/>
      <c r="BG2868" s="87"/>
      <c r="BH2868" s="87"/>
      <c r="BI2868" s="87"/>
    </row>
    <row r="2869" spans="1:61" x14ac:dyDescent="0.25">
      <c r="A2869" s="63" t="s">
        <v>1068</v>
      </c>
      <c r="B2869" s="63" t="s">
        <v>1068</v>
      </c>
      <c r="C2869" s="64"/>
      <c r="D2869" s="65"/>
      <c r="E2869" s="66"/>
      <c r="F2869" s="67"/>
      <c r="G2869" s="64"/>
      <c r="H2869" s="68"/>
      <c r="I2869" s="69"/>
      <c r="J2869" s="69"/>
      <c r="K2869" s="32"/>
      <c r="L2869" s="76">
        <v>2869</v>
      </c>
      <c r="M2869" s="76"/>
      <c r="N2869" s="71"/>
      <c r="O2869" s="87" t="s">
        <v>1840</v>
      </c>
      <c r="P2869" s="90">
        <v>45153.041168981479</v>
      </c>
      <c r="Q2869" s="87" t="s">
        <v>4581</v>
      </c>
      <c r="R2869" s="87">
        <v>2</v>
      </c>
      <c r="S2869" s="87">
        <v>0</v>
      </c>
      <c r="T2869" s="87">
        <v>0</v>
      </c>
      <c r="U2869" s="87">
        <v>0</v>
      </c>
      <c r="V2869" s="87">
        <v>220</v>
      </c>
      <c r="W2869" s="93" t="s">
        <v>7446</v>
      </c>
      <c r="X2869" s="87"/>
      <c r="Y2869" s="87"/>
      <c r="Z2869" s="87"/>
      <c r="AA2869" s="87" t="s">
        <v>10590</v>
      </c>
      <c r="AB2869" s="87" t="s">
        <v>11451</v>
      </c>
      <c r="AC2869" s="93" t="s">
        <v>11458</v>
      </c>
      <c r="AD2869" s="87" t="s">
        <v>11519</v>
      </c>
      <c r="AE2869" s="92" t="str">
        <f>HYPERLINK("https://twitter.com/governodoamapa/status/1691253189788483584")</f>
        <v>https://twitter.com/governodoamapa/status/1691253189788483584</v>
      </c>
      <c r="AF2869" s="90">
        <v>45153.041168981479</v>
      </c>
      <c r="AG2869" s="99">
        <v>45153</v>
      </c>
      <c r="AH2869" s="93" t="s">
        <v>14101</v>
      </c>
      <c r="AI2869" s="87" t="b">
        <v>0</v>
      </c>
      <c r="AJ2869" s="87"/>
      <c r="AK2869" s="87"/>
      <c r="AL2869" s="87"/>
      <c r="AM2869" s="87"/>
      <c r="AN2869" s="87"/>
      <c r="AO2869" s="87"/>
      <c r="AP2869" s="87"/>
      <c r="AQ2869" s="87" t="s">
        <v>17402</v>
      </c>
      <c r="AR2869" s="87"/>
      <c r="AS2869" s="87"/>
      <c r="AT2869" s="87"/>
      <c r="AU2869" s="87"/>
      <c r="AV2869" s="92" t="str">
        <f>HYPERLINK("https://pbs.twimg.com/media/F3iJz8SX0AIk47R.jpg")</f>
        <v>https://pbs.twimg.com/media/F3iJz8SX0AIk47R.jpg</v>
      </c>
      <c r="AW2869" s="93" t="s">
        <v>21025</v>
      </c>
      <c r="AX2869" s="93" t="s">
        <v>22437</v>
      </c>
      <c r="AY2869" s="93" t="s">
        <v>22609</v>
      </c>
      <c r="AZ2869" s="93" t="s">
        <v>22437</v>
      </c>
      <c r="BA2869" s="93" t="s">
        <v>22668</v>
      </c>
      <c r="BB2869" s="93" t="s">
        <v>22668</v>
      </c>
      <c r="BC2869" s="93" t="s">
        <v>22437</v>
      </c>
      <c r="BD2869" s="87">
        <v>139840905</v>
      </c>
      <c r="BE2869" s="87"/>
      <c r="BF2869" s="87"/>
      <c r="BG2869" s="87"/>
      <c r="BH2869" s="87"/>
      <c r="BI2869" s="87"/>
    </row>
    <row r="2870" spans="1:61" x14ac:dyDescent="0.25">
      <c r="A2870" s="63" t="s">
        <v>1068</v>
      </c>
      <c r="B2870" s="63" t="s">
        <v>1068</v>
      </c>
      <c r="C2870" s="64"/>
      <c r="D2870" s="65"/>
      <c r="E2870" s="66"/>
      <c r="F2870" s="67"/>
      <c r="G2870" s="64"/>
      <c r="H2870" s="68"/>
      <c r="I2870" s="69"/>
      <c r="J2870" s="69"/>
      <c r="K2870" s="32"/>
      <c r="L2870" s="76">
        <v>2870</v>
      </c>
      <c r="M2870" s="76"/>
      <c r="N2870" s="71"/>
      <c r="O2870" s="87" t="s">
        <v>1840</v>
      </c>
      <c r="P2870" s="90">
        <v>45169.88689814815</v>
      </c>
      <c r="Q2870" s="87" t="s">
        <v>4582</v>
      </c>
      <c r="R2870" s="87">
        <v>1</v>
      </c>
      <c r="S2870" s="87">
        <v>0</v>
      </c>
      <c r="T2870" s="87">
        <v>0</v>
      </c>
      <c r="U2870" s="87">
        <v>0</v>
      </c>
      <c r="V2870" s="87">
        <v>103</v>
      </c>
      <c r="W2870" s="93" t="s">
        <v>7447</v>
      </c>
      <c r="X2870" s="87"/>
      <c r="Y2870" s="87"/>
      <c r="Z2870" s="87"/>
      <c r="AA2870" s="87" t="s">
        <v>10591</v>
      </c>
      <c r="AB2870" s="87" t="s">
        <v>11450</v>
      </c>
      <c r="AC2870" s="93" t="s">
        <v>11458</v>
      </c>
      <c r="AD2870" s="87" t="s">
        <v>11519</v>
      </c>
      <c r="AE2870" s="92" t="str">
        <f>HYPERLINK("https://twitter.com/governodoamapa/status/1697357881455137006")</f>
        <v>https://twitter.com/governodoamapa/status/1697357881455137006</v>
      </c>
      <c r="AF2870" s="90">
        <v>45169.88689814815</v>
      </c>
      <c r="AG2870" s="99">
        <v>45169</v>
      </c>
      <c r="AH2870" s="93" t="s">
        <v>14102</v>
      </c>
      <c r="AI2870" s="87" t="b">
        <v>0</v>
      </c>
      <c r="AJ2870" s="87"/>
      <c r="AK2870" s="87"/>
      <c r="AL2870" s="87"/>
      <c r="AM2870" s="87"/>
      <c r="AN2870" s="87"/>
      <c r="AO2870" s="87"/>
      <c r="AP2870" s="87"/>
      <c r="AQ2870" s="87" t="s">
        <v>17403</v>
      </c>
      <c r="AR2870" s="87"/>
      <c r="AS2870" s="87"/>
      <c r="AT2870" s="87"/>
      <c r="AU2870" s="87"/>
      <c r="AV2870" s="92" t="str">
        <f>HYPERLINK("https://pbs.twimg.com/media/F445_sMX0AAS804.jpg")</f>
        <v>https://pbs.twimg.com/media/F445_sMX0AAS804.jpg</v>
      </c>
      <c r="AW2870" s="93" t="s">
        <v>21026</v>
      </c>
      <c r="AX2870" s="93" t="s">
        <v>22438</v>
      </c>
      <c r="AY2870" s="93" t="s">
        <v>22609</v>
      </c>
      <c r="AZ2870" s="93" t="s">
        <v>22438</v>
      </c>
      <c r="BA2870" s="93" t="s">
        <v>22668</v>
      </c>
      <c r="BB2870" s="93" t="s">
        <v>22668</v>
      </c>
      <c r="BC2870" s="93" t="s">
        <v>22438</v>
      </c>
      <c r="BD2870" s="87">
        <v>139840905</v>
      </c>
      <c r="BE2870" s="87"/>
      <c r="BF2870" s="87"/>
      <c r="BG2870" s="87"/>
      <c r="BH2870" s="87"/>
      <c r="BI2870" s="87"/>
    </row>
    <row r="2871" spans="1:61" x14ac:dyDescent="0.25">
      <c r="A2871" s="63" t="s">
        <v>1069</v>
      </c>
      <c r="B2871" s="63" t="s">
        <v>1069</v>
      </c>
      <c r="C2871" s="64"/>
      <c r="D2871" s="65"/>
      <c r="E2871" s="66"/>
      <c r="F2871" s="67"/>
      <c r="G2871" s="64"/>
      <c r="H2871" s="68"/>
      <c r="I2871" s="69"/>
      <c r="J2871" s="69"/>
      <c r="K2871" s="32"/>
      <c r="L2871" s="76">
        <v>2871</v>
      </c>
      <c r="M2871" s="76"/>
      <c r="N2871" s="71"/>
      <c r="O2871" s="87" t="s">
        <v>179</v>
      </c>
      <c r="P2871" s="90">
        <v>45139.805196759262</v>
      </c>
      <c r="Q2871" s="87" t="s">
        <v>4583</v>
      </c>
      <c r="R2871" s="87">
        <v>0</v>
      </c>
      <c r="S2871" s="87">
        <v>0</v>
      </c>
      <c r="T2871" s="87">
        <v>0</v>
      </c>
      <c r="U2871" s="87">
        <v>0</v>
      </c>
      <c r="V2871" s="87">
        <v>50</v>
      </c>
      <c r="W2871" s="93" t="s">
        <v>7448</v>
      </c>
      <c r="X2871" s="87"/>
      <c r="Y2871" s="87"/>
      <c r="Z2871" s="87"/>
      <c r="AA2871" s="87" t="s">
        <v>10592</v>
      </c>
      <c r="AB2871" s="87" t="s">
        <v>11448</v>
      </c>
      <c r="AC2871" s="93" t="s">
        <v>11457</v>
      </c>
      <c r="AD2871" s="87" t="s">
        <v>11519</v>
      </c>
      <c r="AE2871" s="92" t="str">
        <f>HYPERLINK("https://twitter.com/eloconsultoria_/status/1686456637840572438")</f>
        <v>https://twitter.com/eloconsultoria_/status/1686456637840572438</v>
      </c>
      <c r="AF2871" s="90">
        <v>45139.805196759262</v>
      </c>
      <c r="AG2871" s="99">
        <v>45139</v>
      </c>
      <c r="AH2871" s="93" t="s">
        <v>14103</v>
      </c>
      <c r="AI2871" s="87" t="b">
        <v>0</v>
      </c>
      <c r="AJ2871" s="87"/>
      <c r="AK2871" s="87"/>
      <c r="AL2871" s="87"/>
      <c r="AM2871" s="87"/>
      <c r="AN2871" s="87"/>
      <c r="AO2871" s="87"/>
      <c r="AP2871" s="87"/>
      <c r="AQ2871" s="87" t="s">
        <v>17404</v>
      </c>
      <c r="AR2871" s="87"/>
      <c r="AS2871" s="87"/>
      <c r="AT2871" s="87"/>
      <c r="AU2871" s="87"/>
      <c r="AV2871" s="92" t="str">
        <f>HYPERLINK("https://pbs.twimg.com/media/F2d-yasWgAAv1O_.jpg")</f>
        <v>https://pbs.twimg.com/media/F2d-yasWgAAv1O_.jpg</v>
      </c>
      <c r="AW2871" s="93" t="s">
        <v>21027</v>
      </c>
      <c r="AX2871" s="93" t="s">
        <v>21027</v>
      </c>
      <c r="AY2871" s="87"/>
      <c r="AZ2871" s="93" t="s">
        <v>22668</v>
      </c>
      <c r="BA2871" s="93" t="s">
        <v>22668</v>
      </c>
      <c r="BB2871" s="93" t="s">
        <v>22668</v>
      </c>
      <c r="BC2871" s="93" t="s">
        <v>21027</v>
      </c>
      <c r="BD2871" s="93" t="s">
        <v>23275</v>
      </c>
      <c r="BE2871" s="87"/>
      <c r="BF2871" s="87"/>
      <c r="BG2871" s="87"/>
      <c r="BH2871" s="87"/>
      <c r="BI2871" s="87"/>
    </row>
    <row r="2872" spans="1:61" x14ac:dyDescent="0.25">
      <c r="A2872" s="63" t="s">
        <v>1069</v>
      </c>
      <c r="B2872" s="63" t="s">
        <v>1069</v>
      </c>
      <c r="C2872" s="64"/>
      <c r="D2872" s="65"/>
      <c r="E2872" s="66"/>
      <c r="F2872" s="67"/>
      <c r="G2872" s="64"/>
      <c r="H2872" s="68"/>
      <c r="I2872" s="69"/>
      <c r="J2872" s="69"/>
      <c r="K2872" s="32"/>
      <c r="L2872" s="76">
        <v>2872</v>
      </c>
      <c r="M2872" s="76"/>
      <c r="N2872" s="71"/>
      <c r="O2872" s="87" t="s">
        <v>179</v>
      </c>
      <c r="P2872" s="90">
        <v>45176.568576388891</v>
      </c>
      <c r="Q2872" s="87" t="s">
        <v>4584</v>
      </c>
      <c r="R2872" s="87">
        <v>0</v>
      </c>
      <c r="S2872" s="87">
        <v>1</v>
      </c>
      <c r="T2872" s="87">
        <v>0</v>
      </c>
      <c r="U2872" s="87">
        <v>0</v>
      </c>
      <c r="V2872" s="87">
        <v>24</v>
      </c>
      <c r="W2872" s="93" t="s">
        <v>7449</v>
      </c>
      <c r="X2872" s="87"/>
      <c r="Y2872" s="87"/>
      <c r="Z2872" s="87"/>
      <c r="AA2872" s="87" t="s">
        <v>10593</v>
      </c>
      <c r="AB2872" s="87" t="s">
        <v>11448</v>
      </c>
      <c r="AC2872" s="93" t="s">
        <v>11457</v>
      </c>
      <c r="AD2872" s="87" t="s">
        <v>11519</v>
      </c>
      <c r="AE2872" s="92" t="str">
        <f>HYPERLINK("https://twitter.com/eloconsultoria_/status/1699779237673312354")</f>
        <v>https://twitter.com/eloconsultoria_/status/1699779237673312354</v>
      </c>
      <c r="AF2872" s="90">
        <v>45176.568576388891</v>
      </c>
      <c r="AG2872" s="99">
        <v>45176</v>
      </c>
      <c r="AH2872" s="93" t="s">
        <v>14104</v>
      </c>
      <c r="AI2872" s="87" t="b">
        <v>0</v>
      </c>
      <c r="AJ2872" s="87"/>
      <c r="AK2872" s="87"/>
      <c r="AL2872" s="87"/>
      <c r="AM2872" s="87"/>
      <c r="AN2872" s="87"/>
      <c r="AO2872" s="87"/>
      <c r="AP2872" s="87"/>
      <c r="AQ2872" s="87" t="s">
        <v>17405</v>
      </c>
      <c r="AR2872" s="87"/>
      <c r="AS2872" s="87"/>
      <c r="AT2872" s="87"/>
      <c r="AU2872" s="87"/>
      <c r="AV2872" s="92" t="str">
        <f>HYPERLINK("https://pbs.twimg.com/media/F5bUMNcbYAAN1xo.jpg")</f>
        <v>https://pbs.twimg.com/media/F5bUMNcbYAAN1xo.jpg</v>
      </c>
      <c r="AW2872" s="93" t="s">
        <v>21028</v>
      </c>
      <c r="AX2872" s="93" t="s">
        <v>21028</v>
      </c>
      <c r="AY2872" s="87"/>
      <c r="AZ2872" s="93" t="s">
        <v>22668</v>
      </c>
      <c r="BA2872" s="93" t="s">
        <v>22668</v>
      </c>
      <c r="BB2872" s="93" t="s">
        <v>22668</v>
      </c>
      <c r="BC2872" s="93" t="s">
        <v>21028</v>
      </c>
      <c r="BD2872" s="93" t="s">
        <v>23275</v>
      </c>
      <c r="BE2872" s="87"/>
      <c r="BF2872" s="87"/>
      <c r="BG2872" s="87"/>
      <c r="BH2872" s="87"/>
      <c r="BI2872" s="87"/>
    </row>
    <row r="2873" spans="1:61" x14ac:dyDescent="0.25">
      <c r="A2873" s="63" t="s">
        <v>1070</v>
      </c>
      <c r="B2873" s="63" t="s">
        <v>1070</v>
      </c>
      <c r="C2873" s="64"/>
      <c r="D2873" s="65"/>
      <c r="E2873" s="66"/>
      <c r="F2873" s="67"/>
      <c r="G2873" s="64"/>
      <c r="H2873" s="68"/>
      <c r="I2873" s="69"/>
      <c r="J2873" s="69"/>
      <c r="K2873" s="32"/>
      <c r="L2873" s="76">
        <v>2873</v>
      </c>
      <c r="M2873" s="76"/>
      <c r="N2873" s="71"/>
      <c r="O2873" s="87" t="s">
        <v>179</v>
      </c>
      <c r="P2873" s="90">
        <v>45124.752164351848</v>
      </c>
      <c r="Q2873" s="87" t="s">
        <v>4585</v>
      </c>
      <c r="R2873" s="87">
        <v>0</v>
      </c>
      <c r="S2873" s="87">
        <v>0</v>
      </c>
      <c r="T2873" s="87">
        <v>0</v>
      </c>
      <c r="U2873" s="87">
        <v>0</v>
      </c>
      <c r="V2873" s="87">
        <v>138</v>
      </c>
      <c r="W2873" s="93" t="s">
        <v>7450</v>
      </c>
      <c r="X2873" s="87"/>
      <c r="Y2873" s="87"/>
      <c r="Z2873" s="87"/>
      <c r="AA2873" s="87" t="s">
        <v>10594</v>
      </c>
      <c r="AB2873" s="87" t="s">
        <v>11448</v>
      </c>
      <c r="AC2873" s="93" t="s">
        <v>11459</v>
      </c>
      <c r="AD2873" s="87" t="s">
        <v>11519</v>
      </c>
      <c r="AE2873" s="92" t="str">
        <f>HYPERLINK("https://twitter.com/leoamachado/status/1681001600779796485")</f>
        <v>https://twitter.com/leoamachado/status/1681001600779796485</v>
      </c>
      <c r="AF2873" s="90">
        <v>45124.752164351848</v>
      </c>
      <c r="AG2873" s="99">
        <v>45124</v>
      </c>
      <c r="AH2873" s="93" t="s">
        <v>14105</v>
      </c>
      <c r="AI2873" s="87" t="b">
        <v>0</v>
      </c>
      <c r="AJ2873" s="87" t="s">
        <v>15179</v>
      </c>
      <c r="AK2873" s="87" t="s">
        <v>15234</v>
      </c>
      <c r="AL2873" s="87" t="s">
        <v>15237</v>
      </c>
      <c r="AM2873" s="87" t="s">
        <v>15240</v>
      </c>
      <c r="AN2873" s="87" t="s">
        <v>15316</v>
      </c>
      <c r="AO2873" s="87" t="s">
        <v>15372</v>
      </c>
      <c r="AP2873" s="87" t="s">
        <v>15438</v>
      </c>
      <c r="AQ2873" s="87" t="s">
        <v>17406</v>
      </c>
      <c r="AR2873" s="87"/>
      <c r="AS2873" s="87"/>
      <c r="AT2873" s="87"/>
      <c r="AU2873" s="87"/>
      <c r="AV2873" s="92" t="str">
        <f>HYPERLINK("https://pbs.twimg.com/media/F1QeDDUX0AAQJXp.jpg")</f>
        <v>https://pbs.twimg.com/media/F1QeDDUX0AAQJXp.jpg</v>
      </c>
      <c r="AW2873" s="93" t="s">
        <v>21029</v>
      </c>
      <c r="AX2873" s="93" t="s">
        <v>21029</v>
      </c>
      <c r="AY2873" s="87"/>
      <c r="AZ2873" s="93" t="s">
        <v>22668</v>
      </c>
      <c r="BA2873" s="93" t="s">
        <v>22668</v>
      </c>
      <c r="BB2873" s="93" t="s">
        <v>22668</v>
      </c>
      <c r="BC2873" s="93" t="s">
        <v>21029</v>
      </c>
      <c r="BD2873" s="87">
        <v>217277469</v>
      </c>
      <c r="BE2873" s="87"/>
      <c r="BF2873" s="87"/>
      <c r="BG2873" s="87"/>
      <c r="BH2873" s="87"/>
      <c r="BI2873" s="87"/>
    </row>
    <row r="2874" spans="1:61" x14ac:dyDescent="0.25">
      <c r="A2874" s="63" t="s">
        <v>1071</v>
      </c>
      <c r="B2874" s="63" t="s">
        <v>1071</v>
      </c>
      <c r="C2874" s="64"/>
      <c r="D2874" s="65"/>
      <c r="E2874" s="66"/>
      <c r="F2874" s="67"/>
      <c r="G2874" s="64"/>
      <c r="H2874" s="68"/>
      <c r="I2874" s="69"/>
      <c r="J2874" s="69"/>
      <c r="K2874" s="32"/>
      <c r="L2874" s="76">
        <v>2874</v>
      </c>
      <c r="M2874" s="76"/>
      <c r="N2874" s="71"/>
      <c r="O2874" s="87" t="s">
        <v>179</v>
      </c>
      <c r="P2874" s="90">
        <v>45110.648020833331</v>
      </c>
      <c r="Q2874" s="87" t="s">
        <v>4586</v>
      </c>
      <c r="R2874" s="87">
        <v>0</v>
      </c>
      <c r="S2874" s="87">
        <v>0</v>
      </c>
      <c r="T2874" s="87">
        <v>0</v>
      </c>
      <c r="U2874" s="87">
        <v>0</v>
      </c>
      <c r="V2874" s="87">
        <v>21</v>
      </c>
      <c r="W2874" s="93" t="s">
        <v>7451</v>
      </c>
      <c r="X2874" s="87"/>
      <c r="Y2874" s="87"/>
      <c r="Z2874" s="87"/>
      <c r="AA2874" s="87" t="s">
        <v>10595</v>
      </c>
      <c r="AB2874" s="87" t="s">
        <v>11447</v>
      </c>
      <c r="AC2874" s="93" t="s">
        <v>11467</v>
      </c>
      <c r="AD2874" s="87" t="s">
        <v>11519</v>
      </c>
      <c r="AE2874" s="92" t="str">
        <f>HYPERLINK("https://twitter.com/manoelsantosmkt/status/1675890431018541056")</f>
        <v>https://twitter.com/manoelsantosmkt/status/1675890431018541056</v>
      </c>
      <c r="AF2874" s="90">
        <v>45110.648020833331</v>
      </c>
      <c r="AG2874" s="99">
        <v>45110</v>
      </c>
      <c r="AH2874" s="93" t="s">
        <v>14106</v>
      </c>
      <c r="AI2874" s="87" t="b">
        <v>0</v>
      </c>
      <c r="AJ2874" s="87"/>
      <c r="AK2874" s="87"/>
      <c r="AL2874" s="87"/>
      <c r="AM2874" s="87"/>
      <c r="AN2874" s="87"/>
      <c r="AO2874" s="87"/>
      <c r="AP2874" s="87"/>
      <c r="AQ2874" s="87" t="s">
        <v>17407</v>
      </c>
      <c r="AR2874" s="87">
        <v>5333</v>
      </c>
      <c r="AS2874" s="87"/>
      <c r="AT2874" s="87"/>
      <c r="AU2874" s="87"/>
      <c r="AV2874" s="92" t="str">
        <f>HYPERLINK("https://pbs.twimg.com/ext_tw_video_thumb/1675890392087052288/pu/img/Gnqgh6ArZFP-q2Fe.jpg")</f>
        <v>https://pbs.twimg.com/ext_tw_video_thumb/1675890392087052288/pu/img/Gnqgh6ArZFP-q2Fe.jpg</v>
      </c>
      <c r="AW2874" s="93" t="s">
        <v>21030</v>
      </c>
      <c r="AX2874" s="93" t="s">
        <v>21030</v>
      </c>
      <c r="AY2874" s="87"/>
      <c r="AZ2874" s="93" t="s">
        <v>22668</v>
      </c>
      <c r="BA2874" s="93" t="s">
        <v>22668</v>
      </c>
      <c r="BB2874" s="93" t="s">
        <v>22668</v>
      </c>
      <c r="BC2874" s="93" t="s">
        <v>21030</v>
      </c>
      <c r="BD2874" s="93" t="s">
        <v>23276</v>
      </c>
      <c r="BE2874" s="87"/>
      <c r="BF2874" s="87"/>
      <c r="BG2874" s="87"/>
      <c r="BH2874" s="87"/>
      <c r="BI2874" s="87"/>
    </row>
    <row r="2875" spans="1:61" x14ac:dyDescent="0.25">
      <c r="A2875" s="63" t="s">
        <v>1072</v>
      </c>
      <c r="B2875" s="63" t="s">
        <v>1072</v>
      </c>
      <c r="C2875" s="64"/>
      <c r="D2875" s="65"/>
      <c r="E2875" s="66"/>
      <c r="F2875" s="67"/>
      <c r="G2875" s="64"/>
      <c r="H2875" s="68"/>
      <c r="I2875" s="69"/>
      <c r="J2875" s="69"/>
      <c r="K2875" s="32"/>
      <c r="L2875" s="76">
        <v>2875</v>
      </c>
      <c r="M2875" s="76"/>
      <c r="N2875" s="71"/>
      <c r="O2875" s="87" t="s">
        <v>179</v>
      </c>
      <c r="P2875" s="90">
        <v>45113.031307870369</v>
      </c>
      <c r="Q2875" s="87" t="s">
        <v>4587</v>
      </c>
      <c r="R2875" s="87">
        <v>0</v>
      </c>
      <c r="S2875" s="87">
        <v>0</v>
      </c>
      <c r="T2875" s="87">
        <v>0</v>
      </c>
      <c r="U2875" s="87">
        <v>0</v>
      </c>
      <c r="V2875" s="87">
        <v>47</v>
      </c>
      <c r="W2875" s="93" t="s">
        <v>7452</v>
      </c>
      <c r="X2875" s="87"/>
      <c r="Y2875" s="87"/>
      <c r="Z2875" s="87"/>
      <c r="AA2875" s="87" t="s">
        <v>10596</v>
      </c>
      <c r="AB2875" s="87" t="s">
        <v>11448</v>
      </c>
      <c r="AC2875" s="93" t="s">
        <v>11460</v>
      </c>
      <c r="AD2875" s="87" t="s">
        <v>11519</v>
      </c>
      <c r="AE2875" s="92" t="str">
        <f>HYPERLINK("https://twitter.com/kainanbelato/status/1676754104637374464")</f>
        <v>https://twitter.com/kainanbelato/status/1676754104637374464</v>
      </c>
      <c r="AF2875" s="90">
        <v>45113.031307870369</v>
      </c>
      <c r="AG2875" s="99">
        <v>45113</v>
      </c>
      <c r="AH2875" s="93" t="s">
        <v>14107</v>
      </c>
      <c r="AI2875" s="87" t="b">
        <v>0</v>
      </c>
      <c r="AJ2875" s="87"/>
      <c r="AK2875" s="87"/>
      <c r="AL2875" s="87"/>
      <c r="AM2875" s="87"/>
      <c r="AN2875" s="87"/>
      <c r="AO2875" s="87"/>
      <c r="AP2875" s="87"/>
      <c r="AQ2875" s="87" t="s">
        <v>17408</v>
      </c>
      <c r="AR2875" s="87"/>
      <c r="AS2875" s="87"/>
      <c r="AT2875" s="87"/>
      <c r="AU2875" s="87"/>
      <c r="AV2875" s="92" t="str">
        <f>HYPERLINK("https://pbs.twimg.com/media/F0UG-RtXoAA4qoZ.jpg")</f>
        <v>https://pbs.twimg.com/media/F0UG-RtXoAA4qoZ.jpg</v>
      </c>
      <c r="AW2875" s="93" t="s">
        <v>21031</v>
      </c>
      <c r="AX2875" s="93" t="s">
        <v>21031</v>
      </c>
      <c r="AY2875" s="87"/>
      <c r="AZ2875" s="93" t="s">
        <v>22668</v>
      </c>
      <c r="BA2875" s="93" t="s">
        <v>22668</v>
      </c>
      <c r="BB2875" s="93" t="s">
        <v>22668</v>
      </c>
      <c r="BC2875" s="93" t="s">
        <v>21031</v>
      </c>
      <c r="BD2875" s="93" t="s">
        <v>23277</v>
      </c>
      <c r="BE2875" s="87"/>
      <c r="BF2875" s="87"/>
      <c r="BG2875" s="87"/>
      <c r="BH2875" s="87"/>
      <c r="BI2875" s="87"/>
    </row>
    <row r="2876" spans="1:61" x14ac:dyDescent="0.25">
      <c r="A2876" s="63" t="s">
        <v>1073</v>
      </c>
      <c r="B2876" s="63" t="s">
        <v>1073</v>
      </c>
      <c r="C2876" s="64"/>
      <c r="D2876" s="65"/>
      <c r="E2876" s="66"/>
      <c r="F2876" s="67"/>
      <c r="G2876" s="64"/>
      <c r="H2876" s="68"/>
      <c r="I2876" s="69"/>
      <c r="J2876" s="69"/>
      <c r="K2876" s="32"/>
      <c r="L2876" s="76">
        <v>2876</v>
      </c>
      <c r="M2876" s="76"/>
      <c r="N2876" s="71"/>
      <c r="O2876" s="87" t="s">
        <v>179</v>
      </c>
      <c r="P2876" s="90">
        <v>45154.701122685183</v>
      </c>
      <c r="Q2876" s="87" t="s">
        <v>4588</v>
      </c>
      <c r="R2876" s="87">
        <v>0</v>
      </c>
      <c r="S2876" s="87">
        <v>0</v>
      </c>
      <c r="T2876" s="87">
        <v>0</v>
      </c>
      <c r="U2876" s="87">
        <v>0</v>
      </c>
      <c r="V2876" s="87">
        <v>1</v>
      </c>
      <c r="W2876" s="93" t="s">
        <v>7310</v>
      </c>
      <c r="X2876" s="92" t="str">
        <f>HYPERLINK("https://bit.ly/3P8Ty9X")</f>
        <v>https://bit.ly/3P8Ty9X</v>
      </c>
      <c r="Y2876" s="87" t="s">
        <v>8374</v>
      </c>
      <c r="Z2876" s="87"/>
      <c r="AA2876" s="87" t="s">
        <v>10597</v>
      </c>
      <c r="AB2876" s="87" t="s">
        <v>11448</v>
      </c>
      <c r="AC2876" s="93" t="s">
        <v>11457</v>
      </c>
      <c r="AD2876" s="87" t="s">
        <v>11519</v>
      </c>
      <c r="AE2876" s="92" t="str">
        <f>HYPERLINK("https://twitter.com/vowtecommerce/status/1691854737287643340")</f>
        <v>https://twitter.com/vowtecommerce/status/1691854737287643340</v>
      </c>
      <c r="AF2876" s="90">
        <v>45154.701122685183</v>
      </c>
      <c r="AG2876" s="99">
        <v>45154</v>
      </c>
      <c r="AH2876" s="93" t="s">
        <v>11568</v>
      </c>
      <c r="AI2876" s="87" t="b">
        <v>0</v>
      </c>
      <c r="AJ2876" s="87"/>
      <c r="AK2876" s="87"/>
      <c r="AL2876" s="87"/>
      <c r="AM2876" s="87"/>
      <c r="AN2876" s="87"/>
      <c r="AO2876" s="87"/>
      <c r="AP2876" s="87"/>
      <c r="AQ2876" s="87" t="s">
        <v>17409</v>
      </c>
      <c r="AR2876" s="87"/>
      <c r="AS2876" s="87"/>
      <c r="AT2876" s="87"/>
      <c r="AU2876" s="87"/>
      <c r="AV2876" s="92" t="str">
        <f>HYPERLINK("https://pbs.twimg.com/media/F3qs5DUXgAA-ZVJ.jpg")</f>
        <v>https://pbs.twimg.com/media/F3qs5DUXgAA-ZVJ.jpg</v>
      </c>
      <c r="AW2876" s="93" t="s">
        <v>21032</v>
      </c>
      <c r="AX2876" s="93" t="s">
        <v>21032</v>
      </c>
      <c r="AY2876" s="87"/>
      <c r="AZ2876" s="93" t="s">
        <v>22668</v>
      </c>
      <c r="BA2876" s="93" t="s">
        <v>22668</v>
      </c>
      <c r="BB2876" s="93" t="s">
        <v>22668</v>
      </c>
      <c r="BC2876" s="93" t="s">
        <v>21032</v>
      </c>
      <c r="BD2876" s="93" t="s">
        <v>23278</v>
      </c>
      <c r="BE2876" s="87"/>
      <c r="BF2876" s="87"/>
      <c r="BG2876" s="87"/>
      <c r="BH2876" s="87"/>
      <c r="BI2876" s="87"/>
    </row>
    <row r="2877" spans="1:61" x14ac:dyDescent="0.25">
      <c r="A2877" s="63" t="s">
        <v>1073</v>
      </c>
      <c r="B2877" s="63" t="s">
        <v>1073</v>
      </c>
      <c r="C2877" s="64"/>
      <c r="D2877" s="65"/>
      <c r="E2877" s="66"/>
      <c r="F2877" s="67"/>
      <c r="G2877" s="64"/>
      <c r="H2877" s="68"/>
      <c r="I2877" s="69"/>
      <c r="J2877" s="69"/>
      <c r="K2877" s="32"/>
      <c r="L2877" s="76">
        <v>2877</v>
      </c>
      <c r="M2877" s="76"/>
      <c r="N2877" s="71"/>
      <c r="O2877" s="87" t="s">
        <v>179</v>
      </c>
      <c r="P2877" s="90">
        <v>45161.510717592595</v>
      </c>
      <c r="Q2877" s="87" t="s">
        <v>4589</v>
      </c>
      <c r="R2877" s="87">
        <v>0</v>
      </c>
      <c r="S2877" s="87">
        <v>0</v>
      </c>
      <c r="T2877" s="87">
        <v>0</v>
      </c>
      <c r="U2877" s="87">
        <v>0</v>
      </c>
      <c r="V2877" s="87">
        <v>1</v>
      </c>
      <c r="W2877" s="93" t="s">
        <v>7453</v>
      </c>
      <c r="X2877" s="92" t="str">
        <f>HYPERLINK("https://tinyurl.com/57kk9z6h")</f>
        <v>https://tinyurl.com/57kk9z6h</v>
      </c>
      <c r="Y2877" s="87" t="s">
        <v>8388</v>
      </c>
      <c r="Z2877" s="87"/>
      <c r="AA2877" s="87" t="s">
        <v>10598</v>
      </c>
      <c r="AB2877" s="87" t="s">
        <v>11448</v>
      </c>
      <c r="AC2877" s="93" t="s">
        <v>11457</v>
      </c>
      <c r="AD2877" s="87" t="s">
        <v>11519</v>
      </c>
      <c r="AE2877" s="92" t="str">
        <f>HYPERLINK("https://twitter.com/vowtecommerce/status/1694322452518535451")</f>
        <v>https://twitter.com/vowtecommerce/status/1694322452518535451</v>
      </c>
      <c r="AF2877" s="90">
        <v>45161.510717592595</v>
      </c>
      <c r="AG2877" s="99">
        <v>45161</v>
      </c>
      <c r="AH2877" s="93" t="s">
        <v>13221</v>
      </c>
      <c r="AI2877" s="87" t="b">
        <v>0</v>
      </c>
      <c r="AJ2877" s="87"/>
      <c r="AK2877" s="87"/>
      <c r="AL2877" s="87"/>
      <c r="AM2877" s="87"/>
      <c r="AN2877" s="87"/>
      <c r="AO2877" s="87"/>
      <c r="AP2877" s="87"/>
      <c r="AQ2877" s="87" t="s">
        <v>17410</v>
      </c>
      <c r="AR2877" s="87"/>
      <c r="AS2877" s="87"/>
      <c r="AT2877" s="87"/>
      <c r="AU2877" s="87"/>
      <c r="AV2877" s="92" t="str">
        <f>HYPERLINK("https://pbs.twimg.com/media/F4NxBmuWoAAdu97.jpg")</f>
        <v>https://pbs.twimg.com/media/F4NxBmuWoAAdu97.jpg</v>
      </c>
      <c r="AW2877" s="93" t="s">
        <v>21033</v>
      </c>
      <c r="AX2877" s="93" t="s">
        <v>21033</v>
      </c>
      <c r="AY2877" s="87"/>
      <c r="AZ2877" s="93" t="s">
        <v>22668</v>
      </c>
      <c r="BA2877" s="93" t="s">
        <v>22668</v>
      </c>
      <c r="BB2877" s="93" t="s">
        <v>22668</v>
      </c>
      <c r="BC2877" s="93" t="s">
        <v>21033</v>
      </c>
      <c r="BD2877" s="93" t="s">
        <v>23278</v>
      </c>
      <c r="BE2877" s="87"/>
      <c r="BF2877" s="87"/>
      <c r="BG2877" s="87"/>
      <c r="BH2877" s="87"/>
      <c r="BI2877" s="87"/>
    </row>
    <row r="2878" spans="1:61" x14ac:dyDescent="0.25">
      <c r="A2878" s="63" t="s">
        <v>1074</v>
      </c>
      <c r="B2878" s="63" t="s">
        <v>1074</v>
      </c>
      <c r="C2878" s="64"/>
      <c r="D2878" s="65"/>
      <c r="E2878" s="66"/>
      <c r="F2878" s="67"/>
      <c r="G2878" s="64"/>
      <c r="H2878" s="68"/>
      <c r="I2878" s="69"/>
      <c r="J2878" s="69"/>
      <c r="K2878" s="32"/>
      <c r="L2878" s="76">
        <v>2878</v>
      </c>
      <c r="M2878" s="76"/>
      <c r="N2878" s="71"/>
      <c r="O2878" s="87" t="s">
        <v>179</v>
      </c>
      <c r="P2878" s="90">
        <v>45115.98710648148</v>
      </c>
      <c r="Q2878" s="87" t="s">
        <v>4590</v>
      </c>
      <c r="R2878" s="87">
        <v>0</v>
      </c>
      <c r="S2878" s="87">
        <v>0</v>
      </c>
      <c r="T2878" s="87">
        <v>0</v>
      </c>
      <c r="U2878" s="87">
        <v>0</v>
      </c>
      <c r="V2878" s="87">
        <v>9</v>
      </c>
      <c r="W2878" s="93" t="s">
        <v>7231</v>
      </c>
      <c r="X2878" s="87"/>
      <c r="Y2878" s="87"/>
      <c r="Z2878" s="87"/>
      <c r="AA2878" s="87"/>
      <c r="AB2878" s="87"/>
      <c r="AC2878" s="93" t="s">
        <v>11457</v>
      </c>
      <c r="AD2878" s="87" t="s">
        <v>11519</v>
      </c>
      <c r="AE2878" s="92" t="str">
        <f>HYPERLINK("https://twitter.com/brmarquespro/status/1677825250573135873")</f>
        <v>https://twitter.com/brmarquespro/status/1677825250573135873</v>
      </c>
      <c r="AF2878" s="90">
        <v>45115.98710648148</v>
      </c>
      <c r="AG2878" s="99">
        <v>45115</v>
      </c>
      <c r="AH2878" s="93" t="s">
        <v>14108</v>
      </c>
      <c r="AI2878" s="87"/>
      <c r="AJ2878" s="87"/>
      <c r="AK2878" s="87"/>
      <c r="AL2878" s="87"/>
      <c r="AM2878" s="87"/>
      <c r="AN2878" s="87"/>
      <c r="AO2878" s="87"/>
      <c r="AP2878" s="87"/>
      <c r="AQ2878" s="87"/>
      <c r="AR2878" s="87"/>
      <c r="AS2878" s="87"/>
      <c r="AT2878" s="87"/>
      <c r="AU2878" s="87"/>
      <c r="AV2878" s="92" t="str">
        <f>HYPERLINK("https://pbs.twimg.com/profile_images/1244638269435981825/g09yc0Dw_normal.jpg")</f>
        <v>https://pbs.twimg.com/profile_images/1244638269435981825/g09yc0Dw_normal.jpg</v>
      </c>
      <c r="AW2878" s="93" t="s">
        <v>21034</v>
      </c>
      <c r="AX2878" s="93" t="s">
        <v>21034</v>
      </c>
      <c r="AY2878" s="87"/>
      <c r="AZ2878" s="93" t="s">
        <v>22668</v>
      </c>
      <c r="BA2878" s="93" t="s">
        <v>22668</v>
      </c>
      <c r="BB2878" s="93" t="s">
        <v>22668</v>
      </c>
      <c r="BC2878" s="93" t="s">
        <v>21034</v>
      </c>
      <c r="BD2878" s="87">
        <v>301211155</v>
      </c>
      <c r="BE2878" s="87"/>
      <c r="BF2878" s="87"/>
      <c r="BG2878" s="87"/>
      <c r="BH2878" s="87"/>
      <c r="BI2878" s="87"/>
    </row>
    <row r="2879" spans="1:61" x14ac:dyDescent="0.25">
      <c r="A2879" s="63" t="s">
        <v>1075</v>
      </c>
      <c r="B2879" s="63" t="s">
        <v>1075</v>
      </c>
      <c r="C2879" s="64"/>
      <c r="D2879" s="65"/>
      <c r="E2879" s="66"/>
      <c r="F2879" s="67"/>
      <c r="G2879" s="64"/>
      <c r="H2879" s="68"/>
      <c r="I2879" s="69"/>
      <c r="J2879" s="69"/>
      <c r="K2879" s="32"/>
      <c r="L2879" s="76">
        <v>2879</v>
      </c>
      <c r="M2879" s="76"/>
      <c r="N2879" s="71"/>
      <c r="O2879" s="87" t="s">
        <v>1839</v>
      </c>
      <c r="P2879" s="90">
        <v>45113.610289351855</v>
      </c>
      <c r="Q2879" s="87" t="s">
        <v>4591</v>
      </c>
      <c r="R2879" s="87">
        <v>0</v>
      </c>
      <c r="S2879" s="87">
        <v>1</v>
      </c>
      <c r="T2879" s="87">
        <v>0</v>
      </c>
      <c r="U2879" s="87">
        <v>0</v>
      </c>
      <c r="V2879" s="87">
        <v>27</v>
      </c>
      <c r="W2879" s="93" t="s">
        <v>7454</v>
      </c>
      <c r="X2879" s="87"/>
      <c r="Y2879" s="87"/>
      <c r="Z2879" s="87" t="s">
        <v>1075</v>
      </c>
      <c r="AA2879" s="87"/>
      <c r="AB2879" s="87"/>
      <c r="AC2879" s="93" t="s">
        <v>11459</v>
      </c>
      <c r="AD2879" s="87" t="s">
        <v>11519</v>
      </c>
      <c r="AE2879" s="92" t="str">
        <f>HYPERLINK("https://twitter.com/alphazinfoda/status/1676963919477477382")</f>
        <v>https://twitter.com/alphazinfoda/status/1676963919477477382</v>
      </c>
      <c r="AF2879" s="90">
        <v>45113.610289351855</v>
      </c>
      <c r="AG2879" s="99">
        <v>45113</v>
      </c>
      <c r="AH2879" s="93" t="s">
        <v>14109</v>
      </c>
      <c r="AI2879" s="87"/>
      <c r="AJ2879" s="87"/>
      <c r="AK2879" s="87"/>
      <c r="AL2879" s="87"/>
      <c r="AM2879" s="87"/>
      <c r="AN2879" s="87"/>
      <c r="AO2879" s="87"/>
      <c r="AP2879" s="87"/>
      <c r="AQ2879" s="87"/>
      <c r="AR2879" s="87"/>
      <c r="AS2879" s="87"/>
      <c r="AT2879" s="87"/>
      <c r="AU2879" s="87"/>
      <c r="AV2879" s="92" t="str">
        <f>HYPERLINK("https://pbs.twimg.com/profile_images/1676696087778738177/FxT_yYeW_normal.jpg")</f>
        <v>https://pbs.twimg.com/profile_images/1676696087778738177/FxT_yYeW_normal.jpg</v>
      </c>
      <c r="AW2879" s="93" t="s">
        <v>21035</v>
      </c>
      <c r="AX2879" s="93" t="s">
        <v>21035</v>
      </c>
      <c r="AY2879" s="87"/>
      <c r="AZ2879" s="93" t="s">
        <v>22668</v>
      </c>
      <c r="BA2879" s="93" t="s">
        <v>22668</v>
      </c>
      <c r="BB2879" s="93" t="s">
        <v>22668</v>
      </c>
      <c r="BC2879" s="93" t="s">
        <v>21035</v>
      </c>
      <c r="BD2879" s="93" t="s">
        <v>23279</v>
      </c>
      <c r="BE2879" s="87"/>
      <c r="BF2879" s="87"/>
      <c r="BG2879" s="87"/>
      <c r="BH2879" s="87"/>
      <c r="BI2879" s="87"/>
    </row>
    <row r="2880" spans="1:61" x14ac:dyDescent="0.25">
      <c r="A2880" s="63" t="s">
        <v>1076</v>
      </c>
      <c r="B2880" s="63" t="s">
        <v>1076</v>
      </c>
      <c r="C2880" s="64"/>
      <c r="D2880" s="65"/>
      <c r="E2880" s="66"/>
      <c r="F2880" s="67"/>
      <c r="G2880" s="64"/>
      <c r="H2880" s="68"/>
      <c r="I2880" s="69"/>
      <c r="J2880" s="69"/>
      <c r="K2880" s="32"/>
      <c r="L2880" s="76">
        <v>2880</v>
      </c>
      <c r="M2880" s="76"/>
      <c r="N2880" s="71"/>
      <c r="O2880" s="87" t="s">
        <v>179</v>
      </c>
      <c r="P2880" s="90">
        <v>45124.734537037039</v>
      </c>
      <c r="Q2880" s="87" t="s">
        <v>4592</v>
      </c>
      <c r="R2880" s="87">
        <v>0</v>
      </c>
      <c r="S2880" s="87">
        <v>0</v>
      </c>
      <c r="T2880" s="87">
        <v>0</v>
      </c>
      <c r="U2880" s="87">
        <v>0</v>
      </c>
      <c r="V2880" s="87">
        <v>51</v>
      </c>
      <c r="W2880" s="93" t="s">
        <v>7455</v>
      </c>
      <c r="X2880" s="92" t="str">
        <f>HYPERLINK("https://www.youtube.com/@bdconsultoria")</f>
        <v>https://www.youtube.com/@bdconsultoria</v>
      </c>
      <c r="Y2880" s="87" t="s">
        <v>8380</v>
      </c>
      <c r="Z2880" s="87"/>
      <c r="AA2880" s="87" t="s">
        <v>10599</v>
      </c>
      <c r="AB2880" s="87" t="s">
        <v>11447</v>
      </c>
      <c r="AC2880" s="93" t="s">
        <v>11458</v>
      </c>
      <c r="AD2880" s="87" t="s">
        <v>11519</v>
      </c>
      <c r="AE2880" s="92" t="str">
        <f>HYPERLINK("https://twitter.com/daroltbruno/status/1680995213572034560")</f>
        <v>https://twitter.com/daroltbruno/status/1680995213572034560</v>
      </c>
      <c r="AF2880" s="90">
        <v>45124.734537037039</v>
      </c>
      <c r="AG2880" s="99">
        <v>45124</v>
      </c>
      <c r="AH2880" s="93" t="s">
        <v>14110</v>
      </c>
      <c r="AI2880" s="87" t="b">
        <v>0</v>
      </c>
      <c r="AJ2880" s="87"/>
      <c r="AK2880" s="87"/>
      <c r="AL2880" s="87"/>
      <c r="AM2880" s="87"/>
      <c r="AN2880" s="87"/>
      <c r="AO2880" s="87"/>
      <c r="AP2880" s="87"/>
      <c r="AQ2880" s="87" t="s">
        <v>17411</v>
      </c>
      <c r="AR2880" s="87">
        <v>23625</v>
      </c>
      <c r="AS2880" s="87"/>
      <c r="AT2880" s="87"/>
      <c r="AU2880" s="87"/>
      <c r="AV2880" s="92" t="str">
        <f>HYPERLINK("https://pbs.twimg.com/ext_tw_video_thumb/1680995167480717313/pu/img/-RBzcxaRaWzww-EN.jpg")</f>
        <v>https://pbs.twimg.com/ext_tw_video_thumb/1680995167480717313/pu/img/-RBzcxaRaWzww-EN.jpg</v>
      </c>
      <c r="AW2880" s="93" t="s">
        <v>21036</v>
      </c>
      <c r="AX2880" s="93" t="s">
        <v>21036</v>
      </c>
      <c r="AY2880" s="87"/>
      <c r="AZ2880" s="93" t="s">
        <v>22668</v>
      </c>
      <c r="BA2880" s="93" t="s">
        <v>22668</v>
      </c>
      <c r="BB2880" s="93" t="s">
        <v>22668</v>
      </c>
      <c r="BC2880" s="93" t="s">
        <v>21036</v>
      </c>
      <c r="BD2880" s="93" t="s">
        <v>23280</v>
      </c>
      <c r="BE2880" s="87"/>
      <c r="BF2880" s="87"/>
      <c r="BG2880" s="87"/>
      <c r="BH2880" s="87"/>
      <c r="BI2880" s="87"/>
    </row>
    <row r="2881" spans="1:61" x14ac:dyDescent="0.25">
      <c r="A2881" s="63" t="s">
        <v>1076</v>
      </c>
      <c r="B2881" s="63" t="s">
        <v>1076</v>
      </c>
      <c r="C2881" s="64"/>
      <c r="D2881" s="65"/>
      <c r="E2881" s="66"/>
      <c r="F2881" s="67"/>
      <c r="G2881" s="64"/>
      <c r="H2881" s="68"/>
      <c r="I2881" s="69"/>
      <c r="J2881" s="69"/>
      <c r="K2881" s="32"/>
      <c r="L2881" s="76">
        <v>2881</v>
      </c>
      <c r="M2881" s="76"/>
      <c r="N2881" s="71"/>
      <c r="O2881" s="87" t="s">
        <v>179</v>
      </c>
      <c r="P2881" s="90">
        <v>45131.707858796297</v>
      </c>
      <c r="Q2881" s="87" t="s">
        <v>4593</v>
      </c>
      <c r="R2881" s="87">
        <v>0</v>
      </c>
      <c r="S2881" s="87">
        <v>0</v>
      </c>
      <c r="T2881" s="87">
        <v>0</v>
      </c>
      <c r="U2881" s="87">
        <v>0</v>
      </c>
      <c r="V2881" s="87">
        <v>48</v>
      </c>
      <c r="W2881" s="93" t="s">
        <v>7456</v>
      </c>
      <c r="X2881" s="92" t="str">
        <f>HYPERLINK("https://www.youtube.com/@bdconsultoria")</f>
        <v>https://www.youtube.com/@bdconsultoria</v>
      </c>
      <c r="Y2881" s="87" t="s">
        <v>8380</v>
      </c>
      <c r="Z2881" s="87"/>
      <c r="AA2881" s="87" t="s">
        <v>10600</v>
      </c>
      <c r="AB2881" s="87" t="s">
        <v>11447</v>
      </c>
      <c r="AC2881" s="93" t="s">
        <v>11458</v>
      </c>
      <c r="AD2881" s="87" t="s">
        <v>11519</v>
      </c>
      <c r="AE2881" s="92" t="str">
        <f>HYPERLINK("https://twitter.com/daroltbruno/status/1683522256994017281")</f>
        <v>https://twitter.com/daroltbruno/status/1683522256994017281</v>
      </c>
      <c r="AF2881" s="90">
        <v>45131.707858796297</v>
      </c>
      <c r="AG2881" s="99">
        <v>45131</v>
      </c>
      <c r="AH2881" s="93" t="s">
        <v>14111</v>
      </c>
      <c r="AI2881" s="87" t="b">
        <v>0</v>
      </c>
      <c r="AJ2881" s="87"/>
      <c r="AK2881" s="87"/>
      <c r="AL2881" s="87"/>
      <c r="AM2881" s="87"/>
      <c r="AN2881" s="87"/>
      <c r="AO2881" s="87"/>
      <c r="AP2881" s="87"/>
      <c r="AQ2881" s="87" t="s">
        <v>17412</v>
      </c>
      <c r="AR2881" s="87">
        <v>26041</v>
      </c>
      <c r="AS2881" s="87"/>
      <c r="AT2881" s="87"/>
      <c r="AU2881" s="87"/>
      <c r="AV2881" s="92" t="str">
        <f>HYPERLINK("https://pbs.twimg.com/ext_tw_video_thumb/1683522185577603105/pu/img/M-3gJp4RCYsE23V6.jpg")</f>
        <v>https://pbs.twimg.com/ext_tw_video_thumb/1683522185577603105/pu/img/M-3gJp4RCYsE23V6.jpg</v>
      </c>
      <c r="AW2881" s="93" t="s">
        <v>21037</v>
      </c>
      <c r="AX2881" s="93" t="s">
        <v>21037</v>
      </c>
      <c r="AY2881" s="87"/>
      <c r="AZ2881" s="93" t="s">
        <v>22668</v>
      </c>
      <c r="BA2881" s="93" t="s">
        <v>22668</v>
      </c>
      <c r="BB2881" s="93" t="s">
        <v>22668</v>
      </c>
      <c r="BC2881" s="93" t="s">
        <v>21037</v>
      </c>
      <c r="BD2881" s="93" t="s">
        <v>23280</v>
      </c>
      <c r="BE2881" s="87"/>
      <c r="BF2881" s="87"/>
      <c r="BG2881" s="87"/>
      <c r="BH2881" s="87"/>
      <c r="BI2881" s="87"/>
    </row>
    <row r="2882" spans="1:61" x14ac:dyDescent="0.25">
      <c r="A2882" s="63" t="s">
        <v>1076</v>
      </c>
      <c r="B2882" s="63" t="s">
        <v>1076</v>
      </c>
      <c r="C2882" s="64"/>
      <c r="D2882" s="65"/>
      <c r="E2882" s="66"/>
      <c r="F2882" s="67"/>
      <c r="G2882" s="64"/>
      <c r="H2882" s="68"/>
      <c r="I2882" s="69"/>
      <c r="J2882" s="69"/>
      <c r="K2882" s="32"/>
      <c r="L2882" s="76">
        <v>2882</v>
      </c>
      <c r="M2882" s="76"/>
      <c r="N2882" s="71"/>
      <c r="O2882" s="87" t="s">
        <v>179</v>
      </c>
      <c r="P2882" s="90">
        <v>45153.864999999998</v>
      </c>
      <c r="Q2882" s="87" t="s">
        <v>4594</v>
      </c>
      <c r="R2882" s="87">
        <v>0</v>
      </c>
      <c r="S2882" s="87">
        <v>0</v>
      </c>
      <c r="T2882" s="87">
        <v>0</v>
      </c>
      <c r="U2882" s="87">
        <v>0</v>
      </c>
      <c r="V2882" s="87">
        <v>46</v>
      </c>
      <c r="W2882" s="93" t="s">
        <v>7457</v>
      </c>
      <c r="X2882" s="87"/>
      <c r="Y2882" s="87"/>
      <c r="Z2882" s="87"/>
      <c r="AA2882" s="87" t="s">
        <v>10601</v>
      </c>
      <c r="AB2882" s="87" t="s">
        <v>11448</v>
      </c>
      <c r="AC2882" s="93" t="s">
        <v>11458</v>
      </c>
      <c r="AD2882" s="87" t="s">
        <v>11519</v>
      </c>
      <c r="AE2882" s="92" t="str">
        <f>HYPERLINK("https://twitter.com/daroltbruno/status/1691551737738400034")</f>
        <v>https://twitter.com/daroltbruno/status/1691551737738400034</v>
      </c>
      <c r="AF2882" s="90">
        <v>45153.864999999998</v>
      </c>
      <c r="AG2882" s="99">
        <v>45153</v>
      </c>
      <c r="AH2882" s="93" t="s">
        <v>14112</v>
      </c>
      <c r="AI2882" s="87" t="b">
        <v>0</v>
      </c>
      <c r="AJ2882" s="87"/>
      <c r="AK2882" s="87"/>
      <c r="AL2882" s="87"/>
      <c r="AM2882" s="87"/>
      <c r="AN2882" s="87"/>
      <c r="AO2882" s="87"/>
      <c r="AP2882" s="87"/>
      <c r="AQ2882" s="87" t="s">
        <v>17413</v>
      </c>
      <c r="AR2882" s="87"/>
      <c r="AS2882" s="87"/>
      <c r="AT2882" s="87"/>
      <c r="AU2882" s="87"/>
      <c r="AV2882" s="92" t="str">
        <f>HYPERLINK("https://pbs.twimg.com/media/F3mZVvXWMAAsRGU.jpg")</f>
        <v>https://pbs.twimg.com/media/F3mZVvXWMAAsRGU.jpg</v>
      </c>
      <c r="AW2882" s="93" t="s">
        <v>21038</v>
      </c>
      <c r="AX2882" s="93" t="s">
        <v>21038</v>
      </c>
      <c r="AY2882" s="87"/>
      <c r="AZ2882" s="93" t="s">
        <v>22668</v>
      </c>
      <c r="BA2882" s="93" t="s">
        <v>22668</v>
      </c>
      <c r="BB2882" s="93" t="s">
        <v>22668</v>
      </c>
      <c r="BC2882" s="93" t="s">
        <v>21038</v>
      </c>
      <c r="BD2882" s="93" t="s">
        <v>23280</v>
      </c>
      <c r="BE2882" s="87"/>
      <c r="BF2882" s="87"/>
      <c r="BG2882" s="87"/>
      <c r="BH2882" s="87"/>
      <c r="BI2882" s="87"/>
    </row>
    <row r="2883" spans="1:61" x14ac:dyDescent="0.25">
      <c r="A2883" s="63" t="s">
        <v>1077</v>
      </c>
      <c r="B2883" s="63" t="s">
        <v>1077</v>
      </c>
      <c r="C2883" s="64"/>
      <c r="D2883" s="65"/>
      <c r="E2883" s="66"/>
      <c r="F2883" s="67"/>
      <c r="G2883" s="64"/>
      <c r="H2883" s="68"/>
      <c r="I2883" s="69"/>
      <c r="J2883" s="69"/>
      <c r="K2883" s="32"/>
      <c r="L2883" s="76">
        <v>2883</v>
      </c>
      <c r="M2883" s="76"/>
      <c r="N2883" s="71"/>
      <c r="O2883" s="87" t="s">
        <v>179</v>
      </c>
      <c r="P2883" s="90">
        <v>45154.70888888889</v>
      </c>
      <c r="Q2883" s="87" t="s">
        <v>4595</v>
      </c>
      <c r="R2883" s="87">
        <v>3</v>
      </c>
      <c r="S2883" s="87">
        <v>3</v>
      </c>
      <c r="T2883" s="87">
        <v>0</v>
      </c>
      <c r="U2883" s="87">
        <v>0</v>
      </c>
      <c r="V2883" s="87">
        <v>12</v>
      </c>
      <c r="W2883" s="93" t="s">
        <v>7458</v>
      </c>
      <c r="X2883" s="92" t="str">
        <f>HYPERLINK("https://bit.ly/2NkoGFs")</f>
        <v>https://bit.ly/2NkoGFs</v>
      </c>
      <c r="Y2883" s="87" t="s">
        <v>8374</v>
      </c>
      <c r="Z2883" s="87"/>
      <c r="AA2883" s="87" t="s">
        <v>10602</v>
      </c>
      <c r="AB2883" s="87" t="s">
        <v>11448</v>
      </c>
      <c r="AC2883" s="93" t="s">
        <v>11501</v>
      </c>
      <c r="AD2883" s="87" t="s">
        <v>11518</v>
      </c>
      <c r="AE2883" s="92" t="str">
        <f>HYPERLINK("https://twitter.com/k12prospects/status/1691857553997660531")</f>
        <v>https://twitter.com/k12prospects/status/1691857553997660531</v>
      </c>
      <c r="AF2883" s="90">
        <v>45154.70888888889</v>
      </c>
      <c r="AG2883" s="99">
        <v>45154</v>
      </c>
      <c r="AH2883" s="93" t="s">
        <v>13295</v>
      </c>
      <c r="AI2883" s="87" t="b">
        <v>0</v>
      </c>
      <c r="AJ2883" s="87"/>
      <c r="AK2883" s="87"/>
      <c r="AL2883" s="87"/>
      <c r="AM2883" s="87"/>
      <c r="AN2883" s="87"/>
      <c r="AO2883" s="87"/>
      <c r="AP2883" s="87"/>
      <c r="AQ2883" s="87" t="s">
        <v>17414</v>
      </c>
      <c r="AR2883" s="87"/>
      <c r="AS2883" s="87"/>
      <c r="AT2883" s="87"/>
      <c r="AU2883" s="87"/>
      <c r="AV2883" s="92" t="str">
        <f>HYPERLINK("https://pbs.twimg.com/media/F3qvenRXgAkbpUG.jpg")</f>
        <v>https://pbs.twimg.com/media/F3qvenRXgAkbpUG.jpg</v>
      </c>
      <c r="AW2883" s="93" t="s">
        <v>21039</v>
      </c>
      <c r="AX2883" s="93" t="s">
        <v>21039</v>
      </c>
      <c r="AY2883" s="87"/>
      <c r="AZ2883" s="93" t="s">
        <v>22668</v>
      </c>
      <c r="BA2883" s="93" t="s">
        <v>22668</v>
      </c>
      <c r="BB2883" s="93" t="s">
        <v>22668</v>
      </c>
      <c r="BC2883" s="93" t="s">
        <v>21039</v>
      </c>
      <c r="BD2883" s="93" t="s">
        <v>23281</v>
      </c>
      <c r="BE2883" s="87"/>
      <c r="BF2883" s="87"/>
      <c r="BG2883" s="87"/>
      <c r="BH2883" s="87"/>
      <c r="BI2883" s="87"/>
    </row>
    <row r="2884" spans="1:61" x14ac:dyDescent="0.25">
      <c r="A2884" s="63" t="s">
        <v>1077</v>
      </c>
      <c r="B2884" s="63" t="s">
        <v>1077</v>
      </c>
      <c r="C2884" s="64"/>
      <c r="D2884" s="65"/>
      <c r="E2884" s="66"/>
      <c r="F2884" s="67"/>
      <c r="G2884" s="64"/>
      <c r="H2884" s="68"/>
      <c r="I2884" s="69"/>
      <c r="J2884" s="69"/>
      <c r="K2884" s="32"/>
      <c r="L2884" s="76">
        <v>2884</v>
      </c>
      <c r="M2884" s="76"/>
      <c r="N2884" s="71"/>
      <c r="O2884" s="87" t="s">
        <v>179</v>
      </c>
      <c r="P2884" s="90">
        <v>45128.72929398148</v>
      </c>
      <c r="Q2884" s="87" t="s">
        <v>4596</v>
      </c>
      <c r="R2884" s="87">
        <v>3</v>
      </c>
      <c r="S2884" s="87">
        <v>3</v>
      </c>
      <c r="T2884" s="87">
        <v>0</v>
      </c>
      <c r="U2884" s="87">
        <v>0</v>
      </c>
      <c r="V2884" s="87">
        <v>16</v>
      </c>
      <c r="W2884" s="93" t="s">
        <v>7458</v>
      </c>
      <c r="X2884" s="92" t="str">
        <f>HYPERLINK("https://bit.ly/2NkoGFs")</f>
        <v>https://bit.ly/2NkoGFs</v>
      </c>
      <c r="Y2884" s="87" t="s">
        <v>8374</v>
      </c>
      <c r="Z2884" s="87"/>
      <c r="AA2884" s="87" t="s">
        <v>10603</v>
      </c>
      <c r="AB2884" s="87" t="s">
        <v>11448</v>
      </c>
      <c r="AC2884" s="93" t="s">
        <v>11501</v>
      </c>
      <c r="AD2884" s="87" t="s">
        <v>11518</v>
      </c>
      <c r="AE2884" s="92" t="str">
        <f>HYPERLINK("https://twitter.com/k12prospects/status/1682442864083587078")</f>
        <v>https://twitter.com/k12prospects/status/1682442864083587078</v>
      </c>
      <c r="AF2884" s="90">
        <v>45128.72929398148</v>
      </c>
      <c r="AG2884" s="99">
        <v>45128</v>
      </c>
      <c r="AH2884" s="93" t="s">
        <v>14113</v>
      </c>
      <c r="AI2884" s="87" t="b">
        <v>0</v>
      </c>
      <c r="AJ2884" s="87"/>
      <c r="AK2884" s="87"/>
      <c r="AL2884" s="87"/>
      <c r="AM2884" s="87"/>
      <c r="AN2884" s="87"/>
      <c r="AO2884" s="87"/>
      <c r="AP2884" s="87"/>
      <c r="AQ2884" s="87" t="s">
        <v>17415</v>
      </c>
      <c r="AR2884" s="87"/>
      <c r="AS2884" s="87"/>
      <c r="AT2884" s="87"/>
      <c r="AU2884" s="87"/>
      <c r="AV2884" s="92" t="str">
        <f>HYPERLINK("https://pbs.twimg.com/media/F1k83hHX0AEYmbn.jpg")</f>
        <v>https://pbs.twimg.com/media/F1k83hHX0AEYmbn.jpg</v>
      </c>
      <c r="AW2884" s="93" t="s">
        <v>21040</v>
      </c>
      <c r="AX2884" s="93" t="s">
        <v>21040</v>
      </c>
      <c r="AY2884" s="87"/>
      <c r="AZ2884" s="93" t="s">
        <v>22668</v>
      </c>
      <c r="BA2884" s="93" t="s">
        <v>22668</v>
      </c>
      <c r="BB2884" s="93" t="s">
        <v>22668</v>
      </c>
      <c r="BC2884" s="93" t="s">
        <v>21040</v>
      </c>
      <c r="BD2884" s="93" t="s">
        <v>23281</v>
      </c>
      <c r="BE2884" s="87"/>
      <c r="BF2884" s="87"/>
      <c r="BG2884" s="87"/>
      <c r="BH2884" s="87"/>
      <c r="BI2884" s="87"/>
    </row>
    <row r="2885" spans="1:61" x14ac:dyDescent="0.25">
      <c r="A2885" s="63" t="s">
        <v>1077</v>
      </c>
      <c r="B2885" s="63" t="s">
        <v>1077</v>
      </c>
      <c r="C2885" s="64"/>
      <c r="D2885" s="65"/>
      <c r="E2885" s="66"/>
      <c r="F2885" s="67"/>
      <c r="G2885" s="64"/>
      <c r="H2885" s="68"/>
      <c r="I2885" s="69"/>
      <c r="J2885" s="69"/>
      <c r="K2885" s="32"/>
      <c r="L2885" s="76">
        <v>2885</v>
      </c>
      <c r="M2885" s="76"/>
      <c r="N2885" s="71"/>
      <c r="O2885" s="87" t="s">
        <v>1841</v>
      </c>
      <c r="P2885" s="90">
        <v>45188.77171296296</v>
      </c>
      <c r="Q2885" s="87" t="s">
        <v>3934</v>
      </c>
      <c r="R2885" s="87">
        <v>3</v>
      </c>
      <c r="S2885" s="87">
        <v>0</v>
      </c>
      <c r="T2885" s="87">
        <v>0</v>
      </c>
      <c r="U2885" s="87">
        <v>0</v>
      </c>
      <c r="V2885" s="87"/>
      <c r="W2885" s="93" t="s">
        <v>7247</v>
      </c>
      <c r="X2885" s="92" t="str">
        <f>HYPERLINK("https://bit.ly/2NkoGFs")</f>
        <v>https://bit.ly/2NkoGFs</v>
      </c>
      <c r="Y2885" s="87" t="s">
        <v>8374</v>
      </c>
      <c r="Z2885" s="87" t="s">
        <v>1077</v>
      </c>
      <c r="AA2885" s="87"/>
      <c r="AB2885" s="87"/>
      <c r="AC2885" s="93" t="s">
        <v>11457</v>
      </c>
      <c r="AD2885" s="87" t="s">
        <v>11518</v>
      </c>
      <c r="AE2885" s="92" t="str">
        <f>HYPERLINK("https://twitter.com/k12prospects/status/1704201506440745134")</f>
        <v>https://twitter.com/k12prospects/status/1704201506440745134</v>
      </c>
      <c r="AF2885" s="90">
        <v>45188.77171296296</v>
      </c>
      <c r="AG2885" s="99">
        <v>45188</v>
      </c>
      <c r="AH2885" s="93" t="s">
        <v>14114</v>
      </c>
      <c r="AI2885" s="87" t="b">
        <v>0</v>
      </c>
      <c r="AJ2885" s="87"/>
      <c r="AK2885" s="87"/>
      <c r="AL2885" s="87"/>
      <c r="AM2885" s="87"/>
      <c r="AN2885" s="87"/>
      <c r="AO2885" s="87"/>
      <c r="AP2885" s="87"/>
      <c r="AQ2885" s="87"/>
      <c r="AR2885" s="87"/>
      <c r="AS2885" s="87"/>
      <c r="AT2885" s="87"/>
      <c r="AU2885" s="87"/>
      <c r="AV2885" s="92" t="str">
        <f>HYPERLINK("https://pbs.twimg.com/profile_images/1458805266313588740/ttp5YCbv_normal.jpg")</f>
        <v>https://pbs.twimg.com/profile_images/1458805266313588740/ttp5YCbv_normal.jpg</v>
      </c>
      <c r="AW2885" s="93" t="s">
        <v>21041</v>
      </c>
      <c r="AX2885" s="93" t="s">
        <v>21041</v>
      </c>
      <c r="AY2885" s="87"/>
      <c r="AZ2885" s="93" t="s">
        <v>22668</v>
      </c>
      <c r="BA2885" s="93" t="s">
        <v>22668</v>
      </c>
      <c r="BB2885" s="93" t="s">
        <v>21040</v>
      </c>
      <c r="BC2885" s="93" t="s">
        <v>21040</v>
      </c>
      <c r="BD2885" s="93" t="s">
        <v>23281</v>
      </c>
      <c r="BE2885" s="87"/>
      <c r="BF2885" s="87"/>
      <c r="BG2885" s="87"/>
      <c r="BH2885" s="87"/>
      <c r="BI2885" s="87"/>
    </row>
    <row r="2886" spans="1:61" x14ac:dyDescent="0.25">
      <c r="A2886" s="63" t="s">
        <v>1077</v>
      </c>
      <c r="B2886" s="63" t="s">
        <v>1077</v>
      </c>
      <c r="C2886" s="64"/>
      <c r="D2886" s="65"/>
      <c r="E2886" s="66"/>
      <c r="F2886" s="67"/>
      <c r="G2886" s="64"/>
      <c r="H2886" s="68"/>
      <c r="I2886" s="69"/>
      <c r="J2886" s="69"/>
      <c r="K2886" s="32"/>
      <c r="L2886" s="76">
        <v>2886</v>
      </c>
      <c r="M2886" s="76"/>
      <c r="N2886" s="71"/>
      <c r="O2886" s="87" t="s">
        <v>1841</v>
      </c>
      <c r="P2886" s="90">
        <v>45188.767326388886</v>
      </c>
      <c r="Q2886" s="87" t="s">
        <v>3934</v>
      </c>
      <c r="R2886" s="87">
        <v>3</v>
      </c>
      <c r="S2886" s="87">
        <v>0</v>
      </c>
      <c r="T2886" s="87">
        <v>0</v>
      </c>
      <c r="U2886" s="87">
        <v>0</v>
      </c>
      <c r="V2886" s="87"/>
      <c r="W2886" s="93" t="s">
        <v>7247</v>
      </c>
      <c r="X2886" s="92" t="str">
        <f>HYPERLINK("https://bit.ly/2NkoGFs")</f>
        <v>https://bit.ly/2NkoGFs</v>
      </c>
      <c r="Y2886" s="87" t="s">
        <v>8374</v>
      </c>
      <c r="Z2886" s="87" t="s">
        <v>1077</v>
      </c>
      <c r="AA2886" s="87"/>
      <c r="AB2886" s="87"/>
      <c r="AC2886" s="93" t="s">
        <v>11457</v>
      </c>
      <c r="AD2886" s="87" t="s">
        <v>11518</v>
      </c>
      <c r="AE2886" s="92" t="str">
        <f>HYPERLINK("https://twitter.com/k12prospects/status/1704199919563579853")</f>
        <v>https://twitter.com/k12prospects/status/1704199919563579853</v>
      </c>
      <c r="AF2886" s="90">
        <v>45188.767326388886</v>
      </c>
      <c r="AG2886" s="99">
        <v>45188</v>
      </c>
      <c r="AH2886" s="93" t="s">
        <v>14115</v>
      </c>
      <c r="AI2886" s="87" t="b">
        <v>0</v>
      </c>
      <c r="AJ2886" s="87"/>
      <c r="AK2886" s="87"/>
      <c r="AL2886" s="87"/>
      <c r="AM2886" s="87"/>
      <c r="AN2886" s="87"/>
      <c r="AO2886" s="87"/>
      <c r="AP2886" s="87"/>
      <c r="AQ2886" s="87"/>
      <c r="AR2886" s="87"/>
      <c r="AS2886" s="87"/>
      <c r="AT2886" s="87"/>
      <c r="AU2886" s="87"/>
      <c r="AV2886" s="92" t="str">
        <f>HYPERLINK("https://pbs.twimg.com/profile_images/1458805266313588740/ttp5YCbv_normal.jpg")</f>
        <v>https://pbs.twimg.com/profile_images/1458805266313588740/ttp5YCbv_normal.jpg</v>
      </c>
      <c r="AW2886" s="93" t="s">
        <v>21042</v>
      </c>
      <c r="AX2886" s="93" t="s">
        <v>21042</v>
      </c>
      <c r="AY2886" s="87"/>
      <c r="AZ2886" s="93" t="s">
        <v>22668</v>
      </c>
      <c r="BA2886" s="93" t="s">
        <v>22668</v>
      </c>
      <c r="BB2886" s="93" t="s">
        <v>21039</v>
      </c>
      <c r="BC2886" s="93" t="s">
        <v>21039</v>
      </c>
      <c r="BD2886" s="93" t="s">
        <v>23281</v>
      </c>
      <c r="BE2886" s="87"/>
      <c r="BF2886" s="87"/>
      <c r="BG2886" s="87"/>
      <c r="BH2886" s="87"/>
      <c r="BI2886" s="87"/>
    </row>
    <row r="2887" spans="1:61" x14ac:dyDescent="0.25">
      <c r="A2887" s="63" t="s">
        <v>1078</v>
      </c>
      <c r="B2887" s="63" t="s">
        <v>1077</v>
      </c>
      <c r="C2887" s="64"/>
      <c r="D2887" s="65"/>
      <c r="E2887" s="66"/>
      <c r="F2887" s="67"/>
      <c r="G2887" s="64"/>
      <c r="H2887" s="68"/>
      <c r="I2887" s="69"/>
      <c r="J2887" s="69"/>
      <c r="K2887" s="32"/>
      <c r="L2887" s="76">
        <v>2887</v>
      </c>
      <c r="M2887" s="76"/>
      <c r="N2887" s="71"/>
      <c r="O2887" s="87" t="s">
        <v>1841</v>
      </c>
      <c r="P2887" s="90">
        <v>45188.777488425927</v>
      </c>
      <c r="Q2887" s="87" t="s">
        <v>3934</v>
      </c>
      <c r="R2887" s="87">
        <v>3</v>
      </c>
      <c r="S2887" s="87">
        <v>0</v>
      </c>
      <c r="T2887" s="87">
        <v>0</v>
      </c>
      <c r="U2887" s="87">
        <v>0</v>
      </c>
      <c r="V2887" s="87"/>
      <c r="W2887" s="93" t="s">
        <v>7247</v>
      </c>
      <c r="X2887" s="92" t="str">
        <f>HYPERLINK("https://bit.ly/2NkoGFs")</f>
        <v>https://bit.ly/2NkoGFs</v>
      </c>
      <c r="Y2887" s="87" t="s">
        <v>8374</v>
      </c>
      <c r="Z2887" s="87" t="s">
        <v>1077</v>
      </c>
      <c r="AA2887" s="87"/>
      <c r="AB2887" s="87"/>
      <c r="AC2887" s="93" t="s">
        <v>11457</v>
      </c>
      <c r="AD2887" s="87" t="s">
        <v>11518</v>
      </c>
      <c r="AE2887" s="92" t="str">
        <f>HYPERLINK("https://twitter.com/jc_james_clark/status/1704203599922815438")</f>
        <v>https://twitter.com/jc_james_clark/status/1704203599922815438</v>
      </c>
      <c r="AF2887" s="90">
        <v>45188.777488425927</v>
      </c>
      <c r="AG2887" s="99">
        <v>45188</v>
      </c>
      <c r="AH2887" s="93" t="s">
        <v>14116</v>
      </c>
      <c r="AI2887" s="87" t="b">
        <v>0</v>
      </c>
      <c r="AJ2887" s="87"/>
      <c r="AK2887" s="87"/>
      <c r="AL2887" s="87"/>
      <c r="AM2887" s="87"/>
      <c r="AN2887" s="87"/>
      <c r="AO2887" s="87"/>
      <c r="AP2887" s="87"/>
      <c r="AQ2887" s="87"/>
      <c r="AR2887" s="87"/>
      <c r="AS2887" s="87"/>
      <c r="AT2887" s="87"/>
      <c r="AU2887" s="87"/>
      <c r="AV2887" s="92" t="str">
        <f>HYPERLINK("https://pbs.twimg.com/profile_images/1038109730441441280/BwaACACI_normal.jpg")</f>
        <v>https://pbs.twimg.com/profile_images/1038109730441441280/BwaACACI_normal.jpg</v>
      </c>
      <c r="AW2887" s="93" t="s">
        <v>21043</v>
      </c>
      <c r="AX2887" s="93" t="s">
        <v>21043</v>
      </c>
      <c r="AY2887" s="87"/>
      <c r="AZ2887" s="93" t="s">
        <v>22668</v>
      </c>
      <c r="BA2887" s="93" t="s">
        <v>22668</v>
      </c>
      <c r="BB2887" s="93" t="s">
        <v>21039</v>
      </c>
      <c r="BC2887" s="93" t="s">
        <v>21039</v>
      </c>
      <c r="BD2887" s="93" t="s">
        <v>23282</v>
      </c>
      <c r="BE2887" s="87"/>
      <c r="BF2887" s="87"/>
      <c r="BG2887" s="87"/>
      <c r="BH2887" s="87"/>
      <c r="BI2887" s="87"/>
    </row>
    <row r="2888" spans="1:61" x14ac:dyDescent="0.25">
      <c r="A2888" s="63" t="s">
        <v>1078</v>
      </c>
      <c r="B2888" s="63" t="s">
        <v>1077</v>
      </c>
      <c r="C2888" s="64"/>
      <c r="D2888" s="65"/>
      <c r="E2888" s="66"/>
      <c r="F2888" s="67"/>
      <c r="G2888" s="64"/>
      <c r="H2888" s="68"/>
      <c r="I2888" s="69"/>
      <c r="J2888" s="69"/>
      <c r="K2888" s="32"/>
      <c r="L2888" s="76">
        <v>2888</v>
      </c>
      <c r="M2888" s="76"/>
      <c r="N2888" s="71"/>
      <c r="O2888" s="87" t="s">
        <v>1841</v>
      </c>
      <c r="P2888" s="90">
        <v>45188.774641203701</v>
      </c>
      <c r="Q2888" s="87" t="s">
        <v>3934</v>
      </c>
      <c r="R2888" s="87">
        <v>3</v>
      </c>
      <c r="S2888" s="87">
        <v>0</v>
      </c>
      <c r="T2888" s="87">
        <v>0</v>
      </c>
      <c r="U2888" s="87">
        <v>0</v>
      </c>
      <c r="V2888" s="87"/>
      <c r="W2888" s="93" t="s">
        <v>7247</v>
      </c>
      <c r="X2888" s="92" t="str">
        <f>HYPERLINK("https://bit.ly/2NkoGFs")</f>
        <v>https://bit.ly/2NkoGFs</v>
      </c>
      <c r="Y2888" s="87" t="s">
        <v>8374</v>
      </c>
      <c r="Z2888" s="87" t="s">
        <v>1077</v>
      </c>
      <c r="AA2888" s="87"/>
      <c r="AB2888" s="87"/>
      <c r="AC2888" s="93" t="s">
        <v>11457</v>
      </c>
      <c r="AD2888" s="87" t="s">
        <v>11518</v>
      </c>
      <c r="AE2888" s="92" t="str">
        <f>HYPERLINK("https://twitter.com/jc_james_clark/status/1704202566723076103")</f>
        <v>https://twitter.com/jc_james_clark/status/1704202566723076103</v>
      </c>
      <c r="AF2888" s="90">
        <v>45188.774641203701</v>
      </c>
      <c r="AG2888" s="99">
        <v>45188</v>
      </c>
      <c r="AH2888" s="93" t="s">
        <v>14117</v>
      </c>
      <c r="AI2888" s="87" t="b">
        <v>0</v>
      </c>
      <c r="AJ2888" s="87"/>
      <c r="AK2888" s="87"/>
      <c r="AL2888" s="87"/>
      <c r="AM2888" s="87"/>
      <c r="AN2888" s="87"/>
      <c r="AO2888" s="87"/>
      <c r="AP2888" s="87"/>
      <c r="AQ2888" s="87"/>
      <c r="AR2888" s="87"/>
      <c r="AS2888" s="87"/>
      <c r="AT2888" s="87"/>
      <c r="AU2888" s="87"/>
      <c r="AV2888" s="92" t="str">
        <f>HYPERLINK("https://pbs.twimg.com/profile_images/1038109730441441280/BwaACACI_normal.jpg")</f>
        <v>https://pbs.twimg.com/profile_images/1038109730441441280/BwaACACI_normal.jpg</v>
      </c>
      <c r="AW2888" s="93" t="s">
        <v>21044</v>
      </c>
      <c r="AX2888" s="93" t="s">
        <v>21044</v>
      </c>
      <c r="AY2888" s="87"/>
      <c r="AZ2888" s="93" t="s">
        <v>22668</v>
      </c>
      <c r="BA2888" s="93" t="s">
        <v>22668</v>
      </c>
      <c r="BB2888" s="93" t="s">
        <v>21040</v>
      </c>
      <c r="BC2888" s="93" t="s">
        <v>21040</v>
      </c>
      <c r="BD2888" s="93" t="s">
        <v>23282</v>
      </c>
      <c r="BE2888" s="87"/>
      <c r="BF2888" s="87"/>
      <c r="BG2888" s="87"/>
      <c r="BH2888" s="87"/>
      <c r="BI2888" s="87"/>
    </row>
    <row r="2889" spans="1:61" x14ac:dyDescent="0.25">
      <c r="A2889" s="63" t="s">
        <v>1079</v>
      </c>
      <c r="B2889" s="63" t="s">
        <v>1754</v>
      </c>
      <c r="C2889" s="64"/>
      <c r="D2889" s="65"/>
      <c r="E2889" s="66"/>
      <c r="F2889" s="67"/>
      <c r="G2889" s="64"/>
      <c r="H2889" s="68"/>
      <c r="I2889" s="69"/>
      <c r="J2889" s="69"/>
      <c r="K2889" s="32"/>
      <c r="L2889" s="76">
        <v>2889</v>
      </c>
      <c r="M2889" s="76"/>
      <c r="N2889" s="71"/>
      <c r="O2889" s="87" t="s">
        <v>1840</v>
      </c>
      <c r="P2889" s="90">
        <v>45166.772962962961</v>
      </c>
      <c r="Q2889" s="87" t="s">
        <v>4597</v>
      </c>
      <c r="R2889" s="87">
        <v>0</v>
      </c>
      <c r="S2889" s="87">
        <v>1</v>
      </c>
      <c r="T2889" s="87">
        <v>0</v>
      </c>
      <c r="U2889" s="87">
        <v>0</v>
      </c>
      <c r="V2889" s="87">
        <v>56</v>
      </c>
      <c r="W2889" s="93" t="s">
        <v>5897</v>
      </c>
      <c r="X2889" s="87"/>
      <c r="Y2889" s="87"/>
      <c r="Z2889" s="87" t="s">
        <v>1754</v>
      </c>
      <c r="AA2889" s="87"/>
      <c r="AB2889" s="87"/>
      <c r="AC2889" s="93" t="s">
        <v>11457</v>
      </c>
      <c r="AD2889" s="87" t="s">
        <v>11519</v>
      </c>
      <c r="AE2889" s="92" t="str">
        <f>HYPERLINK("https://twitter.com/empire_blues/status/1696229425044484280")</f>
        <v>https://twitter.com/empire_blues/status/1696229425044484280</v>
      </c>
      <c r="AF2889" s="90">
        <v>45166.772962962961</v>
      </c>
      <c r="AG2889" s="99">
        <v>45166</v>
      </c>
      <c r="AH2889" s="93" t="s">
        <v>14118</v>
      </c>
      <c r="AI2889" s="87"/>
      <c r="AJ2889" s="87"/>
      <c r="AK2889" s="87"/>
      <c r="AL2889" s="87"/>
      <c r="AM2889" s="87"/>
      <c r="AN2889" s="87"/>
      <c r="AO2889" s="87"/>
      <c r="AP2889" s="87"/>
      <c r="AQ2889" s="87"/>
      <c r="AR2889" s="87"/>
      <c r="AS2889" s="87"/>
      <c r="AT2889" s="87"/>
      <c r="AU2889" s="87"/>
      <c r="AV2889" s="92" t="str">
        <f>HYPERLINK("https://pbs.twimg.com/profile_images/1656737419750670353/RZScnMvO_normal.jpg")</f>
        <v>https://pbs.twimg.com/profile_images/1656737419750670353/RZScnMvO_normal.jpg</v>
      </c>
      <c r="AW2889" s="93" t="s">
        <v>21045</v>
      </c>
      <c r="AX2889" s="93" t="s">
        <v>22439</v>
      </c>
      <c r="AY2889" s="93" t="s">
        <v>22610</v>
      </c>
      <c r="AZ2889" s="93" t="s">
        <v>22745</v>
      </c>
      <c r="BA2889" s="93" t="s">
        <v>22668</v>
      </c>
      <c r="BB2889" s="93" t="s">
        <v>22668</v>
      </c>
      <c r="BC2889" s="93" t="s">
        <v>22745</v>
      </c>
      <c r="BD2889" s="93" t="s">
        <v>23283</v>
      </c>
      <c r="BE2889" s="87"/>
      <c r="BF2889" s="87"/>
      <c r="BG2889" s="87"/>
      <c r="BH2889" s="87"/>
      <c r="BI2889" s="87"/>
    </row>
    <row r="2890" spans="1:61" x14ac:dyDescent="0.25">
      <c r="A2890" s="63" t="s">
        <v>1080</v>
      </c>
      <c r="B2890" s="63" t="s">
        <v>1080</v>
      </c>
      <c r="C2890" s="64"/>
      <c r="D2890" s="65"/>
      <c r="E2890" s="66"/>
      <c r="F2890" s="67"/>
      <c r="G2890" s="64"/>
      <c r="H2890" s="68"/>
      <c r="I2890" s="69"/>
      <c r="J2890" s="69"/>
      <c r="K2890" s="32"/>
      <c r="L2890" s="76">
        <v>2890</v>
      </c>
      <c r="M2890" s="76"/>
      <c r="N2890" s="71"/>
      <c r="O2890" s="87" t="s">
        <v>179</v>
      </c>
      <c r="P2890" s="90">
        <v>45111.58488425926</v>
      </c>
      <c r="Q2890" s="87" t="s">
        <v>4598</v>
      </c>
      <c r="R2890" s="87">
        <v>0</v>
      </c>
      <c r="S2890" s="87">
        <v>0</v>
      </c>
      <c r="T2890" s="87">
        <v>0</v>
      </c>
      <c r="U2890" s="87">
        <v>0</v>
      </c>
      <c r="V2890" s="87">
        <v>5</v>
      </c>
      <c r="W2890" s="93" t="s">
        <v>7459</v>
      </c>
      <c r="X2890" s="92" t="str">
        <f>HYPERLINK("https://bit.ly/3NZyd1S")</f>
        <v>https://bit.ly/3NZyd1S</v>
      </c>
      <c r="Y2890" s="87" t="s">
        <v>8374</v>
      </c>
      <c r="Z2890" s="87"/>
      <c r="AA2890" s="87"/>
      <c r="AB2890" s="87"/>
      <c r="AC2890" s="93" t="s">
        <v>11457</v>
      </c>
      <c r="AD2890" s="87" t="s">
        <v>11519</v>
      </c>
      <c r="AE2890" s="92" t="str">
        <f>HYPERLINK("https://twitter.com/startupblogpt/status/1676229937064189952")</f>
        <v>https://twitter.com/startupblogpt/status/1676229937064189952</v>
      </c>
      <c r="AF2890" s="90">
        <v>45111.58488425926</v>
      </c>
      <c r="AG2890" s="99">
        <v>45111</v>
      </c>
      <c r="AH2890" s="93" t="s">
        <v>14119</v>
      </c>
      <c r="AI2890" s="87" t="b">
        <v>0</v>
      </c>
      <c r="AJ2890" s="87"/>
      <c r="AK2890" s="87"/>
      <c r="AL2890" s="87"/>
      <c r="AM2890" s="87"/>
      <c r="AN2890" s="87"/>
      <c r="AO2890" s="87"/>
      <c r="AP2890" s="87"/>
      <c r="AQ2890" s="87"/>
      <c r="AR2890" s="87"/>
      <c r="AS2890" s="87"/>
      <c r="AT2890" s="87"/>
      <c r="AU2890" s="87"/>
      <c r="AV2890" s="92" t="str">
        <f>HYPERLINK("https://pbs.twimg.com/profile_images/922542106526257155/wace3b7s_normal.jpg")</f>
        <v>https://pbs.twimg.com/profile_images/922542106526257155/wace3b7s_normal.jpg</v>
      </c>
      <c r="AW2890" s="93" t="s">
        <v>21046</v>
      </c>
      <c r="AX2890" s="93" t="s">
        <v>21046</v>
      </c>
      <c r="AY2890" s="87"/>
      <c r="AZ2890" s="93" t="s">
        <v>22668</v>
      </c>
      <c r="BA2890" s="93" t="s">
        <v>22668</v>
      </c>
      <c r="BB2890" s="93" t="s">
        <v>22668</v>
      </c>
      <c r="BC2890" s="93" t="s">
        <v>21046</v>
      </c>
      <c r="BD2890" s="93" t="s">
        <v>23284</v>
      </c>
      <c r="BE2890" s="87"/>
      <c r="BF2890" s="87"/>
      <c r="BG2890" s="87"/>
      <c r="BH2890" s="87"/>
      <c r="BI2890" s="87"/>
    </row>
    <row r="2891" spans="1:61" x14ac:dyDescent="0.25">
      <c r="A2891" s="63" t="s">
        <v>1080</v>
      </c>
      <c r="B2891" s="63" t="s">
        <v>1080</v>
      </c>
      <c r="C2891" s="64"/>
      <c r="D2891" s="65"/>
      <c r="E2891" s="66"/>
      <c r="F2891" s="67"/>
      <c r="G2891" s="64"/>
      <c r="H2891" s="68"/>
      <c r="I2891" s="69"/>
      <c r="J2891" s="69"/>
      <c r="K2891" s="32"/>
      <c r="L2891" s="76">
        <v>2891</v>
      </c>
      <c r="M2891" s="76"/>
      <c r="N2891" s="71"/>
      <c r="O2891" s="87" t="s">
        <v>179</v>
      </c>
      <c r="P2891" s="90">
        <v>45145.592060185183</v>
      </c>
      <c r="Q2891" s="87" t="s">
        <v>4599</v>
      </c>
      <c r="R2891" s="87">
        <v>0</v>
      </c>
      <c r="S2891" s="87">
        <v>0</v>
      </c>
      <c r="T2891" s="87">
        <v>0</v>
      </c>
      <c r="U2891" s="87">
        <v>0</v>
      </c>
      <c r="V2891" s="87">
        <v>8</v>
      </c>
      <c r="W2891" s="93" t="s">
        <v>7460</v>
      </c>
      <c r="X2891" s="92" t="str">
        <f>HYPERLINK("https://bit.ly/3s5WzOU")</f>
        <v>https://bit.ly/3s5WzOU</v>
      </c>
      <c r="Y2891" s="87" t="s">
        <v>8374</v>
      </c>
      <c r="Z2891" s="87"/>
      <c r="AA2891" s="87"/>
      <c r="AB2891" s="87"/>
      <c r="AC2891" s="93" t="s">
        <v>11457</v>
      </c>
      <c r="AD2891" s="87" t="s">
        <v>11519</v>
      </c>
      <c r="AE2891" s="92" t="str">
        <f>HYPERLINK("https://twitter.com/startupblogpt/status/1688553724006858752")</f>
        <v>https://twitter.com/startupblogpt/status/1688553724006858752</v>
      </c>
      <c r="AF2891" s="90">
        <v>45145.592060185183</v>
      </c>
      <c r="AG2891" s="99">
        <v>45145</v>
      </c>
      <c r="AH2891" s="93" t="s">
        <v>14120</v>
      </c>
      <c r="AI2891" s="87" t="b">
        <v>0</v>
      </c>
      <c r="AJ2891" s="87"/>
      <c r="AK2891" s="87"/>
      <c r="AL2891" s="87"/>
      <c r="AM2891" s="87"/>
      <c r="AN2891" s="87"/>
      <c r="AO2891" s="87"/>
      <c r="AP2891" s="87"/>
      <c r="AQ2891" s="87"/>
      <c r="AR2891" s="87"/>
      <c r="AS2891" s="87"/>
      <c r="AT2891" s="87"/>
      <c r="AU2891" s="87"/>
      <c r="AV2891" s="92" t="str">
        <f>HYPERLINK("https://pbs.twimg.com/profile_images/922542106526257155/wace3b7s_normal.jpg")</f>
        <v>https://pbs.twimg.com/profile_images/922542106526257155/wace3b7s_normal.jpg</v>
      </c>
      <c r="AW2891" s="93" t="s">
        <v>21047</v>
      </c>
      <c r="AX2891" s="93" t="s">
        <v>21047</v>
      </c>
      <c r="AY2891" s="87"/>
      <c r="AZ2891" s="93" t="s">
        <v>22668</v>
      </c>
      <c r="BA2891" s="93" t="s">
        <v>22668</v>
      </c>
      <c r="BB2891" s="93" t="s">
        <v>22668</v>
      </c>
      <c r="BC2891" s="93" t="s">
        <v>21047</v>
      </c>
      <c r="BD2891" s="93" t="s">
        <v>23284</v>
      </c>
      <c r="BE2891" s="87"/>
      <c r="BF2891" s="87"/>
      <c r="BG2891" s="87"/>
      <c r="BH2891" s="87"/>
      <c r="BI2891" s="87"/>
    </row>
    <row r="2892" spans="1:61" x14ac:dyDescent="0.25">
      <c r="A2892" s="63" t="s">
        <v>1081</v>
      </c>
      <c r="B2892" s="63" t="s">
        <v>1081</v>
      </c>
      <c r="C2892" s="64"/>
      <c r="D2892" s="65"/>
      <c r="E2892" s="66"/>
      <c r="F2892" s="67"/>
      <c r="G2892" s="64"/>
      <c r="H2892" s="68"/>
      <c r="I2892" s="69"/>
      <c r="J2892" s="69"/>
      <c r="K2892" s="32"/>
      <c r="L2892" s="76">
        <v>2892</v>
      </c>
      <c r="M2892" s="76"/>
      <c r="N2892" s="71"/>
      <c r="O2892" s="87" t="s">
        <v>1840</v>
      </c>
      <c r="P2892" s="90">
        <v>45169.599108796298</v>
      </c>
      <c r="Q2892" s="87" t="s">
        <v>4600</v>
      </c>
      <c r="R2892" s="87">
        <v>0</v>
      </c>
      <c r="S2892" s="87">
        <v>0</v>
      </c>
      <c r="T2892" s="87">
        <v>0</v>
      </c>
      <c r="U2892" s="87">
        <v>0</v>
      </c>
      <c r="V2892" s="87">
        <v>20</v>
      </c>
      <c r="W2892" s="93" t="s">
        <v>7461</v>
      </c>
      <c r="X2892" s="87"/>
      <c r="Y2892" s="87"/>
      <c r="Z2892" s="87"/>
      <c r="AA2892" s="87"/>
      <c r="AB2892" s="87"/>
      <c r="AC2892" s="93" t="s">
        <v>11457</v>
      </c>
      <c r="AD2892" s="87" t="s">
        <v>11519</v>
      </c>
      <c r="AE2892" s="92" t="str">
        <f>HYPERLINK("https://twitter.com/seappara/status/1697253586114388390")</f>
        <v>https://twitter.com/seappara/status/1697253586114388390</v>
      </c>
      <c r="AF2892" s="90">
        <v>45169.599108796298</v>
      </c>
      <c r="AG2892" s="99">
        <v>45169</v>
      </c>
      <c r="AH2892" s="93" t="s">
        <v>14121</v>
      </c>
      <c r="AI2892" s="87"/>
      <c r="AJ2892" s="87"/>
      <c r="AK2892" s="87"/>
      <c r="AL2892" s="87"/>
      <c r="AM2892" s="87"/>
      <c r="AN2892" s="87"/>
      <c r="AO2892" s="87"/>
      <c r="AP2892" s="87"/>
      <c r="AQ2892" s="87"/>
      <c r="AR2892" s="87"/>
      <c r="AS2892" s="87"/>
      <c r="AT2892" s="87"/>
      <c r="AU2892" s="87"/>
      <c r="AV2892" s="92" t="str">
        <f>HYPERLINK("https://pbs.twimg.com/profile_images/1630202607636475905/KQoktvO4_normal.jpg")</f>
        <v>https://pbs.twimg.com/profile_images/1630202607636475905/KQoktvO4_normal.jpg</v>
      </c>
      <c r="AW2892" s="93" t="s">
        <v>21048</v>
      </c>
      <c r="AX2892" s="93" t="s">
        <v>22440</v>
      </c>
      <c r="AY2892" s="93" t="s">
        <v>22611</v>
      </c>
      <c r="AZ2892" s="93" t="s">
        <v>22440</v>
      </c>
      <c r="BA2892" s="93" t="s">
        <v>22668</v>
      </c>
      <c r="BB2892" s="93" t="s">
        <v>22668</v>
      </c>
      <c r="BC2892" s="93" t="s">
        <v>22440</v>
      </c>
      <c r="BD2892" s="87">
        <v>448209891</v>
      </c>
      <c r="BE2892" s="87"/>
      <c r="BF2892" s="87"/>
      <c r="BG2892" s="87"/>
      <c r="BH2892" s="87"/>
      <c r="BI2892" s="87"/>
    </row>
    <row r="2893" spans="1:61" x14ac:dyDescent="0.25">
      <c r="A2893" s="63" t="s">
        <v>1082</v>
      </c>
      <c r="B2893" s="63" t="s">
        <v>1755</v>
      </c>
      <c r="C2893" s="64"/>
      <c r="D2893" s="65"/>
      <c r="E2893" s="66"/>
      <c r="F2893" s="67"/>
      <c r="G2893" s="64"/>
      <c r="H2893" s="68"/>
      <c r="I2893" s="69"/>
      <c r="J2893" s="69"/>
      <c r="K2893" s="32"/>
      <c r="L2893" s="76">
        <v>2893</v>
      </c>
      <c r="M2893" s="76"/>
      <c r="N2893" s="71"/>
      <c r="O2893" s="87" t="s">
        <v>1840</v>
      </c>
      <c r="P2893" s="90">
        <v>45142.636122685188</v>
      </c>
      <c r="Q2893" s="87" t="s">
        <v>4601</v>
      </c>
      <c r="R2893" s="87">
        <v>0</v>
      </c>
      <c r="S2893" s="87">
        <v>0</v>
      </c>
      <c r="T2893" s="87">
        <v>0</v>
      </c>
      <c r="U2893" s="87">
        <v>0</v>
      </c>
      <c r="V2893" s="87">
        <v>34</v>
      </c>
      <c r="W2893" s="93" t="s">
        <v>7462</v>
      </c>
      <c r="X2893" s="87"/>
      <c r="Y2893" s="87"/>
      <c r="Z2893" s="87" t="s">
        <v>1755</v>
      </c>
      <c r="AA2893" s="87"/>
      <c r="AB2893" s="87"/>
      <c r="AC2893" s="93" t="s">
        <v>11486</v>
      </c>
      <c r="AD2893" s="87" t="s">
        <v>11519</v>
      </c>
      <c r="AE2893" s="92" t="str">
        <f>HYPERLINK("https://twitter.com/ai_porto/status/1687482530906124288")</f>
        <v>https://twitter.com/ai_porto/status/1687482530906124288</v>
      </c>
      <c r="AF2893" s="90">
        <v>45142.636122685188</v>
      </c>
      <c r="AG2893" s="99">
        <v>45142</v>
      </c>
      <c r="AH2893" s="93" t="s">
        <v>14122</v>
      </c>
      <c r="AI2893" s="87"/>
      <c r="AJ2893" s="87"/>
      <c r="AK2893" s="87"/>
      <c r="AL2893" s="87"/>
      <c r="AM2893" s="87"/>
      <c r="AN2893" s="87"/>
      <c r="AO2893" s="87"/>
      <c r="AP2893" s="87"/>
      <c r="AQ2893" s="87"/>
      <c r="AR2893" s="87"/>
      <c r="AS2893" s="87"/>
      <c r="AT2893" s="87"/>
      <c r="AU2893" s="87"/>
      <c r="AV2893" s="92" t="str">
        <f>HYPERLINK("https://pbs.twimg.com/profile_images/1681784541483081729/bVBedzt8_normal.jpg")</f>
        <v>https://pbs.twimg.com/profile_images/1681784541483081729/bVBedzt8_normal.jpg</v>
      </c>
      <c r="AW2893" s="93" t="s">
        <v>21049</v>
      </c>
      <c r="AX2893" s="93" t="s">
        <v>22441</v>
      </c>
      <c r="AY2893" s="93" t="s">
        <v>22612</v>
      </c>
      <c r="AZ2893" s="93" t="s">
        <v>22441</v>
      </c>
      <c r="BA2893" s="93" t="s">
        <v>22668</v>
      </c>
      <c r="BB2893" s="93" t="s">
        <v>22668</v>
      </c>
      <c r="BC2893" s="93" t="s">
        <v>22441</v>
      </c>
      <c r="BD2893" s="93" t="s">
        <v>23285</v>
      </c>
      <c r="BE2893" s="87"/>
      <c r="BF2893" s="87"/>
      <c r="BG2893" s="87"/>
      <c r="BH2893" s="87"/>
      <c r="BI2893" s="87"/>
    </row>
    <row r="2894" spans="1:61" x14ac:dyDescent="0.25">
      <c r="A2894" s="63" t="s">
        <v>1083</v>
      </c>
      <c r="B2894" s="63" t="s">
        <v>1083</v>
      </c>
      <c r="C2894" s="64"/>
      <c r="D2894" s="65"/>
      <c r="E2894" s="66"/>
      <c r="F2894" s="67"/>
      <c r="G2894" s="64"/>
      <c r="H2894" s="68"/>
      <c r="I2894" s="69"/>
      <c r="J2894" s="69"/>
      <c r="K2894" s="32"/>
      <c r="L2894" s="76">
        <v>2894</v>
      </c>
      <c r="M2894" s="76"/>
      <c r="N2894" s="71"/>
      <c r="O2894" s="87" t="s">
        <v>179</v>
      </c>
      <c r="P2894" s="90">
        <v>45131.709710648145</v>
      </c>
      <c r="Q2894" s="87" t="s">
        <v>4602</v>
      </c>
      <c r="R2894" s="87">
        <v>0</v>
      </c>
      <c r="S2894" s="87">
        <v>0</v>
      </c>
      <c r="T2894" s="87">
        <v>0</v>
      </c>
      <c r="U2894" s="87">
        <v>0</v>
      </c>
      <c r="V2894" s="87">
        <v>880</v>
      </c>
      <c r="W2894" s="93" t="s">
        <v>7463</v>
      </c>
      <c r="X2894" s="92" t="str">
        <f>HYPERLINK("https://www.meioemensagem.com.br/womentowatch/empreenda-como-uma-mulher-abre-4-000-vagas-gratuitas-em-sao-paulo")</f>
        <v>https://www.meioemensagem.com.br/womentowatch/empreenda-como-uma-mulher-abre-4-000-vagas-gratuitas-em-sao-paulo</v>
      </c>
      <c r="Y2894" s="87" t="s">
        <v>8373</v>
      </c>
      <c r="Z2894" s="87"/>
      <c r="AA2894" s="87"/>
      <c r="AB2894" s="87"/>
      <c r="AC2894" s="93" t="s">
        <v>11457</v>
      </c>
      <c r="AD2894" s="87" t="s">
        <v>11519</v>
      </c>
      <c r="AE2894" s="92" t="str">
        <f>HYPERLINK("https://twitter.com/meioemensagem/status/1683522930570035200")</f>
        <v>https://twitter.com/meioemensagem/status/1683522930570035200</v>
      </c>
      <c r="AF2894" s="90">
        <v>45131.709710648145</v>
      </c>
      <c r="AG2894" s="99">
        <v>45131</v>
      </c>
      <c r="AH2894" s="93" t="s">
        <v>14123</v>
      </c>
      <c r="AI2894" s="87" t="b">
        <v>0</v>
      </c>
      <c r="AJ2894" s="87"/>
      <c r="AK2894" s="87"/>
      <c r="AL2894" s="87"/>
      <c r="AM2894" s="87"/>
      <c r="AN2894" s="87"/>
      <c r="AO2894" s="87"/>
      <c r="AP2894" s="87"/>
      <c r="AQ2894" s="87"/>
      <c r="AR2894" s="87"/>
      <c r="AS2894" s="87"/>
      <c r="AT2894" s="87"/>
      <c r="AU2894" s="87"/>
      <c r="AV2894" s="92" t="str">
        <f>HYPERLINK("https://pbs.twimg.com/profile_images/1500795467172614149/QBRtGO7x_normal.jpg")</f>
        <v>https://pbs.twimg.com/profile_images/1500795467172614149/QBRtGO7x_normal.jpg</v>
      </c>
      <c r="AW2894" s="93" t="s">
        <v>21050</v>
      </c>
      <c r="AX2894" s="93" t="s">
        <v>21050</v>
      </c>
      <c r="AY2894" s="87"/>
      <c r="AZ2894" s="93" t="s">
        <v>22668</v>
      </c>
      <c r="BA2894" s="93" t="s">
        <v>22668</v>
      </c>
      <c r="BB2894" s="93" t="s">
        <v>22668</v>
      </c>
      <c r="BC2894" s="93" t="s">
        <v>21050</v>
      </c>
      <c r="BD2894" s="87">
        <v>15097726</v>
      </c>
      <c r="BE2894" s="87"/>
      <c r="BF2894" s="87"/>
      <c r="BG2894" s="87"/>
      <c r="BH2894" s="87"/>
      <c r="BI2894" s="87"/>
    </row>
    <row r="2895" spans="1:61" x14ac:dyDescent="0.25">
      <c r="A2895" s="63" t="s">
        <v>1083</v>
      </c>
      <c r="B2895" s="63" t="s">
        <v>1083</v>
      </c>
      <c r="C2895" s="64"/>
      <c r="D2895" s="65"/>
      <c r="E2895" s="66"/>
      <c r="F2895" s="67"/>
      <c r="G2895" s="64"/>
      <c r="H2895" s="68"/>
      <c r="I2895" s="69"/>
      <c r="J2895" s="69"/>
      <c r="K2895" s="32"/>
      <c r="L2895" s="76">
        <v>2895</v>
      </c>
      <c r="M2895" s="76"/>
      <c r="N2895" s="71"/>
      <c r="O2895" s="87" t="s">
        <v>179</v>
      </c>
      <c r="P2895" s="90">
        <v>45153.510416666664</v>
      </c>
      <c r="Q2895" s="87" t="s">
        <v>4603</v>
      </c>
      <c r="R2895" s="87">
        <v>0</v>
      </c>
      <c r="S2895" s="87">
        <v>1</v>
      </c>
      <c r="T2895" s="87">
        <v>0</v>
      </c>
      <c r="U2895" s="87">
        <v>0</v>
      </c>
      <c r="V2895" s="87">
        <v>924</v>
      </c>
      <c r="W2895" s="93" t="s">
        <v>7464</v>
      </c>
      <c r="X2895" s="92" t="str">
        <f>HYPERLINK("https://www.meioemensagem.com.br/comunicacao/como-a-pullse-esta-trabalhando-o-varejo-de-pmes")</f>
        <v>https://www.meioemensagem.com.br/comunicacao/como-a-pullse-esta-trabalhando-o-varejo-de-pmes</v>
      </c>
      <c r="Y2895" s="87" t="s">
        <v>8373</v>
      </c>
      <c r="Z2895" s="87"/>
      <c r="AA2895" s="87"/>
      <c r="AB2895" s="87"/>
      <c r="AC2895" s="93" t="s">
        <v>11457</v>
      </c>
      <c r="AD2895" s="87" t="s">
        <v>11519</v>
      </c>
      <c r="AE2895" s="92" t="str">
        <f>HYPERLINK("https://twitter.com/meioemensagem/status/1691423240496017408")</f>
        <v>https://twitter.com/meioemensagem/status/1691423240496017408</v>
      </c>
      <c r="AF2895" s="90">
        <v>45153.510416666664</v>
      </c>
      <c r="AG2895" s="99">
        <v>45153</v>
      </c>
      <c r="AH2895" s="93" t="s">
        <v>12115</v>
      </c>
      <c r="AI2895" s="87" t="b">
        <v>0</v>
      </c>
      <c r="AJ2895" s="87"/>
      <c r="AK2895" s="87"/>
      <c r="AL2895" s="87"/>
      <c r="AM2895" s="87"/>
      <c r="AN2895" s="87"/>
      <c r="AO2895" s="87"/>
      <c r="AP2895" s="87"/>
      <c r="AQ2895" s="87"/>
      <c r="AR2895" s="87"/>
      <c r="AS2895" s="87"/>
      <c r="AT2895" s="87"/>
      <c r="AU2895" s="87"/>
      <c r="AV2895" s="92" t="str">
        <f>HYPERLINK("https://pbs.twimg.com/profile_images/1500795467172614149/QBRtGO7x_normal.jpg")</f>
        <v>https://pbs.twimg.com/profile_images/1500795467172614149/QBRtGO7x_normal.jpg</v>
      </c>
      <c r="AW2895" s="93" t="s">
        <v>21051</v>
      </c>
      <c r="AX2895" s="93" t="s">
        <v>21051</v>
      </c>
      <c r="AY2895" s="87"/>
      <c r="AZ2895" s="93" t="s">
        <v>22668</v>
      </c>
      <c r="BA2895" s="93" t="s">
        <v>22668</v>
      </c>
      <c r="BB2895" s="93" t="s">
        <v>22668</v>
      </c>
      <c r="BC2895" s="93" t="s">
        <v>21051</v>
      </c>
      <c r="BD2895" s="87">
        <v>15097726</v>
      </c>
      <c r="BE2895" s="87"/>
      <c r="BF2895" s="87"/>
      <c r="BG2895" s="87"/>
      <c r="BH2895" s="87"/>
      <c r="BI2895" s="87"/>
    </row>
    <row r="2896" spans="1:61" x14ac:dyDescent="0.25">
      <c r="A2896" s="63" t="s">
        <v>1083</v>
      </c>
      <c r="B2896" s="63" t="s">
        <v>1083</v>
      </c>
      <c r="C2896" s="64"/>
      <c r="D2896" s="65"/>
      <c r="E2896" s="66"/>
      <c r="F2896" s="67"/>
      <c r="G2896" s="64"/>
      <c r="H2896" s="68"/>
      <c r="I2896" s="69"/>
      <c r="J2896" s="69"/>
      <c r="K2896" s="32"/>
      <c r="L2896" s="76">
        <v>2896</v>
      </c>
      <c r="M2896" s="76"/>
      <c r="N2896" s="71"/>
      <c r="O2896" s="87" t="s">
        <v>179</v>
      </c>
      <c r="P2896" s="90">
        <v>45180.804722222223</v>
      </c>
      <c r="Q2896" s="87" t="s">
        <v>4604</v>
      </c>
      <c r="R2896" s="87">
        <v>0</v>
      </c>
      <c r="S2896" s="87">
        <v>1</v>
      </c>
      <c r="T2896" s="87">
        <v>0</v>
      </c>
      <c r="U2896" s="87">
        <v>0</v>
      </c>
      <c r="V2896" s="87">
        <v>719</v>
      </c>
      <c r="W2896" s="93" t="s">
        <v>7463</v>
      </c>
      <c r="X2896" s="92" t="str">
        <f>HYPERLINK("https://www.meioemensagem.com.br/womentowatch/acelera-squad-incentiva-mulheres-empreendedoras-a-conquistar-exito-no-mercado")</f>
        <v>https://www.meioemensagem.com.br/womentowatch/acelera-squad-incentiva-mulheres-empreendedoras-a-conquistar-exito-no-mercado</v>
      </c>
      <c r="Y2896" s="87" t="s">
        <v>8373</v>
      </c>
      <c r="Z2896" s="87"/>
      <c r="AA2896" s="87"/>
      <c r="AB2896" s="87"/>
      <c r="AC2896" s="93" t="s">
        <v>11457</v>
      </c>
      <c r="AD2896" s="87" t="s">
        <v>11519</v>
      </c>
      <c r="AE2896" s="92" t="str">
        <f>HYPERLINK("https://twitter.com/meioemensagem/status/1701314364966326666")</f>
        <v>https://twitter.com/meioemensagem/status/1701314364966326666</v>
      </c>
      <c r="AF2896" s="90">
        <v>45180.804722222223</v>
      </c>
      <c r="AG2896" s="99">
        <v>45180</v>
      </c>
      <c r="AH2896" s="93" t="s">
        <v>14124</v>
      </c>
      <c r="AI2896" s="87" t="b">
        <v>0</v>
      </c>
      <c r="AJ2896" s="87"/>
      <c r="AK2896" s="87"/>
      <c r="AL2896" s="87"/>
      <c r="AM2896" s="87"/>
      <c r="AN2896" s="87"/>
      <c r="AO2896" s="87"/>
      <c r="AP2896" s="87"/>
      <c r="AQ2896" s="87"/>
      <c r="AR2896" s="87"/>
      <c r="AS2896" s="87"/>
      <c r="AT2896" s="87"/>
      <c r="AU2896" s="87"/>
      <c r="AV2896" s="92" t="str">
        <f>HYPERLINK("https://pbs.twimg.com/profile_images/1500795467172614149/QBRtGO7x_normal.jpg")</f>
        <v>https://pbs.twimg.com/profile_images/1500795467172614149/QBRtGO7x_normal.jpg</v>
      </c>
      <c r="AW2896" s="93" t="s">
        <v>21052</v>
      </c>
      <c r="AX2896" s="93" t="s">
        <v>21052</v>
      </c>
      <c r="AY2896" s="87"/>
      <c r="AZ2896" s="93" t="s">
        <v>22668</v>
      </c>
      <c r="BA2896" s="93" t="s">
        <v>22668</v>
      </c>
      <c r="BB2896" s="93" t="s">
        <v>22668</v>
      </c>
      <c r="BC2896" s="93" t="s">
        <v>21052</v>
      </c>
      <c r="BD2896" s="87">
        <v>15097726</v>
      </c>
      <c r="BE2896" s="87"/>
      <c r="BF2896" s="87"/>
      <c r="BG2896" s="87"/>
      <c r="BH2896" s="87"/>
      <c r="BI2896" s="87"/>
    </row>
    <row r="2897" spans="1:61" x14ac:dyDescent="0.25">
      <c r="A2897" s="63" t="s">
        <v>1084</v>
      </c>
      <c r="B2897" s="63" t="s">
        <v>1084</v>
      </c>
      <c r="C2897" s="64"/>
      <c r="D2897" s="65"/>
      <c r="E2897" s="66"/>
      <c r="F2897" s="67"/>
      <c r="G2897" s="64"/>
      <c r="H2897" s="68"/>
      <c r="I2897" s="69"/>
      <c r="J2897" s="69"/>
      <c r="K2897" s="32"/>
      <c r="L2897" s="76">
        <v>2897</v>
      </c>
      <c r="M2897" s="76"/>
      <c r="N2897" s="71"/>
      <c r="O2897" s="87" t="s">
        <v>179</v>
      </c>
      <c r="P2897" s="90">
        <v>45132.783518518518</v>
      </c>
      <c r="Q2897" s="87" t="s">
        <v>4605</v>
      </c>
      <c r="R2897" s="87">
        <v>0</v>
      </c>
      <c r="S2897" s="87">
        <v>0</v>
      </c>
      <c r="T2897" s="87">
        <v>0</v>
      </c>
      <c r="U2897" s="87">
        <v>0</v>
      </c>
      <c r="V2897" s="87">
        <v>6</v>
      </c>
      <c r="W2897" s="93" t="s">
        <v>7465</v>
      </c>
      <c r="X2897" s="87"/>
      <c r="Y2897" s="87"/>
      <c r="Z2897" s="87"/>
      <c r="AA2897" s="87"/>
      <c r="AB2897" s="87"/>
      <c r="AC2897" s="93" t="s">
        <v>11459</v>
      </c>
      <c r="AD2897" s="87" t="s">
        <v>11519</v>
      </c>
      <c r="AE2897" s="92" t="str">
        <f>HYPERLINK("https://twitter.com/eusoureggi/status/1683912066040487946")</f>
        <v>https://twitter.com/eusoureggi/status/1683912066040487946</v>
      </c>
      <c r="AF2897" s="90">
        <v>45132.783518518518</v>
      </c>
      <c r="AG2897" s="99">
        <v>45132</v>
      </c>
      <c r="AH2897" s="93" t="s">
        <v>14125</v>
      </c>
      <c r="AI2897" s="87"/>
      <c r="AJ2897" s="87"/>
      <c r="AK2897" s="87"/>
      <c r="AL2897" s="87"/>
      <c r="AM2897" s="87"/>
      <c r="AN2897" s="87"/>
      <c r="AO2897" s="87"/>
      <c r="AP2897" s="87"/>
      <c r="AQ2897" s="87"/>
      <c r="AR2897" s="87"/>
      <c r="AS2897" s="87"/>
      <c r="AT2897" s="87"/>
      <c r="AU2897" s="87"/>
      <c r="AV2897" s="92" t="str">
        <f>HYPERLINK("https://pbs.twimg.com/profile_images/1670933945167257603/0O6Kwb0O_normal.jpg")</f>
        <v>https://pbs.twimg.com/profile_images/1670933945167257603/0O6Kwb0O_normal.jpg</v>
      </c>
      <c r="AW2897" s="93" t="s">
        <v>21053</v>
      </c>
      <c r="AX2897" s="93" t="s">
        <v>21053</v>
      </c>
      <c r="AY2897" s="87"/>
      <c r="AZ2897" s="93" t="s">
        <v>22668</v>
      </c>
      <c r="BA2897" s="93" t="s">
        <v>22668</v>
      </c>
      <c r="BB2897" s="93" t="s">
        <v>22668</v>
      </c>
      <c r="BC2897" s="93" t="s">
        <v>21053</v>
      </c>
      <c r="BD2897" s="93" t="s">
        <v>23286</v>
      </c>
      <c r="BE2897" s="87"/>
      <c r="BF2897" s="87"/>
      <c r="BG2897" s="87"/>
      <c r="BH2897" s="87"/>
      <c r="BI2897" s="87"/>
    </row>
    <row r="2898" spans="1:61" x14ac:dyDescent="0.25">
      <c r="A2898" s="63" t="s">
        <v>1085</v>
      </c>
      <c r="B2898" s="63" t="s">
        <v>1085</v>
      </c>
      <c r="C2898" s="64"/>
      <c r="D2898" s="65"/>
      <c r="E2898" s="66"/>
      <c r="F2898" s="67"/>
      <c r="G2898" s="64"/>
      <c r="H2898" s="68"/>
      <c r="I2898" s="69"/>
      <c r="J2898" s="69"/>
      <c r="K2898" s="32"/>
      <c r="L2898" s="76">
        <v>2898</v>
      </c>
      <c r="M2898" s="76"/>
      <c r="N2898" s="71"/>
      <c r="O2898" s="87" t="s">
        <v>179</v>
      </c>
      <c r="P2898" s="90">
        <v>45147.910104166665</v>
      </c>
      <c r="Q2898" s="87" t="s">
        <v>4606</v>
      </c>
      <c r="R2898" s="87">
        <v>1</v>
      </c>
      <c r="S2898" s="87">
        <v>5</v>
      </c>
      <c r="T2898" s="87">
        <v>0</v>
      </c>
      <c r="U2898" s="87">
        <v>1</v>
      </c>
      <c r="V2898" s="87">
        <v>711</v>
      </c>
      <c r="W2898" s="93" t="s">
        <v>7466</v>
      </c>
      <c r="X2898" s="87"/>
      <c r="Y2898" s="87"/>
      <c r="Z2898" s="87"/>
      <c r="AA2898" s="87" t="s">
        <v>10604</v>
      </c>
      <c r="AB2898" s="87" t="s">
        <v>11448</v>
      </c>
      <c r="AC2898" s="93" t="s">
        <v>11459</v>
      </c>
      <c r="AD2898" s="87" t="s">
        <v>11519</v>
      </c>
      <c r="AE2898" s="92" t="str">
        <f>HYPERLINK("https://twitter.com/prefcriciuma/status/1689393756938637312")</f>
        <v>https://twitter.com/prefcriciuma/status/1689393756938637312</v>
      </c>
      <c r="AF2898" s="90">
        <v>45147.910104166665</v>
      </c>
      <c r="AG2898" s="99">
        <v>45147</v>
      </c>
      <c r="AH2898" s="93" t="s">
        <v>14126</v>
      </c>
      <c r="AI2898" s="87" t="b">
        <v>0</v>
      </c>
      <c r="AJ2898" s="87" t="s">
        <v>15215</v>
      </c>
      <c r="AK2898" s="87" t="s">
        <v>15234</v>
      </c>
      <c r="AL2898" s="87" t="s">
        <v>15237</v>
      </c>
      <c r="AM2898" s="87" t="s">
        <v>15286</v>
      </c>
      <c r="AN2898" s="87" t="s">
        <v>15353</v>
      </c>
      <c r="AO2898" s="87" t="s">
        <v>15418</v>
      </c>
      <c r="AP2898" s="87" t="s">
        <v>15438</v>
      </c>
      <c r="AQ2898" s="87" t="s">
        <v>17416</v>
      </c>
      <c r="AR2898" s="87"/>
      <c r="AS2898" s="87"/>
      <c r="AT2898" s="87"/>
      <c r="AU2898" s="87"/>
      <c r="AV2898" s="92" t="str">
        <f>HYPERLINK("https://pbs.twimg.com/media/F3HuqwnXkAApOoN.jpg")</f>
        <v>https://pbs.twimg.com/media/F3HuqwnXkAApOoN.jpg</v>
      </c>
      <c r="AW2898" s="93" t="s">
        <v>21054</v>
      </c>
      <c r="AX2898" s="93" t="s">
        <v>21054</v>
      </c>
      <c r="AY2898" s="87"/>
      <c r="AZ2898" s="93" t="s">
        <v>22668</v>
      </c>
      <c r="BA2898" s="93" t="s">
        <v>22668</v>
      </c>
      <c r="BB2898" s="93" t="s">
        <v>22668</v>
      </c>
      <c r="BC2898" s="93" t="s">
        <v>21054</v>
      </c>
      <c r="BD2898" s="87">
        <v>160898095</v>
      </c>
      <c r="BE2898" s="87"/>
      <c r="BF2898" s="87"/>
      <c r="BG2898" s="87"/>
      <c r="BH2898" s="87"/>
      <c r="BI2898" s="87"/>
    </row>
    <row r="2899" spans="1:61" x14ac:dyDescent="0.25">
      <c r="A2899" s="63" t="s">
        <v>1086</v>
      </c>
      <c r="B2899" s="63" t="s">
        <v>1756</v>
      </c>
      <c r="C2899" s="64"/>
      <c r="D2899" s="65"/>
      <c r="E2899" s="66"/>
      <c r="F2899" s="67"/>
      <c r="G2899" s="64"/>
      <c r="H2899" s="68"/>
      <c r="I2899" s="69"/>
      <c r="J2899" s="69"/>
      <c r="K2899" s="32"/>
      <c r="L2899" s="76">
        <v>2899</v>
      </c>
      <c r="M2899" s="76"/>
      <c r="N2899" s="71"/>
      <c r="O2899" s="87" t="s">
        <v>1839</v>
      </c>
      <c r="P2899" s="90">
        <v>45149.015370370369</v>
      </c>
      <c r="Q2899" s="87" t="s">
        <v>4607</v>
      </c>
      <c r="R2899" s="87">
        <v>1418</v>
      </c>
      <c r="S2899" s="87">
        <v>9002</v>
      </c>
      <c r="T2899" s="87">
        <v>564</v>
      </c>
      <c r="U2899" s="87">
        <v>148</v>
      </c>
      <c r="V2899" s="87">
        <v>498727</v>
      </c>
      <c r="W2899" s="87"/>
      <c r="X2899" s="87"/>
      <c r="Y2899" s="87"/>
      <c r="Z2899" s="87" t="s">
        <v>1756</v>
      </c>
      <c r="AA2899" s="87" t="s">
        <v>10605</v>
      </c>
      <c r="AB2899" s="87" t="s">
        <v>11448</v>
      </c>
      <c r="AC2899" s="93" t="s">
        <v>11457</v>
      </c>
      <c r="AD2899" s="87" t="s">
        <v>11519</v>
      </c>
      <c r="AE2899" s="92" t="str">
        <f>HYPERLINK("https://twitter.com/andrelajst/status/1689794289029566464")</f>
        <v>https://twitter.com/andrelajst/status/1689794289029566464</v>
      </c>
      <c r="AF2899" s="90">
        <v>45149.015370370369</v>
      </c>
      <c r="AG2899" s="99">
        <v>45149</v>
      </c>
      <c r="AH2899" s="93" t="s">
        <v>14127</v>
      </c>
      <c r="AI2899" s="87" t="b">
        <v>0</v>
      </c>
      <c r="AJ2899" s="87"/>
      <c r="AK2899" s="87"/>
      <c r="AL2899" s="87"/>
      <c r="AM2899" s="87"/>
      <c r="AN2899" s="87"/>
      <c r="AO2899" s="87"/>
      <c r="AP2899" s="87"/>
      <c r="AQ2899" s="87" t="s">
        <v>17417</v>
      </c>
      <c r="AR2899" s="87"/>
      <c r="AS2899" s="87"/>
      <c r="AT2899" s="87"/>
      <c r="AU2899" s="87"/>
      <c r="AV2899" s="92" t="str">
        <f>HYPERLINK("https://pbs.twimg.com/media/F3NU2kfWAAQvZK1.jpg")</f>
        <v>https://pbs.twimg.com/media/F3NU2kfWAAQvZK1.jpg</v>
      </c>
      <c r="AW2899" s="93" t="s">
        <v>21055</v>
      </c>
      <c r="AX2899" s="93" t="s">
        <v>21055</v>
      </c>
      <c r="AY2899" s="87"/>
      <c r="AZ2899" s="93" t="s">
        <v>22668</v>
      </c>
      <c r="BA2899" s="93" t="s">
        <v>22668</v>
      </c>
      <c r="BB2899" s="93" t="s">
        <v>22668</v>
      </c>
      <c r="BC2899" s="93" t="s">
        <v>21055</v>
      </c>
      <c r="BD2899" s="87">
        <v>2645566484</v>
      </c>
      <c r="BE2899" s="87"/>
      <c r="BF2899" s="87"/>
      <c r="BG2899" s="87"/>
      <c r="BH2899" s="87"/>
      <c r="BI2899" s="87"/>
    </row>
    <row r="2900" spans="1:61" x14ac:dyDescent="0.25">
      <c r="A2900" s="63" t="s">
        <v>1087</v>
      </c>
      <c r="B2900" s="63" t="s">
        <v>1087</v>
      </c>
      <c r="C2900" s="64"/>
      <c r="D2900" s="65"/>
      <c r="E2900" s="66"/>
      <c r="F2900" s="67"/>
      <c r="G2900" s="64"/>
      <c r="H2900" s="68"/>
      <c r="I2900" s="69"/>
      <c r="J2900" s="69"/>
      <c r="K2900" s="32"/>
      <c r="L2900" s="76">
        <v>2900</v>
      </c>
      <c r="M2900" s="76"/>
      <c r="N2900" s="71"/>
      <c r="O2900" s="87" t="s">
        <v>179</v>
      </c>
      <c r="P2900" s="90">
        <v>45125.789664351854</v>
      </c>
      <c r="Q2900" s="87" t="s">
        <v>4608</v>
      </c>
      <c r="R2900" s="87">
        <v>0</v>
      </c>
      <c r="S2900" s="87">
        <v>0</v>
      </c>
      <c r="T2900" s="87">
        <v>0</v>
      </c>
      <c r="U2900" s="87">
        <v>0</v>
      </c>
      <c r="V2900" s="87">
        <v>11</v>
      </c>
      <c r="W2900" s="93" t="s">
        <v>7467</v>
      </c>
      <c r="X2900" s="87"/>
      <c r="Y2900" s="87"/>
      <c r="Z2900" s="87"/>
      <c r="AA2900" s="87" t="s">
        <v>10606</v>
      </c>
      <c r="AB2900" s="87" t="s">
        <v>11448</v>
      </c>
      <c r="AC2900" s="93" t="s">
        <v>11462</v>
      </c>
      <c r="AD2900" s="87" t="s">
        <v>11519</v>
      </c>
      <c r="AE2900" s="92" t="str">
        <f>HYPERLINK("https://twitter.com/esteticadieny/status/1681377576453799948")</f>
        <v>https://twitter.com/esteticadieny/status/1681377576453799948</v>
      </c>
      <c r="AF2900" s="90">
        <v>45125.789664351854</v>
      </c>
      <c r="AG2900" s="99">
        <v>45125</v>
      </c>
      <c r="AH2900" s="93" t="s">
        <v>14128</v>
      </c>
      <c r="AI2900" s="87" t="b">
        <v>0</v>
      </c>
      <c r="AJ2900" s="87"/>
      <c r="AK2900" s="87"/>
      <c r="AL2900" s="87"/>
      <c r="AM2900" s="87"/>
      <c r="AN2900" s="87"/>
      <c r="AO2900" s="87"/>
      <c r="AP2900" s="87"/>
      <c r="AQ2900" s="87" t="s">
        <v>17418</v>
      </c>
      <c r="AR2900" s="87"/>
      <c r="AS2900" s="87"/>
      <c r="AT2900" s="87"/>
      <c r="AU2900" s="87"/>
      <c r="AV2900" s="92" t="str">
        <f>HYPERLINK("https://pbs.twimg.com/media/F1Vz_sDXwAU-gLb.jpg")</f>
        <v>https://pbs.twimg.com/media/F1Vz_sDXwAU-gLb.jpg</v>
      </c>
      <c r="AW2900" s="93" t="s">
        <v>21056</v>
      </c>
      <c r="AX2900" s="93" t="s">
        <v>21056</v>
      </c>
      <c r="AY2900" s="87"/>
      <c r="AZ2900" s="93" t="s">
        <v>22668</v>
      </c>
      <c r="BA2900" s="93" t="s">
        <v>22668</v>
      </c>
      <c r="BB2900" s="93" t="s">
        <v>22668</v>
      </c>
      <c r="BC2900" s="93" t="s">
        <v>21056</v>
      </c>
      <c r="BD2900" s="93" t="s">
        <v>23287</v>
      </c>
      <c r="BE2900" s="87"/>
      <c r="BF2900" s="87"/>
      <c r="BG2900" s="87"/>
      <c r="BH2900" s="87"/>
      <c r="BI2900" s="87"/>
    </row>
    <row r="2901" spans="1:61" x14ac:dyDescent="0.25">
      <c r="A2901" s="63" t="s">
        <v>1087</v>
      </c>
      <c r="B2901" s="63" t="s">
        <v>1087</v>
      </c>
      <c r="C2901" s="64"/>
      <c r="D2901" s="65"/>
      <c r="E2901" s="66"/>
      <c r="F2901" s="67"/>
      <c r="G2901" s="64"/>
      <c r="H2901" s="68"/>
      <c r="I2901" s="69"/>
      <c r="J2901" s="69"/>
      <c r="K2901" s="32"/>
      <c r="L2901" s="76">
        <v>2901</v>
      </c>
      <c r="M2901" s="76"/>
      <c r="N2901" s="71"/>
      <c r="O2901" s="87" t="s">
        <v>179</v>
      </c>
      <c r="P2901" s="90">
        <v>45125.782025462962</v>
      </c>
      <c r="Q2901" s="87" t="s">
        <v>4609</v>
      </c>
      <c r="R2901" s="87">
        <v>0</v>
      </c>
      <c r="S2901" s="87">
        <v>0</v>
      </c>
      <c r="T2901" s="87">
        <v>0</v>
      </c>
      <c r="U2901" s="87">
        <v>0</v>
      </c>
      <c r="V2901" s="87">
        <v>14</v>
      </c>
      <c r="W2901" s="93" t="s">
        <v>7468</v>
      </c>
      <c r="X2901" s="87"/>
      <c r="Y2901" s="87"/>
      <c r="Z2901" s="87"/>
      <c r="AA2901" s="87" t="s">
        <v>10607</v>
      </c>
      <c r="AB2901" s="87" t="s">
        <v>11448</v>
      </c>
      <c r="AC2901" s="93" t="s">
        <v>11462</v>
      </c>
      <c r="AD2901" s="87" t="s">
        <v>11519</v>
      </c>
      <c r="AE2901" s="92" t="str">
        <f>HYPERLINK("https://twitter.com/esteticadieny/status/1681374808695504896")</f>
        <v>https://twitter.com/esteticadieny/status/1681374808695504896</v>
      </c>
      <c r="AF2901" s="90">
        <v>45125.782025462962</v>
      </c>
      <c r="AG2901" s="99">
        <v>45125</v>
      </c>
      <c r="AH2901" s="93" t="s">
        <v>14129</v>
      </c>
      <c r="AI2901" s="87" t="b">
        <v>0</v>
      </c>
      <c r="AJ2901" s="87"/>
      <c r="AK2901" s="87"/>
      <c r="AL2901" s="87"/>
      <c r="AM2901" s="87"/>
      <c r="AN2901" s="87"/>
      <c r="AO2901" s="87"/>
      <c r="AP2901" s="87"/>
      <c r="AQ2901" s="87" t="s">
        <v>17419</v>
      </c>
      <c r="AR2901" s="87"/>
      <c r="AS2901" s="87"/>
      <c r="AT2901" s="87"/>
      <c r="AU2901" s="87"/>
      <c r="AV2901" s="92" t="str">
        <f>HYPERLINK("https://pbs.twimg.com/media/F1VxempWACwzos4.jpg")</f>
        <v>https://pbs.twimg.com/media/F1VxempWACwzos4.jpg</v>
      </c>
      <c r="AW2901" s="93" t="s">
        <v>21057</v>
      </c>
      <c r="AX2901" s="93" t="s">
        <v>21057</v>
      </c>
      <c r="AY2901" s="87"/>
      <c r="AZ2901" s="93" t="s">
        <v>22668</v>
      </c>
      <c r="BA2901" s="93" t="s">
        <v>22668</v>
      </c>
      <c r="BB2901" s="93" t="s">
        <v>22668</v>
      </c>
      <c r="BC2901" s="93" t="s">
        <v>21057</v>
      </c>
      <c r="BD2901" s="93" t="s">
        <v>23287</v>
      </c>
      <c r="BE2901" s="87"/>
      <c r="BF2901" s="87"/>
      <c r="BG2901" s="87"/>
      <c r="BH2901" s="87"/>
      <c r="BI2901" s="87"/>
    </row>
    <row r="2902" spans="1:61" x14ac:dyDescent="0.25">
      <c r="A2902" s="63" t="s">
        <v>1087</v>
      </c>
      <c r="B2902" s="63" t="s">
        <v>1087</v>
      </c>
      <c r="C2902" s="64"/>
      <c r="D2902" s="65"/>
      <c r="E2902" s="66"/>
      <c r="F2902" s="67"/>
      <c r="G2902" s="64"/>
      <c r="H2902" s="68"/>
      <c r="I2902" s="69"/>
      <c r="J2902" s="69"/>
      <c r="K2902" s="32"/>
      <c r="L2902" s="76">
        <v>2902</v>
      </c>
      <c r="M2902" s="76"/>
      <c r="N2902" s="71"/>
      <c r="O2902" s="87" t="s">
        <v>179</v>
      </c>
      <c r="P2902" s="90">
        <v>45125.771226851852</v>
      </c>
      <c r="Q2902" s="87" t="s">
        <v>4610</v>
      </c>
      <c r="R2902" s="87">
        <v>0</v>
      </c>
      <c r="S2902" s="87">
        <v>0</v>
      </c>
      <c r="T2902" s="87">
        <v>0</v>
      </c>
      <c r="U2902" s="87">
        <v>0</v>
      </c>
      <c r="V2902" s="87">
        <v>94</v>
      </c>
      <c r="W2902" s="93" t="s">
        <v>7469</v>
      </c>
      <c r="X2902" s="87"/>
      <c r="Y2902" s="87"/>
      <c r="Z2902" s="87"/>
      <c r="AA2902" s="87" t="s">
        <v>10608</v>
      </c>
      <c r="AB2902" s="87" t="s">
        <v>11447</v>
      </c>
      <c r="AC2902" s="93" t="s">
        <v>11462</v>
      </c>
      <c r="AD2902" s="87" t="s">
        <v>11519</v>
      </c>
      <c r="AE2902" s="92" t="str">
        <f>HYPERLINK("https://twitter.com/esteticadieny/status/1681370895837691914")</f>
        <v>https://twitter.com/esteticadieny/status/1681370895837691914</v>
      </c>
      <c r="AF2902" s="90">
        <v>45125.771226851852</v>
      </c>
      <c r="AG2902" s="99">
        <v>45125</v>
      </c>
      <c r="AH2902" s="93" t="s">
        <v>14130</v>
      </c>
      <c r="AI2902" s="87" t="b">
        <v>0</v>
      </c>
      <c r="AJ2902" s="87"/>
      <c r="AK2902" s="87"/>
      <c r="AL2902" s="87"/>
      <c r="AM2902" s="87"/>
      <c r="AN2902" s="87"/>
      <c r="AO2902" s="87"/>
      <c r="AP2902" s="87"/>
      <c r="AQ2902" s="87" t="s">
        <v>17420</v>
      </c>
      <c r="AR2902" s="87">
        <v>59800</v>
      </c>
      <c r="AS2902" s="87"/>
      <c r="AT2902" s="87"/>
      <c r="AU2902" s="87"/>
      <c r="AV2902" s="92" t="str">
        <f>HYPERLINK("https://pbs.twimg.com/ext_tw_video_thumb/1681370845581639681/pu/img/pU07F5mSi3XY8G28.jpg")</f>
        <v>https://pbs.twimg.com/ext_tw_video_thumb/1681370845581639681/pu/img/pU07F5mSi3XY8G28.jpg</v>
      </c>
      <c r="AW2902" s="93" t="s">
        <v>21058</v>
      </c>
      <c r="AX2902" s="93" t="s">
        <v>21058</v>
      </c>
      <c r="AY2902" s="87"/>
      <c r="AZ2902" s="93" t="s">
        <v>22668</v>
      </c>
      <c r="BA2902" s="93" t="s">
        <v>22668</v>
      </c>
      <c r="BB2902" s="93" t="s">
        <v>22668</v>
      </c>
      <c r="BC2902" s="93" t="s">
        <v>21058</v>
      </c>
      <c r="BD2902" s="93" t="s">
        <v>23287</v>
      </c>
      <c r="BE2902" s="87"/>
      <c r="BF2902" s="87"/>
      <c r="BG2902" s="87"/>
      <c r="BH2902" s="87"/>
      <c r="BI2902" s="87"/>
    </row>
    <row r="2903" spans="1:61" x14ac:dyDescent="0.25">
      <c r="A2903" s="63" t="s">
        <v>1087</v>
      </c>
      <c r="B2903" s="63" t="s">
        <v>1087</v>
      </c>
      <c r="C2903" s="64"/>
      <c r="D2903" s="65"/>
      <c r="E2903" s="66"/>
      <c r="F2903" s="67"/>
      <c r="G2903" s="64"/>
      <c r="H2903" s="68"/>
      <c r="I2903" s="69"/>
      <c r="J2903" s="69"/>
      <c r="K2903" s="32"/>
      <c r="L2903" s="76">
        <v>2903</v>
      </c>
      <c r="M2903" s="76"/>
      <c r="N2903" s="71"/>
      <c r="O2903" s="87" t="s">
        <v>179</v>
      </c>
      <c r="P2903" s="90">
        <v>45133.581412037034</v>
      </c>
      <c r="Q2903" s="87" t="s">
        <v>4611</v>
      </c>
      <c r="R2903" s="87">
        <v>0</v>
      </c>
      <c r="S2903" s="87">
        <v>1</v>
      </c>
      <c r="T2903" s="87">
        <v>0</v>
      </c>
      <c r="U2903" s="87">
        <v>0</v>
      </c>
      <c r="V2903" s="87">
        <v>22</v>
      </c>
      <c r="W2903" s="93" t="s">
        <v>7470</v>
      </c>
      <c r="X2903" s="87"/>
      <c r="Y2903" s="87"/>
      <c r="Z2903" s="87"/>
      <c r="AA2903" s="87" t="s">
        <v>10609</v>
      </c>
      <c r="AB2903" s="87" t="s">
        <v>11447</v>
      </c>
      <c r="AC2903" s="93" t="s">
        <v>11462</v>
      </c>
      <c r="AD2903" s="87" t="s">
        <v>11519</v>
      </c>
      <c r="AE2903" s="92" t="str">
        <f>HYPERLINK("https://twitter.com/esteticadieny/status/1684201213640822786")</f>
        <v>https://twitter.com/esteticadieny/status/1684201213640822786</v>
      </c>
      <c r="AF2903" s="90">
        <v>45133.581412037034</v>
      </c>
      <c r="AG2903" s="99">
        <v>45133</v>
      </c>
      <c r="AH2903" s="93" t="s">
        <v>14131</v>
      </c>
      <c r="AI2903" s="87" t="b">
        <v>0</v>
      </c>
      <c r="AJ2903" s="87"/>
      <c r="AK2903" s="87"/>
      <c r="AL2903" s="87"/>
      <c r="AM2903" s="87"/>
      <c r="AN2903" s="87"/>
      <c r="AO2903" s="87"/>
      <c r="AP2903" s="87"/>
      <c r="AQ2903" s="87" t="s">
        <v>17421</v>
      </c>
      <c r="AR2903" s="87">
        <v>54300</v>
      </c>
      <c r="AS2903" s="87"/>
      <c r="AT2903" s="87"/>
      <c r="AU2903" s="87"/>
      <c r="AV2903" s="92" t="str">
        <f>HYPERLINK("https://pbs.twimg.com/ext_tw_video_thumb/1684201162663141376/pu/img/d-knF-AW8N2g9zsY.jpg")</f>
        <v>https://pbs.twimg.com/ext_tw_video_thumb/1684201162663141376/pu/img/d-knF-AW8N2g9zsY.jpg</v>
      </c>
      <c r="AW2903" s="93" t="s">
        <v>21059</v>
      </c>
      <c r="AX2903" s="93" t="s">
        <v>21059</v>
      </c>
      <c r="AY2903" s="87"/>
      <c r="AZ2903" s="93" t="s">
        <v>22668</v>
      </c>
      <c r="BA2903" s="93" t="s">
        <v>22668</v>
      </c>
      <c r="BB2903" s="93" t="s">
        <v>22668</v>
      </c>
      <c r="BC2903" s="93" t="s">
        <v>21059</v>
      </c>
      <c r="BD2903" s="93" t="s">
        <v>23287</v>
      </c>
      <c r="BE2903" s="87"/>
      <c r="BF2903" s="87"/>
      <c r="BG2903" s="87"/>
      <c r="BH2903" s="87"/>
      <c r="BI2903" s="87"/>
    </row>
    <row r="2904" spans="1:61" x14ac:dyDescent="0.25">
      <c r="A2904" s="63" t="s">
        <v>1087</v>
      </c>
      <c r="B2904" s="63" t="s">
        <v>1087</v>
      </c>
      <c r="C2904" s="64"/>
      <c r="D2904" s="65"/>
      <c r="E2904" s="66"/>
      <c r="F2904" s="67"/>
      <c r="G2904" s="64"/>
      <c r="H2904" s="68"/>
      <c r="I2904" s="69"/>
      <c r="J2904" s="69"/>
      <c r="K2904" s="32"/>
      <c r="L2904" s="76">
        <v>2904</v>
      </c>
      <c r="M2904" s="76"/>
      <c r="N2904" s="71"/>
      <c r="O2904" s="87" t="s">
        <v>179</v>
      </c>
      <c r="P2904" s="90">
        <v>45132.874606481484</v>
      </c>
      <c r="Q2904" s="87" t="s">
        <v>4612</v>
      </c>
      <c r="R2904" s="87">
        <v>0</v>
      </c>
      <c r="S2904" s="87">
        <v>0</v>
      </c>
      <c r="T2904" s="87">
        <v>0</v>
      </c>
      <c r="U2904" s="87">
        <v>0</v>
      </c>
      <c r="V2904" s="87">
        <v>26</v>
      </c>
      <c r="W2904" s="93" t="s">
        <v>7471</v>
      </c>
      <c r="X2904" s="92" t="str">
        <f>HYPERLINK("https://www.instagram.com/p/CvDNA36NfVl/")</f>
        <v>https://www.instagram.com/p/CvDNA36NfVl/</v>
      </c>
      <c r="Y2904" s="87" t="s">
        <v>8383</v>
      </c>
      <c r="Z2904" s="87"/>
      <c r="AA2904" s="87" t="s">
        <v>10610</v>
      </c>
      <c r="AB2904" s="87" t="s">
        <v>11447</v>
      </c>
      <c r="AC2904" s="93" t="s">
        <v>11462</v>
      </c>
      <c r="AD2904" s="87" t="s">
        <v>11519</v>
      </c>
      <c r="AE2904" s="92" t="str">
        <f>HYPERLINK("https://twitter.com/esteticadieny/status/1683945073950482436")</f>
        <v>https://twitter.com/esteticadieny/status/1683945073950482436</v>
      </c>
      <c r="AF2904" s="90">
        <v>45132.874606481484</v>
      </c>
      <c r="AG2904" s="99">
        <v>45132</v>
      </c>
      <c r="AH2904" s="93" t="s">
        <v>14132</v>
      </c>
      <c r="AI2904" s="87" t="b">
        <v>0</v>
      </c>
      <c r="AJ2904" s="87"/>
      <c r="AK2904" s="87"/>
      <c r="AL2904" s="87"/>
      <c r="AM2904" s="87"/>
      <c r="AN2904" s="87"/>
      <c r="AO2904" s="87"/>
      <c r="AP2904" s="87"/>
      <c r="AQ2904" s="87" t="s">
        <v>17422</v>
      </c>
      <c r="AR2904" s="87">
        <v>25433</v>
      </c>
      <c r="AS2904" s="87"/>
      <c r="AT2904" s="87"/>
      <c r="AU2904" s="87"/>
      <c r="AV2904" s="92" t="str">
        <f>HYPERLINK("https://pbs.twimg.com/ext_tw_video_thumb/1683945028383637505/pu/img/TOsPLFbQkDCUtjbp.jpg")</f>
        <v>https://pbs.twimg.com/ext_tw_video_thumb/1683945028383637505/pu/img/TOsPLFbQkDCUtjbp.jpg</v>
      </c>
      <c r="AW2904" s="93" t="s">
        <v>21060</v>
      </c>
      <c r="AX2904" s="93" t="s">
        <v>21060</v>
      </c>
      <c r="AY2904" s="87"/>
      <c r="AZ2904" s="93" t="s">
        <v>22668</v>
      </c>
      <c r="BA2904" s="93" t="s">
        <v>22668</v>
      </c>
      <c r="BB2904" s="93" t="s">
        <v>22668</v>
      </c>
      <c r="BC2904" s="93" t="s">
        <v>21060</v>
      </c>
      <c r="BD2904" s="93" t="s">
        <v>23287</v>
      </c>
      <c r="BE2904" s="87"/>
      <c r="BF2904" s="87"/>
      <c r="BG2904" s="87"/>
      <c r="BH2904" s="87"/>
      <c r="BI2904" s="87"/>
    </row>
    <row r="2905" spans="1:61" x14ac:dyDescent="0.25">
      <c r="A2905" s="63" t="s">
        <v>1087</v>
      </c>
      <c r="B2905" s="63" t="s">
        <v>1087</v>
      </c>
      <c r="C2905" s="64"/>
      <c r="D2905" s="65"/>
      <c r="E2905" s="66"/>
      <c r="F2905" s="67"/>
      <c r="G2905" s="64"/>
      <c r="H2905" s="68"/>
      <c r="I2905" s="69"/>
      <c r="J2905" s="69"/>
      <c r="K2905" s="32"/>
      <c r="L2905" s="76">
        <v>2905</v>
      </c>
      <c r="M2905" s="76"/>
      <c r="N2905" s="71"/>
      <c r="O2905" s="87" t="s">
        <v>179</v>
      </c>
      <c r="P2905" s="90">
        <v>45121.810578703706</v>
      </c>
      <c r="Q2905" s="87" t="s">
        <v>4613</v>
      </c>
      <c r="R2905" s="87">
        <v>0</v>
      </c>
      <c r="S2905" s="87">
        <v>0</v>
      </c>
      <c r="T2905" s="87">
        <v>0</v>
      </c>
      <c r="U2905" s="87">
        <v>0</v>
      </c>
      <c r="V2905" s="87">
        <v>7</v>
      </c>
      <c r="W2905" s="93" t="s">
        <v>5897</v>
      </c>
      <c r="X2905" s="87"/>
      <c r="Y2905" s="87"/>
      <c r="Z2905" s="87"/>
      <c r="AA2905" s="87" t="s">
        <v>10611</v>
      </c>
      <c r="AB2905" s="87" t="s">
        <v>11450</v>
      </c>
      <c r="AC2905" s="93" t="s">
        <v>11457</v>
      </c>
      <c r="AD2905" s="87" t="s">
        <v>11519</v>
      </c>
      <c r="AE2905" s="92" t="str">
        <f>HYPERLINK("https://twitter.com/esteticadieny/status/1679935605885616129")</f>
        <v>https://twitter.com/esteticadieny/status/1679935605885616129</v>
      </c>
      <c r="AF2905" s="90">
        <v>45121.810578703706</v>
      </c>
      <c r="AG2905" s="99">
        <v>45121</v>
      </c>
      <c r="AH2905" s="93" t="s">
        <v>14133</v>
      </c>
      <c r="AI2905" s="87" t="b">
        <v>0</v>
      </c>
      <c r="AJ2905" s="87"/>
      <c r="AK2905" s="87"/>
      <c r="AL2905" s="87"/>
      <c r="AM2905" s="87"/>
      <c r="AN2905" s="87"/>
      <c r="AO2905" s="87"/>
      <c r="AP2905" s="87"/>
      <c r="AQ2905" s="87" t="s">
        <v>17423</v>
      </c>
      <c r="AR2905" s="87"/>
      <c r="AS2905" s="87"/>
      <c r="AT2905" s="87"/>
      <c r="AU2905" s="87"/>
      <c r="AV2905" s="92" t="str">
        <f>HYPERLINK("https://pbs.twimg.com/media/F1BUeFcWwAc7Rcp.jpg")</f>
        <v>https://pbs.twimg.com/media/F1BUeFcWwAc7Rcp.jpg</v>
      </c>
      <c r="AW2905" s="93" t="s">
        <v>21061</v>
      </c>
      <c r="AX2905" s="93" t="s">
        <v>21061</v>
      </c>
      <c r="AY2905" s="87"/>
      <c r="AZ2905" s="93" t="s">
        <v>22668</v>
      </c>
      <c r="BA2905" s="93" t="s">
        <v>22668</v>
      </c>
      <c r="BB2905" s="93" t="s">
        <v>22668</v>
      </c>
      <c r="BC2905" s="93" t="s">
        <v>21061</v>
      </c>
      <c r="BD2905" s="93" t="s">
        <v>23287</v>
      </c>
      <c r="BE2905" s="87"/>
      <c r="BF2905" s="87"/>
      <c r="BG2905" s="87"/>
      <c r="BH2905" s="87"/>
      <c r="BI2905" s="87"/>
    </row>
    <row r="2906" spans="1:61" x14ac:dyDescent="0.25">
      <c r="A2906" s="63" t="s">
        <v>1088</v>
      </c>
      <c r="B2906" s="63" t="s">
        <v>1088</v>
      </c>
      <c r="C2906" s="64"/>
      <c r="D2906" s="65"/>
      <c r="E2906" s="66"/>
      <c r="F2906" s="67"/>
      <c r="G2906" s="64"/>
      <c r="H2906" s="68"/>
      <c r="I2906" s="69"/>
      <c r="J2906" s="69"/>
      <c r="K2906" s="32"/>
      <c r="L2906" s="76">
        <v>2906</v>
      </c>
      <c r="M2906" s="76"/>
      <c r="N2906" s="71"/>
      <c r="O2906" s="87" t="s">
        <v>179</v>
      </c>
      <c r="P2906" s="90">
        <v>45181.756435185183</v>
      </c>
      <c r="Q2906" s="87" t="s">
        <v>4614</v>
      </c>
      <c r="R2906" s="87">
        <v>0</v>
      </c>
      <c r="S2906" s="87">
        <v>0</v>
      </c>
      <c r="T2906" s="87">
        <v>0</v>
      </c>
      <c r="U2906" s="87">
        <v>0</v>
      </c>
      <c r="V2906" s="87">
        <v>46</v>
      </c>
      <c r="W2906" s="93" t="s">
        <v>7472</v>
      </c>
      <c r="X2906" s="87"/>
      <c r="Y2906" s="87"/>
      <c r="Z2906" s="87"/>
      <c r="AA2906" s="87" t="s">
        <v>10612</v>
      </c>
      <c r="AB2906" s="87" t="s">
        <v>11447</v>
      </c>
      <c r="AC2906" s="93" t="s">
        <v>11458</v>
      </c>
      <c r="AD2906" s="87" t="s">
        <v>11519</v>
      </c>
      <c r="AE2906" s="92" t="str">
        <f>HYPERLINK("https://twitter.com/pedromar1no/status/1701659257660207177")</f>
        <v>https://twitter.com/pedromar1no/status/1701659257660207177</v>
      </c>
      <c r="AF2906" s="90">
        <v>45181.756435185183</v>
      </c>
      <c r="AG2906" s="99">
        <v>45181</v>
      </c>
      <c r="AH2906" s="93" t="s">
        <v>14134</v>
      </c>
      <c r="AI2906" s="87" t="b">
        <v>0</v>
      </c>
      <c r="AJ2906" s="87"/>
      <c r="AK2906" s="87"/>
      <c r="AL2906" s="87"/>
      <c r="AM2906" s="87"/>
      <c r="AN2906" s="87"/>
      <c r="AO2906" s="87"/>
      <c r="AP2906" s="87"/>
      <c r="AQ2906" s="87" t="s">
        <v>17424</v>
      </c>
      <c r="AR2906" s="87">
        <v>11966</v>
      </c>
      <c r="AS2906" s="87"/>
      <c r="AT2906" s="87"/>
      <c r="AU2906" s="87"/>
      <c r="AV2906" s="92" t="str">
        <f>HYPERLINK("https://pbs.twimg.com/ext_tw_video_thumb/1701659211258580992/pu/img/It1hpivwmUvGa2rX.jpg")</f>
        <v>https://pbs.twimg.com/ext_tw_video_thumb/1701659211258580992/pu/img/It1hpivwmUvGa2rX.jpg</v>
      </c>
      <c r="AW2906" s="93" t="s">
        <v>21062</v>
      </c>
      <c r="AX2906" s="93" t="s">
        <v>21062</v>
      </c>
      <c r="AY2906" s="87"/>
      <c r="AZ2906" s="93" t="s">
        <v>22668</v>
      </c>
      <c r="BA2906" s="93" t="s">
        <v>22668</v>
      </c>
      <c r="BB2906" s="93" t="s">
        <v>22668</v>
      </c>
      <c r="BC2906" s="93" t="s">
        <v>21062</v>
      </c>
      <c r="BD2906" s="93" t="s">
        <v>23288</v>
      </c>
      <c r="BE2906" s="87"/>
      <c r="BF2906" s="87"/>
      <c r="BG2906" s="87"/>
      <c r="BH2906" s="87"/>
      <c r="BI2906" s="87"/>
    </row>
    <row r="2907" spans="1:61" x14ac:dyDescent="0.25">
      <c r="A2907" s="63" t="s">
        <v>1089</v>
      </c>
      <c r="B2907" s="63" t="s">
        <v>1089</v>
      </c>
      <c r="C2907" s="64"/>
      <c r="D2907" s="65"/>
      <c r="E2907" s="66"/>
      <c r="F2907" s="67"/>
      <c r="G2907" s="64"/>
      <c r="H2907" s="68"/>
      <c r="I2907" s="69"/>
      <c r="J2907" s="69"/>
      <c r="K2907" s="32"/>
      <c r="L2907" s="76">
        <v>2907</v>
      </c>
      <c r="M2907" s="76"/>
      <c r="N2907" s="71"/>
      <c r="O2907" s="87" t="s">
        <v>179</v>
      </c>
      <c r="P2907" s="90">
        <v>45110.752314814818</v>
      </c>
      <c r="Q2907" s="87" t="s">
        <v>4615</v>
      </c>
      <c r="R2907" s="87">
        <v>1</v>
      </c>
      <c r="S2907" s="87">
        <v>2</v>
      </c>
      <c r="T2907" s="87">
        <v>1</v>
      </c>
      <c r="U2907" s="87">
        <v>0</v>
      </c>
      <c r="V2907" s="87">
        <v>37</v>
      </c>
      <c r="W2907" s="93" t="s">
        <v>7473</v>
      </c>
      <c r="X2907" s="87"/>
      <c r="Y2907" s="87"/>
      <c r="Z2907" s="87"/>
      <c r="AA2907" s="87" t="s">
        <v>10613</v>
      </c>
      <c r="AB2907" s="87" t="s">
        <v>11450</v>
      </c>
      <c r="AC2907" s="93" t="s">
        <v>11458</v>
      </c>
      <c r="AD2907" s="87" t="s">
        <v>11519</v>
      </c>
      <c r="AE2907" s="92" t="str">
        <f>HYPERLINK("https://twitter.com/exemplusconsult/status/1675928225615061002")</f>
        <v>https://twitter.com/exemplusconsult/status/1675928225615061002</v>
      </c>
      <c r="AF2907" s="90">
        <v>45110.752314814818</v>
      </c>
      <c r="AG2907" s="99">
        <v>45110</v>
      </c>
      <c r="AH2907" s="93" t="s">
        <v>14135</v>
      </c>
      <c r="AI2907" s="87" t="b">
        <v>0</v>
      </c>
      <c r="AJ2907" s="87"/>
      <c r="AK2907" s="87"/>
      <c r="AL2907" s="87"/>
      <c r="AM2907" s="87"/>
      <c r="AN2907" s="87"/>
      <c r="AO2907" s="87"/>
      <c r="AP2907" s="87"/>
      <c r="AQ2907" s="87" t="s">
        <v>17425</v>
      </c>
      <c r="AR2907" s="87"/>
      <c r="AS2907" s="87"/>
      <c r="AT2907" s="87"/>
      <c r="AU2907" s="87"/>
      <c r="AV2907" s="92" t="str">
        <f>HYPERLINK("https://pbs.twimg.com/media/F0IX1pMWIA8DYb0.jpg")</f>
        <v>https://pbs.twimg.com/media/F0IX1pMWIA8DYb0.jpg</v>
      </c>
      <c r="AW2907" s="93" t="s">
        <v>21063</v>
      </c>
      <c r="AX2907" s="93" t="s">
        <v>21063</v>
      </c>
      <c r="AY2907" s="87"/>
      <c r="AZ2907" s="93" t="s">
        <v>22668</v>
      </c>
      <c r="BA2907" s="93" t="s">
        <v>22668</v>
      </c>
      <c r="BB2907" s="93" t="s">
        <v>22668</v>
      </c>
      <c r="BC2907" s="93" t="s">
        <v>21063</v>
      </c>
      <c r="BD2907" s="93" t="s">
        <v>23289</v>
      </c>
      <c r="BE2907" s="87"/>
      <c r="BF2907" s="87"/>
      <c r="BG2907" s="87"/>
      <c r="BH2907" s="87"/>
      <c r="BI2907" s="87"/>
    </row>
    <row r="2908" spans="1:61" x14ac:dyDescent="0.25">
      <c r="A2908" s="63" t="s">
        <v>1090</v>
      </c>
      <c r="B2908" s="63" t="s">
        <v>1090</v>
      </c>
      <c r="C2908" s="64"/>
      <c r="D2908" s="65"/>
      <c r="E2908" s="66"/>
      <c r="F2908" s="67"/>
      <c r="G2908" s="64"/>
      <c r="H2908" s="68"/>
      <c r="I2908" s="69"/>
      <c r="J2908" s="69"/>
      <c r="K2908" s="32"/>
      <c r="L2908" s="76">
        <v>2908</v>
      </c>
      <c r="M2908" s="76"/>
      <c r="N2908" s="71"/>
      <c r="O2908" s="87" t="s">
        <v>179</v>
      </c>
      <c r="P2908" s="90">
        <v>45180.490104166667</v>
      </c>
      <c r="Q2908" s="87" t="s">
        <v>4616</v>
      </c>
      <c r="R2908" s="87">
        <v>0</v>
      </c>
      <c r="S2908" s="87">
        <v>0</v>
      </c>
      <c r="T2908" s="87">
        <v>0</v>
      </c>
      <c r="U2908" s="87">
        <v>0</v>
      </c>
      <c r="V2908" s="87">
        <v>2</v>
      </c>
      <c r="W2908" s="93" t="s">
        <v>7474</v>
      </c>
      <c r="X2908" s="87"/>
      <c r="Y2908" s="87"/>
      <c r="Z2908" s="87"/>
      <c r="AA2908" s="87" t="s">
        <v>10614</v>
      </c>
      <c r="AB2908" s="87" t="s">
        <v>11447</v>
      </c>
      <c r="AC2908" s="93" t="s">
        <v>11459</v>
      </c>
      <c r="AD2908" s="87" t="s">
        <v>11519</v>
      </c>
      <c r="AE2908" s="92" t="str">
        <f>HYPERLINK("https://twitter.com/organico27643/status/1701200350676414555")</f>
        <v>https://twitter.com/organico27643/status/1701200350676414555</v>
      </c>
      <c r="AF2908" s="90">
        <v>45180.490104166667</v>
      </c>
      <c r="AG2908" s="99">
        <v>45180</v>
      </c>
      <c r="AH2908" s="93" t="s">
        <v>14136</v>
      </c>
      <c r="AI2908" s="87" t="b">
        <v>0</v>
      </c>
      <c r="AJ2908" s="87"/>
      <c r="AK2908" s="87"/>
      <c r="AL2908" s="87"/>
      <c r="AM2908" s="87"/>
      <c r="AN2908" s="87"/>
      <c r="AO2908" s="87"/>
      <c r="AP2908" s="87"/>
      <c r="AQ2908" s="87" t="s">
        <v>17426</v>
      </c>
      <c r="AR2908" s="87">
        <v>10100</v>
      </c>
      <c r="AS2908" s="87"/>
      <c r="AT2908" s="87"/>
      <c r="AU2908" s="87"/>
      <c r="AV2908" s="92" t="str">
        <f>HYPERLINK("https://pbs.twimg.com/ext_tw_video_thumb/1701200319529574401/pu/img/JDsNiV5Aghc8e9XD.jpg")</f>
        <v>https://pbs.twimg.com/ext_tw_video_thumb/1701200319529574401/pu/img/JDsNiV5Aghc8e9XD.jpg</v>
      </c>
      <c r="AW2908" s="93" t="s">
        <v>21064</v>
      </c>
      <c r="AX2908" s="93" t="s">
        <v>21064</v>
      </c>
      <c r="AY2908" s="87"/>
      <c r="AZ2908" s="93" t="s">
        <v>22668</v>
      </c>
      <c r="BA2908" s="93" t="s">
        <v>22668</v>
      </c>
      <c r="BB2908" s="93" t="s">
        <v>22668</v>
      </c>
      <c r="BC2908" s="93" t="s">
        <v>21064</v>
      </c>
      <c r="BD2908" s="93" t="s">
        <v>23290</v>
      </c>
      <c r="BE2908" s="87"/>
      <c r="BF2908" s="87"/>
      <c r="BG2908" s="87"/>
      <c r="BH2908" s="87"/>
      <c r="BI2908" s="87"/>
    </row>
    <row r="2909" spans="1:61" x14ac:dyDescent="0.25">
      <c r="A2909" s="63" t="s">
        <v>1091</v>
      </c>
      <c r="B2909" s="63" t="s">
        <v>1091</v>
      </c>
      <c r="C2909" s="64"/>
      <c r="D2909" s="65"/>
      <c r="E2909" s="66"/>
      <c r="F2909" s="67"/>
      <c r="G2909" s="64"/>
      <c r="H2909" s="68"/>
      <c r="I2909" s="69"/>
      <c r="J2909" s="69"/>
      <c r="K2909" s="32"/>
      <c r="L2909" s="76">
        <v>2909</v>
      </c>
      <c r="M2909" s="76"/>
      <c r="N2909" s="71"/>
      <c r="O2909" s="87" t="s">
        <v>179</v>
      </c>
      <c r="P2909" s="90">
        <v>45133.023819444446</v>
      </c>
      <c r="Q2909" s="87" t="s">
        <v>4617</v>
      </c>
      <c r="R2909" s="87">
        <v>0</v>
      </c>
      <c r="S2909" s="87">
        <v>1</v>
      </c>
      <c r="T2909" s="87">
        <v>0</v>
      </c>
      <c r="U2909" s="87">
        <v>0</v>
      </c>
      <c r="V2909" s="87">
        <v>24</v>
      </c>
      <c r="W2909" s="93" t="s">
        <v>7475</v>
      </c>
      <c r="X2909" s="87"/>
      <c r="Y2909" s="87"/>
      <c r="Z2909" s="87"/>
      <c r="AA2909" s="87" t="s">
        <v>10615</v>
      </c>
      <c r="AB2909" s="87" t="s">
        <v>11448</v>
      </c>
      <c r="AC2909" s="93" t="s">
        <v>11459</v>
      </c>
      <c r="AD2909" s="87" t="s">
        <v>11519</v>
      </c>
      <c r="AE2909" s="92" t="str">
        <f>HYPERLINK("https://twitter.com/lionsmarcas/status/1683999147387506691")</f>
        <v>https://twitter.com/lionsmarcas/status/1683999147387506691</v>
      </c>
      <c r="AF2909" s="90">
        <v>45133.023819444446</v>
      </c>
      <c r="AG2909" s="99">
        <v>45133</v>
      </c>
      <c r="AH2909" s="93" t="s">
        <v>14137</v>
      </c>
      <c r="AI2909" s="87" t="b">
        <v>0</v>
      </c>
      <c r="AJ2909" s="87"/>
      <c r="AK2909" s="87"/>
      <c r="AL2909" s="87"/>
      <c r="AM2909" s="87"/>
      <c r="AN2909" s="87"/>
      <c r="AO2909" s="87"/>
      <c r="AP2909" s="87"/>
      <c r="AQ2909" s="87" t="s">
        <v>17427</v>
      </c>
      <c r="AR2909" s="87"/>
      <c r="AS2909" s="87"/>
      <c r="AT2909" s="87"/>
      <c r="AU2909" s="87"/>
      <c r="AV2909" s="92" t="str">
        <f>HYPERLINK("https://pbs.twimg.com/media/F17ETOsXwAIlXeS.jpg")</f>
        <v>https://pbs.twimg.com/media/F17ETOsXwAIlXeS.jpg</v>
      </c>
      <c r="AW2909" s="93" t="s">
        <v>21065</v>
      </c>
      <c r="AX2909" s="93" t="s">
        <v>21065</v>
      </c>
      <c r="AY2909" s="87"/>
      <c r="AZ2909" s="93" t="s">
        <v>22668</v>
      </c>
      <c r="BA2909" s="93" t="s">
        <v>22668</v>
      </c>
      <c r="BB2909" s="93" t="s">
        <v>22668</v>
      </c>
      <c r="BC2909" s="93" t="s">
        <v>21065</v>
      </c>
      <c r="BD2909" s="93" t="s">
        <v>23291</v>
      </c>
      <c r="BE2909" s="87"/>
      <c r="BF2909" s="87"/>
      <c r="BG2909" s="87"/>
      <c r="BH2909" s="87"/>
      <c r="BI2909" s="87"/>
    </row>
    <row r="2910" spans="1:61" x14ac:dyDescent="0.25">
      <c r="A2910" s="63" t="s">
        <v>1092</v>
      </c>
      <c r="B2910" s="63" t="s">
        <v>1092</v>
      </c>
      <c r="C2910" s="64"/>
      <c r="D2910" s="65"/>
      <c r="E2910" s="66"/>
      <c r="F2910" s="67"/>
      <c r="G2910" s="64"/>
      <c r="H2910" s="68"/>
      <c r="I2910" s="69"/>
      <c r="J2910" s="69"/>
      <c r="K2910" s="32"/>
      <c r="L2910" s="76">
        <v>2910</v>
      </c>
      <c r="M2910" s="76"/>
      <c r="N2910" s="71"/>
      <c r="O2910" s="87" t="s">
        <v>179</v>
      </c>
      <c r="P2910" s="90">
        <v>45118.000011574077</v>
      </c>
      <c r="Q2910" s="87" t="s">
        <v>4618</v>
      </c>
      <c r="R2910" s="87">
        <v>0</v>
      </c>
      <c r="S2910" s="87">
        <v>0</v>
      </c>
      <c r="T2910" s="87">
        <v>0</v>
      </c>
      <c r="U2910" s="87">
        <v>0</v>
      </c>
      <c r="V2910" s="87">
        <v>11</v>
      </c>
      <c r="W2910" s="93" t="s">
        <v>7476</v>
      </c>
      <c r="X2910" s="87"/>
      <c r="Y2910" s="87"/>
      <c r="Z2910" s="87"/>
      <c r="AA2910" s="87" t="s">
        <v>10616</v>
      </c>
      <c r="AB2910" s="87" t="s">
        <v>11448</v>
      </c>
      <c r="AC2910" s="93" t="s">
        <v>11459</v>
      </c>
      <c r="AD2910" s="87" t="s">
        <v>11519</v>
      </c>
      <c r="AE2910" s="92" t="str">
        <f>HYPERLINK("https://twitter.com/diegoalvesfot/status/1678554701627785223")</f>
        <v>https://twitter.com/diegoalvesfot/status/1678554701627785223</v>
      </c>
      <c r="AF2910" s="90">
        <v>45118.000011574077</v>
      </c>
      <c r="AG2910" s="99">
        <v>45118</v>
      </c>
      <c r="AH2910" s="93" t="s">
        <v>11666</v>
      </c>
      <c r="AI2910" s="87" t="b">
        <v>0</v>
      </c>
      <c r="AJ2910" s="87"/>
      <c r="AK2910" s="87"/>
      <c r="AL2910" s="87"/>
      <c r="AM2910" s="87"/>
      <c r="AN2910" s="87"/>
      <c r="AO2910" s="87"/>
      <c r="AP2910" s="87"/>
      <c r="AQ2910" s="87" t="s">
        <v>17428</v>
      </c>
      <c r="AR2910" s="87"/>
      <c r="AS2910" s="87"/>
      <c r="AT2910" s="87"/>
      <c r="AU2910" s="87"/>
      <c r="AV2910" s="92" t="str">
        <f>HYPERLINK("https://pbs.twimg.com/media/F0tsmb_XgAIoIdV.jpg")</f>
        <v>https://pbs.twimg.com/media/F0tsmb_XgAIoIdV.jpg</v>
      </c>
      <c r="AW2910" s="93" t="s">
        <v>21066</v>
      </c>
      <c r="AX2910" s="93" t="s">
        <v>21066</v>
      </c>
      <c r="AY2910" s="87"/>
      <c r="AZ2910" s="93" t="s">
        <v>22668</v>
      </c>
      <c r="BA2910" s="93" t="s">
        <v>22668</v>
      </c>
      <c r="BB2910" s="93" t="s">
        <v>22668</v>
      </c>
      <c r="BC2910" s="93" t="s">
        <v>21066</v>
      </c>
      <c r="BD2910" s="93" t="s">
        <v>23292</v>
      </c>
      <c r="BE2910" s="87"/>
      <c r="BF2910" s="87"/>
      <c r="BG2910" s="87"/>
      <c r="BH2910" s="87"/>
      <c r="BI2910" s="87"/>
    </row>
    <row r="2911" spans="1:61" x14ac:dyDescent="0.25">
      <c r="A2911" s="63" t="s">
        <v>1093</v>
      </c>
      <c r="B2911" s="63" t="s">
        <v>1093</v>
      </c>
      <c r="C2911" s="64"/>
      <c r="D2911" s="65"/>
      <c r="E2911" s="66"/>
      <c r="F2911" s="67"/>
      <c r="G2911" s="64"/>
      <c r="H2911" s="68"/>
      <c r="I2911" s="69"/>
      <c r="J2911" s="69"/>
      <c r="K2911" s="32"/>
      <c r="L2911" s="76">
        <v>2911</v>
      </c>
      <c r="M2911" s="76"/>
      <c r="N2911" s="71"/>
      <c r="O2911" s="87" t="s">
        <v>179</v>
      </c>
      <c r="P2911" s="90">
        <v>45188.97550925926</v>
      </c>
      <c r="Q2911" s="87" t="s">
        <v>4619</v>
      </c>
      <c r="R2911" s="87">
        <v>0</v>
      </c>
      <c r="S2911" s="87">
        <v>1</v>
      </c>
      <c r="T2911" s="87">
        <v>0</v>
      </c>
      <c r="U2911" s="87">
        <v>0</v>
      </c>
      <c r="V2911" s="87">
        <v>299</v>
      </c>
      <c r="W2911" s="93" t="s">
        <v>7477</v>
      </c>
      <c r="X2911" s="87"/>
      <c r="Y2911" s="87"/>
      <c r="Z2911" s="87"/>
      <c r="AA2911" s="87" t="s">
        <v>10617</v>
      </c>
      <c r="AB2911" s="87" t="s">
        <v>11448</v>
      </c>
      <c r="AC2911" s="93" t="s">
        <v>11459</v>
      </c>
      <c r="AD2911" s="87" t="s">
        <v>11519</v>
      </c>
      <c r="AE2911" s="92" t="str">
        <f>HYPERLINK("https://twitter.com/jennybunny222/status/1704275361146482731")</f>
        <v>https://twitter.com/jennybunny222/status/1704275361146482731</v>
      </c>
      <c r="AF2911" s="90">
        <v>45188.97550925926</v>
      </c>
      <c r="AG2911" s="99">
        <v>45188</v>
      </c>
      <c r="AH2911" s="93" t="s">
        <v>14138</v>
      </c>
      <c r="AI2911" s="87" t="b">
        <v>0</v>
      </c>
      <c r="AJ2911" s="87"/>
      <c r="AK2911" s="87"/>
      <c r="AL2911" s="87"/>
      <c r="AM2911" s="87"/>
      <c r="AN2911" s="87"/>
      <c r="AO2911" s="87"/>
      <c r="AP2911" s="87"/>
      <c r="AQ2911" s="87" t="s">
        <v>17429</v>
      </c>
      <c r="AR2911" s="87"/>
      <c r="AS2911" s="87"/>
      <c r="AT2911" s="87"/>
      <c r="AU2911" s="87"/>
      <c r="AV2911" s="92" t="str">
        <f>HYPERLINK("https://pbs.twimg.com/media/F6bNaLfWEAAzoLF.jpg")</f>
        <v>https://pbs.twimg.com/media/F6bNaLfWEAAzoLF.jpg</v>
      </c>
      <c r="AW2911" s="93" t="s">
        <v>21067</v>
      </c>
      <c r="AX2911" s="93" t="s">
        <v>21067</v>
      </c>
      <c r="AY2911" s="87"/>
      <c r="AZ2911" s="93" t="s">
        <v>22668</v>
      </c>
      <c r="BA2911" s="93" t="s">
        <v>22668</v>
      </c>
      <c r="BB2911" s="93" t="s">
        <v>22668</v>
      </c>
      <c r="BC2911" s="93" t="s">
        <v>21067</v>
      </c>
      <c r="BD2911" s="93" t="s">
        <v>23293</v>
      </c>
      <c r="BE2911" s="87"/>
      <c r="BF2911" s="87"/>
      <c r="BG2911" s="87"/>
      <c r="BH2911" s="87"/>
      <c r="BI2911" s="87"/>
    </row>
    <row r="2912" spans="1:61" x14ac:dyDescent="0.25">
      <c r="A2912" s="63" t="s">
        <v>1094</v>
      </c>
      <c r="B2912" s="63" t="s">
        <v>1094</v>
      </c>
      <c r="C2912" s="64"/>
      <c r="D2912" s="65"/>
      <c r="E2912" s="66"/>
      <c r="F2912" s="67"/>
      <c r="G2912" s="64"/>
      <c r="H2912" s="68"/>
      <c r="I2912" s="69"/>
      <c r="J2912" s="69"/>
      <c r="K2912" s="32"/>
      <c r="L2912" s="76">
        <v>2912</v>
      </c>
      <c r="M2912" s="76"/>
      <c r="N2912" s="71"/>
      <c r="O2912" s="87" t="s">
        <v>179</v>
      </c>
      <c r="P2912" s="90">
        <v>45188.584664351853</v>
      </c>
      <c r="Q2912" s="87" t="s">
        <v>4620</v>
      </c>
      <c r="R2912" s="87">
        <v>0</v>
      </c>
      <c r="S2912" s="87">
        <v>1</v>
      </c>
      <c r="T2912" s="87">
        <v>0</v>
      </c>
      <c r="U2912" s="87">
        <v>0</v>
      </c>
      <c r="V2912" s="87">
        <v>10</v>
      </c>
      <c r="W2912" s="93" t="s">
        <v>7478</v>
      </c>
      <c r="X2912" s="92" t="str">
        <f>HYPERLINK("https://www.tribunaonline.net/sebrae-inscricoes-para-a-feira-do-empreendedor-2023/")</f>
        <v>https://www.tribunaonline.net/sebrae-inscricoes-para-a-feira-do-empreendedor-2023/</v>
      </c>
      <c r="Y2912" s="87" t="s">
        <v>8498</v>
      </c>
      <c r="Z2912" s="87"/>
      <c r="AA2912" s="87"/>
      <c r="AB2912" s="87"/>
      <c r="AC2912" s="93" t="s">
        <v>11457</v>
      </c>
      <c r="AD2912" s="87" t="s">
        <v>11519</v>
      </c>
      <c r="AE2912" s="92" t="str">
        <f>HYPERLINK("https://twitter.com/jornaltribunaa/status/1704133724756165078")</f>
        <v>https://twitter.com/jornaltribunaa/status/1704133724756165078</v>
      </c>
      <c r="AF2912" s="90">
        <v>45188.584664351853</v>
      </c>
      <c r="AG2912" s="99">
        <v>45188</v>
      </c>
      <c r="AH2912" s="93" t="s">
        <v>14139</v>
      </c>
      <c r="AI2912" s="87" t="b">
        <v>0</v>
      </c>
      <c r="AJ2912" s="87"/>
      <c r="AK2912" s="87"/>
      <c r="AL2912" s="87"/>
      <c r="AM2912" s="87"/>
      <c r="AN2912" s="87"/>
      <c r="AO2912" s="87"/>
      <c r="AP2912" s="87"/>
      <c r="AQ2912" s="87"/>
      <c r="AR2912" s="87"/>
      <c r="AS2912" s="87"/>
      <c r="AT2912" s="87"/>
      <c r="AU2912" s="87"/>
      <c r="AV2912" s="92" t="str">
        <f>HYPERLINK("https://pbs.twimg.com/profile_images/1587408783009091585/I3j_Zer6_normal.jpg")</f>
        <v>https://pbs.twimg.com/profile_images/1587408783009091585/I3j_Zer6_normal.jpg</v>
      </c>
      <c r="AW2912" s="93" t="s">
        <v>21068</v>
      </c>
      <c r="AX2912" s="93" t="s">
        <v>21068</v>
      </c>
      <c r="AY2912" s="87"/>
      <c r="AZ2912" s="93" t="s">
        <v>22668</v>
      </c>
      <c r="BA2912" s="93" t="s">
        <v>22668</v>
      </c>
      <c r="BB2912" s="93" t="s">
        <v>22668</v>
      </c>
      <c r="BC2912" s="93" t="s">
        <v>21068</v>
      </c>
      <c r="BD2912" s="93" t="s">
        <v>23294</v>
      </c>
      <c r="BE2912" s="87"/>
      <c r="BF2912" s="87"/>
      <c r="BG2912" s="87"/>
      <c r="BH2912" s="87"/>
      <c r="BI2912" s="87"/>
    </row>
    <row r="2913" spans="1:61" x14ac:dyDescent="0.25">
      <c r="A2913" s="63" t="s">
        <v>1095</v>
      </c>
      <c r="B2913" s="63" t="s">
        <v>1095</v>
      </c>
      <c r="C2913" s="64"/>
      <c r="D2913" s="65"/>
      <c r="E2913" s="66"/>
      <c r="F2913" s="67"/>
      <c r="G2913" s="64"/>
      <c r="H2913" s="68"/>
      <c r="I2913" s="69"/>
      <c r="J2913" s="69"/>
      <c r="K2913" s="32"/>
      <c r="L2913" s="76">
        <v>2913</v>
      </c>
      <c r="M2913" s="76"/>
      <c r="N2913" s="71"/>
      <c r="O2913" s="87" t="s">
        <v>179</v>
      </c>
      <c r="P2913" s="90">
        <v>45169.715462962966</v>
      </c>
      <c r="Q2913" s="87" t="s">
        <v>4621</v>
      </c>
      <c r="R2913" s="87">
        <v>0</v>
      </c>
      <c r="S2913" s="87">
        <v>0</v>
      </c>
      <c r="T2913" s="87">
        <v>0</v>
      </c>
      <c r="U2913" s="87">
        <v>0</v>
      </c>
      <c r="V2913" s="87">
        <v>32</v>
      </c>
      <c r="W2913" s="93" t="s">
        <v>7479</v>
      </c>
      <c r="X2913" s="92" t="str">
        <f>HYPERLINK("https://economicnewsbrasil.com.br/2023/08/31/expo-favela-innovation-em-fortaleza-empreendedorismo-em-diferentes-undos/")</f>
        <v>https://economicnewsbrasil.com.br/2023/08/31/expo-favela-innovation-em-fortaleza-empreendedorismo-em-diferentes-undos/</v>
      </c>
      <c r="Y2913" s="87" t="s">
        <v>8373</v>
      </c>
      <c r="Z2913" s="87"/>
      <c r="AA2913" s="87" t="s">
        <v>10618</v>
      </c>
      <c r="AB2913" s="87" t="s">
        <v>11448</v>
      </c>
      <c r="AC2913" s="93" t="s">
        <v>11502</v>
      </c>
      <c r="AD2913" s="87" t="s">
        <v>11519</v>
      </c>
      <c r="AE2913" s="92" t="str">
        <f>HYPERLINK("https://twitter.com/economicnewsbr/status/1697295753373245455")</f>
        <v>https://twitter.com/economicnewsbr/status/1697295753373245455</v>
      </c>
      <c r="AF2913" s="90">
        <v>45169.715462962966</v>
      </c>
      <c r="AG2913" s="99">
        <v>45169</v>
      </c>
      <c r="AH2913" s="93" t="s">
        <v>14140</v>
      </c>
      <c r="AI2913" s="87" t="b">
        <v>0</v>
      </c>
      <c r="AJ2913" s="87"/>
      <c r="AK2913" s="87"/>
      <c r="AL2913" s="87"/>
      <c r="AM2913" s="87"/>
      <c r="AN2913" s="87"/>
      <c r="AO2913" s="87"/>
      <c r="AP2913" s="87"/>
      <c r="AQ2913" s="87" t="s">
        <v>17430</v>
      </c>
      <c r="AR2913" s="87"/>
      <c r="AS2913" s="87"/>
      <c r="AT2913" s="87"/>
      <c r="AU2913" s="87"/>
      <c r="AV2913" s="92" t="str">
        <f>HYPERLINK("https://pbs.twimg.com/media/F44BfldXgAAD2Z3.jpg")</f>
        <v>https://pbs.twimg.com/media/F44BfldXgAAD2Z3.jpg</v>
      </c>
      <c r="AW2913" s="93" t="s">
        <v>21069</v>
      </c>
      <c r="AX2913" s="93" t="s">
        <v>21069</v>
      </c>
      <c r="AY2913" s="87"/>
      <c r="AZ2913" s="93" t="s">
        <v>22668</v>
      </c>
      <c r="BA2913" s="93" t="s">
        <v>22668</v>
      </c>
      <c r="BB2913" s="93" t="s">
        <v>22668</v>
      </c>
      <c r="BC2913" s="93" t="s">
        <v>21069</v>
      </c>
      <c r="BD2913" s="93" t="s">
        <v>23295</v>
      </c>
      <c r="BE2913" s="87"/>
      <c r="BF2913" s="87"/>
      <c r="BG2913" s="87"/>
      <c r="BH2913" s="87"/>
      <c r="BI2913" s="87"/>
    </row>
    <row r="2914" spans="1:61" x14ac:dyDescent="0.25">
      <c r="A2914" s="63" t="s">
        <v>1095</v>
      </c>
      <c r="B2914" s="63" t="s">
        <v>1095</v>
      </c>
      <c r="C2914" s="64"/>
      <c r="D2914" s="65"/>
      <c r="E2914" s="66"/>
      <c r="F2914" s="67"/>
      <c r="G2914" s="64"/>
      <c r="H2914" s="68"/>
      <c r="I2914" s="69"/>
      <c r="J2914" s="69"/>
      <c r="K2914" s="32"/>
      <c r="L2914" s="76">
        <v>2914</v>
      </c>
      <c r="M2914" s="76"/>
      <c r="N2914" s="71"/>
      <c r="O2914" s="87" t="s">
        <v>179</v>
      </c>
      <c r="P2914" s="90">
        <v>45169.67150462963</v>
      </c>
      <c r="Q2914" s="87" t="s">
        <v>4622</v>
      </c>
      <c r="R2914" s="87">
        <v>0</v>
      </c>
      <c r="S2914" s="87">
        <v>0</v>
      </c>
      <c r="T2914" s="87">
        <v>0</v>
      </c>
      <c r="U2914" s="87">
        <v>0</v>
      </c>
      <c r="V2914" s="87">
        <v>33</v>
      </c>
      <c r="W2914" s="93" t="s">
        <v>7479</v>
      </c>
      <c r="X2914" s="92" t="str">
        <f>HYPERLINK("https://economicnewsbrasil.com.br/2023/08/31/expo-favela-innovation-em-fortaleza-empreendedorismo-em-diferentes-undos/")</f>
        <v>https://economicnewsbrasil.com.br/2023/08/31/expo-favela-innovation-em-fortaleza-empreendedorismo-em-diferentes-undos/</v>
      </c>
      <c r="Y2914" s="87" t="s">
        <v>8373</v>
      </c>
      <c r="Z2914" s="87"/>
      <c r="AA2914" s="87" t="s">
        <v>10619</v>
      </c>
      <c r="AB2914" s="87" t="s">
        <v>11448</v>
      </c>
      <c r="AC2914" s="93" t="s">
        <v>11502</v>
      </c>
      <c r="AD2914" s="87" t="s">
        <v>11519</v>
      </c>
      <c r="AE2914" s="92" t="str">
        <f>HYPERLINK("https://twitter.com/economicnewsbr/status/1697279824417493377")</f>
        <v>https://twitter.com/economicnewsbr/status/1697279824417493377</v>
      </c>
      <c r="AF2914" s="90">
        <v>45169.67150462963</v>
      </c>
      <c r="AG2914" s="99">
        <v>45169</v>
      </c>
      <c r="AH2914" s="93" t="s">
        <v>14141</v>
      </c>
      <c r="AI2914" s="87" t="b">
        <v>0</v>
      </c>
      <c r="AJ2914" s="87"/>
      <c r="AK2914" s="87"/>
      <c r="AL2914" s="87"/>
      <c r="AM2914" s="87"/>
      <c r="AN2914" s="87"/>
      <c r="AO2914" s="87"/>
      <c r="AP2914" s="87"/>
      <c r="AQ2914" s="87" t="s">
        <v>17431</v>
      </c>
      <c r="AR2914" s="87"/>
      <c r="AS2914" s="87"/>
      <c r="AT2914" s="87"/>
      <c r="AU2914" s="87"/>
      <c r="AV2914" s="92" t="str">
        <f>HYPERLINK("https://pbs.twimg.com/media/F43zAZbW0AE1TnF.jpg")</f>
        <v>https://pbs.twimg.com/media/F43zAZbW0AE1TnF.jpg</v>
      </c>
      <c r="AW2914" s="93" t="s">
        <v>21070</v>
      </c>
      <c r="AX2914" s="93" t="s">
        <v>21070</v>
      </c>
      <c r="AY2914" s="87"/>
      <c r="AZ2914" s="93" t="s">
        <v>22668</v>
      </c>
      <c r="BA2914" s="93" t="s">
        <v>22668</v>
      </c>
      <c r="BB2914" s="93" t="s">
        <v>22668</v>
      </c>
      <c r="BC2914" s="93" t="s">
        <v>21070</v>
      </c>
      <c r="BD2914" s="93" t="s">
        <v>23295</v>
      </c>
      <c r="BE2914" s="87"/>
      <c r="BF2914" s="87"/>
      <c r="BG2914" s="87"/>
      <c r="BH2914" s="87"/>
      <c r="BI2914" s="87"/>
    </row>
    <row r="2915" spans="1:61" x14ac:dyDescent="0.25">
      <c r="A2915" s="63" t="s">
        <v>1095</v>
      </c>
      <c r="B2915" s="63" t="s">
        <v>1095</v>
      </c>
      <c r="C2915" s="64"/>
      <c r="D2915" s="65"/>
      <c r="E2915" s="66"/>
      <c r="F2915" s="67"/>
      <c r="G2915" s="64"/>
      <c r="H2915" s="68"/>
      <c r="I2915" s="69"/>
      <c r="J2915" s="69"/>
      <c r="K2915" s="32"/>
      <c r="L2915" s="76">
        <v>2915</v>
      </c>
      <c r="M2915" s="76"/>
      <c r="N2915" s="71"/>
      <c r="O2915" s="87" t="s">
        <v>179</v>
      </c>
      <c r="P2915" s="90">
        <v>45177.534085648149</v>
      </c>
      <c r="Q2915" s="87" t="s">
        <v>4623</v>
      </c>
      <c r="R2915" s="87">
        <v>0</v>
      </c>
      <c r="S2915" s="87">
        <v>0</v>
      </c>
      <c r="T2915" s="87">
        <v>0</v>
      </c>
      <c r="U2915" s="87">
        <v>0</v>
      </c>
      <c r="V2915" s="87"/>
      <c r="W2915" s="93" t="s">
        <v>7480</v>
      </c>
      <c r="X2915" s="92" t="str">
        <f>HYPERLINK("https://economicnewsbrasil.com.br/2023/09/08/emprego-formal-pequenos-negocios-lideram-com-80-das-novas-vagas-em-julho/")</f>
        <v>https://economicnewsbrasil.com.br/2023/09/08/emprego-formal-pequenos-negocios-lideram-com-80-das-novas-vagas-em-julho/</v>
      </c>
      <c r="Y2915" s="87" t="s">
        <v>8373</v>
      </c>
      <c r="Z2915" s="87"/>
      <c r="AA2915" s="87"/>
      <c r="AB2915" s="87"/>
      <c r="AC2915" s="93" t="s">
        <v>11502</v>
      </c>
      <c r="AD2915" s="87" t="s">
        <v>11519</v>
      </c>
      <c r="AE2915" s="92" t="str">
        <f>HYPERLINK("https://twitter.com/economicnewsbr/status/1700129128454791182")</f>
        <v>https://twitter.com/economicnewsbr/status/1700129128454791182</v>
      </c>
      <c r="AF2915" s="90">
        <v>45177.534085648149</v>
      </c>
      <c r="AG2915" s="99">
        <v>45177</v>
      </c>
      <c r="AH2915" s="93" t="s">
        <v>14142</v>
      </c>
      <c r="AI2915" s="87" t="b">
        <v>0</v>
      </c>
      <c r="AJ2915" s="87"/>
      <c r="AK2915" s="87"/>
      <c r="AL2915" s="87"/>
      <c r="AM2915" s="87"/>
      <c r="AN2915" s="87"/>
      <c r="AO2915" s="87"/>
      <c r="AP2915" s="87"/>
      <c r="AQ2915" s="87"/>
      <c r="AR2915" s="87"/>
      <c r="AS2915" s="87"/>
      <c r="AT2915" s="87"/>
      <c r="AU2915" s="87"/>
      <c r="AV2915" s="92" t="str">
        <f>HYPERLINK("https://pbs.twimg.com/profile_images/1211027151870402560/9JIqaKmf_normal.jpg")</f>
        <v>https://pbs.twimg.com/profile_images/1211027151870402560/9JIqaKmf_normal.jpg</v>
      </c>
      <c r="AW2915" s="93" t="s">
        <v>21071</v>
      </c>
      <c r="AX2915" s="93" t="s">
        <v>21071</v>
      </c>
      <c r="AY2915" s="87"/>
      <c r="AZ2915" s="93" t="s">
        <v>22668</v>
      </c>
      <c r="BA2915" s="93" t="s">
        <v>22668</v>
      </c>
      <c r="BB2915" s="93" t="s">
        <v>22668</v>
      </c>
      <c r="BC2915" s="93" t="s">
        <v>21071</v>
      </c>
      <c r="BD2915" s="93" t="s">
        <v>23295</v>
      </c>
      <c r="BE2915" s="87"/>
      <c r="BF2915" s="87"/>
      <c r="BG2915" s="87"/>
      <c r="BH2915" s="87"/>
      <c r="BI2915" s="87"/>
    </row>
    <row r="2916" spans="1:61" x14ac:dyDescent="0.25">
      <c r="A2916" s="63" t="s">
        <v>1095</v>
      </c>
      <c r="B2916" s="63" t="s">
        <v>1095</v>
      </c>
      <c r="C2916" s="64"/>
      <c r="D2916" s="65"/>
      <c r="E2916" s="66"/>
      <c r="F2916" s="67"/>
      <c r="G2916" s="64"/>
      <c r="H2916" s="68"/>
      <c r="I2916" s="69"/>
      <c r="J2916" s="69"/>
      <c r="K2916" s="32"/>
      <c r="L2916" s="76">
        <v>2916</v>
      </c>
      <c r="M2916" s="76"/>
      <c r="N2916" s="71"/>
      <c r="O2916" s="87" t="s">
        <v>179</v>
      </c>
      <c r="P2916" s="90">
        <v>45156.305787037039</v>
      </c>
      <c r="Q2916" s="87" t="s">
        <v>4624</v>
      </c>
      <c r="R2916" s="87">
        <v>0</v>
      </c>
      <c r="S2916" s="87">
        <v>0</v>
      </c>
      <c r="T2916" s="87">
        <v>0</v>
      </c>
      <c r="U2916" s="87">
        <v>0</v>
      </c>
      <c r="V2916" s="87">
        <v>5</v>
      </c>
      <c r="W2916" s="93" t="s">
        <v>7481</v>
      </c>
      <c r="X2916" s="92" t="str">
        <f>HYPERLINK("https://economicnewsbrasil.com.br/?p=83069")</f>
        <v>https://economicnewsbrasil.com.br/?p=83069</v>
      </c>
      <c r="Y2916" s="87" t="s">
        <v>8373</v>
      </c>
      <c r="Z2916" s="87"/>
      <c r="AA2916" s="87" t="s">
        <v>10620</v>
      </c>
      <c r="AB2916" s="87" t="s">
        <v>11448</v>
      </c>
      <c r="AC2916" s="93" t="s">
        <v>11502</v>
      </c>
      <c r="AD2916" s="87" t="s">
        <v>11519</v>
      </c>
      <c r="AE2916" s="92" t="str">
        <f>HYPERLINK("https://twitter.com/economicnewsbr/status/1692436249716433359")</f>
        <v>https://twitter.com/economicnewsbr/status/1692436249716433359</v>
      </c>
      <c r="AF2916" s="90">
        <v>45156.305787037039</v>
      </c>
      <c r="AG2916" s="99">
        <v>45156</v>
      </c>
      <c r="AH2916" s="93" t="s">
        <v>14143</v>
      </c>
      <c r="AI2916" s="87" t="b">
        <v>0</v>
      </c>
      <c r="AJ2916" s="87"/>
      <c r="AK2916" s="87"/>
      <c r="AL2916" s="87"/>
      <c r="AM2916" s="87"/>
      <c r="AN2916" s="87"/>
      <c r="AO2916" s="87"/>
      <c r="AP2916" s="87"/>
      <c r="AQ2916" s="87" t="s">
        <v>17432</v>
      </c>
      <c r="AR2916" s="87"/>
      <c r="AS2916" s="87"/>
      <c r="AT2916" s="87"/>
      <c r="AU2916" s="87"/>
      <c r="AV2916" s="92" t="str">
        <f>HYPERLINK("https://pbs.twimg.com/media/F3y9zNVWEAA3Cit.png")</f>
        <v>https://pbs.twimg.com/media/F3y9zNVWEAA3Cit.png</v>
      </c>
      <c r="AW2916" s="93" t="s">
        <v>21072</v>
      </c>
      <c r="AX2916" s="93" t="s">
        <v>21072</v>
      </c>
      <c r="AY2916" s="87"/>
      <c r="AZ2916" s="93" t="s">
        <v>22668</v>
      </c>
      <c r="BA2916" s="93" t="s">
        <v>22668</v>
      </c>
      <c r="BB2916" s="93" t="s">
        <v>22668</v>
      </c>
      <c r="BC2916" s="93" t="s">
        <v>21072</v>
      </c>
      <c r="BD2916" s="93" t="s">
        <v>23295</v>
      </c>
      <c r="BE2916" s="87"/>
      <c r="BF2916" s="87"/>
      <c r="BG2916" s="87"/>
      <c r="BH2916" s="87"/>
      <c r="BI2916" s="87"/>
    </row>
    <row r="2917" spans="1:61" x14ac:dyDescent="0.25">
      <c r="A2917" s="63" t="s">
        <v>1095</v>
      </c>
      <c r="B2917" s="63" t="s">
        <v>1095</v>
      </c>
      <c r="C2917" s="64"/>
      <c r="D2917" s="65"/>
      <c r="E2917" s="66"/>
      <c r="F2917" s="67"/>
      <c r="G2917" s="64"/>
      <c r="H2917" s="68"/>
      <c r="I2917" s="69"/>
      <c r="J2917" s="69"/>
      <c r="K2917" s="32"/>
      <c r="L2917" s="76">
        <v>2917</v>
      </c>
      <c r="M2917" s="76"/>
      <c r="N2917" s="71"/>
      <c r="O2917" s="87" t="s">
        <v>179</v>
      </c>
      <c r="P2917" s="90">
        <v>45177.633217592593</v>
      </c>
      <c r="Q2917" s="87" t="s">
        <v>4625</v>
      </c>
      <c r="R2917" s="87">
        <v>0</v>
      </c>
      <c r="S2917" s="87">
        <v>0</v>
      </c>
      <c r="T2917" s="87">
        <v>0</v>
      </c>
      <c r="U2917" s="87">
        <v>0</v>
      </c>
      <c r="V2917" s="87">
        <v>1</v>
      </c>
      <c r="W2917" s="93" t="s">
        <v>7482</v>
      </c>
      <c r="X2917" s="92" t="str">
        <f>HYPERLINK("https://economicnewsbrasil.com.br/2023/09/08/luiz-gastao-encontro-de-avaliacao-e-novas-perspectivas-por-jackson-pereira-jr/")</f>
        <v>https://economicnewsbrasil.com.br/2023/09/08/luiz-gastao-encontro-de-avaliacao-e-novas-perspectivas-por-jackson-pereira-jr/</v>
      </c>
      <c r="Y2917" s="87" t="s">
        <v>8373</v>
      </c>
      <c r="Z2917" s="87"/>
      <c r="AA2917" s="87"/>
      <c r="AB2917" s="87"/>
      <c r="AC2917" s="93" t="s">
        <v>11502</v>
      </c>
      <c r="AD2917" s="87" t="s">
        <v>11519</v>
      </c>
      <c r="AE2917" s="92" t="str">
        <f>HYPERLINK("https://twitter.com/economicnewsbr/status/1700165051343081664")</f>
        <v>https://twitter.com/economicnewsbr/status/1700165051343081664</v>
      </c>
      <c r="AF2917" s="90">
        <v>45177.633217592593</v>
      </c>
      <c r="AG2917" s="99">
        <v>45177</v>
      </c>
      <c r="AH2917" s="93" t="s">
        <v>14144</v>
      </c>
      <c r="AI2917" s="87" t="b">
        <v>0</v>
      </c>
      <c r="AJ2917" s="87"/>
      <c r="AK2917" s="87"/>
      <c r="AL2917" s="87"/>
      <c r="AM2917" s="87"/>
      <c r="AN2917" s="87"/>
      <c r="AO2917" s="87"/>
      <c r="AP2917" s="87"/>
      <c r="AQ2917" s="87"/>
      <c r="AR2917" s="87"/>
      <c r="AS2917" s="87"/>
      <c r="AT2917" s="87"/>
      <c r="AU2917" s="87"/>
      <c r="AV2917" s="92" t="str">
        <f>HYPERLINK("https://pbs.twimg.com/profile_images/1211027151870402560/9JIqaKmf_normal.jpg")</f>
        <v>https://pbs.twimg.com/profile_images/1211027151870402560/9JIqaKmf_normal.jpg</v>
      </c>
      <c r="AW2917" s="93" t="s">
        <v>21073</v>
      </c>
      <c r="AX2917" s="93" t="s">
        <v>21073</v>
      </c>
      <c r="AY2917" s="87"/>
      <c r="AZ2917" s="93" t="s">
        <v>22668</v>
      </c>
      <c r="BA2917" s="93" t="s">
        <v>22668</v>
      </c>
      <c r="BB2917" s="93" t="s">
        <v>22668</v>
      </c>
      <c r="BC2917" s="93" t="s">
        <v>21073</v>
      </c>
      <c r="BD2917" s="93" t="s">
        <v>23295</v>
      </c>
      <c r="BE2917" s="87"/>
      <c r="BF2917" s="87"/>
      <c r="BG2917" s="87"/>
      <c r="BH2917" s="87"/>
      <c r="BI2917" s="87"/>
    </row>
    <row r="2918" spans="1:61" x14ac:dyDescent="0.25">
      <c r="A2918" s="63" t="s">
        <v>1095</v>
      </c>
      <c r="B2918" s="63" t="s">
        <v>1095</v>
      </c>
      <c r="C2918" s="64"/>
      <c r="D2918" s="65"/>
      <c r="E2918" s="66"/>
      <c r="F2918" s="67"/>
      <c r="G2918" s="64"/>
      <c r="H2918" s="68"/>
      <c r="I2918" s="69"/>
      <c r="J2918" s="69"/>
      <c r="K2918" s="32"/>
      <c r="L2918" s="76">
        <v>2918</v>
      </c>
      <c r="M2918" s="76"/>
      <c r="N2918" s="71"/>
      <c r="O2918" s="87" t="s">
        <v>179</v>
      </c>
      <c r="P2918" s="90">
        <v>45182.386701388888</v>
      </c>
      <c r="Q2918" s="87" t="s">
        <v>4626</v>
      </c>
      <c r="R2918" s="87">
        <v>0</v>
      </c>
      <c r="S2918" s="87">
        <v>0</v>
      </c>
      <c r="T2918" s="87">
        <v>0</v>
      </c>
      <c r="U2918" s="87">
        <v>0</v>
      </c>
      <c r="V2918" s="87">
        <v>7</v>
      </c>
      <c r="W2918" s="93" t="s">
        <v>7483</v>
      </c>
      <c r="X2918" s="92" t="str">
        <f>HYPERLINK("https://economicnewsbrasil.com.br/?p=5219")</f>
        <v>https://economicnewsbrasil.com.br/?p=5219</v>
      </c>
      <c r="Y2918" s="87" t="s">
        <v>8373</v>
      </c>
      <c r="Z2918" s="87"/>
      <c r="AA2918" s="87"/>
      <c r="AB2918" s="87"/>
      <c r="AC2918" s="93" t="s">
        <v>11502</v>
      </c>
      <c r="AD2918" s="87" t="s">
        <v>11519</v>
      </c>
      <c r="AE2918" s="92" t="str">
        <f>HYPERLINK("https://twitter.com/economicnewsbr/status/1701887654927773780")</f>
        <v>https://twitter.com/economicnewsbr/status/1701887654927773780</v>
      </c>
      <c r="AF2918" s="90">
        <v>45182.386701388888</v>
      </c>
      <c r="AG2918" s="99">
        <v>45182</v>
      </c>
      <c r="AH2918" s="93" t="s">
        <v>12227</v>
      </c>
      <c r="AI2918" s="87" t="b">
        <v>0</v>
      </c>
      <c r="AJ2918" s="87"/>
      <c r="AK2918" s="87"/>
      <c r="AL2918" s="87"/>
      <c r="AM2918" s="87"/>
      <c r="AN2918" s="87"/>
      <c r="AO2918" s="87"/>
      <c r="AP2918" s="87"/>
      <c r="AQ2918" s="87"/>
      <c r="AR2918" s="87"/>
      <c r="AS2918" s="87"/>
      <c r="AT2918" s="87"/>
      <c r="AU2918" s="87"/>
      <c r="AV2918" s="92" t="str">
        <f>HYPERLINK("https://pbs.twimg.com/profile_images/1211027151870402560/9JIqaKmf_normal.jpg")</f>
        <v>https://pbs.twimg.com/profile_images/1211027151870402560/9JIqaKmf_normal.jpg</v>
      </c>
      <c r="AW2918" s="93" t="s">
        <v>21074</v>
      </c>
      <c r="AX2918" s="93" t="s">
        <v>21074</v>
      </c>
      <c r="AY2918" s="87"/>
      <c r="AZ2918" s="93" t="s">
        <v>22668</v>
      </c>
      <c r="BA2918" s="93" t="s">
        <v>22668</v>
      </c>
      <c r="BB2918" s="93" t="s">
        <v>22668</v>
      </c>
      <c r="BC2918" s="93" t="s">
        <v>21074</v>
      </c>
      <c r="BD2918" s="93" t="s">
        <v>23295</v>
      </c>
      <c r="BE2918" s="87"/>
      <c r="BF2918" s="87"/>
      <c r="BG2918" s="87"/>
      <c r="BH2918" s="87"/>
      <c r="BI2918" s="87"/>
    </row>
    <row r="2919" spans="1:61" x14ac:dyDescent="0.25">
      <c r="A2919" s="63" t="s">
        <v>1095</v>
      </c>
      <c r="B2919" s="63" t="s">
        <v>1095</v>
      </c>
      <c r="C2919" s="64"/>
      <c r="D2919" s="65"/>
      <c r="E2919" s="66"/>
      <c r="F2919" s="67"/>
      <c r="G2919" s="64"/>
      <c r="H2919" s="68"/>
      <c r="I2919" s="69"/>
      <c r="J2919" s="69"/>
      <c r="K2919" s="32"/>
      <c r="L2919" s="76">
        <v>2919</v>
      </c>
      <c r="M2919" s="76"/>
      <c r="N2919" s="71"/>
      <c r="O2919" s="87" t="s">
        <v>179</v>
      </c>
      <c r="P2919" s="90">
        <v>45182.785115740742</v>
      </c>
      <c r="Q2919" s="87" t="s">
        <v>4627</v>
      </c>
      <c r="R2919" s="87">
        <v>0</v>
      </c>
      <c r="S2919" s="87">
        <v>0</v>
      </c>
      <c r="T2919" s="87">
        <v>0</v>
      </c>
      <c r="U2919" s="87">
        <v>0</v>
      </c>
      <c r="V2919" s="87">
        <v>8</v>
      </c>
      <c r="W2919" s="93" t="s">
        <v>7484</v>
      </c>
      <c r="X2919" s="92" t="str">
        <f>HYPERLINK("https://economicnewsbrasil.com.br/2023/09/13/semijoias-homens-brilham-no-mercado-feminino/")</f>
        <v>https://economicnewsbrasil.com.br/2023/09/13/semijoias-homens-brilham-no-mercado-feminino/</v>
      </c>
      <c r="Y2919" s="87" t="s">
        <v>8373</v>
      </c>
      <c r="Z2919" s="87"/>
      <c r="AA2919" s="87" t="s">
        <v>10621</v>
      </c>
      <c r="AB2919" s="87" t="s">
        <v>11448</v>
      </c>
      <c r="AC2919" s="93" t="s">
        <v>11502</v>
      </c>
      <c r="AD2919" s="87" t="s">
        <v>11519</v>
      </c>
      <c r="AE2919" s="92" t="str">
        <f>HYPERLINK("https://twitter.com/economicnewsbr/status/1702032035995394260")</f>
        <v>https://twitter.com/economicnewsbr/status/1702032035995394260</v>
      </c>
      <c r="AF2919" s="90">
        <v>45182.785115740742</v>
      </c>
      <c r="AG2919" s="99">
        <v>45182</v>
      </c>
      <c r="AH2919" s="93" t="s">
        <v>13740</v>
      </c>
      <c r="AI2919" s="87" t="b">
        <v>0</v>
      </c>
      <c r="AJ2919" s="87"/>
      <c r="AK2919" s="87"/>
      <c r="AL2919" s="87"/>
      <c r="AM2919" s="87"/>
      <c r="AN2919" s="87"/>
      <c r="AO2919" s="87"/>
      <c r="AP2919" s="87"/>
      <c r="AQ2919" s="87" t="s">
        <v>17433</v>
      </c>
      <c r="AR2919" s="87"/>
      <c r="AS2919" s="87"/>
      <c r="AT2919" s="87"/>
      <c r="AU2919" s="87"/>
      <c r="AV2919" s="92" t="str">
        <f>HYPERLINK("https://pbs.twimg.com/media/F57VHeQW0AAn4zv.png")</f>
        <v>https://pbs.twimg.com/media/F57VHeQW0AAn4zv.png</v>
      </c>
      <c r="AW2919" s="93" t="s">
        <v>21075</v>
      </c>
      <c r="AX2919" s="93" t="s">
        <v>21075</v>
      </c>
      <c r="AY2919" s="87"/>
      <c r="AZ2919" s="93" t="s">
        <v>22668</v>
      </c>
      <c r="BA2919" s="93" t="s">
        <v>22668</v>
      </c>
      <c r="BB2919" s="93" t="s">
        <v>22668</v>
      </c>
      <c r="BC2919" s="93" t="s">
        <v>21075</v>
      </c>
      <c r="BD2919" s="93" t="s">
        <v>23295</v>
      </c>
      <c r="BE2919" s="87"/>
      <c r="BF2919" s="87"/>
      <c r="BG2919" s="87"/>
      <c r="BH2919" s="87"/>
      <c r="BI2919" s="87"/>
    </row>
    <row r="2920" spans="1:61" x14ac:dyDescent="0.25">
      <c r="A2920" s="63" t="s">
        <v>1095</v>
      </c>
      <c r="B2920" s="63" t="s">
        <v>1095</v>
      </c>
      <c r="C2920" s="64"/>
      <c r="D2920" s="65"/>
      <c r="E2920" s="66"/>
      <c r="F2920" s="67"/>
      <c r="G2920" s="64"/>
      <c r="H2920" s="68"/>
      <c r="I2920" s="69"/>
      <c r="J2920" s="69"/>
      <c r="K2920" s="32"/>
      <c r="L2920" s="76">
        <v>2920</v>
      </c>
      <c r="M2920" s="76"/>
      <c r="N2920" s="71"/>
      <c r="O2920" s="87" t="s">
        <v>179</v>
      </c>
      <c r="P2920" s="90">
        <v>45180.316076388888</v>
      </c>
      <c r="Q2920" s="87" t="s">
        <v>4628</v>
      </c>
      <c r="R2920" s="87">
        <v>0</v>
      </c>
      <c r="S2920" s="87">
        <v>0</v>
      </c>
      <c r="T2920" s="87">
        <v>0</v>
      </c>
      <c r="U2920" s="87">
        <v>0</v>
      </c>
      <c r="V2920" s="87">
        <v>9</v>
      </c>
      <c r="W2920" s="93" t="s">
        <v>7485</v>
      </c>
      <c r="X2920" s="92" t="str">
        <f>HYPERLINK("https://economicnewsbrasil.com.br/?p=88239")</f>
        <v>https://economicnewsbrasil.com.br/?p=88239</v>
      </c>
      <c r="Y2920" s="87" t="s">
        <v>8373</v>
      </c>
      <c r="Z2920" s="87"/>
      <c r="AA2920" s="87"/>
      <c r="AB2920" s="87"/>
      <c r="AC2920" s="93" t="s">
        <v>11502</v>
      </c>
      <c r="AD2920" s="87" t="s">
        <v>11519</v>
      </c>
      <c r="AE2920" s="92" t="str">
        <f>HYPERLINK("https://twitter.com/economicnewsbr/status/1701137287558341046")</f>
        <v>https://twitter.com/economicnewsbr/status/1701137287558341046</v>
      </c>
      <c r="AF2920" s="90">
        <v>45180.316076388888</v>
      </c>
      <c r="AG2920" s="99">
        <v>45180</v>
      </c>
      <c r="AH2920" s="93" t="s">
        <v>14145</v>
      </c>
      <c r="AI2920" s="87" t="b">
        <v>0</v>
      </c>
      <c r="AJ2920" s="87"/>
      <c r="AK2920" s="87"/>
      <c r="AL2920" s="87"/>
      <c r="AM2920" s="87"/>
      <c r="AN2920" s="87"/>
      <c r="AO2920" s="87"/>
      <c r="AP2920" s="87"/>
      <c r="AQ2920" s="87"/>
      <c r="AR2920" s="87"/>
      <c r="AS2920" s="87"/>
      <c r="AT2920" s="87"/>
      <c r="AU2920" s="87"/>
      <c r="AV2920" s="92" t="str">
        <f>HYPERLINK("https://pbs.twimg.com/profile_images/1211027151870402560/9JIqaKmf_normal.jpg")</f>
        <v>https://pbs.twimg.com/profile_images/1211027151870402560/9JIqaKmf_normal.jpg</v>
      </c>
      <c r="AW2920" s="93" t="s">
        <v>21076</v>
      </c>
      <c r="AX2920" s="93" t="s">
        <v>21076</v>
      </c>
      <c r="AY2920" s="87"/>
      <c r="AZ2920" s="93" t="s">
        <v>22668</v>
      </c>
      <c r="BA2920" s="93" t="s">
        <v>22668</v>
      </c>
      <c r="BB2920" s="93" t="s">
        <v>22668</v>
      </c>
      <c r="BC2920" s="93" t="s">
        <v>21076</v>
      </c>
      <c r="BD2920" s="93" t="s">
        <v>23295</v>
      </c>
      <c r="BE2920" s="87"/>
      <c r="BF2920" s="87"/>
      <c r="BG2920" s="87"/>
      <c r="BH2920" s="87"/>
      <c r="BI2920" s="87"/>
    </row>
    <row r="2921" spans="1:61" x14ac:dyDescent="0.25">
      <c r="A2921" s="63" t="s">
        <v>1095</v>
      </c>
      <c r="B2921" s="63" t="s">
        <v>1095</v>
      </c>
      <c r="C2921" s="64"/>
      <c r="D2921" s="65"/>
      <c r="E2921" s="66"/>
      <c r="F2921" s="67"/>
      <c r="G2921" s="64"/>
      <c r="H2921" s="68"/>
      <c r="I2921" s="69"/>
      <c r="J2921" s="69"/>
      <c r="K2921" s="32"/>
      <c r="L2921" s="76">
        <v>2921</v>
      </c>
      <c r="M2921" s="76"/>
      <c r="N2921" s="71"/>
      <c r="O2921" s="87" t="s">
        <v>179</v>
      </c>
      <c r="P2921" s="90">
        <v>45167.726446759261</v>
      </c>
      <c r="Q2921" s="87" t="s">
        <v>4629</v>
      </c>
      <c r="R2921" s="87">
        <v>0</v>
      </c>
      <c r="S2921" s="87">
        <v>0</v>
      </c>
      <c r="T2921" s="87">
        <v>0</v>
      </c>
      <c r="U2921" s="87">
        <v>0</v>
      </c>
      <c r="V2921" s="87">
        <v>13</v>
      </c>
      <c r="W2921" s="93" t="s">
        <v>7486</v>
      </c>
      <c r="X2921" s="92" t="str">
        <f>HYPERLINK("https://economicnewsbrasil.com.br/2021/02/26/fome-de-poder-filme-baseado-na-historia-do-macdonald/")</f>
        <v>https://economicnewsbrasil.com.br/2021/02/26/fome-de-poder-filme-baseado-na-historia-do-macdonald/</v>
      </c>
      <c r="Y2921" s="87" t="s">
        <v>8373</v>
      </c>
      <c r="Z2921" s="87"/>
      <c r="AA2921" s="87" t="s">
        <v>10622</v>
      </c>
      <c r="AB2921" s="87" t="s">
        <v>11448</v>
      </c>
      <c r="AC2921" s="93" t="s">
        <v>11502</v>
      </c>
      <c r="AD2921" s="87" t="s">
        <v>11519</v>
      </c>
      <c r="AE2921" s="92" t="str">
        <f>HYPERLINK("https://twitter.com/economicnewsbr/status/1696574957512258010")</f>
        <v>https://twitter.com/economicnewsbr/status/1696574957512258010</v>
      </c>
      <c r="AF2921" s="90">
        <v>45167.726446759261</v>
      </c>
      <c r="AG2921" s="99">
        <v>45167</v>
      </c>
      <c r="AH2921" s="93" t="s">
        <v>14146</v>
      </c>
      <c r="AI2921" s="87" t="b">
        <v>0</v>
      </c>
      <c r="AJ2921" s="87"/>
      <c r="AK2921" s="87"/>
      <c r="AL2921" s="87"/>
      <c r="AM2921" s="87"/>
      <c r="AN2921" s="87"/>
      <c r="AO2921" s="87"/>
      <c r="AP2921" s="87"/>
      <c r="AQ2921" s="87" t="s">
        <v>17434</v>
      </c>
      <c r="AR2921" s="87"/>
      <c r="AS2921" s="87"/>
      <c r="AT2921" s="87"/>
      <c r="AU2921" s="87"/>
      <c r="AV2921" s="92" t="str">
        <f>HYPERLINK("https://pbs.twimg.com/media/F4tx7vfXcAUs1W7.jpg")</f>
        <v>https://pbs.twimg.com/media/F4tx7vfXcAUs1W7.jpg</v>
      </c>
      <c r="AW2921" s="93" t="s">
        <v>21077</v>
      </c>
      <c r="AX2921" s="93" t="s">
        <v>21077</v>
      </c>
      <c r="AY2921" s="87"/>
      <c r="AZ2921" s="93" t="s">
        <v>22668</v>
      </c>
      <c r="BA2921" s="93" t="s">
        <v>22668</v>
      </c>
      <c r="BB2921" s="93" t="s">
        <v>22668</v>
      </c>
      <c r="BC2921" s="93" t="s">
        <v>21077</v>
      </c>
      <c r="BD2921" s="93" t="s">
        <v>23295</v>
      </c>
      <c r="BE2921" s="87"/>
      <c r="BF2921" s="87"/>
      <c r="BG2921" s="87"/>
      <c r="BH2921" s="87"/>
      <c r="BI2921" s="87"/>
    </row>
    <row r="2922" spans="1:61" x14ac:dyDescent="0.25">
      <c r="A2922" s="63" t="s">
        <v>1095</v>
      </c>
      <c r="B2922" s="63" t="s">
        <v>1095</v>
      </c>
      <c r="C2922" s="64"/>
      <c r="D2922" s="65"/>
      <c r="E2922" s="66"/>
      <c r="F2922" s="67"/>
      <c r="G2922" s="64"/>
      <c r="H2922" s="68"/>
      <c r="I2922" s="69"/>
      <c r="J2922" s="69"/>
      <c r="K2922" s="32"/>
      <c r="L2922" s="76">
        <v>2922</v>
      </c>
      <c r="M2922" s="76"/>
      <c r="N2922" s="71"/>
      <c r="O2922" s="87" t="s">
        <v>179</v>
      </c>
      <c r="P2922" s="90">
        <v>45147.409687500003</v>
      </c>
      <c r="Q2922" s="87" t="s">
        <v>4630</v>
      </c>
      <c r="R2922" s="87">
        <v>0</v>
      </c>
      <c r="S2922" s="87">
        <v>0</v>
      </c>
      <c r="T2922" s="87">
        <v>0</v>
      </c>
      <c r="U2922" s="87">
        <v>0</v>
      </c>
      <c r="V2922" s="87">
        <v>12</v>
      </c>
      <c r="W2922" s="93" t="s">
        <v>7487</v>
      </c>
      <c r="X2922" s="92" t="str">
        <f>HYPERLINK("https://economicnewsbrasil.com.br/?p=82445")</f>
        <v>https://economicnewsbrasil.com.br/?p=82445</v>
      </c>
      <c r="Y2922" s="87" t="s">
        <v>8373</v>
      </c>
      <c r="Z2922" s="87"/>
      <c r="AA2922" s="87" t="s">
        <v>10623</v>
      </c>
      <c r="AB2922" s="87" t="s">
        <v>11448</v>
      </c>
      <c r="AC2922" s="93" t="s">
        <v>11502</v>
      </c>
      <c r="AD2922" s="87" t="s">
        <v>11519</v>
      </c>
      <c r="AE2922" s="92" t="str">
        <f>HYPERLINK("https://twitter.com/economicnewsbr/status/1689212412799385601")</f>
        <v>https://twitter.com/economicnewsbr/status/1689212412799385601</v>
      </c>
      <c r="AF2922" s="90">
        <v>45147.409687500003</v>
      </c>
      <c r="AG2922" s="99">
        <v>45147</v>
      </c>
      <c r="AH2922" s="93" t="s">
        <v>14147</v>
      </c>
      <c r="AI2922" s="87" t="b">
        <v>0</v>
      </c>
      <c r="AJ2922" s="87"/>
      <c r="AK2922" s="87"/>
      <c r="AL2922" s="87"/>
      <c r="AM2922" s="87"/>
      <c r="AN2922" s="87"/>
      <c r="AO2922" s="87"/>
      <c r="AP2922" s="87"/>
      <c r="AQ2922" s="87" t="s">
        <v>17435</v>
      </c>
      <c r="AR2922" s="87"/>
      <c r="AS2922" s="87"/>
      <c r="AT2922" s="87"/>
      <c r="AU2922" s="87"/>
      <c r="AV2922" s="92" t="str">
        <f>HYPERLINK("https://pbs.twimg.com/media/F3FJvPTXcAA9drE.jpg")</f>
        <v>https://pbs.twimg.com/media/F3FJvPTXcAA9drE.jpg</v>
      </c>
      <c r="AW2922" s="93" t="s">
        <v>21078</v>
      </c>
      <c r="AX2922" s="93" t="s">
        <v>21078</v>
      </c>
      <c r="AY2922" s="87"/>
      <c r="AZ2922" s="93" t="s">
        <v>22668</v>
      </c>
      <c r="BA2922" s="93" t="s">
        <v>22668</v>
      </c>
      <c r="BB2922" s="93" t="s">
        <v>22668</v>
      </c>
      <c r="BC2922" s="93" t="s">
        <v>21078</v>
      </c>
      <c r="BD2922" s="93" t="s">
        <v>23295</v>
      </c>
      <c r="BE2922" s="87"/>
      <c r="BF2922" s="87"/>
      <c r="BG2922" s="87"/>
      <c r="BH2922" s="87"/>
      <c r="BI2922" s="87"/>
    </row>
    <row r="2923" spans="1:61" x14ac:dyDescent="0.25">
      <c r="A2923" s="63" t="s">
        <v>1095</v>
      </c>
      <c r="B2923" s="63" t="s">
        <v>1095</v>
      </c>
      <c r="C2923" s="64"/>
      <c r="D2923" s="65"/>
      <c r="E2923" s="66"/>
      <c r="F2923" s="67"/>
      <c r="G2923" s="64"/>
      <c r="H2923" s="68"/>
      <c r="I2923" s="69"/>
      <c r="J2923" s="69"/>
      <c r="K2923" s="32"/>
      <c r="L2923" s="76">
        <v>2923</v>
      </c>
      <c r="M2923" s="76"/>
      <c r="N2923" s="71"/>
      <c r="O2923" s="87" t="s">
        <v>179</v>
      </c>
      <c r="P2923" s="90">
        <v>45187.312199074076</v>
      </c>
      <c r="Q2923" s="87" t="s">
        <v>4631</v>
      </c>
      <c r="R2923" s="87">
        <v>0</v>
      </c>
      <c r="S2923" s="87">
        <v>0</v>
      </c>
      <c r="T2923" s="87">
        <v>0</v>
      </c>
      <c r="U2923" s="87">
        <v>0</v>
      </c>
      <c r="V2923" s="87">
        <v>11</v>
      </c>
      <c r="W2923" s="93" t="s">
        <v>7488</v>
      </c>
      <c r="X2923" s="92" t="str">
        <f>HYPERLINK("https://economicnewsbrasil.com.br/?p=89310")</f>
        <v>https://economicnewsbrasil.com.br/?p=89310</v>
      </c>
      <c r="Y2923" s="87" t="s">
        <v>8373</v>
      </c>
      <c r="Z2923" s="87"/>
      <c r="AA2923" s="87"/>
      <c r="AB2923" s="87"/>
      <c r="AC2923" s="93" t="s">
        <v>11502</v>
      </c>
      <c r="AD2923" s="87" t="s">
        <v>11519</v>
      </c>
      <c r="AE2923" s="92" t="str">
        <f>HYPERLINK("https://twitter.com/economicnewsbr/status/1703672597622259826")</f>
        <v>https://twitter.com/economicnewsbr/status/1703672597622259826</v>
      </c>
      <c r="AF2923" s="90">
        <v>45187.312199074076</v>
      </c>
      <c r="AG2923" s="99">
        <v>45187</v>
      </c>
      <c r="AH2923" s="93" t="s">
        <v>14148</v>
      </c>
      <c r="AI2923" s="87" t="b">
        <v>0</v>
      </c>
      <c r="AJ2923" s="87"/>
      <c r="AK2923" s="87"/>
      <c r="AL2923" s="87"/>
      <c r="AM2923" s="87"/>
      <c r="AN2923" s="87"/>
      <c r="AO2923" s="87"/>
      <c r="AP2923" s="87"/>
      <c r="AQ2923" s="87"/>
      <c r="AR2923" s="87"/>
      <c r="AS2923" s="87"/>
      <c r="AT2923" s="87"/>
      <c r="AU2923" s="87"/>
      <c r="AV2923" s="92" t="str">
        <f>HYPERLINK("https://pbs.twimg.com/profile_images/1211027151870402560/9JIqaKmf_normal.jpg")</f>
        <v>https://pbs.twimg.com/profile_images/1211027151870402560/9JIqaKmf_normal.jpg</v>
      </c>
      <c r="AW2923" s="93" t="s">
        <v>21079</v>
      </c>
      <c r="AX2923" s="93" t="s">
        <v>21079</v>
      </c>
      <c r="AY2923" s="87"/>
      <c r="AZ2923" s="93" t="s">
        <v>22668</v>
      </c>
      <c r="BA2923" s="93" t="s">
        <v>22668</v>
      </c>
      <c r="BB2923" s="93" t="s">
        <v>22668</v>
      </c>
      <c r="BC2923" s="93" t="s">
        <v>21079</v>
      </c>
      <c r="BD2923" s="93" t="s">
        <v>23295</v>
      </c>
      <c r="BE2923" s="87"/>
      <c r="BF2923" s="87"/>
      <c r="BG2923" s="87"/>
      <c r="BH2923" s="87"/>
      <c r="BI2923" s="87"/>
    </row>
    <row r="2924" spans="1:61" x14ac:dyDescent="0.25">
      <c r="A2924" s="63" t="s">
        <v>1095</v>
      </c>
      <c r="B2924" s="63" t="s">
        <v>1095</v>
      </c>
      <c r="C2924" s="64"/>
      <c r="D2924" s="65"/>
      <c r="E2924" s="66"/>
      <c r="F2924" s="67"/>
      <c r="G2924" s="64"/>
      <c r="H2924" s="68"/>
      <c r="I2924" s="69"/>
      <c r="J2924" s="69"/>
      <c r="K2924" s="32"/>
      <c r="L2924" s="76">
        <v>2924</v>
      </c>
      <c r="M2924" s="76"/>
      <c r="N2924" s="71"/>
      <c r="O2924" s="87" t="s">
        <v>179</v>
      </c>
      <c r="P2924" s="90">
        <v>45182.043194444443</v>
      </c>
      <c r="Q2924" s="87" t="s">
        <v>4632</v>
      </c>
      <c r="R2924" s="87">
        <v>0</v>
      </c>
      <c r="S2924" s="87">
        <v>0</v>
      </c>
      <c r="T2924" s="87">
        <v>0</v>
      </c>
      <c r="U2924" s="87">
        <v>0</v>
      </c>
      <c r="V2924" s="87">
        <v>12</v>
      </c>
      <c r="W2924" s="93" t="s">
        <v>7489</v>
      </c>
      <c r="X2924" s="92" t="str">
        <f>HYPERLINK("https://economicnewsbrasil.com.br/2020/09/13/compromisso-no-mundo-corporativo-a-busca-por-alta-performance-por-jackson-pereira-jr/")</f>
        <v>https://economicnewsbrasil.com.br/2020/09/13/compromisso-no-mundo-corporativo-a-busca-por-alta-performance-por-jackson-pereira-jr/</v>
      </c>
      <c r="Y2924" s="87" t="s">
        <v>8373</v>
      </c>
      <c r="Z2924" s="87"/>
      <c r="AA2924" s="87" t="s">
        <v>10624</v>
      </c>
      <c r="AB2924" s="87" t="s">
        <v>11448</v>
      </c>
      <c r="AC2924" s="93" t="s">
        <v>11502</v>
      </c>
      <c r="AD2924" s="87" t="s">
        <v>11519</v>
      </c>
      <c r="AE2924" s="92" t="str">
        <f>HYPERLINK("https://twitter.com/economicnewsbr/status/1701763174033215613")</f>
        <v>https://twitter.com/economicnewsbr/status/1701763174033215613</v>
      </c>
      <c r="AF2924" s="90">
        <v>45182.043194444443</v>
      </c>
      <c r="AG2924" s="99">
        <v>45182</v>
      </c>
      <c r="AH2924" s="93" t="s">
        <v>14149</v>
      </c>
      <c r="AI2924" s="87" t="b">
        <v>0</v>
      </c>
      <c r="AJ2924" s="87"/>
      <c r="AK2924" s="87"/>
      <c r="AL2924" s="87"/>
      <c r="AM2924" s="87"/>
      <c r="AN2924" s="87"/>
      <c r="AO2924" s="87"/>
      <c r="AP2924" s="87"/>
      <c r="AQ2924" s="87" t="s">
        <v>17436</v>
      </c>
      <c r="AR2924" s="87"/>
      <c r="AS2924" s="87"/>
      <c r="AT2924" s="87"/>
      <c r="AU2924" s="87"/>
      <c r="AV2924" s="92" t="str">
        <f>HYPERLINK("https://pbs.twimg.com/media/F53glrkW4AA84yX.jpg")</f>
        <v>https://pbs.twimg.com/media/F53glrkW4AA84yX.jpg</v>
      </c>
      <c r="AW2924" s="93" t="s">
        <v>21080</v>
      </c>
      <c r="AX2924" s="93" t="s">
        <v>21080</v>
      </c>
      <c r="AY2924" s="87"/>
      <c r="AZ2924" s="93" t="s">
        <v>22668</v>
      </c>
      <c r="BA2924" s="93" t="s">
        <v>22668</v>
      </c>
      <c r="BB2924" s="93" t="s">
        <v>22668</v>
      </c>
      <c r="BC2924" s="93" t="s">
        <v>21080</v>
      </c>
      <c r="BD2924" s="93" t="s">
        <v>23295</v>
      </c>
      <c r="BE2924" s="87"/>
      <c r="BF2924" s="87"/>
      <c r="BG2924" s="87"/>
      <c r="BH2924" s="87"/>
      <c r="BI2924" s="87"/>
    </row>
    <row r="2925" spans="1:61" x14ac:dyDescent="0.25">
      <c r="A2925" s="63" t="s">
        <v>1095</v>
      </c>
      <c r="B2925" s="63" t="s">
        <v>1095</v>
      </c>
      <c r="C2925" s="64"/>
      <c r="D2925" s="65"/>
      <c r="E2925" s="66"/>
      <c r="F2925" s="67"/>
      <c r="G2925" s="64"/>
      <c r="H2925" s="68"/>
      <c r="I2925" s="69"/>
      <c r="J2925" s="69"/>
      <c r="K2925" s="32"/>
      <c r="L2925" s="76">
        <v>2925</v>
      </c>
      <c r="M2925" s="76"/>
      <c r="N2925" s="71"/>
      <c r="O2925" s="87" t="s">
        <v>179</v>
      </c>
      <c r="P2925" s="90">
        <v>45191.728993055556</v>
      </c>
      <c r="Q2925" s="87" t="s">
        <v>4633</v>
      </c>
      <c r="R2925" s="87">
        <v>1</v>
      </c>
      <c r="S2925" s="87">
        <v>2</v>
      </c>
      <c r="T2925" s="87">
        <v>0</v>
      </c>
      <c r="U2925" s="87">
        <v>0</v>
      </c>
      <c r="V2925" s="87">
        <v>46</v>
      </c>
      <c r="W2925" s="93" t="s">
        <v>7490</v>
      </c>
      <c r="X2925" s="92" t="str">
        <f>HYPERLINK("https://economicnewsbrasil.com.br/2023/09/22/josiel-alcolumbre-lidera-discussoes-no-sebrae-amapa-em-foco-na-integracao-nacional/")</f>
        <v>https://economicnewsbrasil.com.br/2023/09/22/josiel-alcolumbre-lidera-discussoes-no-sebrae-amapa-em-foco-na-integracao-nacional/</v>
      </c>
      <c r="Y2925" s="87" t="s">
        <v>8373</v>
      </c>
      <c r="Z2925" s="87"/>
      <c r="AA2925" s="87"/>
      <c r="AB2925" s="87"/>
      <c r="AC2925" s="93" t="s">
        <v>11502</v>
      </c>
      <c r="AD2925" s="87" t="s">
        <v>11519</v>
      </c>
      <c r="AE2925" s="92" t="str">
        <f>HYPERLINK("https://twitter.com/economicnewsbr/status/1705273190300172586")</f>
        <v>https://twitter.com/economicnewsbr/status/1705273190300172586</v>
      </c>
      <c r="AF2925" s="90">
        <v>45191.728993055556</v>
      </c>
      <c r="AG2925" s="99">
        <v>45191</v>
      </c>
      <c r="AH2925" s="93" t="s">
        <v>14150</v>
      </c>
      <c r="AI2925" s="87" t="b">
        <v>0</v>
      </c>
      <c r="AJ2925" s="87"/>
      <c r="AK2925" s="87"/>
      <c r="AL2925" s="87"/>
      <c r="AM2925" s="87"/>
      <c r="AN2925" s="87"/>
      <c r="AO2925" s="87"/>
      <c r="AP2925" s="87"/>
      <c r="AQ2925" s="87"/>
      <c r="AR2925" s="87"/>
      <c r="AS2925" s="87"/>
      <c r="AT2925" s="87"/>
      <c r="AU2925" s="87"/>
      <c r="AV2925" s="92" t="str">
        <f>HYPERLINK("https://pbs.twimg.com/profile_images/1211027151870402560/9JIqaKmf_normal.jpg")</f>
        <v>https://pbs.twimg.com/profile_images/1211027151870402560/9JIqaKmf_normal.jpg</v>
      </c>
      <c r="AW2925" s="93" t="s">
        <v>21081</v>
      </c>
      <c r="AX2925" s="93" t="s">
        <v>21081</v>
      </c>
      <c r="AY2925" s="87"/>
      <c r="AZ2925" s="93" t="s">
        <v>22668</v>
      </c>
      <c r="BA2925" s="93" t="s">
        <v>22668</v>
      </c>
      <c r="BB2925" s="93" t="s">
        <v>22668</v>
      </c>
      <c r="BC2925" s="93" t="s">
        <v>21081</v>
      </c>
      <c r="BD2925" s="93" t="s">
        <v>23295</v>
      </c>
      <c r="BE2925" s="87"/>
      <c r="BF2925" s="87"/>
      <c r="BG2925" s="87"/>
      <c r="BH2925" s="87"/>
      <c r="BI2925" s="87"/>
    </row>
    <row r="2926" spans="1:61" x14ac:dyDescent="0.25">
      <c r="A2926" s="63" t="s">
        <v>1095</v>
      </c>
      <c r="B2926" s="63" t="s">
        <v>1095</v>
      </c>
      <c r="C2926" s="64"/>
      <c r="D2926" s="65"/>
      <c r="E2926" s="66"/>
      <c r="F2926" s="67"/>
      <c r="G2926" s="64"/>
      <c r="H2926" s="68"/>
      <c r="I2926" s="69"/>
      <c r="J2926" s="69"/>
      <c r="K2926" s="32"/>
      <c r="L2926" s="76">
        <v>2926</v>
      </c>
      <c r="M2926" s="76"/>
      <c r="N2926" s="71"/>
      <c r="O2926" s="87" t="s">
        <v>179</v>
      </c>
      <c r="P2926" s="90">
        <v>45178.020520833335</v>
      </c>
      <c r="Q2926" s="87" t="s">
        <v>4634</v>
      </c>
      <c r="R2926" s="87">
        <v>0</v>
      </c>
      <c r="S2926" s="87">
        <v>0</v>
      </c>
      <c r="T2926" s="87">
        <v>0</v>
      </c>
      <c r="U2926" s="87">
        <v>0</v>
      </c>
      <c r="V2926" s="87">
        <v>16</v>
      </c>
      <c r="W2926" s="93" t="s">
        <v>7491</v>
      </c>
      <c r="X2926" s="92" t="str">
        <f>HYPERLINK("https://economicnewsbrasil.com.br/2023/09/08/sebrae-50-anos-de-parceria-em-prol-das-micro-e-pequenas-empresas/")</f>
        <v>https://economicnewsbrasil.com.br/2023/09/08/sebrae-50-anos-de-parceria-em-prol-das-micro-e-pequenas-empresas/</v>
      </c>
      <c r="Y2926" s="87" t="s">
        <v>8373</v>
      </c>
      <c r="Z2926" s="87"/>
      <c r="AA2926" s="87" t="s">
        <v>10625</v>
      </c>
      <c r="AB2926" s="87" t="s">
        <v>11448</v>
      </c>
      <c r="AC2926" s="93" t="s">
        <v>11502</v>
      </c>
      <c r="AD2926" s="87" t="s">
        <v>11519</v>
      </c>
      <c r="AE2926" s="92" t="str">
        <f>HYPERLINK("https://twitter.com/economicnewsbr/status/1700305405698593058")</f>
        <v>https://twitter.com/economicnewsbr/status/1700305405698593058</v>
      </c>
      <c r="AF2926" s="90">
        <v>45178.020520833335</v>
      </c>
      <c r="AG2926" s="99">
        <v>45178</v>
      </c>
      <c r="AH2926" s="93" t="s">
        <v>14151</v>
      </c>
      <c r="AI2926" s="87" t="b">
        <v>0</v>
      </c>
      <c r="AJ2926" s="87"/>
      <c r="AK2926" s="87"/>
      <c r="AL2926" s="87"/>
      <c r="AM2926" s="87"/>
      <c r="AN2926" s="87"/>
      <c r="AO2926" s="87"/>
      <c r="AP2926" s="87"/>
      <c r="AQ2926" s="87" t="s">
        <v>17437</v>
      </c>
      <c r="AR2926" s="87"/>
      <c r="AS2926" s="87"/>
      <c r="AT2926" s="87"/>
      <c r="AU2926" s="87"/>
      <c r="AV2926" s="92" t="str">
        <f>HYPERLINK("https://pbs.twimg.com/media/F5iywWyXMAAcDs5.jpg")</f>
        <v>https://pbs.twimg.com/media/F5iywWyXMAAcDs5.jpg</v>
      </c>
      <c r="AW2926" s="93" t="s">
        <v>21082</v>
      </c>
      <c r="AX2926" s="93" t="s">
        <v>21082</v>
      </c>
      <c r="AY2926" s="87"/>
      <c r="AZ2926" s="93" t="s">
        <v>22668</v>
      </c>
      <c r="BA2926" s="93" t="s">
        <v>22668</v>
      </c>
      <c r="BB2926" s="93" t="s">
        <v>22668</v>
      </c>
      <c r="BC2926" s="93" t="s">
        <v>21082</v>
      </c>
      <c r="BD2926" s="93" t="s">
        <v>23295</v>
      </c>
      <c r="BE2926" s="87"/>
      <c r="BF2926" s="87"/>
      <c r="BG2926" s="87"/>
      <c r="BH2926" s="87"/>
      <c r="BI2926" s="87"/>
    </row>
    <row r="2927" spans="1:61" x14ac:dyDescent="0.25">
      <c r="A2927" s="63" t="s">
        <v>1095</v>
      </c>
      <c r="B2927" s="63" t="s">
        <v>1095</v>
      </c>
      <c r="C2927" s="64"/>
      <c r="D2927" s="65"/>
      <c r="E2927" s="66"/>
      <c r="F2927" s="67"/>
      <c r="G2927" s="64"/>
      <c r="H2927" s="68"/>
      <c r="I2927" s="69"/>
      <c r="J2927" s="69"/>
      <c r="K2927" s="32"/>
      <c r="L2927" s="76">
        <v>2927</v>
      </c>
      <c r="M2927" s="76"/>
      <c r="N2927" s="71"/>
      <c r="O2927" s="87" t="s">
        <v>179</v>
      </c>
      <c r="P2927" s="90">
        <v>45178.018993055557</v>
      </c>
      <c r="Q2927" s="87" t="s">
        <v>4635</v>
      </c>
      <c r="R2927" s="87">
        <v>0</v>
      </c>
      <c r="S2927" s="87">
        <v>0</v>
      </c>
      <c r="T2927" s="87">
        <v>0</v>
      </c>
      <c r="U2927" s="87">
        <v>0</v>
      </c>
      <c r="V2927" s="87">
        <v>15</v>
      </c>
      <c r="W2927" s="93" t="s">
        <v>7492</v>
      </c>
      <c r="X2927" s="92" t="str">
        <f>HYPERLINK("https://economicnewsbrasil.com.br/2023/09/08/sebrae-50-anos-de-parceria-em-prol-das-micro-e-pequenas-empresas/")</f>
        <v>https://economicnewsbrasil.com.br/2023/09/08/sebrae-50-anos-de-parceria-em-prol-das-micro-e-pequenas-empresas/</v>
      </c>
      <c r="Y2927" s="87" t="s">
        <v>8373</v>
      </c>
      <c r="Z2927" s="87"/>
      <c r="AA2927" s="87" t="s">
        <v>10626</v>
      </c>
      <c r="AB2927" s="87" t="s">
        <v>11448</v>
      </c>
      <c r="AC2927" s="93" t="s">
        <v>11502</v>
      </c>
      <c r="AD2927" s="87" t="s">
        <v>11519</v>
      </c>
      <c r="AE2927" s="92" t="str">
        <f>HYPERLINK("https://twitter.com/economicnewsbr/status/1700304850037178517")</f>
        <v>https://twitter.com/economicnewsbr/status/1700304850037178517</v>
      </c>
      <c r="AF2927" s="90">
        <v>45178.018993055557</v>
      </c>
      <c r="AG2927" s="99">
        <v>45178</v>
      </c>
      <c r="AH2927" s="93" t="s">
        <v>14152</v>
      </c>
      <c r="AI2927" s="87" t="b">
        <v>0</v>
      </c>
      <c r="AJ2927" s="87"/>
      <c r="AK2927" s="87"/>
      <c r="AL2927" s="87"/>
      <c r="AM2927" s="87"/>
      <c r="AN2927" s="87"/>
      <c r="AO2927" s="87"/>
      <c r="AP2927" s="87"/>
      <c r="AQ2927" s="87" t="s">
        <v>17438</v>
      </c>
      <c r="AR2927" s="87"/>
      <c r="AS2927" s="87"/>
      <c r="AT2927" s="87"/>
      <c r="AU2927" s="87"/>
      <c r="AV2927" s="92" t="str">
        <f>HYPERLINK("https://pbs.twimg.com/media/F5iyQAeXAAAi_KX.jpg")</f>
        <v>https://pbs.twimg.com/media/F5iyQAeXAAAi_KX.jpg</v>
      </c>
      <c r="AW2927" s="93" t="s">
        <v>21083</v>
      </c>
      <c r="AX2927" s="93" t="s">
        <v>21083</v>
      </c>
      <c r="AY2927" s="87"/>
      <c r="AZ2927" s="93" t="s">
        <v>22668</v>
      </c>
      <c r="BA2927" s="93" t="s">
        <v>22668</v>
      </c>
      <c r="BB2927" s="93" t="s">
        <v>22668</v>
      </c>
      <c r="BC2927" s="93" t="s">
        <v>21083</v>
      </c>
      <c r="BD2927" s="93" t="s">
        <v>23295</v>
      </c>
      <c r="BE2927" s="87"/>
      <c r="BF2927" s="87"/>
      <c r="BG2927" s="87"/>
      <c r="BH2927" s="87"/>
      <c r="BI2927" s="87"/>
    </row>
    <row r="2928" spans="1:61" x14ac:dyDescent="0.25">
      <c r="A2928" s="63" t="s">
        <v>1095</v>
      </c>
      <c r="B2928" s="63" t="s">
        <v>1095</v>
      </c>
      <c r="C2928" s="64"/>
      <c r="D2928" s="65"/>
      <c r="E2928" s="66"/>
      <c r="F2928" s="67"/>
      <c r="G2928" s="64"/>
      <c r="H2928" s="68"/>
      <c r="I2928" s="69"/>
      <c r="J2928" s="69"/>
      <c r="K2928" s="32"/>
      <c r="L2928" s="76">
        <v>2928</v>
      </c>
      <c r="M2928" s="76"/>
      <c r="N2928" s="71"/>
      <c r="O2928" s="87" t="s">
        <v>179</v>
      </c>
      <c r="P2928" s="90">
        <v>45177.965324074074</v>
      </c>
      <c r="Q2928" s="87" t="s">
        <v>4636</v>
      </c>
      <c r="R2928" s="87">
        <v>0</v>
      </c>
      <c r="S2928" s="87">
        <v>0</v>
      </c>
      <c r="T2928" s="87">
        <v>0</v>
      </c>
      <c r="U2928" s="87">
        <v>0</v>
      </c>
      <c r="V2928" s="87">
        <v>6</v>
      </c>
      <c r="W2928" s="93" t="s">
        <v>7493</v>
      </c>
      <c r="X2928" s="92" t="str">
        <f>HYPERLINK("https://economicnewsbrasil.com.br/2023/09/08/cultura-exportadora-estrategia-nacional-para-ampliar-negocios-internacionais/")</f>
        <v>https://economicnewsbrasil.com.br/2023/09/08/cultura-exportadora-estrategia-nacional-para-ampliar-negocios-internacionais/</v>
      </c>
      <c r="Y2928" s="87" t="s">
        <v>8373</v>
      </c>
      <c r="Z2928" s="87"/>
      <c r="AA2928" s="87" t="s">
        <v>10627</v>
      </c>
      <c r="AB2928" s="87" t="s">
        <v>11448</v>
      </c>
      <c r="AC2928" s="93" t="s">
        <v>11502</v>
      </c>
      <c r="AD2928" s="87" t="s">
        <v>11519</v>
      </c>
      <c r="AE2928" s="92" t="str">
        <f>HYPERLINK("https://twitter.com/economicnewsbr/status/1700285403520024911")</f>
        <v>https://twitter.com/economicnewsbr/status/1700285403520024911</v>
      </c>
      <c r="AF2928" s="90">
        <v>45177.965324074074</v>
      </c>
      <c r="AG2928" s="99">
        <v>45177</v>
      </c>
      <c r="AH2928" s="93" t="s">
        <v>14153</v>
      </c>
      <c r="AI2928" s="87" t="b">
        <v>0</v>
      </c>
      <c r="AJ2928" s="87"/>
      <c r="AK2928" s="87"/>
      <c r="AL2928" s="87"/>
      <c r="AM2928" s="87"/>
      <c r="AN2928" s="87"/>
      <c r="AO2928" s="87"/>
      <c r="AP2928" s="87"/>
      <c r="AQ2928" s="87" t="s">
        <v>17439</v>
      </c>
      <c r="AR2928" s="87"/>
      <c r="AS2928" s="87"/>
      <c r="AT2928" s="87"/>
      <c r="AU2928" s="87"/>
      <c r="AV2928" s="92" t="str">
        <f>HYPERLINK("https://pbs.twimg.com/media/F5igkFBWkAAnPet.jpg")</f>
        <v>https://pbs.twimg.com/media/F5igkFBWkAAnPet.jpg</v>
      </c>
      <c r="AW2928" s="93" t="s">
        <v>21084</v>
      </c>
      <c r="AX2928" s="93" t="s">
        <v>21084</v>
      </c>
      <c r="AY2928" s="87"/>
      <c r="AZ2928" s="93" t="s">
        <v>22668</v>
      </c>
      <c r="BA2928" s="93" t="s">
        <v>22668</v>
      </c>
      <c r="BB2928" s="93" t="s">
        <v>22668</v>
      </c>
      <c r="BC2928" s="93" t="s">
        <v>21084</v>
      </c>
      <c r="BD2928" s="93" t="s">
        <v>23295</v>
      </c>
      <c r="BE2928" s="87"/>
      <c r="BF2928" s="87"/>
      <c r="BG2928" s="87"/>
      <c r="BH2928" s="87"/>
      <c r="BI2928" s="87"/>
    </row>
    <row r="2929" spans="1:61" x14ac:dyDescent="0.25">
      <c r="A2929" s="63" t="s">
        <v>1095</v>
      </c>
      <c r="B2929" s="63" t="s">
        <v>1095</v>
      </c>
      <c r="C2929" s="64"/>
      <c r="D2929" s="65"/>
      <c r="E2929" s="66"/>
      <c r="F2929" s="67"/>
      <c r="G2929" s="64"/>
      <c r="H2929" s="68"/>
      <c r="I2929" s="69"/>
      <c r="J2929" s="69"/>
      <c r="K2929" s="32"/>
      <c r="L2929" s="76">
        <v>2929</v>
      </c>
      <c r="M2929" s="76"/>
      <c r="N2929" s="71"/>
      <c r="O2929" s="87" t="s">
        <v>179</v>
      </c>
      <c r="P2929" s="90">
        <v>45193.543379629627</v>
      </c>
      <c r="Q2929" s="87" t="s">
        <v>4637</v>
      </c>
      <c r="R2929" s="87">
        <v>0</v>
      </c>
      <c r="S2929" s="87">
        <v>1</v>
      </c>
      <c r="T2929" s="87">
        <v>0</v>
      </c>
      <c r="U2929" s="87">
        <v>0</v>
      </c>
      <c r="V2929" s="87">
        <v>22</v>
      </c>
      <c r="W2929" s="93" t="s">
        <v>7494</v>
      </c>
      <c r="X2929" s="92" t="str">
        <f>HYPERLINK("https://economicnewsbrasil.com.br/?p=3374")</f>
        <v>https://economicnewsbrasil.com.br/?p=3374</v>
      </c>
      <c r="Y2929" s="87" t="s">
        <v>8373</v>
      </c>
      <c r="Z2929" s="87"/>
      <c r="AA2929" s="87" t="s">
        <v>10628</v>
      </c>
      <c r="AB2929" s="87" t="s">
        <v>11448</v>
      </c>
      <c r="AC2929" s="93" t="s">
        <v>11502</v>
      </c>
      <c r="AD2929" s="87" t="s">
        <v>11519</v>
      </c>
      <c r="AE2929" s="92" t="str">
        <f>HYPERLINK("https://twitter.com/economicnewsbr/status/1705930699272864100")</f>
        <v>https://twitter.com/economicnewsbr/status/1705930699272864100</v>
      </c>
      <c r="AF2929" s="90">
        <v>45193.543379629627</v>
      </c>
      <c r="AG2929" s="99">
        <v>45193</v>
      </c>
      <c r="AH2929" s="93" t="s">
        <v>14154</v>
      </c>
      <c r="AI2929" s="87" t="b">
        <v>0</v>
      </c>
      <c r="AJ2929" s="87"/>
      <c r="AK2929" s="87"/>
      <c r="AL2929" s="87"/>
      <c r="AM2929" s="87"/>
      <c r="AN2929" s="87"/>
      <c r="AO2929" s="87"/>
      <c r="AP2929" s="87"/>
      <c r="AQ2929" s="87" t="s">
        <v>17440</v>
      </c>
      <c r="AR2929" s="87"/>
      <c r="AS2929" s="87"/>
      <c r="AT2929" s="87"/>
      <c r="AU2929" s="87"/>
      <c r="AV2929" s="92" t="str">
        <f>HYPERLINK("https://pbs.twimg.com/media/F6yu7leX0AAxa1M.jpg")</f>
        <v>https://pbs.twimg.com/media/F6yu7leX0AAxa1M.jpg</v>
      </c>
      <c r="AW2929" s="93" t="s">
        <v>21085</v>
      </c>
      <c r="AX2929" s="93" t="s">
        <v>21085</v>
      </c>
      <c r="AY2929" s="87"/>
      <c r="AZ2929" s="93" t="s">
        <v>22668</v>
      </c>
      <c r="BA2929" s="93" t="s">
        <v>22668</v>
      </c>
      <c r="BB2929" s="93" t="s">
        <v>22668</v>
      </c>
      <c r="BC2929" s="93" t="s">
        <v>21085</v>
      </c>
      <c r="BD2929" s="93" t="s">
        <v>23295</v>
      </c>
      <c r="BE2929" s="87"/>
      <c r="BF2929" s="87"/>
      <c r="BG2929" s="87"/>
      <c r="BH2929" s="87"/>
      <c r="BI2929" s="87"/>
    </row>
    <row r="2930" spans="1:61" x14ac:dyDescent="0.25">
      <c r="A2930" s="63" t="s">
        <v>1095</v>
      </c>
      <c r="B2930" s="63" t="s">
        <v>1095</v>
      </c>
      <c r="C2930" s="64"/>
      <c r="D2930" s="65"/>
      <c r="E2930" s="66"/>
      <c r="F2930" s="67"/>
      <c r="G2930" s="64"/>
      <c r="H2930" s="68"/>
      <c r="I2930" s="69"/>
      <c r="J2930" s="69"/>
      <c r="K2930" s="32"/>
      <c r="L2930" s="76">
        <v>2930</v>
      </c>
      <c r="M2930" s="76"/>
      <c r="N2930" s="71"/>
      <c r="O2930" s="87" t="s">
        <v>179</v>
      </c>
      <c r="P2930" s="90">
        <v>45188.813958333332</v>
      </c>
      <c r="Q2930" s="87" t="s">
        <v>4638</v>
      </c>
      <c r="R2930" s="87">
        <v>0</v>
      </c>
      <c r="S2930" s="87">
        <v>0</v>
      </c>
      <c r="T2930" s="87">
        <v>0</v>
      </c>
      <c r="U2930" s="87">
        <v>0</v>
      </c>
      <c r="V2930" s="87">
        <v>10</v>
      </c>
      <c r="W2930" s="93" t="s">
        <v>7495</v>
      </c>
      <c r="X2930" s="92" t="str">
        <f>HYPERLINK("https://economicnewsbrasil.com.br/?p=89745")</f>
        <v>https://economicnewsbrasil.com.br/?p=89745</v>
      </c>
      <c r="Y2930" s="87" t="s">
        <v>8373</v>
      </c>
      <c r="Z2930" s="87"/>
      <c r="AA2930" s="87"/>
      <c r="AB2930" s="87"/>
      <c r="AC2930" s="93" t="s">
        <v>11502</v>
      </c>
      <c r="AD2930" s="87" t="s">
        <v>11519</v>
      </c>
      <c r="AE2930" s="92" t="str">
        <f>HYPERLINK("https://twitter.com/economicnewsbr/status/1704216815264563487")</f>
        <v>https://twitter.com/economicnewsbr/status/1704216815264563487</v>
      </c>
      <c r="AF2930" s="90">
        <v>45188.813958333332</v>
      </c>
      <c r="AG2930" s="99">
        <v>45188</v>
      </c>
      <c r="AH2930" s="93" t="s">
        <v>14155</v>
      </c>
      <c r="AI2930" s="87" t="b">
        <v>0</v>
      </c>
      <c r="AJ2930" s="87"/>
      <c r="AK2930" s="87"/>
      <c r="AL2930" s="87"/>
      <c r="AM2930" s="87"/>
      <c r="AN2930" s="87"/>
      <c r="AO2930" s="87"/>
      <c r="AP2930" s="87"/>
      <c r="AQ2930" s="87"/>
      <c r="AR2930" s="87"/>
      <c r="AS2930" s="87"/>
      <c r="AT2930" s="87"/>
      <c r="AU2930" s="87"/>
      <c r="AV2930" s="92" t="str">
        <f>HYPERLINK("https://pbs.twimg.com/profile_images/1211027151870402560/9JIqaKmf_normal.jpg")</f>
        <v>https://pbs.twimg.com/profile_images/1211027151870402560/9JIqaKmf_normal.jpg</v>
      </c>
      <c r="AW2930" s="93" t="s">
        <v>21086</v>
      </c>
      <c r="AX2930" s="93" t="s">
        <v>21086</v>
      </c>
      <c r="AY2930" s="87"/>
      <c r="AZ2930" s="93" t="s">
        <v>22668</v>
      </c>
      <c r="BA2930" s="93" t="s">
        <v>22668</v>
      </c>
      <c r="BB2930" s="93" t="s">
        <v>22668</v>
      </c>
      <c r="BC2930" s="93" t="s">
        <v>21086</v>
      </c>
      <c r="BD2930" s="93" t="s">
        <v>23295</v>
      </c>
      <c r="BE2930" s="87"/>
      <c r="BF2930" s="87"/>
      <c r="BG2930" s="87"/>
      <c r="BH2930" s="87"/>
      <c r="BI2930" s="87"/>
    </row>
    <row r="2931" spans="1:61" x14ac:dyDescent="0.25">
      <c r="A2931" s="63" t="s">
        <v>1095</v>
      </c>
      <c r="B2931" s="63" t="s">
        <v>1095</v>
      </c>
      <c r="C2931" s="64"/>
      <c r="D2931" s="65"/>
      <c r="E2931" s="66"/>
      <c r="F2931" s="67"/>
      <c r="G2931" s="64"/>
      <c r="H2931" s="68"/>
      <c r="I2931" s="69"/>
      <c r="J2931" s="69"/>
      <c r="K2931" s="32"/>
      <c r="L2931" s="76">
        <v>2931</v>
      </c>
      <c r="M2931" s="76"/>
      <c r="N2931" s="71"/>
      <c r="O2931" s="87" t="s">
        <v>179</v>
      </c>
      <c r="P2931" s="90">
        <v>45185.876782407409</v>
      </c>
      <c r="Q2931" s="87" t="s">
        <v>4639</v>
      </c>
      <c r="R2931" s="87">
        <v>0</v>
      </c>
      <c r="S2931" s="87">
        <v>0</v>
      </c>
      <c r="T2931" s="87">
        <v>0</v>
      </c>
      <c r="U2931" s="87">
        <v>0</v>
      </c>
      <c r="V2931" s="87">
        <v>7</v>
      </c>
      <c r="W2931" s="93" t="s">
        <v>7485</v>
      </c>
      <c r="X2931" s="92" t="str">
        <f>HYPERLINK("https://economicnewsbrasil.com.br/?p=89284")</f>
        <v>https://economicnewsbrasil.com.br/?p=89284</v>
      </c>
      <c r="Y2931" s="87" t="s">
        <v>8373</v>
      </c>
      <c r="Z2931" s="87"/>
      <c r="AA2931" s="87"/>
      <c r="AB2931" s="87"/>
      <c r="AC2931" s="93" t="s">
        <v>11502</v>
      </c>
      <c r="AD2931" s="87" t="s">
        <v>11519</v>
      </c>
      <c r="AE2931" s="92" t="str">
        <f>HYPERLINK("https://twitter.com/economicnewsbr/status/1703152420195340396")</f>
        <v>https://twitter.com/economicnewsbr/status/1703152420195340396</v>
      </c>
      <c r="AF2931" s="90">
        <v>45185.876782407409</v>
      </c>
      <c r="AG2931" s="99">
        <v>45185</v>
      </c>
      <c r="AH2931" s="93" t="s">
        <v>14156</v>
      </c>
      <c r="AI2931" s="87" t="b">
        <v>0</v>
      </c>
      <c r="AJ2931" s="87"/>
      <c r="AK2931" s="87"/>
      <c r="AL2931" s="87"/>
      <c r="AM2931" s="87"/>
      <c r="AN2931" s="87"/>
      <c r="AO2931" s="87"/>
      <c r="AP2931" s="87"/>
      <c r="AQ2931" s="87"/>
      <c r="AR2931" s="87"/>
      <c r="AS2931" s="87"/>
      <c r="AT2931" s="87"/>
      <c r="AU2931" s="87"/>
      <c r="AV2931" s="92" t="str">
        <f>HYPERLINK("https://pbs.twimg.com/profile_images/1211027151870402560/9JIqaKmf_normal.jpg")</f>
        <v>https://pbs.twimg.com/profile_images/1211027151870402560/9JIqaKmf_normal.jpg</v>
      </c>
      <c r="AW2931" s="93" t="s">
        <v>21087</v>
      </c>
      <c r="AX2931" s="93" t="s">
        <v>21087</v>
      </c>
      <c r="AY2931" s="87"/>
      <c r="AZ2931" s="93" t="s">
        <v>22668</v>
      </c>
      <c r="BA2931" s="93" t="s">
        <v>22668</v>
      </c>
      <c r="BB2931" s="93" t="s">
        <v>22668</v>
      </c>
      <c r="BC2931" s="93" t="s">
        <v>21087</v>
      </c>
      <c r="BD2931" s="93" t="s">
        <v>23295</v>
      </c>
      <c r="BE2931" s="87"/>
      <c r="BF2931" s="87"/>
      <c r="BG2931" s="87"/>
      <c r="BH2931" s="87"/>
      <c r="BI2931" s="87"/>
    </row>
    <row r="2932" spans="1:61" x14ac:dyDescent="0.25">
      <c r="A2932" s="63" t="s">
        <v>1095</v>
      </c>
      <c r="B2932" s="63" t="s">
        <v>1095</v>
      </c>
      <c r="C2932" s="64"/>
      <c r="D2932" s="65"/>
      <c r="E2932" s="66"/>
      <c r="F2932" s="67"/>
      <c r="G2932" s="64"/>
      <c r="H2932" s="68"/>
      <c r="I2932" s="69"/>
      <c r="J2932" s="69"/>
      <c r="K2932" s="32"/>
      <c r="L2932" s="76">
        <v>2932</v>
      </c>
      <c r="M2932" s="76"/>
      <c r="N2932" s="71"/>
      <c r="O2932" s="87" t="s">
        <v>179</v>
      </c>
      <c r="P2932" s="90">
        <v>45181.433703703704</v>
      </c>
      <c r="Q2932" s="87" t="s">
        <v>4640</v>
      </c>
      <c r="R2932" s="87">
        <v>0</v>
      </c>
      <c r="S2932" s="87">
        <v>0</v>
      </c>
      <c r="T2932" s="87">
        <v>0</v>
      </c>
      <c r="U2932" s="87">
        <v>0</v>
      </c>
      <c r="V2932" s="87">
        <v>44</v>
      </c>
      <c r="W2932" s="93" t="s">
        <v>7485</v>
      </c>
      <c r="X2932" s="92" t="str">
        <f>HYPERLINK("https://economicnewsbrasil.com.br/2023/09/12/estrategia-espacolaser-ceo-planeja-diminuir-dividas-no-2o-semestre-de-2023/")</f>
        <v>https://economicnewsbrasil.com.br/2023/09/12/estrategia-espacolaser-ceo-planeja-diminuir-dividas-no-2o-semestre-de-2023/</v>
      </c>
      <c r="Y2932" s="87" t="s">
        <v>8373</v>
      </c>
      <c r="Z2932" s="87"/>
      <c r="AA2932" s="87" t="s">
        <v>10629</v>
      </c>
      <c r="AB2932" s="87" t="s">
        <v>11448</v>
      </c>
      <c r="AC2932" s="93" t="s">
        <v>11502</v>
      </c>
      <c r="AD2932" s="87" t="s">
        <v>11519</v>
      </c>
      <c r="AE2932" s="92" t="str">
        <f>HYPERLINK("https://twitter.com/economicnewsbr/status/1701542301783269765")</f>
        <v>https://twitter.com/economicnewsbr/status/1701542301783269765</v>
      </c>
      <c r="AF2932" s="90">
        <v>45181.433703703704</v>
      </c>
      <c r="AG2932" s="99">
        <v>45181</v>
      </c>
      <c r="AH2932" s="93" t="s">
        <v>14157</v>
      </c>
      <c r="AI2932" s="87" t="b">
        <v>0</v>
      </c>
      <c r="AJ2932" s="87"/>
      <c r="AK2932" s="87"/>
      <c r="AL2932" s="87"/>
      <c r="AM2932" s="87"/>
      <c r="AN2932" s="87"/>
      <c r="AO2932" s="87"/>
      <c r="AP2932" s="87"/>
      <c r="AQ2932" s="87" t="s">
        <v>17441</v>
      </c>
      <c r="AR2932" s="87"/>
      <c r="AS2932" s="87"/>
      <c r="AT2932" s="87"/>
      <c r="AU2932" s="87"/>
      <c r="AV2932" s="92" t="str">
        <f>HYPERLINK("https://pbs.twimg.com/media/F50XtNsX0AALcaw.jpg")</f>
        <v>https://pbs.twimg.com/media/F50XtNsX0AALcaw.jpg</v>
      </c>
      <c r="AW2932" s="93" t="s">
        <v>21088</v>
      </c>
      <c r="AX2932" s="93" t="s">
        <v>21088</v>
      </c>
      <c r="AY2932" s="87"/>
      <c r="AZ2932" s="93" t="s">
        <v>22668</v>
      </c>
      <c r="BA2932" s="93" t="s">
        <v>22668</v>
      </c>
      <c r="BB2932" s="93" t="s">
        <v>22668</v>
      </c>
      <c r="BC2932" s="93" t="s">
        <v>21088</v>
      </c>
      <c r="BD2932" s="93" t="s">
        <v>23295</v>
      </c>
      <c r="BE2932" s="87"/>
      <c r="BF2932" s="87"/>
      <c r="BG2932" s="87"/>
      <c r="BH2932" s="87"/>
      <c r="BI2932" s="87"/>
    </row>
    <row r="2933" spans="1:61" x14ac:dyDescent="0.25">
      <c r="A2933" s="63" t="s">
        <v>1096</v>
      </c>
      <c r="B2933" s="63" t="s">
        <v>1096</v>
      </c>
      <c r="C2933" s="64"/>
      <c r="D2933" s="65"/>
      <c r="E2933" s="66"/>
      <c r="F2933" s="67"/>
      <c r="G2933" s="64"/>
      <c r="H2933" s="68"/>
      <c r="I2933" s="69"/>
      <c r="J2933" s="69"/>
      <c r="K2933" s="32"/>
      <c r="L2933" s="76">
        <v>2933</v>
      </c>
      <c r="M2933" s="76"/>
      <c r="N2933" s="71"/>
      <c r="O2933" s="87" t="s">
        <v>1840</v>
      </c>
      <c r="P2933" s="90">
        <v>45154.768101851849</v>
      </c>
      <c r="Q2933" s="87" t="s">
        <v>4641</v>
      </c>
      <c r="R2933" s="87">
        <v>0</v>
      </c>
      <c r="S2933" s="87">
        <v>0</v>
      </c>
      <c r="T2933" s="87">
        <v>0</v>
      </c>
      <c r="U2933" s="87">
        <v>0</v>
      </c>
      <c r="V2933" s="87">
        <v>112</v>
      </c>
      <c r="W2933" s="93" t="s">
        <v>7496</v>
      </c>
      <c r="X2933" s="87"/>
      <c r="Y2933" s="87"/>
      <c r="Z2933" s="87"/>
      <c r="AA2933" s="87"/>
      <c r="AB2933" s="87"/>
      <c r="AC2933" s="93" t="s">
        <v>11457</v>
      </c>
      <c r="AD2933" s="87" t="s">
        <v>11519</v>
      </c>
      <c r="AE2933" s="92" t="str">
        <f>HYPERLINK("https://twitter.com/pravaler/status/1691879010958012655")</f>
        <v>https://twitter.com/pravaler/status/1691879010958012655</v>
      </c>
      <c r="AF2933" s="90">
        <v>45154.768101851849</v>
      </c>
      <c r="AG2933" s="99">
        <v>45154</v>
      </c>
      <c r="AH2933" s="93" t="s">
        <v>14158</v>
      </c>
      <c r="AI2933" s="87"/>
      <c r="AJ2933" s="87"/>
      <c r="AK2933" s="87"/>
      <c r="AL2933" s="87"/>
      <c r="AM2933" s="87"/>
      <c r="AN2933" s="87"/>
      <c r="AO2933" s="87"/>
      <c r="AP2933" s="87"/>
      <c r="AQ2933" s="87"/>
      <c r="AR2933" s="87"/>
      <c r="AS2933" s="87"/>
      <c r="AT2933" s="87"/>
      <c r="AU2933" s="87"/>
      <c r="AV2933" s="92" t="str">
        <f>HYPERLINK("https://pbs.twimg.com/profile_images/1633896603005141000/0_NlXxC__normal.jpg")</f>
        <v>https://pbs.twimg.com/profile_images/1633896603005141000/0_NlXxC__normal.jpg</v>
      </c>
      <c r="AW2933" s="93" t="s">
        <v>21089</v>
      </c>
      <c r="AX2933" s="93" t="s">
        <v>21090</v>
      </c>
      <c r="AY2933" s="93" t="s">
        <v>22613</v>
      </c>
      <c r="AZ2933" s="93" t="s">
        <v>22746</v>
      </c>
      <c r="BA2933" s="93" t="s">
        <v>22668</v>
      </c>
      <c r="BB2933" s="93" t="s">
        <v>22668</v>
      </c>
      <c r="BC2933" s="93" t="s">
        <v>22746</v>
      </c>
      <c r="BD2933" s="87">
        <v>18898473</v>
      </c>
      <c r="BE2933" s="87"/>
      <c r="BF2933" s="87"/>
      <c r="BG2933" s="87"/>
      <c r="BH2933" s="87"/>
      <c r="BI2933" s="87"/>
    </row>
    <row r="2934" spans="1:61" x14ac:dyDescent="0.25">
      <c r="A2934" s="63" t="s">
        <v>1096</v>
      </c>
      <c r="B2934" s="63" t="s">
        <v>1096</v>
      </c>
      <c r="C2934" s="64"/>
      <c r="D2934" s="65"/>
      <c r="E2934" s="66"/>
      <c r="F2934" s="67"/>
      <c r="G2934" s="64"/>
      <c r="H2934" s="68"/>
      <c r="I2934" s="69"/>
      <c r="J2934" s="69"/>
      <c r="K2934" s="32"/>
      <c r="L2934" s="76">
        <v>2934</v>
      </c>
      <c r="M2934" s="76"/>
      <c r="N2934" s="71"/>
      <c r="O2934" s="87" t="s">
        <v>179</v>
      </c>
      <c r="P2934" s="90">
        <v>45154.766400462962</v>
      </c>
      <c r="Q2934" s="87" t="s">
        <v>4642</v>
      </c>
      <c r="R2934" s="87">
        <v>0</v>
      </c>
      <c r="S2934" s="87">
        <v>1</v>
      </c>
      <c r="T2934" s="87">
        <v>1</v>
      </c>
      <c r="U2934" s="87">
        <v>0</v>
      </c>
      <c r="V2934" s="87">
        <v>182</v>
      </c>
      <c r="W2934" s="93" t="s">
        <v>5897</v>
      </c>
      <c r="X2934" s="87"/>
      <c r="Y2934" s="87"/>
      <c r="Z2934" s="87"/>
      <c r="AA2934" s="87" t="s">
        <v>10630</v>
      </c>
      <c r="AB2934" s="87" t="s">
        <v>11452</v>
      </c>
      <c r="AC2934" s="93" t="s">
        <v>11457</v>
      </c>
      <c r="AD2934" s="87" t="s">
        <v>11519</v>
      </c>
      <c r="AE2934" s="92" t="str">
        <f>HYPERLINK("https://twitter.com/pravaler/status/1691878396307857820")</f>
        <v>https://twitter.com/pravaler/status/1691878396307857820</v>
      </c>
      <c r="AF2934" s="90">
        <v>45154.766400462962</v>
      </c>
      <c r="AG2934" s="99">
        <v>45154</v>
      </c>
      <c r="AH2934" s="93" t="s">
        <v>14056</v>
      </c>
      <c r="AI2934" s="87" t="b">
        <v>0</v>
      </c>
      <c r="AJ2934" s="87"/>
      <c r="AK2934" s="87"/>
      <c r="AL2934" s="87"/>
      <c r="AM2934" s="87"/>
      <c r="AN2934" s="87"/>
      <c r="AO2934" s="87"/>
      <c r="AP2934" s="87"/>
      <c r="AQ2934" s="87" t="s">
        <v>17442</v>
      </c>
      <c r="AR2934" s="87"/>
      <c r="AS2934" s="87"/>
      <c r="AT2934" s="87"/>
      <c r="AU2934" s="87"/>
      <c r="AV2934" s="92" t="str">
        <f>HYPERLINK("https://pbs.twimg.com/tweet_video_thumb/F3rCbbmXMAAWgnN.jpg")</f>
        <v>https://pbs.twimg.com/tweet_video_thumb/F3rCbbmXMAAWgnN.jpg</v>
      </c>
      <c r="AW2934" s="93" t="s">
        <v>21090</v>
      </c>
      <c r="AX2934" s="93" t="s">
        <v>21090</v>
      </c>
      <c r="AY2934" s="87"/>
      <c r="AZ2934" s="93" t="s">
        <v>22668</v>
      </c>
      <c r="BA2934" s="93" t="s">
        <v>22668</v>
      </c>
      <c r="BB2934" s="93" t="s">
        <v>22668</v>
      </c>
      <c r="BC2934" s="93" t="s">
        <v>21090</v>
      </c>
      <c r="BD2934" s="87">
        <v>18898473</v>
      </c>
      <c r="BE2934" s="87"/>
      <c r="BF2934" s="87"/>
      <c r="BG2934" s="87"/>
      <c r="BH2934" s="87"/>
      <c r="BI2934" s="87"/>
    </row>
    <row r="2935" spans="1:61" x14ac:dyDescent="0.25">
      <c r="A2935" s="63" t="s">
        <v>1097</v>
      </c>
      <c r="B2935" s="63" t="s">
        <v>1226</v>
      </c>
      <c r="C2935" s="64"/>
      <c r="D2935" s="65"/>
      <c r="E2935" s="66"/>
      <c r="F2935" s="67"/>
      <c r="G2935" s="64"/>
      <c r="H2935" s="68"/>
      <c r="I2935" s="69"/>
      <c r="J2935" s="69"/>
      <c r="K2935" s="32"/>
      <c r="L2935" s="76">
        <v>2935</v>
      </c>
      <c r="M2935" s="76"/>
      <c r="N2935" s="71"/>
      <c r="O2935" s="87" t="s">
        <v>1842</v>
      </c>
      <c r="P2935" s="90">
        <v>45147.691342592596</v>
      </c>
      <c r="Q2935" s="87" t="s">
        <v>4643</v>
      </c>
      <c r="R2935" s="87">
        <v>0</v>
      </c>
      <c r="S2935" s="87">
        <v>0</v>
      </c>
      <c r="T2935" s="87">
        <v>0</v>
      </c>
      <c r="U2935" s="87">
        <v>0</v>
      </c>
      <c r="V2935" s="87">
        <v>69</v>
      </c>
      <c r="W2935" s="93" t="s">
        <v>5897</v>
      </c>
      <c r="X2935" s="87"/>
      <c r="Y2935" s="87"/>
      <c r="Z2935" s="87"/>
      <c r="AA2935" s="87"/>
      <c r="AB2935" s="87"/>
      <c r="AC2935" s="93" t="s">
        <v>11459</v>
      </c>
      <c r="AD2935" s="87" t="s">
        <v>11519</v>
      </c>
      <c r="AE2935" s="92" t="str">
        <f>HYPERLINK("https://twitter.com/bolchenik/status/1689314477991239680")</f>
        <v>https://twitter.com/bolchenik/status/1689314477991239680</v>
      </c>
      <c r="AF2935" s="90">
        <v>45147.691342592596</v>
      </c>
      <c r="AG2935" s="99">
        <v>45147</v>
      </c>
      <c r="AH2935" s="93" t="s">
        <v>14159</v>
      </c>
      <c r="AI2935" s="87"/>
      <c r="AJ2935" s="87"/>
      <c r="AK2935" s="87"/>
      <c r="AL2935" s="87"/>
      <c r="AM2935" s="87"/>
      <c r="AN2935" s="87"/>
      <c r="AO2935" s="87"/>
      <c r="AP2935" s="87"/>
      <c r="AQ2935" s="87"/>
      <c r="AR2935" s="87"/>
      <c r="AS2935" s="87"/>
      <c r="AT2935" s="87"/>
      <c r="AU2935" s="87"/>
      <c r="AV2935" s="92" t="str">
        <f>HYPERLINK("https://pbs.twimg.com/profile_images/1672647325871734786/Nl9N01wx_normal.jpg")</f>
        <v>https://pbs.twimg.com/profile_images/1672647325871734786/Nl9N01wx_normal.jpg</v>
      </c>
      <c r="AW2935" s="93" t="s">
        <v>21091</v>
      </c>
      <c r="AX2935" s="93" t="s">
        <v>21091</v>
      </c>
      <c r="AY2935" s="87"/>
      <c r="AZ2935" s="93" t="s">
        <v>22668</v>
      </c>
      <c r="BA2935" s="93" t="s">
        <v>21372</v>
      </c>
      <c r="BB2935" s="93" t="s">
        <v>22668</v>
      </c>
      <c r="BC2935" s="93" t="s">
        <v>21372</v>
      </c>
      <c r="BD2935" s="87">
        <v>115986183</v>
      </c>
      <c r="BE2935" s="87"/>
      <c r="BF2935" s="87"/>
      <c r="BG2935" s="87"/>
      <c r="BH2935" s="87"/>
      <c r="BI2935" s="87"/>
    </row>
    <row r="2936" spans="1:61" x14ac:dyDescent="0.25">
      <c r="A2936" s="63" t="s">
        <v>1098</v>
      </c>
      <c r="B2936" s="63" t="s">
        <v>1098</v>
      </c>
      <c r="C2936" s="64"/>
      <c r="D2936" s="65"/>
      <c r="E2936" s="66"/>
      <c r="F2936" s="67"/>
      <c r="G2936" s="64"/>
      <c r="H2936" s="68"/>
      <c r="I2936" s="69"/>
      <c r="J2936" s="69"/>
      <c r="K2936" s="32"/>
      <c r="L2936" s="76">
        <v>2936</v>
      </c>
      <c r="M2936" s="76"/>
      <c r="N2936" s="71"/>
      <c r="O2936" s="87" t="s">
        <v>1840</v>
      </c>
      <c r="P2936" s="90">
        <v>45123.870393518519</v>
      </c>
      <c r="Q2936" s="87" t="s">
        <v>4644</v>
      </c>
      <c r="R2936" s="87">
        <v>0</v>
      </c>
      <c r="S2936" s="87">
        <v>0</v>
      </c>
      <c r="T2936" s="87">
        <v>0</v>
      </c>
      <c r="U2936" s="87">
        <v>0</v>
      </c>
      <c r="V2936" s="87">
        <v>47</v>
      </c>
      <c r="W2936" s="93" t="s">
        <v>7497</v>
      </c>
      <c r="X2936" s="87"/>
      <c r="Y2936" s="87"/>
      <c r="Z2936" s="87"/>
      <c r="AA2936" s="87"/>
      <c r="AB2936" s="87"/>
      <c r="AC2936" s="93" t="s">
        <v>11458</v>
      </c>
      <c r="AD2936" s="87" t="s">
        <v>11519</v>
      </c>
      <c r="AE2936" s="92" t="str">
        <f>HYPERLINK("https://twitter.com/governodorn/status/1680682054957035520")</f>
        <v>https://twitter.com/governodorn/status/1680682054957035520</v>
      </c>
      <c r="AF2936" s="90">
        <v>45123.870393518519</v>
      </c>
      <c r="AG2936" s="99">
        <v>45123</v>
      </c>
      <c r="AH2936" s="93" t="s">
        <v>14160</v>
      </c>
      <c r="AI2936" s="87"/>
      <c r="AJ2936" s="87"/>
      <c r="AK2936" s="87"/>
      <c r="AL2936" s="87"/>
      <c r="AM2936" s="87"/>
      <c r="AN2936" s="87"/>
      <c r="AO2936" s="87"/>
      <c r="AP2936" s="87"/>
      <c r="AQ2936" s="87"/>
      <c r="AR2936" s="87"/>
      <c r="AS2936" s="87"/>
      <c r="AT2936" s="87"/>
      <c r="AU2936" s="87"/>
      <c r="AV2936" s="92" t="str">
        <f>HYPERLINK("https://pbs.twimg.com/profile_images/1633618727932510208/shtAD4Lu_normal.jpg")</f>
        <v>https://pbs.twimg.com/profile_images/1633618727932510208/shtAD4Lu_normal.jpg</v>
      </c>
      <c r="AW2936" s="93" t="s">
        <v>21092</v>
      </c>
      <c r="AX2936" s="93" t="s">
        <v>22442</v>
      </c>
      <c r="AY2936" s="93" t="s">
        <v>22614</v>
      </c>
      <c r="AZ2936" s="93" t="s">
        <v>22442</v>
      </c>
      <c r="BA2936" s="93" t="s">
        <v>22668</v>
      </c>
      <c r="BB2936" s="93" t="s">
        <v>22668</v>
      </c>
      <c r="BC2936" s="93" t="s">
        <v>22442</v>
      </c>
      <c r="BD2936" s="93" t="s">
        <v>22614</v>
      </c>
      <c r="BE2936" s="87"/>
      <c r="BF2936" s="87"/>
      <c r="BG2936" s="87"/>
      <c r="BH2936" s="87"/>
      <c r="BI2936" s="87"/>
    </row>
    <row r="2937" spans="1:61" x14ac:dyDescent="0.25">
      <c r="A2937" s="63" t="s">
        <v>1099</v>
      </c>
      <c r="B2937" s="63" t="s">
        <v>1099</v>
      </c>
      <c r="C2937" s="64"/>
      <c r="D2937" s="65"/>
      <c r="E2937" s="66"/>
      <c r="F2937" s="67"/>
      <c r="G2937" s="64"/>
      <c r="H2937" s="68"/>
      <c r="I2937" s="69"/>
      <c r="J2937" s="69"/>
      <c r="K2937" s="32"/>
      <c r="L2937" s="76">
        <v>2937</v>
      </c>
      <c r="M2937" s="76"/>
      <c r="N2937" s="71"/>
      <c r="O2937" s="87" t="s">
        <v>179</v>
      </c>
      <c r="P2937" s="90">
        <v>45168.807037037041</v>
      </c>
      <c r="Q2937" s="87" t="s">
        <v>4645</v>
      </c>
      <c r="R2937" s="87">
        <v>43</v>
      </c>
      <c r="S2937" s="87">
        <v>148</v>
      </c>
      <c r="T2937" s="87">
        <v>104</v>
      </c>
      <c r="U2937" s="87">
        <v>65</v>
      </c>
      <c r="V2937" s="87">
        <v>292085</v>
      </c>
      <c r="W2937" s="87"/>
      <c r="X2937" s="92" t="str">
        <f>HYPERLINK("https://bbc.in/3Pi25qO")</f>
        <v>https://bbc.in/3Pi25qO</v>
      </c>
      <c r="Y2937" s="87" t="s">
        <v>8499</v>
      </c>
      <c r="Z2937" s="87"/>
      <c r="AA2937" s="87"/>
      <c r="AB2937" s="87"/>
      <c r="AC2937" s="93" t="s">
        <v>11503</v>
      </c>
      <c r="AD2937" s="87" t="s">
        <v>11518</v>
      </c>
      <c r="AE2937" s="92" t="str">
        <f>HYPERLINK("https://twitter.com/bbcnews/status/1696966550480126126")</f>
        <v>https://twitter.com/bbcnews/status/1696966550480126126</v>
      </c>
      <c r="AF2937" s="90">
        <v>45168.807037037041</v>
      </c>
      <c r="AG2937" s="99">
        <v>45168</v>
      </c>
      <c r="AH2937" s="93" t="s">
        <v>14161</v>
      </c>
      <c r="AI2937" s="87" t="b">
        <v>0</v>
      </c>
      <c r="AJ2937" s="87"/>
      <c r="AK2937" s="87"/>
      <c r="AL2937" s="87"/>
      <c r="AM2937" s="87"/>
      <c r="AN2937" s="87"/>
      <c r="AO2937" s="87"/>
      <c r="AP2937" s="87"/>
      <c r="AQ2937" s="87"/>
      <c r="AR2937" s="87"/>
      <c r="AS2937" s="87"/>
      <c r="AT2937" s="87"/>
      <c r="AU2937" s="87"/>
      <c r="AV2937" s="92" t="str">
        <f>HYPERLINK("https://pbs.twimg.com/profile_images/1529107486271225859/03qcVNIk_normal.jpg")</f>
        <v>https://pbs.twimg.com/profile_images/1529107486271225859/03qcVNIk_normal.jpg</v>
      </c>
      <c r="AW2937" s="93" t="s">
        <v>21093</v>
      </c>
      <c r="AX2937" s="93" t="s">
        <v>21093</v>
      </c>
      <c r="AY2937" s="87"/>
      <c r="AZ2937" s="93" t="s">
        <v>22668</v>
      </c>
      <c r="BA2937" s="93" t="s">
        <v>22668</v>
      </c>
      <c r="BB2937" s="93" t="s">
        <v>22668</v>
      </c>
      <c r="BC2937" s="93" t="s">
        <v>21093</v>
      </c>
      <c r="BD2937" s="87">
        <v>612473</v>
      </c>
      <c r="BE2937" s="87"/>
      <c r="BF2937" s="87"/>
      <c r="BG2937" s="87"/>
      <c r="BH2937" s="87"/>
      <c r="BI2937" s="87"/>
    </row>
    <row r="2938" spans="1:61" x14ac:dyDescent="0.25">
      <c r="A2938" s="63" t="s">
        <v>1100</v>
      </c>
      <c r="B2938" s="63" t="s">
        <v>1099</v>
      </c>
      <c r="C2938" s="64"/>
      <c r="D2938" s="65"/>
      <c r="E2938" s="66"/>
      <c r="F2938" s="67"/>
      <c r="G2938" s="64"/>
      <c r="H2938" s="68"/>
      <c r="I2938" s="69"/>
      <c r="J2938" s="69"/>
      <c r="K2938" s="32"/>
      <c r="L2938" s="76">
        <v>2938</v>
      </c>
      <c r="M2938" s="76"/>
      <c r="N2938" s="71"/>
      <c r="O2938" s="87" t="s">
        <v>1842</v>
      </c>
      <c r="P2938" s="90">
        <v>45168.833819444444</v>
      </c>
      <c r="Q2938" s="87" t="s">
        <v>4646</v>
      </c>
      <c r="R2938" s="87">
        <v>0</v>
      </c>
      <c r="S2938" s="87">
        <v>3</v>
      </c>
      <c r="T2938" s="87">
        <v>0</v>
      </c>
      <c r="U2938" s="87">
        <v>0</v>
      </c>
      <c r="V2938" s="87">
        <v>205</v>
      </c>
      <c r="W2938" s="93" t="s">
        <v>6739</v>
      </c>
      <c r="X2938" s="87"/>
      <c r="Y2938" s="87"/>
      <c r="Z2938" s="87"/>
      <c r="AA2938" s="87"/>
      <c r="AB2938" s="87"/>
      <c r="AC2938" s="93" t="s">
        <v>11459</v>
      </c>
      <c r="AD2938" s="87" t="s">
        <v>11519</v>
      </c>
      <c r="AE2938" s="92" t="str">
        <f>HYPERLINK("https://twitter.com/alexandrecruz/status/1696976256296763495")</f>
        <v>https://twitter.com/alexandrecruz/status/1696976256296763495</v>
      </c>
      <c r="AF2938" s="90">
        <v>45168.833819444444</v>
      </c>
      <c r="AG2938" s="99">
        <v>45168</v>
      </c>
      <c r="AH2938" s="93" t="s">
        <v>14162</v>
      </c>
      <c r="AI2938" s="87"/>
      <c r="AJ2938" s="87"/>
      <c r="AK2938" s="87"/>
      <c r="AL2938" s="87"/>
      <c r="AM2938" s="87"/>
      <c r="AN2938" s="87"/>
      <c r="AO2938" s="87"/>
      <c r="AP2938" s="87"/>
      <c r="AQ2938" s="87"/>
      <c r="AR2938" s="87"/>
      <c r="AS2938" s="87"/>
      <c r="AT2938" s="87"/>
      <c r="AU2938" s="87"/>
      <c r="AV2938" s="92" t="str">
        <f>HYPERLINK("https://pbs.twimg.com/profile_images/1091322664550125569/xB2wgHcm_normal.jpg")</f>
        <v>https://pbs.twimg.com/profile_images/1091322664550125569/xB2wgHcm_normal.jpg</v>
      </c>
      <c r="AW2938" s="93" t="s">
        <v>21094</v>
      </c>
      <c r="AX2938" s="93" t="s">
        <v>21094</v>
      </c>
      <c r="AY2938" s="87"/>
      <c r="AZ2938" s="93" t="s">
        <v>22668</v>
      </c>
      <c r="BA2938" s="93" t="s">
        <v>21093</v>
      </c>
      <c r="BB2938" s="93" t="s">
        <v>22668</v>
      </c>
      <c r="BC2938" s="93" t="s">
        <v>21093</v>
      </c>
      <c r="BD2938" s="87">
        <v>19467890</v>
      </c>
      <c r="BE2938" s="87"/>
      <c r="BF2938" s="87"/>
      <c r="BG2938" s="87"/>
      <c r="BH2938" s="87"/>
      <c r="BI2938" s="87"/>
    </row>
    <row r="2939" spans="1:61" x14ac:dyDescent="0.25">
      <c r="A2939" s="63" t="s">
        <v>1101</v>
      </c>
      <c r="B2939" s="63" t="s">
        <v>1101</v>
      </c>
      <c r="C2939" s="64"/>
      <c r="D2939" s="65"/>
      <c r="E2939" s="66"/>
      <c r="F2939" s="67"/>
      <c r="G2939" s="64"/>
      <c r="H2939" s="68"/>
      <c r="I2939" s="69"/>
      <c r="J2939" s="69"/>
      <c r="K2939" s="32"/>
      <c r="L2939" s="76">
        <v>2939</v>
      </c>
      <c r="M2939" s="76"/>
      <c r="N2939" s="71"/>
      <c r="O2939" s="87" t="s">
        <v>179</v>
      </c>
      <c r="P2939" s="90">
        <v>45112.844004629631</v>
      </c>
      <c r="Q2939" s="87" t="s">
        <v>4647</v>
      </c>
      <c r="R2939" s="87">
        <v>0</v>
      </c>
      <c r="S2939" s="87">
        <v>0</v>
      </c>
      <c r="T2939" s="87">
        <v>0</v>
      </c>
      <c r="U2939" s="87">
        <v>0</v>
      </c>
      <c r="V2939" s="87">
        <v>14</v>
      </c>
      <c r="W2939" s="93" t="s">
        <v>7498</v>
      </c>
      <c r="X2939" s="92" t="str">
        <f>HYPERLINK("https://sun.eduzz.com/1482582?a=37764216")</f>
        <v>https://sun.eduzz.com/1482582?a=37764216</v>
      </c>
      <c r="Y2939" s="87" t="s">
        <v>8500</v>
      </c>
      <c r="Z2939" s="87"/>
      <c r="AA2939" s="87" t="s">
        <v>10631</v>
      </c>
      <c r="AB2939" s="87" t="s">
        <v>11447</v>
      </c>
      <c r="AC2939" s="93" t="s">
        <v>11459</v>
      </c>
      <c r="AD2939" s="87" t="s">
        <v>11519</v>
      </c>
      <c r="AE2939" s="92" t="str">
        <f>HYPERLINK("https://twitter.com/natisoares66/status/1676686227079135233")</f>
        <v>https://twitter.com/natisoares66/status/1676686227079135233</v>
      </c>
      <c r="AF2939" s="90">
        <v>45112.844004629631</v>
      </c>
      <c r="AG2939" s="99">
        <v>45112</v>
      </c>
      <c r="AH2939" s="93" t="s">
        <v>14163</v>
      </c>
      <c r="AI2939" s="87" t="b">
        <v>0</v>
      </c>
      <c r="AJ2939" s="87"/>
      <c r="AK2939" s="87"/>
      <c r="AL2939" s="87"/>
      <c r="AM2939" s="87"/>
      <c r="AN2939" s="87"/>
      <c r="AO2939" s="87"/>
      <c r="AP2939" s="87"/>
      <c r="AQ2939" s="87" t="s">
        <v>17443</v>
      </c>
      <c r="AR2939" s="87">
        <v>18200</v>
      </c>
      <c r="AS2939" s="87"/>
      <c r="AT2939" s="87"/>
      <c r="AU2939" s="87"/>
      <c r="AV2939" s="92" t="str">
        <f>HYPERLINK("https://pbs.twimg.com/ext_tw_video_thumb/1676686166119120897/pu/img/nc-_RMkAk-6_2rTO.jpg")</f>
        <v>https://pbs.twimg.com/ext_tw_video_thumb/1676686166119120897/pu/img/nc-_RMkAk-6_2rTO.jpg</v>
      </c>
      <c r="AW2939" s="93" t="s">
        <v>21095</v>
      </c>
      <c r="AX2939" s="93" t="s">
        <v>21095</v>
      </c>
      <c r="AY2939" s="87"/>
      <c r="AZ2939" s="93" t="s">
        <v>22668</v>
      </c>
      <c r="BA2939" s="93" t="s">
        <v>22668</v>
      </c>
      <c r="BB2939" s="93" t="s">
        <v>22668</v>
      </c>
      <c r="BC2939" s="93" t="s">
        <v>21095</v>
      </c>
      <c r="BD2939" s="93" t="s">
        <v>23296</v>
      </c>
      <c r="BE2939" s="87"/>
      <c r="BF2939" s="87"/>
      <c r="BG2939" s="87"/>
      <c r="BH2939" s="87"/>
      <c r="BI2939" s="87"/>
    </row>
    <row r="2940" spans="1:61" x14ac:dyDescent="0.25">
      <c r="A2940" s="63" t="s">
        <v>1101</v>
      </c>
      <c r="B2940" s="63" t="s">
        <v>1101</v>
      </c>
      <c r="C2940" s="64"/>
      <c r="D2940" s="65"/>
      <c r="E2940" s="66"/>
      <c r="F2940" s="67"/>
      <c r="G2940" s="64"/>
      <c r="H2940" s="68"/>
      <c r="I2940" s="69"/>
      <c r="J2940" s="69"/>
      <c r="K2940" s="32"/>
      <c r="L2940" s="76">
        <v>2940</v>
      </c>
      <c r="M2940" s="76"/>
      <c r="N2940" s="71"/>
      <c r="O2940" s="87" t="s">
        <v>179</v>
      </c>
      <c r="P2940" s="90">
        <v>45114.03800925926</v>
      </c>
      <c r="Q2940" s="87" t="s">
        <v>4648</v>
      </c>
      <c r="R2940" s="87">
        <v>0</v>
      </c>
      <c r="S2940" s="87">
        <v>0</v>
      </c>
      <c r="T2940" s="87">
        <v>0</v>
      </c>
      <c r="U2940" s="87">
        <v>0</v>
      </c>
      <c r="V2940" s="87">
        <v>198</v>
      </c>
      <c r="W2940" s="93" t="s">
        <v>7499</v>
      </c>
      <c r="X2940" s="87"/>
      <c r="Y2940" s="87"/>
      <c r="Z2940" s="87"/>
      <c r="AA2940" s="87" t="s">
        <v>10632</v>
      </c>
      <c r="AB2940" s="87" t="s">
        <v>11447</v>
      </c>
      <c r="AC2940" s="93" t="s">
        <v>11459</v>
      </c>
      <c r="AD2940" s="87" t="s">
        <v>11519</v>
      </c>
      <c r="AE2940" s="92" t="str">
        <f>HYPERLINK("https://twitter.com/natisoares66/status/1677118921176936451")</f>
        <v>https://twitter.com/natisoares66/status/1677118921176936451</v>
      </c>
      <c r="AF2940" s="90">
        <v>45114.03800925926</v>
      </c>
      <c r="AG2940" s="99">
        <v>45114</v>
      </c>
      <c r="AH2940" s="93" t="s">
        <v>14164</v>
      </c>
      <c r="AI2940" s="87" t="b">
        <v>0</v>
      </c>
      <c r="AJ2940" s="87"/>
      <c r="AK2940" s="87"/>
      <c r="AL2940" s="87"/>
      <c r="AM2940" s="87"/>
      <c r="AN2940" s="87"/>
      <c r="AO2940" s="87"/>
      <c r="AP2940" s="87"/>
      <c r="AQ2940" s="87" t="s">
        <v>17444</v>
      </c>
      <c r="AR2940" s="87">
        <v>15088</v>
      </c>
      <c r="AS2940" s="87"/>
      <c r="AT2940" s="87"/>
      <c r="AU2940" s="87"/>
      <c r="AV2940" s="92" t="str">
        <f>HYPERLINK("https://pbs.twimg.com/ext_tw_video_thumb/1677118874431496197/pu/img/J1rxFS8Sni-fgUTy.jpg")</f>
        <v>https://pbs.twimg.com/ext_tw_video_thumb/1677118874431496197/pu/img/J1rxFS8Sni-fgUTy.jpg</v>
      </c>
      <c r="AW2940" s="93" t="s">
        <v>21096</v>
      </c>
      <c r="AX2940" s="93" t="s">
        <v>21096</v>
      </c>
      <c r="AY2940" s="87"/>
      <c r="AZ2940" s="93" t="s">
        <v>22668</v>
      </c>
      <c r="BA2940" s="93" t="s">
        <v>22668</v>
      </c>
      <c r="BB2940" s="93" t="s">
        <v>22668</v>
      </c>
      <c r="BC2940" s="93" t="s">
        <v>21096</v>
      </c>
      <c r="BD2940" s="93" t="s">
        <v>23296</v>
      </c>
      <c r="BE2940" s="87"/>
      <c r="BF2940" s="87"/>
      <c r="BG2940" s="87"/>
      <c r="BH2940" s="87"/>
      <c r="BI2940" s="87"/>
    </row>
    <row r="2941" spans="1:61" x14ac:dyDescent="0.25">
      <c r="A2941" s="63" t="s">
        <v>1102</v>
      </c>
      <c r="B2941" s="63" t="s">
        <v>1102</v>
      </c>
      <c r="C2941" s="64"/>
      <c r="D2941" s="65"/>
      <c r="E2941" s="66"/>
      <c r="F2941" s="67"/>
      <c r="G2941" s="64"/>
      <c r="H2941" s="68"/>
      <c r="I2941" s="69"/>
      <c r="J2941" s="69"/>
      <c r="K2941" s="32"/>
      <c r="L2941" s="76">
        <v>2941</v>
      </c>
      <c r="M2941" s="76"/>
      <c r="N2941" s="71"/>
      <c r="O2941" s="87" t="s">
        <v>179</v>
      </c>
      <c r="P2941" s="90">
        <v>45113.799884259257</v>
      </c>
      <c r="Q2941" s="87" t="s">
        <v>4649</v>
      </c>
      <c r="R2941" s="87">
        <v>0</v>
      </c>
      <c r="S2941" s="87">
        <v>2</v>
      </c>
      <c r="T2941" s="87">
        <v>0</v>
      </c>
      <c r="U2941" s="87">
        <v>0</v>
      </c>
      <c r="V2941" s="87">
        <v>34</v>
      </c>
      <c r="W2941" s="93" t="s">
        <v>7500</v>
      </c>
      <c r="X2941" s="87"/>
      <c r="Y2941" s="87"/>
      <c r="Z2941" s="87"/>
      <c r="AA2941" s="87"/>
      <c r="AB2941" s="87"/>
      <c r="AC2941" s="93" t="s">
        <v>11459</v>
      </c>
      <c r="AD2941" s="87" t="s">
        <v>11519</v>
      </c>
      <c r="AE2941" s="92" t="str">
        <f>HYPERLINK("https://twitter.com/dafdaf1313/status/1677032626870181890")</f>
        <v>https://twitter.com/dafdaf1313/status/1677032626870181890</v>
      </c>
      <c r="AF2941" s="90">
        <v>45113.799884259257</v>
      </c>
      <c r="AG2941" s="99">
        <v>45113</v>
      </c>
      <c r="AH2941" s="93" t="s">
        <v>14165</v>
      </c>
      <c r="AI2941" s="87"/>
      <c r="AJ2941" s="87"/>
      <c r="AK2941" s="87"/>
      <c r="AL2941" s="87"/>
      <c r="AM2941" s="87"/>
      <c r="AN2941" s="87"/>
      <c r="AO2941" s="87"/>
      <c r="AP2941" s="87"/>
      <c r="AQ2941" s="87"/>
      <c r="AR2941" s="87"/>
      <c r="AS2941" s="87"/>
      <c r="AT2941" s="87"/>
      <c r="AU2941" s="87"/>
      <c r="AV2941" s="92" t="str">
        <f>HYPERLINK("https://pbs.twimg.com/profile_images/1661138938440949760/At2LLJOv_normal.jpg")</f>
        <v>https://pbs.twimg.com/profile_images/1661138938440949760/At2LLJOv_normal.jpg</v>
      </c>
      <c r="AW2941" s="93" t="s">
        <v>21097</v>
      </c>
      <c r="AX2941" s="93" t="s">
        <v>21097</v>
      </c>
      <c r="AY2941" s="87"/>
      <c r="AZ2941" s="93" t="s">
        <v>22668</v>
      </c>
      <c r="BA2941" s="93" t="s">
        <v>22668</v>
      </c>
      <c r="BB2941" s="93" t="s">
        <v>22668</v>
      </c>
      <c r="BC2941" s="93" t="s">
        <v>21097</v>
      </c>
      <c r="BD2941" s="93" t="s">
        <v>23297</v>
      </c>
      <c r="BE2941" s="87"/>
      <c r="BF2941" s="87"/>
      <c r="BG2941" s="87"/>
      <c r="BH2941" s="87"/>
      <c r="BI2941" s="87"/>
    </row>
    <row r="2942" spans="1:61" x14ac:dyDescent="0.25">
      <c r="A2942" s="63" t="s">
        <v>1103</v>
      </c>
      <c r="B2942" s="63" t="s">
        <v>1103</v>
      </c>
      <c r="C2942" s="64"/>
      <c r="D2942" s="65"/>
      <c r="E2942" s="66"/>
      <c r="F2942" s="67"/>
      <c r="G2942" s="64"/>
      <c r="H2942" s="68"/>
      <c r="I2942" s="69"/>
      <c r="J2942" s="69"/>
      <c r="K2942" s="32"/>
      <c r="L2942" s="76">
        <v>2942</v>
      </c>
      <c r="M2942" s="76"/>
      <c r="N2942" s="71"/>
      <c r="O2942" s="87" t="s">
        <v>179</v>
      </c>
      <c r="P2942" s="90">
        <v>45134.685416666667</v>
      </c>
      <c r="Q2942" s="87" t="s">
        <v>4650</v>
      </c>
      <c r="R2942" s="87">
        <v>0</v>
      </c>
      <c r="S2942" s="87">
        <v>0</v>
      </c>
      <c r="T2942" s="87">
        <v>0</v>
      </c>
      <c r="U2942" s="87">
        <v>0</v>
      </c>
      <c r="V2942" s="87">
        <v>2</v>
      </c>
      <c r="W2942" s="93" t="s">
        <v>7501</v>
      </c>
      <c r="X2942" s="92" t="str">
        <f>HYPERLINK("https://www.seniorconsulting.com.br/5-caracteristicas-do-dentista-empreendedor")</f>
        <v>https://www.seniorconsulting.com.br/5-caracteristicas-do-dentista-empreendedor</v>
      </c>
      <c r="Y2942" s="87" t="s">
        <v>8373</v>
      </c>
      <c r="Z2942" s="87"/>
      <c r="AA2942" s="87"/>
      <c r="AB2942" s="87"/>
      <c r="AC2942" s="93" t="s">
        <v>11457</v>
      </c>
      <c r="AD2942" s="87" t="s">
        <v>11519</v>
      </c>
      <c r="AE2942" s="92" t="str">
        <f>HYPERLINK("https://twitter.com/seniorconsbr/status/1684601288582135808")</f>
        <v>https://twitter.com/seniorconsbr/status/1684601288582135808</v>
      </c>
      <c r="AF2942" s="90">
        <v>45134.685416666667</v>
      </c>
      <c r="AG2942" s="99">
        <v>45134</v>
      </c>
      <c r="AH2942" s="93" t="s">
        <v>11969</v>
      </c>
      <c r="AI2942" s="87" t="b">
        <v>0</v>
      </c>
      <c r="AJ2942" s="87"/>
      <c r="AK2942" s="87"/>
      <c r="AL2942" s="87"/>
      <c r="AM2942" s="87"/>
      <c r="AN2942" s="87"/>
      <c r="AO2942" s="87"/>
      <c r="AP2942" s="87"/>
      <c r="AQ2942" s="87"/>
      <c r="AR2942" s="87"/>
      <c r="AS2942" s="87"/>
      <c r="AT2942" s="87"/>
      <c r="AU2942" s="87"/>
      <c r="AV2942" s="92" t="str">
        <f>HYPERLINK("https://pbs.twimg.com/profile_images/1516050726455238657/3Uv2-ifd_normal.jpg")</f>
        <v>https://pbs.twimg.com/profile_images/1516050726455238657/3Uv2-ifd_normal.jpg</v>
      </c>
      <c r="AW2942" s="93" t="s">
        <v>21098</v>
      </c>
      <c r="AX2942" s="93" t="s">
        <v>21098</v>
      </c>
      <c r="AY2942" s="87"/>
      <c r="AZ2942" s="93" t="s">
        <v>22668</v>
      </c>
      <c r="BA2942" s="93" t="s">
        <v>22668</v>
      </c>
      <c r="BB2942" s="93" t="s">
        <v>22668</v>
      </c>
      <c r="BC2942" s="93" t="s">
        <v>21098</v>
      </c>
      <c r="BD2942" s="93" t="s">
        <v>23298</v>
      </c>
      <c r="BE2942" s="87"/>
      <c r="BF2942" s="87"/>
      <c r="BG2942" s="87"/>
      <c r="BH2942" s="87"/>
      <c r="BI2942" s="87"/>
    </row>
    <row r="2943" spans="1:61" x14ac:dyDescent="0.25">
      <c r="A2943" s="63" t="s">
        <v>1104</v>
      </c>
      <c r="B2943" s="63" t="s">
        <v>1104</v>
      </c>
      <c r="C2943" s="64"/>
      <c r="D2943" s="65"/>
      <c r="E2943" s="66"/>
      <c r="F2943" s="67"/>
      <c r="G2943" s="64"/>
      <c r="H2943" s="68"/>
      <c r="I2943" s="69"/>
      <c r="J2943" s="69"/>
      <c r="K2943" s="32"/>
      <c r="L2943" s="76">
        <v>2943</v>
      </c>
      <c r="M2943" s="76"/>
      <c r="N2943" s="71"/>
      <c r="O2943" s="87" t="s">
        <v>179</v>
      </c>
      <c r="P2943" s="90">
        <v>45115.639467592591</v>
      </c>
      <c r="Q2943" s="87" t="s">
        <v>4651</v>
      </c>
      <c r="R2943" s="87">
        <v>0</v>
      </c>
      <c r="S2943" s="87">
        <v>2</v>
      </c>
      <c r="T2943" s="87">
        <v>0</v>
      </c>
      <c r="U2943" s="87">
        <v>0</v>
      </c>
      <c r="V2943" s="87">
        <v>82</v>
      </c>
      <c r="W2943" s="93" t="s">
        <v>7502</v>
      </c>
      <c r="X2943" s="87"/>
      <c r="Y2943" s="87"/>
      <c r="Z2943" s="87"/>
      <c r="AA2943" s="87" t="s">
        <v>10633</v>
      </c>
      <c r="AB2943" s="87" t="s">
        <v>11447</v>
      </c>
      <c r="AC2943" s="93" t="s">
        <v>11459</v>
      </c>
      <c r="AD2943" s="87" t="s">
        <v>11519</v>
      </c>
      <c r="AE2943" s="92" t="str">
        <f>HYPERLINK("https://twitter.com/illuminiumnativ/status/1677699269422202880")</f>
        <v>https://twitter.com/illuminiumnativ/status/1677699269422202880</v>
      </c>
      <c r="AF2943" s="90">
        <v>45115.639467592591</v>
      </c>
      <c r="AG2943" s="99">
        <v>45115</v>
      </c>
      <c r="AH2943" s="93" t="s">
        <v>14166</v>
      </c>
      <c r="AI2943" s="87" t="b">
        <v>0</v>
      </c>
      <c r="AJ2943" s="87"/>
      <c r="AK2943" s="87"/>
      <c r="AL2943" s="87"/>
      <c r="AM2943" s="87"/>
      <c r="AN2943" s="87"/>
      <c r="AO2943" s="87"/>
      <c r="AP2943" s="87"/>
      <c r="AQ2943" s="87" t="s">
        <v>17445</v>
      </c>
      <c r="AR2943" s="87">
        <v>34966</v>
      </c>
      <c r="AS2943" s="87"/>
      <c r="AT2943" s="87"/>
      <c r="AU2943" s="87"/>
      <c r="AV2943" s="92" t="str">
        <f>HYPERLINK("https://pbs.twimg.com/ext_tw_video_thumb/1677699184000991232/pu/img/esVsk-dDXfxOv24k.jpg")</f>
        <v>https://pbs.twimg.com/ext_tw_video_thumb/1677699184000991232/pu/img/esVsk-dDXfxOv24k.jpg</v>
      </c>
      <c r="AW2943" s="93" t="s">
        <v>21099</v>
      </c>
      <c r="AX2943" s="93" t="s">
        <v>21099</v>
      </c>
      <c r="AY2943" s="87"/>
      <c r="AZ2943" s="93" t="s">
        <v>22668</v>
      </c>
      <c r="BA2943" s="93" t="s">
        <v>22668</v>
      </c>
      <c r="BB2943" s="93" t="s">
        <v>22668</v>
      </c>
      <c r="BC2943" s="93" t="s">
        <v>21099</v>
      </c>
      <c r="BD2943" s="93" t="s">
        <v>23299</v>
      </c>
      <c r="BE2943" s="87"/>
      <c r="BF2943" s="87"/>
      <c r="BG2943" s="87"/>
      <c r="BH2943" s="87"/>
      <c r="BI2943" s="87"/>
    </row>
    <row r="2944" spans="1:61" x14ac:dyDescent="0.25">
      <c r="A2944" s="63" t="s">
        <v>1105</v>
      </c>
      <c r="B2944" s="63" t="s">
        <v>1105</v>
      </c>
      <c r="C2944" s="64"/>
      <c r="D2944" s="65"/>
      <c r="E2944" s="66"/>
      <c r="F2944" s="67"/>
      <c r="G2944" s="64"/>
      <c r="H2944" s="68"/>
      <c r="I2944" s="69"/>
      <c r="J2944" s="69"/>
      <c r="K2944" s="32"/>
      <c r="L2944" s="76">
        <v>2944</v>
      </c>
      <c r="M2944" s="76"/>
      <c r="N2944" s="71"/>
      <c r="O2944" s="87" t="s">
        <v>179</v>
      </c>
      <c r="P2944" s="90">
        <v>45120.670451388891</v>
      </c>
      <c r="Q2944" s="87" t="s">
        <v>4652</v>
      </c>
      <c r="R2944" s="87">
        <v>0</v>
      </c>
      <c r="S2944" s="87">
        <v>0</v>
      </c>
      <c r="T2944" s="87">
        <v>0</v>
      </c>
      <c r="U2944" s="87">
        <v>0</v>
      </c>
      <c r="V2944" s="87">
        <v>109</v>
      </c>
      <c r="W2944" s="93" t="s">
        <v>7503</v>
      </c>
      <c r="X2944" s="92" t="str">
        <f>HYPERLINK("https://portalopoder.com.br/2023/07/13/prefeitura-de-boa-vista-lanca-programa-para-impulsionar-o-empreendedorismo-feminino/")</f>
        <v>https://portalopoder.com.br/2023/07/13/prefeitura-de-boa-vista-lanca-programa-para-impulsionar-o-empreendedorismo-feminino/</v>
      </c>
      <c r="Y2944" s="87" t="s">
        <v>8373</v>
      </c>
      <c r="Z2944" s="87"/>
      <c r="AA2944" s="87" t="s">
        <v>10634</v>
      </c>
      <c r="AB2944" s="87" t="s">
        <v>11448</v>
      </c>
      <c r="AC2944" s="93" t="s">
        <v>11457</v>
      </c>
      <c r="AD2944" s="87" t="s">
        <v>11519</v>
      </c>
      <c r="AE2944" s="92" t="str">
        <f>HYPERLINK("https://twitter.com/_portalopoder/status/1679522435937325058")</f>
        <v>https://twitter.com/_portalopoder/status/1679522435937325058</v>
      </c>
      <c r="AF2944" s="90">
        <v>45120.670451388891</v>
      </c>
      <c r="AG2944" s="99">
        <v>45120</v>
      </c>
      <c r="AH2944" s="93" t="s">
        <v>14167</v>
      </c>
      <c r="AI2944" s="87" t="b">
        <v>0</v>
      </c>
      <c r="AJ2944" s="87"/>
      <c r="AK2944" s="87"/>
      <c r="AL2944" s="87"/>
      <c r="AM2944" s="87"/>
      <c r="AN2944" s="87"/>
      <c r="AO2944" s="87"/>
      <c r="AP2944" s="87"/>
      <c r="AQ2944" s="87" t="s">
        <v>17446</v>
      </c>
      <c r="AR2944" s="87"/>
      <c r="AS2944" s="87"/>
      <c r="AT2944" s="87"/>
      <c r="AU2944" s="87"/>
      <c r="AV2944" s="92" t="str">
        <f>HYPERLINK("https://pbs.twimg.com/media/F07ctJrWYAAO_6N.jpg")</f>
        <v>https://pbs.twimg.com/media/F07ctJrWYAAO_6N.jpg</v>
      </c>
      <c r="AW2944" s="93" t="s">
        <v>21100</v>
      </c>
      <c r="AX2944" s="93" t="s">
        <v>21100</v>
      </c>
      <c r="AY2944" s="87"/>
      <c r="AZ2944" s="93" t="s">
        <v>22668</v>
      </c>
      <c r="BA2944" s="93" t="s">
        <v>22668</v>
      </c>
      <c r="BB2944" s="93" t="s">
        <v>22668</v>
      </c>
      <c r="BC2944" s="93" t="s">
        <v>21100</v>
      </c>
      <c r="BD2944" s="93" t="s">
        <v>23300</v>
      </c>
      <c r="BE2944" s="87"/>
      <c r="BF2944" s="87"/>
      <c r="BG2944" s="87"/>
      <c r="BH2944" s="87"/>
      <c r="BI2944" s="87"/>
    </row>
    <row r="2945" spans="1:61" x14ac:dyDescent="0.25">
      <c r="A2945" s="63" t="s">
        <v>1106</v>
      </c>
      <c r="B2945" s="63" t="s">
        <v>1106</v>
      </c>
      <c r="C2945" s="64"/>
      <c r="D2945" s="65"/>
      <c r="E2945" s="66"/>
      <c r="F2945" s="67"/>
      <c r="G2945" s="64"/>
      <c r="H2945" s="68"/>
      <c r="I2945" s="69"/>
      <c r="J2945" s="69"/>
      <c r="K2945" s="32"/>
      <c r="L2945" s="76">
        <v>2945</v>
      </c>
      <c r="M2945" s="76"/>
      <c r="N2945" s="71"/>
      <c r="O2945" s="87" t="s">
        <v>179</v>
      </c>
      <c r="P2945" s="90">
        <v>45118.241840277777</v>
      </c>
      <c r="Q2945" s="87" t="s">
        <v>4653</v>
      </c>
      <c r="R2945" s="87">
        <v>0</v>
      </c>
      <c r="S2945" s="87">
        <v>0</v>
      </c>
      <c r="T2945" s="87">
        <v>0</v>
      </c>
      <c r="U2945" s="87">
        <v>0</v>
      </c>
      <c r="V2945" s="87">
        <v>83</v>
      </c>
      <c r="W2945" s="93" t="s">
        <v>7504</v>
      </c>
      <c r="X2945" s="87"/>
      <c r="Y2945" s="87"/>
      <c r="Z2945" s="87"/>
      <c r="AA2945" s="87" t="s">
        <v>10635</v>
      </c>
      <c r="AB2945" s="87" t="s">
        <v>11451</v>
      </c>
      <c r="AC2945" s="93" t="s">
        <v>11457</v>
      </c>
      <c r="AD2945" s="87" t="s">
        <v>11520</v>
      </c>
      <c r="AE2945" s="92" t="str">
        <f>HYPERLINK("https://twitter.com/maiafilippe/status/1678642336887128064")</f>
        <v>https://twitter.com/maiafilippe/status/1678642336887128064</v>
      </c>
      <c r="AF2945" s="90">
        <v>45118.241840277777</v>
      </c>
      <c r="AG2945" s="99">
        <v>45118</v>
      </c>
      <c r="AH2945" s="93" t="s">
        <v>14168</v>
      </c>
      <c r="AI2945" s="87" t="b">
        <v>0</v>
      </c>
      <c r="AJ2945" s="87"/>
      <c r="AK2945" s="87"/>
      <c r="AL2945" s="87"/>
      <c r="AM2945" s="87"/>
      <c r="AN2945" s="87"/>
      <c r="AO2945" s="87"/>
      <c r="AP2945" s="87"/>
      <c r="AQ2945" s="87" t="s">
        <v>17447</v>
      </c>
      <c r="AR2945" s="87"/>
      <c r="AS2945" s="87"/>
      <c r="AT2945" s="87"/>
      <c r="AU2945" s="87"/>
      <c r="AV2945" s="92" t="str">
        <f>HYPERLINK("https://pbs.twimg.com/media/F0u8SdjWAAE8cXs.jpg")</f>
        <v>https://pbs.twimg.com/media/F0u8SdjWAAE8cXs.jpg</v>
      </c>
      <c r="AW2945" s="93" t="s">
        <v>21101</v>
      </c>
      <c r="AX2945" s="93" t="s">
        <v>21101</v>
      </c>
      <c r="AY2945" s="87"/>
      <c r="AZ2945" s="93" t="s">
        <v>22668</v>
      </c>
      <c r="BA2945" s="93" t="s">
        <v>22668</v>
      </c>
      <c r="BB2945" s="93" t="s">
        <v>22668</v>
      </c>
      <c r="BC2945" s="93" t="s">
        <v>21101</v>
      </c>
      <c r="BD2945" s="93" t="s">
        <v>23301</v>
      </c>
      <c r="BE2945" s="87"/>
      <c r="BF2945" s="87"/>
      <c r="BG2945" s="87"/>
      <c r="BH2945" s="87"/>
      <c r="BI2945" s="87"/>
    </row>
    <row r="2946" spans="1:61" x14ac:dyDescent="0.25">
      <c r="A2946" s="63" t="s">
        <v>1107</v>
      </c>
      <c r="B2946" s="63" t="s">
        <v>1757</v>
      </c>
      <c r="C2946" s="64"/>
      <c r="D2946" s="65"/>
      <c r="E2946" s="66"/>
      <c r="F2946" s="67"/>
      <c r="G2946" s="64"/>
      <c r="H2946" s="68"/>
      <c r="I2946" s="69"/>
      <c r="J2946" s="69"/>
      <c r="K2946" s="32"/>
      <c r="L2946" s="76">
        <v>2946</v>
      </c>
      <c r="M2946" s="76"/>
      <c r="N2946" s="71"/>
      <c r="O2946" s="87" t="s">
        <v>1839</v>
      </c>
      <c r="P2946" s="90">
        <v>45174.582824074074</v>
      </c>
      <c r="Q2946" s="87" t="s">
        <v>4654</v>
      </c>
      <c r="R2946" s="87">
        <v>0</v>
      </c>
      <c r="S2946" s="87">
        <v>0</v>
      </c>
      <c r="T2946" s="87">
        <v>0</v>
      </c>
      <c r="U2946" s="87">
        <v>0</v>
      </c>
      <c r="V2946" s="87">
        <v>218</v>
      </c>
      <c r="W2946" s="93" t="s">
        <v>7505</v>
      </c>
      <c r="X2946" s="87"/>
      <c r="Y2946" s="87"/>
      <c r="Z2946" s="87" t="s">
        <v>8599</v>
      </c>
      <c r="AA2946" s="87" t="s">
        <v>10636</v>
      </c>
      <c r="AB2946" s="87" t="s">
        <v>11448</v>
      </c>
      <c r="AC2946" s="93" t="s">
        <v>11457</v>
      </c>
      <c r="AD2946" s="87" t="s">
        <v>11519</v>
      </c>
      <c r="AE2946" s="92" t="str">
        <f>HYPERLINK("https://twitter.com/vidasimples/status/1699059625855967318")</f>
        <v>https://twitter.com/vidasimples/status/1699059625855967318</v>
      </c>
      <c r="AF2946" s="90">
        <v>45174.582824074074</v>
      </c>
      <c r="AG2946" s="99">
        <v>45174</v>
      </c>
      <c r="AH2946" s="93" t="s">
        <v>14169</v>
      </c>
      <c r="AI2946" s="87" t="b">
        <v>0</v>
      </c>
      <c r="AJ2946" s="87"/>
      <c r="AK2946" s="87"/>
      <c r="AL2946" s="87"/>
      <c r="AM2946" s="87"/>
      <c r="AN2946" s="87"/>
      <c r="AO2946" s="87"/>
      <c r="AP2946" s="87"/>
      <c r="AQ2946" s="87" t="s">
        <v>17448</v>
      </c>
      <c r="AR2946" s="87"/>
      <c r="AS2946" s="87"/>
      <c r="AT2946" s="87"/>
      <c r="AU2946" s="87"/>
      <c r="AV2946" s="92" t="str">
        <f>HYPERLINK("https://pbs.twimg.com/media/F5REWGTboAA_LsN.jpg")</f>
        <v>https://pbs.twimg.com/media/F5REWGTboAA_LsN.jpg</v>
      </c>
      <c r="AW2946" s="93" t="s">
        <v>21102</v>
      </c>
      <c r="AX2946" s="93" t="s">
        <v>21102</v>
      </c>
      <c r="AY2946" s="87"/>
      <c r="AZ2946" s="93" t="s">
        <v>22668</v>
      </c>
      <c r="BA2946" s="93" t="s">
        <v>22668</v>
      </c>
      <c r="BB2946" s="93" t="s">
        <v>22668</v>
      </c>
      <c r="BC2946" s="93" t="s">
        <v>21102</v>
      </c>
      <c r="BD2946" s="87">
        <v>171153968</v>
      </c>
      <c r="BE2946" s="87"/>
      <c r="BF2946" s="87"/>
      <c r="BG2946" s="87"/>
      <c r="BH2946" s="87"/>
      <c r="BI2946" s="87"/>
    </row>
    <row r="2947" spans="1:61" x14ac:dyDescent="0.25">
      <c r="A2947" s="63" t="s">
        <v>1107</v>
      </c>
      <c r="B2947" s="63" t="s">
        <v>1758</v>
      </c>
      <c r="C2947" s="64"/>
      <c r="D2947" s="65"/>
      <c r="E2947" s="66"/>
      <c r="F2947" s="67"/>
      <c r="G2947" s="64"/>
      <c r="H2947" s="68"/>
      <c r="I2947" s="69"/>
      <c r="J2947" s="69"/>
      <c r="K2947" s="32"/>
      <c r="L2947" s="76">
        <v>2947</v>
      </c>
      <c r="M2947" s="76"/>
      <c r="N2947" s="71"/>
      <c r="O2947" s="87" t="s">
        <v>1839</v>
      </c>
      <c r="P2947" s="90">
        <v>45174.582824074074</v>
      </c>
      <c r="Q2947" s="87" t="s">
        <v>4654</v>
      </c>
      <c r="R2947" s="87">
        <v>0</v>
      </c>
      <c r="S2947" s="87">
        <v>0</v>
      </c>
      <c r="T2947" s="87">
        <v>0</v>
      </c>
      <c r="U2947" s="87">
        <v>0</v>
      </c>
      <c r="V2947" s="87">
        <v>218</v>
      </c>
      <c r="W2947" s="93" t="s">
        <v>7505</v>
      </c>
      <c r="X2947" s="87"/>
      <c r="Y2947" s="87"/>
      <c r="Z2947" s="87" t="s">
        <v>8599</v>
      </c>
      <c r="AA2947" s="87" t="s">
        <v>10636</v>
      </c>
      <c r="AB2947" s="87" t="s">
        <v>11448</v>
      </c>
      <c r="AC2947" s="93" t="s">
        <v>11457</v>
      </c>
      <c r="AD2947" s="87" t="s">
        <v>11519</v>
      </c>
      <c r="AE2947" s="92" t="str">
        <f>HYPERLINK("https://twitter.com/vidasimples/status/1699059625855967318")</f>
        <v>https://twitter.com/vidasimples/status/1699059625855967318</v>
      </c>
      <c r="AF2947" s="90">
        <v>45174.582824074074</v>
      </c>
      <c r="AG2947" s="99">
        <v>45174</v>
      </c>
      <c r="AH2947" s="93" t="s">
        <v>14169</v>
      </c>
      <c r="AI2947" s="87" t="b">
        <v>0</v>
      </c>
      <c r="AJ2947" s="87"/>
      <c r="AK2947" s="87"/>
      <c r="AL2947" s="87"/>
      <c r="AM2947" s="87"/>
      <c r="AN2947" s="87"/>
      <c r="AO2947" s="87"/>
      <c r="AP2947" s="87"/>
      <c r="AQ2947" s="87" t="s">
        <v>17448</v>
      </c>
      <c r="AR2947" s="87"/>
      <c r="AS2947" s="87"/>
      <c r="AT2947" s="87"/>
      <c r="AU2947" s="87"/>
      <c r="AV2947" s="92" t="str">
        <f>HYPERLINK("https://pbs.twimg.com/media/F5REWGTboAA_LsN.jpg")</f>
        <v>https://pbs.twimg.com/media/F5REWGTboAA_LsN.jpg</v>
      </c>
      <c r="AW2947" s="93" t="s">
        <v>21102</v>
      </c>
      <c r="AX2947" s="93" t="s">
        <v>21102</v>
      </c>
      <c r="AY2947" s="87"/>
      <c r="AZ2947" s="93" t="s">
        <v>22668</v>
      </c>
      <c r="BA2947" s="93" t="s">
        <v>22668</v>
      </c>
      <c r="BB2947" s="93" t="s">
        <v>22668</v>
      </c>
      <c r="BC2947" s="93" t="s">
        <v>21102</v>
      </c>
      <c r="BD2947" s="87">
        <v>171153968</v>
      </c>
      <c r="BE2947" s="87"/>
      <c r="BF2947" s="87"/>
      <c r="BG2947" s="87"/>
      <c r="BH2947" s="87"/>
      <c r="BI2947" s="87"/>
    </row>
    <row r="2948" spans="1:61" x14ac:dyDescent="0.25">
      <c r="A2948" s="63" t="s">
        <v>1107</v>
      </c>
      <c r="B2948" s="63" t="s">
        <v>1759</v>
      </c>
      <c r="C2948" s="64"/>
      <c r="D2948" s="65"/>
      <c r="E2948" s="66"/>
      <c r="F2948" s="67"/>
      <c r="G2948" s="64"/>
      <c r="H2948" s="68"/>
      <c r="I2948" s="69"/>
      <c r="J2948" s="69"/>
      <c r="K2948" s="32"/>
      <c r="L2948" s="76">
        <v>2948</v>
      </c>
      <c r="M2948" s="76"/>
      <c r="N2948" s="71"/>
      <c r="O2948" s="87" t="s">
        <v>1839</v>
      </c>
      <c r="P2948" s="90">
        <v>45173.625335648147</v>
      </c>
      <c r="Q2948" s="87" t="s">
        <v>4655</v>
      </c>
      <c r="R2948" s="87">
        <v>0</v>
      </c>
      <c r="S2948" s="87">
        <v>0</v>
      </c>
      <c r="T2948" s="87">
        <v>1</v>
      </c>
      <c r="U2948" s="87">
        <v>0</v>
      </c>
      <c r="V2948" s="87">
        <v>230</v>
      </c>
      <c r="W2948" s="93" t="s">
        <v>7506</v>
      </c>
      <c r="X2948" s="87"/>
      <c r="Y2948" s="87"/>
      <c r="Z2948" s="87" t="s">
        <v>8600</v>
      </c>
      <c r="AA2948" s="87" t="s">
        <v>10637</v>
      </c>
      <c r="AB2948" s="87" t="s">
        <v>11448</v>
      </c>
      <c r="AC2948" s="93" t="s">
        <v>11457</v>
      </c>
      <c r="AD2948" s="87" t="s">
        <v>11519</v>
      </c>
      <c r="AE2948" s="92" t="str">
        <f>HYPERLINK("https://twitter.com/vidasimples/status/1698712644025237604")</f>
        <v>https://twitter.com/vidasimples/status/1698712644025237604</v>
      </c>
      <c r="AF2948" s="90">
        <v>45173.625335648147</v>
      </c>
      <c r="AG2948" s="99">
        <v>45173</v>
      </c>
      <c r="AH2948" s="93" t="s">
        <v>14170</v>
      </c>
      <c r="AI2948" s="87" t="b">
        <v>0</v>
      </c>
      <c r="AJ2948" s="87"/>
      <c r="AK2948" s="87"/>
      <c r="AL2948" s="87"/>
      <c r="AM2948" s="87"/>
      <c r="AN2948" s="87"/>
      <c r="AO2948" s="87"/>
      <c r="AP2948" s="87"/>
      <c r="AQ2948" s="87" t="s">
        <v>17449</v>
      </c>
      <c r="AR2948" s="87"/>
      <c r="AS2948" s="87"/>
      <c r="AT2948" s="87"/>
      <c r="AU2948" s="87"/>
      <c r="AV2948" s="92" t="str">
        <f>HYPERLINK("https://pbs.twimg.com/media/F5MKImJX0AAElIt.jpg")</f>
        <v>https://pbs.twimg.com/media/F5MKImJX0AAElIt.jpg</v>
      </c>
      <c r="AW2948" s="93" t="s">
        <v>21103</v>
      </c>
      <c r="AX2948" s="93" t="s">
        <v>21103</v>
      </c>
      <c r="AY2948" s="87"/>
      <c r="AZ2948" s="93" t="s">
        <v>22668</v>
      </c>
      <c r="BA2948" s="93" t="s">
        <v>22668</v>
      </c>
      <c r="BB2948" s="93" t="s">
        <v>22668</v>
      </c>
      <c r="BC2948" s="93" t="s">
        <v>21103</v>
      </c>
      <c r="BD2948" s="87">
        <v>171153968</v>
      </c>
      <c r="BE2948" s="87"/>
      <c r="BF2948" s="87"/>
      <c r="BG2948" s="87"/>
      <c r="BH2948" s="87"/>
      <c r="BI2948" s="87"/>
    </row>
    <row r="2949" spans="1:61" x14ac:dyDescent="0.25">
      <c r="A2949" s="63" t="s">
        <v>1107</v>
      </c>
      <c r="B2949" s="63" t="s">
        <v>1107</v>
      </c>
      <c r="C2949" s="64"/>
      <c r="D2949" s="65"/>
      <c r="E2949" s="66"/>
      <c r="F2949" s="67"/>
      <c r="G2949" s="64"/>
      <c r="H2949" s="68"/>
      <c r="I2949" s="69"/>
      <c r="J2949" s="69"/>
      <c r="K2949" s="32"/>
      <c r="L2949" s="76">
        <v>2949</v>
      </c>
      <c r="M2949" s="76"/>
      <c r="N2949" s="71"/>
      <c r="O2949" s="87" t="s">
        <v>1839</v>
      </c>
      <c r="P2949" s="90">
        <v>45173.625335648147</v>
      </c>
      <c r="Q2949" s="87" t="s">
        <v>4655</v>
      </c>
      <c r="R2949" s="87">
        <v>0</v>
      </c>
      <c r="S2949" s="87">
        <v>0</v>
      </c>
      <c r="T2949" s="87">
        <v>1</v>
      </c>
      <c r="U2949" s="87">
        <v>0</v>
      </c>
      <c r="V2949" s="87">
        <v>230</v>
      </c>
      <c r="W2949" s="93" t="s">
        <v>7506</v>
      </c>
      <c r="X2949" s="87"/>
      <c r="Y2949" s="87"/>
      <c r="Z2949" s="87" t="s">
        <v>8600</v>
      </c>
      <c r="AA2949" s="87" t="s">
        <v>10637</v>
      </c>
      <c r="AB2949" s="87" t="s">
        <v>11448</v>
      </c>
      <c r="AC2949" s="93" t="s">
        <v>11457</v>
      </c>
      <c r="AD2949" s="87" t="s">
        <v>11519</v>
      </c>
      <c r="AE2949" s="92" t="str">
        <f>HYPERLINK("https://twitter.com/vidasimples/status/1698712644025237604")</f>
        <v>https://twitter.com/vidasimples/status/1698712644025237604</v>
      </c>
      <c r="AF2949" s="90">
        <v>45173.625335648147</v>
      </c>
      <c r="AG2949" s="99">
        <v>45173</v>
      </c>
      <c r="AH2949" s="93" t="s">
        <v>14170</v>
      </c>
      <c r="AI2949" s="87" t="b">
        <v>0</v>
      </c>
      <c r="AJ2949" s="87"/>
      <c r="AK2949" s="87"/>
      <c r="AL2949" s="87"/>
      <c r="AM2949" s="87"/>
      <c r="AN2949" s="87"/>
      <c r="AO2949" s="87"/>
      <c r="AP2949" s="87"/>
      <c r="AQ2949" s="87" t="s">
        <v>17449</v>
      </c>
      <c r="AR2949" s="87"/>
      <c r="AS2949" s="87"/>
      <c r="AT2949" s="87"/>
      <c r="AU2949" s="87"/>
      <c r="AV2949" s="92" t="str">
        <f>HYPERLINK("https://pbs.twimg.com/media/F5MKImJX0AAElIt.jpg")</f>
        <v>https://pbs.twimg.com/media/F5MKImJX0AAElIt.jpg</v>
      </c>
      <c r="AW2949" s="93" t="s">
        <v>21103</v>
      </c>
      <c r="AX2949" s="93" t="s">
        <v>21103</v>
      </c>
      <c r="AY2949" s="87"/>
      <c r="AZ2949" s="93" t="s">
        <v>22668</v>
      </c>
      <c r="BA2949" s="93" t="s">
        <v>22668</v>
      </c>
      <c r="BB2949" s="93" t="s">
        <v>22668</v>
      </c>
      <c r="BC2949" s="93" t="s">
        <v>21103</v>
      </c>
      <c r="BD2949" s="87">
        <v>171153968</v>
      </c>
      <c r="BE2949" s="87"/>
      <c r="BF2949" s="87"/>
      <c r="BG2949" s="87"/>
      <c r="BH2949" s="87"/>
      <c r="BI2949" s="87"/>
    </row>
    <row r="2950" spans="1:61" x14ac:dyDescent="0.25">
      <c r="A2950" s="63" t="s">
        <v>1107</v>
      </c>
      <c r="B2950" s="63" t="s">
        <v>1107</v>
      </c>
      <c r="C2950" s="64"/>
      <c r="D2950" s="65"/>
      <c r="E2950" s="66"/>
      <c r="F2950" s="67"/>
      <c r="G2950" s="64"/>
      <c r="H2950" s="68"/>
      <c r="I2950" s="69"/>
      <c r="J2950" s="69"/>
      <c r="K2950" s="32"/>
      <c r="L2950" s="76">
        <v>2950</v>
      </c>
      <c r="M2950" s="76"/>
      <c r="N2950" s="71"/>
      <c r="O2950" s="87" t="s">
        <v>1839</v>
      </c>
      <c r="P2950" s="90">
        <v>45174.582824074074</v>
      </c>
      <c r="Q2950" s="87" t="s">
        <v>4654</v>
      </c>
      <c r="R2950" s="87">
        <v>0</v>
      </c>
      <c r="S2950" s="87">
        <v>0</v>
      </c>
      <c r="T2950" s="87">
        <v>0</v>
      </c>
      <c r="U2950" s="87">
        <v>0</v>
      </c>
      <c r="V2950" s="87">
        <v>218</v>
      </c>
      <c r="W2950" s="93" t="s">
        <v>7505</v>
      </c>
      <c r="X2950" s="87"/>
      <c r="Y2950" s="87"/>
      <c r="Z2950" s="87" t="s">
        <v>8599</v>
      </c>
      <c r="AA2950" s="87" t="s">
        <v>10636</v>
      </c>
      <c r="AB2950" s="87" t="s">
        <v>11448</v>
      </c>
      <c r="AC2950" s="93" t="s">
        <v>11457</v>
      </c>
      <c r="AD2950" s="87" t="s">
        <v>11519</v>
      </c>
      <c r="AE2950" s="92" t="str">
        <f>HYPERLINK("https://twitter.com/vidasimples/status/1699059625855967318")</f>
        <v>https://twitter.com/vidasimples/status/1699059625855967318</v>
      </c>
      <c r="AF2950" s="90">
        <v>45174.582824074074</v>
      </c>
      <c r="AG2950" s="99">
        <v>45174</v>
      </c>
      <c r="AH2950" s="93" t="s">
        <v>14169</v>
      </c>
      <c r="AI2950" s="87" t="b">
        <v>0</v>
      </c>
      <c r="AJ2950" s="87"/>
      <c r="AK2950" s="87"/>
      <c r="AL2950" s="87"/>
      <c r="AM2950" s="87"/>
      <c r="AN2950" s="87"/>
      <c r="AO2950" s="87"/>
      <c r="AP2950" s="87"/>
      <c r="AQ2950" s="87" t="s">
        <v>17448</v>
      </c>
      <c r="AR2950" s="87"/>
      <c r="AS2950" s="87"/>
      <c r="AT2950" s="87"/>
      <c r="AU2950" s="87"/>
      <c r="AV2950" s="92" t="str">
        <f>HYPERLINK("https://pbs.twimg.com/media/F5REWGTboAA_LsN.jpg")</f>
        <v>https://pbs.twimg.com/media/F5REWGTboAA_LsN.jpg</v>
      </c>
      <c r="AW2950" s="93" t="s">
        <v>21102</v>
      </c>
      <c r="AX2950" s="93" t="s">
        <v>21102</v>
      </c>
      <c r="AY2950" s="87"/>
      <c r="AZ2950" s="93" t="s">
        <v>22668</v>
      </c>
      <c r="BA2950" s="93" t="s">
        <v>22668</v>
      </c>
      <c r="BB2950" s="93" t="s">
        <v>22668</v>
      </c>
      <c r="BC2950" s="93" t="s">
        <v>21102</v>
      </c>
      <c r="BD2950" s="87">
        <v>171153968</v>
      </c>
      <c r="BE2950" s="87"/>
      <c r="BF2950" s="87"/>
      <c r="BG2950" s="87"/>
      <c r="BH2950" s="87"/>
      <c r="BI2950" s="87"/>
    </row>
    <row r="2951" spans="1:61" x14ac:dyDescent="0.25">
      <c r="A2951" s="63" t="s">
        <v>1107</v>
      </c>
      <c r="B2951" s="63" t="s">
        <v>1759</v>
      </c>
      <c r="C2951" s="64"/>
      <c r="D2951" s="65"/>
      <c r="E2951" s="66"/>
      <c r="F2951" s="67"/>
      <c r="G2951" s="64"/>
      <c r="H2951" s="68"/>
      <c r="I2951" s="69"/>
      <c r="J2951" s="69"/>
      <c r="K2951" s="32"/>
      <c r="L2951" s="76">
        <v>2951</v>
      </c>
      <c r="M2951" s="76"/>
      <c r="N2951" s="71"/>
      <c r="O2951" s="87" t="s">
        <v>1839</v>
      </c>
      <c r="P2951" s="90">
        <v>45174.582824074074</v>
      </c>
      <c r="Q2951" s="87" t="s">
        <v>4654</v>
      </c>
      <c r="R2951" s="87">
        <v>0</v>
      </c>
      <c r="S2951" s="87">
        <v>0</v>
      </c>
      <c r="T2951" s="87">
        <v>0</v>
      </c>
      <c r="U2951" s="87">
        <v>0</v>
      </c>
      <c r="V2951" s="87">
        <v>218</v>
      </c>
      <c r="W2951" s="93" t="s">
        <v>7505</v>
      </c>
      <c r="X2951" s="87"/>
      <c r="Y2951" s="87"/>
      <c r="Z2951" s="87" t="s">
        <v>8599</v>
      </c>
      <c r="AA2951" s="87" t="s">
        <v>10636</v>
      </c>
      <c r="AB2951" s="87" t="s">
        <v>11448</v>
      </c>
      <c r="AC2951" s="93" t="s">
        <v>11457</v>
      </c>
      <c r="AD2951" s="87" t="s">
        <v>11519</v>
      </c>
      <c r="AE2951" s="92" t="str">
        <f>HYPERLINK("https://twitter.com/vidasimples/status/1699059625855967318")</f>
        <v>https://twitter.com/vidasimples/status/1699059625855967318</v>
      </c>
      <c r="AF2951" s="90">
        <v>45174.582824074074</v>
      </c>
      <c r="AG2951" s="99">
        <v>45174</v>
      </c>
      <c r="AH2951" s="93" t="s">
        <v>14169</v>
      </c>
      <c r="AI2951" s="87" t="b">
        <v>0</v>
      </c>
      <c r="AJ2951" s="87"/>
      <c r="AK2951" s="87"/>
      <c r="AL2951" s="87"/>
      <c r="AM2951" s="87"/>
      <c r="AN2951" s="87"/>
      <c r="AO2951" s="87"/>
      <c r="AP2951" s="87"/>
      <c r="AQ2951" s="87" t="s">
        <v>17448</v>
      </c>
      <c r="AR2951" s="87"/>
      <c r="AS2951" s="87"/>
      <c r="AT2951" s="87"/>
      <c r="AU2951" s="87"/>
      <c r="AV2951" s="92" t="str">
        <f>HYPERLINK("https://pbs.twimg.com/media/F5REWGTboAA_LsN.jpg")</f>
        <v>https://pbs.twimg.com/media/F5REWGTboAA_LsN.jpg</v>
      </c>
      <c r="AW2951" s="93" t="s">
        <v>21102</v>
      </c>
      <c r="AX2951" s="93" t="s">
        <v>21102</v>
      </c>
      <c r="AY2951" s="87"/>
      <c r="AZ2951" s="93" t="s">
        <v>22668</v>
      </c>
      <c r="BA2951" s="93" t="s">
        <v>22668</v>
      </c>
      <c r="BB2951" s="93" t="s">
        <v>22668</v>
      </c>
      <c r="BC2951" s="93" t="s">
        <v>21102</v>
      </c>
      <c r="BD2951" s="87">
        <v>171153968</v>
      </c>
      <c r="BE2951" s="87"/>
      <c r="BF2951" s="87"/>
      <c r="BG2951" s="87"/>
      <c r="BH2951" s="87"/>
      <c r="BI2951" s="87"/>
    </row>
    <row r="2952" spans="1:61" x14ac:dyDescent="0.25">
      <c r="A2952" s="63" t="s">
        <v>1107</v>
      </c>
      <c r="B2952" s="63" t="s">
        <v>1107</v>
      </c>
      <c r="C2952" s="64"/>
      <c r="D2952" s="65"/>
      <c r="E2952" s="66"/>
      <c r="F2952" s="67"/>
      <c r="G2952" s="64"/>
      <c r="H2952" s="68"/>
      <c r="I2952" s="69"/>
      <c r="J2952" s="69"/>
      <c r="K2952" s="32"/>
      <c r="L2952" s="76">
        <v>2952</v>
      </c>
      <c r="M2952" s="76"/>
      <c r="N2952" s="71"/>
      <c r="O2952" s="87" t="s">
        <v>1839</v>
      </c>
      <c r="P2952" s="90">
        <v>45174.582824074074</v>
      </c>
      <c r="Q2952" s="87" t="s">
        <v>4654</v>
      </c>
      <c r="R2952" s="87">
        <v>0</v>
      </c>
      <c r="S2952" s="87">
        <v>0</v>
      </c>
      <c r="T2952" s="87">
        <v>0</v>
      </c>
      <c r="U2952" s="87">
        <v>0</v>
      </c>
      <c r="V2952" s="87">
        <v>218</v>
      </c>
      <c r="W2952" s="93" t="s">
        <v>7505</v>
      </c>
      <c r="X2952" s="87"/>
      <c r="Y2952" s="87"/>
      <c r="Z2952" s="87" t="s">
        <v>8599</v>
      </c>
      <c r="AA2952" s="87" t="s">
        <v>10636</v>
      </c>
      <c r="AB2952" s="87" t="s">
        <v>11448</v>
      </c>
      <c r="AC2952" s="93" t="s">
        <v>11457</v>
      </c>
      <c r="AD2952" s="87" t="s">
        <v>11519</v>
      </c>
      <c r="AE2952" s="92" t="str">
        <f>HYPERLINK("https://twitter.com/vidasimples/status/1699059625855967318")</f>
        <v>https://twitter.com/vidasimples/status/1699059625855967318</v>
      </c>
      <c r="AF2952" s="90">
        <v>45174.582824074074</v>
      </c>
      <c r="AG2952" s="99">
        <v>45174</v>
      </c>
      <c r="AH2952" s="93" t="s">
        <v>14169</v>
      </c>
      <c r="AI2952" s="87" t="b">
        <v>0</v>
      </c>
      <c r="AJ2952" s="87"/>
      <c r="AK2952" s="87"/>
      <c r="AL2952" s="87"/>
      <c r="AM2952" s="87"/>
      <c r="AN2952" s="87"/>
      <c r="AO2952" s="87"/>
      <c r="AP2952" s="87"/>
      <c r="AQ2952" s="87" t="s">
        <v>17448</v>
      </c>
      <c r="AR2952" s="87"/>
      <c r="AS2952" s="87"/>
      <c r="AT2952" s="87"/>
      <c r="AU2952" s="87"/>
      <c r="AV2952" s="92" t="str">
        <f>HYPERLINK("https://pbs.twimg.com/media/F5REWGTboAA_LsN.jpg")</f>
        <v>https://pbs.twimg.com/media/F5REWGTboAA_LsN.jpg</v>
      </c>
      <c r="AW2952" s="93" t="s">
        <v>21102</v>
      </c>
      <c r="AX2952" s="93" t="s">
        <v>21102</v>
      </c>
      <c r="AY2952" s="87"/>
      <c r="AZ2952" s="93" t="s">
        <v>22668</v>
      </c>
      <c r="BA2952" s="93" t="s">
        <v>22668</v>
      </c>
      <c r="BB2952" s="93" t="s">
        <v>22668</v>
      </c>
      <c r="BC2952" s="93" t="s">
        <v>21102</v>
      </c>
      <c r="BD2952" s="87">
        <v>171153968</v>
      </c>
      <c r="BE2952" s="87"/>
      <c r="BF2952" s="87"/>
      <c r="BG2952" s="87"/>
      <c r="BH2952" s="87"/>
      <c r="BI2952" s="87"/>
    </row>
    <row r="2953" spans="1:61" x14ac:dyDescent="0.25">
      <c r="A2953" s="63" t="s">
        <v>1108</v>
      </c>
      <c r="B2953" s="63" t="s">
        <v>1108</v>
      </c>
      <c r="C2953" s="64"/>
      <c r="D2953" s="65"/>
      <c r="E2953" s="66"/>
      <c r="F2953" s="67"/>
      <c r="G2953" s="64"/>
      <c r="H2953" s="68"/>
      <c r="I2953" s="69"/>
      <c r="J2953" s="69"/>
      <c r="K2953" s="32"/>
      <c r="L2953" s="76">
        <v>2953</v>
      </c>
      <c r="M2953" s="76"/>
      <c r="N2953" s="71"/>
      <c r="O2953" s="87" t="s">
        <v>179</v>
      </c>
      <c r="P2953" s="90">
        <v>45175.836863425924</v>
      </c>
      <c r="Q2953" s="87" t="s">
        <v>4656</v>
      </c>
      <c r="R2953" s="87">
        <v>0</v>
      </c>
      <c r="S2953" s="87">
        <v>1</v>
      </c>
      <c r="T2953" s="87">
        <v>0</v>
      </c>
      <c r="U2953" s="87">
        <v>0</v>
      </c>
      <c r="V2953" s="87">
        <v>72</v>
      </c>
      <c r="W2953" s="93" t="s">
        <v>5897</v>
      </c>
      <c r="X2953" s="92" t="str">
        <f>HYPERLINK("https://encurtador.com.br/kNOQX")</f>
        <v>https://encurtador.com.br/kNOQX</v>
      </c>
      <c r="Y2953" s="87" t="s">
        <v>8373</v>
      </c>
      <c r="Z2953" s="87"/>
      <c r="AA2953" s="87" t="s">
        <v>10638</v>
      </c>
      <c r="AB2953" s="87" t="s">
        <v>11447</v>
      </c>
      <c r="AC2953" s="93" t="s">
        <v>11457</v>
      </c>
      <c r="AD2953" s="87" t="s">
        <v>11519</v>
      </c>
      <c r="AE2953" s="92" t="str">
        <f>HYPERLINK("https://twitter.com/sebraepe/status/1699514075980435470")</f>
        <v>https://twitter.com/sebraepe/status/1699514075980435470</v>
      </c>
      <c r="AF2953" s="90">
        <v>45175.836863425924</v>
      </c>
      <c r="AG2953" s="99">
        <v>45175</v>
      </c>
      <c r="AH2953" s="93" t="s">
        <v>14171</v>
      </c>
      <c r="AI2953" s="87" t="b">
        <v>0</v>
      </c>
      <c r="AJ2953" s="87"/>
      <c r="AK2953" s="87"/>
      <c r="AL2953" s="87"/>
      <c r="AM2953" s="87"/>
      <c r="AN2953" s="87"/>
      <c r="AO2953" s="87"/>
      <c r="AP2953" s="87"/>
      <c r="AQ2953" s="87" t="s">
        <v>17450</v>
      </c>
      <c r="AR2953" s="87">
        <v>64760</v>
      </c>
      <c r="AS2953" s="87"/>
      <c r="AT2953" s="87"/>
      <c r="AU2953" s="87"/>
      <c r="AV2953" s="92" t="str">
        <f>HYPERLINK("https://pbs.twimg.com/ext_tw_video_thumb/1699513646957629440/pu/img/yPeUeyFq76XYP0qo.jpg")</f>
        <v>https://pbs.twimg.com/ext_tw_video_thumb/1699513646957629440/pu/img/yPeUeyFq76XYP0qo.jpg</v>
      </c>
      <c r="AW2953" s="93" t="s">
        <v>21104</v>
      </c>
      <c r="AX2953" s="93" t="s">
        <v>21104</v>
      </c>
      <c r="AY2953" s="87"/>
      <c r="AZ2953" s="93" t="s">
        <v>22668</v>
      </c>
      <c r="BA2953" s="93" t="s">
        <v>22668</v>
      </c>
      <c r="BB2953" s="93" t="s">
        <v>22668</v>
      </c>
      <c r="BC2953" s="93" t="s">
        <v>21104</v>
      </c>
      <c r="BD2953" s="87">
        <v>53130485</v>
      </c>
      <c r="BE2953" s="87"/>
      <c r="BF2953" s="87"/>
      <c r="BG2953" s="87"/>
      <c r="BH2953" s="87"/>
      <c r="BI2953" s="87"/>
    </row>
    <row r="2954" spans="1:61" x14ac:dyDescent="0.25">
      <c r="A2954" s="63" t="s">
        <v>1109</v>
      </c>
      <c r="B2954" s="63" t="s">
        <v>1109</v>
      </c>
      <c r="C2954" s="64"/>
      <c r="D2954" s="65"/>
      <c r="E2954" s="66"/>
      <c r="F2954" s="67"/>
      <c r="G2954" s="64"/>
      <c r="H2954" s="68"/>
      <c r="I2954" s="69"/>
      <c r="J2954" s="69"/>
      <c r="K2954" s="32"/>
      <c r="L2954" s="76">
        <v>2954</v>
      </c>
      <c r="M2954" s="76"/>
      <c r="N2954" s="71"/>
      <c r="O2954" s="87" t="s">
        <v>179</v>
      </c>
      <c r="P2954" s="90">
        <v>45196.097534722219</v>
      </c>
      <c r="Q2954" s="87" t="s">
        <v>4657</v>
      </c>
      <c r="R2954" s="87">
        <v>3</v>
      </c>
      <c r="S2954" s="87">
        <v>4</v>
      </c>
      <c r="T2954" s="87">
        <v>0</v>
      </c>
      <c r="U2954" s="87">
        <v>0</v>
      </c>
      <c r="V2954" s="87">
        <v>107</v>
      </c>
      <c r="W2954" s="93" t="s">
        <v>7507</v>
      </c>
      <c r="X2954" s="92" t="str">
        <f>HYPERLINK("https://amazimports.com.br")</f>
        <v>https://amazimports.com.br</v>
      </c>
      <c r="Y2954" s="87" t="s">
        <v>8373</v>
      </c>
      <c r="Z2954" s="87"/>
      <c r="AA2954" s="87"/>
      <c r="AB2954" s="87"/>
      <c r="AC2954" s="93" t="s">
        <v>11457</v>
      </c>
      <c r="AD2954" s="87" t="s">
        <v>11519</v>
      </c>
      <c r="AE2954" s="92" t="str">
        <f>HYPERLINK("https://twitter.com/limclown/status/1706856295100498207")</f>
        <v>https://twitter.com/limclown/status/1706856295100498207</v>
      </c>
      <c r="AF2954" s="90">
        <v>45196.097534722219</v>
      </c>
      <c r="AG2954" s="99">
        <v>45196</v>
      </c>
      <c r="AH2954" s="93" t="s">
        <v>14172</v>
      </c>
      <c r="AI2954" s="87" t="b">
        <v>0</v>
      </c>
      <c r="AJ2954" s="87"/>
      <c r="AK2954" s="87"/>
      <c r="AL2954" s="87"/>
      <c r="AM2954" s="87"/>
      <c r="AN2954" s="87"/>
      <c r="AO2954" s="87"/>
      <c r="AP2954" s="87"/>
      <c r="AQ2954" s="87"/>
      <c r="AR2954" s="87"/>
      <c r="AS2954" s="87"/>
      <c r="AT2954" s="87"/>
      <c r="AU2954" s="87"/>
      <c r="AV2954" s="92" t="str">
        <f>HYPERLINK("https://pbs.twimg.com/profile_images/1614211401307897856/A7Lkzu5m_normal.jpg")</f>
        <v>https://pbs.twimg.com/profile_images/1614211401307897856/A7Lkzu5m_normal.jpg</v>
      </c>
      <c r="AW2954" s="93" t="s">
        <v>21105</v>
      </c>
      <c r="AX2954" s="93" t="s">
        <v>21105</v>
      </c>
      <c r="AY2954" s="87"/>
      <c r="AZ2954" s="93" t="s">
        <v>22668</v>
      </c>
      <c r="BA2954" s="93" t="s">
        <v>22668</v>
      </c>
      <c r="BB2954" s="93" t="s">
        <v>22668</v>
      </c>
      <c r="BC2954" s="93" t="s">
        <v>21105</v>
      </c>
      <c r="BD2954" s="93" t="s">
        <v>23302</v>
      </c>
      <c r="BE2954" s="87"/>
      <c r="BF2954" s="87"/>
      <c r="BG2954" s="87"/>
      <c r="BH2954" s="87"/>
      <c r="BI2954" s="87"/>
    </row>
    <row r="2955" spans="1:61" x14ac:dyDescent="0.25">
      <c r="A2955" s="63" t="s">
        <v>1110</v>
      </c>
      <c r="B2955" s="63" t="s">
        <v>1109</v>
      </c>
      <c r="C2955" s="64"/>
      <c r="D2955" s="65"/>
      <c r="E2955" s="66"/>
      <c r="F2955" s="67"/>
      <c r="G2955" s="64"/>
      <c r="H2955" s="68"/>
      <c r="I2955" s="69"/>
      <c r="J2955" s="69"/>
      <c r="K2955" s="32"/>
      <c r="L2955" s="76">
        <v>2955</v>
      </c>
      <c r="M2955" s="76"/>
      <c r="N2955" s="71"/>
      <c r="O2955" s="87" t="s">
        <v>1841</v>
      </c>
      <c r="P2955" s="90">
        <v>45196.684606481482</v>
      </c>
      <c r="Q2955" s="87" t="s">
        <v>4658</v>
      </c>
      <c r="R2955" s="87">
        <v>3</v>
      </c>
      <c r="S2955" s="87">
        <v>0</v>
      </c>
      <c r="T2955" s="87">
        <v>0</v>
      </c>
      <c r="U2955" s="87">
        <v>0</v>
      </c>
      <c r="V2955" s="87"/>
      <c r="W2955" s="87"/>
      <c r="X2955" s="87"/>
      <c r="Y2955" s="87"/>
      <c r="Z2955" s="87" t="s">
        <v>1109</v>
      </c>
      <c r="AA2955" s="87"/>
      <c r="AB2955" s="87"/>
      <c r="AC2955" s="93" t="s">
        <v>11458</v>
      </c>
      <c r="AD2955" s="87" t="s">
        <v>11519</v>
      </c>
      <c r="AE2955" s="92" t="str">
        <f>HYPERLINK("https://twitter.com/naoehoproblem/status/1707069042605879397")</f>
        <v>https://twitter.com/naoehoproblem/status/1707069042605879397</v>
      </c>
      <c r="AF2955" s="90">
        <v>45196.684606481482</v>
      </c>
      <c r="AG2955" s="99">
        <v>45196</v>
      </c>
      <c r="AH2955" s="93" t="s">
        <v>14173</v>
      </c>
      <c r="AI2955" s="87" t="b">
        <v>0</v>
      </c>
      <c r="AJ2955" s="87"/>
      <c r="AK2955" s="87"/>
      <c r="AL2955" s="87"/>
      <c r="AM2955" s="87"/>
      <c r="AN2955" s="87"/>
      <c r="AO2955" s="87"/>
      <c r="AP2955" s="87"/>
      <c r="AQ2955" s="87"/>
      <c r="AR2955" s="87"/>
      <c r="AS2955" s="87"/>
      <c r="AT2955" s="87"/>
      <c r="AU2955" s="87"/>
      <c r="AV2955" s="92" t="str">
        <f>HYPERLINK("https://pbs.twimg.com/profile_images/1702924810097983488/C7j_20x6_normal.jpg")</f>
        <v>https://pbs.twimg.com/profile_images/1702924810097983488/C7j_20x6_normal.jpg</v>
      </c>
      <c r="AW2955" s="93" t="s">
        <v>21106</v>
      </c>
      <c r="AX2955" s="93" t="s">
        <v>21106</v>
      </c>
      <c r="AY2955" s="87"/>
      <c r="AZ2955" s="93" t="s">
        <v>22668</v>
      </c>
      <c r="BA2955" s="93" t="s">
        <v>22668</v>
      </c>
      <c r="BB2955" s="93" t="s">
        <v>21105</v>
      </c>
      <c r="BC2955" s="93" t="s">
        <v>21105</v>
      </c>
      <c r="BD2955" s="93" t="s">
        <v>23303</v>
      </c>
      <c r="BE2955" s="87"/>
      <c r="BF2955" s="87"/>
      <c r="BG2955" s="87"/>
      <c r="BH2955" s="87"/>
      <c r="BI2955" s="87"/>
    </row>
    <row r="2956" spans="1:61" x14ac:dyDescent="0.25">
      <c r="A2956" s="63" t="s">
        <v>1111</v>
      </c>
      <c r="B2956" s="63" t="s">
        <v>1111</v>
      </c>
      <c r="C2956" s="64"/>
      <c r="D2956" s="65"/>
      <c r="E2956" s="66"/>
      <c r="F2956" s="67"/>
      <c r="G2956" s="64"/>
      <c r="H2956" s="68"/>
      <c r="I2956" s="69"/>
      <c r="J2956" s="69"/>
      <c r="K2956" s="32"/>
      <c r="L2956" s="76">
        <v>2956</v>
      </c>
      <c r="M2956" s="76"/>
      <c r="N2956" s="71"/>
      <c r="O2956" s="87" t="s">
        <v>179</v>
      </c>
      <c r="P2956" s="90">
        <v>45127.603692129633</v>
      </c>
      <c r="Q2956" s="87" t="s">
        <v>4659</v>
      </c>
      <c r="R2956" s="87">
        <v>0</v>
      </c>
      <c r="S2956" s="87">
        <v>0</v>
      </c>
      <c r="T2956" s="87">
        <v>0</v>
      </c>
      <c r="U2956" s="87">
        <v>0</v>
      </c>
      <c r="V2956" s="87">
        <v>13</v>
      </c>
      <c r="W2956" s="93" t="s">
        <v>7508</v>
      </c>
      <c r="X2956" s="87"/>
      <c r="Y2956" s="87"/>
      <c r="Z2956" s="87"/>
      <c r="AA2956" s="87" t="s">
        <v>10639</v>
      </c>
      <c r="AB2956" s="87" t="s">
        <v>11447</v>
      </c>
      <c r="AC2956" s="93" t="s">
        <v>11457</v>
      </c>
      <c r="AD2956" s="87" t="s">
        <v>11519</v>
      </c>
      <c r="AE2956" s="92" t="str">
        <f>HYPERLINK("https://twitter.com/tartarott/status/1682034958528036864")</f>
        <v>https://twitter.com/tartarott/status/1682034958528036864</v>
      </c>
      <c r="AF2956" s="90">
        <v>45127.603692129633</v>
      </c>
      <c r="AG2956" s="99">
        <v>45127</v>
      </c>
      <c r="AH2956" s="93" t="s">
        <v>14174</v>
      </c>
      <c r="AI2956" s="87" t="b">
        <v>0</v>
      </c>
      <c r="AJ2956" s="87"/>
      <c r="AK2956" s="87"/>
      <c r="AL2956" s="87"/>
      <c r="AM2956" s="87"/>
      <c r="AN2956" s="87"/>
      <c r="AO2956" s="87"/>
      <c r="AP2956" s="87"/>
      <c r="AQ2956" s="87" t="s">
        <v>17451</v>
      </c>
      <c r="AR2956" s="87">
        <v>34808</v>
      </c>
      <c r="AS2956" s="87"/>
      <c r="AT2956" s="87"/>
      <c r="AU2956" s="87"/>
      <c r="AV2956" s="92" t="str">
        <f>HYPERLINK("https://pbs.twimg.com/ext_tw_video_thumb/1682033579935809536/pu/img/AlmrWHrkmPQJBTBr.jpg")</f>
        <v>https://pbs.twimg.com/ext_tw_video_thumb/1682033579935809536/pu/img/AlmrWHrkmPQJBTBr.jpg</v>
      </c>
      <c r="AW2956" s="93" t="s">
        <v>21107</v>
      </c>
      <c r="AX2956" s="93" t="s">
        <v>21107</v>
      </c>
      <c r="AY2956" s="87"/>
      <c r="AZ2956" s="93" t="s">
        <v>22668</v>
      </c>
      <c r="BA2956" s="93" t="s">
        <v>22668</v>
      </c>
      <c r="BB2956" s="93" t="s">
        <v>22668</v>
      </c>
      <c r="BC2956" s="93" t="s">
        <v>21107</v>
      </c>
      <c r="BD2956" s="93" t="s">
        <v>23304</v>
      </c>
      <c r="BE2956" s="87"/>
      <c r="BF2956" s="87"/>
      <c r="BG2956" s="87"/>
      <c r="BH2956" s="87"/>
      <c r="BI2956" s="87"/>
    </row>
    <row r="2957" spans="1:61" x14ac:dyDescent="0.25">
      <c r="A2957" s="63" t="s">
        <v>1112</v>
      </c>
      <c r="B2957" s="63" t="s">
        <v>1112</v>
      </c>
      <c r="C2957" s="64"/>
      <c r="D2957" s="65"/>
      <c r="E2957" s="66"/>
      <c r="F2957" s="67"/>
      <c r="G2957" s="64"/>
      <c r="H2957" s="68"/>
      <c r="I2957" s="69"/>
      <c r="J2957" s="69"/>
      <c r="K2957" s="32"/>
      <c r="L2957" s="76">
        <v>2957</v>
      </c>
      <c r="M2957" s="76"/>
      <c r="N2957" s="71"/>
      <c r="O2957" s="87" t="s">
        <v>179</v>
      </c>
      <c r="P2957" s="90">
        <v>45158.833472222221</v>
      </c>
      <c r="Q2957" s="87" t="s">
        <v>4660</v>
      </c>
      <c r="R2957" s="87">
        <v>0</v>
      </c>
      <c r="S2957" s="87">
        <v>0</v>
      </c>
      <c r="T2957" s="87">
        <v>0</v>
      </c>
      <c r="U2957" s="87">
        <v>0</v>
      </c>
      <c r="V2957" s="87"/>
      <c r="W2957" s="93" t="s">
        <v>7509</v>
      </c>
      <c r="X2957" s="92" t="str">
        <f>HYPERLINK("https://www.instagram.com/reel/CwLcunfh5xA/?igshid=MTVlNTYxMjY2ZQ==")</f>
        <v>https://www.instagram.com/reel/CwLcunfh5xA/?igshid=MTVlNTYxMjY2ZQ==</v>
      </c>
      <c r="Y2957" s="87" t="s">
        <v>8383</v>
      </c>
      <c r="Z2957" s="87"/>
      <c r="AA2957" s="87"/>
      <c r="AB2957" s="87"/>
      <c r="AC2957" s="93" t="s">
        <v>11459</v>
      </c>
      <c r="AD2957" s="87" t="s">
        <v>11519</v>
      </c>
      <c r="AE2957" s="92" t="str">
        <f>HYPERLINK("https://twitter.com/riansousa_ofc/status/1693352250532303085")</f>
        <v>https://twitter.com/riansousa_ofc/status/1693352250532303085</v>
      </c>
      <c r="AF2957" s="90">
        <v>45158.833472222221</v>
      </c>
      <c r="AG2957" s="99">
        <v>45158</v>
      </c>
      <c r="AH2957" s="93" t="s">
        <v>14175</v>
      </c>
      <c r="AI2957" s="87" t="b">
        <v>0</v>
      </c>
      <c r="AJ2957" s="87"/>
      <c r="AK2957" s="87"/>
      <c r="AL2957" s="87"/>
      <c r="AM2957" s="87"/>
      <c r="AN2957" s="87"/>
      <c r="AO2957" s="87"/>
      <c r="AP2957" s="87"/>
      <c r="AQ2957" s="87"/>
      <c r="AR2957" s="87"/>
      <c r="AS2957" s="87"/>
      <c r="AT2957" s="87"/>
      <c r="AU2957" s="87"/>
      <c r="AV2957" s="92" t="str">
        <f>HYPERLINK("https://pbs.twimg.com/profile_images/1674928060343152641/94DnO2N__normal.jpg")</f>
        <v>https://pbs.twimg.com/profile_images/1674928060343152641/94DnO2N__normal.jpg</v>
      </c>
      <c r="AW2957" s="93" t="s">
        <v>21108</v>
      </c>
      <c r="AX2957" s="93" t="s">
        <v>21108</v>
      </c>
      <c r="AY2957" s="87"/>
      <c r="AZ2957" s="93" t="s">
        <v>22668</v>
      </c>
      <c r="BA2957" s="93" t="s">
        <v>22668</v>
      </c>
      <c r="BB2957" s="93" t="s">
        <v>22668</v>
      </c>
      <c r="BC2957" s="93" t="s">
        <v>21108</v>
      </c>
      <c r="BD2957" s="93" t="s">
        <v>23305</v>
      </c>
      <c r="BE2957" s="87"/>
      <c r="BF2957" s="87"/>
      <c r="BG2957" s="87"/>
      <c r="BH2957" s="87"/>
      <c r="BI2957" s="87"/>
    </row>
    <row r="2958" spans="1:61" x14ac:dyDescent="0.25">
      <c r="A2958" s="63" t="s">
        <v>1112</v>
      </c>
      <c r="B2958" s="63" t="s">
        <v>1112</v>
      </c>
      <c r="C2958" s="64"/>
      <c r="D2958" s="65"/>
      <c r="E2958" s="66"/>
      <c r="F2958" s="67"/>
      <c r="G2958" s="64"/>
      <c r="H2958" s="68"/>
      <c r="I2958" s="69"/>
      <c r="J2958" s="69"/>
      <c r="K2958" s="32"/>
      <c r="L2958" s="76">
        <v>2958</v>
      </c>
      <c r="M2958" s="76"/>
      <c r="N2958" s="71"/>
      <c r="O2958" s="87" t="s">
        <v>179</v>
      </c>
      <c r="P2958" s="90">
        <v>45158.751388888886</v>
      </c>
      <c r="Q2958" s="87" t="s">
        <v>4661</v>
      </c>
      <c r="R2958" s="87">
        <v>0</v>
      </c>
      <c r="S2958" s="87">
        <v>0</v>
      </c>
      <c r="T2958" s="87">
        <v>0</v>
      </c>
      <c r="U2958" s="87">
        <v>0</v>
      </c>
      <c r="V2958" s="87">
        <v>1</v>
      </c>
      <c r="W2958" s="93" t="s">
        <v>7509</v>
      </c>
      <c r="X2958" s="92" t="str">
        <f>HYPERLINK("https://www.instagram.com/reel/CwLPY5Shp_g/?igshid=MTVlNTYxMjY2ZQ==")</f>
        <v>https://www.instagram.com/reel/CwLPY5Shp_g/?igshid=MTVlNTYxMjY2ZQ==</v>
      </c>
      <c r="Y2958" s="87" t="s">
        <v>8383</v>
      </c>
      <c r="Z2958" s="87"/>
      <c r="AA2958" s="87"/>
      <c r="AB2958" s="87"/>
      <c r="AC2958" s="93" t="s">
        <v>11459</v>
      </c>
      <c r="AD2958" s="87" t="s">
        <v>11519</v>
      </c>
      <c r="AE2958" s="92" t="str">
        <f>HYPERLINK("https://twitter.com/riansousa_ofc/status/1693322504918454623")</f>
        <v>https://twitter.com/riansousa_ofc/status/1693322504918454623</v>
      </c>
      <c r="AF2958" s="90">
        <v>45158.751388888886</v>
      </c>
      <c r="AG2958" s="99">
        <v>45158</v>
      </c>
      <c r="AH2958" s="93" t="s">
        <v>14176</v>
      </c>
      <c r="AI2958" s="87" t="b">
        <v>0</v>
      </c>
      <c r="AJ2958" s="87"/>
      <c r="AK2958" s="87"/>
      <c r="AL2958" s="87"/>
      <c r="AM2958" s="87"/>
      <c r="AN2958" s="87"/>
      <c r="AO2958" s="87"/>
      <c r="AP2958" s="87"/>
      <c r="AQ2958" s="87"/>
      <c r="AR2958" s="87"/>
      <c r="AS2958" s="87"/>
      <c r="AT2958" s="87"/>
      <c r="AU2958" s="87"/>
      <c r="AV2958" s="92" t="str">
        <f>HYPERLINK("https://pbs.twimg.com/profile_images/1674928060343152641/94DnO2N__normal.jpg")</f>
        <v>https://pbs.twimg.com/profile_images/1674928060343152641/94DnO2N__normal.jpg</v>
      </c>
      <c r="AW2958" s="93" t="s">
        <v>21109</v>
      </c>
      <c r="AX2958" s="93" t="s">
        <v>21109</v>
      </c>
      <c r="AY2958" s="87"/>
      <c r="AZ2958" s="93" t="s">
        <v>22668</v>
      </c>
      <c r="BA2958" s="93" t="s">
        <v>22668</v>
      </c>
      <c r="BB2958" s="93" t="s">
        <v>22668</v>
      </c>
      <c r="BC2958" s="93" t="s">
        <v>21109</v>
      </c>
      <c r="BD2958" s="93" t="s">
        <v>23305</v>
      </c>
      <c r="BE2958" s="87"/>
      <c r="BF2958" s="87"/>
      <c r="BG2958" s="87"/>
      <c r="BH2958" s="87"/>
      <c r="BI2958" s="87"/>
    </row>
    <row r="2959" spans="1:61" x14ac:dyDescent="0.25">
      <c r="A2959" s="63" t="s">
        <v>1112</v>
      </c>
      <c r="B2959" s="63" t="s">
        <v>1112</v>
      </c>
      <c r="C2959" s="64"/>
      <c r="D2959" s="65"/>
      <c r="E2959" s="66"/>
      <c r="F2959" s="67"/>
      <c r="G2959" s="64"/>
      <c r="H2959" s="68"/>
      <c r="I2959" s="69"/>
      <c r="J2959" s="69"/>
      <c r="K2959" s="32"/>
      <c r="L2959" s="76">
        <v>2959</v>
      </c>
      <c r="M2959" s="76"/>
      <c r="N2959" s="71"/>
      <c r="O2959" s="87" t="s">
        <v>179</v>
      </c>
      <c r="P2959" s="90">
        <v>45158.049756944441</v>
      </c>
      <c r="Q2959" s="87" t="s">
        <v>4662</v>
      </c>
      <c r="R2959" s="87">
        <v>0</v>
      </c>
      <c r="S2959" s="87">
        <v>0</v>
      </c>
      <c r="T2959" s="87">
        <v>0</v>
      </c>
      <c r="U2959" s="87">
        <v>0</v>
      </c>
      <c r="V2959" s="87">
        <v>3</v>
      </c>
      <c r="W2959" s="93" t="s">
        <v>7509</v>
      </c>
      <c r="X2959" s="92" t="str">
        <f>HYPERLINK("https://www.instagram.com/reel/CwJaiQvBAs2/?igshid=MTVlNTYxMjY2ZQ==")</f>
        <v>https://www.instagram.com/reel/CwJaiQvBAs2/?igshid=MTVlNTYxMjY2ZQ==</v>
      </c>
      <c r="Y2959" s="87" t="s">
        <v>8383</v>
      </c>
      <c r="Z2959" s="87"/>
      <c r="AA2959" s="87"/>
      <c r="AB2959" s="87"/>
      <c r="AC2959" s="93" t="s">
        <v>11459</v>
      </c>
      <c r="AD2959" s="87" t="s">
        <v>11519</v>
      </c>
      <c r="AE2959" s="92" t="str">
        <f>HYPERLINK("https://twitter.com/riansousa_ofc/status/1693068243127152804")</f>
        <v>https://twitter.com/riansousa_ofc/status/1693068243127152804</v>
      </c>
      <c r="AF2959" s="90">
        <v>45158.049756944441</v>
      </c>
      <c r="AG2959" s="99">
        <v>45158</v>
      </c>
      <c r="AH2959" s="93" t="s">
        <v>14177</v>
      </c>
      <c r="AI2959" s="87" t="b">
        <v>0</v>
      </c>
      <c r="AJ2959" s="87"/>
      <c r="AK2959" s="87"/>
      <c r="AL2959" s="87"/>
      <c r="AM2959" s="87"/>
      <c r="AN2959" s="87"/>
      <c r="AO2959" s="87"/>
      <c r="AP2959" s="87"/>
      <c r="AQ2959" s="87"/>
      <c r="AR2959" s="87"/>
      <c r="AS2959" s="87"/>
      <c r="AT2959" s="87"/>
      <c r="AU2959" s="87"/>
      <c r="AV2959" s="92" t="str">
        <f>HYPERLINK("https://pbs.twimg.com/profile_images/1674928060343152641/94DnO2N__normal.jpg")</f>
        <v>https://pbs.twimg.com/profile_images/1674928060343152641/94DnO2N__normal.jpg</v>
      </c>
      <c r="AW2959" s="93" t="s">
        <v>21110</v>
      </c>
      <c r="AX2959" s="93" t="s">
        <v>21110</v>
      </c>
      <c r="AY2959" s="87"/>
      <c r="AZ2959" s="93" t="s">
        <v>22668</v>
      </c>
      <c r="BA2959" s="93" t="s">
        <v>22668</v>
      </c>
      <c r="BB2959" s="93" t="s">
        <v>22668</v>
      </c>
      <c r="BC2959" s="93" t="s">
        <v>21110</v>
      </c>
      <c r="BD2959" s="93" t="s">
        <v>23305</v>
      </c>
      <c r="BE2959" s="87"/>
      <c r="BF2959" s="87"/>
      <c r="BG2959" s="87"/>
      <c r="BH2959" s="87"/>
      <c r="BI2959" s="87"/>
    </row>
    <row r="2960" spans="1:61" x14ac:dyDescent="0.25">
      <c r="A2960" s="63" t="s">
        <v>1113</v>
      </c>
      <c r="B2960" s="63" t="s">
        <v>1113</v>
      </c>
      <c r="C2960" s="64"/>
      <c r="D2960" s="65"/>
      <c r="E2960" s="66"/>
      <c r="F2960" s="67"/>
      <c r="G2960" s="64"/>
      <c r="H2960" s="68"/>
      <c r="I2960" s="69"/>
      <c r="J2960" s="69"/>
      <c r="K2960" s="32"/>
      <c r="L2960" s="76">
        <v>2960</v>
      </c>
      <c r="M2960" s="76"/>
      <c r="N2960" s="71"/>
      <c r="O2960" s="87" t="s">
        <v>179</v>
      </c>
      <c r="P2960" s="90">
        <v>45142.59652777778</v>
      </c>
      <c r="Q2960" s="87" t="s">
        <v>4663</v>
      </c>
      <c r="R2960" s="87">
        <v>0</v>
      </c>
      <c r="S2960" s="87">
        <v>0</v>
      </c>
      <c r="T2960" s="87">
        <v>0</v>
      </c>
      <c r="U2960" s="87">
        <v>0</v>
      </c>
      <c r="V2960" s="87">
        <v>14</v>
      </c>
      <c r="W2960" s="93" t="s">
        <v>7510</v>
      </c>
      <c r="X2960" s="92" t="str">
        <f>HYPERLINK("https://www.versabrasilseguros.com.br/post/o-dever-de-informacao-da-empresa-nos-seguros-de-vida-coletivos-empresariais")</f>
        <v>https://www.versabrasilseguros.com.br/post/o-dever-de-informacao-da-empresa-nos-seguros-de-vida-coletivos-empresariais</v>
      </c>
      <c r="Y2960" s="87" t="s">
        <v>8373</v>
      </c>
      <c r="Z2960" s="87"/>
      <c r="AA2960" s="87"/>
      <c r="AB2960" s="87"/>
      <c r="AC2960" s="93" t="s">
        <v>11457</v>
      </c>
      <c r="AD2960" s="87" t="s">
        <v>11519</v>
      </c>
      <c r="AE2960" s="92" t="str">
        <f>HYPERLINK("https://twitter.com/versa_brasil/status/1687468179126120448")</f>
        <v>https://twitter.com/versa_brasil/status/1687468179126120448</v>
      </c>
      <c r="AF2960" s="90">
        <v>45142.59652777778</v>
      </c>
      <c r="AG2960" s="99">
        <v>45142</v>
      </c>
      <c r="AH2960" s="93" t="s">
        <v>14178</v>
      </c>
      <c r="AI2960" s="87" t="b">
        <v>0</v>
      </c>
      <c r="AJ2960" s="87"/>
      <c r="AK2960" s="87"/>
      <c r="AL2960" s="87"/>
      <c r="AM2960" s="87"/>
      <c r="AN2960" s="87"/>
      <c r="AO2960" s="87"/>
      <c r="AP2960" s="87"/>
      <c r="AQ2960" s="87"/>
      <c r="AR2960" s="87"/>
      <c r="AS2960" s="87"/>
      <c r="AT2960" s="87"/>
      <c r="AU2960" s="87"/>
      <c r="AV2960" s="92" t="str">
        <f>HYPERLINK("https://pbs.twimg.com/profile_images/1601411192123260929/T1zebUsD_normal.jpg")</f>
        <v>https://pbs.twimg.com/profile_images/1601411192123260929/T1zebUsD_normal.jpg</v>
      </c>
      <c r="AW2960" s="93" t="s">
        <v>21111</v>
      </c>
      <c r="AX2960" s="93" t="s">
        <v>21111</v>
      </c>
      <c r="AY2960" s="87"/>
      <c r="AZ2960" s="93" t="s">
        <v>22668</v>
      </c>
      <c r="BA2960" s="93" t="s">
        <v>22668</v>
      </c>
      <c r="BB2960" s="93" t="s">
        <v>22668</v>
      </c>
      <c r="BC2960" s="93" t="s">
        <v>21111</v>
      </c>
      <c r="BD2960" s="93" t="s">
        <v>23306</v>
      </c>
      <c r="BE2960" s="87"/>
      <c r="BF2960" s="87"/>
      <c r="BG2960" s="87"/>
      <c r="BH2960" s="87"/>
      <c r="BI2960" s="87"/>
    </row>
    <row r="2961" spans="1:61" x14ac:dyDescent="0.25">
      <c r="A2961" s="63" t="s">
        <v>1114</v>
      </c>
      <c r="B2961" s="63" t="s">
        <v>1114</v>
      </c>
      <c r="C2961" s="64"/>
      <c r="D2961" s="65"/>
      <c r="E2961" s="66"/>
      <c r="F2961" s="67"/>
      <c r="G2961" s="64"/>
      <c r="H2961" s="68"/>
      <c r="I2961" s="69"/>
      <c r="J2961" s="69"/>
      <c r="K2961" s="32"/>
      <c r="L2961" s="76">
        <v>2961</v>
      </c>
      <c r="M2961" s="76"/>
      <c r="N2961" s="71"/>
      <c r="O2961" s="87" t="s">
        <v>179</v>
      </c>
      <c r="P2961" s="90">
        <v>45183.073576388888</v>
      </c>
      <c r="Q2961" s="87" t="s">
        <v>4664</v>
      </c>
      <c r="R2961" s="87">
        <v>0</v>
      </c>
      <c r="S2961" s="87">
        <v>0</v>
      </c>
      <c r="T2961" s="87">
        <v>0</v>
      </c>
      <c r="U2961" s="87">
        <v>0</v>
      </c>
      <c r="V2961" s="87">
        <v>13</v>
      </c>
      <c r="W2961" s="93" t="s">
        <v>7511</v>
      </c>
      <c r="X2961" s="87"/>
      <c r="Y2961" s="87"/>
      <c r="Z2961" s="87"/>
      <c r="AA2961" s="87"/>
      <c r="AB2961" s="87"/>
      <c r="AC2961" s="93" t="s">
        <v>11459</v>
      </c>
      <c r="AD2961" s="87" t="s">
        <v>11519</v>
      </c>
      <c r="AE2961" s="92" t="str">
        <f>HYPERLINK("https://twitter.com/yagorei96433928/status/1702136573410639977")</f>
        <v>https://twitter.com/yagorei96433928/status/1702136573410639977</v>
      </c>
      <c r="AF2961" s="90">
        <v>45183.073576388888</v>
      </c>
      <c r="AG2961" s="99">
        <v>45183</v>
      </c>
      <c r="AH2961" s="93" t="s">
        <v>14179</v>
      </c>
      <c r="AI2961" s="87"/>
      <c r="AJ2961" s="87"/>
      <c r="AK2961" s="87"/>
      <c r="AL2961" s="87"/>
      <c r="AM2961" s="87"/>
      <c r="AN2961" s="87"/>
      <c r="AO2961" s="87"/>
      <c r="AP2961" s="87"/>
      <c r="AQ2961" s="87"/>
      <c r="AR2961" s="87"/>
      <c r="AS2961" s="87"/>
      <c r="AT2961" s="87"/>
      <c r="AU2961" s="87"/>
      <c r="AV2961" s="92" t="str">
        <f>HYPERLINK("https://pbs.twimg.com/profile_images/1618333109497241603/4gl8L4LB_normal.jpg")</f>
        <v>https://pbs.twimg.com/profile_images/1618333109497241603/4gl8L4LB_normal.jpg</v>
      </c>
      <c r="AW2961" s="93" t="s">
        <v>21112</v>
      </c>
      <c r="AX2961" s="93" t="s">
        <v>21112</v>
      </c>
      <c r="AY2961" s="87"/>
      <c r="AZ2961" s="93" t="s">
        <v>22668</v>
      </c>
      <c r="BA2961" s="93" t="s">
        <v>22668</v>
      </c>
      <c r="BB2961" s="93" t="s">
        <v>22668</v>
      </c>
      <c r="BC2961" s="93" t="s">
        <v>21112</v>
      </c>
      <c r="BD2961" s="93" t="s">
        <v>23307</v>
      </c>
      <c r="BE2961" s="87"/>
      <c r="BF2961" s="87"/>
      <c r="BG2961" s="87"/>
      <c r="BH2961" s="87"/>
      <c r="BI2961" s="87"/>
    </row>
    <row r="2962" spans="1:61" x14ac:dyDescent="0.25">
      <c r="A2962" s="63" t="s">
        <v>1115</v>
      </c>
      <c r="B2962" s="63" t="s">
        <v>1115</v>
      </c>
      <c r="C2962" s="64"/>
      <c r="D2962" s="65"/>
      <c r="E2962" s="66"/>
      <c r="F2962" s="67"/>
      <c r="G2962" s="64"/>
      <c r="H2962" s="68"/>
      <c r="I2962" s="69"/>
      <c r="J2962" s="69"/>
      <c r="K2962" s="32"/>
      <c r="L2962" s="76">
        <v>2962</v>
      </c>
      <c r="M2962" s="76"/>
      <c r="N2962" s="71"/>
      <c r="O2962" s="87" t="s">
        <v>179</v>
      </c>
      <c r="P2962" s="90">
        <v>45190.987384259257</v>
      </c>
      <c r="Q2962" s="87" t="s">
        <v>4665</v>
      </c>
      <c r="R2962" s="87">
        <v>0</v>
      </c>
      <c r="S2962" s="87">
        <v>0</v>
      </c>
      <c r="T2962" s="87">
        <v>0</v>
      </c>
      <c r="U2962" s="87">
        <v>0</v>
      </c>
      <c r="V2962" s="87">
        <v>39</v>
      </c>
      <c r="W2962" s="93" t="s">
        <v>7512</v>
      </c>
      <c r="X2962" s="92" t="str">
        <f>HYPERLINK("https://www.frontendday.com.br/")</f>
        <v>https://www.frontendday.com.br/</v>
      </c>
      <c r="Y2962" s="87" t="s">
        <v>8373</v>
      </c>
      <c r="Z2962" s="87"/>
      <c r="AA2962" s="87" t="s">
        <v>10640</v>
      </c>
      <c r="AB2962" s="87" t="s">
        <v>11448</v>
      </c>
      <c r="AC2962" s="93" t="s">
        <v>11457</v>
      </c>
      <c r="AD2962" s="87" t="s">
        <v>11519</v>
      </c>
      <c r="AE2962" s="92" t="str">
        <f>HYPERLINK("https://twitter.com/frontendcee/status/1705004439604519159")</f>
        <v>https://twitter.com/frontendcee/status/1705004439604519159</v>
      </c>
      <c r="AF2962" s="90">
        <v>45190.987384259257</v>
      </c>
      <c r="AG2962" s="99">
        <v>45190</v>
      </c>
      <c r="AH2962" s="93" t="s">
        <v>14180</v>
      </c>
      <c r="AI2962" s="87" t="b">
        <v>0</v>
      </c>
      <c r="AJ2962" s="87"/>
      <c r="AK2962" s="87"/>
      <c r="AL2962" s="87"/>
      <c r="AM2962" s="87"/>
      <c r="AN2962" s="87"/>
      <c r="AO2962" s="87"/>
      <c r="AP2962" s="87"/>
      <c r="AQ2962" s="87" t="s">
        <v>17452</v>
      </c>
      <c r="AR2962" s="87"/>
      <c r="AS2962" s="87"/>
      <c r="AT2962" s="87"/>
      <c r="AU2962" s="87"/>
      <c r="AV2962" s="92" t="str">
        <f>HYPERLINK("https://pbs.twimg.com/media/F6lkWhrX0AAvV4t.jpg")</f>
        <v>https://pbs.twimg.com/media/F6lkWhrX0AAvV4t.jpg</v>
      </c>
      <c r="AW2962" s="93" t="s">
        <v>21113</v>
      </c>
      <c r="AX2962" s="93" t="s">
        <v>21113</v>
      </c>
      <c r="AY2962" s="87"/>
      <c r="AZ2962" s="93" t="s">
        <v>22668</v>
      </c>
      <c r="BA2962" s="93" t="s">
        <v>22668</v>
      </c>
      <c r="BB2962" s="93" t="s">
        <v>22668</v>
      </c>
      <c r="BC2962" s="93" t="s">
        <v>21113</v>
      </c>
      <c r="BD2962" s="93" t="s">
        <v>23308</v>
      </c>
      <c r="BE2962" s="87"/>
      <c r="BF2962" s="87"/>
      <c r="BG2962" s="87"/>
      <c r="BH2962" s="87"/>
      <c r="BI2962" s="87"/>
    </row>
    <row r="2963" spans="1:61" x14ac:dyDescent="0.25">
      <c r="A2963" s="63" t="s">
        <v>1115</v>
      </c>
      <c r="B2963" s="63" t="s">
        <v>1115</v>
      </c>
      <c r="C2963" s="64"/>
      <c r="D2963" s="65"/>
      <c r="E2963" s="66"/>
      <c r="F2963" s="67"/>
      <c r="G2963" s="64"/>
      <c r="H2963" s="68"/>
      <c r="I2963" s="69"/>
      <c r="J2963" s="69"/>
      <c r="K2963" s="32"/>
      <c r="L2963" s="76">
        <v>2963</v>
      </c>
      <c r="M2963" s="76"/>
      <c r="N2963" s="71"/>
      <c r="O2963" s="87" t="s">
        <v>179</v>
      </c>
      <c r="P2963" s="90">
        <v>45182.565347222226</v>
      </c>
      <c r="Q2963" s="87" t="s">
        <v>4666</v>
      </c>
      <c r="R2963" s="87">
        <v>0</v>
      </c>
      <c r="S2963" s="87">
        <v>0</v>
      </c>
      <c r="T2963" s="87">
        <v>0</v>
      </c>
      <c r="U2963" s="87">
        <v>0</v>
      </c>
      <c r="V2963" s="87">
        <v>146</v>
      </c>
      <c r="W2963" s="93" t="s">
        <v>7513</v>
      </c>
      <c r="X2963" s="87"/>
      <c r="Y2963" s="87"/>
      <c r="Z2963" s="87"/>
      <c r="AA2963" s="87" t="s">
        <v>10641</v>
      </c>
      <c r="AB2963" s="87" t="s">
        <v>11448</v>
      </c>
      <c r="AC2963" s="93" t="s">
        <v>11457</v>
      </c>
      <c r="AD2963" s="87" t="s">
        <v>11519</v>
      </c>
      <c r="AE2963" s="92" t="str">
        <f>HYPERLINK("https://twitter.com/frontendcee/status/1701952393817018787")</f>
        <v>https://twitter.com/frontendcee/status/1701952393817018787</v>
      </c>
      <c r="AF2963" s="90">
        <v>45182.565347222226</v>
      </c>
      <c r="AG2963" s="99">
        <v>45182</v>
      </c>
      <c r="AH2963" s="93" t="s">
        <v>14181</v>
      </c>
      <c r="AI2963" s="87" t="b">
        <v>0</v>
      </c>
      <c r="AJ2963" s="87"/>
      <c r="AK2963" s="87"/>
      <c r="AL2963" s="87"/>
      <c r="AM2963" s="87"/>
      <c r="AN2963" s="87"/>
      <c r="AO2963" s="87"/>
      <c r="AP2963" s="87"/>
      <c r="AQ2963" s="87" t="s">
        <v>17453</v>
      </c>
      <c r="AR2963" s="87"/>
      <c r="AS2963" s="87"/>
      <c r="AT2963" s="87"/>
      <c r="AU2963" s="87"/>
      <c r="AV2963" s="92" t="str">
        <f>HYPERLINK("https://pbs.twimg.com/media/F56MrFQXwAAw5ZH.jpg")</f>
        <v>https://pbs.twimg.com/media/F56MrFQXwAAw5ZH.jpg</v>
      </c>
      <c r="AW2963" s="93" t="s">
        <v>21114</v>
      </c>
      <c r="AX2963" s="93" t="s">
        <v>21114</v>
      </c>
      <c r="AY2963" s="87"/>
      <c r="AZ2963" s="93" t="s">
        <v>22668</v>
      </c>
      <c r="BA2963" s="93" t="s">
        <v>22668</v>
      </c>
      <c r="BB2963" s="93" t="s">
        <v>22668</v>
      </c>
      <c r="BC2963" s="93" t="s">
        <v>21114</v>
      </c>
      <c r="BD2963" s="93" t="s">
        <v>23308</v>
      </c>
      <c r="BE2963" s="87"/>
      <c r="BF2963" s="87"/>
      <c r="BG2963" s="87"/>
      <c r="BH2963" s="87"/>
      <c r="BI2963" s="87"/>
    </row>
    <row r="2964" spans="1:61" x14ac:dyDescent="0.25">
      <c r="A2964" s="63" t="s">
        <v>1115</v>
      </c>
      <c r="B2964" s="63" t="s">
        <v>1115</v>
      </c>
      <c r="C2964" s="64"/>
      <c r="D2964" s="65"/>
      <c r="E2964" s="66"/>
      <c r="F2964" s="67"/>
      <c r="G2964" s="64"/>
      <c r="H2964" s="68"/>
      <c r="I2964" s="69"/>
      <c r="J2964" s="69"/>
      <c r="K2964" s="32"/>
      <c r="L2964" s="76">
        <v>2964</v>
      </c>
      <c r="M2964" s="76"/>
      <c r="N2964" s="71"/>
      <c r="O2964" s="87" t="s">
        <v>179</v>
      </c>
      <c r="P2964" s="90">
        <v>45175.626643518517</v>
      </c>
      <c r="Q2964" s="87" t="s">
        <v>4667</v>
      </c>
      <c r="R2964" s="87">
        <v>1</v>
      </c>
      <c r="S2964" s="87">
        <v>1</v>
      </c>
      <c r="T2964" s="87">
        <v>1</v>
      </c>
      <c r="U2964" s="87">
        <v>0</v>
      </c>
      <c r="V2964" s="87">
        <v>28</v>
      </c>
      <c r="W2964" s="93" t="s">
        <v>7514</v>
      </c>
      <c r="X2964" s="92" t="str">
        <f>HYPERLINK("https://www.frontendday.com.br/")</f>
        <v>https://www.frontendday.com.br/</v>
      </c>
      <c r="Y2964" s="87" t="s">
        <v>8373</v>
      </c>
      <c r="Z2964" s="87"/>
      <c r="AA2964" s="87" t="s">
        <v>10642</v>
      </c>
      <c r="AB2964" s="87" t="s">
        <v>11448</v>
      </c>
      <c r="AC2964" s="93" t="s">
        <v>11457</v>
      </c>
      <c r="AD2964" s="87" t="s">
        <v>11519</v>
      </c>
      <c r="AE2964" s="92" t="str">
        <f>HYPERLINK("https://twitter.com/frontendcee/status/1699437893595369598")</f>
        <v>https://twitter.com/frontendcee/status/1699437893595369598</v>
      </c>
      <c r="AF2964" s="90">
        <v>45175.626643518517</v>
      </c>
      <c r="AG2964" s="99">
        <v>45175</v>
      </c>
      <c r="AH2964" s="93" t="s">
        <v>14182</v>
      </c>
      <c r="AI2964" s="87" t="b">
        <v>0</v>
      </c>
      <c r="AJ2964" s="87"/>
      <c r="AK2964" s="87"/>
      <c r="AL2964" s="87"/>
      <c r="AM2964" s="87"/>
      <c r="AN2964" s="87"/>
      <c r="AO2964" s="87"/>
      <c r="AP2964" s="87"/>
      <c r="AQ2964" s="87" t="s">
        <v>17454</v>
      </c>
      <c r="AR2964" s="87"/>
      <c r="AS2964" s="87"/>
      <c r="AT2964" s="87"/>
      <c r="AU2964" s="87"/>
      <c r="AV2964" s="92" t="str">
        <f>HYPERLINK("https://pbs.twimg.com/media/F5WdnLTWIAI2rRT.jpg")</f>
        <v>https://pbs.twimg.com/media/F5WdnLTWIAI2rRT.jpg</v>
      </c>
      <c r="AW2964" s="93" t="s">
        <v>21115</v>
      </c>
      <c r="AX2964" s="93" t="s">
        <v>21115</v>
      </c>
      <c r="AY2964" s="87"/>
      <c r="AZ2964" s="93" t="s">
        <v>22668</v>
      </c>
      <c r="BA2964" s="93" t="s">
        <v>22668</v>
      </c>
      <c r="BB2964" s="93" t="s">
        <v>22668</v>
      </c>
      <c r="BC2964" s="93" t="s">
        <v>21115</v>
      </c>
      <c r="BD2964" s="93" t="s">
        <v>23308</v>
      </c>
      <c r="BE2964" s="87"/>
      <c r="BF2964" s="87"/>
      <c r="BG2964" s="87"/>
      <c r="BH2964" s="87"/>
      <c r="BI2964" s="87"/>
    </row>
    <row r="2965" spans="1:61" x14ac:dyDescent="0.25">
      <c r="A2965" s="63" t="s">
        <v>1116</v>
      </c>
      <c r="B2965" s="63" t="s">
        <v>1116</v>
      </c>
      <c r="C2965" s="64"/>
      <c r="D2965" s="65"/>
      <c r="E2965" s="66"/>
      <c r="F2965" s="67"/>
      <c r="G2965" s="64"/>
      <c r="H2965" s="68"/>
      <c r="I2965" s="69"/>
      <c r="J2965" s="69"/>
      <c r="K2965" s="32"/>
      <c r="L2965" s="76">
        <v>2965</v>
      </c>
      <c r="M2965" s="76"/>
      <c r="N2965" s="71"/>
      <c r="O2965" s="87" t="s">
        <v>179</v>
      </c>
      <c r="P2965" s="90">
        <v>45112.507395833331</v>
      </c>
      <c r="Q2965" s="87" t="s">
        <v>4668</v>
      </c>
      <c r="R2965" s="87">
        <v>0</v>
      </c>
      <c r="S2965" s="87">
        <v>0</v>
      </c>
      <c r="T2965" s="87">
        <v>0</v>
      </c>
      <c r="U2965" s="87">
        <v>0</v>
      </c>
      <c r="V2965" s="87">
        <v>45</v>
      </c>
      <c r="W2965" s="93" t="s">
        <v>7515</v>
      </c>
      <c r="X2965" s="87"/>
      <c r="Y2965" s="87"/>
      <c r="Z2965" s="87"/>
      <c r="AA2965" s="87" t="s">
        <v>10643</v>
      </c>
      <c r="AB2965" s="87" t="s">
        <v>11448</v>
      </c>
      <c r="AC2965" s="93" t="s">
        <v>11460</v>
      </c>
      <c r="AD2965" s="87" t="s">
        <v>11519</v>
      </c>
      <c r="AE2965" s="92" t="str">
        <f>HYPERLINK("https://twitter.com/cakecomunicacao/status/1676564245880750080")</f>
        <v>https://twitter.com/cakecomunicacao/status/1676564245880750080</v>
      </c>
      <c r="AF2965" s="90">
        <v>45112.507395833331</v>
      </c>
      <c r="AG2965" s="99">
        <v>45112</v>
      </c>
      <c r="AH2965" s="93" t="s">
        <v>14183</v>
      </c>
      <c r="AI2965" s="87" t="b">
        <v>0</v>
      </c>
      <c r="AJ2965" s="87"/>
      <c r="AK2965" s="87"/>
      <c r="AL2965" s="87"/>
      <c r="AM2965" s="87"/>
      <c r="AN2965" s="87"/>
      <c r="AO2965" s="87"/>
      <c r="AP2965" s="87"/>
      <c r="AQ2965" s="87" t="s">
        <v>17455</v>
      </c>
      <c r="AR2965" s="87"/>
      <c r="AS2965" s="87"/>
      <c r="AT2965" s="87"/>
      <c r="AU2965" s="87"/>
      <c r="AV2965" s="92" t="str">
        <f>HYPERLINK("https://pbs.twimg.com/media/F0RaTBXWIAA4ysK.jpg")</f>
        <v>https://pbs.twimg.com/media/F0RaTBXWIAA4ysK.jpg</v>
      </c>
      <c r="AW2965" s="93" t="s">
        <v>21116</v>
      </c>
      <c r="AX2965" s="93" t="s">
        <v>21116</v>
      </c>
      <c r="AY2965" s="87"/>
      <c r="AZ2965" s="93" t="s">
        <v>22668</v>
      </c>
      <c r="BA2965" s="93" t="s">
        <v>22668</v>
      </c>
      <c r="BB2965" s="93" t="s">
        <v>22668</v>
      </c>
      <c r="BC2965" s="93" t="s">
        <v>21116</v>
      </c>
      <c r="BD2965" s="87">
        <v>2178192420</v>
      </c>
      <c r="BE2965" s="87"/>
      <c r="BF2965" s="87"/>
      <c r="BG2965" s="87"/>
      <c r="BH2965" s="87"/>
      <c r="BI2965" s="87"/>
    </row>
    <row r="2966" spans="1:61" x14ac:dyDescent="0.25">
      <c r="A2966" s="63" t="s">
        <v>1116</v>
      </c>
      <c r="B2966" s="63" t="s">
        <v>1116</v>
      </c>
      <c r="C2966" s="64"/>
      <c r="D2966" s="65"/>
      <c r="E2966" s="66"/>
      <c r="F2966" s="67"/>
      <c r="G2966" s="64"/>
      <c r="H2966" s="68"/>
      <c r="I2966" s="69"/>
      <c r="J2966" s="69"/>
      <c r="K2966" s="32"/>
      <c r="L2966" s="76">
        <v>2966</v>
      </c>
      <c r="M2966" s="76"/>
      <c r="N2966" s="71"/>
      <c r="O2966" s="87" t="s">
        <v>179</v>
      </c>
      <c r="P2966" s="90">
        <v>45112.507384259261</v>
      </c>
      <c r="Q2966" s="87" t="s">
        <v>4669</v>
      </c>
      <c r="R2966" s="87">
        <v>0</v>
      </c>
      <c r="S2966" s="87">
        <v>0</v>
      </c>
      <c r="T2966" s="87">
        <v>0</v>
      </c>
      <c r="U2966" s="87">
        <v>0</v>
      </c>
      <c r="V2966" s="87">
        <v>5</v>
      </c>
      <c r="W2966" s="93" t="s">
        <v>7516</v>
      </c>
      <c r="X2966" s="87"/>
      <c r="Y2966" s="87"/>
      <c r="Z2966" s="87"/>
      <c r="AA2966" s="87" t="s">
        <v>10644</v>
      </c>
      <c r="AB2966" s="87" t="s">
        <v>11448</v>
      </c>
      <c r="AC2966" s="93" t="s">
        <v>11460</v>
      </c>
      <c r="AD2966" s="87" t="s">
        <v>11519</v>
      </c>
      <c r="AE2966" s="92" t="str">
        <f>HYPERLINK("https://twitter.com/cakecomunicacao/status/1676564241556418560")</f>
        <v>https://twitter.com/cakecomunicacao/status/1676564241556418560</v>
      </c>
      <c r="AF2966" s="90">
        <v>45112.507384259261</v>
      </c>
      <c r="AG2966" s="99">
        <v>45112</v>
      </c>
      <c r="AH2966" s="93" t="s">
        <v>14184</v>
      </c>
      <c r="AI2966" s="87" t="b">
        <v>0</v>
      </c>
      <c r="AJ2966" s="87"/>
      <c r="AK2966" s="87"/>
      <c r="AL2966" s="87"/>
      <c r="AM2966" s="87"/>
      <c r="AN2966" s="87"/>
      <c r="AO2966" s="87"/>
      <c r="AP2966" s="87"/>
      <c r="AQ2966" s="87" t="s">
        <v>17456</v>
      </c>
      <c r="AR2966" s="87"/>
      <c r="AS2966" s="87"/>
      <c r="AT2966" s="87"/>
      <c r="AU2966" s="87"/>
      <c r="AV2966" s="92" t="str">
        <f>HYPERLINK("https://pbs.twimg.com/media/F0RaSyCWIAMGzle.jpg")</f>
        <v>https://pbs.twimg.com/media/F0RaSyCWIAMGzle.jpg</v>
      </c>
      <c r="AW2966" s="93" t="s">
        <v>21117</v>
      </c>
      <c r="AX2966" s="93" t="s">
        <v>21117</v>
      </c>
      <c r="AY2966" s="87"/>
      <c r="AZ2966" s="93" t="s">
        <v>22668</v>
      </c>
      <c r="BA2966" s="93" t="s">
        <v>22668</v>
      </c>
      <c r="BB2966" s="93" t="s">
        <v>22668</v>
      </c>
      <c r="BC2966" s="93" t="s">
        <v>21117</v>
      </c>
      <c r="BD2966" s="87">
        <v>2178192420</v>
      </c>
      <c r="BE2966" s="87"/>
      <c r="BF2966" s="87"/>
      <c r="BG2966" s="87"/>
      <c r="BH2966" s="87"/>
      <c r="BI2966" s="87"/>
    </row>
    <row r="2967" spans="1:61" x14ac:dyDescent="0.25">
      <c r="A2967" s="63" t="s">
        <v>1116</v>
      </c>
      <c r="B2967" s="63" t="s">
        <v>1116</v>
      </c>
      <c r="C2967" s="64"/>
      <c r="D2967" s="65"/>
      <c r="E2967" s="66"/>
      <c r="F2967" s="67"/>
      <c r="G2967" s="64"/>
      <c r="H2967" s="68"/>
      <c r="I2967" s="69"/>
      <c r="J2967" s="69"/>
      <c r="K2967" s="32"/>
      <c r="L2967" s="76">
        <v>2967</v>
      </c>
      <c r="M2967" s="76"/>
      <c r="N2967" s="71"/>
      <c r="O2967" s="87" t="s">
        <v>179</v>
      </c>
      <c r="P2967" s="90">
        <v>45112.503923611112</v>
      </c>
      <c r="Q2967" s="87" t="s">
        <v>4670</v>
      </c>
      <c r="R2967" s="87">
        <v>0</v>
      </c>
      <c r="S2967" s="87">
        <v>1</v>
      </c>
      <c r="T2967" s="87">
        <v>0</v>
      </c>
      <c r="U2967" s="87">
        <v>0</v>
      </c>
      <c r="V2967" s="87">
        <v>30</v>
      </c>
      <c r="W2967" s="93" t="s">
        <v>7515</v>
      </c>
      <c r="X2967" s="87"/>
      <c r="Y2967" s="87"/>
      <c r="Z2967" s="87"/>
      <c r="AA2967" s="87" t="s">
        <v>10645</v>
      </c>
      <c r="AB2967" s="87" t="s">
        <v>11448</v>
      </c>
      <c r="AC2967" s="93" t="s">
        <v>11460</v>
      </c>
      <c r="AD2967" s="87" t="s">
        <v>11520</v>
      </c>
      <c r="AE2967" s="92" t="str">
        <f>HYPERLINK("https://twitter.com/cakecomunicacao/status/1676562984020131841")</f>
        <v>https://twitter.com/cakecomunicacao/status/1676562984020131841</v>
      </c>
      <c r="AF2967" s="90">
        <v>45112.503923611112</v>
      </c>
      <c r="AG2967" s="99">
        <v>45112</v>
      </c>
      <c r="AH2967" s="93" t="s">
        <v>14185</v>
      </c>
      <c r="AI2967" s="87" t="b">
        <v>0</v>
      </c>
      <c r="AJ2967" s="87"/>
      <c r="AK2967" s="87"/>
      <c r="AL2967" s="87"/>
      <c r="AM2967" s="87"/>
      <c r="AN2967" s="87"/>
      <c r="AO2967" s="87"/>
      <c r="AP2967" s="87"/>
      <c r="AQ2967" s="87" t="s">
        <v>17457</v>
      </c>
      <c r="AR2967" s="87"/>
      <c r="AS2967" s="87"/>
      <c r="AT2967" s="87"/>
      <c r="AU2967" s="87"/>
      <c r="AV2967" s="92" t="str">
        <f>HYPERLINK("https://pbs.twimg.com/media/F0RZJlDXgAAp10O.jpg")</f>
        <v>https://pbs.twimg.com/media/F0RZJlDXgAAp10O.jpg</v>
      </c>
      <c r="AW2967" s="93" t="s">
        <v>21118</v>
      </c>
      <c r="AX2967" s="93" t="s">
        <v>21118</v>
      </c>
      <c r="AY2967" s="87"/>
      <c r="AZ2967" s="93" t="s">
        <v>22668</v>
      </c>
      <c r="BA2967" s="93" t="s">
        <v>22668</v>
      </c>
      <c r="BB2967" s="93" t="s">
        <v>22668</v>
      </c>
      <c r="BC2967" s="93" t="s">
        <v>21118</v>
      </c>
      <c r="BD2967" s="87">
        <v>2178192420</v>
      </c>
      <c r="BE2967" s="87"/>
      <c r="BF2967" s="87"/>
      <c r="BG2967" s="87"/>
      <c r="BH2967" s="87"/>
      <c r="BI2967" s="87"/>
    </row>
    <row r="2968" spans="1:61" x14ac:dyDescent="0.25">
      <c r="A2968" s="63" t="s">
        <v>1116</v>
      </c>
      <c r="B2968" s="63" t="s">
        <v>1116</v>
      </c>
      <c r="C2968" s="64"/>
      <c r="D2968" s="65"/>
      <c r="E2968" s="66"/>
      <c r="F2968" s="67"/>
      <c r="G2968" s="64"/>
      <c r="H2968" s="68"/>
      <c r="I2968" s="69"/>
      <c r="J2968" s="69"/>
      <c r="K2968" s="32"/>
      <c r="L2968" s="76">
        <v>2968</v>
      </c>
      <c r="M2968" s="76"/>
      <c r="N2968" s="71"/>
      <c r="O2968" s="87" t="s">
        <v>179</v>
      </c>
      <c r="P2968" s="90">
        <v>45117.524629629632</v>
      </c>
      <c r="Q2968" s="87" t="s">
        <v>4671</v>
      </c>
      <c r="R2968" s="87">
        <v>1</v>
      </c>
      <c r="S2968" s="87">
        <v>0</v>
      </c>
      <c r="T2968" s="87">
        <v>0</v>
      </c>
      <c r="U2968" s="87">
        <v>0</v>
      </c>
      <c r="V2968" s="87">
        <v>26</v>
      </c>
      <c r="W2968" s="93" t="s">
        <v>7515</v>
      </c>
      <c r="X2968" s="87"/>
      <c r="Y2968" s="87"/>
      <c r="Z2968" s="87"/>
      <c r="AA2968" s="87" t="s">
        <v>10646</v>
      </c>
      <c r="AB2968" s="87" t="s">
        <v>11448</v>
      </c>
      <c r="AC2968" s="93" t="s">
        <v>11460</v>
      </c>
      <c r="AD2968" s="87" t="s">
        <v>11519</v>
      </c>
      <c r="AE2968" s="92" t="str">
        <f>HYPERLINK("https://twitter.com/cakecomunicacao/status/1678382428824412162")</f>
        <v>https://twitter.com/cakecomunicacao/status/1678382428824412162</v>
      </c>
      <c r="AF2968" s="90">
        <v>45117.524629629632</v>
      </c>
      <c r="AG2968" s="99">
        <v>45117</v>
      </c>
      <c r="AH2968" s="93" t="s">
        <v>14186</v>
      </c>
      <c r="AI2968" s="87" t="b">
        <v>0</v>
      </c>
      <c r="AJ2968" s="87"/>
      <c r="AK2968" s="87"/>
      <c r="AL2968" s="87"/>
      <c r="AM2968" s="87"/>
      <c r="AN2968" s="87"/>
      <c r="AO2968" s="87"/>
      <c r="AP2968" s="87"/>
      <c r="AQ2968" s="87" t="s">
        <v>17458</v>
      </c>
      <c r="AR2968" s="87"/>
      <c r="AS2968" s="87"/>
      <c r="AT2968" s="87"/>
      <c r="AU2968" s="87"/>
      <c r="AV2968" s="92" t="str">
        <f>HYPERLINK("https://pbs.twimg.com/media/F0rP7J6WIAAXrNq.jpg")</f>
        <v>https://pbs.twimg.com/media/F0rP7J6WIAAXrNq.jpg</v>
      </c>
      <c r="AW2968" s="93" t="s">
        <v>21119</v>
      </c>
      <c r="AX2968" s="93" t="s">
        <v>21119</v>
      </c>
      <c r="AY2968" s="87"/>
      <c r="AZ2968" s="93" t="s">
        <v>22668</v>
      </c>
      <c r="BA2968" s="93" t="s">
        <v>22668</v>
      </c>
      <c r="BB2968" s="93" t="s">
        <v>22668</v>
      </c>
      <c r="BC2968" s="93" t="s">
        <v>21119</v>
      </c>
      <c r="BD2968" s="87">
        <v>2178192420</v>
      </c>
      <c r="BE2968" s="87"/>
      <c r="BF2968" s="87"/>
      <c r="BG2968" s="87"/>
      <c r="BH2968" s="87"/>
      <c r="BI2968" s="87"/>
    </row>
    <row r="2969" spans="1:61" x14ac:dyDescent="0.25">
      <c r="A2969" s="63" t="s">
        <v>1116</v>
      </c>
      <c r="B2969" s="63" t="s">
        <v>1116</v>
      </c>
      <c r="C2969" s="64"/>
      <c r="D2969" s="65"/>
      <c r="E2969" s="66"/>
      <c r="F2969" s="67"/>
      <c r="G2969" s="64"/>
      <c r="H2969" s="68"/>
      <c r="I2969" s="69"/>
      <c r="J2969" s="69"/>
      <c r="K2969" s="32"/>
      <c r="L2969" s="76">
        <v>2969</v>
      </c>
      <c r="M2969" s="76"/>
      <c r="N2969" s="71"/>
      <c r="O2969" s="87" t="s">
        <v>179</v>
      </c>
      <c r="P2969" s="90">
        <v>45121.507141203707</v>
      </c>
      <c r="Q2969" s="87" t="s">
        <v>4672</v>
      </c>
      <c r="R2969" s="87">
        <v>0</v>
      </c>
      <c r="S2969" s="87">
        <v>0</v>
      </c>
      <c r="T2969" s="87">
        <v>0</v>
      </c>
      <c r="U2969" s="87">
        <v>0</v>
      </c>
      <c r="V2969" s="87">
        <v>10</v>
      </c>
      <c r="W2969" s="93" t="s">
        <v>7516</v>
      </c>
      <c r="X2969" s="87"/>
      <c r="Y2969" s="87"/>
      <c r="Z2969" s="87"/>
      <c r="AA2969" s="87" t="s">
        <v>10647</v>
      </c>
      <c r="AB2969" s="87" t="s">
        <v>11448</v>
      </c>
      <c r="AC2969" s="93" t="s">
        <v>11460</v>
      </c>
      <c r="AD2969" s="87" t="s">
        <v>11519</v>
      </c>
      <c r="AE2969" s="92" t="str">
        <f>HYPERLINK("https://twitter.com/cakecomunicacao/status/1679825642030878726")</f>
        <v>https://twitter.com/cakecomunicacao/status/1679825642030878726</v>
      </c>
      <c r="AF2969" s="90">
        <v>45121.507141203707</v>
      </c>
      <c r="AG2969" s="99">
        <v>45121</v>
      </c>
      <c r="AH2969" s="93" t="s">
        <v>14187</v>
      </c>
      <c r="AI2969" s="87" t="b">
        <v>0</v>
      </c>
      <c r="AJ2969" s="87"/>
      <c r="AK2969" s="87"/>
      <c r="AL2969" s="87"/>
      <c r="AM2969" s="87"/>
      <c r="AN2969" s="87"/>
      <c r="AO2969" s="87"/>
      <c r="AP2969" s="87"/>
      <c r="AQ2969" s="87" t="s">
        <v>17459</v>
      </c>
      <c r="AR2969" s="87"/>
      <c r="AS2969" s="87"/>
      <c r="AT2969" s="87"/>
      <c r="AU2969" s="87"/>
      <c r="AV2969" s="92" t="str">
        <f>HYPERLINK("https://pbs.twimg.com/media/F0_whPHXgAAW3do.jpg")</f>
        <v>https://pbs.twimg.com/media/F0_whPHXgAAW3do.jpg</v>
      </c>
      <c r="AW2969" s="93" t="s">
        <v>21120</v>
      </c>
      <c r="AX2969" s="93" t="s">
        <v>21120</v>
      </c>
      <c r="AY2969" s="87"/>
      <c r="AZ2969" s="93" t="s">
        <v>22668</v>
      </c>
      <c r="BA2969" s="93" t="s">
        <v>22668</v>
      </c>
      <c r="BB2969" s="93" t="s">
        <v>22668</v>
      </c>
      <c r="BC2969" s="93" t="s">
        <v>21120</v>
      </c>
      <c r="BD2969" s="87">
        <v>2178192420</v>
      </c>
      <c r="BE2969" s="87"/>
      <c r="BF2969" s="87"/>
      <c r="BG2969" s="87"/>
      <c r="BH2969" s="87"/>
      <c r="BI2969" s="87"/>
    </row>
    <row r="2970" spans="1:61" x14ac:dyDescent="0.25">
      <c r="A2970" s="63" t="s">
        <v>1116</v>
      </c>
      <c r="B2970" s="63" t="s">
        <v>1116</v>
      </c>
      <c r="C2970" s="64"/>
      <c r="D2970" s="65"/>
      <c r="E2970" s="66"/>
      <c r="F2970" s="67"/>
      <c r="G2970" s="64"/>
      <c r="H2970" s="68"/>
      <c r="I2970" s="69"/>
      <c r="J2970" s="69"/>
      <c r="K2970" s="32"/>
      <c r="L2970" s="76">
        <v>2970</v>
      </c>
      <c r="M2970" s="76"/>
      <c r="N2970" s="71"/>
      <c r="O2970" s="87" t="s">
        <v>179</v>
      </c>
      <c r="P2970" s="90">
        <v>45120.507175925923</v>
      </c>
      <c r="Q2970" s="87" t="s">
        <v>4673</v>
      </c>
      <c r="R2970" s="87">
        <v>0</v>
      </c>
      <c r="S2970" s="87">
        <v>0</v>
      </c>
      <c r="T2970" s="87">
        <v>0</v>
      </c>
      <c r="U2970" s="87">
        <v>0</v>
      </c>
      <c r="V2970" s="87">
        <v>34</v>
      </c>
      <c r="W2970" s="93" t="s">
        <v>7515</v>
      </c>
      <c r="X2970" s="87"/>
      <c r="Y2970" s="87"/>
      <c r="Z2970" s="87"/>
      <c r="AA2970" s="87" t="s">
        <v>10648</v>
      </c>
      <c r="AB2970" s="87" t="s">
        <v>11448</v>
      </c>
      <c r="AC2970" s="93" t="s">
        <v>11460</v>
      </c>
      <c r="AD2970" s="87" t="s">
        <v>11519</v>
      </c>
      <c r="AE2970" s="92" t="str">
        <f>HYPERLINK("https://twitter.com/cakecomunicacao/status/1679463265896738818")</f>
        <v>https://twitter.com/cakecomunicacao/status/1679463265896738818</v>
      </c>
      <c r="AF2970" s="90">
        <v>45120.507175925923</v>
      </c>
      <c r="AG2970" s="99">
        <v>45120</v>
      </c>
      <c r="AH2970" s="93" t="s">
        <v>13219</v>
      </c>
      <c r="AI2970" s="87" t="b">
        <v>0</v>
      </c>
      <c r="AJ2970" s="87"/>
      <c r="AK2970" s="87"/>
      <c r="AL2970" s="87"/>
      <c r="AM2970" s="87"/>
      <c r="AN2970" s="87"/>
      <c r="AO2970" s="87"/>
      <c r="AP2970" s="87"/>
      <c r="AQ2970" s="87" t="s">
        <v>17460</v>
      </c>
      <c r="AR2970" s="87"/>
      <c r="AS2970" s="87"/>
      <c r="AT2970" s="87"/>
      <c r="AU2970" s="87"/>
      <c r="AV2970" s="92" t="str">
        <f>HYPERLINK("https://pbs.twimg.com/media/F06m8MtXgAAWTJw.jpg")</f>
        <v>https://pbs.twimg.com/media/F06m8MtXgAAWTJw.jpg</v>
      </c>
      <c r="AW2970" s="93" t="s">
        <v>21121</v>
      </c>
      <c r="AX2970" s="93" t="s">
        <v>21121</v>
      </c>
      <c r="AY2970" s="87"/>
      <c r="AZ2970" s="93" t="s">
        <v>22668</v>
      </c>
      <c r="BA2970" s="93" t="s">
        <v>22668</v>
      </c>
      <c r="BB2970" s="93" t="s">
        <v>22668</v>
      </c>
      <c r="BC2970" s="93" t="s">
        <v>21121</v>
      </c>
      <c r="BD2970" s="87">
        <v>2178192420</v>
      </c>
      <c r="BE2970" s="87"/>
      <c r="BF2970" s="87"/>
      <c r="BG2970" s="87"/>
      <c r="BH2970" s="87"/>
      <c r="BI2970" s="87"/>
    </row>
    <row r="2971" spans="1:61" x14ac:dyDescent="0.25">
      <c r="A2971" s="63" t="s">
        <v>1116</v>
      </c>
      <c r="B2971" s="63" t="s">
        <v>1116</v>
      </c>
      <c r="C2971" s="64"/>
      <c r="D2971" s="65"/>
      <c r="E2971" s="66"/>
      <c r="F2971" s="67"/>
      <c r="G2971" s="64"/>
      <c r="H2971" s="68"/>
      <c r="I2971" s="69"/>
      <c r="J2971" s="69"/>
      <c r="K2971" s="32"/>
      <c r="L2971" s="76">
        <v>2971</v>
      </c>
      <c r="M2971" s="76"/>
      <c r="N2971" s="71"/>
      <c r="O2971" s="87" t="s">
        <v>179</v>
      </c>
      <c r="P2971" s="90">
        <v>45120.50377314815</v>
      </c>
      <c r="Q2971" s="87" t="s">
        <v>4674</v>
      </c>
      <c r="R2971" s="87">
        <v>0</v>
      </c>
      <c r="S2971" s="87">
        <v>0</v>
      </c>
      <c r="T2971" s="87">
        <v>0</v>
      </c>
      <c r="U2971" s="87">
        <v>0</v>
      </c>
      <c r="V2971" s="87">
        <v>28</v>
      </c>
      <c r="W2971" s="93" t="s">
        <v>7515</v>
      </c>
      <c r="X2971" s="87"/>
      <c r="Y2971" s="87"/>
      <c r="Z2971" s="87"/>
      <c r="AA2971" s="87" t="s">
        <v>10649</v>
      </c>
      <c r="AB2971" s="87" t="s">
        <v>11448</v>
      </c>
      <c r="AC2971" s="93" t="s">
        <v>11460</v>
      </c>
      <c r="AD2971" s="87" t="s">
        <v>11520</v>
      </c>
      <c r="AE2971" s="92" t="str">
        <f>HYPERLINK("https://twitter.com/cakecomunicacao/status/1679462034289590273")</f>
        <v>https://twitter.com/cakecomunicacao/status/1679462034289590273</v>
      </c>
      <c r="AF2971" s="90">
        <v>45120.50377314815</v>
      </c>
      <c r="AG2971" s="99">
        <v>45120</v>
      </c>
      <c r="AH2971" s="93" t="s">
        <v>14188</v>
      </c>
      <c r="AI2971" s="87" t="b">
        <v>0</v>
      </c>
      <c r="AJ2971" s="87"/>
      <c r="AK2971" s="87"/>
      <c r="AL2971" s="87"/>
      <c r="AM2971" s="87"/>
      <c r="AN2971" s="87"/>
      <c r="AO2971" s="87"/>
      <c r="AP2971" s="87"/>
      <c r="AQ2971" s="87" t="s">
        <v>17461</v>
      </c>
      <c r="AR2971" s="87"/>
      <c r="AS2971" s="87"/>
      <c r="AT2971" s="87"/>
      <c r="AU2971" s="87"/>
      <c r="AV2971" s="92" t="str">
        <f>HYPERLINK("https://pbs.twimg.com/media/F06l0gZWAAE5E86.jpg")</f>
        <v>https://pbs.twimg.com/media/F06l0gZWAAE5E86.jpg</v>
      </c>
      <c r="AW2971" s="93" t="s">
        <v>21122</v>
      </c>
      <c r="AX2971" s="93" t="s">
        <v>21122</v>
      </c>
      <c r="AY2971" s="87"/>
      <c r="AZ2971" s="93" t="s">
        <v>22668</v>
      </c>
      <c r="BA2971" s="93" t="s">
        <v>22668</v>
      </c>
      <c r="BB2971" s="93" t="s">
        <v>22668</v>
      </c>
      <c r="BC2971" s="93" t="s">
        <v>21122</v>
      </c>
      <c r="BD2971" s="87">
        <v>2178192420</v>
      </c>
      <c r="BE2971" s="87"/>
      <c r="BF2971" s="87"/>
      <c r="BG2971" s="87"/>
      <c r="BH2971" s="87"/>
      <c r="BI2971" s="87"/>
    </row>
    <row r="2972" spans="1:61" x14ac:dyDescent="0.25">
      <c r="A2972" s="63" t="s">
        <v>1116</v>
      </c>
      <c r="B2972" s="63" t="s">
        <v>1116</v>
      </c>
      <c r="C2972" s="64"/>
      <c r="D2972" s="65"/>
      <c r="E2972" s="66"/>
      <c r="F2972" s="67"/>
      <c r="G2972" s="64"/>
      <c r="H2972" s="68"/>
      <c r="I2972" s="69"/>
      <c r="J2972" s="69"/>
      <c r="K2972" s="32"/>
      <c r="L2972" s="76">
        <v>2972</v>
      </c>
      <c r="M2972" s="76"/>
      <c r="N2972" s="71"/>
      <c r="O2972" s="87" t="s">
        <v>179</v>
      </c>
      <c r="P2972" s="90">
        <v>45124.750474537039</v>
      </c>
      <c r="Q2972" s="87" t="s">
        <v>4675</v>
      </c>
      <c r="R2972" s="87">
        <v>0</v>
      </c>
      <c r="S2972" s="87">
        <v>0</v>
      </c>
      <c r="T2972" s="87">
        <v>0</v>
      </c>
      <c r="U2972" s="87">
        <v>0</v>
      </c>
      <c r="V2972" s="87">
        <v>34</v>
      </c>
      <c r="W2972" s="93" t="s">
        <v>7515</v>
      </c>
      <c r="X2972" s="87"/>
      <c r="Y2972" s="87"/>
      <c r="Z2972" s="87"/>
      <c r="AA2972" s="87" t="s">
        <v>10650</v>
      </c>
      <c r="AB2972" s="87" t="s">
        <v>11448</v>
      </c>
      <c r="AC2972" s="93" t="s">
        <v>11460</v>
      </c>
      <c r="AD2972" s="87" t="s">
        <v>11519</v>
      </c>
      <c r="AE2972" s="92" t="str">
        <f>HYPERLINK("https://twitter.com/cakecomunicacao/status/1681000986871988225")</f>
        <v>https://twitter.com/cakecomunicacao/status/1681000986871988225</v>
      </c>
      <c r="AF2972" s="90">
        <v>45124.750474537039</v>
      </c>
      <c r="AG2972" s="99">
        <v>45124</v>
      </c>
      <c r="AH2972" s="93" t="s">
        <v>14189</v>
      </c>
      <c r="AI2972" s="87" t="b">
        <v>0</v>
      </c>
      <c r="AJ2972" s="87"/>
      <c r="AK2972" s="87"/>
      <c r="AL2972" s="87"/>
      <c r="AM2972" s="87"/>
      <c r="AN2972" s="87"/>
      <c r="AO2972" s="87"/>
      <c r="AP2972" s="87"/>
      <c r="AQ2972" s="87" t="s">
        <v>17462</v>
      </c>
      <c r="AR2972" s="87"/>
      <c r="AS2972" s="87"/>
      <c r="AT2972" s="87"/>
      <c r="AU2972" s="87"/>
      <c r="AV2972" s="92" t="str">
        <f>HYPERLINK("https://pbs.twimg.com/media/F1QdfRkWwAAvvNd.jpg")</f>
        <v>https://pbs.twimg.com/media/F1QdfRkWwAAvvNd.jpg</v>
      </c>
      <c r="AW2972" s="93" t="s">
        <v>21123</v>
      </c>
      <c r="AX2972" s="93" t="s">
        <v>21123</v>
      </c>
      <c r="AY2972" s="87"/>
      <c r="AZ2972" s="93" t="s">
        <v>22668</v>
      </c>
      <c r="BA2972" s="93" t="s">
        <v>22668</v>
      </c>
      <c r="BB2972" s="93" t="s">
        <v>22668</v>
      </c>
      <c r="BC2972" s="93" t="s">
        <v>21123</v>
      </c>
      <c r="BD2972" s="87">
        <v>2178192420</v>
      </c>
      <c r="BE2972" s="87"/>
      <c r="BF2972" s="87"/>
      <c r="BG2972" s="87"/>
      <c r="BH2972" s="87"/>
      <c r="BI2972" s="87"/>
    </row>
    <row r="2973" spans="1:61" x14ac:dyDescent="0.25">
      <c r="A2973" s="63" t="s">
        <v>1116</v>
      </c>
      <c r="B2973" s="63" t="s">
        <v>1116</v>
      </c>
      <c r="C2973" s="64"/>
      <c r="D2973" s="65"/>
      <c r="E2973" s="66"/>
      <c r="F2973" s="67"/>
      <c r="G2973" s="64"/>
      <c r="H2973" s="68"/>
      <c r="I2973" s="69"/>
      <c r="J2973" s="69"/>
      <c r="K2973" s="32"/>
      <c r="L2973" s="76">
        <v>2973</v>
      </c>
      <c r="M2973" s="76"/>
      <c r="N2973" s="71"/>
      <c r="O2973" s="87" t="s">
        <v>179</v>
      </c>
      <c r="P2973" s="90">
        <v>45124.524664351855</v>
      </c>
      <c r="Q2973" s="87" t="s">
        <v>4676</v>
      </c>
      <c r="R2973" s="87">
        <v>0</v>
      </c>
      <c r="S2973" s="87">
        <v>0</v>
      </c>
      <c r="T2973" s="87">
        <v>0</v>
      </c>
      <c r="U2973" s="87">
        <v>0</v>
      </c>
      <c r="V2973" s="87">
        <v>31</v>
      </c>
      <c r="W2973" s="93" t="s">
        <v>7515</v>
      </c>
      <c r="X2973" s="87"/>
      <c r="Y2973" s="87"/>
      <c r="Z2973" s="87"/>
      <c r="AA2973" s="87" t="s">
        <v>10651</v>
      </c>
      <c r="AB2973" s="87" t="s">
        <v>11448</v>
      </c>
      <c r="AC2973" s="93" t="s">
        <v>11460</v>
      </c>
      <c r="AD2973" s="87" t="s">
        <v>11519</v>
      </c>
      <c r="AE2973" s="92" t="str">
        <f>HYPERLINK("https://twitter.com/cakecomunicacao/status/1680919157632532480")</f>
        <v>https://twitter.com/cakecomunicacao/status/1680919157632532480</v>
      </c>
      <c r="AF2973" s="90">
        <v>45124.524664351855</v>
      </c>
      <c r="AG2973" s="99">
        <v>45124</v>
      </c>
      <c r="AH2973" s="93" t="s">
        <v>14190</v>
      </c>
      <c r="AI2973" s="87" t="b">
        <v>0</v>
      </c>
      <c r="AJ2973" s="87"/>
      <c r="AK2973" s="87"/>
      <c r="AL2973" s="87"/>
      <c r="AM2973" s="87"/>
      <c r="AN2973" s="87"/>
      <c r="AO2973" s="87"/>
      <c r="AP2973" s="87"/>
      <c r="AQ2973" s="87" t="s">
        <v>17463</v>
      </c>
      <c r="AR2973" s="87"/>
      <c r="AS2973" s="87"/>
      <c r="AT2973" s="87"/>
      <c r="AU2973" s="87"/>
      <c r="AV2973" s="92" t="str">
        <f>HYPERLINK("https://pbs.twimg.com/media/F1PTEPIXgAEFM08.jpg")</f>
        <v>https://pbs.twimg.com/media/F1PTEPIXgAEFM08.jpg</v>
      </c>
      <c r="AW2973" s="93" t="s">
        <v>21124</v>
      </c>
      <c r="AX2973" s="93" t="s">
        <v>21124</v>
      </c>
      <c r="AY2973" s="87"/>
      <c r="AZ2973" s="93" t="s">
        <v>22668</v>
      </c>
      <c r="BA2973" s="93" t="s">
        <v>22668</v>
      </c>
      <c r="BB2973" s="93" t="s">
        <v>22668</v>
      </c>
      <c r="BC2973" s="93" t="s">
        <v>21124</v>
      </c>
      <c r="BD2973" s="87">
        <v>2178192420</v>
      </c>
      <c r="BE2973" s="87"/>
      <c r="BF2973" s="87"/>
      <c r="BG2973" s="87"/>
      <c r="BH2973" s="87"/>
      <c r="BI2973" s="87"/>
    </row>
    <row r="2974" spans="1:61" x14ac:dyDescent="0.25">
      <c r="A2974" s="63" t="s">
        <v>1116</v>
      </c>
      <c r="B2974" s="63" t="s">
        <v>1116</v>
      </c>
      <c r="C2974" s="64"/>
      <c r="D2974" s="65"/>
      <c r="E2974" s="66"/>
      <c r="F2974" s="67"/>
      <c r="G2974" s="64"/>
      <c r="H2974" s="68"/>
      <c r="I2974" s="69"/>
      <c r="J2974" s="69"/>
      <c r="K2974" s="32"/>
      <c r="L2974" s="76">
        <v>2974</v>
      </c>
      <c r="M2974" s="76"/>
      <c r="N2974" s="71"/>
      <c r="O2974" s="87" t="s">
        <v>179</v>
      </c>
      <c r="P2974" s="90">
        <v>45124.469027777777</v>
      </c>
      <c r="Q2974" s="87" t="s">
        <v>4677</v>
      </c>
      <c r="R2974" s="87">
        <v>0</v>
      </c>
      <c r="S2974" s="87">
        <v>0</v>
      </c>
      <c r="T2974" s="87">
        <v>0</v>
      </c>
      <c r="U2974" s="87">
        <v>0</v>
      </c>
      <c r="V2974" s="87">
        <v>26</v>
      </c>
      <c r="W2974" s="93" t="s">
        <v>7515</v>
      </c>
      <c r="X2974" s="87"/>
      <c r="Y2974" s="87"/>
      <c r="Z2974" s="87"/>
      <c r="AA2974" s="87" t="s">
        <v>10652</v>
      </c>
      <c r="AB2974" s="87" t="s">
        <v>11448</v>
      </c>
      <c r="AC2974" s="93" t="s">
        <v>11460</v>
      </c>
      <c r="AD2974" s="87" t="s">
        <v>11530</v>
      </c>
      <c r="AE2974" s="92" t="str">
        <f>HYPERLINK("https://twitter.com/cakecomunicacao/status/1680898996368187392")</f>
        <v>https://twitter.com/cakecomunicacao/status/1680898996368187392</v>
      </c>
      <c r="AF2974" s="90">
        <v>45124.469027777777</v>
      </c>
      <c r="AG2974" s="99">
        <v>45124</v>
      </c>
      <c r="AH2974" s="93" t="s">
        <v>14191</v>
      </c>
      <c r="AI2974" s="87" t="b">
        <v>0</v>
      </c>
      <c r="AJ2974" s="87"/>
      <c r="AK2974" s="87"/>
      <c r="AL2974" s="87"/>
      <c r="AM2974" s="87"/>
      <c r="AN2974" s="87"/>
      <c r="AO2974" s="87"/>
      <c r="AP2974" s="87"/>
      <c r="AQ2974" s="87" t="s">
        <v>17464</v>
      </c>
      <c r="AR2974" s="87"/>
      <c r="AS2974" s="87"/>
      <c r="AT2974" s="87"/>
      <c r="AU2974" s="87"/>
      <c r="AV2974" s="92" t="str">
        <f>HYPERLINK("https://pbs.twimg.com/media/F1PAurGWAAIuo4E.jpg")</f>
        <v>https://pbs.twimg.com/media/F1PAurGWAAIuo4E.jpg</v>
      </c>
      <c r="AW2974" s="93" t="s">
        <v>21125</v>
      </c>
      <c r="AX2974" s="93" t="s">
        <v>21125</v>
      </c>
      <c r="AY2974" s="87"/>
      <c r="AZ2974" s="93" t="s">
        <v>22668</v>
      </c>
      <c r="BA2974" s="93" t="s">
        <v>22668</v>
      </c>
      <c r="BB2974" s="93" t="s">
        <v>22668</v>
      </c>
      <c r="BC2974" s="93" t="s">
        <v>21125</v>
      </c>
      <c r="BD2974" s="87">
        <v>2178192420</v>
      </c>
      <c r="BE2974" s="87"/>
      <c r="BF2974" s="87"/>
      <c r="BG2974" s="87"/>
      <c r="BH2974" s="87"/>
      <c r="BI2974" s="87"/>
    </row>
    <row r="2975" spans="1:61" x14ac:dyDescent="0.25">
      <c r="A2975" s="63" t="s">
        <v>1116</v>
      </c>
      <c r="B2975" s="63" t="s">
        <v>1116</v>
      </c>
      <c r="C2975" s="64"/>
      <c r="D2975" s="65"/>
      <c r="E2975" s="66"/>
      <c r="F2975" s="67"/>
      <c r="G2975" s="64"/>
      <c r="H2975" s="68"/>
      <c r="I2975" s="69"/>
      <c r="J2975" s="69"/>
      <c r="K2975" s="32"/>
      <c r="L2975" s="76">
        <v>2975</v>
      </c>
      <c r="M2975" s="76"/>
      <c r="N2975" s="71"/>
      <c r="O2975" s="87" t="s">
        <v>179</v>
      </c>
      <c r="P2975" s="90">
        <v>45124.465729166666</v>
      </c>
      <c r="Q2975" s="87" t="s">
        <v>4678</v>
      </c>
      <c r="R2975" s="87">
        <v>0</v>
      </c>
      <c r="S2975" s="87">
        <v>0</v>
      </c>
      <c r="T2975" s="87">
        <v>0</v>
      </c>
      <c r="U2975" s="87">
        <v>0</v>
      </c>
      <c r="V2975" s="87">
        <v>30</v>
      </c>
      <c r="W2975" s="93" t="s">
        <v>7515</v>
      </c>
      <c r="X2975" s="87"/>
      <c r="Y2975" s="87"/>
      <c r="Z2975" s="87"/>
      <c r="AA2975" s="87" t="s">
        <v>10653</v>
      </c>
      <c r="AB2975" s="87" t="s">
        <v>11448</v>
      </c>
      <c r="AC2975" s="93" t="s">
        <v>11460</v>
      </c>
      <c r="AD2975" s="87" t="s">
        <v>11519</v>
      </c>
      <c r="AE2975" s="92" t="str">
        <f>HYPERLINK("https://twitter.com/cakecomunicacao/status/1680897797636206597")</f>
        <v>https://twitter.com/cakecomunicacao/status/1680897797636206597</v>
      </c>
      <c r="AF2975" s="90">
        <v>45124.465729166666</v>
      </c>
      <c r="AG2975" s="99">
        <v>45124</v>
      </c>
      <c r="AH2975" s="93" t="s">
        <v>14192</v>
      </c>
      <c r="AI2975" s="87" t="b">
        <v>0</v>
      </c>
      <c r="AJ2975" s="87"/>
      <c r="AK2975" s="87"/>
      <c r="AL2975" s="87"/>
      <c r="AM2975" s="87"/>
      <c r="AN2975" s="87"/>
      <c r="AO2975" s="87"/>
      <c r="AP2975" s="87"/>
      <c r="AQ2975" s="87" t="s">
        <v>17465</v>
      </c>
      <c r="AR2975" s="87"/>
      <c r="AS2975" s="87"/>
      <c r="AT2975" s="87"/>
      <c r="AU2975" s="87"/>
      <c r="AV2975" s="92" t="str">
        <f>HYPERLINK("https://pbs.twimg.com/media/F1O_o6VWAAEA_Ou.jpg")</f>
        <v>https://pbs.twimg.com/media/F1O_o6VWAAEA_Ou.jpg</v>
      </c>
      <c r="AW2975" s="93" t="s">
        <v>21126</v>
      </c>
      <c r="AX2975" s="93" t="s">
        <v>21126</v>
      </c>
      <c r="AY2975" s="87"/>
      <c r="AZ2975" s="93" t="s">
        <v>22668</v>
      </c>
      <c r="BA2975" s="93" t="s">
        <v>22668</v>
      </c>
      <c r="BB2975" s="93" t="s">
        <v>22668</v>
      </c>
      <c r="BC2975" s="93" t="s">
        <v>21126</v>
      </c>
      <c r="BD2975" s="87">
        <v>2178192420</v>
      </c>
      <c r="BE2975" s="87"/>
      <c r="BF2975" s="87"/>
      <c r="BG2975" s="87"/>
      <c r="BH2975" s="87"/>
      <c r="BI2975" s="87"/>
    </row>
    <row r="2976" spans="1:61" x14ac:dyDescent="0.25">
      <c r="A2976" s="63" t="s">
        <v>1116</v>
      </c>
      <c r="B2976" s="63" t="s">
        <v>1116</v>
      </c>
      <c r="C2976" s="64"/>
      <c r="D2976" s="65"/>
      <c r="E2976" s="66"/>
      <c r="F2976" s="67"/>
      <c r="G2976" s="64"/>
      <c r="H2976" s="68"/>
      <c r="I2976" s="69"/>
      <c r="J2976" s="69"/>
      <c r="K2976" s="32"/>
      <c r="L2976" s="76">
        <v>2976</v>
      </c>
      <c r="M2976" s="76"/>
      <c r="N2976" s="71"/>
      <c r="O2976" s="87" t="s">
        <v>179</v>
      </c>
      <c r="P2976" s="90">
        <v>45141.468935185185</v>
      </c>
      <c r="Q2976" s="87" t="s">
        <v>4679</v>
      </c>
      <c r="R2976" s="87">
        <v>0</v>
      </c>
      <c r="S2976" s="87">
        <v>0</v>
      </c>
      <c r="T2976" s="87">
        <v>0</v>
      </c>
      <c r="U2976" s="87">
        <v>0</v>
      </c>
      <c r="V2976" s="87">
        <v>43</v>
      </c>
      <c r="W2976" s="93" t="s">
        <v>7515</v>
      </c>
      <c r="X2976" s="87"/>
      <c r="Y2976" s="87"/>
      <c r="Z2976" s="87"/>
      <c r="AA2976" s="87" t="s">
        <v>10654</v>
      </c>
      <c r="AB2976" s="87" t="s">
        <v>11448</v>
      </c>
      <c r="AC2976" s="93" t="s">
        <v>11460</v>
      </c>
      <c r="AD2976" s="87" t="s">
        <v>11519</v>
      </c>
      <c r="AE2976" s="92" t="str">
        <f>HYPERLINK("https://twitter.com/cakecomunicacao/status/1687059556151484416")</f>
        <v>https://twitter.com/cakecomunicacao/status/1687059556151484416</v>
      </c>
      <c r="AF2976" s="90">
        <v>45141.468935185185</v>
      </c>
      <c r="AG2976" s="99">
        <v>45141</v>
      </c>
      <c r="AH2976" s="93" t="s">
        <v>14193</v>
      </c>
      <c r="AI2976" s="87" t="b">
        <v>0</v>
      </c>
      <c r="AJ2976" s="87"/>
      <c r="AK2976" s="87"/>
      <c r="AL2976" s="87"/>
      <c r="AM2976" s="87"/>
      <c r="AN2976" s="87"/>
      <c r="AO2976" s="87"/>
      <c r="AP2976" s="87"/>
      <c r="AQ2976" s="87" t="s">
        <v>17466</v>
      </c>
      <c r="AR2976" s="87"/>
      <c r="AS2976" s="87"/>
      <c r="AT2976" s="87"/>
      <c r="AU2976" s="87"/>
      <c r="AV2976" s="92" t="str">
        <f>HYPERLINK("https://pbs.twimg.com/media/F2mjudAXMAAVH9J.jpg")</f>
        <v>https://pbs.twimg.com/media/F2mjudAXMAAVH9J.jpg</v>
      </c>
      <c r="AW2976" s="93" t="s">
        <v>21127</v>
      </c>
      <c r="AX2976" s="93" t="s">
        <v>21127</v>
      </c>
      <c r="AY2976" s="87"/>
      <c r="AZ2976" s="93" t="s">
        <v>22668</v>
      </c>
      <c r="BA2976" s="93" t="s">
        <v>22668</v>
      </c>
      <c r="BB2976" s="93" t="s">
        <v>22668</v>
      </c>
      <c r="BC2976" s="93" t="s">
        <v>21127</v>
      </c>
      <c r="BD2976" s="87">
        <v>2178192420</v>
      </c>
      <c r="BE2976" s="87"/>
      <c r="BF2976" s="87"/>
      <c r="BG2976" s="87"/>
      <c r="BH2976" s="87"/>
      <c r="BI2976" s="87"/>
    </row>
    <row r="2977" spans="1:61" x14ac:dyDescent="0.25">
      <c r="A2977" s="63" t="s">
        <v>1117</v>
      </c>
      <c r="B2977" s="63" t="s">
        <v>1117</v>
      </c>
      <c r="C2977" s="64"/>
      <c r="D2977" s="65"/>
      <c r="E2977" s="66"/>
      <c r="F2977" s="67"/>
      <c r="G2977" s="64"/>
      <c r="H2977" s="68"/>
      <c r="I2977" s="69"/>
      <c r="J2977" s="69"/>
      <c r="K2977" s="32"/>
      <c r="L2977" s="76">
        <v>2977</v>
      </c>
      <c r="M2977" s="76"/>
      <c r="N2977" s="71"/>
      <c r="O2977" s="87" t="s">
        <v>179</v>
      </c>
      <c r="P2977" s="90">
        <v>45177.646226851852</v>
      </c>
      <c r="Q2977" s="87" t="s">
        <v>4680</v>
      </c>
      <c r="R2977" s="87">
        <v>0</v>
      </c>
      <c r="S2977" s="87">
        <v>0</v>
      </c>
      <c r="T2977" s="87">
        <v>0</v>
      </c>
      <c r="U2977" s="87">
        <v>0</v>
      </c>
      <c r="V2977" s="87">
        <v>8</v>
      </c>
      <c r="W2977" s="93" t="s">
        <v>7517</v>
      </c>
      <c r="X2977" s="87"/>
      <c r="Y2977" s="87"/>
      <c r="Z2977" s="87"/>
      <c r="AA2977" s="87" t="s">
        <v>10655</v>
      </c>
      <c r="AB2977" s="87" t="s">
        <v>11448</v>
      </c>
      <c r="AC2977" s="93" t="s">
        <v>11457</v>
      </c>
      <c r="AD2977" s="87" t="s">
        <v>11519</v>
      </c>
      <c r="AE2977" s="92" t="str">
        <f>HYPERLINK("https://twitter.com/ibti_ict/status/1700169767766667640")</f>
        <v>https://twitter.com/ibti_ict/status/1700169767766667640</v>
      </c>
      <c r="AF2977" s="90">
        <v>45177.646226851852</v>
      </c>
      <c r="AG2977" s="99">
        <v>45177</v>
      </c>
      <c r="AH2977" s="93" t="s">
        <v>14194</v>
      </c>
      <c r="AI2977" s="87" t="b">
        <v>0</v>
      </c>
      <c r="AJ2977" s="87"/>
      <c r="AK2977" s="87"/>
      <c r="AL2977" s="87"/>
      <c r="AM2977" s="87"/>
      <c r="AN2977" s="87"/>
      <c r="AO2977" s="87"/>
      <c r="AP2977" s="87"/>
      <c r="AQ2977" s="87" t="s">
        <v>17467</v>
      </c>
      <c r="AR2977" s="87"/>
      <c r="AS2977" s="87"/>
      <c r="AT2977" s="87"/>
      <c r="AU2977" s="87"/>
      <c r="AV2977" s="92" t="str">
        <f>HYPERLINK("https://pbs.twimg.com/media/F5g3NyrW8AAuhWB.jpg")</f>
        <v>https://pbs.twimg.com/media/F5g3NyrW8AAuhWB.jpg</v>
      </c>
      <c r="AW2977" s="93" t="s">
        <v>21128</v>
      </c>
      <c r="AX2977" s="93" t="s">
        <v>21128</v>
      </c>
      <c r="AY2977" s="87"/>
      <c r="AZ2977" s="93" t="s">
        <v>22668</v>
      </c>
      <c r="BA2977" s="93" t="s">
        <v>22668</v>
      </c>
      <c r="BB2977" s="93" t="s">
        <v>22668</v>
      </c>
      <c r="BC2977" s="93" t="s">
        <v>21128</v>
      </c>
      <c r="BD2977" s="87">
        <v>409359054</v>
      </c>
      <c r="BE2977" s="87"/>
      <c r="BF2977" s="87"/>
      <c r="BG2977" s="87"/>
      <c r="BH2977" s="87"/>
      <c r="BI2977" s="87"/>
    </row>
    <row r="2978" spans="1:61" x14ac:dyDescent="0.25">
      <c r="A2978" s="63" t="s">
        <v>1118</v>
      </c>
      <c r="B2978" s="63" t="s">
        <v>1760</v>
      </c>
      <c r="C2978" s="64"/>
      <c r="D2978" s="65"/>
      <c r="E2978" s="66"/>
      <c r="F2978" s="67"/>
      <c r="G2978" s="64"/>
      <c r="H2978" s="68"/>
      <c r="I2978" s="69"/>
      <c r="J2978" s="69"/>
      <c r="K2978" s="32"/>
      <c r="L2978" s="76">
        <v>2978</v>
      </c>
      <c r="M2978" s="76"/>
      <c r="N2978" s="71"/>
      <c r="O2978" s="87" t="s">
        <v>1844</v>
      </c>
      <c r="P2978" s="90">
        <v>45147.683379629627</v>
      </c>
      <c r="Q2978" s="87" t="s">
        <v>4681</v>
      </c>
      <c r="R2978" s="87">
        <v>0</v>
      </c>
      <c r="S2978" s="87">
        <v>0</v>
      </c>
      <c r="T2978" s="87">
        <v>0</v>
      </c>
      <c r="U2978" s="87">
        <v>0</v>
      </c>
      <c r="V2978" s="87">
        <v>43</v>
      </c>
      <c r="W2978" s="93" t="s">
        <v>7518</v>
      </c>
      <c r="X2978" s="92" t="str">
        <f>HYPERLINK("https://www.udesc.br/esag/noticia/programa_esag_senior_promove_feira_beneficente_na_udesc_com_brecho_e_comidinhas")</f>
        <v>https://www.udesc.br/esag/noticia/programa_esag_senior_promove_feira_beneficente_na_udesc_com_brecho_e_comidinhas</v>
      </c>
      <c r="Y2978" s="87" t="s">
        <v>8501</v>
      </c>
      <c r="Z2978" s="87" t="s">
        <v>8601</v>
      </c>
      <c r="AA2978" s="87"/>
      <c r="AB2978" s="87"/>
      <c r="AC2978" s="93" t="s">
        <v>11457</v>
      </c>
      <c r="AD2978" s="87" t="s">
        <v>11519</v>
      </c>
      <c r="AE2978" s="92" t="str">
        <f>HYPERLINK("https://twitter.com/udesc_esag/status/1689311595422261250")</f>
        <v>https://twitter.com/udesc_esag/status/1689311595422261250</v>
      </c>
      <c r="AF2978" s="90">
        <v>45147.683379629627</v>
      </c>
      <c r="AG2978" s="99">
        <v>45147</v>
      </c>
      <c r="AH2978" s="93" t="s">
        <v>14195</v>
      </c>
      <c r="AI2978" s="87" t="b">
        <v>0</v>
      </c>
      <c r="AJ2978" s="87"/>
      <c r="AK2978" s="87"/>
      <c r="AL2978" s="87"/>
      <c r="AM2978" s="87"/>
      <c r="AN2978" s="87"/>
      <c r="AO2978" s="87"/>
      <c r="AP2978" s="87"/>
      <c r="AQ2978" s="87"/>
      <c r="AR2978" s="87"/>
      <c r="AS2978" s="87"/>
      <c r="AT2978" s="87"/>
      <c r="AU2978" s="87"/>
      <c r="AV2978" s="92" t="str">
        <f>HYPERLINK("https://pbs.twimg.com/profile_images/589145999639183360/VZafBlJl_normal.jpg")</f>
        <v>https://pbs.twimg.com/profile_images/589145999639183360/VZafBlJl_normal.jpg</v>
      </c>
      <c r="AW2978" s="93" t="s">
        <v>21129</v>
      </c>
      <c r="AX2978" s="93" t="s">
        <v>22443</v>
      </c>
      <c r="AY2978" s="93" t="s">
        <v>22615</v>
      </c>
      <c r="AZ2978" s="93" t="s">
        <v>22747</v>
      </c>
      <c r="BA2978" s="93" t="s">
        <v>22668</v>
      </c>
      <c r="BB2978" s="93" t="s">
        <v>22668</v>
      </c>
      <c r="BC2978" s="93" t="s">
        <v>22747</v>
      </c>
      <c r="BD2978" s="87">
        <v>221050908</v>
      </c>
      <c r="BE2978" s="87"/>
      <c r="BF2978" s="87"/>
      <c r="BG2978" s="87"/>
      <c r="BH2978" s="87"/>
      <c r="BI2978" s="87"/>
    </row>
    <row r="2979" spans="1:61" x14ac:dyDescent="0.25">
      <c r="A2979" s="63" t="s">
        <v>1118</v>
      </c>
      <c r="B2979" s="63" t="s">
        <v>1118</v>
      </c>
      <c r="C2979" s="64"/>
      <c r="D2979" s="65"/>
      <c r="E2979" s="66"/>
      <c r="F2979" s="67"/>
      <c r="G2979" s="64"/>
      <c r="H2979" s="68"/>
      <c r="I2979" s="69"/>
      <c r="J2979" s="69"/>
      <c r="K2979" s="32"/>
      <c r="L2979" s="76">
        <v>2979</v>
      </c>
      <c r="M2979" s="76"/>
      <c r="N2979" s="71"/>
      <c r="O2979" s="87" t="s">
        <v>1840</v>
      </c>
      <c r="P2979" s="90">
        <v>45147.683379629627</v>
      </c>
      <c r="Q2979" s="87" t="s">
        <v>4681</v>
      </c>
      <c r="R2979" s="87">
        <v>0</v>
      </c>
      <c r="S2979" s="87">
        <v>0</v>
      </c>
      <c r="T2979" s="87">
        <v>0</v>
      </c>
      <c r="U2979" s="87">
        <v>0</v>
      </c>
      <c r="V2979" s="87">
        <v>43</v>
      </c>
      <c r="W2979" s="93" t="s">
        <v>7518</v>
      </c>
      <c r="X2979" s="92" t="str">
        <f>HYPERLINK("https://www.udesc.br/esag/noticia/programa_esag_senior_promove_feira_beneficente_na_udesc_com_brecho_e_comidinhas")</f>
        <v>https://www.udesc.br/esag/noticia/programa_esag_senior_promove_feira_beneficente_na_udesc_com_brecho_e_comidinhas</v>
      </c>
      <c r="Y2979" s="87" t="s">
        <v>8501</v>
      </c>
      <c r="Z2979" s="87" t="s">
        <v>8601</v>
      </c>
      <c r="AA2979" s="87"/>
      <c r="AB2979" s="87"/>
      <c r="AC2979" s="93" t="s">
        <v>11457</v>
      </c>
      <c r="AD2979" s="87" t="s">
        <v>11519</v>
      </c>
      <c r="AE2979" s="92" t="str">
        <f>HYPERLINK("https://twitter.com/udesc_esag/status/1689311595422261250")</f>
        <v>https://twitter.com/udesc_esag/status/1689311595422261250</v>
      </c>
      <c r="AF2979" s="90">
        <v>45147.683379629627</v>
      </c>
      <c r="AG2979" s="99">
        <v>45147</v>
      </c>
      <c r="AH2979" s="93" t="s">
        <v>14195</v>
      </c>
      <c r="AI2979" s="87" t="b">
        <v>0</v>
      </c>
      <c r="AJ2979" s="87"/>
      <c r="AK2979" s="87"/>
      <c r="AL2979" s="87"/>
      <c r="AM2979" s="87"/>
      <c r="AN2979" s="87"/>
      <c r="AO2979" s="87"/>
      <c r="AP2979" s="87"/>
      <c r="AQ2979" s="87"/>
      <c r="AR2979" s="87"/>
      <c r="AS2979" s="87"/>
      <c r="AT2979" s="87"/>
      <c r="AU2979" s="87"/>
      <c r="AV2979" s="92" t="str">
        <f>HYPERLINK("https://pbs.twimg.com/profile_images/589145999639183360/VZafBlJl_normal.jpg")</f>
        <v>https://pbs.twimg.com/profile_images/589145999639183360/VZafBlJl_normal.jpg</v>
      </c>
      <c r="AW2979" s="93" t="s">
        <v>21129</v>
      </c>
      <c r="AX2979" s="93" t="s">
        <v>22443</v>
      </c>
      <c r="AY2979" s="93" t="s">
        <v>22615</v>
      </c>
      <c r="AZ2979" s="93" t="s">
        <v>22747</v>
      </c>
      <c r="BA2979" s="93" t="s">
        <v>22668</v>
      </c>
      <c r="BB2979" s="93" t="s">
        <v>22668</v>
      </c>
      <c r="BC2979" s="93" t="s">
        <v>22747</v>
      </c>
      <c r="BD2979" s="87">
        <v>221050908</v>
      </c>
      <c r="BE2979" s="87"/>
      <c r="BF2979" s="87"/>
      <c r="BG2979" s="87"/>
      <c r="BH2979" s="87"/>
      <c r="BI2979" s="87"/>
    </row>
    <row r="2980" spans="1:61" x14ac:dyDescent="0.25">
      <c r="A2980" s="63" t="s">
        <v>1119</v>
      </c>
      <c r="B2980" s="63" t="s">
        <v>1119</v>
      </c>
      <c r="C2980" s="64"/>
      <c r="D2980" s="65"/>
      <c r="E2980" s="66"/>
      <c r="F2980" s="67"/>
      <c r="G2980" s="64"/>
      <c r="H2980" s="68"/>
      <c r="I2980" s="69"/>
      <c r="J2980" s="69"/>
      <c r="K2980" s="32"/>
      <c r="L2980" s="76">
        <v>2980</v>
      </c>
      <c r="M2980" s="76"/>
      <c r="N2980" s="71"/>
      <c r="O2980" s="87" t="s">
        <v>179</v>
      </c>
      <c r="P2980" s="90">
        <v>45166.477870370371</v>
      </c>
      <c r="Q2980" s="87" t="s">
        <v>4682</v>
      </c>
      <c r="R2980" s="87">
        <v>0</v>
      </c>
      <c r="S2980" s="87">
        <v>0</v>
      </c>
      <c r="T2980" s="87">
        <v>0</v>
      </c>
      <c r="U2980" s="87">
        <v>0</v>
      </c>
      <c r="V2980" s="87">
        <v>4</v>
      </c>
      <c r="W2980" s="93" t="s">
        <v>7519</v>
      </c>
      <c r="X2980" s="92" t="str">
        <f>HYPERLINK("https://www.instagram.com/reel/CwfGya8pt1u/?igshid=MTVlNTYxMjY2ZQ==")</f>
        <v>https://www.instagram.com/reel/CwfGya8pt1u/?igshid=MTVlNTYxMjY2ZQ==</v>
      </c>
      <c r="Y2980" s="87" t="s">
        <v>8383</v>
      </c>
      <c r="Z2980" s="87"/>
      <c r="AA2980" s="87"/>
      <c r="AB2980" s="87"/>
      <c r="AC2980" s="93" t="s">
        <v>11459</v>
      </c>
      <c r="AD2980" s="87" t="s">
        <v>11519</v>
      </c>
      <c r="AE2980" s="92" t="str">
        <f>HYPERLINK("https://twitter.com/mediaribeiro/status/1696122490940948679")</f>
        <v>https://twitter.com/mediaribeiro/status/1696122490940948679</v>
      </c>
      <c r="AF2980" s="90">
        <v>45166.477870370371</v>
      </c>
      <c r="AG2980" s="99">
        <v>45166</v>
      </c>
      <c r="AH2980" s="93" t="s">
        <v>14196</v>
      </c>
      <c r="AI2980" s="87" t="b">
        <v>0</v>
      </c>
      <c r="AJ2980" s="87"/>
      <c r="AK2980" s="87"/>
      <c r="AL2980" s="87"/>
      <c r="AM2980" s="87"/>
      <c r="AN2980" s="87"/>
      <c r="AO2980" s="87"/>
      <c r="AP2980" s="87"/>
      <c r="AQ2980" s="87"/>
      <c r="AR2980" s="87"/>
      <c r="AS2980" s="87"/>
      <c r="AT2980" s="87"/>
      <c r="AU2980" s="87"/>
      <c r="AV2980" s="92" t="str">
        <f>HYPERLINK("https://pbs.twimg.com/profile_images/1696120385073233920/kPUwE1ny_normal.jpg")</f>
        <v>https://pbs.twimg.com/profile_images/1696120385073233920/kPUwE1ny_normal.jpg</v>
      </c>
      <c r="AW2980" s="93" t="s">
        <v>21130</v>
      </c>
      <c r="AX2980" s="93" t="s">
        <v>21130</v>
      </c>
      <c r="AY2980" s="87"/>
      <c r="AZ2980" s="93" t="s">
        <v>22668</v>
      </c>
      <c r="BA2980" s="93" t="s">
        <v>22668</v>
      </c>
      <c r="BB2980" s="93" t="s">
        <v>22668</v>
      </c>
      <c r="BC2980" s="93" t="s">
        <v>21130</v>
      </c>
      <c r="BD2980" s="93" t="s">
        <v>23309</v>
      </c>
      <c r="BE2980" s="87"/>
      <c r="BF2980" s="87"/>
      <c r="BG2980" s="87"/>
      <c r="BH2980" s="87"/>
      <c r="BI2980" s="87"/>
    </row>
    <row r="2981" spans="1:61" x14ac:dyDescent="0.25">
      <c r="A2981" s="63" t="s">
        <v>1120</v>
      </c>
      <c r="B2981" s="63" t="s">
        <v>1120</v>
      </c>
      <c r="C2981" s="64"/>
      <c r="D2981" s="65"/>
      <c r="E2981" s="66"/>
      <c r="F2981" s="67"/>
      <c r="G2981" s="64"/>
      <c r="H2981" s="68"/>
      <c r="I2981" s="69"/>
      <c r="J2981" s="69"/>
      <c r="K2981" s="32"/>
      <c r="L2981" s="76">
        <v>2981</v>
      </c>
      <c r="M2981" s="76"/>
      <c r="N2981" s="71"/>
      <c r="O2981" s="87" t="s">
        <v>179</v>
      </c>
      <c r="P2981" s="90">
        <v>45120.706076388888</v>
      </c>
      <c r="Q2981" s="87" t="s">
        <v>4683</v>
      </c>
      <c r="R2981" s="87">
        <v>0</v>
      </c>
      <c r="S2981" s="87">
        <v>0</v>
      </c>
      <c r="T2981" s="87">
        <v>1</v>
      </c>
      <c r="U2981" s="87">
        <v>0</v>
      </c>
      <c r="V2981" s="87">
        <v>40</v>
      </c>
      <c r="W2981" s="93" t="s">
        <v>7520</v>
      </c>
      <c r="X2981" s="87"/>
      <c r="Y2981" s="87"/>
      <c r="Z2981" s="87"/>
      <c r="AA2981" s="87" t="s">
        <v>10656</v>
      </c>
      <c r="AB2981" s="87" t="s">
        <v>11448</v>
      </c>
      <c r="AC2981" s="93" t="s">
        <v>11457</v>
      </c>
      <c r="AD2981" s="87" t="s">
        <v>11519</v>
      </c>
      <c r="AE2981" s="92" t="str">
        <f>HYPERLINK("https://twitter.com/maraujocontabil/status/1679535347217170433")</f>
        <v>https://twitter.com/maraujocontabil/status/1679535347217170433</v>
      </c>
      <c r="AF2981" s="90">
        <v>45120.706076388888</v>
      </c>
      <c r="AG2981" s="99">
        <v>45120</v>
      </c>
      <c r="AH2981" s="93" t="s">
        <v>14197</v>
      </c>
      <c r="AI2981" s="87" t="b">
        <v>0</v>
      </c>
      <c r="AJ2981" s="87"/>
      <c r="AK2981" s="87"/>
      <c r="AL2981" s="87"/>
      <c r="AM2981" s="87"/>
      <c r="AN2981" s="87"/>
      <c r="AO2981" s="87"/>
      <c r="AP2981" s="87"/>
      <c r="AQ2981" s="87" t="s">
        <v>17468</v>
      </c>
      <c r="AR2981" s="87"/>
      <c r="AS2981" s="87"/>
      <c r="AT2981" s="87"/>
      <c r="AU2981" s="87"/>
      <c r="AV2981" s="92" t="str">
        <f>HYPERLINK("https://pbs.twimg.com/media/F07oWruWAAAJNEF.jpg")</f>
        <v>https://pbs.twimg.com/media/F07oWruWAAAJNEF.jpg</v>
      </c>
      <c r="AW2981" s="93" t="s">
        <v>21131</v>
      </c>
      <c r="AX2981" s="93" t="s">
        <v>21131</v>
      </c>
      <c r="AY2981" s="87"/>
      <c r="AZ2981" s="93" t="s">
        <v>22668</v>
      </c>
      <c r="BA2981" s="93" t="s">
        <v>22668</v>
      </c>
      <c r="BB2981" s="93" t="s">
        <v>22668</v>
      </c>
      <c r="BC2981" s="93" t="s">
        <v>21131</v>
      </c>
      <c r="BD2981" s="87">
        <v>170510606</v>
      </c>
      <c r="BE2981" s="87"/>
      <c r="BF2981" s="87"/>
      <c r="BG2981" s="87"/>
      <c r="BH2981" s="87"/>
      <c r="BI2981" s="87"/>
    </row>
    <row r="2982" spans="1:61" x14ac:dyDescent="0.25">
      <c r="A2982" s="63" t="s">
        <v>1120</v>
      </c>
      <c r="B2982" s="63" t="s">
        <v>1120</v>
      </c>
      <c r="C2982" s="64"/>
      <c r="D2982" s="65"/>
      <c r="E2982" s="66"/>
      <c r="F2982" s="67"/>
      <c r="G2982" s="64"/>
      <c r="H2982" s="68"/>
      <c r="I2982" s="69"/>
      <c r="J2982" s="69"/>
      <c r="K2982" s="32"/>
      <c r="L2982" s="76">
        <v>2982</v>
      </c>
      <c r="M2982" s="76"/>
      <c r="N2982" s="71"/>
      <c r="O2982" s="87" t="s">
        <v>179</v>
      </c>
      <c r="P2982" s="90">
        <v>45131.792719907404</v>
      </c>
      <c r="Q2982" s="87" t="s">
        <v>4684</v>
      </c>
      <c r="R2982" s="87">
        <v>0</v>
      </c>
      <c r="S2982" s="87">
        <v>1</v>
      </c>
      <c r="T2982" s="87">
        <v>0</v>
      </c>
      <c r="U2982" s="87">
        <v>0</v>
      </c>
      <c r="V2982" s="87">
        <v>102</v>
      </c>
      <c r="W2982" s="93" t="s">
        <v>7521</v>
      </c>
      <c r="X2982" s="87"/>
      <c r="Y2982" s="87"/>
      <c r="Z2982" s="87"/>
      <c r="AA2982" s="87" t="s">
        <v>10657</v>
      </c>
      <c r="AB2982" s="87" t="s">
        <v>11449</v>
      </c>
      <c r="AC2982" s="93" t="s">
        <v>11457</v>
      </c>
      <c r="AD2982" s="87" t="s">
        <v>11519</v>
      </c>
      <c r="AE2982" s="92" t="str">
        <f>HYPERLINK("https://twitter.com/maraujocontabil/status/1683553009488240643")</f>
        <v>https://twitter.com/maraujocontabil/status/1683553009488240643</v>
      </c>
      <c r="AF2982" s="90">
        <v>45131.792719907404</v>
      </c>
      <c r="AG2982" s="99">
        <v>45131</v>
      </c>
      <c r="AH2982" s="93" t="s">
        <v>14198</v>
      </c>
      <c r="AI2982" s="87" t="b">
        <v>0</v>
      </c>
      <c r="AJ2982" s="87"/>
      <c r="AK2982" s="87"/>
      <c r="AL2982" s="87"/>
      <c r="AM2982" s="87"/>
      <c r="AN2982" s="87"/>
      <c r="AO2982" s="87"/>
      <c r="AP2982" s="87"/>
      <c r="AQ2982" s="87" t="s">
        <v>17469</v>
      </c>
      <c r="AR2982" s="87"/>
      <c r="AS2982" s="87"/>
      <c r="AT2982" s="87"/>
      <c r="AU2982" s="87"/>
      <c r="AV2982" s="92" t="str">
        <f>HYPERLINK("https://pbs.twimg.com/media/F10uFfBX0AEgXp3.jpg")</f>
        <v>https://pbs.twimg.com/media/F10uFfBX0AEgXp3.jpg</v>
      </c>
      <c r="AW2982" s="93" t="s">
        <v>21132</v>
      </c>
      <c r="AX2982" s="93" t="s">
        <v>21132</v>
      </c>
      <c r="AY2982" s="87"/>
      <c r="AZ2982" s="93" t="s">
        <v>22668</v>
      </c>
      <c r="BA2982" s="93" t="s">
        <v>22668</v>
      </c>
      <c r="BB2982" s="93" t="s">
        <v>22668</v>
      </c>
      <c r="BC2982" s="93" t="s">
        <v>21132</v>
      </c>
      <c r="BD2982" s="87">
        <v>170510606</v>
      </c>
      <c r="BE2982" s="87"/>
      <c r="BF2982" s="87"/>
      <c r="BG2982" s="87"/>
      <c r="BH2982" s="87"/>
      <c r="BI2982" s="87"/>
    </row>
    <row r="2983" spans="1:61" x14ac:dyDescent="0.25">
      <c r="A2983" s="63" t="s">
        <v>1120</v>
      </c>
      <c r="B2983" s="63" t="s">
        <v>1120</v>
      </c>
      <c r="C2983" s="64"/>
      <c r="D2983" s="65"/>
      <c r="E2983" s="66"/>
      <c r="F2983" s="67"/>
      <c r="G2983" s="64"/>
      <c r="H2983" s="68"/>
      <c r="I2983" s="69"/>
      <c r="J2983" s="69"/>
      <c r="K2983" s="32"/>
      <c r="L2983" s="76">
        <v>2983</v>
      </c>
      <c r="M2983" s="76"/>
      <c r="N2983" s="71"/>
      <c r="O2983" s="87" t="s">
        <v>179</v>
      </c>
      <c r="P2983" s="90">
        <v>45135.704768518517</v>
      </c>
      <c r="Q2983" s="87" t="s">
        <v>4685</v>
      </c>
      <c r="R2983" s="87">
        <v>0</v>
      </c>
      <c r="S2983" s="87">
        <v>0</v>
      </c>
      <c r="T2983" s="87">
        <v>1</v>
      </c>
      <c r="U2983" s="87">
        <v>0</v>
      </c>
      <c r="V2983" s="87">
        <v>10</v>
      </c>
      <c r="W2983" s="93" t="s">
        <v>7522</v>
      </c>
      <c r="X2983" s="87"/>
      <c r="Y2983" s="87"/>
      <c r="Z2983" s="87"/>
      <c r="AA2983" s="87" t="s">
        <v>10658</v>
      </c>
      <c r="AB2983" s="87" t="s">
        <v>11448</v>
      </c>
      <c r="AC2983" s="93" t="s">
        <v>11457</v>
      </c>
      <c r="AD2983" s="87" t="s">
        <v>11519</v>
      </c>
      <c r="AE2983" s="92" t="str">
        <f>HYPERLINK("https://twitter.com/maraujocontabil/status/1684970688560472084")</f>
        <v>https://twitter.com/maraujocontabil/status/1684970688560472084</v>
      </c>
      <c r="AF2983" s="90">
        <v>45135.704768518517</v>
      </c>
      <c r="AG2983" s="99">
        <v>45135</v>
      </c>
      <c r="AH2983" s="93" t="s">
        <v>14199</v>
      </c>
      <c r="AI2983" s="87" t="b">
        <v>0</v>
      </c>
      <c r="AJ2983" s="87"/>
      <c r="AK2983" s="87"/>
      <c r="AL2983" s="87"/>
      <c r="AM2983" s="87"/>
      <c r="AN2983" s="87"/>
      <c r="AO2983" s="87"/>
      <c r="AP2983" s="87"/>
      <c r="AQ2983" s="87" t="s">
        <v>17470</v>
      </c>
      <c r="AR2983" s="87"/>
      <c r="AS2983" s="87"/>
      <c r="AT2983" s="87"/>
      <c r="AU2983" s="87"/>
      <c r="AV2983" s="92" t="str">
        <f>HYPERLINK("https://pbs.twimg.com/media/F2I3iQOXoAc1npT.jpg")</f>
        <v>https://pbs.twimg.com/media/F2I3iQOXoAc1npT.jpg</v>
      </c>
      <c r="AW2983" s="93" t="s">
        <v>21133</v>
      </c>
      <c r="AX2983" s="93" t="s">
        <v>21133</v>
      </c>
      <c r="AY2983" s="87"/>
      <c r="AZ2983" s="93" t="s">
        <v>22668</v>
      </c>
      <c r="BA2983" s="93" t="s">
        <v>22668</v>
      </c>
      <c r="BB2983" s="93" t="s">
        <v>22668</v>
      </c>
      <c r="BC2983" s="93" t="s">
        <v>21133</v>
      </c>
      <c r="BD2983" s="87">
        <v>170510606</v>
      </c>
      <c r="BE2983" s="87"/>
      <c r="BF2983" s="87"/>
      <c r="BG2983" s="87"/>
      <c r="BH2983" s="87"/>
      <c r="BI2983" s="87"/>
    </row>
    <row r="2984" spans="1:61" x14ac:dyDescent="0.25">
      <c r="A2984" s="63" t="s">
        <v>1120</v>
      </c>
      <c r="B2984" s="63" t="s">
        <v>1120</v>
      </c>
      <c r="C2984" s="64"/>
      <c r="D2984" s="65"/>
      <c r="E2984" s="66"/>
      <c r="F2984" s="67"/>
      <c r="G2984" s="64"/>
      <c r="H2984" s="68"/>
      <c r="I2984" s="69"/>
      <c r="J2984" s="69"/>
      <c r="K2984" s="32"/>
      <c r="L2984" s="76">
        <v>2984</v>
      </c>
      <c r="M2984" s="76"/>
      <c r="N2984" s="71"/>
      <c r="O2984" s="87" t="s">
        <v>179</v>
      </c>
      <c r="P2984" s="90">
        <v>45110.687951388885</v>
      </c>
      <c r="Q2984" s="87" t="s">
        <v>4686</v>
      </c>
      <c r="R2984" s="87">
        <v>0</v>
      </c>
      <c r="S2984" s="87">
        <v>0</v>
      </c>
      <c r="T2984" s="87">
        <v>0</v>
      </c>
      <c r="U2984" s="87">
        <v>0</v>
      </c>
      <c r="V2984" s="87">
        <v>11</v>
      </c>
      <c r="W2984" s="93" t="s">
        <v>7523</v>
      </c>
      <c r="X2984" s="87"/>
      <c r="Y2984" s="87"/>
      <c r="Z2984" s="87"/>
      <c r="AA2984" s="87" t="s">
        <v>10659</v>
      </c>
      <c r="AB2984" s="87" t="s">
        <v>11448</v>
      </c>
      <c r="AC2984" s="93" t="s">
        <v>11457</v>
      </c>
      <c r="AD2984" s="87" t="s">
        <v>11519</v>
      </c>
      <c r="AE2984" s="92" t="str">
        <f>HYPERLINK("https://twitter.com/maraujocontabil/status/1675904900365008898")</f>
        <v>https://twitter.com/maraujocontabil/status/1675904900365008898</v>
      </c>
      <c r="AF2984" s="90">
        <v>45110.687951388885</v>
      </c>
      <c r="AG2984" s="99">
        <v>45110</v>
      </c>
      <c r="AH2984" s="93" t="s">
        <v>11854</v>
      </c>
      <c r="AI2984" s="87" t="b">
        <v>0</v>
      </c>
      <c r="AJ2984" s="87"/>
      <c r="AK2984" s="87"/>
      <c r="AL2984" s="87"/>
      <c r="AM2984" s="87"/>
      <c r="AN2984" s="87"/>
      <c r="AO2984" s="87"/>
      <c r="AP2984" s="87"/>
      <c r="AQ2984" s="87" t="s">
        <v>17471</v>
      </c>
      <c r="AR2984" s="87"/>
      <c r="AS2984" s="87"/>
      <c r="AT2984" s="87"/>
      <c r="AU2984" s="87"/>
      <c r="AV2984" s="92" t="str">
        <f>HYPERLINK("https://pbs.twimg.com/media/F0IChmoWwAEXJMF.jpg")</f>
        <v>https://pbs.twimg.com/media/F0IChmoWwAEXJMF.jpg</v>
      </c>
      <c r="AW2984" s="93" t="s">
        <v>21134</v>
      </c>
      <c r="AX2984" s="93" t="s">
        <v>21134</v>
      </c>
      <c r="AY2984" s="87"/>
      <c r="AZ2984" s="93" t="s">
        <v>22668</v>
      </c>
      <c r="BA2984" s="93" t="s">
        <v>22668</v>
      </c>
      <c r="BB2984" s="93" t="s">
        <v>22668</v>
      </c>
      <c r="BC2984" s="93" t="s">
        <v>21134</v>
      </c>
      <c r="BD2984" s="87">
        <v>170510606</v>
      </c>
      <c r="BE2984" s="87"/>
      <c r="BF2984" s="87"/>
      <c r="BG2984" s="87"/>
      <c r="BH2984" s="87"/>
      <c r="BI2984" s="87"/>
    </row>
    <row r="2985" spans="1:61" x14ac:dyDescent="0.25">
      <c r="A2985" s="63" t="s">
        <v>1121</v>
      </c>
      <c r="B2985" s="63" t="s">
        <v>1594</v>
      </c>
      <c r="C2985" s="64"/>
      <c r="D2985" s="65"/>
      <c r="E2985" s="66"/>
      <c r="F2985" s="67"/>
      <c r="G2985" s="64"/>
      <c r="H2985" s="68"/>
      <c r="I2985" s="69"/>
      <c r="J2985" s="69"/>
      <c r="K2985" s="32"/>
      <c r="L2985" s="76">
        <v>2985</v>
      </c>
      <c r="M2985" s="76"/>
      <c r="N2985" s="71"/>
      <c r="O2985" s="87" t="s">
        <v>1842</v>
      </c>
      <c r="P2985" s="90">
        <v>45147.267094907409</v>
      </c>
      <c r="Q2985" s="87" t="s">
        <v>4687</v>
      </c>
      <c r="R2985" s="87">
        <v>0</v>
      </c>
      <c r="S2985" s="87">
        <v>4</v>
      </c>
      <c r="T2985" s="87">
        <v>2</v>
      </c>
      <c r="U2985" s="87">
        <v>0</v>
      </c>
      <c r="V2985" s="87">
        <v>608</v>
      </c>
      <c r="W2985" s="93" t="s">
        <v>7524</v>
      </c>
      <c r="X2985" s="87"/>
      <c r="Y2985" s="87"/>
      <c r="Z2985" s="87"/>
      <c r="AA2985" s="87"/>
      <c r="AB2985" s="87"/>
      <c r="AC2985" s="93" t="s">
        <v>11458</v>
      </c>
      <c r="AD2985" s="87" t="s">
        <v>11519</v>
      </c>
      <c r="AE2985" s="92" t="str">
        <f>HYPERLINK("https://twitter.com/mwanamukongo/status/1689160737661288448")</f>
        <v>https://twitter.com/mwanamukongo/status/1689160737661288448</v>
      </c>
      <c r="AF2985" s="90">
        <v>45147.267094907409</v>
      </c>
      <c r="AG2985" s="99">
        <v>45147</v>
      </c>
      <c r="AH2985" s="93" t="s">
        <v>14200</v>
      </c>
      <c r="AI2985" s="87"/>
      <c r="AJ2985" s="87"/>
      <c r="AK2985" s="87"/>
      <c r="AL2985" s="87"/>
      <c r="AM2985" s="87"/>
      <c r="AN2985" s="87"/>
      <c r="AO2985" s="87"/>
      <c r="AP2985" s="87"/>
      <c r="AQ2985" s="87"/>
      <c r="AR2985" s="87"/>
      <c r="AS2985" s="87"/>
      <c r="AT2985" s="87"/>
      <c r="AU2985" s="87"/>
      <c r="AV2985" s="92" t="str">
        <f>HYPERLINK("https://pbs.twimg.com/profile_images/1694689885100072960/RsE3e_Yz_normal.jpg")</f>
        <v>https://pbs.twimg.com/profile_images/1694689885100072960/RsE3e_Yz_normal.jpg</v>
      </c>
      <c r="AW2985" s="93" t="s">
        <v>21135</v>
      </c>
      <c r="AX2985" s="93" t="s">
        <v>21135</v>
      </c>
      <c r="AY2985" s="87"/>
      <c r="AZ2985" s="93" t="s">
        <v>22668</v>
      </c>
      <c r="BA2985" s="93" t="s">
        <v>22232</v>
      </c>
      <c r="BB2985" s="93" t="s">
        <v>22668</v>
      </c>
      <c r="BC2985" s="93" t="s">
        <v>22232</v>
      </c>
      <c r="BD2985" s="93" t="s">
        <v>23310</v>
      </c>
      <c r="BE2985" s="87"/>
      <c r="BF2985" s="87"/>
      <c r="BG2985" s="87"/>
      <c r="BH2985" s="87"/>
      <c r="BI2985" s="87"/>
    </row>
    <row r="2986" spans="1:61" x14ac:dyDescent="0.25">
      <c r="A2986" s="63" t="s">
        <v>1122</v>
      </c>
      <c r="B2986" s="63" t="s">
        <v>1122</v>
      </c>
      <c r="C2986" s="64"/>
      <c r="D2986" s="65"/>
      <c r="E2986" s="66"/>
      <c r="F2986" s="67"/>
      <c r="G2986" s="64"/>
      <c r="H2986" s="68"/>
      <c r="I2986" s="69"/>
      <c r="J2986" s="69"/>
      <c r="K2986" s="32"/>
      <c r="L2986" s="76">
        <v>2986</v>
      </c>
      <c r="M2986" s="76"/>
      <c r="N2986" s="71"/>
      <c r="O2986" s="87" t="s">
        <v>179</v>
      </c>
      <c r="P2986" s="90">
        <v>45175.585138888891</v>
      </c>
      <c r="Q2986" s="87" t="s">
        <v>4688</v>
      </c>
      <c r="R2986" s="87">
        <v>0</v>
      </c>
      <c r="S2986" s="87">
        <v>0</v>
      </c>
      <c r="T2986" s="87">
        <v>0</v>
      </c>
      <c r="U2986" s="87">
        <v>0</v>
      </c>
      <c r="V2986" s="87">
        <v>3</v>
      </c>
      <c r="W2986" s="93" t="s">
        <v>6321</v>
      </c>
      <c r="X2986" s="92" t="str">
        <f>HYPERLINK("https://divulgarmeunegocio.com.br/2023/08/o-poder-do-pensamento-criativo-no-empreendedorismo/")</f>
        <v>https://divulgarmeunegocio.com.br/2023/08/o-poder-do-pensamento-criativo-no-empreendedorismo/</v>
      </c>
      <c r="Y2986" s="87" t="s">
        <v>8373</v>
      </c>
      <c r="Z2986" s="87"/>
      <c r="AA2986" s="87" t="s">
        <v>10660</v>
      </c>
      <c r="AB2986" s="87" t="s">
        <v>11448</v>
      </c>
      <c r="AC2986" s="93" t="s">
        <v>11489</v>
      </c>
      <c r="AD2986" s="87" t="s">
        <v>11519</v>
      </c>
      <c r="AE2986" s="92" t="str">
        <f>HYPERLINK("https://twitter.com/divulgaragencia/status/1699422854322798597")</f>
        <v>https://twitter.com/divulgaragencia/status/1699422854322798597</v>
      </c>
      <c r="AF2986" s="90">
        <v>45175.585138888891</v>
      </c>
      <c r="AG2986" s="99">
        <v>45175</v>
      </c>
      <c r="AH2986" s="93" t="s">
        <v>14201</v>
      </c>
      <c r="AI2986" s="87" t="b">
        <v>0</v>
      </c>
      <c r="AJ2986" s="87"/>
      <c r="AK2986" s="87"/>
      <c r="AL2986" s="87"/>
      <c r="AM2986" s="87"/>
      <c r="AN2986" s="87"/>
      <c r="AO2986" s="87"/>
      <c r="AP2986" s="87"/>
      <c r="AQ2986" s="87" t="s">
        <v>17472</v>
      </c>
      <c r="AR2986" s="87"/>
      <c r="AS2986" s="87"/>
      <c r="AT2986" s="87"/>
      <c r="AU2986" s="87"/>
      <c r="AV2986" s="92" t="str">
        <f>HYPERLINK("https://pbs.twimg.com/media/F5WQFG5XoAM76iv.jpg")</f>
        <v>https://pbs.twimg.com/media/F5WQFG5XoAM76iv.jpg</v>
      </c>
      <c r="AW2986" s="93" t="s">
        <v>21136</v>
      </c>
      <c r="AX2986" s="93" t="s">
        <v>21136</v>
      </c>
      <c r="AY2986" s="87"/>
      <c r="AZ2986" s="93" t="s">
        <v>22668</v>
      </c>
      <c r="BA2986" s="93" t="s">
        <v>22668</v>
      </c>
      <c r="BB2986" s="93" t="s">
        <v>22668</v>
      </c>
      <c r="BC2986" s="93" t="s">
        <v>21136</v>
      </c>
      <c r="BD2986" s="87">
        <v>2412706957</v>
      </c>
      <c r="BE2986" s="87"/>
      <c r="BF2986" s="87"/>
      <c r="BG2986" s="87"/>
      <c r="BH2986" s="87"/>
      <c r="BI2986" s="87"/>
    </row>
    <row r="2987" spans="1:61" x14ac:dyDescent="0.25">
      <c r="A2987" s="63" t="s">
        <v>1123</v>
      </c>
      <c r="B2987" s="63" t="s">
        <v>1123</v>
      </c>
      <c r="C2987" s="64"/>
      <c r="D2987" s="65"/>
      <c r="E2987" s="66"/>
      <c r="F2987" s="67"/>
      <c r="G2987" s="64"/>
      <c r="H2987" s="68"/>
      <c r="I2987" s="69"/>
      <c r="J2987" s="69"/>
      <c r="K2987" s="32"/>
      <c r="L2987" s="76">
        <v>2987</v>
      </c>
      <c r="M2987" s="76"/>
      <c r="N2987" s="71"/>
      <c r="O2987" s="87" t="s">
        <v>1840</v>
      </c>
      <c r="P2987" s="90">
        <v>45118.792766203704</v>
      </c>
      <c r="Q2987" s="87" t="s">
        <v>4689</v>
      </c>
      <c r="R2987" s="87">
        <v>0</v>
      </c>
      <c r="S2987" s="87">
        <v>1</v>
      </c>
      <c r="T2987" s="87">
        <v>0</v>
      </c>
      <c r="U2987" s="87">
        <v>0</v>
      </c>
      <c r="V2987" s="87">
        <v>9</v>
      </c>
      <c r="W2987" s="93" t="s">
        <v>7525</v>
      </c>
      <c r="X2987" s="87"/>
      <c r="Y2987" s="87"/>
      <c r="Z2987" s="87"/>
      <c r="AA2987" s="87"/>
      <c r="AB2987" s="87"/>
      <c r="AC2987" s="93" t="s">
        <v>11457</v>
      </c>
      <c r="AD2987" s="87" t="s">
        <v>11519</v>
      </c>
      <c r="AE2987" s="92" t="str">
        <f>HYPERLINK("https://twitter.com/nebulahousetech/status/1678841984004284416")</f>
        <v>https://twitter.com/nebulahousetech/status/1678841984004284416</v>
      </c>
      <c r="AF2987" s="90">
        <v>45118.792766203704</v>
      </c>
      <c r="AG2987" s="99">
        <v>45118</v>
      </c>
      <c r="AH2987" s="93" t="s">
        <v>14202</v>
      </c>
      <c r="AI2987" s="87"/>
      <c r="AJ2987" s="87"/>
      <c r="AK2987" s="87"/>
      <c r="AL2987" s="87"/>
      <c r="AM2987" s="87"/>
      <c r="AN2987" s="87"/>
      <c r="AO2987" s="87"/>
      <c r="AP2987" s="87"/>
      <c r="AQ2987" s="87"/>
      <c r="AR2987" s="87"/>
      <c r="AS2987" s="87"/>
      <c r="AT2987" s="87"/>
      <c r="AU2987" s="87"/>
      <c r="AV2987" s="92" t="str">
        <f>HYPERLINK("https://pbs.twimg.com/profile_images/1593312565681164289/2saNqO-h_normal.jpg")</f>
        <v>https://pbs.twimg.com/profile_images/1593312565681164289/2saNqO-h_normal.jpg</v>
      </c>
      <c r="AW2987" s="93" t="s">
        <v>21137</v>
      </c>
      <c r="AX2987" s="93" t="s">
        <v>22444</v>
      </c>
      <c r="AY2987" s="93" t="s">
        <v>22616</v>
      </c>
      <c r="AZ2987" s="93" t="s">
        <v>22748</v>
      </c>
      <c r="BA2987" s="93" t="s">
        <v>22668</v>
      </c>
      <c r="BB2987" s="93" t="s">
        <v>22668</v>
      </c>
      <c r="BC2987" s="93" t="s">
        <v>22748</v>
      </c>
      <c r="BD2987" s="93" t="s">
        <v>22616</v>
      </c>
      <c r="BE2987" s="87"/>
      <c r="BF2987" s="87"/>
      <c r="BG2987" s="87"/>
      <c r="BH2987" s="87"/>
      <c r="BI2987" s="87"/>
    </row>
    <row r="2988" spans="1:61" x14ac:dyDescent="0.25">
      <c r="A2988" s="63" t="s">
        <v>1124</v>
      </c>
      <c r="B2988" s="63" t="s">
        <v>1124</v>
      </c>
      <c r="C2988" s="64"/>
      <c r="D2988" s="65"/>
      <c r="E2988" s="66"/>
      <c r="F2988" s="67"/>
      <c r="G2988" s="64"/>
      <c r="H2988" s="68"/>
      <c r="I2988" s="69"/>
      <c r="J2988" s="69"/>
      <c r="K2988" s="32"/>
      <c r="L2988" s="76">
        <v>2988</v>
      </c>
      <c r="M2988" s="76"/>
      <c r="N2988" s="71"/>
      <c r="O2988" s="87" t="s">
        <v>179</v>
      </c>
      <c r="P2988" s="90">
        <v>45128.522557870368</v>
      </c>
      <c r="Q2988" s="87" t="s">
        <v>4690</v>
      </c>
      <c r="R2988" s="87">
        <v>0</v>
      </c>
      <c r="S2988" s="87">
        <v>1</v>
      </c>
      <c r="T2988" s="87">
        <v>0</v>
      </c>
      <c r="U2988" s="87">
        <v>0</v>
      </c>
      <c r="V2988" s="87">
        <v>79</v>
      </c>
      <c r="W2988" s="93" t="s">
        <v>7526</v>
      </c>
      <c r="X2988" s="87"/>
      <c r="Y2988" s="87"/>
      <c r="Z2988" s="87"/>
      <c r="AA2988" s="87" t="s">
        <v>10661</v>
      </c>
      <c r="AB2988" s="87" t="s">
        <v>11447</v>
      </c>
      <c r="AC2988" s="93" t="s">
        <v>11459</v>
      </c>
      <c r="AD2988" s="87" t="s">
        <v>11519</v>
      </c>
      <c r="AE2988" s="92" t="str">
        <f>HYPERLINK("https://twitter.com/rotafruticultu1/status/1682367942472749057")</f>
        <v>https://twitter.com/rotafruticultu1/status/1682367942472749057</v>
      </c>
      <c r="AF2988" s="90">
        <v>45128.522557870368</v>
      </c>
      <c r="AG2988" s="99">
        <v>45128</v>
      </c>
      <c r="AH2988" s="93" t="s">
        <v>14203</v>
      </c>
      <c r="AI2988" s="87" t="b">
        <v>0</v>
      </c>
      <c r="AJ2988" s="87"/>
      <c r="AK2988" s="87"/>
      <c r="AL2988" s="87"/>
      <c r="AM2988" s="87"/>
      <c r="AN2988" s="87"/>
      <c r="AO2988" s="87"/>
      <c r="AP2988" s="87"/>
      <c r="AQ2988" s="87" t="s">
        <v>17473</v>
      </c>
      <c r="AR2988" s="87">
        <v>55800</v>
      </c>
      <c r="AS2988" s="87"/>
      <c r="AT2988" s="87"/>
      <c r="AU2988" s="87"/>
      <c r="AV2988" s="92" t="str">
        <f>HYPERLINK("https://pbs.twimg.com/ext_tw_video_thumb/1682367788961128449/pu/img/OJ2RGbiUd83rmYrL.jpg")</f>
        <v>https://pbs.twimg.com/ext_tw_video_thumb/1682367788961128449/pu/img/OJ2RGbiUd83rmYrL.jpg</v>
      </c>
      <c r="AW2988" s="93" t="s">
        <v>21138</v>
      </c>
      <c r="AX2988" s="93" t="s">
        <v>21138</v>
      </c>
      <c r="AY2988" s="87"/>
      <c r="AZ2988" s="93" t="s">
        <v>22668</v>
      </c>
      <c r="BA2988" s="93" t="s">
        <v>22668</v>
      </c>
      <c r="BB2988" s="93" t="s">
        <v>22668</v>
      </c>
      <c r="BC2988" s="93" t="s">
        <v>21138</v>
      </c>
      <c r="BD2988" s="93" t="s">
        <v>23311</v>
      </c>
      <c r="BE2988" s="87"/>
      <c r="BF2988" s="87"/>
      <c r="BG2988" s="87"/>
      <c r="BH2988" s="87"/>
      <c r="BI2988" s="87"/>
    </row>
    <row r="2989" spans="1:61" x14ac:dyDescent="0.25">
      <c r="A2989" s="63" t="s">
        <v>1125</v>
      </c>
      <c r="B2989" s="63" t="s">
        <v>1761</v>
      </c>
      <c r="C2989" s="64"/>
      <c r="D2989" s="65"/>
      <c r="E2989" s="66"/>
      <c r="F2989" s="67"/>
      <c r="G2989" s="64"/>
      <c r="H2989" s="68"/>
      <c r="I2989" s="69"/>
      <c r="J2989" s="69"/>
      <c r="K2989" s="32"/>
      <c r="L2989" s="76">
        <v>2989</v>
      </c>
      <c r="M2989" s="76"/>
      <c r="N2989" s="71"/>
      <c r="O2989" s="87" t="s">
        <v>1839</v>
      </c>
      <c r="P2989" s="90">
        <v>45117.434305555558</v>
      </c>
      <c r="Q2989" s="87" t="s">
        <v>4691</v>
      </c>
      <c r="R2989" s="87">
        <v>0</v>
      </c>
      <c r="S2989" s="87">
        <v>1</v>
      </c>
      <c r="T2989" s="87">
        <v>0</v>
      </c>
      <c r="U2989" s="87">
        <v>0</v>
      </c>
      <c r="V2989" s="87">
        <v>25</v>
      </c>
      <c r="W2989" s="93" t="s">
        <v>7527</v>
      </c>
      <c r="X2989" s="87"/>
      <c r="Y2989" s="87"/>
      <c r="Z2989" s="87" t="s">
        <v>1761</v>
      </c>
      <c r="AA2989" s="87" t="s">
        <v>10662</v>
      </c>
      <c r="AB2989" s="87" t="s">
        <v>11447</v>
      </c>
      <c r="AC2989" s="93" t="s">
        <v>11460</v>
      </c>
      <c r="AD2989" s="87" t="s">
        <v>11519</v>
      </c>
      <c r="AE2989" s="92" t="str">
        <f>HYPERLINK("https://twitter.com/joaonetoupcont/status/1678349698107600903")</f>
        <v>https://twitter.com/joaonetoupcont/status/1678349698107600903</v>
      </c>
      <c r="AF2989" s="90">
        <v>45117.434305555558</v>
      </c>
      <c r="AG2989" s="99">
        <v>45117</v>
      </c>
      <c r="AH2989" s="93" t="s">
        <v>14204</v>
      </c>
      <c r="AI2989" s="87" t="b">
        <v>0</v>
      </c>
      <c r="AJ2989" s="87"/>
      <c r="AK2989" s="87"/>
      <c r="AL2989" s="87"/>
      <c r="AM2989" s="87"/>
      <c r="AN2989" s="87"/>
      <c r="AO2989" s="87"/>
      <c r="AP2989" s="87"/>
      <c r="AQ2989" s="87" t="s">
        <v>17474</v>
      </c>
      <c r="AR2989" s="87">
        <v>55573</v>
      </c>
      <c r="AS2989" s="87"/>
      <c r="AT2989" s="87"/>
      <c r="AU2989" s="87"/>
      <c r="AV2989" s="92" t="str">
        <f>HYPERLINK("https://pbs.twimg.com/ext_tw_video_thumb/1678349628834455553/pu/img/5KNfPkJNaR8VSkpn.jpg")</f>
        <v>https://pbs.twimg.com/ext_tw_video_thumb/1678349628834455553/pu/img/5KNfPkJNaR8VSkpn.jpg</v>
      </c>
      <c r="AW2989" s="93" t="s">
        <v>21139</v>
      </c>
      <c r="AX2989" s="93" t="s">
        <v>21139</v>
      </c>
      <c r="AY2989" s="87"/>
      <c r="AZ2989" s="93" t="s">
        <v>22668</v>
      </c>
      <c r="BA2989" s="93" t="s">
        <v>22668</v>
      </c>
      <c r="BB2989" s="93" t="s">
        <v>22668</v>
      </c>
      <c r="BC2989" s="93" t="s">
        <v>21139</v>
      </c>
      <c r="BD2989" s="93" t="s">
        <v>23312</v>
      </c>
      <c r="BE2989" s="87"/>
      <c r="BF2989" s="87"/>
      <c r="BG2989" s="87"/>
      <c r="BH2989" s="87"/>
      <c r="BI2989" s="87"/>
    </row>
    <row r="2990" spans="1:61" x14ac:dyDescent="0.25">
      <c r="A2990" s="63" t="s">
        <v>1125</v>
      </c>
      <c r="B2990" s="63" t="s">
        <v>1762</v>
      </c>
      <c r="C2990" s="64"/>
      <c r="D2990" s="65"/>
      <c r="E2990" s="66"/>
      <c r="F2990" s="67"/>
      <c r="G2990" s="64"/>
      <c r="H2990" s="68"/>
      <c r="I2990" s="69"/>
      <c r="J2990" s="69"/>
      <c r="K2990" s="32"/>
      <c r="L2990" s="76">
        <v>2990</v>
      </c>
      <c r="M2990" s="76"/>
      <c r="N2990" s="71"/>
      <c r="O2990" s="87" t="s">
        <v>1839</v>
      </c>
      <c r="P2990" s="90">
        <v>45112.420555555553</v>
      </c>
      <c r="Q2990" s="87" t="s">
        <v>4692</v>
      </c>
      <c r="R2990" s="87">
        <v>0</v>
      </c>
      <c r="S2990" s="87">
        <v>0</v>
      </c>
      <c r="T2990" s="87">
        <v>1</v>
      </c>
      <c r="U2990" s="87">
        <v>0</v>
      </c>
      <c r="V2990" s="87">
        <v>13</v>
      </c>
      <c r="W2990" s="93" t="s">
        <v>7528</v>
      </c>
      <c r="X2990" s="87"/>
      <c r="Y2990" s="87"/>
      <c r="Z2990" s="87" t="s">
        <v>8602</v>
      </c>
      <c r="AA2990" s="87" t="s">
        <v>10663</v>
      </c>
      <c r="AB2990" s="87" t="s">
        <v>11447</v>
      </c>
      <c r="AC2990" s="93" t="s">
        <v>11460</v>
      </c>
      <c r="AD2990" s="87" t="s">
        <v>11519</v>
      </c>
      <c r="AE2990" s="92" t="str">
        <f>HYPERLINK("https://twitter.com/joaonetoupcont/status/1676532772351926272")</f>
        <v>https://twitter.com/joaonetoupcont/status/1676532772351926272</v>
      </c>
      <c r="AF2990" s="90">
        <v>45112.420555555553</v>
      </c>
      <c r="AG2990" s="99">
        <v>45112</v>
      </c>
      <c r="AH2990" s="93" t="s">
        <v>14205</v>
      </c>
      <c r="AI2990" s="87" t="b">
        <v>0</v>
      </c>
      <c r="AJ2990" s="87"/>
      <c r="AK2990" s="87"/>
      <c r="AL2990" s="87"/>
      <c r="AM2990" s="87"/>
      <c r="AN2990" s="87"/>
      <c r="AO2990" s="87"/>
      <c r="AP2990" s="87"/>
      <c r="AQ2990" s="87" t="s">
        <v>17475</v>
      </c>
      <c r="AR2990" s="87">
        <v>47552</v>
      </c>
      <c r="AS2990" s="87"/>
      <c r="AT2990" s="87"/>
      <c r="AU2990" s="87"/>
      <c r="AV2990" s="92" t="str">
        <f>HYPERLINK("https://pbs.twimg.com/ext_tw_video_thumb/1676532725677801472/pu/img/3exx7eDShdgtmN1p.jpg")</f>
        <v>https://pbs.twimg.com/ext_tw_video_thumb/1676532725677801472/pu/img/3exx7eDShdgtmN1p.jpg</v>
      </c>
      <c r="AW2990" s="93" t="s">
        <v>21140</v>
      </c>
      <c r="AX2990" s="93" t="s">
        <v>21140</v>
      </c>
      <c r="AY2990" s="87"/>
      <c r="AZ2990" s="93" t="s">
        <v>22668</v>
      </c>
      <c r="BA2990" s="93" t="s">
        <v>22668</v>
      </c>
      <c r="BB2990" s="93" t="s">
        <v>22668</v>
      </c>
      <c r="BC2990" s="93" t="s">
        <v>21140</v>
      </c>
      <c r="BD2990" s="93" t="s">
        <v>23312</v>
      </c>
      <c r="BE2990" s="87"/>
      <c r="BF2990" s="87"/>
      <c r="BG2990" s="87"/>
      <c r="BH2990" s="87"/>
      <c r="BI2990" s="87"/>
    </row>
    <row r="2991" spans="1:61" x14ac:dyDescent="0.25">
      <c r="A2991" s="63" t="s">
        <v>1125</v>
      </c>
      <c r="B2991" s="63" t="s">
        <v>1763</v>
      </c>
      <c r="C2991" s="64"/>
      <c r="D2991" s="65"/>
      <c r="E2991" s="66"/>
      <c r="F2991" s="67"/>
      <c r="G2991" s="64"/>
      <c r="H2991" s="68"/>
      <c r="I2991" s="69"/>
      <c r="J2991" s="69"/>
      <c r="K2991" s="32"/>
      <c r="L2991" s="76">
        <v>2991</v>
      </c>
      <c r="M2991" s="76"/>
      <c r="N2991" s="71"/>
      <c r="O2991" s="87" t="s">
        <v>1839</v>
      </c>
      <c r="P2991" s="90">
        <v>45112.420555555553</v>
      </c>
      <c r="Q2991" s="87" t="s">
        <v>4692</v>
      </c>
      <c r="R2991" s="87">
        <v>0</v>
      </c>
      <c r="S2991" s="87">
        <v>0</v>
      </c>
      <c r="T2991" s="87">
        <v>1</v>
      </c>
      <c r="U2991" s="87">
        <v>0</v>
      </c>
      <c r="V2991" s="87">
        <v>13</v>
      </c>
      <c r="W2991" s="93" t="s">
        <v>7528</v>
      </c>
      <c r="X2991" s="87"/>
      <c r="Y2991" s="87"/>
      <c r="Z2991" s="87" t="s">
        <v>8602</v>
      </c>
      <c r="AA2991" s="87" t="s">
        <v>10663</v>
      </c>
      <c r="AB2991" s="87" t="s">
        <v>11447</v>
      </c>
      <c r="AC2991" s="93" t="s">
        <v>11460</v>
      </c>
      <c r="AD2991" s="87" t="s">
        <v>11519</v>
      </c>
      <c r="AE2991" s="92" t="str">
        <f>HYPERLINK("https://twitter.com/joaonetoupcont/status/1676532772351926272")</f>
        <v>https://twitter.com/joaonetoupcont/status/1676532772351926272</v>
      </c>
      <c r="AF2991" s="90">
        <v>45112.420555555553</v>
      </c>
      <c r="AG2991" s="99">
        <v>45112</v>
      </c>
      <c r="AH2991" s="93" t="s">
        <v>14205</v>
      </c>
      <c r="AI2991" s="87" t="b">
        <v>0</v>
      </c>
      <c r="AJ2991" s="87"/>
      <c r="AK2991" s="87"/>
      <c r="AL2991" s="87"/>
      <c r="AM2991" s="87"/>
      <c r="AN2991" s="87"/>
      <c r="AO2991" s="87"/>
      <c r="AP2991" s="87"/>
      <c r="AQ2991" s="87" t="s">
        <v>17475</v>
      </c>
      <c r="AR2991" s="87">
        <v>47552</v>
      </c>
      <c r="AS2991" s="87"/>
      <c r="AT2991" s="87"/>
      <c r="AU2991" s="87"/>
      <c r="AV2991" s="92" t="str">
        <f>HYPERLINK("https://pbs.twimg.com/ext_tw_video_thumb/1676532725677801472/pu/img/3exx7eDShdgtmN1p.jpg")</f>
        <v>https://pbs.twimg.com/ext_tw_video_thumb/1676532725677801472/pu/img/3exx7eDShdgtmN1p.jpg</v>
      </c>
      <c r="AW2991" s="93" t="s">
        <v>21140</v>
      </c>
      <c r="AX2991" s="93" t="s">
        <v>21140</v>
      </c>
      <c r="AY2991" s="87"/>
      <c r="AZ2991" s="93" t="s">
        <v>22668</v>
      </c>
      <c r="BA2991" s="93" t="s">
        <v>22668</v>
      </c>
      <c r="BB2991" s="93" t="s">
        <v>22668</v>
      </c>
      <c r="BC2991" s="93" t="s">
        <v>21140</v>
      </c>
      <c r="BD2991" s="93" t="s">
        <v>23312</v>
      </c>
      <c r="BE2991" s="87"/>
      <c r="BF2991" s="87"/>
      <c r="BG2991" s="87"/>
      <c r="BH2991" s="87"/>
      <c r="BI2991" s="87"/>
    </row>
    <row r="2992" spans="1:61" x14ac:dyDescent="0.25">
      <c r="A2992" s="63" t="s">
        <v>1125</v>
      </c>
      <c r="B2992" s="63" t="s">
        <v>1764</v>
      </c>
      <c r="C2992" s="64"/>
      <c r="D2992" s="65"/>
      <c r="E2992" s="66"/>
      <c r="F2992" s="67"/>
      <c r="G2992" s="64"/>
      <c r="H2992" s="68"/>
      <c r="I2992" s="69"/>
      <c r="J2992" s="69"/>
      <c r="K2992" s="32"/>
      <c r="L2992" s="76">
        <v>2992</v>
      </c>
      <c r="M2992" s="76"/>
      <c r="N2992" s="71"/>
      <c r="O2992" s="87" t="s">
        <v>1839</v>
      </c>
      <c r="P2992" s="90">
        <v>45121.42046296296</v>
      </c>
      <c r="Q2992" s="87" t="s">
        <v>4693</v>
      </c>
      <c r="R2992" s="87">
        <v>0</v>
      </c>
      <c r="S2992" s="87">
        <v>1</v>
      </c>
      <c r="T2992" s="87">
        <v>0</v>
      </c>
      <c r="U2992" s="87">
        <v>0</v>
      </c>
      <c r="V2992" s="87">
        <v>7</v>
      </c>
      <c r="W2992" s="93" t="s">
        <v>7529</v>
      </c>
      <c r="X2992" s="87"/>
      <c r="Y2992" s="87"/>
      <c r="Z2992" s="87" t="s">
        <v>1764</v>
      </c>
      <c r="AA2992" s="87" t="s">
        <v>10664</v>
      </c>
      <c r="AB2992" s="87" t="s">
        <v>11447</v>
      </c>
      <c r="AC2992" s="93" t="s">
        <v>11460</v>
      </c>
      <c r="AD2992" s="87" t="s">
        <v>11519</v>
      </c>
      <c r="AE2992" s="92" t="str">
        <f>HYPERLINK("https://twitter.com/joaonetoupcont/status/1679794231630503936")</f>
        <v>https://twitter.com/joaonetoupcont/status/1679794231630503936</v>
      </c>
      <c r="AF2992" s="90">
        <v>45121.42046296296</v>
      </c>
      <c r="AG2992" s="99">
        <v>45121</v>
      </c>
      <c r="AH2992" s="93" t="s">
        <v>14206</v>
      </c>
      <c r="AI2992" s="87" t="b">
        <v>0</v>
      </c>
      <c r="AJ2992" s="87"/>
      <c r="AK2992" s="87"/>
      <c r="AL2992" s="87"/>
      <c r="AM2992" s="87"/>
      <c r="AN2992" s="87"/>
      <c r="AO2992" s="87"/>
      <c r="AP2992" s="87"/>
      <c r="AQ2992" s="87" t="s">
        <v>17476</v>
      </c>
      <c r="AR2992" s="87">
        <v>59008</v>
      </c>
      <c r="AS2992" s="87"/>
      <c r="AT2992" s="87"/>
      <c r="AU2992" s="87"/>
      <c r="AV2992" s="92" t="str">
        <f>HYPERLINK("https://pbs.twimg.com/ext_tw_video_thumb/1679794183228342273/pu/img/mxjlirC6EWr4Xhit.jpg")</f>
        <v>https://pbs.twimg.com/ext_tw_video_thumb/1679794183228342273/pu/img/mxjlirC6EWr4Xhit.jpg</v>
      </c>
      <c r="AW2992" s="93" t="s">
        <v>21141</v>
      </c>
      <c r="AX2992" s="93" t="s">
        <v>21141</v>
      </c>
      <c r="AY2992" s="87"/>
      <c r="AZ2992" s="93" t="s">
        <v>22668</v>
      </c>
      <c r="BA2992" s="93" t="s">
        <v>22668</v>
      </c>
      <c r="BB2992" s="93" t="s">
        <v>22668</v>
      </c>
      <c r="BC2992" s="93" t="s">
        <v>21141</v>
      </c>
      <c r="BD2992" s="93" t="s">
        <v>23312</v>
      </c>
      <c r="BE2992" s="87"/>
      <c r="BF2992" s="87"/>
      <c r="BG2992" s="87"/>
      <c r="BH2992" s="87"/>
      <c r="BI2992" s="87"/>
    </row>
    <row r="2993" spans="1:61" x14ac:dyDescent="0.25">
      <c r="A2993" s="63" t="s">
        <v>1125</v>
      </c>
      <c r="B2993" s="63" t="s">
        <v>1765</v>
      </c>
      <c r="C2993" s="64"/>
      <c r="D2993" s="65"/>
      <c r="E2993" s="66"/>
      <c r="F2993" s="67"/>
      <c r="G2993" s="64"/>
      <c r="H2993" s="68"/>
      <c r="I2993" s="69"/>
      <c r="J2993" s="69"/>
      <c r="K2993" s="32"/>
      <c r="L2993" s="76">
        <v>2993</v>
      </c>
      <c r="M2993" s="76"/>
      <c r="N2993" s="71"/>
      <c r="O2993" s="87" t="s">
        <v>1839</v>
      </c>
      <c r="P2993" s="90">
        <v>45124.420520833337</v>
      </c>
      <c r="Q2993" s="87" t="s">
        <v>4694</v>
      </c>
      <c r="R2993" s="87">
        <v>0</v>
      </c>
      <c r="S2993" s="87">
        <v>1</v>
      </c>
      <c r="T2993" s="87">
        <v>0</v>
      </c>
      <c r="U2993" s="87">
        <v>0</v>
      </c>
      <c r="V2993" s="87">
        <v>15</v>
      </c>
      <c r="W2993" s="93" t="s">
        <v>7530</v>
      </c>
      <c r="X2993" s="87"/>
      <c r="Y2993" s="87"/>
      <c r="Z2993" s="87" t="s">
        <v>1765</v>
      </c>
      <c r="AA2993" s="87" t="s">
        <v>10665</v>
      </c>
      <c r="AB2993" s="87" t="s">
        <v>11447</v>
      </c>
      <c r="AC2993" s="93" t="s">
        <v>11460</v>
      </c>
      <c r="AD2993" s="87" t="s">
        <v>11519</v>
      </c>
      <c r="AE2993" s="92" t="str">
        <f>HYPERLINK("https://twitter.com/joaonetoupcont/status/1680881414479179779")</f>
        <v>https://twitter.com/joaonetoupcont/status/1680881414479179779</v>
      </c>
      <c r="AF2993" s="90">
        <v>45124.420520833337</v>
      </c>
      <c r="AG2993" s="99">
        <v>45124</v>
      </c>
      <c r="AH2993" s="93" t="s">
        <v>14207</v>
      </c>
      <c r="AI2993" s="87" t="b">
        <v>0</v>
      </c>
      <c r="AJ2993" s="87"/>
      <c r="AK2993" s="87"/>
      <c r="AL2993" s="87"/>
      <c r="AM2993" s="87"/>
      <c r="AN2993" s="87"/>
      <c r="AO2993" s="87"/>
      <c r="AP2993" s="87"/>
      <c r="AQ2993" s="87" t="s">
        <v>17477</v>
      </c>
      <c r="AR2993" s="87">
        <v>59008</v>
      </c>
      <c r="AS2993" s="87"/>
      <c r="AT2993" s="87"/>
      <c r="AU2993" s="87"/>
      <c r="AV2993" s="92" t="str">
        <f>HYPERLINK("https://pbs.twimg.com/ext_tw_video_thumb/1680881339778596864/pu/img/6B1-6sxRBIwMwgrB.jpg")</f>
        <v>https://pbs.twimg.com/ext_tw_video_thumb/1680881339778596864/pu/img/6B1-6sxRBIwMwgrB.jpg</v>
      </c>
      <c r="AW2993" s="93" t="s">
        <v>21142</v>
      </c>
      <c r="AX2993" s="93" t="s">
        <v>21142</v>
      </c>
      <c r="AY2993" s="87"/>
      <c r="AZ2993" s="93" t="s">
        <v>22668</v>
      </c>
      <c r="BA2993" s="93" t="s">
        <v>22668</v>
      </c>
      <c r="BB2993" s="93" t="s">
        <v>22668</v>
      </c>
      <c r="BC2993" s="93" t="s">
        <v>21142</v>
      </c>
      <c r="BD2993" s="93" t="s">
        <v>23312</v>
      </c>
      <c r="BE2993" s="87"/>
      <c r="BF2993" s="87"/>
      <c r="BG2993" s="87"/>
      <c r="BH2993" s="87"/>
      <c r="BI2993" s="87"/>
    </row>
    <row r="2994" spans="1:61" x14ac:dyDescent="0.25">
      <c r="A2994" s="63" t="s">
        <v>1125</v>
      </c>
      <c r="B2994" s="63" t="s">
        <v>1125</v>
      </c>
      <c r="C2994" s="64"/>
      <c r="D2994" s="65"/>
      <c r="E2994" s="66"/>
      <c r="F2994" s="67"/>
      <c r="G2994" s="64"/>
      <c r="H2994" s="68"/>
      <c r="I2994" s="69"/>
      <c r="J2994" s="69"/>
      <c r="K2994" s="32"/>
      <c r="L2994" s="76">
        <v>2994</v>
      </c>
      <c r="M2994" s="76"/>
      <c r="N2994" s="71"/>
      <c r="O2994" s="87" t="s">
        <v>179</v>
      </c>
      <c r="P2994" s="90">
        <v>45114.428136574075</v>
      </c>
      <c r="Q2994" s="87" t="s">
        <v>4695</v>
      </c>
      <c r="R2994" s="87">
        <v>0</v>
      </c>
      <c r="S2994" s="87">
        <v>0</v>
      </c>
      <c r="T2994" s="87">
        <v>0</v>
      </c>
      <c r="U2994" s="87">
        <v>0</v>
      </c>
      <c r="V2994" s="87">
        <v>5</v>
      </c>
      <c r="W2994" s="93" t="s">
        <v>7531</v>
      </c>
      <c r="X2994" s="87"/>
      <c r="Y2994" s="87"/>
      <c r="Z2994" s="87"/>
      <c r="AA2994" s="87" t="s">
        <v>10666</v>
      </c>
      <c r="AB2994" s="87" t="s">
        <v>11447</v>
      </c>
      <c r="AC2994" s="93" t="s">
        <v>11460</v>
      </c>
      <c r="AD2994" s="87" t="s">
        <v>11519</v>
      </c>
      <c r="AE2994" s="92" t="str">
        <f>HYPERLINK("https://twitter.com/joaonetoupcont/status/1677260296392519682")</f>
        <v>https://twitter.com/joaonetoupcont/status/1677260296392519682</v>
      </c>
      <c r="AF2994" s="90">
        <v>45114.428136574075</v>
      </c>
      <c r="AG2994" s="99">
        <v>45114</v>
      </c>
      <c r="AH2994" s="93" t="s">
        <v>14208</v>
      </c>
      <c r="AI2994" s="87" t="b">
        <v>0</v>
      </c>
      <c r="AJ2994" s="87"/>
      <c r="AK2994" s="87"/>
      <c r="AL2994" s="87"/>
      <c r="AM2994" s="87"/>
      <c r="AN2994" s="87"/>
      <c r="AO2994" s="87"/>
      <c r="AP2994" s="87"/>
      <c r="AQ2994" s="87" t="s">
        <v>17478</v>
      </c>
      <c r="AR2994" s="87">
        <v>52629</v>
      </c>
      <c r="AS2994" s="87"/>
      <c r="AT2994" s="87"/>
      <c r="AU2994" s="87"/>
      <c r="AV2994" s="92" t="str">
        <f>HYPERLINK("https://pbs.twimg.com/ext_tw_video_thumb/1677260245163229185/pu/img/5Rdd-tWJ8EvPntrn.jpg")</f>
        <v>https://pbs.twimg.com/ext_tw_video_thumb/1677260245163229185/pu/img/5Rdd-tWJ8EvPntrn.jpg</v>
      </c>
      <c r="AW2994" s="93" t="s">
        <v>21143</v>
      </c>
      <c r="AX2994" s="93" t="s">
        <v>21143</v>
      </c>
      <c r="AY2994" s="87"/>
      <c r="AZ2994" s="93" t="s">
        <v>22668</v>
      </c>
      <c r="BA2994" s="93" t="s">
        <v>22668</v>
      </c>
      <c r="BB2994" s="93" t="s">
        <v>22668</v>
      </c>
      <c r="BC2994" s="93" t="s">
        <v>21143</v>
      </c>
      <c r="BD2994" s="93" t="s">
        <v>23312</v>
      </c>
      <c r="BE2994" s="87"/>
      <c r="BF2994" s="87"/>
      <c r="BG2994" s="87"/>
      <c r="BH2994" s="87"/>
      <c r="BI2994" s="87"/>
    </row>
    <row r="2995" spans="1:61" x14ac:dyDescent="0.25">
      <c r="A2995" s="63" t="s">
        <v>1125</v>
      </c>
      <c r="B2995" s="63" t="s">
        <v>1125</v>
      </c>
      <c r="C2995" s="64"/>
      <c r="D2995" s="65"/>
      <c r="E2995" s="66"/>
      <c r="F2995" s="67"/>
      <c r="G2995" s="64"/>
      <c r="H2995" s="68"/>
      <c r="I2995" s="69"/>
      <c r="J2995" s="69"/>
      <c r="K2995" s="32"/>
      <c r="L2995" s="76">
        <v>2995</v>
      </c>
      <c r="M2995" s="76"/>
      <c r="N2995" s="71"/>
      <c r="O2995" s="87" t="s">
        <v>179</v>
      </c>
      <c r="P2995" s="90">
        <v>45119.417291666665</v>
      </c>
      <c r="Q2995" s="87" t="s">
        <v>4696</v>
      </c>
      <c r="R2995" s="87">
        <v>0</v>
      </c>
      <c r="S2995" s="87">
        <v>0</v>
      </c>
      <c r="T2995" s="87">
        <v>0</v>
      </c>
      <c r="U2995" s="87">
        <v>0</v>
      </c>
      <c r="V2995" s="87">
        <v>21</v>
      </c>
      <c r="W2995" s="93" t="s">
        <v>7532</v>
      </c>
      <c r="X2995" s="87"/>
      <c r="Y2995" s="87"/>
      <c r="Z2995" s="87"/>
      <c r="AA2995" s="87" t="s">
        <v>10667</v>
      </c>
      <c r="AB2995" s="87" t="s">
        <v>11447</v>
      </c>
      <c r="AC2995" s="93" t="s">
        <v>11460</v>
      </c>
      <c r="AD2995" s="87" t="s">
        <v>11519</v>
      </c>
      <c r="AE2995" s="92" t="str">
        <f>HYPERLINK("https://twitter.com/joaonetoupcont/status/1679068304839671812")</f>
        <v>https://twitter.com/joaonetoupcont/status/1679068304839671812</v>
      </c>
      <c r="AF2995" s="90">
        <v>45119.417291666665</v>
      </c>
      <c r="AG2995" s="99">
        <v>45119</v>
      </c>
      <c r="AH2995" s="93" t="s">
        <v>14209</v>
      </c>
      <c r="AI2995" s="87" t="b">
        <v>0</v>
      </c>
      <c r="AJ2995" s="87"/>
      <c r="AK2995" s="87"/>
      <c r="AL2995" s="87"/>
      <c r="AM2995" s="87"/>
      <c r="AN2995" s="87"/>
      <c r="AO2995" s="87"/>
      <c r="AP2995" s="87"/>
      <c r="AQ2995" s="87" t="s">
        <v>17479</v>
      </c>
      <c r="AR2995" s="87">
        <v>51264</v>
      </c>
      <c r="AS2995" s="87"/>
      <c r="AT2995" s="87"/>
      <c r="AU2995" s="87"/>
      <c r="AV2995" s="92" t="str">
        <f>HYPERLINK("https://pbs.twimg.com/ext_tw_video_thumb/1679068232802529282/pu/img/QMy6_PfY1y51acKQ.jpg")</f>
        <v>https://pbs.twimg.com/ext_tw_video_thumb/1679068232802529282/pu/img/QMy6_PfY1y51acKQ.jpg</v>
      </c>
      <c r="AW2995" s="93" t="s">
        <v>21144</v>
      </c>
      <c r="AX2995" s="93" t="s">
        <v>21144</v>
      </c>
      <c r="AY2995" s="87"/>
      <c r="AZ2995" s="93" t="s">
        <v>22668</v>
      </c>
      <c r="BA2995" s="93" t="s">
        <v>22668</v>
      </c>
      <c r="BB2995" s="93" t="s">
        <v>22668</v>
      </c>
      <c r="BC2995" s="93" t="s">
        <v>21144</v>
      </c>
      <c r="BD2995" s="93" t="s">
        <v>23312</v>
      </c>
      <c r="BE2995" s="87"/>
      <c r="BF2995" s="87"/>
      <c r="BG2995" s="87"/>
      <c r="BH2995" s="87"/>
      <c r="BI2995" s="87"/>
    </row>
    <row r="2996" spans="1:61" x14ac:dyDescent="0.25">
      <c r="A2996" s="63" t="s">
        <v>1126</v>
      </c>
      <c r="B2996" s="63" t="s">
        <v>1126</v>
      </c>
      <c r="C2996" s="64"/>
      <c r="D2996" s="65"/>
      <c r="E2996" s="66"/>
      <c r="F2996" s="67"/>
      <c r="G2996" s="64"/>
      <c r="H2996" s="68"/>
      <c r="I2996" s="69"/>
      <c r="J2996" s="69"/>
      <c r="K2996" s="32"/>
      <c r="L2996" s="76">
        <v>2996</v>
      </c>
      <c r="M2996" s="76"/>
      <c r="N2996" s="71"/>
      <c r="O2996" s="87" t="s">
        <v>179</v>
      </c>
      <c r="P2996" s="90">
        <v>45135.611562500002</v>
      </c>
      <c r="Q2996" s="87" t="s">
        <v>4697</v>
      </c>
      <c r="R2996" s="87">
        <v>0</v>
      </c>
      <c r="S2996" s="87">
        <v>0</v>
      </c>
      <c r="T2996" s="87">
        <v>0</v>
      </c>
      <c r="U2996" s="87">
        <v>0</v>
      </c>
      <c r="V2996" s="87">
        <v>5</v>
      </c>
      <c r="W2996" s="93" t="s">
        <v>7533</v>
      </c>
      <c r="X2996" s="87"/>
      <c r="Y2996" s="87"/>
      <c r="Z2996" s="87"/>
      <c r="AA2996" s="87" t="s">
        <v>10668</v>
      </c>
      <c r="AB2996" s="87" t="s">
        <v>11447</v>
      </c>
      <c r="AC2996" s="93" t="s">
        <v>11460</v>
      </c>
      <c r="AD2996" s="87" t="s">
        <v>11519</v>
      </c>
      <c r="AE2996" s="92" t="str">
        <f>HYPERLINK("https://twitter.com/rascunhoagencia/status/1684936913881382912")</f>
        <v>https://twitter.com/rascunhoagencia/status/1684936913881382912</v>
      </c>
      <c r="AF2996" s="90">
        <v>45135.611562500002</v>
      </c>
      <c r="AG2996" s="99">
        <v>45135</v>
      </c>
      <c r="AH2996" s="93" t="s">
        <v>14210</v>
      </c>
      <c r="AI2996" s="87" t="b">
        <v>0</v>
      </c>
      <c r="AJ2996" s="87"/>
      <c r="AK2996" s="87"/>
      <c r="AL2996" s="87"/>
      <c r="AM2996" s="87"/>
      <c r="AN2996" s="87"/>
      <c r="AO2996" s="87"/>
      <c r="AP2996" s="87"/>
      <c r="AQ2996" s="87" t="s">
        <v>17480</v>
      </c>
      <c r="AR2996" s="87">
        <v>6942</v>
      </c>
      <c r="AS2996" s="87"/>
      <c r="AT2996" s="87"/>
      <c r="AU2996" s="87"/>
      <c r="AV2996" s="92" t="str">
        <f>HYPERLINK("https://pbs.twimg.com/ext_tw_video_thumb/1684936866607353857/pu/img/9i60qcMbI_jfUjx3.jpg")</f>
        <v>https://pbs.twimg.com/ext_tw_video_thumb/1684936866607353857/pu/img/9i60qcMbI_jfUjx3.jpg</v>
      </c>
      <c r="AW2996" s="93" t="s">
        <v>21145</v>
      </c>
      <c r="AX2996" s="93" t="s">
        <v>21145</v>
      </c>
      <c r="AY2996" s="87"/>
      <c r="AZ2996" s="93" t="s">
        <v>22668</v>
      </c>
      <c r="BA2996" s="93" t="s">
        <v>22668</v>
      </c>
      <c r="BB2996" s="93" t="s">
        <v>22668</v>
      </c>
      <c r="BC2996" s="93" t="s">
        <v>21145</v>
      </c>
      <c r="BD2996" s="93" t="s">
        <v>23313</v>
      </c>
      <c r="BE2996" s="87"/>
      <c r="BF2996" s="87"/>
      <c r="BG2996" s="87"/>
      <c r="BH2996" s="87"/>
      <c r="BI2996" s="87"/>
    </row>
    <row r="2997" spans="1:61" x14ac:dyDescent="0.25">
      <c r="A2997" s="63" t="s">
        <v>1126</v>
      </c>
      <c r="B2997" s="63" t="s">
        <v>1126</v>
      </c>
      <c r="C2997" s="64"/>
      <c r="D2997" s="65"/>
      <c r="E2997" s="66"/>
      <c r="F2997" s="67"/>
      <c r="G2997" s="64"/>
      <c r="H2997" s="68"/>
      <c r="I2997" s="69"/>
      <c r="J2997" s="69"/>
      <c r="K2997" s="32"/>
      <c r="L2997" s="76">
        <v>2997</v>
      </c>
      <c r="M2997" s="76"/>
      <c r="N2997" s="71"/>
      <c r="O2997" s="87" t="s">
        <v>179</v>
      </c>
      <c r="P2997" s="90">
        <v>45110.576585648145</v>
      </c>
      <c r="Q2997" s="87" t="s">
        <v>4698</v>
      </c>
      <c r="R2997" s="87">
        <v>0</v>
      </c>
      <c r="S2997" s="87">
        <v>1</v>
      </c>
      <c r="T2997" s="87">
        <v>0</v>
      </c>
      <c r="U2997" s="87">
        <v>0</v>
      </c>
      <c r="V2997" s="87">
        <v>21</v>
      </c>
      <c r="W2997" s="93" t="s">
        <v>7534</v>
      </c>
      <c r="X2997" s="92" t="str">
        <f>HYPERLINK("http://www.rascunhoagencia.com.br")</f>
        <v>http://www.rascunhoagencia.com.br</v>
      </c>
      <c r="Y2997" s="87" t="s">
        <v>8373</v>
      </c>
      <c r="Z2997" s="87"/>
      <c r="AA2997" s="87" t="s">
        <v>10669</v>
      </c>
      <c r="AB2997" s="87" t="s">
        <v>11448</v>
      </c>
      <c r="AC2997" s="93" t="s">
        <v>11460</v>
      </c>
      <c r="AD2997" s="87" t="s">
        <v>11519</v>
      </c>
      <c r="AE2997" s="92" t="str">
        <f>HYPERLINK("https://twitter.com/rascunhoagencia/status/1675864541769367553")</f>
        <v>https://twitter.com/rascunhoagencia/status/1675864541769367553</v>
      </c>
      <c r="AF2997" s="90">
        <v>45110.576585648145</v>
      </c>
      <c r="AG2997" s="99">
        <v>45110</v>
      </c>
      <c r="AH2997" s="93" t="s">
        <v>14211</v>
      </c>
      <c r="AI2997" s="87" t="b">
        <v>0</v>
      </c>
      <c r="AJ2997" s="87"/>
      <c r="AK2997" s="87"/>
      <c r="AL2997" s="87"/>
      <c r="AM2997" s="87"/>
      <c r="AN2997" s="87"/>
      <c r="AO2997" s="87"/>
      <c r="AP2997" s="87"/>
      <c r="AQ2997" s="87" t="s">
        <v>17481</v>
      </c>
      <c r="AR2997" s="87"/>
      <c r="AS2997" s="87"/>
      <c r="AT2997" s="87"/>
      <c r="AU2997" s="87"/>
      <c r="AV2997" s="92" t="str">
        <f>HYPERLINK("https://pbs.twimg.com/media/F0Hd61BWcAEm3ih.jpg")</f>
        <v>https://pbs.twimg.com/media/F0Hd61BWcAEm3ih.jpg</v>
      </c>
      <c r="AW2997" s="93" t="s">
        <v>21146</v>
      </c>
      <c r="AX2997" s="93" t="s">
        <v>21146</v>
      </c>
      <c r="AY2997" s="87"/>
      <c r="AZ2997" s="93" t="s">
        <v>22668</v>
      </c>
      <c r="BA2997" s="93" t="s">
        <v>22668</v>
      </c>
      <c r="BB2997" s="93" t="s">
        <v>22668</v>
      </c>
      <c r="BC2997" s="93" t="s">
        <v>21146</v>
      </c>
      <c r="BD2997" s="93" t="s">
        <v>23313</v>
      </c>
      <c r="BE2997" s="87"/>
      <c r="BF2997" s="87"/>
      <c r="BG2997" s="87"/>
      <c r="BH2997" s="87"/>
      <c r="BI2997" s="87"/>
    </row>
    <row r="2998" spans="1:61" x14ac:dyDescent="0.25">
      <c r="A2998" s="63" t="s">
        <v>1126</v>
      </c>
      <c r="B2998" s="63" t="s">
        <v>1126</v>
      </c>
      <c r="C2998" s="64"/>
      <c r="D2998" s="65"/>
      <c r="E2998" s="66"/>
      <c r="F2998" s="67"/>
      <c r="G2998" s="64"/>
      <c r="H2998" s="68"/>
      <c r="I2998" s="69"/>
      <c r="J2998" s="69"/>
      <c r="K2998" s="32"/>
      <c r="L2998" s="76">
        <v>2998</v>
      </c>
      <c r="M2998" s="76"/>
      <c r="N2998" s="71"/>
      <c r="O2998" s="87" t="s">
        <v>179</v>
      </c>
      <c r="P2998" s="90">
        <v>45147.917303240742</v>
      </c>
      <c r="Q2998" s="87" t="s">
        <v>4699</v>
      </c>
      <c r="R2998" s="87">
        <v>0</v>
      </c>
      <c r="S2998" s="87">
        <v>0</v>
      </c>
      <c r="T2998" s="87">
        <v>0</v>
      </c>
      <c r="U2998" s="87">
        <v>0</v>
      </c>
      <c r="V2998" s="87">
        <v>14</v>
      </c>
      <c r="W2998" s="93" t="s">
        <v>7535</v>
      </c>
      <c r="X2998" s="87"/>
      <c r="Y2998" s="87"/>
      <c r="Z2998" s="87"/>
      <c r="AA2998" s="87" t="s">
        <v>10670</v>
      </c>
      <c r="AB2998" s="87" t="s">
        <v>11450</v>
      </c>
      <c r="AC2998" s="93" t="s">
        <v>11460</v>
      </c>
      <c r="AD2998" s="87" t="s">
        <v>11519</v>
      </c>
      <c r="AE2998" s="92" t="str">
        <f>HYPERLINK("https://twitter.com/rascunhoagencia/status/1689396364730314752")</f>
        <v>https://twitter.com/rascunhoagencia/status/1689396364730314752</v>
      </c>
      <c r="AF2998" s="90">
        <v>45147.917303240742</v>
      </c>
      <c r="AG2998" s="99">
        <v>45147</v>
      </c>
      <c r="AH2998" s="93" t="s">
        <v>14212</v>
      </c>
      <c r="AI2998" s="87" t="b">
        <v>0</v>
      </c>
      <c r="AJ2998" s="87"/>
      <c r="AK2998" s="87"/>
      <c r="AL2998" s="87"/>
      <c r="AM2998" s="87"/>
      <c r="AN2998" s="87"/>
      <c r="AO2998" s="87"/>
      <c r="AP2998" s="87"/>
      <c r="AQ2998" s="87" t="s">
        <v>17482</v>
      </c>
      <c r="AR2998" s="87"/>
      <c r="AS2998" s="87"/>
      <c r="AT2998" s="87"/>
      <c r="AU2998" s="87"/>
      <c r="AV2998" s="92" t="str">
        <f>HYPERLINK("https://pbs.twimg.com/media/F3HxCJ4WYAAQUyI.jpg")</f>
        <v>https://pbs.twimg.com/media/F3HxCJ4WYAAQUyI.jpg</v>
      </c>
      <c r="AW2998" s="93" t="s">
        <v>21147</v>
      </c>
      <c r="AX2998" s="93" t="s">
        <v>21147</v>
      </c>
      <c r="AY2998" s="87"/>
      <c r="AZ2998" s="93" t="s">
        <v>22668</v>
      </c>
      <c r="BA2998" s="93" t="s">
        <v>22668</v>
      </c>
      <c r="BB2998" s="93" t="s">
        <v>22668</v>
      </c>
      <c r="BC2998" s="93" t="s">
        <v>21147</v>
      </c>
      <c r="BD2998" s="93" t="s">
        <v>23313</v>
      </c>
      <c r="BE2998" s="87"/>
      <c r="BF2998" s="87"/>
      <c r="BG2998" s="87"/>
      <c r="BH2998" s="87"/>
      <c r="BI2998" s="87"/>
    </row>
    <row r="2999" spans="1:61" x14ac:dyDescent="0.25">
      <c r="A2999" s="63" t="s">
        <v>1126</v>
      </c>
      <c r="B2999" s="63" t="s">
        <v>1126</v>
      </c>
      <c r="C2999" s="64"/>
      <c r="D2999" s="65"/>
      <c r="E2999" s="66"/>
      <c r="F2999" s="67"/>
      <c r="G2999" s="64"/>
      <c r="H2999" s="68"/>
      <c r="I2999" s="69"/>
      <c r="J2999" s="69"/>
      <c r="K2999" s="32"/>
      <c r="L2999" s="76">
        <v>2999</v>
      </c>
      <c r="M2999" s="76"/>
      <c r="N2999" s="71"/>
      <c r="O2999" s="87" t="s">
        <v>179</v>
      </c>
      <c r="P2999" s="90">
        <v>45166.802673611113</v>
      </c>
      <c r="Q2999" s="87" t="s">
        <v>4700</v>
      </c>
      <c r="R2999" s="87">
        <v>0</v>
      </c>
      <c r="S2999" s="87">
        <v>0</v>
      </c>
      <c r="T2999" s="87">
        <v>0</v>
      </c>
      <c r="U2999" s="87">
        <v>0</v>
      </c>
      <c r="V2999" s="87">
        <v>31</v>
      </c>
      <c r="W2999" s="93" t="s">
        <v>7536</v>
      </c>
      <c r="X2999" s="87"/>
      <c r="Y2999" s="87"/>
      <c r="Z2999" s="87"/>
      <c r="AA2999" s="87" t="s">
        <v>10671</v>
      </c>
      <c r="AB2999" s="87" t="s">
        <v>11447</v>
      </c>
      <c r="AC2999" s="93" t="s">
        <v>11460</v>
      </c>
      <c r="AD2999" s="87" t="s">
        <v>11519</v>
      </c>
      <c r="AE2999" s="92" t="str">
        <f>HYPERLINK("https://twitter.com/rascunhoagencia/status/1696240192699486556")</f>
        <v>https://twitter.com/rascunhoagencia/status/1696240192699486556</v>
      </c>
      <c r="AF2999" s="90">
        <v>45166.802673611113</v>
      </c>
      <c r="AG2999" s="99">
        <v>45166</v>
      </c>
      <c r="AH2999" s="93" t="s">
        <v>14213</v>
      </c>
      <c r="AI2999" s="87" t="b">
        <v>0</v>
      </c>
      <c r="AJ2999" s="87"/>
      <c r="AK2999" s="87"/>
      <c r="AL2999" s="87"/>
      <c r="AM2999" s="87"/>
      <c r="AN2999" s="87"/>
      <c r="AO2999" s="87"/>
      <c r="AP2999" s="87"/>
      <c r="AQ2999" s="87" t="s">
        <v>17483</v>
      </c>
      <c r="AR2999" s="87">
        <v>83600</v>
      </c>
      <c r="AS2999" s="87"/>
      <c r="AT2999" s="87"/>
      <c r="AU2999" s="87"/>
      <c r="AV2999" s="92" t="str">
        <f>HYPERLINK("https://pbs.twimg.com/ext_tw_video_thumb/1696240084079566848/pu/img/9QOZoGrYOE0L2mE6.jpg")</f>
        <v>https://pbs.twimg.com/ext_tw_video_thumb/1696240084079566848/pu/img/9QOZoGrYOE0L2mE6.jpg</v>
      </c>
      <c r="AW2999" s="93" t="s">
        <v>21148</v>
      </c>
      <c r="AX2999" s="93" t="s">
        <v>21148</v>
      </c>
      <c r="AY2999" s="87"/>
      <c r="AZ2999" s="93" t="s">
        <v>22668</v>
      </c>
      <c r="BA2999" s="93" t="s">
        <v>22668</v>
      </c>
      <c r="BB2999" s="93" t="s">
        <v>22668</v>
      </c>
      <c r="BC2999" s="93" t="s">
        <v>21148</v>
      </c>
      <c r="BD2999" s="93" t="s">
        <v>23313</v>
      </c>
      <c r="BE2999" s="87"/>
      <c r="BF2999" s="87"/>
      <c r="BG2999" s="87"/>
      <c r="BH2999" s="87"/>
      <c r="BI2999" s="87"/>
    </row>
    <row r="3000" spans="1:61" x14ac:dyDescent="0.25">
      <c r="A3000" s="63" t="s">
        <v>1126</v>
      </c>
      <c r="B3000" s="63" t="s">
        <v>1126</v>
      </c>
      <c r="C3000" s="64"/>
      <c r="D3000" s="65"/>
      <c r="E3000" s="66"/>
      <c r="F3000" s="67"/>
      <c r="G3000" s="64"/>
      <c r="H3000" s="68"/>
      <c r="I3000" s="69"/>
      <c r="J3000" s="69"/>
      <c r="K3000" s="32"/>
      <c r="L3000" s="76">
        <v>3000</v>
      </c>
      <c r="M3000" s="76"/>
      <c r="N3000" s="71"/>
      <c r="O3000" s="87" t="s">
        <v>179</v>
      </c>
      <c r="P3000" s="90">
        <v>45184.903310185182</v>
      </c>
      <c r="Q3000" s="87" t="s">
        <v>4701</v>
      </c>
      <c r="R3000" s="87">
        <v>0</v>
      </c>
      <c r="S3000" s="87">
        <v>0</v>
      </c>
      <c r="T3000" s="87">
        <v>0</v>
      </c>
      <c r="U3000" s="87">
        <v>0</v>
      </c>
      <c r="V3000" s="87">
        <v>77</v>
      </c>
      <c r="W3000" s="93" t="s">
        <v>7537</v>
      </c>
      <c r="X3000" s="87"/>
      <c r="Y3000" s="87"/>
      <c r="Z3000" s="87"/>
      <c r="AA3000" s="87" t="s">
        <v>10672</v>
      </c>
      <c r="AB3000" s="87" t="s">
        <v>11447</v>
      </c>
      <c r="AC3000" s="93" t="s">
        <v>11460</v>
      </c>
      <c r="AD3000" s="87" t="s">
        <v>11519</v>
      </c>
      <c r="AE3000" s="92" t="str">
        <f>HYPERLINK("https://twitter.com/rascunhoagencia/status/1702799644609130929")</f>
        <v>https://twitter.com/rascunhoagencia/status/1702799644609130929</v>
      </c>
      <c r="AF3000" s="90">
        <v>45184.903310185182</v>
      </c>
      <c r="AG3000" s="99">
        <v>45184</v>
      </c>
      <c r="AH3000" s="93" t="s">
        <v>14214</v>
      </c>
      <c r="AI3000" s="87" t="b">
        <v>0</v>
      </c>
      <c r="AJ3000" s="87"/>
      <c r="AK3000" s="87"/>
      <c r="AL3000" s="87"/>
      <c r="AM3000" s="87"/>
      <c r="AN3000" s="87"/>
      <c r="AO3000" s="87"/>
      <c r="AP3000" s="87"/>
      <c r="AQ3000" s="87" t="s">
        <v>17484</v>
      </c>
      <c r="AR3000" s="87">
        <v>116634</v>
      </c>
      <c r="AS3000" s="87"/>
      <c r="AT3000" s="87"/>
      <c r="AU3000" s="87"/>
      <c r="AV3000" s="92" t="str">
        <f>HYPERLINK("https://pbs.twimg.com/ext_tw_video_thumb/1702799523028881408/pu/img/vdM-iUqoeaiAj3os.jpg")</f>
        <v>https://pbs.twimg.com/ext_tw_video_thumb/1702799523028881408/pu/img/vdM-iUqoeaiAj3os.jpg</v>
      </c>
      <c r="AW3000" s="93" t="s">
        <v>21149</v>
      </c>
      <c r="AX3000" s="93" t="s">
        <v>21149</v>
      </c>
      <c r="AY3000" s="87"/>
      <c r="AZ3000" s="93" t="s">
        <v>22668</v>
      </c>
      <c r="BA3000" s="93" t="s">
        <v>22668</v>
      </c>
      <c r="BB3000" s="93" t="s">
        <v>22668</v>
      </c>
      <c r="BC3000" s="93" t="s">
        <v>21149</v>
      </c>
      <c r="BD3000" s="93" t="s">
        <v>23313</v>
      </c>
      <c r="BE3000" s="87"/>
      <c r="BF3000" s="87"/>
      <c r="BG3000" s="87"/>
      <c r="BH3000" s="87"/>
      <c r="BI3000" s="87"/>
    </row>
    <row r="3001" spans="1:61" x14ac:dyDescent="0.25">
      <c r="A3001" s="63" t="s">
        <v>1127</v>
      </c>
      <c r="B3001" s="63" t="s">
        <v>1127</v>
      </c>
      <c r="C3001" s="64"/>
      <c r="D3001" s="65"/>
      <c r="E3001" s="66"/>
      <c r="F3001" s="67"/>
      <c r="G3001" s="64"/>
      <c r="H3001" s="68"/>
      <c r="I3001" s="69"/>
      <c r="J3001" s="69"/>
      <c r="K3001" s="32"/>
      <c r="L3001" s="76">
        <v>3001</v>
      </c>
      <c r="M3001" s="76"/>
      <c r="N3001" s="71"/>
      <c r="O3001" s="87" t="s">
        <v>179</v>
      </c>
      <c r="P3001" s="90">
        <v>45127.965567129628</v>
      </c>
      <c r="Q3001" s="87" t="s">
        <v>4702</v>
      </c>
      <c r="R3001" s="87">
        <v>0</v>
      </c>
      <c r="S3001" s="87">
        <v>0</v>
      </c>
      <c r="T3001" s="87">
        <v>0</v>
      </c>
      <c r="U3001" s="87">
        <v>0</v>
      </c>
      <c r="V3001" s="87">
        <v>26</v>
      </c>
      <c r="W3001" s="93" t="s">
        <v>7538</v>
      </c>
      <c r="X3001" s="92" t="str">
        <f>HYPERLINK("https://www.youtube.com/watch?v=BikjLailzqE&amp;ab_channel=EconomiaSC")</f>
        <v>https://www.youtube.com/watch?v=BikjLailzqE&amp;ab_channel=EconomiaSC</v>
      </c>
      <c r="Y3001" s="87" t="s">
        <v>8380</v>
      </c>
      <c r="Z3001" s="87"/>
      <c r="AA3001" s="87"/>
      <c r="AB3001" s="87"/>
      <c r="AC3001" s="93" t="s">
        <v>11457</v>
      </c>
      <c r="AD3001" s="87" t="s">
        <v>11519</v>
      </c>
      <c r="AE3001" s="92" t="str">
        <f>HYPERLINK("https://twitter.com/anapauladahlke/status/1682166096130875398")</f>
        <v>https://twitter.com/anapauladahlke/status/1682166096130875398</v>
      </c>
      <c r="AF3001" s="90">
        <v>45127.965567129628</v>
      </c>
      <c r="AG3001" s="99">
        <v>45127</v>
      </c>
      <c r="AH3001" s="93" t="s">
        <v>14215</v>
      </c>
      <c r="AI3001" s="87" t="b">
        <v>0</v>
      </c>
      <c r="AJ3001" s="87"/>
      <c r="AK3001" s="87"/>
      <c r="AL3001" s="87"/>
      <c r="AM3001" s="87"/>
      <c r="AN3001" s="87"/>
      <c r="AO3001" s="87"/>
      <c r="AP3001" s="87"/>
      <c r="AQ3001" s="87"/>
      <c r="AR3001" s="87"/>
      <c r="AS3001" s="87"/>
      <c r="AT3001" s="87"/>
      <c r="AU3001" s="87"/>
      <c r="AV3001" s="92" t="str">
        <f>HYPERLINK("https://pbs.twimg.com/profile_images/1649085749537431552/NoRRXh15_normal.jpg")</f>
        <v>https://pbs.twimg.com/profile_images/1649085749537431552/NoRRXh15_normal.jpg</v>
      </c>
      <c r="AW3001" s="93" t="s">
        <v>21150</v>
      </c>
      <c r="AX3001" s="93" t="s">
        <v>21150</v>
      </c>
      <c r="AY3001" s="87"/>
      <c r="AZ3001" s="93" t="s">
        <v>22668</v>
      </c>
      <c r="BA3001" s="93" t="s">
        <v>22668</v>
      </c>
      <c r="BB3001" s="93" t="s">
        <v>22668</v>
      </c>
      <c r="BC3001" s="93" t="s">
        <v>21150</v>
      </c>
      <c r="BD3001" s="87">
        <v>3404988977</v>
      </c>
      <c r="BE3001" s="87"/>
      <c r="BF3001" s="87"/>
      <c r="BG3001" s="87"/>
      <c r="BH3001" s="87"/>
      <c r="BI3001" s="87"/>
    </row>
    <row r="3002" spans="1:61" x14ac:dyDescent="0.25">
      <c r="A3002" s="63" t="s">
        <v>1128</v>
      </c>
      <c r="B3002" s="63" t="s">
        <v>1128</v>
      </c>
      <c r="C3002" s="64"/>
      <c r="D3002" s="65"/>
      <c r="E3002" s="66"/>
      <c r="F3002" s="67"/>
      <c r="G3002" s="64"/>
      <c r="H3002" s="68"/>
      <c r="I3002" s="69"/>
      <c r="J3002" s="69"/>
      <c r="K3002" s="32"/>
      <c r="L3002" s="76">
        <v>3002</v>
      </c>
      <c r="M3002" s="76"/>
      <c r="N3002" s="71"/>
      <c r="O3002" s="87" t="s">
        <v>179</v>
      </c>
      <c r="P3002" s="90">
        <v>45163.413414351853</v>
      </c>
      <c r="Q3002" s="87" t="s">
        <v>4703</v>
      </c>
      <c r="R3002" s="87">
        <v>0</v>
      </c>
      <c r="S3002" s="87">
        <v>1</v>
      </c>
      <c r="T3002" s="87">
        <v>0</v>
      </c>
      <c r="U3002" s="87">
        <v>0</v>
      </c>
      <c r="V3002" s="87">
        <v>113</v>
      </c>
      <c r="W3002" s="93" t="s">
        <v>7539</v>
      </c>
      <c r="X3002" s="87"/>
      <c r="Y3002" s="87"/>
      <c r="Z3002" s="87"/>
      <c r="AA3002" s="87" t="s">
        <v>10673</v>
      </c>
      <c r="AB3002" s="87" t="s">
        <v>11448</v>
      </c>
      <c r="AC3002" s="93" t="s">
        <v>11459</v>
      </c>
      <c r="AD3002" s="87" t="s">
        <v>11519</v>
      </c>
      <c r="AE3002" s="92" t="str">
        <f>HYPERLINK("https://twitter.com/nick_piercing/status/1695011969017753947")</f>
        <v>https://twitter.com/nick_piercing/status/1695011969017753947</v>
      </c>
      <c r="AF3002" s="90">
        <v>45163.413414351853</v>
      </c>
      <c r="AG3002" s="99">
        <v>45163</v>
      </c>
      <c r="AH3002" s="93" t="s">
        <v>14216</v>
      </c>
      <c r="AI3002" s="87" t="b">
        <v>0</v>
      </c>
      <c r="AJ3002" s="87"/>
      <c r="AK3002" s="87"/>
      <c r="AL3002" s="87"/>
      <c r="AM3002" s="87"/>
      <c r="AN3002" s="87"/>
      <c r="AO3002" s="87"/>
      <c r="AP3002" s="87"/>
      <c r="AQ3002" s="87" t="s">
        <v>17485</v>
      </c>
      <c r="AR3002" s="87"/>
      <c r="AS3002" s="87"/>
      <c r="AT3002" s="87"/>
      <c r="AU3002" s="87"/>
      <c r="AV3002" s="92" t="str">
        <f>HYPERLINK("https://pbs.twimg.com/media/F4XkZwzWIAAciQU.jpg")</f>
        <v>https://pbs.twimg.com/media/F4XkZwzWIAAciQU.jpg</v>
      </c>
      <c r="AW3002" s="93" t="s">
        <v>21151</v>
      </c>
      <c r="AX3002" s="93" t="s">
        <v>21151</v>
      </c>
      <c r="AY3002" s="87"/>
      <c r="AZ3002" s="93" t="s">
        <v>22668</v>
      </c>
      <c r="BA3002" s="93" t="s">
        <v>22668</v>
      </c>
      <c r="BB3002" s="93" t="s">
        <v>22668</v>
      </c>
      <c r="BC3002" s="93" t="s">
        <v>21151</v>
      </c>
      <c r="BD3002" s="93" t="s">
        <v>23314</v>
      </c>
      <c r="BE3002" s="87"/>
      <c r="BF3002" s="87"/>
      <c r="BG3002" s="87"/>
      <c r="BH3002" s="87"/>
      <c r="BI3002" s="87"/>
    </row>
    <row r="3003" spans="1:61" x14ac:dyDescent="0.25">
      <c r="A3003" s="63" t="s">
        <v>1129</v>
      </c>
      <c r="B3003" s="63" t="s">
        <v>1129</v>
      </c>
      <c r="C3003" s="64"/>
      <c r="D3003" s="65"/>
      <c r="E3003" s="66"/>
      <c r="F3003" s="67"/>
      <c r="G3003" s="64"/>
      <c r="H3003" s="68"/>
      <c r="I3003" s="69"/>
      <c r="J3003" s="69"/>
      <c r="K3003" s="32"/>
      <c r="L3003" s="76">
        <v>3003</v>
      </c>
      <c r="M3003" s="76"/>
      <c r="N3003" s="71"/>
      <c r="O3003" s="87" t="s">
        <v>179</v>
      </c>
      <c r="P3003" s="90">
        <v>45141.819236111114</v>
      </c>
      <c r="Q3003" s="87" t="s">
        <v>4704</v>
      </c>
      <c r="R3003" s="87">
        <v>0</v>
      </c>
      <c r="S3003" s="87">
        <v>0</v>
      </c>
      <c r="T3003" s="87">
        <v>0</v>
      </c>
      <c r="U3003" s="87">
        <v>0</v>
      </c>
      <c r="V3003" s="87">
        <v>5</v>
      </c>
      <c r="W3003" s="93" t="s">
        <v>5897</v>
      </c>
      <c r="X3003" s="87"/>
      <c r="Y3003" s="87"/>
      <c r="Z3003" s="87"/>
      <c r="AA3003" s="87" t="s">
        <v>10674</v>
      </c>
      <c r="AB3003" s="87" t="s">
        <v>11448</v>
      </c>
      <c r="AC3003" s="93" t="s">
        <v>11459</v>
      </c>
      <c r="AD3003" s="87" t="s">
        <v>11519</v>
      </c>
      <c r="AE3003" s="92" t="str">
        <f>HYPERLINK("https://twitter.com/lojaxiririca/status/1687186497600880641")</f>
        <v>https://twitter.com/lojaxiririca/status/1687186497600880641</v>
      </c>
      <c r="AF3003" s="90">
        <v>45141.819236111114</v>
      </c>
      <c r="AG3003" s="99">
        <v>45141</v>
      </c>
      <c r="AH3003" s="93" t="s">
        <v>14217</v>
      </c>
      <c r="AI3003" s="87" t="b">
        <v>0</v>
      </c>
      <c r="AJ3003" s="87"/>
      <c r="AK3003" s="87"/>
      <c r="AL3003" s="87"/>
      <c r="AM3003" s="87"/>
      <c r="AN3003" s="87"/>
      <c r="AO3003" s="87"/>
      <c r="AP3003" s="87"/>
      <c r="AQ3003" s="87" t="s">
        <v>17486</v>
      </c>
      <c r="AR3003" s="87"/>
      <c r="AS3003" s="87"/>
      <c r="AT3003" s="87"/>
      <c r="AU3003" s="87"/>
      <c r="AV3003" s="92" t="str">
        <f>HYPERLINK("https://pbs.twimg.com/media/F2oXLafXsAAWjGl.jpg")</f>
        <v>https://pbs.twimg.com/media/F2oXLafXsAAWjGl.jpg</v>
      </c>
      <c r="AW3003" s="93" t="s">
        <v>21152</v>
      </c>
      <c r="AX3003" s="93" t="s">
        <v>21152</v>
      </c>
      <c r="AY3003" s="87"/>
      <c r="AZ3003" s="93" t="s">
        <v>22668</v>
      </c>
      <c r="BA3003" s="93" t="s">
        <v>22668</v>
      </c>
      <c r="BB3003" s="93" t="s">
        <v>22668</v>
      </c>
      <c r="BC3003" s="93" t="s">
        <v>21152</v>
      </c>
      <c r="BD3003" s="93" t="s">
        <v>23315</v>
      </c>
      <c r="BE3003" s="87"/>
      <c r="BF3003" s="87"/>
      <c r="BG3003" s="87"/>
      <c r="BH3003" s="87"/>
      <c r="BI3003" s="87"/>
    </row>
    <row r="3004" spans="1:61" x14ac:dyDescent="0.25">
      <c r="A3004" s="63" t="s">
        <v>1130</v>
      </c>
      <c r="B3004" s="63" t="s">
        <v>1130</v>
      </c>
      <c r="C3004" s="64"/>
      <c r="D3004" s="65"/>
      <c r="E3004" s="66"/>
      <c r="F3004" s="67"/>
      <c r="G3004" s="64"/>
      <c r="H3004" s="68"/>
      <c r="I3004" s="69"/>
      <c r="J3004" s="69"/>
      <c r="K3004" s="32"/>
      <c r="L3004" s="76">
        <v>3004</v>
      </c>
      <c r="M3004" s="76"/>
      <c r="N3004" s="71"/>
      <c r="O3004" s="87" t="s">
        <v>179</v>
      </c>
      <c r="P3004" s="90">
        <v>45124.848680555559</v>
      </c>
      <c r="Q3004" s="87" t="s">
        <v>4705</v>
      </c>
      <c r="R3004" s="87">
        <v>0</v>
      </c>
      <c r="S3004" s="87">
        <v>0</v>
      </c>
      <c r="T3004" s="87">
        <v>0</v>
      </c>
      <c r="U3004" s="87">
        <v>0</v>
      </c>
      <c r="V3004" s="87">
        <v>8</v>
      </c>
      <c r="W3004" s="93" t="s">
        <v>7540</v>
      </c>
      <c r="X3004" s="87"/>
      <c r="Y3004" s="87"/>
      <c r="Z3004" s="87"/>
      <c r="AA3004" s="87" t="s">
        <v>10675</v>
      </c>
      <c r="AB3004" s="87" t="s">
        <v>11448</v>
      </c>
      <c r="AC3004" s="93" t="s">
        <v>11504</v>
      </c>
      <c r="AD3004" s="87" t="s">
        <v>11519</v>
      </c>
      <c r="AE3004" s="92" t="str">
        <f>HYPERLINK("https://twitter.com/sistemaischolar/status/1681036574669119488")</f>
        <v>https://twitter.com/sistemaischolar/status/1681036574669119488</v>
      </c>
      <c r="AF3004" s="90">
        <v>45124.848680555559</v>
      </c>
      <c r="AG3004" s="99">
        <v>45124</v>
      </c>
      <c r="AH3004" s="93" t="s">
        <v>14218</v>
      </c>
      <c r="AI3004" s="87" t="b">
        <v>0</v>
      </c>
      <c r="AJ3004" s="87"/>
      <c r="AK3004" s="87"/>
      <c r="AL3004" s="87"/>
      <c r="AM3004" s="87"/>
      <c r="AN3004" s="87"/>
      <c r="AO3004" s="87"/>
      <c r="AP3004" s="87"/>
      <c r="AQ3004" s="87" t="s">
        <v>17487</v>
      </c>
      <c r="AR3004" s="87"/>
      <c r="AS3004" s="87"/>
      <c r="AT3004" s="87"/>
      <c r="AU3004" s="87"/>
      <c r="AV3004" s="92" t="str">
        <f>HYPERLINK("https://pbs.twimg.com/media/F1Q92w5WIAE8b1C.jpg")</f>
        <v>https://pbs.twimg.com/media/F1Q92w5WIAE8b1C.jpg</v>
      </c>
      <c r="AW3004" s="93" t="s">
        <v>21153</v>
      </c>
      <c r="AX3004" s="93" t="s">
        <v>21153</v>
      </c>
      <c r="AY3004" s="87"/>
      <c r="AZ3004" s="93" t="s">
        <v>22668</v>
      </c>
      <c r="BA3004" s="93" t="s">
        <v>22668</v>
      </c>
      <c r="BB3004" s="93" t="s">
        <v>22668</v>
      </c>
      <c r="BC3004" s="93" t="s">
        <v>21153</v>
      </c>
      <c r="BD3004" s="93" t="s">
        <v>23316</v>
      </c>
      <c r="BE3004" s="87"/>
      <c r="BF3004" s="87"/>
      <c r="BG3004" s="87"/>
      <c r="BH3004" s="87"/>
      <c r="BI3004" s="87"/>
    </row>
    <row r="3005" spans="1:61" x14ac:dyDescent="0.25">
      <c r="A3005" s="63" t="s">
        <v>1130</v>
      </c>
      <c r="B3005" s="63" t="s">
        <v>1130</v>
      </c>
      <c r="C3005" s="64"/>
      <c r="D3005" s="65"/>
      <c r="E3005" s="66"/>
      <c r="F3005" s="67"/>
      <c r="G3005" s="64"/>
      <c r="H3005" s="68"/>
      <c r="I3005" s="69"/>
      <c r="J3005" s="69"/>
      <c r="K3005" s="32"/>
      <c r="L3005" s="76">
        <v>3005</v>
      </c>
      <c r="M3005" s="76"/>
      <c r="N3005" s="71"/>
      <c r="O3005" s="87" t="s">
        <v>179</v>
      </c>
      <c r="P3005" s="90">
        <v>45177.625694444447</v>
      </c>
      <c r="Q3005" s="87" t="s">
        <v>4706</v>
      </c>
      <c r="R3005" s="87">
        <v>0</v>
      </c>
      <c r="S3005" s="87">
        <v>0</v>
      </c>
      <c r="T3005" s="87">
        <v>0</v>
      </c>
      <c r="U3005" s="87">
        <v>0</v>
      </c>
      <c r="V3005" s="87">
        <v>5</v>
      </c>
      <c r="W3005" s="93" t="s">
        <v>7541</v>
      </c>
      <c r="X3005" s="87"/>
      <c r="Y3005" s="87"/>
      <c r="Z3005" s="87"/>
      <c r="AA3005" s="87" t="s">
        <v>10676</v>
      </c>
      <c r="AB3005" s="87" t="s">
        <v>11448</v>
      </c>
      <c r="AC3005" s="93" t="s">
        <v>11457</v>
      </c>
      <c r="AD3005" s="87" t="s">
        <v>11519</v>
      </c>
      <c r="AE3005" s="92" t="str">
        <f>HYPERLINK("https://twitter.com/sistemaischolar/status/1700162324341158089")</f>
        <v>https://twitter.com/sistemaischolar/status/1700162324341158089</v>
      </c>
      <c r="AF3005" s="90">
        <v>45177.625694444447</v>
      </c>
      <c r="AG3005" s="99">
        <v>45177</v>
      </c>
      <c r="AH3005" s="93" t="s">
        <v>14219</v>
      </c>
      <c r="AI3005" s="87" t="b">
        <v>0</v>
      </c>
      <c r="AJ3005" s="87"/>
      <c r="AK3005" s="87"/>
      <c r="AL3005" s="87"/>
      <c r="AM3005" s="87"/>
      <c r="AN3005" s="87"/>
      <c r="AO3005" s="87"/>
      <c r="AP3005" s="87"/>
      <c r="AQ3005" s="87" t="s">
        <v>17488</v>
      </c>
      <c r="AR3005" s="87"/>
      <c r="AS3005" s="87"/>
      <c r="AT3005" s="87"/>
      <c r="AU3005" s="87"/>
      <c r="AV3005" s="92" t="str">
        <f>HYPERLINK("https://pbs.twimg.com/media/F5REn-4bgAAlwDV.jpg")</f>
        <v>https://pbs.twimg.com/media/F5REn-4bgAAlwDV.jpg</v>
      </c>
      <c r="AW3005" s="93" t="s">
        <v>21154</v>
      </c>
      <c r="AX3005" s="93" t="s">
        <v>21154</v>
      </c>
      <c r="AY3005" s="87"/>
      <c r="AZ3005" s="93" t="s">
        <v>22668</v>
      </c>
      <c r="BA3005" s="93" t="s">
        <v>22668</v>
      </c>
      <c r="BB3005" s="93" t="s">
        <v>22668</v>
      </c>
      <c r="BC3005" s="93" t="s">
        <v>21154</v>
      </c>
      <c r="BD3005" s="93" t="s">
        <v>23316</v>
      </c>
      <c r="BE3005" s="87"/>
      <c r="BF3005" s="87"/>
      <c r="BG3005" s="87"/>
      <c r="BH3005" s="87"/>
      <c r="BI3005" s="87"/>
    </row>
    <row r="3006" spans="1:61" x14ac:dyDescent="0.25">
      <c r="A3006" s="63" t="s">
        <v>1130</v>
      </c>
      <c r="B3006" s="63" t="s">
        <v>1130</v>
      </c>
      <c r="C3006" s="64"/>
      <c r="D3006" s="65"/>
      <c r="E3006" s="66"/>
      <c r="F3006" s="67"/>
      <c r="G3006" s="64"/>
      <c r="H3006" s="68"/>
      <c r="I3006" s="69"/>
      <c r="J3006" s="69"/>
      <c r="K3006" s="32"/>
      <c r="L3006" s="76">
        <v>3006</v>
      </c>
      <c r="M3006" s="76"/>
      <c r="N3006" s="71"/>
      <c r="O3006" s="87" t="s">
        <v>179</v>
      </c>
      <c r="P3006" s="90">
        <v>45184.583333333336</v>
      </c>
      <c r="Q3006" s="87" t="s">
        <v>4707</v>
      </c>
      <c r="R3006" s="87">
        <v>0</v>
      </c>
      <c r="S3006" s="87">
        <v>0</v>
      </c>
      <c r="T3006" s="87">
        <v>0</v>
      </c>
      <c r="U3006" s="87">
        <v>0</v>
      </c>
      <c r="V3006" s="87">
        <v>2</v>
      </c>
      <c r="W3006" s="93" t="s">
        <v>7542</v>
      </c>
      <c r="X3006" s="87"/>
      <c r="Y3006" s="87"/>
      <c r="Z3006" s="87"/>
      <c r="AA3006" s="87" t="s">
        <v>10677</v>
      </c>
      <c r="AB3006" s="87" t="s">
        <v>11449</v>
      </c>
      <c r="AC3006" s="93" t="s">
        <v>11457</v>
      </c>
      <c r="AD3006" s="87" t="s">
        <v>11519</v>
      </c>
      <c r="AE3006" s="92" t="str">
        <f>HYPERLINK("https://twitter.com/sistemaischolar/status/1702683688881016949")</f>
        <v>https://twitter.com/sistemaischolar/status/1702683688881016949</v>
      </c>
      <c r="AF3006" s="90">
        <v>45184.583333333336</v>
      </c>
      <c r="AG3006" s="99">
        <v>45184</v>
      </c>
      <c r="AH3006" s="93" t="s">
        <v>12404</v>
      </c>
      <c r="AI3006" s="87" t="b">
        <v>0</v>
      </c>
      <c r="AJ3006" s="87"/>
      <c r="AK3006" s="87"/>
      <c r="AL3006" s="87"/>
      <c r="AM3006" s="87"/>
      <c r="AN3006" s="87"/>
      <c r="AO3006" s="87"/>
      <c r="AP3006" s="87"/>
      <c r="AQ3006" s="87" t="s">
        <v>17489</v>
      </c>
      <c r="AR3006" s="87"/>
      <c r="AS3006" s="87"/>
      <c r="AT3006" s="87"/>
      <c r="AU3006" s="87"/>
      <c r="AV3006" s="92" t="str">
        <f>HYPERLINK("https://pbs.twimg.com/media/F5R9YVUXMAAaIWS.jpg")</f>
        <v>https://pbs.twimg.com/media/F5R9YVUXMAAaIWS.jpg</v>
      </c>
      <c r="AW3006" s="93" t="s">
        <v>21155</v>
      </c>
      <c r="AX3006" s="93" t="s">
        <v>21155</v>
      </c>
      <c r="AY3006" s="87"/>
      <c r="AZ3006" s="93" t="s">
        <v>22668</v>
      </c>
      <c r="BA3006" s="93" t="s">
        <v>22668</v>
      </c>
      <c r="BB3006" s="93" t="s">
        <v>22668</v>
      </c>
      <c r="BC3006" s="93" t="s">
        <v>21155</v>
      </c>
      <c r="BD3006" s="93" t="s">
        <v>23316</v>
      </c>
      <c r="BE3006" s="87"/>
      <c r="BF3006" s="87"/>
      <c r="BG3006" s="87"/>
      <c r="BH3006" s="87"/>
      <c r="BI3006" s="87"/>
    </row>
    <row r="3007" spans="1:61" x14ac:dyDescent="0.25">
      <c r="A3007" s="63" t="s">
        <v>1131</v>
      </c>
      <c r="B3007" s="63" t="s">
        <v>1131</v>
      </c>
      <c r="C3007" s="64"/>
      <c r="D3007" s="65"/>
      <c r="E3007" s="66"/>
      <c r="F3007" s="67"/>
      <c r="G3007" s="64"/>
      <c r="H3007" s="68"/>
      <c r="I3007" s="69"/>
      <c r="J3007" s="69"/>
      <c r="K3007" s="32"/>
      <c r="L3007" s="76">
        <v>3007</v>
      </c>
      <c r="M3007" s="76"/>
      <c r="N3007" s="71"/>
      <c r="O3007" s="87" t="s">
        <v>179</v>
      </c>
      <c r="P3007" s="90">
        <v>45131.593738425923</v>
      </c>
      <c r="Q3007" s="87" t="s">
        <v>4708</v>
      </c>
      <c r="R3007" s="87">
        <v>0</v>
      </c>
      <c r="S3007" s="87">
        <v>1</v>
      </c>
      <c r="T3007" s="87">
        <v>0</v>
      </c>
      <c r="U3007" s="87">
        <v>0</v>
      </c>
      <c r="V3007" s="87">
        <v>7</v>
      </c>
      <c r="W3007" s="93" t="s">
        <v>7543</v>
      </c>
      <c r="X3007" s="92" t="str">
        <f>HYPERLINK("https://hubs.li/Q01Y9Lm20")</f>
        <v>https://hubs.li/Q01Y9Lm20</v>
      </c>
      <c r="Y3007" s="87" t="s">
        <v>8502</v>
      </c>
      <c r="Z3007" s="87"/>
      <c r="AA3007" s="87"/>
      <c r="AB3007" s="87"/>
      <c r="AC3007" s="93" t="s">
        <v>11480</v>
      </c>
      <c r="AD3007" s="87" t="s">
        <v>11519</v>
      </c>
      <c r="AE3007" s="92" t="str">
        <f>HYPERLINK("https://twitter.com/tropicalhub/status/1683480903635353601")</f>
        <v>https://twitter.com/tropicalhub/status/1683480903635353601</v>
      </c>
      <c r="AF3007" s="90">
        <v>45131.593738425923</v>
      </c>
      <c r="AG3007" s="99">
        <v>45131</v>
      </c>
      <c r="AH3007" s="93" t="s">
        <v>14220</v>
      </c>
      <c r="AI3007" s="87" t="b">
        <v>0</v>
      </c>
      <c r="AJ3007" s="87"/>
      <c r="AK3007" s="87"/>
      <c r="AL3007" s="87"/>
      <c r="AM3007" s="87"/>
      <c r="AN3007" s="87"/>
      <c r="AO3007" s="87"/>
      <c r="AP3007" s="87"/>
      <c r="AQ3007" s="87"/>
      <c r="AR3007" s="87"/>
      <c r="AS3007" s="87"/>
      <c r="AT3007" s="87"/>
      <c r="AU3007" s="87"/>
      <c r="AV3007" s="92" t="str">
        <f>HYPERLINK("https://pbs.twimg.com/profile_images/1643597443882164224/y2s6cgQ5_normal.png")</f>
        <v>https://pbs.twimg.com/profile_images/1643597443882164224/y2s6cgQ5_normal.png</v>
      </c>
      <c r="AW3007" s="93" t="s">
        <v>21156</v>
      </c>
      <c r="AX3007" s="93" t="s">
        <v>21156</v>
      </c>
      <c r="AY3007" s="87"/>
      <c r="AZ3007" s="93" t="s">
        <v>22668</v>
      </c>
      <c r="BA3007" s="93" t="s">
        <v>22668</v>
      </c>
      <c r="BB3007" s="93" t="s">
        <v>22668</v>
      </c>
      <c r="BC3007" s="93" t="s">
        <v>21156</v>
      </c>
      <c r="BD3007" s="93" t="s">
        <v>23317</v>
      </c>
      <c r="BE3007" s="87"/>
      <c r="BF3007" s="87"/>
      <c r="BG3007" s="87"/>
      <c r="BH3007" s="87"/>
      <c r="BI3007" s="87"/>
    </row>
    <row r="3008" spans="1:61" x14ac:dyDescent="0.25">
      <c r="A3008" s="63" t="s">
        <v>1132</v>
      </c>
      <c r="B3008" s="63" t="s">
        <v>1132</v>
      </c>
      <c r="C3008" s="64"/>
      <c r="D3008" s="65"/>
      <c r="E3008" s="66"/>
      <c r="F3008" s="67"/>
      <c r="G3008" s="64"/>
      <c r="H3008" s="68"/>
      <c r="I3008" s="69"/>
      <c r="J3008" s="69"/>
      <c r="K3008" s="32"/>
      <c r="L3008" s="76">
        <v>3008</v>
      </c>
      <c r="M3008" s="76"/>
      <c r="N3008" s="71"/>
      <c r="O3008" s="87" t="s">
        <v>179</v>
      </c>
      <c r="P3008" s="90">
        <v>45117.458495370367</v>
      </c>
      <c r="Q3008" s="87" t="s">
        <v>4709</v>
      </c>
      <c r="R3008" s="87">
        <v>0</v>
      </c>
      <c r="S3008" s="87">
        <v>0</v>
      </c>
      <c r="T3008" s="87">
        <v>0</v>
      </c>
      <c r="U3008" s="87">
        <v>0</v>
      </c>
      <c r="V3008" s="87">
        <v>27</v>
      </c>
      <c r="W3008" s="93" t="s">
        <v>7544</v>
      </c>
      <c r="X3008" s="92" t="str">
        <f>HYPERLINK("https://economiasc.com/2023/07/10/ceo-da-conta-black-vai-falar-sobre-a-jornada-de-crescimento-de-startups-no-startup-summit/")</f>
        <v>https://economiasc.com/2023/07/10/ceo-da-conta-black-vai-falar-sobre-a-jornada-de-crescimento-de-startups-no-startup-summit/</v>
      </c>
      <c r="Y3008" s="87" t="s">
        <v>8503</v>
      </c>
      <c r="Z3008" s="87"/>
      <c r="AA3008" s="87"/>
      <c r="AB3008" s="87"/>
      <c r="AC3008" s="93" t="s">
        <v>11457</v>
      </c>
      <c r="AD3008" s="87" t="s">
        <v>11519</v>
      </c>
      <c r="AE3008" s="92" t="str">
        <f>HYPERLINK("https://twitter.com/economiasc1/status/1678358464358227969")</f>
        <v>https://twitter.com/economiasc1/status/1678358464358227969</v>
      </c>
      <c r="AF3008" s="90">
        <v>45117.458495370367</v>
      </c>
      <c r="AG3008" s="99">
        <v>45117</v>
      </c>
      <c r="AH3008" s="93" t="s">
        <v>14221</v>
      </c>
      <c r="AI3008" s="87" t="b">
        <v>0</v>
      </c>
      <c r="AJ3008" s="87"/>
      <c r="AK3008" s="87"/>
      <c r="AL3008" s="87"/>
      <c r="AM3008" s="87"/>
      <c r="AN3008" s="87"/>
      <c r="AO3008" s="87"/>
      <c r="AP3008" s="87"/>
      <c r="AQ3008" s="87"/>
      <c r="AR3008" s="87"/>
      <c r="AS3008" s="87"/>
      <c r="AT3008" s="87"/>
      <c r="AU3008" s="87"/>
      <c r="AV3008" s="92" t="str">
        <f>HYPERLINK("https://pbs.twimg.com/profile_images/1191007164413939713/HMxjIFVF_normal.jpg")</f>
        <v>https://pbs.twimg.com/profile_images/1191007164413939713/HMxjIFVF_normal.jpg</v>
      </c>
      <c r="AW3008" s="93" t="s">
        <v>21157</v>
      </c>
      <c r="AX3008" s="93" t="s">
        <v>21157</v>
      </c>
      <c r="AY3008" s="87"/>
      <c r="AZ3008" s="93" t="s">
        <v>22668</v>
      </c>
      <c r="BA3008" s="93" t="s">
        <v>22668</v>
      </c>
      <c r="BB3008" s="93" t="s">
        <v>22668</v>
      </c>
      <c r="BC3008" s="93" t="s">
        <v>21157</v>
      </c>
      <c r="BD3008" s="93" t="s">
        <v>23318</v>
      </c>
      <c r="BE3008" s="87"/>
      <c r="BF3008" s="87"/>
      <c r="BG3008" s="87"/>
      <c r="BH3008" s="87"/>
      <c r="BI3008" s="87"/>
    </row>
    <row r="3009" spans="1:61" x14ac:dyDescent="0.25">
      <c r="A3009" s="63" t="s">
        <v>1132</v>
      </c>
      <c r="B3009" s="63" t="s">
        <v>1132</v>
      </c>
      <c r="C3009" s="64"/>
      <c r="D3009" s="65"/>
      <c r="E3009" s="66"/>
      <c r="F3009" s="67"/>
      <c r="G3009" s="64"/>
      <c r="H3009" s="68"/>
      <c r="I3009" s="69"/>
      <c r="J3009" s="69"/>
      <c r="K3009" s="32"/>
      <c r="L3009" s="76">
        <v>3009</v>
      </c>
      <c r="M3009" s="76"/>
      <c r="N3009" s="71"/>
      <c r="O3009" s="87" t="s">
        <v>179</v>
      </c>
      <c r="P3009" s="90">
        <v>45127.965462962966</v>
      </c>
      <c r="Q3009" s="87" t="s">
        <v>4710</v>
      </c>
      <c r="R3009" s="87">
        <v>0</v>
      </c>
      <c r="S3009" s="87">
        <v>0</v>
      </c>
      <c r="T3009" s="87">
        <v>0</v>
      </c>
      <c r="U3009" s="87">
        <v>0</v>
      </c>
      <c r="V3009" s="87">
        <v>24</v>
      </c>
      <c r="W3009" s="93" t="s">
        <v>7538</v>
      </c>
      <c r="X3009" s="92" t="str">
        <f>HYPERLINK("https://www.youtube.com/watch?v=BikjLailzqE&amp;ab_channel=EconomiaSC")</f>
        <v>https://www.youtube.com/watch?v=BikjLailzqE&amp;ab_channel=EconomiaSC</v>
      </c>
      <c r="Y3009" s="87" t="s">
        <v>8380</v>
      </c>
      <c r="Z3009" s="87"/>
      <c r="AA3009" s="87"/>
      <c r="AB3009" s="87"/>
      <c r="AC3009" s="93" t="s">
        <v>11457</v>
      </c>
      <c r="AD3009" s="87" t="s">
        <v>11519</v>
      </c>
      <c r="AE3009" s="92" t="str">
        <f>HYPERLINK("https://twitter.com/economiasc1/status/1682166059644641282")</f>
        <v>https://twitter.com/economiasc1/status/1682166059644641282</v>
      </c>
      <c r="AF3009" s="90">
        <v>45127.965462962966</v>
      </c>
      <c r="AG3009" s="99">
        <v>45127</v>
      </c>
      <c r="AH3009" s="93" t="s">
        <v>14222</v>
      </c>
      <c r="AI3009" s="87" t="b">
        <v>0</v>
      </c>
      <c r="AJ3009" s="87"/>
      <c r="AK3009" s="87"/>
      <c r="AL3009" s="87"/>
      <c r="AM3009" s="87"/>
      <c r="AN3009" s="87"/>
      <c r="AO3009" s="87"/>
      <c r="AP3009" s="87"/>
      <c r="AQ3009" s="87"/>
      <c r="AR3009" s="87"/>
      <c r="AS3009" s="87"/>
      <c r="AT3009" s="87"/>
      <c r="AU3009" s="87"/>
      <c r="AV3009" s="92" t="str">
        <f>HYPERLINK("https://pbs.twimg.com/profile_images/1191007164413939713/HMxjIFVF_normal.jpg")</f>
        <v>https://pbs.twimg.com/profile_images/1191007164413939713/HMxjIFVF_normal.jpg</v>
      </c>
      <c r="AW3009" s="93" t="s">
        <v>21158</v>
      </c>
      <c r="AX3009" s="93" t="s">
        <v>21158</v>
      </c>
      <c r="AY3009" s="87"/>
      <c r="AZ3009" s="93" t="s">
        <v>22668</v>
      </c>
      <c r="BA3009" s="93" t="s">
        <v>22668</v>
      </c>
      <c r="BB3009" s="93" t="s">
        <v>22668</v>
      </c>
      <c r="BC3009" s="93" t="s">
        <v>21158</v>
      </c>
      <c r="BD3009" s="93" t="s">
        <v>23318</v>
      </c>
      <c r="BE3009" s="87"/>
      <c r="BF3009" s="87"/>
      <c r="BG3009" s="87"/>
      <c r="BH3009" s="87"/>
      <c r="BI3009" s="87"/>
    </row>
    <row r="3010" spans="1:61" x14ac:dyDescent="0.25">
      <c r="A3010" s="63" t="s">
        <v>1132</v>
      </c>
      <c r="B3010" s="63" t="s">
        <v>1132</v>
      </c>
      <c r="C3010" s="64"/>
      <c r="D3010" s="65"/>
      <c r="E3010" s="66"/>
      <c r="F3010" s="67"/>
      <c r="G3010" s="64"/>
      <c r="H3010" s="68"/>
      <c r="I3010" s="69"/>
      <c r="J3010" s="69"/>
      <c r="K3010" s="32"/>
      <c r="L3010" s="76">
        <v>3010</v>
      </c>
      <c r="M3010" s="76"/>
      <c r="N3010" s="71"/>
      <c r="O3010" s="87" t="s">
        <v>179</v>
      </c>
      <c r="P3010" s="90">
        <v>45167.504050925927</v>
      </c>
      <c r="Q3010" s="87" t="s">
        <v>4711</v>
      </c>
      <c r="R3010" s="87">
        <v>0</v>
      </c>
      <c r="S3010" s="87">
        <v>0</v>
      </c>
      <c r="T3010" s="87">
        <v>0</v>
      </c>
      <c r="U3010" s="87">
        <v>0</v>
      </c>
      <c r="V3010" s="87">
        <v>70</v>
      </c>
      <c r="W3010" s="93" t="s">
        <v>7545</v>
      </c>
      <c r="X3010" s="92" t="str">
        <f>HYPERLINK("https://economiasc.com/2023/08/29/ufsc-adota-metodologia-da-sapienza-para-promover-inovacao-e-empreendedorismo/")</f>
        <v>https://economiasc.com/2023/08/29/ufsc-adota-metodologia-da-sapienza-para-promover-inovacao-e-empreendedorismo/</v>
      </c>
      <c r="Y3010" s="87" t="s">
        <v>8503</v>
      </c>
      <c r="Z3010" s="87"/>
      <c r="AA3010" s="87"/>
      <c r="AB3010" s="87"/>
      <c r="AC3010" s="93" t="s">
        <v>11457</v>
      </c>
      <c r="AD3010" s="87" t="s">
        <v>11519</v>
      </c>
      <c r="AE3010" s="92" t="str">
        <f>HYPERLINK("https://twitter.com/economiasc1/status/1696494364581679489")</f>
        <v>https://twitter.com/economiasc1/status/1696494364581679489</v>
      </c>
      <c r="AF3010" s="90">
        <v>45167.504050925927</v>
      </c>
      <c r="AG3010" s="99">
        <v>45167</v>
      </c>
      <c r="AH3010" s="93" t="s">
        <v>14223</v>
      </c>
      <c r="AI3010" s="87" t="b">
        <v>0</v>
      </c>
      <c r="AJ3010" s="87"/>
      <c r="AK3010" s="87"/>
      <c r="AL3010" s="87"/>
      <c r="AM3010" s="87"/>
      <c r="AN3010" s="87"/>
      <c r="AO3010" s="87"/>
      <c r="AP3010" s="87"/>
      <c r="AQ3010" s="87"/>
      <c r="AR3010" s="87"/>
      <c r="AS3010" s="87"/>
      <c r="AT3010" s="87"/>
      <c r="AU3010" s="87"/>
      <c r="AV3010" s="92" t="str">
        <f>HYPERLINK("https://pbs.twimg.com/profile_images/1191007164413939713/HMxjIFVF_normal.jpg")</f>
        <v>https://pbs.twimg.com/profile_images/1191007164413939713/HMxjIFVF_normal.jpg</v>
      </c>
      <c r="AW3010" s="93" t="s">
        <v>21159</v>
      </c>
      <c r="AX3010" s="93" t="s">
        <v>21159</v>
      </c>
      <c r="AY3010" s="87"/>
      <c r="AZ3010" s="93" t="s">
        <v>22668</v>
      </c>
      <c r="BA3010" s="93" t="s">
        <v>22668</v>
      </c>
      <c r="BB3010" s="93" t="s">
        <v>22668</v>
      </c>
      <c r="BC3010" s="93" t="s">
        <v>21159</v>
      </c>
      <c r="BD3010" s="93" t="s">
        <v>23318</v>
      </c>
      <c r="BE3010" s="87"/>
      <c r="BF3010" s="87"/>
      <c r="BG3010" s="87"/>
      <c r="BH3010" s="87"/>
      <c r="BI3010" s="87"/>
    </row>
    <row r="3011" spans="1:61" x14ac:dyDescent="0.25">
      <c r="A3011" s="63" t="s">
        <v>1133</v>
      </c>
      <c r="B3011" s="63" t="s">
        <v>1133</v>
      </c>
      <c r="C3011" s="64"/>
      <c r="D3011" s="65"/>
      <c r="E3011" s="66"/>
      <c r="F3011" s="67"/>
      <c r="G3011" s="64"/>
      <c r="H3011" s="68"/>
      <c r="I3011" s="69"/>
      <c r="J3011" s="69"/>
      <c r="K3011" s="32"/>
      <c r="L3011" s="76">
        <v>3011</v>
      </c>
      <c r="M3011" s="76"/>
      <c r="N3011" s="71"/>
      <c r="O3011" s="87" t="s">
        <v>179</v>
      </c>
      <c r="P3011" s="90">
        <v>45160.564791666664</v>
      </c>
      <c r="Q3011" s="87" t="s">
        <v>4712</v>
      </c>
      <c r="R3011" s="87">
        <v>0</v>
      </c>
      <c r="S3011" s="87">
        <v>0</v>
      </c>
      <c r="T3011" s="87">
        <v>0</v>
      </c>
      <c r="U3011" s="87">
        <v>0</v>
      </c>
      <c r="V3011" s="87">
        <v>72</v>
      </c>
      <c r="W3011" s="93" t="s">
        <v>7546</v>
      </c>
      <c r="X3011" s="87"/>
      <c r="Y3011" s="87"/>
      <c r="Z3011" s="87"/>
      <c r="AA3011" s="87" t="s">
        <v>10678</v>
      </c>
      <c r="AB3011" s="87" t="s">
        <v>11447</v>
      </c>
      <c r="AC3011" s="93" t="s">
        <v>11457</v>
      </c>
      <c r="AD3011" s="87" t="s">
        <v>11519</v>
      </c>
      <c r="AE3011" s="92" t="str">
        <f>HYPERLINK("https://twitter.com/fcqadvogados/status/1693979659875111078")</f>
        <v>https://twitter.com/fcqadvogados/status/1693979659875111078</v>
      </c>
      <c r="AF3011" s="90">
        <v>45160.564791666664</v>
      </c>
      <c r="AG3011" s="99">
        <v>45160</v>
      </c>
      <c r="AH3011" s="93" t="s">
        <v>14224</v>
      </c>
      <c r="AI3011" s="87" t="b">
        <v>0</v>
      </c>
      <c r="AJ3011" s="87"/>
      <c r="AK3011" s="87"/>
      <c r="AL3011" s="87"/>
      <c r="AM3011" s="87"/>
      <c r="AN3011" s="87"/>
      <c r="AO3011" s="87"/>
      <c r="AP3011" s="87"/>
      <c r="AQ3011" s="87" t="s">
        <v>17490</v>
      </c>
      <c r="AR3011" s="87">
        <v>71450</v>
      </c>
      <c r="AS3011" s="87"/>
      <c r="AT3011" s="87"/>
      <c r="AU3011" s="87"/>
      <c r="AV3011" s="92" t="str">
        <f>HYPERLINK("https://pbs.twimg.com/ext_tw_video_thumb/1693979491595419649/pu/img/FFLo-WR8FI7LCges.jpg")</f>
        <v>https://pbs.twimg.com/ext_tw_video_thumb/1693979491595419649/pu/img/FFLo-WR8FI7LCges.jpg</v>
      </c>
      <c r="AW3011" s="93" t="s">
        <v>21160</v>
      </c>
      <c r="AX3011" s="93" t="s">
        <v>21160</v>
      </c>
      <c r="AY3011" s="87"/>
      <c r="AZ3011" s="93" t="s">
        <v>22668</v>
      </c>
      <c r="BA3011" s="93" t="s">
        <v>22668</v>
      </c>
      <c r="BB3011" s="93" t="s">
        <v>22668</v>
      </c>
      <c r="BC3011" s="93" t="s">
        <v>21160</v>
      </c>
      <c r="BD3011" s="93" t="s">
        <v>23319</v>
      </c>
      <c r="BE3011" s="87"/>
      <c r="BF3011" s="87"/>
      <c r="BG3011" s="87"/>
      <c r="BH3011" s="87"/>
      <c r="BI3011" s="87"/>
    </row>
    <row r="3012" spans="1:61" x14ac:dyDescent="0.25">
      <c r="A3012" s="63" t="s">
        <v>1134</v>
      </c>
      <c r="B3012" s="63" t="s">
        <v>1134</v>
      </c>
      <c r="C3012" s="64"/>
      <c r="D3012" s="65"/>
      <c r="E3012" s="66"/>
      <c r="F3012" s="67"/>
      <c r="G3012" s="64"/>
      <c r="H3012" s="68"/>
      <c r="I3012" s="69"/>
      <c r="J3012" s="69"/>
      <c r="K3012" s="32"/>
      <c r="L3012" s="76">
        <v>3012</v>
      </c>
      <c r="M3012" s="76"/>
      <c r="N3012" s="71"/>
      <c r="O3012" s="87" t="s">
        <v>179</v>
      </c>
      <c r="P3012" s="90">
        <v>45143.793391203704</v>
      </c>
      <c r="Q3012" s="87" t="s">
        <v>4713</v>
      </c>
      <c r="R3012" s="87">
        <v>0</v>
      </c>
      <c r="S3012" s="87">
        <v>0</v>
      </c>
      <c r="T3012" s="87">
        <v>0</v>
      </c>
      <c r="U3012" s="87">
        <v>0</v>
      </c>
      <c r="V3012" s="87">
        <v>8</v>
      </c>
      <c r="W3012" s="93" t="s">
        <v>7547</v>
      </c>
      <c r="X3012" s="87"/>
      <c r="Y3012" s="87"/>
      <c r="Z3012" s="87"/>
      <c r="AA3012" s="87"/>
      <c r="AB3012" s="87"/>
      <c r="AC3012" s="93" t="s">
        <v>11458</v>
      </c>
      <c r="AD3012" s="87" t="s">
        <v>11519</v>
      </c>
      <c r="AE3012" s="92" t="str">
        <f>HYPERLINK("https://twitter.com/aires_nunes/status/1687901908260835329")</f>
        <v>https://twitter.com/aires_nunes/status/1687901908260835329</v>
      </c>
      <c r="AF3012" s="90">
        <v>45143.793391203704</v>
      </c>
      <c r="AG3012" s="99">
        <v>45143</v>
      </c>
      <c r="AH3012" s="93" t="s">
        <v>14225</v>
      </c>
      <c r="AI3012" s="87"/>
      <c r="AJ3012" s="87"/>
      <c r="AK3012" s="87"/>
      <c r="AL3012" s="87"/>
      <c r="AM3012" s="87"/>
      <c r="AN3012" s="87"/>
      <c r="AO3012" s="87"/>
      <c r="AP3012" s="87"/>
      <c r="AQ3012" s="87"/>
      <c r="AR3012" s="87"/>
      <c r="AS3012" s="87"/>
      <c r="AT3012" s="87"/>
      <c r="AU3012" s="87"/>
      <c r="AV3012" s="92" t="str">
        <f>HYPERLINK("https://pbs.twimg.com/profile_images/1656356732245889025/ukFeKhCa_normal.jpg")</f>
        <v>https://pbs.twimg.com/profile_images/1656356732245889025/ukFeKhCa_normal.jpg</v>
      </c>
      <c r="AW3012" s="93" t="s">
        <v>21161</v>
      </c>
      <c r="AX3012" s="93" t="s">
        <v>21161</v>
      </c>
      <c r="AY3012" s="87"/>
      <c r="AZ3012" s="93" t="s">
        <v>22668</v>
      </c>
      <c r="BA3012" s="93" t="s">
        <v>22668</v>
      </c>
      <c r="BB3012" s="93" t="s">
        <v>22668</v>
      </c>
      <c r="BC3012" s="93" t="s">
        <v>21161</v>
      </c>
      <c r="BD3012" s="93" t="s">
        <v>23320</v>
      </c>
      <c r="BE3012" s="87"/>
      <c r="BF3012" s="87"/>
      <c r="BG3012" s="87"/>
      <c r="BH3012" s="87"/>
      <c r="BI3012" s="87"/>
    </row>
    <row r="3013" spans="1:61" x14ac:dyDescent="0.25">
      <c r="A3013" s="63" t="s">
        <v>1135</v>
      </c>
      <c r="B3013" s="63" t="s">
        <v>1135</v>
      </c>
      <c r="C3013" s="64"/>
      <c r="D3013" s="65"/>
      <c r="E3013" s="66"/>
      <c r="F3013" s="67"/>
      <c r="G3013" s="64"/>
      <c r="H3013" s="68"/>
      <c r="I3013" s="69"/>
      <c r="J3013" s="69"/>
      <c r="K3013" s="32"/>
      <c r="L3013" s="76">
        <v>3013</v>
      </c>
      <c r="M3013" s="76"/>
      <c r="N3013" s="71"/>
      <c r="O3013" s="87" t="s">
        <v>179</v>
      </c>
      <c r="P3013" s="90">
        <v>45114.904953703706</v>
      </c>
      <c r="Q3013" s="87" t="s">
        <v>4714</v>
      </c>
      <c r="R3013" s="87">
        <v>0</v>
      </c>
      <c r="S3013" s="87">
        <v>0</v>
      </c>
      <c r="T3013" s="87">
        <v>0</v>
      </c>
      <c r="U3013" s="87">
        <v>0</v>
      </c>
      <c r="V3013" s="87">
        <v>6</v>
      </c>
      <c r="W3013" s="93" t="s">
        <v>7548</v>
      </c>
      <c r="X3013" s="87"/>
      <c r="Y3013" s="87"/>
      <c r="Z3013" s="87"/>
      <c r="AA3013" s="87" t="s">
        <v>10679</v>
      </c>
      <c r="AB3013" s="87" t="s">
        <v>11448</v>
      </c>
      <c r="AC3013" s="93" t="s">
        <v>11459</v>
      </c>
      <c r="AD3013" s="87" t="s">
        <v>11519</v>
      </c>
      <c r="AE3013" s="92" t="str">
        <f>HYPERLINK("https://twitter.com/domingo36416058/status/1677433091399229441")</f>
        <v>https://twitter.com/domingo36416058/status/1677433091399229441</v>
      </c>
      <c r="AF3013" s="90">
        <v>45114.904953703706</v>
      </c>
      <c r="AG3013" s="99">
        <v>45114</v>
      </c>
      <c r="AH3013" s="93" t="s">
        <v>14226</v>
      </c>
      <c r="AI3013" s="87" t="b">
        <v>0</v>
      </c>
      <c r="AJ3013" s="87"/>
      <c r="AK3013" s="87"/>
      <c r="AL3013" s="87"/>
      <c r="AM3013" s="87"/>
      <c r="AN3013" s="87"/>
      <c r="AO3013" s="87"/>
      <c r="AP3013" s="87"/>
      <c r="AQ3013" s="87" t="s">
        <v>17491</v>
      </c>
      <c r="AR3013" s="87"/>
      <c r="AS3013" s="87"/>
      <c r="AT3013" s="87"/>
      <c r="AU3013" s="87"/>
      <c r="AV3013" s="92" t="str">
        <f>HYPERLINK("https://pbs.twimg.com/media/F0dwfsmWwAI66g4.jpg")</f>
        <v>https://pbs.twimg.com/media/F0dwfsmWwAI66g4.jpg</v>
      </c>
      <c r="AW3013" s="93" t="s">
        <v>21162</v>
      </c>
      <c r="AX3013" s="93" t="s">
        <v>21162</v>
      </c>
      <c r="AY3013" s="87"/>
      <c r="AZ3013" s="93" t="s">
        <v>22668</v>
      </c>
      <c r="BA3013" s="93" t="s">
        <v>22668</v>
      </c>
      <c r="BB3013" s="93" t="s">
        <v>22668</v>
      </c>
      <c r="BC3013" s="93" t="s">
        <v>21162</v>
      </c>
      <c r="BD3013" s="93" t="s">
        <v>23321</v>
      </c>
      <c r="BE3013" s="87"/>
      <c r="BF3013" s="87"/>
      <c r="BG3013" s="87"/>
      <c r="BH3013" s="87"/>
      <c r="BI3013" s="87"/>
    </row>
    <row r="3014" spans="1:61" x14ac:dyDescent="0.25">
      <c r="A3014" s="63" t="s">
        <v>1136</v>
      </c>
      <c r="B3014" s="63" t="s">
        <v>1136</v>
      </c>
      <c r="C3014" s="64"/>
      <c r="D3014" s="65"/>
      <c r="E3014" s="66"/>
      <c r="F3014" s="67"/>
      <c r="G3014" s="64"/>
      <c r="H3014" s="68"/>
      <c r="I3014" s="69"/>
      <c r="J3014" s="69"/>
      <c r="K3014" s="32"/>
      <c r="L3014" s="76">
        <v>3014</v>
      </c>
      <c r="M3014" s="76"/>
      <c r="N3014" s="71"/>
      <c r="O3014" s="87" t="s">
        <v>179</v>
      </c>
      <c r="P3014" s="90">
        <v>45120.543055555558</v>
      </c>
      <c r="Q3014" s="87" t="s">
        <v>4715</v>
      </c>
      <c r="R3014" s="87">
        <v>0</v>
      </c>
      <c r="S3014" s="87">
        <v>0</v>
      </c>
      <c r="T3014" s="87">
        <v>0</v>
      </c>
      <c r="U3014" s="87">
        <v>0</v>
      </c>
      <c r="V3014" s="87">
        <v>5</v>
      </c>
      <c r="W3014" s="93" t="s">
        <v>7549</v>
      </c>
      <c r="X3014" s="92" t="str">
        <f>HYPERLINK("https://jornalempresasenegocios.com.br/destaques/seis-dicas-para-quem-quer-empreender-depois-dos-50/")</f>
        <v>https://jornalempresasenegocios.com.br/destaques/seis-dicas-para-quem-quer-empreender-depois-dos-50/</v>
      </c>
      <c r="Y3014" s="87" t="s">
        <v>8373</v>
      </c>
      <c r="Z3014" s="87"/>
      <c r="AA3014" s="87"/>
      <c r="AB3014" s="87"/>
      <c r="AC3014" s="93" t="s">
        <v>11457</v>
      </c>
      <c r="AD3014" s="87" t="s">
        <v>11519</v>
      </c>
      <c r="AE3014" s="92" t="str">
        <f>HYPERLINK("https://twitter.com/empresasjornal/status/1679476270554398720")</f>
        <v>https://twitter.com/empresasjornal/status/1679476270554398720</v>
      </c>
      <c r="AF3014" s="90">
        <v>45120.543055555558</v>
      </c>
      <c r="AG3014" s="99">
        <v>45120</v>
      </c>
      <c r="AH3014" s="93" t="s">
        <v>14227</v>
      </c>
      <c r="AI3014" s="87" t="b">
        <v>0</v>
      </c>
      <c r="AJ3014" s="87"/>
      <c r="AK3014" s="87"/>
      <c r="AL3014" s="87"/>
      <c r="AM3014" s="87"/>
      <c r="AN3014" s="87"/>
      <c r="AO3014" s="87"/>
      <c r="AP3014" s="87"/>
      <c r="AQ3014" s="87"/>
      <c r="AR3014" s="87"/>
      <c r="AS3014" s="87"/>
      <c r="AT3014" s="87"/>
      <c r="AU3014" s="87"/>
      <c r="AV3014" s="92" t="str">
        <f>HYPERLINK("https://pbs.twimg.com/profile_images/1382017656103002114/Z5GVr1b4_normal.jpg")</f>
        <v>https://pbs.twimg.com/profile_images/1382017656103002114/Z5GVr1b4_normal.jpg</v>
      </c>
      <c r="AW3014" s="93" t="s">
        <v>21163</v>
      </c>
      <c r="AX3014" s="93" t="s">
        <v>21163</v>
      </c>
      <c r="AY3014" s="87"/>
      <c r="AZ3014" s="93" t="s">
        <v>22668</v>
      </c>
      <c r="BA3014" s="93" t="s">
        <v>22668</v>
      </c>
      <c r="BB3014" s="93" t="s">
        <v>22668</v>
      </c>
      <c r="BC3014" s="93" t="s">
        <v>21163</v>
      </c>
      <c r="BD3014" s="93" t="s">
        <v>23322</v>
      </c>
      <c r="BE3014" s="87"/>
      <c r="BF3014" s="87"/>
      <c r="BG3014" s="87"/>
      <c r="BH3014" s="87"/>
      <c r="BI3014" s="87"/>
    </row>
    <row r="3015" spans="1:61" x14ac:dyDescent="0.25">
      <c r="A3015" s="63" t="s">
        <v>1136</v>
      </c>
      <c r="B3015" s="63" t="s">
        <v>1136</v>
      </c>
      <c r="C3015" s="64"/>
      <c r="D3015" s="65"/>
      <c r="E3015" s="66"/>
      <c r="F3015" s="67"/>
      <c r="G3015" s="64"/>
      <c r="H3015" s="68"/>
      <c r="I3015" s="69"/>
      <c r="J3015" s="69"/>
      <c r="K3015" s="32"/>
      <c r="L3015" s="76">
        <v>3015</v>
      </c>
      <c r="M3015" s="76"/>
      <c r="N3015" s="71"/>
      <c r="O3015" s="87" t="s">
        <v>179</v>
      </c>
      <c r="P3015" s="90">
        <v>45134.568020833336</v>
      </c>
      <c r="Q3015" s="87" t="s">
        <v>4716</v>
      </c>
      <c r="R3015" s="87">
        <v>0</v>
      </c>
      <c r="S3015" s="87">
        <v>0</v>
      </c>
      <c r="T3015" s="87">
        <v>0</v>
      </c>
      <c r="U3015" s="87">
        <v>0</v>
      </c>
      <c r="V3015" s="87">
        <v>1</v>
      </c>
      <c r="W3015" s="93" t="s">
        <v>7550</v>
      </c>
      <c r="X3015" s="92" t="str">
        <f>HYPERLINK("https://jornalempresasenegocios.com.br/destaques/empreendedorismo-quando-e-a-hora-de-fechar-um-negocio/#Fecharempresa")</f>
        <v>https://jornalempresasenegocios.com.br/destaques/empreendedorismo-quando-e-a-hora-de-fechar-um-negocio/#Fecharempresa</v>
      </c>
      <c r="Y3015" s="87" t="s">
        <v>8373</v>
      </c>
      <c r="Z3015" s="87"/>
      <c r="AA3015" s="87"/>
      <c r="AB3015" s="87"/>
      <c r="AC3015" s="93" t="s">
        <v>11457</v>
      </c>
      <c r="AD3015" s="87" t="s">
        <v>11519</v>
      </c>
      <c r="AE3015" s="92" t="str">
        <f>HYPERLINK("https://twitter.com/empresasjornal/status/1684558747795169280")</f>
        <v>https://twitter.com/empresasjornal/status/1684558747795169280</v>
      </c>
      <c r="AF3015" s="90">
        <v>45134.568020833336</v>
      </c>
      <c r="AG3015" s="99">
        <v>45134</v>
      </c>
      <c r="AH3015" s="93" t="s">
        <v>14228</v>
      </c>
      <c r="AI3015" s="87" t="b">
        <v>0</v>
      </c>
      <c r="AJ3015" s="87"/>
      <c r="AK3015" s="87"/>
      <c r="AL3015" s="87"/>
      <c r="AM3015" s="87"/>
      <c r="AN3015" s="87"/>
      <c r="AO3015" s="87"/>
      <c r="AP3015" s="87"/>
      <c r="AQ3015" s="87"/>
      <c r="AR3015" s="87"/>
      <c r="AS3015" s="87"/>
      <c r="AT3015" s="87"/>
      <c r="AU3015" s="87"/>
      <c r="AV3015" s="92" t="str">
        <f>HYPERLINK("https://pbs.twimg.com/profile_images/1382017656103002114/Z5GVr1b4_normal.jpg")</f>
        <v>https://pbs.twimg.com/profile_images/1382017656103002114/Z5GVr1b4_normal.jpg</v>
      </c>
      <c r="AW3015" s="93" t="s">
        <v>21164</v>
      </c>
      <c r="AX3015" s="93" t="s">
        <v>21164</v>
      </c>
      <c r="AY3015" s="87"/>
      <c r="AZ3015" s="93" t="s">
        <v>22668</v>
      </c>
      <c r="BA3015" s="93" t="s">
        <v>22668</v>
      </c>
      <c r="BB3015" s="93" t="s">
        <v>22668</v>
      </c>
      <c r="BC3015" s="93" t="s">
        <v>21164</v>
      </c>
      <c r="BD3015" s="93" t="s">
        <v>23322</v>
      </c>
      <c r="BE3015" s="87"/>
      <c r="BF3015" s="87"/>
      <c r="BG3015" s="87"/>
      <c r="BH3015" s="87"/>
      <c r="BI3015" s="87"/>
    </row>
    <row r="3016" spans="1:61" x14ac:dyDescent="0.25">
      <c r="A3016" s="63" t="s">
        <v>1136</v>
      </c>
      <c r="B3016" s="63" t="s">
        <v>1136</v>
      </c>
      <c r="C3016" s="64"/>
      <c r="D3016" s="65"/>
      <c r="E3016" s="66"/>
      <c r="F3016" s="67"/>
      <c r="G3016" s="64"/>
      <c r="H3016" s="68"/>
      <c r="I3016" s="69"/>
      <c r="J3016" s="69"/>
      <c r="K3016" s="32"/>
      <c r="L3016" s="76">
        <v>3016</v>
      </c>
      <c r="M3016" s="76"/>
      <c r="N3016" s="71"/>
      <c r="O3016" s="87" t="s">
        <v>179</v>
      </c>
      <c r="P3016" s="90">
        <v>45155.558831018519</v>
      </c>
      <c r="Q3016" s="87" t="s">
        <v>4717</v>
      </c>
      <c r="R3016" s="87">
        <v>0</v>
      </c>
      <c r="S3016" s="87">
        <v>0</v>
      </c>
      <c r="T3016" s="87">
        <v>0</v>
      </c>
      <c r="U3016" s="87">
        <v>0</v>
      </c>
      <c r="V3016" s="87">
        <v>4</v>
      </c>
      <c r="W3016" s="93" t="s">
        <v>7551</v>
      </c>
      <c r="X3016" s="92" t="str">
        <f>HYPERLINK("https://jornalempresasenegocios.com.br/turismo/feira-das-ideias-traz-empreendedorismo-e-atracoes-para-toda-a-familia/")</f>
        <v>https://jornalempresasenegocios.com.br/turismo/feira-das-ideias-traz-empreendedorismo-e-atracoes-para-toda-a-familia/</v>
      </c>
      <c r="Y3016" s="87" t="s">
        <v>8373</v>
      </c>
      <c r="Z3016" s="87"/>
      <c r="AA3016" s="87"/>
      <c r="AB3016" s="87"/>
      <c r="AC3016" s="93" t="s">
        <v>11457</v>
      </c>
      <c r="AD3016" s="87" t="s">
        <v>11519</v>
      </c>
      <c r="AE3016" s="92" t="str">
        <f>HYPERLINK("https://twitter.com/empresasjornal/status/1692165563106382187")</f>
        <v>https://twitter.com/empresasjornal/status/1692165563106382187</v>
      </c>
      <c r="AF3016" s="90">
        <v>45155.558831018519</v>
      </c>
      <c r="AG3016" s="99">
        <v>45155</v>
      </c>
      <c r="AH3016" s="93" t="s">
        <v>13203</v>
      </c>
      <c r="AI3016" s="87" t="b">
        <v>0</v>
      </c>
      <c r="AJ3016" s="87"/>
      <c r="AK3016" s="87"/>
      <c r="AL3016" s="87"/>
      <c r="AM3016" s="87"/>
      <c r="AN3016" s="87"/>
      <c r="AO3016" s="87"/>
      <c r="AP3016" s="87"/>
      <c r="AQ3016" s="87"/>
      <c r="AR3016" s="87"/>
      <c r="AS3016" s="87"/>
      <c r="AT3016" s="87"/>
      <c r="AU3016" s="87"/>
      <c r="AV3016" s="92" t="str">
        <f>HYPERLINK("https://pbs.twimg.com/profile_images/1382017656103002114/Z5GVr1b4_normal.jpg")</f>
        <v>https://pbs.twimg.com/profile_images/1382017656103002114/Z5GVr1b4_normal.jpg</v>
      </c>
      <c r="AW3016" s="93" t="s">
        <v>21165</v>
      </c>
      <c r="AX3016" s="93" t="s">
        <v>21165</v>
      </c>
      <c r="AY3016" s="87"/>
      <c r="AZ3016" s="93" t="s">
        <v>22668</v>
      </c>
      <c r="BA3016" s="93" t="s">
        <v>22668</v>
      </c>
      <c r="BB3016" s="93" t="s">
        <v>22668</v>
      </c>
      <c r="BC3016" s="93" t="s">
        <v>21165</v>
      </c>
      <c r="BD3016" s="93" t="s">
        <v>23322</v>
      </c>
      <c r="BE3016" s="87"/>
      <c r="BF3016" s="87"/>
      <c r="BG3016" s="87"/>
      <c r="BH3016" s="87"/>
      <c r="BI3016" s="87"/>
    </row>
    <row r="3017" spans="1:61" x14ac:dyDescent="0.25">
      <c r="A3017" s="63" t="s">
        <v>1137</v>
      </c>
      <c r="B3017" s="63" t="s">
        <v>1137</v>
      </c>
      <c r="C3017" s="64"/>
      <c r="D3017" s="65"/>
      <c r="E3017" s="66"/>
      <c r="F3017" s="67"/>
      <c r="G3017" s="64"/>
      <c r="H3017" s="68"/>
      <c r="I3017" s="69"/>
      <c r="J3017" s="69"/>
      <c r="K3017" s="32"/>
      <c r="L3017" s="76">
        <v>3017</v>
      </c>
      <c r="M3017" s="76"/>
      <c r="N3017" s="71"/>
      <c r="O3017" s="87" t="s">
        <v>1839</v>
      </c>
      <c r="P3017" s="90">
        <v>45157.893680555557</v>
      </c>
      <c r="Q3017" s="87" t="s">
        <v>4718</v>
      </c>
      <c r="R3017" s="87">
        <v>0</v>
      </c>
      <c r="S3017" s="87">
        <v>0</v>
      </c>
      <c r="T3017" s="87">
        <v>0</v>
      </c>
      <c r="U3017" s="87">
        <v>0</v>
      </c>
      <c r="V3017" s="87">
        <v>99</v>
      </c>
      <c r="W3017" s="93" t="s">
        <v>7552</v>
      </c>
      <c r="X3017" s="87"/>
      <c r="Y3017" s="87"/>
      <c r="Z3017" s="87" t="s">
        <v>8603</v>
      </c>
      <c r="AA3017" s="87" t="s">
        <v>10680</v>
      </c>
      <c r="AB3017" s="87" t="s">
        <v>11447</v>
      </c>
      <c r="AC3017" s="93" t="s">
        <v>11459</v>
      </c>
      <c r="AD3017" s="87" t="s">
        <v>11519</v>
      </c>
      <c r="AE3017" s="92" t="str">
        <f>HYPERLINK("https://twitter.com/feriniinsights/status/1693011681083850940")</f>
        <v>https://twitter.com/feriniinsights/status/1693011681083850940</v>
      </c>
      <c r="AF3017" s="90">
        <v>45157.893680555557</v>
      </c>
      <c r="AG3017" s="99">
        <v>45157</v>
      </c>
      <c r="AH3017" s="93" t="s">
        <v>14229</v>
      </c>
      <c r="AI3017" s="87" t="b">
        <v>0</v>
      </c>
      <c r="AJ3017" s="87"/>
      <c r="AK3017" s="87"/>
      <c r="AL3017" s="87"/>
      <c r="AM3017" s="87"/>
      <c r="AN3017" s="87"/>
      <c r="AO3017" s="87"/>
      <c r="AP3017" s="87"/>
      <c r="AQ3017" s="87" t="s">
        <v>17492</v>
      </c>
      <c r="AR3017" s="87">
        <v>52033</v>
      </c>
      <c r="AS3017" s="87"/>
      <c r="AT3017" s="87"/>
      <c r="AU3017" s="87"/>
      <c r="AV3017" s="92" t="str">
        <f>HYPERLINK("https://pbs.twimg.com/ext_tw_video_thumb/1693011610703446016/pu/img/_FDIGqS6AeHRSo77.jpg")</f>
        <v>https://pbs.twimg.com/ext_tw_video_thumb/1693011610703446016/pu/img/_FDIGqS6AeHRSo77.jpg</v>
      </c>
      <c r="AW3017" s="93" t="s">
        <v>21166</v>
      </c>
      <c r="AX3017" s="93" t="s">
        <v>21166</v>
      </c>
      <c r="AY3017" s="87"/>
      <c r="AZ3017" s="93" t="s">
        <v>22668</v>
      </c>
      <c r="BA3017" s="93" t="s">
        <v>22668</v>
      </c>
      <c r="BB3017" s="93" t="s">
        <v>22668</v>
      </c>
      <c r="BC3017" s="93" t="s">
        <v>21166</v>
      </c>
      <c r="BD3017" s="93" t="s">
        <v>23323</v>
      </c>
      <c r="BE3017" s="87"/>
      <c r="BF3017" s="87"/>
      <c r="BG3017" s="87"/>
      <c r="BH3017" s="87"/>
      <c r="BI3017" s="87"/>
    </row>
    <row r="3018" spans="1:61" x14ac:dyDescent="0.25">
      <c r="A3018" s="63" t="s">
        <v>1137</v>
      </c>
      <c r="B3018" s="63" t="s">
        <v>1137</v>
      </c>
      <c r="C3018" s="64"/>
      <c r="D3018" s="65"/>
      <c r="E3018" s="66"/>
      <c r="F3018" s="67"/>
      <c r="G3018" s="64"/>
      <c r="H3018" s="68"/>
      <c r="I3018" s="69"/>
      <c r="J3018" s="69"/>
      <c r="K3018" s="32"/>
      <c r="L3018" s="76">
        <v>3018</v>
      </c>
      <c r="M3018" s="76"/>
      <c r="N3018" s="71"/>
      <c r="O3018" s="87" t="s">
        <v>1839</v>
      </c>
      <c r="P3018" s="90">
        <v>45157.893680555557</v>
      </c>
      <c r="Q3018" s="87" t="s">
        <v>4718</v>
      </c>
      <c r="R3018" s="87">
        <v>0</v>
      </c>
      <c r="S3018" s="87">
        <v>0</v>
      </c>
      <c r="T3018" s="87">
        <v>0</v>
      </c>
      <c r="U3018" s="87">
        <v>0</v>
      </c>
      <c r="V3018" s="87">
        <v>99</v>
      </c>
      <c r="W3018" s="93" t="s">
        <v>7552</v>
      </c>
      <c r="X3018" s="87"/>
      <c r="Y3018" s="87"/>
      <c r="Z3018" s="87" t="s">
        <v>8603</v>
      </c>
      <c r="AA3018" s="87" t="s">
        <v>10680</v>
      </c>
      <c r="AB3018" s="87" t="s">
        <v>11447</v>
      </c>
      <c r="AC3018" s="93" t="s">
        <v>11459</v>
      </c>
      <c r="AD3018" s="87" t="s">
        <v>11519</v>
      </c>
      <c r="AE3018" s="92" t="str">
        <f>HYPERLINK("https://twitter.com/feriniinsights/status/1693011681083850940")</f>
        <v>https://twitter.com/feriniinsights/status/1693011681083850940</v>
      </c>
      <c r="AF3018" s="90">
        <v>45157.893680555557</v>
      </c>
      <c r="AG3018" s="99">
        <v>45157</v>
      </c>
      <c r="AH3018" s="93" t="s">
        <v>14229</v>
      </c>
      <c r="AI3018" s="87" t="b">
        <v>0</v>
      </c>
      <c r="AJ3018" s="87"/>
      <c r="AK3018" s="87"/>
      <c r="AL3018" s="87"/>
      <c r="AM3018" s="87"/>
      <c r="AN3018" s="87"/>
      <c r="AO3018" s="87"/>
      <c r="AP3018" s="87"/>
      <c r="AQ3018" s="87" t="s">
        <v>17492</v>
      </c>
      <c r="AR3018" s="87">
        <v>52033</v>
      </c>
      <c r="AS3018" s="87"/>
      <c r="AT3018" s="87"/>
      <c r="AU3018" s="87"/>
      <c r="AV3018" s="92" t="str">
        <f>HYPERLINK("https://pbs.twimg.com/ext_tw_video_thumb/1693011610703446016/pu/img/_FDIGqS6AeHRSo77.jpg")</f>
        <v>https://pbs.twimg.com/ext_tw_video_thumb/1693011610703446016/pu/img/_FDIGqS6AeHRSo77.jpg</v>
      </c>
      <c r="AW3018" s="93" t="s">
        <v>21166</v>
      </c>
      <c r="AX3018" s="93" t="s">
        <v>21166</v>
      </c>
      <c r="AY3018" s="87"/>
      <c r="AZ3018" s="93" t="s">
        <v>22668</v>
      </c>
      <c r="BA3018" s="93" t="s">
        <v>22668</v>
      </c>
      <c r="BB3018" s="93" t="s">
        <v>22668</v>
      </c>
      <c r="BC3018" s="93" t="s">
        <v>21166</v>
      </c>
      <c r="BD3018" s="93" t="s">
        <v>23323</v>
      </c>
      <c r="BE3018" s="87"/>
      <c r="BF3018" s="87"/>
      <c r="BG3018" s="87"/>
      <c r="BH3018" s="87"/>
      <c r="BI3018" s="87"/>
    </row>
    <row r="3019" spans="1:61" x14ac:dyDescent="0.25">
      <c r="A3019" s="63" t="s">
        <v>1137</v>
      </c>
      <c r="B3019" s="63" t="s">
        <v>1137</v>
      </c>
      <c r="C3019" s="64"/>
      <c r="D3019" s="65"/>
      <c r="E3019" s="66"/>
      <c r="F3019" s="67"/>
      <c r="G3019" s="64"/>
      <c r="H3019" s="68"/>
      <c r="I3019" s="69"/>
      <c r="J3019" s="69"/>
      <c r="K3019" s="32"/>
      <c r="L3019" s="76">
        <v>3019</v>
      </c>
      <c r="M3019" s="76"/>
      <c r="N3019" s="71"/>
      <c r="O3019" s="87" t="s">
        <v>179</v>
      </c>
      <c r="P3019" s="90">
        <v>45162.739074074074</v>
      </c>
      <c r="Q3019" s="87" t="s">
        <v>4719</v>
      </c>
      <c r="R3019" s="87">
        <v>0</v>
      </c>
      <c r="S3019" s="87">
        <v>0</v>
      </c>
      <c r="T3019" s="87">
        <v>0</v>
      </c>
      <c r="U3019" s="87">
        <v>0</v>
      </c>
      <c r="V3019" s="87">
        <v>107</v>
      </c>
      <c r="W3019" s="93" t="s">
        <v>7553</v>
      </c>
      <c r="X3019" s="87"/>
      <c r="Y3019" s="87"/>
      <c r="Z3019" s="87"/>
      <c r="AA3019" s="87" t="s">
        <v>10681</v>
      </c>
      <c r="AB3019" s="87" t="s">
        <v>11447</v>
      </c>
      <c r="AC3019" s="93" t="s">
        <v>11459</v>
      </c>
      <c r="AD3019" s="87" t="s">
        <v>11519</v>
      </c>
      <c r="AE3019" s="92" t="str">
        <f>HYPERLINK("https://twitter.com/feriniinsights/status/1694767596028006515")</f>
        <v>https://twitter.com/feriniinsights/status/1694767596028006515</v>
      </c>
      <c r="AF3019" s="90">
        <v>45162.739074074074</v>
      </c>
      <c r="AG3019" s="99">
        <v>45162</v>
      </c>
      <c r="AH3019" s="93" t="s">
        <v>14230</v>
      </c>
      <c r="AI3019" s="87" t="b">
        <v>0</v>
      </c>
      <c r="AJ3019" s="87"/>
      <c r="AK3019" s="87"/>
      <c r="AL3019" s="87"/>
      <c r="AM3019" s="87"/>
      <c r="AN3019" s="87"/>
      <c r="AO3019" s="87"/>
      <c r="AP3019" s="87"/>
      <c r="AQ3019" s="87" t="s">
        <v>17493</v>
      </c>
      <c r="AR3019" s="87">
        <v>61300</v>
      </c>
      <c r="AS3019" s="87"/>
      <c r="AT3019" s="87"/>
      <c r="AU3019" s="87"/>
      <c r="AV3019" s="92" t="str">
        <f>HYPERLINK("https://pbs.twimg.com/ext_tw_video_thumb/1694767508002099200/pu/img/_wQGrwUnp2Xf6sQv.jpg")</f>
        <v>https://pbs.twimg.com/ext_tw_video_thumb/1694767508002099200/pu/img/_wQGrwUnp2Xf6sQv.jpg</v>
      </c>
      <c r="AW3019" s="93" t="s">
        <v>21167</v>
      </c>
      <c r="AX3019" s="93" t="s">
        <v>21167</v>
      </c>
      <c r="AY3019" s="87"/>
      <c r="AZ3019" s="93" t="s">
        <v>22668</v>
      </c>
      <c r="BA3019" s="93" t="s">
        <v>22668</v>
      </c>
      <c r="BB3019" s="93" t="s">
        <v>22668</v>
      </c>
      <c r="BC3019" s="93" t="s">
        <v>21167</v>
      </c>
      <c r="BD3019" s="93" t="s">
        <v>23323</v>
      </c>
      <c r="BE3019" s="87"/>
      <c r="BF3019" s="87"/>
      <c r="BG3019" s="87"/>
      <c r="BH3019" s="87"/>
      <c r="BI3019" s="87"/>
    </row>
    <row r="3020" spans="1:61" x14ac:dyDescent="0.25">
      <c r="A3020" s="63" t="s">
        <v>1138</v>
      </c>
      <c r="B3020" s="63" t="s">
        <v>1138</v>
      </c>
      <c r="C3020" s="64"/>
      <c r="D3020" s="65"/>
      <c r="E3020" s="66"/>
      <c r="F3020" s="67"/>
      <c r="G3020" s="64"/>
      <c r="H3020" s="68"/>
      <c r="I3020" s="69"/>
      <c r="J3020" s="69"/>
      <c r="K3020" s="32"/>
      <c r="L3020" s="76">
        <v>3020</v>
      </c>
      <c r="M3020" s="76"/>
      <c r="N3020" s="71"/>
      <c r="O3020" s="87" t="s">
        <v>179</v>
      </c>
      <c r="P3020" s="90">
        <v>45188.483854166669</v>
      </c>
      <c r="Q3020" s="87" t="s">
        <v>4720</v>
      </c>
      <c r="R3020" s="87">
        <v>0</v>
      </c>
      <c r="S3020" s="87">
        <v>0</v>
      </c>
      <c r="T3020" s="87">
        <v>0</v>
      </c>
      <c r="U3020" s="87">
        <v>0</v>
      </c>
      <c r="V3020" s="87">
        <v>4</v>
      </c>
      <c r="W3020" s="93" t="s">
        <v>7554</v>
      </c>
      <c r="X3020" s="92" t="str">
        <f>HYPERLINK("https://www.instagram.com/p/CpDvcuNv_6o/?utm_source=ig_web_button_share_sheet&amp;igshid=Y2Q0NmNiMjc3NQ==")</f>
        <v>https://www.instagram.com/p/CpDvcuNv_6o/?utm_source=ig_web_button_share_sheet&amp;igshid=Y2Q0NmNiMjc3NQ==</v>
      </c>
      <c r="Y3020" s="87" t="s">
        <v>8383</v>
      </c>
      <c r="Z3020" s="87"/>
      <c r="AA3020" s="87"/>
      <c r="AB3020" s="87"/>
      <c r="AC3020" s="93" t="s">
        <v>11457</v>
      </c>
      <c r="AD3020" s="87" t="s">
        <v>11519</v>
      </c>
      <c r="AE3020" s="92" t="str">
        <f>HYPERLINK("https://twitter.com/universalctb/status/1704097190606496000")</f>
        <v>https://twitter.com/universalctb/status/1704097190606496000</v>
      </c>
      <c r="AF3020" s="90">
        <v>45188.483854166669</v>
      </c>
      <c r="AG3020" s="99">
        <v>45188</v>
      </c>
      <c r="AH3020" s="93" t="s">
        <v>14231</v>
      </c>
      <c r="AI3020" s="87" t="b">
        <v>0</v>
      </c>
      <c r="AJ3020" s="87"/>
      <c r="AK3020" s="87"/>
      <c r="AL3020" s="87"/>
      <c r="AM3020" s="87"/>
      <c r="AN3020" s="87"/>
      <c r="AO3020" s="87"/>
      <c r="AP3020" s="87"/>
      <c r="AQ3020" s="87"/>
      <c r="AR3020" s="87"/>
      <c r="AS3020" s="87"/>
      <c r="AT3020" s="87"/>
      <c r="AU3020" s="87"/>
      <c r="AV3020" s="92" t="str">
        <f>HYPERLINK("https://pbs.twimg.com/profile_images/1430326097888129026/zF9gKb8c_normal.jpg")</f>
        <v>https://pbs.twimg.com/profile_images/1430326097888129026/zF9gKb8c_normal.jpg</v>
      </c>
      <c r="AW3020" s="93" t="s">
        <v>21168</v>
      </c>
      <c r="AX3020" s="93" t="s">
        <v>21168</v>
      </c>
      <c r="AY3020" s="87"/>
      <c r="AZ3020" s="93" t="s">
        <v>22668</v>
      </c>
      <c r="BA3020" s="93" t="s">
        <v>22668</v>
      </c>
      <c r="BB3020" s="93" t="s">
        <v>22668</v>
      </c>
      <c r="BC3020" s="93" t="s">
        <v>21168</v>
      </c>
      <c r="BD3020" s="93" t="s">
        <v>23324</v>
      </c>
      <c r="BE3020" s="87"/>
      <c r="BF3020" s="87"/>
      <c r="BG3020" s="87"/>
      <c r="BH3020" s="87"/>
      <c r="BI3020" s="87"/>
    </row>
    <row r="3021" spans="1:61" x14ac:dyDescent="0.25">
      <c r="A3021" s="63" t="s">
        <v>1138</v>
      </c>
      <c r="B3021" s="63" t="s">
        <v>1138</v>
      </c>
      <c r="C3021" s="64"/>
      <c r="D3021" s="65"/>
      <c r="E3021" s="66"/>
      <c r="F3021" s="67"/>
      <c r="G3021" s="64"/>
      <c r="H3021" s="68"/>
      <c r="I3021" s="69"/>
      <c r="J3021" s="69"/>
      <c r="K3021" s="32"/>
      <c r="L3021" s="76">
        <v>3021</v>
      </c>
      <c r="M3021" s="76"/>
      <c r="N3021" s="71"/>
      <c r="O3021" s="87" t="s">
        <v>179</v>
      </c>
      <c r="P3021" s="90">
        <v>45188.480729166666</v>
      </c>
      <c r="Q3021" s="87" t="s">
        <v>4721</v>
      </c>
      <c r="R3021" s="87">
        <v>0</v>
      </c>
      <c r="S3021" s="87">
        <v>0</v>
      </c>
      <c r="T3021" s="87">
        <v>0</v>
      </c>
      <c r="U3021" s="87">
        <v>0</v>
      </c>
      <c r="V3021" s="87">
        <v>5</v>
      </c>
      <c r="W3021" s="93" t="s">
        <v>7555</v>
      </c>
      <c r="X3021" s="92" t="str">
        <f>HYPERLINK("https://www.instagram.com/p/CsRAhRVu5Yq/?utm_source=ig_web_button_share_sheet&amp;igshid=Y2Q0NmNiMjc3NQ==")</f>
        <v>https://www.instagram.com/p/CsRAhRVu5Yq/?utm_source=ig_web_button_share_sheet&amp;igshid=Y2Q0NmNiMjc3NQ==</v>
      </c>
      <c r="Y3021" s="87" t="s">
        <v>8383</v>
      </c>
      <c r="Z3021" s="87"/>
      <c r="AA3021" s="87"/>
      <c r="AB3021" s="87"/>
      <c r="AC3021" s="93" t="s">
        <v>11457</v>
      </c>
      <c r="AD3021" s="87" t="s">
        <v>11519</v>
      </c>
      <c r="AE3021" s="92" t="str">
        <f>HYPERLINK("https://twitter.com/universalctb/status/1704096056907038748")</f>
        <v>https://twitter.com/universalctb/status/1704096056907038748</v>
      </c>
      <c r="AF3021" s="90">
        <v>45188.480729166666</v>
      </c>
      <c r="AG3021" s="99">
        <v>45188</v>
      </c>
      <c r="AH3021" s="93" t="s">
        <v>14232</v>
      </c>
      <c r="AI3021" s="87" t="b">
        <v>0</v>
      </c>
      <c r="AJ3021" s="87"/>
      <c r="AK3021" s="87"/>
      <c r="AL3021" s="87"/>
      <c r="AM3021" s="87"/>
      <c r="AN3021" s="87"/>
      <c r="AO3021" s="87"/>
      <c r="AP3021" s="87"/>
      <c r="AQ3021" s="87"/>
      <c r="AR3021" s="87"/>
      <c r="AS3021" s="87"/>
      <c r="AT3021" s="87"/>
      <c r="AU3021" s="87"/>
      <c r="AV3021" s="92" t="str">
        <f>HYPERLINK("https://pbs.twimg.com/profile_images/1430326097888129026/zF9gKb8c_normal.jpg")</f>
        <v>https://pbs.twimg.com/profile_images/1430326097888129026/zF9gKb8c_normal.jpg</v>
      </c>
      <c r="AW3021" s="93" t="s">
        <v>21169</v>
      </c>
      <c r="AX3021" s="93" t="s">
        <v>21169</v>
      </c>
      <c r="AY3021" s="87"/>
      <c r="AZ3021" s="93" t="s">
        <v>22668</v>
      </c>
      <c r="BA3021" s="93" t="s">
        <v>22668</v>
      </c>
      <c r="BB3021" s="93" t="s">
        <v>22668</v>
      </c>
      <c r="BC3021" s="93" t="s">
        <v>21169</v>
      </c>
      <c r="BD3021" s="93" t="s">
        <v>23324</v>
      </c>
      <c r="BE3021" s="87"/>
      <c r="BF3021" s="87"/>
      <c r="BG3021" s="87"/>
      <c r="BH3021" s="87"/>
      <c r="BI3021" s="87"/>
    </row>
    <row r="3022" spans="1:61" x14ac:dyDescent="0.25">
      <c r="A3022" s="63" t="s">
        <v>1139</v>
      </c>
      <c r="B3022" s="63" t="s">
        <v>1139</v>
      </c>
      <c r="C3022" s="64"/>
      <c r="D3022" s="65"/>
      <c r="E3022" s="66"/>
      <c r="F3022" s="67"/>
      <c r="G3022" s="64"/>
      <c r="H3022" s="68"/>
      <c r="I3022" s="69"/>
      <c r="J3022" s="69"/>
      <c r="K3022" s="32"/>
      <c r="L3022" s="76">
        <v>3022</v>
      </c>
      <c r="M3022" s="76"/>
      <c r="N3022" s="71"/>
      <c r="O3022" s="87" t="s">
        <v>179</v>
      </c>
      <c r="P3022" s="90">
        <v>45148.122824074075</v>
      </c>
      <c r="Q3022" s="87" t="s">
        <v>4722</v>
      </c>
      <c r="R3022" s="87">
        <v>0</v>
      </c>
      <c r="S3022" s="87">
        <v>0</v>
      </c>
      <c r="T3022" s="87">
        <v>0</v>
      </c>
      <c r="U3022" s="87">
        <v>0</v>
      </c>
      <c r="V3022" s="87">
        <v>86</v>
      </c>
      <c r="W3022" s="93" t="s">
        <v>7556</v>
      </c>
      <c r="X3022" s="87"/>
      <c r="Y3022" s="87"/>
      <c r="Z3022" s="87"/>
      <c r="AA3022" s="87"/>
      <c r="AB3022" s="87"/>
      <c r="AC3022" s="93" t="s">
        <v>11459</v>
      </c>
      <c r="AD3022" s="87" t="s">
        <v>11519</v>
      </c>
      <c r="AE3022" s="92" t="str">
        <f>HYPERLINK("https://twitter.com/jomar_falcao/status/1689470843707850752")</f>
        <v>https://twitter.com/jomar_falcao/status/1689470843707850752</v>
      </c>
      <c r="AF3022" s="90">
        <v>45148.122824074075</v>
      </c>
      <c r="AG3022" s="99">
        <v>45148</v>
      </c>
      <c r="AH3022" s="93" t="s">
        <v>14233</v>
      </c>
      <c r="AI3022" s="87"/>
      <c r="AJ3022" s="87"/>
      <c r="AK3022" s="87"/>
      <c r="AL3022" s="87"/>
      <c r="AM3022" s="87"/>
      <c r="AN3022" s="87"/>
      <c r="AO3022" s="87"/>
      <c r="AP3022" s="87"/>
      <c r="AQ3022" s="87"/>
      <c r="AR3022" s="87"/>
      <c r="AS3022" s="87"/>
      <c r="AT3022" s="87"/>
      <c r="AU3022" s="87"/>
      <c r="AV3022" s="92" t="str">
        <f>HYPERLINK("https://pbs.twimg.com/profile_images/1683656529067618304/e4vR7flz_normal.jpg")</f>
        <v>https://pbs.twimg.com/profile_images/1683656529067618304/e4vR7flz_normal.jpg</v>
      </c>
      <c r="AW3022" s="93" t="s">
        <v>21170</v>
      </c>
      <c r="AX3022" s="93" t="s">
        <v>21170</v>
      </c>
      <c r="AY3022" s="87"/>
      <c r="AZ3022" s="93" t="s">
        <v>22668</v>
      </c>
      <c r="BA3022" s="93" t="s">
        <v>22668</v>
      </c>
      <c r="BB3022" s="93" t="s">
        <v>22668</v>
      </c>
      <c r="BC3022" s="93" t="s">
        <v>21170</v>
      </c>
      <c r="BD3022" s="87">
        <v>175518523</v>
      </c>
      <c r="BE3022" s="87"/>
      <c r="BF3022" s="87"/>
      <c r="BG3022" s="87"/>
      <c r="BH3022" s="87"/>
      <c r="BI3022" s="87"/>
    </row>
    <row r="3023" spans="1:61" x14ac:dyDescent="0.25">
      <c r="A3023" s="63" t="s">
        <v>1140</v>
      </c>
      <c r="B3023" s="63" t="s">
        <v>1140</v>
      </c>
      <c r="C3023" s="64"/>
      <c r="D3023" s="65"/>
      <c r="E3023" s="66"/>
      <c r="F3023" s="67"/>
      <c r="G3023" s="64"/>
      <c r="H3023" s="68"/>
      <c r="I3023" s="69"/>
      <c r="J3023" s="69"/>
      <c r="K3023" s="32"/>
      <c r="L3023" s="76">
        <v>3023</v>
      </c>
      <c r="M3023" s="76"/>
      <c r="N3023" s="71"/>
      <c r="O3023" s="87" t="s">
        <v>179</v>
      </c>
      <c r="P3023" s="90">
        <v>45147.079942129632</v>
      </c>
      <c r="Q3023" s="87" t="s">
        <v>4723</v>
      </c>
      <c r="R3023" s="87">
        <v>0</v>
      </c>
      <c r="S3023" s="87">
        <v>0</v>
      </c>
      <c r="T3023" s="87">
        <v>0</v>
      </c>
      <c r="U3023" s="87">
        <v>0</v>
      </c>
      <c r="V3023" s="87">
        <v>37</v>
      </c>
      <c r="W3023" s="93" t="s">
        <v>7557</v>
      </c>
      <c r="X3023" s="87"/>
      <c r="Y3023" s="87"/>
      <c r="Z3023" s="87"/>
      <c r="AA3023" s="87" t="s">
        <v>10682</v>
      </c>
      <c r="AB3023" s="87" t="s">
        <v>11447</v>
      </c>
      <c r="AC3023" s="93" t="s">
        <v>11459</v>
      </c>
      <c r="AD3023" s="87" t="s">
        <v>11523</v>
      </c>
      <c r="AE3023" s="92" t="str">
        <f>HYPERLINK("https://twitter.com/gabypanizcoach/status/1689092914482171905")</f>
        <v>https://twitter.com/gabypanizcoach/status/1689092914482171905</v>
      </c>
      <c r="AF3023" s="90">
        <v>45147.079942129632</v>
      </c>
      <c r="AG3023" s="99">
        <v>45147</v>
      </c>
      <c r="AH3023" s="93" t="s">
        <v>14234</v>
      </c>
      <c r="AI3023" s="87" t="b">
        <v>0</v>
      </c>
      <c r="AJ3023" s="87"/>
      <c r="AK3023" s="87"/>
      <c r="AL3023" s="87"/>
      <c r="AM3023" s="87"/>
      <c r="AN3023" s="87"/>
      <c r="AO3023" s="87"/>
      <c r="AP3023" s="87"/>
      <c r="AQ3023" s="87" t="s">
        <v>17494</v>
      </c>
      <c r="AR3023" s="87">
        <v>44981</v>
      </c>
      <c r="AS3023" s="87"/>
      <c r="AT3023" s="87"/>
      <c r="AU3023" s="87"/>
      <c r="AV3023" s="92" t="str">
        <f>HYPERLINK("https://pbs.twimg.com/ext_tw_video_thumb/1689092070386921472/pu/img/SnXQQ9eHz7vLQUb_.jpg")</f>
        <v>https://pbs.twimg.com/ext_tw_video_thumb/1689092070386921472/pu/img/SnXQQ9eHz7vLQUb_.jpg</v>
      </c>
      <c r="AW3023" s="93" t="s">
        <v>21171</v>
      </c>
      <c r="AX3023" s="93" t="s">
        <v>21171</v>
      </c>
      <c r="AY3023" s="87"/>
      <c r="AZ3023" s="93" t="s">
        <v>22668</v>
      </c>
      <c r="BA3023" s="93" t="s">
        <v>22668</v>
      </c>
      <c r="BB3023" s="93" t="s">
        <v>22668</v>
      </c>
      <c r="BC3023" s="93" t="s">
        <v>21171</v>
      </c>
      <c r="BD3023" s="93" t="s">
        <v>23325</v>
      </c>
      <c r="BE3023" s="87"/>
      <c r="BF3023" s="87"/>
      <c r="BG3023" s="87"/>
      <c r="BH3023" s="87"/>
      <c r="BI3023" s="87"/>
    </row>
    <row r="3024" spans="1:61" x14ac:dyDescent="0.25">
      <c r="A3024" s="63" t="s">
        <v>1140</v>
      </c>
      <c r="B3024" s="63" t="s">
        <v>1140</v>
      </c>
      <c r="C3024" s="64"/>
      <c r="D3024" s="65"/>
      <c r="E3024" s="66"/>
      <c r="F3024" s="67"/>
      <c r="G3024" s="64"/>
      <c r="H3024" s="68"/>
      <c r="I3024" s="69"/>
      <c r="J3024" s="69"/>
      <c r="K3024" s="32"/>
      <c r="L3024" s="76">
        <v>3024</v>
      </c>
      <c r="M3024" s="76"/>
      <c r="N3024" s="71"/>
      <c r="O3024" s="87" t="s">
        <v>179</v>
      </c>
      <c r="P3024" s="90">
        <v>45149.047662037039</v>
      </c>
      <c r="Q3024" s="87" t="s">
        <v>4724</v>
      </c>
      <c r="R3024" s="87">
        <v>0</v>
      </c>
      <c r="S3024" s="87">
        <v>0</v>
      </c>
      <c r="T3024" s="87">
        <v>0</v>
      </c>
      <c r="U3024" s="87">
        <v>0</v>
      </c>
      <c r="V3024" s="87">
        <v>18</v>
      </c>
      <c r="W3024" s="93" t="s">
        <v>7558</v>
      </c>
      <c r="X3024" s="87"/>
      <c r="Y3024" s="87"/>
      <c r="Z3024" s="87"/>
      <c r="AA3024" s="87" t="s">
        <v>10683</v>
      </c>
      <c r="AB3024" s="87" t="s">
        <v>11447</v>
      </c>
      <c r="AC3024" s="93" t="s">
        <v>11459</v>
      </c>
      <c r="AD3024" s="87" t="s">
        <v>11523</v>
      </c>
      <c r="AE3024" s="92" t="str">
        <f>HYPERLINK("https://twitter.com/gabypanizcoach/status/1689805992362446848")</f>
        <v>https://twitter.com/gabypanizcoach/status/1689805992362446848</v>
      </c>
      <c r="AF3024" s="90">
        <v>45149.047662037039</v>
      </c>
      <c r="AG3024" s="99">
        <v>45149</v>
      </c>
      <c r="AH3024" s="93" t="s">
        <v>14235</v>
      </c>
      <c r="AI3024" s="87" t="b">
        <v>0</v>
      </c>
      <c r="AJ3024" s="87"/>
      <c r="AK3024" s="87"/>
      <c r="AL3024" s="87"/>
      <c r="AM3024" s="87"/>
      <c r="AN3024" s="87"/>
      <c r="AO3024" s="87"/>
      <c r="AP3024" s="87"/>
      <c r="AQ3024" s="87" t="s">
        <v>17495</v>
      </c>
      <c r="AR3024" s="87">
        <v>45007</v>
      </c>
      <c r="AS3024" s="87"/>
      <c r="AT3024" s="87"/>
      <c r="AU3024" s="87"/>
      <c r="AV3024" s="92" t="str">
        <f>HYPERLINK("https://pbs.twimg.com/ext_tw_video_thumb/1689805811248156672/pu/img/W-K4bQbjjWP7AXh-.jpg")</f>
        <v>https://pbs.twimg.com/ext_tw_video_thumb/1689805811248156672/pu/img/W-K4bQbjjWP7AXh-.jpg</v>
      </c>
      <c r="AW3024" s="93" t="s">
        <v>21172</v>
      </c>
      <c r="AX3024" s="93" t="s">
        <v>21172</v>
      </c>
      <c r="AY3024" s="87"/>
      <c r="AZ3024" s="93" t="s">
        <v>22668</v>
      </c>
      <c r="BA3024" s="93" t="s">
        <v>22668</v>
      </c>
      <c r="BB3024" s="93" t="s">
        <v>22668</v>
      </c>
      <c r="BC3024" s="93" t="s">
        <v>21172</v>
      </c>
      <c r="BD3024" s="93" t="s">
        <v>23325</v>
      </c>
      <c r="BE3024" s="87"/>
      <c r="BF3024" s="87"/>
      <c r="BG3024" s="87"/>
      <c r="BH3024" s="87"/>
      <c r="BI3024" s="87"/>
    </row>
    <row r="3025" spans="1:61" x14ac:dyDescent="0.25">
      <c r="A3025" s="63" t="s">
        <v>1140</v>
      </c>
      <c r="B3025" s="63" t="s">
        <v>1140</v>
      </c>
      <c r="C3025" s="64"/>
      <c r="D3025" s="65"/>
      <c r="E3025" s="66"/>
      <c r="F3025" s="67"/>
      <c r="G3025" s="64"/>
      <c r="H3025" s="68"/>
      <c r="I3025" s="69"/>
      <c r="J3025" s="69"/>
      <c r="K3025" s="32"/>
      <c r="L3025" s="76">
        <v>3025</v>
      </c>
      <c r="M3025" s="76"/>
      <c r="N3025" s="71"/>
      <c r="O3025" s="87" t="s">
        <v>179</v>
      </c>
      <c r="P3025" s="90">
        <v>45146.060671296298</v>
      </c>
      <c r="Q3025" s="87" t="s">
        <v>4725</v>
      </c>
      <c r="R3025" s="87">
        <v>0</v>
      </c>
      <c r="S3025" s="87">
        <v>1</v>
      </c>
      <c r="T3025" s="87">
        <v>0</v>
      </c>
      <c r="U3025" s="87">
        <v>0</v>
      </c>
      <c r="V3025" s="87">
        <v>87</v>
      </c>
      <c r="W3025" s="93" t="s">
        <v>7559</v>
      </c>
      <c r="X3025" s="87"/>
      <c r="Y3025" s="87"/>
      <c r="Z3025" s="87"/>
      <c r="AA3025" s="87" t="s">
        <v>10684</v>
      </c>
      <c r="AB3025" s="87" t="s">
        <v>11447</v>
      </c>
      <c r="AC3025" s="93" t="s">
        <v>11459</v>
      </c>
      <c r="AD3025" s="87" t="s">
        <v>11523</v>
      </c>
      <c r="AE3025" s="92" t="str">
        <f>HYPERLINK("https://twitter.com/gabypanizcoach/status/1688723544463560704")</f>
        <v>https://twitter.com/gabypanizcoach/status/1688723544463560704</v>
      </c>
      <c r="AF3025" s="90">
        <v>45146.060671296298</v>
      </c>
      <c r="AG3025" s="99">
        <v>45146</v>
      </c>
      <c r="AH3025" s="93" t="s">
        <v>14236</v>
      </c>
      <c r="AI3025" s="87" t="b">
        <v>0</v>
      </c>
      <c r="AJ3025" s="87"/>
      <c r="AK3025" s="87"/>
      <c r="AL3025" s="87"/>
      <c r="AM3025" s="87"/>
      <c r="AN3025" s="87"/>
      <c r="AO3025" s="87"/>
      <c r="AP3025" s="87"/>
      <c r="AQ3025" s="87" t="s">
        <v>17496</v>
      </c>
      <c r="AR3025" s="87">
        <v>44998</v>
      </c>
      <c r="AS3025" s="87"/>
      <c r="AT3025" s="87"/>
      <c r="AU3025" s="87"/>
      <c r="AV3025" s="92" t="str">
        <f>HYPERLINK("https://pbs.twimg.com/ext_tw_video_thumb/1688722448332537857/pu/img/qOEzFHrgGFS8WysR.jpg")</f>
        <v>https://pbs.twimg.com/ext_tw_video_thumb/1688722448332537857/pu/img/qOEzFHrgGFS8WysR.jpg</v>
      </c>
      <c r="AW3025" s="93" t="s">
        <v>21173</v>
      </c>
      <c r="AX3025" s="93" t="s">
        <v>21173</v>
      </c>
      <c r="AY3025" s="87"/>
      <c r="AZ3025" s="93" t="s">
        <v>22668</v>
      </c>
      <c r="BA3025" s="93" t="s">
        <v>22668</v>
      </c>
      <c r="BB3025" s="93" t="s">
        <v>22668</v>
      </c>
      <c r="BC3025" s="93" t="s">
        <v>21173</v>
      </c>
      <c r="BD3025" s="93" t="s">
        <v>23325</v>
      </c>
      <c r="BE3025" s="87"/>
      <c r="BF3025" s="87"/>
      <c r="BG3025" s="87"/>
      <c r="BH3025" s="87"/>
      <c r="BI3025" s="87"/>
    </row>
    <row r="3026" spans="1:61" x14ac:dyDescent="0.25">
      <c r="A3026" s="63" t="s">
        <v>1141</v>
      </c>
      <c r="B3026" s="63" t="s">
        <v>1141</v>
      </c>
      <c r="C3026" s="64"/>
      <c r="D3026" s="65"/>
      <c r="E3026" s="66"/>
      <c r="F3026" s="67"/>
      <c r="G3026" s="64"/>
      <c r="H3026" s="68"/>
      <c r="I3026" s="69"/>
      <c r="J3026" s="69"/>
      <c r="K3026" s="32"/>
      <c r="L3026" s="76">
        <v>3026</v>
      </c>
      <c r="M3026" s="76"/>
      <c r="N3026" s="71"/>
      <c r="O3026" s="87" t="s">
        <v>179</v>
      </c>
      <c r="P3026" s="90">
        <v>45125.881435185183</v>
      </c>
      <c r="Q3026" s="87" t="s">
        <v>4726</v>
      </c>
      <c r="R3026" s="87">
        <v>0</v>
      </c>
      <c r="S3026" s="87">
        <v>9</v>
      </c>
      <c r="T3026" s="87">
        <v>0</v>
      </c>
      <c r="U3026" s="87">
        <v>0</v>
      </c>
      <c r="V3026" s="87">
        <v>1415</v>
      </c>
      <c r="W3026" s="93" t="s">
        <v>5897</v>
      </c>
      <c r="X3026" s="87"/>
      <c r="Y3026" s="87"/>
      <c r="Z3026" s="87"/>
      <c r="AA3026" s="87" t="s">
        <v>10685</v>
      </c>
      <c r="AB3026" s="87" t="s">
        <v>11448</v>
      </c>
      <c r="AC3026" s="93" t="s">
        <v>11457</v>
      </c>
      <c r="AD3026" s="87" t="s">
        <v>11519</v>
      </c>
      <c r="AE3026" s="92" t="str">
        <f>HYPERLINK("https://twitter.com/prefmanaus/status/1681410831819390988")</f>
        <v>https://twitter.com/prefmanaus/status/1681410831819390988</v>
      </c>
      <c r="AF3026" s="90">
        <v>45125.881435185183</v>
      </c>
      <c r="AG3026" s="99">
        <v>45125</v>
      </c>
      <c r="AH3026" s="93" t="s">
        <v>13395</v>
      </c>
      <c r="AI3026" s="87" t="b">
        <v>0</v>
      </c>
      <c r="AJ3026" s="87"/>
      <c r="AK3026" s="87"/>
      <c r="AL3026" s="87"/>
      <c r="AM3026" s="87"/>
      <c r="AN3026" s="87"/>
      <c r="AO3026" s="87"/>
      <c r="AP3026" s="87"/>
      <c r="AQ3026" s="87" t="s">
        <v>17497</v>
      </c>
      <c r="AR3026" s="87"/>
      <c r="AS3026" s="87"/>
      <c r="AT3026" s="87"/>
      <c r="AU3026" s="87"/>
      <c r="AV3026" s="92" t="str">
        <f>HYPERLINK("https://pbs.twimg.com/media/F1V8vZwXsAAanE8.jpg")</f>
        <v>https://pbs.twimg.com/media/F1V8vZwXsAAanE8.jpg</v>
      </c>
      <c r="AW3026" s="93" t="s">
        <v>21174</v>
      </c>
      <c r="AX3026" s="93" t="s">
        <v>21174</v>
      </c>
      <c r="AY3026" s="87"/>
      <c r="AZ3026" s="93" t="s">
        <v>22668</v>
      </c>
      <c r="BA3026" s="93" t="s">
        <v>22668</v>
      </c>
      <c r="BB3026" s="93" t="s">
        <v>22668</v>
      </c>
      <c r="BC3026" s="93" t="s">
        <v>21174</v>
      </c>
      <c r="BD3026" s="93" t="s">
        <v>23326</v>
      </c>
      <c r="BE3026" s="87"/>
      <c r="BF3026" s="87"/>
      <c r="BG3026" s="87"/>
      <c r="BH3026" s="87"/>
      <c r="BI3026" s="87"/>
    </row>
    <row r="3027" spans="1:61" x14ac:dyDescent="0.25">
      <c r="A3027" s="63" t="s">
        <v>1141</v>
      </c>
      <c r="B3027" s="63" t="s">
        <v>1141</v>
      </c>
      <c r="C3027" s="64"/>
      <c r="D3027" s="65"/>
      <c r="E3027" s="66"/>
      <c r="F3027" s="67"/>
      <c r="G3027" s="64"/>
      <c r="H3027" s="68"/>
      <c r="I3027" s="69"/>
      <c r="J3027" s="69"/>
      <c r="K3027" s="32"/>
      <c r="L3027" s="76">
        <v>3027</v>
      </c>
      <c r="M3027" s="76"/>
      <c r="N3027" s="71"/>
      <c r="O3027" s="87" t="s">
        <v>179</v>
      </c>
      <c r="P3027" s="90">
        <v>45161.961400462962</v>
      </c>
      <c r="Q3027" s="87" t="s">
        <v>4727</v>
      </c>
      <c r="R3027" s="87">
        <v>0</v>
      </c>
      <c r="S3027" s="87">
        <v>1</v>
      </c>
      <c r="T3027" s="87">
        <v>2</v>
      </c>
      <c r="U3027" s="87">
        <v>0</v>
      </c>
      <c r="V3027" s="87">
        <v>1884</v>
      </c>
      <c r="W3027" s="93" t="s">
        <v>5897</v>
      </c>
      <c r="X3027" s="87"/>
      <c r="Y3027" s="87"/>
      <c r="Z3027" s="87"/>
      <c r="AA3027" s="87" t="s">
        <v>10686</v>
      </c>
      <c r="AB3027" s="87" t="s">
        <v>11448</v>
      </c>
      <c r="AC3027" s="93" t="s">
        <v>11457</v>
      </c>
      <c r="AD3027" s="87" t="s">
        <v>11519</v>
      </c>
      <c r="AE3027" s="92" t="str">
        <f>HYPERLINK("https://twitter.com/prefmanaus/status/1694485774907895842")</f>
        <v>https://twitter.com/prefmanaus/status/1694485774907895842</v>
      </c>
      <c r="AF3027" s="90">
        <v>45161.961400462962</v>
      </c>
      <c r="AG3027" s="99">
        <v>45161</v>
      </c>
      <c r="AH3027" s="93" t="s">
        <v>14237</v>
      </c>
      <c r="AI3027" s="87" t="b">
        <v>0</v>
      </c>
      <c r="AJ3027" s="87"/>
      <c r="AK3027" s="87"/>
      <c r="AL3027" s="87"/>
      <c r="AM3027" s="87"/>
      <c r="AN3027" s="87"/>
      <c r="AO3027" s="87"/>
      <c r="AP3027" s="87"/>
      <c r="AQ3027" s="87" t="s">
        <v>17498</v>
      </c>
      <c r="AR3027" s="87"/>
      <c r="AS3027" s="87"/>
      <c r="AT3027" s="87"/>
      <c r="AU3027" s="87"/>
      <c r="AV3027" s="92" t="str">
        <f>HYPERLINK("https://pbs.twimg.com/media/F4QFwUrWgAAMEpW.jpg")</f>
        <v>https://pbs.twimg.com/media/F4QFwUrWgAAMEpW.jpg</v>
      </c>
      <c r="AW3027" s="93" t="s">
        <v>21175</v>
      </c>
      <c r="AX3027" s="93" t="s">
        <v>21175</v>
      </c>
      <c r="AY3027" s="87"/>
      <c r="AZ3027" s="93" t="s">
        <v>22668</v>
      </c>
      <c r="BA3027" s="93" t="s">
        <v>22668</v>
      </c>
      <c r="BB3027" s="93" t="s">
        <v>22668</v>
      </c>
      <c r="BC3027" s="93" t="s">
        <v>21175</v>
      </c>
      <c r="BD3027" s="93" t="s">
        <v>23326</v>
      </c>
      <c r="BE3027" s="87"/>
      <c r="BF3027" s="87"/>
      <c r="BG3027" s="87"/>
      <c r="BH3027" s="87"/>
      <c r="BI3027" s="87"/>
    </row>
    <row r="3028" spans="1:61" x14ac:dyDescent="0.25">
      <c r="A3028" s="63" t="s">
        <v>1142</v>
      </c>
      <c r="B3028" s="63" t="s">
        <v>1142</v>
      </c>
      <c r="C3028" s="64"/>
      <c r="D3028" s="65"/>
      <c r="E3028" s="66"/>
      <c r="F3028" s="67"/>
      <c r="G3028" s="64"/>
      <c r="H3028" s="68"/>
      <c r="I3028" s="69"/>
      <c r="J3028" s="69"/>
      <c r="K3028" s="32"/>
      <c r="L3028" s="76">
        <v>3028</v>
      </c>
      <c r="M3028" s="76"/>
      <c r="N3028" s="71"/>
      <c r="O3028" s="87" t="s">
        <v>179</v>
      </c>
      <c r="P3028" s="90">
        <v>45116.558877314812</v>
      </c>
      <c r="Q3028" s="87" t="s">
        <v>4728</v>
      </c>
      <c r="R3028" s="87">
        <v>0</v>
      </c>
      <c r="S3028" s="87">
        <v>0</v>
      </c>
      <c r="T3028" s="87">
        <v>0</v>
      </c>
      <c r="U3028" s="87">
        <v>0</v>
      </c>
      <c r="V3028" s="87">
        <v>10</v>
      </c>
      <c r="W3028" s="93" t="s">
        <v>7560</v>
      </c>
      <c r="X3028" s="87"/>
      <c r="Y3028" s="87"/>
      <c r="Z3028" s="87"/>
      <c r="AA3028" s="87"/>
      <c r="AB3028" s="87"/>
      <c r="AC3028" s="93" t="s">
        <v>11459</v>
      </c>
      <c r="AD3028" s="87" t="s">
        <v>11519</v>
      </c>
      <c r="AE3028" s="92" t="str">
        <f>HYPERLINK("https://twitter.com/traderwedson/status/1678032452571332608")</f>
        <v>https://twitter.com/traderwedson/status/1678032452571332608</v>
      </c>
      <c r="AF3028" s="90">
        <v>45116.558877314812</v>
      </c>
      <c r="AG3028" s="99">
        <v>45116</v>
      </c>
      <c r="AH3028" s="93" t="s">
        <v>14238</v>
      </c>
      <c r="AI3028" s="87"/>
      <c r="AJ3028" s="87"/>
      <c r="AK3028" s="87"/>
      <c r="AL3028" s="87"/>
      <c r="AM3028" s="87"/>
      <c r="AN3028" s="87"/>
      <c r="AO3028" s="87"/>
      <c r="AP3028" s="87"/>
      <c r="AQ3028" s="87"/>
      <c r="AR3028" s="87"/>
      <c r="AS3028" s="87"/>
      <c r="AT3028" s="87"/>
      <c r="AU3028" s="87"/>
      <c r="AV3028" s="92" t="str">
        <f>HYPERLINK("https://pbs.twimg.com/profile_images/1289537173948108801/j-LESZ7q_normal.jpg")</f>
        <v>https://pbs.twimg.com/profile_images/1289537173948108801/j-LESZ7q_normal.jpg</v>
      </c>
      <c r="AW3028" s="93" t="s">
        <v>21176</v>
      </c>
      <c r="AX3028" s="93" t="s">
        <v>21176</v>
      </c>
      <c r="AY3028" s="87"/>
      <c r="AZ3028" s="93" t="s">
        <v>22668</v>
      </c>
      <c r="BA3028" s="93" t="s">
        <v>22668</v>
      </c>
      <c r="BB3028" s="93" t="s">
        <v>22668</v>
      </c>
      <c r="BC3028" s="93" t="s">
        <v>21176</v>
      </c>
      <c r="BD3028" s="93" t="s">
        <v>23327</v>
      </c>
      <c r="BE3028" s="87"/>
      <c r="BF3028" s="87"/>
      <c r="BG3028" s="87"/>
      <c r="BH3028" s="87"/>
      <c r="BI3028" s="87"/>
    </row>
    <row r="3029" spans="1:61" x14ac:dyDescent="0.25">
      <c r="A3029" s="63" t="s">
        <v>1143</v>
      </c>
      <c r="B3029" s="63" t="s">
        <v>1143</v>
      </c>
      <c r="C3029" s="64"/>
      <c r="D3029" s="65"/>
      <c r="E3029" s="66"/>
      <c r="F3029" s="67"/>
      <c r="G3029" s="64"/>
      <c r="H3029" s="68"/>
      <c r="I3029" s="69"/>
      <c r="J3029" s="69"/>
      <c r="K3029" s="32"/>
      <c r="L3029" s="76">
        <v>3029</v>
      </c>
      <c r="M3029" s="76"/>
      <c r="N3029" s="71"/>
      <c r="O3029" s="87" t="s">
        <v>179</v>
      </c>
      <c r="P3029" s="90">
        <v>45183.771527777775</v>
      </c>
      <c r="Q3029" s="87" t="s">
        <v>4729</v>
      </c>
      <c r="R3029" s="87">
        <v>4</v>
      </c>
      <c r="S3029" s="87">
        <v>17</v>
      </c>
      <c r="T3029" s="87">
        <v>0</v>
      </c>
      <c r="U3029" s="87">
        <v>0</v>
      </c>
      <c r="V3029" s="87">
        <v>241</v>
      </c>
      <c r="W3029" s="93" t="s">
        <v>7561</v>
      </c>
      <c r="X3029" s="92" t="str">
        <f>HYPERLINK("https://bit.ly/3PEy6d5")</f>
        <v>https://bit.ly/3PEy6d5</v>
      </c>
      <c r="Y3029" s="87" t="s">
        <v>8374</v>
      </c>
      <c r="Z3029" s="87"/>
      <c r="AA3029" s="87"/>
      <c r="AB3029" s="87"/>
      <c r="AC3029" s="93" t="s">
        <v>11457</v>
      </c>
      <c r="AD3029" s="87" t="s">
        <v>11519</v>
      </c>
      <c r="AE3029" s="92" t="str">
        <f>HYPERLINK("https://twitter.com/ivonesilva/status/1702389499488084277")</f>
        <v>https://twitter.com/ivonesilva/status/1702389499488084277</v>
      </c>
      <c r="AF3029" s="90">
        <v>45183.771527777775</v>
      </c>
      <c r="AG3029" s="99">
        <v>45183</v>
      </c>
      <c r="AH3029" s="93" t="s">
        <v>14239</v>
      </c>
      <c r="AI3029" s="87" t="b">
        <v>0</v>
      </c>
      <c r="AJ3029" s="87"/>
      <c r="AK3029" s="87"/>
      <c r="AL3029" s="87"/>
      <c r="AM3029" s="87"/>
      <c r="AN3029" s="87"/>
      <c r="AO3029" s="87"/>
      <c r="AP3029" s="87"/>
      <c r="AQ3029" s="87"/>
      <c r="AR3029" s="87"/>
      <c r="AS3029" s="87"/>
      <c r="AT3029" s="87"/>
      <c r="AU3029" s="87"/>
      <c r="AV3029" s="92" t="str">
        <f>HYPERLINK("https://pbs.twimg.com/profile_images/1687420216001609728/RZH92yt1_normal.jpg")</f>
        <v>https://pbs.twimg.com/profile_images/1687420216001609728/RZH92yt1_normal.jpg</v>
      </c>
      <c r="AW3029" s="93" t="s">
        <v>21177</v>
      </c>
      <c r="AX3029" s="93" t="s">
        <v>21177</v>
      </c>
      <c r="AY3029" s="87"/>
      <c r="AZ3029" s="93" t="s">
        <v>22668</v>
      </c>
      <c r="BA3029" s="93" t="s">
        <v>22668</v>
      </c>
      <c r="BB3029" s="93" t="s">
        <v>22668</v>
      </c>
      <c r="BC3029" s="93" t="s">
        <v>21177</v>
      </c>
      <c r="BD3029" s="87">
        <v>46179375</v>
      </c>
      <c r="BE3029" s="87"/>
      <c r="BF3029" s="87"/>
      <c r="BG3029" s="87"/>
      <c r="BH3029" s="87"/>
      <c r="BI3029" s="87"/>
    </row>
    <row r="3030" spans="1:61" x14ac:dyDescent="0.25">
      <c r="A3030" s="63" t="s">
        <v>1144</v>
      </c>
      <c r="B3030" s="63" t="s">
        <v>1144</v>
      </c>
      <c r="C3030" s="64"/>
      <c r="D3030" s="65"/>
      <c r="E3030" s="66"/>
      <c r="F3030" s="67"/>
      <c r="G3030" s="64"/>
      <c r="H3030" s="68"/>
      <c r="I3030" s="69"/>
      <c r="J3030" s="69"/>
      <c r="K3030" s="32"/>
      <c r="L3030" s="76">
        <v>3030</v>
      </c>
      <c r="M3030" s="76"/>
      <c r="N3030" s="71"/>
      <c r="O3030" s="87" t="s">
        <v>179</v>
      </c>
      <c r="P3030" s="90">
        <v>45181.610590277778</v>
      </c>
      <c r="Q3030" s="87" t="s">
        <v>4730</v>
      </c>
      <c r="R3030" s="87">
        <v>0</v>
      </c>
      <c r="S3030" s="87">
        <v>1</v>
      </c>
      <c r="T3030" s="87">
        <v>0</v>
      </c>
      <c r="U3030" s="87">
        <v>0</v>
      </c>
      <c r="V3030" s="87">
        <v>43</v>
      </c>
      <c r="W3030" s="93" t="s">
        <v>7562</v>
      </c>
      <c r="X3030" s="92" t="str">
        <f>HYPERLINK("http://encurtador.com.br/hipGN")</f>
        <v>http://encurtador.com.br/hipGN</v>
      </c>
      <c r="Y3030" s="87" t="s">
        <v>8373</v>
      </c>
      <c r="Z3030" s="87"/>
      <c r="AA3030" s="87" t="s">
        <v>10687</v>
      </c>
      <c r="AB3030" s="87" t="s">
        <v>11448</v>
      </c>
      <c r="AC3030" s="93" t="s">
        <v>11458</v>
      </c>
      <c r="AD3030" s="87" t="s">
        <v>11519</v>
      </c>
      <c r="AE3030" s="92" t="str">
        <f>HYPERLINK("https://twitter.com/salvadorsefaz/status/1701606402077417474")</f>
        <v>https://twitter.com/salvadorsefaz/status/1701606402077417474</v>
      </c>
      <c r="AF3030" s="90">
        <v>45181.610590277778</v>
      </c>
      <c r="AG3030" s="99">
        <v>45181</v>
      </c>
      <c r="AH3030" s="93" t="s">
        <v>14240</v>
      </c>
      <c r="AI3030" s="87" t="b">
        <v>0</v>
      </c>
      <c r="AJ3030" s="87"/>
      <c r="AK3030" s="87"/>
      <c r="AL3030" s="87"/>
      <c r="AM3030" s="87"/>
      <c r="AN3030" s="87"/>
      <c r="AO3030" s="87"/>
      <c r="AP3030" s="87"/>
      <c r="AQ3030" s="87" t="s">
        <v>17499</v>
      </c>
      <c r="AR3030" s="87"/>
      <c r="AS3030" s="87"/>
      <c r="AT3030" s="87"/>
      <c r="AU3030" s="87"/>
      <c r="AV3030" s="92" t="str">
        <f>HYPERLINK("https://pbs.twimg.com/media/F51SADzawAAerkf.jpg")</f>
        <v>https://pbs.twimg.com/media/F51SADzawAAerkf.jpg</v>
      </c>
      <c r="AW3030" s="93" t="s">
        <v>21178</v>
      </c>
      <c r="AX3030" s="93" t="s">
        <v>21178</v>
      </c>
      <c r="AY3030" s="87"/>
      <c r="AZ3030" s="93" t="s">
        <v>22668</v>
      </c>
      <c r="BA3030" s="93" t="s">
        <v>22668</v>
      </c>
      <c r="BB3030" s="93" t="s">
        <v>22668</v>
      </c>
      <c r="BC3030" s="93" t="s">
        <v>21178</v>
      </c>
      <c r="BD3030" s="93" t="s">
        <v>23328</v>
      </c>
      <c r="BE3030" s="87"/>
      <c r="BF3030" s="87"/>
      <c r="BG3030" s="87"/>
      <c r="BH3030" s="87"/>
      <c r="BI3030" s="87"/>
    </row>
    <row r="3031" spans="1:61" x14ac:dyDescent="0.25">
      <c r="A3031" s="63" t="s">
        <v>1145</v>
      </c>
      <c r="B3031" s="63" t="s">
        <v>1145</v>
      </c>
      <c r="C3031" s="64"/>
      <c r="D3031" s="65"/>
      <c r="E3031" s="66"/>
      <c r="F3031" s="67"/>
      <c r="G3031" s="64"/>
      <c r="H3031" s="68"/>
      <c r="I3031" s="69"/>
      <c r="J3031" s="69"/>
      <c r="K3031" s="32"/>
      <c r="L3031" s="76">
        <v>3031</v>
      </c>
      <c r="M3031" s="76"/>
      <c r="N3031" s="71"/>
      <c r="O3031" s="87" t="s">
        <v>179</v>
      </c>
      <c r="P3031" s="90">
        <v>45168.508368055554</v>
      </c>
      <c r="Q3031" s="87" t="s">
        <v>4731</v>
      </c>
      <c r="R3031" s="87">
        <v>0</v>
      </c>
      <c r="S3031" s="87">
        <v>0</v>
      </c>
      <c r="T3031" s="87">
        <v>0</v>
      </c>
      <c r="U3031" s="87">
        <v>0</v>
      </c>
      <c r="V3031" s="87">
        <v>6</v>
      </c>
      <c r="W3031" s="93" t="s">
        <v>7563</v>
      </c>
      <c r="X3031" s="87"/>
      <c r="Y3031" s="87"/>
      <c r="Z3031" s="87"/>
      <c r="AA3031" s="87" t="s">
        <v>10688</v>
      </c>
      <c r="AB3031" s="87" t="s">
        <v>11448</v>
      </c>
      <c r="AC3031" s="93" t="s">
        <v>11457</v>
      </c>
      <c r="AD3031" s="87" t="s">
        <v>11519</v>
      </c>
      <c r="AE3031" s="92" t="str">
        <f>HYPERLINK("https://twitter.com/lucasmirandaad/status/1696858317979632111")</f>
        <v>https://twitter.com/lucasmirandaad/status/1696858317979632111</v>
      </c>
      <c r="AF3031" s="90">
        <v>45168.508368055554</v>
      </c>
      <c r="AG3031" s="99">
        <v>45168</v>
      </c>
      <c r="AH3031" s="93" t="s">
        <v>14241</v>
      </c>
      <c r="AI3031" s="87" t="b">
        <v>0</v>
      </c>
      <c r="AJ3031" s="87"/>
      <c r="AK3031" s="87"/>
      <c r="AL3031" s="87"/>
      <c r="AM3031" s="87"/>
      <c r="AN3031" s="87"/>
      <c r="AO3031" s="87"/>
      <c r="AP3031" s="87"/>
      <c r="AQ3031" s="87" t="s">
        <v>17500</v>
      </c>
      <c r="AR3031" s="87"/>
      <c r="AS3031" s="87"/>
      <c r="AT3031" s="87"/>
      <c r="AU3031" s="87"/>
      <c r="AV3031" s="92" t="str">
        <f>HYPERLINK("https://pbs.twimg.com/media/F4xxK6xXgAEDXwr.jpg")</f>
        <v>https://pbs.twimg.com/media/F4xxK6xXgAEDXwr.jpg</v>
      </c>
      <c r="AW3031" s="93" t="s">
        <v>21179</v>
      </c>
      <c r="AX3031" s="93" t="s">
        <v>21179</v>
      </c>
      <c r="AY3031" s="87"/>
      <c r="AZ3031" s="93" t="s">
        <v>22668</v>
      </c>
      <c r="BA3031" s="93" t="s">
        <v>22668</v>
      </c>
      <c r="BB3031" s="93" t="s">
        <v>22668</v>
      </c>
      <c r="BC3031" s="93" t="s">
        <v>21179</v>
      </c>
      <c r="BD3031" s="93" t="s">
        <v>23329</v>
      </c>
      <c r="BE3031" s="87"/>
      <c r="BF3031" s="87"/>
      <c r="BG3031" s="87"/>
      <c r="BH3031" s="87"/>
      <c r="BI3031" s="87"/>
    </row>
    <row r="3032" spans="1:61" x14ac:dyDescent="0.25">
      <c r="A3032" s="63" t="s">
        <v>1146</v>
      </c>
      <c r="B3032" s="63" t="s">
        <v>1146</v>
      </c>
      <c r="C3032" s="64"/>
      <c r="D3032" s="65"/>
      <c r="E3032" s="66"/>
      <c r="F3032" s="67"/>
      <c r="G3032" s="64"/>
      <c r="H3032" s="68"/>
      <c r="I3032" s="69"/>
      <c r="J3032" s="69"/>
      <c r="K3032" s="32"/>
      <c r="L3032" s="76">
        <v>3032</v>
      </c>
      <c r="M3032" s="76"/>
      <c r="N3032" s="71"/>
      <c r="O3032" s="87" t="s">
        <v>1840</v>
      </c>
      <c r="P3032" s="90">
        <v>45135.14303240741</v>
      </c>
      <c r="Q3032" s="87" t="s">
        <v>4732</v>
      </c>
      <c r="R3032" s="87">
        <v>0</v>
      </c>
      <c r="S3032" s="87">
        <v>0</v>
      </c>
      <c r="T3032" s="87">
        <v>0</v>
      </c>
      <c r="U3032" s="87">
        <v>0</v>
      </c>
      <c r="V3032" s="87">
        <v>5</v>
      </c>
      <c r="W3032" s="93" t="s">
        <v>7564</v>
      </c>
      <c r="X3032" s="87"/>
      <c r="Y3032" s="87"/>
      <c r="Z3032" s="87" t="s">
        <v>1146</v>
      </c>
      <c r="AA3032" s="87"/>
      <c r="AB3032" s="87"/>
      <c r="AC3032" s="93" t="s">
        <v>11459</v>
      </c>
      <c r="AD3032" s="87" t="s">
        <v>11519</v>
      </c>
      <c r="AE3032" s="92" t="str">
        <f>HYPERLINK("https://twitter.com/rogeriowilbert/status/1684767123183108097")</f>
        <v>https://twitter.com/rogeriowilbert/status/1684767123183108097</v>
      </c>
      <c r="AF3032" s="90">
        <v>45135.14303240741</v>
      </c>
      <c r="AG3032" s="99">
        <v>45135</v>
      </c>
      <c r="AH3032" s="93" t="s">
        <v>14242</v>
      </c>
      <c r="AI3032" s="87"/>
      <c r="AJ3032" s="87"/>
      <c r="AK3032" s="87"/>
      <c r="AL3032" s="87"/>
      <c r="AM3032" s="87"/>
      <c r="AN3032" s="87"/>
      <c r="AO3032" s="87"/>
      <c r="AP3032" s="87"/>
      <c r="AQ3032" s="87"/>
      <c r="AR3032" s="87"/>
      <c r="AS3032" s="87"/>
      <c r="AT3032" s="87"/>
      <c r="AU3032" s="87"/>
      <c r="AV3032" s="92" t="str">
        <f>HYPERLINK("https://pbs.twimg.com/profile_images/1654126048479703042/MBRjM6HQ_normal.jpg")</f>
        <v>https://pbs.twimg.com/profile_images/1654126048479703042/MBRjM6HQ_normal.jpg</v>
      </c>
      <c r="AW3032" s="93" t="s">
        <v>21180</v>
      </c>
      <c r="AX3032" s="93" t="s">
        <v>22445</v>
      </c>
      <c r="AY3032" s="93" t="s">
        <v>22617</v>
      </c>
      <c r="AZ3032" s="93" t="s">
        <v>22749</v>
      </c>
      <c r="BA3032" s="93" t="s">
        <v>22668</v>
      </c>
      <c r="BB3032" s="93" t="s">
        <v>22668</v>
      </c>
      <c r="BC3032" s="93" t="s">
        <v>22749</v>
      </c>
      <c r="BD3032" s="87">
        <v>167377150</v>
      </c>
      <c r="BE3032" s="87"/>
      <c r="BF3032" s="87"/>
      <c r="BG3032" s="87"/>
      <c r="BH3032" s="87"/>
      <c r="BI3032" s="87"/>
    </row>
    <row r="3033" spans="1:61" x14ac:dyDescent="0.25">
      <c r="A3033" s="63" t="s">
        <v>1147</v>
      </c>
      <c r="B3033" s="63" t="s">
        <v>1147</v>
      </c>
      <c r="C3033" s="64"/>
      <c r="D3033" s="65"/>
      <c r="E3033" s="66"/>
      <c r="F3033" s="67"/>
      <c r="G3033" s="64"/>
      <c r="H3033" s="68"/>
      <c r="I3033" s="69"/>
      <c r="J3033" s="69"/>
      <c r="K3033" s="32"/>
      <c r="L3033" s="76">
        <v>3033</v>
      </c>
      <c r="M3033" s="76"/>
      <c r="N3033" s="71"/>
      <c r="O3033" s="87" t="s">
        <v>179</v>
      </c>
      <c r="P3033" s="90">
        <v>45122.817719907405</v>
      </c>
      <c r="Q3033" s="87" t="s">
        <v>4733</v>
      </c>
      <c r="R3033" s="87">
        <v>0</v>
      </c>
      <c r="S3033" s="87">
        <v>5</v>
      </c>
      <c r="T3033" s="87">
        <v>0</v>
      </c>
      <c r="U3033" s="87">
        <v>0</v>
      </c>
      <c r="V3033" s="87">
        <v>2078</v>
      </c>
      <c r="W3033" s="93" t="s">
        <v>7565</v>
      </c>
      <c r="X3033" s="92" t="str">
        <f>HYPERLINK("https://cultura.uol.com.br/noticias/dw/66244596_interesse-em-empreendedorismo-em-queda-na-alemanha.html")</f>
        <v>https://cultura.uol.com.br/noticias/dw/66244596_interesse-em-empreendedorismo-em-queda-na-alemanha.html</v>
      </c>
      <c r="Y3033" s="87" t="s">
        <v>8373</v>
      </c>
      <c r="Z3033" s="87"/>
      <c r="AA3033" s="87"/>
      <c r="AB3033" s="87"/>
      <c r="AC3033" s="93" t="s">
        <v>11457</v>
      </c>
      <c r="AD3033" s="87" t="s">
        <v>11519</v>
      </c>
      <c r="AE3033" s="92" t="str">
        <f>HYPERLINK("https://twitter.com/tvcultura/status/1680300582374981632")</f>
        <v>https://twitter.com/tvcultura/status/1680300582374981632</v>
      </c>
      <c r="AF3033" s="90">
        <v>45122.817719907405</v>
      </c>
      <c r="AG3033" s="99">
        <v>45122</v>
      </c>
      <c r="AH3033" s="93" t="s">
        <v>14243</v>
      </c>
      <c r="AI3033" s="87" t="b">
        <v>0</v>
      </c>
      <c r="AJ3033" s="87"/>
      <c r="AK3033" s="87"/>
      <c r="AL3033" s="87"/>
      <c r="AM3033" s="87"/>
      <c r="AN3033" s="87"/>
      <c r="AO3033" s="87"/>
      <c r="AP3033" s="87"/>
      <c r="AQ3033" s="87"/>
      <c r="AR3033" s="87"/>
      <c r="AS3033" s="87"/>
      <c r="AT3033" s="87"/>
      <c r="AU3033" s="87"/>
      <c r="AV3033" s="92" t="str">
        <f>HYPERLINK("https://pbs.twimg.com/profile_images/1649150439605039104/ws2NLiGq_normal.jpg")</f>
        <v>https://pbs.twimg.com/profile_images/1649150439605039104/ws2NLiGq_normal.jpg</v>
      </c>
      <c r="AW3033" s="93" t="s">
        <v>21181</v>
      </c>
      <c r="AX3033" s="93" t="s">
        <v>21181</v>
      </c>
      <c r="AY3033" s="87"/>
      <c r="AZ3033" s="93" t="s">
        <v>22668</v>
      </c>
      <c r="BA3033" s="93" t="s">
        <v>22668</v>
      </c>
      <c r="BB3033" s="93" t="s">
        <v>22668</v>
      </c>
      <c r="BC3033" s="93" t="s">
        <v>21181</v>
      </c>
      <c r="BD3033" s="87">
        <v>14306125</v>
      </c>
      <c r="BE3033" s="87"/>
      <c r="BF3033" s="87"/>
      <c r="BG3033" s="87"/>
      <c r="BH3033" s="87"/>
      <c r="BI3033" s="87"/>
    </row>
    <row r="3034" spans="1:61" x14ac:dyDescent="0.25">
      <c r="A3034" s="63" t="s">
        <v>1147</v>
      </c>
      <c r="B3034" s="63" t="s">
        <v>1147</v>
      </c>
      <c r="C3034" s="64"/>
      <c r="D3034" s="65"/>
      <c r="E3034" s="66"/>
      <c r="F3034" s="67"/>
      <c r="G3034" s="64"/>
      <c r="H3034" s="68"/>
      <c r="I3034" s="69"/>
      <c r="J3034" s="69"/>
      <c r="K3034" s="32"/>
      <c r="L3034" s="76">
        <v>3034</v>
      </c>
      <c r="M3034" s="76"/>
      <c r="N3034" s="71"/>
      <c r="O3034" s="87" t="s">
        <v>179</v>
      </c>
      <c r="P3034" s="90">
        <v>45167.705775462964</v>
      </c>
      <c r="Q3034" s="87" t="s">
        <v>4734</v>
      </c>
      <c r="R3034" s="87">
        <v>3</v>
      </c>
      <c r="S3034" s="87">
        <v>14</v>
      </c>
      <c r="T3034" s="87">
        <v>0</v>
      </c>
      <c r="U3034" s="87">
        <v>0</v>
      </c>
      <c r="V3034" s="87">
        <v>1130</v>
      </c>
      <c r="W3034" s="93" t="s">
        <v>7566</v>
      </c>
      <c r="X3034" s="92" t="str">
        <f>HYPERLINK("https://cultura.uol.com.br/noticias/60980_lula-anuncia-que-quer-criar-o-ministerio-da-pequena-e-media-empresa.html")</f>
        <v>https://cultura.uol.com.br/noticias/60980_lula-anuncia-que-quer-criar-o-ministerio-da-pequena-e-media-empresa.html</v>
      </c>
      <c r="Y3034" s="87" t="s">
        <v>8373</v>
      </c>
      <c r="Z3034" s="87"/>
      <c r="AA3034" s="87"/>
      <c r="AB3034" s="87"/>
      <c r="AC3034" s="93" t="s">
        <v>11457</v>
      </c>
      <c r="AD3034" s="87" t="s">
        <v>11519</v>
      </c>
      <c r="AE3034" s="92" t="str">
        <f>HYPERLINK("https://twitter.com/tvcultura/status/1696567466283987429")</f>
        <v>https://twitter.com/tvcultura/status/1696567466283987429</v>
      </c>
      <c r="AF3034" s="90">
        <v>45167.705775462964</v>
      </c>
      <c r="AG3034" s="99">
        <v>45167</v>
      </c>
      <c r="AH3034" s="93" t="s">
        <v>14244</v>
      </c>
      <c r="AI3034" s="87" t="b">
        <v>0</v>
      </c>
      <c r="AJ3034" s="87"/>
      <c r="AK3034" s="87"/>
      <c r="AL3034" s="87"/>
      <c r="AM3034" s="87"/>
      <c r="AN3034" s="87"/>
      <c r="AO3034" s="87"/>
      <c r="AP3034" s="87"/>
      <c r="AQ3034" s="87"/>
      <c r="AR3034" s="87"/>
      <c r="AS3034" s="87"/>
      <c r="AT3034" s="87"/>
      <c r="AU3034" s="87"/>
      <c r="AV3034" s="92" t="str">
        <f>HYPERLINK("https://pbs.twimg.com/profile_images/1649150439605039104/ws2NLiGq_normal.jpg")</f>
        <v>https://pbs.twimg.com/profile_images/1649150439605039104/ws2NLiGq_normal.jpg</v>
      </c>
      <c r="AW3034" s="93" t="s">
        <v>21182</v>
      </c>
      <c r="AX3034" s="93" t="s">
        <v>21182</v>
      </c>
      <c r="AY3034" s="87"/>
      <c r="AZ3034" s="93" t="s">
        <v>22668</v>
      </c>
      <c r="BA3034" s="93" t="s">
        <v>22668</v>
      </c>
      <c r="BB3034" s="93" t="s">
        <v>22668</v>
      </c>
      <c r="BC3034" s="93" t="s">
        <v>21182</v>
      </c>
      <c r="BD3034" s="87">
        <v>14306125</v>
      </c>
      <c r="BE3034" s="87"/>
      <c r="BF3034" s="87"/>
      <c r="BG3034" s="87"/>
      <c r="BH3034" s="87"/>
      <c r="BI3034" s="87"/>
    </row>
    <row r="3035" spans="1:61" x14ac:dyDescent="0.25">
      <c r="A3035" s="63" t="s">
        <v>1147</v>
      </c>
      <c r="B3035" s="63" t="s">
        <v>1147</v>
      </c>
      <c r="C3035" s="64"/>
      <c r="D3035" s="65"/>
      <c r="E3035" s="66"/>
      <c r="F3035" s="67"/>
      <c r="G3035" s="64"/>
      <c r="H3035" s="68"/>
      <c r="I3035" s="69"/>
      <c r="J3035" s="69"/>
      <c r="K3035" s="32"/>
      <c r="L3035" s="76">
        <v>3035</v>
      </c>
      <c r="M3035" s="76"/>
      <c r="N3035" s="71"/>
      <c r="O3035" s="87" t="s">
        <v>179</v>
      </c>
      <c r="P3035" s="90">
        <v>45110.951689814814</v>
      </c>
      <c r="Q3035" s="87" t="s">
        <v>4735</v>
      </c>
      <c r="R3035" s="87">
        <v>0</v>
      </c>
      <c r="S3035" s="87">
        <v>2</v>
      </c>
      <c r="T3035" s="87">
        <v>0</v>
      </c>
      <c r="U3035" s="87">
        <v>0</v>
      </c>
      <c r="V3035" s="87">
        <v>1569</v>
      </c>
      <c r="W3035" s="93" t="s">
        <v>7567</v>
      </c>
      <c r="X3035" s="92" t="str">
        <f>HYPERLINK("https://cultura.uol.com.br/educacao/noticias/2023/07/03/74_com-palestrantes-de-renome-do-empreendedorismo-4-semana-da-educacao-comeca-na-proxima-terca-4.html")</f>
        <v>https://cultura.uol.com.br/educacao/noticias/2023/07/03/74_com-palestrantes-de-renome-do-empreendedorismo-4-semana-da-educacao-comeca-na-proxima-terca-4.html</v>
      </c>
      <c r="Y3035" s="87" t="s">
        <v>8373</v>
      </c>
      <c r="Z3035" s="87"/>
      <c r="AA3035" s="87"/>
      <c r="AB3035" s="87"/>
      <c r="AC3035" s="93" t="s">
        <v>11483</v>
      </c>
      <c r="AD3035" s="87" t="s">
        <v>11519</v>
      </c>
      <c r="AE3035" s="92" t="str">
        <f>HYPERLINK("https://twitter.com/tvcultura/status/1676000476985163777")</f>
        <v>https://twitter.com/tvcultura/status/1676000476985163777</v>
      </c>
      <c r="AF3035" s="90">
        <v>45110.951689814814</v>
      </c>
      <c r="AG3035" s="99">
        <v>45110</v>
      </c>
      <c r="AH3035" s="93" t="s">
        <v>14245</v>
      </c>
      <c r="AI3035" s="87" t="b">
        <v>0</v>
      </c>
      <c r="AJ3035" s="87"/>
      <c r="AK3035" s="87"/>
      <c r="AL3035" s="87"/>
      <c r="AM3035" s="87"/>
      <c r="AN3035" s="87"/>
      <c r="AO3035" s="87"/>
      <c r="AP3035" s="87"/>
      <c r="AQ3035" s="87"/>
      <c r="AR3035" s="87"/>
      <c r="AS3035" s="87"/>
      <c r="AT3035" s="87"/>
      <c r="AU3035" s="87"/>
      <c r="AV3035" s="92" t="str">
        <f>HYPERLINK("https://pbs.twimg.com/profile_images/1649150439605039104/ws2NLiGq_normal.jpg")</f>
        <v>https://pbs.twimg.com/profile_images/1649150439605039104/ws2NLiGq_normal.jpg</v>
      </c>
      <c r="AW3035" s="93" t="s">
        <v>21183</v>
      </c>
      <c r="AX3035" s="93" t="s">
        <v>21183</v>
      </c>
      <c r="AY3035" s="87"/>
      <c r="AZ3035" s="93" t="s">
        <v>22668</v>
      </c>
      <c r="BA3035" s="93" t="s">
        <v>22668</v>
      </c>
      <c r="BB3035" s="93" t="s">
        <v>22668</v>
      </c>
      <c r="BC3035" s="93" t="s">
        <v>21183</v>
      </c>
      <c r="BD3035" s="87">
        <v>14306125</v>
      </c>
      <c r="BE3035" s="87"/>
      <c r="BF3035" s="87"/>
      <c r="BG3035" s="87"/>
      <c r="BH3035" s="87"/>
      <c r="BI3035" s="87"/>
    </row>
    <row r="3036" spans="1:61" x14ac:dyDescent="0.25">
      <c r="A3036" s="63" t="s">
        <v>1148</v>
      </c>
      <c r="B3036" s="63" t="s">
        <v>1148</v>
      </c>
      <c r="C3036" s="64"/>
      <c r="D3036" s="65"/>
      <c r="E3036" s="66"/>
      <c r="F3036" s="67"/>
      <c r="G3036" s="64"/>
      <c r="H3036" s="68"/>
      <c r="I3036" s="69"/>
      <c r="J3036" s="69"/>
      <c r="K3036" s="32"/>
      <c r="L3036" s="76">
        <v>3036</v>
      </c>
      <c r="M3036" s="76"/>
      <c r="N3036" s="71"/>
      <c r="O3036" s="87" t="s">
        <v>179</v>
      </c>
      <c r="P3036" s="90">
        <v>45152.460787037038</v>
      </c>
      <c r="Q3036" s="87" t="s">
        <v>4736</v>
      </c>
      <c r="R3036" s="87">
        <v>0</v>
      </c>
      <c r="S3036" s="87">
        <v>0</v>
      </c>
      <c r="T3036" s="87">
        <v>0</v>
      </c>
      <c r="U3036" s="87">
        <v>0</v>
      </c>
      <c r="V3036" s="87">
        <v>75</v>
      </c>
      <c r="W3036" s="93" t="s">
        <v>7568</v>
      </c>
      <c r="X3036" s="87"/>
      <c r="Y3036" s="87"/>
      <c r="Z3036" s="87"/>
      <c r="AA3036" s="87" t="s">
        <v>10689</v>
      </c>
      <c r="AB3036" s="87" t="s">
        <v>11448</v>
      </c>
      <c r="AC3036" s="93" t="s">
        <v>11459</v>
      </c>
      <c r="AD3036" s="87" t="s">
        <v>11519</v>
      </c>
      <c r="AE3036" s="92" t="str">
        <f>HYPERLINK("https://twitter.com/esceips/status/1691042869807575040")</f>
        <v>https://twitter.com/esceips/status/1691042869807575040</v>
      </c>
      <c r="AF3036" s="90">
        <v>45152.460787037038</v>
      </c>
      <c r="AG3036" s="99">
        <v>45152</v>
      </c>
      <c r="AH3036" s="93" t="s">
        <v>14246</v>
      </c>
      <c r="AI3036" s="87" t="b">
        <v>0</v>
      </c>
      <c r="AJ3036" s="87"/>
      <c r="AK3036" s="87"/>
      <c r="AL3036" s="87"/>
      <c r="AM3036" s="87"/>
      <c r="AN3036" s="87"/>
      <c r="AO3036" s="87"/>
      <c r="AP3036" s="87"/>
      <c r="AQ3036" s="87" t="s">
        <v>17501</v>
      </c>
      <c r="AR3036" s="87"/>
      <c r="AS3036" s="87"/>
      <c r="AT3036" s="87"/>
      <c r="AU3036" s="87"/>
      <c r="AV3036" s="92" t="str">
        <f>HYPERLINK("https://pbs.twimg.com/media/F3fKhn0WwAArcBw.jpg")</f>
        <v>https://pbs.twimg.com/media/F3fKhn0WwAArcBw.jpg</v>
      </c>
      <c r="AW3036" s="93" t="s">
        <v>21184</v>
      </c>
      <c r="AX3036" s="93" t="s">
        <v>21184</v>
      </c>
      <c r="AY3036" s="87"/>
      <c r="AZ3036" s="93" t="s">
        <v>22668</v>
      </c>
      <c r="BA3036" s="93" t="s">
        <v>22668</v>
      </c>
      <c r="BB3036" s="93" t="s">
        <v>22668</v>
      </c>
      <c r="BC3036" s="93" t="s">
        <v>21184</v>
      </c>
      <c r="BD3036" s="87">
        <v>1327347026</v>
      </c>
      <c r="BE3036" s="87"/>
      <c r="BF3036" s="87"/>
      <c r="BG3036" s="87"/>
      <c r="BH3036" s="87"/>
      <c r="BI3036" s="87"/>
    </row>
    <row r="3037" spans="1:61" x14ac:dyDescent="0.25">
      <c r="A3037" s="63" t="s">
        <v>1149</v>
      </c>
      <c r="B3037" s="63" t="s">
        <v>1149</v>
      </c>
      <c r="C3037" s="64"/>
      <c r="D3037" s="65"/>
      <c r="E3037" s="66"/>
      <c r="F3037" s="67"/>
      <c r="G3037" s="64"/>
      <c r="H3037" s="68"/>
      <c r="I3037" s="69"/>
      <c r="J3037" s="69"/>
      <c r="K3037" s="32"/>
      <c r="L3037" s="76">
        <v>3037</v>
      </c>
      <c r="M3037" s="76"/>
      <c r="N3037" s="71"/>
      <c r="O3037" s="87" t="s">
        <v>179</v>
      </c>
      <c r="P3037" s="90">
        <v>45170.541666666664</v>
      </c>
      <c r="Q3037" s="87" t="s">
        <v>4737</v>
      </c>
      <c r="R3037" s="87">
        <v>0</v>
      </c>
      <c r="S3037" s="87">
        <v>2</v>
      </c>
      <c r="T3037" s="87">
        <v>0</v>
      </c>
      <c r="U3037" s="87">
        <v>0</v>
      </c>
      <c r="V3037" s="87">
        <v>230</v>
      </c>
      <c r="W3037" s="93" t="s">
        <v>7569</v>
      </c>
      <c r="X3037" s="92" t="str">
        <f>HYPERLINK("https://projetocolabora.com.br/economia-verde/empreendedores-sustentaveis/")</f>
        <v>https://projetocolabora.com.br/economia-verde/empreendedores-sustentaveis/</v>
      </c>
      <c r="Y3037" s="87" t="s">
        <v>8373</v>
      </c>
      <c r="Z3037" s="87"/>
      <c r="AA3037" s="87"/>
      <c r="AB3037" s="87"/>
      <c r="AC3037" s="93" t="s">
        <v>11457</v>
      </c>
      <c r="AD3037" s="87" t="s">
        <v>11519</v>
      </c>
      <c r="AE3037" s="92" t="str">
        <f>HYPERLINK("https://twitter.com/colaboraprojeto/status/1697595159507063104")</f>
        <v>https://twitter.com/colaboraprojeto/status/1697595159507063104</v>
      </c>
      <c r="AF3037" s="90">
        <v>45170.541666666664</v>
      </c>
      <c r="AG3037" s="99">
        <v>45170</v>
      </c>
      <c r="AH3037" s="93" t="s">
        <v>13150</v>
      </c>
      <c r="AI3037" s="87" t="b">
        <v>0</v>
      </c>
      <c r="AJ3037" s="87"/>
      <c r="AK3037" s="87"/>
      <c r="AL3037" s="87"/>
      <c r="AM3037" s="87"/>
      <c r="AN3037" s="87"/>
      <c r="AO3037" s="87"/>
      <c r="AP3037" s="87"/>
      <c r="AQ3037" s="87"/>
      <c r="AR3037" s="87"/>
      <c r="AS3037" s="87"/>
      <c r="AT3037" s="87"/>
      <c r="AU3037" s="87"/>
      <c r="AV3037" s="92" t="str">
        <f>HYPERLINK("https://pbs.twimg.com/profile_images/1610000252928393217/GavWwevW_normal.jpg")</f>
        <v>https://pbs.twimg.com/profile_images/1610000252928393217/GavWwevW_normal.jpg</v>
      </c>
      <c r="AW3037" s="93" t="s">
        <v>21185</v>
      </c>
      <c r="AX3037" s="93" t="s">
        <v>21185</v>
      </c>
      <c r="AY3037" s="87"/>
      <c r="AZ3037" s="93" t="s">
        <v>22668</v>
      </c>
      <c r="BA3037" s="93" t="s">
        <v>22668</v>
      </c>
      <c r="BB3037" s="93" t="s">
        <v>22668</v>
      </c>
      <c r="BC3037" s="93" t="s">
        <v>21185</v>
      </c>
      <c r="BD3037" s="87">
        <v>3907825898</v>
      </c>
      <c r="BE3037" s="87"/>
      <c r="BF3037" s="87"/>
      <c r="BG3037" s="87"/>
      <c r="BH3037" s="87"/>
      <c r="BI3037" s="87"/>
    </row>
    <row r="3038" spans="1:61" x14ac:dyDescent="0.25">
      <c r="A3038" s="63" t="s">
        <v>1150</v>
      </c>
      <c r="B3038" s="63" t="s">
        <v>1150</v>
      </c>
      <c r="C3038" s="64"/>
      <c r="D3038" s="65"/>
      <c r="E3038" s="66"/>
      <c r="F3038" s="67"/>
      <c r="G3038" s="64"/>
      <c r="H3038" s="68"/>
      <c r="I3038" s="69"/>
      <c r="J3038" s="69"/>
      <c r="K3038" s="32"/>
      <c r="L3038" s="76">
        <v>3038</v>
      </c>
      <c r="M3038" s="76"/>
      <c r="N3038" s="71"/>
      <c r="O3038" s="87" t="s">
        <v>179</v>
      </c>
      <c r="P3038" s="90">
        <v>45145.862175925926</v>
      </c>
      <c r="Q3038" s="87" t="s">
        <v>4738</v>
      </c>
      <c r="R3038" s="87">
        <v>0</v>
      </c>
      <c r="S3038" s="87">
        <v>1</v>
      </c>
      <c r="T3038" s="87">
        <v>1</v>
      </c>
      <c r="U3038" s="87">
        <v>0</v>
      </c>
      <c r="V3038" s="87">
        <v>11</v>
      </c>
      <c r="W3038" s="93" t="s">
        <v>7570</v>
      </c>
      <c r="X3038" s="87"/>
      <c r="Y3038" s="87"/>
      <c r="Z3038" s="87"/>
      <c r="AA3038" s="87"/>
      <c r="AB3038" s="87"/>
      <c r="AC3038" s="93" t="s">
        <v>11457</v>
      </c>
      <c r="AD3038" s="87" t="s">
        <v>11519</v>
      </c>
      <c r="AE3038" s="92" t="str">
        <f>HYPERLINK("https://twitter.com/keevosolucoes/status/1688651612175073280")</f>
        <v>https://twitter.com/keevosolucoes/status/1688651612175073280</v>
      </c>
      <c r="AF3038" s="90">
        <v>45145.862175925926</v>
      </c>
      <c r="AG3038" s="99">
        <v>45145</v>
      </c>
      <c r="AH3038" s="93" t="s">
        <v>14247</v>
      </c>
      <c r="AI3038" s="87"/>
      <c r="AJ3038" s="87"/>
      <c r="AK3038" s="87"/>
      <c r="AL3038" s="87"/>
      <c r="AM3038" s="87"/>
      <c r="AN3038" s="87"/>
      <c r="AO3038" s="87"/>
      <c r="AP3038" s="87"/>
      <c r="AQ3038" s="87"/>
      <c r="AR3038" s="87"/>
      <c r="AS3038" s="87"/>
      <c r="AT3038" s="87"/>
      <c r="AU3038" s="87"/>
      <c r="AV3038" s="92" t="str">
        <f>HYPERLINK("https://pbs.twimg.com/profile_images/1688525076558135296/MPrBorCK_normal.png")</f>
        <v>https://pbs.twimg.com/profile_images/1688525076558135296/MPrBorCK_normal.png</v>
      </c>
      <c r="AW3038" s="93" t="s">
        <v>21186</v>
      </c>
      <c r="AX3038" s="93" t="s">
        <v>21186</v>
      </c>
      <c r="AY3038" s="87"/>
      <c r="AZ3038" s="93" t="s">
        <v>22668</v>
      </c>
      <c r="BA3038" s="93" t="s">
        <v>22668</v>
      </c>
      <c r="BB3038" s="93" t="s">
        <v>22668</v>
      </c>
      <c r="BC3038" s="93" t="s">
        <v>21186</v>
      </c>
      <c r="BD3038" s="93" t="s">
        <v>22618</v>
      </c>
      <c r="BE3038" s="87"/>
      <c r="BF3038" s="87"/>
      <c r="BG3038" s="87"/>
      <c r="BH3038" s="87"/>
      <c r="BI3038" s="87"/>
    </row>
    <row r="3039" spans="1:61" x14ac:dyDescent="0.25">
      <c r="A3039" s="63" t="s">
        <v>1150</v>
      </c>
      <c r="B3039" s="63" t="s">
        <v>1150</v>
      </c>
      <c r="C3039" s="64"/>
      <c r="D3039" s="65"/>
      <c r="E3039" s="66"/>
      <c r="F3039" s="67"/>
      <c r="G3039" s="64"/>
      <c r="H3039" s="68"/>
      <c r="I3039" s="69"/>
      <c r="J3039" s="69"/>
      <c r="K3039" s="32"/>
      <c r="L3039" s="76">
        <v>3039</v>
      </c>
      <c r="M3039" s="76"/>
      <c r="N3039" s="71"/>
      <c r="O3039" s="87" t="s">
        <v>1840</v>
      </c>
      <c r="P3039" s="90">
        <v>45188.698761574073</v>
      </c>
      <c r="Q3039" s="87" t="s">
        <v>4739</v>
      </c>
      <c r="R3039" s="87">
        <v>0</v>
      </c>
      <c r="S3039" s="87">
        <v>0</v>
      </c>
      <c r="T3039" s="87">
        <v>0</v>
      </c>
      <c r="U3039" s="87">
        <v>0</v>
      </c>
      <c r="V3039" s="87">
        <v>3</v>
      </c>
      <c r="W3039" s="93" t="s">
        <v>7571</v>
      </c>
      <c r="X3039" s="87"/>
      <c r="Y3039" s="87"/>
      <c r="Z3039" s="87"/>
      <c r="AA3039" s="87"/>
      <c r="AB3039" s="87"/>
      <c r="AC3039" s="93" t="s">
        <v>11457</v>
      </c>
      <c r="AD3039" s="87" t="s">
        <v>11519</v>
      </c>
      <c r="AE3039" s="92" t="str">
        <f>HYPERLINK("https://twitter.com/keevosolucoes/status/1704175070371844338")</f>
        <v>https://twitter.com/keevosolucoes/status/1704175070371844338</v>
      </c>
      <c r="AF3039" s="90">
        <v>45188.698761574073</v>
      </c>
      <c r="AG3039" s="99">
        <v>45188</v>
      </c>
      <c r="AH3039" s="93" t="s">
        <v>14248</v>
      </c>
      <c r="AI3039" s="87"/>
      <c r="AJ3039" s="87"/>
      <c r="AK3039" s="87"/>
      <c r="AL3039" s="87"/>
      <c r="AM3039" s="87"/>
      <c r="AN3039" s="87"/>
      <c r="AO3039" s="87"/>
      <c r="AP3039" s="87"/>
      <c r="AQ3039" s="87"/>
      <c r="AR3039" s="87"/>
      <c r="AS3039" s="87"/>
      <c r="AT3039" s="87"/>
      <c r="AU3039" s="87"/>
      <c r="AV3039" s="92" t="str">
        <f>HYPERLINK("https://pbs.twimg.com/profile_images/1688525076558135296/MPrBorCK_normal.png")</f>
        <v>https://pbs.twimg.com/profile_images/1688525076558135296/MPrBorCK_normal.png</v>
      </c>
      <c r="AW3039" s="93" t="s">
        <v>21187</v>
      </c>
      <c r="AX3039" s="93" t="s">
        <v>22446</v>
      </c>
      <c r="AY3039" s="93" t="s">
        <v>22618</v>
      </c>
      <c r="AZ3039" s="93" t="s">
        <v>22446</v>
      </c>
      <c r="BA3039" s="93" t="s">
        <v>22668</v>
      </c>
      <c r="BB3039" s="93" t="s">
        <v>22668</v>
      </c>
      <c r="BC3039" s="93" t="s">
        <v>22446</v>
      </c>
      <c r="BD3039" s="93" t="s">
        <v>22618</v>
      </c>
      <c r="BE3039" s="87"/>
      <c r="BF3039" s="87"/>
      <c r="BG3039" s="87"/>
      <c r="BH3039" s="87"/>
      <c r="BI3039" s="87"/>
    </row>
    <row r="3040" spans="1:61" x14ac:dyDescent="0.25">
      <c r="A3040" s="63" t="s">
        <v>1151</v>
      </c>
      <c r="B3040" s="63" t="s">
        <v>1151</v>
      </c>
      <c r="C3040" s="64"/>
      <c r="D3040" s="65"/>
      <c r="E3040" s="66"/>
      <c r="F3040" s="67"/>
      <c r="G3040" s="64"/>
      <c r="H3040" s="68"/>
      <c r="I3040" s="69"/>
      <c r="J3040" s="69"/>
      <c r="K3040" s="32"/>
      <c r="L3040" s="76">
        <v>3040</v>
      </c>
      <c r="M3040" s="76"/>
      <c r="N3040" s="71"/>
      <c r="O3040" s="87" t="s">
        <v>179</v>
      </c>
      <c r="P3040" s="90">
        <v>45123.569004629629</v>
      </c>
      <c r="Q3040" s="87" t="s">
        <v>4740</v>
      </c>
      <c r="R3040" s="87">
        <v>0</v>
      </c>
      <c r="S3040" s="87">
        <v>0</v>
      </c>
      <c r="T3040" s="87">
        <v>0</v>
      </c>
      <c r="U3040" s="87">
        <v>0</v>
      </c>
      <c r="V3040" s="87">
        <v>6</v>
      </c>
      <c r="W3040" s="93" t="s">
        <v>7572</v>
      </c>
      <c r="X3040" s="87"/>
      <c r="Y3040" s="87"/>
      <c r="Z3040" s="87"/>
      <c r="AA3040" s="87" t="s">
        <v>10690</v>
      </c>
      <c r="AB3040" s="87" t="s">
        <v>11448</v>
      </c>
      <c r="AC3040" s="93" t="s">
        <v>11459</v>
      </c>
      <c r="AD3040" s="87" t="s">
        <v>11519</v>
      </c>
      <c r="AE3040" s="92" t="str">
        <f>HYPERLINK("https://twitter.com/contabilocd/status/1680572837155799041")</f>
        <v>https://twitter.com/contabilocd/status/1680572837155799041</v>
      </c>
      <c r="AF3040" s="90">
        <v>45123.569004629629</v>
      </c>
      <c r="AG3040" s="99">
        <v>45123</v>
      </c>
      <c r="AH3040" s="93" t="s">
        <v>14249</v>
      </c>
      <c r="AI3040" s="87" t="b">
        <v>0</v>
      </c>
      <c r="AJ3040" s="87"/>
      <c r="AK3040" s="87"/>
      <c r="AL3040" s="87"/>
      <c r="AM3040" s="87"/>
      <c r="AN3040" s="87"/>
      <c r="AO3040" s="87"/>
      <c r="AP3040" s="87"/>
      <c r="AQ3040" s="87" t="s">
        <v>17502</v>
      </c>
      <c r="AR3040" s="87"/>
      <c r="AS3040" s="87"/>
      <c r="AT3040" s="87"/>
      <c r="AU3040" s="87"/>
      <c r="AV3040" s="92" t="str">
        <f>HYPERLINK("https://pbs.twimg.com/media/F1KYFXYWAAEd0io.jpg")</f>
        <v>https://pbs.twimg.com/media/F1KYFXYWAAEd0io.jpg</v>
      </c>
      <c r="AW3040" s="93" t="s">
        <v>21188</v>
      </c>
      <c r="AX3040" s="93" t="s">
        <v>21188</v>
      </c>
      <c r="AY3040" s="87"/>
      <c r="AZ3040" s="93" t="s">
        <v>22668</v>
      </c>
      <c r="BA3040" s="93" t="s">
        <v>22668</v>
      </c>
      <c r="BB3040" s="93" t="s">
        <v>22668</v>
      </c>
      <c r="BC3040" s="93" t="s">
        <v>21188</v>
      </c>
      <c r="BD3040" s="93" t="s">
        <v>23330</v>
      </c>
      <c r="BE3040" s="87"/>
      <c r="BF3040" s="87"/>
      <c r="BG3040" s="87"/>
      <c r="BH3040" s="87"/>
      <c r="BI3040" s="87"/>
    </row>
    <row r="3041" spans="1:61" x14ac:dyDescent="0.25">
      <c r="A3041" s="63" t="s">
        <v>1151</v>
      </c>
      <c r="B3041" s="63" t="s">
        <v>1151</v>
      </c>
      <c r="C3041" s="64"/>
      <c r="D3041" s="65"/>
      <c r="E3041" s="66"/>
      <c r="F3041" s="67"/>
      <c r="G3041" s="64"/>
      <c r="H3041" s="68"/>
      <c r="I3041" s="69"/>
      <c r="J3041" s="69"/>
      <c r="K3041" s="32"/>
      <c r="L3041" s="76">
        <v>3041</v>
      </c>
      <c r="M3041" s="76"/>
      <c r="N3041" s="71"/>
      <c r="O3041" s="87" t="s">
        <v>179</v>
      </c>
      <c r="P3041" s="90">
        <v>45169.482951388891</v>
      </c>
      <c r="Q3041" s="87" t="s">
        <v>4741</v>
      </c>
      <c r="R3041" s="87">
        <v>0</v>
      </c>
      <c r="S3041" s="87">
        <v>0</v>
      </c>
      <c r="T3041" s="87">
        <v>0</v>
      </c>
      <c r="U3041" s="87">
        <v>0</v>
      </c>
      <c r="V3041" s="87">
        <v>73</v>
      </c>
      <c r="W3041" s="93" t="s">
        <v>7573</v>
      </c>
      <c r="X3041" s="87"/>
      <c r="Y3041" s="87"/>
      <c r="Z3041" s="87"/>
      <c r="AA3041" s="87" t="s">
        <v>10691</v>
      </c>
      <c r="AB3041" s="87" t="s">
        <v>11448</v>
      </c>
      <c r="AC3041" s="93" t="s">
        <v>11459</v>
      </c>
      <c r="AD3041" s="87" t="s">
        <v>11519</v>
      </c>
      <c r="AE3041" s="92" t="str">
        <f>HYPERLINK("https://twitter.com/contabilocd/status/1697211493542977607")</f>
        <v>https://twitter.com/contabilocd/status/1697211493542977607</v>
      </c>
      <c r="AF3041" s="90">
        <v>45169.482951388891</v>
      </c>
      <c r="AG3041" s="99">
        <v>45169</v>
      </c>
      <c r="AH3041" s="93" t="s">
        <v>14250</v>
      </c>
      <c r="AI3041" s="87" t="b">
        <v>0</v>
      </c>
      <c r="AJ3041" s="87"/>
      <c r="AK3041" s="87"/>
      <c r="AL3041" s="87"/>
      <c r="AM3041" s="87"/>
      <c r="AN3041" s="87"/>
      <c r="AO3041" s="87"/>
      <c r="AP3041" s="87"/>
      <c r="AQ3041" s="87" t="s">
        <v>17503</v>
      </c>
      <c r="AR3041" s="87"/>
      <c r="AS3041" s="87"/>
      <c r="AT3041" s="87"/>
      <c r="AU3041" s="87"/>
      <c r="AV3041" s="92" t="str">
        <f>HYPERLINK("https://pbs.twimg.com/media/F4202xLXcAANzH4.jpg")</f>
        <v>https://pbs.twimg.com/media/F4202xLXcAANzH4.jpg</v>
      </c>
      <c r="AW3041" s="93" t="s">
        <v>21189</v>
      </c>
      <c r="AX3041" s="93" t="s">
        <v>21189</v>
      </c>
      <c r="AY3041" s="87"/>
      <c r="AZ3041" s="93" t="s">
        <v>22668</v>
      </c>
      <c r="BA3041" s="93" t="s">
        <v>22668</v>
      </c>
      <c r="BB3041" s="93" t="s">
        <v>22668</v>
      </c>
      <c r="BC3041" s="93" t="s">
        <v>21189</v>
      </c>
      <c r="BD3041" s="93" t="s">
        <v>23330</v>
      </c>
      <c r="BE3041" s="87"/>
      <c r="BF3041" s="87"/>
      <c r="BG3041" s="87"/>
      <c r="BH3041" s="87"/>
      <c r="BI3041" s="87"/>
    </row>
    <row r="3042" spans="1:61" x14ac:dyDescent="0.25">
      <c r="A3042" s="63" t="s">
        <v>1151</v>
      </c>
      <c r="B3042" s="63" t="s">
        <v>1151</v>
      </c>
      <c r="C3042" s="64"/>
      <c r="D3042" s="65"/>
      <c r="E3042" s="66"/>
      <c r="F3042" s="67"/>
      <c r="G3042" s="64"/>
      <c r="H3042" s="68"/>
      <c r="I3042" s="69"/>
      <c r="J3042" s="69"/>
      <c r="K3042" s="32"/>
      <c r="L3042" s="76">
        <v>3042</v>
      </c>
      <c r="M3042" s="76"/>
      <c r="N3042" s="71"/>
      <c r="O3042" s="87" t="s">
        <v>179</v>
      </c>
      <c r="P3042" s="90">
        <v>45156.617604166669</v>
      </c>
      <c r="Q3042" s="87" t="s">
        <v>4742</v>
      </c>
      <c r="R3042" s="87">
        <v>0</v>
      </c>
      <c r="S3042" s="87">
        <v>0</v>
      </c>
      <c r="T3042" s="87">
        <v>0</v>
      </c>
      <c r="U3042" s="87">
        <v>0</v>
      </c>
      <c r="V3042" s="87">
        <v>45</v>
      </c>
      <c r="W3042" s="93" t="s">
        <v>7574</v>
      </c>
      <c r="X3042" s="87"/>
      <c r="Y3042" s="87"/>
      <c r="Z3042" s="87"/>
      <c r="AA3042" s="87" t="s">
        <v>10692</v>
      </c>
      <c r="AB3042" s="87" t="s">
        <v>11448</v>
      </c>
      <c r="AC3042" s="93" t="s">
        <v>11459</v>
      </c>
      <c r="AD3042" s="87" t="s">
        <v>11519</v>
      </c>
      <c r="AE3042" s="92" t="str">
        <f>HYPERLINK("https://twitter.com/contabilocd/status/1692549247579672940")</f>
        <v>https://twitter.com/contabilocd/status/1692549247579672940</v>
      </c>
      <c r="AF3042" s="90">
        <v>45156.617604166669</v>
      </c>
      <c r="AG3042" s="99">
        <v>45156</v>
      </c>
      <c r="AH3042" s="93" t="s">
        <v>14251</v>
      </c>
      <c r="AI3042" s="87" t="b">
        <v>0</v>
      </c>
      <c r="AJ3042" s="87"/>
      <c r="AK3042" s="87"/>
      <c r="AL3042" s="87"/>
      <c r="AM3042" s="87"/>
      <c r="AN3042" s="87"/>
      <c r="AO3042" s="87"/>
      <c r="AP3042" s="87"/>
      <c r="AQ3042" s="87" t="s">
        <v>17504</v>
      </c>
      <c r="AR3042" s="87"/>
      <c r="AS3042" s="87"/>
      <c r="AT3042" s="87"/>
      <c r="AU3042" s="87"/>
      <c r="AV3042" s="92" t="str">
        <f>HYPERLINK("https://pbs.twimg.com/media/F30kkjtXoAEymja.jpg")</f>
        <v>https://pbs.twimg.com/media/F30kkjtXoAEymja.jpg</v>
      </c>
      <c r="AW3042" s="93" t="s">
        <v>21190</v>
      </c>
      <c r="AX3042" s="93" t="s">
        <v>21190</v>
      </c>
      <c r="AY3042" s="87"/>
      <c r="AZ3042" s="93" t="s">
        <v>22668</v>
      </c>
      <c r="BA3042" s="93" t="s">
        <v>22668</v>
      </c>
      <c r="BB3042" s="93" t="s">
        <v>22668</v>
      </c>
      <c r="BC3042" s="93" t="s">
        <v>21190</v>
      </c>
      <c r="BD3042" s="93" t="s">
        <v>23330</v>
      </c>
      <c r="BE3042" s="87"/>
      <c r="BF3042" s="87"/>
      <c r="BG3042" s="87"/>
      <c r="BH3042" s="87"/>
      <c r="BI3042" s="87"/>
    </row>
    <row r="3043" spans="1:61" x14ac:dyDescent="0.25">
      <c r="A3043" s="63" t="s">
        <v>1151</v>
      </c>
      <c r="B3043" s="63" t="s">
        <v>1151</v>
      </c>
      <c r="C3043" s="64"/>
      <c r="D3043" s="65"/>
      <c r="E3043" s="66"/>
      <c r="F3043" s="67"/>
      <c r="G3043" s="64"/>
      <c r="H3043" s="68"/>
      <c r="I3043" s="69"/>
      <c r="J3043" s="69"/>
      <c r="K3043" s="32"/>
      <c r="L3043" s="76">
        <v>3043</v>
      </c>
      <c r="M3043" s="76"/>
      <c r="N3043" s="71"/>
      <c r="O3043" s="87" t="s">
        <v>179</v>
      </c>
      <c r="P3043" s="90">
        <v>45180.475659722222</v>
      </c>
      <c r="Q3043" s="87" t="s">
        <v>4743</v>
      </c>
      <c r="R3043" s="87">
        <v>0</v>
      </c>
      <c r="S3043" s="87">
        <v>0</v>
      </c>
      <c r="T3043" s="87">
        <v>0</v>
      </c>
      <c r="U3043" s="87">
        <v>0</v>
      </c>
      <c r="V3043" s="87">
        <v>9</v>
      </c>
      <c r="W3043" s="93" t="s">
        <v>7575</v>
      </c>
      <c r="X3043" s="87"/>
      <c r="Y3043" s="87"/>
      <c r="Z3043" s="87"/>
      <c r="AA3043" s="87" t="s">
        <v>10693</v>
      </c>
      <c r="AB3043" s="87" t="s">
        <v>11448</v>
      </c>
      <c r="AC3043" s="93" t="s">
        <v>11459</v>
      </c>
      <c r="AD3043" s="87" t="s">
        <v>11519</v>
      </c>
      <c r="AE3043" s="92" t="str">
        <f>HYPERLINK("https://twitter.com/contabilocd/status/1701195116461887892")</f>
        <v>https://twitter.com/contabilocd/status/1701195116461887892</v>
      </c>
      <c r="AF3043" s="90">
        <v>45180.475659722222</v>
      </c>
      <c r="AG3043" s="99">
        <v>45180</v>
      </c>
      <c r="AH3043" s="93" t="s">
        <v>14252</v>
      </c>
      <c r="AI3043" s="87" t="b">
        <v>0</v>
      </c>
      <c r="AJ3043" s="87"/>
      <c r="AK3043" s="87"/>
      <c r="AL3043" s="87"/>
      <c r="AM3043" s="87"/>
      <c r="AN3043" s="87"/>
      <c r="AO3043" s="87"/>
      <c r="AP3043" s="87"/>
      <c r="AQ3043" s="87" t="s">
        <v>17505</v>
      </c>
      <c r="AR3043" s="87"/>
      <c r="AS3043" s="87"/>
      <c r="AT3043" s="87"/>
      <c r="AU3043" s="87"/>
      <c r="AV3043" s="92" t="str">
        <f>HYPERLINK("https://pbs.twimg.com/media/F5vb61lWEAAyOVk.jpg")</f>
        <v>https://pbs.twimg.com/media/F5vb61lWEAAyOVk.jpg</v>
      </c>
      <c r="AW3043" s="93" t="s">
        <v>21191</v>
      </c>
      <c r="AX3043" s="93" t="s">
        <v>21191</v>
      </c>
      <c r="AY3043" s="87"/>
      <c r="AZ3043" s="93" t="s">
        <v>22668</v>
      </c>
      <c r="BA3043" s="93" t="s">
        <v>22668</v>
      </c>
      <c r="BB3043" s="93" t="s">
        <v>22668</v>
      </c>
      <c r="BC3043" s="93" t="s">
        <v>21191</v>
      </c>
      <c r="BD3043" s="93" t="s">
        <v>23330</v>
      </c>
      <c r="BE3043" s="87"/>
      <c r="BF3043" s="87"/>
      <c r="BG3043" s="87"/>
      <c r="BH3043" s="87"/>
      <c r="BI3043" s="87"/>
    </row>
    <row r="3044" spans="1:61" x14ac:dyDescent="0.25">
      <c r="A3044" s="63" t="s">
        <v>1151</v>
      </c>
      <c r="B3044" s="63" t="s">
        <v>1151</v>
      </c>
      <c r="C3044" s="64"/>
      <c r="D3044" s="65"/>
      <c r="E3044" s="66"/>
      <c r="F3044" s="67"/>
      <c r="G3044" s="64"/>
      <c r="H3044" s="68"/>
      <c r="I3044" s="69"/>
      <c r="J3044" s="69"/>
      <c r="K3044" s="32"/>
      <c r="L3044" s="76">
        <v>3044</v>
      </c>
      <c r="M3044" s="76"/>
      <c r="N3044" s="71"/>
      <c r="O3044" s="87" t="s">
        <v>179</v>
      </c>
      <c r="P3044" s="90">
        <v>45177.484340277777</v>
      </c>
      <c r="Q3044" s="87" t="s">
        <v>4744</v>
      </c>
      <c r="R3044" s="87">
        <v>0</v>
      </c>
      <c r="S3044" s="87">
        <v>0</v>
      </c>
      <c r="T3044" s="87">
        <v>0</v>
      </c>
      <c r="U3044" s="87">
        <v>0</v>
      </c>
      <c r="V3044" s="87">
        <v>19</v>
      </c>
      <c r="W3044" s="93" t="s">
        <v>7576</v>
      </c>
      <c r="X3044" s="87"/>
      <c r="Y3044" s="87"/>
      <c r="Z3044" s="87"/>
      <c r="AA3044" s="87" t="s">
        <v>10694</v>
      </c>
      <c r="AB3044" s="87" t="s">
        <v>11448</v>
      </c>
      <c r="AC3044" s="93" t="s">
        <v>11459</v>
      </c>
      <c r="AD3044" s="87" t="s">
        <v>11519</v>
      </c>
      <c r="AE3044" s="92" t="str">
        <f>HYPERLINK("https://twitter.com/contabilocd/status/1700111102107852912")</f>
        <v>https://twitter.com/contabilocd/status/1700111102107852912</v>
      </c>
      <c r="AF3044" s="90">
        <v>45177.484340277777</v>
      </c>
      <c r="AG3044" s="99">
        <v>45177</v>
      </c>
      <c r="AH3044" s="93" t="s">
        <v>14253</v>
      </c>
      <c r="AI3044" s="87" t="b">
        <v>0</v>
      </c>
      <c r="AJ3044" s="87"/>
      <c r="AK3044" s="87"/>
      <c r="AL3044" s="87"/>
      <c r="AM3044" s="87"/>
      <c r="AN3044" s="87"/>
      <c r="AO3044" s="87"/>
      <c r="AP3044" s="87"/>
      <c r="AQ3044" s="87" t="s">
        <v>17506</v>
      </c>
      <c r="AR3044" s="87"/>
      <c r="AS3044" s="87"/>
      <c r="AT3044" s="87"/>
      <c r="AU3044" s="87"/>
      <c r="AV3044" s="92" t="str">
        <f>HYPERLINK("https://pbs.twimg.com/media/F5gCCPDXwAAz0y6.jpg")</f>
        <v>https://pbs.twimg.com/media/F5gCCPDXwAAz0y6.jpg</v>
      </c>
      <c r="AW3044" s="93" t="s">
        <v>21192</v>
      </c>
      <c r="AX3044" s="93" t="s">
        <v>21192</v>
      </c>
      <c r="AY3044" s="87"/>
      <c r="AZ3044" s="93" t="s">
        <v>22668</v>
      </c>
      <c r="BA3044" s="93" t="s">
        <v>22668</v>
      </c>
      <c r="BB3044" s="93" t="s">
        <v>22668</v>
      </c>
      <c r="BC3044" s="93" t="s">
        <v>21192</v>
      </c>
      <c r="BD3044" s="93" t="s">
        <v>23330</v>
      </c>
      <c r="BE3044" s="87"/>
      <c r="BF3044" s="87"/>
      <c r="BG3044" s="87"/>
      <c r="BH3044" s="87"/>
      <c r="BI3044" s="87"/>
    </row>
    <row r="3045" spans="1:61" x14ac:dyDescent="0.25">
      <c r="A3045" s="63" t="s">
        <v>1151</v>
      </c>
      <c r="B3045" s="63" t="s">
        <v>1151</v>
      </c>
      <c r="C3045" s="64"/>
      <c r="D3045" s="65"/>
      <c r="E3045" s="66"/>
      <c r="F3045" s="67"/>
      <c r="G3045" s="64"/>
      <c r="H3045" s="68"/>
      <c r="I3045" s="69"/>
      <c r="J3045" s="69"/>
      <c r="K3045" s="32"/>
      <c r="L3045" s="76">
        <v>3045</v>
      </c>
      <c r="M3045" s="76"/>
      <c r="N3045" s="71"/>
      <c r="O3045" s="87" t="s">
        <v>179</v>
      </c>
      <c r="P3045" s="90">
        <v>45184.602060185185</v>
      </c>
      <c r="Q3045" s="87" t="s">
        <v>4745</v>
      </c>
      <c r="R3045" s="87">
        <v>0</v>
      </c>
      <c r="S3045" s="87">
        <v>0</v>
      </c>
      <c r="T3045" s="87">
        <v>0</v>
      </c>
      <c r="U3045" s="87">
        <v>0</v>
      </c>
      <c r="V3045" s="87">
        <v>21</v>
      </c>
      <c r="W3045" s="93" t="s">
        <v>7577</v>
      </c>
      <c r="X3045" s="87"/>
      <c r="Y3045" s="87"/>
      <c r="Z3045" s="87"/>
      <c r="AA3045" s="87" t="s">
        <v>10695</v>
      </c>
      <c r="AB3045" s="87" t="s">
        <v>11448</v>
      </c>
      <c r="AC3045" s="93" t="s">
        <v>11459</v>
      </c>
      <c r="AD3045" s="87" t="s">
        <v>11519</v>
      </c>
      <c r="AE3045" s="92" t="str">
        <f>HYPERLINK("https://twitter.com/contabilocd/status/1702690475713462663")</f>
        <v>https://twitter.com/contabilocd/status/1702690475713462663</v>
      </c>
      <c r="AF3045" s="90">
        <v>45184.602060185185</v>
      </c>
      <c r="AG3045" s="99">
        <v>45184</v>
      </c>
      <c r="AH3045" s="93" t="s">
        <v>14254</v>
      </c>
      <c r="AI3045" s="87" t="b">
        <v>0</v>
      </c>
      <c r="AJ3045" s="87"/>
      <c r="AK3045" s="87"/>
      <c r="AL3045" s="87"/>
      <c r="AM3045" s="87"/>
      <c r="AN3045" s="87"/>
      <c r="AO3045" s="87"/>
      <c r="AP3045" s="87"/>
      <c r="AQ3045" s="87" t="s">
        <v>17507</v>
      </c>
      <c r="AR3045" s="87"/>
      <c r="AS3045" s="87"/>
      <c r="AT3045" s="87"/>
      <c r="AU3045" s="87"/>
      <c r="AV3045" s="92" t="str">
        <f>HYPERLINK("https://pbs.twimg.com/media/F6Er9gEWwAAqeYC.jpg")</f>
        <v>https://pbs.twimg.com/media/F6Er9gEWwAAqeYC.jpg</v>
      </c>
      <c r="AW3045" s="93" t="s">
        <v>21193</v>
      </c>
      <c r="AX3045" s="93" t="s">
        <v>21193</v>
      </c>
      <c r="AY3045" s="87"/>
      <c r="AZ3045" s="93" t="s">
        <v>22668</v>
      </c>
      <c r="BA3045" s="93" t="s">
        <v>22668</v>
      </c>
      <c r="BB3045" s="93" t="s">
        <v>22668</v>
      </c>
      <c r="BC3045" s="93" t="s">
        <v>21193</v>
      </c>
      <c r="BD3045" s="93" t="s">
        <v>23330</v>
      </c>
      <c r="BE3045" s="87"/>
      <c r="BF3045" s="87"/>
      <c r="BG3045" s="87"/>
      <c r="BH3045" s="87"/>
      <c r="BI3045" s="87"/>
    </row>
    <row r="3046" spans="1:61" x14ac:dyDescent="0.25">
      <c r="A3046" s="63" t="s">
        <v>1152</v>
      </c>
      <c r="B3046" s="63" t="s">
        <v>1152</v>
      </c>
      <c r="C3046" s="64"/>
      <c r="D3046" s="65"/>
      <c r="E3046" s="66"/>
      <c r="F3046" s="67"/>
      <c r="G3046" s="64"/>
      <c r="H3046" s="68"/>
      <c r="I3046" s="69"/>
      <c r="J3046" s="69"/>
      <c r="K3046" s="32"/>
      <c r="L3046" s="76">
        <v>3046</v>
      </c>
      <c r="M3046" s="76"/>
      <c r="N3046" s="71"/>
      <c r="O3046" s="87" t="s">
        <v>179</v>
      </c>
      <c r="P3046" s="90">
        <v>45181.338483796295</v>
      </c>
      <c r="Q3046" s="87" t="s">
        <v>4746</v>
      </c>
      <c r="R3046" s="87">
        <v>0</v>
      </c>
      <c r="S3046" s="87">
        <v>0</v>
      </c>
      <c r="T3046" s="87">
        <v>0</v>
      </c>
      <c r="U3046" s="87">
        <v>0</v>
      </c>
      <c r="V3046" s="87">
        <v>3</v>
      </c>
      <c r="W3046" s="93" t="s">
        <v>7578</v>
      </c>
      <c r="X3046" s="92" t="str">
        <f>HYPERLINK("https://many.news/pt/entertainment/expanding-family-life-of-a-renowned-entrepreneur")</f>
        <v>https://many.news/pt/entertainment/expanding-family-life-of-a-renowned-entrepreneur</v>
      </c>
      <c r="Y3046" s="87" t="s">
        <v>8504</v>
      </c>
      <c r="Z3046" s="87"/>
      <c r="AA3046" s="87"/>
      <c r="AB3046" s="87"/>
      <c r="AC3046" s="93" t="s">
        <v>11505</v>
      </c>
      <c r="AD3046" s="87" t="s">
        <v>11519</v>
      </c>
      <c r="AE3046" s="92" t="str">
        <f>HYPERLINK("https://twitter.com/notic_entretmto/status/1701507793683960140")</f>
        <v>https://twitter.com/notic_entretmto/status/1701507793683960140</v>
      </c>
      <c r="AF3046" s="90">
        <v>45181.338483796295</v>
      </c>
      <c r="AG3046" s="99">
        <v>45181</v>
      </c>
      <c r="AH3046" s="93" t="s">
        <v>14255</v>
      </c>
      <c r="AI3046" s="87" t="b">
        <v>0</v>
      </c>
      <c r="AJ3046" s="87"/>
      <c r="AK3046" s="87"/>
      <c r="AL3046" s="87"/>
      <c r="AM3046" s="87"/>
      <c r="AN3046" s="87"/>
      <c r="AO3046" s="87"/>
      <c r="AP3046" s="87"/>
      <c r="AQ3046" s="87"/>
      <c r="AR3046" s="87"/>
      <c r="AS3046" s="87"/>
      <c r="AT3046" s="87"/>
      <c r="AU3046" s="87"/>
      <c r="AV3046" s="92" t="str">
        <f>HYPERLINK("https://pbs.twimg.com/profile_images/1682143208246214656/onh4WTzA_normal.jpg")</f>
        <v>https://pbs.twimg.com/profile_images/1682143208246214656/onh4WTzA_normal.jpg</v>
      </c>
      <c r="AW3046" s="93" t="s">
        <v>21194</v>
      </c>
      <c r="AX3046" s="93" t="s">
        <v>21194</v>
      </c>
      <c r="AY3046" s="87"/>
      <c r="AZ3046" s="93" t="s">
        <v>22668</v>
      </c>
      <c r="BA3046" s="93" t="s">
        <v>22668</v>
      </c>
      <c r="BB3046" s="93" t="s">
        <v>22668</v>
      </c>
      <c r="BC3046" s="93" t="s">
        <v>21194</v>
      </c>
      <c r="BD3046" s="93" t="s">
        <v>23331</v>
      </c>
      <c r="BE3046" s="87"/>
      <c r="BF3046" s="87"/>
      <c r="BG3046" s="87"/>
      <c r="BH3046" s="87"/>
      <c r="BI3046" s="87"/>
    </row>
    <row r="3047" spans="1:61" x14ac:dyDescent="0.25">
      <c r="A3047" s="63" t="s">
        <v>1153</v>
      </c>
      <c r="B3047" s="63" t="s">
        <v>1153</v>
      </c>
      <c r="C3047" s="64"/>
      <c r="D3047" s="65"/>
      <c r="E3047" s="66"/>
      <c r="F3047" s="67"/>
      <c r="G3047" s="64"/>
      <c r="H3047" s="68"/>
      <c r="I3047" s="69"/>
      <c r="J3047" s="69"/>
      <c r="K3047" s="32"/>
      <c r="L3047" s="76">
        <v>3047</v>
      </c>
      <c r="M3047" s="76"/>
      <c r="N3047" s="71"/>
      <c r="O3047" s="87" t="s">
        <v>179</v>
      </c>
      <c r="P3047" s="90">
        <v>45156.347025462965</v>
      </c>
      <c r="Q3047" s="87" t="s">
        <v>4747</v>
      </c>
      <c r="R3047" s="87">
        <v>0</v>
      </c>
      <c r="S3047" s="87">
        <v>0</v>
      </c>
      <c r="T3047" s="87">
        <v>0</v>
      </c>
      <c r="U3047" s="87">
        <v>0</v>
      </c>
      <c r="V3047" s="87">
        <v>5</v>
      </c>
      <c r="W3047" s="93" t="s">
        <v>7579</v>
      </c>
      <c r="X3047" s="87"/>
      <c r="Y3047" s="87"/>
      <c r="Z3047" s="87"/>
      <c r="AA3047" s="87"/>
      <c r="AB3047" s="87"/>
      <c r="AC3047" s="93" t="s">
        <v>11458</v>
      </c>
      <c r="AD3047" s="87" t="s">
        <v>11519</v>
      </c>
      <c r="AE3047" s="92" t="str">
        <f>HYPERLINK("https://twitter.com/abimarburitijr/status/1692451192209588700")</f>
        <v>https://twitter.com/abimarburitijr/status/1692451192209588700</v>
      </c>
      <c r="AF3047" s="90">
        <v>45156.347025462965</v>
      </c>
      <c r="AG3047" s="99">
        <v>45156</v>
      </c>
      <c r="AH3047" s="93" t="s">
        <v>14256</v>
      </c>
      <c r="AI3047" s="87"/>
      <c r="AJ3047" s="87"/>
      <c r="AK3047" s="87"/>
      <c r="AL3047" s="87"/>
      <c r="AM3047" s="87"/>
      <c r="AN3047" s="87"/>
      <c r="AO3047" s="87"/>
      <c r="AP3047" s="87"/>
      <c r="AQ3047" s="87"/>
      <c r="AR3047" s="87"/>
      <c r="AS3047" s="87"/>
      <c r="AT3047" s="87"/>
      <c r="AU3047" s="87"/>
      <c r="AV3047" s="92" t="str">
        <f>HYPERLINK("https://pbs.twimg.com/profile_images/1254471237042143233/uXCT90kp_normal.jpg")</f>
        <v>https://pbs.twimg.com/profile_images/1254471237042143233/uXCT90kp_normal.jpg</v>
      </c>
      <c r="AW3047" s="93" t="s">
        <v>21195</v>
      </c>
      <c r="AX3047" s="93" t="s">
        <v>21195</v>
      </c>
      <c r="AY3047" s="87"/>
      <c r="AZ3047" s="93" t="s">
        <v>22668</v>
      </c>
      <c r="BA3047" s="93" t="s">
        <v>22668</v>
      </c>
      <c r="BB3047" s="93" t="s">
        <v>22668</v>
      </c>
      <c r="BC3047" s="93" t="s">
        <v>21195</v>
      </c>
      <c r="BD3047" s="93" t="s">
        <v>23332</v>
      </c>
      <c r="BE3047" s="87"/>
      <c r="BF3047" s="87"/>
      <c r="BG3047" s="87"/>
      <c r="BH3047" s="87"/>
      <c r="BI3047" s="87"/>
    </row>
    <row r="3048" spans="1:61" x14ac:dyDescent="0.25">
      <c r="A3048" s="63" t="s">
        <v>1154</v>
      </c>
      <c r="B3048" s="63" t="s">
        <v>1154</v>
      </c>
      <c r="C3048" s="64"/>
      <c r="D3048" s="65"/>
      <c r="E3048" s="66"/>
      <c r="F3048" s="67"/>
      <c r="G3048" s="64"/>
      <c r="H3048" s="68"/>
      <c r="I3048" s="69"/>
      <c r="J3048" s="69"/>
      <c r="K3048" s="32"/>
      <c r="L3048" s="76">
        <v>3048</v>
      </c>
      <c r="M3048" s="76"/>
      <c r="N3048" s="71"/>
      <c r="O3048" s="87" t="s">
        <v>179</v>
      </c>
      <c r="P3048" s="90">
        <v>45139.694513888891</v>
      </c>
      <c r="Q3048" s="87" t="s">
        <v>4748</v>
      </c>
      <c r="R3048" s="87">
        <v>0</v>
      </c>
      <c r="S3048" s="87">
        <v>3</v>
      </c>
      <c r="T3048" s="87">
        <v>0</v>
      </c>
      <c r="U3048" s="87">
        <v>0</v>
      </c>
      <c r="V3048" s="87">
        <v>74</v>
      </c>
      <c r="W3048" s="93" t="s">
        <v>7580</v>
      </c>
      <c r="X3048" s="87"/>
      <c r="Y3048" s="87"/>
      <c r="Z3048" s="87"/>
      <c r="AA3048" s="87" t="s">
        <v>10696</v>
      </c>
      <c r="AB3048" s="87" t="s">
        <v>11447</v>
      </c>
      <c r="AC3048" s="93" t="s">
        <v>11457</v>
      </c>
      <c r="AD3048" s="87" t="s">
        <v>11519</v>
      </c>
      <c r="AE3048" s="92" t="str">
        <f>HYPERLINK("https://twitter.com/performandovida/status/1686416525530423296")</f>
        <v>https://twitter.com/performandovida/status/1686416525530423296</v>
      </c>
      <c r="AF3048" s="90">
        <v>45139.694513888891</v>
      </c>
      <c r="AG3048" s="99">
        <v>45139</v>
      </c>
      <c r="AH3048" s="93" t="s">
        <v>11836</v>
      </c>
      <c r="AI3048" s="87" t="b">
        <v>0</v>
      </c>
      <c r="AJ3048" s="87"/>
      <c r="AK3048" s="87"/>
      <c r="AL3048" s="87"/>
      <c r="AM3048" s="87"/>
      <c r="AN3048" s="87"/>
      <c r="AO3048" s="87"/>
      <c r="AP3048" s="87"/>
      <c r="AQ3048" s="87" t="s">
        <v>17508</v>
      </c>
      <c r="AR3048" s="87">
        <v>26500</v>
      </c>
      <c r="AS3048" s="87"/>
      <c r="AT3048" s="87"/>
      <c r="AU3048" s="87"/>
      <c r="AV3048" s="92" t="str">
        <f>HYPERLINK("https://pbs.twimg.com/ext_tw_video_thumb/1686416416663130128/pu/img/ch2aS6yCZm3EnHI6.jpg")</f>
        <v>https://pbs.twimg.com/ext_tw_video_thumb/1686416416663130128/pu/img/ch2aS6yCZm3EnHI6.jpg</v>
      </c>
      <c r="AW3048" s="93" t="s">
        <v>21196</v>
      </c>
      <c r="AX3048" s="93" t="s">
        <v>21196</v>
      </c>
      <c r="AY3048" s="87"/>
      <c r="AZ3048" s="93" t="s">
        <v>22668</v>
      </c>
      <c r="BA3048" s="93" t="s">
        <v>22668</v>
      </c>
      <c r="BB3048" s="93" t="s">
        <v>22668</v>
      </c>
      <c r="BC3048" s="93" t="s">
        <v>21196</v>
      </c>
      <c r="BD3048" s="93" t="s">
        <v>23333</v>
      </c>
      <c r="BE3048" s="87"/>
      <c r="BF3048" s="87"/>
      <c r="BG3048" s="87"/>
      <c r="BH3048" s="87"/>
      <c r="BI3048" s="87"/>
    </row>
    <row r="3049" spans="1:61" x14ac:dyDescent="0.25">
      <c r="A3049" s="63" t="s">
        <v>1154</v>
      </c>
      <c r="B3049" s="63" t="s">
        <v>1154</v>
      </c>
      <c r="C3049" s="64"/>
      <c r="D3049" s="65"/>
      <c r="E3049" s="66"/>
      <c r="F3049" s="67"/>
      <c r="G3049" s="64"/>
      <c r="H3049" s="68"/>
      <c r="I3049" s="69"/>
      <c r="J3049" s="69"/>
      <c r="K3049" s="32"/>
      <c r="L3049" s="76">
        <v>3049</v>
      </c>
      <c r="M3049" s="76"/>
      <c r="N3049" s="71"/>
      <c r="O3049" s="87" t="s">
        <v>179</v>
      </c>
      <c r="P3049" s="90">
        <v>45138.726458333331</v>
      </c>
      <c r="Q3049" s="87" t="s">
        <v>4749</v>
      </c>
      <c r="R3049" s="87">
        <v>0</v>
      </c>
      <c r="S3049" s="87">
        <v>2</v>
      </c>
      <c r="T3049" s="87">
        <v>0</v>
      </c>
      <c r="U3049" s="87">
        <v>0</v>
      </c>
      <c r="V3049" s="87">
        <v>354</v>
      </c>
      <c r="W3049" s="93" t="s">
        <v>7581</v>
      </c>
      <c r="X3049" s="87"/>
      <c r="Y3049" s="87"/>
      <c r="Z3049" s="87"/>
      <c r="AA3049" s="87" t="s">
        <v>10697</v>
      </c>
      <c r="AB3049" s="87" t="s">
        <v>11447</v>
      </c>
      <c r="AC3049" s="93" t="s">
        <v>11457</v>
      </c>
      <c r="AD3049" s="87" t="s">
        <v>11519</v>
      </c>
      <c r="AE3049" s="92" t="str">
        <f>HYPERLINK("https://twitter.com/performandovida/status/1686065715848105984")</f>
        <v>https://twitter.com/performandovida/status/1686065715848105984</v>
      </c>
      <c r="AF3049" s="90">
        <v>45138.726458333331</v>
      </c>
      <c r="AG3049" s="99">
        <v>45138</v>
      </c>
      <c r="AH3049" s="93" t="s">
        <v>14257</v>
      </c>
      <c r="AI3049" s="87" t="b">
        <v>0</v>
      </c>
      <c r="AJ3049" s="87"/>
      <c r="AK3049" s="87"/>
      <c r="AL3049" s="87"/>
      <c r="AM3049" s="87"/>
      <c r="AN3049" s="87"/>
      <c r="AO3049" s="87"/>
      <c r="AP3049" s="87"/>
      <c r="AQ3049" s="87" t="s">
        <v>17509</v>
      </c>
      <c r="AR3049" s="87">
        <v>56232</v>
      </c>
      <c r="AS3049" s="87"/>
      <c r="AT3049" s="87"/>
      <c r="AU3049" s="87"/>
      <c r="AV3049" s="92" t="str">
        <f>HYPERLINK("https://pbs.twimg.com/ext_tw_video_thumb/1686065596822110208/pu/img/m8koxXlPAlsLuN3j.jpg")</f>
        <v>https://pbs.twimg.com/ext_tw_video_thumb/1686065596822110208/pu/img/m8koxXlPAlsLuN3j.jpg</v>
      </c>
      <c r="AW3049" s="93" t="s">
        <v>21197</v>
      </c>
      <c r="AX3049" s="93" t="s">
        <v>21197</v>
      </c>
      <c r="AY3049" s="87"/>
      <c r="AZ3049" s="93" t="s">
        <v>22668</v>
      </c>
      <c r="BA3049" s="93" t="s">
        <v>22668</v>
      </c>
      <c r="BB3049" s="93" t="s">
        <v>22668</v>
      </c>
      <c r="BC3049" s="93" t="s">
        <v>21197</v>
      </c>
      <c r="BD3049" s="93" t="s">
        <v>23333</v>
      </c>
      <c r="BE3049" s="87"/>
      <c r="BF3049" s="87"/>
      <c r="BG3049" s="87"/>
      <c r="BH3049" s="87"/>
      <c r="BI3049" s="87"/>
    </row>
    <row r="3050" spans="1:61" x14ac:dyDescent="0.25">
      <c r="A3050" s="63" t="s">
        <v>1154</v>
      </c>
      <c r="B3050" s="63" t="s">
        <v>1154</v>
      </c>
      <c r="C3050" s="64"/>
      <c r="D3050" s="65"/>
      <c r="E3050" s="66"/>
      <c r="F3050" s="67"/>
      <c r="G3050" s="64"/>
      <c r="H3050" s="68"/>
      <c r="I3050" s="69"/>
      <c r="J3050" s="69"/>
      <c r="K3050" s="32"/>
      <c r="L3050" s="76">
        <v>3050</v>
      </c>
      <c r="M3050" s="76"/>
      <c r="N3050" s="71"/>
      <c r="O3050" s="87" t="s">
        <v>179</v>
      </c>
      <c r="P3050" s="90">
        <v>45145.986666666664</v>
      </c>
      <c r="Q3050" s="87" t="s">
        <v>4750</v>
      </c>
      <c r="R3050" s="87">
        <v>0</v>
      </c>
      <c r="S3050" s="87">
        <v>3</v>
      </c>
      <c r="T3050" s="87">
        <v>1</v>
      </c>
      <c r="U3050" s="87">
        <v>0</v>
      </c>
      <c r="V3050" s="87">
        <v>28</v>
      </c>
      <c r="W3050" s="93" t="s">
        <v>7582</v>
      </c>
      <c r="X3050" s="87"/>
      <c r="Y3050" s="87"/>
      <c r="Z3050" s="87"/>
      <c r="AA3050" s="87" t="s">
        <v>10698</v>
      </c>
      <c r="AB3050" s="87" t="s">
        <v>11447</v>
      </c>
      <c r="AC3050" s="93" t="s">
        <v>11457</v>
      </c>
      <c r="AD3050" s="87" t="s">
        <v>11519</v>
      </c>
      <c r="AE3050" s="92" t="str">
        <f>HYPERLINK("https://twitter.com/performandovida/status/1688696725672763392")</f>
        <v>https://twitter.com/performandovida/status/1688696725672763392</v>
      </c>
      <c r="AF3050" s="90">
        <v>45145.986666666664</v>
      </c>
      <c r="AG3050" s="99">
        <v>45145</v>
      </c>
      <c r="AH3050" s="93" t="s">
        <v>14258</v>
      </c>
      <c r="AI3050" s="87" t="b">
        <v>0</v>
      </c>
      <c r="AJ3050" s="87"/>
      <c r="AK3050" s="87"/>
      <c r="AL3050" s="87"/>
      <c r="AM3050" s="87"/>
      <c r="AN3050" s="87"/>
      <c r="AO3050" s="87"/>
      <c r="AP3050" s="87"/>
      <c r="AQ3050" s="87" t="s">
        <v>17510</v>
      </c>
      <c r="AR3050" s="87">
        <v>45766</v>
      </c>
      <c r="AS3050" s="87"/>
      <c r="AT3050" s="87"/>
      <c r="AU3050" s="87"/>
      <c r="AV3050" s="92" t="str">
        <f>HYPERLINK("https://pbs.twimg.com/ext_tw_video_thumb/1688696624342614017/pu/img/HsvU2DY6xE7Dzk6A.jpg")</f>
        <v>https://pbs.twimg.com/ext_tw_video_thumb/1688696624342614017/pu/img/HsvU2DY6xE7Dzk6A.jpg</v>
      </c>
      <c r="AW3050" s="93" t="s">
        <v>21198</v>
      </c>
      <c r="AX3050" s="93" t="s">
        <v>21198</v>
      </c>
      <c r="AY3050" s="87"/>
      <c r="AZ3050" s="93" t="s">
        <v>22668</v>
      </c>
      <c r="BA3050" s="93" t="s">
        <v>22668</v>
      </c>
      <c r="BB3050" s="93" t="s">
        <v>22668</v>
      </c>
      <c r="BC3050" s="93" t="s">
        <v>21198</v>
      </c>
      <c r="BD3050" s="93" t="s">
        <v>23333</v>
      </c>
      <c r="BE3050" s="87"/>
      <c r="BF3050" s="87"/>
      <c r="BG3050" s="87"/>
      <c r="BH3050" s="87"/>
      <c r="BI3050" s="87"/>
    </row>
    <row r="3051" spans="1:61" x14ac:dyDescent="0.25">
      <c r="A3051" s="63" t="s">
        <v>1154</v>
      </c>
      <c r="B3051" s="63" t="s">
        <v>1154</v>
      </c>
      <c r="C3051" s="64"/>
      <c r="D3051" s="65"/>
      <c r="E3051" s="66"/>
      <c r="F3051" s="67"/>
      <c r="G3051" s="64"/>
      <c r="H3051" s="68"/>
      <c r="I3051" s="69"/>
      <c r="J3051" s="69"/>
      <c r="K3051" s="32"/>
      <c r="L3051" s="76">
        <v>3051</v>
      </c>
      <c r="M3051" s="76"/>
      <c r="N3051" s="71"/>
      <c r="O3051" s="87" t="s">
        <v>179</v>
      </c>
      <c r="P3051" s="90">
        <v>45189.968564814815</v>
      </c>
      <c r="Q3051" s="87" t="s">
        <v>4751</v>
      </c>
      <c r="R3051" s="87">
        <v>0</v>
      </c>
      <c r="S3051" s="87">
        <v>2</v>
      </c>
      <c r="T3051" s="87">
        <v>0</v>
      </c>
      <c r="U3051" s="87">
        <v>0</v>
      </c>
      <c r="V3051" s="87">
        <v>61</v>
      </c>
      <c r="W3051" s="93" t="s">
        <v>7583</v>
      </c>
      <c r="X3051" s="87"/>
      <c r="Y3051" s="87"/>
      <c r="Z3051" s="87"/>
      <c r="AA3051" s="87" t="s">
        <v>10699</v>
      </c>
      <c r="AB3051" s="87" t="s">
        <v>11447</v>
      </c>
      <c r="AC3051" s="93" t="s">
        <v>11457</v>
      </c>
      <c r="AD3051" s="87" t="s">
        <v>11519</v>
      </c>
      <c r="AE3051" s="92" t="str">
        <f>HYPERLINK("https://twitter.com/performandovida/status/1704635230085128404")</f>
        <v>https://twitter.com/performandovida/status/1704635230085128404</v>
      </c>
      <c r="AF3051" s="90">
        <v>45189.968564814815</v>
      </c>
      <c r="AG3051" s="99">
        <v>45189</v>
      </c>
      <c r="AH3051" s="93" t="s">
        <v>14259</v>
      </c>
      <c r="AI3051" s="87" t="b">
        <v>0</v>
      </c>
      <c r="AJ3051" s="87"/>
      <c r="AK3051" s="87"/>
      <c r="AL3051" s="87"/>
      <c r="AM3051" s="87"/>
      <c r="AN3051" s="87"/>
      <c r="AO3051" s="87"/>
      <c r="AP3051" s="87"/>
      <c r="AQ3051" s="87" t="s">
        <v>17511</v>
      </c>
      <c r="AR3051" s="87">
        <v>9500</v>
      </c>
      <c r="AS3051" s="87"/>
      <c r="AT3051" s="87"/>
      <c r="AU3051" s="87"/>
      <c r="AV3051" s="92" t="str">
        <f>HYPERLINK("https://pbs.twimg.com/ext_tw_video_thumb/1704635056910639104/pu/img/5HK7XygLWA1MnG45.jpg")</f>
        <v>https://pbs.twimg.com/ext_tw_video_thumb/1704635056910639104/pu/img/5HK7XygLWA1MnG45.jpg</v>
      </c>
      <c r="AW3051" s="93" t="s">
        <v>21199</v>
      </c>
      <c r="AX3051" s="93" t="s">
        <v>21199</v>
      </c>
      <c r="AY3051" s="87"/>
      <c r="AZ3051" s="93" t="s">
        <v>22668</v>
      </c>
      <c r="BA3051" s="93" t="s">
        <v>22668</v>
      </c>
      <c r="BB3051" s="93" t="s">
        <v>22668</v>
      </c>
      <c r="BC3051" s="93" t="s">
        <v>21199</v>
      </c>
      <c r="BD3051" s="93" t="s">
        <v>23333</v>
      </c>
      <c r="BE3051" s="87"/>
      <c r="BF3051" s="87"/>
      <c r="BG3051" s="87"/>
      <c r="BH3051" s="87"/>
      <c r="BI3051" s="87"/>
    </row>
    <row r="3052" spans="1:61" x14ac:dyDescent="0.25">
      <c r="A3052" s="63" t="s">
        <v>1155</v>
      </c>
      <c r="B3052" s="63" t="s">
        <v>1155</v>
      </c>
      <c r="C3052" s="64"/>
      <c r="D3052" s="65"/>
      <c r="E3052" s="66"/>
      <c r="F3052" s="67"/>
      <c r="G3052" s="64"/>
      <c r="H3052" s="68"/>
      <c r="I3052" s="69"/>
      <c r="J3052" s="69"/>
      <c r="K3052" s="32"/>
      <c r="L3052" s="76">
        <v>3052</v>
      </c>
      <c r="M3052" s="76"/>
      <c r="N3052" s="71"/>
      <c r="O3052" s="87" t="s">
        <v>179</v>
      </c>
      <c r="P3052" s="90">
        <v>45131.641747685186</v>
      </c>
      <c r="Q3052" s="87" t="s">
        <v>4752</v>
      </c>
      <c r="R3052" s="87">
        <v>0</v>
      </c>
      <c r="S3052" s="87">
        <v>0</v>
      </c>
      <c r="T3052" s="87">
        <v>1</v>
      </c>
      <c r="U3052" s="87">
        <v>0</v>
      </c>
      <c r="V3052" s="87">
        <v>51</v>
      </c>
      <c r="W3052" s="93" t="s">
        <v>7584</v>
      </c>
      <c r="X3052" s="87"/>
      <c r="Y3052" s="87"/>
      <c r="Z3052" s="87"/>
      <c r="AA3052" s="87" t="s">
        <v>10700</v>
      </c>
      <c r="AB3052" s="87" t="s">
        <v>11448</v>
      </c>
      <c r="AC3052" s="93" t="s">
        <v>11457</v>
      </c>
      <c r="AD3052" s="87" t="s">
        <v>11519</v>
      </c>
      <c r="AE3052" s="92" t="str">
        <f>HYPERLINK("https://twitter.com/kenlobr/status/1683498301805535232")</f>
        <v>https://twitter.com/kenlobr/status/1683498301805535232</v>
      </c>
      <c r="AF3052" s="90">
        <v>45131.641747685186</v>
      </c>
      <c r="AG3052" s="99">
        <v>45131</v>
      </c>
      <c r="AH3052" s="93" t="s">
        <v>14260</v>
      </c>
      <c r="AI3052" s="87" t="b">
        <v>0</v>
      </c>
      <c r="AJ3052" s="87"/>
      <c r="AK3052" s="87"/>
      <c r="AL3052" s="87"/>
      <c r="AM3052" s="87"/>
      <c r="AN3052" s="87"/>
      <c r="AO3052" s="87"/>
      <c r="AP3052" s="87"/>
      <c r="AQ3052" s="87" t="s">
        <v>17512</v>
      </c>
      <c r="AR3052" s="87"/>
      <c r="AS3052" s="87"/>
      <c r="AT3052" s="87"/>
      <c r="AU3052" s="87"/>
      <c r="AV3052" s="92" t="str">
        <f>HYPERLINK("https://pbs.twimg.com/media/F1z8kBIWAAEZTuM.jpg")</f>
        <v>https://pbs.twimg.com/media/F1z8kBIWAAEZTuM.jpg</v>
      </c>
      <c r="AW3052" s="93" t="s">
        <v>21200</v>
      </c>
      <c r="AX3052" s="93" t="s">
        <v>21200</v>
      </c>
      <c r="AY3052" s="87"/>
      <c r="AZ3052" s="93" t="s">
        <v>22668</v>
      </c>
      <c r="BA3052" s="93" t="s">
        <v>22668</v>
      </c>
      <c r="BB3052" s="93" t="s">
        <v>22668</v>
      </c>
      <c r="BC3052" s="93" t="s">
        <v>21200</v>
      </c>
      <c r="BD3052" s="87">
        <v>65743053</v>
      </c>
      <c r="BE3052" s="87"/>
      <c r="BF3052" s="87"/>
      <c r="BG3052" s="87"/>
      <c r="BH3052" s="87"/>
      <c r="BI3052" s="87"/>
    </row>
    <row r="3053" spans="1:61" x14ac:dyDescent="0.25">
      <c r="A3053" s="63" t="s">
        <v>1155</v>
      </c>
      <c r="B3053" s="63" t="s">
        <v>1155</v>
      </c>
      <c r="C3053" s="64"/>
      <c r="D3053" s="65"/>
      <c r="E3053" s="66"/>
      <c r="F3053" s="67"/>
      <c r="G3053" s="64"/>
      <c r="H3053" s="68"/>
      <c r="I3053" s="69"/>
      <c r="J3053" s="69"/>
      <c r="K3053" s="32"/>
      <c r="L3053" s="76">
        <v>3053</v>
      </c>
      <c r="M3053" s="76"/>
      <c r="N3053" s="71"/>
      <c r="O3053" s="87" t="s">
        <v>179</v>
      </c>
      <c r="P3053" s="90">
        <v>45139.540011574078</v>
      </c>
      <c r="Q3053" s="87" t="s">
        <v>4753</v>
      </c>
      <c r="R3053" s="87">
        <v>0</v>
      </c>
      <c r="S3053" s="87">
        <v>1</v>
      </c>
      <c r="T3053" s="87">
        <v>1</v>
      </c>
      <c r="U3053" s="87">
        <v>0</v>
      </c>
      <c r="V3053" s="87">
        <v>34</v>
      </c>
      <c r="W3053" s="93" t="s">
        <v>7585</v>
      </c>
      <c r="X3053" s="87"/>
      <c r="Y3053" s="87"/>
      <c r="Z3053" s="87"/>
      <c r="AA3053" s="87" t="s">
        <v>10701</v>
      </c>
      <c r="AB3053" s="87" t="s">
        <v>11448</v>
      </c>
      <c r="AC3053" s="93" t="s">
        <v>11457</v>
      </c>
      <c r="AD3053" s="87" t="s">
        <v>11519</v>
      </c>
      <c r="AE3053" s="92" t="str">
        <f>HYPERLINK("https://twitter.com/kenlobr/status/1686360535288233984")</f>
        <v>https://twitter.com/kenlobr/status/1686360535288233984</v>
      </c>
      <c r="AF3053" s="90">
        <v>45139.540011574078</v>
      </c>
      <c r="AG3053" s="99">
        <v>45139</v>
      </c>
      <c r="AH3053" s="93" t="s">
        <v>14261</v>
      </c>
      <c r="AI3053" s="87" t="b">
        <v>0</v>
      </c>
      <c r="AJ3053" s="87"/>
      <c r="AK3053" s="87"/>
      <c r="AL3053" s="87"/>
      <c r="AM3053" s="87"/>
      <c r="AN3053" s="87"/>
      <c r="AO3053" s="87"/>
      <c r="AP3053" s="87"/>
      <c r="AQ3053" s="87" t="s">
        <v>17513</v>
      </c>
      <c r="AR3053" s="87"/>
      <c r="AS3053" s="87"/>
      <c r="AT3053" s="87"/>
      <c r="AU3053" s="87"/>
      <c r="AV3053" s="92" t="str">
        <f>HYPERLINK("https://pbs.twimg.com/media/F2cn20ZWgAA-D9G.jpg")</f>
        <v>https://pbs.twimg.com/media/F2cn20ZWgAA-D9G.jpg</v>
      </c>
      <c r="AW3053" s="93" t="s">
        <v>21201</v>
      </c>
      <c r="AX3053" s="93" t="s">
        <v>21201</v>
      </c>
      <c r="AY3053" s="87"/>
      <c r="AZ3053" s="93" t="s">
        <v>22668</v>
      </c>
      <c r="BA3053" s="93" t="s">
        <v>22668</v>
      </c>
      <c r="BB3053" s="93" t="s">
        <v>22668</v>
      </c>
      <c r="BC3053" s="93" t="s">
        <v>21201</v>
      </c>
      <c r="BD3053" s="87">
        <v>65743053</v>
      </c>
      <c r="BE3053" s="87"/>
      <c r="BF3053" s="87"/>
      <c r="BG3053" s="87"/>
      <c r="BH3053" s="87"/>
      <c r="BI3053" s="87"/>
    </row>
    <row r="3054" spans="1:61" x14ac:dyDescent="0.25">
      <c r="A3054" s="63" t="s">
        <v>1155</v>
      </c>
      <c r="B3054" s="63" t="s">
        <v>1155</v>
      </c>
      <c r="C3054" s="64"/>
      <c r="D3054" s="65"/>
      <c r="E3054" s="66"/>
      <c r="F3054" s="67"/>
      <c r="G3054" s="64"/>
      <c r="H3054" s="68"/>
      <c r="I3054" s="69"/>
      <c r="J3054" s="69"/>
      <c r="K3054" s="32"/>
      <c r="L3054" s="76">
        <v>3054</v>
      </c>
      <c r="M3054" s="76"/>
      <c r="N3054" s="71"/>
      <c r="O3054" s="87" t="s">
        <v>179</v>
      </c>
      <c r="P3054" s="90">
        <v>45124.896365740744</v>
      </c>
      <c r="Q3054" s="87" t="s">
        <v>4754</v>
      </c>
      <c r="R3054" s="87">
        <v>0</v>
      </c>
      <c r="S3054" s="87">
        <v>0</v>
      </c>
      <c r="T3054" s="87">
        <v>0</v>
      </c>
      <c r="U3054" s="87">
        <v>0</v>
      </c>
      <c r="V3054" s="87">
        <v>17</v>
      </c>
      <c r="W3054" s="93" t="s">
        <v>7586</v>
      </c>
      <c r="X3054" s="87"/>
      <c r="Y3054" s="87"/>
      <c r="Z3054" s="87"/>
      <c r="AA3054" s="87" t="s">
        <v>10702</v>
      </c>
      <c r="AB3054" s="87" t="s">
        <v>11448</v>
      </c>
      <c r="AC3054" s="93" t="s">
        <v>11457</v>
      </c>
      <c r="AD3054" s="87" t="s">
        <v>11519</v>
      </c>
      <c r="AE3054" s="92" t="str">
        <f>HYPERLINK("https://twitter.com/kenlobr/status/1681053856275353601")</f>
        <v>https://twitter.com/kenlobr/status/1681053856275353601</v>
      </c>
      <c r="AF3054" s="90">
        <v>45124.896365740744</v>
      </c>
      <c r="AG3054" s="99">
        <v>45124</v>
      </c>
      <c r="AH3054" s="93" t="s">
        <v>14262</v>
      </c>
      <c r="AI3054" s="87" t="b">
        <v>0</v>
      </c>
      <c r="AJ3054" s="87"/>
      <c r="AK3054" s="87"/>
      <c r="AL3054" s="87"/>
      <c r="AM3054" s="87"/>
      <c r="AN3054" s="87"/>
      <c r="AO3054" s="87"/>
      <c r="AP3054" s="87"/>
      <c r="AQ3054" s="87" t="s">
        <v>17514</v>
      </c>
      <c r="AR3054" s="87"/>
      <c r="AS3054" s="87"/>
      <c r="AT3054" s="87"/>
      <c r="AU3054" s="87"/>
      <c r="AV3054" s="92" t="str">
        <f>HYPERLINK("https://pbs.twimg.com/media/F1RNhf9XoAAKnsa.jpg")</f>
        <v>https://pbs.twimg.com/media/F1RNhf9XoAAKnsa.jpg</v>
      </c>
      <c r="AW3054" s="93" t="s">
        <v>21202</v>
      </c>
      <c r="AX3054" s="93" t="s">
        <v>21202</v>
      </c>
      <c r="AY3054" s="87"/>
      <c r="AZ3054" s="93" t="s">
        <v>22668</v>
      </c>
      <c r="BA3054" s="93" t="s">
        <v>22668</v>
      </c>
      <c r="BB3054" s="93" t="s">
        <v>22668</v>
      </c>
      <c r="BC3054" s="93" t="s">
        <v>21202</v>
      </c>
      <c r="BD3054" s="87">
        <v>65743053</v>
      </c>
      <c r="BE3054" s="87"/>
      <c r="BF3054" s="87"/>
      <c r="BG3054" s="87"/>
      <c r="BH3054" s="87"/>
      <c r="BI3054" s="87"/>
    </row>
    <row r="3055" spans="1:61" x14ac:dyDescent="0.25">
      <c r="A3055" s="63" t="s">
        <v>1155</v>
      </c>
      <c r="B3055" s="63" t="s">
        <v>1155</v>
      </c>
      <c r="C3055" s="64"/>
      <c r="D3055" s="65"/>
      <c r="E3055" s="66"/>
      <c r="F3055" s="67"/>
      <c r="G3055" s="64"/>
      <c r="H3055" s="68"/>
      <c r="I3055" s="69"/>
      <c r="J3055" s="69"/>
      <c r="K3055" s="32"/>
      <c r="L3055" s="76">
        <v>3055</v>
      </c>
      <c r="M3055" s="76"/>
      <c r="N3055" s="71"/>
      <c r="O3055" s="87" t="s">
        <v>179</v>
      </c>
      <c r="P3055" s="90">
        <v>45166.458356481482</v>
      </c>
      <c r="Q3055" s="87" t="s">
        <v>4755</v>
      </c>
      <c r="R3055" s="87">
        <v>0</v>
      </c>
      <c r="S3055" s="87">
        <v>0</v>
      </c>
      <c r="T3055" s="87">
        <v>0</v>
      </c>
      <c r="U3055" s="87">
        <v>0</v>
      </c>
      <c r="V3055" s="87">
        <v>22</v>
      </c>
      <c r="W3055" s="93" t="s">
        <v>7587</v>
      </c>
      <c r="X3055" s="87"/>
      <c r="Y3055" s="87"/>
      <c r="Z3055" s="87"/>
      <c r="AA3055" s="87" t="s">
        <v>10703</v>
      </c>
      <c r="AB3055" s="87" t="s">
        <v>11448</v>
      </c>
      <c r="AC3055" s="93" t="s">
        <v>11457</v>
      </c>
      <c r="AD3055" s="87" t="s">
        <v>11519</v>
      </c>
      <c r="AE3055" s="92" t="str">
        <f>HYPERLINK("https://twitter.com/kenlobr/status/1696115419088814545")</f>
        <v>https://twitter.com/kenlobr/status/1696115419088814545</v>
      </c>
      <c r="AF3055" s="90">
        <v>45166.458356481482</v>
      </c>
      <c r="AG3055" s="99">
        <v>45166</v>
      </c>
      <c r="AH3055" s="93" t="s">
        <v>12864</v>
      </c>
      <c r="AI3055" s="87" t="b">
        <v>0</v>
      </c>
      <c r="AJ3055" s="87"/>
      <c r="AK3055" s="87"/>
      <c r="AL3055" s="87"/>
      <c r="AM3055" s="87"/>
      <c r="AN3055" s="87"/>
      <c r="AO3055" s="87"/>
      <c r="AP3055" s="87"/>
      <c r="AQ3055" s="87" t="s">
        <v>17515</v>
      </c>
      <c r="AR3055" s="87"/>
      <c r="AS3055" s="87"/>
      <c r="AT3055" s="87"/>
      <c r="AU3055" s="87"/>
      <c r="AV3055" s="92" t="str">
        <f>HYPERLINK("https://pbs.twimg.com/media/F27ocukWkAAsAPR.jpg")</f>
        <v>https://pbs.twimg.com/media/F27ocukWkAAsAPR.jpg</v>
      </c>
      <c r="AW3055" s="93" t="s">
        <v>21203</v>
      </c>
      <c r="AX3055" s="93" t="s">
        <v>21203</v>
      </c>
      <c r="AY3055" s="87"/>
      <c r="AZ3055" s="93" t="s">
        <v>22668</v>
      </c>
      <c r="BA3055" s="93" t="s">
        <v>22668</v>
      </c>
      <c r="BB3055" s="93" t="s">
        <v>22668</v>
      </c>
      <c r="BC3055" s="93" t="s">
        <v>21203</v>
      </c>
      <c r="BD3055" s="87">
        <v>65743053</v>
      </c>
      <c r="BE3055" s="87"/>
      <c r="BF3055" s="87"/>
      <c r="BG3055" s="87"/>
      <c r="BH3055" s="87"/>
      <c r="BI3055" s="87"/>
    </row>
    <row r="3056" spans="1:61" x14ac:dyDescent="0.25">
      <c r="A3056" s="63" t="s">
        <v>1155</v>
      </c>
      <c r="B3056" s="63" t="s">
        <v>1155</v>
      </c>
      <c r="C3056" s="64"/>
      <c r="D3056" s="65"/>
      <c r="E3056" s="66"/>
      <c r="F3056" s="67"/>
      <c r="G3056" s="64"/>
      <c r="H3056" s="68"/>
      <c r="I3056" s="69"/>
      <c r="J3056" s="69"/>
      <c r="K3056" s="32"/>
      <c r="L3056" s="76">
        <v>3056</v>
      </c>
      <c r="M3056" s="76"/>
      <c r="N3056" s="71"/>
      <c r="O3056" s="87" t="s">
        <v>179</v>
      </c>
      <c r="P3056" s="90">
        <v>45159.458333333336</v>
      </c>
      <c r="Q3056" s="87" t="s">
        <v>4756</v>
      </c>
      <c r="R3056" s="87">
        <v>0</v>
      </c>
      <c r="S3056" s="87">
        <v>0</v>
      </c>
      <c r="T3056" s="87">
        <v>0</v>
      </c>
      <c r="U3056" s="87">
        <v>0</v>
      </c>
      <c r="V3056" s="87">
        <v>33</v>
      </c>
      <c r="W3056" s="93" t="s">
        <v>7585</v>
      </c>
      <c r="X3056" s="87"/>
      <c r="Y3056" s="87"/>
      <c r="Z3056" s="87"/>
      <c r="AA3056" s="87" t="s">
        <v>10704</v>
      </c>
      <c r="AB3056" s="87" t="s">
        <v>11448</v>
      </c>
      <c r="AC3056" s="93" t="s">
        <v>11457</v>
      </c>
      <c r="AD3056" s="87" t="s">
        <v>11519</v>
      </c>
      <c r="AE3056" s="92" t="str">
        <f>HYPERLINK("https://twitter.com/kenlobr/status/1693578694852301024")</f>
        <v>https://twitter.com/kenlobr/status/1693578694852301024</v>
      </c>
      <c r="AF3056" s="90">
        <v>45159.458333333336</v>
      </c>
      <c r="AG3056" s="99">
        <v>45159</v>
      </c>
      <c r="AH3056" s="93" t="s">
        <v>12863</v>
      </c>
      <c r="AI3056" s="87" t="b">
        <v>0</v>
      </c>
      <c r="AJ3056" s="87"/>
      <c r="AK3056" s="87"/>
      <c r="AL3056" s="87"/>
      <c r="AM3056" s="87"/>
      <c r="AN3056" s="87"/>
      <c r="AO3056" s="87"/>
      <c r="AP3056" s="87"/>
      <c r="AQ3056" s="87" t="s">
        <v>17516</v>
      </c>
      <c r="AR3056" s="87"/>
      <c r="AS3056" s="87"/>
      <c r="AT3056" s="87"/>
      <c r="AU3056" s="87"/>
      <c r="AV3056" s="92" t="str">
        <f>HYPERLINK("https://pbs.twimg.com/media/F27ilIVX0AE6wD1.jpg")</f>
        <v>https://pbs.twimg.com/media/F27ilIVX0AE6wD1.jpg</v>
      </c>
      <c r="AW3056" s="93" t="s">
        <v>21204</v>
      </c>
      <c r="AX3056" s="93" t="s">
        <v>21204</v>
      </c>
      <c r="AY3056" s="87"/>
      <c r="AZ3056" s="93" t="s">
        <v>22668</v>
      </c>
      <c r="BA3056" s="93" t="s">
        <v>22668</v>
      </c>
      <c r="BB3056" s="93" t="s">
        <v>22668</v>
      </c>
      <c r="BC3056" s="93" t="s">
        <v>21204</v>
      </c>
      <c r="BD3056" s="87">
        <v>65743053</v>
      </c>
      <c r="BE3056" s="87"/>
      <c r="BF3056" s="87"/>
      <c r="BG3056" s="87"/>
      <c r="BH3056" s="87"/>
      <c r="BI3056" s="87"/>
    </row>
    <row r="3057" spans="1:61" x14ac:dyDescent="0.25">
      <c r="A3057" s="63" t="s">
        <v>1155</v>
      </c>
      <c r="B3057" s="63" t="s">
        <v>1155</v>
      </c>
      <c r="C3057" s="64"/>
      <c r="D3057" s="65"/>
      <c r="E3057" s="66"/>
      <c r="F3057" s="67"/>
      <c r="G3057" s="64"/>
      <c r="H3057" s="68"/>
      <c r="I3057" s="69"/>
      <c r="J3057" s="69"/>
      <c r="K3057" s="32"/>
      <c r="L3057" s="76">
        <v>3057</v>
      </c>
      <c r="M3057" s="76"/>
      <c r="N3057" s="71"/>
      <c r="O3057" s="87" t="s">
        <v>179</v>
      </c>
      <c r="P3057" s="90">
        <v>45145.529467592591</v>
      </c>
      <c r="Q3057" s="87" t="s">
        <v>4757</v>
      </c>
      <c r="R3057" s="87">
        <v>0</v>
      </c>
      <c r="S3057" s="87">
        <v>1</v>
      </c>
      <c r="T3057" s="87">
        <v>0</v>
      </c>
      <c r="U3057" s="87">
        <v>0</v>
      </c>
      <c r="V3057" s="87">
        <v>36</v>
      </c>
      <c r="W3057" s="93" t="s">
        <v>7588</v>
      </c>
      <c r="X3057" s="87"/>
      <c r="Y3057" s="87"/>
      <c r="Z3057" s="87"/>
      <c r="AA3057" s="87" t="s">
        <v>10705</v>
      </c>
      <c r="AB3057" s="87" t="s">
        <v>11448</v>
      </c>
      <c r="AC3057" s="93" t="s">
        <v>11457</v>
      </c>
      <c r="AD3057" s="87" t="s">
        <v>11519</v>
      </c>
      <c r="AE3057" s="92" t="str">
        <f>HYPERLINK("https://twitter.com/kenlobr/status/1688531042246750208")</f>
        <v>https://twitter.com/kenlobr/status/1688531042246750208</v>
      </c>
      <c r="AF3057" s="90">
        <v>45145.529467592591</v>
      </c>
      <c r="AG3057" s="99">
        <v>45145</v>
      </c>
      <c r="AH3057" s="93" t="s">
        <v>14263</v>
      </c>
      <c r="AI3057" s="87" t="b">
        <v>0</v>
      </c>
      <c r="AJ3057" s="87"/>
      <c r="AK3057" s="87"/>
      <c r="AL3057" s="87"/>
      <c r="AM3057" s="87"/>
      <c r="AN3057" s="87"/>
      <c r="AO3057" s="87"/>
      <c r="AP3057" s="87"/>
      <c r="AQ3057" s="87" t="s">
        <v>17517</v>
      </c>
      <c r="AR3057" s="87"/>
      <c r="AS3057" s="87"/>
      <c r="AT3057" s="87"/>
      <c r="AU3057" s="87"/>
      <c r="AV3057" s="92" t="str">
        <f>HYPERLINK("https://pbs.twimg.com/media/F27eBLVWQAAzuhS.jpg")</f>
        <v>https://pbs.twimg.com/media/F27eBLVWQAAzuhS.jpg</v>
      </c>
      <c r="AW3057" s="93" t="s">
        <v>21205</v>
      </c>
      <c r="AX3057" s="93" t="s">
        <v>21205</v>
      </c>
      <c r="AY3057" s="87"/>
      <c r="AZ3057" s="93" t="s">
        <v>22668</v>
      </c>
      <c r="BA3057" s="93" t="s">
        <v>22668</v>
      </c>
      <c r="BB3057" s="93" t="s">
        <v>22668</v>
      </c>
      <c r="BC3057" s="93" t="s">
        <v>21205</v>
      </c>
      <c r="BD3057" s="87">
        <v>65743053</v>
      </c>
      <c r="BE3057" s="87"/>
      <c r="BF3057" s="87"/>
      <c r="BG3057" s="87"/>
      <c r="BH3057" s="87"/>
      <c r="BI3057" s="87"/>
    </row>
    <row r="3058" spans="1:61" x14ac:dyDescent="0.25">
      <c r="A3058" s="63" t="s">
        <v>1155</v>
      </c>
      <c r="B3058" s="63" t="s">
        <v>1155</v>
      </c>
      <c r="C3058" s="64"/>
      <c r="D3058" s="65"/>
      <c r="E3058" s="66"/>
      <c r="F3058" s="67"/>
      <c r="G3058" s="64"/>
      <c r="H3058" s="68"/>
      <c r="I3058" s="69"/>
      <c r="J3058" s="69"/>
      <c r="K3058" s="32"/>
      <c r="L3058" s="76">
        <v>3058</v>
      </c>
      <c r="M3058" s="76"/>
      <c r="N3058" s="71"/>
      <c r="O3058" s="87" t="s">
        <v>179</v>
      </c>
      <c r="P3058" s="90">
        <v>45173.458333333336</v>
      </c>
      <c r="Q3058" s="87" t="s">
        <v>4758</v>
      </c>
      <c r="R3058" s="87">
        <v>0</v>
      </c>
      <c r="S3058" s="87">
        <v>1</v>
      </c>
      <c r="T3058" s="87">
        <v>0</v>
      </c>
      <c r="U3058" s="87">
        <v>0</v>
      </c>
      <c r="V3058" s="87">
        <v>34</v>
      </c>
      <c r="W3058" s="93" t="s">
        <v>7589</v>
      </c>
      <c r="X3058" s="87"/>
      <c r="Y3058" s="87"/>
      <c r="Z3058" s="87"/>
      <c r="AA3058" s="87" t="s">
        <v>10706</v>
      </c>
      <c r="AB3058" s="87" t="s">
        <v>11448</v>
      </c>
      <c r="AC3058" s="93" t="s">
        <v>11457</v>
      </c>
      <c r="AD3058" s="87" t="s">
        <v>11519</v>
      </c>
      <c r="AE3058" s="92" t="str">
        <f>HYPERLINK("https://twitter.com/kenlobr/status/1698652123200737611")</f>
        <v>https://twitter.com/kenlobr/status/1698652123200737611</v>
      </c>
      <c r="AF3058" s="90">
        <v>45173.458333333336</v>
      </c>
      <c r="AG3058" s="99">
        <v>45173</v>
      </c>
      <c r="AH3058" s="93" t="s">
        <v>12863</v>
      </c>
      <c r="AI3058" s="87" t="b">
        <v>0</v>
      </c>
      <c r="AJ3058" s="87"/>
      <c r="AK3058" s="87"/>
      <c r="AL3058" s="87"/>
      <c r="AM3058" s="87"/>
      <c r="AN3058" s="87"/>
      <c r="AO3058" s="87"/>
      <c r="AP3058" s="87"/>
      <c r="AQ3058" s="87" t="s">
        <v>17518</v>
      </c>
      <c r="AR3058" s="87"/>
      <c r="AS3058" s="87"/>
      <c r="AT3058" s="87"/>
      <c r="AU3058" s="87"/>
      <c r="AV3058" s="92" t="str">
        <f>HYPERLINK("https://pbs.twimg.com/media/F28jRn2XIAA2HX3.png")</f>
        <v>https://pbs.twimg.com/media/F28jRn2XIAA2HX3.png</v>
      </c>
      <c r="AW3058" s="93" t="s">
        <v>21206</v>
      </c>
      <c r="AX3058" s="93" t="s">
        <v>21206</v>
      </c>
      <c r="AY3058" s="87"/>
      <c r="AZ3058" s="93" t="s">
        <v>22668</v>
      </c>
      <c r="BA3058" s="93" t="s">
        <v>22668</v>
      </c>
      <c r="BB3058" s="93" t="s">
        <v>22668</v>
      </c>
      <c r="BC3058" s="93" t="s">
        <v>21206</v>
      </c>
      <c r="BD3058" s="87">
        <v>65743053</v>
      </c>
      <c r="BE3058" s="87"/>
      <c r="BF3058" s="87"/>
      <c r="BG3058" s="87"/>
      <c r="BH3058" s="87"/>
      <c r="BI3058" s="87"/>
    </row>
    <row r="3059" spans="1:61" x14ac:dyDescent="0.25">
      <c r="A3059" s="63" t="s">
        <v>1155</v>
      </c>
      <c r="B3059" s="63" t="s">
        <v>1155</v>
      </c>
      <c r="C3059" s="64"/>
      <c r="D3059" s="65"/>
      <c r="E3059" s="66"/>
      <c r="F3059" s="67"/>
      <c r="G3059" s="64"/>
      <c r="H3059" s="68"/>
      <c r="I3059" s="69"/>
      <c r="J3059" s="69"/>
      <c r="K3059" s="32"/>
      <c r="L3059" s="76">
        <v>3059</v>
      </c>
      <c r="M3059" s="76"/>
      <c r="N3059" s="71"/>
      <c r="O3059" s="87" t="s">
        <v>179</v>
      </c>
      <c r="P3059" s="90">
        <v>45152.458333333336</v>
      </c>
      <c r="Q3059" s="87" t="s">
        <v>4759</v>
      </c>
      <c r="R3059" s="87">
        <v>0</v>
      </c>
      <c r="S3059" s="87">
        <v>0</v>
      </c>
      <c r="T3059" s="87">
        <v>0</v>
      </c>
      <c r="U3059" s="87">
        <v>0</v>
      </c>
      <c r="V3059" s="87">
        <v>39</v>
      </c>
      <c r="W3059" s="93" t="s">
        <v>7590</v>
      </c>
      <c r="X3059" s="87"/>
      <c r="Y3059" s="87"/>
      <c r="Z3059" s="87"/>
      <c r="AA3059" s="87" t="s">
        <v>10707</v>
      </c>
      <c r="AB3059" s="87" t="s">
        <v>11448</v>
      </c>
      <c r="AC3059" s="93" t="s">
        <v>11457</v>
      </c>
      <c r="AD3059" s="87" t="s">
        <v>11519</v>
      </c>
      <c r="AE3059" s="92" t="str">
        <f>HYPERLINK("https://twitter.com/kenlobr/status/1691041980737040384")</f>
        <v>https://twitter.com/kenlobr/status/1691041980737040384</v>
      </c>
      <c r="AF3059" s="90">
        <v>45152.458333333336</v>
      </c>
      <c r="AG3059" s="99">
        <v>45152</v>
      </c>
      <c r="AH3059" s="93" t="s">
        <v>12863</v>
      </c>
      <c r="AI3059" s="87" t="b">
        <v>0</v>
      </c>
      <c r="AJ3059" s="87"/>
      <c r="AK3059" s="87"/>
      <c r="AL3059" s="87"/>
      <c r="AM3059" s="87"/>
      <c r="AN3059" s="87"/>
      <c r="AO3059" s="87"/>
      <c r="AP3059" s="87"/>
      <c r="AQ3059" s="87" t="s">
        <v>17519</v>
      </c>
      <c r="AR3059" s="87"/>
      <c r="AS3059" s="87"/>
      <c r="AT3059" s="87"/>
      <c r="AU3059" s="87"/>
      <c r="AV3059" s="92" t="str">
        <f>HYPERLINK("https://pbs.twimg.com/media/F27g1FcXMAAa-wV.jpg")</f>
        <v>https://pbs.twimg.com/media/F27g1FcXMAAa-wV.jpg</v>
      </c>
      <c r="AW3059" s="93" t="s">
        <v>21207</v>
      </c>
      <c r="AX3059" s="93" t="s">
        <v>21207</v>
      </c>
      <c r="AY3059" s="87"/>
      <c r="AZ3059" s="93" t="s">
        <v>22668</v>
      </c>
      <c r="BA3059" s="93" t="s">
        <v>22668</v>
      </c>
      <c r="BB3059" s="93" t="s">
        <v>22668</v>
      </c>
      <c r="BC3059" s="93" t="s">
        <v>21207</v>
      </c>
      <c r="BD3059" s="87">
        <v>65743053</v>
      </c>
      <c r="BE3059" s="87"/>
      <c r="BF3059" s="87"/>
      <c r="BG3059" s="87"/>
      <c r="BH3059" s="87"/>
      <c r="BI3059" s="87"/>
    </row>
    <row r="3060" spans="1:61" x14ac:dyDescent="0.25">
      <c r="A3060" s="63" t="s">
        <v>1155</v>
      </c>
      <c r="B3060" s="63" t="s">
        <v>1155</v>
      </c>
      <c r="C3060" s="64"/>
      <c r="D3060" s="65"/>
      <c r="E3060" s="66"/>
      <c r="F3060" s="67"/>
      <c r="G3060" s="64"/>
      <c r="H3060" s="68"/>
      <c r="I3060" s="69"/>
      <c r="J3060" s="69"/>
      <c r="K3060" s="32"/>
      <c r="L3060" s="76">
        <v>3060</v>
      </c>
      <c r="M3060" s="76"/>
      <c r="N3060" s="71"/>
      <c r="O3060" s="87" t="s">
        <v>179</v>
      </c>
      <c r="P3060" s="90">
        <v>45180.458356481482</v>
      </c>
      <c r="Q3060" s="87" t="s">
        <v>4760</v>
      </c>
      <c r="R3060" s="87">
        <v>0</v>
      </c>
      <c r="S3060" s="87">
        <v>1</v>
      </c>
      <c r="T3060" s="87">
        <v>0</v>
      </c>
      <c r="U3060" s="87">
        <v>0</v>
      </c>
      <c r="V3060" s="87">
        <v>30</v>
      </c>
      <c r="W3060" s="93" t="s">
        <v>7585</v>
      </c>
      <c r="X3060" s="87"/>
      <c r="Y3060" s="87"/>
      <c r="Z3060" s="87"/>
      <c r="AA3060" s="87" t="s">
        <v>10708</v>
      </c>
      <c r="AB3060" s="87" t="s">
        <v>11448</v>
      </c>
      <c r="AC3060" s="93" t="s">
        <v>11457</v>
      </c>
      <c r="AD3060" s="87" t="s">
        <v>11519</v>
      </c>
      <c r="AE3060" s="92" t="str">
        <f>HYPERLINK("https://twitter.com/kenlobr/status/1701188845717651736")</f>
        <v>https://twitter.com/kenlobr/status/1701188845717651736</v>
      </c>
      <c r="AF3060" s="90">
        <v>45180.458356481482</v>
      </c>
      <c r="AG3060" s="99">
        <v>45180</v>
      </c>
      <c r="AH3060" s="93" t="s">
        <v>12864</v>
      </c>
      <c r="AI3060" s="87" t="b">
        <v>0</v>
      </c>
      <c r="AJ3060" s="87"/>
      <c r="AK3060" s="87"/>
      <c r="AL3060" s="87"/>
      <c r="AM3060" s="87"/>
      <c r="AN3060" s="87"/>
      <c r="AO3060" s="87"/>
      <c r="AP3060" s="87"/>
      <c r="AQ3060" s="87" t="s">
        <v>17520</v>
      </c>
      <c r="AR3060" s="87"/>
      <c r="AS3060" s="87"/>
      <c r="AT3060" s="87"/>
      <c r="AU3060" s="87"/>
      <c r="AV3060" s="92" t="str">
        <f>HYPERLINK("https://pbs.twimg.com/media/F28joi-X0AA5cna.jpg")</f>
        <v>https://pbs.twimg.com/media/F28joi-X0AA5cna.jpg</v>
      </c>
      <c r="AW3060" s="93" t="s">
        <v>21208</v>
      </c>
      <c r="AX3060" s="93" t="s">
        <v>21208</v>
      </c>
      <c r="AY3060" s="87"/>
      <c r="AZ3060" s="93" t="s">
        <v>22668</v>
      </c>
      <c r="BA3060" s="93" t="s">
        <v>22668</v>
      </c>
      <c r="BB3060" s="93" t="s">
        <v>22668</v>
      </c>
      <c r="BC3060" s="93" t="s">
        <v>21208</v>
      </c>
      <c r="BD3060" s="87">
        <v>65743053</v>
      </c>
      <c r="BE3060" s="87"/>
      <c r="BF3060" s="87"/>
      <c r="BG3060" s="87"/>
      <c r="BH3060" s="87"/>
      <c r="BI3060" s="87"/>
    </row>
    <row r="3061" spans="1:61" x14ac:dyDescent="0.25">
      <c r="A3061" s="63" t="s">
        <v>1156</v>
      </c>
      <c r="B3061" s="63" t="s">
        <v>1766</v>
      </c>
      <c r="C3061" s="64"/>
      <c r="D3061" s="65"/>
      <c r="E3061" s="66"/>
      <c r="F3061" s="67"/>
      <c r="G3061" s="64"/>
      <c r="H3061" s="68"/>
      <c r="I3061" s="69"/>
      <c r="J3061" s="69"/>
      <c r="K3061" s="32"/>
      <c r="L3061" s="76">
        <v>3061</v>
      </c>
      <c r="M3061" s="76"/>
      <c r="N3061" s="71"/>
      <c r="O3061" s="87" t="s">
        <v>1839</v>
      </c>
      <c r="P3061" s="90">
        <v>45163.656041666669</v>
      </c>
      <c r="Q3061" s="87" t="s">
        <v>4761</v>
      </c>
      <c r="R3061" s="87">
        <v>0</v>
      </c>
      <c r="S3061" s="87">
        <v>0</v>
      </c>
      <c r="T3061" s="87">
        <v>0</v>
      </c>
      <c r="U3061" s="87">
        <v>0</v>
      </c>
      <c r="V3061" s="87">
        <v>24</v>
      </c>
      <c r="W3061" s="93" t="s">
        <v>7591</v>
      </c>
      <c r="X3061" s="87"/>
      <c r="Y3061" s="87"/>
      <c r="Z3061" s="87" t="s">
        <v>1766</v>
      </c>
      <c r="AA3061" s="87" t="s">
        <v>10709</v>
      </c>
      <c r="AB3061" s="87" t="s">
        <v>11448</v>
      </c>
      <c r="AC3061" s="93" t="s">
        <v>11458</v>
      </c>
      <c r="AD3061" s="87" t="s">
        <v>11519</v>
      </c>
      <c r="AE3061" s="92" t="str">
        <f>HYPERLINK("https://twitter.com/expofavelaceara/status/1695099893025525931")</f>
        <v>https://twitter.com/expofavelaceara/status/1695099893025525931</v>
      </c>
      <c r="AF3061" s="90">
        <v>45163.656041666669</v>
      </c>
      <c r="AG3061" s="99">
        <v>45163</v>
      </c>
      <c r="AH3061" s="93" t="s">
        <v>14264</v>
      </c>
      <c r="AI3061" s="87" t="b">
        <v>0</v>
      </c>
      <c r="AJ3061" s="87"/>
      <c r="AK3061" s="87"/>
      <c r="AL3061" s="87"/>
      <c r="AM3061" s="87"/>
      <c r="AN3061" s="87"/>
      <c r="AO3061" s="87"/>
      <c r="AP3061" s="87"/>
      <c r="AQ3061" s="87" t="s">
        <v>17521</v>
      </c>
      <c r="AR3061" s="87"/>
      <c r="AS3061" s="87"/>
      <c r="AT3061" s="87"/>
      <c r="AU3061" s="87"/>
      <c r="AV3061" s="92" t="str">
        <f>HYPERLINK("https://pbs.twimg.com/media/F4Y0XdPWYAAhdak.jpg")</f>
        <v>https://pbs.twimg.com/media/F4Y0XdPWYAAhdak.jpg</v>
      </c>
      <c r="AW3061" s="93" t="s">
        <v>21209</v>
      </c>
      <c r="AX3061" s="93" t="s">
        <v>21209</v>
      </c>
      <c r="AY3061" s="87"/>
      <c r="AZ3061" s="93" t="s">
        <v>22668</v>
      </c>
      <c r="BA3061" s="93" t="s">
        <v>22668</v>
      </c>
      <c r="BB3061" s="93" t="s">
        <v>22668</v>
      </c>
      <c r="BC3061" s="93" t="s">
        <v>21209</v>
      </c>
      <c r="BD3061" s="93" t="s">
        <v>23334</v>
      </c>
      <c r="BE3061" s="87"/>
      <c r="BF3061" s="87"/>
      <c r="BG3061" s="87"/>
      <c r="BH3061" s="87"/>
      <c r="BI3061" s="87"/>
    </row>
    <row r="3062" spans="1:61" x14ac:dyDescent="0.25">
      <c r="A3062" s="63" t="s">
        <v>1156</v>
      </c>
      <c r="B3062" s="63" t="s">
        <v>1767</v>
      </c>
      <c r="C3062" s="64"/>
      <c r="D3062" s="65"/>
      <c r="E3062" s="66"/>
      <c r="F3062" s="67"/>
      <c r="G3062" s="64"/>
      <c r="H3062" s="68"/>
      <c r="I3062" s="69"/>
      <c r="J3062" s="69"/>
      <c r="K3062" s="32"/>
      <c r="L3062" s="76">
        <v>3062</v>
      </c>
      <c r="M3062" s="76"/>
      <c r="N3062" s="71"/>
      <c r="O3062" s="87" t="s">
        <v>1839</v>
      </c>
      <c r="P3062" s="90">
        <v>45163.654675925929</v>
      </c>
      <c r="Q3062" s="87" t="s">
        <v>4762</v>
      </c>
      <c r="R3062" s="87">
        <v>0</v>
      </c>
      <c r="S3062" s="87">
        <v>0</v>
      </c>
      <c r="T3062" s="87">
        <v>0</v>
      </c>
      <c r="U3062" s="87">
        <v>0</v>
      </c>
      <c r="V3062" s="87">
        <v>17</v>
      </c>
      <c r="W3062" s="93" t="s">
        <v>7592</v>
      </c>
      <c r="X3062" s="87"/>
      <c r="Y3062" s="87"/>
      <c r="Z3062" s="87" t="s">
        <v>1767</v>
      </c>
      <c r="AA3062" s="87" t="s">
        <v>10710</v>
      </c>
      <c r="AB3062" s="87" t="s">
        <v>11448</v>
      </c>
      <c r="AC3062" s="93" t="s">
        <v>11458</v>
      </c>
      <c r="AD3062" s="87" t="s">
        <v>11519</v>
      </c>
      <c r="AE3062" s="92" t="str">
        <f>HYPERLINK("https://twitter.com/expofavelaceara/status/1695099399112716378")</f>
        <v>https://twitter.com/expofavelaceara/status/1695099399112716378</v>
      </c>
      <c r="AF3062" s="90">
        <v>45163.654675925929</v>
      </c>
      <c r="AG3062" s="99">
        <v>45163</v>
      </c>
      <c r="AH3062" s="93" t="s">
        <v>14265</v>
      </c>
      <c r="AI3062" s="87" t="b">
        <v>0</v>
      </c>
      <c r="AJ3062" s="87"/>
      <c r="AK3062" s="87"/>
      <c r="AL3062" s="87"/>
      <c r="AM3062" s="87"/>
      <c r="AN3062" s="87"/>
      <c r="AO3062" s="87"/>
      <c r="AP3062" s="87"/>
      <c r="AQ3062" s="87" t="s">
        <v>17522</v>
      </c>
      <c r="AR3062" s="87"/>
      <c r="AS3062" s="87"/>
      <c r="AT3062" s="87"/>
      <c r="AU3062" s="87"/>
      <c r="AV3062" s="92" t="str">
        <f>HYPERLINK("https://pbs.twimg.com/media/F4Yz6rvWEAAmTPl.jpg")</f>
        <v>https://pbs.twimg.com/media/F4Yz6rvWEAAmTPl.jpg</v>
      </c>
      <c r="AW3062" s="93" t="s">
        <v>21210</v>
      </c>
      <c r="AX3062" s="93" t="s">
        <v>21210</v>
      </c>
      <c r="AY3062" s="87"/>
      <c r="AZ3062" s="93" t="s">
        <v>22668</v>
      </c>
      <c r="BA3062" s="93" t="s">
        <v>22668</v>
      </c>
      <c r="BB3062" s="93" t="s">
        <v>22668</v>
      </c>
      <c r="BC3062" s="93" t="s">
        <v>21210</v>
      </c>
      <c r="BD3062" s="93" t="s">
        <v>23334</v>
      </c>
      <c r="BE3062" s="87"/>
      <c r="BF3062" s="87"/>
      <c r="BG3062" s="87"/>
      <c r="BH3062" s="87"/>
      <c r="BI3062" s="87"/>
    </row>
    <row r="3063" spans="1:61" x14ac:dyDescent="0.25">
      <c r="A3063" s="63" t="s">
        <v>1156</v>
      </c>
      <c r="B3063" s="63" t="s">
        <v>1768</v>
      </c>
      <c r="C3063" s="64"/>
      <c r="D3063" s="65"/>
      <c r="E3063" s="66"/>
      <c r="F3063" s="67"/>
      <c r="G3063" s="64"/>
      <c r="H3063" s="68"/>
      <c r="I3063" s="69"/>
      <c r="J3063" s="69"/>
      <c r="K3063" s="32"/>
      <c r="L3063" s="76">
        <v>3063</v>
      </c>
      <c r="M3063" s="76"/>
      <c r="N3063" s="71"/>
      <c r="O3063" s="87" t="s">
        <v>1839</v>
      </c>
      <c r="P3063" s="90">
        <v>45163.653124999997</v>
      </c>
      <c r="Q3063" s="87" t="s">
        <v>4763</v>
      </c>
      <c r="R3063" s="87">
        <v>0</v>
      </c>
      <c r="S3063" s="87">
        <v>0</v>
      </c>
      <c r="T3063" s="87">
        <v>1</v>
      </c>
      <c r="U3063" s="87">
        <v>0</v>
      </c>
      <c r="V3063" s="87">
        <v>42</v>
      </c>
      <c r="W3063" s="93" t="s">
        <v>7592</v>
      </c>
      <c r="X3063" s="87"/>
      <c r="Y3063" s="87"/>
      <c r="Z3063" s="87" t="s">
        <v>1768</v>
      </c>
      <c r="AA3063" s="87" t="s">
        <v>10711</v>
      </c>
      <c r="AB3063" s="87" t="s">
        <v>11448</v>
      </c>
      <c r="AC3063" s="93" t="s">
        <v>11458</v>
      </c>
      <c r="AD3063" s="87" t="s">
        <v>11519</v>
      </c>
      <c r="AE3063" s="92" t="str">
        <f>HYPERLINK("https://twitter.com/expofavelaceara/status/1695098836849496370")</f>
        <v>https://twitter.com/expofavelaceara/status/1695098836849496370</v>
      </c>
      <c r="AF3063" s="90">
        <v>45163.653124999997</v>
      </c>
      <c r="AG3063" s="99">
        <v>45163</v>
      </c>
      <c r="AH3063" s="93" t="s">
        <v>14266</v>
      </c>
      <c r="AI3063" s="87" t="b">
        <v>0</v>
      </c>
      <c r="AJ3063" s="87"/>
      <c r="AK3063" s="87"/>
      <c r="AL3063" s="87"/>
      <c r="AM3063" s="87"/>
      <c r="AN3063" s="87"/>
      <c r="AO3063" s="87"/>
      <c r="AP3063" s="87"/>
      <c r="AQ3063" s="87" t="s">
        <v>17523</v>
      </c>
      <c r="AR3063" s="87"/>
      <c r="AS3063" s="87"/>
      <c r="AT3063" s="87"/>
      <c r="AU3063" s="87"/>
      <c r="AV3063" s="92" t="str">
        <f>HYPERLINK("https://pbs.twimg.com/media/F4YzZ-PWQAAgJVu.jpg")</f>
        <v>https://pbs.twimg.com/media/F4YzZ-PWQAAgJVu.jpg</v>
      </c>
      <c r="AW3063" s="93" t="s">
        <v>21211</v>
      </c>
      <c r="AX3063" s="93" t="s">
        <v>21211</v>
      </c>
      <c r="AY3063" s="87"/>
      <c r="AZ3063" s="93" t="s">
        <v>22668</v>
      </c>
      <c r="BA3063" s="93" t="s">
        <v>22668</v>
      </c>
      <c r="BB3063" s="93" t="s">
        <v>22668</v>
      </c>
      <c r="BC3063" s="93" t="s">
        <v>21211</v>
      </c>
      <c r="BD3063" s="93" t="s">
        <v>23334</v>
      </c>
      <c r="BE3063" s="87"/>
      <c r="BF3063" s="87"/>
      <c r="BG3063" s="87"/>
      <c r="BH3063" s="87"/>
      <c r="BI3063" s="87"/>
    </row>
    <row r="3064" spans="1:61" x14ac:dyDescent="0.25">
      <c r="A3064" s="63" t="s">
        <v>1156</v>
      </c>
      <c r="B3064" s="63" t="s">
        <v>1156</v>
      </c>
      <c r="C3064" s="64"/>
      <c r="D3064" s="65"/>
      <c r="E3064" s="66"/>
      <c r="F3064" s="67"/>
      <c r="G3064" s="64"/>
      <c r="H3064" s="68"/>
      <c r="I3064" s="69"/>
      <c r="J3064" s="69"/>
      <c r="K3064" s="32"/>
      <c r="L3064" s="76">
        <v>3064</v>
      </c>
      <c r="M3064" s="76"/>
      <c r="N3064" s="71"/>
      <c r="O3064" s="87" t="s">
        <v>179</v>
      </c>
      <c r="P3064" s="90">
        <v>45164.469131944446</v>
      </c>
      <c r="Q3064" s="87" t="s">
        <v>4764</v>
      </c>
      <c r="R3064" s="87">
        <v>0</v>
      </c>
      <c r="S3064" s="87">
        <v>0</v>
      </c>
      <c r="T3064" s="87">
        <v>0</v>
      </c>
      <c r="U3064" s="87">
        <v>0</v>
      </c>
      <c r="V3064" s="87">
        <v>26</v>
      </c>
      <c r="W3064" s="93" t="s">
        <v>7593</v>
      </c>
      <c r="X3064" s="87"/>
      <c r="Y3064" s="87"/>
      <c r="Z3064" s="87"/>
      <c r="AA3064" s="87" t="s">
        <v>10712</v>
      </c>
      <c r="AB3064" s="87" t="s">
        <v>11448</v>
      </c>
      <c r="AC3064" s="93" t="s">
        <v>11458</v>
      </c>
      <c r="AD3064" s="87" t="s">
        <v>11519</v>
      </c>
      <c r="AE3064" s="92" t="str">
        <f>HYPERLINK("https://twitter.com/expofavelaceara/status/1695394548128653410")</f>
        <v>https://twitter.com/expofavelaceara/status/1695394548128653410</v>
      </c>
      <c r="AF3064" s="90">
        <v>45164.469131944446</v>
      </c>
      <c r="AG3064" s="99">
        <v>45164</v>
      </c>
      <c r="AH3064" s="93" t="s">
        <v>14267</v>
      </c>
      <c r="AI3064" s="87" t="b">
        <v>0</v>
      </c>
      <c r="AJ3064" s="87"/>
      <c r="AK3064" s="87"/>
      <c r="AL3064" s="87"/>
      <c r="AM3064" s="87"/>
      <c r="AN3064" s="87"/>
      <c r="AO3064" s="87"/>
      <c r="AP3064" s="87"/>
      <c r="AQ3064" s="87" t="s">
        <v>17524</v>
      </c>
      <c r="AR3064" s="87"/>
      <c r="AS3064" s="87"/>
      <c r="AT3064" s="87"/>
      <c r="AU3064" s="87"/>
      <c r="AV3064" s="92" t="str">
        <f>HYPERLINK("https://pbs.twimg.com/media/F4dAWocXoAEZJE9.jpg")</f>
        <v>https://pbs.twimg.com/media/F4dAWocXoAEZJE9.jpg</v>
      </c>
      <c r="AW3064" s="93" t="s">
        <v>21212</v>
      </c>
      <c r="AX3064" s="93" t="s">
        <v>21212</v>
      </c>
      <c r="AY3064" s="87"/>
      <c r="AZ3064" s="93" t="s">
        <v>22668</v>
      </c>
      <c r="BA3064" s="93" t="s">
        <v>22668</v>
      </c>
      <c r="BB3064" s="93" t="s">
        <v>22668</v>
      </c>
      <c r="BC3064" s="93" t="s">
        <v>21212</v>
      </c>
      <c r="BD3064" s="93" t="s">
        <v>23334</v>
      </c>
      <c r="BE3064" s="87"/>
      <c r="BF3064" s="87"/>
      <c r="BG3064" s="87"/>
      <c r="BH3064" s="87"/>
      <c r="BI3064" s="87"/>
    </row>
    <row r="3065" spans="1:61" x14ac:dyDescent="0.25">
      <c r="A3065" s="63" t="s">
        <v>1156</v>
      </c>
      <c r="B3065" s="63" t="s">
        <v>1156</v>
      </c>
      <c r="C3065" s="64"/>
      <c r="D3065" s="65"/>
      <c r="E3065" s="66"/>
      <c r="F3065" s="67"/>
      <c r="G3065" s="64"/>
      <c r="H3065" s="68"/>
      <c r="I3065" s="69"/>
      <c r="J3065" s="69"/>
      <c r="K3065" s="32"/>
      <c r="L3065" s="76">
        <v>3065</v>
      </c>
      <c r="M3065" s="76"/>
      <c r="N3065" s="71"/>
      <c r="O3065" s="87" t="s">
        <v>179</v>
      </c>
      <c r="P3065" s="90">
        <v>45163.870648148149</v>
      </c>
      <c r="Q3065" s="87" t="s">
        <v>4765</v>
      </c>
      <c r="R3065" s="87">
        <v>0</v>
      </c>
      <c r="S3065" s="87">
        <v>0</v>
      </c>
      <c r="T3065" s="87">
        <v>0</v>
      </c>
      <c r="U3065" s="87">
        <v>0</v>
      </c>
      <c r="V3065" s="87">
        <v>19</v>
      </c>
      <c r="W3065" s="93" t="s">
        <v>7594</v>
      </c>
      <c r="X3065" s="87"/>
      <c r="Y3065" s="87"/>
      <c r="Z3065" s="87"/>
      <c r="AA3065" s="87" t="s">
        <v>10713</v>
      </c>
      <c r="AB3065" s="87" t="s">
        <v>11448</v>
      </c>
      <c r="AC3065" s="93" t="s">
        <v>11458</v>
      </c>
      <c r="AD3065" s="87" t="s">
        <v>11519</v>
      </c>
      <c r="AE3065" s="92" t="str">
        <f>HYPERLINK("https://twitter.com/expofavelaceara/status/1695177664607461571")</f>
        <v>https://twitter.com/expofavelaceara/status/1695177664607461571</v>
      </c>
      <c r="AF3065" s="90">
        <v>45163.870648148149</v>
      </c>
      <c r="AG3065" s="99">
        <v>45163</v>
      </c>
      <c r="AH3065" s="93" t="s">
        <v>14268</v>
      </c>
      <c r="AI3065" s="87" t="b">
        <v>0</v>
      </c>
      <c r="AJ3065" s="87"/>
      <c r="AK3065" s="87"/>
      <c r="AL3065" s="87"/>
      <c r="AM3065" s="87"/>
      <c r="AN3065" s="87"/>
      <c r="AO3065" s="87"/>
      <c r="AP3065" s="87"/>
      <c r="AQ3065" s="87" t="s">
        <v>17525</v>
      </c>
      <c r="AR3065" s="87"/>
      <c r="AS3065" s="87"/>
      <c r="AT3065" s="87"/>
      <c r="AU3065" s="87"/>
      <c r="AV3065" s="92" t="str">
        <f>HYPERLINK("https://pbs.twimg.com/media/F4Z7GWtWMAAjmNx.jpg")</f>
        <v>https://pbs.twimg.com/media/F4Z7GWtWMAAjmNx.jpg</v>
      </c>
      <c r="AW3065" s="93" t="s">
        <v>21213</v>
      </c>
      <c r="AX3065" s="93" t="s">
        <v>21213</v>
      </c>
      <c r="AY3065" s="87"/>
      <c r="AZ3065" s="93" t="s">
        <v>22668</v>
      </c>
      <c r="BA3065" s="93" t="s">
        <v>22668</v>
      </c>
      <c r="BB3065" s="93" t="s">
        <v>22668</v>
      </c>
      <c r="BC3065" s="93" t="s">
        <v>21213</v>
      </c>
      <c r="BD3065" s="93" t="s">
        <v>23334</v>
      </c>
      <c r="BE3065" s="87"/>
      <c r="BF3065" s="87"/>
      <c r="BG3065" s="87"/>
      <c r="BH3065" s="87"/>
      <c r="BI3065" s="87"/>
    </row>
    <row r="3066" spans="1:61" x14ac:dyDescent="0.25">
      <c r="A3066" s="63" t="s">
        <v>1156</v>
      </c>
      <c r="B3066" s="63" t="s">
        <v>1156</v>
      </c>
      <c r="C3066" s="64"/>
      <c r="D3066" s="65"/>
      <c r="E3066" s="66"/>
      <c r="F3066" s="67"/>
      <c r="G3066" s="64"/>
      <c r="H3066" s="68"/>
      <c r="I3066" s="69"/>
      <c r="J3066" s="69"/>
      <c r="K3066" s="32"/>
      <c r="L3066" s="76">
        <v>3066</v>
      </c>
      <c r="M3066" s="76"/>
      <c r="N3066" s="71"/>
      <c r="O3066" s="87" t="s">
        <v>179</v>
      </c>
      <c r="P3066" s="90">
        <v>45163.659907407404</v>
      </c>
      <c r="Q3066" s="87" t="s">
        <v>4766</v>
      </c>
      <c r="R3066" s="87">
        <v>0</v>
      </c>
      <c r="S3066" s="87">
        <v>0</v>
      </c>
      <c r="T3066" s="87">
        <v>0</v>
      </c>
      <c r="U3066" s="87">
        <v>0</v>
      </c>
      <c r="V3066" s="87">
        <v>20</v>
      </c>
      <c r="W3066" s="93" t="s">
        <v>7593</v>
      </c>
      <c r="X3066" s="87"/>
      <c r="Y3066" s="87"/>
      <c r="Z3066" s="87"/>
      <c r="AA3066" s="87" t="s">
        <v>10714</v>
      </c>
      <c r="AB3066" s="87" t="s">
        <v>11448</v>
      </c>
      <c r="AC3066" s="93" t="s">
        <v>11458</v>
      </c>
      <c r="AD3066" s="87" t="s">
        <v>11519</v>
      </c>
      <c r="AE3066" s="92" t="str">
        <f>HYPERLINK("https://twitter.com/expofavelaceara/status/1695101292295708782")</f>
        <v>https://twitter.com/expofavelaceara/status/1695101292295708782</v>
      </c>
      <c r="AF3066" s="90">
        <v>45163.659907407404</v>
      </c>
      <c r="AG3066" s="99">
        <v>45163</v>
      </c>
      <c r="AH3066" s="93" t="s">
        <v>14269</v>
      </c>
      <c r="AI3066" s="87" t="b">
        <v>0</v>
      </c>
      <c r="AJ3066" s="87"/>
      <c r="AK3066" s="87"/>
      <c r="AL3066" s="87"/>
      <c r="AM3066" s="87"/>
      <c r="AN3066" s="87"/>
      <c r="AO3066" s="87"/>
      <c r="AP3066" s="87"/>
      <c r="AQ3066" s="87" t="s">
        <v>17526</v>
      </c>
      <c r="AR3066" s="87"/>
      <c r="AS3066" s="87"/>
      <c r="AT3066" s="87"/>
      <c r="AU3066" s="87"/>
      <c r="AV3066" s="92" t="str">
        <f>HYPERLINK("https://pbs.twimg.com/media/F4Y1o7AWcAERciE.jpg")</f>
        <v>https://pbs.twimg.com/media/F4Y1o7AWcAERciE.jpg</v>
      </c>
      <c r="AW3066" s="93" t="s">
        <v>21214</v>
      </c>
      <c r="AX3066" s="93" t="s">
        <v>21214</v>
      </c>
      <c r="AY3066" s="87"/>
      <c r="AZ3066" s="93" t="s">
        <v>22668</v>
      </c>
      <c r="BA3066" s="93" t="s">
        <v>22668</v>
      </c>
      <c r="BB3066" s="93" t="s">
        <v>22668</v>
      </c>
      <c r="BC3066" s="93" t="s">
        <v>21214</v>
      </c>
      <c r="BD3066" s="93" t="s">
        <v>23334</v>
      </c>
      <c r="BE3066" s="87"/>
      <c r="BF3066" s="87"/>
      <c r="BG3066" s="87"/>
      <c r="BH3066" s="87"/>
      <c r="BI3066" s="87"/>
    </row>
    <row r="3067" spans="1:61" x14ac:dyDescent="0.25">
      <c r="A3067" s="63" t="s">
        <v>1156</v>
      </c>
      <c r="B3067" s="63" t="s">
        <v>1156</v>
      </c>
      <c r="C3067" s="64"/>
      <c r="D3067" s="65"/>
      <c r="E3067" s="66"/>
      <c r="F3067" s="67"/>
      <c r="G3067" s="64"/>
      <c r="H3067" s="68"/>
      <c r="I3067" s="69"/>
      <c r="J3067" s="69"/>
      <c r="K3067" s="32"/>
      <c r="L3067" s="76">
        <v>3067</v>
      </c>
      <c r="M3067" s="76"/>
      <c r="N3067" s="71"/>
      <c r="O3067" s="87" t="s">
        <v>179</v>
      </c>
      <c r="P3067" s="90">
        <v>45170.891527777778</v>
      </c>
      <c r="Q3067" s="87" t="s">
        <v>4767</v>
      </c>
      <c r="R3067" s="87">
        <v>0</v>
      </c>
      <c r="S3067" s="87">
        <v>0</v>
      </c>
      <c r="T3067" s="87">
        <v>0</v>
      </c>
      <c r="U3067" s="87">
        <v>0</v>
      </c>
      <c r="V3067" s="87">
        <v>126</v>
      </c>
      <c r="W3067" s="93" t="s">
        <v>7595</v>
      </c>
      <c r="X3067" s="92" t="str">
        <f>HYPERLINK("https://materiais.escoladenegociosdafavela.com.br/expo-favela")</f>
        <v>https://materiais.escoladenegociosdafavela.com.br/expo-favela</v>
      </c>
      <c r="Y3067" s="87" t="s">
        <v>8373</v>
      </c>
      <c r="Z3067" s="87"/>
      <c r="AA3067" s="87" t="s">
        <v>10715</v>
      </c>
      <c r="AB3067" s="87" t="s">
        <v>11449</v>
      </c>
      <c r="AC3067" s="93" t="s">
        <v>11458</v>
      </c>
      <c r="AD3067" s="87" t="s">
        <v>11519</v>
      </c>
      <c r="AE3067" s="92" t="str">
        <f>HYPERLINK("https://twitter.com/expofavelaceara/status/1697721943607103649")</f>
        <v>https://twitter.com/expofavelaceara/status/1697721943607103649</v>
      </c>
      <c r="AF3067" s="90">
        <v>45170.891527777778</v>
      </c>
      <c r="AG3067" s="99">
        <v>45170</v>
      </c>
      <c r="AH3067" s="93" t="s">
        <v>14270</v>
      </c>
      <c r="AI3067" s="87" t="b">
        <v>0</v>
      </c>
      <c r="AJ3067" s="87"/>
      <c r="AK3067" s="87"/>
      <c r="AL3067" s="87"/>
      <c r="AM3067" s="87"/>
      <c r="AN3067" s="87"/>
      <c r="AO3067" s="87"/>
      <c r="AP3067" s="87"/>
      <c r="AQ3067" s="87" t="s">
        <v>17527</v>
      </c>
      <c r="AR3067" s="87"/>
      <c r="AS3067" s="87"/>
      <c r="AT3067" s="87"/>
      <c r="AU3067" s="87"/>
      <c r="AV3067" s="92" t="str">
        <f>HYPERLINK("https://pbs.twimg.com/media/F4-FG3BWUAAEbPu.jpg")</f>
        <v>https://pbs.twimg.com/media/F4-FG3BWUAAEbPu.jpg</v>
      </c>
      <c r="AW3067" s="93" t="s">
        <v>21215</v>
      </c>
      <c r="AX3067" s="93" t="s">
        <v>21215</v>
      </c>
      <c r="AY3067" s="87"/>
      <c r="AZ3067" s="93" t="s">
        <v>22668</v>
      </c>
      <c r="BA3067" s="93" t="s">
        <v>22668</v>
      </c>
      <c r="BB3067" s="93" t="s">
        <v>22668</v>
      </c>
      <c r="BC3067" s="93" t="s">
        <v>21215</v>
      </c>
      <c r="BD3067" s="93" t="s">
        <v>23334</v>
      </c>
      <c r="BE3067" s="87"/>
      <c r="BF3067" s="87"/>
      <c r="BG3067" s="87"/>
      <c r="BH3067" s="87"/>
      <c r="BI3067" s="87"/>
    </row>
    <row r="3068" spans="1:61" x14ac:dyDescent="0.25">
      <c r="A3068" s="63" t="s">
        <v>1156</v>
      </c>
      <c r="B3068" s="63" t="s">
        <v>1156</v>
      </c>
      <c r="C3068" s="64"/>
      <c r="D3068" s="65"/>
      <c r="E3068" s="66"/>
      <c r="F3068" s="67"/>
      <c r="G3068" s="64"/>
      <c r="H3068" s="68"/>
      <c r="I3068" s="69"/>
      <c r="J3068" s="69"/>
      <c r="K3068" s="32"/>
      <c r="L3068" s="76">
        <v>3068</v>
      </c>
      <c r="M3068" s="76"/>
      <c r="N3068" s="71"/>
      <c r="O3068" s="87" t="s">
        <v>179</v>
      </c>
      <c r="P3068" s="90">
        <v>45181.758703703701</v>
      </c>
      <c r="Q3068" s="87" t="s">
        <v>4768</v>
      </c>
      <c r="R3068" s="87">
        <v>0</v>
      </c>
      <c r="S3068" s="87">
        <v>0</v>
      </c>
      <c r="T3068" s="87">
        <v>0</v>
      </c>
      <c r="U3068" s="87">
        <v>0</v>
      </c>
      <c r="V3068" s="87">
        <v>36</v>
      </c>
      <c r="W3068" s="93" t="s">
        <v>7591</v>
      </c>
      <c r="X3068" s="87"/>
      <c r="Y3068" s="87"/>
      <c r="Z3068" s="87"/>
      <c r="AA3068" s="87" t="s">
        <v>10716</v>
      </c>
      <c r="AB3068" s="87" t="s">
        <v>11448</v>
      </c>
      <c r="AC3068" s="93" t="s">
        <v>11458</v>
      </c>
      <c r="AD3068" s="87" t="s">
        <v>11519</v>
      </c>
      <c r="AE3068" s="92" t="str">
        <f>HYPERLINK("https://twitter.com/expofavelaceara/status/1701660077097156857")</f>
        <v>https://twitter.com/expofavelaceara/status/1701660077097156857</v>
      </c>
      <c r="AF3068" s="90">
        <v>45181.758703703701</v>
      </c>
      <c r="AG3068" s="99">
        <v>45181</v>
      </c>
      <c r="AH3068" s="93" t="s">
        <v>14271</v>
      </c>
      <c r="AI3068" s="87" t="b">
        <v>0</v>
      </c>
      <c r="AJ3068" s="87"/>
      <c r="AK3068" s="87"/>
      <c r="AL3068" s="87"/>
      <c r="AM3068" s="87"/>
      <c r="AN3068" s="87"/>
      <c r="AO3068" s="87"/>
      <c r="AP3068" s="87"/>
      <c r="AQ3068" s="87" t="s">
        <v>17528</v>
      </c>
      <c r="AR3068" s="87"/>
      <c r="AS3068" s="87"/>
      <c r="AT3068" s="87"/>
      <c r="AU3068" s="87"/>
      <c r="AV3068" s="92" t="str">
        <f>HYPERLINK("https://pbs.twimg.com/media/F52Cz-NXEAA7o5E.jpg")</f>
        <v>https://pbs.twimg.com/media/F52Cz-NXEAA7o5E.jpg</v>
      </c>
      <c r="AW3068" s="93" t="s">
        <v>21216</v>
      </c>
      <c r="AX3068" s="93" t="s">
        <v>21216</v>
      </c>
      <c r="AY3068" s="87"/>
      <c r="AZ3068" s="93" t="s">
        <v>22668</v>
      </c>
      <c r="BA3068" s="93" t="s">
        <v>22668</v>
      </c>
      <c r="BB3068" s="93" t="s">
        <v>22668</v>
      </c>
      <c r="BC3068" s="93" t="s">
        <v>21216</v>
      </c>
      <c r="BD3068" s="93" t="s">
        <v>23334</v>
      </c>
      <c r="BE3068" s="87"/>
      <c r="BF3068" s="87"/>
      <c r="BG3068" s="87"/>
      <c r="BH3068" s="87"/>
      <c r="BI3068" s="87"/>
    </row>
    <row r="3069" spans="1:61" x14ac:dyDescent="0.25">
      <c r="A3069" s="63" t="s">
        <v>1156</v>
      </c>
      <c r="B3069" s="63" t="s">
        <v>1156</v>
      </c>
      <c r="C3069" s="64"/>
      <c r="D3069" s="65"/>
      <c r="E3069" s="66"/>
      <c r="F3069" s="67"/>
      <c r="G3069" s="64"/>
      <c r="H3069" s="68"/>
      <c r="I3069" s="69"/>
      <c r="J3069" s="69"/>
      <c r="K3069" s="32"/>
      <c r="L3069" s="76">
        <v>3069</v>
      </c>
      <c r="M3069" s="76"/>
      <c r="N3069" s="71"/>
      <c r="O3069" s="87" t="s">
        <v>179</v>
      </c>
      <c r="P3069" s="90">
        <v>45184.763993055552</v>
      </c>
      <c r="Q3069" s="87" t="s">
        <v>4769</v>
      </c>
      <c r="R3069" s="87">
        <v>0</v>
      </c>
      <c r="S3069" s="87">
        <v>0</v>
      </c>
      <c r="T3069" s="87">
        <v>0</v>
      </c>
      <c r="U3069" s="87">
        <v>0</v>
      </c>
      <c r="V3069" s="87">
        <v>41</v>
      </c>
      <c r="W3069" s="93" t="s">
        <v>7591</v>
      </c>
      <c r="X3069" s="92" t="str">
        <f>HYPERLINK("https://www.expofavelaceara.com.br")</f>
        <v>https://www.expofavelaceara.com.br</v>
      </c>
      <c r="Y3069" s="87" t="s">
        <v>8373</v>
      </c>
      <c r="Z3069" s="87"/>
      <c r="AA3069" s="87" t="s">
        <v>10717</v>
      </c>
      <c r="AB3069" s="87" t="s">
        <v>11448</v>
      </c>
      <c r="AC3069" s="93" t="s">
        <v>11458</v>
      </c>
      <c r="AD3069" s="87" t="s">
        <v>11519</v>
      </c>
      <c r="AE3069" s="92" t="str">
        <f>HYPERLINK("https://twitter.com/expofavelaceara/status/1702749156756885669")</f>
        <v>https://twitter.com/expofavelaceara/status/1702749156756885669</v>
      </c>
      <c r="AF3069" s="90">
        <v>45184.763993055552</v>
      </c>
      <c r="AG3069" s="99">
        <v>45184</v>
      </c>
      <c r="AH3069" s="93" t="s">
        <v>14272</v>
      </c>
      <c r="AI3069" s="87" t="b">
        <v>0</v>
      </c>
      <c r="AJ3069" s="87"/>
      <c r="AK3069" s="87"/>
      <c r="AL3069" s="87"/>
      <c r="AM3069" s="87"/>
      <c r="AN3069" s="87"/>
      <c r="AO3069" s="87"/>
      <c r="AP3069" s="87"/>
      <c r="AQ3069" s="87" t="s">
        <v>17529</v>
      </c>
      <c r="AR3069" s="87"/>
      <c r="AS3069" s="87"/>
      <c r="AT3069" s="87"/>
      <c r="AU3069" s="87"/>
      <c r="AV3069" s="92" t="str">
        <f>HYPERLINK("https://pbs.twimg.com/media/F6FhVPMWQAEBTKG.jpg")</f>
        <v>https://pbs.twimg.com/media/F6FhVPMWQAEBTKG.jpg</v>
      </c>
      <c r="AW3069" s="93" t="s">
        <v>21217</v>
      </c>
      <c r="AX3069" s="93" t="s">
        <v>21217</v>
      </c>
      <c r="AY3069" s="87"/>
      <c r="AZ3069" s="93" t="s">
        <v>22668</v>
      </c>
      <c r="BA3069" s="93" t="s">
        <v>22668</v>
      </c>
      <c r="BB3069" s="93" t="s">
        <v>22668</v>
      </c>
      <c r="BC3069" s="93" t="s">
        <v>21217</v>
      </c>
      <c r="BD3069" s="93" t="s">
        <v>23334</v>
      </c>
      <c r="BE3069" s="87"/>
      <c r="BF3069" s="87"/>
      <c r="BG3069" s="87"/>
      <c r="BH3069" s="87"/>
      <c r="BI3069" s="87"/>
    </row>
    <row r="3070" spans="1:61" x14ac:dyDescent="0.25">
      <c r="A3070" s="63" t="s">
        <v>1156</v>
      </c>
      <c r="B3070" s="63" t="s">
        <v>1156</v>
      </c>
      <c r="C3070" s="64"/>
      <c r="D3070" s="65"/>
      <c r="E3070" s="66"/>
      <c r="F3070" s="67"/>
      <c r="G3070" s="64"/>
      <c r="H3070" s="68"/>
      <c r="I3070" s="69"/>
      <c r="J3070" s="69"/>
      <c r="K3070" s="32"/>
      <c r="L3070" s="76">
        <v>3070</v>
      </c>
      <c r="M3070" s="76"/>
      <c r="N3070" s="71"/>
      <c r="O3070" s="87" t="s">
        <v>179</v>
      </c>
      <c r="P3070" s="90">
        <v>45163.653831018521</v>
      </c>
      <c r="Q3070" s="87" t="s">
        <v>4770</v>
      </c>
      <c r="R3070" s="87">
        <v>0</v>
      </c>
      <c r="S3070" s="87">
        <v>0</v>
      </c>
      <c r="T3070" s="87">
        <v>0</v>
      </c>
      <c r="U3070" s="87">
        <v>0</v>
      </c>
      <c r="V3070" s="87">
        <v>24</v>
      </c>
      <c r="W3070" s="93" t="s">
        <v>7592</v>
      </c>
      <c r="X3070" s="87"/>
      <c r="Y3070" s="87"/>
      <c r="Z3070" s="87"/>
      <c r="AA3070" s="87" t="s">
        <v>10718</v>
      </c>
      <c r="AB3070" s="87" t="s">
        <v>11448</v>
      </c>
      <c r="AC3070" s="93" t="s">
        <v>11458</v>
      </c>
      <c r="AD3070" s="87" t="s">
        <v>11519</v>
      </c>
      <c r="AE3070" s="92" t="str">
        <f>HYPERLINK("https://twitter.com/expofavelaceara/status/1695099091183718811")</f>
        <v>https://twitter.com/expofavelaceara/status/1695099091183718811</v>
      </c>
      <c r="AF3070" s="90">
        <v>45163.653831018521</v>
      </c>
      <c r="AG3070" s="99">
        <v>45163</v>
      </c>
      <c r="AH3070" s="93" t="s">
        <v>14273</v>
      </c>
      <c r="AI3070" s="87" t="b">
        <v>0</v>
      </c>
      <c r="AJ3070" s="87"/>
      <c r="AK3070" s="87"/>
      <c r="AL3070" s="87"/>
      <c r="AM3070" s="87"/>
      <c r="AN3070" s="87"/>
      <c r="AO3070" s="87"/>
      <c r="AP3070" s="87"/>
      <c r="AQ3070" s="87" t="s">
        <v>17530</v>
      </c>
      <c r="AR3070" s="87"/>
      <c r="AS3070" s="87"/>
      <c r="AT3070" s="87"/>
      <c r="AU3070" s="87"/>
      <c r="AV3070" s="92" t="str">
        <f>HYPERLINK("https://pbs.twimg.com/media/F4YzozKW8AANgPp.jpg")</f>
        <v>https://pbs.twimg.com/media/F4YzozKW8AANgPp.jpg</v>
      </c>
      <c r="AW3070" s="93" t="s">
        <v>21218</v>
      </c>
      <c r="AX3070" s="93" t="s">
        <v>21218</v>
      </c>
      <c r="AY3070" s="87"/>
      <c r="AZ3070" s="93" t="s">
        <v>22668</v>
      </c>
      <c r="BA3070" s="93" t="s">
        <v>22668</v>
      </c>
      <c r="BB3070" s="93" t="s">
        <v>22668</v>
      </c>
      <c r="BC3070" s="93" t="s">
        <v>21218</v>
      </c>
      <c r="BD3070" s="93" t="s">
        <v>23334</v>
      </c>
      <c r="BE3070" s="87"/>
      <c r="BF3070" s="87"/>
      <c r="BG3070" s="87"/>
      <c r="BH3070" s="87"/>
      <c r="BI3070" s="87"/>
    </row>
    <row r="3071" spans="1:61" x14ac:dyDescent="0.25">
      <c r="A3071" s="63" t="s">
        <v>1157</v>
      </c>
      <c r="B3071" s="63" t="s">
        <v>1157</v>
      </c>
      <c r="C3071" s="64"/>
      <c r="D3071" s="65"/>
      <c r="E3071" s="66"/>
      <c r="F3071" s="67"/>
      <c r="G3071" s="64"/>
      <c r="H3071" s="68"/>
      <c r="I3071" s="69"/>
      <c r="J3071" s="69"/>
      <c r="K3071" s="32"/>
      <c r="L3071" s="76">
        <v>3071</v>
      </c>
      <c r="M3071" s="76"/>
      <c r="N3071" s="71"/>
      <c r="O3071" s="87" t="s">
        <v>179</v>
      </c>
      <c r="P3071" s="90">
        <v>45184.595856481479</v>
      </c>
      <c r="Q3071" s="87" t="s">
        <v>4771</v>
      </c>
      <c r="R3071" s="87">
        <v>0</v>
      </c>
      <c r="S3071" s="87">
        <v>0</v>
      </c>
      <c r="T3071" s="87">
        <v>0</v>
      </c>
      <c r="U3071" s="87">
        <v>0</v>
      </c>
      <c r="V3071" s="87">
        <v>175</v>
      </c>
      <c r="W3071" s="93" t="s">
        <v>7596</v>
      </c>
      <c r="X3071" s="92" t="str">
        <f>HYPERLINK("https://portaldeprefeitura.com.br/2023/09/igarassu-promove-1-festival-de-games-e-empreendedorismo-geek-da-regiao-sao-mais-de-30-atracoes-gratuitas/")</f>
        <v>https://portaldeprefeitura.com.br/2023/09/igarassu-promove-1-festival-de-games-e-empreendedorismo-geek-da-regiao-sao-mais-de-30-atracoes-gratuitas/</v>
      </c>
      <c r="Y3071" s="87" t="s">
        <v>8373</v>
      </c>
      <c r="Z3071" s="87"/>
      <c r="AA3071" s="87"/>
      <c r="AB3071" s="87"/>
      <c r="AC3071" s="93" t="s">
        <v>11457</v>
      </c>
      <c r="AD3071" s="87" t="s">
        <v>11519</v>
      </c>
      <c r="AE3071" s="92" t="str">
        <f>HYPERLINK("https://twitter.com/p_prefeitura/status/1702688226626908635")</f>
        <v>https://twitter.com/p_prefeitura/status/1702688226626908635</v>
      </c>
      <c r="AF3071" s="90">
        <v>45184.595856481479</v>
      </c>
      <c r="AG3071" s="99">
        <v>45184</v>
      </c>
      <c r="AH3071" s="93" t="s">
        <v>14274</v>
      </c>
      <c r="AI3071" s="87" t="b">
        <v>0</v>
      </c>
      <c r="AJ3071" s="87"/>
      <c r="AK3071" s="87"/>
      <c r="AL3071" s="87"/>
      <c r="AM3071" s="87"/>
      <c r="AN3071" s="87"/>
      <c r="AO3071" s="87"/>
      <c r="AP3071" s="87"/>
      <c r="AQ3071" s="87"/>
      <c r="AR3071" s="87"/>
      <c r="AS3071" s="87"/>
      <c r="AT3071" s="87"/>
      <c r="AU3071" s="87"/>
      <c r="AV3071" s="92" t="str">
        <f>HYPERLINK("https://pbs.twimg.com/profile_images/1669793783867645969/-NOFVFmF_normal.jpg")</f>
        <v>https://pbs.twimg.com/profile_images/1669793783867645969/-NOFVFmF_normal.jpg</v>
      </c>
      <c r="AW3071" s="93" t="s">
        <v>21219</v>
      </c>
      <c r="AX3071" s="93" t="s">
        <v>21219</v>
      </c>
      <c r="AY3071" s="87"/>
      <c r="AZ3071" s="93" t="s">
        <v>22668</v>
      </c>
      <c r="BA3071" s="93" t="s">
        <v>22668</v>
      </c>
      <c r="BB3071" s="93" t="s">
        <v>22668</v>
      </c>
      <c r="BC3071" s="93" t="s">
        <v>21219</v>
      </c>
      <c r="BD3071" s="87">
        <v>3024436931</v>
      </c>
      <c r="BE3071" s="87"/>
      <c r="BF3071" s="87"/>
      <c r="BG3071" s="87"/>
      <c r="BH3071" s="87"/>
      <c r="BI3071" s="87"/>
    </row>
    <row r="3072" spans="1:61" x14ac:dyDescent="0.25">
      <c r="A3072" s="63" t="s">
        <v>1157</v>
      </c>
      <c r="B3072" s="63" t="s">
        <v>1157</v>
      </c>
      <c r="C3072" s="64"/>
      <c r="D3072" s="65"/>
      <c r="E3072" s="66"/>
      <c r="F3072" s="67"/>
      <c r="G3072" s="64"/>
      <c r="H3072" s="68"/>
      <c r="I3072" s="69"/>
      <c r="J3072" s="69"/>
      <c r="K3072" s="32"/>
      <c r="L3072" s="76">
        <v>3072</v>
      </c>
      <c r="M3072" s="76"/>
      <c r="N3072" s="71"/>
      <c r="O3072" s="87" t="s">
        <v>179</v>
      </c>
      <c r="P3072" s="90">
        <v>45120.889236111114</v>
      </c>
      <c r="Q3072" s="87" t="s">
        <v>4772</v>
      </c>
      <c r="R3072" s="87">
        <v>0</v>
      </c>
      <c r="S3072" s="87">
        <v>0</v>
      </c>
      <c r="T3072" s="87">
        <v>0</v>
      </c>
      <c r="U3072" s="87">
        <v>0</v>
      </c>
      <c r="V3072" s="87">
        <v>237</v>
      </c>
      <c r="W3072" s="93" t="s">
        <v>7597</v>
      </c>
      <c r="X3072" s="92" t="str">
        <f>HYPERLINK("http://portaldeprefeitura.com.br/2023/07/13/belo-jardim-da-incentivo-de-r-3-mil-para-mulheres-empreendedoras-no-programa-meu-negocio-e-meu-pais-veja-como-se-inscrever-e-concorrer/")</f>
        <v>http://portaldeprefeitura.com.br/2023/07/13/belo-jardim-da-incentivo-de-r-3-mil-para-mulheres-empreendedoras-no-programa-meu-negocio-e-meu-pais-veja-como-se-inscrever-e-concorrer/</v>
      </c>
      <c r="Y3072" s="87" t="s">
        <v>8373</v>
      </c>
      <c r="Z3072" s="87"/>
      <c r="AA3072" s="87"/>
      <c r="AB3072" s="87"/>
      <c r="AC3072" s="93" t="s">
        <v>11457</v>
      </c>
      <c r="AD3072" s="87" t="s">
        <v>11519</v>
      </c>
      <c r="AE3072" s="92" t="str">
        <f>HYPERLINK("https://twitter.com/p_prefeitura/status/1679601721457233921")</f>
        <v>https://twitter.com/p_prefeitura/status/1679601721457233921</v>
      </c>
      <c r="AF3072" s="90">
        <v>45120.889236111114</v>
      </c>
      <c r="AG3072" s="99">
        <v>45120</v>
      </c>
      <c r="AH3072" s="93" t="s">
        <v>14275</v>
      </c>
      <c r="AI3072" s="87" t="b">
        <v>0</v>
      </c>
      <c r="AJ3072" s="87"/>
      <c r="AK3072" s="87"/>
      <c r="AL3072" s="87"/>
      <c r="AM3072" s="87"/>
      <c r="AN3072" s="87"/>
      <c r="AO3072" s="87"/>
      <c r="AP3072" s="87"/>
      <c r="AQ3072" s="87"/>
      <c r="AR3072" s="87"/>
      <c r="AS3072" s="87"/>
      <c r="AT3072" s="87"/>
      <c r="AU3072" s="87"/>
      <c r="AV3072" s="92" t="str">
        <f>HYPERLINK("https://pbs.twimg.com/profile_images/1669793783867645969/-NOFVFmF_normal.jpg")</f>
        <v>https://pbs.twimg.com/profile_images/1669793783867645969/-NOFVFmF_normal.jpg</v>
      </c>
      <c r="AW3072" s="93" t="s">
        <v>21220</v>
      </c>
      <c r="AX3072" s="93" t="s">
        <v>21220</v>
      </c>
      <c r="AY3072" s="87"/>
      <c r="AZ3072" s="93" t="s">
        <v>22668</v>
      </c>
      <c r="BA3072" s="93" t="s">
        <v>22668</v>
      </c>
      <c r="BB3072" s="93" t="s">
        <v>22668</v>
      </c>
      <c r="BC3072" s="93" t="s">
        <v>21220</v>
      </c>
      <c r="BD3072" s="87">
        <v>3024436931</v>
      </c>
      <c r="BE3072" s="87"/>
      <c r="BF3072" s="87"/>
      <c r="BG3072" s="87"/>
      <c r="BH3072" s="87"/>
      <c r="BI3072" s="87"/>
    </row>
    <row r="3073" spans="1:61" x14ac:dyDescent="0.25">
      <c r="A3073" s="63" t="s">
        <v>1157</v>
      </c>
      <c r="B3073" s="63" t="s">
        <v>1157</v>
      </c>
      <c r="C3073" s="64"/>
      <c r="D3073" s="65"/>
      <c r="E3073" s="66"/>
      <c r="F3073" s="67"/>
      <c r="G3073" s="64"/>
      <c r="H3073" s="68"/>
      <c r="I3073" s="69"/>
      <c r="J3073" s="69"/>
      <c r="K3073" s="32"/>
      <c r="L3073" s="76">
        <v>3073</v>
      </c>
      <c r="M3073" s="76"/>
      <c r="N3073" s="71"/>
      <c r="O3073" s="87" t="s">
        <v>179</v>
      </c>
      <c r="P3073" s="90">
        <v>45188.762013888889</v>
      </c>
      <c r="Q3073" s="87" t="s">
        <v>4773</v>
      </c>
      <c r="R3073" s="87">
        <v>0</v>
      </c>
      <c r="S3073" s="87">
        <v>0</v>
      </c>
      <c r="T3073" s="87">
        <v>0</v>
      </c>
      <c r="U3073" s="87">
        <v>0</v>
      </c>
      <c r="V3073" s="87">
        <v>138</v>
      </c>
      <c r="W3073" s="93" t="s">
        <v>7598</v>
      </c>
      <c r="X3073" s="92" t="str">
        <f>HYPERLINK("http://portaldeprefeitura.com.br/2023/09/igarassu-leva-servico-itinerante-de-capacitacao-profissional-e-empreendedorismo-pelos-seus-488-anos-de-historia700_")</f>
        <v>http://portaldeprefeitura.com.br/2023/09/igarassu-leva-servico-itinerante-de-capacitacao-profissional-e-empreendedorismo-pelos-seus-488-anos-de-historia700_</v>
      </c>
      <c r="Y3073" s="87" t="s">
        <v>8373</v>
      </c>
      <c r="Z3073" s="87"/>
      <c r="AA3073" s="87"/>
      <c r="AB3073" s="87"/>
      <c r="AC3073" s="93" t="s">
        <v>11457</v>
      </c>
      <c r="AD3073" s="87" t="s">
        <v>11519</v>
      </c>
      <c r="AE3073" s="92" t="str">
        <f>HYPERLINK("https://twitter.com/p_prefeitura/status/1704197991421092314")</f>
        <v>https://twitter.com/p_prefeitura/status/1704197991421092314</v>
      </c>
      <c r="AF3073" s="90">
        <v>45188.762013888889</v>
      </c>
      <c r="AG3073" s="99">
        <v>45188</v>
      </c>
      <c r="AH3073" s="93" t="s">
        <v>14276</v>
      </c>
      <c r="AI3073" s="87" t="b">
        <v>0</v>
      </c>
      <c r="AJ3073" s="87"/>
      <c r="AK3073" s="87"/>
      <c r="AL3073" s="87"/>
      <c r="AM3073" s="87"/>
      <c r="AN3073" s="87"/>
      <c r="AO3073" s="87"/>
      <c r="AP3073" s="87"/>
      <c r="AQ3073" s="87"/>
      <c r="AR3073" s="87"/>
      <c r="AS3073" s="87"/>
      <c r="AT3073" s="87"/>
      <c r="AU3073" s="87"/>
      <c r="AV3073" s="92" t="str">
        <f>HYPERLINK("https://pbs.twimg.com/profile_images/1669793783867645969/-NOFVFmF_normal.jpg")</f>
        <v>https://pbs.twimg.com/profile_images/1669793783867645969/-NOFVFmF_normal.jpg</v>
      </c>
      <c r="AW3073" s="93" t="s">
        <v>21221</v>
      </c>
      <c r="AX3073" s="93" t="s">
        <v>21221</v>
      </c>
      <c r="AY3073" s="87"/>
      <c r="AZ3073" s="93" t="s">
        <v>22668</v>
      </c>
      <c r="BA3073" s="93" t="s">
        <v>22668</v>
      </c>
      <c r="BB3073" s="93" t="s">
        <v>22668</v>
      </c>
      <c r="BC3073" s="93" t="s">
        <v>21221</v>
      </c>
      <c r="BD3073" s="87">
        <v>3024436931</v>
      </c>
      <c r="BE3073" s="87"/>
      <c r="BF3073" s="87"/>
      <c r="BG3073" s="87"/>
      <c r="BH3073" s="87"/>
      <c r="BI3073" s="87"/>
    </row>
    <row r="3074" spans="1:61" x14ac:dyDescent="0.25">
      <c r="A3074" s="63" t="s">
        <v>1158</v>
      </c>
      <c r="B3074" s="63" t="s">
        <v>1158</v>
      </c>
      <c r="C3074" s="64"/>
      <c r="D3074" s="65"/>
      <c r="E3074" s="66"/>
      <c r="F3074" s="67"/>
      <c r="G3074" s="64"/>
      <c r="H3074" s="68"/>
      <c r="I3074" s="69"/>
      <c r="J3074" s="69"/>
      <c r="K3074" s="32"/>
      <c r="L3074" s="76">
        <v>3074</v>
      </c>
      <c r="M3074" s="76"/>
      <c r="N3074" s="71"/>
      <c r="O3074" s="87" t="s">
        <v>179</v>
      </c>
      <c r="P3074" s="90">
        <v>45163.955277777779</v>
      </c>
      <c r="Q3074" s="87" t="s">
        <v>4774</v>
      </c>
      <c r="R3074" s="87">
        <v>0</v>
      </c>
      <c r="S3074" s="87">
        <v>0</v>
      </c>
      <c r="T3074" s="87">
        <v>0</v>
      </c>
      <c r="U3074" s="87">
        <v>0</v>
      </c>
      <c r="V3074" s="87">
        <v>14</v>
      </c>
      <c r="W3074" s="93" t="s">
        <v>7599</v>
      </c>
      <c r="X3074" s="92" t="str">
        <f>HYPERLINK("https://youtu.be/uKczDoY3fes?si=NjSLqGtk53IcolUJ")</f>
        <v>https://youtu.be/uKczDoY3fes?si=NjSLqGtk53IcolUJ</v>
      </c>
      <c r="Y3074" s="87" t="s">
        <v>8372</v>
      </c>
      <c r="Z3074" s="87"/>
      <c r="AA3074" s="87"/>
      <c r="AB3074" s="87"/>
      <c r="AC3074" s="93" t="s">
        <v>11459</v>
      </c>
      <c r="AD3074" s="87" t="s">
        <v>11519</v>
      </c>
      <c r="AE3074" s="92" t="str">
        <f>HYPERLINK("https://twitter.com/chefpizzaiolo/status/1695208331315466320")</f>
        <v>https://twitter.com/chefpizzaiolo/status/1695208331315466320</v>
      </c>
      <c r="AF3074" s="90">
        <v>45163.955277777779</v>
      </c>
      <c r="AG3074" s="99">
        <v>45163</v>
      </c>
      <c r="AH3074" s="93" t="s">
        <v>14277</v>
      </c>
      <c r="AI3074" s="87" t="b">
        <v>0</v>
      </c>
      <c r="AJ3074" s="87"/>
      <c r="AK3074" s="87"/>
      <c r="AL3074" s="87"/>
      <c r="AM3074" s="87"/>
      <c r="AN3074" s="87"/>
      <c r="AO3074" s="87"/>
      <c r="AP3074" s="87"/>
      <c r="AQ3074" s="87"/>
      <c r="AR3074" s="87"/>
      <c r="AS3074" s="87"/>
      <c r="AT3074" s="87"/>
      <c r="AU3074" s="87"/>
      <c r="AV3074" s="92" t="str">
        <f>HYPERLINK("https://pbs.twimg.com/profile_images/3725700798/2dfa09e9c5277513c4f40509dfe8bd19_normal.jpeg")</f>
        <v>https://pbs.twimg.com/profile_images/3725700798/2dfa09e9c5277513c4f40509dfe8bd19_normal.jpeg</v>
      </c>
      <c r="AW3074" s="93" t="s">
        <v>21222</v>
      </c>
      <c r="AX3074" s="93" t="s">
        <v>21222</v>
      </c>
      <c r="AY3074" s="87"/>
      <c r="AZ3074" s="93" t="s">
        <v>22668</v>
      </c>
      <c r="BA3074" s="93" t="s">
        <v>22668</v>
      </c>
      <c r="BB3074" s="93" t="s">
        <v>22668</v>
      </c>
      <c r="BC3074" s="93" t="s">
        <v>21222</v>
      </c>
      <c r="BD3074" s="87">
        <v>36268641</v>
      </c>
      <c r="BE3074" s="87"/>
      <c r="BF3074" s="87"/>
      <c r="BG3074" s="87"/>
      <c r="BH3074" s="87"/>
      <c r="BI3074" s="87"/>
    </row>
    <row r="3075" spans="1:61" x14ac:dyDescent="0.25">
      <c r="A3075" s="63" t="s">
        <v>1158</v>
      </c>
      <c r="B3075" s="63" t="s">
        <v>1158</v>
      </c>
      <c r="C3075" s="64"/>
      <c r="D3075" s="65"/>
      <c r="E3075" s="66"/>
      <c r="F3075" s="67"/>
      <c r="G3075" s="64"/>
      <c r="H3075" s="68"/>
      <c r="I3075" s="69"/>
      <c r="J3075" s="69"/>
      <c r="K3075" s="32"/>
      <c r="L3075" s="76">
        <v>3075</v>
      </c>
      <c r="M3075" s="76"/>
      <c r="N3075" s="71"/>
      <c r="O3075" s="87" t="s">
        <v>179</v>
      </c>
      <c r="P3075" s="90">
        <v>45160.508437500001</v>
      </c>
      <c r="Q3075" s="87" t="s">
        <v>4775</v>
      </c>
      <c r="R3075" s="87">
        <v>0</v>
      </c>
      <c r="S3075" s="87">
        <v>0</v>
      </c>
      <c r="T3075" s="87">
        <v>0</v>
      </c>
      <c r="U3075" s="87">
        <v>0</v>
      </c>
      <c r="V3075" s="87">
        <v>12</v>
      </c>
      <c r="W3075" s="93" t="s">
        <v>7600</v>
      </c>
      <c r="X3075" s="87"/>
      <c r="Y3075" s="87"/>
      <c r="Z3075" s="87"/>
      <c r="AA3075" s="87" t="s">
        <v>10719</v>
      </c>
      <c r="AB3075" s="87" t="s">
        <v>11449</v>
      </c>
      <c r="AC3075" s="93" t="s">
        <v>11457</v>
      </c>
      <c r="AD3075" s="87" t="s">
        <v>11519</v>
      </c>
      <c r="AE3075" s="92" t="str">
        <f>HYPERLINK("https://twitter.com/chefpizzaiolo/status/1693959240862294509")</f>
        <v>https://twitter.com/chefpizzaiolo/status/1693959240862294509</v>
      </c>
      <c r="AF3075" s="90">
        <v>45160.508437500001</v>
      </c>
      <c r="AG3075" s="99">
        <v>45160</v>
      </c>
      <c r="AH3075" s="93" t="s">
        <v>14278</v>
      </c>
      <c r="AI3075" s="87" t="b">
        <v>0</v>
      </c>
      <c r="AJ3075" s="87"/>
      <c r="AK3075" s="87"/>
      <c r="AL3075" s="87"/>
      <c r="AM3075" s="87"/>
      <c r="AN3075" s="87"/>
      <c r="AO3075" s="87"/>
      <c r="AP3075" s="87"/>
      <c r="AQ3075" s="87" t="s">
        <v>17531</v>
      </c>
      <c r="AR3075" s="87"/>
      <c r="AS3075" s="87"/>
      <c r="AT3075" s="87"/>
      <c r="AU3075" s="87"/>
      <c r="AV3075" s="92" t="str">
        <f>HYPERLINK("https://pbs.twimg.com/media/F4Im6r7WMAAUDOn.jpg")</f>
        <v>https://pbs.twimg.com/media/F4Im6r7WMAAUDOn.jpg</v>
      </c>
      <c r="AW3075" s="93" t="s">
        <v>21223</v>
      </c>
      <c r="AX3075" s="93" t="s">
        <v>21223</v>
      </c>
      <c r="AY3075" s="87"/>
      <c r="AZ3075" s="93" t="s">
        <v>22668</v>
      </c>
      <c r="BA3075" s="93" t="s">
        <v>22668</v>
      </c>
      <c r="BB3075" s="93" t="s">
        <v>22668</v>
      </c>
      <c r="BC3075" s="93" t="s">
        <v>21223</v>
      </c>
      <c r="BD3075" s="87">
        <v>36268641</v>
      </c>
      <c r="BE3075" s="87"/>
      <c r="BF3075" s="87"/>
      <c r="BG3075" s="87"/>
      <c r="BH3075" s="87"/>
      <c r="BI3075" s="87"/>
    </row>
    <row r="3076" spans="1:61" x14ac:dyDescent="0.25">
      <c r="A3076" s="63" t="s">
        <v>1158</v>
      </c>
      <c r="B3076" s="63" t="s">
        <v>1624</v>
      </c>
      <c r="C3076" s="64"/>
      <c r="D3076" s="65"/>
      <c r="E3076" s="66"/>
      <c r="F3076" s="67"/>
      <c r="G3076" s="64"/>
      <c r="H3076" s="68"/>
      <c r="I3076" s="69"/>
      <c r="J3076" s="69"/>
      <c r="K3076" s="32"/>
      <c r="L3076" s="76">
        <v>3076</v>
      </c>
      <c r="M3076" s="76"/>
      <c r="N3076" s="71"/>
      <c r="O3076" s="87" t="s">
        <v>1839</v>
      </c>
      <c r="P3076" s="90">
        <v>45160.503865740742</v>
      </c>
      <c r="Q3076" s="87" t="s">
        <v>4776</v>
      </c>
      <c r="R3076" s="87">
        <v>0</v>
      </c>
      <c r="S3076" s="87">
        <v>0</v>
      </c>
      <c r="T3076" s="87">
        <v>0</v>
      </c>
      <c r="U3076" s="87">
        <v>0</v>
      </c>
      <c r="V3076" s="87">
        <v>9</v>
      </c>
      <c r="W3076" s="93" t="s">
        <v>7600</v>
      </c>
      <c r="X3076" s="92" t="str">
        <f>HYPERLINK("https://youtu.be/eIXe1oF5B9w")</f>
        <v>https://youtu.be/eIXe1oF5B9w</v>
      </c>
      <c r="Y3076" s="87" t="s">
        <v>8372</v>
      </c>
      <c r="Z3076" s="87" t="s">
        <v>1624</v>
      </c>
      <c r="AA3076" s="87"/>
      <c r="AB3076" s="87"/>
      <c r="AC3076" s="93" t="s">
        <v>11457</v>
      </c>
      <c r="AD3076" s="87" t="s">
        <v>11519</v>
      </c>
      <c r="AE3076" s="92" t="str">
        <f>HYPERLINK("https://twitter.com/chefpizzaiolo/status/1693957582140936313")</f>
        <v>https://twitter.com/chefpizzaiolo/status/1693957582140936313</v>
      </c>
      <c r="AF3076" s="90">
        <v>45160.503865740742</v>
      </c>
      <c r="AG3076" s="99">
        <v>45160</v>
      </c>
      <c r="AH3076" s="93" t="s">
        <v>14279</v>
      </c>
      <c r="AI3076" s="87" t="b">
        <v>0</v>
      </c>
      <c r="AJ3076" s="87"/>
      <c r="AK3076" s="87"/>
      <c r="AL3076" s="87"/>
      <c r="AM3076" s="87"/>
      <c r="AN3076" s="87"/>
      <c r="AO3076" s="87"/>
      <c r="AP3076" s="87"/>
      <c r="AQ3076" s="87"/>
      <c r="AR3076" s="87"/>
      <c r="AS3076" s="87"/>
      <c r="AT3076" s="87"/>
      <c r="AU3076" s="87"/>
      <c r="AV3076" s="92" t="str">
        <f>HYPERLINK("https://pbs.twimg.com/profile_images/3725700798/2dfa09e9c5277513c4f40509dfe8bd19_normal.jpeg")</f>
        <v>https://pbs.twimg.com/profile_images/3725700798/2dfa09e9c5277513c4f40509dfe8bd19_normal.jpeg</v>
      </c>
      <c r="AW3076" s="93" t="s">
        <v>21224</v>
      </c>
      <c r="AX3076" s="93" t="s">
        <v>21224</v>
      </c>
      <c r="AY3076" s="87"/>
      <c r="AZ3076" s="93" t="s">
        <v>22668</v>
      </c>
      <c r="BA3076" s="93" t="s">
        <v>22668</v>
      </c>
      <c r="BB3076" s="93" t="s">
        <v>22668</v>
      </c>
      <c r="BC3076" s="93" t="s">
        <v>21224</v>
      </c>
      <c r="BD3076" s="87">
        <v>36268641</v>
      </c>
      <c r="BE3076" s="87"/>
      <c r="BF3076" s="87"/>
      <c r="BG3076" s="87"/>
      <c r="BH3076" s="87"/>
      <c r="BI3076" s="87"/>
    </row>
    <row r="3077" spans="1:61" x14ac:dyDescent="0.25">
      <c r="A3077" s="63" t="s">
        <v>1159</v>
      </c>
      <c r="B3077" s="63" t="s">
        <v>1367</v>
      </c>
      <c r="C3077" s="64"/>
      <c r="D3077" s="65"/>
      <c r="E3077" s="66"/>
      <c r="F3077" s="67"/>
      <c r="G3077" s="64"/>
      <c r="H3077" s="68"/>
      <c r="I3077" s="69"/>
      <c r="J3077" s="69"/>
      <c r="K3077" s="32"/>
      <c r="L3077" s="76">
        <v>3077</v>
      </c>
      <c r="M3077" s="76"/>
      <c r="N3077" s="71"/>
      <c r="O3077" s="87" t="s">
        <v>1841</v>
      </c>
      <c r="P3077" s="90">
        <v>45190.832048611112</v>
      </c>
      <c r="Q3077" s="87" t="s">
        <v>2090</v>
      </c>
      <c r="R3077" s="87">
        <v>14</v>
      </c>
      <c r="S3077" s="87">
        <v>0</v>
      </c>
      <c r="T3077" s="87">
        <v>0</v>
      </c>
      <c r="U3077" s="87">
        <v>0</v>
      </c>
      <c r="V3077" s="87"/>
      <c r="W3077" s="93" t="s">
        <v>6034</v>
      </c>
      <c r="X3077" s="87"/>
      <c r="Y3077" s="87"/>
      <c r="Z3077" s="87" t="s">
        <v>1367</v>
      </c>
      <c r="AA3077" s="87"/>
      <c r="AB3077" s="87"/>
      <c r="AC3077" s="93" t="s">
        <v>11459</v>
      </c>
      <c r="AD3077" s="87" t="s">
        <v>11519</v>
      </c>
      <c r="AE3077" s="92" t="str">
        <f>HYPERLINK("https://twitter.com/raulluis09kkii/status/1704948148806823978")</f>
        <v>https://twitter.com/raulluis09kkii/status/1704948148806823978</v>
      </c>
      <c r="AF3077" s="90">
        <v>45190.832048611112</v>
      </c>
      <c r="AG3077" s="99">
        <v>45190</v>
      </c>
      <c r="AH3077" s="93" t="s">
        <v>14280</v>
      </c>
      <c r="AI3077" s="87"/>
      <c r="AJ3077" s="87"/>
      <c r="AK3077" s="87"/>
      <c r="AL3077" s="87"/>
      <c r="AM3077" s="87"/>
      <c r="AN3077" s="87"/>
      <c r="AO3077" s="87"/>
      <c r="AP3077" s="87"/>
      <c r="AQ3077" s="87"/>
      <c r="AR3077" s="87"/>
      <c r="AS3077" s="87"/>
      <c r="AT3077" s="87"/>
      <c r="AU3077" s="87"/>
      <c r="AV3077" s="92" t="str">
        <f>HYPERLINK("https://pbs.twimg.com/profile_images/1412855923362742277/xWPhZnc1_normal.jpg")</f>
        <v>https://pbs.twimg.com/profile_images/1412855923362742277/xWPhZnc1_normal.jpg</v>
      </c>
      <c r="AW3077" s="93" t="s">
        <v>21225</v>
      </c>
      <c r="AX3077" s="93" t="s">
        <v>21225</v>
      </c>
      <c r="AY3077" s="87"/>
      <c r="AZ3077" s="93" t="s">
        <v>22668</v>
      </c>
      <c r="BA3077" s="93" t="s">
        <v>22668</v>
      </c>
      <c r="BB3077" s="93" t="s">
        <v>21717</v>
      </c>
      <c r="BC3077" s="93" t="s">
        <v>21717</v>
      </c>
      <c r="BD3077" s="93" t="s">
        <v>23335</v>
      </c>
      <c r="BE3077" s="87"/>
      <c r="BF3077" s="87"/>
      <c r="BG3077" s="87"/>
      <c r="BH3077" s="87"/>
      <c r="BI3077" s="87"/>
    </row>
    <row r="3078" spans="1:61" x14ac:dyDescent="0.25">
      <c r="A3078" s="63" t="s">
        <v>1160</v>
      </c>
      <c r="B3078" s="63" t="s">
        <v>1160</v>
      </c>
      <c r="C3078" s="64"/>
      <c r="D3078" s="65"/>
      <c r="E3078" s="66"/>
      <c r="F3078" s="67"/>
      <c r="G3078" s="64"/>
      <c r="H3078" s="68"/>
      <c r="I3078" s="69"/>
      <c r="J3078" s="69"/>
      <c r="K3078" s="32"/>
      <c r="L3078" s="76">
        <v>3078</v>
      </c>
      <c r="M3078" s="76"/>
      <c r="N3078" s="71"/>
      <c r="O3078" s="87" t="s">
        <v>1840</v>
      </c>
      <c r="P3078" s="90">
        <v>45140.85833333333</v>
      </c>
      <c r="Q3078" s="87" t="s">
        <v>4777</v>
      </c>
      <c r="R3078" s="87">
        <v>0</v>
      </c>
      <c r="S3078" s="87">
        <v>0</v>
      </c>
      <c r="T3078" s="87">
        <v>0</v>
      </c>
      <c r="U3078" s="87">
        <v>0</v>
      </c>
      <c r="V3078" s="87">
        <v>30</v>
      </c>
      <c r="W3078" s="93" t="s">
        <v>7601</v>
      </c>
      <c r="X3078" s="87"/>
      <c r="Y3078" s="87"/>
      <c r="Z3078" s="87"/>
      <c r="AA3078" s="87"/>
      <c r="AB3078" s="87"/>
      <c r="AC3078" s="93" t="s">
        <v>11459</v>
      </c>
      <c r="AD3078" s="87" t="s">
        <v>11519</v>
      </c>
      <c r="AE3078" s="92" t="str">
        <f>HYPERLINK("https://twitter.com/gabriel1071883/status/1686838281357402112")</f>
        <v>https://twitter.com/gabriel1071883/status/1686838281357402112</v>
      </c>
      <c r="AF3078" s="90">
        <v>45140.85833333333</v>
      </c>
      <c r="AG3078" s="99">
        <v>45140</v>
      </c>
      <c r="AH3078" s="93" t="s">
        <v>14281</v>
      </c>
      <c r="AI3078" s="87"/>
      <c r="AJ3078" s="87"/>
      <c r="AK3078" s="87"/>
      <c r="AL3078" s="87"/>
      <c r="AM3078" s="87"/>
      <c r="AN3078" s="87"/>
      <c r="AO3078" s="87"/>
      <c r="AP3078" s="87"/>
      <c r="AQ3078" s="87"/>
      <c r="AR3078" s="87"/>
      <c r="AS3078" s="87"/>
      <c r="AT3078" s="87"/>
      <c r="AU3078" s="87"/>
      <c r="AV3078" s="92" t="str">
        <f>HYPERLINK("https://pbs.twimg.com/profile_images/1686413482801963009/YH4c4OCw_normal.jpg")</f>
        <v>https://pbs.twimg.com/profile_images/1686413482801963009/YH4c4OCw_normal.jpg</v>
      </c>
      <c r="AW3078" s="93" t="s">
        <v>21226</v>
      </c>
      <c r="AX3078" s="93" t="s">
        <v>22447</v>
      </c>
      <c r="AY3078" s="93" t="s">
        <v>22619</v>
      </c>
      <c r="AZ3078" s="93" t="s">
        <v>22447</v>
      </c>
      <c r="BA3078" s="93" t="s">
        <v>22668</v>
      </c>
      <c r="BB3078" s="93" t="s">
        <v>22668</v>
      </c>
      <c r="BC3078" s="93" t="s">
        <v>22447</v>
      </c>
      <c r="BD3078" s="93" t="s">
        <v>22619</v>
      </c>
      <c r="BE3078" s="87"/>
      <c r="BF3078" s="87"/>
      <c r="BG3078" s="87"/>
      <c r="BH3078" s="87"/>
      <c r="BI3078" s="87"/>
    </row>
    <row r="3079" spans="1:61" x14ac:dyDescent="0.25">
      <c r="A3079" s="63" t="s">
        <v>1161</v>
      </c>
      <c r="B3079" s="63" t="s">
        <v>1161</v>
      </c>
      <c r="C3079" s="64"/>
      <c r="D3079" s="65"/>
      <c r="E3079" s="66"/>
      <c r="F3079" s="67"/>
      <c r="G3079" s="64"/>
      <c r="H3079" s="68"/>
      <c r="I3079" s="69"/>
      <c r="J3079" s="69"/>
      <c r="K3079" s="32"/>
      <c r="L3079" s="76">
        <v>3079</v>
      </c>
      <c r="M3079" s="76"/>
      <c r="N3079" s="71"/>
      <c r="O3079" s="87" t="s">
        <v>179</v>
      </c>
      <c r="P3079" s="90">
        <v>45121.594027777777</v>
      </c>
      <c r="Q3079" s="87" t="s">
        <v>4778</v>
      </c>
      <c r="R3079" s="87">
        <v>0</v>
      </c>
      <c r="S3079" s="87">
        <v>0</v>
      </c>
      <c r="T3079" s="87">
        <v>0</v>
      </c>
      <c r="U3079" s="87">
        <v>0</v>
      </c>
      <c r="V3079" s="87">
        <v>31</v>
      </c>
      <c r="W3079" s="93" t="s">
        <v>7602</v>
      </c>
      <c r="X3079" s="87"/>
      <c r="Y3079" s="87"/>
      <c r="Z3079" s="87"/>
      <c r="AA3079" s="87" t="s">
        <v>10720</v>
      </c>
      <c r="AB3079" s="87" t="s">
        <v>11448</v>
      </c>
      <c r="AC3079" s="93" t="s">
        <v>11457</v>
      </c>
      <c r="AD3079" s="87" t="s">
        <v>11519</v>
      </c>
      <c r="AE3079" s="92" t="str">
        <f>HYPERLINK("https://twitter.com/fxbankbr/status/1679857130919149568")</f>
        <v>https://twitter.com/fxbankbr/status/1679857130919149568</v>
      </c>
      <c r="AF3079" s="90">
        <v>45121.594027777777</v>
      </c>
      <c r="AG3079" s="99">
        <v>45121</v>
      </c>
      <c r="AH3079" s="93" t="s">
        <v>14282</v>
      </c>
      <c r="AI3079" s="87" t="b">
        <v>0</v>
      </c>
      <c r="AJ3079" s="87"/>
      <c r="AK3079" s="87"/>
      <c r="AL3079" s="87"/>
      <c r="AM3079" s="87"/>
      <c r="AN3079" s="87"/>
      <c r="AO3079" s="87"/>
      <c r="AP3079" s="87"/>
      <c r="AQ3079" s="87" t="s">
        <v>17532</v>
      </c>
      <c r="AR3079" s="87"/>
      <c r="AS3079" s="87"/>
      <c r="AT3079" s="87"/>
      <c r="AU3079" s="87"/>
      <c r="AV3079" s="92" t="str">
        <f>HYPERLINK("https://pbs.twimg.com/media/F1ANBl8XsAMwIv8.jpg")</f>
        <v>https://pbs.twimg.com/media/F1ANBl8XsAMwIv8.jpg</v>
      </c>
      <c r="AW3079" s="93" t="s">
        <v>21227</v>
      </c>
      <c r="AX3079" s="93" t="s">
        <v>21227</v>
      </c>
      <c r="AY3079" s="87"/>
      <c r="AZ3079" s="93" t="s">
        <v>22668</v>
      </c>
      <c r="BA3079" s="93" t="s">
        <v>22668</v>
      </c>
      <c r="BB3079" s="93" t="s">
        <v>22668</v>
      </c>
      <c r="BC3079" s="93" t="s">
        <v>21227</v>
      </c>
      <c r="BD3079" s="93" t="s">
        <v>23336</v>
      </c>
      <c r="BE3079" s="87"/>
      <c r="BF3079" s="87"/>
      <c r="BG3079" s="87"/>
      <c r="BH3079" s="87"/>
      <c r="BI3079" s="87"/>
    </row>
    <row r="3080" spans="1:61" x14ac:dyDescent="0.25">
      <c r="A3080" s="63" t="s">
        <v>1161</v>
      </c>
      <c r="B3080" s="63" t="s">
        <v>1161</v>
      </c>
      <c r="C3080" s="64"/>
      <c r="D3080" s="65"/>
      <c r="E3080" s="66"/>
      <c r="F3080" s="67"/>
      <c r="G3080" s="64"/>
      <c r="H3080" s="68"/>
      <c r="I3080" s="69"/>
      <c r="J3080" s="69"/>
      <c r="K3080" s="32"/>
      <c r="L3080" s="76">
        <v>3080</v>
      </c>
      <c r="M3080" s="76"/>
      <c r="N3080" s="71"/>
      <c r="O3080" s="87" t="s">
        <v>179</v>
      </c>
      <c r="P3080" s="90">
        <v>45124.636203703703</v>
      </c>
      <c r="Q3080" s="87" t="s">
        <v>4779</v>
      </c>
      <c r="R3080" s="87">
        <v>0</v>
      </c>
      <c r="S3080" s="87">
        <v>0</v>
      </c>
      <c r="T3080" s="87">
        <v>0</v>
      </c>
      <c r="U3080" s="87">
        <v>0</v>
      </c>
      <c r="V3080" s="87">
        <v>26</v>
      </c>
      <c r="W3080" s="93" t="s">
        <v>7603</v>
      </c>
      <c r="X3080" s="87"/>
      <c r="Y3080" s="87"/>
      <c r="Z3080" s="87"/>
      <c r="AA3080" s="87" t="s">
        <v>10721</v>
      </c>
      <c r="AB3080" s="87" t="s">
        <v>11448</v>
      </c>
      <c r="AC3080" s="93" t="s">
        <v>11457</v>
      </c>
      <c r="AD3080" s="87" t="s">
        <v>11519</v>
      </c>
      <c r="AE3080" s="92" t="str">
        <f>HYPERLINK("https://twitter.com/fxbankbr/status/1680959575959191552")</f>
        <v>https://twitter.com/fxbankbr/status/1680959575959191552</v>
      </c>
      <c r="AF3080" s="90">
        <v>45124.636203703703</v>
      </c>
      <c r="AG3080" s="99">
        <v>45124</v>
      </c>
      <c r="AH3080" s="93" t="s">
        <v>14283</v>
      </c>
      <c r="AI3080" s="87" t="b">
        <v>0</v>
      </c>
      <c r="AJ3080" s="87"/>
      <c r="AK3080" s="87"/>
      <c r="AL3080" s="87"/>
      <c r="AM3080" s="87"/>
      <c r="AN3080" s="87"/>
      <c r="AO3080" s="87"/>
      <c r="AP3080" s="87"/>
      <c r="AQ3080" s="87" t="s">
        <v>17533</v>
      </c>
      <c r="AR3080" s="87"/>
      <c r="AS3080" s="87"/>
      <c r="AT3080" s="87"/>
      <c r="AU3080" s="87"/>
      <c r="AV3080" s="92" t="str">
        <f>HYPERLINK("https://pbs.twimg.com/media/F1P3mU9X0AIwaB5.jpg")</f>
        <v>https://pbs.twimg.com/media/F1P3mU9X0AIwaB5.jpg</v>
      </c>
      <c r="AW3080" s="93" t="s">
        <v>21228</v>
      </c>
      <c r="AX3080" s="93" t="s">
        <v>21228</v>
      </c>
      <c r="AY3080" s="87"/>
      <c r="AZ3080" s="93" t="s">
        <v>22668</v>
      </c>
      <c r="BA3080" s="93" t="s">
        <v>22668</v>
      </c>
      <c r="BB3080" s="93" t="s">
        <v>22668</v>
      </c>
      <c r="BC3080" s="93" t="s">
        <v>21228</v>
      </c>
      <c r="BD3080" s="93" t="s">
        <v>23336</v>
      </c>
      <c r="BE3080" s="87"/>
      <c r="BF3080" s="87"/>
      <c r="BG3080" s="87"/>
      <c r="BH3080" s="87"/>
      <c r="BI3080" s="87"/>
    </row>
    <row r="3081" spans="1:61" x14ac:dyDescent="0.25">
      <c r="A3081" s="63" t="s">
        <v>1162</v>
      </c>
      <c r="B3081" s="63" t="s">
        <v>1162</v>
      </c>
      <c r="C3081" s="64"/>
      <c r="D3081" s="65"/>
      <c r="E3081" s="66"/>
      <c r="F3081" s="67"/>
      <c r="G3081" s="64"/>
      <c r="H3081" s="68"/>
      <c r="I3081" s="69"/>
      <c r="J3081" s="69"/>
      <c r="K3081" s="32"/>
      <c r="L3081" s="76">
        <v>3081</v>
      </c>
      <c r="M3081" s="76"/>
      <c r="N3081" s="71"/>
      <c r="O3081" s="87" t="s">
        <v>179</v>
      </c>
      <c r="P3081" s="90">
        <v>45195.653622685182</v>
      </c>
      <c r="Q3081" s="87" t="s">
        <v>4780</v>
      </c>
      <c r="R3081" s="87">
        <v>0</v>
      </c>
      <c r="S3081" s="87">
        <v>0</v>
      </c>
      <c r="T3081" s="87">
        <v>1</v>
      </c>
      <c r="U3081" s="87">
        <v>0</v>
      </c>
      <c r="V3081" s="87">
        <v>38</v>
      </c>
      <c r="W3081" s="93" t="s">
        <v>5897</v>
      </c>
      <c r="X3081" s="87"/>
      <c r="Y3081" s="87"/>
      <c r="Z3081" s="87"/>
      <c r="AA3081" s="87"/>
      <c r="AB3081" s="87"/>
      <c r="AC3081" s="93" t="s">
        <v>11457</v>
      </c>
      <c r="AD3081" s="87" t="s">
        <v>11519</v>
      </c>
      <c r="AE3081" s="92" t="str">
        <f>HYPERLINK("https://twitter.com/itamar_borges/status/1706695429209944566")</f>
        <v>https://twitter.com/itamar_borges/status/1706695429209944566</v>
      </c>
      <c r="AF3081" s="90">
        <v>45195.653622685182</v>
      </c>
      <c r="AG3081" s="99">
        <v>45195</v>
      </c>
      <c r="AH3081" s="93" t="s">
        <v>14284</v>
      </c>
      <c r="AI3081" s="87"/>
      <c r="AJ3081" s="87"/>
      <c r="AK3081" s="87"/>
      <c r="AL3081" s="87"/>
      <c r="AM3081" s="87"/>
      <c r="AN3081" s="87"/>
      <c r="AO3081" s="87"/>
      <c r="AP3081" s="87"/>
      <c r="AQ3081" s="87"/>
      <c r="AR3081" s="87"/>
      <c r="AS3081" s="87"/>
      <c r="AT3081" s="87"/>
      <c r="AU3081" s="87"/>
      <c r="AV3081" s="92" t="str">
        <f>HYPERLINK("https://pbs.twimg.com/profile_images/1632805277773774853/42EwgHf5_normal.jpg")</f>
        <v>https://pbs.twimg.com/profile_images/1632805277773774853/42EwgHf5_normal.jpg</v>
      </c>
      <c r="AW3081" s="93" t="s">
        <v>21229</v>
      </c>
      <c r="AX3081" s="93" t="s">
        <v>21229</v>
      </c>
      <c r="AY3081" s="87"/>
      <c r="AZ3081" s="93" t="s">
        <v>22668</v>
      </c>
      <c r="BA3081" s="93" t="s">
        <v>22668</v>
      </c>
      <c r="BB3081" s="93" t="s">
        <v>22668</v>
      </c>
      <c r="BC3081" s="93" t="s">
        <v>21229</v>
      </c>
      <c r="BD3081" s="87">
        <v>64785948</v>
      </c>
      <c r="BE3081" s="87"/>
      <c r="BF3081" s="87"/>
      <c r="BG3081" s="87"/>
      <c r="BH3081" s="87"/>
      <c r="BI3081" s="87"/>
    </row>
    <row r="3082" spans="1:61" x14ac:dyDescent="0.25">
      <c r="A3082" s="63" t="s">
        <v>1163</v>
      </c>
      <c r="B3082" s="63" t="s">
        <v>1163</v>
      </c>
      <c r="C3082" s="64"/>
      <c r="D3082" s="65"/>
      <c r="E3082" s="66"/>
      <c r="F3082" s="67"/>
      <c r="G3082" s="64"/>
      <c r="H3082" s="68"/>
      <c r="I3082" s="69"/>
      <c r="J3082" s="69"/>
      <c r="K3082" s="32"/>
      <c r="L3082" s="76">
        <v>3082</v>
      </c>
      <c r="M3082" s="76"/>
      <c r="N3082" s="71"/>
      <c r="O3082" s="87" t="s">
        <v>179</v>
      </c>
      <c r="P3082" s="90">
        <v>45176.758530092593</v>
      </c>
      <c r="Q3082" s="87" t="s">
        <v>4781</v>
      </c>
      <c r="R3082" s="87">
        <v>0</v>
      </c>
      <c r="S3082" s="87">
        <v>0</v>
      </c>
      <c r="T3082" s="87">
        <v>1</v>
      </c>
      <c r="U3082" s="87">
        <v>0</v>
      </c>
      <c r="V3082" s="87">
        <v>269</v>
      </c>
      <c r="W3082" s="93" t="s">
        <v>7604</v>
      </c>
      <c r="X3082" s="87"/>
      <c r="Y3082" s="87"/>
      <c r="Z3082" s="87"/>
      <c r="AA3082" s="87" t="s">
        <v>10722</v>
      </c>
      <c r="AB3082" s="87" t="s">
        <v>11447</v>
      </c>
      <c r="AC3082" s="93" t="s">
        <v>11458</v>
      </c>
      <c r="AD3082" s="87" t="s">
        <v>11519</v>
      </c>
      <c r="AE3082" s="92" t="str">
        <f>HYPERLINK("https://twitter.com/xscavuzzi/status/1699848076817523103")</f>
        <v>https://twitter.com/xscavuzzi/status/1699848076817523103</v>
      </c>
      <c r="AF3082" s="90">
        <v>45176.758530092593</v>
      </c>
      <c r="AG3082" s="99">
        <v>45176</v>
      </c>
      <c r="AH3082" s="93" t="s">
        <v>14285</v>
      </c>
      <c r="AI3082" s="87" t="b">
        <v>0</v>
      </c>
      <c r="AJ3082" s="87"/>
      <c r="AK3082" s="87"/>
      <c r="AL3082" s="87"/>
      <c r="AM3082" s="87"/>
      <c r="AN3082" s="87"/>
      <c r="AO3082" s="87"/>
      <c r="AP3082" s="87"/>
      <c r="AQ3082" s="87" t="s">
        <v>17534</v>
      </c>
      <c r="AR3082" s="87">
        <v>26366</v>
      </c>
      <c r="AS3082" s="87"/>
      <c r="AT3082" s="87"/>
      <c r="AU3082" s="87"/>
      <c r="AV3082" s="92" t="str">
        <f>HYPERLINK("https://pbs.twimg.com/ext_tw_video_thumb/1699847972819726336/pu/img/PujizBIs6CwU171x.jpg")</f>
        <v>https://pbs.twimg.com/ext_tw_video_thumb/1699847972819726336/pu/img/PujizBIs6CwU171x.jpg</v>
      </c>
      <c r="AW3082" s="93" t="s">
        <v>21230</v>
      </c>
      <c r="AX3082" s="93" t="s">
        <v>21230</v>
      </c>
      <c r="AY3082" s="87"/>
      <c r="AZ3082" s="93" t="s">
        <v>22668</v>
      </c>
      <c r="BA3082" s="93" t="s">
        <v>22668</v>
      </c>
      <c r="BB3082" s="93" t="s">
        <v>22668</v>
      </c>
      <c r="BC3082" s="93" t="s">
        <v>21230</v>
      </c>
      <c r="BD3082" s="87">
        <v>718250155</v>
      </c>
      <c r="BE3082" s="87"/>
      <c r="BF3082" s="87"/>
      <c r="BG3082" s="87"/>
      <c r="BH3082" s="87"/>
      <c r="BI3082" s="87"/>
    </row>
    <row r="3083" spans="1:61" x14ac:dyDescent="0.25">
      <c r="A3083" s="63" t="s">
        <v>1163</v>
      </c>
      <c r="B3083" s="63" t="s">
        <v>1163</v>
      </c>
      <c r="C3083" s="64"/>
      <c r="D3083" s="65"/>
      <c r="E3083" s="66"/>
      <c r="F3083" s="67"/>
      <c r="G3083" s="64"/>
      <c r="H3083" s="68"/>
      <c r="I3083" s="69"/>
      <c r="J3083" s="69"/>
      <c r="K3083" s="32"/>
      <c r="L3083" s="76">
        <v>3083</v>
      </c>
      <c r="M3083" s="76"/>
      <c r="N3083" s="71"/>
      <c r="O3083" s="87" t="s">
        <v>179</v>
      </c>
      <c r="P3083" s="90">
        <v>45175.144189814811</v>
      </c>
      <c r="Q3083" s="87" t="s">
        <v>4782</v>
      </c>
      <c r="R3083" s="87">
        <v>0</v>
      </c>
      <c r="S3083" s="87">
        <v>0</v>
      </c>
      <c r="T3083" s="87">
        <v>0</v>
      </c>
      <c r="U3083" s="87">
        <v>0</v>
      </c>
      <c r="V3083" s="87">
        <v>79</v>
      </c>
      <c r="W3083" s="93" t="s">
        <v>7604</v>
      </c>
      <c r="X3083" s="87"/>
      <c r="Y3083" s="87"/>
      <c r="Z3083" s="87"/>
      <c r="AA3083" s="87" t="s">
        <v>10723</v>
      </c>
      <c r="AB3083" s="87" t="s">
        <v>11448</v>
      </c>
      <c r="AC3083" s="93" t="s">
        <v>11458</v>
      </c>
      <c r="AD3083" s="87" t="s">
        <v>11519</v>
      </c>
      <c r="AE3083" s="92" t="str">
        <f>HYPERLINK("https://twitter.com/xscavuzzi/status/1699263057078173975")</f>
        <v>https://twitter.com/xscavuzzi/status/1699263057078173975</v>
      </c>
      <c r="AF3083" s="90">
        <v>45175.144189814811</v>
      </c>
      <c r="AG3083" s="99">
        <v>45175</v>
      </c>
      <c r="AH3083" s="93" t="s">
        <v>14286</v>
      </c>
      <c r="AI3083" s="87" t="b">
        <v>0</v>
      </c>
      <c r="AJ3083" s="87"/>
      <c r="AK3083" s="87"/>
      <c r="AL3083" s="87"/>
      <c r="AM3083" s="87"/>
      <c r="AN3083" s="87"/>
      <c r="AO3083" s="87"/>
      <c r="AP3083" s="87"/>
      <c r="AQ3083" s="87" t="s">
        <v>17535</v>
      </c>
      <c r="AR3083" s="87"/>
      <c r="AS3083" s="87"/>
      <c r="AT3083" s="87"/>
      <c r="AU3083" s="87"/>
      <c r="AV3083" s="92" t="str">
        <f>HYPERLINK("https://pbs.twimg.com/media/F5T-vgmXMAAysD-.jpg")</f>
        <v>https://pbs.twimg.com/media/F5T-vgmXMAAysD-.jpg</v>
      </c>
      <c r="AW3083" s="93" t="s">
        <v>21231</v>
      </c>
      <c r="AX3083" s="93" t="s">
        <v>21231</v>
      </c>
      <c r="AY3083" s="87"/>
      <c r="AZ3083" s="93" t="s">
        <v>22668</v>
      </c>
      <c r="BA3083" s="93" t="s">
        <v>22668</v>
      </c>
      <c r="BB3083" s="93" t="s">
        <v>22668</v>
      </c>
      <c r="BC3083" s="93" t="s">
        <v>21231</v>
      </c>
      <c r="BD3083" s="87">
        <v>718250155</v>
      </c>
      <c r="BE3083" s="87"/>
      <c r="BF3083" s="87"/>
      <c r="BG3083" s="87"/>
      <c r="BH3083" s="87"/>
      <c r="BI3083" s="87"/>
    </row>
    <row r="3084" spans="1:61" x14ac:dyDescent="0.25">
      <c r="A3084" s="63" t="s">
        <v>1163</v>
      </c>
      <c r="B3084" s="63" t="s">
        <v>1163</v>
      </c>
      <c r="C3084" s="64"/>
      <c r="D3084" s="65"/>
      <c r="E3084" s="66"/>
      <c r="F3084" s="67"/>
      <c r="G3084" s="64"/>
      <c r="H3084" s="68"/>
      <c r="I3084" s="69"/>
      <c r="J3084" s="69"/>
      <c r="K3084" s="32"/>
      <c r="L3084" s="76">
        <v>3084</v>
      </c>
      <c r="M3084" s="76"/>
      <c r="N3084" s="71"/>
      <c r="O3084" s="87" t="s">
        <v>179</v>
      </c>
      <c r="P3084" s="90">
        <v>45173.997361111113</v>
      </c>
      <c r="Q3084" s="87" t="s">
        <v>4783</v>
      </c>
      <c r="R3084" s="87">
        <v>0</v>
      </c>
      <c r="S3084" s="87">
        <v>0</v>
      </c>
      <c r="T3084" s="87">
        <v>2</v>
      </c>
      <c r="U3084" s="87">
        <v>0</v>
      </c>
      <c r="V3084" s="87">
        <v>302</v>
      </c>
      <c r="W3084" s="93" t="s">
        <v>7605</v>
      </c>
      <c r="X3084" s="87"/>
      <c r="Y3084" s="87"/>
      <c r="Z3084" s="87"/>
      <c r="AA3084" s="87" t="s">
        <v>10724</v>
      </c>
      <c r="AB3084" s="87" t="s">
        <v>11447</v>
      </c>
      <c r="AC3084" s="93" t="s">
        <v>11458</v>
      </c>
      <c r="AD3084" s="87" t="s">
        <v>11519</v>
      </c>
      <c r="AE3084" s="92" t="str">
        <f>HYPERLINK("https://twitter.com/xscavuzzi/status/1698847460754395455")</f>
        <v>https://twitter.com/xscavuzzi/status/1698847460754395455</v>
      </c>
      <c r="AF3084" s="90">
        <v>45173.997361111113</v>
      </c>
      <c r="AG3084" s="99">
        <v>45173</v>
      </c>
      <c r="AH3084" s="93" t="s">
        <v>14287</v>
      </c>
      <c r="AI3084" s="87" t="b">
        <v>0</v>
      </c>
      <c r="AJ3084" s="87"/>
      <c r="AK3084" s="87"/>
      <c r="AL3084" s="87"/>
      <c r="AM3084" s="87"/>
      <c r="AN3084" s="87"/>
      <c r="AO3084" s="87"/>
      <c r="AP3084" s="87"/>
      <c r="AQ3084" s="87" t="s">
        <v>17536</v>
      </c>
      <c r="AR3084" s="87">
        <v>42600</v>
      </c>
      <c r="AS3084" s="87"/>
      <c r="AT3084" s="87"/>
      <c r="AU3084" s="87"/>
      <c r="AV3084" s="92" t="str">
        <f>HYPERLINK("https://pbs.twimg.com/ext_tw_video_thumb/1698847128758464512/pu/img/Ry34bC-pgSpuQ1Ae.jpg")</f>
        <v>https://pbs.twimg.com/ext_tw_video_thumb/1698847128758464512/pu/img/Ry34bC-pgSpuQ1Ae.jpg</v>
      </c>
      <c r="AW3084" s="93" t="s">
        <v>21232</v>
      </c>
      <c r="AX3084" s="93" t="s">
        <v>21232</v>
      </c>
      <c r="AY3084" s="87"/>
      <c r="AZ3084" s="93" t="s">
        <v>22668</v>
      </c>
      <c r="BA3084" s="93" t="s">
        <v>22668</v>
      </c>
      <c r="BB3084" s="93" t="s">
        <v>22668</v>
      </c>
      <c r="BC3084" s="93" t="s">
        <v>21232</v>
      </c>
      <c r="BD3084" s="87">
        <v>718250155</v>
      </c>
      <c r="BE3084" s="87"/>
      <c r="BF3084" s="87"/>
      <c r="BG3084" s="87"/>
      <c r="BH3084" s="87"/>
      <c r="BI3084" s="87"/>
    </row>
    <row r="3085" spans="1:61" x14ac:dyDescent="0.25">
      <c r="A3085" s="63" t="s">
        <v>1164</v>
      </c>
      <c r="B3085" s="63" t="s">
        <v>1164</v>
      </c>
      <c r="C3085" s="64"/>
      <c r="D3085" s="65"/>
      <c r="E3085" s="66"/>
      <c r="F3085" s="67"/>
      <c r="G3085" s="64"/>
      <c r="H3085" s="68"/>
      <c r="I3085" s="69"/>
      <c r="J3085" s="69"/>
      <c r="K3085" s="32"/>
      <c r="L3085" s="76">
        <v>3085</v>
      </c>
      <c r="M3085" s="76"/>
      <c r="N3085" s="71"/>
      <c r="O3085" s="87" t="s">
        <v>179</v>
      </c>
      <c r="P3085" s="90">
        <v>45161.639814814815</v>
      </c>
      <c r="Q3085" s="87" t="s">
        <v>4784</v>
      </c>
      <c r="R3085" s="87">
        <v>0</v>
      </c>
      <c r="S3085" s="87">
        <v>1</v>
      </c>
      <c r="T3085" s="87">
        <v>0</v>
      </c>
      <c r="U3085" s="87">
        <v>0</v>
      </c>
      <c r="V3085" s="87">
        <v>4</v>
      </c>
      <c r="W3085" s="93" t="s">
        <v>7606</v>
      </c>
      <c r="X3085" s="87"/>
      <c r="Y3085" s="87"/>
      <c r="Z3085" s="87"/>
      <c r="AA3085" s="87"/>
      <c r="AB3085" s="87"/>
      <c r="AC3085" s="93" t="s">
        <v>11457</v>
      </c>
      <c r="AD3085" s="87" t="s">
        <v>11519</v>
      </c>
      <c r="AE3085" s="92" t="str">
        <f>HYPERLINK("https://twitter.com/omelhortrato/status/1694369237618299085")</f>
        <v>https://twitter.com/omelhortrato/status/1694369237618299085</v>
      </c>
      <c r="AF3085" s="90">
        <v>45161.639814814815</v>
      </c>
      <c r="AG3085" s="99">
        <v>45161</v>
      </c>
      <c r="AH3085" s="93" t="s">
        <v>14288</v>
      </c>
      <c r="AI3085" s="87"/>
      <c r="AJ3085" s="87"/>
      <c r="AK3085" s="87"/>
      <c r="AL3085" s="87"/>
      <c r="AM3085" s="87"/>
      <c r="AN3085" s="87"/>
      <c r="AO3085" s="87"/>
      <c r="AP3085" s="87"/>
      <c r="AQ3085" s="87"/>
      <c r="AR3085" s="87"/>
      <c r="AS3085" s="87"/>
      <c r="AT3085" s="87"/>
      <c r="AU3085" s="87"/>
      <c r="AV3085" s="92" t="str">
        <f>HYPERLINK("https://pbs.twimg.com/profile_images/1651260635496235012/kmEJ-XO6_normal.png")</f>
        <v>https://pbs.twimg.com/profile_images/1651260635496235012/kmEJ-XO6_normal.png</v>
      </c>
      <c r="AW3085" s="93" t="s">
        <v>21233</v>
      </c>
      <c r="AX3085" s="93" t="s">
        <v>21233</v>
      </c>
      <c r="AY3085" s="87"/>
      <c r="AZ3085" s="93" t="s">
        <v>22668</v>
      </c>
      <c r="BA3085" s="93" t="s">
        <v>22668</v>
      </c>
      <c r="BB3085" s="93" t="s">
        <v>22668</v>
      </c>
      <c r="BC3085" s="93" t="s">
        <v>21233</v>
      </c>
      <c r="BD3085" s="93" t="s">
        <v>23337</v>
      </c>
      <c r="BE3085" s="87"/>
      <c r="BF3085" s="87"/>
      <c r="BG3085" s="87"/>
      <c r="BH3085" s="87"/>
      <c r="BI3085" s="87"/>
    </row>
    <row r="3086" spans="1:61" x14ac:dyDescent="0.25">
      <c r="A3086" s="63" t="s">
        <v>1165</v>
      </c>
      <c r="B3086" s="63" t="s">
        <v>1165</v>
      </c>
      <c r="C3086" s="64"/>
      <c r="D3086" s="65"/>
      <c r="E3086" s="66"/>
      <c r="F3086" s="67"/>
      <c r="G3086" s="64"/>
      <c r="H3086" s="68"/>
      <c r="I3086" s="69"/>
      <c r="J3086" s="69"/>
      <c r="K3086" s="32"/>
      <c r="L3086" s="76">
        <v>3086</v>
      </c>
      <c r="M3086" s="76"/>
      <c r="N3086" s="71"/>
      <c r="O3086" s="87" t="s">
        <v>179</v>
      </c>
      <c r="P3086" s="90">
        <v>45161.983518518522</v>
      </c>
      <c r="Q3086" s="87" t="s">
        <v>4785</v>
      </c>
      <c r="R3086" s="87">
        <v>0</v>
      </c>
      <c r="S3086" s="87">
        <v>2</v>
      </c>
      <c r="T3086" s="87">
        <v>0</v>
      </c>
      <c r="U3086" s="87">
        <v>0</v>
      </c>
      <c r="V3086" s="87">
        <v>41</v>
      </c>
      <c r="W3086" s="93" t="s">
        <v>7607</v>
      </c>
      <c r="X3086" s="92" t="str">
        <f>HYPERLINK("https://coopsparty.com.br/")</f>
        <v>https://coopsparty.com.br/</v>
      </c>
      <c r="Y3086" s="87" t="s">
        <v>8373</v>
      </c>
      <c r="Z3086" s="87"/>
      <c r="AA3086" s="87" t="s">
        <v>10725</v>
      </c>
      <c r="AB3086" s="87" t="s">
        <v>11447</v>
      </c>
      <c r="AC3086" s="93" t="s">
        <v>11462</v>
      </c>
      <c r="AD3086" s="87" t="s">
        <v>11519</v>
      </c>
      <c r="AE3086" s="92" t="str">
        <f>HYPERLINK("https://twitter.com/mundocoop/status/1694493790470300100")</f>
        <v>https://twitter.com/mundocoop/status/1694493790470300100</v>
      </c>
      <c r="AF3086" s="90">
        <v>45161.983518518522</v>
      </c>
      <c r="AG3086" s="99">
        <v>45161</v>
      </c>
      <c r="AH3086" s="93" t="s">
        <v>14289</v>
      </c>
      <c r="AI3086" s="87" t="b">
        <v>0</v>
      </c>
      <c r="AJ3086" s="87"/>
      <c r="AK3086" s="87"/>
      <c r="AL3086" s="87"/>
      <c r="AM3086" s="87"/>
      <c r="AN3086" s="87"/>
      <c r="AO3086" s="87"/>
      <c r="AP3086" s="87"/>
      <c r="AQ3086" s="87" t="s">
        <v>17537</v>
      </c>
      <c r="AR3086" s="87">
        <v>59133</v>
      </c>
      <c r="AS3086" s="87"/>
      <c r="AT3086" s="87"/>
      <c r="AU3086" s="87"/>
      <c r="AV3086" s="92" t="str">
        <f>HYPERLINK("https://pbs.twimg.com/ext_tw_video_thumb/1694493734312804352/pu/img/SEBrkSA4nL-0QE6g.jpg")</f>
        <v>https://pbs.twimg.com/ext_tw_video_thumb/1694493734312804352/pu/img/SEBrkSA4nL-0QE6g.jpg</v>
      </c>
      <c r="AW3086" s="93" t="s">
        <v>21234</v>
      </c>
      <c r="AX3086" s="93" t="s">
        <v>21234</v>
      </c>
      <c r="AY3086" s="87"/>
      <c r="AZ3086" s="93" t="s">
        <v>22668</v>
      </c>
      <c r="BA3086" s="93" t="s">
        <v>22668</v>
      </c>
      <c r="BB3086" s="93" t="s">
        <v>22668</v>
      </c>
      <c r="BC3086" s="93" t="s">
        <v>21234</v>
      </c>
      <c r="BD3086" s="87">
        <v>70493540</v>
      </c>
      <c r="BE3086" s="87"/>
      <c r="BF3086" s="87"/>
      <c r="BG3086" s="87"/>
      <c r="BH3086" s="87"/>
      <c r="BI3086" s="87"/>
    </row>
    <row r="3087" spans="1:61" x14ac:dyDescent="0.25">
      <c r="A3087" s="63" t="s">
        <v>1166</v>
      </c>
      <c r="B3087" s="63" t="s">
        <v>1166</v>
      </c>
      <c r="C3087" s="64"/>
      <c r="D3087" s="65"/>
      <c r="E3087" s="66"/>
      <c r="F3087" s="67"/>
      <c r="G3087" s="64"/>
      <c r="H3087" s="68"/>
      <c r="I3087" s="69"/>
      <c r="J3087" s="69"/>
      <c r="K3087" s="32"/>
      <c r="L3087" s="76">
        <v>3087</v>
      </c>
      <c r="M3087" s="76"/>
      <c r="N3087" s="71"/>
      <c r="O3087" s="87" t="s">
        <v>179</v>
      </c>
      <c r="P3087" s="90">
        <v>45178.01803240741</v>
      </c>
      <c r="Q3087" s="87" t="s">
        <v>4786</v>
      </c>
      <c r="R3087" s="87">
        <v>0</v>
      </c>
      <c r="S3087" s="87">
        <v>1</v>
      </c>
      <c r="T3087" s="87">
        <v>0</v>
      </c>
      <c r="U3087" s="87">
        <v>0</v>
      </c>
      <c r="V3087" s="87">
        <v>8</v>
      </c>
      <c r="W3087" s="93" t="s">
        <v>7608</v>
      </c>
      <c r="X3087" s="92" t="str">
        <f>HYPERLINK("https://bit.ly/3P7YaM9")</f>
        <v>https://bit.ly/3P7YaM9</v>
      </c>
      <c r="Y3087" s="87" t="s">
        <v>8374</v>
      </c>
      <c r="Z3087" s="87"/>
      <c r="AA3087" s="87" t="s">
        <v>10726</v>
      </c>
      <c r="AB3087" s="87" t="s">
        <v>11448</v>
      </c>
      <c r="AC3087" s="93" t="s">
        <v>11457</v>
      </c>
      <c r="AD3087" s="87" t="s">
        <v>11519</v>
      </c>
      <c r="AE3087" s="92" t="str">
        <f>HYPERLINK("https://twitter.com/literarysink/status/1700304505806467365")</f>
        <v>https://twitter.com/literarysink/status/1700304505806467365</v>
      </c>
      <c r="AF3087" s="90">
        <v>45178.01803240741</v>
      </c>
      <c r="AG3087" s="99">
        <v>45178</v>
      </c>
      <c r="AH3087" s="93" t="s">
        <v>14290</v>
      </c>
      <c r="AI3087" s="87" t="b">
        <v>0</v>
      </c>
      <c r="AJ3087" s="87"/>
      <c r="AK3087" s="87"/>
      <c r="AL3087" s="87"/>
      <c r="AM3087" s="87"/>
      <c r="AN3087" s="87"/>
      <c r="AO3087" s="87"/>
      <c r="AP3087" s="87"/>
      <c r="AQ3087" s="87" t="s">
        <v>17538</v>
      </c>
      <c r="AR3087" s="87"/>
      <c r="AS3087" s="87"/>
      <c r="AT3087" s="87"/>
      <c r="AU3087" s="87"/>
      <c r="AV3087" s="92" t="str">
        <f>HYPERLINK("https://pbs.twimg.com/media/F5ixOJZWgAAEZxi.jpg")</f>
        <v>https://pbs.twimg.com/media/F5ixOJZWgAAEZxi.jpg</v>
      </c>
      <c r="AW3087" s="93" t="s">
        <v>21235</v>
      </c>
      <c r="AX3087" s="93" t="s">
        <v>21235</v>
      </c>
      <c r="AY3087" s="87"/>
      <c r="AZ3087" s="93" t="s">
        <v>22668</v>
      </c>
      <c r="BA3087" s="93" t="s">
        <v>22668</v>
      </c>
      <c r="BB3087" s="93" t="s">
        <v>22668</v>
      </c>
      <c r="BC3087" s="93" t="s">
        <v>21235</v>
      </c>
      <c r="BD3087" s="93" t="s">
        <v>23338</v>
      </c>
      <c r="BE3087" s="87"/>
      <c r="BF3087" s="87"/>
      <c r="BG3087" s="87"/>
      <c r="BH3087" s="87"/>
      <c r="BI3087" s="87"/>
    </row>
    <row r="3088" spans="1:61" x14ac:dyDescent="0.25">
      <c r="A3088" s="63" t="s">
        <v>1167</v>
      </c>
      <c r="B3088" s="63" t="s">
        <v>1167</v>
      </c>
      <c r="C3088" s="64"/>
      <c r="D3088" s="65"/>
      <c r="E3088" s="66"/>
      <c r="F3088" s="67"/>
      <c r="G3088" s="64"/>
      <c r="H3088" s="68"/>
      <c r="I3088" s="69"/>
      <c r="J3088" s="69"/>
      <c r="K3088" s="32"/>
      <c r="L3088" s="76">
        <v>3088</v>
      </c>
      <c r="M3088" s="76"/>
      <c r="N3088" s="71"/>
      <c r="O3088" s="87" t="s">
        <v>179</v>
      </c>
      <c r="P3088" s="90">
        <v>45141.025810185187</v>
      </c>
      <c r="Q3088" s="87" t="s">
        <v>4787</v>
      </c>
      <c r="R3088" s="87">
        <v>0</v>
      </c>
      <c r="S3088" s="87">
        <v>0</v>
      </c>
      <c r="T3088" s="87">
        <v>0</v>
      </c>
      <c r="U3088" s="87">
        <v>0</v>
      </c>
      <c r="V3088" s="87">
        <v>3</v>
      </c>
      <c r="W3088" s="93" t="s">
        <v>7609</v>
      </c>
      <c r="X3088" s="87"/>
      <c r="Y3088" s="87"/>
      <c r="Z3088" s="87"/>
      <c r="AA3088" s="87"/>
      <c r="AB3088" s="87"/>
      <c r="AC3088" s="93" t="s">
        <v>11459</v>
      </c>
      <c r="AD3088" s="87" t="s">
        <v>11519</v>
      </c>
      <c r="AE3088" s="92" t="str">
        <f>HYPERLINK("https://twitter.com/vini_rocha2001/status/1686898970402918400")</f>
        <v>https://twitter.com/vini_rocha2001/status/1686898970402918400</v>
      </c>
      <c r="AF3088" s="90">
        <v>45141.025810185187</v>
      </c>
      <c r="AG3088" s="99">
        <v>45141</v>
      </c>
      <c r="AH3088" s="93" t="s">
        <v>14291</v>
      </c>
      <c r="AI3088" s="87"/>
      <c r="AJ3088" s="87"/>
      <c r="AK3088" s="87"/>
      <c r="AL3088" s="87"/>
      <c r="AM3088" s="87"/>
      <c r="AN3088" s="87"/>
      <c r="AO3088" s="87"/>
      <c r="AP3088" s="87"/>
      <c r="AQ3088" s="87"/>
      <c r="AR3088" s="87"/>
      <c r="AS3088" s="87"/>
      <c r="AT3088" s="87"/>
      <c r="AU3088" s="87"/>
      <c r="AV3088" s="92" t="str">
        <f>HYPERLINK("https://pbs.twimg.com/profile_images/1587177149299150850/2rd3dTAn_normal.jpg")</f>
        <v>https://pbs.twimg.com/profile_images/1587177149299150850/2rd3dTAn_normal.jpg</v>
      </c>
      <c r="AW3088" s="93" t="s">
        <v>21236</v>
      </c>
      <c r="AX3088" s="93" t="s">
        <v>21236</v>
      </c>
      <c r="AY3088" s="87"/>
      <c r="AZ3088" s="93" t="s">
        <v>22668</v>
      </c>
      <c r="BA3088" s="93" t="s">
        <v>22668</v>
      </c>
      <c r="BB3088" s="93" t="s">
        <v>22668</v>
      </c>
      <c r="BC3088" s="93" t="s">
        <v>21236</v>
      </c>
      <c r="BD3088" s="93" t="s">
        <v>23339</v>
      </c>
      <c r="BE3088" s="87"/>
      <c r="BF3088" s="87"/>
      <c r="BG3088" s="87"/>
      <c r="BH3088" s="87"/>
      <c r="BI3088" s="87"/>
    </row>
    <row r="3089" spans="1:61" x14ac:dyDescent="0.25">
      <c r="A3089" s="63" t="s">
        <v>1168</v>
      </c>
      <c r="B3089" s="63" t="s">
        <v>1168</v>
      </c>
      <c r="C3089" s="64"/>
      <c r="D3089" s="65"/>
      <c r="E3089" s="66"/>
      <c r="F3089" s="67"/>
      <c r="G3089" s="64"/>
      <c r="H3089" s="68"/>
      <c r="I3089" s="69"/>
      <c r="J3089" s="69"/>
      <c r="K3089" s="32"/>
      <c r="L3089" s="76">
        <v>3089</v>
      </c>
      <c r="M3089" s="76"/>
      <c r="N3089" s="71"/>
      <c r="O3089" s="87" t="s">
        <v>179</v>
      </c>
      <c r="P3089" s="90">
        <v>45120.887766203705</v>
      </c>
      <c r="Q3089" s="87" t="s">
        <v>4788</v>
      </c>
      <c r="R3089" s="87">
        <v>0</v>
      </c>
      <c r="S3089" s="87">
        <v>8</v>
      </c>
      <c r="T3089" s="87">
        <v>2</v>
      </c>
      <c r="U3089" s="87">
        <v>0</v>
      </c>
      <c r="V3089" s="87">
        <v>254</v>
      </c>
      <c r="W3089" s="93" t="s">
        <v>7610</v>
      </c>
      <c r="X3089" s="87"/>
      <c r="Y3089" s="87"/>
      <c r="Z3089" s="87"/>
      <c r="AA3089" s="87" t="s">
        <v>10727</v>
      </c>
      <c r="AB3089" s="87" t="s">
        <v>11448</v>
      </c>
      <c r="AC3089" s="93" t="s">
        <v>11458</v>
      </c>
      <c r="AD3089" s="87" t="s">
        <v>11523</v>
      </c>
      <c r="AE3089" s="92" t="str">
        <f>HYPERLINK("https://twitter.com/audifaz_/status/1679601189246099457")</f>
        <v>https://twitter.com/audifaz_/status/1679601189246099457</v>
      </c>
      <c r="AF3089" s="90">
        <v>45120.887766203705</v>
      </c>
      <c r="AG3089" s="99">
        <v>45120</v>
      </c>
      <c r="AH3089" s="93" t="s">
        <v>14292</v>
      </c>
      <c r="AI3089" s="87" t="b">
        <v>0</v>
      </c>
      <c r="AJ3089" s="87"/>
      <c r="AK3089" s="87"/>
      <c r="AL3089" s="87"/>
      <c r="AM3089" s="87"/>
      <c r="AN3089" s="87"/>
      <c r="AO3089" s="87"/>
      <c r="AP3089" s="87"/>
      <c r="AQ3089" s="87" t="s">
        <v>17539</v>
      </c>
      <c r="AR3089" s="87"/>
      <c r="AS3089" s="87"/>
      <c r="AT3089" s="87"/>
      <c r="AU3089" s="87"/>
      <c r="AV3089" s="92" t="str">
        <f>HYPERLINK("https://pbs.twimg.com/media/F08kYFnWYAENWEe.jpg")</f>
        <v>https://pbs.twimg.com/media/F08kYFnWYAENWEe.jpg</v>
      </c>
      <c r="AW3089" s="93" t="s">
        <v>21237</v>
      </c>
      <c r="AX3089" s="93" t="s">
        <v>21237</v>
      </c>
      <c r="AY3089" s="87"/>
      <c r="AZ3089" s="93" t="s">
        <v>22668</v>
      </c>
      <c r="BA3089" s="93" t="s">
        <v>22668</v>
      </c>
      <c r="BB3089" s="93" t="s">
        <v>22668</v>
      </c>
      <c r="BC3089" s="93" t="s">
        <v>21237</v>
      </c>
      <c r="BD3089" s="87">
        <v>4828526438</v>
      </c>
      <c r="BE3089" s="87"/>
      <c r="BF3089" s="87"/>
      <c r="BG3089" s="87"/>
      <c r="BH3089" s="87"/>
      <c r="BI3089" s="87"/>
    </row>
    <row r="3090" spans="1:61" x14ac:dyDescent="0.25">
      <c r="A3090" s="63" t="s">
        <v>1169</v>
      </c>
      <c r="B3090" s="63" t="s">
        <v>1169</v>
      </c>
      <c r="C3090" s="64"/>
      <c r="D3090" s="65"/>
      <c r="E3090" s="66"/>
      <c r="F3090" s="67"/>
      <c r="G3090" s="64"/>
      <c r="H3090" s="68"/>
      <c r="I3090" s="69"/>
      <c r="J3090" s="69"/>
      <c r="K3090" s="32"/>
      <c r="L3090" s="76">
        <v>3090</v>
      </c>
      <c r="M3090" s="76"/>
      <c r="N3090" s="71"/>
      <c r="O3090" s="87" t="s">
        <v>1840</v>
      </c>
      <c r="P3090" s="90">
        <v>45152.534039351849</v>
      </c>
      <c r="Q3090" s="87" t="s">
        <v>4789</v>
      </c>
      <c r="R3090" s="87">
        <v>0</v>
      </c>
      <c r="S3090" s="87">
        <v>0</v>
      </c>
      <c r="T3090" s="87">
        <v>0</v>
      </c>
      <c r="U3090" s="87">
        <v>0</v>
      </c>
      <c r="V3090" s="87">
        <v>167</v>
      </c>
      <c r="W3090" s="93" t="s">
        <v>7611</v>
      </c>
      <c r="X3090" s="87"/>
      <c r="Y3090" s="87"/>
      <c r="Z3090" s="87"/>
      <c r="AA3090" s="87"/>
      <c r="AB3090" s="87"/>
      <c r="AC3090" s="93" t="s">
        <v>11458</v>
      </c>
      <c r="AD3090" s="87" t="s">
        <v>11524</v>
      </c>
      <c r="AE3090" s="92" t="str">
        <f>HYPERLINK("https://twitter.com/nandabarbosacrf/status/1691069414550953987")</f>
        <v>https://twitter.com/nandabarbosacrf/status/1691069414550953987</v>
      </c>
      <c r="AF3090" s="90">
        <v>45152.534039351849</v>
      </c>
      <c r="AG3090" s="99">
        <v>45152</v>
      </c>
      <c r="AH3090" s="93" t="s">
        <v>14293</v>
      </c>
      <c r="AI3090" s="87"/>
      <c r="AJ3090" s="87"/>
      <c r="AK3090" s="87"/>
      <c r="AL3090" s="87"/>
      <c r="AM3090" s="87"/>
      <c r="AN3090" s="87"/>
      <c r="AO3090" s="87"/>
      <c r="AP3090" s="87"/>
      <c r="AQ3090" s="87"/>
      <c r="AR3090" s="87"/>
      <c r="AS3090" s="87"/>
      <c r="AT3090" s="87"/>
      <c r="AU3090" s="87"/>
      <c r="AV3090" s="92" t="str">
        <f>HYPERLINK("https://pbs.twimg.com/profile_images/1704248809654538240/TF2mitbT_normal.jpg")</f>
        <v>https://pbs.twimg.com/profile_images/1704248809654538240/TF2mitbT_normal.jpg</v>
      </c>
      <c r="AW3090" s="93" t="s">
        <v>21238</v>
      </c>
      <c r="AX3090" s="93" t="s">
        <v>22448</v>
      </c>
      <c r="AY3090" s="93" t="s">
        <v>22620</v>
      </c>
      <c r="AZ3090" s="93" t="s">
        <v>22448</v>
      </c>
      <c r="BA3090" s="93" t="s">
        <v>22668</v>
      </c>
      <c r="BB3090" s="93" t="s">
        <v>22668</v>
      </c>
      <c r="BC3090" s="93" t="s">
        <v>22448</v>
      </c>
      <c r="BD3090" s="87">
        <v>421924175</v>
      </c>
      <c r="BE3090" s="87"/>
      <c r="BF3090" s="87"/>
      <c r="BG3090" s="87"/>
      <c r="BH3090" s="87"/>
      <c r="BI3090" s="87"/>
    </row>
    <row r="3091" spans="1:61" x14ac:dyDescent="0.25">
      <c r="A3091" s="63" t="s">
        <v>1170</v>
      </c>
      <c r="B3091" s="63" t="s">
        <v>1250</v>
      </c>
      <c r="C3091" s="64"/>
      <c r="D3091" s="65"/>
      <c r="E3091" s="66"/>
      <c r="F3091" s="67"/>
      <c r="G3091" s="64"/>
      <c r="H3091" s="68"/>
      <c r="I3091" s="69"/>
      <c r="J3091" s="69"/>
      <c r="K3091" s="32"/>
      <c r="L3091" s="76">
        <v>3091</v>
      </c>
      <c r="M3091" s="76"/>
      <c r="N3091" s="71"/>
      <c r="O3091" s="87" t="s">
        <v>1842</v>
      </c>
      <c r="P3091" s="90">
        <v>45111.620821759258</v>
      </c>
      <c r="Q3091" s="87" t="s">
        <v>4790</v>
      </c>
      <c r="R3091" s="87">
        <v>0</v>
      </c>
      <c r="S3091" s="87">
        <v>1</v>
      </c>
      <c r="T3091" s="87">
        <v>0</v>
      </c>
      <c r="U3091" s="87">
        <v>0</v>
      </c>
      <c r="V3091" s="87">
        <v>58</v>
      </c>
      <c r="W3091" s="93" t="s">
        <v>7612</v>
      </c>
      <c r="X3091" s="87"/>
      <c r="Y3091" s="87"/>
      <c r="Z3091" s="87"/>
      <c r="AA3091" s="87"/>
      <c r="AB3091" s="87"/>
      <c r="AC3091" s="93" t="s">
        <v>11458</v>
      </c>
      <c r="AD3091" s="87" t="s">
        <v>11519</v>
      </c>
      <c r="AE3091" s="92" t="str">
        <f>HYPERLINK("https://twitter.com/guedinhajo/status/1676242961699426304")</f>
        <v>https://twitter.com/guedinhajo/status/1676242961699426304</v>
      </c>
      <c r="AF3091" s="90">
        <v>45111.620821759258</v>
      </c>
      <c r="AG3091" s="99">
        <v>45111</v>
      </c>
      <c r="AH3091" s="93" t="s">
        <v>14294</v>
      </c>
      <c r="AI3091" s="87"/>
      <c r="AJ3091" s="87"/>
      <c r="AK3091" s="87"/>
      <c r="AL3091" s="87"/>
      <c r="AM3091" s="87"/>
      <c r="AN3091" s="87"/>
      <c r="AO3091" s="87"/>
      <c r="AP3091" s="87"/>
      <c r="AQ3091" s="87"/>
      <c r="AR3091" s="87"/>
      <c r="AS3091" s="87"/>
      <c r="AT3091" s="87"/>
      <c r="AU3091" s="87"/>
      <c r="AV3091" s="92" t="str">
        <f>HYPERLINK("https://pbs.twimg.com/profile_images/1182117706872623104/bhLh40tP_normal.jpg")</f>
        <v>https://pbs.twimg.com/profile_images/1182117706872623104/bhLh40tP_normal.jpg</v>
      </c>
      <c r="AW3091" s="93" t="s">
        <v>21239</v>
      </c>
      <c r="AX3091" s="93" t="s">
        <v>21239</v>
      </c>
      <c r="AY3091" s="87"/>
      <c r="AZ3091" s="93" t="s">
        <v>22668</v>
      </c>
      <c r="BA3091" s="93" t="s">
        <v>21421</v>
      </c>
      <c r="BB3091" s="93" t="s">
        <v>22668</v>
      </c>
      <c r="BC3091" s="93" t="s">
        <v>21421</v>
      </c>
      <c r="BD3091" s="87">
        <v>91998084</v>
      </c>
      <c r="BE3091" s="87"/>
      <c r="BF3091" s="87"/>
      <c r="BG3091" s="87"/>
      <c r="BH3091" s="87"/>
      <c r="BI3091" s="87"/>
    </row>
    <row r="3092" spans="1:61" x14ac:dyDescent="0.25">
      <c r="A3092" s="63" t="s">
        <v>1171</v>
      </c>
      <c r="B3092" s="63" t="s">
        <v>1171</v>
      </c>
      <c r="C3092" s="64"/>
      <c r="D3092" s="65"/>
      <c r="E3092" s="66"/>
      <c r="F3092" s="67"/>
      <c r="G3092" s="64"/>
      <c r="H3092" s="68"/>
      <c r="I3092" s="69"/>
      <c r="J3092" s="69"/>
      <c r="K3092" s="32"/>
      <c r="L3092" s="76">
        <v>3092</v>
      </c>
      <c r="M3092" s="76"/>
      <c r="N3092" s="71"/>
      <c r="O3092" s="87" t="s">
        <v>179</v>
      </c>
      <c r="P3092" s="90">
        <v>45141.458819444444</v>
      </c>
      <c r="Q3092" s="87" t="s">
        <v>4791</v>
      </c>
      <c r="R3092" s="87">
        <v>0</v>
      </c>
      <c r="S3092" s="87">
        <v>1</v>
      </c>
      <c r="T3092" s="87">
        <v>0</v>
      </c>
      <c r="U3092" s="87">
        <v>0</v>
      </c>
      <c r="V3092" s="87">
        <v>75</v>
      </c>
      <c r="W3092" s="93" t="s">
        <v>7613</v>
      </c>
      <c r="X3092" s="87"/>
      <c r="Y3092" s="87"/>
      <c r="Z3092" s="87"/>
      <c r="AA3092" s="87" t="s">
        <v>10728</v>
      </c>
      <c r="AB3092" s="87" t="s">
        <v>11447</v>
      </c>
      <c r="AC3092" s="93" t="s">
        <v>11457</v>
      </c>
      <c r="AD3092" s="87" t="s">
        <v>11519</v>
      </c>
      <c r="AE3092" s="92" t="str">
        <f>HYPERLINK("https://twitter.com/fabiolaterapia/status/1687055886911467520")</f>
        <v>https://twitter.com/fabiolaterapia/status/1687055886911467520</v>
      </c>
      <c r="AF3092" s="90">
        <v>45141.458819444444</v>
      </c>
      <c r="AG3092" s="99">
        <v>45141</v>
      </c>
      <c r="AH3092" s="93" t="s">
        <v>11762</v>
      </c>
      <c r="AI3092" s="87" t="b">
        <v>0</v>
      </c>
      <c r="AJ3092" s="87"/>
      <c r="AK3092" s="87"/>
      <c r="AL3092" s="87"/>
      <c r="AM3092" s="87"/>
      <c r="AN3092" s="87"/>
      <c r="AO3092" s="87"/>
      <c r="AP3092" s="87"/>
      <c r="AQ3092" s="87" t="s">
        <v>17540</v>
      </c>
      <c r="AR3092" s="87">
        <v>5000</v>
      </c>
      <c r="AS3092" s="87"/>
      <c r="AT3092" s="87"/>
      <c r="AU3092" s="87"/>
      <c r="AV3092" s="92" t="str">
        <f>HYPERLINK("https://pbs.twimg.com/ext_tw_video_thumb/1687055835627737088/pu/img/wAvnFBH33l_8BqjX.jpg")</f>
        <v>https://pbs.twimg.com/ext_tw_video_thumb/1687055835627737088/pu/img/wAvnFBH33l_8BqjX.jpg</v>
      </c>
      <c r="AW3092" s="93" t="s">
        <v>21240</v>
      </c>
      <c r="AX3092" s="93" t="s">
        <v>21240</v>
      </c>
      <c r="AY3092" s="87"/>
      <c r="AZ3092" s="93" t="s">
        <v>22668</v>
      </c>
      <c r="BA3092" s="93" t="s">
        <v>22668</v>
      </c>
      <c r="BB3092" s="93" t="s">
        <v>22668</v>
      </c>
      <c r="BC3092" s="93" t="s">
        <v>21240</v>
      </c>
      <c r="BD3092" s="93" t="s">
        <v>23340</v>
      </c>
      <c r="BE3092" s="87"/>
      <c r="BF3092" s="87"/>
      <c r="BG3092" s="87"/>
      <c r="BH3092" s="87"/>
      <c r="BI3092" s="87"/>
    </row>
    <row r="3093" spans="1:61" x14ac:dyDescent="0.25">
      <c r="A3093" s="63" t="s">
        <v>1172</v>
      </c>
      <c r="B3093" s="63" t="s">
        <v>1172</v>
      </c>
      <c r="C3093" s="64"/>
      <c r="D3093" s="65"/>
      <c r="E3093" s="66"/>
      <c r="F3093" s="67"/>
      <c r="G3093" s="64"/>
      <c r="H3093" s="68"/>
      <c r="I3093" s="69"/>
      <c r="J3093" s="69"/>
      <c r="K3093" s="32"/>
      <c r="L3093" s="76">
        <v>3093</v>
      </c>
      <c r="M3093" s="76"/>
      <c r="N3093" s="71"/>
      <c r="O3093" s="87" t="s">
        <v>179</v>
      </c>
      <c r="P3093" s="90">
        <v>45145.806539351855</v>
      </c>
      <c r="Q3093" s="87" t="s">
        <v>4792</v>
      </c>
      <c r="R3093" s="87">
        <v>0</v>
      </c>
      <c r="S3093" s="87">
        <v>0</v>
      </c>
      <c r="T3093" s="87">
        <v>1</v>
      </c>
      <c r="U3093" s="87">
        <v>0</v>
      </c>
      <c r="V3093" s="87">
        <v>4</v>
      </c>
      <c r="W3093" s="93" t="s">
        <v>7614</v>
      </c>
      <c r="X3093" s="87"/>
      <c r="Y3093" s="87"/>
      <c r="Z3093" s="87"/>
      <c r="AA3093" s="87" t="s">
        <v>10729</v>
      </c>
      <c r="AB3093" s="87" t="s">
        <v>11448</v>
      </c>
      <c r="AC3093" s="93" t="s">
        <v>11459</v>
      </c>
      <c r="AD3093" s="87" t="s">
        <v>11519</v>
      </c>
      <c r="AE3093" s="92" t="str">
        <f>HYPERLINK("https://twitter.com/realvictorhugog/status/1688631449258209280")</f>
        <v>https://twitter.com/realvictorhugog/status/1688631449258209280</v>
      </c>
      <c r="AF3093" s="90">
        <v>45145.806539351855</v>
      </c>
      <c r="AG3093" s="99">
        <v>45145</v>
      </c>
      <c r="AH3093" s="93" t="s">
        <v>14295</v>
      </c>
      <c r="AI3093" s="87" t="b">
        <v>0</v>
      </c>
      <c r="AJ3093" s="87"/>
      <c r="AK3093" s="87"/>
      <c r="AL3093" s="87"/>
      <c r="AM3093" s="87"/>
      <c r="AN3093" s="87"/>
      <c r="AO3093" s="87"/>
      <c r="AP3093" s="87"/>
      <c r="AQ3093" s="87" t="s">
        <v>17541</v>
      </c>
      <c r="AR3093" s="87"/>
      <c r="AS3093" s="87"/>
      <c r="AT3093" s="87"/>
      <c r="AU3093" s="87"/>
      <c r="AV3093" s="92" t="str">
        <f>HYPERLINK("https://pbs.twimg.com/media/F285Wo5W8AE_B1K.jpg")</f>
        <v>https://pbs.twimg.com/media/F285Wo5W8AE_B1K.jpg</v>
      </c>
      <c r="AW3093" s="93" t="s">
        <v>21241</v>
      </c>
      <c r="AX3093" s="93" t="s">
        <v>21241</v>
      </c>
      <c r="AY3093" s="87"/>
      <c r="AZ3093" s="93" t="s">
        <v>22668</v>
      </c>
      <c r="BA3093" s="93" t="s">
        <v>22668</v>
      </c>
      <c r="BB3093" s="93" t="s">
        <v>22668</v>
      </c>
      <c r="BC3093" s="93" t="s">
        <v>21241</v>
      </c>
      <c r="BD3093" s="93" t="s">
        <v>22621</v>
      </c>
      <c r="BE3093" s="87"/>
      <c r="BF3093" s="87"/>
      <c r="BG3093" s="87"/>
      <c r="BH3093" s="87"/>
      <c r="BI3093" s="87"/>
    </row>
    <row r="3094" spans="1:61" x14ac:dyDescent="0.25">
      <c r="A3094" s="63" t="s">
        <v>1172</v>
      </c>
      <c r="B3094" s="63" t="s">
        <v>1172</v>
      </c>
      <c r="C3094" s="64"/>
      <c r="D3094" s="65"/>
      <c r="E3094" s="66"/>
      <c r="F3094" s="67"/>
      <c r="G3094" s="64"/>
      <c r="H3094" s="68"/>
      <c r="I3094" s="69"/>
      <c r="J3094" s="69"/>
      <c r="K3094" s="32"/>
      <c r="L3094" s="76">
        <v>3094</v>
      </c>
      <c r="M3094" s="76"/>
      <c r="N3094" s="71"/>
      <c r="O3094" s="87" t="s">
        <v>1840</v>
      </c>
      <c r="P3094" s="90">
        <v>45152.719756944447</v>
      </c>
      <c r="Q3094" s="87" t="s">
        <v>4793</v>
      </c>
      <c r="R3094" s="87">
        <v>0</v>
      </c>
      <c r="S3094" s="87">
        <v>0</v>
      </c>
      <c r="T3094" s="87">
        <v>1</v>
      </c>
      <c r="U3094" s="87">
        <v>0</v>
      </c>
      <c r="V3094" s="87">
        <v>2</v>
      </c>
      <c r="W3094" s="93" t="s">
        <v>7615</v>
      </c>
      <c r="X3094" s="87"/>
      <c r="Y3094" s="87"/>
      <c r="Z3094" s="87"/>
      <c r="AA3094" s="87"/>
      <c r="AB3094" s="87"/>
      <c r="AC3094" s="93" t="s">
        <v>11459</v>
      </c>
      <c r="AD3094" s="87" t="s">
        <v>11519</v>
      </c>
      <c r="AE3094" s="92" t="str">
        <f>HYPERLINK("https://twitter.com/realvictorhugog/status/1691136717732851721")</f>
        <v>https://twitter.com/realvictorhugog/status/1691136717732851721</v>
      </c>
      <c r="AF3094" s="90">
        <v>45152.719756944447</v>
      </c>
      <c r="AG3094" s="99">
        <v>45152</v>
      </c>
      <c r="AH3094" s="93" t="s">
        <v>14296</v>
      </c>
      <c r="AI3094" s="87"/>
      <c r="AJ3094" s="87"/>
      <c r="AK3094" s="87"/>
      <c r="AL3094" s="87"/>
      <c r="AM3094" s="87"/>
      <c r="AN3094" s="87"/>
      <c r="AO3094" s="87"/>
      <c r="AP3094" s="87"/>
      <c r="AQ3094" s="87"/>
      <c r="AR3094" s="87"/>
      <c r="AS3094" s="87"/>
      <c r="AT3094" s="87"/>
      <c r="AU3094" s="87"/>
      <c r="AV3094" s="92" t="str">
        <f>HYPERLINK("https://pbs.twimg.com/profile_images/1655602875358142465/JGqMZ7UG_normal.jpg")</f>
        <v>https://pbs.twimg.com/profile_images/1655602875358142465/JGqMZ7UG_normal.jpg</v>
      </c>
      <c r="AW3094" s="93" t="s">
        <v>21242</v>
      </c>
      <c r="AX3094" s="93" t="s">
        <v>22449</v>
      </c>
      <c r="AY3094" s="93" t="s">
        <v>22621</v>
      </c>
      <c r="AZ3094" s="93" t="s">
        <v>22449</v>
      </c>
      <c r="BA3094" s="93" t="s">
        <v>22668</v>
      </c>
      <c r="BB3094" s="93" t="s">
        <v>22668</v>
      </c>
      <c r="BC3094" s="93" t="s">
        <v>22449</v>
      </c>
      <c r="BD3094" s="93" t="s">
        <v>22621</v>
      </c>
      <c r="BE3094" s="87"/>
      <c r="BF3094" s="87"/>
      <c r="BG3094" s="87"/>
      <c r="BH3094" s="87"/>
      <c r="BI3094" s="87"/>
    </row>
    <row r="3095" spans="1:61" x14ac:dyDescent="0.25">
      <c r="A3095" s="63" t="s">
        <v>1172</v>
      </c>
      <c r="B3095" s="63" t="s">
        <v>1172</v>
      </c>
      <c r="C3095" s="64"/>
      <c r="D3095" s="65"/>
      <c r="E3095" s="66"/>
      <c r="F3095" s="67"/>
      <c r="G3095" s="64"/>
      <c r="H3095" s="68"/>
      <c r="I3095" s="69"/>
      <c r="J3095" s="69"/>
      <c r="K3095" s="32"/>
      <c r="L3095" s="76">
        <v>3095</v>
      </c>
      <c r="M3095" s="76"/>
      <c r="N3095" s="71"/>
      <c r="O3095" s="87" t="s">
        <v>1840</v>
      </c>
      <c r="P3095" s="90">
        <v>45151.22142361111</v>
      </c>
      <c r="Q3095" s="87" t="s">
        <v>4794</v>
      </c>
      <c r="R3095" s="87">
        <v>0</v>
      </c>
      <c r="S3095" s="87">
        <v>0</v>
      </c>
      <c r="T3095" s="87">
        <v>1</v>
      </c>
      <c r="U3095" s="87">
        <v>0</v>
      </c>
      <c r="V3095" s="87">
        <v>12</v>
      </c>
      <c r="W3095" s="93" t="s">
        <v>7616</v>
      </c>
      <c r="X3095" s="87"/>
      <c r="Y3095" s="87"/>
      <c r="Z3095" s="87"/>
      <c r="AA3095" s="87"/>
      <c r="AB3095" s="87"/>
      <c r="AC3095" s="93" t="s">
        <v>11459</v>
      </c>
      <c r="AD3095" s="87" t="s">
        <v>11519</v>
      </c>
      <c r="AE3095" s="92" t="str">
        <f>HYPERLINK("https://twitter.com/realvictorhugog/status/1690593737116643329")</f>
        <v>https://twitter.com/realvictorhugog/status/1690593737116643329</v>
      </c>
      <c r="AF3095" s="90">
        <v>45151.22142361111</v>
      </c>
      <c r="AG3095" s="99">
        <v>45151</v>
      </c>
      <c r="AH3095" s="93" t="s">
        <v>14297</v>
      </c>
      <c r="AI3095" s="87"/>
      <c r="AJ3095" s="87"/>
      <c r="AK3095" s="87"/>
      <c r="AL3095" s="87"/>
      <c r="AM3095" s="87"/>
      <c r="AN3095" s="87"/>
      <c r="AO3095" s="87"/>
      <c r="AP3095" s="87"/>
      <c r="AQ3095" s="87"/>
      <c r="AR3095" s="87"/>
      <c r="AS3095" s="87"/>
      <c r="AT3095" s="87"/>
      <c r="AU3095" s="87"/>
      <c r="AV3095" s="92" t="str">
        <f>HYPERLINK("https://pbs.twimg.com/profile_images/1655602875358142465/JGqMZ7UG_normal.jpg")</f>
        <v>https://pbs.twimg.com/profile_images/1655602875358142465/JGqMZ7UG_normal.jpg</v>
      </c>
      <c r="AW3095" s="93" t="s">
        <v>21243</v>
      </c>
      <c r="AX3095" s="93" t="s">
        <v>22450</v>
      </c>
      <c r="AY3095" s="93" t="s">
        <v>22621</v>
      </c>
      <c r="AZ3095" s="93" t="s">
        <v>22450</v>
      </c>
      <c r="BA3095" s="93" t="s">
        <v>22668</v>
      </c>
      <c r="BB3095" s="93" t="s">
        <v>22668</v>
      </c>
      <c r="BC3095" s="93" t="s">
        <v>22450</v>
      </c>
      <c r="BD3095" s="93" t="s">
        <v>22621</v>
      </c>
      <c r="BE3095" s="87"/>
      <c r="BF3095" s="87"/>
      <c r="BG3095" s="87"/>
      <c r="BH3095" s="87"/>
      <c r="BI3095" s="87"/>
    </row>
    <row r="3096" spans="1:61" x14ac:dyDescent="0.25">
      <c r="A3096" s="63" t="s">
        <v>1172</v>
      </c>
      <c r="B3096" s="63" t="s">
        <v>1172</v>
      </c>
      <c r="C3096" s="64"/>
      <c r="D3096" s="65"/>
      <c r="E3096" s="66"/>
      <c r="F3096" s="67"/>
      <c r="G3096" s="64"/>
      <c r="H3096" s="68"/>
      <c r="I3096" s="69"/>
      <c r="J3096" s="69"/>
      <c r="K3096" s="32"/>
      <c r="L3096" s="76">
        <v>3096</v>
      </c>
      <c r="M3096" s="76"/>
      <c r="N3096" s="71"/>
      <c r="O3096" s="87" t="s">
        <v>1840</v>
      </c>
      <c r="P3096" s="90">
        <v>45151.218912037039</v>
      </c>
      <c r="Q3096" s="87" t="s">
        <v>4795</v>
      </c>
      <c r="R3096" s="87">
        <v>0</v>
      </c>
      <c r="S3096" s="87">
        <v>0</v>
      </c>
      <c r="T3096" s="87">
        <v>1</v>
      </c>
      <c r="U3096" s="87">
        <v>0</v>
      </c>
      <c r="V3096" s="87">
        <v>3</v>
      </c>
      <c r="W3096" s="93" t="s">
        <v>7617</v>
      </c>
      <c r="X3096" s="87"/>
      <c r="Y3096" s="87"/>
      <c r="Z3096" s="87"/>
      <c r="AA3096" s="87"/>
      <c r="AB3096" s="87"/>
      <c r="AC3096" s="93" t="s">
        <v>11459</v>
      </c>
      <c r="AD3096" s="87" t="s">
        <v>11519</v>
      </c>
      <c r="AE3096" s="92" t="str">
        <f>HYPERLINK("https://twitter.com/realvictorhugog/status/1690592829435695105")</f>
        <v>https://twitter.com/realvictorhugog/status/1690592829435695105</v>
      </c>
      <c r="AF3096" s="90">
        <v>45151.218912037039</v>
      </c>
      <c r="AG3096" s="99">
        <v>45151</v>
      </c>
      <c r="AH3096" s="93" t="s">
        <v>14298</v>
      </c>
      <c r="AI3096" s="87"/>
      <c r="AJ3096" s="87"/>
      <c r="AK3096" s="87"/>
      <c r="AL3096" s="87"/>
      <c r="AM3096" s="87"/>
      <c r="AN3096" s="87"/>
      <c r="AO3096" s="87"/>
      <c r="AP3096" s="87"/>
      <c r="AQ3096" s="87"/>
      <c r="AR3096" s="87"/>
      <c r="AS3096" s="87"/>
      <c r="AT3096" s="87"/>
      <c r="AU3096" s="87"/>
      <c r="AV3096" s="92" t="str">
        <f>HYPERLINK("https://pbs.twimg.com/profile_images/1655602875358142465/JGqMZ7UG_normal.jpg")</f>
        <v>https://pbs.twimg.com/profile_images/1655602875358142465/JGqMZ7UG_normal.jpg</v>
      </c>
      <c r="AW3096" s="93" t="s">
        <v>21244</v>
      </c>
      <c r="AX3096" s="93" t="s">
        <v>22451</v>
      </c>
      <c r="AY3096" s="93" t="s">
        <v>22621</v>
      </c>
      <c r="AZ3096" s="93" t="s">
        <v>22451</v>
      </c>
      <c r="BA3096" s="93" t="s">
        <v>22668</v>
      </c>
      <c r="BB3096" s="93" t="s">
        <v>22668</v>
      </c>
      <c r="BC3096" s="93" t="s">
        <v>22451</v>
      </c>
      <c r="BD3096" s="93" t="s">
        <v>22621</v>
      </c>
      <c r="BE3096" s="87"/>
      <c r="BF3096" s="87"/>
      <c r="BG3096" s="87"/>
      <c r="BH3096" s="87"/>
      <c r="BI3096" s="87"/>
    </row>
    <row r="3097" spans="1:61" x14ac:dyDescent="0.25">
      <c r="A3097" s="63" t="s">
        <v>1172</v>
      </c>
      <c r="B3097" s="63" t="s">
        <v>1172</v>
      </c>
      <c r="C3097" s="64"/>
      <c r="D3097" s="65"/>
      <c r="E3097" s="66"/>
      <c r="F3097" s="67"/>
      <c r="G3097" s="64"/>
      <c r="H3097" s="68"/>
      <c r="I3097" s="69"/>
      <c r="J3097" s="69"/>
      <c r="K3097" s="32"/>
      <c r="L3097" s="76">
        <v>3097</v>
      </c>
      <c r="M3097" s="76"/>
      <c r="N3097" s="71"/>
      <c r="O3097" s="87" t="s">
        <v>1840</v>
      </c>
      <c r="P3097" s="90">
        <v>45160.807638888888</v>
      </c>
      <c r="Q3097" s="87" t="s">
        <v>4796</v>
      </c>
      <c r="R3097" s="87">
        <v>0</v>
      </c>
      <c r="S3097" s="87">
        <v>0</v>
      </c>
      <c r="T3097" s="87">
        <v>1</v>
      </c>
      <c r="U3097" s="87">
        <v>0</v>
      </c>
      <c r="V3097" s="87">
        <v>5</v>
      </c>
      <c r="W3097" s="93" t="s">
        <v>7614</v>
      </c>
      <c r="X3097" s="87"/>
      <c r="Y3097" s="87"/>
      <c r="Z3097" s="87"/>
      <c r="AA3097" s="87"/>
      <c r="AB3097" s="87"/>
      <c r="AC3097" s="93" t="s">
        <v>11459</v>
      </c>
      <c r="AD3097" s="87" t="s">
        <v>11519</v>
      </c>
      <c r="AE3097" s="92" t="str">
        <f>HYPERLINK("https://twitter.com/realvictorhugog/status/1694067664077922585")</f>
        <v>https://twitter.com/realvictorhugog/status/1694067664077922585</v>
      </c>
      <c r="AF3097" s="90">
        <v>45160.807638888888</v>
      </c>
      <c r="AG3097" s="99">
        <v>45160</v>
      </c>
      <c r="AH3097" s="93" t="s">
        <v>13552</v>
      </c>
      <c r="AI3097" s="87"/>
      <c r="AJ3097" s="87"/>
      <c r="AK3097" s="87"/>
      <c r="AL3097" s="87"/>
      <c r="AM3097" s="87"/>
      <c r="AN3097" s="87"/>
      <c r="AO3097" s="87"/>
      <c r="AP3097" s="87"/>
      <c r="AQ3097" s="87"/>
      <c r="AR3097" s="87"/>
      <c r="AS3097" s="87"/>
      <c r="AT3097" s="87"/>
      <c r="AU3097" s="87"/>
      <c r="AV3097" s="92" t="str">
        <f>HYPERLINK("https://pbs.twimg.com/profile_images/1655602875358142465/JGqMZ7UG_normal.jpg")</f>
        <v>https://pbs.twimg.com/profile_images/1655602875358142465/JGqMZ7UG_normal.jpg</v>
      </c>
      <c r="AW3097" s="93" t="s">
        <v>21245</v>
      </c>
      <c r="AX3097" s="93" t="s">
        <v>22452</v>
      </c>
      <c r="AY3097" s="93" t="s">
        <v>22621</v>
      </c>
      <c r="AZ3097" s="93" t="s">
        <v>22452</v>
      </c>
      <c r="BA3097" s="93" t="s">
        <v>22668</v>
      </c>
      <c r="BB3097" s="93" t="s">
        <v>22668</v>
      </c>
      <c r="BC3097" s="93" t="s">
        <v>22452</v>
      </c>
      <c r="BD3097" s="93" t="s">
        <v>22621</v>
      </c>
      <c r="BE3097" s="87"/>
      <c r="BF3097" s="87"/>
      <c r="BG3097" s="87"/>
      <c r="BH3097" s="87"/>
      <c r="BI3097" s="87"/>
    </row>
    <row r="3098" spans="1:61" x14ac:dyDescent="0.25">
      <c r="A3098" s="63" t="s">
        <v>1172</v>
      </c>
      <c r="B3098" s="63" t="s">
        <v>1172</v>
      </c>
      <c r="C3098" s="64"/>
      <c r="D3098" s="65"/>
      <c r="E3098" s="66"/>
      <c r="F3098" s="67"/>
      <c r="G3098" s="64"/>
      <c r="H3098" s="68"/>
      <c r="I3098" s="69"/>
      <c r="J3098" s="69"/>
      <c r="K3098" s="32"/>
      <c r="L3098" s="76">
        <v>3098</v>
      </c>
      <c r="M3098" s="76"/>
      <c r="N3098" s="71"/>
      <c r="O3098" s="87" t="s">
        <v>1840</v>
      </c>
      <c r="P3098" s="90">
        <v>45142.923541666663</v>
      </c>
      <c r="Q3098" s="87" t="s">
        <v>4797</v>
      </c>
      <c r="R3098" s="87">
        <v>0</v>
      </c>
      <c r="S3098" s="87">
        <v>0</v>
      </c>
      <c r="T3098" s="87">
        <v>1</v>
      </c>
      <c r="U3098" s="87">
        <v>0</v>
      </c>
      <c r="V3098" s="87">
        <v>12</v>
      </c>
      <c r="W3098" s="93" t="s">
        <v>7617</v>
      </c>
      <c r="X3098" s="87"/>
      <c r="Y3098" s="87"/>
      <c r="Z3098" s="87"/>
      <c r="AA3098" s="87"/>
      <c r="AB3098" s="87"/>
      <c r="AC3098" s="93" t="s">
        <v>11459</v>
      </c>
      <c r="AD3098" s="87" t="s">
        <v>11519</v>
      </c>
      <c r="AE3098" s="92" t="str">
        <f>HYPERLINK("https://twitter.com/realvictorhugog/status/1687586687709233153")</f>
        <v>https://twitter.com/realvictorhugog/status/1687586687709233153</v>
      </c>
      <c r="AF3098" s="90">
        <v>45142.923541666663</v>
      </c>
      <c r="AG3098" s="99">
        <v>45142</v>
      </c>
      <c r="AH3098" s="93" t="s">
        <v>14299</v>
      </c>
      <c r="AI3098" s="87"/>
      <c r="AJ3098" s="87"/>
      <c r="AK3098" s="87"/>
      <c r="AL3098" s="87"/>
      <c r="AM3098" s="87"/>
      <c r="AN3098" s="87"/>
      <c r="AO3098" s="87"/>
      <c r="AP3098" s="87"/>
      <c r="AQ3098" s="87"/>
      <c r="AR3098" s="87"/>
      <c r="AS3098" s="87"/>
      <c r="AT3098" s="87"/>
      <c r="AU3098" s="87"/>
      <c r="AV3098" s="92" t="str">
        <f>HYPERLINK("https://pbs.twimg.com/profile_images/1655602875358142465/JGqMZ7UG_normal.jpg")</f>
        <v>https://pbs.twimg.com/profile_images/1655602875358142465/JGqMZ7UG_normal.jpg</v>
      </c>
      <c r="AW3098" s="93" t="s">
        <v>21246</v>
      </c>
      <c r="AX3098" s="93" t="s">
        <v>22453</v>
      </c>
      <c r="AY3098" s="93" t="s">
        <v>22621</v>
      </c>
      <c r="AZ3098" s="93" t="s">
        <v>22750</v>
      </c>
      <c r="BA3098" s="93" t="s">
        <v>22668</v>
      </c>
      <c r="BB3098" s="93" t="s">
        <v>22668</v>
      </c>
      <c r="BC3098" s="93" t="s">
        <v>22750</v>
      </c>
      <c r="BD3098" s="93" t="s">
        <v>22621</v>
      </c>
      <c r="BE3098" s="87"/>
      <c r="BF3098" s="87"/>
      <c r="BG3098" s="87"/>
      <c r="BH3098" s="87"/>
      <c r="BI3098" s="87"/>
    </row>
    <row r="3099" spans="1:61" x14ac:dyDescent="0.25">
      <c r="A3099" s="63" t="s">
        <v>1173</v>
      </c>
      <c r="B3099" s="63" t="s">
        <v>1173</v>
      </c>
      <c r="C3099" s="64"/>
      <c r="D3099" s="65"/>
      <c r="E3099" s="66"/>
      <c r="F3099" s="67"/>
      <c r="G3099" s="64"/>
      <c r="H3099" s="68"/>
      <c r="I3099" s="69"/>
      <c r="J3099" s="69"/>
      <c r="K3099" s="32"/>
      <c r="L3099" s="76">
        <v>3099</v>
      </c>
      <c r="M3099" s="76"/>
      <c r="N3099" s="71"/>
      <c r="O3099" s="87" t="s">
        <v>179</v>
      </c>
      <c r="P3099" s="90">
        <v>45194.778240740743</v>
      </c>
      <c r="Q3099" s="87" t="s">
        <v>4798</v>
      </c>
      <c r="R3099" s="87">
        <v>0</v>
      </c>
      <c r="S3099" s="87">
        <v>0</v>
      </c>
      <c r="T3099" s="87">
        <v>0</v>
      </c>
      <c r="U3099" s="87">
        <v>0</v>
      </c>
      <c r="V3099" s="87">
        <v>5</v>
      </c>
      <c r="W3099" s="93" t="s">
        <v>7618</v>
      </c>
      <c r="X3099" s="92" t="str">
        <f>HYPERLINK("https://wa.me/554832994064")</f>
        <v>https://wa.me/554832994064</v>
      </c>
      <c r="Y3099" s="87" t="s">
        <v>8378</v>
      </c>
      <c r="Z3099" s="87"/>
      <c r="AA3099" s="87" t="s">
        <v>10730</v>
      </c>
      <c r="AB3099" s="87" t="s">
        <v>11447</v>
      </c>
      <c r="AC3099" s="93" t="s">
        <v>11457</v>
      </c>
      <c r="AD3099" s="87" t="s">
        <v>11519</v>
      </c>
      <c r="AE3099" s="92" t="str">
        <f>HYPERLINK("https://twitter.com/fortmetalurgica/status/1706378199670653308")</f>
        <v>https://twitter.com/fortmetalurgica/status/1706378199670653308</v>
      </c>
      <c r="AF3099" s="90">
        <v>45194.778240740743</v>
      </c>
      <c r="AG3099" s="99">
        <v>45194</v>
      </c>
      <c r="AH3099" s="93" t="s">
        <v>14300</v>
      </c>
      <c r="AI3099" s="87" t="b">
        <v>0</v>
      </c>
      <c r="AJ3099" s="87"/>
      <c r="AK3099" s="87"/>
      <c r="AL3099" s="87"/>
      <c r="AM3099" s="87"/>
      <c r="AN3099" s="87"/>
      <c r="AO3099" s="87"/>
      <c r="AP3099" s="87"/>
      <c r="AQ3099" s="87" t="s">
        <v>17542</v>
      </c>
      <c r="AR3099" s="87">
        <v>28053</v>
      </c>
      <c r="AS3099" s="87"/>
      <c r="AT3099" s="87"/>
      <c r="AU3099" s="87"/>
      <c r="AV3099" s="92" t="str">
        <f>HYPERLINK("https://pbs.twimg.com/ext_tw_video_thumb/1706376851902410752/pu/img/nEVAzoRDR4LBVeOp.jpg")</f>
        <v>https://pbs.twimg.com/ext_tw_video_thumb/1706376851902410752/pu/img/nEVAzoRDR4LBVeOp.jpg</v>
      </c>
      <c r="AW3099" s="93" t="s">
        <v>21247</v>
      </c>
      <c r="AX3099" s="93" t="s">
        <v>21247</v>
      </c>
      <c r="AY3099" s="87"/>
      <c r="AZ3099" s="93" t="s">
        <v>22668</v>
      </c>
      <c r="BA3099" s="93" t="s">
        <v>22668</v>
      </c>
      <c r="BB3099" s="93" t="s">
        <v>22668</v>
      </c>
      <c r="BC3099" s="93" t="s">
        <v>21247</v>
      </c>
      <c r="BD3099" s="93" t="s">
        <v>23341</v>
      </c>
      <c r="BE3099" s="87"/>
      <c r="BF3099" s="87"/>
      <c r="BG3099" s="87"/>
      <c r="BH3099" s="87"/>
      <c r="BI3099" s="87"/>
    </row>
    <row r="3100" spans="1:61" x14ac:dyDescent="0.25">
      <c r="A3100" s="63" t="s">
        <v>1174</v>
      </c>
      <c r="B3100" s="63" t="s">
        <v>1174</v>
      </c>
      <c r="C3100" s="64"/>
      <c r="D3100" s="65"/>
      <c r="E3100" s="66"/>
      <c r="F3100" s="67"/>
      <c r="G3100" s="64"/>
      <c r="H3100" s="68"/>
      <c r="I3100" s="69"/>
      <c r="J3100" s="69"/>
      <c r="K3100" s="32"/>
      <c r="L3100" s="76">
        <v>3100</v>
      </c>
      <c r="M3100" s="76"/>
      <c r="N3100" s="71"/>
      <c r="O3100" s="87" t="s">
        <v>179</v>
      </c>
      <c r="P3100" s="90">
        <v>45182.987071759257</v>
      </c>
      <c r="Q3100" s="87" t="s">
        <v>4799</v>
      </c>
      <c r="R3100" s="87">
        <v>0</v>
      </c>
      <c r="S3100" s="87">
        <v>0</v>
      </c>
      <c r="T3100" s="87">
        <v>0</v>
      </c>
      <c r="U3100" s="87">
        <v>0</v>
      </c>
      <c r="V3100" s="87">
        <v>41</v>
      </c>
      <c r="W3100" s="93" t="s">
        <v>7619</v>
      </c>
      <c r="X3100" s="87"/>
      <c r="Y3100" s="87"/>
      <c r="Z3100" s="87"/>
      <c r="AA3100" s="87" t="s">
        <v>10731</v>
      </c>
      <c r="AB3100" s="87" t="s">
        <v>11447</v>
      </c>
      <c r="AC3100" s="93" t="s">
        <v>11458</v>
      </c>
      <c r="AD3100" s="87" t="s">
        <v>11519</v>
      </c>
      <c r="AE3100" s="92" t="str">
        <f>HYPERLINK("https://twitter.com/soudiegooliveir/status/1702105224788226343")</f>
        <v>https://twitter.com/soudiegooliveir/status/1702105224788226343</v>
      </c>
      <c r="AF3100" s="90">
        <v>45182.987071759257</v>
      </c>
      <c r="AG3100" s="99">
        <v>45182</v>
      </c>
      <c r="AH3100" s="93" t="s">
        <v>14301</v>
      </c>
      <c r="AI3100" s="87" t="b">
        <v>0</v>
      </c>
      <c r="AJ3100" s="87"/>
      <c r="AK3100" s="87"/>
      <c r="AL3100" s="87"/>
      <c r="AM3100" s="87"/>
      <c r="AN3100" s="87"/>
      <c r="AO3100" s="87"/>
      <c r="AP3100" s="87"/>
      <c r="AQ3100" s="87" t="s">
        <v>17543</v>
      </c>
      <c r="AR3100" s="87">
        <v>57433</v>
      </c>
      <c r="AS3100" s="87"/>
      <c r="AT3100" s="87"/>
      <c r="AU3100" s="87"/>
      <c r="AV3100" s="92" t="str">
        <f>HYPERLINK("https://pbs.twimg.com/ext_tw_video_thumb/1702105094110470144/pu/img/O0PQmuqwjXQtJNxI.jpg")</f>
        <v>https://pbs.twimg.com/ext_tw_video_thumb/1702105094110470144/pu/img/O0PQmuqwjXQtJNxI.jpg</v>
      </c>
      <c r="AW3100" s="93" t="s">
        <v>21248</v>
      </c>
      <c r="AX3100" s="93" t="s">
        <v>21248</v>
      </c>
      <c r="AY3100" s="87"/>
      <c r="AZ3100" s="93" t="s">
        <v>22668</v>
      </c>
      <c r="BA3100" s="93" t="s">
        <v>22668</v>
      </c>
      <c r="BB3100" s="93" t="s">
        <v>22668</v>
      </c>
      <c r="BC3100" s="93" t="s">
        <v>21248</v>
      </c>
      <c r="BD3100" s="93" t="s">
        <v>23342</v>
      </c>
      <c r="BE3100" s="87"/>
      <c r="BF3100" s="87"/>
      <c r="BG3100" s="87"/>
      <c r="BH3100" s="87"/>
      <c r="BI3100" s="87"/>
    </row>
    <row r="3101" spans="1:61" x14ac:dyDescent="0.25">
      <c r="A3101" s="63" t="s">
        <v>1174</v>
      </c>
      <c r="B3101" s="63" t="s">
        <v>1174</v>
      </c>
      <c r="C3101" s="64"/>
      <c r="D3101" s="65"/>
      <c r="E3101" s="66"/>
      <c r="F3101" s="67"/>
      <c r="G3101" s="64"/>
      <c r="H3101" s="68"/>
      <c r="I3101" s="69"/>
      <c r="J3101" s="69"/>
      <c r="K3101" s="32"/>
      <c r="L3101" s="76">
        <v>3101</v>
      </c>
      <c r="M3101" s="76"/>
      <c r="N3101" s="71"/>
      <c r="O3101" s="87" t="s">
        <v>179</v>
      </c>
      <c r="P3101" s="90">
        <v>45183.732048611113</v>
      </c>
      <c r="Q3101" s="87" t="s">
        <v>4800</v>
      </c>
      <c r="R3101" s="87">
        <v>1</v>
      </c>
      <c r="S3101" s="87">
        <v>2</v>
      </c>
      <c r="T3101" s="87">
        <v>0</v>
      </c>
      <c r="U3101" s="87">
        <v>0</v>
      </c>
      <c r="V3101" s="87">
        <v>182</v>
      </c>
      <c r="W3101" s="93" t="s">
        <v>7620</v>
      </c>
      <c r="X3101" s="87"/>
      <c r="Y3101" s="87"/>
      <c r="Z3101" s="87"/>
      <c r="AA3101" s="87" t="s">
        <v>10732</v>
      </c>
      <c r="AB3101" s="87" t="s">
        <v>11447</v>
      </c>
      <c r="AC3101" s="93" t="s">
        <v>11458</v>
      </c>
      <c r="AD3101" s="87" t="s">
        <v>11519</v>
      </c>
      <c r="AE3101" s="92" t="str">
        <f>HYPERLINK("https://twitter.com/soudiegooliveir/status/1702375194122211637")</f>
        <v>https://twitter.com/soudiegooliveir/status/1702375194122211637</v>
      </c>
      <c r="AF3101" s="90">
        <v>45183.732048611113</v>
      </c>
      <c r="AG3101" s="99">
        <v>45183</v>
      </c>
      <c r="AH3101" s="93" t="s">
        <v>14302</v>
      </c>
      <c r="AI3101" s="87" t="b">
        <v>0</v>
      </c>
      <c r="AJ3101" s="87"/>
      <c r="AK3101" s="87"/>
      <c r="AL3101" s="87"/>
      <c r="AM3101" s="87"/>
      <c r="AN3101" s="87"/>
      <c r="AO3101" s="87"/>
      <c r="AP3101" s="87"/>
      <c r="AQ3101" s="87" t="s">
        <v>17544</v>
      </c>
      <c r="AR3101" s="87">
        <v>24833</v>
      </c>
      <c r="AS3101" s="87"/>
      <c r="AT3101" s="87"/>
      <c r="AU3101" s="87"/>
      <c r="AV3101" s="92" t="str">
        <f>HYPERLINK("https://pbs.twimg.com/ext_tw_video_thumb/1702375132537217024/pu/img/1dNmrDeOJDddwY3j.jpg")</f>
        <v>https://pbs.twimg.com/ext_tw_video_thumb/1702375132537217024/pu/img/1dNmrDeOJDddwY3j.jpg</v>
      </c>
      <c r="AW3101" s="93" t="s">
        <v>21249</v>
      </c>
      <c r="AX3101" s="93" t="s">
        <v>21249</v>
      </c>
      <c r="AY3101" s="87"/>
      <c r="AZ3101" s="93" t="s">
        <v>22668</v>
      </c>
      <c r="BA3101" s="93" t="s">
        <v>22668</v>
      </c>
      <c r="BB3101" s="93" t="s">
        <v>22668</v>
      </c>
      <c r="BC3101" s="93" t="s">
        <v>21249</v>
      </c>
      <c r="BD3101" s="93" t="s">
        <v>23342</v>
      </c>
      <c r="BE3101" s="87"/>
      <c r="BF3101" s="87"/>
      <c r="BG3101" s="87"/>
      <c r="BH3101" s="87"/>
      <c r="BI3101" s="87"/>
    </row>
    <row r="3102" spans="1:61" x14ac:dyDescent="0.25">
      <c r="A3102" s="63" t="s">
        <v>1174</v>
      </c>
      <c r="B3102" s="63" t="s">
        <v>1174</v>
      </c>
      <c r="C3102" s="64"/>
      <c r="D3102" s="65"/>
      <c r="E3102" s="66"/>
      <c r="F3102" s="67"/>
      <c r="G3102" s="64"/>
      <c r="H3102" s="68"/>
      <c r="I3102" s="69"/>
      <c r="J3102" s="69"/>
      <c r="K3102" s="32"/>
      <c r="L3102" s="76">
        <v>3102</v>
      </c>
      <c r="M3102" s="76"/>
      <c r="N3102" s="71"/>
      <c r="O3102" s="87" t="s">
        <v>179</v>
      </c>
      <c r="P3102" s="90">
        <v>45192.768958333334</v>
      </c>
      <c r="Q3102" s="87" t="s">
        <v>4801</v>
      </c>
      <c r="R3102" s="87">
        <v>0</v>
      </c>
      <c r="S3102" s="87">
        <v>0</v>
      </c>
      <c r="T3102" s="87">
        <v>0</v>
      </c>
      <c r="U3102" s="87">
        <v>0</v>
      </c>
      <c r="V3102" s="87">
        <v>68</v>
      </c>
      <c r="W3102" s="93" t="s">
        <v>7621</v>
      </c>
      <c r="X3102" s="87"/>
      <c r="Y3102" s="87"/>
      <c r="Z3102" s="87"/>
      <c r="AA3102" s="87" t="s">
        <v>10733</v>
      </c>
      <c r="AB3102" s="87" t="s">
        <v>11447</v>
      </c>
      <c r="AC3102" s="93" t="s">
        <v>11458</v>
      </c>
      <c r="AD3102" s="87" t="s">
        <v>11519</v>
      </c>
      <c r="AE3102" s="92" t="str">
        <f>HYPERLINK("https://twitter.com/soudiegooliveir/status/1705650058832568691")</f>
        <v>https://twitter.com/soudiegooliveir/status/1705650058832568691</v>
      </c>
      <c r="AF3102" s="90">
        <v>45192.768958333334</v>
      </c>
      <c r="AG3102" s="99">
        <v>45192</v>
      </c>
      <c r="AH3102" s="93" t="s">
        <v>14303</v>
      </c>
      <c r="AI3102" s="87" t="b">
        <v>0</v>
      </c>
      <c r="AJ3102" s="87"/>
      <c r="AK3102" s="87"/>
      <c r="AL3102" s="87"/>
      <c r="AM3102" s="87"/>
      <c r="AN3102" s="87"/>
      <c r="AO3102" s="87"/>
      <c r="AP3102" s="87"/>
      <c r="AQ3102" s="87" t="s">
        <v>17545</v>
      </c>
      <c r="AR3102" s="87">
        <v>58800</v>
      </c>
      <c r="AS3102" s="87"/>
      <c r="AT3102" s="87"/>
      <c r="AU3102" s="87"/>
      <c r="AV3102" s="92" t="str">
        <f>HYPERLINK("https://pbs.twimg.com/ext_tw_video_thumb/1705649985298022400/pu/img/C_oAsWuCfPvlSFpr.jpg")</f>
        <v>https://pbs.twimg.com/ext_tw_video_thumb/1705649985298022400/pu/img/C_oAsWuCfPvlSFpr.jpg</v>
      </c>
      <c r="AW3102" s="93" t="s">
        <v>21250</v>
      </c>
      <c r="AX3102" s="93" t="s">
        <v>21250</v>
      </c>
      <c r="AY3102" s="87"/>
      <c r="AZ3102" s="93" t="s">
        <v>22668</v>
      </c>
      <c r="BA3102" s="93" t="s">
        <v>22668</v>
      </c>
      <c r="BB3102" s="93" t="s">
        <v>22668</v>
      </c>
      <c r="BC3102" s="93" t="s">
        <v>21250</v>
      </c>
      <c r="BD3102" s="93" t="s">
        <v>23342</v>
      </c>
      <c r="BE3102" s="87"/>
      <c r="BF3102" s="87"/>
      <c r="BG3102" s="87"/>
      <c r="BH3102" s="87"/>
      <c r="BI3102" s="87"/>
    </row>
    <row r="3103" spans="1:61" x14ac:dyDescent="0.25">
      <c r="A3103" s="63" t="s">
        <v>1174</v>
      </c>
      <c r="B3103" s="63" t="s">
        <v>1174</v>
      </c>
      <c r="C3103" s="64"/>
      <c r="D3103" s="65"/>
      <c r="E3103" s="66"/>
      <c r="F3103" s="67"/>
      <c r="G3103" s="64"/>
      <c r="H3103" s="68"/>
      <c r="I3103" s="69"/>
      <c r="J3103" s="69"/>
      <c r="K3103" s="32"/>
      <c r="L3103" s="76">
        <v>3103</v>
      </c>
      <c r="M3103" s="76"/>
      <c r="N3103" s="71"/>
      <c r="O3103" s="87" t="s">
        <v>179</v>
      </c>
      <c r="P3103" s="90">
        <v>45189.571759259263</v>
      </c>
      <c r="Q3103" s="87" t="s">
        <v>4802</v>
      </c>
      <c r="R3103" s="87">
        <v>0</v>
      </c>
      <c r="S3103" s="87">
        <v>0</v>
      </c>
      <c r="T3103" s="87">
        <v>0</v>
      </c>
      <c r="U3103" s="87">
        <v>0</v>
      </c>
      <c r="V3103" s="87">
        <v>33</v>
      </c>
      <c r="W3103" s="93" t="s">
        <v>7622</v>
      </c>
      <c r="X3103" s="87"/>
      <c r="Y3103" s="87"/>
      <c r="Z3103" s="87"/>
      <c r="AA3103" s="87" t="s">
        <v>10734</v>
      </c>
      <c r="AB3103" s="87" t="s">
        <v>11447</v>
      </c>
      <c r="AC3103" s="93" t="s">
        <v>11458</v>
      </c>
      <c r="AD3103" s="87" t="s">
        <v>11519</v>
      </c>
      <c r="AE3103" s="92" t="str">
        <f>HYPERLINK("https://twitter.com/soudiegooliveir/status/1704491434978459867")</f>
        <v>https://twitter.com/soudiegooliveir/status/1704491434978459867</v>
      </c>
      <c r="AF3103" s="90">
        <v>45189.571759259263</v>
      </c>
      <c r="AG3103" s="99">
        <v>45189</v>
      </c>
      <c r="AH3103" s="93" t="s">
        <v>14304</v>
      </c>
      <c r="AI3103" s="87" t="b">
        <v>0</v>
      </c>
      <c r="AJ3103" s="87"/>
      <c r="AK3103" s="87"/>
      <c r="AL3103" s="87"/>
      <c r="AM3103" s="87"/>
      <c r="AN3103" s="87"/>
      <c r="AO3103" s="87"/>
      <c r="AP3103" s="87"/>
      <c r="AQ3103" s="87" t="s">
        <v>17546</v>
      </c>
      <c r="AR3103" s="87">
        <v>25733</v>
      </c>
      <c r="AS3103" s="87"/>
      <c r="AT3103" s="87"/>
      <c r="AU3103" s="87"/>
      <c r="AV3103" s="92" t="str">
        <f>HYPERLINK("https://pbs.twimg.com/ext_tw_video_thumb/1704491367190167552/pu/img/Q4mUOxO_A4jEGFYB.jpg")</f>
        <v>https://pbs.twimg.com/ext_tw_video_thumb/1704491367190167552/pu/img/Q4mUOxO_A4jEGFYB.jpg</v>
      </c>
      <c r="AW3103" s="93" t="s">
        <v>21251</v>
      </c>
      <c r="AX3103" s="93" t="s">
        <v>21251</v>
      </c>
      <c r="AY3103" s="87"/>
      <c r="AZ3103" s="93" t="s">
        <v>22668</v>
      </c>
      <c r="BA3103" s="93" t="s">
        <v>22668</v>
      </c>
      <c r="BB3103" s="93" t="s">
        <v>22668</v>
      </c>
      <c r="BC3103" s="93" t="s">
        <v>21251</v>
      </c>
      <c r="BD3103" s="93" t="s">
        <v>23342</v>
      </c>
      <c r="BE3103" s="87"/>
      <c r="BF3103" s="87"/>
      <c r="BG3103" s="87"/>
      <c r="BH3103" s="87"/>
      <c r="BI3103" s="87"/>
    </row>
    <row r="3104" spans="1:61" x14ac:dyDescent="0.25">
      <c r="A3104" s="63" t="s">
        <v>1174</v>
      </c>
      <c r="B3104" s="63" t="s">
        <v>1174</v>
      </c>
      <c r="C3104" s="64"/>
      <c r="D3104" s="65"/>
      <c r="E3104" s="66"/>
      <c r="F3104" s="67"/>
      <c r="G3104" s="64"/>
      <c r="H3104" s="68"/>
      <c r="I3104" s="69"/>
      <c r="J3104" s="69"/>
      <c r="K3104" s="32"/>
      <c r="L3104" s="76">
        <v>3104</v>
      </c>
      <c r="M3104" s="76"/>
      <c r="N3104" s="71"/>
      <c r="O3104" s="87" t="s">
        <v>179</v>
      </c>
      <c r="P3104" s="90">
        <v>45193.835995370369</v>
      </c>
      <c r="Q3104" s="87" t="s">
        <v>4803</v>
      </c>
      <c r="R3104" s="87">
        <v>0</v>
      </c>
      <c r="S3104" s="87">
        <v>0</v>
      </c>
      <c r="T3104" s="87">
        <v>0</v>
      </c>
      <c r="U3104" s="87">
        <v>0</v>
      </c>
      <c r="V3104" s="87">
        <v>27</v>
      </c>
      <c r="W3104" s="93" t="s">
        <v>7623</v>
      </c>
      <c r="X3104" s="87"/>
      <c r="Y3104" s="87"/>
      <c r="Z3104" s="87"/>
      <c r="AA3104" s="87" t="s">
        <v>10735</v>
      </c>
      <c r="AB3104" s="87" t="s">
        <v>11447</v>
      </c>
      <c r="AC3104" s="93" t="s">
        <v>11458</v>
      </c>
      <c r="AD3104" s="87" t="s">
        <v>11519</v>
      </c>
      <c r="AE3104" s="92" t="str">
        <f>HYPERLINK("https://twitter.com/soudiegooliveir/status/1706036741436514520")</f>
        <v>https://twitter.com/soudiegooliveir/status/1706036741436514520</v>
      </c>
      <c r="AF3104" s="90">
        <v>45193.835995370369</v>
      </c>
      <c r="AG3104" s="99">
        <v>45193</v>
      </c>
      <c r="AH3104" s="93" t="s">
        <v>14305</v>
      </c>
      <c r="AI3104" s="87" t="b">
        <v>0</v>
      </c>
      <c r="AJ3104" s="87"/>
      <c r="AK3104" s="87"/>
      <c r="AL3104" s="87"/>
      <c r="AM3104" s="87"/>
      <c r="AN3104" s="87"/>
      <c r="AO3104" s="87"/>
      <c r="AP3104" s="87"/>
      <c r="AQ3104" s="87" t="s">
        <v>17547</v>
      </c>
      <c r="AR3104" s="87">
        <v>81166</v>
      </c>
      <c r="AS3104" s="87"/>
      <c r="AT3104" s="87"/>
      <c r="AU3104" s="87"/>
      <c r="AV3104" s="92" t="str">
        <f>HYPERLINK("https://pbs.twimg.com/ext_tw_video_thumb/1706036607420149760/pu/img/QCTDqz6BGY2W0ypf.jpg")</f>
        <v>https://pbs.twimg.com/ext_tw_video_thumb/1706036607420149760/pu/img/QCTDqz6BGY2W0ypf.jpg</v>
      </c>
      <c r="AW3104" s="93" t="s">
        <v>21252</v>
      </c>
      <c r="AX3104" s="93" t="s">
        <v>21252</v>
      </c>
      <c r="AY3104" s="87"/>
      <c r="AZ3104" s="93" t="s">
        <v>22668</v>
      </c>
      <c r="BA3104" s="93" t="s">
        <v>22668</v>
      </c>
      <c r="BB3104" s="93" t="s">
        <v>22668</v>
      </c>
      <c r="BC3104" s="93" t="s">
        <v>21252</v>
      </c>
      <c r="BD3104" s="93" t="s">
        <v>23342</v>
      </c>
      <c r="BE3104" s="87"/>
      <c r="BF3104" s="87"/>
      <c r="BG3104" s="87"/>
      <c r="BH3104" s="87"/>
      <c r="BI3104" s="87"/>
    </row>
    <row r="3105" spans="1:61" x14ac:dyDescent="0.25">
      <c r="A3105" s="63" t="s">
        <v>1175</v>
      </c>
      <c r="B3105" s="63" t="s">
        <v>1175</v>
      </c>
      <c r="C3105" s="64"/>
      <c r="D3105" s="65"/>
      <c r="E3105" s="66"/>
      <c r="F3105" s="67"/>
      <c r="G3105" s="64"/>
      <c r="H3105" s="68"/>
      <c r="I3105" s="69"/>
      <c r="J3105" s="69"/>
      <c r="K3105" s="32"/>
      <c r="L3105" s="76">
        <v>3105</v>
      </c>
      <c r="M3105" s="76"/>
      <c r="N3105" s="71"/>
      <c r="O3105" s="87" t="s">
        <v>179</v>
      </c>
      <c r="P3105" s="90">
        <v>45117.960995370369</v>
      </c>
      <c r="Q3105" s="87" t="s">
        <v>4804</v>
      </c>
      <c r="R3105" s="87">
        <v>0</v>
      </c>
      <c r="S3105" s="87">
        <v>0</v>
      </c>
      <c r="T3105" s="87">
        <v>0</v>
      </c>
      <c r="U3105" s="87">
        <v>0</v>
      </c>
      <c r="V3105" s="87">
        <v>4</v>
      </c>
      <c r="W3105" s="93" t="s">
        <v>7624</v>
      </c>
      <c r="X3105" s="92" t="str">
        <f>HYPERLINK("https://bit.ly/43mfySp")</f>
        <v>https://bit.ly/43mfySp</v>
      </c>
      <c r="Y3105" s="87" t="s">
        <v>8374</v>
      </c>
      <c r="Z3105" s="87"/>
      <c r="AA3105" s="87"/>
      <c r="AB3105" s="87"/>
      <c r="AC3105" s="93" t="s">
        <v>11459</v>
      </c>
      <c r="AD3105" s="87" t="s">
        <v>11519</v>
      </c>
      <c r="AE3105" s="92" t="str">
        <f>HYPERLINK("https://twitter.com/empreendacg/status/1678540560716398592")</f>
        <v>https://twitter.com/empreendacg/status/1678540560716398592</v>
      </c>
      <c r="AF3105" s="90">
        <v>45117.960995370369</v>
      </c>
      <c r="AG3105" s="99">
        <v>45117</v>
      </c>
      <c r="AH3105" s="93" t="s">
        <v>14306</v>
      </c>
      <c r="AI3105" s="87" t="b">
        <v>0</v>
      </c>
      <c r="AJ3105" s="87"/>
      <c r="AK3105" s="87"/>
      <c r="AL3105" s="87"/>
      <c r="AM3105" s="87"/>
      <c r="AN3105" s="87"/>
      <c r="AO3105" s="87"/>
      <c r="AP3105" s="87"/>
      <c r="AQ3105" s="87"/>
      <c r="AR3105" s="87"/>
      <c r="AS3105" s="87"/>
      <c r="AT3105" s="87"/>
      <c r="AU3105" s="87"/>
      <c r="AV3105" s="92" t="str">
        <f>HYPERLINK("https://pbs.twimg.com/profile_images/1678251125558878208/MGJbSTNh_normal.jpg")</f>
        <v>https://pbs.twimg.com/profile_images/1678251125558878208/MGJbSTNh_normal.jpg</v>
      </c>
      <c r="AW3105" s="93" t="s">
        <v>21253</v>
      </c>
      <c r="AX3105" s="93" t="s">
        <v>21253</v>
      </c>
      <c r="AY3105" s="87"/>
      <c r="AZ3105" s="93" t="s">
        <v>22668</v>
      </c>
      <c r="BA3105" s="93" t="s">
        <v>22668</v>
      </c>
      <c r="BB3105" s="93" t="s">
        <v>22668</v>
      </c>
      <c r="BC3105" s="93" t="s">
        <v>21253</v>
      </c>
      <c r="BD3105" s="93" t="s">
        <v>23343</v>
      </c>
      <c r="BE3105" s="87"/>
      <c r="BF3105" s="87"/>
      <c r="BG3105" s="87"/>
      <c r="BH3105" s="87"/>
      <c r="BI3105" s="87"/>
    </row>
    <row r="3106" spans="1:61" x14ac:dyDescent="0.25">
      <c r="A3106" s="63" t="s">
        <v>1176</v>
      </c>
      <c r="B3106" s="63" t="s">
        <v>1176</v>
      </c>
      <c r="C3106" s="64"/>
      <c r="D3106" s="65"/>
      <c r="E3106" s="66"/>
      <c r="F3106" s="67"/>
      <c r="G3106" s="64"/>
      <c r="H3106" s="68"/>
      <c r="I3106" s="69"/>
      <c r="J3106" s="69"/>
      <c r="K3106" s="32"/>
      <c r="L3106" s="76">
        <v>3106</v>
      </c>
      <c r="M3106" s="76"/>
      <c r="N3106" s="71"/>
      <c r="O3106" s="87" t="s">
        <v>179</v>
      </c>
      <c r="P3106" s="90">
        <v>45117.861562500002</v>
      </c>
      <c r="Q3106" s="87" t="s">
        <v>4805</v>
      </c>
      <c r="R3106" s="87">
        <v>0</v>
      </c>
      <c r="S3106" s="87">
        <v>0</v>
      </c>
      <c r="T3106" s="87">
        <v>0</v>
      </c>
      <c r="U3106" s="87">
        <v>0</v>
      </c>
      <c r="V3106" s="87">
        <v>1</v>
      </c>
      <c r="W3106" s="93" t="s">
        <v>7625</v>
      </c>
      <c r="X3106" s="92" t="str">
        <f>HYPERLINK("https://blog.temevento.com/buffet-de-pizza-para-eventos/")</f>
        <v>https://blog.temevento.com/buffet-de-pizza-para-eventos/</v>
      </c>
      <c r="Y3106" s="87" t="s">
        <v>8505</v>
      </c>
      <c r="Z3106" s="87"/>
      <c r="AA3106" s="87"/>
      <c r="AB3106" s="87"/>
      <c r="AC3106" s="93" t="s">
        <v>11457</v>
      </c>
      <c r="AD3106" s="87" t="s">
        <v>11519</v>
      </c>
      <c r="AE3106" s="92" t="str">
        <f>HYPERLINK("https://twitter.com/blogtemevento/status/1678504527652069387")</f>
        <v>https://twitter.com/blogtemevento/status/1678504527652069387</v>
      </c>
      <c r="AF3106" s="90">
        <v>45117.861562500002</v>
      </c>
      <c r="AG3106" s="99">
        <v>45117</v>
      </c>
      <c r="AH3106" s="93" t="s">
        <v>14307</v>
      </c>
      <c r="AI3106" s="87" t="b">
        <v>0</v>
      </c>
      <c r="AJ3106" s="87"/>
      <c r="AK3106" s="87"/>
      <c r="AL3106" s="87"/>
      <c r="AM3106" s="87"/>
      <c r="AN3106" s="87"/>
      <c r="AO3106" s="87"/>
      <c r="AP3106" s="87"/>
      <c r="AQ3106" s="87"/>
      <c r="AR3106" s="87"/>
      <c r="AS3106" s="87"/>
      <c r="AT3106" s="87"/>
      <c r="AU3106" s="87"/>
      <c r="AV3106" s="92" t="str">
        <f>HYPERLINK("https://pbs.twimg.com/profile_images/1630618204123938836/vgB6wz-F_normal.jpg")</f>
        <v>https://pbs.twimg.com/profile_images/1630618204123938836/vgB6wz-F_normal.jpg</v>
      </c>
      <c r="AW3106" s="93" t="s">
        <v>21254</v>
      </c>
      <c r="AX3106" s="93" t="s">
        <v>21254</v>
      </c>
      <c r="AY3106" s="87"/>
      <c r="AZ3106" s="93" t="s">
        <v>22668</v>
      </c>
      <c r="BA3106" s="93" t="s">
        <v>22668</v>
      </c>
      <c r="BB3106" s="93" t="s">
        <v>22668</v>
      </c>
      <c r="BC3106" s="93" t="s">
        <v>21254</v>
      </c>
      <c r="BD3106" s="93" t="s">
        <v>23344</v>
      </c>
      <c r="BE3106" s="87"/>
      <c r="BF3106" s="87"/>
      <c r="BG3106" s="87"/>
      <c r="BH3106" s="87"/>
      <c r="BI3106" s="87"/>
    </row>
    <row r="3107" spans="1:61" x14ac:dyDescent="0.25">
      <c r="A3107" s="63" t="s">
        <v>1177</v>
      </c>
      <c r="B3107" s="63" t="s">
        <v>1177</v>
      </c>
      <c r="C3107" s="64"/>
      <c r="D3107" s="65"/>
      <c r="E3107" s="66"/>
      <c r="F3107" s="67"/>
      <c r="G3107" s="64"/>
      <c r="H3107" s="68"/>
      <c r="I3107" s="69"/>
      <c r="J3107" s="69"/>
      <c r="K3107" s="32"/>
      <c r="L3107" s="76">
        <v>3107</v>
      </c>
      <c r="M3107" s="76"/>
      <c r="N3107" s="71"/>
      <c r="O3107" s="87" t="s">
        <v>179</v>
      </c>
      <c r="P3107" s="90">
        <v>45150.980219907404</v>
      </c>
      <c r="Q3107" s="87" t="s">
        <v>4806</v>
      </c>
      <c r="R3107" s="87">
        <v>0</v>
      </c>
      <c r="S3107" s="87">
        <v>1</v>
      </c>
      <c r="T3107" s="87">
        <v>1</v>
      </c>
      <c r="U3107" s="87">
        <v>0</v>
      </c>
      <c r="V3107" s="87">
        <v>26</v>
      </c>
      <c r="W3107" s="93" t="s">
        <v>7626</v>
      </c>
      <c r="X3107" s="92" t="str">
        <f>HYPERLINK("https://vm.tiktok.com/ZM2TMkt4J/")</f>
        <v>https://vm.tiktok.com/ZM2TMkt4J/</v>
      </c>
      <c r="Y3107" s="87" t="s">
        <v>8398</v>
      </c>
      <c r="Z3107" s="87"/>
      <c r="AA3107" s="87"/>
      <c r="AB3107" s="87"/>
      <c r="AC3107" s="93" t="s">
        <v>11459</v>
      </c>
      <c r="AD3107" s="87" t="s">
        <v>11519</v>
      </c>
      <c r="AE3107" s="92" t="str">
        <f>HYPERLINK("https://twitter.com/vagner_caldas/status/1690506328928624640")</f>
        <v>https://twitter.com/vagner_caldas/status/1690506328928624640</v>
      </c>
      <c r="AF3107" s="90">
        <v>45150.980219907404</v>
      </c>
      <c r="AG3107" s="99">
        <v>45150</v>
      </c>
      <c r="AH3107" s="93" t="s">
        <v>14308</v>
      </c>
      <c r="AI3107" s="87" t="b">
        <v>0</v>
      </c>
      <c r="AJ3107" s="87"/>
      <c r="AK3107" s="87"/>
      <c r="AL3107" s="87"/>
      <c r="AM3107" s="87"/>
      <c r="AN3107" s="87"/>
      <c r="AO3107" s="87"/>
      <c r="AP3107" s="87"/>
      <c r="AQ3107" s="87"/>
      <c r="AR3107" s="87"/>
      <c r="AS3107" s="87"/>
      <c r="AT3107" s="87"/>
      <c r="AU3107" s="87"/>
      <c r="AV3107" s="92" t="str">
        <f>HYPERLINK("https://pbs.twimg.com/profile_images/1226620108451217409/7hxuic5__normal.jpg")</f>
        <v>https://pbs.twimg.com/profile_images/1226620108451217409/7hxuic5__normal.jpg</v>
      </c>
      <c r="AW3107" s="93" t="s">
        <v>21255</v>
      </c>
      <c r="AX3107" s="93" t="s">
        <v>21255</v>
      </c>
      <c r="AY3107" s="87"/>
      <c r="AZ3107" s="93" t="s">
        <v>22668</v>
      </c>
      <c r="BA3107" s="93" t="s">
        <v>22668</v>
      </c>
      <c r="BB3107" s="93" t="s">
        <v>22668</v>
      </c>
      <c r="BC3107" s="93" t="s">
        <v>21255</v>
      </c>
      <c r="BD3107" s="87">
        <v>255237609</v>
      </c>
      <c r="BE3107" s="87"/>
      <c r="BF3107" s="87"/>
      <c r="BG3107" s="87"/>
      <c r="BH3107" s="87"/>
      <c r="BI3107" s="87"/>
    </row>
    <row r="3108" spans="1:61" x14ac:dyDescent="0.25">
      <c r="A3108" s="63" t="s">
        <v>1178</v>
      </c>
      <c r="B3108" s="63" t="s">
        <v>1178</v>
      </c>
      <c r="C3108" s="64"/>
      <c r="D3108" s="65"/>
      <c r="E3108" s="66"/>
      <c r="F3108" s="67"/>
      <c r="G3108" s="64"/>
      <c r="H3108" s="68"/>
      <c r="I3108" s="69"/>
      <c r="J3108" s="69"/>
      <c r="K3108" s="32"/>
      <c r="L3108" s="76">
        <v>3108</v>
      </c>
      <c r="M3108" s="76"/>
      <c r="N3108" s="71"/>
      <c r="O3108" s="87" t="s">
        <v>179</v>
      </c>
      <c r="P3108" s="90">
        <v>45182.458912037036</v>
      </c>
      <c r="Q3108" s="87" t="s">
        <v>4807</v>
      </c>
      <c r="R3108" s="87">
        <v>0</v>
      </c>
      <c r="S3108" s="87">
        <v>0</v>
      </c>
      <c r="T3108" s="87">
        <v>0</v>
      </c>
      <c r="U3108" s="87">
        <v>0</v>
      </c>
      <c r="V3108" s="87">
        <v>4</v>
      </c>
      <c r="W3108" s="93" t="s">
        <v>7627</v>
      </c>
      <c r="X3108" s="92" t="str">
        <f>HYPERLINK("http://www.grupomarkar-net.com")</f>
        <v>http://www.grupomarkar-net.com</v>
      </c>
      <c r="Y3108" s="87" t="s">
        <v>8506</v>
      </c>
      <c r="Z3108" s="87"/>
      <c r="AA3108" s="87" t="s">
        <v>10736</v>
      </c>
      <c r="AB3108" s="87" t="s">
        <v>11448</v>
      </c>
      <c r="AC3108" s="93" t="s">
        <v>11460</v>
      </c>
      <c r="AD3108" s="87" t="s">
        <v>11519</v>
      </c>
      <c r="AE3108" s="92" t="str">
        <f>HYPERLINK("https://twitter.com/e_markar/status/1701913823412715611")</f>
        <v>https://twitter.com/e_markar/status/1701913823412715611</v>
      </c>
      <c r="AF3108" s="90">
        <v>45182.458912037036</v>
      </c>
      <c r="AG3108" s="99">
        <v>45182</v>
      </c>
      <c r="AH3108" s="93" t="s">
        <v>14309</v>
      </c>
      <c r="AI3108" s="87" t="b">
        <v>0</v>
      </c>
      <c r="AJ3108" s="87"/>
      <c r="AK3108" s="87"/>
      <c r="AL3108" s="87"/>
      <c r="AM3108" s="87"/>
      <c r="AN3108" s="87"/>
      <c r="AO3108" s="87"/>
      <c r="AP3108" s="87"/>
      <c r="AQ3108" s="87" t="s">
        <v>17548</v>
      </c>
      <c r="AR3108" s="87"/>
      <c r="AS3108" s="87"/>
      <c r="AT3108" s="87"/>
      <c r="AU3108" s="87"/>
      <c r="AV3108" s="92" t="str">
        <f>HYPERLINK("https://pbs.twimg.com/media/F55pmmxXsAAa5nD.jpg")</f>
        <v>https://pbs.twimg.com/media/F55pmmxXsAAa5nD.jpg</v>
      </c>
      <c r="AW3108" s="93" t="s">
        <v>21256</v>
      </c>
      <c r="AX3108" s="93" t="s">
        <v>21256</v>
      </c>
      <c r="AY3108" s="87"/>
      <c r="AZ3108" s="93" t="s">
        <v>22668</v>
      </c>
      <c r="BA3108" s="93" t="s">
        <v>22668</v>
      </c>
      <c r="BB3108" s="93" t="s">
        <v>22668</v>
      </c>
      <c r="BC3108" s="93" t="s">
        <v>21256</v>
      </c>
      <c r="BD3108" s="93" t="s">
        <v>23345</v>
      </c>
      <c r="BE3108" s="87"/>
      <c r="BF3108" s="87"/>
      <c r="BG3108" s="87"/>
      <c r="BH3108" s="87"/>
      <c r="BI3108" s="87"/>
    </row>
    <row r="3109" spans="1:61" x14ac:dyDescent="0.25">
      <c r="A3109" s="63" t="s">
        <v>1178</v>
      </c>
      <c r="B3109" s="63" t="s">
        <v>1178</v>
      </c>
      <c r="C3109" s="64"/>
      <c r="D3109" s="65"/>
      <c r="E3109" s="66"/>
      <c r="F3109" s="67"/>
      <c r="G3109" s="64"/>
      <c r="H3109" s="68"/>
      <c r="I3109" s="69"/>
      <c r="J3109" s="69"/>
      <c r="K3109" s="32"/>
      <c r="L3109" s="76">
        <v>3109</v>
      </c>
      <c r="M3109" s="76"/>
      <c r="N3109" s="71"/>
      <c r="O3109" s="87" t="s">
        <v>179</v>
      </c>
      <c r="P3109" s="90">
        <v>45175.458923611113</v>
      </c>
      <c r="Q3109" s="87" t="s">
        <v>4808</v>
      </c>
      <c r="R3109" s="87">
        <v>0</v>
      </c>
      <c r="S3109" s="87">
        <v>0</v>
      </c>
      <c r="T3109" s="87">
        <v>0</v>
      </c>
      <c r="U3109" s="87">
        <v>0</v>
      </c>
      <c r="V3109" s="87">
        <v>3</v>
      </c>
      <c r="W3109" s="93" t="s">
        <v>7627</v>
      </c>
      <c r="X3109" s="92" t="str">
        <f>HYPERLINK("http://www.grupomarkar-net.com")</f>
        <v>http://www.grupomarkar-net.com</v>
      </c>
      <c r="Y3109" s="87" t="s">
        <v>8506</v>
      </c>
      <c r="Z3109" s="87"/>
      <c r="AA3109" s="87" t="s">
        <v>10737</v>
      </c>
      <c r="AB3109" s="87" t="s">
        <v>11448</v>
      </c>
      <c r="AC3109" s="93" t="s">
        <v>11460</v>
      </c>
      <c r="AD3109" s="87" t="s">
        <v>11519</v>
      </c>
      <c r="AE3109" s="92" t="str">
        <f>HYPERLINK("https://twitter.com/e_markar/status/1699377113067888664")</f>
        <v>https://twitter.com/e_markar/status/1699377113067888664</v>
      </c>
      <c r="AF3109" s="90">
        <v>45175.458923611113</v>
      </c>
      <c r="AG3109" s="99">
        <v>45175</v>
      </c>
      <c r="AH3109" s="93" t="s">
        <v>14310</v>
      </c>
      <c r="AI3109" s="87" t="b">
        <v>0</v>
      </c>
      <c r="AJ3109" s="87"/>
      <c r="AK3109" s="87"/>
      <c r="AL3109" s="87"/>
      <c r="AM3109" s="87"/>
      <c r="AN3109" s="87"/>
      <c r="AO3109" s="87"/>
      <c r="AP3109" s="87"/>
      <c r="AQ3109" s="87" t="s">
        <v>17549</v>
      </c>
      <c r="AR3109" s="87"/>
      <c r="AS3109" s="87"/>
      <c r="AT3109" s="87"/>
      <c r="AU3109" s="87"/>
      <c r="AV3109" s="92" t="str">
        <f>HYPERLINK("https://pbs.twimg.com/media/F5Vmeo6WUAAx3Xs.jpg")</f>
        <v>https://pbs.twimg.com/media/F5Vmeo6WUAAx3Xs.jpg</v>
      </c>
      <c r="AW3109" s="93" t="s">
        <v>21257</v>
      </c>
      <c r="AX3109" s="93" t="s">
        <v>21257</v>
      </c>
      <c r="AY3109" s="87"/>
      <c r="AZ3109" s="93" t="s">
        <v>22668</v>
      </c>
      <c r="BA3109" s="93" t="s">
        <v>22668</v>
      </c>
      <c r="BB3109" s="93" t="s">
        <v>22668</v>
      </c>
      <c r="BC3109" s="93" t="s">
        <v>21257</v>
      </c>
      <c r="BD3109" s="93" t="s">
        <v>23345</v>
      </c>
      <c r="BE3109" s="87"/>
      <c r="BF3109" s="87"/>
      <c r="BG3109" s="87"/>
      <c r="BH3109" s="87"/>
      <c r="BI3109" s="87"/>
    </row>
    <row r="3110" spans="1:61" x14ac:dyDescent="0.25">
      <c r="A3110" s="63" t="s">
        <v>1178</v>
      </c>
      <c r="B3110" s="63" t="s">
        <v>1178</v>
      </c>
      <c r="C3110" s="64"/>
      <c r="D3110" s="65"/>
      <c r="E3110" s="66"/>
      <c r="F3110" s="67"/>
      <c r="G3110" s="64"/>
      <c r="H3110" s="68"/>
      <c r="I3110" s="69"/>
      <c r="J3110" s="69"/>
      <c r="K3110" s="32"/>
      <c r="L3110" s="76">
        <v>3110</v>
      </c>
      <c r="M3110" s="76"/>
      <c r="N3110" s="71"/>
      <c r="O3110" s="87" t="s">
        <v>179</v>
      </c>
      <c r="P3110" s="90">
        <v>45154.458923611113</v>
      </c>
      <c r="Q3110" s="87" t="s">
        <v>4809</v>
      </c>
      <c r="R3110" s="87">
        <v>0</v>
      </c>
      <c r="S3110" s="87">
        <v>0</v>
      </c>
      <c r="T3110" s="87">
        <v>0</v>
      </c>
      <c r="U3110" s="87">
        <v>0</v>
      </c>
      <c r="V3110" s="87">
        <v>4</v>
      </c>
      <c r="W3110" s="93" t="s">
        <v>7627</v>
      </c>
      <c r="X3110" s="92" t="str">
        <f>HYPERLINK("http://www.grupomarkar-net.com")</f>
        <v>http://www.grupomarkar-net.com</v>
      </c>
      <c r="Y3110" s="87" t="s">
        <v>8506</v>
      </c>
      <c r="Z3110" s="87"/>
      <c r="AA3110" s="87" t="s">
        <v>10738</v>
      </c>
      <c r="AB3110" s="87" t="s">
        <v>11448</v>
      </c>
      <c r="AC3110" s="93" t="s">
        <v>11460</v>
      </c>
      <c r="AD3110" s="87" t="s">
        <v>11519</v>
      </c>
      <c r="AE3110" s="92" t="str">
        <f>HYPERLINK("https://twitter.com/e_markar/status/1691766970390090042")</f>
        <v>https://twitter.com/e_markar/status/1691766970390090042</v>
      </c>
      <c r="AF3110" s="90">
        <v>45154.458923611113</v>
      </c>
      <c r="AG3110" s="99">
        <v>45154</v>
      </c>
      <c r="AH3110" s="93" t="s">
        <v>14310</v>
      </c>
      <c r="AI3110" s="87" t="b">
        <v>0</v>
      </c>
      <c r="AJ3110" s="87"/>
      <c r="AK3110" s="87"/>
      <c r="AL3110" s="87"/>
      <c r="AM3110" s="87"/>
      <c r="AN3110" s="87"/>
      <c r="AO3110" s="87"/>
      <c r="AP3110" s="87"/>
      <c r="AQ3110" s="87" t="s">
        <v>17550</v>
      </c>
      <c r="AR3110" s="87"/>
      <c r="AS3110" s="87"/>
      <c r="AT3110" s="87"/>
      <c r="AU3110" s="87"/>
      <c r="AV3110" s="92" t="str">
        <f>HYPERLINK("https://pbs.twimg.com/media/F3pdGBgXoAEdbXX.jpg")</f>
        <v>https://pbs.twimg.com/media/F3pdGBgXoAEdbXX.jpg</v>
      </c>
      <c r="AW3110" s="93" t="s">
        <v>21258</v>
      </c>
      <c r="AX3110" s="93" t="s">
        <v>21258</v>
      </c>
      <c r="AY3110" s="87"/>
      <c r="AZ3110" s="93" t="s">
        <v>22668</v>
      </c>
      <c r="BA3110" s="93" t="s">
        <v>22668</v>
      </c>
      <c r="BB3110" s="93" t="s">
        <v>22668</v>
      </c>
      <c r="BC3110" s="93" t="s">
        <v>21258</v>
      </c>
      <c r="BD3110" s="93" t="s">
        <v>23345</v>
      </c>
      <c r="BE3110" s="87"/>
      <c r="BF3110" s="87"/>
      <c r="BG3110" s="87"/>
      <c r="BH3110" s="87"/>
      <c r="BI3110" s="87"/>
    </row>
    <row r="3111" spans="1:61" x14ac:dyDescent="0.25">
      <c r="A3111" s="63" t="s">
        <v>1178</v>
      </c>
      <c r="B3111" s="63" t="s">
        <v>1178</v>
      </c>
      <c r="C3111" s="64"/>
      <c r="D3111" s="65"/>
      <c r="E3111" s="66"/>
      <c r="F3111" s="67"/>
      <c r="G3111" s="64"/>
      <c r="H3111" s="68"/>
      <c r="I3111" s="69"/>
      <c r="J3111" s="69"/>
      <c r="K3111" s="32"/>
      <c r="L3111" s="76">
        <v>3111</v>
      </c>
      <c r="M3111" s="76"/>
      <c r="N3111" s="71"/>
      <c r="O3111" s="87" t="s">
        <v>179</v>
      </c>
      <c r="P3111" s="90">
        <v>45141.458865740744</v>
      </c>
      <c r="Q3111" s="87" t="s">
        <v>4810</v>
      </c>
      <c r="R3111" s="87">
        <v>0</v>
      </c>
      <c r="S3111" s="87">
        <v>0</v>
      </c>
      <c r="T3111" s="87">
        <v>0</v>
      </c>
      <c r="U3111" s="87">
        <v>0</v>
      </c>
      <c r="V3111" s="87">
        <v>2</v>
      </c>
      <c r="W3111" s="93" t="s">
        <v>7627</v>
      </c>
      <c r="X3111" s="92" t="str">
        <f>HYPERLINK("http://www.grupomarkar-net.com")</f>
        <v>http://www.grupomarkar-net.com</v>
      </c>
      <c r="Y3111" s="87" t="s">
        <v>8506</v>
      </c>
      <c r="Z3111" s="87"/>
      <c r="AA3111" s="87" t="s">
        <v>10739</v>
      </c>
      <c r="AB3111" s="87" t="s">
        <v>11448</v>
      </c>
      <c r="AC3111" s="93" t="s">
        <v>11460</v>
      </c>
      <c r="AD3111" s="87" t="s">
        <v>11519</v>
      </c>
      <c r="AE3111" s="92" t="str">
        <f>HYPERLINK("https://twitter.com/e_markar/status/1687055906079449088")</f>
        <v>https://twitter.com/e_markar/status/1687055906079449088</v>
      </c>
      <c r="AF3111" s="90">
        <v>45141.458865740744</v>
      </c>
      <c r="AG3111" s="99">
        <v>45141</v>
      </c>
      <c r="AH3111" s="93" t="s">
        <v>12094</v>
      </c>
      <c r="AI3111" s="87" t="b">
        <v>0</v>
      </c>
      <c r="AJ3111" s="87"/>
      <c r="AK3111" s="87"/>
      <c r="AL3111" s="87"/>
      <c r="AM3111" s="87"/>
      <c r="AN3111" s="87"/>
      <c r="AO3111" s="87"/>
      <c r="AP3111" s="87"/>
      <c r="AQ3111" s="87" t="s">
        <v>17551</v>
      </c>
      <c r="AR3111" s="87"/>
      <c r="AS3111" s="87"/>
      <c r="AT3111" s="87"/>
      <c r="AU3111" s="87"/>
      <c r="AV3111" s="92" t="str">
        <f>HYPERLINK("https://pbs.twimg.com/media/F2mgaAyXoAI2l9l.jpg")</f>
        <v>https://pbs.twimg.com/media/F2mgaAyXoAI2l9l.jpg</v>
      </c>
      <c r="AW3111" s="93" t="s">
        <v>21259</v>
      </c>
      <c r="AX3111" s="93" t="s">
        <v>21259</v>
      </c>
      <c r="AY3111" s="87"/>
      <c r="AZ3111" s="93" t="s">
        <v>22668</v>
      </c>
      <c r="BA3111" s="93" t="s">
        <v>22668</v>
      </c>
      <c r="BB3111" s="93" t="s">
        <v>22668</v>
      </c>
      <c r="BC3111" s="93" t="s">
        <v>21259</v>
      </c>
      <c r="BD3111" s="93" t="s">
        <v>23345</v>
      </c>
      <c r="BE3111" s="87"/>
      <c r="BF3111" s="87"/>
      <c r="BG3111" s="87"/>
      <c r="BH3111" s="87"/>
      <c r="BI3111" s="87"/>
    </row>
    <row r="3112" spans="1:61" x14ac:dyDescent="0.25">
      <c r="A3112" s="63" t="s">
        <v>1178</v>
      </c>
      <c r="B3112" s="63" t="s">
        <v>1178</v>
      </c>
      <c r="C3112" s="64"/>
      <c r="D3112" s="65"/>
      <c r="E3112" s="66"/>
      <c r="F3112" s="67"/>
      <c r="G3112" s="64"/>
      <c r="H3112" s="68"/>
      <c r="I3112" s="69"/>
      <c r="J3112" s="69"/>
      <c r="K3112" s="32"/>
      <c r="L3112" s="76">
        <v>3112</v>
      </c>
      <c r="M3112" s="76"/>
      <c r="N3112" s="71"/>
      <c r="O3112" s="87" t="s">
        <v>179</v>
      </c>
      <c r="P3112" s="90">
        <v>45181.458854166667</v>
      </c>
      <c r="Q3112" s="87" t="s">
        <v>4811</v>
      </c>
      <c r="R3112" s="87">
        <v>0</v>
      </c>
      <c r="S3112" s="87">
        <v>0</v>
      </c>
      <c r="T3112" s="87">
        <v>0</v>
      </c>
      <c r="U3112" s="87">
        <v>0</v>
      </c>
      <c r="V3112" s="87">
        <v>6</v>
      </c>
      <c r="W3112" s="93" t="s">
        <v>7627</v>
      </c>
      <c r="X3112" s="92" t="str">
        <f>HYPERLINK("http://www.grupomarkar-net.com")</f>
        <v>http://www.grupomarkar-net.com</v>
      </c>
      <c r="Y3112" s="87" t="s">
        <v>8506</v>
      </c>
      <c r="Z3112" s="87"/>
      <c r="AA3112" s="87" t="s">
        <v>10740</v>
      </c>
      <c r="AB3112" s="87" t="s">
        <v>11448</v>
      </c>
      <c r="AC3112" s="93" t="s">
        <v>11460</v>
      </c>
      <c r="AD3112" s="87" t="s">
        <v>11519</v>
      </c>
      <c r="AE3112" s="92" t="str">
        <f>HYPERLINK("https://twitter.com/e_markar/status/1701551417805214029")</f>
        <v>https://twitter.com/e_markar/status/1701551417805214029</v>
      </c>
      <c r="AF3112" s="90">
        <v>45181.458854166667</v>
      </c>
      <c r="AG3112" s="99">
        <v>45181</v>
      </c>
      <c r="AH3112" s="93" t="s">
        <v>12184</v>
      </c>
      <c r="AI3112" s="87" t="b">
        <v>0</v>
      </c>
      <c r="AJ3112" s="87"/>
      <c r="AK3112" s="87"/>
      <c r="AL3112" s="87"/>
      <c r="AM3112" s="87"/>
      <c r="AN3112" s="87"/>
      <c r="AO3112" s="87"/>
      <c r="AP3112" s="87"/>
      <c r="AQ3112" s="87" t="s">
        <v>17552</v>
      </c>
      <c r="AR3112" s="87"/>
      <c r="AS3112" s="87"/>
      <c r="AT3112" s="87"/>
      <c r="AU3112" s="87"/>
      <c r="AV3112" s="92" t="str">
        <f>HYPERLINK("https://pbs.twimg.com/media/F50f_0dWAAEsLVj.jpg")</f>
        <v>https://pbs.twimg.com/media/F50f_0dWAAEsLVj.jpg</v>
      </c>
      <c r="AW3112" s="93" t="s">
        <v>21260</v>
      </c>
      <c r="AX3112" s="93" t="s">
        <v>21260</v>
      </c>
      <c r="AY3112" s="87"/>
      <c r="AZ3112" s="93" t="s">
        <v>22668</v>
      </c>
      <c r="BA3112" s="93" t="s">
        <v>22668</v>
      </c>
      <c r="BB3112" s="93" t="s">
        <v>22668</v>
      </c>
      <c r="BC3112" s="93" t="s">
        <v>21260</v>
      </c>
      <c r="BD3112" s="93" t="s">
        <v>23345</v>
      </c>
      <c r="BE3112" s="87"/>
      <c r="BF3112" s="87"/>
      <c r="BG3112" s="87"/>
      <c r="BH3112" s="87"/>
      <c r="BI3112" s="87"/>
    </row>
    <row r="3113" spans="1:61" x14ac:dyDescent="0.25">
      <c r="A3113" s="63" t="s">
        <v>1178</v>
      </c>
      <c r="B3113" s="63" t="s">
        <v>1178</v>
      </c>
      <c r="C3113" s="64"/>
      <c r="D3113" s="65"/>
      <c r="E3113" s="66"/>
      <c r="F3113" s="67"/>
      <c r="G3113" s="64"/>
      <c r="H3113" s="68"/>
      <c r="I3113" s="69"/>
      <c r="J3113" s="69"/>
      <c r="K3113" s="32"/>
      <c r="L3113" s="76">
        <v>3113</v>
      </c>
      <c r="M3113" s="76"/>
      <c r="N3113" s="71"/>
      <c r="O3113" s="87" t="s">
        <v>179</v>
      </c>
      <c r="P3113" s="90">
        <v>45162.458877314813</v>
      </c>
      <c r="Q3113" s="87" t="s">
        <v>4812</v>
      </c>
      <c r="R3113" s="87">
        <v>0</v>
      </c>
      <c r="S3113" s="87">
        <v>0</v>
      </c>
      <c r="T3113" s="87">
        <v>0</v>
      </c>
      <c r="U3113" s="87">
        <v>0</v>
      </c>
      <c r="V3113" s="87"/>
      <c r="W3113" s="93" t="s">
        <v>7627</v>
      </c>
      <c r="X3113" s="92" t="str">
        <f>HYPERLINK("http://www.grupomarkar-net.com")</f>
        <v>http://www.grupomarkar-net.com</v>
      </c>
      <c r="Y3113" s="87" t="s">
        <v>8506</v>
      </c>
      <c r="Z3113" s="87"/>
      <c r="AA3113" s="87" t="s">
        <v>10741</v>
      </c>
      <c r="AB3113" s="87" t="s">
        <v>11448</v>
      </c>
      <c r="AC3113" s="93" t="s">
        <v>11460</v>
      </c>
      <c r="AD3113" s="87" t="s">
        <v>11519</v>
      </c>
      <c r="AE3113" s="92" t="str">
        <f>HYPERLINK("https://twitter.com/e_markar/status/1694666054738305327")</f>
        <v>https://twitter.com/e_markar/status/1694666054738305327</v>
      </c>
      <c r="AF3113" s="90">
        <v>45162.458877314813</v>
      </c>
      <c r="AG3113" s="99">
        <v>45162</v>
      </c>
      <c r="AH3113" s="93" t="s">
        <v>14311</v>
      </c>
      <c r="AI3113" s="87" t="b">
        <v>0</v>
      </c>
      <c r="AJ3113" s="87"/>
      <c r="AK3113" s="87"/>
      <c r="AL3113" s="87"/>
      <c r="AM3113" s="87"/>
      <c r="AN3113" s="87"/>
      <c r="AO3113" s="87"/>
      <c r="AP3113" s="87"/>
      <c r="AQ3113" s="87" t="s">
        <v>17553</v>
      </c>
      <c r="AR3113" s="87"/>
      <c r="AS3113" s="87"/>
      <c r="AT3113" s="87"/>
      <c r="AU3113" s="87"/>
      <c r="AV3113" s="92" t="str">
        <f>HYPERLINK("https://pbs.twimg.com/media/F4Spy6yXYAA2jPJ.jpg")</f>
        <v>https://pbs.twimg.com/media/F4Spy6yXYAA2jPJ.jpg</v>
      </c>
      <c r="AW3113" s="93" t="s">
        <v>21261</v>
      </c>
      <c r="AX3113" s="93" t="s">
        <v>21261</v>
      </c>
      <c r="AY3113" s="87"/>
      <c r="AZ3113" s="93" t="s">
        <v>22668</v>
      </c>
      <c r="BA3113" s="93" t="s">
        <v>22668</v>
      </c>
      <c r="BB3113" s="93" t="s">
        <v>22668</v>
      </c>
      <c r="BC3113" s="93" t="s">
        <v>21261</v>
      </c>
      <c r="BD3113" s="93" t="s">
        <v>23345</v>
      </c>
      <c r="BE3113" s="87"/>
      <c r="BF3113" s="87"/>
      <c r="BG3113" s="87"/>
      <c r="BH3113" s="87"/>
      <c r="BI3113" s="87"/>
    </row>
    <row r="3114" spans="1:61" x14ac:dyDescent="0.25">
      <c r="A3114" s="63" t="s">
        <v>1178</v>
      </c>
      <c r="B3114" s="63" t="s">
        <v>1178</v>
      </c>
      <c r="C3114" s="64"/>
      <c r="D3114" s="65"/>
      <c r="E3114" s="66"/>
      <c r="F3114" s="67"/>
      <c r="G3114" s="64"/>
      <c r="H3114" s="68"/>
      <c r="I3114" s="69"/>
      <c r="J3114" s="69"/>
      <c r="K3114" s="32"/>
      <c r="L3114" s="76">
        <v>3114</v>
      </c>
      <c r="M3114" s="76"/>
      <c r="N3114" s="71"/>
      <c r="O3114" s="87" t="s">
        <v>179</v>
      </c>
      <c r="P3114" s="90">
        <v>45118.458912037036</v>
      </c>
      <c r="Q3114" s="87" t="s">
        <v>4813</v>
      </c>
      <c r="R3114" s="87">
        <v>0</v>
      </c>
      <c r="S3114" s="87">
        <v>0</v>
      </c>
      <c r="T3114" s="87">
        <v>0</v>
      </c>
      <c r="U3114" s="87">
        <v>0</v>
      </c>
      <c r="V3114" s="87">
        <v>1</v>
      </c>
      <c r="W3114" s="93" t="s">
        <v>7627</v>
      </c>
      <c r="X3114" s="92" t="str">
        <f>HYPERLINK("http://www.grupomarkar-net.com")</f>
        <v>http://www.grupomarkar-net.com</v>
      </c>
      <c r="Y3114" s="87" t="s">
        <v>8506</v>
      </c>
      <c r="Z3114" s="87"/>
      <c r="AA3114" s="87" t="s">
        <v>10742</v>
      </c>
      <c r="AB3114" s="87" t="s">
        <v>11448</v>
      </c>
      <c r="AC3114" s="93" t="s">
        <v>11460</v>
      </c>
      <c r="AD3114" s="87" t="s">
        <v>11519</v>
      </c>
      <c r="AE3114" s="92" t="str">
        <f>HYPERLINK("https://twitter.com/e_markar/status/1678721003306795009")</f>
        <v>https://twitter.com/e_markar/status/1678721003306795009</v>
      </c>
      <c r="AF3114" s="90">
        <v>45118.458912037036</v>
      </c>
      <c r="AG3114" s="99">
        <v>45118</v>
      </c>
      <c r="AH3114" s="93" t="s">
        <v>14309</v>
      </c>
      <c r="AI3114" s="87" t="b">
        <v>0</v>
      </c>
      <c r="AJ3114" s="87"/>
      <c r="AK3114" s="87"/>
      <c r="AL3114" s="87"/>
      <c r="AM3114" s="87"/>
      <c r="AN3114" s="87"/>
      <c r="AO3114" s="87"/>
      <c r="AP3114" s="87"/>
      <c r="AQ3114" s="87" t="s">
        <v>17554</v>
      </c>
      <c r="AR3114" s="87"/>
      <c r="AS3114" s="87"/>
      <c r="AT3114" s="87"/>
      <c r="AU3114" s="87"/>
      <c r="AV3114" s="92" t="str">
        <f>HYPERLINK("https://pbs.twimg.com/media/F0wD2yxWcAIcFPp.jpg")</f>
        <v>https://pbs.twimg.com/media/F0wD2yxWcAIcFPp.jpg</v>
      </c>
      <c r="AW3114" s="93" t="s">
        <v>21262</v>
      </c>
      <c r="AX3114" s="93" t="s">
        <v>21262</v>
      </c>
      <c r="AY3114" s="87"/>
      <c r="AZ3114" s="93" t="s">
        <v>22668</v>
      </c>
      <c r="BA3114" s="93" t="s">
        <v>22668</v>
      </c>
      <c r="BB3114" s="93" t="s">
        <v>22668</v>
      </c>
      <c r="BC3114" s="93" t="s">
        <v>21262</v>
      </c>
      <c r="BD3114" s="93" t="s">
        <v>23345</v>
      </c>
      <c r="BE3114" s="87"/>
      <c r="BF3114" s="87"/>
      <c r="BG3114" s="87"/>
      <c r="BH3114" s="87"/>
      <c r="BI3114" s="87"/>
    </row>
    <row r="3115" spans="1:61" x14ac:dyDescent="0.25">
      <c r="A3115" s="63" t="s">
        <v>1178</v>
      </c>
      <c r="B3115" s="63" t="s">
        <v>1178</v>
      </c>
      <c r="C3115" s="64"/>
      <c r="D3115" s="65"/>
      <c r="E3115" s="66"/>
      <c r="F3115" s="67"/>
      <c r="G3115" s="64"/>
      <c r="H3115" s="68"/>
      <c r="I3115" s="69"/>
      <c r="J3115" s="69"/>
      <c r="K3115" s="32"/>
      <c r="L3115" s="76">
        <v>3115</v>
      </c>
      <c r="M3115" s="76"/>
      <c r="N3115" s="71"/>
      <c r="O3115" s="87" t="s">
        <v>179</v>
      </c>
      <c r="P3115" s="90">
        <v>45183.45890046296</v>
      </c>
      <c r="Q3115" s="87" t="s">
        <v>4814</v>
      </c>
      <c r="R3115" s="87">
        <v>0</v>
      </c>
      <c r="S3115" s="87">
        <v>0</v>
      </c>
      <c r="T3115" s="87">
        <v>0</v>
      </c>
      <c r="U3115" s="87">
        <v>0</v>
      </c>
      <c r="V3115" s="87">
        <v>5</v>
      </c>
      <c r="W3115" s="93" t="s">
        <v>7627</v>
      </c>
      <c r="X3115" s="92" t="str">
        <f>HYPERLINK("http://www.grupomarkar-net.com")</f>
        <v>http://www.grupomarkar-net.com</v>
      </c>
      <c r="Y3115" s="87" t="s">
        <v>8506</v>
      </c>
      <c r="Z3115" s="87"/>
      <c r="AA3115" s="87" t="s">
        <v>10743</v>
      </c>
      <c r="AB3115" s="87" t="s">
        <v>11448</v>
      </c>
      <c r="AC3115" s="93" t="s">
        <v>11460</v>
      </c>
      <c r="AD3115" s="87" t="s">
        <v>11519</v>
      </c>
      <c r="AE3115" s="92" t="str">
        <f>HYPERLINK("https://twitter.com/e_markar/status/1702276206740054261")</f>
        <v>https://twitter.com/e_markar/status/1702276206740054261</v>
      </c>
      <c r="AF3115" s="90">
        <v>45183.45890046296</v>
      </c>
      <c r="AG3115" s="99">
        <v>45183</v>
      </c>
      <c r="AH3115" s="93" t="s">
        <v>14312</v>
      </c>
      <c r="AI3115" s="87" t="b">
        <v>0</v>
      </c>
      <c r="AJ3115" s="87"/>
      <c r="AK3115" s="87"/>
      <c r="AL3115" s="87"/>
      <c r="AM3115" s="87"/>
      <c r="AN3115" s="87"/>
      <c r="AO3115" s="87"/>
      <c r="AP3115" s="87"/>
      <c r="AQ3115" s="87" t="s">
        <v>17555</v>
      </c>
      <c r="AR3115" s="87"/>
      <c r="AS3115" s="87"/>
      <c r="AT3115" s="87"/>
      <c r="AU3115" s="87"/>
      <c r="AV3115" s="92" t="str">
        <f>HYPERLINK("https://pbs.twimg.com/media/F5-zMFjWcAAgv-E.jpg")</f>
        <v>https://pbs.twimg.com/media/F5-zMFjWcAAgv-E.jpg</v>
      </c>
      <c r="AW3115" s="93" t="s">
        <v>21263</v>
      </c>
      <c r="AX3115" s="93" t="s">
        <v>21263</v>
      </c>
      <c r="AY3115" s="87"/>
      <c r="AZ3115" s="93" t="s">
        <v>22668</v>
      </c>
      <c r="BA3115" s="93" t="s">
        <v>22668</v>
      </c>
      <c r="BB3115" s="93" t="s">
        <v>22668</v>
      </c>
      <c r="BC3115" s="93" t="s">
        <v>21263</v>
      </c>
      <c r="BD3115" s="93" t="s">
        <v>23345</v>
      </c>
      <c r="BE3115" s="87"/>
      <c r="BF3115" s="87"/>
      <c r="BG3115" s="87"/>
      <c r="BH3115" s="87"/>
      <c r="BI3115" s="87"/>
    </row>
    <row r="3116" spans="1:61" x14ac:dyDescent="0.25">
      <c r="A3116" s="63" t="s">
        <v>1178</v>
      </c>
      <c r="B3116" s="63" t="s">
        <v>1178</v>
      </c>
      <c r="C3116" s="64"/>
      <c r="D3116" s="65"/>
      <c r="E3116" s="66"/>
      <c r="F3116" s="67"/>
      <c r="G3116" s="64"/>
      <c r="H3116" s="68"/>
      <c r="I3116" s="69"/>
      <c r="J3116" s="69"/>
      <c r="K3116" s="32"/>
      <c r="L3116" s="76">
        <v>3116</v>
      </c>
      <c r="M3116" s="76"/>
      <c r="N3116" s="71"/>
      <c r="O3116" s="87" t="s">
        <v>179</v>
      </c>
      <c r="P3116" s="90">
        <v>45161.45894675926</v>
      </c>
      <c r="Q3116" s="87" t="s">
        <v>4815</v>
      </c>
      <c r="R3116" s="87">
        <v>0</v>
      </c>
      <c r="S3116" s="87">
        <v>0</v>
      </c>
      <c r="T3116" s="87">
        <v>0</v>
      </c>
      <c r="U3116" s="87">
        <v>0</v>
      </c>
      <c r="V3116" s="87"/>
      <c r="W3116" s="93" t="s">
        <v>7627</v>
      </c>
      <c r="X3116" s="92" t="str">
        <f>HYPERLINK("http://www.grupomarkar-net.com")</f>
        <v>http://www.grupomarkar-net.com</v>
      </c>
      <c r="Y3116" s="87" t="s">
        <v>8506</v>
      </c>
      <c r="Z3116" s="87"/>
      <c r="AA3116" s="87" t="s">
        <v>10744</v>
      </c>
      <c r="AB3116" s="87" t="s">
        <v>11448</v>
      </c>
      <c r="AC3116" s="93" t="s">
        <v>11460</v>
      </c>
      <c r="AD3116" s="87" t="s">
        <v>11519</v>
      </c>
      <c r="AE3116" s="92" t="str">
        <f>HYPERLINK("https://twitter.com/e_markar/status/1694303691686232141")</f>
        <v>https://twitter.com/e_markar/status/1694303691686232141</v>
      </c>
      <c r="AF3116" s="90">
        <v>45161.45894675926</v>
      </c>
      <c r="AG3116" s="99">
        <v>45161</v>
      </c>
      <c r="AH3116" s="93" t="s">
        <v>14313</v>
      </c>
      <c r="AI3116" s="87" t="b">
        <v>0</v>
      </c>
      <c r="AJ3116" s="87"/>
      <c r="AK3116" s="87"/>
      <c r="AL3116" s="87"/>
      <c r="AM3116" s="87"/>
      <c r="AN3116" s="87"/>
      <c r="AO3116" s="87"/>
      <c r="AP3116" s="87"/>
      <c r="AQ3116" s="87" t="s">
        <v>17556</v>
      </c>
      <c r="AR3116" s="87"/>
      <c r="AS3116" s="87"/>
      <c r="AT3116" s="87"/>
      <c r="AU3116" s="87"/>
      <c r="AV3116" s="92" t="str">
        <f>HYPERLINK("https://pbs.twimg.com/media/F4NgOnJX0AAKv3l.jpg")</f>
        <v>https://pbs.twimg.com/media/F4NgOnJX0AAKv3l.jpg</v>
      </c>
      <c r="AW3116" s="93" t="s">
        <v>21264</v>
      </c>
      <c r="AX3116" s="93" t="s">
        <v>21264</v>
      </c>
      <c r="AY3116" s="87"/>
      <c r="AZ3116" s="93" t="s">
        <v>22668</v>
      </c>
      <c r="BA3116" s="93" t="s">
        <v>22668</v>
      </c>
      <c r="BB3116" s="93" t="s">
        <v>22668</v>
      </c>
      <c r="BC3116" s="93" t="s">
        <v>21264</v>
      </c>
      <c r="BD3116" s="93" t="s">
        <v>23345</v>
      </c>
      <c r="BE3116" s="87"/>
      <c r="BF3116" s="87"/>
      <c r="BG3116" s="87"/>
      <c r="BH3116" s="87"/>
      <c r="BI3116" s="87"/>
    </row>
    <row r="3117" spans="1:61" x14ac:dyDescent="0.25">
      <c r="A3117" s="63" t="s">
        <v>1178</v>
      </c>
      <c r="B3117" s="63" t="s">
        <v>1178</v>
      </c>
      <c r="C3117" s="64"/>
      <c r="D3117" s="65"/>
      <c r="E3117" s="66"/>
      <c r="F3117" s="67"/>
      <c r="G3117" s="64"/>
      <c r="H3117" s="68"/>
      <c r="I3117" s="69"/>
      <c r="J3117" s="69"/>
      <c r="K3117" s="32"/>
      <c r="L3117" s="76">
        <v>3117</v>
      </c>
      <c r="M3117" s="76"/>
      <c r="N3117" s="71"/>
      <c r="O3117" s="87" t="s">
        <v>179</v>
      </c>
      <c r="P3117" s="90">
        <v>45119.458865740744</v>
      </c>
      <c r="Q3117" s="87" t="s">
        <v>4816</v>
      </c>
      <c r="R3117" s="87">
        <v>0</v>
      </c>
      <c r="S3117" s="87">
        <v>0</v>
      </c>
      <c r="T3117" s="87">
        <v>0</v>
      </c>
      <c r="U3117" s="87">
        <v>0</v>
      </c>
      <c r="V3117" s="87">
        <v>2</v>
      </c>
      <c r="W3117" s="93" t="s">
        <v>7627</v>
      </c>
      <c r="X3117" s="92" t="str">
        <f>HYPERLINK("http://www.grupomarkar-net.com")</f>
        <v>http://www.grupomarkar-net.com</v>
      </c>
      <c r="Y3117" s="87" t="s">
        <v>8506</v>
      </c>
      <c r="Z3117" s="87"/>
      <c r="AA3117" s="87" t="s">
        <v>10745</v>
      </c>
      <c r="AB3117" s="87" t="s">
        <v>11448</v>
      </c>
      <c r="AC3117" s="93" t="s">
        <v>11460</v>
      </c>
      <c r="AD3117" s="87" t="s">
        <v>11519</v>
      </c>
      <c r="AE3117" s="92" t="str">
        <f>HYPERLINK("https://twitter.com/e_markar/status/1679083370792222722")</f>
        <v>https://twitter.com/e_markar/status/1679083370792222722</v>
      </c>
      <c r="AF3117" s="90">
        <v>45119.458865740744</v>
      </c>
      <c r="AG3117" s="99">
        <v>45119</v>
      </c>
      <c r="AH3117" s="93" t="s">
        <v>12094</v>
      </c>
      <c r="AI3117" s="87" t="b">
        <v>0</v>
      </c>
      <c r="AJ3117" s="87"/>
      <c r="AK3117" s="87"/>
      <c r="AL3117" s="87"/>
      <c r="AM3117" s="87"/>
      <c r="AN3117" s="87"/>
      <c r="AO3117" s="87"/>
      <c r="AP3117" s="87"/>
      <c r="AQ3117" s="87" t="s">
        <v>17557</v>
      </c>
      <c r="AR3117" s="87"/>
      <c r="AS3117" s="87"/>
      <c r="AT3117" s="87"/>
      <c r="AU3117" s="87"/>
      <c r="AV3117" s="92" t="str">
        <f>HYPERLINK("https://pbs.twimg.com/media/F01NbWLX0AM4OF7.jpg")</f>
        <v>https://pbs.twimg.com/media/F01NbWLX0AM4OF7.jpg</v>
      </c>
      <c r="AW3117" s="93" t="s">
        <v>21265</v>
      </c>
      <c r="AX3117" s="93" t="s">
        <v>21265</v>
      </c>
      <c r="AY3117" s="87"/>
      <c r="AZ3117" s="93" t="s">
        <v>22668</v>
      </c>
      <c r="BA3117" s="93" t="s">
        <v>22668</v>
      </c>
      <c r="BB3117" s="93" t="s">
        <v>22668</v>
      </c>
      <c r="BC3117" s="93" t="s">
        <v>21265</v>
      </c>
      <c r="BD3117" s="93" t="s">
        <v>23345</v>
      </c>
      <c r="BE3117" s="87"/>
      <c r="BF3117" s="87"/>
      <c r="BG3117" s="87"/>
      <c r="BH3117" s="87"/>
      <c r="BI3117" s="87"/>
    </row>
    <row r="3118" spans="1:61" x14ac:dyDescent="0.25">
      <c r="A3118" s="63" t="s">
        <v>1178</v>
      </c>
      <c r="B3118" s="63" t="s">
        <v>1178</v>
      </c>
      <c r="C3118" s="64"/>
      <c r="D3118" s="65"/>
      <c r="E3118" s="66"/>
      <c r="F3118" s="67"/>
      <c r="G3118" s="64"/>
      <c r="H3118" s="68"/>
      <c r="I3118" s="69"/>
      <c r="J3118" s="69"/>
      <c r="K3118" s="32"/>
      <c r="L3118" s="76">
        <v>3118</v>
      </c>
      <c r="M3118" s="76"/>
      <c r="N3118" s="71"/>
      <c r="O3118" s="87" t="s">
        <v>179</v>
      </c>
      <c r="P3118" s="90">
        <v>45184.45884259259</v>
      </c>
      <c r="Q3118" s="87" t="s">
        <v>4817</v>
      </c>
      <c r="R3118" s="87">
        <v>0</v>
      </c>
      <c r="S3118" s="87">
        <v>0</v>
      </c>
      <c r="T3118" s="87">
        <v>0</v>
      </c>
      <c r="U3118" s="87">
        <v>0</v>
      </c>
      <c r="V3118" s="87">
        <v>3</v>
      </c>
      <c r="W3118" s="93" t="s">
        <v>7627</v>
      </c>
      <c r="X3118" s="92" t="str">
        <f>HYPERLINK("http://www.grupomarkar-net.com")</f>
        <v>http://www.grupomarkar-net.com</v>
      </c>
      <c r="Y3118" s="87" t="s">
        <v>8506</v>
      </c>
      <c r="Z3118" s="87"/>
      <c r="AA3118" s="87" t="s">
        <v>10746</v>
      </c>
      <c r="AB3118" s="87" t="s">
        <v>11448</v>
      </c>
      <c r="AC3118" s="93" t="s">
        <v>11460</v>
      </c>
      <c r="AD3118" s="87" t="s">
        <v>11519</v>
      </c>
      <c r="AE3118" s="92" t="str">
        <f>HYPERLINK("https://twitter.com/e_markar/status/1702638574120632779")</f>
        <v>https://twitter.com/e_markar/status/1702638574120632779</v>
      </c>
      <c r="AF3118" s="90">
        <v>45184.45884259259</v>
      </c>
      <c r="AG3118" s="99">
        <v>45184</v>
      </c>
      <c r="AH3118" s="93" t="s">
        <v>14314</v>
      </c>
      <c r="AI3118" s="87" t="b">
        <v>0</v>
      </c>
      <c r="AJ3118" s="87"/>
      <c r="AK3118" s="87"/>
      <c r="AL3118" s="87"/>
      <c r="AM3118" s="87"/>
      <c r="AN3118" s="87"/>
      <c r="AO3118" s="87"/>
      <c r="AP3118" s="87"/>
      <c r="AQ3118" s="87" t="s">
        <v>17558</v>
      </c>
      <c r="AR3118" s="87"/>
      <c r="AS3118" s="87"/>
      <c r="AT3118" s="87"/>
      <c r="AU3118" s="87"/>
      <c r="AV3118" s="92" t="str">
        <f>HYPERLINK("https://pbs.twimg.com/media/F6D8wnpXwAAp96W.jpg")</f>
        <v>https://pbs.twimg.com/media/F6D8wnpXwAAp96W.jpg</v>
      </c>
      <c r="AW3118" s="93" t="s">
        <v>21266</v>
      </c>
      <c r="AX3118" s="93" t="s">
        <v>21266</v>
      </c>
      <c r="AY3118" s="87"/>
      <c r="AZ3118" s="93" t="s">
        <v>22668</v>
      </c>
      <c r="BA3118" s="93" t="s">
        <v>22668</v>
      </c>
      <c r="BB3118" s="93" t="s">
        <v>22668</v>
      </c>
      <c r="BC3118" s="93" t="s">
        <v>21266</v>
      </c>
      <c r="BD3118" s="93" t="s">
        <v>23345</v>
      </c>
      <c r="BE3118" s="87"/>
      <c r="BF3118" s="87"/>
      <c r="BG3118" s="87"/>
      <c r="BH3118" s="87"/>
      <c r="BI3118" s="87"/>
    </row>
    <row r="3119" spans="1:61" x14ac:dyDescent="0.25">
      <c r="A3119" s="63" t="s">
        <v>1178</v>
      </c>
      <c r="B3119" s="63" t="s">
        <v>1178</v>
      </c>
      <c r="C3119" s="64"/>
      <c r="D3119" s="65"/>
      <c r="E3119" s="66"/>
      <c r="F3119" s="67"/>
      <c r="G3119" s="64"/>
      <c r="H3119" s="68"/>
      <c r="I3119" s="69"/>
      <c r="J3119" s="69"/>
      <c r="K3119" s="32"/>
      <c r="L3119" s="76">
        <v>3119</v>
      </c>
      <c r="M3119" s="76"/>
      <c r="N3119" s="71"/>
      <c r="O3119" s="87" t="s">
        <v>179</v>
      </c>
      <c r="P3119" s="90">
        <v>45180.458807870367</v>
      </c>
      <c r="Q3119" s="87" t="s">
        <v>4818</v>
      </c>
      <c r="R3119" s="87">
        <v>0</v>
      </c>
      <c r="S3119" s="87">
        <v>0</v>
      </c>
      <c r="T3119" s="87">
        <v>0</v>
      </c>
      <c r="U3119" s="87">
        <v>0</v>
      </c>
      <c r="V3119" s="87">
        <v>8</v>
      </c>
      <c r="W3119" s="93" t="s">
        <v>7627</v>
      </c>
      <c r="X3119" s="92" t="str">
        <f>HYPERLINK("http://www.grupomarkar-net.com")</f>
        <v>http://www.grupomarkar-net.com</v>
      </c>
      <c r="Y3119" s="87" t="s">
        <v>8506</v>
      </c>
      <c r="Z3119" s="87"/>
      <c r="AA3119" s="87" t="s">
        <v>10747</v>
      </c>
      <c r="AB3119" s="87" t="s">
        <v>11448</v>
      </c>
      <c r="AC3119" s="93" t="s">
        <v>11460</v>
      </c>
      <c r="AD3119" s="87" t="s">
        <v>11519</v>
      </c>
      <c r="AE3119" s="92" t="str">
        <f>HYPERLINK("https://twitter.com/e_markar/status/1701189013082640680")</f>
        <v>https://twitter.com/e_markar/status/1701189013082640680</v>
      </c>
      <c r="AF3119" s="90">
        <v>45180.458807870367</v>
      </c>
      <c r="AG3119" s="99">
        <v>45180</v>
      </c>
      <c r="AH3119" s="93" t="s">
        <v>11751</v>
      </c>
      <c r="AI3119" s="87" t="b">
        <v>0</v>
      </c>
      <c r="AJ3119" s="87"/>
      <c r="AK3119" s="87"/>
      <c r="AL3119" s="87"/>
      <c r="AM3119" s="87"/>
      <c r="AN3119" s="87"/>
      <c r="AO3119" s="87"/>
      <c r="AP3119" s="87"/>
      <c r="AQ3119" s="87" t="s">
        <v>17559</v>
      </c>
      <c r="AR3119" s="87"/>
      <c r="AS3119" s="87"/>
      <c r="AT3119" s="87"/>
      <c r="AU3119" s="87"/>
      <c r="AV3119" s="92" t="str">
        <f>HYPERLINK("https://pbs.twimg.com/media/F5vWZE3WUAArupO.jpg")</f>
        <v>https://pbs.twimg.com/media/F5vWZE3WUAArupO.jpg</v>
      </c>
      <c r="AW3119" s="93" t="s">
        <v>21267</v>
      </c>
      <c r="AX3119" s="93" t="s">
        <v>21267</v>
      </c>
      <c r="AY3119" s="87"/>
      <c r="AZ3119" s="93" t="s">
        <v>22668</v>
      </c>
      <c r="BA3119" s="93" t="s">
        <v>22668</v>
      </c>
      <c r="BB3119" s="93" t="s">
        <v>22668</v>
      </c>
      <c r="BC3119" s="93" t="s">
        <v>21267</v>
      </c>
      <c r="BD3119" s="93" t="s">
        <v>23345</v>
      </c>
      <c r="BE3119" s="87"/>
      <c r="BF3119" s="87"/>
      <c r="BG3119" s="87"/>
      <c r="BH3119" s="87"/>
      <c r="BI3119" s="87"/>
    </row>
    <row r="3120" spans="1:61" x14ac:dyDescent="0.25">
      <c r="A3120" s="63" t="s">
        <v>1178</v>
      </c>
      <c r="B3120" s="63" t="s">
        <v>1178</v>
      </c>
      <c r="C3120" s="64"/>
      <c r="D3120" s="65"/>
      <c r="E3120" s="66"/>
      <c r="F3120" s="67"/>
      <c r="G3120" s="64"/>
      <c r="H3120" s="68"/>
      <c r="I3120" s="69"/>
      <c r="J3120" s="69"/>
      <c r="K3120" s="32"/>
      <c r="L3120" s="76">
        <v>3120</v>
      </c>
      <c r="M3120" s="76"/>
      <c r="N3120" s="71"/>
      <c r="O3120" s="87" t="s">
        <v>179</v>
      </c>
      <c r="P3120" s="90">
        <v>45170.45890046296</v>
      </c>
      <c r="Q3120" s="87" t="s">
        <v>4819</v>
      </c>
      <c r="R3120" s="87">
        <v>0</v>
      </c>
      <c r="S3120" s="87">
        <v>0</v>
      </c>
      <c r="T3120" s="87">
        <v>0</v>
      </c>
      <c r="U3120" s="87">
        <v>0</v>
      </c>
      <c r="V3120" s="87">
        <v>1</v>
      </c>
      <c r="W3120" s="93" t="s">
        <v>7627</v>
      </c>
      <c r="X3120" s="92" t="str">
        <f>HYPERLINK("http://www.grupomarkar-net.com")</f>
        <v>http://www.grupomarkar-net.com</v>
      </c>
      <c r="Y3120" s="87" t="s">
        <v>8506</v>
      </c>
      <c r="Z3120" s="87"/>
      <c r="AA3120" s="87" t="s">
        <v>10748</v>
      </c>
      <c r="AB3120" s="87" t="s">
        <v>11448</v>
      </c>
      <c r="AC3120" s="93" t="s">
        <v>11460</v>
      </c>
      <c r="AD3120" s="87" t="s">
        <v>11519</v>
      </c>
      <c r="AE3120" s="92" t="str">
        <f>HYPERLINK("https://twitter.com/e_markar/status/1697565165657473099")</f>
        <v>https://twitter.com/e_markar/status/1697565165657473099</v>
      </c>
      <c r="AF3120" s="90">
        <v>45170.45890046296</v>
      </c>
      <c r="AG3120" s="99">
        <v>45170</v>
      </c>
      <c r="AH3120" s="93" t="s">
        <v>14312</v>
      </c>
      <c r="AI3120" s="87" t="b">
        <v>0</v>
      </c>
      <c r="AJ3120" s="87"/>
      <c r="AK3120" s="87"/>
      <c r="AL3120" s="87"/>
      <c r="AM3120" s="87"/>
      <c r="AN3120" s="87"/>
      <c r="AO3120" s="87"/>
      <c r="AP3120" s="87"/>
      <c r="AQ3120" s="87" t="s">
        <v>17560</v>
      </c>
      <c r="AR3120" s="87"/>
      <c r="AS3120" s="87"/>
      <c r="AT3120" s="87"/>
      <c r="AU3120" s="87"/>
      <c r="AV3120" s="92" t="str">
        <f>HYPERLINK("https://pbs.twimg.com/media/F472hbkW0AALe9j.jpg")</f>
        <v>https://pbs.twimg.com/media/F472hbkW0AALe9j.jpg</v>
      </c>
      <c r="AW3120" s="93" t="s">
        <v>21268</v>
      </c>
      <c r="AX3120" s="93" t="s">
        <v>21268</v>
      </c>
      <c r="AY3120" s="87"/>
      <c r="AZ3120" s="93" t="s">
        <v>22668</v>
      </c>
      <c r="BA3120" s="93" t="s">
        <v>22668</v>
      </c>
      <c r="BB3120" s="93" t="s">
        <v>22668</v>
      </c>
      <c r="BC3120" s="93" t="s">
        <v>21268</v>
      </c>
      <c r="BD3120" s="93" t="s">
        <v>23345</v>
      </c>
      <c r="BE3120" s="87"/>
      <c r="BF3120" s="87"/>
      <c r="BG3120" s="87"/>
      <c r="BH3120" s="87"/>
      <c r="BI3120" s="87"/>
    </row>
    <row r="3121" spans="1:61" x14ac:dyDescent="0.25">
      <c r="A3121" s="63" t="s">
        <v>1178</v>
      </c>
      <c r="B3121" s="63" t="s">
        <v>1178</v>
      </c>
      <c r="C3121" s="64"/>
      <c r="D3121" s="65"/>
      <c r="E3121" s="66"/>
      <c r="F3121" s="67"/>
      <c r="G3121" s="64"/>
      <c r="H3121" s="68"/>
      <c r="I3121" s="69"/>
      <c r="J3121" s="69"/>
      <c r="K3121" s="32"/>
      <c r="L3121" s="76">
        <v>3121</v>
      </c>
      <c r="M3121" s="76"/>
      <c r="N3121" s="71"/>
      <c r="O3121" s="87" t="s">
        <v>179</v>
      </c>
      <c r="P3121" s="90">
        <v>45160.45894675926</v>
      </c>
      <c r="Q3121" s="87" t="s">
        <v>4820</v>
      </c>
      <c r="R3121" s="87">
        <v>0</v>
      </c>
      <c r="S3121" s="87">
        <v>0</v>
      </c>
      <c r="T3121" s="87">
        <v>0</v>
      </c>
      <c r="U3121" s="87">
        <v>0</v>
      </c>
      <c r="V3121" s="87">
        <v>3</v>
      </c>
      <c r="W3121" s="93" t="s">
        <v>7627</v>
      </c>
      <c r="X3121" s="92" t="str">
        <f>HYPERLINK("http://www.grupomarkar-net.com")</f>
        <v>http://www.grupomarkar-net.com</v>
      </c>
      <c r="Y3121" s="87" t="s">
        <v>8506</v>
      </c>
      <c r="Z3121" s="87"/>
      <c r="AA3121" s="87" t="s">
        <v>10749</v>
      </c>
      <c r="AB3121" s="87" t="s">
        <v>11448</v>
      </c>
      <c r="AC3121" s="93" t="s">
        <v>11460</v>
      </c>
      <c r="AD3121" s="87" t="s">
        <v>11519</v>
      </c>
      <c r="AE3121" s="92" t="str">
        <f>HYPERLINK("https://twitter.com/e_markar/status/1693941303124377993")</f>
        <v>https://twitter.com/e_markar/status/1693941303124377993</v>
      </c>
      <c r="AF3121" s="90">
        <v>45160.45894675926</v>
      </c>
      <c r="AG3121" s="99">
        <v>45160</v>
      </c>
      <c r="AH3121" s="93" t="s">
        <v>14313</v>
      </c>
      <c r="AI3121" s="87" t="b">
        <v>0</v>
      </c>
      <c r="AJ3121" s="87"/>
      <c r="AK3121" s="87"/>
      <c r="AL3121" s="87"/>
      <c r="AM3121" s="87"/>
      <c r="AN3121" s="87"/>
      <c r="AO3121" s="87"/>
      <c r="AP3121" s="87"/>
      <c r="AQ3121" s="87" t="s">
        <v>17561</v>
      </c>
      <c r="AR3121" s="87"/>
      <c r="AS3121" s="87"/>
      <c r="AT3121" s="87"/>
      <c r="AU3121" s="87"/>
      <c r="AV3121" s="92" t="str">
        <f>HYPERLINK("https://pbs.twimg.com/media/F4IWoyfXEAAPcfT.jpg")</f>
        <v>https://pbs.twimg.com/media/F4IWoyfXEAAPcfT.jpg</v>
      </c>
      <c r="AW3121" s="93" t="s">
        <v>21269</v>
      </c>
      <c r="AX3121" s="93" t="s">
        <v>21269</v>
      </c>
      <c r="AY3121" s="87"/>
      <c r="AZ3121" s="93" t="s">
        <v>22668</v>
      </c>
      <c r="BA3121" s="93" t="s">
        <v>22668</v>
      </c>
      <c r="BB3121" s="93" t="s">
        <v>22668</v>
      </c>
      <c r="BC3121" s="93" t="s">
        <v>21269</v>
      </c>
      <c r="BD3121" s="93" t="s">
        <v>23345</v>
      </c>
      <c r="BE3121" s="87"/>
      <c r="BF3121" s="87"/>
      <c r="BG3121" s="87"/>
      <c r="BH3121" s="87"/>
      <c r="BI3121" s="87"/>
    </row>
    <row r="3122" spans="1:61" x14ac:dyDescent="0.25">
      <c r="A3122" s="63" t="s">
        <v>1178</v>
      </c>
      <c r="B3122" s="63" t="s">
        <v>1178</v>
      </c>
      <c r="C3122" s="64"/>
      <c r="D3122" s="65"/>
      <c r="E3122" s="66"/>
      <c r="F3122" s="67"/>
      <c r="G3122" s="64"/>
      <c r="H3122" s="68"/>
      <c r="I3122" s="69"/>
      <c r="J3122" s="69"/>
      <c r="K3122" s="32"/>
      <c r="L3122" s="76">
        <v>3122</v>
      </c>
      <c r="M3122" s="76"/>
      <c r="N3122" s="71"/>
      <c r="O3122" s="87" t="s">
        <v>179</v>
      </c>
      <c r="P3122" s="90">
        <v>45156.45890046296</v>
      </c>
      <c r="Q3122" s="87" t="s">
        <v>4821</v>
      </c>
      <c r="R3122" s="87">
        <v>0</v>
      </c>
      <c r="S3122" s="87">
        <v>0</v>
      </c>
      <c r="T3122" s="87">
        <v>0</v>
      </c>
      <c r="U3122" s="87">
        <v>0</v>
      </c>
      <c r="V3122" s="87">
        <v>4</v>
      </c>
      <c r="W3122" s="93" t="s">
        <v>7627</v>
      </c>
      <c r="X3122" s="92" t="str">
        <f>HYPERLINK("http://www.grupomarkar-net.com")</f>
        <v>http://www.grupomarkar-net.com</v>
      </c>
      <c r="Y3122" s="87" t="s">
        <v>8506</v>
      </c>
      <c r="Z3122" s="87"/>
      <c r="AA3122" s="87" t="s">
        <v>10750</v>
      </c>
      <c r="AB3122" s="87" t="s">
        <v>11448</v>
      </c>
      <c r="AC3122" s="93" t="s">
        <v>11460</v>
      </c>
      <c r="AD3122" s="87" t="s">
        <v>11519</v>
      </c>
      <c r="AE3122" s="92" t="str">
        <f>HYPERLINK("https://twitter.com/e_markar/status/1692491736310804886")</f>
        <v>https://twitter.com/e_markar/status/1692491736310804886</v>
      </c>
      <c r="AF3122" s="90">
        <v>45156.45890046296</v>
      </c>
      <c r="AG3122" s="99">
        <v>45156</v>
      </c>
      <c r="AH3122" s="93" t="s">
        <v>14312</v>
      </c>
      <c r="AI3122" s="87" t="b">
        <v>0</v>
      </c>
      <c r="AJ3122" s="87"/>
      <c r="AK3122" s="87"/>
      <c r="AL3122" s="87"/>
      <c r="AM3122" s="87"/>
      <c r="AN3122" s="87"/>
      <c r="AO3122" s="87"/>
      <c r="AP3122" s="87"/>
      <c r="AQ3122" s="87" t="s">
        <v>17562</v>
      </c>
      <c r="AR3122" s="87"/>
      <c r="AS3122" s="87"/>
      <c r="AT3122" s="87"/>
      <c r="AU3122" s="87"/>
      <c r="AV3122" s="92" t="str">
        <f>HYPERLINK("https://pbs.twimg.com/media/F3zwQ8_WQAMjKil.jpg")</f>
        <v>https://pbs.twimg.com/media/F3zwQ8_WQAMjKil.jpg</v>
      </c>
      <c r="AW3122" s="93" t="s">
        <v>21270</v>
      </c>
      <c r="AX3122" s="93" t="s">
        <v>21270</v>
      </c>
      <c r="AY3122" s="87"/>
      <c r="AZ3122" s="93" t="s">
        <v>22668</v>
      </c>
      <c r="BA3122" s="93" t="s">
        <v>22668</v>
      </c>
      <c r="BB3122" s="93" t="s">
        <v>22668</v>
      </c>
      <c r="BC3122" s="93" t="s">
        <v>21270</v>
      </c>
      <c r="BD3122" s="93" t="s">
        <v>23345</v>
      </c>
      <c r="BE3122" s="87"/>
      <c r="BF3122" s="87"/>
      <c r="BG3122" s="87"/>
      <c r="BH3122" s="87"/>
      <c r="BI3122" s="87"/>
    </row>
    <row r="3123" spans="1:61" x14ac:dyDescent="0.25">
      <c r="A3123" s="63" t="s">
        <v>1178</v>
      </c>
      <c r="B3123" s="63" t="s">
        <v>1178</v>
      </c>
      <c r="C3123" s="64"/>
      <c r="D3123" s="65"/>
      <c r="E3123" s="66"/>
      <c r="F3123" s="67"/>
      <c r="G3123" s="64"/>
      <c r="H3123" s="68"/>
      <c r="I3123" s="69"/>
      <c r="J3123" s="69"/>
      <c r="K3123" s="32"/>
      <c r="L3123" s="76">
        <v>3123</v>
      </c>
      <c r="M3123" s="76"/>
      <c r="N3123" s="71"/>
      <c r="O3123" s="87" t="s">
        <v>179</v>
      </c>
      <c r="P3123" s="90">
        <v>45155.458854166667</v>
      </c>
      <c r="Q3123" s="87" t="s">
        <v>4822</v>
      </c>
      <c r="R3123" s="87">
        <v>0</v>
      </c>
      <c r="S3123" s="87">
        <v>0</v>
      </c>
      <c r="T3123" s="87">
        <v>0</v>
      </c>
      <c r="U3123" s="87">
        <v>0</v>
      </c>
      <c r="V3123" s="87">
        <v>5</v>
      </c>
      <c r="W3123" s="93" t="s">
        <v>7627</v>
      </c>
      <c r="X3123" s="92" t="str">
        <f>HYPERLINK("http://www.grupomarkar-net.com")</f>
        <v>http://www.grupomarkar-net.com</v>
      </c>
      <c r="Y3123" s="87" t="s">
        <v>8506</v>
      </c>
      <c r="Z3123" s="87"/>
      <c r="AA3123" s="87" t="s">
        <v>10751</v>
      </c>
      <c r="AB3123" s="87" t="s">
        <v>11448</v>
      </c>
      <c r="AC3123" s="93" t="s">
        <v>11460</v>
      </c>
      <c r="AD3123" s="87" t="s">
        <v>11519</v>
      </c>
      <c r="AE3123" s="92" t="str">
        <f>HYPERLINK("https://twitter.com/e_markar/status/1692129331919663389")</f>
        <v>https://twitter.com/e_markar/status/1692129331919663389</v>
      </c>
      <c r="AF3123" s="90">
        <v>45155.458854166667</v>
      </c>
      <c r="AG3123" s="99">
        <v>45155</v>
      </c>
      <c r="AH3123" s="93" t="s">
        <v>12184</v>
      </c>
      <c r="AI3123" s="87" t="b">
        <v>0</v>
      </c>
      <c r="AJ3123" s="87"/>
      <c r="AK3123" s="87"/>
      <c r="AL3123" s="87"/>
      <c r="AM3123" s="87"/>
      <c r="AN3123" s="87"/>
      <c r="AO3123" s="87"/>
      <c r="AP3123" s="87"/>
      <c r="AQ3123" s="87" t="s">
        <v>17563</v>
      </c>
      <c r="AR3123" s="87"/>
      <c r="AS3123" s="87"/>
      <c r="AT3123" s="87"/>
      <c r="AU3123" s="87"/>
      <c r="AV3123" s="92" t="str">
        <f>HYPERLINK("https://pbs.twimg.com/media/F3umqPwWcAA2HjA.jpg")</f>
        <v>https://pbs.twimg.com/media/F3umqPwWcAA2HjA.jpg</v>
      </c>
      <c r="AW3123" s="93" t="s">
        <v>21271</v>
      </c>
      <c r="AX3123" s="93" t="s">
        <v>21271</v>
      </c>
      <c r="AY3123" s="87"/>
      <c r="AZ3123" s="93" t="s">
        <v>22668</v>
      </c>
      <c r="BA3123" s="93" t="s">
        <v>22668</v>
      </c>
      <c r="BB3123" s="93" t="s">
        <v>22668</v>
      </c>
      <c r="BC3123" s="93" t="s">
        <v>21271</v>
      </c>
      <c r="BD3123" s="93" t="s">
        <v>23345</v>
      </c>
      <c r="BE3123" s="87"/>
      <c r="BF3123" s="87"/>
      <c r="BG3123" s="87"/>
      <c r="BH3123" s="87"/>
      <c r="BI3123" s="87"/>
    </row>
    <row r="3124" spans="1:61" x14ac:dyDescent="0.25">
      <c r="A3124" s="63" t="s">
        <v>1178</v>
      </c>
      <c r="B3124" s="63" t="s">
        <v>1178</v>
      </c>
      <c r="C3124" s="64"/>
      <c r="D3124" s="65"/>
      <c r="E3124" s="66"/>
      <c r="F3124" s="67"/>
      <c r="G3124" s="64"/>
      <c r="H3124" s="68"/>
      <c r="I3124" s="69"/>
      <c r="J3124" s="69"/>
      <c r="K3124" s="32"/>
      <c r="L3124" s="76">
        <v>3124</v>
      </c>
      <c r="M3124" s="76"/>
      <c r="N3124" s="71"/>
      <c r="O3124" s="87" t="s">
        <v>179</v>
      </c>
      <c r="P3124" s="90">
        <v>45142.458854166667</v>
      </c>
      <c r="Q3124" s="87" t="s">
        <v>4823</v>
      </c>
      <c r="R3124" s="87">
        <v>0</v>
      </c>
      <c r="S3124" s="87">
        <v>0</v>
      </c>
      <c r="T3124" s="87">
        <v>0</v>
      </c>
      <c r="U3124" s="87">
        <v>0</v>
      </c>
      <c r="V3124" s="87">
        <v>2</v>
      </c>
      <c r="W3124" s="93" t="s">
        <v>7627</v>
      </c>
      <c r="X3124" s="92" t="str">
        <f>HYPERLINK("http://www.grupomarkar-net.com")</f>
        <v>http://www.grupomarkar-net.com</v>
      </c>
      <c r="Y3124" s="87" t="s">
        <v>8506</v>
      </c>
      <c r="Z3124" s="87"/>
      <c r="AA3124" s="87" t="s">
        <v>10752</v>
      </c>
      <c r="AB3124" s="87" t="s">
        <v>11448</v>
      </c>
      <c r="AC3124" s="93" t="s">
        <v>11460</v>
      </c>
      <c r="AD3124" s="87" t="s">
        <v>11519</v>
      </c>
      <c r="AE3124" s="92" t="str">
        <f>HYPERLINK("https://twitter.com/e_markar/status/1687418288769294342")</f>
        <v>https://twitter.com/e_markar/status/1687418288769294342</v>
      </c>
      <c r="AF3124" s="90">
        <v>45142.458854166667</v>
      </c>
      <c r="AG3124" s="99">
        <v>45142</v>
      </c>
      <c r="AH3124" s="93" t="s">
        <v>12184</v>
      </c>
      <c r="AI3124" s="87" t="b">
        <v>0</v>
      </c>
      <c r="AJ3124" s="87"/>
      <c r="AK3124" s="87"/>
      <c r="AL3124" s="87"/>
      <c r="AM3124" s="87"/>
      <c r="AN3124" s="87"/>
      <c r="AO3124" s="87"/>
      <c r="AP3124" s="87"/>
      <c r="AQ3124" s="87" t="s">
        <v>17564</v>
      </c>
      <c r="AR3124" s="87"/>
      <c r="AS3124" s="87"/>
      <c r="AT3124" s="87"/>
      <c r="AU3124" s="87"/>
      <c r="AV3124" s="92" t="str">
        <f>HYPERLINK("https://pbs.twimg.com/media/F2rp_baWsAAyfUB.jpg")</f>
        <v>https://pbs.twimg.com/media/F2rp_baWsAAyfUB.jpg</v>
      </c>
      <c r="AW3124" s="93" t="s">
        <v>21272</v>
      </c>
      <c r="AX3124" s="93" t="s">
        <v>21272</v>
      </c>
      <c r="AY3124" s="87"/>
      <c r="AZ3124" s="93" t="s">
        <v>22668</v>
      </c>
      <c r="BA3124" s="93" t="s">
        <v>22668</v>
      </c>
      <c r="BB3124" s="93" t="s">
        <v>22668</v>
      </c>
      <c r="BC3124" s="93" t="s">
        <v>21272</v>
      </c>
      <c r="BD3124" s="93" t="s">
        <v>23345</v>
      </c>
      <c r="BE3124" s="87"/>
      <c r="BF3124" s="87"/>
      <c r="BG3124" s="87"/>
      <c r="BH3124" s="87"/>
      <c r="BI3124" s="87"/>
    </row>
    <row r="3125" spans="1:61" x14ac:dyDescent="0.25">
      <c r="A3125" s="63" t="s">
        <v>1178</v>
      </c>
      <c r="B3125" s="63" t="s">
        <v>1178</v>
      </c>
      <c r="C3125" s="64"/>
      <c r="D3125" s="65"/>
      <c r="E3125" s="66"/>
      <c r="F3125" s="67"/>
      <c r="G3125" s="64"/>
      <c r="H3125" s="68"/>
      <c r="I3125" s="69"/>
      <c r="J3125" s="69"/>
      <c r="K3125" s="32"/>
      <c r="L3125" s="76">
        <v>3125</v>
      </c>
      <c r="M3125" s="76"/>
      <c r="N3125" s="71"/>
      <c r="O3125" s="87" t="s">
        <v>179</v>
      </c>
      <c r="P3125" s="90">
        <v>45191.458877314813</v>
      </c>
      <c r="Q3125" s="87" t="s">
        <v>4824</v>
      </c>
      <c r="R3125" s="87">
        <v>0</v>
      </c>
      <c r="S3125" s="87">
        <v>0</v>
      </c>
      <c r="T3125" s="87">
        <v>0</v>
      </c>
      <c r="U3125" s="87">
        <v>0</v>
      </c>
      <c r="V3125" s="87">
        <v>1</v>
      </c>
      <c r="W3125" s="93" t="s">
        <v>7627</v>
      </c>
      <c r="X3125" s="92" t="str">
        <f>HYPERLINK("http://www.grupomarkar-net.com")</f>
        <v>http://www.grupomarkar-net.com</v>
      </c>
      <c r="Y3125" s="87" t="s">
        <v>8506</v>
      </c>
      <c r="Z3125" s="87"/>
      <c r="AA3125" s="87" t="s">
        <v>10753</v>
      </c>
      <c r="AB3125" s="87" t="s">
        <v>11448</v>
      </c>
      <c r="AC3125" s="93" t="s">
        <v>11460</v>
      </c>
      <c r="AD3125" s="87" t="s">
        <v>11519</v>
      </c>
      <c r="AE3125" s="92" t="str">
        <f>HYPERLINK("https://twitter.com/e_markar/status/1705175303943839987")</f>
        <v>https://twitter.com/e_markar/status/1705175303943839987</v>
      </c>
      <c r="AF3125" s="90">
        <v>45191.458877314813</v>
      </c>
      <c r="AG3125" s="99">
        <v>45191</v>
      </c>
      <c r="AH3125" s="93" t="s">
        <v>14311</v>
      </c>
      <c r="AI3125" s="87" t="b">
        <v>0</v>
      </c>
      <c r="AJ3125" s="87"/>
      <c r="AK3125" s="87"/>
      <c r="AL3125" s="87"/>
      <c r="AM3125" s="87"/>
      <c r="AN3125" s="87"/>
      <c r="AO3125" s="87"/>
      <c r="AP3125" s="87"/>
      <c r="AQ3125" s="87" t="s">
        <v>17565</v>
      </c>
      <c r="AR3125" s="87"/>
      <c r="AS3125" s="87"/>
      <c r="AT3125" s="87"/>
      <c r="AU3125" s="87"/>
      <c r="AV3125" s="92" t="str">
        <f>HYPERLINK("https://pbs.twimg.com/media/F6n_5xTWQAA3XfP.jpg")</f>
        <v>https://pbs.twimg.com/media/F6n_5xTWQAA3XfP.jpg</v>
      </c>
      <c r="AW3125" s="93" t="s">
        <v>21273</v>
      </c>
      <c r="AX3125" s="93" t="s">
        <v>21273</v>
      </c>
      <c r="AY3125" s="87"/>
      <c r="AZ3125" s="93" t="s">
        <v>22668</v>
      </c>
      <c r="BA3125" s="93" t="s">
        <v>22668</v>
      </c>
      <c r="BB3125" s="93" t="s">
        <v>22668</v>
      </c>
      <c r="BC3125" s="93" t="s">
        <v>21273</v>
      </c>
      <c r="BD3125" s="93" t="s">
        <v>23345</v>
      </c>
      <c r="BE3125" s="87"/>
      <c r="BF3125" s="87"/>
      <c r="BG3125" s="87"/>
      <c r="BH3125" s="87"/>
      <c r="BI3125" s="87"/>
    </row>
    <row r="3126" spans="1:61" x14ac:dyDescent="0.25">
      <c r="A3126" s="63" t="s">
        <v>1178</v>
      </c>
      <c r="B3126" s="63" t="s">
        <v>1178</v>
      </c>
      <c r="C3126" s="64"/>
      <c r="D3126" s="65"/>
      <c r="E3126" s="66"/>
      <c r="F3126" s="67"/>
      <c r="G3126" s="64"/>
      <c r="H3126" s="68"/>
      <c r="I3126" s="69"/>
      <c r="J3126" s="69"/>
      <c r="K3126" s="32"/>
      <c r="L3126" s="76">
        <v>3126</v>
      </c>
      <c r="M3126" s="76"/>
      <c r="N3126" s="71"/>
      <c r="O3126" s="87" t="s">
        <v>179</v>
      </c>
      <c r="P3126" s="90">
        <v>45174.458807870367</v>
      </c>
      <c r="Q3126" s="87" t="s">
        <v>4825</v>
      </c>
      <c r="R3126" s="87">
        <v>0</v>
      </c>
      <c r="S3126" s="87">
        <v>0</v>
      </c>
      <c r="T3126" s="87">
        <v>0</v>
      </c>
      <c r="U3126" s="87">
        <v>0</v>
      </c>
      <c r="V3126" s="87">
        <v>1</v>
      </c>
      <c r="W3126" s="93" t="s">
        <v>7627</v>
      </c>
      <c r="X3126" s="92" t="str">
        <f>HYPERLINK("http://www.grupomarkar-net.com")</f>
        <v>http://www.grupomarkar-net.com</v>
      </c>
      <c r="Y3126" s="87" t="s">
        <v>8506</v>
      </c>
      <c r="Z3126" s="87"/>
      <c r="AA3126" s="87" t="s">
        <v>10754</v>
      </c>
      <c r="AB3126" s="87" t="s">
        <v>11448</v>
      </c>
      <c r="AC3126" s="93" t="s">
        <v>11460</v>
      </c>
      <c r="AD3126" s="87" t="s">
        <v>11519</v>
      </c>
      <c r="AE3126" s="92" t="str">
        <f>HYPERLINK("https://twitter.com/e_markar/status/1699014684802785619")</f>
        <v>https://twitter.com/e_markar/status/1699014684802785619</v>
      </c>
      <c r="AF3126" s="90">
        <v>45174.458807870367</v>
      </c>
      <c r="AG3126" s="99">
        <v>45174</v>
      </c>
      <c r="AH3126" s="93" t="s">
        <v>11751</v>
      </c>
      <c r="AI3126" s="87" t="b">
        <v>0</v>
      </c>
      <c r="AJ3126" s="87"/>
      <c r="AK3126" s="87"/>
      <c r="AL3126" s="87"/>
      <c r="AM3126" s="87"/>
      <c r="AN3126" s="87"/>
      <c r="AO3126" s="87"/>
      <c r="AP3126" s="87"/>
      <c r="AQ3126" s="87" t="s">
        <v>17566</v>
      </c>
      <c r="AR3126" s="87"/>
      <c r="AS3126" s="87"/>
      <c r="AT3126" s="87"/>
      <c r="AU3126" s="87"/>
      <c r="AV3126" s="92" t="str">
        <f>HYPERLINK("https://pbs.twimg.com/media/F5Qc2fzXQAASPqp.jpg")</f>
        <v>https://pbs.twimg.com/media/F5Qc2fzXQAASPqp.jpg</v>
      </c>
      <c r="AW3126" s="93" t="s">
        <v>21274</v>
      </c>
      <c r="AX3126" s="93" t="s">
        <v>21274</v>
      </c>
      <c r="AY3126" s="87"/>
      <c r="AZ3126" s="93" t="s">
        <v>22668</v>
      </c>
      <c r="BA3126" s="93" t="s">
        <v>22668</v>
      </c>
      <c r="BB3126" s="93" t="s">
        <v>22668</v>
      </c>
      <c r="BC3126" s="93" t="s">
        <v>21274</v>
      </c>
      <c r="BD3126" s="93" t="s">
        <v>23345</v>
      </c>
      <c r="BE3126" s="87"/>
      <c r="BF3126" s="87"/>
      <c r="BG3126" s="87"/>
      <c r="BH3126" s="87"/>
      <c r="BI3126" s="87"/>
    </row>
    <row r="3127" spans="1:61" x14ac:dyDescent="0.25">
      <c r="A3127" s="63" t="s">
        <v>1178</v>
      </c>
      <c r="B3127" s="63" t="s">
        <v>1178</v>
      </c>
      <c r="C3127" s="64"/>
      <c r="D3127" s="65"/>
      <c r="E3127" s="66"/>
      <c r="F3127" s="67"/>
      <c r="G3127" s="64"/>
      <c r="H3127" s="68"/>
      <c r="I3127" s="69"/>
      <c r="J3127" s="69"/>
      <c r="K3127" s="32"/>
      <c r="L3127" s="76">
        <v>3127</v>
      </c>
      <c r="M3127" s="76"/>
      <c r="N3127" s="71"/>
      <c r="O3127" s="87" t="s">
        <v>179</v>
      </c>
      <c r="P3127" s="90">
        <v>45153.639062499999</v>
      </c>
      <c r="Q3127" s="87" t="s">
        <v>4826</v>
      </c>
      <c r="R3127" s="87">
        <v>0</v>
      </c>
      <c r="S3127" s="87">
        <v>0</v>
      </c>
      <c r="T3127" s="87">
        <v>0</v>
      </c>
      <c r="U3127" s="87">
        <v>0</v>
      </c>
      <c r="V3127" s="87">
        <v>4</v>
      </c>
      <c r="W3127" s="93" t="s">
        <v>7627</v>
      </c>
      <c r="X3127" s="92" t="str">
        <f>HYPERLINK("http://www.grupomarkar-net.com")</f>
        <v>http://www.grupomarkar-net.com</v>
      </c>
      <c r="Y3127" s="87" t="s">
        <v>8506</v>
      </c>
      <c r="Z3127" s="87"/>
      <c r="AA3127" s="87" t="s">
        <v>10755</v>
      </c>
      <c r="AB3127" s="87" t="s">
        <v>11448</v>
      </c>
      <c r="AC3127" s="93" t="s">
        <v>11460</v>
      </c>
      <c r="AD3127" s="87" t="s">
        <v>11519</v>
      </c>
      <c r="AE3127" s="92" t="str">
        <f>HYPERLINK("https://twitter.com/e_markar/status/1691469860013019137")</f>
        <v>https://twitter.com/e_markar/status/1691469860013019137</v>
      </c>
      <c r="AF3127" s="90">
        <v>45153.639062499999</v>
      </c>
      <c r="AG3127" s="99">
        <v>45153</v>
      </c>
      <c r="AH3127" s="93" t="s">
        <v>14315</v>
      </c>
      <c r="AI3127" s="87" t="b">
        <v>0</v>
      </c>
      <c r="AJ3127" s="87"/>
      <c r="AK3127" s="87"/>
      <c r="AL3127" s="87"/>
      <c r="AM3127" s="87"/>
      <c r="AN3127" s="87"/>
      <c r="AO3127" s="87"/>
      <c r="AP3127" s="87"/>
      <c r="AQ3127" s="87" t="s">
        <v>17567</v>
      </c>
      <c r="AR3127" s="87"/>
      <c r="AS3127" s="87"/>
      <c r="AT3127" s="87"/>
      <c r="AU3127" s="87"/>
      <c r="AV3127" s="92" t="str">
        <f>HYPERLINK("https://pbs.twimg.com/media/F3lO36wWkAAwXvx.jpg")</f>
        <v>https://pbs.twimg.com/media/F3lO36wWkAAwXvx.jpg</v>
      </c>
      <c r="AW3127" s="93" t="s">
        <v>21275</v>
      </c>
      <c r="AX3127" s="93" t="s">
        <v>21275</v>
      </c>
      <c r="AY3127" s="87"/>
      <c r="AZ3127" s="93" t="s">
        <v>22668</v>
      </c>
      <c r="BA3127" s="93" t="s">
        <v>22668</v>
      </c>
      <c r="BB3127" s="93" t="s">
        <v>22668</v>
      </c>
      <c r="BC3127" s="93" t="s">
        <v>21275</v>
      </c>
      <c r="BD3127" s="93" t="s">
        <v>23345</v>
      </c>
      <c r="BE3127" s="87"/>
      <c r="BF3127" s="87"/>
      <c r="BG3127" s="87"/>
      <c r="BH3127" s="87"/>
      <c r="BI3127" s="87"/>
    </row>
    <row r="3128" spans="1:61" x14ac:dyDescent="0.25">
      <c r="A3128" s="63" t="s">
        <v>1178</v>
      </c>
      <c r="B3128" s="63" t="s">
        <v>1178</v>
      </c>
      <c r="C3128" s="64"/>
      <c r="D3128" s="65"/>
      <c r="E3128" s="66"/>
      <c r="F3128" s="67"/>
      <c r="G3128" s="64"/>
      <c r="H3128" s="68"/>
      <c r="I3128" s="69"/>
      <c r="J3128" s="69"/>
      <c r="K3128" s="32"/>
      <c r="L3128" s="76">
        <v>3128</v>
      </c>
      <c r="M3128" s="76"/>
      <c r="N3128" s="71"/>
      <c r="O3128" s="87" t="s">
        <v>179</v>
      </c>
      <c r="P3128" s="90">
        <v>45190.597453703704</v>
      </c>
      <c r="Q3128" s="87" t="s">
        <v>4827</v>
      </c>
      <c r="R3128" s="87">
        <v>0</v>
      </c>
      <c r="S3128" s="87">
        <v>0</v>
      </c>
      <c r="T3128" s="87">
        <v>0</v>
      </c>
      <c r="U3128" s="87">
        <v>0</v>
      </c>
      <c r="V3128" s="87">
        <v>1</v>
      </c>
      <c r="W3128" s="93" t="s">
        <v>7627</v>
      </c>
      <c r="X3128" s="92" t="str">
        <f>HYPERLINK("http://www.grupomarkar-net.com")</f>
        <v>http://www.grupomarkar-net.com</v>
      </c>
      <c r="Y3128" s="87" t="s">
        <v>8506</v>
      </c>
      <c r="Z3128" s="87"/>
      <c r="AA3128" s="87" t="s">
        <v>10756</v>
      </c>
      <c r="AB3128" s="87" t="s">
        <v>11448</v>
      </c>
      <c r="AC3128" s="93" t="s">
        <v>11460</v>
      </c>
      <c r="AD3128" s="87" t="s">
        <v>11519</v>
      </c>
      <c r="AE3128" s="92" t="str">
        <f>HYPERLINK("https://twitter.com/e_markar/status/1704863134035440086")</f>
        <v>https://twitter.com/e_markar/status/1704863134035440086</v>
      </c>
      <c r="AF3128" s="90">
        <v>45190.597453703704</v>
      </c>
      <c r="AG3128" s="99">
        <v>45190</v>
      </c>
      <c r="AH3128" s="93" t="s">
        <v>14316</v>
      </c>
      <c r="AI3128" s="87" t="b">
        <v>0</v>
      </c>
      <c r="AJ3128" s="87"/>
      <c r="AK3128" s="87"/>
      <c r="AL3128" s="87"/>
      <c r="AM3128" s="87"/>
      <c r="AN3128" s="87"/>
      <c r="AO3128" s="87"/>
      <c r="AP3128" s="87"/>
      <c r="AQ3128" s="87" t="s">
        <v>17568</v>
      </c>
      <c r="AR3128" s="87"/>
      <c r="AS3128" s="87"/>
      <c r="AT3128" s="87"/>
      <c r="AU3128" s="87"/>
      <c r="AV3128" s="92" t="str">
        <f>HYPERLINK("https://pbs.twimg.com/media/F6jj_DvW4AA0aHD.jpg")</f>
        <v>https://pbs.twimg.com/media/F6jj_DvW4AA0aHD.jpg</v>
      </c>
      <c r="AW3128" s="93" t="s">
        <v>21276</v>
      </c>
      <c r="AX3128" s="93" t="s">
        <v>21276</v>
      </c>
      <c r="AY3128" s="87"/>
      <c r="AZ3128" s="93" t="s">
        <v>22668</v>
      </c>
      <c r="BA3128" s="93" t="s">
        <v>22668</v>
      </c>
      <c r="BB3128" s="93" t="s">
        <v>22668</v>
      </c>
      <c r="BC3128" s="93" t="s">
        <v>21276</v>
      </c>
      <c r="BD3128" s="93" t="s">
        <v>23345</v>
      </c>
      <c r="BE3128" s="87"/>
      <c r="BF3128" s="87"/>
      <c r="BG3128" s="87"/>
      <c r="BH3128" s="87"/>
      <c r="BI3128" s="87"/>
    </row>
    <row r="3129" spans="1:61" x14ac:dyDescent="0.25">
      <c r="A3129" s="63" t="s">
        <v>1178</v>
      </c>
      <c r="B3129" s="63" t="s">
        <v>1178</v>
      </c>
      <c r="C3129" s="64"/>
      <c r="D3129" s="65"/>
      <c r="E3129" s="66"/>
      <c r="F3129" s="67"/>
      <c r="G3129" s="64"/>
      <c r="H3129" s="68"/>
      <c r="I3129" s="69"/>
      <c r="J3129" s="69"/>
      <c r="K3129" s="32"/>
      <c r="L3129" s="76">
        <v>3129</v>
      </c>
      <c r="M3129" s="76"/>
      <c r="N3129" s="71"/>
      <c r="O3129" s="87" t="s">
        <v>179</v>
      </c>
      <c r="P3129" s="90">
        <v>45176.45890046296</v>
      </c>
      <c r="Q3129" s="87" t="s">
        <v>4828</v>
      </c>
      <c r="R3129" s="87">
        <v>0</v>
      </c>
      <c r="S3129" s="87">
        <v>0</v>
      </c>
      <c r="T3129" s="87">
        <v>0</v>
      </c>
      <c r="U3129" s="87">
        <v>0</v>
      </c>
      <c r="V3129" s="87">
        <v>4</v>
      </c>
      <c r="W3129" s="93" t="s">
        <v>7627</v>
      </c>
      <c r="X3129" s="92" t="str">
        <f>HYPERLINK("http://www.grupomarkar-net.com")</f>
        <v>http://www.grupomarkar-net.com</v>
      </c>
      <c r="Y3129" s="87" t="s">
        <v>8506</v>
      </c>
      <c r="Z3129" s="87"/>
      <c r="AA3129" s="87" t="s">
        <v>10757</v>
      </c>
      <c r="AB3129" s="87" t="s">
        <v>11448</v>
      </c>
      <c r="AC3129" s="93" t="s">
        <v>11460</v>
      </c>
      <c r="AD3129" s="87" t="s">
        <v>11519</v>
      </c>
      <c r="AE3129" s="92" t="str">
        <f>HYPERLINK("https://twitter.com/e_markar/status/1699739493647978618")</f>
        <v>https://twitter.com/e_markar/status/1699739493647978618</v>
      </c>
      <c r="AF3129" s="90">
        <v>45176.45890046296</v>
      </c>
      <c r="AG3129" s="99">
        <v>45176</v>
      </c>
      <c r="AH3129" s="93" t="s">
        <v>14312</v>
      </c>
      <c r="AI3129" s="87" t="b">
        <v>0</v>
      </c>
      <c r="AJ3129" s="87"/>
      <c r="AK3129" s="87"/>
      <c r="AL3129" s="87"/>
      <c r="AM3129" s="87"/>
      <c r="AN3129" s="87"/>
      <c r="AO3129" s="87"/>
      <c r="AP3129" s="87"/>
      <c r="AQ3129" s="87" t="s">
        <v>17569</v>
      </c>
      <c r="AR3129" s="87"/>
      <c r="AS3129" s="87"/>
      <c r="AT3129" s="87"/>
      <c r="AU3129" s="87"/>
      <c r="AV3129" s="92" t="str">
        <f>HYPERLINK("https://pbs.twimg.com/media/F5awD97W4AAv6fu.jpg")</f>
        <v>https://pbs.twimg.com/media/F5awD97W4AAv6fu.jpg</v>
      </c>
      <c r="AW3129" s="93" t="s">
        <v>21277</v>
      </c>
      <c r="AX3129" s="93" t="s">
        <v>21277</v>
      </c>
      <c r="AY3129" s="87"/>
      <c r="AZ3129" s="93" t="s">
        <v>22668</v>
      </c>
      <c r="BA3129" s="93" t="s">
        <v>22668</v>
      </c>
      <c r="BB3129" s="93" t="s">
        <v>22668</v>
      </c>
      <c r="BC3129" s="93" t="s">
        <v>21277</v>
      </c>
      <c r="BD3129" s="93" t="s">
        <v>23345</v>
      </c>
      <c r="BE3129" s="87"/>
      <c r="BF3129" s="87"/>
      <c r="BG3129" s="87"/>
      <c r="BH3129" s="87"/>
      <c r="BI3129" s="87"/>
    </row>
    <row r="3130" spans="1:61" x14ac:dyDescent="0.25">
      <c r="A3130" s="63" t="s">
        <v>1178</v>
      </c>
      <c r="B3130" s="63" t="s">
        <v>1178</v>
      </c>
      <c r="C3130" s="64"/>
      <c r="D3130" s="65"/>
      <c r="E3130" s="66"/>
      <c r="F3130" s="67"/>
      <c r="G3130" s="64"/>
      <c r="H3130" s="68"/>
      <c r="I3130" s="69"/>
      <c r="J3130" s="69"/>
      <c r="K3130" s="32"/>
      <c r="L3130" s="76">
        <v>3130</v>
      </c>
      <c r="M3130" s="76"/>
      <c r="N3130" s="71"/>
      <c r="O3130" s="87" t="s">
        <v>179</v>
      </c>
      <c r="P3130" s="90">
        <v>45176.45888888889</v>
      </c>
      <c r="Q3130" s="87" t="s">
        <v>4829</v>
      </c>
      <c r="R3130" s="87">
        <v>0</v>
      </c>
      <c r="S3130" s="87">
        <v>0</v>
      </c>
      <c r="T3130" s="87">
        <v>0</v>
      </c>
      <c r="U3130" s="87">
        <v>0</v>
      </c>
      <c r="V3130" s="87">
        <v>5</v>
      </c>
      <c r="W3130" s="93" t="s">
        <v>7627</v>
      </c>
      <c r="X3130" s="92" t="str">
        <f>HYPERLINK("http://www.grupomarkar-net.com")</f>
        <v>http://www.grupomarkar-net.com</v>
      </c>
      <c r="Y3130" s="87" t="s">
        <v>8506</v>
      </c>
      <c r="Z3130" s="87"/>
      <c r="AA3130" s="87" t="s">
        <v>10758</v>
      </c>
      <c r="AB3130" s="87" t="s">
        <v>11448</v>
      </c>
      <c r="AC3130" s="93" t="s">
        <v>11460</v>
      </c>
      <c r="AD3130" s="87" t="s">
        <v>11519</v>
      </c>
      <c r="AE3130" s="92" t="str">
        <f>HYPERLINK("https://twitter.com/e_markar/status/1699739488950321309")</f>
        <v>https://twitter.com/e_markar/status/1699739488950321309</v>
      </c>
      <c r="AF3130" s="90">
        <v>45176.45888888889</v>
      </c>
      <c r="AG3130" s="99">
        <v>45176</v>
      </c>
      <c r="AH3130" s="93" t="s">
        <v>14317</v>
      </c>
      <c r="AI3130" s="87" t="b">
        <v>0</v>
      </c>
      <c r="AJ3130" s="87"/>
      <c r="AK3130" s="87"/>
      <c r="AL3130" s="87"/>
      <c r="AM3130" s="87"/>
      <c r="AN3130" s="87"/>
      <c r="AO3130" s="87"/>
      <c r="AP3130" s="87"/>
      <c r="AQ3130" s="87" t="s">
        <v>17570</v>
      </c>
      <c r="AR3130" s="87"/>
      <c r="AS3130" s="87"/>
      <c r="AT3130" s="87"/>
      <c r="AU3130" s="87"/>
      <c r="AV3130" s="92" t="str">
        <f>HYPERLINK("https://pbs.twimg.com/media/F5awDqQW8AAHzAC.jpg")</f>
        <v>https://pbs.twimg.com/media/F5awDqQW8AAHzAC.jpg</v>
      </c>
      <c r="AW3130" s="93" t="s">
        <v>21278</v>
      </c>
      <c r="AX3130" s="93" t="s">
        <v>21278</v>
      </c>
      <c r="AY3130" s="87"/>
      <c r="AZ3130" s="93" t="s">
        <v>22668</v>
      </c>
      <c r="BA3130" s="93" t="s">
        <v>22668</v>
      </c>
      <c r="BB3130" s="93" t="s">
        <v>22668</v>
      </c>
      <c r="BC3130" s="93" t="s">
        <v>21278</v>
      </c>
      <c r="BD3130" s="93" t="s">
        <v>23345</v>
      </c>
      <c r="BE3130" s="87"/>
      <c r="BF3130" s="87"/>
      <c r="BG3130" s="87"/>
      <c r="BH3130" s="87"/>
      <c r="BI3130" s="87"/>
    </row>
    <row r="3131" spans="1:61" x14ac:dyDescent="0.25">
      <c r="A3131" s="63" t="s">
        <v>1178</v>
      </c>
      <c r="B3131" s="63" t="s">
        <v>1178</v>
      </c>
      <c r="C3131" s="64"/>
      <c r="D3131" s="65"/>
      <c r="E3131" s="66"/>
      <c r="F3131" s="67"/>
      <c r="G3131" s="64"/>
      <c r="H3131" s="68"/>
      <c r="I3131" s="69"/>
      <c r="J3131" s="69"/>
      <c r="K3131" s="32"/>
      <c r="L3131" s="76">
        <v>3131</v>
      </c>
      <c r="M3131" s="76"/>
      <c r="N3131" s="71"/>
      <c r="O3131" s="87" t="s">
        <v>179</v>
      </c>
      <c r="P3131" s="90">
        <v>45169.458877314813</v>
      </c>
      <c r="Q3131" s="87" t="s">
        <v>4830</v>
      </c>
      <c r="R3131" s="87">
        <v>0</v>
      </c>
      <c r="S3131" s="87">
        <v>0</v>
      </c>
      <c r="T3131" s="87">
        <v>0</v>
      </c>
      <c r="U3131" s="87">
        <v>0</v>
      </c>
      <c r="V3131" s="87">
        <v>1</v>
      </c>
      <c r="W3131" s="93" t="s">
        <v>7627</v>
      </c>
      <c r="X3131" s="92" t="str">
        <f>HYPERLINK("http://www.grupomarkar-net.com")</f>
        <v>http://www.grupomarkar-net.com</v>
      </c>
      <c r="Y3131" s="87" t="s">
        <v>8506</v>
      </c>
      <c r="Z3131" s="87"/>
      <c r="AA3131" s="87" t="s">
        <v>10759</v>
      </c>
      <c r="AB3131" s="87" t="s">
        <v>11448</v>
      </c>
      <c r="AC3131" s="93" t="s">
        <v>11460</v>
      </c>
      <c r="AD3131" s="87" t="s">
        <v>11519</v>
      </c>
      <c r="AE3131" s="92" t="str">
        <f>HYPERLINK("https://twitter.com/e_markar/status/1697202768639885472")</f>
        <v>https://twitter.com/e_markar/status/1697202768639885472</v>
      </c>
      <c r="AF3131" s="90">
        <v>45169.458877314813</v>
      </c>
      <c r="AG3131" s="99">
        <v>45169</v>
      </c>
      <c r="AH3131" s="93" t="s">
        <v>14311</v>
      </c>
      <c r="AI3131" s="87" t="b">
        <v>0</v>
      </c>
      <c r="AJ3131" s="87"/>
      <c r="AK3131" s="87"/>
      <c r="AL3131" s="87"/>
      <c r="AM3131" s="87"/>
      <c r="AN3131" s="87"/>
      <c r="AO3131" s="87"/>
      <c r="AP3131" s="87"/>
      <c r="AQ3131" s="87" t="s">
        <v>17571</v>
      </c>
      <c r="AR3131" s="87"/>
      <c r="AS3131" s="87"/>
      <c r="AT3131" s="87"/>
      <c r="AU3131" s="87"/>
      <c r="AV3131" s="92" t="str">
        <f>HYPERLINK("https://pbs.twimg.com/media/F42s7HKWcAAL8vK.jpg")</f>
        <v>https://pbs.twimg.com/media/F42s7HKWcAAL8vK.jpg</v>
      </c>
      <c r="AW3131" s="93" t="s">
        <v>21279</v>
      </c>
      <c r="AX3131" s="93" t="s">
        <v>21279</v>
      </c>
      <c r="AY3131" s="87"/>
      <c r="AZ3131" s="93" t="s">
        <v>22668</v>
      </c>
      <c r="BA3131" s="93" t="s">
        <v>22668</v>
      </c>
      <c r="BB3131" s="93" t="s">
        <v>22668</v>
      </c>
      <c r="BC3131" s="93" t="s">
        <v>21279</v>
      </c>
      <c r="BD3131" s="93" t="s">
        <v>23345</v>
      </c>
      <c r="BE3131" s="87"/>
      <c r="BF3131" s="87"/>
      <c r="BG3131" s="87"/>
      <c r="BH3131" s="87"/>
      <c r="BI3131" s="87"/>
    </row>
    <row r="3132" spans="1:61" x14ac:dyDescent="0.25">
      <c r="A3132" s="63" t="s">
        <v>1178</v>
      </c>
      <c r="B3132" s="63" t="s">
        <v>1178</v>
      </c>
      <c r="C3132" s="64"/>
      <c r="D3132" s="65"/>
      <c r="E3132" s="66"/>
      <c r="F3132" s="67"/>
      <c r="G3132" s="64"/>
      <c r="H3132" s="68"/>
      <c r="I3132" s="69"/>
      <c r="J3132" s="69"/>
      <c r="K3132" s="32"/>
      <c r="L3132" s="76">
        <v>3132</v>
      </c>
      <c r="M3132" s="76"/>
      <c r="N3132" s="71"/>
      <c r="O3132" s="87" t="s">
        <v>179</v>
      </c>
      <c r="P3132" s="90">
        <v>45132.709050925929</v>
      </c>
      <c r="Q3132" s="87" t="s">
        <v>4831</v>
      </c>
      <c r="R3132" s="87">
        <v>0</v>
      </c>
      <c r="S3132" s="87">
        <v>0</v>
      </c>
      <c r="T3132" s="87">
        <v>0</v>
      </c>
      <c r="U3132" s="87">
        <v>0</v>
      </c>
      <c r="V3132" s="87">
        <v>1</v>
      </c>
      <c r="W3132" s="93" t="s">
        <v>7627</v>
      </c>
      <c r="X3132" s="92" t="str">
        <f>HYPERLINK("http://www.grupomarkar-net.com")</f>
        <v>http://www.grupomarkar-net.com</v>
      </c>
      <c r="Y3132" s="87" t="s">
        <v>8506</v>
      </c>
      <c r="Z3132" s="87"/>
      <c r="AA3132" s="87" t="s">
        <v>10760</v>
      </c>
      <c r="AB3132" s="87" t="s">
        <v>11448</v>
      </c>
      <c r="AC3132" s="93" t="s">
        <v>11460</v>
      </c>
      <c r="AD3132" s="87" t="s">
        <v>11519</v>
      </c>
      <c r="AE3132" s="92" t="str">
        <f>HYPERLINK("https://twitter.com/e_markar/status/1683885079414681626")</f>
        <v>https://twitter.com/e_markar/status/1683885079414681626</v>
      </c>
      <c r="AF3132" s="90">
        <v>45132.709050925929</v>
      </c>
      <c r="AG3132" s="99">
        <v>45132</v>
      </c>
      <c r="AH3132" s="93" t="s">
        <v>14318</v>
      </c>
      <c r="AI3132" s="87" t="b">
        <v>0</v>
      </c>
      <c r="AJ3132" s="87"/>
      <c r="AK3132" s="87"/>
      <c r="AL3132" s="87"/>
      <c r="AM3132" s="87"/>
      <c r="AN3132" s="87"/>
      <c r="AO3132" s="87"/>
      <c r="AP3132" s="87"/>
      <c r="AQ3132" s="87" t="s">
        <v>17572</v>
      </c>
      <c r="AR3132" s="87"/>
      <c r="AS3132" s="87"/>
      <c r="AT3132" s="87"/>
      <c r="AU3132" s="87"/>
      <c r="AV3132" s="92" t="str">
        <f>HYPERLINK("https://pbs.twimg.com/media/F15cjkfWYBU7Bs6.jpg")</f>
        <v>https://pbs.twimg.com/media/F15cjkfWYBU7Bs6.jpg</v>
      </c>
      <c r="AW3132" s="93" t="s">
        <v>21280</v>
      </c>
      <c r="AX3132" s="93" t="s">
        <v>21280</v>
      </c>
      <c r="AY3132" s="87"/>
      <c r="AZ3132" s="93" t="s">
        <v>22668</v>
      </c>
      <c r="BA3132" s="93" t="s">
        <v>22668</v>
      </c>
      <c r="BB3132" s="93" t="s">
        <v>22668</v>
      </c>
      <c r="BC3132" s="93" t="s">
        <v>21280</v>
      </c>
      <c r="BD3132" s="93" t="s">
        <v>23345</v>
      </c>
      <c r="BE3132" s="87"/>
      <c r="BF3132" s="87"/>
      <c r="BG3132" s="87"/>
      <c r="BH3132" s="87"/>
      <c r="BI3132" s="87"/>
    </row>
    <row r="3133" spans="1:61" x14ac:dyDescent="0.25">
      <c r="A3133" s="63" t="s">
        <v>1178</v>
      </c>
      <c r="B3133" s="63" t="s">
        <v>1178</v>
      </c>
      <c r="C3133" s="64"/>
      <c r="D3133" s="65"/>
      <c r="E3133" s="66"/>
      <c r="F3133" s="67"/>
      <c r="G3133" s="64"/>
      <c r="H3133" s="68"/>
      <c r="I3133" s="69"/>
      <c r="J3133" s="69"/>
      <c r="K3133" s="32"/>
      <c r="L3133" s="76">
        <v>3133</v>
      </c>
      <c r="M3133" s="76"/>
      <c r="N3133" s="71"/>
      <c r="O3133" s="87" t="s">
        <v>179</v>
      </c>
      <c r="P3133" s="90">
        <v>45117.458819444444</v>
      </c>
      <c r="Q3133" s="87" t="s">
        <v>4832</v>
      </c>
      <c r="R3133" s="87">
        <v>0</v>
      </c>
      <c r="S3133" s="87">
        <v>0</v>
      </c>
      <c r="T3133" s="87">
        <v>0</v>
      </c>
      <c r="U3133" s="87">
        <v>0</v>
      </c>
      <c r="V3133" s="87">
        <v>2</v>
      </c>
      <c r="W3133" s="93" t="s">
        <v>7627</v>
      </c>
      <c r="X3133" s="92" t="str">
        <f>HYPERLINK("http://www.grupomarkar-net.com")</f>
        <v>http://www.grupomarkar-net.com</v>
      </c>
      <c r="Y3133" s="87" t="s">
        <v>8506</v>
      </c>
      <c r="Z3133" s="87"/>
      <c r="AA3133" s="87" t="s">
        <v>10761</v>
      </c>
      <c r="AB3133" s="87" t="s">
        <v>11448</v>
      </c>
      <c r="AC3133" s="93" t="s">
        <v>11460</v>
      </c>
      <c r="AD3133" s="87" t="s">
        <v>11519</v>
      </c>
      <c r="AE3133" s="92" t="str">
        <f>HYPERLINK("https://twitter.com/e_markar/status/1678358580494303235")</f>
        <v>https://twitter.com/e_markar/status/1678358580494303235</v>
      </c>
      <c r="AF3133" s="90">
        <v>45117.458819444444</v>
      </c>
      <c r="AG3133" s="99">
        <v>45117</v>
      </c>
      <c r="AH3133" s="93" t="s">
        <v>11762</v>
      </c>
      <c r="AI3133" s="87" t="b">
        <v>0</v>
      </c>
      <c r="AJ3133" s="87"/>
      <c r="AK3133" s="87"/>
      <c r="AL3133" s="87"/>
      <c r="AM3133" s="87"/>
      <c r="AN3133" s="87"/>
      <c r="AO3133" s="87"/>
      <c r="AP3133" s="87"/>
      <c r="AQ3133" s="87" t="s">
        <v>17573</v>
      </c>
      <c r="AR3133" s="87"/>
      <c r="AS3133" s="87"/>
      <c r="AT3133" s="87"/>
      <c r="AU3133" s="87"/>
      <c r="AV3133" s="92" t="str">
        <f>HYPERLINK("https://pbs.twimg.com/media/F0q6PCbXgAAK6_v.jpg")</f>
        <v>https://pbs.twimg.com/media/F0q6PCbXgAAK6_v.jpg</v>
      </c>
      <c r="AW3133" s="93" t="s">
        <v>21281</v>
      </c>
      <c r="AX3133" s="93" t="s">
        <v>21281</v>
      </c>
      <c r="AY3133" s="87"/>
      <c r="AZ3133" s="93" t="s">
        <v>22668</v>
      </c>
      <c r="BA3133" s="93" t="s">
        <v>22668</v>
      </c>
      <c r="BB3133" s="93" t="s">
        <v>22668</v>
      </c>
      <c r="BC3133" s="93" t="s">
        <v>21281</v>
      </c>
      <c r="BD3133" s="93" t="s">
        <v>23345</v>
      </c>
      <c r="BE3133" s="87"/>
      <c r="BF3133" s="87"/>
      <c r="BG3133" s="87"/>
      <c r="BH3133" s="87"/>
      <c r="BI3133" s="87"/>
    </row>
    <row r="3134" spans="1:61" x14ac:dyDescent="0.25">
      <c r="A3134" s="63" t="s">
        <v>1178</v>
      </c>
      <c r="B3134" s="63" t="s">
        <v>1178</v>
      </c>
      <c r="C3134" s="64"/>
      <c r="D3134" s="65"/>
      <c r="E3134" s="66"/>
      <c r="F3134" s="67"/>
      <c r="G3134" s="64"/>
      <c r="H3134" s="68"/>
      <c r="I3134" s="69"/>
      <c r="J3134" s="69"/>
      <c r="K3134" s="32"/>
      <c r="L3134" s="76">
        <v>3134</v>
      </c>
      <c r="M3134" s="76"/>
      <c r="N3134" s="71"/>
      <c r="O3134" s="87" t="s">
        <v>179</v>
      </c>
      <c r="P3134" s="90">
        <v>45194.458865740744</v>
      </c>
      <c r="Q3134" s="87" t="s">
        <v>4833</v>
      </c>
      <c r="R3134" s="87">
        <v>0</v>
      </c>
      <c r="S3134" s="87">
        <v>0</v>
      </c>
      <c r="T3134" s="87">
        <v>0</v>
      </c>
      <c r="U3134" s="87">
        <v>0</v>
      </c>
      <c r="V3134" s="87">
        <v>2</v>
      </c>
      <c r="W3134" s="93" t="s">
        <v>7627</v>
      </c>
      <c r="X3134" s="92" t="str">
        <f>HYPERLINK("http://www.grupomarkar-net.com")</f>
        <v>http://www.grupomarkar-net.com</v>
      </c>
      <c r="Y3134" s="87" t="s">
        <v>8506</v>
      </c>
      <c r="Z3134" s="87"/>
      <c r="AA3134" s="87" t="s">
        <v>10762</v>
      </c>
      <c r="AB3134" s="87" t="s">
        <v>11448</v>
      </c>
      <c r="AC3134" s="93" t="s">
        <v>11460</v>
      </c>
      <c r="AD3134" s="87" t="s">
        <v>11519</v>
      </c>
      <c r="AE3134" s="92" t="str">
        <f>HYPERLINK("https://twitter.com/e_markar/status/1706262462859808789")</f>
        <v>https://twitter.com/e_markar/status/1706262462859808789</v>
      </c>
      <c r="AF3134" s="90">
        <v>45194.458865740744</v>
      </c>
      <c r="AG3134" s="99">
        <v>45194</v>
      </c>
      <c r="AH3134" s="93" t="s">
        <v>12094</v>
      </c>
      <c r="AI3134" s="87" t="b">
        <v>0</v>
      </c>
      <c r="AJ3134" s="87"/>
      <c r="AK3134" s="87"/>
      <c r="AL3134" s="87"/>
      <c r="AM3134" s="87"/>
      <c r="AN3134" s="87"/>
      <c r="AO3134" s="87"/>
      <c r="AP3134" s="87"/>
      <c r="AQ3134" s="87" t="s">
        <v>17574</v>
      </c>
      <c r="AR3134" s="87"/>
      <c r="AS3134" s="87"/>
      <c r="AT3134" s="87"/>
      <c r="AU3134" s="87"/>
      <c r="AV3134" s="92" t="str">
        <f>HYPERLINK("https://pbs.twimg.com/media/F63cquJXYAA_cSe.jpg")</f>
        <v>https://pbs.twimg.com/media/F63cquJXYAA_cSe.jpg</v>
      </c>
      <c r="AW3134" s="93" t="s">
        <v>21282</v>
      </c>
      <c r="AX3134" s="93" t="s">
        <v>21282</v>
      </c>
      <c r="AY3134" s="87"/>
      <c r="AZ3134" s="93" t="s">
        <v>22668</v>
      </c>
      <c r="BA3134" s="93" t="s">
        <v>22668</v>
      </c>
      <c r="BB3134" s="93" t="s">
        <v>22668</v>
      </c>
      <c r="BC3134" s="93" t="s">
        <v>21282</v>
      </c>
      <c r="BD3134" s="93" t="s">
        <v>23345</v>
      </c>
      <c r="BE3134" s="87"/>
      <c r="BF3134" s="87"/>
      <c r="BG3134" s="87"/>
      <c r="BH3134" s="87"/>
      <c r="BI3134" s="87"/>
    </row>
    <row r="3135" spans="1:61" x14ac:dyDescent="0.25">
      <c r="A3135" s="63" t="s">
        <v>1178</v>
      </c>
      <c r="B3135" s="63" t="s">
        <v>1178</v>
      </c>
      <c r="C3135" s="64"/>
      <c r="D3135" s="65"/>
      <c r="E3135" s="66"/>
      <c r="F3135" s="67"/>
      <c r="G3135" s="64"/>
      <c r="H3135" s="68"/>
      <c r="I3135" s="69"/>
      <c r="J3135" s="69"/>
      <c r="K3135" s="32"/>
      <c r="L3135" s="76">
        <v>3135</v>
      </c>
      <c r="M3135" s="76"/>
      <c r="N3135" s="71"/>
      <c r="O3135" s="87" t="s">
        <v>179</v>
      </c>
      <c r="P3135" s="90">
        <v>45173.458807870367</v>
      </c>
      <c r="Q3135" s="87" t="s">
        <v>4834</v>
      </c>
      <c r="R3135" s="87">
        <v>0</v>
      </c>
      <c r="S3135" s="87">
        <v>0</v>
      </c>
      <c r="T3135" s="87">
        <v>0</v>
      </c>
      <c r="U3135" s="87">
        <v>0</v>
      </c>
      <c r="V3135" s="87">
        <v>2</v>
      </c>
      <c r="W3135" s="93" t="s">
        <v>7627</v>
      </c>
      <c r="X3135" s="92" t="str">
        <f>HYPERLINK("http://www.grupomarkar-net.com")</f>
        <v>http://www.grupomarkar-net.com</v>
      </c>
      <c r="Y3135" s="87" t="s">
        <v>8506</v>
      </c>
      <c r="Z3135" s="87"/>
      <c r="AA3135" s="87" t="s">
        <v>10763</v>
      </c>
      <c r="AB3135" s="87" t="s">
        <v>11448</v>
      </c>
      <c r="AC3135" s="93" t="s">
        <v>11460</v>
      </c>
      <c r="AD3135" s="87" t="s">
        <v>11519</v>
      </c>
      <c r="AE3135" s="92" t="str">
        <f>HYPERLINK("https://twitter.com/e_markar/status/1698652297541071004")</f>
        <v>https://twitter.com/e_markar/status/1698652297541071004</v>
      </c>
      <c r="AF3135" s="90">
        <v>45173.458807870367</v>
      </c>
      <c r="AG3135" s="99">
        <v>45173</v>
      </c>
      <c r="AH3135" s="93" t="s">
        <v>11751</v>
      </c>
      <c r="AI3135" s="87" t="b">
        <v>0</v>
      </c>
      <c r="AJ3135" s="87"/>
      <c r="AK3135" s="87"/>
      <c r="AL3135" s="87"/>
      <c r="AM3135" s="87"/>
      <c r="AN3135" s="87"/>
      <c r="AO3135" s="87"/>
      <c r="AP3135" s="87"/>
      <c r="AQ3135" s="87" t="s">
        <v>17575</v>
      </c>
      <c r="AR3135" s="87"/>
      <c r="AS3135" s="87"/>
      <c r="AT3135" s="87"/>
      <c r="AU3135" s="87"/>
      <c r="AV3135" s="92" t="str">
        <f>HYPERLINK("https://pbs.twimg.com/media/F5LTQy9WEAAJehR.jpg")</f>
        <v>https://pbs.twimg.com/media/F5LTQy9WEAAJehR.jpg</v>
      </c>
      <c r="AW3135" s="93" t="s">
        <v>21283</v>
      </c>
      <c r="AX3135" s="93" t="s">
        <v>21283</v>
      </c>
      <c r="AY3135" s="87"/>
      <c r="AZ3135" s="93" t="s">
        <v>22668</v>
      </c>
      <c r="BA3135" s="93" t="s">
        <v>22668</v>
      </c>
      <c r="BB3135" s="93" t="s">
        <v>22668</v>
      </c>
      <c r="BC3135" s="93" t="s">
        <v>21283</v>
      </c>
      <c r="BD3135" s="93" t="s">
        <v>23345</v>
      </c>
      <c r="BE3135" s="87"/>
      <c r="BF3135" s="87"/>
      <c r="BG3135" s="87"/>
      <c r="BH3135" s="87"/>
      <c r="BI3135" s="87"/>
    </row>
    <row r="3136" spans="1:61" x14ac:dyDescent="0.25">
      <c r="A3136" s="63" t="s">
        <v>1178</v>
      </c>
      <c r="B3136" s="63" t="s">
        <v>1178</v>
      </c>
      <c r="C3136" s="64"/>
      <c r="D3136" s="65"/>
      <c r="E3136" s="66"/>
      <c r="F3136" s="67"/>
      <c r="G3136" s="64"/>
      <c r="H3136" s="68"/>
      <c r="I3136" s="69"/>
      <c r="J3136" s="69"/>
      <c r="K3136" s="32"/>
      <c r="L3136" s="76">
        <v>3136</v>
      </c>
      <c r="M3136" s="76"/>
      <c r="N3136" s="71"/>
      <c r="O3136" s="87" t="s">
        <v>179</v>
      </c>
      <c r="P3136" s="90">
        <v>45152.45888888889</v>
      </c>
      <c r="Q3136" s="87" t="s">
        <v>4835</v>
      </c>
      <c r="R3136" s="87">
        <v>0</v>
      </c>
      <c r="S3136" s="87">
        <v>0</v>
      </c>
      <c r="T3136" s="87">
        <v>0</v>
      </c>
      <c r="U3136" s="87">
        <v>0</v>
      </c>
      <c r="V3136" s="87">
        <v>6</v>
      </c>
      <c r="W3136" s="93" t="s">
        <v>7627</v>
      </c>
      <c r="X3136" s="92" t="str">
        <f>HYPERLINK("http://www.grupomarkar-net.com")</f>
        <v>http://www.grupomarkar-net.com</v>
      </c>
      <c r="Y3136" s="87" t="s">
        <v>8506</v>
      </c>
      <c r="Z3136" s="87"/>
      <c r="AA3136" s="87" t="s">
        <v>10764</v>
      </c>
      <c r="AB3136" s="87" t="s">
        <v>11448</v>
      </c>
      <c r="AC3136" s="93" t="s">
        <v>11460</v>
      </c>
      <c r="AD3136" s="87" t="s">
        <v>11519</v>
      </c>
      <c r="AE3136" s="92" t="str">
        <f>HYPERLINK("https://twitter.com/e_markar/status/1691042180649918464")</f>
        <v>https://twitter.com/e_markar/status/1691042180649918464</v>
      </c>
      <c r="AF3136" s="90">
        <v>45152.45888888889</v>
      </c>
      <c r="AG3136" s="99">
        <v>45152</v>
      </c>
      <c r="AH3136" s="93" t="s">
        <v>14317</v>
      </c>
      <c r="AI3136" s="87" t="b">
        <v>0</v>
      </c>
      <c r="AJ3136" s="87"/>
      <c r="AK3136" s="87"/>
      <c r="AL3136" s="87"/>
      <c r="AM3136" s="87"/>
      <c r="AN3136" s="87"/>
      <c r="AO3136" s="87"/>
      <c r="AP3136" s="87"/>
      <c r="AQ3136" s="87" t="s">
        <v>17576</v>
      </c>
      <c r="AR3136" s="87"/>
      <c r="AS3136" s="87"/>
      <c r="AT3136" s="87"/>
      <c r="AU3136" s="87"/>
      <c r="AV3136" s="92" t="str">
        <f>HYPERLINK("https://pbs.twimg.com/media/F3fJ5tpWAAArYp1.jpg")</f>
        <v>https://pbs.twimg.com/media/F3fJ5tpWAAArYp1.jpg</v>
      </c>
      <c r="AW3136" s="93" t="s">
        <v>21284</v>
      </c>
      <c r="AX3136" s="93" t="s">
        <v>21284</v>
      </c>
      <c r="AY3136" s="87"/>
      <c r="AZ3136" s="93" t="s">
        <v>22668</v>
      </c>
      <c r="BA3136" s="93" t="s">
        <v>22668</v>
      </c>
      <c r="BB3136" s="93" t="s">
        <v>22668</v>
      </c>
      <c r="BC3136" s="93" t="s">
        <v>21284</v>
      </c>
      <c r="BD3136" s="93" t="s">
        <v>23345</v>
      </c>
      <c r="BE3136" s="87"/>
      <c r="BF3136" s="87"/>
      <c r="BG3136" s="87"/>
      <c r="BH3136" s="87"/>
      <c r="BI3136" s="87"/>
    </row>
    <row r="3137" spans="1:61" x14ac:dyDescent="0.25">
      <c r="A3137" s="63" t="s">
        <v>1178</v>
      </c>
      <c r="B3137" s="63" t="s">
        <v>1178</v>
      </c>
      <c r="C3137" s="64"/>
      <c r="D3137" s="65"/>
      <c r="E3137" s="66"/>
      <c r="F3137" s="67"/>
      <c r="G3137" s="64"/>
      <c r="H3137" s="68"/>
      <c r="I3137" s="69"/>
      <c r="J3137" s="69"/>
      <c r="K3137" s="32"/>
      <c r="L3137" s="76">
        <v>3137</v>
      </c>
      <c r="M3137" s="76"/>
      <c r="N3137" s="71"/>
      <c r="O3137" s="87" t="s">
        <v>179</v>
      </c>
      <c r="P3137" s="90">
        <v>45151.542164351849</v>
      </c>
      <c r="Q3137" s="87" t="s">
        <v>4836</v>
      </c>
      <c r="R3137" s="87">
        <v>0</v>
      </c>
      <c r="S3137" s="87">
        <v>0</v>
      </c>
      <c r="T3137" s="87">
        <v>0</v>
      </c>
      <c r="U3137" s="87">
        <v>0</v>
      </c>
      <c r="V3137" s="87">
        <v>5</v>
      </c>
      <c r="W3137" s="93" t="s">
        <v>7627</v>
      </c>
      <c r="X3137" s="92" t="str">
        <f>HYPERLINK("http://www.grupomarkar-net.com")</f>
        <v>http://www.grupomarkar-net.com</v>
      </c>
      <c r="Y3137" s="87" t="s">
        <v>8506</v>
      </c>
      <c r="Z3137" s="87"/>
      <c r="AA3137" s="87" t="s">
        <v>10765</v>
      </c>
      <c r="AB3137" s="87" t="s">
        <v>11448</v>
      </c>
      <c r="AC3137" s="93" t="s">
        <v>11460</v>
      </c>
      <c r="AD3137" s="87" t="s">
        <v>11519</v>
      </c>
      <c r="AE3137" s="92" t="str">
        <f>HYPERLINK("https://twitter.com/e_markar/status/1690709969564303360")</f>
        <v>https://twitter.com/e_markar/status/1690709969564303360</v>
      </c>
      <c r="AF3137" s="90">
        <v>45151.542164351849</v>
      </c>
      <c r="AG3137" s="99">
        <v>45151</v>
      </c>
      <c r="AH3137" s="93" t="s">
        <v>13214</v>
      </c>
      <c r="AI3137" s="87" t="b">
        <v>0</v>
      </c>
      <c r="AJ3137" s="87"/>
      <c r="AK3137" s="87"/>
      <c r="AL3137" s="87"/>
      <c r="AM3137" s="87"/>
      <c r="AN3137" s="87"/>
      <c r="AO3137" s="87"/>
      <c r="AP3137" s="87"/>
      <c r="AQ3137" s="87" t="s">
        <v>17577</v>
      </c>
      <c r="AR3137" s="87"/>
      <c r="AS3137" s="87"/>
      <c r="AT3137" s="87"/>
      <c r="AU3137" s="87"/>
      <c r="AV3137" s="92" t="str">
        <f>HYPERLINK("https://pbs.twimg.com/media/F3abwe6WkAI5-PL.png")</f>
        <v>https://pbs.twimg.com/media/F3abwe6WkAI5-PL.png</v>
      </c>
      <c r="AW3137" s="93" t="s">
        <v>21285</v>
      </c>
      <c r="AX3137" s="93" t="s">
        <v>21285</v>
      </c>
      <c r="AY3137" s="87"/>
      <c r="AZ3137" s="93" t="s">
        <v>22668</v>
      </c>
      <c r="BA3137" s="93" t="s">
        <v>22668</v>
      </c>
      <c r="BB3137" s="93" t="s">
        <v>22668</v>
      </c>
      <c r="BC3137" s="93" t="s">
        <v>21285</v>
      </c>
      <c r="BD3137" s="93" t="s">
        <v>23345</v>
      </c>
      <c r="BE3137" s="87"/>
      <c r="BF3137" s="87"/>
      <c r="BG3137" s="87"/>
      <c r="BH3137" s="87"/>
      <c r="BI3137" s="87"/>
    </row>
    <row r="3138" spans="1:61" x14ac:dyDescent="0.25">
      <c r="A3138" s="63" t="s">
        <v>1178</v>
      </c>
      <c r="B3138" s="63" t="s">
        <v>1178</v>
      </c>
      <c r="C3138" s="64"/>
      <c r="D3138" s="65"/>
      <c r="E3138" s="66"/>
      <c r="F3138" s="67"/>
      <c r="G3138" s="64"/>
      <c r="H3138" s="68"/>
      <c r="I3138" s="69"/>
      <c r="J3138" s="69"/>
      <c r="K3138" s="32"/>
      <c r="L3138" s="76">
        <v>3138</v>
      </c>
      <c r="M3138" s="76"/>
      <c r="N3138" s="71"/>
      <c r="O3138" s="87" t="s">
        <v>179</v>
      </c>
      <c r="P3138" s="90">
        <v>45195.458819444444</v>
      </c>
      <c r="Q3138" s="87" t="s">
        <v>4837</v>
      </c>
      <c r="R3138" s="87">
        <v>0</v>
      </c>
      <c r="S3138" s="87">
        <v>0</v>
      </c>
      <c r="T3138" s="87">
        <v>0</v>
      </c>
      <c r="U3138" s="87">
        <v>0</v>
      </c>
      <c r="V3138" s="87">
        <v>1</v>
      </c>
      <c r="W3138" s="93" t="s">
        <v>7627</v>
      </c>
      <c r="X3138" s="92" t="str">
        <f>HYPERLINK("http://www.grupomarkar-net.com")</f>
        <v>http://www.grupomarkar-net.com</v>
      </c>
      <c r="Y3138" s="87" t="s">
        <v>8506</v>
      </c>
      <c r="Z3138" s="87"/>
      <c r="AA3138" s="87" t="s">
        <v>10766</v>
      </c>
      <c r="AB3138" s="87" t="s">
        <v>11448</v>
      </c>
      <c r="AC3138" s="93" t="s">
        <v>11460</v>
      </c>
      <c r="AD3138" s="87" t="s">
        <v>11519</v>
      </c>
      <c r="AE3138" s="92" t="str">
        <f>HYPERLINK("https://twitter.com/e_markar/status/1706624835235782792")</f>
        <v>https://twitter.com/e_markar/status/1706624835235782792</v>
      </c>
      <c r="AF3138" s="90">
        <v>45195.458819444444</v>
      </c>
      <c r="AG3138" s="99">
        <v>45195</v>
      </c>
      <c r="AH3138" s="93" t="s">
        <v>11762</v>
      </c>
      <c r="AI3138" s="87" t="b">
        <v>0</v>
      </c>
      <c r="AJ3138" s="87"/>
      <c r="AK3138" s="87"/>
      <c r="AL3138" s="87"/>
      <c r="AM3138" s="87"/>
      <c r="AN3138" s="87"/>
      <c r="AO3138" s="87"/>
      <c r="AP3138" s="87"/>
      <c r="AQ3138" s="87" t="s">
        <v>17578</v>
      </c>
      <c r="AR3138" s="87"/>
      <c r="AS3138" s="87"/>
      <c r="AT3138" s="87"/>
      <c r="AU3138" s="87"/>
      <c r="AV3138" s="92" t="str">
        <f>HYPERLINK("https://pbs.twimg.com/media/F68mPltWMAAq8NU.jpg")</f>
        <v>https://pbs.twimg.com/media/F68mPltWMAAq8NU.jpg</v>
      </c>
      <c r="AW3138" s="93" t="s">
        <v>21286</v>
      </c>
      <c r="AX3138" s="93" t="s">
        <v>21286</v>
      </c>
      <c r="AY3138" s="87"/>
      <c r="AZ3138" s="93" t="s">
        <v>22668</v>
      </c>
      <c r="BA3138" s="93" t="s">
        <v>22668</v>
      </c>
      <c r="BB3138" s="93" t="s">
        <v>22668</v>
      </c>
      <c r="BC3138" s="93" t="s">
        <v>21286</v>
      </c>
      <c r="BD3138" s="93" t="s">
        <v>23345</v>
      </c>
      <c r="BE3138" s="87"/>
      <c r="BF3138" s="87"/>
      <c r="BG3138" s="87"/>
      <c r="BH3138" s="87"/>
      <c r="BI3138" s="87"/>
    </row>
    <row r="3139" spans="1:61" x14ac:dyDescent="0.25">
      <c r="A3139" s="63" t="s">
        <v>1178</v>
      </c>
      <c r="B3139" s="63" t="s">
        <v>1178</v>
      </c>
      <c r="C3139" s="64"/>
      <c r="D3139" s="65"/>
      <c r="E3139" s="66"/>
      <c r="F3139" s="67"/>
      <c r="G3139" s="64"/>
      <c r="H3139" s="68"/>
      <c r="I3139" s="69"/>
      <c r="J3139" s="69"/>
      <c r="K3139" s="32"/>
      <c r="L3139" s="76">
        <v>3139</v>
      </c>
      <c r="M3139" s="76"/>
      <c r="N3139" s="71"/>
      <c r="O3139" s="87" t="s">
        <v>179</v>
      </c>
      <c r="P3139" s="90">
        <v>45163.45884259259</v>
      </c>
      <c r="Q3139" s="87" t="s">
        <v>4838</v>
      </c>
      <c r="R3139" s="87">
        <v>0</v>
      </c>
      <c r="S3139" s="87">
        <v>0</v>
      </c>
      <c r="T3139" s="87">
        <v>0</v>
      </c>
      <c r="U3139" s="87">
        <v>0</v>
      </c>
      <c r="V3139" s="87"/>
      <c r="W3139" s="93" t="s">
        <v>7627</v>
      </c>
      <c r="X3139" s="92" t="str">
        <f>HYPERLINK("http://www.grupomarkar-net.com")</f>
        <v>http://www.grupomarkar-net.com</v>
      </c>
      <c r="Y3139" s="87" t="s">
        <v>8506</v>
      </c>
      <c r="Z3139" s="87"/>
      <c r="AA3139" s="87" t="s">
        <v>10767</v>
      </c>
      <c r="AB3139" s="87" t="s">
        <v>11448</v>
      </c>
      <c r="AC3139" s="93" t="s">
        <v>11460</v>
      </c>
      <c r="AD3139" s="87" t="s">
        <v>11519</v>
      </c>
      <c r="AE3139" s="92" t="str">
        <f>HYPERLINK("https://twitter.com/e_markar/status/1695028431866446049")</f>
        <v>https://twitter.com/e_markar/status/1695028431866446049</v>
      </c>
      <c r="AF3139" s="90">
        <v>45163.45884259259</v>
      </c>
      <c r="AG3139" s="99">
        <v>45163</v>
      </c>
      <c r="AH3139" s="93" t="s">
        <v>14314</v>
      </c>
      <c r="AI3139" s="87" t="b">
        <v>0</v>
      </c>
      <c r="AJ3139" s="87"/>
      <c r="AK3139" s="87"/>
      <c r="AL3139" s="87"/>
      <c r="AM3139" s="87"/>
      <c r="AN3139" s="87"/>
      <c r="AO3139" s="87"/>
      <c r="AP3139" s="87"/>
      <c r="AQ3139" s="87" t="s">
        <v>17579</v>
      </c>
      <c r="AR3139" s="87"/>
      <c r="AS3139" s="87"/>
      <c r="AT3139" s="87"/>
      <c r="AU3139" s="87"/>
      <c r="AV3139" s="92" t="str">
        <f>HYPERLINK("https://pbs.twimg.com/media/F4XzYDjWcAAR8F1.jpg")</f>
        <v>https://pbs.twimg.com/media/F4XzYDjWcAAR8F1.jpg</v>
      </c>
      <c r="AW3139" s="93" t="s">
        <v>21287</v>
      </c>
      <c r="AX3139" s="93" t="s">
        <v>21287</v>
      </c>
      <c r="AY3139" s="87"/>
      <c r="AZ3139" s="93" t="s">
        <v>22668</v>
      </c>
      <c r="BA3139" s="93" t="s">
        <v>22668</v>
      </c>
      <c r="BB3139" s="93" t="s">
        <v>22668</v>
      </c>
      <c r="BC3139" s="93" t="s">
        <v>21287</v>
      </c>
      <c r="BD3139" s="93" t="s">
        <v>23345</v>
      </c>
      <c r="BE3139" s="87"/>
      <c r="BF3139" s="87"/>
      <c r="BG3139" s="87"/>
      <c r="BH3139" s="87"/>
      <c r="BI3139" s="87"/>
    </row>
    <row r="3140" spans="1:61" x14ac:dyDescent="0.25">
      <c r="A3140" s="63" t="s">
        <v>1178</v>
      </c>
      <c r="B3140" s="63" t="s">
        <v>1178</v>
      </c>
      <c r="C3140" s="64"/>
      <c r="D3140" s="65"/>
      <c r="E3140" s="66"/>
      <c r="F3140" s="67"/>
      <c r="G3140" s="64"/>
      <c r="H3140" s="68"/>
      <c r="I3140" s="69"/>
      <c r="J3140" s="69"/>
      <c r="K3140" s="32"/>
      <c r="L3140" s="76">
        <v>3140</v>
      </c>
      <c r="M3140" s="76"/>
      <c r="N3140" s="71"/>
      <c r="O3140" s="87" t="s">
        <v>179</v>
      </c>
      <c r="P3140" s="90">
        <v>45121.458865740744</v>
      </c>
      <c r="Q3140" s="87" t="s">
        <v>4839</v>
      </c>
      <c r="R3140" s="87">
        <v>0</v>
      </c>
      <c r="S3140" s="87">
        <v>0</v>
      </c>
      <c r="T3140" s="87">
        <v>0</v>
      </c>
      <c r="U3140" s="87">
        <v>0</v>
      </c>
      <c r="V3140" s="87">
        <v>1</v>
      </c>
      <c r="W3140" s="93" t="s">
        <v>7627</v>
      </c>
      <c r="X3140" s="92" t="str">
        <f>HYPERLINK("http://www.grupomarkar-net.com")</f>
        <v>http://www.grupomarkar-net.com</v>
      </c>
      <c r="Y3140" s="87" t="s">
        <v>8506</v>
      </c>
      <c r="Z3140" s="87"/>
      <c r="AA3140" s="87" t="s">
        <v>10768</v>
      </c>
      <c r="AB3140" s="87" t="s">
        <v>11448</v>
      </c>
      <c r="AC3140" s="93" t="s">
        <v>11460</v>
      </c>
      <c r="AD3140" s="87" t="s">
        <v>11519</v>
      </c>
      <c r="AE3140" s="92" t="str">
        <f>HYPERLINK("https://twitter.com/e_markar/status/1679808149107163138")</f>
        <v>https://twitter.com/e_markar/status/1679808149107163138</v>
      </c>
      <c r="AF3140" s="90">
        <v>45121.458865740744</v>
      </c>
      <c r="AG3140" s="99">
        <v>45121</v>
      </c>
      <c r="AH3140" s="93" t="s">
        <v>12094</v>
      </c>
      <c r="AI3140" s="87" t="b">
        <v>0</v>
      </c>
      <c r="AJ3140" s="87"/>
      <c r="AK3140" s="87"/>
      <c r="AL3140" s="87"/>
      <c r="AM3140" s="87"/>
      <c r="AN3140" s="87"/>
      <c r="AO3140" s="87"/>
      <c r="AP3140" s="87"/>
      <c r="AQ3140" s="87" t="s">
        <v>17580</v>
      </c>
      <c r="AR3140" s="87"/>
      <c r="AS3140" s="87"/>
      <c r="AT3140" s="87"/>
      <c r="AU3140" s="87"/>
      <c r="AV3140" s="92" t="str">
        <f>HYPERLINK("https://pbs.twimg.com/media/F0_gm_RXgAABUqS.jpg")</f>
        <v>https://pbs.twimg.com/media/F0_gm_RXgAABUqS.jpg</v>
      </c>
      <c r="AW3140" s="93" t="s">
        <v>21288</v>
      </c>
      <c r="AX3140" s="93" t="s">
        <v>21288</v>
      </c>
      <c r="AY3140" s="87"/>
      <c r="AZ3140" s="93" t="s">
        <v>22668</v>
      </c>
      <c r="BA3140" s="93" t="s">
        <v>22668</v>
      </c>
      <c r="BB3140" s="93" t="s">
        <v>22668</v>
      </c>
      <c r="BC3140" s="93" t="s">
        <v>21288</v>
      </c>
      <c r="BD3140" s="93" t="s">
        <v>23345</v>
      </c>
      <c r="BE3140" s="87"/>
      <c r="BF3140" s="87"/>
      <c r="BG3140" s="87"/>
      <c r="BH3140" s="87"/>
      <c r="BI3140" s="87"/>
    </row>
    <row r="3141" spans="1:61" x14ac:dyDescent="0.25">
      <c r="A3141" s="63" t="s">
        <v>1178</v>
      </c>
      <c r="B3141" s="63" t="s">
        <v>1178</v>
      </c>
      <c r="C3141" s="64"/>
      <c r="D3141" s="65"/>
      <c r="E3141" s="66"/>
      <c r="F3141" s="67"/>
      <c r="G3141" s="64"/>
      <c r="H3141" s="68"/>
      <c r="I3141" s="69"/>
      <c r="J3141" s="69"/>
      <c r="K3141" s="32"/>
      <c r="L3141" s="76">
        <v>3141</v>
      </c>
      <c r="M3141" s="76"/>
      <c r="N3141" s="71"/>
      <c r="O3141" s="87" t="s">
        <v>179</v>
      </c>
      <c r="P3141" s="90">
        <v>45120.45884259259</v>
      </c>
      <c r="Q3141" s="87" t="s">
        <v>4840</v>
      </c>
      <c r="R3141" s="87">
        <v>0</v>
      </c>
      <c r="S3141" s="87">
        <v>0</v>
      </c>
      <c r="T3141" s="87">
        <v>0</v>
      </c>
      <c r="U3141" s="87">
        <v>0</v>
      </c>
      <c r="V3141" s="87">
        <v>1</v>
      </c>
      <c r="W3141" s="93" t="s">
        <v>7627</v>
      </c>
      <c r="X3141" s="92" t="str">
        <f>HYPERLINK("http://www.grupomarkar-net.com")</f>
        <v>http://www.grupomarkar-net.com</v>
      </c>
      <c r="Y3141" s="87" t="s">
        <v>8506</v>
      </c>
      <c r="Z3141" s="87"/>
      <c r="AA3141" s="87" t="s">
        <v>10769</v>
      </c>
      <c r="AB3141" s="87" t="s">
        <v>11448</v>
      </c>
      <c r="AC3141" s="93" t="s">
        <v>11460</v>
      </c>
      <c r="AD3141" s="87" t="s">
        <v>11519</v>
      </c>
      <c r="AE3141" s="92" t="str">
        <f>HYPERLINK("https://twitter.com/e_markar/status/1679445752672649216")</f>
        <v>https://twitter.com/e_markar/status/1679445752672649216</v>
      </c>
      <c r="AF3141" s="90">
        <v>45120.45884259259</v>
      </c>
      <c r="AG3141" s="99">
        <v>45120</v>
      </c>
      <c r="AH3141" s="93" t="s">
        <v>14314</v>
      </c>
      <c r="AI3141" s="87" t="b">
        <v>0</v>
      </c>
      <c r="AJ3141" s="87"/>
      <c r="AK3141" s="87"/>
      <c r="AL3141" s="87"/>
      <c r="AM3141" s="87"/>
      <c r="AN3141" s="87"/>
      <c r="AO3141" s="87"/>
      <c r="AP3141" s="87"/>
      <c r="AQ3141" s="87" t="s">
        <v>17581</v>
      </c>
      <c r="AR3141" s="87"/>
      <c r="AS3141" s="87"/>
      <c r="AT3141" s="87"/>
      <c r="AU3141" s="87"/>
      <c r="AV3141" s="92" t="str">
        <f>HYPERLINK("https://pbs.twimg.com/media/F06XAxTXwAIYu_V.jpg")</f>
        <v>https://pbs.twimg.com/media/F06XAxTXwAIYu_V.jpg</v>
      </c>
      <c r="AW3141" s="93" t="s">
        <v>21289</v>
      </c>
      <c r="AX3141" s="93" t="s">
        <v>21289</v>
      </c>
      <c r="AY3141" s="87"/>
      <c r="AZ3141" s="93" t="s">
        <v>22668</v>
      </c>
      <c r="BA3141" s="93" t="s">
        <v>22668</v>
      </c>
      <c r="BB3141" s="93" t="s">
        <v>22668</v>
      </c>
      <c r="BC3141" s="93" t="s">
        <v>21289</v>
      </c>
      <c r="BD3141" s="93" t="s">
        <v>23345</v>
      </c>
      <c r="BE3141" s="87"/>
      <c r="BF3141" s="87"/>
      <c r="BG3141" s="87"/>
      <c r="BH3141" s="87"/>
      <c r="BI3141" s="87"/>
    </row>
    <row r="3142" spans="1:61" x14ac:dyDescent="0.25">
      <c r="A3142" s="63" t="s">
        <v>1179</v>
      </c>
      <c r="B3142" s="63" t="s">
        <v>1179</v>
      </c>
      <c r="C3142" s="64"/>
      <c r="D3142" s="65"/>
      <c r="E3142" s="66"/>
      <c r="F3142" s="67"/>
      <c r="G3142" s="64"/>
      <c r="H3142" s="68"/>
      <c r="I3142" s="69"/>
      <c r="J3142" s="69"/>
      <c r="K3142" s="32"/>
      <c r="L3142" s="76">
        <v>3142</v>
      </c>
      <c r="M3142" s="76"/>
      <c r="N3142" s="71"/>
      <c r="O3142" s="87" t="s">
        <v>179</v>
      </c>
      <c r="P3142" s="90">
        <v>45130.148217592592</v>
      </c>
      <c r="Q3142" s="87" t="s">
        <v>4841</v>
      </c>
      <c r="R3142" s="87">
        <v>0</v>
      </c>
      <c r="S3142" s="87">
        <v>0</v>
      </c>
      <c r="T3142" s="87">
        <v>0</v>
      </c>
      <c r="U3142" s="87">
        <v>0</v>
      </c>
      <c r="V3142" s="87">
        <v>14</v>
      </c>
      <c r="W3142" s="93" t="s">
        <v>5897</v>
      </c>
      <c r="X3142" s="87"/>
      <c r="Y3142" s="87"/>
      <c r="Z3142" s="87"/>
      <c r="AA3142" s="87"/>
      <c r="AB3142" s="87"/>
      <c r="AC3142" s="93" t="s">
        <v>11459</v>
      </c>
      <c r="AD3142" s="87" t="s">
        <v>11519</v>
      </c>
      <c r="AE3142" s="92" t="str">
        <f>HYPERLINK("https://twitter.com/rcaio_03/status/1682957065017278466")</f>
        <v>https://twitter.com/rcaio_03/status/1682957065017278466</v>
      </c>
      <c r="AF3142" s="90">
        <v>45130.148217592592</v>
      </c>
      <c r="AG3142" s="99">
        <v>45130</v>
      </c>
      <c r="AH3142" s="93" t="s">
        <v>14319</v>
      </c>
      <c r="AI3142" s="87"/>
      <c r="AJ3142" s="87"/>
      <c r="AK3142" s="87"/>
      <c r="AL3142" s="87"/>
      <c r="AM3142" s="87"/>
      <c r="AN3142" s="87"/>
      <c r="AO3142" s="87"/>
      <c r="AP3142" s="87"/>
      <c r="AQ3142" s="87"/>
      <c r="AR3142" s="87"/>
      <c r="AS3142" s="87"/>
      <c r="AT3142" s="87"/>
      <c r="AU3142" s="87"/>
      <c r="AV3142" s="92" t="str">
        <f>HYPERLINK("https://pbs.twimg.com/profile_images/1644337368348983296/uX4Xamzn_normal.jpg")</f>
        <v>https://pbs.twimg.com/profile_images/1644337368348983296/uX4Xamzn_normal.jpg</v>
      </c>
      <c r="AW3142" s="93" t="s">
        <v>21290</v>
      </c>
      <c r="AX3142" s="93" t="s">
        <v>21290</v>
      </c>
      <c r="AY3142" s="87"/>
      <c r="AZ3142" s="93" t="s">
        <v>22668</v>
      </c>
      <c r="BA3142" s="93" t="s">
        <v>22668</v>
      </c>
      <c r="BB3142" s="93" t="s">
        <v>22668</v>
      </c>
      <c r="BC3142" s="93" t="s">
        <v>21290</v>
      </c>
      <c r="BD3142" s="93" t="s">
        <v>23346</v>
      </c>
      <c r="BE3142" s="87"/>
      <c r="BF3142" s="87"/>
      <c r="BG3142" s="87"/>
      <c r="BH3142" s="87"/>
      <c r="BI3142" s="87"/>
    </row>
    <row r="3143" spans="1:61" x14ac:dyDescent="0.25">
      <c r="A3143" s="63" t="s">
        <v>1180</v>
      </c>
      <c r="B3143" s="63" t="s">
        <v>1180</v>
      </c>
      <c r="C3143" s="64"/>
      <c r="D3143" s="65"/>
      <c r="E3143" s="66"/>
      <c r="F3143" s="67"/>
      <c r="G3143" s="64"/>
      <c r="H3143" s="68"/>
      <c r="I3143" s="69"/>
      <c r="J3143" s="69"/>
      <c r="K3143" s="32"/>
      <c r="L3143" s="76">
        <v>3143</v>
      </c>
      <c r="M3143" s="76"/>
      <c r="N3143" s="71"/>
      <c r="O3143" s="87" t="s">
        <v>179</v>
      </c>
      <c r="P3143" s="90">
        <v>45158.853518518517</v>
      </c>
      <c r="Q3143" s="87" t="s">
        <v>4842</v>
      </c>
      <c r="R3143" s="87">
        <v>1</v>
      </c>
      <c r="S3143" s="87">
        <v>1</v>
      </c>
      <c r="T3143" s="87">
        <v>0</v>
      </c>
      <c r="U3143" s="87">
        <v>0</v>
      </c>
      <c r="V3143" s="87">
        <v>76</v>
      </c>
      <c r="W3143" s="93" t="s">
        <v>7628</v>
      </c>
      <c r="X3143" s="87"/>
      <c r="Y3143" s="87"/>
      <c r="Z3143" s="87"/>
      <c r="AA3143" s="87" t="s">
        <v>10770</v>
      </c>
      <c r="AB3143" s="87" t="s">
        <v>11448</v>
      </c>
      <c r="AC3143" s="93" t="s">
        <v>11458</v>
      </c>
      <c r="AD3143" s="87" t="s">
        <v>11519</v>
      </c>
      <c r="AE3143" s="92" t="str">
        <f>HYPERLINK("https://twitter.com/ventiladorfs/status/1693359516530684115")</f>
        <v>https://twitter.com/ventiladorfs/status/1693359516530684115</v>
      </c>
      <c r="AF3143" s="90">
        <v>45158.853518518517</v>
      </c>
      <c r="AG3143" s="99">
        <v>45158</v>
      </c>
      <c r="AH3143" s="93" t="s">
        <v>14320</v>
      </c>
      <c r="AI3143" s="87" t="b">
        <v>0</v>
      </c>
      <c r="AJ3143" s="87"/>
      <c r="AK3143" s="87"/>
      <c r="AL3143" s="87"/>
      <c r="AM3143" s="87"/>
      <c r="AN3143" s="87"/>
      <c r="AO3143" s="87"/>
      <c r="AP3143" s="87"/>
      <c r="AQ3143" s="87" t="s">
        <v>17582</v>
      </c>
      <c r="AR3143" s="87"/>
      <c r="AS3143" s="87"/>
      <c r="AT3143" s="87"/>
      <c r="AU3143" s="87"/>
      <c r="AV3143" s="92" t="str">
        <f>HYPERLINK("https://pbs.twimg.com/media/F4AFgFuXoAAffea.jpg")</f>
        <v>https://pbs.twimg.com/media/F4AFgFuXoAAffea.jpg</v>
      </c>
      <c r="AW3143" s="93" t="s">
        <v>21291</v>
      </c>
      <c r="AX3143" s="93" t="s">
        <v>21291</v>
      </c>
      <c r="AY3143" s="87"/>
      <c r="AZ3143" s="93" t="s">
        <v>22668</v>
      </c>
      <c r="BA3143" s="93" t="s">
        <v>22668</v>
      </c>
      <c r="BB3143" s="93" t="s">
        <v>22668</v>
      </c>
      <c r="BC3143" s="93" t="s">
        <v>21291</v>
      </c>
      <c r="BD3143" s="93" t="s">
        <v>23347</v>
      </c>
      <c r="BE3143" s="87"/>
      <c r="BF3143" s="87"/>
      <c r="BG3143" s="87"/>
      <c r="BH3143" s="87"/>
      <c r="BI3143" s="87"/>
    </row>
    <row r="3144" spans="1:61" x14ac:dyDescent="0.25">
      <c r="A3144" s="63" t="s">
        <v>1181</v>
      </c>
      <c r="B3144" s="63" t="s">
        <v>1181</v>
      </c>
      <c r="C3144" s="64"/>
      <c r="D3144" s="65"/>
      <c r="E3144" s="66"/>
      <c r="F3144" s="67"/>
      <c r="G3144" s="64"/>
      <c r="H3144" s="68"/>
      <c r="I3144" s="69"/>
      <c r="J3144" s="69"/>
      <c r="K3144" s="32"/>
      <c r="L3144" s="76">
        <v>3144</v>
      </c>
      <c r="M3144" s="76"/>
      <c r="N3144" s="71"/>
      <c r="O3144" s="87" t="s">
        <v>179</v>
      </c>
      <c r="P3144" s="90">
        <v>45195.893622685187</v>
      </c>
      <c r="Q3144" s="87" t="s">
        <v>4843</v>
      </c>
      <c r="R3144" s="87">
        <v>0</v>
      </c>
      <c r="S3144" s="87">
        <v>2</v>
      </c>
      <c r="T3144" s="87">
        <v>0</v>
      </c>
      <c r="U3144" s="87">
        <v>0</v>
      </c>
      <c r="V3144" s="87">
        <v>6</v>
      </c>
      <c r="W3144" s="93" t="s">
        <v>7629</v>
      </c>
      <c r="X3144" s="87"/>
      <c r="Y3144" s="87"/>
      <c r="Z3144" s="87"/>
      <c r="AA3144" s="87" t="s">
        <v>10771</v>
      </c>
      <c r="AB3144" s="87" t="s">
        <v>11448</v>
      </c>
      <c r="AC3144" s="93" t="s">
        <v>11457</v>
      </c>
      <c r="AD3144" s="87" t="s">
        <v>11519</v>
      </c>
      <c r="AE3144" s="92" t="str">
        <f>HYPERLINK("https://twitter.com/sejadonnes/status/1706782400909287524")</f>
        <v>https://twitter.com/sejadonnes/status/1706782400909287524</v>
      </c>
      <c r="AF3144" s="90">
        <v>45195.893622685187</v>
      </c>
      <c r="AG3144" s="99">
        <v>45195</v>
      </c>
      <c r="AH3144" s="93" t="s">
        <v>14321</v>
      </c>
      <c r="AI3144" s="87" t="b">
        <v>0</v>
      </c>
      <c r="AJ3144" s="87"/>
      <c r="AK3144" s="87"/>
      <c r="AL3144" s="87"/>
      <c r="AM3144" s="87"/>
      <c r="AN3144" s="87"/>
      <c r="AO3144" s="87"/>
      <c r="AP3144" s="87"/>
      <c r="AQ3144" s="87" t="s">
        <v>17583</v>
      </c>
      <c r="AR3144" s="87"/>
      <c r="AS3144" s="87"/>
      <c r="AT3144" s="87"/>
      <c r="AU3144" s="87"/>
      <c r="AV3144" s="92" t="str">
        <f>HYPERLINK("https://pbs.twimg.com/media/F6-1iVxX0AAp33H.jpg")</f>
        <v>https://pbs.twimg.com/media/F6-1iVxX0AAp33H.jpg</v>
      </c>
      <c r="AW3144" s="93" t="s">
        <v>21292</v>
      </c>
      <c r="AX3144" s="93" t="s">
        <v>21292</v>
      </c>
      <c r="AY3144" s="87"/>
      <c r="AZ3144" s="93" t="s">
        <v>22668</v>
      </c>
      <c r="BA3144" s="93" t="s">
        <v>22668</v>
      </c>
      <c r="BB3144" s="93" t="s">
        <v>22668</v>
      </c>
      <c r="BC3144" s="93" t="s">
        <v>21292</v>
      </c>
      <c r="BD3144" s="93" t="s">
        <v>23348</v>
      </c>
      <c r="BE3144" s="87"/>
      <c r="BF3144" s="87"/>
      <c r="BG3144" s="87"/>
      <c r="BH3144" s="87"/>
      <c r="BI3144" s="87"/>
    </row>
    <row r="3145" spans="1:61" x14ac:dyDescent="0.25">
      <c r="A3145" s="63" t="s">
        <v>1182</v>
      </c>
      <c r="B3145" s="63" t="s">
        <v>1182</v>
      </c>
      <c r="C3145" s="64"/>
      <c r="D3145" s="65"/>
      <c r="E3145" s="66"/>
      <c r="F3145" s="67"/>
      <c r="G3145" s="64"/>
      <c r="H3145" s="68"/>
      <c r="I3145" s="69"/>
      <c r="J3145" s="69"/>
      <c r="K3145" s="32"/>
      <c r="L3145" s="76">
        <v>3145</v>
      </c>
      <c r="M3145" s="76"/>
      <c r="N3145" s="71"/>
      <c r="O3145" s="87" t="s">
        <v>179</v>
      </c>
      <c r="P3145" s="90">
        <v>45147.145069444443</v>
      </c>
      <c r="Q3145" s="87" t="s">
        <v>4844</v>
      </c>
      <c r="R3145" s="87">
        <v>0</v>
      </c>
      <c r="S3145" s="87">
        <v>0</v>
      </c>
      <c r="T3145" s="87">
        <v>0</v>
      </c>
      <c r="U3145" s="87">
        <v>0</v>
      </c>
      <c r="V3145" s="87">
        <v>218</v>
      </c>
      <c r="W3145" s="93" t="s">
        <v>7630</v>
      </c>
      <c r="X3145" s="87"/>
      <c r="Y3145" s="87"/>
      <c r="Z3145" s="87"/>
      <c r="AA3145" s="87" t="s">
        <v>10772</v>
      </c>
      <c r="AB3145" s="87" t="s">
        <v>11448</v>
      </c>
      <c r="AC3145" s="93" t="s">
        <v>11458</v>
      </c>
      <c r="AD3145" s="87" t="s">
        <v>11519</v>
      </c>
      <c r="AE3145" s="92" t="str">
        <f>HYPERLINK("https://twitter.com/hesseldjones/status/1689116518271856641")</f>
        <v>https://twitter.com/hesseldjones/status/1689116518271856641</v>
      </c>
      <c r="AF3145" s="90">
        <v>45147.145069444443</v>
      </c>
      <c r="AG3145" s="99">
        <v>45147</v>
      </c>
      <c r="AH3145" s="93" t="s">
        <v>14322</v>
      </c>
      <c r="AI3145" s="87" t="b">
        <v>0</v>
      </c>
      <c r="AJ3145" s="87"/>
      <c r="AK3145" s="87"/>
      <c r="AL3145" s="87"/>
      <c r="AM3145" s="87"/>
      <c r="AN3145" s="87"/>
      <c r="AO3145" s="87"/>
      <c r="AP3145" s="87"/>
      <c r="AQ3145" s="87" t="s">
        <v>17584</v>
      </c>
      <c r="AR3145" s="87"/>
      <c r="AS3145" s="87"/>
      <c r="AT3145" s="87"/>
      <c r="AU3145" s="87"/>
      <c r="AV3145" s="92" t="str">
        <f>HYPERLINK("https://pbs.twimg.com/media/F3DyhKBWoAApal_.jpg")</f>
        <v>https://pbs.twimg.com/media/F3DyhKBWoAApal_.jpg</v>
      </c>
      <c r="AW3145" s="93" t="s">
        <v>21293</v>
      </c>
      <c r="AX3145" s="93" t="s">
        <v>21293</v>
      </c>
      <c r="AY3145" s="87"/>
      <c r="AZ3145" s="93" t="s">
        <v>22668</v>
      </c>
      <c r="BA3145" s="93" t="s">
        <v>22668</v>
      </c>
      <c r="BB3145" s="93" t="s">
        <v>22668</v>
      </c>
      <c r="BC3145" s="93" t="s">
        <v>21293</v>
      </c>
      <c r="BD3145" s="93" t="s">
        <v>23349</v>
      </c>
      <c r="BE3145" s="87"/>
      <c r="BF3145" s="87"/>
      <c r="BG3145" s="87"/>
      <c r="BH3145" s="87"/>
      <c r="BI3145" s="87"/>
    </row>
    <row r="3146" spans="1:61" x14ac:dyDescent="0.25">
      <c r="A3146" s="63" t="s">
        <v>1183</v>
      </c>
      <c r="B3146" s="63" t="s">
        <v>1183</v>
      </c>
      <c r="C3146" s="64"/>
      <c r="D3146" s="65"/>
      <c r="E3146" s="66"/>
      <c r="F3146" s="67"/>
      <c r="G3146" s="64"/>
      <c r="H3146" s="68"/>
      <c r="I3146" s="69"/>
      <c r="J3146" s="69"/>
      <c r="K3146" s="32"/>
      <c r="L3146" s="76">
        <v>3146</v>
      </c>
      <c r="M3146" s="76"/>
      <c r="N3146" s="71"/>
      <c r="O3146" s="87" t="s">
        <v>179</v>
      </c>
      <c r="P3146" s="90">
        <v>45162.53534722222</v>
      </c>
      <c r="Q3146" s="87" t="s">
        <v>4845</v>
      </c>
      <c r="R3146" s="87">
        <v>0</v>
      </c>
      <c r="S3146" s="87">
        <v>0</v>
      </c>
      <c r="T3146" s="87">
        <v>0</v>
      </c>
      <c r="U3146" s="87">
        <v>0</v>
      </c>
      <c r="V3146" s="87">
        <v>18</v>
      </c>
      <c r="W3146" s="93" t="s">
        <v>7631</v>
      </c>
      <c r="X3146" s="92" t="str">
        <f>HYPERLINK("http://www.amamosavidareal.com.br")</f>
        <v>http://www.amamosavidareal.com.br</v>
      </c>
      <c r="Y3146" s="87" t="s">
        <v>8373</v>
      </c>
      <c r="Z3146" s="87"/>
      <c r="AA3146" s="87" t="s">
        <v>10773</v>
      </c>
      <c r="AB3146" s="87" t="s">
        <v>11448</v>
      </c>
      <c r="AC3146" s="93" t="s">
        <v>11457</v>
      </c>
      <c r="AD3146" s="87" t="s">
        <v>11519</v>
      </c>
      <c r="AE3146" s="92" t="str">
        <f>HYPERLINK("https://twitter.com/amamosavidareal/status/1694693767268213008")</f>
        <v>https://twitter.com/amamosavidareal/status/1694693767268213008</v>
      </c>
      <c r="AF3146" s="90">
        <v>45162.53534722222</v>
      </c>
      <c r="AG3146" s="99">
        <v>45162</v>
      </c>
      <c r="AH3146" s="93" t="s">
        <v>14323</v>
      </c>
      <c r="AI3146" s="87" t="b">
        <v>0</v>
      </c>
      <c r="AJ3146" s="87"/>
      <c r="AK3146" s="87"/>
      <c r="AL3146" s="87"/>
      <c r="AM3146" s="87"/>
      <c r="AN3146" s="87"/>
      <c r="AO3146" s="87"/>
      <c r="AP3146" s="87"/>
      <c r="AQ3146" s="87" t="s">
        <v>17585</v>
      </c>
      <c r="AR3146" s="87"/>
      <c r="AS3146" s="87"/>
      <c r="AT3146" s="87"/>
      <c r="AU3146" s="87"/>
      <c r="AV3146" s="92" t="str">
        <f>HYPERLINK("https://pbs.twimg.com/media/F4S9deKXgAAYpQO.jpg")</f>
        <v>https://pbs.twimg.com/media/F4S9deKXgAAYpQO.jpg</v>
      </c>
      <c r="AW3146" s="93" t="s">
        <v>21294</v>
      </c>
      <c r="AX3146" s="93" t="s">
        <v>21294</v>
      </c>
      <c r="AY3146" s="87"/>
      <c r="AZ3146" s="93" t="s">
        <v>22668</v>
      </c>
      <c r="BA3146" s="93" t="s">
        <v>22668</v>
      </c>
      <c r="BB3146" s="93" t="s">
        <v>22668</v>
      </c>
      <c r="BC3146" s="93" t="s">
        <v>21294</v>
      </c>
      <c r="BD3146" s="87">
        <v>493535142</v>
      </c>
      <c r="BE3146" s="87"/>
      <c r="BF3146" s="87"/>
      <c r="BG3146" s="87"/>
      <c r="BH3146" s="87"/>
      <c r="BI3146" s="87"/>
    </row>
    <row r="3147" spans="1:61" x14ac:dyDescent="0.25">
      <c r="A3147" s="63" t="s">
        <v>1184</v>
      </c>
      <c r="B3147" s="63" t="s">
        <v>1769</v>
      </c>
      <c r="C3147" s="64"/>
      <c r="D3147" s="65"/>
      <c r="E3147" s="66"/>
      <c r="F3147" s="67"/>
      <c r="G3147" s="64"/>
      <c r="H3147" s="68"/>
      <c r="I3147" s="69"/>
      <c r="J3147" s="69"/>
      <c r="K3147" s="32"/>
      <c r="L3147" s="76">
        <v>3147</v>
      </c>
      <c r="M3147" s="76"/>
      <c r="N3147" s="71"/>
      <c r="O3147" s="87" t="s">
        <v>1839</v>
      </c>
      <c r="P3147" s="90">
        <v>45124.368657407409</v>
      </c>
      <c r="Q3147" s="87" t="s">
        <v>4846</v>
      </c>
      <c r="R3147" s="87">
        <v>0</v>
      </c>
      <c r="S3147" s="87">
        <v>0</v>
      </c>
      <c r="T3147" s="87">
        <v>0</v>
      </c>
      <c r="U3147" s="87">
        <v>0</v>
      </c>
      <c r="V3147" s="87">
        <v>77</v>
      </c>
      <c r="W3147" s="93" t="s">
        <v>7632</v>
      </c>
      <c r="X3147" s="92" t="str">
        <f>HYPERLINK("https://apo-opa.info/3JYcbdx")</f>
        <v>https://apo-opa.info/3JYcbdx</v>
      </c>
      <c r="Y3147" s="87" t="s">
        <v>8507</v>
      </c>
      <c r="Z3147" s="87" t="s">
        <v>1769</v>
      </c>
      <c r="AA3147" s="87" t="s">
        <v>10774</v>
      </c>
      <c r="AB3147" s="87" t="s">
        <v>11448</v>
      </c>
      <c r="AC3147" s="93" t="s">
        <v>11506</v>
      </c>
      <c r="AD3147" s="87" t="s">
        <v>11527</v>
      </c>
      <c r="AE3147" s="92" t="str">
        <f>HYPERLINK("https://twitter.com/apo_source_pt/status/1680862620125888517")</f>
        <v>https://twitter.com/apo_source_pt/status/1680862620125888517</v>
      </c>
      <c r="AF3147" s="90">
        <v>45124.368657407409</v>
      </c>
      <c r="AG3147" s="99">
        <v>45124</v>
      </c>
      <c r="AH3147" s="93" t="s">
        <v>14324</v>
      </c>
      <c r="AI3147" s="87" t="b">
        <v>0</v>
      </c>
      <c r="AJ3147" s="87"/>
      <c r="AK3147" s="87"/>
      <c r="AL3147" s="87"/>
      <c r="AM3147" s="87"/>
      <c r="AN3147" s="87"/>
      <c r="AO3147" s="87"/>
      <c r="AP3147" s="87"/>
      <c r="AQ3147" s="87" t="s">
        <v>17586</v>
      </c>
      <c r="AR3147" s="87"/>
      <c r="AS3147" s="87"/>
      <c r="AT3147" s="87"/>
      <c r="AU3147" s="87"/>
      <c r="AV3147" s="92" t="str">
        <f>HYPERLINK("https://pbs.twimg.com/media/F1OfpN4XwAcGHox.jpg")</f>
        <v>https://pbs.twimg.com/media/F1OfpN4XwAcGHox.jpg</v>
      </c>
      <c r="AW3147" s="93" t="s">
        <v>21295</v>
      </c>
      <c r="AX3147" s="93" t="s">
        <v>21295</v>
      </c>
      <c r="AY3147" s="87"/>
      <c r="AZ3147" s="93" t="s">
        <v>22668</v>
      </c>
      <c r="BA3147" s="93" t="s">
        <v>22668</v>
      </c>
      <c r="BB3147" s="93" t="s">
        <v>22668</v>
      </c>
      <c r="BC3147" s="93" t="s">
        <v>21295</v>
      </c>
      <c r="BD3147" s="87">
        <v>1951758674</v>
      </c>
      <c r="BE3147" s="87"/>
      <c r="BF3147" s="87"/>
      <c r="BG3147" s="87"/>
      <c r="BH3147" s="87"/>
      <c r="BI3147" s="87"/>
    </row>
    <row r="3148" spans="1:61" x14ac:dyDescent="0.25">
      <c r="A3148" s="63" t="s">
        <v>1184</v>
      </c>
      <c r="B3148" s="63" t="s">
        <v>1770</v>
      </c>
      <c r="C3148" s="64"/>
      <c r="D3148" s="65"/>
      <c r="E3148" s="66"/>
      <c r="F3148" s="67"/>
      <c r="G3148" s="64"/>
      <c r="H3148" s="68"/>
      <c r="I3148" s="69"/>
      <c r="J3148" s="69"/>
      <c r="K3148" s="32"/>
      <c r="L3148" s="76">
        <v>3148</v>
      </c>
      <c r="M3148" s="76"/>
      <c r="N3148" s="71"/>
      <c r="O3148" s="87" t="s">
        <v>1839</v>
      </c>
      <c r="P3148" s="90">
        <v>45174.334097222221</v>
      </c>
      <c r="Q3148" s="87" t="s">
        <v>4847</v>
      </c>
      <c r="R3148" s="87">
        <v>0</v>
      </c>
      <c r="S3148" s="87">
        <v>2</v>
      </c>
      <c r="T3148" s="87">
        <v>0</v>
      </c>
      <c r="U3148" s="87">
        <v>0</v>
      </c>
      <c r="V3148" s="87">
        <v>14</v>
      </c>
      <c r="W3148" s="93" t="s">
        <v>7633</v>
      </c>
      <c r="X3148" s="92" t="str">
        <f>HYPERLINK("https://apo-opa.info/45CzySO")</f>
        <v>https://apo-opa.info/45CzySO</v>
      </c>
      <c r="Y3148" s="87" t="s">
        <v>8507</v>
      </c>
      <c r="Z3148" s="87" t="s">
        <v>8604</v>
      </c>
      <c r="AA3148" s="87" t="s">
        <v>10775</v>
      </c>
      <c r="AB3148" s="87" t="s">
        <v>11448</v>
      </c>
      <c r="AC3148" s="93" t="s">
        <v>11506</v>
      </c>
      <c r="AD3148" s="87" t="s">
        <v>11519</v>
      </c>
      <c r="AE3148" s="92" t="str">
        <f>HYPERLINK("https://twitter.com/apo_source_pt/status/1698969491391062520")</f>
        <v>https://twitter.com/apo_source_pt/status/1698969491391062520</v>
      </c>
      <c r="AF3148" s="90">
        <v>45174.334097222221</v>
      </c>
      <c r="AG3148" s="99">
        <v>45174</v>
      </c>
      <c r="AH3148" s="93" t="s">
        <v>14325</v>
      </c>
      <c r="AI3148" s="87" t="b">
        <v>0</v>
      </c>
      <c r="AJ3148" s="87"/>
      <c r="AK3148" s="87"/>
      <c r="AL3148" s="87"/>
      <c r="AM3148" s="87"/>
      <c r="AN3148" s="87"/>
      <c r="AO3148" s="87"/>
      <c r="AP3148" s="87"/>
      <c r="AQ3148" s="87" t="s">
        <v>17587</v>
      </c>
      <c r="AR3148" s="87"/>
      <c r="AS3148" s="87"/>
      <c r="AT3148" s="87"/>
      <c r="AU3148" s="87"/>
      <c r="AV3148" s="92" t="str">
        <f>HYPERLINK("https://pbs.twimg.com/media/F5PzvQJXoAAn-II.png")</f>
        <v>https://pbs.twimg.com/media/F5PzvQJXoAAn-II.png</v>
      </c>
      <c r="AW3148" s="93" t="s">
        <v>21296</v>
      </c>
      <c r="AX3148" s="93" t="s">
        <v>21296</v>
      </c>
      <c r="AY3148" s="87"/>
      <c r="AZ3148" s="93" t="s">
        <v>22668</v>
      </c>
      <c r="BA3148" s="93" t="s">
        <v>22668</v>
      </c>
      <c r="BB3148" s="93" t="s">
        <v>22668</v>
      </c>
      <c r="BC3148" s="93" t="s">
        <v>21296</v>
      </c>
      <c r="BD3148" s="87">
        <v>1951758674</v>
      </c>
      <c r="BE3148" s="87"/>
      <c r="BF3148" s="87"/>
      <c r="BG3148" s="87"/>
      <c r="BH3148" s="87"/>
      <c r="BI3148" s="87"/>
    </row>
    <row r="3149" spans="1:61" x14ac:dyDescent="0.25">
      <c r="A3149" s="63" t="s">
        <v>1184</v>
      </c>
      <c r="B3149" s="63" t="s">
        <v>1771</v>
      </c>
      <c r="C3149" s="64"/>
      <c r="D3149" s="65"/>
      <c r="E3149" s="66"/>
      <c r="F3149" s="67"/>
      <c r="G3149" s="64"/>
      <c r="H3149" s="68"/>
      <c r="I3149" s="69"/>
      <c r="J3149" s="69"/>
      <c r="K3149" s="32"/>
      <c r="L3149" s="76">
        <v>3149</v>
      </c>
      <c r="M3149" s="76"/>
      <c r="N3149" s="71"/>
      <c r="O3149" s="87" t="s">
        <v>1839</v>
      </c>
      <c r="P3149" s="90">
        <v>45174.334097222221</v>
      </c>
      <c r="Q3149" s="87" t="s">
        <v>4847</v>
      </c>
      <c r="R3149" s="87">
        <v>0</v>
      </c>
      <c r="S3149" s="87">
        <v>2</v>
      </c>
      <c r="T3149" s="87">
        <v>0</v>
      </c>
      <c r="U3149" s="87">
        <v>0</v>
      </c>
      <c r="V3149" s="87">
        <v>14</v>
      </c>
      <c r="W3149" s="93" t="s">
        <v>7633</v>
      </c>
      <c r="X3149" s="92" t="str">
        <f>HYPERLINK("https://apo-opa.info/45CzySO")</f>
        <v>https://apo-opa.info/45CzySO</v>
      </c>
      <c r="Y3149" s="87" t="s">
        <v>8507</v>
      </c>
      <c r="Z3149" s="87" t="s">
        <v>8604</v>
      </c>
      <c r="AA3149" s="87" t="s">
        <v>10775</v>
      </c>
      <c r="AB3149" s="87" t="s">
        <v>11448</v>
      </c>
      <c r="AC3149" s="93" t="s">
        <v>11506</v>
      </c>
      <c r="AD3149" s="87" t="s">
        <v>11519</v>
      </c>
      <c r="AE3149" s="92" t="str">
        <f>HYPERLINK("https://twitter.com/apo_source_pt/status/1698969491391062520")</f>
        <v>https://twitter.com/apo_source_pt/status/1698969491391062520</v>
      </c>
      <c r="AF3149" s="90">
        <v>45174.334097222221</v>
      </c>
      <c r="AG3149" s="99">
        <v>45174</v>
      </c>
      <c r="AH3149" s="93" t="s">
        <v>14325</v>
      </c>
      <c r="AI3149" s="87" t="b">
        <v>0</v>
      </c>
      <c r="AJ3149" s="87"/>
      <c r="AK3149" s="87"/>
      <c r="AL3149" s="87"/>
      <c r="AM3149" s="87"/>
      <c r="AN3149" s="87"/>
      <c r="AO3149" s="87"/>
      <c r="AP3149" s="87"/>
      <c r="AQ3149" s="87" t="s">
        <v>17587</v>
      </c>
      <c r="AR3149" s="87"/>
      <c r="AS3149" s="87"/>
      <c r="AT3149" s="87"/>
      <c r="AU3149" s="87"/>
      <c r="AV3149" s="92" t="str">
        <f>HYPERLINK("https://pbs.twimg.com/media/F5PzvQJXoAAn-II.png")</f>
        <v>https://pbs.twimg.com/media/F5PzvQJXoAAn-II.png</v>
      </c>
      <c r="AW3149" s="93" t="s">
        <v>21296</v>
      </c>
      <c r="AX3149" s="93" t="s">
        <v>21296</v>
      </c>
      <c r="AY3149" s="87"/>
      <c r="AZ3149" s="93" t="s">
        <v>22668</v>
      </c>
      <c r="BA3149" s="93" t="s">
        <v>22668</v>
      </c>
      <c r="BB3149" s="93" t="s">
        <v>22668</v>
      </c>
      <c r="BC3149" s="93" t="s">
        <v>21296</v>
      </c>
      <c r="BD3149" s="87">
        <v>1951758674</v>
      </c>
      <c r="BE3149" s="87"/>
      <c r="BF3149" s="87"/>
      <c r="BG3149" s="87"/>
      <c r="BH3149" s="87"/>
      <c r="BI3149" s="87"/>
    </row>
    <row r="3150" spans="1:61" x14ac:dyDescent="0.25">
      <c r="A3150" s="63" t="s">
        <v>1184</v>
      </c>
      <c r="B3150" s="63" t="s">
        <v>1772</v>
      </c>
      <c r="C3150" s="64"/>
      <c r="D3150" s="65"/>
      <c r="E3150" s="66"/>
      <c r="F3150" s="67"/>
      <c r="G3150" s="64"/>
      <c r="H3150" s="68"/>
      <c r="I3150" s="69"/>
      <c r="J3150" s="69"/>
      <c r="K3150" s="32"/>
      <c r="L3150" s="76">
        <v>3150</v>
      </c>
      <c r="M3150" s="76"/>
      <c r="N3150" s="71"/>
      <c r="O3150" s="87" t="s">
        <v>1839</v>
      </c>
      <c r="P3150" s="90">
        <v>45174.334097222221</v>
      </c>
      <c r="Q3150" s="87" t="s">
        <v>4847</v>
      </c>
      <c r="R3150" s="87">
        <v>0</v>
      </c>
      <c r="S3150" s="87">
        <v>2</v>
      </c>
      <c r="T3150" s="87">
        <v>0</v>
      </c>
      <c r="U3150" s="87">
        <v>0</v>
      </c>
      <c r="V3150" s="87">
        <v>14</v>
      </c>
      <c r="W3150" s="93" t="s">
        <v>7633</v>
      </c>
      <c r="X3150" s="92" t="str">
        <f>HYPERLINK("https://apo-opa.info/45CzySO")</f>
        <v>https://apo-opa.info/45CzySO</v>
      </c>
      <c r="Y3150" s="87" t="s">
        <v>8507</v>
      </c>
      <c r="Z3150" s="87" t="s">
        <v>8604</v>
      </c>
      <c r="AA3150" s="87" t="s">
        <v>10775</v>
      </c>
      <c r="AB3150" s="87" t="s">
        <v>11448</v>
      </c>
      <c r="AC3150" s="93" t="s">
        <v>11506</v>
      </c>
      <c r="AD3150" s="87" t="s">
        <v>11519</v>
      </c>
      <c r="AE3150" s="92" t="str">
        <f>HYPERLINK("https://twitter.com/apo_source_pt/status/1698969491391062520")</f>
        <v>https://twitter.com/apo_source_pt/status/1698969491391062520</v>
      </c>
      <c r="AF3150" s="90">
        <v>45174.334097222221</v>
      </c>
      <c r="AG3150" s="99">
        <v>45174</v>
      </c>
      <c r="AH3150" s="93" t="s">
        <v>14325</v>
      </c>
      <c r="AI3150" s="87" t="b">
        <v>0</v>
      </c>
      <c r="AJ3150" s="87"/>
      <c r="AK3150" s="87"/>
      <c r="AL3150" s="87"/>
      <c r="AM3150" s="87"/>
      <c r="AN3150" s="87"/>
      <c r="AO3150" s="87"/>
      <c r="AP3150" s="87"/>
      <c r="AQ3150" s="87" t="s">
        <v>17587</v>
      </c>
      <c r="AR3150" s="87"/>
      <c r="AS3150" s="87"/>
      <c r="AT3150" s="87"/>
      <c r="AU3150" s="87"/>
      <c r="AV3150" s="92" t="str">
        <f>HYPERLINK("https://pbs.twimg.com/media/F5PzvQJXoAAn-II.png")</f>
        <v>https://pbs.twimg.com/media/F5PzvQJXoAAn-II.png</v>
      </c>
      <c r="AW3150" s="93" t="s">
        <v>21296</v>
      </c>
      <c r="AX3150" s="93" t="s">
        <v>21296</v>
      </c>
      <c r="AY3150" s="87"/>
      <c r="AZ3150" s="93" t="s">
        <v>22668</v>
      </c>
      <c r="BA3150" s="93" t="s">
        <v>22668</v>
      </c>
      <c r="BB3150" s="93" t="s">
        <v>22668</v>
      </c>
      <c r="BC3150" s="93" t="s">
        <v>21296</v>
      </c>
      <c r="BD3150" s="87">
        <v>1951758674</v>
      </c>
      <c r="BE3150" s="87"/>
      <c r="BF3150" s="87"/>
      <c r="BG3150" s="87"/>
      <c r="BH3150" s="87"/>
      <c r="BI3150" s="87"/>
    </row>
    <row r="3151" spans="1:61" x14ac:dyDescent="0.25">
      <c r="A3151" s="63" t="s">
        <v>1185</v>
      </c>
      <c r="B3151" s="63" t="s">
        <v>1185</v>
      </c>
      <c r="C3151" s="64"/>
      <c r="D3151" s="65"/>
      <c r="E3151" s="66"/>
      <c r="F3151" s="67"/>
      <c r="G3151" s="64"/>
      <c r="H3151" s="68"/>
      <c r="I3151" s="69"/>
      <c r="J3151" s="69"/>
      <c r="K3151" s="32"/>
      <c r="L3151" s="76">
        <v>3151</v>
      </c>
      <c r="M3151" s="76"/>
      <c r="N3151" s="71"/>
      <c r="O3151" s="87" t="s">
        <v>179</v>
      </c>
      <c r="P3151" s="90">
        <v>45146.209722222222</v>
      </c>
      <c r="Q3151" s="87" t="s">
        <v>4848</v>
      </c>
      <c r="R3151" s="87">
        <v>0</v>
      </c>
      <c r="S3151" s="87">
        <v>0</v>
      </c>
      <c r="T3151" s="87">
        <v>0</v>
      </c>
      <c r="U3151" s="87">
        <v>0</v>
      </c>
      <c r="V3151" s="87">
        <v>9</v>
      </c>
      <c r="W3151" s="93" t="s">
        <v>7634</v>
      </c>
      <c r="X3151" s="92" t="str">
        <f>HYPERLINK("https://www.youtube.com/live/7gMi8VV0_24?feature=share")</f>
        <v>https://www.youtube.com/live/7gMi8VV0_24?feature=share</v>
      </c>
      <c r="Y3151" s="87" t="s">
        <v>8380</v>
      </c>
      <c r="Z3151" s="87"/>
      <c r="AA3151" s="87" t="s">
        <v>10776</v>
      </c>
      <c r="AB3151" s="87" t="s">
        <v>11448</v>
      </c>
      <c r="AC3151" s="93" t="s">
        <v>11457</v>
      </c>
      <c r="AD3151" s="87" t="s">
        <v>11519</v>
      </c>
      <c r="AE3151" s="92" t="str">
        <f>HYPERLINK("https://twitter.com/tatianafedatto_/status/1688777558114942976")</f>
        <v>https://twitter.com/tatianafedatto_/status/1688777558114942976</v>
      </c>
      <c r="AF3151" s="90">
        <v>45146.209722222222</v>
      </c>
      <c r="AG3151" s="99">
        <v>45146</v>
      </c>
      <c r="AH3151" s="93" t="s">
        <v>14326</v>
      </c>
      <c r="AI3151" s="87" t="b">
        <v>1</v>
      </c>
      <c r="AJ3151" s="87" t="s">
        <v>15216</v>
      </c>
      <c r="AK3151" s="87" t="s">
        <v>15234</v>
      </c>
      <c r="AL3151" s="87" t="s">
        <v>15237</v>
      </c>
      <c r="AM3151" s="87" t="s">
        <v>15287</v>
      </c>
      <c r="AN3151" s="87" t="s">
        <v>15354</v>
      </c>
      <c r="AO3151" s="87" t="s">
        <v>15419</v>
      </c>
      <c r="AP3151" s="87" t="s">
        <v>15438</v>
      </c>
      <c r="AQ3151" s="87" t="s">
        <v>17588</v>
      </c>
      <c r="AR3151" s="87"/>
      <c r="AS3151" s="87"/>
      <c r="AT3151" s="87"/>
      <c r="AU3151" s="87"/>
      <c r="AV3151" s="92" t="str">
        <f>HYPERLINK("https://pbs.twimg.com/media/F2--FxvWcAEm7_2.jpg")</f>
        <v>https://pbs.twimg.com/media/F2--FxvWcAEm7_2.jpg</v>
      </c>
      <c r="AW3151" s="93" t="s">
        <v>21297</v>
      </c>
      <c r="AX3151" s="93" t="s">
        <v>21297</v>
      </c>
      <c r="AY3151" s="87"/>
      <c r="AZ3151" s="93" t="s">
        <v>22668</v>
      </c>
      <c r="BA3151" s="93" t="s">
        <v>22668</v>
      </c>
      <c r="BB3151" s="93" t="s">
        <v>22668</v>
      </c>
      <c r="BC3151" s="93" t="s">
        <v>21297</v>
      </c>
      <c r="BD3151" s="93" t="s">
        <v>23350</v>
      </c>
      <c r="BE3151" s="87"/>
      <c r="BF3151" s="87"/>
      <c r="BG3151" s="87"/>
      <c r="BH3151" s="87"/>
      <c r="BI3151" s="87"/>
    </row>
    <row r="3152" spans="1:61" x14ac:dyDescent="0.25">
      <c r="A3152" s="63" t="s">
        <v>1186</v>
      </c>
      <c r="B3152" s="63" t="s">
        <v>1186</v>
      </c>
      <c r="C3152" s="64"/>
      <c r="D3152" s="65"/>
      <c r="E3152" s="66"/>
      <c r="F3152" s="67"/>
      <c r="G3152" s="64"/>
      <c r="H3152" s="68"/>
      <c r="I3152" s="69"/>
      <c r="J3152" s="69"/>
      <c r="K3152" s="32"/>
      <c r="L3152" s="76">
        <v>3152</v>
      </c>
      <c r="M3152" s="76"/>
      <c r="N3152" s="71"/>
      <c r="O3152" s="87" t="s">
        <v>179</v>
      </c>
      <c r="P3152" s="90">
        <v>45123.75099537037</v>
      </c>
      <c r="Q3152" s="87" t="s">
        <v>4849</v>
      </c>
      <c r="R3152" s="87">
        <v>0</v>
      </c>
      <c r="S3152" s="87">
        <v>0</v>
      </c>
      <c r="T3152" s="87">
        <v>0</v>
      </c>
      <c r="U3152" s="87">
        <v>0</v>
      </c>
      <c r="V3152" s="87">
        <v>23</v>
      </c>
      <c r="W3152" s="93" t="s">
        <v>7635</v>
      </c>
      <c r="X3152" s="92" t="str">
        <f>HYPERLINK("https://falabarreiras.com/em-barreiras/colegio-padre-vieira-promove-encontro-de-empreendedorismo-e-acao-social-em-parceria-com-o-projeto-ali-educacao-empreendedora-gerando-integracao-e-inovacao-educacional-em-barreiras/")</f>
        <v>https://falabarreiras.com/em-barreiras/colegio-padre-vieira-promove-encontro-de-empreendedorismo-e-acao-social-em-parceria-com-o-projeto-ali-educacao-empreendedora-gerando-integracao-e-inovacao-educacional-em-barreiras/</v>
      </c>
      <c r="Y3152" s="87" t="s">
        <v>8508</v>
      </c>
      <c r="Z3152" s="87"/>
      <c r="AA3152" s="87"/>
      <c r="AB3152" s="87"/>
      <c r="AC3152" s="93" t="s">
        <v>11457</v>
      </c>
      <c r="AD3152" s="87" t="s">
        <v>11519</v>
      </c>
      <c r="AE3152" s="92" t="str">
        <f>HYPERLINK("https://twitter.com/falabarreiras/status/1680638788916109312")</f>
        <v>https://twitter.com/falabarreiras/status/1680638788916109312</v>
      </c>
      <c r="AF3152" s="90">
        <v>45123.75099537037</v>
      </c>
      <c r="AG3152" s="99">
        <v>45123</v>
      </c>
      <c r="AH3152" s="93" t="s">
        <v>14327</v>
      </c>
      <c r="AI3152" s="87" t="b">
        <v>0</v>
      </c>
      <c r="AJ3152" s="87"/>
      <c r="AK3152" s="87"/>
      <c r="AL3152" s="87"/>
      <c r="AM3152" s="87"/>
      <c r="AN3152" s="87"/>
      <c r="AO3152" s="87"/>
      <c r="AP3152" s="87"/>
      <c r="AQ3152" s="87"/>
      <c r="AR3152" s="87"/>
      <c r="AS3152" s="87"/>
      <c r="AT3152" s="87"/>
      <c r="AU3152" s="87"/>
      <c r="AV3152" s="92" t="str">
        <f>HYPERLINK("https://pbs.twimg.com/profile_images/1136356761542152192/R-24Jx9v_normal.png")</f>
        <v>https://pbs.twimg.com/profile_images/1136356761542152192/R-24Jx9v_normal.png</v>
      </c>
      <c r="AW3152" s="93" t="s">
        <v>21298</v>
      </c>
      <c r="AX3152" s="93" t="s">
        <v>21298</v>
      </c>
      <c r="AY3152" s="87"/>
      <c r="AZ3152" s="93" t="s">
        <v>22668</v>
      </c>
      <c r="BA3152" s="93" t="s">
        <v>22668</v>
      </c>
      <c r="BB3152" s="93" t="s">
        <v>22668</v>
      </c>
      <c r="BC3152" s="93" t="s">
        <v>21298</v>
      </c>
      <c r="BD3152" s="87">
        <v>2182634120</v>
      </c>
      <c r="BE3152" s="87"/>
      <c r="BF3152" s="87"/>
      <c r="BG3152" s="87"/>
      <c r="BH3152" s="87"/>
      <c r="BI3152" s="87"/>
    </row>
    <row r="3153" spans="1:61" x14ac:dyDescent="0.25">
      <c r="A3153" s="63" t="s">
        <v>1187</v>
      </c>
      <c r="B3153" s="63" t="s">
        <v>1187</v>
      </c>
      <c r="C3153" s="64"/>
      <c r="D3153" s="65"/>
      <c r="E3153" s="66"/>
      <c r="F3153" s="67"/>
      <c r="G3153" s="64"/>
      <c r="H3153" s="68"/>
      <c r="I3153" s="69"/>
      <c r="J3153" s="69"/>
      <c r="K3153" s="32"/>
      <c r="L3153" s="76">
        <v>3153</v>
      </c>
      <c r="M3153" s="76"/>
      <c r="N3153" s="71"/>
      <c r="O3153" s="87" t="s">
        <v>179</v>
      </c>
      <c r="P3153" s="90">
        <v>45131.880648148152</v>
      </c>
      <c r="Q3153" s="87" t="s">
        <v>4850</v>
      </c>
      <c r="R3153" s="87">
        <v>0</v>
      </c>
      <c r="S3153" s="87">
        <v>1</v>
      </c>
      <c r="T3153" s="87">
        <v>0</v>
      </c>
      <c r="U3153" s="87">
        <v>0</v>
      </c>
      <c r="V3153" s="87">
        <v>1039</v>
      </c>
      <c r="W3153" s="93" t="s">
        <v>5897</v>
      </c>
      <c r="X3153" s="92" t="str">
        <f>HYPERLINK("https://prefeitura.poa.br/smdet/noticias/primeira-edicao-da-sala-itinerante-do-empreendedor-acontece-neste-sabado-na-restinga")</f>
        <v>https://prefeitura.poa.br/smdet/noticias/primeira-edicao-da-sala-itinerante-do-empreendedor-acontece-neste-sabado-na-restinga</v>
      </c>
      <c r="Y3153" s="87" t="s">
        <v>8509</v>
      </c>
      <c r="Z3153" s="87"/>
      <c r="AA3153" s="87" t="s">
        <v>10777</v>
      </c>
      <c r="AB3153" s="87" t="s">
        <v>11448</v>
      </c>
      <c r="AC3153" s="93" t="s">
        <v>11457</v>
      </c>
      <c r="AD3153" s="87" t="s">
        <v>11519</v>
      </c>
      <c r="AE3153" s="92" t="str">
        <f>HYPERLINK("https://twitter.com/prefeitura_poa/status/1683584874341384204")</f>
        <v>https://twitter.com/prefeitura_poa/status/1683584874341384204</v>
      </c>
      <c r="AF3153" s="90">
        <v>45131.880648148152</v>
      </c>
      <c r="AG3153" s="99">
        <v>45131</v>
      </c>
      <c r="AH3153" s="93" t="s">
        <v>14328</v>
      </c>
      <c r="AI3153" s="87" t="b">
        <v>0</v>
      </c>
      <c r="AJ3153" s="87"/>
      <c r="AK3153" s="87"/>
      <c r="AL3153" s="87"/>
      <c r="AM3153" s="87"/>
      <c r="AN3153" s="87"/>
      <c r="AO3153" s="87"/>
      <c r="AP3153" s="87"/>
      <c r="AQ3153" s="87" t="s">
        <v>17589</v>
      </c>
      <c r="AR3153" s="87"/>
      <c r="AS3153" s="87"/>
      <c r="AT3153" s="87"/>
      <c r="AU3153" s="87"/>
      <c r="AV3153" s="92" t="str">
        <f>HYPERLINK("https://pbs.twimg.com/media/F11LgwjXgAEGAQX.jpg")</f>
        <v>https://pbs.twimg.com/media/F11LgwjXgAEGAQX.jpg</v>
      </c>
      <c r="AW3153" s="93" t="s">
        <v>21299</v>
      </c>
      <c r="AX3153" s="93" t="s">
        <v>21299</v>
      </c>
      <c r="AY3153" s="87"/>
      <c r="AZ3153" s="93" t="s">
        <v>22668</v>
      </c>
      <c r="BA3153" s="93" t="s">
        <v>22668</v>
      </c>
      <c r="BB3153" s="93" t="s">
        <v>22668</v>
      </c>
      <c r="BC3153" s="93" t="s">
        <v>21299</v>
      </c>
      <c r="BD3153" s="87">
        <v>97251131</v>
      </c>
      <c r="BE3153" s="87"/>
      <c r="BF3153" s="87"/>
      <c r="BG3153" s="87"/>
      <c r="BH3153" s="87"/>
      <c r="BI3153" s="87"/>
    </row>
    <row r="3154" spans="1:61" x14ac:dyDescent="0.25">
      <c r="A3154" s="63" t="s">
        <v>1187</v>
      </c>
      <c r="B3154" s="63" t="s">
        <v>1187</v>
      </c>
      <c r="C3154" s="64"/>
      <c r="D3154" s="65"/>
      <c r="E3154" s="66"/>
      <c r="F3154" s="67"/>
      <c r="G3154" s="64"/>
      <c r="H3154" s="68"/>
      <c r="I3154" s="69"/>
      <c r="J3154" s="69"/>
      <c r="K3154" s="32"/>
      <c r="L3154" s="76">
        <v>3154</v>
      </c>
      <c r="M3154" s="76"/>
      <c r="N3154" s="71"/>
      <c r="O3154" s="87" t="s">
        <v>179</v>
      </c>
      <c r="P3154" s="90">
        <v>45134.504062499997</v>
      </c>
      <c r="Q3154" s="87" t="s">
        <v>4851</v>
      </c>
      <c r="R3154" s="87">
        <v>0</v>
      </c>
      <c r="S3154" s="87">
        <v>1</v>
      </c>
      <c r="T3154" s="87">
        <v>0</v>
      </c>
      <c r="U3154" s="87">
        <v>0</v>
      </c>
      <c r="V3154" s="87">
        <v>1169</v>
      </c>
      <c r="W3154" s="93" t="s">
        <v>5897</v>
      </c>
      <c r="X3154" s="92" t="str">
        <f>HYPERLINK("http://bit.ly/3OwuJEt")</f>
        <v>http://bit.ly/3OwuJEt</v>
      </c>
      <c r="Y3154" s="87" t="s">
        <v>8374</v>
      </c>
      <c r="Z3154" s="87"/>
      <c r="AA3154" s="87" t="s">
        <v>10778</v>
      </c>
      <c r="AB3154" s="87" t="s">
        <v>11448</v>
      </c>
      <c r="AC3154" s="93" t="s">
        <v>11457</v>
      </c>
      <c r="AD3154" s="87" t="s">
        <v>11519</v>
      </c>
      <c r="AE3154" s="92" t="str">
        <f>HYPERLINK("https://twitter.com/prefeitura_poa/status/1684535571182485506")</f>
        <v>https://twitter.com/prefeitura_poa/status/1684535571182485506</v>
      </c>
      <c r="AF3154" s="90">
        <v>45134.504062499997</v>
      </c>
      <c r="AG3154" s="99">
        <v>45134</v>
      </c>
      <c r="AH3154" s="93" t="s">
        <v>14329</v>
      </c>
      <c r="AI3154" s="87" t="b">
        <v>0</v>
      </c>
      <c r="AJ3154" s="87"/>
      <c r="AK3154" s="87"/>
      <c r="AL3154" s="87"/>
      <c r="AM3154" s="87"/>
      <c r="AN3154" s="87"/>
      <c r="AO3154" s="87"/>
      <c r="AP3154" s="87"/>
      <c r="AQ3154" s="87" t="s">
        <v>17590</v>
      </c>
      <c r="AR3154" s="87"/>
      <c r="AS3154" s="87"/>
      <c r="AT3154" s="87"/>
      <c r="AU3154" s="87"/>
      <c r="AV3154" s="92" t="str">
        <f>HYPERLINK("https://pbs.twimg.com/media/F2CsBwLXgAAksq1.jpg")</f>
        <v>https://pbs.twimg.com/media/F2CsBwLXgAAksq1.jpg</v>
      </c>
      <c r="AW3154" s="93" t="s">
        <v>21300</v>
      </c>
      <c r="AX3154" s="93" t="s">
        <v>21300</v>
      </c>
      <c r="AY3154" s="87"/>
      <c r="AZ3154" s="93" t="s">
        <v>22668</v>
      </c>
      <c r="BA3154" s="93" t="s">
        <v>22668</v>
      </c>
      <c r="BB3154" s="93" t="s">
        <v>22668</v>
      </c>
      <c r="BC3154" s="93" t="s">
        <v>21300</v>
      </c>
      <c r="BD3154" s="87">
        <v>97251131</v>
      </c>
      <c r="BE3154" s="87"/>
      <c r="BF3154" s="87"/>
      <c r="BG3154" s="87"/>
      <c r="BH3154" s="87"/>
      <c r="BI3154" s="87"/>
    </row>
    <row r="3155" spans="1:61" x14ac:dyDescent="0.25">
      <c r="A3155" s="63" t="s">
        <v>1187</v>
      </c>
      <c r="B3155" s="63" t="s">
        <v>1187</v>
      </c>
      <c r="C3155" s="64"/>
      <c r="D3155" s="65"/>
      <c r="E3155" s="66"/>
      <c r="F3155" s="67"/>
      <c r="G3155" s="64"/>
      <c r="H3155" s="68"/>
      <c r="I3155" s="69"/>
      <c r="J3155" s="69"/>
      <c r="K3155" s="32"/>
      <c r="L3155" s="76">
        <v>3155</v>
      </c>
      <c r="M3155" s="76"/>
      <c r="N3155" s="71"/>
      <c r="O3155" s="87" t="s">
        <v>179</v>
      </c>
      <c r="P3155" s="90">
        <v>45180.490972222222</v>
      </c>
      <c r="Q3155" s="87" t="s">
        <v>4852</v>
      </c>
      <c r="R3155" s="87">
        <v>0</v>
      </c>
      <c r="S3155" s="87">
        <v>0</v>
      </c>
      <c r="T3155" s="87">
        <v>0</v>
      </c>
      <c r="U3155" s="87">
        <v>0</v>
      </c>
      <c r="V3155" s="87">
        <v>877</v>
      </c>
      <c r="W3155" s="93" t="s">
        <v>5897</v>
      </c>
      <c r="X3155" s="92" t="str">
        <f>HYPERLINK("https://prefeitura.poa.br/smdet/noticias/prefeitura-leva-sala-do-empreendedor-para-feira-inedita-de-chocolate")</f>
        <v>https://prefeitura.poa.br/smdet/noticias/prefeitura-leva-sala-do-empreendedor-para-feira-inedita-de-chocolate</v>
      </c>
      <c r="Y3155" s="87" t="s">
        <v>8509</v>
      </c>
      <c r="Z3155" s="87"/>
      <c r="AA3155" s="87" t="s">
        <v>10779</v>
      </c>
      <c r="AB3155" s="87" t="s">
        <v>11448</v>
      </c>
      <c r="AC3155" s="93" t="s">
        <v>11457</v>
      </c>
      <c r="AD3155" s="87" t="s">
        <v>11519</v>
      </c>
      <c r="AE3155" s="92" t="str">
        <f>HYPERLINK("https://twitter.com/prefeitura_poa/status/1701200667925180708")</f>
        <v>https://twitter.com/prefeitura_poa/status/1701200667925180708</v>
      </c>
      <c r="AF3155" s="90">
        <v>45180.490972222222</v>
      </c>
      <c r="AG3155" s="99">
        <v>45180</v>
      </c>
      <c r="AH3155" s="93" t="s">
        <v>14330</v>
      </c>
      <c r="AI3155" s="87" t="b">
        <v>0</v>
      </c>
      <c r="AJ3155" s="87"/>
      <c r="AK3155" s="87"/>
      <c r="AL3155" s="87"/>
      <c r="AM3155" s="87"/>
      <c r="AN3155" s="87"/>
      <c r="AO3155" s="87"/>
      <c r="AP3155" s="87"/>
      <c r="AQ3155" s="87" t="s">
        <v>17591</v>
      </c>
      <c r="AR3155" s="87"/>
      <c r="AS3155" s="87"/>
      <c r="AT3155" s="87"/>
      <c r="AU3155" s="87"/>
      <c r="AV3155" s="92" t="str">
        <f>HYPERLINK("https://pbs.twimg.com/media/F5vg-89WQAA4nV7.jpg")</f>
        <v>https://pbs.twimg.com/media/F5vg-89WQAA4nV7.jpg</v>
      </c>
      <c r="AW3155" s="93" t="s">
        <v>21301</v>
      </c>
      <c r="AX3155" s="93" t="s">
        <v>21301</v>
      </c>
      <c r="AY3155" s="87"/>
      <c r="AZ3155" s="93" t="s">
        <v>22668</v>
      </c>
      <c r="BA3155" s="93" t="s">
        <v>22668</v>
      </c>
      <c r="BB3155" s="93" t="s">
        <v>22668</v>
      </c>
      <c r="BC3155" s="93" t="s">
        <v>21301</v>
      </c>
      <c r="BD3155" s="87">
        <v>97251131</v>
      </c>
      <c r="BE3155" s="87"/>
      <c r="BF3155" s="87"/>
      <c r="BG3155" s="87"/>
      <c r="BH3155" s="87"/>
      <c r="BI3155" s="87"/>
    </row>
    <row r="3156" spans="1:61" x14ac:dyDescent="0.25">
      <c r="A3156" s="63" t="s">
        <v>1188</v>
      </c>
      <c r="B3156" s="63" t="s">
        <v>1188</v>
      </c>
      <c r="C3156" s="64"/>
      <c r="D3156" s="65"/>
      <c r="E3156" s="66"/>
      <c r="F3156" s="67"/>
      <c r="G3156" s="64"/>
      <c r="H3156" s="68"/>
      <c r="I3156" s="69"/>
      <c r="J3156" s="69"/>
      <c r="K3156" s="32"/>
      <c r="L3156" s="76">
        <v>3156</v>
      </c>
      <c r="M3156" s="76"/>
      <c r="N3156" s="71"/>
      <c r="O3156" s="87" t="s">
        <v>179</v>
      </c>
      <c r="P3156" s="90">
        <v>45169.34646990741</v>
      </c>
      <c r="Q3156" s="87" t="s">
        <v>4853</v>
      </c>
      <c r="R3156" s="87">
        <v>0</v>
      </c>
      <c r="S3156" s="87">
        <v>0</v>
      </c>
      <c r="T3156" s="87">
        <v>0</v>
      </c>
      <c r="U3156" s="87">
        <v>0</v>
      </c>
      <c r="V3156" s="87">
        <v>70</v>
      </c>
      <c r="W3156" s="93" t="s">
        <v>7636</v>
      </c>
      <c r="X3156" s="87"/>
      <c r="Y3156" s="87"/>
      <c r="Z3156" s="87"/>
      <c r="AA3156" s="87" t="s">
        <v>10780</v>
      </c>
      <c r="AB3156" s="87" t="s">
        <v>11447</v>
      </c>
      <c r="AC3156" s="93" t="s">
        <v>11457</v>
      </c>
      <c r="AD3156" s="87" t="s">
        <v>11519</v>
      </c>
      <c r="AE3156" s="92" t="str">
        <f>HYPERLINK("https://twitter.com/growingscape/status/1697162033400094722")</f>
        <v>https://twitter.com/growingscape/status/1697162033400094722</v>
      </c>
      <c r="AF3156" s="90">
        <v>45169.34646990741</v>
      </c>
      <c r="AG3156" s="99">
        <v>45169</v>
      </c>
      <c r="AH3156" s="93" t="s">
        <v>14331</v>
      </c>
      <c r="AI3156" s="87" t="b">
        <v>0</v>
      </c>
      <c r="AJ3156" s="87"/>
      <c r="AK3156" s="87"/>
      <c r="AL3156" s="87"/>
      <c r="AM3156" s="87"/>
      <c r="AN3156" s="87"/>
      <c r="AO3156" s="87"/>
      <c r="AP3156" s="87"/>
      <c r="AQ3156" s="87" t="s">
        <v>17592</v>
      </c>
      <c r="AR3156" s="87">
        <v>16021</v>
      </c>
      <c r="AS3156" s="87"/>
      <c r="AT3156" s="87"/>
      <c r="AU3156" s="87"/>
      <c r="AV3156" s="92" t="str">
        <f>HYPERLINK("https://pbs.twimg.com/ext_tw_video_thumb/1697160711384805376/pu/img/smln_LdZSOKNJxtm.jpg")</f>
        <v>https://pbs.twimg.com/ext_tw_video_thumb/1697160711384805376/pu/img/smln_LdZSOKNJxtm.jpg</v>
      </c>
      <c r="AW3156" s="93" t="s">
        <v>21302</v>
      </c>
      <c r="AX3156" s="93" t="s">
        <v>21302</v>
      </c>
      <c r="AY3156" s="87"/>
      <c r="AZ3156" s="93" t="s">
        <v>22668</v>
      </c>
      <c r="BA3156" s="93" t="s">
        <v>22668</v>
      </c>
      <c r="BB3156" s="93" t="s">
        <v>22668</v>
      </c>
      <c r="BC3156" s="93" t="s">
        <v>21302</v>
      </c>
      <c r="BD3156" s="93" t="s">
        <v>23351</v>
      </c>
      <c r="BE3156" s="87"/>
      <c r="BF3156" s="87"/>
      <c r="BG3156" s="87"/>
      <c r="BH3156" s="87"/>
      <c r="BI3156" s="87"/>
    </row>
    <row r="3157" spans="1:61" x14ac:dyDescent="0.25">
      <c r="A3157" s="63" t="s">
        <v>1189</v>
      </c>
      <c r="B3157" s="63" t="s">
        <v>1189</v>
      </c>
      <c r="C3157" s="64"/>
      <c r="D3157" s="65"/>
      <c r="E3157" s="66"/>
      <c r="F3157" s="67"/>
      <c r="G3157" s="64"/>
      <c r="H3157" s="68"/>
      <c r="I3157" s="69"/>
      <c r="J3157" s="69"/>
      <c r="K3157" s="32"/>
      <c r="L3157" s="76">
        <v>3157</v>
      </c>
      <c r="M3157" s="76"/>
      <c r="N3157" s="71"/>
      <c r="O3157" s="87" t="s">
        <v>179</v>
      </c>
      <c r="P3157" s="90">
        <v>45152.510324074072</v>
      </c>
      <c r="Q3157" s="87" t="s">
        <v>4854</v>
      </c>
      <c r="R3157" s="87">
        <v>0</v>
      </c>
      <c r="S3157" s="87">
        <v>0</v>
      </c>
      <c r="T3157" s="87">
        <v>0</v>
      </c>
      <c r="U3157" s="87">
        <v>0</v>
      </c>
      <c r="V3157" s="87">
        <v>21</v>
      </c>
      <c r="W3157" s="93" t="s">
        <v>7637</v>
      </c>
      <c r="X3157" s="87"/>
      <c r="Y3157" s="87"/>
      <c r="Z3157" s="87"/>
      <c r="AA3157" s="87" t="s">
        <v>10781</v>
      </c>
      <c r="AB3157" s="87" t="s">
        <v>11448</v>
      </c>
      <c r="AC3157" s="93" t="s">
        <v>11457</v>
      </c>
      <c r="AD3157" s="87" t="s">
        <v>11519</v>
      </c>
      <c r="AE3157" s="92" t="str">
        <f>HYPERLINK("https://twitter.com/jecikaoli/status/1691060819470004224")</f>
        <v>https://twitter.com/jecikaoli/status/1691060819470004224</v>
      </c>
      <c r="AF3157" s="90">
        <v>45152.510324074072</v>
      </c>
      <c r="AG3157" s="99">
        <v>45152</v>
      </c>
      <c r="AH3157" s="93" t="s">
        <v>14332</v>
      </c>
      <c r="AI3157" s="87" t="b">
        <v>0</v>
      </c>
      <c r="AJ3157" s="87"/>
      <c r="AK3157" s="87"/>
      <c r="AL3157" s="87"/>
      <c r="AM3157" s="87"/>
      <c r="AN3157" s="87"/>
      <c r="AO3157" s="87"/>
      <c r="AP3157" s="87"/>
      <c r="AQ3157" s="87" t="s">
        <v>17593</v>
      </c>
      <c r="AR3157" s="87"/>
      <c r="AS3157" s="87"/>
      <c r="AT3157" s="87"/>
      <c r="AU3157" s="87"/>
      <c r="AV3157" s="92" t="str">
        <f>HYPERLINK("https://pbs.twimg.com/media/F3fa0OLXYAAY0T_.jpg")</f>
        <v>https://pbs.twimg.com/media/F3fa0OLXYAAY0T_.jpg</v>
      </c>
      <c r="AW3157" s="93" t="s">
        <v>21303</v>
      </c>
      <c r="AX3157" s="93" t="s">
        <v>21303</v>
      </c>
      <c r="AY3157" s="87"/>
      <c r="AZ3157" s="93" t="s">
        <v>22668</v>
      </c>
      <c r="BA3157" s="93" t="s">
        <v>22668</v>
      </c>
      <c r="BB3157" s="93" t="s">
        <v>22668</v>
      </c>
      <c r="BC3157" s="93" t="s">
        <v>21303</v>
      </c>
      <c r="BD3157" s="93" t="s">
        <v>23352</v>
      </c>
      <c r="BE3157" s="87"/>
      <c r="BF3157" s="87"/>
      <c r="BG3157" s="87"/>
      <c r="BH3157" s="87"/>
      <c r="BI3157" s="87"/>
    </row>
    <row r="3158" spans="1:61" x14ac:dyDescent="0.25">
      <c r="A3158" s="63" t="s">
        <v>1190</v>
      </c>
      <c r="B3158" s="63" t="s">
        <v>1190</v>
      </c>
      <c r="C3158" s="64"/>
      <c r="D3158" s="65"/>
      <c r="E3158" s="66"/>
      <c r="F3158" s="67"/>
      <c r="G3158" s="64"/>
      <c r="H3158" s="68"/>
      <c r="I3158" s="69"/>
      <c r="J3158" s="69"/>
      <c r="K3158" s="32"/>
      <c r="L3158" s="76">
        <v>3158</v>
      </c>
      <c r="M3158" s="76"/>
      <c r="N3158" s="71"/>
      <c r="O3158" s="87" t="s">
        <v>179</v>
      </c>
      <c r="P3158" s="90">
        <v>45187.114247685182</v>
      </c>
      <c r="Q3158" s="87" t="s">
        <v>4855</v>
      </c>
      <c r="R3158" s="87">
        <v>0</v>
      </c>
      <c r="S3158" s="87">
        <v>0</v>
      </c>
      <c r="T3158" s="87">
        <v>0</v>
      </c>
      <c r="U3158" s="87">
        <v>0</v>
      </c>
      <c r="V3158" s="87">
        <v>26</v>
      </c>
      <c r="W3158" s="93" t="s">
        <v>7638</v>
      </c>
      <c r="X3158" s="92" t="str">
        <f>HYPERLINK("https://www.youtube.com/watch?v=BExfJIQy3v8")</f>
        <v>https://www.youtube.com/watch?v=BExfJIQy3v8</v>
      </c>
      <c r="Y3158" s="87" t="s">
        <v>8380</v>
      </c>
      <c r="Z3158" s="87"/>
      <c r="AA3158" s="87"/>
      <c r="AB3158" s="87"/>
      <c r="AC3158" s="93" t="s">
        <v>11457</v>
      </c>
      <c r="AD3158" s="87" t="s">
        <v>11519</v>
      </c>
      <c r="AE3158" s="92" t="str">
        <f>HYPERLINK("https://twitter.com/publicados01/status/1703600862042419353")</f>
        <v>https://twitter.com/publicados01/status/1703600862042419353</v>
      </c>
      <c r="AF3158" s="90">
        <v>45187.114247685182</v>
      </c>
      <c r="AG3158" s="99">
        <v>45187</v>
      </c>
      <c r="AH3158" s="93" t="s">
        <v>14333</v>
      </c>
      <c r="AI3158" s="87" t="b">
        <v>0</v>
      </c>
      <c r="AJ3158" s="87"/>
      <c r="AK3158" s="87"/>
      <c r="AL3158" s="87"/>
      <c r="AM3158" s="87"/>
      <c r="AN3158" s="87"/>
      <c r="AO3158" s="87"/>
      <c r="AP3158" s="87"/>
      <c r="AQ3158" s="87"/>
      <c r="AR3158" s="87"/>
      <c r="AS3158" s="87"/>
      <c r="AT3158" s="87"/>
      <c r="AU3158" s="87"/>
      <c r="AV3158" s="92" t="str">
        <f>HYPERLINK("https://pbs.twimg.com/profile_images/648167419/publicadosbrasil_-_orkut_normal.jpg")</f>
        <v>https://pbs.twimg.com/profile_images/648167419/publicadosbrasil_-_orkut_normal.jpg</v>
      </c>
      <c r="AW3158" s="93" t="s">
        <v>21304</v>
      </c>
      <c r="AX3158" s="93" t="s">
        <v>21304</v>
      </c>
      <c r="AY3158" s="87"/>
      <c r="AZ3158" s="93" t="s">
        <v>22668</v>
      </c>
      <c r="BA3158" s="93" t="s">
        <v>22668</v>
      </c>
      <c r="BB3158" s="93" t="s">
        <v>22668</v>
      </c>
      <c r="BC3158" s="93" t="s">
        <v>21304</v>
      </c>
      <c r="BD3158" s="87">
        <v>107438367</v>
      </c>
      <c r="BE3158" s="87"/>
      <c r="BF3158" s="87"/>
      <c r="BG3158" s="87"/>
      <c r="BH3158" s="87"/>
      <c r="BI3158" s="87"/>
    </row>
    <row r="3159" spans="1:61" x14ac:dyDescent="0.25">
      <c r="A3159" s="63" t="s">
        <v>1191</v>
      </c>
      <c r="B3159" s="63" t="s">
        <v>1191</v>
      </c>
      <c r="C3159" s="64"/>
      <c r="D3159" s="65"/>
      <c r="E3159" s="66"/>
      <c r="F3159" s="67"/>
      <c r="G3159" s="64"/>
      <c r="H3159" s="68"/>
      <c r="I3159" s="69"/>
      <c r="J3159" s="69"/>
      <c r="K3159" s="32"/>
      <c r="L3159" s="76">
        <v>3159</v>
      </c>
      <c r="M3159" s="76"/>
      <c r="N3159" s="71"/>
      <c r="O3159" s="87" t="s">
        <v>179</v>
      </c>
      <c r="P3159" s="90">
        <v>45134.420787037037</v>
      </c>
      <c r="Q3159" s="87" t="s">
        <v>4856</v>
      </c>
      <c r="R3159" s="87">
        <v>0</v>
      </c>
      <c r="S3159" s="87">
        <v>0</v>
      </c>
      <c r="T3159" s="87">
        <v>0</v>
      </c>
      <c r="U3159" s="87">
        <v>0</v>
      </c>
      <c r="V3159" s="87">
        <v>10</v>
      </c>
      <c r="W3159" s="93" t="s">
        <v>7639</v>
      </c>
      <c r="X3159" s="87"/>
      <c r="Y3159" s="87"/>
      <c r="Z3159" s="87"/>
      <c r="AA3159" s="87"/>
      <c r="AB3159" s="87"/>
      <c r="AC3159" s="93" t="s">
        <v>11459</v>
      </c>
      <c r="AD3159" s="87" t="s">
        <v>11519</v>
      </c>
      <c r="AE3159" s="92" t="str">
        <f>HYPERLINK("https://twitter.com/innov_empreenda/status/1684505392020066305")</f>
        <v>https://twitter.com/innov_empreenda/status/1684505392020066305</v>
      </c>
      <c r="AF3159" s="90">
        <v>45134.420787037037</v>
      </c>
      <c r="AG3159" s="99">
        <v>45134</v>
      </c>
      <c r="AH3159" s="93" t="s">
        <v>14334</v>
      </c>
      <c r="AI3159" s="87"/>
      <c r="AJ3159" s="87"/>
      <c r="AK3159" s="87"/>
      <c r="AL3159" s="87"/>
      <c r="AM3159" s="87"/>
      <c r="AN3159" s="87"/>
      <c r="AO3159" s="87"/>
      <c r="AP3159" s="87"/>
      <c r="AQ3159" s="87"/>
      <c r="AR3159" s="87"/>
      <c r="AS3159" s="87"/>
      <c r="AT3159" s="87"/>
      <c r="AU3159" s="87"/>
      <c r="AV3159" s="92" t="str">
        <f>HYPERLINK("https://pbs.twimg.com/profile_images/1589020060617670657/Gi75Fln4_normal.jpg")</f>
        <v>https://pbs.twimg.com/profile_images/1589020060617670657/Gi75Fln4_normal.jpg</v>
      </c>
      <c r="AW3159" s="93" t="s">
        <v>21305</v>
      </c>
      <c r="AX3159" s="93" t="s">
        <v>21305</v>
      </c>
      <c r="AY3159" s="87"/>
      <c r="AZ3159" s="93" t="s">
        <v>22668</v>
      </c>
      <c r="BA3159" s="93" t="s">
        <v>22668</v>
      </c>
      <c r="BB3159" s="93" t="s">
        <v>22668</v>
      </c>
      <c r="BC3159" s="93" t="s">
        <v>21305</v>
      </c>
      <c r="BD3159" s="93" t="s">
        <v>23353</v>
      </c>
      <c r="BE3159" s="87"/>
      <c r="BF3159" s="87"/>
      <c r="BG3159" s="87"/>
      <c r="BH3159" s="87"/>
      <c r="BI3159" s="87"/>
    </row>
    <row r="3160" spans="1:61" x14ac:dyDescent="0.25">
      <c r="A3160" s="63" t="s">
        <v>1191</v>
      </c>
      <c r="B3160" s="63" t="s">
        <v>1191</v>
      </c>
      <c r="C3160" s="64"/>
      <c r="D3160" s="65"/>
      <c r="E3160" s="66"/>
      <c r="F3160" s="67"/>
      <c r="G3160" s="64"/>
      <c r="H3160" s="68"/>
      <c r="I3160" s="69"/>
      <c r="J3160" s="69"/>
      <c r="K3160" s="32"/>
      <c r="L3160" s="76">
        <v>3160</v>
      </c>
      <c r="M3160" s="76"/>
      <c r="N3160" s="71"/>
      <c r="O3160" s="87" t="s">
        <v>179</v>
      </c>
      <c r="P3160" s="90">
        <v>45170.972916666666</v>
      </c>
      <c r="Q3160" s="87" t="s">
        <v>4857</v>
      </c>
      <c r="R3160" s="87">
        <v>0</v>
      </c>
      <c r="S3160" s="87">
        <v>0</v>
      </c>
      <c r="T3160" s="87">
        <v>0</v>
      </c>
      <c r="U3160" s="87">
        <v>0</v>
      </c>
      <c r="V3160" s="87">
        <v>7</v>
      </c>
      <c r="W3160" s="93" t="s">
        <v>7639</v>
      </c>
      <c r="X3160" s="87"/>
      <c r="Y3160" s="87"/>
      <c r="Z3160" s="87"/>
      <c r="AA3160" s="87"/>
      <c r="AB3160" s="87"/>
      <c r="AC3160" s="93" t="s">
        <v>11459</v>
      </c>
      <c r="AD3160" s="87" t="s">
        <v>11519</v>
      </c>
      <c r="AE3160" s="92" t="str">
        <f>HYPERLINK("https://twitter.com/innov_empreenda/status/1697751437449601453")</f>
        <v>https://twitter.com/innov_empreenda/status/1697751437449601453</v>
      </c>
      <c r="AF3160" s="90">
        <v>45170.972916666666</v>
      </c>
      <c r="AG3160" s="99">
        <v>45170</v>
      </c>
      <c r="AH3160" s="93" t="s">
        <v>14335</v>
      </c>
      <c r="AI3160" s="87"/>
      <c r="AJ3160" s="87"/>
      <c r="AK3160" s="87"/>
      <c r="AL3160" s="87"/>
      <c r="AM3160" s="87"/>
      <c r="AN3160" s="87"/>
      <c r="AO3160" s="87"/>
      <c r="AP3160" s="87"/>
      <c r="AQ3160" s="87"/>
      <c r="AR3160" s="87"/>
      <c r="AS3160" s="87"/>
      <c r="AT3160" s="87"/>
      <c r="AU3160" s="87"/>
      <c r="AV3160" s="92" t="str">
        <f>HYPERLINK("https://pbs.twimg.com/profile_images/1589020060617670657/Gi75Fln4_normal.jpg")</f>
        <v>https://pbs.twimg.com/profile_images/1589020060617670657/Gi75Fln4_normal.jpg</v>
      </c>
      <c r="AW3160" s="93" t="s">
        <v>21306</v>
      </c>
      <c r="AX3160" s="93" t="s">
        <v>21306</v>
      </c>
      <c r="AY3160" s="87"/>
      <c r="AZ3160" s="93" t="s">
        <v>22668</v>
      </c>
      <c r="BA3160" s="93" t="s">
        <v>22668</v>
      </c>
      <c r="BB3160" s="93" t="s">
        <v>22668</v>
      </c>
      <c r="BC3160" s="93" t="s">
        <v>21306</v>
      </c>
      <c r="BD3160" s="93" t="s">
        <v>23353</v>
      </c>
      <c r="BE3160" s="87"/>
      <c r="BF3160" s="87"/>
      <c r="BG3160" s="87"/>
      <c r="BH3160" s="87"/>
      <c r="BI3160" s="87"/>
    </row>
    <row r="3161" spans="1:61" x14ac:dyDescent="0.25">
      <c r="A3161" s="63" t="s">
        <v>1191</v>
      </c>
      <c r="B3161" s="63" t="s">
        <v>1191</v>
      </c>
      <c r="C3161" s="64"/>
      <c r="D3161" s="65"/>
      <c r="E3161" s="66"/>
      <c r="F3161" s="67"/>
      <c r="G3161" s="64"/>
      <c r="H3161" s="68"/>
      <c r="I3161" s="69"/>
      <c r="J3161" s="69"/>
      <c r="K3161" s="32"/>
      <c r="L3161" s="76">
        <v>3161</v>
      </c>
      <c r="M3161" s="76"/>
      <c r="N3161" s="71"/>
      <c r="O3161" s="87" t="s">
        <v>179</v>
      </c>
      <c r="P3161" s="90">
        <v>45181.984861111108</v>
      </c>
      <c r="Q3161" s="87" t="s">
        <v>4858</v>
      </c>
      <c r="R3161" s="87">
        <v>0</v>
      </c>
      <c r="S3161" s="87">
        <v>0</v>
      </c>
      <c r="T3161" s="87">
        <v>0</v>
      </c>
      <c r="U3161" s="87">
        <v>0</v>
      </c>
      <c r="V3161" s="87">
        <v>14</v>
      </c>
      <c r="W3161" s="93" t="s">
        <v>7640</v>
      </c>
      <c r="X3161" s="87"/>
      <c r="Y3161" s="87"/>
      <c r="Z3161" s="87"/>
      <c r="AA3161" s="87"/>
      <c r="AB3161" s="87"/>
      <c r="AC3161" s="93" t="s">
        <v>11459</v>
      </c>
      <c r="AD3161" s="87" t="s">
        <v>11519</v>
      </c>
      <c r="AE3161" s="92" t="str">
        <f>HYPERLINK("https://twitter.com/innov_empreenda/status/1701742036070568219")</f>
        <v>https://twitter.com/innov_empreenda/status/1701742036070568219</v>
      </c>
      <c r="AF3161" s="90">
        <v>45181.984861111108</v>
      </c>
      <c r="AG3161" s="99">
        <v>45181</v>
      </c>
      <c r="AH3161" s="93" t="s">
        <v>14336</v>
      </c>
      <c r="AI3161" s="87"/>
      <c r="AJ3161" s="87"/>
      <c r="AK3161" s="87"/>
      <c r="AL3161" s="87"/>
      <c r="AM3161" s="87"/>
      <c r="AN3161" s="87"/>
      <c r="AO3161" s="87"/>
      <c r="AP3161" s="87"/>
      <c r="AQ3161" s="87"/>
      <c r="AR3161" s="87"/>
      <c r="AS3161" s="87"/>
      <c r="AT3161" s="87"/>
      <c r="AU3161" s="87"/>
      <c r="AV3161" s="92" t="str">
        <f>HYPERLINK("https://pbs.twimg.com/profile_images/1589020060617670657/Gi75Fln4_normal.jpg")</f>
        <v>https://pbs.twimg.com/profile_images/1589020060617670657/Gi75Fln4_normal.jpg</v>
      </c>
      <c r="AW3161" s="93" t="s">
        <v>21307</v>
      </c>
      <c r="AX3161" s="93" t="s">
        <v>21307</v>
      </c>
      <c r="AY3161" s="87"/>
      <c r="AZ3161" s="93" t="s">
        <v>22668</v>
      </c>
      <c r="BA3161" s="93" t="s">
        <v>22668</v>
      </c>
      <c r="BB3161" s="93" t="s">
        <v>22668</v>
      </c>
      <c r="BC3161" s="93" t="s">
        <v>21307</v>
      </c>
      <c r="BD3161" s="93" t="s">
        <v>23353</v>
      </c>
      <c r="BE3161" s="87"/>
      <c r="BF3161" s="87"/>
      <c r="BG3161" s="87"/>
      <c r="BH3161" s="87"/>
      <c r="BI3161" s="87"/>
    </row>
    <row r="3162" spans="1:61" x14ac:dyDescent="0.25">
      <c r="A3162" s="63" t="s">
        <v>1191</v>
      </c>
      <c r="B3162" s="63" t="s">
        <v>1191</v>
      </c>
      <c r="C3162" s="64"/>
      <c r="D3162" s="65"/>
      <c r="E3162" s="66"/>
      <c r="F3162" s="67"/>
      <c r="G3162" s="64"/>
      <c r="H3162" s="68"/>
      <c r="I3162" s="69"/>
      <c r="J3162" s="69"/>
      <c r="K3162" s="32"/>
      <c r="L3162" s="76">
        <v>3162</v>
      </c>
      <c r="M3162" s="76"/>
      <c r="N3162" s="71"/>
      <c r="O3162" s="87" t="s">
        <v>179</v>
      </c>
      <c r="P3162" s="90">
        <v>45167.08084490741</v>
      </c>
      <c r="Q3162" s="87" t="s">
        <v>4859</v>
      </c>
      <c r="R3162" s="87">
        <v>0</v>
      </c>
      <c r="S3162" s="87">
        <v>0</v>
      </c>
      <c r="T3162" s="87">
        <v>0</v>
      </c>
      <c r="U3162" s="87">
        <v>0</v>
      </c>
      <c r="V3162" s="87">
        <v>9</v>
      </c>
      <c r="W3162" s="93" t="s">
        <v>7639</v>
      </c>
      <c r="X3162" s="87"/>
      <c r="Y3162" s="87"/>
      <c r="Z3162" s="87"/>
      <c r="AA3162" s="87"/>
      <c r="AB3162" s="87"/>
      <c r="AC3162" s="93" t="s">
        <v>11459</v>
      </c>
      <c r="AD3162" s="87" t="s">
        <v>11519</v>
      </c>
      <c r="AE3162" s="92" t="str">
        <f>HYPERLINK("https://twitter.com/innov_empreenda/status/1696341001755893814")</f>
        <v>https://twitter.com/innov_empreenda/status/1696341001755893814</v>
      </c>
      <c r="AF3162" s="90">
        <v>45167.08084490741</v>
      </c>
      <c r="AG3162" s="99">
        <v>45167</v>
      </c>
      <c r="AH3162" s="93" t="s">
        <v>14337</v>
      </c>
      <c r="AI3162" s="87"/>
      <c r="AJ3162" s="87"/>
      <c r="AK3162" s="87"/>
      <c r="AL3162" s="87"/>
      <c r="AM3162" s="87"/>
      <c r="AN3162" s="87"/>
      <c r="AO3162" s="87"/>
      <c r="AP3162" s="87"/>
      <c r="AQ3162" s="87"/>
      <c r="AR3162" s="87"/>
      <c r="AS3162" s="87"/>
      <c r="AT3162" s="87"/>
      <c r="AU3162" s="87"/>
      <c r="AV3162" s="92" t="str">
        <f>HYPERLINK("https://pbs.twimg.com/profile_images/1589020060617670657/Gi75Fln4_normal.jpg")</f>
        <v>https://pbs.twimg.com/profile_images/1589020060617670657/Gi75Fln4_normal.jpg</v>
      </c>
      <c r="AW3162" s="93" t="s">
        <v>21308</v>
      </c>
      <c r="AX3162" s="93" t="s">
        <v>21308</v>
      </c>
      <c r="AY3162" s="87"/>
      <c r="AZ3162" s="93" t="s">
        <v>22668</v>
      </c>
      <c r="BA3162" s="93" t="s">
        <v>22668</v>
      </c>
      <c r="BB3162" s="93" t="s">
        <v>22668</v>
      </c>
      <c r="BC3162" s="93" t="s">
        <v>21308</v>
      </c>
      <c r="BD3162" s="93" t="s">
        <v>23353</v>
      </c>
      <c r="BE3162" s="87"/>
      <c r="BF3162" s="87"/>
      <c r="BG3162" s="87"/>
      <c r="BH3162" s="87"/>
      <c r="BI3162" s="87"/>
    </row>
    <row r="3163" spans="1:61" x14ac:dyDescent="0.25">
      <c r="A3163" s="63" t="s">
        <v>1191</v>
      </c>
      <c r="B3163" s="63" t="s">
        <v>1191</v>
      </c>
      <c r="C3163" s="64"/>
      <c r="D3163" s="65"/>
      <c r="E3163" s="66"/>
      <c r="F3163" s="67"/>
      <c r="G3163" s="64"/>
      <c r="H3163" s="68"/>
      <c r="I3163" s="69"/>
      <c r="J3163" s="69"/>
      <c r="K3163" s="32"/>
      <c r="L3163" s="76">
        <v>3163</v>
      </c>
      <c r="M3163" s="76"/>
      <c r="N3163" s="71"/>
      <c r="O3163" s="87" t="s">
        <v>179</v>
      </c>
      <c r="P3163" s="90">
        <v>45139.749895833331</v>
      </c>
      <c r="Q3163" s="87" t="s">
        <v>4860</v>
      </c>
      <c r="R3163" s="87">
        <v>0</v>
      </c>
      <c r="S3163" s="87">
        <v>0</v>
      </c>
      <c r="T3163" s="87">
        <v>0</v>
      </c>
      <c r="U3163" s="87">
        <v>0</v>
      </c>
      <c r="V3163" s="87">
        <v>8</v>
      </c>
      <c r="W3163" s="93" t="s">
        <v>7639</v>
      </c>
      <c r="X3163" s="87"/>
      <c r="Y3163" s="87"/>
      <c r="Z3163" s="87"/>
      <c r="AA3163" s="87"/>
      <c r="AB3163" s="87"/>
      <c r="AC3163" s="93" t="s">
        <v>11459</v>
      </c>
      <c r="AD3163" s="87" t="s">
        <v>11519</v>
      </c>
      <c r="AE3163" s="92" t="str">
        <f>HYPERLINK("https://twitter.com/innov_empreenda/status/1686436596294307856")</f>
        <v>https://twitter.com/innov_empreenda/status/1686436596294307856</v>
      </c>
      <c r="AF3163" s="90">
        <v>45139.749895833331</v>
      </c>
      <c r="AG3163" s="99">
        <v>45139</v>
      </c>
      <c r="AH3163" s="93" t="s">
        <v>14338</v>
      </c>
      <c r="AI3163" s="87"/>
      <c r="AJ3163" s="87"/>
      <c r="AK3163" s="87"/>
      <c r="AL3163" s="87"/>
      <c r="AM3163" s="87"/>
      <c r="AN3163" s="87"/>
      <c r="AO3163" s="87"/>
      <c r="AP3163" s="87"/>
      <c r="AQ3163" s="87"/>
      <c r="AR3163" s="87"/>
      <c r="AS3163" s="87"/>
      <c r="AT3163" s="87"/>
      <c r="AU3163" s="87"/>
      <c r="AV3163" s="92" t="str">
        <f>HYPERLINK("https://pbs.twimg.com/profile_images/1589020060617670657/Gi75Fln4_normal.jpg")</f>
        <v>https://pbs.twimg.com/profile_images/1589020060617670657/Gi75Fln4_normal.jpg</v>
      </c>
      <c r="AW3163" s="93" t="s">
        <v>21309</v>
      </c>
      <c r="AX3163" s="93" t="s">
        <v>21309</v>
      </c>
      <c r="AY3163" s="87"/>
      <c r="AZ3163" s="93" t="s">
        <v>22668</v>
      </c>
      <c r="BA3163" s="93" t="s">
        <v>22668</v>
      </c>
      <c r="BB3163" s="93" t="s">
        <v>22668</v>
      </c>
      <c r="BC3163" s="93" t="s">
        <v>21309</v>
      </c>
      <c r="BD3163" s="93" t="s">
        <v>23353</v>
      </c>
      <c r="BE3163" s="87"/>
      <c r="BF3163" s="87"/>
      <c r="BG3163" s="87"/>
      <c r="BH3163" s="87"/>
      <c r="BI3163" s="87"/>
    </row>
    <row r="3164" spans="1:61" x14ac:dyDescent="0.25">
      <c r="A3164" s="63" t="s">
        <v>1191</v>
      </c>
      <c r="B3164" s="63" t="s">
        <v>1191</v>
      </c>
      <c r="C3164" s="64"/>
      <c r="D3164" s="65"/>
      <c r="E3164" s="66"/>
      <c r="F3164" s="67"/>
      <c r="G3164" s="64"/>
      <c r="H3164" s="68"/>
      <c r="I3164" s="69"/>
      <c r="J3164" s="69"/>
      <c r="K3164" s="32"/>
      <c r="L3164" s="76">
        <v>3164</v>
      </c>
      <c r="M3164" s="76"/>
      <c r="N3164" s="71"/>
      <c r="O3164" s="87" t="s">
        <v>179</v>
      </c>
      <c r="P3164" s="90">
        <v>45189.019259259258</v>
      </c>
      <c r="Q3164" s="87" t="s">
        <v>4861</v>
      </c>
      <c r="R3164" s="87">
        <v>0</v>
      </c>
      <c r="S3164" s="87">
        <v>0</v>
      </c>
      <c r="T3164" s="87">
        <v>0</v>
      </c>
      <c r="U3164" s="87">
        <v>0</v>
      </c>
      <c r="V3164" s="87">
        <v>5</v>
      </c>
      <c r="W3164" s="93" t="s">
        <v>7640</v>
      </c>
      <c r="X3164" s="87"/>
      <c r="Y3164" s="87"/>
      <c r="Z3164" s="87"/>
      <c r="AA3164" s="87"/>
      <c r="AB3164" s="87"/>
      <c r="AC3164" s="93" t="s">
        <v>11459</v>
      </c>
      <c r="AD3164" s="87" t="s">
        <v>11519</v>
      </c>
      <c r="AE3164" s="92" t="str">
        <f>HYPERLINK("https://twitter.com/innov_empreenda/status/1704291215892463910")</f>
        <v>https://twitter.com/innov_empreenda/status/1704291215892463910</v>
      </c>
      <c r="AF3164" s="90">
        <v>45189.019259259258</v>
      </c>
      <c r="AG3164" s="99">
        <v>45189</v>
      </c>
      <c r="AH3164" s="93" t="s">
        <v>12224</v>
      </c>
      <c r="AI3164" s="87"/>
      <c r="AJ3164" s="87"/>
      <c r="AK3164" s="87"/>
      <c r="AL3164" s="87"/>
      <c r="AM3164" s="87"/>
      <c r="AN3164" s="87"/>
      <c r="AO3164" s="87"/>
      <c r="AP3164" s="87"/>
      <c r="AQ3164" s="87"/>
      <c r="AR3164" s="87"/>
      <c r="AS3164" s="87"/>
      <c r="AT3164" s="87"/>
      <c r="AU3164" s="87"/>
      <c r="AV3164" s="92" t="str">
        <f>HYPERLINK("https://pbs.twimg.com/profile_images/1589020060617670657/Gi75Fln4_normal.jpg")</f>
        <v>https://pbs.twimg.com/profile_images/1589020060617670657/Gi75Fln4_normal.jpg</v>
      </c>
      <c r="AW3164" s="93" t="s">
        <v>21310</v>
      </c>
      <c r="AX3164" s="93" t="s">
        <v>21310</v>
      </c>
      <c r="AY3164" s="87"/>
      <c r="AZ3164" s="93" t="s">
        <v>22668</v>
      </c>
      <c r="BA3164" s="93" t="s">
        <v>22668</v>
      </c>
      <c r="BB3164" s="93" t="s">
        <v>22668</v>
      </c>
      <c r="BC3164" s="93" t="s">
        <v>21310</v>
      </c>
      <c r="BD3164" s="93" t="s">
        <v>23353</v>
      </c>
      <c r="BE3164" s="87"/>
      <c r="BF3164" s="87"/>
      <c r="BG3164" s="87"/>
      <c r="BH3164" s="87"/>
      <c r="BI3164" s="87"/>
    </row>
    <row r="3165" spans="1:61" x14ac:dyDescent="0.25">
      <c r="A3165" s="63" t="s">
        <v>1191</v>
      </c>
      <c r="B3165" s="63" t="s">
        <v>1191</v>
      </c>
      <c r="C3165" s="64"/>
      <c r="D3165" s="65"/>
      <c r="E3165" s="66"/>
      <c r="F3165" s="67"/>
      <c r="G3165" s="64"/>
      <c r="H3165" s="68"/>
      <c r="I3165" s="69"/>
      <c r="J3165" s="69"/>
      <c r="K3165" s="32"/>
      <c r="L3165" s="76">
        <v>3165</v>
      </c>
      <c r="M3165" s="76"/>
      <c r="N3165" s="71"/>
      <c r="O3165" s="87" t="s">
        <v>179</v>
      </c>
      <c r="P3165" s="90">
        <v>45195.926319444443</v>
      </c>
      <c r="Q3165" s="87" t="s">
        <v>4862</v>
      </c>
      <c r="R3165" s="87">
        <v>0</v>
      </c>
      <c r="S3165" s="87">
        <v>0</v>
      </c>
      <c r="T3165" s="87">
        <v>0</v>
      </c>
      <c r="U3165" s="87">
        <v>0</v>
      </c>
      <c r="V3165" s="87">
        <v>1</v>
      </c>
      <c r="W3165" s="93" t="s">
        <v>7640</v>
      </c>
      <c r="X3165" s="87"/>
      <c r="Y3165" s="87"/>
      <c r="Z3165" s="87"/>
      <c r="AA3165" s="87"/>
      <c r="AB3165" s="87"/>
      <c r="AC3165" s="93" t="s">
        <v>11459</v>
      </c>
      <c r="AD3165" s="87" t="s">
        <v>11519</v>
      </c>
      <c r="AE3165" s="92" t="str">
        <f>HYPERLINK("https://twitter.com/innov_empreenda/status/1706794248232661162")</f>
        <v>https://twitter.com/innov_empreenda/status/1706794248232661162</v>
      </c>
      <c r="AF3165" s="90">
        <v>45195.926319444443</v>
      </c>
      <c r="AG3165" s="99">
        <v>45195</v>
      </c>
      <c r="AH3165" s="93" t="s">
        <v>14339</v>
      </c>
      <c r="AI3165" s="87"/>
      <c r="AJ3165" s="87"/>
      <c r="AK3165" s="87"/>
      <c r="AL3165" s="87"/>
      <c r="AM3165" s="87"/>
      <c r="AN3165" s="87"/>
      <c r="AO3165" s="87"/>
      <c r="AP3165" s="87"/>
      <c r="AQ3165" s="87"/>
      <c r="AR3165" s="87"/>
      <c r="AS3165" s="87"/>
      <c r="AT3165" s="87"/>
      <c r="AU3165" s="87"/>
      <c r="AV3165" s="92" t="str">
        <f>HYPERLINK("https://pbs.twimg.com/profile_images/1589020060617670657/Gi75Fln4_normal.jpg")</f>
        <v>https://pbs.twimg.com/profile_images/1589020060617670657/Gi75Fln4_normal.jpg</v>
      </c>
      <c r="AW3165" s="93" t="s">
        <v>21311</v>
      </c>
      <c r="AX3165" s="93" t="s">
        <v>21311</v>
      </c>
      <c r="AY3165" s="87"/>
      <c r="AZ3165" s="93" t="s">
        <v>22668</v>
      </c>
      <c r="BA3165" s="93" t="s">
        <v>22668</v>
      </c>
      <c r="BB3165" s="93" t="s">
        <v>22668</v>
      </c>
      <c r="BC3165" s="93" t="s">
        <v>21311</v>
      </c>
      <c r="BD3165" s="93" t="s">
        <v>23353</v>
      </c>
      <c r="BE3165" s="87"/>
      <c r="BF3165" s="87"/>
      <c r="BG3165" s="87"/>
      <c r="BH3165" s="87"/>
      <c r="BI3165" s="87"/>
    </row>
    <row r="3166" spans="1:61" x14ac:dyDescent="0.25">
      <c r="A3166" s="63" t="s">
        <v>1192</v>
      </c>
      <c r="B3166" s="63" t="s">
        <v>1192</v>
      </c>
      <c r="C3166" s="64"/>
      <c r="D3166" s="65"/>
      <c r="E3166" s="66"/>
      <c r="F3166" s="67"/>
      <c r="G3166" s="64"/>
      <c r="H3166" s="68"/>
      <c r="I3166" s="69"/>
      <c r="J3166" s="69"/>
      <c r="K3166" s="32"/>
      <c r="L3166" s="76">
        <v>3166</v>
      </c>
      <c r="M3166" s="76"/>
      <c r="N3166" s="71"/>
      <c r="O3166" s="87" t="s">
        <v>179</v>
      </c>
      <c r="P3166" s="90">
        <v>45118.13553240741</v>
      </c>
      <c r="Q3166" s="87" t="s">
        <v>4863</v>
      </c>
      <c r="R3166" s="87">
        <v>0</v>
      </c>
      <c r="S3166" s="87">
        <v>0</v>
      </c>
      <c r="T3166" s="87">
        <v>0</v>
      </c>
      <c r="U3166" s="87">
        <v>1</v>
      </c>
      <c r="V3166" s="87">
        <v>1999</v>
      </c>
      <c r="W3166" s="93" t="s">
        <v>7641</v>
      </c>
      <c r="X3166" s="87"/>
      <c r="Y3166" s="87"/>
      <c r="Z3166" s="87"/>
      <c r="AA3166" s="87" t="s">
        <v>10782</v>
      </c>
      <c r="AB3166" s="87" t="s">
        <v>11448</v>
      </c>
      <c r="AC3166" s="93" t="s">
        <v>11459</v>
      </c>
      <c r="AD3166" s="87" t="s">
        <v>11519</v>
      </c>
      <c r="AE3166" s="92" t="str">
        <f>HYPERLINK("https://twitter.com/bangurgentenews/status/1678603812985094144")</f>
        <v>https://twitter.com/bangurgentenews/status/1678603812985094144</v>
      </c>
      <c r="AF3166" s="90">
        <v>45118.13553240741</v>
      </c>
      <c r="AG3166" s="99">
        <v>45118</v>
      </c>
      <c r="AH3166" s="93" t="s">
        <v>14340</v>
      </c>
      <c r="AI3166" s="87" t="b">
        <v>0</v>
      </c>
      <c r="AJ3166" s="87"/>
      <c r="AK3166" s="87"/>
      <c r="AL3166" s="87"/>
      <c r="AM3166" s="87"/>
      <c r="AN3166" s="87"/>
      <c r="AO3166" s="87"/>
      <c r="AP3166" s="87"/>
      <c r="AQ3166" s="87" t="s">
        <v>17594</v>
      </c>
      <c r="AR3166" s="87"/>
      <c r="AS3166" s="87"/>
      <c r="AT3166" s="87"/>
      <c r="AU3166" s="87"/>
      <c r="AV3166" s="92" t="str">
        <f>HYPERLINK("https://pbs.twimg.com/media/F0uZRTHXwAAEI-C.jpg")</f>
        <v>https://pbs.twimg.com/media/F0uZRTHXwAAEI-C.jpg</v>
      </c>
      <c r="AW3166" s="93" t="s">
        <v>21312</v>
      </c>
      <c r="AX3166" s="93" t="s">
        <v>21312</v>
      </c>
      <c r="AY3166" s="87"/>
      <c r="AZ3166" s="93" t="s">
        <v>22668</v>
      </c>
      <c r="BA3166" s="93" t="s">
        <v>22668</v>
      </c>
      <c r="BB3166" s="93" t="s">
        <v>22668</v>
      </c>
      <c r="BC3166" s="93" t="s">
        <v>21312</v>
      </c>
      <c r="BD3166" s="93" t="s">
        <v>23354</v>
      </c>
      <c r="BE3166" s="87"/>
      <c r="BF3166" s="87"/>
      <c r="BG3166" s="87"/>
      <c r="BH3166" s="87"/>
      <c r="BI3166" s="87"/>
    </row>
    <row r="3167" spans="1:61" x14ac:dyDescent="0.25">
      <c r="A3167" s="63" t="s">
        <v>1193</v>
      </c>
      <c r="B3167" s="63" t="s">
        <v>1193</v>
      </c>
      <c r="C3167" s="64"/>
      <c r="D3167" s="65"/>
      <c r="E3167" s="66"/>
      <c r="F3167" s="67"/>
      <c r="G3167" s="64"/>
      <c r="H3167" s="68"/>
      <c r="I3167" s="69"/>
      <c r="J3167" s="69"/>
      <c r="K3167" s="32"/>
      <c r="L3167" s="76">
        <v>3167</v>
      </c>
      <c r="M3167" s="76"/>
      <c r="N3167" s="71"/>
      <c r="O3167" s="87" t="s">
        <v>179</v>
      </c>
      <c r="P3167" s="90">
        <v>45142.807893518519</v>
      </c>
      <c r="Q3167" s="87" t="s">
        <v>4864</v>
      </c>
      <c r="R3167" s="87">
        <v>0</v>
      </c>
      <c r="S3167" s="87">
        <v>0</v>
      </c>
      <c r="T3167" s="87">
        <v>0</v>
      </c>
      <c r="U3167" s="87">
        <v>0</v>
      </c>
      <c r="V3167" s="87">
        <v>63</v>
      </c>
      <c r="W3167" s="93" t="s">
        <v>7642</v>
      </c>
      <c r="X3167" s="92" t="str">
        <f>HYPERLINK("https://bit.ly/empreendedoras_no_recreio")</f>
        <v>https://bit.ly/empreendedoras_no_recreio</v>
      </c>
      <c r="Y3167" s="87" t="s">
        <v>8374</v>
      </c>
      <c r="Z3167" s="87"/>
      <c r="AA3167" s="87" t="s">
        <v>10783</v>
      </c>
      <c r="AB3167" s="87" t="s">
        <v>11448</v>
      </c>
      <c r="AC3167" s="93" t="s">
        <v>11457</v>
      </c>
      <c r="AD3167" s="87" t="s">
        <v>11519</v>
      </c>
      <c r="AE3167" s="92" t="str">
        <f>HYPERLINK("https://twitter.com/nossobairrojpa/status/1687544778827661312")</f>
        <v>https://twitter.com/nossobairrojpa/status/1687544778827661312</v>
      </c>
      <c r="AF3167" s="90">
        <v>45142.807893518519</v>
      </c>
      <c r="AG3167" s="99">
        <v>45142</v>
      </c>
      <c r="AH3167" s="93" t="s">
        <v>14341</v>
      </c>
      <c r="AI3167" s="87" t="b">
        <v>0</v>
      </c>
      <c r="AJ3167" s="87"/>
      <c r="AK3167" s="87"/>
      <c r="AL3167" s="87"/>
      <c r="AM3167" s="87"/>
      <c r="AN3167" s="87"/>
      <c r="AO3167" s="87"/>
      <c r="AP3167" s="87"/>
      <c r="AQ3167" s="87" t="s">
        <v>17595</v>
      </c>
      <c r="AR3167" s="87"/>
      <c r="AS3167" s="87"/>
      <c r="AT3167" s="87"/>
      <c r="AU3167" s="87"/>
      <c r="AV3167" s="92" t="str">
        <f>HYPERLINK("https://pbs.twimg.com/media/F2tdBznWQAAy_nK.jpg")</f>
        <v>https://pbs.twimg.com/media/F2tdBznWQAAy_nK.jpg</v>
      </c>
      <c r="AW3167" s="93" t="s">
        <v>21313</v>
      </c>
      <c r="AX3167" s="93" t="s">
        <v>21313</v>
      </c>
      <c r="AY3167" s="87"/>
      <c r="AZ3167" s="93" t="s">
        <v>22668</v>
      </c>
      <c r="BA3167" s="93" t="s">
        <v>22668</v>
      </c>
      <c r="BB3167" s="93" t="s">
        <v>22668</v>
      </c>
      <c r="BC3167" s="93" t="s">
        <v>21313</v>
      </c>
      <c r="BD3167" s="87">
        <v>125999535</v>
      </c>
      <c r="BE3167" s="87"/>
      <c r="BF3167" s="87"/>
      <c r="BG3167" s="87"/>
      <c r="BH3167" s="87"/>
      <c r="BI3167" s="87"/>
    </row>
    <row r="3168" spans="1:61" x14ac:dyDescent="0.25">
      <c r="A3168" s="63" t="s">
        <v>1194</v>
      </c>
      <c r="B3168" s="63" t="s">
        <v>1194</v>
      </c>
      <c r="C3168" s="64"/>
      <c r="D3168" s="65"/>
      <c r="E3168" s="66"/>
      <c r="F3168" s="67"/>
      <c r="G3168" s="64"/>
      <c r="H3168" s="68"/>
      <c r="I3168" s="69"/>
      <c r="J3168" s="69"/>
      <c r="K3168" s="32"/>
      <c r="L3168" s="76">
        <v>3168</v>
      </c>
      <c r="M3168" s="76"/>
      <c r="N3168" s="71"/>
      <c r="O3168" s="87" t="s">
        <v>179</v>
      </c>
      <c r="P3168" s="90">
        <v>45175.008946759262</v>
      </c>
      <c r="Q3168" s="87" t="s">
        <v>4865</v>
      </c>
      <c r="R3168" s="87">
        <v>0</v>
      </c>
      <c r="S3168" s="87">
        <v>0</v>
      </c>
      <c r="T3168" s="87">
        <v>0</v>
      </c>
      <c r="U3168" s="87">
        <v>0</v>
      </c>
      <c r="V3168" s="87">
        <v>12</v>
      </c>
      <c r="W3168" s="93" t="s">
        <v>7643</v>
      </c>
      <c r="X3168" s="92" t="str">
        <f>HYPERLINK("http://red.edenred.com/FUAe4hP1MZks")</f>
        <v>http://red.edenred.com/FUAe4hP1MZks</v>
      </c>
      <c r="Y3168" s="87" t="s">
        <v>8442</v>
      </c>
      <c r="Z3168" s="87"/>
      <c r="AA3168" s="87"/>
      <c r="AB3168" s="87"/>
      <c r="AC3168" s="93" t="s">
        <v>11484</v>
      </c>
      <c r="AD3168" s="87" t="s">
        <v>11520</v>
      </c>
      <c r="AE3168" s="92" t="str">
        <f>HYPERLINK("https://twitter.com/marielebla84671/status/1699214046103306474")</f>
        <v>https://twitter.com/marielebla84671/status/1699214046103306474</v>
      </c>
      <c r="AF3168" s="90">
        <v>45175.008946759262</v>
      </c>
      <c r="AG3168" s="99">
        <v>45175</v>
      </c>
      <c r="AH3168" s="93" t="s">
        <v>14342</v>
      </c>
      <c r="AI3168" s="87" t="b">
        <v>0</v>
      </c>
      <c r="AJ3168" s="87"/>
      <c r="AK3168" s="87"/>
      <c r="AL3168" s="87"/>
      <c r="AM3168" s="87"/>
      <c r="AN3168" s="87"/>
      <c r="AO3168" s="87"/>
      <c r="AP3168" s="87"/>
      <c r="AQ3168" s="87"/>
      <c r="AR3168" s="87"/>
      <c r="AS3168" s="87"/>
      <c r="AT3168" s="87"/>
      <c r="AU3168" s="87"/>
      <c r="AV3168" s="92" t="str">
        <f>HYPERLINK("https://abs.twimg.com/sticky/default_profile_images/default_profile_normal.png")</f>
        <v>https://abs.twimg.com/sticky/default_profile_images/default_profile_normal.png</v>
      </c>
      <c r="AW3168" s="93" t="s">
        <v>21314</v>
      </c>
      <c r="AX3168" s="93" t="s">
        <v>21314</v>
      </c>
      <c r="AY3168" s="87"/>
      <c r="AZ3168" s="93" t="s">
        <v>22668</v>
      </c>
      <c r="BA3168" s="93" t="s">
        <v>22668</v>
      </c>
      <c r="BB3168" s="93" t="s">
        <v>22668</v>
      </c>
      <c r="BC3168" s="93" t="s">
        <v>21314</v>
      </c>
      <c r="BD3168" s="93" t="s">
        <v>23355</v>
      </c>
      <c r="BE3168" s="87"/>
      <c r="BF3168" s="87"/>
      <c r="BG3168" s="87"/>
      <c r="BH3168" s="87"/>
      <c r="BI3168" s="87"/>
    </row>
    <row r="3169" spans="1:61" x14ac:dyDescent="0.25">
      <c r="A3169" s="63" t="s">
        <v>1195</v>
      </c>
      <c r="B3169" s="63" t="s">
        <v>1195</v>
      </c>
      <c r="C3169" s="64"/>
      <c r="D3169" s="65"/>
      <c r="E3169" s="66"/>
      <c r="F3169" s="67"/>
      <c r="G3169" s="64"/>
      <c r="H3169" s="68"/>
      <c r="I3169" s="69"/>
      <c r="J3169" s="69"/>
      <c r="K3169" s="32"/>
      <c r="L3169" s="76">
        <v>3169</v>
      </c>
      <c r="M3169" s="76"/>
      <c r="N3169" s="71"/>
      <c r="O3169" s="87" t="s">
        <v>179</v>
      </c>
      <c r="P3169" s="90">
        <v>45128.682395833333</v>
      </c>
      <c r="Q3169" s="87" t="s">
        <v>4866</v>
      </c>
      <c r="R3169" s="87">
        <v>0</v>
      </c>
      <c r="S3169" s="87">
        <v>1</v>
      </c>
      <c r="T3169" s="87">
        <v>0</v>
      </c>
      <c r="U3169" s="87">
        <v>0</v>
      </c>
      <c r="V3169" s="87">
        <v>13</v>
      </c>
      <c r="W3169" s="93" t="s">
        <v>7644</v>
      </c>
      <c r="X3169" s="92" t="str">
        <f>HYPERLINK("https://bit.ly/WebináriosAgosto")</f>
        <v>https://bit.ly/WebináriosAgosto</v>
      </c>
      <c r="Y3169" s="87" t="s">
        <v>8374</v>
      </c>
      <c r="Z3169" s="87"/>
      <c r="AA3169" s="87" t="s">
        <v>10784</v>
      </c>
      <c r="AB3169" s="87" t="s">
        <v>11448</v>
      </c>
      <c r="AC3169" s="93" t="s">
        <v>11457</v>
      </c>
      <c r="AD3169" s="87" t="s">
        <v>11519</v>
      </c>
      <c r="AE3169" s="92" t="str">
        <f>HYPERLINK("https://twitter.com/abravidro/status/1682425866226204672")</f>
        <v>https://twitter.com/abravidro/status/1682425866226204672</v>
      </c>
      <c r="AF3169" s="90">
        <v>45128.682395833333</v>
      </c>
      <c r="AG3169" s="99">
        <v>45128</v>
      </c>
      <c r="AH3169" s="93" t="s">
        <v>14343</v>
      </c>
      <c r="AI3169" s="87" t="b">
        <v>0</v>
      </c>
      <c r="AJ3169" s="87"/>
      <c r="AK3169" s="87"/>
      <c r="AL3169" s="87"/>
      <c r="AM3169" s="87"/>
      <c r="AN3169" s="87"/>
      <c r="AO3169" s="87"/>
      <c r="AP3169" s="87"/>
      <c r="AQ3169" s="87" t="s">
        <v>17596</v>
      </c>
      <c r="AR3169" s="87"/>
      <c r="AS3169" s="87"/>
      <c r="AT3169" s="87"/>
      <c r="AU3169" s="87"/>
      <c r="AV3169" s="92" t="str">
        <f>HYPERLINK("https://pbs.twimg.com/media/F1ktYbiWIAsqHB3.jpg")</f>
        <v>https://pbs.twimg.com/media/F1ktYbiWIAsqHB3.jpg</v>
      </c>
      <c r="AW3169" s="93" t="s">
        <v>21315</v>
      </c>
      <c r="AX3169" s="93" t="s">
        <v>21315</v>
      </c>
      <c r="AY3169" s="87"/>
      <c r="AZ3169" s="93" t="s">
        <v>22668</v>
      </c>
      <c r="BA3169" s="93" t="s">
        <v>22668</v>
      </c>
      <c r="BB3169" s="93" t="s">
        <v>22668</v>
      </c>
      <c r="BC3169" s="93" t="s">
        <v>21315</v>
      </c>
      <c r="BD3169" s="87">
        <v>109630209</v>
      </c>
      <c r="BE3169" s="87"/>
      <c r="BF3169" s="87"/>
      <c r="BG3169" s="87"/>
      <c r="BH3169" s="87"/>
      <c r="BI3169" s="87"/>
    </row>
    <row r="3170" spans="1:61" x14ac:dyDescent="0.25">
      <c r="A3170" s="63" t="s">
        <v>1196</v>
      </c>
      <c r="B3170" s="63" t="s">
        <v>1196</v>
      </c>
      <c r="C3170" s="64"/>
      <c r="D3170" s="65"/>
      <c r="E3170" s="66"/>
      <c r="F3170" s="67"/>
      <c r="G3170" s="64"/>
      <c r="H3170" s="68"/>
      <c r="I3170" s="69"/>
      <c r="J3170" s="69"/>
      <c r="K3170" s="32"/>
      <c r="L3170" s="76">
        <v>3170</v>
      </c>
      <c r="M3170" s="76"/>
      <c r="N3170" s="71"/>
      <c r="O3170" s="87" t="s">
        <v>179</v>
      </c>
      <c r="P3170" s="90">
        <v>45131.60261574074</v>
      </c>
      <c r="Q3170" s="87" t="s">
        <v>4867</v>
      </c>
      <c r="R3170" s="87">
        <v>0</v>
      </c>
      <c r="S3170" s="87">
        <v>0</v>
      </c>
      <c r="T3170" s="87">
        <v>0</v>
      </c>
      <c r="U3170" s="87">
        <v>0</v>
      </c>
      <c r="V3170" s="87">
        <v>148</v>
      </c>
      <c r="W3170" s="93" t="s">
        <v>7645</v>
      </c>
      <c r="X3170" s="87"/>
      <c r="Y3170" s="87"/>
      <c r="Z3170" s="87"/>
      <c r="AA3170" s="87"/>
      <c r="AB3170" s="87"/>
      <c r="AC3170" s="93" t="s">
        <v>11457</v>
      </c>
      <c r="AD3170" s="87" t="s">
        <v>11519</v>
      </c>
      <c r="AE3170" s="92" t="str">
        <f>HYPERLINK("https://twitter.com/ocaminhooposto/status/1683484121685794816")</f>
        <v>https://twitter.com/ocaminhooposto/status/1683484121685794816</v>
      </c>
      <c r="AF3170" s="90">
        <v>45131.60261574074</v>
      </c>
      <c r="AG3170" s="99">
        <v>45131</v>
      </c>
      <c r="AH3170" s="93" t="s">
        <v>14344</v>
      </c>
      <c r="AI3170" s="87"/>
      <c r="AJ3170" s="87"/>
      <c r="AK3170" s="87"/>
      <c r="AL3170" s="87"/>
      <c r="AM3170" s="87"/>
      <c r="AN3170" s="87"/>
      <c r="AO3170" s="87"/>
      <c r="AP3170" s="87"/>
      <c r="AQ3170" s="87"/>
      <c r="AR3170" s="87"/>
      <c r="AS3170" s="87"/>
      <c r="AT3170" s="87"/>
      <c r="AU3170" s="87"/>
      <c r="AV3170" s="92" t="str">
        <f>HYPERLINK("https://pbs.twimg.com/profile_images/1683180050928091136/jeh8VQ26_normal.jpg")</f>
        <v>https://pbs.twimg.com/profile_images/1683180050928091136/jeh8VQ26_normal.jpg</v>
      </c>
      <c r="AW3170" s="93" t="s">
        <v>21316</v>
      </c>
      <c r="AX3170" s="93" t="s">
        <v>21316</v>
      </c>
      <c r="AY3170" s="87"/>
      <c r="AZ3170" s="93" t="s">
        <v>22668</v>
      </c>
      <c r="BA3170" s="93" t="s">
        <v>22668</v>
      </c>
      <c r="BB3170" s="93" t="s">
        <v>22668</v>
      </c>
      <c r="BC3170" s="93" t="s">
        <v>21316</v>
      </c>
      <c r="BD3170" s="93" t="s">
        <v>23356</v>
      </c>
      <c r="BE3170" s="87"/>
      <c r="BF3170" s="87"/>
      <c r="BG3170" s="87"/>
      <c r="BH3170" s="87"/>
      <c r="BI3170" s="87"/>
    </row>
    <row r="3171" spans="1:61" x14ac:dyDescent="0.25">
      <c r="A3171" s="63" t="s">
        <v>1197</v>
      </c>
      <c r="B3171" s="63" t="s">
        <v>1197</v>
      </c>
      <c r="C3171" s="64"/>
      <c r="D3171" s="65"/>
      <c r="E3171" s="66"/>
      <c r="F3171" s="67"/>
      <c r="G3171" s="64"/>
      <c r="H3171" s="68"/>
      <c r="I3171" s="69"/>
      <c r="J3171" s="69"/>
      <c r="K3171" s="32"/>
      <c r="L3171" s="76">
        <v>3171</v>
      </c>
      <c r="M3171" s="76"/>
      <c r="N3171" s="71"/>
      <c r="O3171" s="87" t="s">
        <v>179</v>
      </c>
      <c r="P3171" s="90">
        <v>45133.611284722225</v>
      </c>
      <c r="Q3171" s="87" t="s">
        <v>4868</v>
      </c>
      <c r="R3171" s="87">
        <v>0</v>
      </c>
      <c r="S3171" s="87">
        <v>0</v>
      </c>
      <c r="T3171" s="87">
        <v>0</v>
      </c>
      <c r="U3171" s="87">
        <v>0</v>
      </c>
      <c r="V3171" s="87">
        <v>12</v>
      </c>
      <c r="W3171" s="93" t="s">
        <v>7646</v>
      </c>
      <c r="X3171" s="87"/>
      <c r="Y3171" s="87"/>
      <c r="Z3171" s="87"/>
      <c r="AA3171" s="87"/>
      <c r="AB3171" s="87"/>
      <c r="AC3171" s="93" t="s">
        <v>11457</v>
      </c>
      <c r="AD3171" s="87" t="s">
        <v>11519</v>
      </c>
      <c r="AE3171" s="92" t="str">
        <f>HYPERLINK("https://twitter.com/psicauan/status/1684212039223332865")</f>
        <v>https://twitter.com/psicauan/status/1684212039223332865</v>
      </c>
      <c r="AF3171" s="90">
        <v>45133.611284722225</v>
      </c>
      <c r="AG3171" s="99">
        <v>45133</v>
      </c>
      <c r="AH3171" s="93" t="s">
        <v>14345</v>
      </c>
      <c r="AI3171" s="87"/>
      <c r="AJ3171" s="87"/>
      <c r="AK3171" s="87"/>
      <c r="AL3171" s="87"/>
      <c r="AM3171" s="87"/>
      <c r="AN3171" s="87"/>
      <c r="AO3171" s="87"/>
      <c r="AP3171" s="87"/>
      <c r="AQ3171" s="87"/>
      <c r="AR3171" s="87"/>
      <c r="AS3171" s="87"/>
      <c r="AT3171" s="87"/>
      <c r="AU3171" s="87"/>
      <c r="AV3171" s="92" t="str">
        <f>HYPERLINK("https://pbs.twimg.com/profile_images/1625471902868201472/AsfQ-e4k_normal.jpg")</f>
        <v>https://pbs.twimg.com/profile_images/1625471902868201472/AsfQ-e4k_normal.jpg</v>
      </c>
      <c r="AW3171" s="93" t="s">
        <v>21317</v>
      </c>
      <c r="AX3171" s="93" t="s">
        <v>21317</v>
      </c>
      <c r="AY3171" s="87"/>
      <c r="AZ3171" s="93" t="s">
        <v>22668</v>
      </c>
      <c r="BA3171" s="93" t="s">
        <v>22668</v>
      </c>
      <c r="BB3171" s="93" t="s">
        <v>22668</v>
      </c>
      <c r="BC3171" s="93" t="s">
        <v>21317</v>
      </c>
      <c r="BD3171" s="87">
        <v>1322899274</v>
      </c>
      <c r="BE3171" s="87"/>
      <c r="BF3171" s="87"/>
      <c r="BG3171" s="87"/>
      <c r="BH3171" s="87"/>
      <c r="BI3171" s="87"/>
    </row>
    <row r="3172" spans="1:61" x14ac:dyDescent="0.25">
      <c r="A3172" s="63" t="s">
        <v>1198</v>
      </c>
      <c r="B3172" s="63" t="s">
        <v>1198</v>
      </c>
      <c r="C3172" s="64"/>
      <c r="D3172" s="65"/>
      <c r="E3172" s="66"/>
      <c r="F3172" s="67"/>
      <c r="G3172" s="64"/>
      <c r="H3172" s="68"/>
      <c r="I3172" s="69"/>
      <c r="J3172" s="69"/>
      <c r="K3172" s="32"/>
      <c r="L3172" s="76">
        <v>3172</v>
      </c>
      <c r="M3172" s="76"/>
      <c r="N3172" s="71"/>
      <c r="O3172" s="87" t="s">
        <v>179</v>
      </c>
      <c r="P3172" s="90">
        <v>45114.66034722222</v>
      </c>
      <c r="Q3172" s="87" t="s">
        <v>4869</v>
      </c>
      <c r="R3172" s="87">
        <v>0</v>
      </c>
      <c r="S3172" s="87">
        <v>1</v>
      </c>
      <c r="T3172" s="87">
        <v>0</v>
      </c>
      <c r="U3172" s="87">
        <v>0</v>
      </c>
      <c r="V3172" s="87">
        <v>14</v>
      </c>
      <c r="W3172" s="93" t="s">
        <v>7647</v>
      </c>
      <c r="X3172" s="92" t="str">
        <f>HYPERLINK("https://youtu.be/Fv52XeC5JUo")</f>
        <v>https://youtu.be/Fv52XeC5JUo</v>
      </c>
      <c r="Y3172" s="87" t="s">
        <v>8372</v>
      </c>
      <c r="Z3172" s="87"/>
      <c r="AA3172" s="87"/>
      <c r="AB3172" s="87"/>
      <c r="AC3172" s="93" t="s">
        <v>11458</v>
      </c>
      <c r="AD3172" s="87" t="s">
        <v>11519</v>
      </c>
      <c r="AE3172" s="92" t="str">
        <f>HYPERLINK("https://twitter.com/novo30santos/status/1677344446617190401")</f>
        <v>https://twitter.com/novo30santos/status/1677344446617190401</v>
      </c>
      <c r="AF3172" s="90">
        <v>45114.66034722222</v>
      </c>
      <c r="AG3172" s="99">
        <v>45114</v>
      </c>
      <c r="AH3172" s="93" t="s">
        <v>14346</v>
      </c>
      <c r="AI3172" s="87" t="b">
        <v>0</v>
      </c>
      <c r="AJ3172" s="87" t="s">
        <v>15217</v>
      </c>
      <c r="AK3172" s="87" t="s">
        <v>15234</v>
      </c>
      <c r="AL3172" s="87" t="s">
        <v>15237</v>
      </c>
      <c r="AM3172" s="87" t="s">
        <v>15288</v>
      </c>
      <c r="AN3172" s="87" t="s">
        <v>15355</v>
      </c>
      <c r="AO3172" s="87" t="s">
        <v>15420</v>
      </c>
      <c r="AP3172" s="87" t="s">
        <v>15438</v>
      </c>
      <c r="AQ3172" s="87"/>
      <c r="AR3172" s="87"/>
      <c r="AS3172" s="87"/>
      <c r="AT3172" s="87"/>
      <c r="AU3172" s="87"/>
      <c r="AV3172" s="92" t="str">
        <f>HYPERLINK("https://pbs.twimg.com/profile_images/1299001588493807622/x9wxtqnJ_normal.jpg")</f>
        <v>https://pbs.twimg.com/profile_images/1299001588493807622/x9wxtqnJ_normal.jpg</v>
      </c>
      <c r="AW3172" s="93" t="s">
        <v>21318</v>
      </c>
      <c r="AX3172" s="93" t="s">
        <v>21318</v>
      </c>
      <c r="AY3172" s="87"/>
      <c r="AZ3172" s="93" t="s">
        <v>22668</v>
      </c>
      <c r="BA3172" s="93" t="s">
        <v>22668</v>
      </c>
      <c r="BB3172" s="93" t="s">
        <v>22668</v>
      </c>
      <c r="BC3172" s="93" t="s">
        <v>21318</v>
      </c>
      <c r="BD3172" s="93" t="s">
        <v>23357</v>
      </c>
      <c r="BE3172" s="87"/>
      <c r="BF3172" s="87"/>
      <c r="BG3172" s="87"/>
      <c r="BH3172" s="87"/>
      <c r="BI3172" s="87"/>
    </row>
    <row r="3173" spans="1:61" x14ac:dyDescent="0.25">
      <c r="A3173" s="63" t="s">
        <v>1199</v>
      </c>
      <c r="B3173" s="63" t="s">
        <v>1199</v>
      </c>
      <c r="C3173" s="64"/>
      <c r="D3173" s="65"/>
      <c r="E3173" s="66"/>
      <c r="F3173" s="67"/>
      <c r="G3173" s="64"/>
      <c r="H3173" s="68"/>
      <c r="I3173" s="69"/>
      <c r="J3173" s="69"/>
      <c r="K3173" s="32"/>
      <c r="L3173" s="76">
        <v>3173</v>
      </c>
      <c r="M3173" s="76"/>
      <c r="N3173" s="71"/>
      <c r="O3173" s="87" t="s">
        <v>179</v>
      </c>
      <c r="P3173" s="90">
        <v>45117.506851851853</v>
      </c>
      <c r="Q3173" s="87" t="s">
        <v>4870</v>
      </c>
      <c r="R3173" s="87">
        <v>0</v>
      </c>
      <c r="S3173" s="87">
        <v>1</v>
      </c>
      <c r="T3173" s="87">
        <v>0</v>
      </c>
      <c r="U3173" s="87">
        <v>0</v>
      </c>
      <c r="V3173" s="87">
        <v>172</v>
      </c>
      <c r="W3173" s="93" t="s">
        <v>7648</v>
      </c>
      <c r="X3173" s="87"/>
      <c r="Y3173" s="87"/>
      <c r="Z3173" s="87"/>
      <c r="AA3173" s="87" t="s">
        <v>10785</v>
      </c>
      <c r="AB3173" s="87" t="s">
        <v>11448</v>
      </c>
      <c r="AC3173" s="93" t="s">
        <v>11458</v>
      </c>
      <c r="AD3173" s="87" t="s">
        <v>11519</v>
      </c>
      <c r="AE3173" s="92" t="str">
        <f>HYPERLINK("https://twitter.com/emilianobsantos/status/1678375986507796482")</f>
        <v>https://twitter.com/emilianobsantos/status/1678375986507796482</v>
      </c>
      <c r="AF3173" s="90">
        <v>45117.506851851853</v>
      </c>
      <c r="AG3173" s="99">
        <v>45117</v>
      </c>
      <c r="AH3173" s="93" t="s">
        <v>14347</v>
      </c>
      <c r="AI3173" s="87" t="b">
        <v>0</v>
      </c>
      <c r="AJ3173" s="87"/>
      <c r="AK3173" s="87"/>
      <c r="AL3173" s="87"/>
      <c r="AM3173" s="87"/>
      <c r="AN3173" s="87"/>
      <c r="AO3173" s="87"/>
      <c r="AP3173" s="87"/>
      <c r="AQ3173" s="87" t="s">
        <v>17597</v>
      </c>
      <c r="AR3173" s="87"/>
      <c r="AS3173" s="87"/>
      <c r="AT3173" s="87"/>
      <c r="AU3173" s="87"/>
      <c r="AV3173" s="92" t="str">
        <f>HYPERLINK("https://pbs.twimg.com/media/F0rKD6AWYAYB2mF.jpg")</f>
        <v>https://pbs.twimg.com/media/F0rKD6AWYAYB2mF.jpg</v>
      </c>
      <c r="AW3173" s="93" t="s">
        <v>21319</v>
      </c>
      <c r="AX3173" s="93" t="s">
        <v>21319</v>
      </c>
      <c r="AY3173" s="87"/>
      <c r="AZ3173" s="93" t="s">
        <v>22668</v>
      </c>
      <c r="BA3173" s="93" t="s">
        <v>22668</v>
      </c>
      <c r="BB3173" s="93" t="s">
        <v>22668</v>
      </c>
      <c r="BC3173" s="93" t="s">
        <v>21319</v>
      </c>
      <c r="BD3173" s="87">
        <v>2449588698</v>
      </c>
      <c r="BE3173" s="87"/>
      <c r="BF3173" s="87"/>
      <c r="BG3173" s="87"/>
      <c r="BH3173" s="87"/>
      <c r="BI3173" s="87"/>
    </row>
    <row r="3174" spans="1:61" x14ac:dyDescent="0.25">
      <c r="A3174" s="63" t="s">
        <v>1200</v>
      </c>
      <c r="B3174" s="63" t="s">
        <v>1200</v>
      </c>
      <c r="C3174" s="64"/>
      <c r="D3174" s="65"/>
      <c r="E3174" s="66"/>
      <c r="F3174" s="67"/>
      <c r="G3174" s="64"/>
      <c r="H3174" s="68"/>
      <c r="I3174" s="69"/>
      <c r="J3174" s="69"/>
      <c r="K3174" s="32"/>
      <c r="L3174" s="76">
        <v>3174</v>
      </c>
      <c r="M3174" s="76"/>
      <c r="N3174" s="71"/>
      <c r="O3174" s="87" t="s">
        <v>179</v>
      </c>
      <c r="P3174" s="90">
        <v>45127.879143518519</v>
      </c>
      <c r="Q3174" s="87" t="s">
        <v>4871</v>
      </c>
      <c r="R3174" s="87">
        <v>0</v>
      </c>
      <c r="S3174" s="87">
        <v>0</v>
      </c>
      <c r="T3174" s="87">
        <v>0</v>
      </c>
      <c r="U3174" s="87">
        <v>0</v>
      </c>
      <c r="V3174" s="87">
        <v>17</v>
      </c>
      <c r="W3174" s="93" t="s">
        <v>7649</v>
      </c>
      <c r="X3174" s="87"/>
      <c r="Y3174" s="87"/>
      <c r="Z3174" s="87"/>
      <c r="AA3174" s="87" t="s">
        <v>10786</v>
      </c>
      <c r="AB3174" s="87" t="s">
        <v>11447</v>
      </c>
      <c r="AC3174" s="93" t="s">
        <v>11457</v>
      </c>
      <c r="AD3174" s="87" t="s">
        <v>11519</v>
      </c>
      <c r="AE3174" s="92" t="str">
        <f>HYPERLINK("https://twitter.com/odvixo/status/1682134780588990464")</f>
        <v>https://twitter.com/odvixo/status/1682134780588990464</v>
      </c>
      <c r="AF3174" s="90">
        <v>45127.879143518519</v>
      </c>
      <c r="AG3174" s="99">
        <v>45127</v>
      </c>
      <c r="AH3174" s="93" t="s">
        <v>14348</v>
      </c>
      <c r="AI3174" s="87" t="b">
        <v>0</v>
      </c>
      <c r="AJ3174" s="87"/>
      <c r="AK3174" s="87"/>
      <c r="AL3174" s="87"/>
      <c r="AM3174" s="87"/>
      <c r="AN3174" s="87"/>
      <c r="AO3174" s="87"/>
      <c r="AP3174" s="87"/>
      <c r="AQ3174" s="87" t="s">
        <v>17598</v>
      </c>
      <c r="AR3174" s="87">
        <v>25433</v>
      </c>
      <c r="AS3174" s="87"/>
      <c r="AT3174" s="87"/>
      <c r="AU3174" s="87"/>
      <c r="AV3174" s="92" t="str">
        <f>HYPERLINK("https://pbs.twimg.com/ext_tw_video_thumb/1682133959830798336/pu/img/qXmkmOvXEzkeJvS7.jpg")</f>
        <v>https://pbs.twimg.com/ext_tw_video_thumb/1682133959830798336/pu/img/qXmkmOvXEzkeJvS7.jpg</v>
      </c>
      <c r="AW3174" s="93" t="s">
        <v>21320</v>
      </c>
      <c r="AX3174" s="93" t="s">
        <v>21320</v>
      </c>
      <c r="AY3174" s="87"/>
      <c r="AZ3174" s="93" t="s">
        <v>22668</v>
      </c>
      <c r="BA3174" s="93" t="s">
        <v>22668</v>
      </c>
      <c r="BB3174" s="93" t="s">
        <v>22668</v>
      </c>
      <c r="BC3174" s="93" t="s">
        <v>21320</v>
      </c>
      <c r="BD3174" s="93" t="s">
        <v>23358</v>
      </c>
      <c r="BE3174" s="87"/>
      <c r="BF3174" s="87"/>
      <c r="BG3174" s="87"/>
      <c r="BH3174" s="87"/>
      <c r="BI3174" s="87"/>
    </row>
    <row r="3175" spans="1:61" x14ac:dyDescent="0.25">
      <c r="A3175" s="63" t="s">
        <v>1201</v>
      </c>
      <c r="B3175" s="63" t="s">
        <v>1201</v>
      </c>
      <c r="C3175" s="64"/>
      <c r="D3175" s="65"/>
      <c r="E3175" s="66"/>
      <c r="F3175" s="67"/>
      <c r="G3175" s="64"/>
      <c r="H3175" s="68"/>
      <c r="I3175" s="69"/>
      <c r="J3175" s="69"/>
      <c r="K3175" s="32"/>
      <c r="L3175" s="76">
        <v>3175</v>
      </c>
      <c r="M3175" s="76"/>
      <c r="N3175" s="71"/>
      <c r="O3175" s="87" t="s">
        <v>179</v>
      </c>
      <c r="P3175" s="90">
        <v>45121.508738425924</v>
      </c>
      <c r="Q3175" s="87" t="s">
        <v>4872</v>
      </c>
      <c r="R3175" s="87">
        <v>1</v>
      </c>
      <c r="S3175" s="87">
        <v>1</v>
      </c>
      <c r="T3175" s="87">
        <v>0</v>
      </c>
      <c r="U3175" s="87">
        <v>0</v>
      </c>
      <c r="V3175" s="87">
        <v>9</v>
      </c>
      <c r="W3175" s="93" t="s">
        <v>7650</v>
      </c>
      <c r="X3175" s="92" t="str">
        <f>HYPERLINK("https://lobscontabil.com/empreendedorismo-saiba-como-precificar-o-seu-produto/")</f>
        <v>https://lobscontabil.com/empreendedorismo-saiba-como-precificar-o-seu-produto/</v>
      </c>
      <c r="Y3175" s="87" t="s">
        <v>8510</v>
      </c>
      <c r="Z3175" s="87"/>
      <c r="AA3175" s="87" t="s">
        <v>10787</v>
      </c>
      <c r="AB3175" s="87" t="s">
        <v>11448</v>
      </c>
      <c r="AC3175" s="93" t="s">
        <v>11472</v>
      </c>
      <c r="AD3175" s="87" t="s">
        <v>11519</v>
      </c>
      <c r="AE3175" s="92" t="str">
        <f>HYPERLINK("https://twitter.com/lobscontabilid1/status/1679826220572106758")</f>
        <v>https://twitter.com/lobscontabilid1/status/1679826220572106758</v>
      </c>
      <c r="AF3175" s="90">
        <v>45121.508738425924</v>
      </c>
      <c r="AG3175" s="99">
        <v>45121</v>
      </c>
      <c r="AH3175" s="93" t="s">
        <v>14349</v>
      </c>
      <c r="AI3175" s="87" t="b">
        <v>0</v>
      </c>
      <c r="AJ3175" s="87"/>
      <c r="AK3175" s="87"/>
      <c r="AL3175" s="87"/>
      <c r="AM3175" s="87"/>
      <c r="AN3175" s="87"/>
      <c r="AO3175" s="87"/>
      <c r="AP3175" s="87"/>
      <c r="AQ3175" s="87" t="s">
        <v>17599</v>
      </c>
      <c r="AR3175" s="87"/>
      <c r="AS3175" s="87"/>
      <c r="AT3175" s="87"/>
      <c r="AU3175" s="87"/>
      <c r="AV3175" s="92" t="str">
        <f>HYPERLINK("https://pbs.twimg.com/media/F0_xC8sWYAcl0Qh.png")</f>
        <v>https://pbs.twimg.com/media/F0_xC8sWYAcl0Qh.png</v>
      </c>
      <c r="AW3175" s="93" t="s">
        <v>21321</v>
      </c>
      <c r="AX3175" s="93" t="s">
        <v>21321</v>
      </c>
      <c r="AY3175" s="87"/>
      <c r="AZ3175" s="93" t="s">
        <v>22668</v>
      </c>
      <c r="BA3175" s="93" t="s">
        <v>22668</v>
      </c>
      <c r="BB3175" s="93" t="s">
        <v>22668</v>
      </c>
      <c r="BC3175" s="93" t="s">
        <v>21321</v>
      </c>
      <c r="BD3175" s="93" t="s">
        <v>23359</v>
      </c>
      <c r="BE3175" s="87"/>
      <c r="BF3175" s="87"/>
      <c r="BG3175" s="87"/>
      <c r="BH3175" s="87"/>
      <c r="BI3175" s="87"/>
    </row>
    <row r="3176" spans="1:61" x14ac:dyDescent="0.25">
      <c r="A3176" s="63" t="s">
        <v>1201</v>
      </c>
      <c r="B3176" s="63" t="s">
        <v>1201</v>
      </c>
      <c r="C3176" s="64"/>
      <c r="D3176" s="65"/>
      <c r="E3176" s="66"/>
      <c r="F3176" s="67"/>
      <c r="G3176" s="64"/>
      <c r="H3176" s="68"/>
      <c r="I3176" s="69"/>
      <c r="J3176" s="69"/>
      <c r="K3176" s="32"/>
      <c r="L3176" s="76">
        <v>3176</v>
      </c>
      <c r="M3176" s="76"/>
      <c r="N3176" s="71"/>
      <c r="O3176" s="87" t="s">
        <v>179</v>
      </c>
      <c r="P3176" s="90">
        <v>45187.474675925929</v>
      </c>
      <c r="Q3176" s="87" t="s">
        <v>4873</v>
      </c>
      <c r="R3176" s="87">
        <v>1</v>
      </c>
      <c r="S3176" s="87">
        <v>1</v>
      </c>
      <c r="T3176" s="87">
        <v>0</v>
      </c>
      <c r="U3176" s="87">
        <v>0</v>
      </c>
      <c r="V3176" s="87">
        <v>20</v>
      </c>
      <c r="W3176" s="93" t="s">
        <v>7651</v>
      </c>
      <c r="X3176" s="92" t="str">
        <f>HYPERLINK("https://lobscontabil.com/pro-labore-saiba-em-quais-casos-nao-e-recomendado/")</f>
        <v>https://lobscontabil.com/pro-labore-saiba-em-quais-casos-nao-e-recomendado/</v>
      </c>
      <c r="Y3176" s="87" t="s">
        <v>8510</v>
      </c>
      <c r="Z3176" s="87"/>
      <c r="AA3176" s="87" t="s">
        <v>10788</v>
      </c>
      <c r="AB3176" s="87" t="s">
        <v>11448</v>
      </c>
      <c r="AC3176" s="93" t="s">
        <v>11457</v>
      </c>
      <c r="AD3176" s="87" t="s">
        <v>11519</v>
      </c>
      <c r="AE3176" s="92" t="str">
        <f>HYPERLINK("https://twitter.com/lobscontabilid1/status/1703731475370189196")</f>
        <v>https://twitter.com/lobscontabilid1/status/1703731475370189196</v>
      </c>
      <c r="AF3176" s="90">
        <v>45187.474675925929</v>
      </c>
      <c r="AG3176" s="99">
        <v>45187</v>
      </c>
      <c r="AH3176" s="93" t="s">
        <v>14350</v>
      </c>
      <c r="AI3176" s="87" t="b">
        <v>0</v>
      </c>
      <c r="AJ3176" s="87"/>
      <c r="AK3176" s="87"/>
      <c r="AL3176" s="87"/>
      <c r="AM3176" s="87"/>
      <c r="AN3176" s="87"/>
      <c r="AO3176" s="87"/>
      <c r="AP3176" s="87"/>
      <c r="AQ3176" s="87" t="s">
        <v>17600</v>
      </c>
      <c r="AR3176" s="87"/>
      <c r="AS3176" s="87"/>
      <c r="AT3176" s="87"/>
      <c r="AU3176" s="87"/>
      <c r="AV3176" s="92" t="str">
        <f>HYPERLINK("https://pbs.twimg.com/media/F6TedqhWcAAt998.jpg")</f>
        <v>https://pbs.twimg.com/media/F6TedqhWcAAt998.jpg</v>
      </c>
      <c r="AW3176" s="93" t="s">
        <v>21322</v>
      </c>
      <c r="AX3176" s="93" t="s">
        <v>21322</v>
      </c>
      <c r="AY3176" s="87"/>
      <c r="AZ3176" s="93" t="s">
        <v>22668</v>
      </c>
      <c r="BA3176" s="93" t="s">
        <v>22668</v>
      </c>
      <c r="BB3176" s="93" t="s">
        <v>22668</v>
      </c>
      <c r="BC3176" s="93" t="s">
        <v>21322</v>
      </c>
      <c r="BD3176" s="93" t="s">
        <v>23359</v>
      </c>
      <c r="BE3176" s="87"/>
      <c r="BF3176" s="87"/>
      <c r="BG3176" s="87"/>
      <c r="BH3176" s="87"/>
      <c r="BI3176" s="87"/>
    </row>
    <row r="3177" spans="1:61" x14ac:dyDescent="0.25">
      <c r="A3177" s="63" t="s">
        <v>1201</v>
      </c>
      <c r="B3177" s="63" t="s">
        <v>1201</v>
      </c>
      <c r="C3177" s="64"/>
      <c r="D3177" s="65"/>
      <c r="E3177" s="66"/>
      <c r="F3177" s="67"/>
      <c r="G3177" s="64"/>
      <c r="H3177" s="68"/>
      <c r="I3177" s="69"/>
      <c r="J3177" s="69"/>
      <c r="K3177" s="32"/>
      <c r="L3177" s="76">
        <v>3177</v>
      </c>
      <c r="M3177" s="76"/>
      <c r="N3177" s="71"/>
      <c r="O3177" s="87" t="s">
        <v>179</v>
      </c>
      <c r="P3177" s="90">
        <v>45184.493819444448</v>
      </c>
      <c r="Q3177" s="87" t="s">
        <v>4874</v>
      </c>
      <c r="R3177" s="87">
        <v>1</v>
      </c>
      <c r="S3177" s="87">
        <v>1</v>
      </c>
      <c r="T3177" s="87">
        <v>0</v>
      </c>
      <c r="U3177" s="87">
        <v>0</v>
      </c>
      <c r="V3177" s="87">
        <v>38</v>
      </c>
      <c r="W3177" s="93" t="s">
        <v>7652</v>
      </c>
      <c r="X3177" s="92" t="str">
        <f>HYPERLINK("https://lobscontabil.com/caixa-reabre-linha-de-microcredito-para-empreendedores/")</f>
        <v>https://lobscontabil.com/caixa-reabre-linha-de-microcredito-para-empreendedores/</v>
      </c>
      <c r="Y3177" s="87" t="s">
        <v>8510</v>
      </c>
      <c r="Z3177" s="87"/>
      <c r="AA3177" s="87" t="s">
        <v>10789</v>
      </c>
      <c r="AB3177" s="87" t="s">
        <v>11448</v>
      </c>
      <c r="AC3177" s="93" t="s">
        <v>11457</v>
      </c>
      <c r="AD3177" s="87" t="s">
        <v>11519</v>
      </c>
      <c r="AE3177" s="92" t="str">
        <f>HYPERLINK("https://twitter.com/lobscontabilid1/status/1702651250704080941")</f>
        <v>https://twitter.com/lobscontabilid1/status/1702651250704080941</v>
      </c>
      <c r="AF3177" s="90">
        <v>45184.493819444448</v>
      </c>
      <c r="AG3177" s="99">
        <v>45184</v>
      </c>
      <c r="AH3177" s="93" t="s">
        <v>14351</v>
      </c>
      <c r="AI3177" s="87" t="b">
        <v>0</v>
      </c>
      <c r="AJ3177" s="87"/>
      <c r="AK3177" s="87"/>
      <c r="AL3177" s="87"/>
      <c r="AM3177" s="87"/>
      <c r="AN3177" s="87"/>
      <c r="AO3177" s="87"/>
      <c r="AP3177" s="87"/>
      <c r="AQ3177" s="87" t="s">
        <v>17601</v>
      </c>
      <c r="AR3177" s="87"/>
      <c r="AS3177" s="87"/>
      <c r="AT3177" s="87"/>
      <c r="AU3177" s="87"/>
      <c r="AV3177" s="92" t="str">
        <f>HYPERLINK("https://pbs.twimg.com/media/F6EIGm0XEAA3P-8.png")</f>
        <v>https://pbs.twimg.com/media/F6EIGm0XEAA3P-8.png</v>
      </c>
      <c r="AW3177" s="93" t="s">
        <v>21323</v>
      </c>
      <c r="AX3177" s="93" t="s">
        <v>21323</v>
      </c>
      <c r="AY3177" s="87"/>
      <c r="AZ3177" s="93" t="s">
        <v>22668</v>
      </c>
      <c r="BA3177" s="93" t="s">
        <v>22668</v>
      </c>
      <c r="BB3177" s="93" t="s">
        <v>22668</v>
      </c>
      <c r="BC3177" s="93" t="s">
        <v>21323</v>
      </c>
      <c r="BD3177" s="93" t="s">
        <v>23359</v>
      </c>
      <c r="BE3177" s="87"/>
      <c r="BF3177" s="87"/>
      <c r="BG3177" s="87"/>
      <c r="BH3177" s="87"/>
      <c r="BI3177" s="87"/>
    </row>
    <row r="3178" spans="1:61" x14ac:dyDescent="0.25">
      <c r="A3178" s="63" t="s">
        <v>1202</v>
      </c>
      <c r="B3178" s="63" t="s">
        <v>1202</v>
      </c>
      <c r="C3178" s="64"/>
      <c r="D3178" s="65"/>
      <c r="E3178" s="66"/>
      <c r="F3178" s="67"/>
      <c r="G3178" s="64"/>
      <c r="H3178" s="68"/>
      <c r="I3178" s="69"/>
      <c r="J3178" s="69"/>
      <c r="K3178" s="32"/>
      <c r="L3178" s="76">
        <v>3178</v>
      </c>
      <c r="M3178" s="76"/>
      <c r="N3178" s="71"/>
      <c r="O3178" s="87" t="s">
        <v>179</v>
      </c>
      <c r="P3178" s="90">
        <v>45139.333344907405</v>
      </c>
      <c r="Q3178" s="87" t="s">
        <v>4875</v>
      </c>
      <c r="R3178" s="87">
        <v>0</v>
      </c>
      <c r="S3178" s="87">
        <v>0</v>
      </c>
      <c r="T3178" s="87">
        <v>0</v>
      </c>
      <c r="U3178" s="87">
        <v>0</v>
      </c>
      <c r="V3178" s="87">
        <v>85</v>
      </c>
      <c r="W3178" s="93" t="s">
        <v>7653</v>
      </c>
      <c r="X3178" s="92" t="str">
        <f>HYPERLINK("https://tinyurl.com/yc7e4dkz")</f>
        <v>https://tinyurl.com/yc7e4dkz</v>
      </c>
      <c r="Y3178" s="87" t="s">
        <v>8388</v>
      </c>
      <c r="Z3178" s="87"/>
      <c r="AA3178" s="87" t="s">
        <v>10790</v>
      </c>
      <c r="AB3178" s="87" t="s">
        <v>11449</v>
      </c>
      <c r="AC3178" s="93" t="s">
        <v>11457</v>
      </c>
      <c r="AD3178" s="87" t="s">
        <v>11519</v>
      </c>
      <c r="AE3178" s="92" t="str">
        <f>HYPERLINK("https://twitter.com/iapmei/status/1686285643109081088")</f>
        <v>https://twitter.com/iapmei/status/1686285643109081088</v>
      </c>
      <c r="AF3178" s="90">
        <v>45139.333344907405</v>
      </c>
      <c r="AG3178" s="99">
        <v>45139</v>
      </c>
      <c r="AH3178" s="93" t="s">
        <v>14352</v>
      </c>
      <c r="AI3178" s="87" t="b">
        <v>0</v>
      </c>
      <c r="AJ3178" s="87"/>
      <c r="AK3178" s="87"/>
      <c r="AL3178" s="87"/>
      <c r="AM3178" s="87"/>
      <c r="AN3178" s="87"/>
      <c r="AO3178" s="87"/>
      <c r="AP3178" s="87"/>
      <c r="AQ3178" s="87" t="s">
        <v>17602</v>
      </c>
      <c r="AR3178" s="87"/>
      <c r="AS3178" s="87"/>
      <c r="AT3178" s="87"/>
      <c r="AU3178" s="87"/>
      <c r="AV3178" s="92" t="str">
        <f>HYPERLINK("https://pbs.twimg.com/media/F2XvpHbXEAIYhLD.jpg")</f>
        <v>https://pbs.twimg.com/media/F2XvpHbXEAIYhLD.jpg</v>
      </c>
      <c r="AW3178" s="93" t="s">
        <v>21324</v>
      </c>
      <c r="AX3178" s="93" t="s">
        <v>21324</v>
      </c>
      <c r="AY3178" s="87"/>
      <c r="AZ3178" s="93" t="s">
        <v>22668</v>
      </c>
      <c r="BA3178" s="93" t="s">
        <v>22668</v>
      </c>
      <c r="BB3178" s="93" t="s">
        <v>22668</v>
      </c>
      <c r="BC3178" s="93" t="s">
        <v>21324</v>
      </c>
      <c r="BD3178" s="87">
        <v>226531436</v>
      </c>
      <c r="BE3178" s="87"/>
      <c r="BF3178" s="87"/>
      <c r="BG3178" s="87"/>
      <c r="BH3178" s="87"/>
      <c r="BI3178" s="87"/>
    </row>
    <row r="3179" spans="1:61" x14ac:dyDescent="0.25">
      <c r="A3179" s="63" t="s">
        <v>1203</v>
      </c>
      <c r="B3179" s="63" t="s">
        <v>1203</v>
      </c>
      <c r="C3179" s="64"/>
      <c r="D3179" s="65"/>
      <c r="E3179" s="66"/>
      <c r="F3179" s="67"/>
      <c r="G3179" s="64"/>
      <c r="H3179" s="68"/>
      <c r="I3179" s="69"/>
      <c r="J3179" s="69"/>
      <c r="K3179" s="32"/>
      <c r="L3179" s="76">
        <v>3179</v>
      </c>
      <c r="M3179" s="76"/>
      <c r="N3179" s="71"/>
      <c r="O3179" s="87" t="s">
        <v>179</v>
      </c>
      <c r="P3179" s="90">
        <v>45155.557002314818</v>
      </c>
      <c r="Q3179" s="87" t="s">
        <v>4876</v>
      </c>
      <c r="R3179" s="87">
        <v>0</v>
      </c>
      <c r="S3179" s="87">
        <v>0</v>
      </c>
      <c r="T3179" s="87">
        <v>0</v>
      </c>
      <c r="U3179" s="87">
        <v>0</v>
      </c>
      <c r="V3179" s="87">
        <v>4</v>
      </c>
      <c r="W3179" s="93" t="s">
        <v>6660</v>
      </c>
      <c r="X3179" s="87"/>
      <c r="Y3179" s="87"/>
      <c r="Z3179" s="87"/>
      <c r="AA3179" s="87" t="s">
        <v>10791</v>
      </c>
      <c r="AB3179" s="87" t="s">
        <v>11448</v>
      </c>
      <c r="AC3179" s="93" t="s">
        <v>11507</v>
      </c>
      <c r="AD3179" s="87" t="s">
        <v>11519</v>
      </c>
      <c r="AE3179" s="92" t="str">
        <f>HYPERLINK("https://twitter.com/chaveiroponte/status/1692164899277848855")</f>
        <v>https://twitter.com/chaveiroponte/status/1692164899277848855</v>
      </c>
      <c r="AF3179" s="90">
        <v>45155.557002314818</v>
      </c>
      <c r="AG3179" s="99">
        <v>45155</v>
      </c>
      <c r="AH3179" s="93" t="s">
        <v>14353</v>
      </c>
      <c r="AI3179" s="87" t="b">
        <v>0</v>
      </c>
      <c r="AJ3179" s="87"/>
      <c r="AK3179" s="87"/>
      <c r="AL3179" s="87"/>
      <c r="AM3179" s="87"/>
      <c r="AN3179" s="87"/>
      <c r="AO3179" s="87"/>
      <c r="AP3179" s="87"/>
      <c r="AQ3179" s="87" t="s">
        <v>17603</v>
      </c>
      <c r="AR3179" s="87"/>
      <c r="AS3179" s="87"/>
      <c r="AT3179" s="87"/>
      <c r="AU3179" s="87"/>
      <c r="AV3179" s="92" t="str">
        <f>HYPERLINK("https://pbs.twimg.com/media/F3vHAIzXcAEx3e1.jpg")</f>
        <v>https://pbs.twimg.com/media/F3vHAIzXcAEx3e1.jpg</v>
      </c>
      <c r="AW3179" s="93" t="s">
        <v>21325</v>
      </c>
      <c r="AX3179" s="93" t="s">
        <v>21325</v>
      </c>
      <c r="AY3179" s="87"/>
      <c r="AZ3179" s="93" t="s">
        <v>22668</v>
      </c>
      <c r="BA3179" s="93" t="s">
        <v>22668</v>
      </c>
      <c r="BB3179" s="93" t="s">
        <v>22668</v>
      </c>
      <c r="BC3179" s="93" t="s">
        <v>21325</v>
      </c>
      <c r="BD3179" s="93" t="s">
        <v>23360</v>
      </c>
      <c r="BE3179" s="87"/>
      <c r="BF3179" s="87"/>
      <c r="BG3179" s="87"/>
      <c r="BH3179" s="87"/>
      <c r="BI3179" s="87"/>
    </row>
    <row r="3180" spans="1:61" x14ac:dyDescent="0.25">
      <c r="A3180" s="63" t="s">
        <v>1204</v>
      </c>
      <c r="B3180" s="63" t="s">
        <v>1204</v>
      </c>
      <c r="C3180" s="64"/>
      <c r="D3180" s="65"/>
      <c r="E3180" s="66"/>
      <c r="F3180" s="67"/>
      <c r="G3180" s="64"/>
      <c r="H3180" s="68"/>
      <c r="I3180" s="69"/>
      <c r="J3180" s="69"/>
      <c r="K3180" s="32"/>
      <c r="L3180" s="76">
        <v>3180</v>
      </c>
      <c r="M3180" s="76"/>
      <c r="N3180" s="71"/>
      <c r="O3180" s="87" t="s">
        <v>179</v>
      </c>
      <c r="P3180" s="90">
        <v>45165.65415509259</v>
      </c>
      <c r="Q3180" s="87" t="s">
        <v>4877</v>
      </c>
      <c r="R3180" s="87">
        <v>271</v>
      </c>
      <c r="S3180" s="87">
        <v>949</v>
      </c>
      <c r="T3180" s="87">
        <v>48</v>
      </c>
      <c r="U3180" s="87">
        <v>22</v>
      </c>
      <c r="V3180" s="87">
        <v>27786</v>
      </c>
      <c r="W3180" s="93" t="s">
        <v>7654</v>
      </c>
      <c r="X3180" s="87"/>
      <c r="Y3180" s="87"/>
      <c r="Z3180" s="87"/>
      <c r="AA3180" s="87" t="s">
        <v>10792</v>
      </c>
      <c r="AB3180" s="87" t="s">
        <v>11447</v>
      </c>
      <c r="AC3180" s="93" t="s">
        <v>11459</v>
      </c>
      <c r="AD3180" s="87" t="s">
        <v>11519</v>
      </c>
      <c r="AE3180" s="92" t="str">
        <f>HYPERLINK("https://twitter.com/claudioedantas/status/1695823983541625231")</f>
        <v>https://twitter.com/claudioedantas/status/1695823983541625231</v>
      </c>
      <c r="AF3180" s="90">
        <v>45165.65415509259</v>
      </c>
      <c r="AG3180" s="99">
        <v>45165</v>
      </c>
      <c r="AH3180" s="93" t="s">
        <v>14354</v>
      </c>
      <c r="AI3180" s="87" t="b">
        <v>0</v>
      </c>
      <c r="AJ3180" s="87"/>
      <c r="AK3180" s="87"/>
      <c r="AL3180" s="87"/>
      <c r="AM3180" s="87"/>
      <c r="AN3180" s="87"/>
      <c r="AO3180" s="87"/>
      <c r="AP3180" s="87"/>
      <c r="AQ3180" s="87" t="s">
        <v>17604</v>
      </c>
      <c r="AR3180" s="87">
        <v>89302</v>
      </c>
      <c r="AS3180" s="87"/>
      <c r="AT3180" s="87"/>
      <c r="AU3180" s="87"/>
      <c r="AV3180" s="92" t="str">
        <f>HYPERLINK("https://pbs.twimg.com/ext_tw_video_thumb/1695823908874620928/pu/img/mrUJDXqLCBAKK4Zz.jpg")</f>
        <v>https://pbs.twimg.com/ext_tw_video_thumb/1695823908874620928/pu/img/mrUJDXqLCBAKK4Zz.jpg</v>
      </c>
      <c r="AW3180" s="93" t="s">
        <v>21326</v>
      </c>
      <c r="AX3180" s="93" t="s">
        <v>21326</v>
      </c>
      <c r="AY3180" s="87"/>
      <c r="AZ3180" s="93" t="s">
        <v>22668</v>
      </c>
      <c r="BA3180" s="93" t="s">
        <v>22668</v>
      </c>
      <c r="BB3180" s="93" t="s">
        <v>22668</v>
      </c>
      <c r="BC3180" s="93" t="s">
        <v>21326</v>
      </c>
      <c r="BD3180" s="87">
        <v>2923397967</v>
      </c>
      <c r="BE3180" s="87"/>
      <c r="BF3180" s="87"/>
      <c r="BG3180" s="87"/>
      <c r="BH3180" s="87"/>
      <c r="BI3180" s="87"/>
    </row>
    <row r="3181" spans="1:61" x14ac:dyDescent="0.25">
      <c r="A3181" s="63" t="s">
        <v>1205</v>
      </c>
      <c r="B3181" s="63" t="s">
        <v>1205</v>
      </c>
      <c r="C3181" s="64"/>
      <c r="D3181" s="65"/>
      <c r="E3181" s="66"/>
      <c r="F3181" s="67"/>
      <c r="G3181" s="64"/>
      <c r="H3181" s="68"/>
      <c r="I3181" s="69"/>
      <c r="J3181" s="69"/>
      <c r="K3181" s="32"/>
      <c r="L3181" s="76">
        <v>3181</v>
      </c>
      <c r="M3181" s="76"/>
      <c r="N3181" s="71"/>
      <c r="O3181" s="87" t="s">
        <v>179</v>
      </c>
      <c r="P3181" s="90">
        <v>45162.829259259262</v>
      </c>
      <c r="Q3181" s="87" t="s">
        <v>4878</v>
      </c>
      <c r="R3181" s="87">
        <v>0</v>
      </c>
      <c r="S3181" s="87">
        <v>0</v>
      </c>
      <c r="T3181" s="87">
        <v>0</v>
      </c>
      <c r="U3181" s="87">
        <v>0</v>
      </c>
      <c r="V3181" s="87">
        <v>11</v>
      </c>
      <c r="W3181" s="93" t="s">
        <v>7655</v>
      </c>
      <c r="X3181" s="87"/>
      <c r="Y3181" s="87"/>
      <c r="Z3181" s="87"/>
      <c r="AA3181" s="87" t="s">
        <v>10793</v>
      </c>
      <c r="AB3181" s="87" t="s">
        <v>11448</v>
      </c>
      <c r="AC3181" s="93" t="s">
        <v>11458</v>
      </c>
      <c r="AD3181" s="87" t="s">
        <v>11519</v>
      </c>
      <c r="AE3181" s="92" t="str">
        <f>HYPERLINK("https://twitter.com/d_fontenelle/status/1694800278371910098")</f>
        <v>https://twitter.com/d_fontenelle/status/1694800278371910098</v>
      </c>
      <c r="AF3181" s="90">
        <v>45162.829259259262</v>
      </c>
      <c r="AG3181" s="99">
        <v>45162</v>
      </c>
      <c r="AH3181" s="93" t="s">
        <v>14355</v>
      </c>
      <c r="AI3181" s="87" t="b">
        <v>0</v>
      </c>
      <c r="AJ3181" s="87"/>
      <c r="AK3181" s="87"/>
      <c r="AL3181" s="87"/>
      <c r="AM3181" s="87"/>
      <c r="AN3181" s="87"/>
      <c r="AO3181" s="87"/>
      <c r="AP3181" s="87"/>
      <c r="AQ3181" s="87" t="s">
        <v>17605</v>
      </c>
      <c r="AR3181" s="87"/>
      <c r="AS3181" s="87"/>
      <c r="AT3181" s="87"/>
      <c r="AU3181" s="87"/>
      <c r="AV3181" s="92" t="str">
        <f>HYPERLINK("https://pbs.twimg.com/media/F4Uj3l2WcAEqXrC.jpg")</f>
        <v>https://pbs.twimg.com/media/F4Uj3l2WcAEqXrC.jpg</v>
      </c>
      <c r="AW3181" s="93" t="s">
        <v>21327</v>
      </c>
      <c r="AX3181" s="93" t="s">
        <v>21327</v>
      </c>
      <c r="AY3181" s="87"/>
      <c r="AZ3181" s="93" t="s">
        <v>22668</v>
      </c>
      <c r="BA3181" s="93" t="s">
        <v>22668</v>
      </c>
      <c r="BB3181" s="93" t="s">
        <v>22668</v>
      </c>
      <c r="BC3181" s="93" t="s">
        <v>21327</v>
      </c>
      <c r="BD3181" s="87">
        <v>167239509</v>
      </c>
      <c r="BE3181" s="87"/>
      <c r="BF3181" s="87"/>
      <c r="BG3181" s="87"/>
      <c r="BH3181" s="87"/>
      <c r="BI3181" s="87"/>
    </row>
    <row r="3182" spans="1:61" x14ac:dyDescent="0.25">
      <c r="A3182" s="63" t="s">
        <v>1206</v>
      </c>
      <c r="B3182" s="63" t="s">
        <v>1206</v>
      </c>
      <c r="C3182" s="64"/>
      <c r="D3182" s="65"/>
      <c r="E3182" s="66"/>
      <c r="F3182" s="67"/>
      <c r="G3182" s="64"/>
      <c r="H3182" s="68"/>
      <c r="I3182" s="69"/>
      <c r="J3182" s="69"/>
      <c r="K3182" s="32"/>
      <c r="L3182" s="76">
        <v>3182</v>
      </c>
      <c r="M3182" s="76"/>
      <c r="N3182" s="71"/>
      <c r="O3182" s="87" t="s">
        <v>179</v>
      </c>
      <c r="P3182" s="90">
        <v>45112.335289351853</v>
      </c>
      <c r="Q3182" s="87" t="s">
        <v>4879</v>
      </c>
      <c r="R3182" s="87">
        <v>0</v>
      </c>
      <c r="S3182" s="87">
        <v>0</v>
      </c>
      <c r="T3182" s="87">
        <v>0</v>
      </c>
      <c r="U3182" s="87">
        <v>0</v>
      </c>
      <c r="V3182" s="87">
        <v>14</v>
      </c>
      <c r="W3182" s="93" t="s">
        <v>7656</v>
      </c>
      <c r="X3182" s="92" t="str">
        <f>HYPERLINK("https://carreiraprofissional.com/mei-o-que-e-como-funciona-e-mais/")</f>
        <v>https://carreiraprofissional.com/mei-o-que-e-como-funciona-e-mais/</v>
      </c>
      <c r="Y3182" s="87" t="s">
        <v>8511</v>
      </c>
      <c r="Z3182" s="87"/>
      <c r="AA3182" s="87"/>
      <c r="AB3182" s="87"/>
      <c r="AC3182" s="93" t="s">
        <v>11508</v>
      </c>
      <c r="AD3182" s="87" t="s">
        <v>11519</v>
      </c>
      <c r="AE3182" s="92" t="str">
        <f>HYPERLINK("https://twitter.com/carreiraprof_cp/status/1676501874059493377")</f>
        <v>https://twitter.com/carreiraprof_cp/status/1676501874059493377</v>
      </c>
      <c r="AF3182" s="90">
        <v>45112.335289351853</v>
      </c>
      <c r="AG3182" s="99">
        <v>45112</v>
      </c>
      <c r="AH3182" s="93" t="s">
        <v>14356</v>
      </c>
      <c r="AI3182" s="87" t="b">
        <v>0</v>
      </c>
      <c r="AJ3182" s="87"/>
      <c r="AK3182" s="87"/>
      <c r="AL3182" s="87"/>
      <c r="AM3182" s="87"/>
      <c r="AN3182" s="87"/>
      <c r="AO3182" s="87"/>
      <c r="AP3182" s="87"/>
      <c r="AQ3182" s="87"/>
      <c r="AR3182" s="87"/>
      <c r="AS3182" s="87"/>
      <c r="AT3182" s="87"/>
      <c r="AU3182" s="87"/>
      <c r="AV3182" s="92" t="str">
        <f>HYPERLINK("https://pbs.twimg.com/profile_images/1662252054151143426/C6h1D0Ev_normal.jpg")</f>
        <v>https://pbs.twimg.com/profile_images/1662252054151143426/C6h1D0Ev_normal.jpg</v>
      </c>
      <c r="AW3182" s="93" t="s">
        <v>21328</v>
      </c>
      <c r="AX3182" s="93" t="s">
        <v>21328</v>
      </c>
      <c r="AY3182" s="87"/>
      <c r="AZ3182" s="93" t="s">
        <v>22668</v>
      </c>
      <c r="BA3182" s="93" t="s">
        <v>22668</v>
      </c>
      <c r="BB3182" s="93" t="s">
        <v>22668</v>
      </c>
      <c r="BC3182" s="93" t="s">
        <v>21328</v>
      </c>
      <c r="BD3182" s="93" t="s">
        <v>23361</v>
      </c>
      <c r="BE3182" s="87"/>
      <c r="BF3182" s="87"/>
      <c r="BG3182" s="87"/>
      <c r="BH3182" s="87"/>
      <c r="BI3182" s="87"/>
    </row>
    <row r="3183" spans="1:61" x14ac:dyDescent="0.25">
      <c r="A3183" s="63" t="s">
        <v>1206</v>
      </c>
      <c r="B3183" s="63" t="s">
        <v>1206</v>
      </c>
      <c r="C3183" s="64"/>
      <c r="D3183" s="65"/>
      <c r="E3183" s="66"/>
      <c r="F3183" s="67"/>
      <c r="G3183" s="64"/>
      <c r="H3183" s="68"/>
      <c r="I3183" s="69"/>
      <c r="J3183" s="69"/>
      <c r="K3183" s="32"/>
      <c r="L3183" s="76">
        <v>3183</v>
      </c>
      <c r="M3183" s="76"/>
      <c r="N3183" s="71"/>
      <c r="O3183" s="87" t="s">
        <v>179</v>
      </c>
      <c r="P3183" s="90">
        <v>45121.335266203707</v>
      </c>
      <c r="Q3183" s="87" t="s">
        <v>4880</v>
      </c>
      <c r="R3183" s="87">
        <v>0</v>
      </c>
      <c r="S3183" s="87">
        <v>0</v>
      </c>
      <c r="T3183" s="87">
        <v>0</v>
      </c>
      <c r="U3183" s="87">
        <v>0</v>
      </c>
      <c r="V3183" s="87">
        <v>12</v>
      </c>
      <c r="W3183" s="93" t="s">
        <v>7657</v>
      </c>
      <c r="X3183" s="92" t="str">
        <f>HYPERLINK("https://carreiraprofissional.com/a-contratacao-de-pessoa-juridica-o-que-e-como-fazer-e-mais/")</f>
        <v>https://carreiraprofissional.com/a-contratacao-de-pessoa-juridica-o-que-e-como-fazer-e-mais/</v>
      </c>
      <c r="Y3183" s="87" t="s">
        <v>8511</v>
      </c>
      <c r="Z3183" s="87"/>
      <c r="AA3183" s="87"/>
      <c r="AB3183" s="87"/>
      <c r="AC3183" s="93" t="s">
        <v>11508</v>
      </c>
      <c r="AD3183" s="87" t="s">
        <v>11519</v>
      </c>
      <c r="AE3183" s="92" t="str">
        <f>HYPERLINK("https://twitter.com/carreiraprof_cp/status/1679763358889791489")</f>
        <v>https://twitter.com/carreiraprof_cp/status/1679763358889791489</v>
      </c>
      <c r="AF3183" s="90">
        <v>45121.335266203707</v>
      </c>
      <c r="AG3183" s="99">
        <v>45121</v>
      </c>
      <c r="AH3183" s="93" t="s">
        <v>14357</v>
      </c>
      <c r="AI3183" s="87" t="b">
        <v>0</v>
      </c>
      <c r="AJ3183" s="87"/>
      <c r="AK3183" s="87"/>
      <c r="AL3183" s="87"/>
      <c r="AM3183" s="87"/>
      <c r="AN3183" s="87"/>
      <c r="AO3183" s="87"/>
      <c r="AP3183" s="87"/>
      <c r="AQ3183" s="87"/>
      <c r="AR3183" s="87"/>
      <c r="AS3183" s="87"/>
      <c r="AT3183" s="87"/>
      <c r="AU3183" s="87"/>
      <c r="AV3183" s="92" t="str">
        <f>HYPERLINK("https://pbs.twimg.com/profile_images/1662252054151143426/C6h1D0Ev_normal.jpg")</f>
        <v>https://pbs.twimg.com/profile_images/1662252054151143426/C6h1D0Ev_normal.jpg</v>
      </c>
      <c r="AW3183" s="93" t="s">
        <v>21329</v>
      </c>
      <c r="AX3183" s="93" t="s">
        <v>21329</v>
      </c>
      <c r="AY3183" s="87"/>
      <c r="AZ3183" s="93" t="s">
        <v>22668</v>
      </c>
      <c r="BA3183" s="93" t="s">
        <v>22668</v>
      </c>
      <c r="BB3183" s="93" t="s">
        <v>22668</v>
      </c>
      <c r="BC3183" s="93" t="s">
        <v>21329</v>
      </c>
      <c r="BD3183" s="93" t="s">
        <v>23361</v>
      </c>
      <c r="BE3183" s="87"/>
      <c r="BF3183" s="87"/>
      <c r="BG3183" s="87"/>
      <c r="BH3183" s="87"/>
      <c r="BI3183" s="87"/>
    </row>
    <row r="3184" spans="1:61" x14ac:dyDescent="0.25">
      <c r="A3184" s="63" t="s">
        <v>1206</v>
      </c>
      <c r="B3184" s="63" t="s">
        <v>1206</v>
      </c>
      <c r="C3184" s="64"/>
      <c r="D3184" s="65"/>
      <c r="E3184" s="66"/>
      <c r="F3184" s="67"/>
      <c r="G3184" s="64"/>
      <c r="H3184" s="68"/>
      <c r="I3184" s="69"/>
      <c r="J3184" s="69"/>
      <c r="K3184" s="32"/>
      <c r="L3184" s="76">
        <v>3184</v>
      </c>
      <c r="M3184" s="76"/>
      <c r="N3184" s="71"/>
      <c r="O3184" s="87" t="s">
        <v>179</v>
      </c>
      <c r="P3184" s="90">
        <v>45144.335439814815</v>
      </c>
      <c r="Q3184" s="87" t="s">
        <v>4881</v>
      </c>
      <c r="R3184" s="87">
        <v>0</v>
      </c>
      <c r="S3184" s="87">
        <v>0</v>
      </c>
      <c r="T3184" s="87">
        <v>0</v>
      </c>
      <c r="U3184" s="87">
        <v>0</v>
      </c>
      <c r="V3184" s="87"/>
      <c r="W3184" s="93" t="s">
        <v>7658</v>
      </c>
      <c r="X3184" s="92" t="str">
        <f>HYPERLINK("https://carreiraprofissional.com/empreender-ou-ser-empregado-qual-e-a-melhor-escolha-para-voce/")</f>
        <v>https://carreiraprofissional.com/empreender-ou-ser-empregado-qual-e-a-melhor-escolha-para-voce/</v>
      </c>
      <c r="Y3184" s="87" t="s">
        <v>8511</v>
      </c>
      <c r="Z3184" s="87"/>
      <c r="AA3184" s="87"/>
      <c r="AB3184" s="87"/>
      <c r="AC3184" s="93" t="s">
        <v>11508</v>
      </c>
      <c r="AD3184" s="87" t="s">
        <v>11519</v>
      </c>
      <c r="AE3184" s="92" t="str">
        <f>HYPERLINK("https://twitter.com/carreiraprof_cp/status/1688098340217507841")</f>
        <v>https://twitter.com/carreiraprof_cp/status/1688098340217507841</v>
      </c>
      <c r="AF3184" s="90">
        <v>45144.335439814815</v>
      </c>
      <c r="AG3184" s="99">
        <v>45144</v>
      </c>
      <c r="AH3184" s="93" t="s">
        <v>14358</v>
      </c>
      <c r="AI3184" s="87" t="b">
        <v>0</v>
      </c>
      <c r="AJ3184" s="87"/>
      <c r="AK3184" s="87"/>
      <c r="AL3184" s="87"/>
      <c r="AM3184" s="87"/>
      <c r="AN3184" s="87"/>
      <c r="AO3184" s="87"/>
      <c r="AP3184" s="87"/>
      <c r="AQ3184" s="87"/>
      <c r="AR3184" s="87"/>
      <c r="AS3184" s="87"/>
      <c r="AT3184" s="87"/>
      <c r="AU3184" s="87"/>
      <c r="AV3184" s="92" t="str">
        <f>HYPERLINK("https://pbs.twimg.com/profile_images/1662252054151143426/C6h1D0Ev_normal.jpg")</f>
        <v>https://pbs.twimg.com/profile_images/1662252054151143426/C6h1D0Ev_normal.jpg</v>
      </c>
      <c r="AW3184" s="93" t="s">
        <v>21330</v>
      </c>
      <c r="AX3184" s="93" t="s">
        <v>21330</v>
      </c>
      <c r="AY3184" s="87"/>
      <c r="AZ3184" s="93" t="s">
        <v>22668</v>
      </c>
      <c r="BA3184" s="93" t="s">
        <v>22668</v>
      </c>
      <c r="BB3184" s="93" t="s">
        <v>22668</v>
      </c>
      <c r="BC3184" s="93" t="s">
        <v>21330</v>
      </c>
      <c r="BD3184" s="93" t="s">
        <v>23361</v>
      </c>
      <c r="BE3184" s="87"/>
      <c r="BF3184" s="87"/>
      <c r="BG3184" s="87"/>
      <c r="BH3184" s="87"/>
      <c r="BI3184" s="87"/>
    </row>
    <row r="3185" spans="1:61" x14ac:dyDescent="0.25">
      <c r="A3185" s="63" t="s">
        <v>1206</v>
      </c>
      <c r="B3185" s="63" t="s">
        <v>1206</v>
      </c>
      <c r="C3185" s="64"/>
      <c r="D3185" s="65"/>
      <c r="E3185" s="66"/>
      <c r="F3185" s="67"/>
      <c r="G3185" s="64"/>
      <c r="H3185" s="68"/>
      <c r="I3185" s="69"/>
      <c r="J3185" s="69"/>
      <c r="K3185" s="32"/>
      <c r="L3185" s="76">
        <v>3185</v>
      </c>
      <c r="M3185" s="76"/>
      <c r="N3185" s="71"/>
      <c r="O3185" s="87" t="s">
        <v>179</v>
      </c>
      <c r="P3185" s="90">
        <v>45152.335405092592</v>
      </c>
      <c r="Q3185" s="87" t="s">
        <v>4882</v>
      </c>
      <c r="R3185" s="87">
        <v>0</v>
      </c>
      <c r="S3185" s="87">
        <v>0</v>
      </c>
      <c r="T3185" s="87">
        <v>0</v>
      </c>
      <c r="U3185" s="87">
        <v>0</v>
      </c>
      <c r="V3185" s="87">
        <v>7</v>
      </c>
      <c r="W3185" s="93" t="s">
        <v>7659</v>
      </c>
      <c r="X3185" s="92" t="str">
        <f>HYPERLINK("https://carreiraprofissional.com/mundo-do-empreendedorismo-o-que-e-como-funciona-e-mais/")</f>
        <v>https://carreiraprofissional.com/mundo-do-empreendedorismo-o-que-e-como-funciona-e-mais/</v>
      </c>
      <c r="Y3185" s="87" t="s">
        <v>8511</v>
      </c>
      <c r="Z3185" s="87"/>
      <c r="AA3185" s="87"/>
      <c r="AB3185" s="87"/>
      <c r="AC3185" s="93" t="s">
        <v>11508</v>
      </c>
      <c r="AD3185" s="87" t="s">
        <v>11519</v>
      </c>
      <c r="AE3185" s="92" t="str">
        <f>HYPERLINK("https://twitter.com/carreiraprof_cp/status/1690997431104634880")</f>
        <v>https://twitter.com/carreiraprof_cp/status/1690997431104634880</v>
      </c>
      <c r="AF3185" s="90">
        <v>45152.335405092592</v>
      </c>
      <c r="AG3185" s="99">
        <v>45152</v>
      </c>
      <c r="AH3185" s="93" t="s">
        <v>14359</v>
      </c>
      <c r="AI3185" s="87" t="b">
        <v>0</v>
      </c>
      <c r="AJ3185" s="87"/>
      <c r="AK3185" s="87"/>
      <c r="AL3185" s="87"/>
      <c r="AM3185" s="87"/>
      <c r="AN3185" s="87"/>
      <c r="AO3185" s="87"/>
      <c r="AP3185" s="87"/>
      <c r="AQ3185" s="87"/>
      <c r="AR3185" s="87"/>
      <c r="AS3185" s="87"/>
      <c r="AT3185" s="87"/>
      <c r="AU3185" s="87"/>
      <c r="AV3185" s="92" t="str">
        <f>HYPERLINK("https://pbs.twimg.com/profile_images/1662252054151143426/C6h1D0Ev_normal.jpg")</f>
        <v>https://pbs.twimg.com/profile_images/1662252054151143426/C6h1D0Ev_normal.jpg</v>
      </c>
      <c r="AW3185" s="93" t="s">
        <v>21331</v>
      </c>
      <c r="AX3185" s="93" t="s">
        <v>21331</v>
      </c>
      <c r="AY3185" s="87"/>
      <c r="AZ3185" s="93" t="s">
        <v>22668</v>
      </c>
      <c r="BA3185" s="93" t="s">
        <v>22668</v>
      </c>
      <c r="BB3185" s="93" t="s">
        <v>22668</v>
      </c>
      <c r="BC3185" s="93" t="s">
        <v>21331</v>
      </c>
      <c r="BD3185" s="93" t="s">
        <v>23361</v>
      </c>
      <c r="BE3185" s="87"/>
      <c r="BF3185" s="87"/>
      <c r="BG3185" s="87"/>
      <c r="BH3185" s="87"/>
      <c r="BI3185" s="87"/>
    </row>
    <row r="3186" spans="1:61" x14ac:dyDescent="0.25">
      <c r="A3186" s="63" t="s">
        <v>1206</v>
      </c>
      <c r="B3186" s="63" t="s">
        <v>1206</v>
      </c>
      <c r="C3186" s="64"/>
      <c r="D3186" s="65"/>
      <c r="E3186" s="66"/>
      <c r="F3186" s="67"/>
      <c r="G3186" s="64"/>
      <c r="H3186" s="68"/>
      <c r="I3186" s="69"/>
      <c r="J3186" s="69"/>
      <c r="K3186" s="32"/>
      <c r="L3186" s="76">
        <v>3186</v>
      </c>
      <c r="M3186" s="76"/>
      <c r="N3186" s="71"/>
      <c r="O3186" s="87" t="s">
        <v>179</v>
      </c>
      <c r="P3186" s="90">
        <v>45150.335405092592</v>
      </c>
      <c r="Q3186" s="87" t="s">
        <v>4883</v>
      </c>
      <c r="R3186" s="87">
        <v>0</v>
      </c>
      <c r="S3186" s="87">
        <v>0</v>
      </c>
      <c r="T3186" s="87">
        <v>0</v>
      </c>
      <c r="U3186" s="87">
        <v>0</v>
      </c>
      <c r="V3186" s="87">
        <v>1</v>
      </c>
      <c r="W3186" s="93" t="s">
        <v>7660</v>
      </c>
      <c r="X3186" s="92" t="str">
        <f>HYPERLINK("https://carreiraprofissional.com/profissoes-mei-quais-sao-e-mais/")</f>
        <v>https://carreiraprofissional.com/profissoes-mei-quais-sao-e-mais/</v>
      </c>
      <c r="Y3186" s="87" t="s">
        <v>8511</v>
      </c>
      <c r="Z3186" s="87"/>
      <c r="AA3186" s="87"/>
      <c r="AB3186" s="87"/>
      <c r="AC3186" s="93" t="s">
        <v>11508</v>
      </c>
      <c r="AD3186" s="87" t="s">
        <v>11519</v>
      </c>
      <c r="AE3186" s="92" t="str">
        <f>HYPERLINK("https://twitter.com/carreiraprof_cp/status/1690272656652652544")</f>
        <v>https://twitter.com/carreiraprof_cp/status/1690272656652652544</v>
      </c>
      <c r="AF3186" s="90">
        <v>45150.335405092592</v>
      </c>
      <c r="AG3186" s="99">
        <v>45150</v>
      </c>
      <c r="AH3186" s="93" t="s">
        <v>14359</v>
      </c>
      <c r="AI3186" s="87" t="b">
        <v>0</v>
      </c>
      <c r="AJ3186" s="87"/>
      <c r="AK3186" s="87"/>
      <c r="AL3186" s="87"/>
      <c r="AM3186" s="87"/>
      <c r="AN3186" s="87"/>
      <c r="AO3186" s="87"/>
      <c r="AP3186" s="87"/>
      <c r="AQ3186" s="87"/>
      <c r="AR3186" s="87"/>
      <c r="AS3186" s="87"/>
      <c r="AT3186" s="87"/>
      <c r="AU3186" s="87"/>
      <c r="AV3186" s="92" t="str">
        <f>HYPERLINK("https://pbs.twimg.com/profile_images/1662252054151143426/C6h1D0Ev_normal.jpg")</f>
        <v>https://pbs.twimg.com/profile_images/1662252054151143426/C6h1D0Ev_normal.jpg</v>
      </c>
      <c r="AW3186" s="93" t="s">
        <v>21332</v>
      </c>
      <c r="AX3186" s="93" t="s">
        <v>21332</v>
      </c>
      <c r="AY3186" s="87"/>
      <c r="AZ3186" s="93" t="s">
        <v>22668</v>
      </c>
      <c r="BA3186" s="93" t="s">
        <v>22668</v>
      </c>
      <c r="BB3186" s="93" t="s">
        <v>22668</v>
      </c>
      <c r="BC3186" s="93" t="s">
        <v>21332</v>
      </c>
      <c r="BD3186" s="93" t="s">
        <v>23361</v>
      </c>
      <c r="BE3186" s="87"/>
      <c r="BF3186" s="87"/>
      <c r="BG3186" s="87"/>
      <c r="BH3186" s="87"/>
      <c r="BI3186" s="87"/>
    </row>
    <row r="3187" spans="1:61" x14ac:dyDescent="0.25">
      <c r="A3187" s="63" t="s">
        <v>1207</v>
      </c>
      <c r="B3187" s="63" t="s">
        <v>1268</v>
      </c>
      <c r="C3187" s="64"/>
      <c r="D3187" s="65"/>
      <c r="E3187" s="66"/>
      <c r="F3187" s="67"/>
      <c r="G3187" s="64"/>
      <c r="H3187" s="68"/>
      <c r="I3187" s="69"/>
      <c r="J3187" s="69"/>
      <c r="K3187" s="32"/>
      <c r="L3187" s="76">
        <v>3187</v>
      </c>
      <c r="M3187" s="76"/>
      <c r="N3187" s="71"/>
      <c r="O3187" s="87" t="s">
        <v>1841</v>
      </c>
      <c r="P3187" s="90">
        <v>45189.409131944441</v>
      </c>
      <c r="Q3187" s="87" t="s">
        <v>3894</v>
      </c>
      <c r="R3187" s="87">
        <v>2</v>
      </c>
      <c r="S3187" s="87">
        <v>0</v>
      </c>
      <c r="T3187" s="87">
        <v>0</v>
      </c>
      <c r="U3187" s="87">
        <v>0</v>
      </c>
      <c r="V3187" s="87"/>
      <c r="W3187" s="87"/>
      <c r="X3187" s="87"/>
      <c r="Y3187" s="87"/>
      <c r="Z3187" s="87" t="s">
        <v>1268</v>
      </c>
      <c r="AA3187" s="87"/>
      <c r="AB3187" s="87"/>
      <c r="AC3187" s="93" t="s">
        <v>11459</v>
      </c>
      <c r="AD3187" s="87" t="s">
        <v>11519</v>
      </c>
      <c r="AE3187" s="92" t="str">
        <f>HYPERLINK("https://twitter.com/wagnerg05929100/status/1704432501416919468")</f>
        <v>https://twitter.com/wagnerg05929100/status/1704432501416919468</v>
      </c>
      <c r="AF3187" s="90">
        <v>45189.409131944441</v>
      </c>
      <c r="AG3187" s="99">
        <v>45189</v>
      </c>
      <c r="AH3187" s="93" t="s">
        <v>14360</v>
      </c>
      <c r="AI3187" s="87"/>
      <c r="AJ3187" s="87"/>
      <c r="AK3187" s="87"/>
      <c r="AL3187" s="87"/>
      <c r="AM3187" s="87"/>
      <c r="AN3187" s="87"/>
      <c r="AO3187" s="87"/>
      <c r="AP3187" s="87"/>
      <c r="AQ3187" s="87"/>
      <c r="AR3187" s="87"/>
      <c r="AS3187" s="87"/>
      <c r="AT3187" s="87"/>
      <c r="AU3187" s="87"/>
      <c r="AV3187" s="92" t="str">
        <f>HYPERLINK("https://pbs.twimg.com/profile_images/1514850362586501127/Z95mtV0R_normal.jpg")</f>
        <v>https://pbs.twimg.com/profile_images/1514850362586501127/Z95mtV0R_normal.jpg</v>
      </c>
      <c r="AW3187" s="93" t="s">
        <v>21333</v>
      </c>
      <c r="AX3187" s="93" t="s">
        <v>21333</v>
      </c>
      <c r="AY3187" s="87"/>
      <c r="AZ3187" s="93" t="s">
        <v>22668</v>
      </c>
      <c r="BA3187" s="93" t="s">
        <v>22668</v>
      </c>
      <c r="BB3187" s="93" t="s">
        <v>21463</v>
      </c>
      <c r="BC3187" s="93" t="s">
        <v>21463</v>
      </c>
      <c r="BD3187" s="93" t="s">
        <v>23362</v>
      </c>
      <c r="BE3187" s="87"/>
      <c r="BF3187" s="87"/>
      <c r="BG3187" s="87"/>
      <c r="BH3187" s="87"/>
      <c r="BI3187" s="87"/>
    </row>
    <row r="3188" spans="1:61" x14ac:dyDescent="0.25">
      <c r="A3188" s="63" t="s">
        <v>1208</v>
      </c>
      <c r="B3188" s="63" t="s">
        <v>1773</v>
      </c>
      <c r="C3188" s="64"/>
      <c r="D3188" s="65"/>
      <c r="E3188" s="66"/>
      <c r="F3188" s="67"/>
      <c r="G3188" s="64"/>
      <c r="H3188" s="68"/>
      <c r="I3188" s="69"/>
      <c r="J3188" s="69"/>
      <c r="K3188" s="32"/>
      <c r="L3188" s="76">
        <v>3188</v>
      </c>
      <c r="M3188" s="76"/>
      <c r="N3188" s="71"/>
      <c r="O3188" s="87" t="s">
        <v>1840</v>
      </c>
      <c r="P3188" s="90">
        <v>45143.047962962963</v>
      </c>
      <c r="Q3188" s="87" t="s">
        <v>4884</v>
      </c>
      <c r="R3188" s="87">
        <v>0</v>
      </c>
      <c r="S3188" s="87">
        <v>0</v>
      </c>
      <c r="T3188" s="87">
        <v>0</v>
      </c>
      <c r="U3188" s="87">
        <v>0</v>
      </c>
      <c r="V3188" s="87">
        <v>23</v>
      </c>
      <c r="W3188" s="93" t="s">
        <v>7661</v>
      </c>
      <c r="X3188" s="87"/>
      <c r="Y3188" s="87"/>
      <c r="Z3188" s="87" t="s">
        <v>1773</v>
      </c>
      <c r="AA3188" s="87"/>
      <c r="AB3188" s="87"/>
      <c r="AC3188" s="93" t="s">
        <v>11457</v>
      </c>
      <c r="AD3188" s="87" t="s">
        <v>11519</v>
      </c>
      <c r="AE3188" s="92" t="str">
        <f>HYPERLINK("https://twitter.com/diogo_alt_tab/status/1687631774807932929")</f>
        <v>https://twitter.com/diogo_alt_tab/status/1687631774807932929</v>
      </c>
      <c r="AF3188" s="90">
        <v>45143.047962962963</v>
      </c>
      <c r="AG3188" s="99">
        <v>45143</v>
      </c>
      <c r="AH3188" s="93" t="s">
        <v>14361</v>
      </c>
      <c r="AI3188" s="87"/>
      <c r="AJ3188" s="87"/>
      <c r="AK3188" s="87"/>
      <c r="AL3188" s="87"/>
      <c r="AM3188" s="87"/>
      <c r="AN3188" s="87"/>
      <c r="AO3188" s="87"/>
      <c r="AP3188" s="87"/>
      <c r="AQ3188" s="87"/>
      <c r="AR3188" s="87"/>
      <c r="AS3188" s="87"/>
      <c r="AT3188" s="87"/>
      <c r="AU3188" s="87"/>
      <c r="AV3188" s="92" t="str">
        <f>HYPERLINK("https://pbs.twimg.com/profile_images/1673519856203841538/L-R5z1wr_normal.jpg")</f>
        <v>https://pbs.twimg.com/profile_images/1673519856203841538/L-R5z1wr_normal.jpg</v>
      </c>
      <c r="AW3188" s="93" t="s">
        <v>21334</v>
      </c>
      <c r="AX3188" s="93" t="s">
        <v>22454</v>
      </c>
      <c r="AY3188" s="93" t="s">
        <v>22622</v>
      </c>
      <c r="AZ3188" s="93" t="s">
        <v>22751</v>
      </c>
      <c r="BA3188" s="93" t="s">
        <v>22668</v>
      </c>
      <c r="BB3188" s="93" t="s">
        <v>22668</v>
      </c>
      <c r="BC3188" s="93" t="s">
        <v>22751</v>
      </c>
      <c r="BD3188" s="87">
        <v>123069005</v>
      </c>
      <c r="BE3188" s="87"/>
      <c r="BF3188" s="87"/>
      <c r="BG3188" s="87"/>
      <c r="BH3188" s="87"/>
      <c r="BI3188" s="87"/>
    </row>
    <row r="3189" spans="1:61" x14ac:dyDescent="0.25">
      <c r="A3189" s="63" t="s">
        <v>1209</v>
      </c>
      <c r="B3189" s="63" t="s">
        <v>1209</v>
      </c>
      <c r="C3189" s="64"/>
      <c r="D3189" s="65"/>
      <c r="E3189" s="66"/>
      <c r="F3189" s="67"/>
      <c r="G3189" s="64"/>
      <c r="H3189" s="68"/>
      <c r="I3189" s="69"/>
      <c r="J3189" s="69"/>
      <c r="K3189" s="32"/>
      <c r="L3189" s="76">
        <v>3189</v>
      </c>
      <c r="M3189" s="76"/>
      <c r="N3189" s="71"/>
      <c r="O3189" s="87" t="s">
        <v>179</v>
      </c>
      <c r="P3189" s="90">
        <v>45189.584178240744</v>
      </c>
      <c r="Q3189" s="87" t="s">
        <v>4885</v>
      </c>
      <c r="R3189" s="87">
        <v>0</v>
      </c>
      <c r="S3189" s="87">
        <v>1</v>
      </c>
      <c r="T3189" s="87">
        <v>0</v>
      </c>
      <c r="U3189" s="87">
        <v>0</v>
      </c>
      <c r="V3189" s="87">
        <v>5</v>
      </c>
      <c r="W3189" s="93" t="s">
        <v>7662</v>
      </c>
      <c r="X3189" s="87"/>
      <c r="Y3189" s="87"/>
      <c r="Z3189" s="87"/>
      <c r="AA3189" s="87" t="s">
        <v>10794</v>
      </c>
      <c r="AB3189" s="87" t="s">
        <v>11448</v>
      </c>
      <c r="AC3189" s="93" t="s">
        <v>11485</v>
      </c>
      <c r="AD3189" s="87" t="s">
        <v>11519</v>
      </c>
      <c r="AE3189" s="92" t="str">
        <f>HYPERLINK("https://twitter.com/totalservicecon/status/1704495933977727003")</f>
        <v>https://twitter.com/totalservicecon/status/1704495933977727003</v>
      </c>
      <c r="AF3189" s="90">
        <v>45189.584178240744</v>
      </c>
      <c r="AG3189" s="99">
        <v>45189</v>
      </c>
      <c r="AH3189" s="93" t="s">
        <v>12659</v>
      </c>
      <c r="AI3189" s="87" t="b">
        <v>0</v>
      </c>
      <c r="AJ3189" s="87"/>
      <c r="AK3189" s="87"/>
      <c r="AL3189" s="87"/>
      <c r="AM3189" s="87"/>
      <c r="AN3189" s="87"/>
      <c r="AO3189" s="87"/>
      <c r="AP3189" s="87"/>
      <c r="AQ3189" s="87" t="s">
        <v>17606</v>
      </c>
      <c r="AR3189" s="87"/>
      <c r="AS3189" s="87"/>
      <c r="AT3189" s="87"/>
      <c r="AU3189" s="87"/>
      <c r="AV3189" s="92" t="str">
        <f>HYPERLINK("https://pbs.twimg.com/media/F6eV-lwWcAAW6xO.jpg")</f>
        <v>https://pbs.twimg.com/media/F6eV-lwWcAAW6xO.jpg</v>
      </c>
      <c r="AW3189" s="93" t="s">
        <v>21335</v>
      </c>
      <c r="AX3189" s="93" t="s">
        <v>21335</v>
      </c>
      <c r="AY3189" s="87"/>
      <c r="AZ3189" s="93" t="s">
        <v>22668</v>
      </c>
      <c r="BA3189" s="93" t="s">
        <v>22668</v>
      </c>
      <c r="BB3189" s="93" t="s">
        <v>22668</v>
      </c>
      <c r="BC3189" s="93" t="s">
        <v>21335</v>
      </c>
      <c r="BD3189" s="93" t="s">
        <v>23363</v>
      </c>
      <c r="BE3189" s="87"/>
      <c r="BF3189" s="87"/>
      <c r="BG3189" s="87"/>
      <c r="BH3189" s="87"/>
      <c r="BI3189" s="87"/>
    </row>
    <row r="3190" spans="1:61" x14ac:dyDescent="0.25">
      <c r="A3190" s="63" t="s">
        <v>1210</v>
      </c>
      <c r="B3190" s="63" t="s">
        <v>1774</v>
      </c>
      <c r="C3190" s="64"/>
      <c r="D3190" s="65"/>
      <c r="E3190" s="66"/>
      <c r="F3190" s="67"/>
      <c r="G3190" s="64"/>
      <c r="H3190" s="68"/>
      <c r="I3190" s="69"/>
      <c r="J3190" s="69"/>
      <c r="K3190" s="32"/>
      <c r="L3190" s="76">
        <v>3190</v>
      </c>
      <c r="M3190" s="76"/>
      <c r="N3190" s="71"/>
      <c r="O3190" s="87" t="s">
        <v>1840</v>
      </c>
      <c r="P3190" s="90">
        <v>45185.971851851849</v>
      </c>
      <c r="Q3190" s="87" t="s">
        <v>4886</v>
      </c>
      <c r="R3190" s="87">
        <v>1</v>
      </c>
      <c r="S3190" s="87">
        <v>5</v>
      </c>
      <c r="T3190" s="87">
        <v>1</v>
      </c>
      <c r="U3190" s="87">
        <v>0</v>
      </c>
      <c r="V3190" s="87">
        <v>210</v>
      </c>
      <c r="W3190" s="93" t="s">
        <v>5897</v>
      </c>
      <c r="X3190" s="87"/>
      <c r="Y3190" s="87"/>
      <c r="Z3190" s="87" t="s">
        <v>1774</v>
      </c>
      <c r="AA3190" s="87"/>
      <c r="AB3190" s="87"/>
      <c r="AC3190" s="93" t="s">
        <v>11459</v>
      </c>
      <c r="AD3190" s="87" t="s">
        <v>11519</v>
      </c>
      <c r="AE3190" s="92" t="str">
        <f>HYPERLINK("https://twitter.com/prozaccomlimao/status/1703186871465951537")</f>
        <v>https://twitter.com/prozaccomlimao/status/1703186871465951537</v>
      </c>
      <c r="AF3190" s="90">
        <v>45185.971851851849</v>
      </c>
      <c r="AG3190" s="99">
        <v>45185</v>
      </c>
      <c r="AH3190" s="93" t="s">
        <v>14362</v>
      </c>
      <c r="AI3190" s="87"/>
      <c r="AJ3190" s="87"/>
      <c r="AK3190" s="87"/>
      <c r="AL3190" s="87"/>
      <c r="AM3190" s="87"/>
      <c r="AN3190" s="87"/>
      <c r="AO3190" s="87"/>
      <c r="AP3190" s="87"/>
      <c r="AQ3190" s="87"/>
      <c r="AR3190" s="87"/>
      <c r="AS3190" s="87"/>
      <c r="AT3190" s="87"/>
      <c r="AU3190" s="87"/>
      <c r="AV3190" s="92" t="str">
        <f>HYPERLINK("https://pbs.twimg.com/profile_images/1425100097755533317/rerM53pt_normal.jpg")</f>
        <v>https://pbs.twimg.com/profile_images/1425100097755533317/rerM53pt_normal.jpg</v>
      </c>
      <c r="AW3190" s="93" t="s">
        <v>21336</v>
      </c>
      <c r="AX3190" s="93" t="s">
        <v>22455</v>
      </c>
      <c r="AY3190" s="93" t="s">
        <v>22623</v>
      </c>
      <c r="AZ3190" s="93" t="s">
        <v>22455</v>
      </c>
      <c r="BA3190" s="93" t="s">
        <v>22668</v>
      </c>
      <c r="BB3190" s="93" t="s">
        <v>22668</v>
      </c>
      <c r="BC3190" s="93" t="s">
        <v>22455</v>
      </c>
      <c r="BD3190" s="93" t="s">
        <v>23364</v>
      </c>
      <c r="BE3190" s="87"/>
      <c r="BF3190" s="87"/>
      <c r="BG3190" s="87"/>
      <c r="BH3190" s="87"/>
      <c r="BI3190" s="87"/>
    </row>
    <row r="3191" spans="1:61" x14ac:dyDescent="0.25">
      <c r="A3191" s="63" t="s">
        <v>1211</v>
      </c>
      <c r="B3191" s="63" t="s">
        <v>1775</v>
      </c>
      <c r="C3191" s="64"/>
      <c r="D3191" s="65"/>
      <c r="E3191" s="66"/>
      <c r="F3191" s="67"/>
      <c r="G3191" s="64"/>
      <c r="H3191" s="68"/>
      <c r="I3191" s="69"/>
      <c r="J3191" s="69"/>
      <c r="K3191" s="32"/>
      <c r="L3191" s="76">
        <v>3191</v>
      </c>
      <c r="M3191" s="76"/>
      <c r="N3191" s="71"/>
      <c r="O3191" s="87" t="s">
        <v>1839</v>
      </c>
      <c r="P3191" s="90">
        <v>45184.143483796295</v>
      </c>
      <c r="Q3191" s="87" t="s">
        <v>4887</v>
      </c>
      <c r="R3191" s="87">
        <v>0</v>
      </c>
      <c r="S3191" s="87">
        <v>0</v>
      </c>
      <c r="T3191" s="87">
        <v>0</v>
      </c>
      <c r="U3191" s="87">
        <v>0</v>
      </c>
      <c r="V3191" s="87">
        <v>11</v>
      </c>
      <c r="W3191" s="93" t="s">
        <v>7663</v>
      </c>
      <c r="X3191" s="92" t="str">
        <f>HYPERLINK("https://www.linkedin.com/events/comoeparaondevamosparaseromaisr7108110787793104896/")</f>
        <v>https://www.linkedin.com/events/comoeparaondevamosparaseromaisr7108110787793104896/</v>
      </c>
      <c r="Y3191" s="87" t="s">
        <v>8377</v>
      </c>
      <c r="Z3191" s="87" t="s">
        <v>1775</v>
      </c>
      <c r="AA3191" s="87"/>
      <c r="AB3191" s="87"/>
      <c r="AC3191" s="93" t="s">
        <v>11457</v>
      </c>
      <c r="AD3191" s="87" t="s">
        <v>11519</v>
      </c>
      <c r="AE3191" s="92" t="str">
        <f>HYPERLINK("https://twitter.com/odilondeborba/status/1702524294717153406")</f>
        <v>https://twitter.com/odilondeborba/status/1702524294717153406</v>
      </c>
      <c r="AF3191" s="90">
        <v>45184.143483796295</v>
      </c>
      <c r="AG3191" s="99">
        <v>45184</v>
      </c>
      <c r="AH3191" s="93" t="s">
        <v>14363</v>
      </c>
      <c r="AI3191" s="87" t="b">
        <v>0</v>
      </c>
      <c r="AJ3191" s="87"/>
      <c r="AK3191" s="87"/>
      <c r="AL3191" s="87"/>
      <c r="AM3191" s="87"/>
      <c r="AN3191" s="87"/>
      <c r="AO3191" s="87"/>
      <c r="AP3191" s="87"/>
      <c r="AQ3191" s="87"/>
      <c r="AR3191" s="87"/>
      <c r="AS3191" s="87"/>
      <c r="AT3191" s="87"/>
      <c r="AU3191" s="87"/>
      <c r="AV3191" s="92" t="str">
        <f>HYPERLINK("https://pbs.twimg.com/profile_images/1686269368697556993/VNfPj_XR_normal.jpg")</f>
        <v>https://pbs.twimg.com/profile_images/1686269368697556993/VNfPj_XR_normal.jpg</v>
      </c>
      <c r="AW3191" s="93" t="s">
        <v>21337</v>
      </c>
      <c r="AX3191" s="93" t="s">
        <v>21337</v>
      </c>
      <c r="AY3191" s="87"/>
      <c r="AZ3191" s="93" t="s">
        <v>22668</v>
      </c>
      <c r="BA3191" s="93" t="s">
        <v>22668</v>
      </c>
      <c r="BB3191" s="93" t="s">
        <v>22668</v>
      </c>
      <c r="BC3191" s="93" t="s">
        <v>21337</v>
      </c>
      <c r="BD3191" s="93" t="s">
        <v>23365</v>
      </c>
      <c r="BE3191" s="87"/>
      <c r="BF3191" s="87"/>
      <c r="BG3191" s="87"/>
      <c r="BH3191" s="87"/>
      <c r="BI3191" s="87"/>
    </row>
    <row r="3192" spans="1:61" x14ac:dyDescent="0.25">
      <c r="A3192" s="63" t="s">
        <v>1211</v>
      </c>
      <c r="B3192" s="63" t="s">
        <v>1211</v>
      </c>
      <c r="C3192" s="64"/>
      <c r="D3192" s="65"/>
      <c r="E3192" s="66"/>
      <c r="F3192" s="67"/>
      <c r="G3192" s="64"/>
      <c r="H3192" s="68"/>
      <c r="I3192" s="69"/>
      <c r="J3192" s="69"/>
      <c r="K3192" s="32"/>
      <c r="L3192" s="76">
        <v>3192</v>
      </c>
      <c r="M3192" s="76"/>
      <c r="N3192" s="71"/>
      <c r="O3192" s="87" t="s">
        <v>179</v>
      </c>
      <c r="P3192" s="90">
        <v>45166.9450462963</v>
      </c>
      <c r="Q3192" s="87" t="s">
        <v>4888</v>
      </c>
      <c r="R3192" s="87">
        <v>0</v>
      </c>
      <c r="S3192" s="87">
        <v>1</v>
      </c>
      <c r="T3192" s="87">
        <v>0</v>
      </c>
      <c r="U3192" s="87">
        <v>0</v>
      </c>
      <c r="V3192" s="87">
        <v>21</v>
      </c>
      <c r="W3192" s="93" t="s">
        <v>7664</v>
      </c>
      <c r="X3192" s="87"/>
      <c r="Y3192" s="87"/>
      <c r="Z3192" s="87"/>
      <c r="AA3192" s="87" t="s">
        <v>10795</v>
      </c>
      <c r="AB3192" s="87" t="s">
        <v>11448</v>
      </c>
      <c r="AC3192" s="93" t="s">
        <v>11457</v>
      </c>
      <c r="AD3192" s="87" t="s">
        <v>11520</v>
      </c>
      <c r="AE3192" s="92" t="str">
        <f>HYPERLINK("https://twitter.com/odilondeborba/status/1696291786832982263")</f>
        <v>https://twitter.com/odilondeborba/status/1696291786832982263</v>
      </c>
      <c r="AF3192" s="90">
        <v>45166.9450462963</v>
      </c>
      <c r="AG3192" s="99">
        <v>45166</v>
      </c>
      <c r="AH3192" s="93" t="s">
        <v>14364</v>
      </c>
      <c r="AI3192" s="87" t="b">
        <v>0</v>
      </c>
      <c r="AJ3192" s="87"/>
      <c r="AK3192" s="87"/>
      <c r="AL3192" s="87"/>
      <c r="AM3192" s="87"/>
      <c r="AN3192" s="87"/>
      <c r="AO3192" s="87"/>
      <c r="AP3192" s="87"/>
      <c r="AQ3192" s="87" t="s">
        <v>17607</v>
      </c>
      <c r="AR3192" s="87"/>
      <c r="AS3192" s="87"/>
      <c r="AT3192" s="87"/>
      <c r="AU3192" s="87"/>
      <c r="AV3192" s="92" t="str">
        <f>HYPERLINK("https://pbs.twimg.com/media/F4pwRqzW0AA9fjc.jpg")</f>
        <v>https://pbs.twimg.com/media/F4pwRqzW0AA9fjc.jpg</v>
      </c>
      <c r="AW3192" s="93" t="s">
        <v>21338</v>
      </c>
      <c r="AX3192" s="93" t="s">
        <v>21338</v>
      </c>
      <c r="AY3192" s="87"/>
      <c r="AZ3192" s="93" t="s">
        <v>22668</v>
      </c>
      <c r="BA3192" s="93" t="s">
        <v>22668</v>
      </c>
      <c r="BB3192" s="93" t="s">
        <v>22668</v>
      </c>
      <c r="BC3192" s="93" t="s">
        <v>21338</v>
      </c>
      <c r="BD3192" s="93" t="s">
        <v>23365</v>
      </c>
      <c r="BE3192" s="87"/>
      <c r="BF3192" s="87"/>
      <c r="BG3192" s="87"/>
      <c r="BH3192" s="87"/>
      <c r="BI3192" s="87"/>
    </row>
    <row r="3193" spans="1:61" x14ac:dyDescent="0.25">
      <c r="A3193" s="63" t="s">
        <v>1211</v>
      </c>
      <c r="B3193" s="63" t="s">
        <v>1211</v>
      </c>
      <c r="C3193" s="64"/>
      <c r="D3193" s="65"/>
      <c r="E3193" s="66"/>
      <c r="F3193" s="67"/>
      <c r="G3193" s="64"/>
      <c r="H3193" s="68"/>
      <c r="I3193" s="69"/>
      <c r="J3193" s="69"/>
      <c r="K3193" s="32"/>
      <c r="L3193" s="76">
        <v>3193</v>
      </c>
      <c r="M3193" s="76"/>
      <c r="N3193" s="71"/>
      <c r="O3193" s="87" t="s">
        <v>179</v>
      </c>
      <c r="P3193" s="90">
        <v>45166.113275462965</v>
      </c>
      <c r="Q3193" s="87" t="s">
        <v>4889</v>
      </c>
      <c r="R3193" s="87">
        <v>0</v>
      </c>
      <c r="S3193" s="87">
        <v>1</v>
      </c>
      <c r="T3193" s="87">
        <v>1</v>
      </c>
      <c r="U3193" s="87">
        <v>0</v>
      </c>
      <c r="V3193" s="87">
        <v>45</v>
      </c>
      <c r="W3193" s="93" t="s">
        <v>7665</v>
      </c>
      <c r="X3193" s="92" t="str">
        <f>HYPERLINK("https://www.sympla.com.br/ajudar-no-linkedin-e-minha-paixao__2137288")</f>
        <v>https://www.sympla.com.br/ajudar-no-linkedin-e-minha-paixao__2137288</v>
      </c>
      <c r="Y3193" s="87" t="s">
        <v>8373</v>
      </c>
      <c r="Z3193" s="87"/>
      <c r="AA3193" s="87"/>
      <c r="AB3193" s="87"/>
      <c r="AC3193" s="93" t="s">
        <v>11457</v>
      </c>
      <c r="AD3193" s="87" t="s">
        <v>11519</v>
      </c>
      <c r="AE3193" s="92" t="str">
        <f>HYPERLINK("https://twitter.com/odilondeborba/status/1695990364560150628")</f>
        <v>https://twitter.com/odilondeborba/status/1695990364560150628</v>
      </c>
      <c r="AF3193" s="90">
        <v>45166.113275462965</v>
      </c>
      <c r="AG3193" s="99">
        <v>45166</v>
      </c>
      <c r="AH3193" s="93" t="s">
        <v>14365</v>
      </c>
      <c r="AI3193" s="87" t="b">
        <v>0</v>
      </c>
      <c r="AJ3193" s="87"/>
      <c r="AK3193" s="87"/>
      <c r="AL3193" s="87"/>
      <c r="AM3193" s="87"/>
      <c r="AN3193" s="87"/>
      <c r="AO3193" s="87"/>
      <c r="AP3193" s="87"/>
      <c r="AQ3193" s="87"/>
      <c r="AR3193" s="87"/>
      <c r="AS3193" s="87"/>
      <c r="AT3193" s="87"/>
      <c r="AU3193" s="87"/>
      <c r="AV3193" s="92" t="str">
        <f>HYPERLINK("https://pbs.twimg.com/profile_images/1686269368697556993/VNfPj_XR_normal.jpg")</f>
        <v>https://pbs.twimg.com/profile_images/1686269368697556993/VNfPj_XR_normal.jpg</v>
      </c>
      <c r="AW3193" s="93" t="s">
        <v>21339</v>
      </c>
      <c r="AX3193" s="93" t="s">
        <v>21339</v>
      </c>
      <c r="AY3193" s="87"/>
      <c r="AZ3193" s="93" t="s">
        <v>22668</v>
      </c>
      <c r="BA3193" s="93" t="s">
        <v>22668</v>
      </c>
      <c r="BB3193" s="93" t="s">
        <v>22668</v>
      </c>
      <c r="BC3193" s="93" t="s">
        <v>21339</v>
      </c>
      <c r="BD3193" s="93" t="s">
        <v>23365</v>
      </c>
      <c r="BE3193" s="87"/>
      <c r="BF3193" s="87"/>
      <c r="BG3193" s="87"/>
      <c r="BH3193" s="87"/>
      <c r="BI3193" s="87"/>
    </row>
    <row r="3194" spans="1:61" x14ac:dyDescent="0.25">
      <c r="A3194" s="63" t="s">
        <v>1212</v>
      </c>
      <c r="B3194" s="63" t="s">
        <v>1212</v>
      </c>
      <c r="C3194" s="64"/>
      <c r="D3194" s="65"/>
      <c r="E3194" s="66"/>
      <c r="F3194" s="67"/>
      <c r="G3194" s="64"/>
      <c r="H3194" s="68"/>
      <c r="I3194" s="69"/>
      <c r="J3194" s="69"/>
      <c r="K3194" s="32"/>
      <c r="L3194" s="76">
        <v>3194</v>
      </c>
      <c r="M3194" s="76"/>
      <c r="N3194" s="71"/>
      <c r="O3194" s="87" t="s">
        <v>179</v>
      </c>
      <c r="P3194" s="90">
        <v>45193.917916666665</v>
      </c>
      <c r="Q3194" s="87" t="s">
        <v>4890</v>
      </c>
      <c r="R3194" s="87">
        <v>0</v>
      </c>
      <c r="S3194" s="87">
        <v>2</v>
      </c>
      <c r="T3194" s="87">
        <v>0</v>
      </c>
      <c r="U3194" s="87">
        <v>0</v>
      </c>
      <c r="V3194" s="87">
        <v>43</v>
      </c>
      <c r="W3194" s="93" t="s">
        <v>6709</v>
      </c>
      <c r="X3194" s="92" t="str">
        <f>HYPERLINK("http://mla.bs/413f79c7")</f>
        <v>http://mla.bs/413f79c7</v>
      </c>
      <c r="Y3194" s="87" t="s">
        <v>8396</v>
      </c>
      <c r="Z3194" s="87"/>
      <c r="AA3194" s="87" t="s">
        <v>10796</v>
      </c>
      <c r="AB3194" s="87" t="s">
        <v>11448</v>
      </c>
      <c r="AC3194" s="93" t="s">
        <v>11459</v>
      </c>
      <c r="AD3194" s="87" t="s">
        <v>11519</v>
      </c>
      <c r="AE3194" s="92" t="str">
        <f>HYPERLINK("https://twitter.com/damasioaracatub/status/1706066430595129722")</f>
        <v>https://twitter.com/damasioaracatub/status/1706066430595129722</v>
      </c>
      <c r="AF3194" s="90">
        <v>45193.917916666665</v>
      </c>
      <c r="AG3194" s="99">
        <v>45193</v>
      </c>
      <c r="AH3194" s="93" t="s">
        <v>14366</v>
      </c>
      <c r="AI3194" s="87" t="b">
        <v>0</v>
      </c>
      <c r="AJ3194" s="87"/>
      <c r="AK3194" s="87"/>
      <c r="AL3194" s="87"/>
      <c r="AM3194" s="87"/>
      <c r="AN3194" s="87"/>
      <c r="AO3194" s="87"/>
      <c r="AP3194" s="87"/>
      <c r="AQ3194" s="87" t="s">
        <v>17608</v>
      </c>
      <c r="AR3194" s="87"/>
      <c r="AS3194" s="87"/>
      <c r="AT3194" s="87"/>
      <c r="AU3194" s="87"/>
      <c r="AV3194" s="92" t="str">
        <f>HYPERLINK("https://pbs.twimg.com/media/F60qYGNWQAAqzP8.jpg")</f>
        <v>https://pbs.twimg.com/media/F60qYGNWQAAqzP8.jpg</v>
      </c>
      <c r="AW3194" s="93" t="s">
        <v>21340</v>
      </c>
      <c r="AX3194" s="93" t="s">
        <v>21340</v>
      </c>
      <c r="AY3194" s="87"/>
      <c r="AZ3194" s="93" t="s">
        <v>22668</v>
      </c>
      <c r="BA3194" s="93" t="s">
        <v>22668</v>
      </c>
      <c r="BB3194" s="93" t="s">
        <v>22668</v>
      </c>
      <c r="BC3194" s="93" t="s">
        <v>21340</v>
      </c>
      <c r="BD3194" s="87">
        <v>384633377</v>
      </c>
      <c r="BE3194" s="87"/>
      <c r="BF3194" s="87"/>
      <c r="BG3194" s="87"/>
      <c r="BH3194" s="87"/>
      <c r="BI3194" s="87"/>
    </row>
    <row r="3195" spans="1:61" x14ac:dyDescent="0.25">
      <c r="A3195" s="63" t="s">
        <v>1213</v>
      </c>
      <c r="B3195" s="63" t="s">
        <v>1213</v>
      </c>
      <c r="C3195" s="64"/>
      <c r="D3195" s="65"/>
      <c r="E3195" s="66"/>
      <c r="F3195" s="67"/>
      <c r="G3195" s="64"/>
      <c r="H3195" s="68"/>
      <c r="I3195" s="69"/>
      <c r="J3195" s="69"/>
      <c r="K3195" s="32"/>
      <c r="L3195" s="76">
        <v>3195</v>
      </c>
      <c r="M3195" s="76"/>
      <c r="N3195" s="71"/>
      <c r="O3195" s="87" t="s">
        <v>179</v>
      </c>
      <c r="P3195" s="90">
        <v>45174.687916666669</v>
      </c>
      <c r="Q3195" s="87" t="s">
        <v>4891</v>
      </c>
      <c r="R3195" s="87">
        <v>0</v>
      </c>
      <c r="S3195" s="87">
        <v>0</v>
      </c>
      <c r="T3195" s="87">
        <v>0</v>
      </c>
      <c r="U3195" s="87">
        <v>0</v>
      </c>
      <c r="V3195" s="87">
        <v>12</v>
      </c>
      <c r="W3195" s="93" t="s">
        <v>7666</v>
      </c>
      <c r="X3195" s="87"/>
      <c r="Y3195" s="87"/>
      <c r="Z3195" s="87"/>
      <c r="AA3195" s="87" t="s">
        <v>10797</v>
      </c>
      <c r="AB3195" s="87" t="s">
        <v>11447</v>
      </c>
      <c r="AC3195" s="93" t="s">
        <v>11458</v>
      </c>
      <c r="AD3195" s="87" t="s">
        <v>11519</v>
      </c>
      <c r="AE3195" s="92" t="str">
        <f>HYPERLINK("https://twitter.com/melquilima_/status/1699097708357726703")</f>
        <v>https://twitter.com/melquilima_/status/1699097708357726703</v>
      </c>
      <c r="AF3195" s="90">
        <v>45174.687916666669</v>
      </c>
      <c r="AG3195" s="99">
        <v>45174</v>
      </c>
      <c r="AH3195" s="93" t="s">
        <v>14367</v>
      </c>
      <c r="AI3195" s="87" t="b">
        <v>0</v>
      </c>
      <c r="AJ3195" s="87"/>
      <c r="AK3195" s="87"/>
      <c r="AL3195" s="87"/>
      <c r="AM3195" s="87"/>
      <c r="AN3195" s="87"/>
      <c r="AO3195" s="87"/>
      <c r="AP3195" s="87"/>
      <c r="AQ3195" s="87" t="s">
        <v>17609</v>
      </c>
      <c r="AR3195" s="87">
        <v>26600</v>
      </c>
      <c r="AS3195" s="87"/>
      <c r="AT3195" s="87"/>
      <c r="AU3195" s="87"/>
      <c r="AV3195" s="92" t="str">
        <f>HYPERLINK("https://pbs.twimg.com/ext_tw_video_thumb/1699097591592497157/pu/img/mR1sSF_h2VA81Oj4.jpg")</f>
        <v>https://pbs.twimg.com/ext_tw_video_thumb/1699097591592497157/pu/img/mR1sSF_h2VA81Oj4.jpg</v>
      </c>
      <c r="AW3195" s="93" t="s">
        <v>21341</v>
      </c>
      <c r="AX3195" s="93" t="s">
        <v>21341</v>
      </c>
      <c r="AY3195" s="87"/>
      <c r="AZ3195" s="93" t="s">
        <v>22668</v>
      </c>
      <c r="BA3195" s="93" t="s">
        <v>22668</v>
      </c>
      <c r="BB3195" s="93" t="s">
        <v>22668</v>
      </c>
      <c r="BC3195" s="93" t="s">
        <v>21341</v>
      </c>
      <c r="BD3195" s="87">
        <v>3018292498</v>
      </c>
      <c r="BE3195" s="87"/>
      <c r="BF3195" s="87"/>
      <c r="BG3195" s="87"/>
      <c r="BH3195" s="87"/>
      <c r="BI3195" s="87"/>
    </row>
    <row r="3196" spans="1:61" x14ac:dyDescent="0.25">
      <c r="A3196" s="63" t="s">
        <v>1214</v>
      </c>
      <c r="B3196" s="63" t="s">
        <v>1214</v>
      </c>
      <c r="C3196" s="64"/>
      <c r="D3196" s="65"/>
      <c r="E3196" s="66"/>
      <c r="F3196" s="67"/>
      <c r="G3196" s="64"/>
      <c r="H3196" s="68"/>
      <c r="I3196" s="69"/>
      <c r="J3196" s="69"/>
      <c r="K3196" s="32"/>
      <c r="L3196" s="76">
        <v>3196</v>
      </c>
      <c r="M3196" s="76"/>
      <c r="N3196" s="71"/>
      <c r="O3196" s="87" t="s">
        <v>179</v>
      </c>
      <c r="P3196" s="90">
        <v>45176.769594907404</v>
      </c>
      <c r="Q3196" s="87" t="s">
        <v>4892</v>
      </c>
      <c r="R3196" s="87">
        <v>0</v>
      </c>
      <c r="S3196" s="87">
        <v>0</v>
      </c>
      <c r="T3196" s="87">
        <v>0</v>
      </c>
      <c r="U3196" s="87">
        <v>0</v>
      </c>
      <c r="V3196" s="87">
        <v>31</v>
      </c>
      <c r="W3196" s="93" t="s">
        <v>7667</v>
      </c>
      <c r="X3196" s="92" t="str">
        <f>HYPERLINK("https://instagram.com/project.1percent?igshid=MzNlNGNkZWQ4Mg==")</f>
        <v>https://instagram.com/project.1percent?igshid=MzNlNGNkZWQ4Mg==</v>
      </c>
      <c r="Y3196" s="87" t="s">
        <v>8383</v>
      </c>
      <c r="Z3196" s="87"/>
      <c r="AA3196" s="87"/>
      <c r="AB3196" s="87"/>
      <c r="AC3196" s="93" t="s">
        <v>11459</v>
      </c>
      <c r="AD3196" s="87" t="s">
        <v>11519</v>
      </c>
      <c r="AE3196" s="92" t="str">
        <f>HYPERLINK("https://twitter.com/project1porcent/status/1699852084235927967")</f>
        <v>https://twitter.com/project1porcent/status/1699852084235927967</v>
      </c>
      <c r="AF3196" s="90">
        <v>45176.769594907404</v>
      </c>
      <c r="AG3196" s="99">
        <v>45176</v>
      </c>
      <c r="AH3196" s="93" t="s">
        <v>14368</v>
      </c>
      <c r="AI3196" s="87" t="b">
        <v>0</v>
      </c>
      <c r="AJ3196" s="87"/>
      <c r="AK3196" s="87"/>
      <c r="AL3196" s="87"/>
      <c r="AM3196" s="87"/>
      <c r="AN3196" s="87"/>
      <c r="AO3196" s="87"/>
      <c r="AP3196" s="87"/>
      <c r="AQ3196" s="87"/>
      <c r="AR3196" s="87"/>
      <c r="AS3196" s="87"/>
      <c r="AT3196" s="87"/>
      <c r="AU3196" s="87"/>
      <c r="AV3196" s="92" t="str">
        <f>HYPERLINK("https://pbs.twimg.com/profile_images/1699842871052877824/DB3f_MJ3_normal.png")</f>
        <v>https://pbs.twimg.com/profile_images/1699842871052877824/DB3f_MJ3_normal.png</v>
      </c>
      <c r="AW3196" s="93" t="s">
        <v>21342</v>
      </c>
      <c r="AX3196" s="93" t="s">
        <v>21342</v>
      </c>
      <c r="AY3196" s="87"/>
      <c r="AZ3196" s="93" t="s">
        <v>22668</v>
      </c>
      <c r="BA3196" s="93" t="s">
        <v>22668</v>
      </c>
      <c r="BB3196" s="93" t="s">
        <v>22668</v>
      </c>
      <c r="BC3196" s="93" t="s">
        <v>21342</v>
      </c>
      <c r="BD3196" s="93" t="s">
        <v>23366</v>
      </c>
      <c r="BE3196" s="87"/>
      <c r="BF3196" s="87"/>
      <c r="BG3196" s="87"/>
      <c r="BH3196" s="87"/>
      <c r="BI3196" s="87"/>
    </row>
    <row r="3197" spans="1:61" x14ac:dyDescent="0.25">
      <c r="A3197" s="63" t="s">
        <v>1215</v>
      </c>
      <c r="B3197" s="63" t="s">
        <v>1215</v>
      </c>
      <c r="C3197" s="64"/>
      <c r="D3197" s="65"/>
      <c r="E3197" s="66"/>
      <c r="F3197" s="67"/>
      <c r="G3197" s="64"/>
      <c r="H3197" s="68"/>
      <c r="I3197" s="69"/>
      <c r="J3197" s="69"/>
      <c r="K3197" s="32"/>
      <c r="L3197" s="76">
        <v>3197</v>
      </c>
      <c r="M3197" s="76"/>
      <c r="N3197" s="71"/>
      <c r="O3197" s="87" t="s">
        <v>179</v>
      </c>
      <c r="P3197" s="90">
        <v>45132.369293981479</v>
      </c>
      <c r="Q3197" s="87" t="s">
        <v>4893</v>
      </c>
      <c r="R3197" s="87">
        <v>0</v>
      </c>
      <c r="S3197" s="87">
        <v>0</v>
      </c>
      <c r="T3197" s="87">
        <v>0</v>
      </c>
      <c r="U3197" s="87">
        <v>0</v>
      </c>
      <c r="V3197" s="87">
        <v>35</v>
      </c>
      <c r="W3197" s="93" t="s">
        <v>7668</v>
      </c>
      <c r="X3197" s="92" t="str">
        <f>HYPERLINK("http://www.nicolasworkonline.com")</f>
        <v>http://www.nicolasworkonline.com</v>
      </c>
      <c r="Y3197" s="87" t="s">
        <v>8512</v>
      </c>
      <c r="Z3197" s="87"/>
      <c r="AA3197" s="87" t="s">
        <v>10798</v>
      </c>
      <c r="AB3197" s="87" t="s">
        <v>11447</v>
      </c>
      <c r="AC3197" s="93" t="s">
        <v>11457</v>
      </c>
      <c r="AD3197" s="87" t="s">
        <v>11518</v>
      </c>
      <c r="AE3197" s="92" t="str">
        <f>HYPERLINK("https://twitter.com/nicolasworkonli/status/1683761956233117697")</f>
        <v>https://twitter.com/nicolasworkonli/status/1683761956233117697</v>
      </c>
      <c r="AF3197" s="90">
        <v>45132.369293981479</v>
      </c>
      <c r="AG3197" s="99">
        <v>45132</v>
      </c>
      <c r="AH3197" s="93" t="s">
        <v>14369</v>
      </c>
      <c r="AI3197" s="87" t="b">
        <v>0</v>
      </c>
      <c r="AJ3197" s="87"/>
      <c r="AK3197" s="87"/>
      <c r="AL3197" s="87"/>
      <c r="AM3197" s="87"/>
      <c r="AN3197" s="87"/>
      <c r="AO3197" s="87"/>
      <c r="AP3197" s="87"/>
      <c r="AQ3197" s="87" t="s">
        <v>17610</v>
      </c>
      <c r="AR3197" s="87">
        <v>59480</v>
      </c>
      <c r="AS3197" s="87"/>
      <c r="AT3197" s="87"/>
      <c r="AU3197" s="87"/>
      <c r="AV3197" s="92" t="str">
        <f>HYPERLINK("https://pbs.twimg.com/ext_tw_video_thumb/1683760897217495040/pu/img/T4vzNyYMgrRBV0mw.jpg")</f>
        <v>https://pbs.twimg.com/ext_tw_video_thumb/1683760897217495040/pu/img/T4vzNyYMgrRBV0mw.jpg</v>
      </c>
      <c r="AW3197" s="93" t="s">
        <v>21343</v>
      </c>
      <c r="AX3197" s="93" t="s">
        <v>21343</v>
      </c>
      <c r="AY3197" s="87"/>
      <c r="AZ3197" s="93" t="s">
        <v>22668</v>
      </c>
      <c r="BA3197" s="93" t="s">
        <v>22668</v>
      </c>
      <c r="BB3197" s="93" t="s">
        <v>22668</v>
      </c>
      <c r="BC3197" s="93" t="s">
        <v>21343</v>
      </c>
      <c r="BD3197" s="93" t="s">
        <v>23367</v>
      </c>
      <c r="BE3197" s="87"/>
      <c r="BF3197" s="87"/>
      <c r="BG3197" s="87"/>
      <c r="BH3197" s="87"/>
      <c r="BI3197" s="87"/>
    </row>
    <row r="3198" spans="1:61" x14ac:dyDescent="0.25">
      <c r="A3198" s="63" t="s">
        <v>1215</v>
      </c>
      <c r="B3198" s="63" t="s">
        <v>1215</v>
      </c>
      <c r="C3198" s="64"/>
      <c r="D3198" s="65"/>
      <c r="E3198" s="66"/>
      <c r="F3198" s="67"/>
      <c r="G3198" s="64"/>
      <c r="H3198" s="68"/>
      <c r="I3198" s="69"/>
      <c r="J3198" s="69"/>
      <c r="K3198" s="32"/>
      <c r="L3198" s="76">
        <v>3198</v>
      </c>
      <c r="M3198" s="76"/>
      <c r="N3198" s="71"/>
      <c r="O3198" s="87" t="s">
        <v>179</v>
      </c>
      <c r="P3198" s="90">
        <v>45180.558749999997</v>
      </c>
      <c r="Q3198" s="87" t="s">
        <v>4894</v>
      </c>
      <c r="R3198" s="87">
        <v>0</v>
      </c>
      <c r="S3198" s="87">
        <v>1</v>
      </c>
      <c r="T3198" s="87">
        <v>0</v>
      </c>
      <c r="U3198" s="87">
        <v>1</v>
      </c>
      <c r="V3198" s="87">
        <v>109</v>
      </c>
      <c r="W3198" s="93" t="s">
        <v>7669</v>
      </c>
      <c r="X3198" s="92" t="str">
        <f>HYPERLINK("http://www.NicolasWorkOnline.com")</f>
        <v>http://www.NicolasWorkOnline.com</v>
      </c>
      <c r="Y3198" s="87" t="s">
        <v>8512</v>
      </c>
      <c r="Z3198" s="87"/>
      <c r="AA3198" s="87" t="s">
        <v>10799</v>
      </c>
      <c r="AB3198" s="87" t="s">
        <v>11447</v>
      </c>
      <c r="AC3198" s="93" t="s">
        <v>11457</v>
      </c>
      <c r="AD3198" s="87" t="s">
        <v>11518</v>
      </c>
      <c r="AE3198" s="92" t="str">
        <f>HYPERLINK("https://twitter.com/nicolasworkonli/status/1701225229777842656")</f>
        <v>https://twitter.com/nicolasworkonli/status/1701225229777842656</v>
      </c>
      <c r="AF3198" s="90">
        <v>45180.558749999997</v>
      </c>
      <c r="AG3198" s="99">
        <v>45180</v>
      </c>
      <c r="AH3198" s="93" t="s">
        <v>14370</v>
      </c>
      <c r="AI3198" s="87" t="b">
        <v>0</v>
      </c>
      <c r="AJ3198" s="87"/>
      <c r="AK3198" s="87"/>
      <c r="AL3198" s="87"/>
      <c r="AM3198" s="87"/>
      <c r="AN3198" s="87"/>
      <c r="AO3198" s="87"/>
      <c r="AP3198" s="87"/>
      <c r="AQ3198" s="87" t="s">
        <v>17611</v>
      </c>
      <c r="AR3198" s="87">
        <v>123471</v>
      </c>
      <c r="AS3198" s="87"/>
      <c r="AT3198" s="87"/>
      <c r="AU3198" s="87"/>
      <c r="AV3198" s="92" t="str">
        <f>HYPERLINK("https://pbs.twimg.com/ext_tw_video_thumb/1701225018191998976/pu/img/D7vje02VUZs2UYhx.jpg")</f>
        <v>https://pbs.twimg.com/ext_tw_video_thumb/1701225018191998976/pu/img/D7vje02VUZs2UYhx.jpg</v>
      </c>
      <c r="AW3198" s="93" t="s">
        <v>21344</v>
      </c>
      <c r="AX3198" s="93" t="s">
        <v>21344</v>
      </c>
      <c r="AY3198" s="87"/>
      <c r="AZ3198" s="93" t="s">
        <v>22668</v>
      </c>
      <c r="BA3198" s="93" t="s">
        <v>22668</v>
      </c>
      <c r="BB3198" s="93" t="s">
        <v>22668</v>
      </c>
      <c r="BC3198" s="93" t="s">
        <v>21344</v>
      </c>
      <c r="BD3198" s="93" t="s">
        <v>23367</v>
      </c>
      <c r="BE3198" s="87"/>
      <c r="BF3198" s="87"/>
      <c r="BG3198" s="87"/>
      <c r="BH3198" s="87"/>
      <c r="BI3198" s="87"/>
    </row>
    <row r="3199" spans="1:61" x14ac:dyDescent="0.25">
      <c r="A3199" s="63" t="s">
        <v>1216</v>
      </c>
      <c r="B3199" s="63" t="s">
        <v>1683</v>
      </c>
      <c r="C3199" s="64"/>
      <c r="D3199" s="65"/>
      <c r="E3199" s="66"/>
      <c r="F3199" s="67"/>
      <c r="G3199" s="64"/>
      <c r="H3199" s="68"/>
      <c r="I3199" s="69"/>
      <c r="J3199" s="69"/>
      <c r="K3199" s="32"/>
      <c r="L3199" s="76">
        <v>3199</v>
      </c>
      <c r="M3199" s="76"/>
      <c r="N3199" s="71"/>
      <c r="O3199" s="87" t="s">
        <v>1839</v>
      </c>
      <c r="P3199" s="90">
        <v>45154.50167824074</v>
      </c>
      <c r="Q3199" s="87" t="s">
        <v>4895</v>
      </c>
      <c r="R3199" s="87">
        <v>0</v>
      </c>
      <c r="S3199" s="87">
        <v>0</v>
      </c>
      <c r="T3199" s="87">
        <v>0</v>
      </c>
      <c r="U3199" s="87">
        <v>0</v>
      </c>
      <c r="V3199" s="87">
        <v>36</v>
      </c>
      <c r="W3199" s="93" t="s">
        <v>7670</v>
      </c>
      <c r="X3199" s="92" t="str">
        <f>HYPERLINK("https://frases.win/2023/08/16/a-crise-e-o-melhor-momento-para-quem-esta-em-baixo-por-que-quem-esta-embaixo-precisa-da-instabilidade-para-ter-a-chance-de-subir-flavio-augusto/")</f>
        <v>https://frases.win/2023/08/16/a-crise-e-o-melhor-momento-para-quem-esta-em-baixo-por-que-quem-esta-embaixo-precisa-da-instabilidade-para-ter-a-chance-de-subir-flavio-augusto/</v>
      </c>
      <c r="Y3199" s="87" t="s">
        <v>8513</v>
      </c>
      <c r="Z3199" s="87" t="s">
        <v>8605</v>
      </c>
      <c r="AA3199" s="87" t="s">
        <v>10800</v>
      </c>
      <c r="AB3199" s="87" t="s">
        <v>11448</v>
      </c>
      <c r="AC3199" s="93" t="s">
        <v>11459</v>
      </c>
      <c r="AD3199" s="87" t="s">
        <v>11523</v>
      </c>
      <c r="AE3199" s="92" t="str">
        <f>HYPERLINK("https://twitter.com/fraseswinbr/status/1691782463251431439")</f>
        <v>https://twitter.com/fraseswinbr/status/1691782463251431439</v>
      </c>
      <c r="AF3199" s="90">
        <v>45154.50167824074</v>
      </c>
      <c r="AG3199" s="99">
        <v>45154</v>
      </c>
      <c r="AH3199" s="93" t="s">
        <v>14371</v>
      </c>
      <c r="AI3199" s="87" t="b">
        <v>0</v>
      </c>
      <c r="AJ3199" s="87"/>
      <c r="AK3199" s="87"/>
      <c r="AL3199" s="87"/>
      <c r="AM3199" s="87"/>
      <c r="AN3199" s="87"/>
      <c r="AO3199" s="87"/>
      <c r="AP3199" s="87"/>
      <c r="AQ3199" s="87" t="s">
        <v>17612</v>
      </c>
      <c r="AR3199" s="87"/>
      <c r="AS3199" s="87"/>
      <c r="AT3199" s="87"/>
      <c r="AU3199" s="87"/>
      <c r="AV3199" s="92" t="str">
        <f>HYPERLINK("https://pbs.twimg.com/media/F3prLl0XoAAUguh.jpg")</f>
        <v>https://pbs.twimg.com/media/F3prLl0XoAAUguh.jpg</v>
      </c>
      <c r="AW3199" s="93" t="s">
        <v>21345</v>
      </c>
      <c r="AX3199" s="93" t="s">
        <v>21345</v>
      </c>
      <c r="AY3199" s="87"/>
      <c r="AZ3199" s="93" t="s">
        <v>22668</v>
      </c>
      <c r="BA3199" s="93" t="s">
        <v>22668</v>
      </c>
      <c r="BB3199" s="93" t="s">
        <v>22668</v>
      </c>
      <c r="BC3199" s="93" t="s">
        <v>21345</v>
      </c>
      <c r="BD3199" s="93" t="s">
        <v>23368</v>
      </c>
      <c r="BE3199" s="87"/>
      <c r="BF3199" s="87"/>
      <c r="BG3199" s="87"/>
      <c r="BH3199" s="87"/>
      <c r="BI3199" s="87"/>
    </row>
    <row r="3200" spans="1:61" x14ac:dyDescent="0.25">
      <c r="A3200" s="63" t="s">
        <v>1216</v>
      </c>
      <c r="B3200" s="63" t="s">
        <v>1216</v>
      </c>
      <c r="C3200" s="64"/>
      <c r="D3200" s="65"/>
      <c r="E3200" s="66"/>
      <c r="F3200" s="67"/>
      <c r="G3200" s="64"/>
      <c r="H3200" s="68"/>
      <c r="I3200" s="69"/>
      <c r="J3200" s="69"/>
      <c r="K3200" s="32"/>
      <c r="L3200" s="76">
        <v>3200</v>
      </c>
      <c r="M3200" s="76"/>
      <c r="N3200" s="71"/>
      <c r="O3200" s="87" t="s">
        <v>1839</v>
      </c>
      <c r="P3200" s="90">
        <v>45147.503958333335</v>
      </c>
      <c r="Q3200" s="87" t="s">
        <v>4896</v>
      </c>
      <c r="R3200" s="87">
        <v>0</v>
      </c>
      <c r="S3200" s="87">
        <v>0</v>
      </c>
      <c r="T3200" s="87">
        <v>0</v>
      </c>
      <c r="U3200" s="87">
        <v>0</v>
      </c>
      <c r="V3200" s="87">
        <v>12</v>
      </c>
      <c r="W3200" s="93" t="s">
        <v>7671</v>
      </c>
      <c r="X3200" s="92" t="str">
        <f>HYPERLINK("https://frases.win/2023/08/09/prosperar-doi-a-pobreza-tambem-escolha-qual-dor-voce-quer-sentir-carlos-wizard-martins/")</f>
        <v>https://frases.win/2023/08/09/prosperar-doi-a-pobreza-tambem-escolha-qual-dor-voce-quer-sentir-carlos-wizard-martins/</v>
      </c>
      <c r="Y3200" s="87" t="s">
        <v>8513</v>
      </c>
      <c r="Z3200" s="87" t="s">
        <v>1216</v>
      </c>
      <c r="AA3200" s="87" t="s">
        <v>10801</v>
      </c>
      <c r="AB3200" s="87" t="s">
        <v>11448</v>
      </c>
      <c r="AC3200" s="93" t="s">
        <v>11459</v>
      </c>
      <c r="AD3200" s="87" t="s">
        <v>11523</v>
      </c>
      <c r="AE3200" s="92" t="str">
        <f>HYPERLINK("https://twitter.com/fraseswinbr/status/1689246571701870594")</f>
        <v>https://twitter.com/fraseswinbr/status/1689246571701870594</v>
      </c>
      <c r="AF3200" s="90">
        <v>45147.503958333335</v>
      </c>
      <c r="AG3200" s="99">
        <v>45147</v>
      </c>
      <c r="AH3200" s="93" t="s">
        <v>14372</v>
      </c>
      <c r="AI3200" s="87" t="b">
        <v>0</v>
      </c>
      <c r="AJ3200" s="87"/>
      <c r="AK3200" s="87"/>
      <c r="AL3200" s="87"/>
      <c r="AM3200" s="87"/>
      <c r="AN3200" s="87"/>
      <c r="AO3200" s="87"/>
      <c r="AP3200" s="87"/>
      <c r="AQ3200" s="87" t="s">
        <v>17613</v>
      </c>
      <c r="AR3200" s="87"/>
      <c r="AS3200" s="87"/>
      <c r="AT3200" s="87"/>
      <c r="AU3200" s="87"/>
      <c r="AV3200" s="92" t="str">
        <f>HYPERLINK("https://pbs.twimg.com/media/F3FozfgXYAAFvQm.jpg")</f>
        <v>https://pbs.twimg.com/media/F3FozfgXYAAFvQm.jpg</v>
      </c>
      <c r="AW3200" s="93" t="s">
        <v>21346</v>
      </c>
      <c r="AX3200" s="93" t="s">
        <v>21346</v>
      </c>
      <c r="AY3200" s="87"/>
      <c r="AZ3200" s="93" t="s">
        <v>22668</v>
      </c>
      <c r="BA3200" s="93" t="s">
        <v>22668</v>
      </c>
      <c r="BB3200" s="93" t="s">
        <v>22668</v>
      </c>
      <c r="BC3200" s="93" t="s">
        <v>21346</v>
      </c>
      <c r="BD3200" s="93" t="s">
        <v>23368</v>
      </c>
      <c r="BE3200" s="87"/>
      <c r="BF3200" s="87"/>
      <c r="BG3200" s="87"/>
      <c r="BH3200" s="87"/>
      <c r="BI3200" s="87"/>
    </row>
    <row r="3201" spans="1:61" x14ac:dyDescent="0.25">
      <c r="A3201" s="63" t="s">
        <v>1216</v>
      </c>
      <c r="B3201" s="63" t="s">
        <v>1216</v>
      </c>
      <c r="C3201" s="64"/>
      <c r="D3201" s="65"/>
      <c r="E3201" s="66"/>
      <c r="F3201" s="67"/>
      <c r="G3201" s="64"/>
      <c r="H3201" s="68"/>
      <c r="I3201" s="69"/>
      <c r="J3201" s="69"/>
      <c r="K3201" s="32"/>
      <c r="L3201" s="76">
        <v>3201</v>
      </c>
      <c r="M3201" s="76"/>
      <c r="N3201" s="71"/>
      <c r="O3201" s="87" t="s">
        <v>1839</v>
      </c>
      <c r="P3201" s="90">
        <v>45182.565046296295</v>
      </c>
      <c r="Q3201" s="87" t="s">
        <v>4897</v>
      </c>
      <c r="R3201" s="87">
        <v>0</v>
      </c>
      <c r="S3201" s="87">
        <v>0</v>
      </c>
      <c r="T3201" s="87">
        <v>0</v>
      </c>
      <c r="U3201" s="87">
        <v>0</v>
      </c>
      <c r="V3201" s="87">
        <v>24</v>
      </c>
      <c r="W3201" s="93" t="s">
        <v>7672</v>
      </c>
      <c r="X3201" s="92" t="str">
        <f>HYPERLINK("https://frases.win/2023/09/13/a-unica-fonte-de-lucro-e-o-cliente-peter-drucker/")</f>
        <v>https://frases.win/2023/09/13/a-unica-fonte-de-lucro-e-o-cliente-peter-drucker/</v>
      </c>
      <c r="Y3201" s="87" t="s">
        <v>8513</v>
      </c>
      <c r="Z3201" s="87" t="s">
        <v>1216</v>
      </c>
      <c r="AA3201" s="87" t="s">
        <v>10802</v>
      </c>
      <c r="AB3201" s="87" t="s">
        <v>11448</v>
      </c>
      <c r="AC3201" s="93" t="s">
        <v>11459</v>
      </c>
      <c r="AD3201" s="87" t="s">
        <v>11523</v>
      </c>
      <c r="AE3201" s="92" t="str">
        <f>HYPERLINK("https://twitter.com/fraseswinbr/status/1701952286317064575")</f>
        <v>https://twitter.com/fraseswinbr/status/1701952286317064575</v>
      </c>
      <c r="AF3201" s="90">
        <v>45182.565046296295</v>
      </c>
      <c r="AG3201" s="99">
        <v>45182</v>
      </c>
      <c r="AH3201" s="93" t="s">
        <v>14373</v>
      </c>
      <c r="AI3201" s="87" t="b">
        <v>0</v>
      </c>
      <c r="AJ3201" s="87"/>
      <c r="AK3201" s="87"/>
      <c r="AL3201" s="87"/>
      <c r="AM3201" s="87"/>
      <c r="AN3201" s="87"/>
      <c r="AO3201" s="87"/>
      <c r="AP3201" s="87"/>
      <c r="AQ3201" s="87" t="s">
        <v>17614</v>
      </c>
      <c r="AR3201" s="87"/>
      <c r="AS3201" s="87"/>
      <c r="AT3201" s="87"/>
      <c r="AU3201" s="87"/>
      <c r="AV3201" s="92" t="str">
        <f>HYPERLINK("https://pbs.twimg.com/media/F56MlZPX0AAzhXO.jpg")</f>
        <v>https://pbs.twimg.com/media/F56MlZPX0AAzhXO.jpg</v>
      </c>
      <c r="AW3201" s="93" t="s">
        <v>21347</v>
      </c>
      <c r="AX3201" s="93" t="s">
        <v>21347</v>
      </c>
      <c r="AY3201" s="87"/>
      <c r="AZ3201" s="93" t="s">
        <v>22668</v>
      </c>
      <c r="BA3201" s="93" t="s">
        <v>22668</v>
      </c>
      <c r="BB3201" s="93" t="s">
        <v>22668</v>
      </c>
      <c r="BC3201" s="93" t="s">
        <v>21347</v>
      </c>
      <c r="BD3201" s="93" t="s">
        <v>23368</v>
      </c>
      <c r="BE3201" s="87"/>
      <c r="BF3201" s="87"/>
      <c r="BG3201" s="87"/>
      <c r="BH3201" s="87"/>
      <c r="BI3201" s="87"/>
    </row>
    <row r="3202" spans="1:61" x14ac:dyDescent="0.25">
      <c r="A3202" s="63" t="s">
        <v>1216</v>
      </c>
      <c r="B3202" s="63" t="s">
        <v>1216</v>
      </c>
      <c r="C3202" s="64"/>
      <c r="D3202" s="65"/>
      <c r="E3202" s="66"/>
      <c r="F3202" s="67"/>
      <c r="G3202" s="64"/>
      <c r="H3202" s="68"/>
      <c r="I3202" s="69"/>
      <c r="J3202" s="69"/>
      <c r="K3202" s="32"/>
      <c r="L3202" s="76">
        <v>3202</v>
      </c>
      <c r="M3202" s="76"/>
      <c r="N3202" s="71"/>
      <c r="O3202" s="87" t="s">
        <v>1839</v>
      </c>
      <c r="P3202" s="90">
        <v>45154.50167824074</v>
      </c>
      <c r="Q3202" s="87" t="s">
        <v>4895</v>
      </c>
      <c r="R3202" s="87">
        <v>0</v>
      </c>
      <c r="S3202" s="87">
        <v>0</v>
      </c>
      <c r="T3202" s="87">
        <v>0</v>
      </c>
      <c r="U3202" s="87">
        <v>0</v>
      </c>
      <c r="V3202" s="87">
        <v>36</v>
      </c>
      <c r="W3202" s="93" t="s">
        <v>7670</v>
      </c>
      <c r="X3202" s="92" t="str">
        <f>HYPERLINK("https://frases.win/2023/08/16/a-crise-e-o-melhor-momento-para-quem-esta-em-baixo-por-que-quem-esta-embaixo-precisa-da-instabilidade-para-ter-a-chance-de-subir-flavio-augusto/")</f>
        <v>https://frases.win/2023/08/16/a-crise-e-o-melhor-momento-para-quem-esta-em-baixo-por-que-quem-esta-embaixo-precisa-da-instabilidade-para-ter-a-chance-de-subir-flavio-augusto/</v>
      </c>
      <c r="Y3202" s="87" t="s">
        <v>8513</v>
      </c>
      <c r="Z3202" s="87" t="s">
        <v>8605</v>
      </c>
      <c r="AA3202" s="87" t="s">
        <v>10800</v>
      </c>
      <c r="AB3202" s="87" t="s">
        <v>11448</v>
      </c>
      <c r="AC3202" s="93" t="s">
        <v>11459</v>
      </c>
      <c r="AD3202" s="87" t="s">
        <v>11523</v>
      </c>
      <c r="AE3202" s="92" t="str">
        <f>HYPERLINK("https://twitter.com/fraseswinbr/status/1691782463251431439")</f>
        <v>https://twitter.com/fraseswinbr/status/1691782463251431439</v>
      </c>
      <c r="AF3202" s="90">
        <v>45154.50167824074</v>
      </c>
      <c r="AG3202" s="99">
        <v>45154</v>
      </c>
      <c r="AH3202" s="93" t="s">
        <v>14371</v>
      </c>
      <c r="AI3202" s="87" t="b">
        <v>0</v>
      </c>
      <c r="AJ3202" s="87"/>
      <c r="AK3202" s="87"/>
      <c r="AL3202" s="87"/>
      <c r="AM3202" s="87"/>
      <c r="AN3202" s="87"/>
      <c r="AO3202" s="87"/>
      <c r="AP3202" s="87"/>
      <c r="AQ3202" s="87" t="s">
        <v>17612</v>
      </c>
      <c r="AR3202" s="87"/>
      <c r="AS3202" s="87"/>
      <c r="AT3202" s="87"/>
      <c r="AU3202" s="87"/>
      <c r="AV3202" s="92" t="str">
        <f>HYPERLINK("https://pbs.twimg.com/media/F3prLl0XoAAUguh.jpg")</f>
        <v>https://pbs.twimg.com/media/F3prLl0XoAAUguh.jpg</v>
      </c>
      <c r="AW3202" s="93" t="s">
        <v>21345</v>
      </c>
      <c r="AX3202" s="93" t="s">
        <v>21345</v>
      </c>
      <c r="AY3202" s="87"/>
      <c r="AZ3202" s="93" t="s">
        <v>22668</v>
      </c>
      <c r="BA3202" s="93" t="s">
        <v>22668</v>
      </c>
      <c r="BB3202" s="93" t="s">
        <v>22668</v>
      </c>
      <c r="BC3202" s="93" t="s">
        <v>21345</v>
      </c>
      <c r="BD3202" s="93" t="s">
        <v>23368</v>
      </c>
      <c r="BE3202" s="87"/>
      <c r="BF3202" s="87"/>
      <c r="BG3202" s="87"/>
      <c r="BH3202" s="87"/>
      <c r="BI3202" s="87"/>
    </row>
    <row r="3203" spans="1:61" x14ac:dyDescent="0.25">
      <c r="A3203" s="63" t="s">
        <v>1217</v>
      </c>
      <c r="B3203" s="63" t="s">
        <v>1217</v>
      </c>
      <c r="C3203" s="64"/>
      <c r="D3203" s="65"/>
      <c r="E3203" s="66"/>
      <c r="F3203" s="67"/>
      <c r="G3203" s="64"/>
      <c r="H3203" s="68"/>
      <c r="I3203" s="69"/>
      <c r="J3203" s="69"/>
      <c r="K3203" s="32"/>
      <c r="L3203" s="76">
        <v>3203</v>
      </c>
      <c r="M3203" s="76"/>
      <c r="N3203" s="71"/>
      <c r="O3203" s="87" t="s">
        <v>179</v>
      </c>
      <c r="P3203" s="90">
        <v>45155.813530092593</v>
      </c>
      <c r="Q3203" s="87" t="s">
        <v>4898</v>
      </c>
      <c r="R3203" s="87">
        <v>0</v>
      </c>
      <c r="S3203" s="87">
        <v>2</v>
      </c>
      <c r="T3203" s="87">
        <v>0</v>
      </c>
      <c r="U3203" s="87">
        <v>0</v>
      </c>
      <c r="V3203" s="87">
        <v>56</v>
      </c>
      <c r="W3203" s="93" t="s">
        <v>7673</v>
      </c>
      <c r="X3203" s="87"/>
      <c r="Y3203" s="87"/>
      <c r="Z3203" s="87"/>
      <c r="AA3203" s="87" t="s">
        <v>10803</v>
      </c>
      <c r="AB3203" s="87" t="s">
        <v>11447</v>
      </c>
      <c r="AC3203" s="93" t="s">
        <v>11458</v>
      </c>
      <c r="AD3203" s="87" t="s">
        <v>11518</v>
      </c>
      <c r="AE3203" s="92" t="str">
        <f>HYPERLINK("https://twitter.com/8nineteenprolab/status/1692257860988854329")</f>
        <v>https://twitter.com/8nineteenprolab/status/1692257860988854329</v>
      </c>
      <c r="AF3203" s="90">
        <v>45155.813530092593</v>
      </c>
      <c r="AG3203" s="99">
        <v>45155</v>
      </c>
      <c r="AH3203" s="93" t="s">
        <v>13343</v>
      </c>
      <c r="AI3203" s="87" t="b">
        <v>0</v>
      </c>
      <c r="AJ3203" s="87"/>
      <c r="AK3203" s="87"/>
      <c r="AL3203" s="87"/>
      <c r="AM3203" s="87"/>
      <c r="AN3203" s="87"/>
      <c r="AO3203" s="87"/>
      <c r="AP3203" s="87"/>
      <c r="AQ3203" s="87" t="s">
        <v>17615</v>
      </c>
      <c r="AR3203" s="87">
        <v>15000</v>
      </c>
      <c r="AS3203" s="87"/>
      <c r="AT3203" s="87"/>
      <c r="AU3203" s="87"/>
      <c r="AV3203" s="92" t="str">
        <f>HYPERLINK("https://pbs.twimg.com/ext_tw_video_thumb/1692257813458993152/pu/img/2pLlORoI037y4-nI.jpg")</f>
        <v>https://pbs.twimg.com/ext_tw_video_thumb/1692257813458993152/pu/img/2pLlORoI037y4-nI.jpg</v>
      </c>
      <c r="AW3203" s="93" t="s">
        <v>21348</v>
      </c>
      <c r="AX3203" s="93" t="s">
        <v>21348</v>
      </c>
      <c r="AY3203" s="87"/>
      <c r="AZ3203" s="93" t="s">
        <v>22668</v>
      </c>
      <c r="BA3203" s="93" t="s">
        <v>22668</v>
      </c>
      <c r="BB3203" s="93" t="s">
        <v>22668</v>
      </c>
      <c r="BC3203" s="93" t="s">
        <v>21348</v>
      </c>
      <c r="BD3203" s="93" t="s">
        <v>23369</v>
      </c>
      <c r="BE3203" s="87"/>
      <c r="BF3203" s="87"/>
      <c r="BG3203" s="87"/>
      <c r="BH3203" s="87"/>
      <c r="BI3203" s="87"/>
    </row>
    <row r="3204" spans="1:61" x14ac:dyDescent="0.25">
      <c r="A3204" s="63" t="s">
        <v>1218</v>
      </c>
      <c r="B3204" s="63" t="s">
        <v>1218</v>
      </c>
      <c r="C3204" s="64"/>
      <c r="D3204" s="65"/>
      <c r="E3204" s="66"/>
      <c r="F3204" s="67"/>
      <c r="G3204" s="64"/>
      <c r="H3204" s="68"/>
      <c r="I3204" s="69"/>
      <c r="J3204" s="69"/>
      <c r="K3204" s="32"/>
      <c r="L3204" s="76">
        <v>3204</v>
      </c>
      <c r="M3204" s="76"/>
      <c r="N3204" s="71"/>
      <c r="O3204" s="87" t="s">
        <v>179</v>
      </c>
      <c r="P3204" s="90">
        <v>45145.73841435185</v>
      </c>
      <c r="Q3204" s="87" t="s">
        <v>4899</v>
      </c>
      <c r="R3204" s="87">
        <v>0</v>
      </c>
      <c r="S3204" s="87">
        <v>0</v>
      </c>
      <c r="T3204" s="87">
        <v>0</v>
      </c>
      <c r="U3204" s="87">
        <v>0</v>
      </c>
      <c r="V3204" s="87">
        <v>42</v>
      </c>
      <c r="W3204" s="93" t="s">
        <v>7674</v>
      </c>
      <c r="X3204" s="87"/>
      <c r="Y3204" s="87"/>
      <c r="Z3204" s="87"/>
      <c r="AA3204" s="87" t="s">
        <v>10804</v>
      </c>
      <c r="AB3204" s="87" t="s">
        <v>11448</v>
      </c>
      <c r="AC3204" s="93" t="s">
        <v>11462</v>
      </c>
      <c r="AD3204" s="87" t="s">
        <v>11519</v>
      </c>
      <c r="AE3204" s="92" t="str">
        <f>HYPERLINK("https://twitter.com/criarteitu/status/1688606762650218496")</f>
        <v>https://twitter.com/criarteitu/status/1688606762650218496</v>
      </c>
      <c r="AF3204" s="90">
        <v>45145.73841435185</v>
      </c>
      <c r="AG3204" s="99">
        <v>45145</v>
      </c>
      <c r="AH3204" s="93" t="s">
        <v>14374</v>
      </c>
      <c r="AI3204" s="87" t="b">
        <v>0</v>
      </c>
      <c r="AJ3204" s="87"/>
      <c r="AK3204" s="87"/>
      <c r="AL3204" s="87"/>
      <c r="AM3204" s="87"/>
      <c r="AN3204" s="87"/>
      <c r="AO3204" s="87"/>
      <c r="AP3204" s="87"/>
      <c r="AQ3204" s="87" t="s">
        <v>17616</v>
      </c>
      <c r="AR3204" s="87"/>
      <c r="AS3204" s="87"/>
      <c r="AT3204" s="87"/>
      <c r="AU3204" s="87"/>
      <c r="AV3204" s="92" t="str">
        <f>HYPERLINK("https://pbs.twimg.com/media/F28i5wcXkAEL_vc.jpg")</f>
        <v>https://pbs.twimg.com/media/F28i5wcXkAEL_vc.jpg</v>
      </c>
      <c r="AW3204" s="93" t="s">
        <v>21349</v>
      </c>
      <c r="AX3204" s="93" t="s">
        <v>21349</v>
      </c>
      <c r="AY3204" s="87"/>
      <c r="AZ3204" s="93" t="s">
        <v>22668</v>
      </c>
      <c r="BA3204" s="93" t="s">
        <v>22668</v>
      </c>
      <c r="BB3204" s="93" t="s">
        <v>22668</v>
      </c>
      <c r="BC3204" s="93" t="s">
        <v>21349</v>
      </c>
      <c r="BD3204" s="87">
        <v>448069035</v>
      </c>
      <c r="BE3204" s="87"/>
      <c r="BF3204" s="87"/>
      <c r="BG3204" s="87"/>
      <c r="BH3204" s="87"/>
      <c r="BI3204" s="87"/>
    </row>
    <row r="3205" spans="1:61" x14ac:dyDescent="0.25">
      <c r="A3205" s="63" t="s">
        <v>1218</v>
      </c>
      <c r="B3205" s="63" t="s">
        <v>1218</v>
      </c>
      <c r="C3205" s="64"/>
      <c r="D3205" s="65"/>
      <c r="E3205" s="66"/>
      <c r="F3205" s="67"/>
      <c r="G3205" s="64"/>
      <c r="H3205" s="68"/>
      <c r="I3205" s="69"/>
      <c r="J3205" s="69"/>
      <c r="K3205" s="32"/>
      <c r="L3205" s="76">
        <v>3205</v>
      </c>
      <c r="M3205" s="76"/>
      <c r="N3205" s="71"/>
      <c r="O3205" s="87" t="s">
        <v>179</v>
      </c>
      <c r="P3205" s="90">
        <v>45145.737013888887</v>
      </c>
      <c r="Q3205" s="87" t="s">
        <v>4900</v>
      </c>
      <c r="R3205" s="87">
        <v>0</v>
      </c>
      <c r="S3205" s="87">
        <v>0</v>
      </c>
      <c r="T3205" s="87">
        <v>0</v>
      </c>
      <c r="U3205" s="87">
        <v>0</v>
      </c>
      <c r="V3205" s="87">
        <v>36</v>
      </c>
      <c r="W3205" s="93" t="s">
        <v>7674</v>
      </c>
      <c r="X3205" s="87"/>
      <c r="Y3205" s="87"/>
      <c r="Z3205" s="87"/>
      <c r="AA3205" s="87" t="s">
        <v>10805</v>
      </c>
      <c r="AB3205" s="87" t="s">
        <v>11448</v>
      </c>
      <c r="AC3205" s="93" t="s">
        <v>11462</v>
      </c>
      <c r="AD3205" s="87" t="s">
        <v>11519</v>
      </c>
      <c r="AE3205" s="92" t="str">
        <f>HYPERLINK("https://twitter.com/criarteitu/status/1688606253289746432")</f>
        <v>https://twitter.com/criarteitu/status/1688606253289746432</v>
      </c>
      <c r="AF3205" s="90">
        <v>45145.737013888887</v>
      </c>
      <c r="AG3205" s="99">
        <v>45145</v>
      </c>
      <c r="AH3205" s="93" t="s">
        <v>13547</v>
      </c>
      <c r="AI3205" s="87" t="b">
        <v>0</v>
      </c>
      <c r="AJ3205" s="87"/>
      <c r="AK3205" s="87"/>
      <c r="AL3205" s="87"/>
      <c r="AM3205" s="87"/>
      <c r="AN3205" s="87"/>
      <c r="AO3205" s="87"/>
      <c r="AP3205" s="87"/>
      <c r="AQ3205" s="87" t="s">
        <v>17617</v>
      </c>
      <c r="AR3205" s="87"/>
      <c r="AS3205" s="87"/>
      <c r="AT3205" s="87"/>
      <c r="AU3205" s="87"/>
      <c r="AV3205" s="92" t="str">
        <f>HYPERLINK("https://pbs.twimg.com/media/F28icIAXQAAAD9l.jpg")</f>
        <v>https://pbs.twimg.com/media/F28icIAXQAAAD9l.jpg</v>
      </c>
      <c r="AW3205" s="93" t="s">
        <v>21350</v>
      </c>
      <c r="AX3205" s="93" t="s">
        <v>21350</v>
      </c>
      <c r="AY3205" s="87"/>
      <c r="AZ3205" s="93" t="s">
        <v>22668</v>
      </c>
      <c r="BA3205" s="93" t="s">
        <v>22668</v>
      </c>
      <c r="BB3205" s="93" t="s">
        <v>22668</v>
      </c>
      <c r="BC3205" s="93" t="s">
        <v>21350</v>
      </c>
      <c r="BD3205" s="87">
        <v>448069035</v>
      </c>
      <c r="BE3205" s="87"/>
      <c r="BF3205" s="87"/>
      <c r="BG3205" s="87"/>
      <c r="BH3205" s="87"/>
      <c r="BI3205" s="87"/>
    </row>
    <row r="3206" spans="1:61" x14ac:dyDescent="0.25">
      <c r="A3206" s="63" t="s">
        <v>1218</v>
      </c>
      <c r="B3206" s="63" t="s">
        <v>1218</v>
      </c>
      <c r="C3206" s="64"/>
      <c r="D3206" s="65"/>
      <c r="E3206" s="66"/>
      <c r="F3206" s="67"/>
      <c r="G3206" s="64"/>
      <c r="H3206" s="68"/>
      <c r="I3206" s="69"/>
      <c r="J3206" s="69"/>
      <c r="K3206" s="32"/>
      <c r="L3206" s="76">
        <v>3206</v>
      </c>
      <c r="M3206" s="76"/>
      <c r="N3206" s="71"/>
      <c r="O3206" s="87" t="s">
        <v>179</v>
      </c>
      <c r="P3206" s="90">
        <v>45145.736331018517</v>
      </c>
      <c r="Q3206" s="87" t="s">
        <v>4901</v>
      </c>
      <c r="R3206" s="87">
        <v>0</v>
      </c>
      <c r="S3206" s="87">
        <v>0</v>
      </c>
      <c r="T3206" s="87">
        <v>0</v>
      </c>
      <c r="U3206" s="87">
        <v>0</v>
      </c>
      <c r="V3206" s="87">
        <v>32</v>
      </c>
      <c r="W3206" s="93" t="s">
        <v>7674</v>
      </c>
      <c r="X3206" s="87"/>
      <c r="Y3206" s="87"/>
      <c r="Z3206" s="87"/>
      <c r="AA3206" s="87" t="s">
        <v>10806</v>
      </c>
      <c r="AB3206" s="87" t="s">
        <v>11448</v>
      </c>
      <c r="AC3206" s="93" t="s">
        <v>11462</v>
      </c>
      <c r="AD3206" s="87" t="s">
        <v>11519</v>
      </c>
      <c r="AE3206" s="92" t="str">
        <f>HYPERLINK("https://twitter.com/criarteitu/status/1688606007272808449")</f>
        <v>https://twitter.com/criarteitu/status/1688606007272808449</v>
      </c>
      <c r="AF3206" s="90">
        <v>45145.736331018517</v>
      </c>
      <c r="AG3206" s="99">
        <v>45145</v>
      </c>
      <c r="AH3206" s="93" t="s">
        <v>14375</v>
      </c>
      <c r="AI3206" s="87" t="b">
        <v>0</v>
      </c>
      <c r="AJ3206" s="87"/>
      <c r="AK3206" s="87"/>
      <c r="AL3206" s="87"/>
      <c r="AM3206" s="87"/>
      <c r="AN3206" s="87"/>
      <c r="AO3206" s="87"/>
      <c r="AP3206" s="87"/>
      <c r="AQ3206" s="87" t="s">
        <v>17618</v>
      </c>
      <c r="AR3206" s="87"/>
      <c r="AS3206" s="87"/>
      <c r="AT3206" s="87"/>
      <c r="AU3206" s="87"/>
      <c r="AV3206" s="92" t="str">
        <f>HYPERLINK("https://pbs.twimg.com/media/F28iNzGWYAAOlvE.jpg")</f>
        <v>https://pbs.twimg.com/media/F28iNzGWYAAOlvE.jpg</v>
      </c>
      <c r="AW3206" s="93" t="s">
        <v>21351</v>
      </c>
      <c r="AX3206" s="93" t="s">
        <v>21351</v>
      </c>
      <c r="AY3206" s="87"/>
      <c r="AZ3206" s="93" t="s">
        <v>22668</v>
      </c>
      <c r="BA3206" s="93" t="s">
        <v>22668</v>
      </c>
      <c r="BB3206" s="93" t="s">
        <v>22668</v>
      </c>
      <c r="BC3206" s="93" t="s">
        <v>21351</v>
      </c>
      <c r="BD3206" s="87">
        <v>448069035</v>
      </c>
      <c r="BE3206" s="87"/>
      <c r="BF3206" s="87"/>
      <c r="BG3206" s="87"/>
      <c r="BH3206" s="87"/>
      <c r="BI3206" s="87"/>
    </row>
    <row r="3207" spans="1:61" x14ac:dyDescent="0.25">
      <c r="A3207" s="63" t="s">
        <v>1218</v>
      </c>
      <c r="B3207" s="63" t="s">
        <v>1218</v>
      </c>
      <c r="C3207" s="64"/>
      <c r="D3207" s="65"/>
      <c r="E3207" s="66"/>
      <c r="F3207" s="67"/>
      <c r="G3207" s="64"/>
      <c r="H3207" s="68"/>
      <c r="I3207" s="69"/>
      <c r="J3207" s="69"/>
      <c r="K3207" s="32"/>
      <c r="L3207" s="76">
        <v>3207</v>
      </c>
      <c r="M3207" s="76"/>
      <c r="N3207" s="71"/>
      <c r="O3207" s="87" t="s">
        <v>179</v>
      </c>
      <c r="P3207" s="90">
        <v>45145.730740740742</v>
      </c>
      <c r="Q3207" s="87" t="s">
        <v>4902</v>
      </c>
      <c r="R3207" s="87">
        <v>0</v>
      </c>
      <c r="S3207" s="87">
        <v>0</v>
      </c>
      <c r="T3207" s="87">
        <v>0</v>
      </c>
      <c r="U3207" s="87">
        <v>0</v>
      </c>
      <c r="V3207" s="87">
        <v>48</v>
      </c>
      <c r="W3207" s="93" t="s">
        <v>7674</v>
      </c>
      <c r="X3207" s="87"/>
      <c r="Y3207" s="87"/>
      <c r="Z3207" s="87"/>
      <c r="AA3207" s="87" t="s">
        <v>10807</v>
      </c>
      <c r="AB3207" s="87" t="s">
        <v>11448</v>
      </c>
      <c r="AC3207" s="93" t="s">
        <v>11462</v>
      </c>
      <c r="AD3207" s="87" t="s">
        <v>11519</v>
      </c>
      <c r="AE3207" s="92" t="str">
        <f>HYPERLINK("https://twitter.com/criarteitu/status/1688603982820720640")</f>
        <v>https://twitter.com/criarteitu/status/1688603982820720640</v>
      </c>
      <c r="AF3207" s="90">
        <v>45145.730740740742</v>
      </c>
      <c r="AG3207" s="99">
        <v>45145</v>
      </c>
      <c r="AH3207" s="93" t="s">
        <v>14376</v>
      </c>
      <c r="AI3207" s="87" t="b">
        <v>0</v>
      </c>
      <c r="AJ3207" s="87"/>
      <c r="AK3207" s="87"/>
      <c r="AL3207" s="87"/>
      <c r="AM3207" s="87"/>
      <c r="AN3207" s="87"/>
      <c r="AO3207" s="87"/>
      <c r="AP3207" s="87"/>
      <c r="AQ3207" s="87" t="s">
        <v>17619</v>
      </c>
      <c r="AR3207" s="87"/>
      <c r="AS3207" s="87"/>
      <c r="AT3207" s="87"/>
      <c r="AU3207" s="87"/>
      <c r="AV3207" s="92" t="str">
        <f>HYPERLINK("https://pbs.twimg.com/media/F28gX7hXMAAx_jf.jpg")</f>
        <v>https://pbs.twimg.com/media/F28gX7hXMAAx_jf.jpg</v>
      </c>
      <c r="AW3207" s="93" t="s">
        <v>21352</v>
      </c>
      <c r="AX3207" s="93" t="s">
        <v>21352</v>
      </c>
      <c r="AY3207" s="87"/>
      <c r="AZ3207" s="93" t="s">
        <v>22668</v>
      </c>
      <c r="BA3207" s="93" t="s">
        <v>22668</v>
      </c>
      <c r="BB3207" s="93" t="s">
        <v>22668</v>
      </c>
      <c r="BC3207" s="93" t="s">
        <v>21352</v>
      </c>
      <c r="BD3207" s="87">
        <v>448069035</v>
      </c>
      <c r="BE3207" s="87"/>
      <c r="BF3207" s="87"/>
      <c r="BG3207" s="87"/>
      <c r="BH3207" s="87"/>
      <c r="BI3207" s="87"/>
    </row>
    <row r="3208" spans="1:61" x14ac:dyDescent="0.25">
      <c r="A3208" s="63" t="s">
        <v>1218</v>
      </c>
      <c r="B3208" s="63" t="s">
        <v>1218</v>
      </c>
      <c r="C3208" s="64"/>
      <c r="D3208" s="65"/>
      <c r="E3208" s="66"/>
      <c r="F3208" s="67"/>
      <c r="G3208" s="64"/>
      <c r="H3208" s="68"/>
      <c r="I3208" s="69"/>
      <c r="J3208" s="69"/>
      <c r="K3208" s="32"/>
      <c r="L3208" s="76">
        <v>3208</v>
      </c>
      <c r="M3208" s="76"/>
      <c r="N3208" s="71"/>
      <c r="O3208" s="87" t="s">
        <v>179</v>
      </c>
      <c r="P3208" s="90">
        <v>45145.729432870372</v>
      </c>
      <c r="Q3208" s="87" t="s">
        <v>4903</v>
      </c>
      <c r="R3208" s="87">
        <v>0</v>
      </c>
      <c r="S3208" s="87">
        <v>0</v>
      </c>
      <c r="T3208" s="87">
        <v>0</v>
      </c>
      <c r="U3208" s="87">
        <v>0</v>
      </c>
      <c r="V3208" s="87">
        <v>20</v>
      </c>
      <c r="W3208" s="93" t="s">
        <v>7674</v>
      </c>
      <c r="X3208" s="87"/>
      <c r="Y3208" s="87"/>
      <c r="Z3208" s="87"/>
      <c r="AA3208" s="87" t="s">
        <v>10808</v>
      </c>
      <c r="AB3208" s="87" t="s">
        <v>11448</v>
      </c>
      <c r="AC3208" s="93" t="s">
        <v>11462</v>
      </c>
      <c r="AD3208" s="87" t="s">
        <v>11519</v>
      </c>
      <c r="AE3208" s="92" t="str">
        <f>HYPERLINK("https://twitter.com/criarteitu/status/1688603505634811904")</f>
        <v>https://twitter.com/criarteitu/status/1688603505634811904</v>
      </c>
      <c r="AF3208" s="90">
        <v>45145.729432870372</v>
      </c>
      <c r="AG3208" s="99">
        <v>45145</v>
      </c>
      <c r="AH3208" s="93" t="s">
        <v>14377</v>
      </c>
      <c r="AI3208" s="87" t="b">
        <v>0</v>
      </c>
      <c r="AJ3208" s="87"/>
      <c r="AK3208" s="87"/>
      <c r="AL3208" s="87"/>
      <c r="AM3208" s="87"/>
      <c r="AN3208" s="87"/>
      <c r="AO3208" s="87"/>
      <c r="AP3208" s="87"/>
      <c r="AQ3208" s="87" t="s">
        <v>17620</v>
      </c>
      <c r="AR3208" s="87"/>
      <c r="AS3208" s="87"/>
      <c r="AT3208" s="87"/>
      <c r="AU3208" s="87"/>
      <c r="AV3208" s="92" t="str">
        <f>HYPERLINK("https://pbs.twimg.com/media/F28f8IzXcAALxJK.jpg")</f>
        <v>https://pbs.twimg.com/media/F28f8IzXcAALxJK.jpg</v>
      </c>
      <c r="AW3208" s="93" t="s">
        <v>21353</v>
      </c>
      <c r="AX3208" s="93" t="s">
        <v>21353</v>
      </c>
      <c r="AY3208" s="87"/>
      <c r="AZ3208" s="93" t="s">
        <v>22668</v>
      </c>
      <c r="BA3208" s="93" t="s">
        <v>22668</v>
      </c>
      <c r="BB3208" s="93" t="s">
        <v>22668</v>
      </c>
      <c r="BC3208" s="93" t="s">
        <v>21353</v>
      </c>
      <c r="BD3208" s="87">
        <v>448069035</v>
      </c>
      <c r="BE3208" s="87"/>
      <c r="BF3208" s="87"/>
      <c r="BG3208" s="87"/>
      <c r="BH3208" s="87"/>
      <c r="BI3208" s="87"/>
    </row>
    <row r="3209" spans="1:61" x14ac:dyDescent="0.25">
      <c r="A3209" s="63" t="s">
        <v>1218</v>
      </c>
      <c r="B3209" s="63" t="s">
        <v>1218</v>
      </c>
      <c r="C3209" s="64"/>
      <c r="D3209" s="65"/>
      <c r="E3209" s="66"/>
      <c r="F3209" s="67"/>
      <c r="G3209" s="64"/>
      <c r="H3209" s="68"/>
      <c r="I3209" s="69"/>
      <c r="J3209" s="69"/>
      <c r="K3209" s="32"/>
      <c r="L3209" s="76">
        <v>3209</v>
      </c>
      <c r="M3209" s="76"/>
      <c r="N3209" s="71"/>
      <c r="O3209" s="87" t="s">
        <v>179</v>
      </c>
      <c r="P3209" s="90">
        <v>45145.72865740741</v>
      </c>
      <c r="Q3209" s="87" t="s">
        <v>4904</v>
      </c>
      <c r="R3209" s="87">
        <v>0</v>
      </c>
      <c r="S3209" s="87">
        <v>0</v>
      </c>
      <c r="T3209" s="87">
        <v>0</v>
      </c>
      <c r="U3209" s="87">
        <v>0</v>
      </c>
      <c r="V3209" s="87">
        <v>34</v>
      </c>
      <c r="W3209" s="93" t="s">
        <v>7674</v>
      </c>
      <c r="X3209" s="87"/>
      <c r="Y3209" s="87"/>
      <c r="Z3209" s="87"/>
      <c r="AA3209" s="87" t="s">
        <v>10809</v>
      </c>
      <c r="AB3209" s="87" t="s">
        <v>11448</v>
      </c>
      <c r="AC3209" s="93" t="s">
        <v>11462</v>
      </c>
      <c r="AD3209" s="87" t="s">
        <v>11519</v>
      </c>
      <c r="AE3209" s="92" t="str">
        <f>HYPERLINK("https://twitter.com/criarteitu/status/1688603226491289600")</f>
        <v>https://twitter.com/criarteitu/status/1688603226491289600</v>
      </c>
      <c r="AF3209" s="90">
        <v>45145.72865740741</v>
      </c>
      <c r="AG3209" s="99">
        <v>45145</v>
      </c>
      <c r="AH3209" s="93" t="s">
        <v>14378</v>
      </c>
      <c r="AI3209" s="87" t="b">
        <v>0</v>
      </c>
      <c r="AJ3209" s="87"/>
      <c r="AK3209" s="87"/>
      <c r="AL3209" s="87"/>
      <c r="AM3209" s="87"/>
      <c r="AN3209" s="87"/>
      <c r="AO3209" s="87"/>
      <c r="AP3209" s="87"/>
      <c r="AQ3209" s="87" t="s">
        <v>17621</v>
      </c>
      <c r="AR3209" s="87"/>
      <c r="AS3209" s="87"/>
      <c r="AT3209" s="87"/>
      <c r="AU3209" s="87"/>
      <c r="AV3209" s="92" t="str">
        <f>HYPERLINK("https://pbs.twimg.com/media/F28fr3IXsAAVoI8.jpg")</f>
        <v>https://pbs.twimg.com/media/F28fr3IXsAAVoI8.jpg</v>
      </c>
      <c r="AW3209" s="93" t="s">
        <v>21354</v>
      </c>
      <c r="AX3209" s="93" t="s">
        <v>21354</v>
      </c>
      <c r="AY3209" s="87"/>
      <c r="AZ3209" s="93" t="s">
        <v>22668</v>
      </c>
      <c r="BA3209" s="93" t="s">
        <v>22668</v>
      </c>
      <c r="BB3209" s="93" t="s">
        <v>22668</v>
      </c>
      <c r="BC3209" s="93" t="s">
        <v>21354</v>
      </c>
      <c r="BD3209" s="87">
        <v>448069035</v>
      </c>
      <c r="BE3209" s="87"/>
      <c r="BF3209" s="87"/>
      <c r="BG3209" s="87"/>
      <c r="BH3209" s="87"/>
      <c r="BI3209" s="87"/>
    </row>
    <row r="3210" spans="1:61" x14ac:dyDescent="0.25">
      <c r="A3210" s="63" t="s">
        <v>1218</v>
      </c>
      <c r="B3210" s="63" t="s">
        <v>1218</v>
      </c>
      <c r="C3210" s="64"/>
      <c r="D3210" s="65"/>
      <c r="E3210" s="66"/>
      <c r="F3210" s="67"/>
      <c r="G3210" s="64"/>
      <c r="H3210" s="68"/>
      <c r="I3210" s="69"/>
      <c r="J3210" s="69"/>
      <c r="K3210" s="32"/>
      <c r="L3210" s="76">
        <v>3210</v>
      </c>
      <c r="M3210" s="76"/>
      <c r="N3210" s="71"/>
      <c r="O3210" s="87" t="s">
        <v>179</v>
      </c>
      <c r="P3210" s="90">
        <v>45145.723726851851</v>
      </c>
      <c r="Q3210" s="87" t="s">
        <v>4905</v>
      </c>
      <c r="R3210" s="87">
        <v>0</v>
      </c>
      <c r="S3210" s="87">
        <v>0</v>
      </c>
      <c r="T3210" s="87">
        <v>0</v>
      </c>
      <c r="U3210" s="87">
        <v>0</v>
      </c>
      <c r="V3210" s="87">
        <v>38</v>
      </c>
      <c r="W3210" s="93" t="s">
        <v>7674</v>
      </c>
      <c r="X3210" s="87"/>
      <c r="Y3210" s="87"/>
      <c r="Z3210" s="87"/>
      <c r="AA3210" s="87" t="s">
        <v>10810</v>
      </c>
      <c r="AB3210" s="87" t="s">
        <v>11448</v>
      </c>
      <c r="AC3210" s="93" t="s">
        <v>11462</v>
      </c>
      <c r="AD3210" s="87" t="s">
        <v>11519</v>
      </c>
      <c r="AE3210" s="92" t="str">
        <f>HYPERLINK("https://twitter.com/criarteitu/status/1688601441412255745")</f>
        <v>https://twitter.com/criarteitu/status/1688601441412255745</v>
      </c>
      <c r="AF3210" s="90">
        <v>45145.723726851851</v>
      </c>
      <c r="AG3210" s="99">
        <v>45145</v>
      </c>
      <c r="AH3210" s="93" t="s">
        <v>14379</v>
      </c>
      <c r="AI3210" s="87" t="b">
        <v>0</v>
      </c>
      <c r="AJ3210" s="87"/>
      <c r="AK3210" s="87"/>
      <c r="AL3210" s="87"/>
      <c r="AM3210" s="87"/>
      <c r="AN3210" s="87"/>
      <c r="AO3210" s="87"/>
      <c r="AP3210" s="87"/>
      <c r="AQ3210" s="87" t="s">
        <v>17622</v>
      </c>
      <c r="AR3210" s="87"/>
      <c r="AS3210" s="87"/>
      <c r="AT3210" s="87"/>
      <c r="AU3210" s="87"/>
      <c r="AV3210" s="92" t="str">
        <f>HYPERLINK("https://pbs.twimg.com/media/F28eD-SW0AAPf43.jpg")</f>
        <v>https://pbs.twimg.com/media/F28eD-SW0AAPf43.jpg</v>
      </c>
      <c r="AW3210" s="93" t="s">
        <v>21355</v>
      </c>
      <c r="AX3210" s="93" t="s">
        <v>21355</v>
      </c>
      <c r="AY3210" s="87"/>
      <c r="AZ3210" s="93" t="s">
        <v>22668</v>
      </c>
      <c r="BA3210" s="93" t="s">
        <v>22668</v>
      </c>
      <c r="BB3210" s="93" t="s">
        <v>22668</v>
      </c>
      <c r="BC3210" s="93" t="s">
        <v>21355</v>
      </c>
      <c r="BD3210" s="87">
        <v>448069035</v>
      </c>
      <c r="BE3210" s="87"/>
      <c r="BF3210" s="87"/>
      <c r="BG3210" s="87"/>
      <c r="BH3210" s="87"/>
      <c r="BI3210" s="87"/>
    </row>
    <row r="3211" spans="1:61" x14ac:dyDescent="0.25">
      <c r="A3211" s="63" t="s">
        <v>1218</v>
      </c>
      <c r="B3211" s="63" t="s">
        <v>1218</v>
      </c>
      <c r="C3211" s="64"/>
      <c r="D3211" s="65"/>
      <c r="E3211" s="66"/>
      <c r="F3211" s="67"/>
      <c r="G3211" s="64"/>
      <c r="H3211" s="68"/>
      <c r="I3211" s="69"/>
      <c r="J3211" s="69"/>
      <c r="K3211" s="32"/>
      <c r="L3211" s="76">
        <v>3211</v>
      </c>
      <c r="M3211" s="76"/>
      <c r="N3211" s="71"/>
      <c r="O3211" s="87" t="s">
        <v>179</v>
      </c>
      <c r="P3211" s="90">
        <v>45182.595960648148</v>
      </c>
      <c r="Q3211" s="87" t="s">
        <v>4906</v>
      </c>
      <c r="R3211" s="87">
        <v>0</v>
      </c>
      <c r="S3211" s="87">
        <v>0</v>
      </c>
      <c r="T3211" s="87">
        <v>0</v>
      </c>
      <c r="U3211" s="87">
        <v>0</v>
      </c>
      <c r="V3211" s="87">
        <v>38</v>
      </c>
      <c r="W3211" s="93" t="s">
        <v>7674</v>
      </c>
      <c r="X3211" s="87"/>
      <c r="Y3211" s="87"/>
      <c r="Z3211" s="87"/>
      <c r="AA3211" s="87" t="s">
        <v>10811</v>
      </c>
      <c r="AB3211" s="87" t="s">
        <v>11448</v>
      </c>
      <c r="AC3211" s="93" t="s">
        <v>11462</v>
      </c>
      <c r="AD3211" s="87" t="s">
        <v>11519</v>
      </c>
      <c r="AE3211" s="92" t="str">
        <f>HYPERLINK("https://twitter.com/criarteitu/status/1701963491089760264")</f>
        <v>https://twitter.com/criarteitu/status/1701963491089760264</v>
      </c>
      <c r="AF3211" s="90">
        <v>45182.595960648148</v>
      </c>
      <c r="AG3211" s="99">
        <v>45182</v>
      </c>
      <c r="AH3211" s="93" t="s">
        <v>14380</v>
      </c>
      <c r="AI3211" s="87" t="b">
        <v>0</v>
      </c>
      <c r="AJ3211" s="87"/>
      <c r="AK3211" s="87"/>
      <c r="AL3211" s="87"/>
      <c r="AM3211" s="87"/>
      <c r="AN3211" s="87"/>
      <c r="AO3211" s="87"/>
      <c r="AP3211" s="87"/>
      <c r="AQ3211" s="87" t="s">
        <v>17623</v>
      </c>
      <c r="AR3211" s="87"/>
      <c r="AS3211" s="87"/>
      <c r="AT3211" s="87"/>
      <c r="AU3211" s="87"/>
      <c r="AV3211" s="92" t="str">
        <f>HYPERLINK("https://pbs.twimg.com/media/F56Wxl0WYAE2bZz.jpg")</f>
        <v>https://pbs.twimg.com/media/F56Wxl0WYAE2bZz.jpg</v>
      </c>
      <c r="AW3211" s="93" t="s">
        <v>21356</v>
      </c>
      <c r="AX3211" s="93" t="s">
        <v>21356</v>
      </c>
      <c r="AY3211" s="87"/>
      <c r="AZ3211" s="93" t="s">
        <v>22668</v>
      </c>
      <c r="BA3211" s="93" t="s">
        <v>22668</v>
      </c>
      <c r="BB3211" s="93" t="s">
        <v>22668</v>
      </c>
      <c r="BC3211" s="93" t="s">
        <v>21356</v>
      </c>
      <c r="BD3211" s="87">
        <v>448069035</v>
      </c>
      <c r="BE3211" s="87"/>
      <c r="BF3211" s="87"/>
      <c r="BG3211" s="87"/>
      <c r="BH3211" s="87"/>
      <c r="BI3211" s="87"/>
    </row>
    <row r="3212" spans="1:61" x14ac:dyDescent="0.25">
      <c r="A3212" s="63" t="s">
        <v>1218</v>
      </c>
      <c r="B3212" s="63" t="s">
        <v>1218</v>
      </c>
      <c r="C3212" s="64"/>
      <c r="D3212" s="65"/>
      <c r="E3212" s="66"/>
      <c r="F3212" s="67"/>
      <c r="G3212" s="64"/>
      <c r="H3212" s="68"/>
      <c r="I3212" s="69"/>
      <c r="J3212" s="69"/>
      <c r="K3212" s="32"/>
      <c r="L3212" s="76">
        <v>3212</v>
      </c>
      <c r="M3212" s="76"/>
      <c r="N3212" s="71"/>
      <c r="O3212" s="87" t="s">
        <v>179</v>
      </c>
      <c r="P3212" s="90">
        <v>45191.800810185188</v>
      </c>
      <c r="Q3212" s="87" t="s">
        <v>4907</v>
      </c>
      <c r="R3212" s="87">
        <v>0</v>
      </c>
      <c r="S3212" s="87">
        <v>0</v>
      </c>
      <c r="T3212" s="87">
        <v>0</v>
      </c>
      <c r="U3212" s="87">
        <v>0</v>
      </c>
      <c r="V3212" s="87">
        <v>24</v>
      </c>
      <c r="W3212" s="93" t="s">
        <v>7674</v>
      </c>
      <c r="X3212" s="87"/>
      <c r="Y3212" s="87"/>
      <c r="Z3212" s="87"/>
      <c r="AA3212" s="87" t="s">
        <v>10812</v>
      </c>
      <c r="AB3212" s="87" t="s">
        <v>11448</v>
      </c>
      <c r="AC3212" s="93" t="s">
        <v>11462</v>
      </c>
      <c r="AD3212" s="87" t="s">
        <v>11519</v>
      </c>
      <c r="AE3212" s="92" t="str">
        <f>HYPERLINK("https://twitter.com/criarteitu/status/1705299214131982621")</f>
        <v>https://twitter.com/criarteitu/status/1705299214131982621</v>
      </c>
      <c r="AF3212" s="90">
        <v>45191.800810185188</v>
      </c>
      <c r="AG3212" s="99">
        <v>45191</v>
      </c>
      <c r="AH3212" s="93" t="s">
        <v>14381</v>
      </c>
      <c r="AI3212" s="87" t="b">
        <v>0</v>
      </c>
      <c r="AJ3212" s="87"/>
      <c r="AK3212" s="87"/>
      <c r="AL3212" s="87"/>
      <c r="AM3212" s="87"/>
      <c r="AN3212" s="87"/>
      <c r="AO3212" s="87"/>
      <c r="AP3212" s="87"/>
      <c r="AQ3212" s="87" t="s">
        <v>17624</v>
      </c>
      <c r="AR3212" s="87"/>
      <c r="AS3212" s="87"/>
      <c r="AT3212" s="87"/>
      <c r="AU3212" s="87"/>
      <c r="AV3212" s="92" t="str">
        <f>HYPERLINK("https://pbs.twimg.com/media/F6pwmRYWsAAZJQZ.jpg")</f>
        <v>https://pbs.twimg.com/media/F6pwmRYWsAAZJQZ.jpg</v>
      </c>
      <c r="AW3212" s="93" t="s">
        <v>21357</v>
      </c>
      <c r="AX3212" s="93" t="s">
        <v>21357</v>
      </c>
      <c r="AY3212" s="87"/>
      <c r="AZ3212" s="93" t="s">
        <v>22668</v>
      </c>
      <c r="BA3212" s="93" t="s">
        <v>22668</v>
      </c>
      <c r="BB3212" s="93" t="s">
        <v>22668</v>
      </c>
      <c r="BC3212" s="93" t="s">
        <v>21357</v>
      </c>
      <c r="BD3212" s="87">
        <v>448069035</v>
      </c>
      <c r="BE3212" s="87"/>
      <c r="BF3212" s="87"/>
      <c r="BG3212" s="87"/>
      <c r="BH3212" s="87"/>
      <c r="BI3212" s="87"/>
    </row>
    <row r="3213" spans="1:61" x14ac:dyDescent="0.25">
      <c r="A3213" s="63" t="s">
        <v>1219</v>
      </c>
      <c r="B3213" s="63" t="s">
        <v>1219</v>
      </c>
      <c r="C3213" s="64"/>
      <c r="D3213" s="65"/>
      <c r="E3213" s="66"/>
      <c r="F3213" s="67"/>
      <c r="G3213" s="64"/>
      <c r="H3213" s="68"/>
      <c r="I3213" s="69"/>
      <c r="J3213" s="69"/>
      <c r="K3213" s="32"/>
      <c r="L3213" s="76">
        <v>3213</v>
      </c>
      <c r="M3213" s="76"/>
      <c r="N3213" s="71"/>
      <c r="O3213" s="87" t="s">
        <v>179</v>
      </c>
      <c r="P3213" s="90">
        <v>45183.197048611109</v>
      </c>
      <c r="Q3213" s="87" t="s">
        <v>4908</v>
      </c>
      <c r="R3213" s="87">
        <v>0</v>
      </c>
      <c r="S3213" s="87">
        <v>2</v>
      </c>
      <c r="T3213" s="87">
        <v>0</v>
      </c>
      <c r="U3213" s="87">
        <v>0</v>
      </c>
      <c r="V3213" s="87">
        <v>634</v>
      </c>
      <c r="W3213" s="93" t="s">
        <v>7675</v>
      </c>
      <c r="X3213" s="92" t="str">
        <f>HYPERLINK("https://amzn.to/3Zl3kt0")</f>
        <v>https://amzn.to/3Zl3kt0</v>
      </c>
      <c r="Y3213" s="87" t="s">
        <v>8415</v>
      </c>
      <c r="Z3213" s="87"/>
      <c r="AA3213" s="87" t="s">
        <v>10813</v>
      </c>
      <c r="AB3213" s="87" t="s">
        <v>11448</v>
      </c>
      <c r="AC3213" s="93" t="s">
        <v>11457</v>
      </c>
      <c r="AD3213" s="87" t="s">
        <v>11519</v>
      </c>
      <c r="AE3213" s="92" t="str">
        <f>HYPERLINK("https://twitter.com/fabricioviana/status/1702181317838872802")</f>
        <v>https://twitter.com/fabricioviana/status/1702181317838872802</v>
      </c>
      <c r="AF3213" s="90">
        <v>45183.197048611109</v>
      </c>
      <c r="AG3213" s="99">
        <v>45183</v>
      </c>
      <c r="AH3213" s="93" t="s">
        <v>14382</v>
      </c>
      <c r="AI3213" s="87" t="b">
        <v>1</v>
      </c>
      <c r="AJ3213" s="87"/>
      <c r="AK3213" s="87"/>
      <c r="AL3213" s="87"/>
      <c r="AM3213" s="87"/>
      <c r="AN3213" s="87"/>
      <c r="AO3213" s="87"/>
      <c r="AP3213" s="87"/>
      <c r="AQ3213" s="87" t="s">
        <v>17625</v>
      </c>
      <c r="AR3213" s="87"/>
      <c r="AS3213" s="87"/>
      <c r="AT3213" s="87"/>
      <c r="AU3213" s="87"/>
      <c r="AV3213" s="92" t="str">
        <f>HYPERLINK("https://pbs.twimg.com/media/F59ccOFXkAAu3jw.jpg")</f>
        <v>https://pbs.twimg.com/media/F59ccOFXkAAu3jw.jpg</v>
      </c>
      <c r="AW3213" s="93" t="s">
        <v>21358</v>
      </c>
      <c r="AX3213" s="93" t="s">
        <v>21358</v>
      </c>
      <c r="AY3213" s="87"/>
      <c r="AZ3213" s="93" t="s">
        <v>22668</v>
      </c>
      <c r="BA3213" s="93" t="s">
        <v>22668</v>
      </c>
      <c r="BB3213" s="93" t="s">
        <v>22668</v>
      </c>
      <c r="BC3213" s="93" t="s">
        <v>21358</v>
      </c>
      <c r="BD3213" s="93" t="s">
        <v>23370</v>
      </c>
      <c r="BE3213" s="87"/>
      <c r="BF3213" s="87"/>
      <c r="BG3213" s="87"/>
      <c r="BH3213" s="87"/>
      <c r="BI3213" s="87"/>
    </row>
    <row r="3214" spans="1:61" x14ac:dyDescent="0.25">
      <c r="A3214" s="63" t="s">
        <v>1220</v>
      </c>
      <c r="B3214" s="63" t="s">
        <v>1220</v>
      </c>
      <c r="C3214" s="64"/>
      <c r="D3214" s="65"/>
      <c r="E3214" s="66"/>
      <c r="F3214" s="67"/>
      <c r="G3214" s="64"/>
      <c r="H3214" s="68"/>
      <c r="I3214" s="69"/>
      <c r="J3214" s="69"/>
      <c r="K3214" s="32"/>
      <c r="L3214" s="76">
        <v>3214</v>
      </c>
      <c r="M3214" s="76"/>
      <c r="N3214" s="71"/>
      <c r="O3214" s="87" t="s">
        <v>179</v>
      </c>
      <c r="P3214" s="90">
        <v>45111.542893518519</v>
      </c>
      <c r="Q3214" s="87" t="s">
        <v>4909</v>
      </c>
      <c r="R3214" s="87">
        <v>0</v>
      </c>
      <c r="S3214" s="87">
        <v>0</v>
      </c>
      <c r="T3214" s="87">
        <v>0</v>
      </c>
      <c r="U3214" s="87">
        <v>0</v>
      </c>
      <c r="V3214" s="87">
        <v>28</v>
      </c>
      <c r="W3214" s="93" t="s">
        <v>7676</v>
      </c>
      <c r="X3214" s="87"/>
      <c r="Y3214" s="87"/>
      <c r="Z3214" s="87"/>
      <c r="AA3214" s="87" t="s">
        <v>10814</v>
      </c>
      <c r="AB3214" s="87" t="s">
        <v>11449</v>
      </c>
      <c r="AC3214" s="93" t="s">
        <v>11457</v>
      </c>
      <c r="AD3214" s="87" t="s">
        <v>11519</v>
      </c>
      <c r="AE3214" s="92" t="str">
        <f>HYPERLINK("https://twitter.com/cleverlacerda/status/1676214718904541187")</f>
        <v>https://twitter.com/cleverlacerda/status/1676214718904541187</v>
      </c>
      <c r="AF3214" s="90">
        <v>45111.542893518519</v>
      </c>
      <c r="AG3214" s="99">
        <v>45111</v>
      </c>
      <c r="AH3214" s="93" t="s">
        <v>14383</v>
      </c>
      <c r="AI3214" s="87" t="b">
        <v>0</v>
      </c>
      <c r="AJ3214" s="87"/>
      <c r="AK3214" s="87"/>
      <c r="AL3214" s="87"/>
      <c r="AM3214" s="87"/>
      <c r="AN3214" s="87"/>
      <c r="AO3214" s="87"/>
      <c r="AP3214" s="87"/>
      <c r="AQ3214" s="87" t="s">
        <v>17626</v>
      </c>
      <c r="AR3214" s="87"/>
      <c r="AS3214" s="87"/>
      <c r="AT3214" s="87"/>
      <c r="AU3214" s="87"/>
      <c r="AV3214" s="92" t="str">
        <f>HYPERLINK("https://pbs.twimg.com/media/F0McQYEWAAA1Moh.jpg")</f>
        <v>https://pbs.twimg.com/media/F0McQYEWAAA1Moh.jpg</v>
      </c>
      <c r="AW3214" s="93" t="s">
        <v>21359</v>
      </c>
      <c r="AX3214" s="93" t="s">
        <v>21359</v>
      </c>
      <c r="AY3214" s="87"/>
      <c r="AZ3214" s="93" t="s">
        <v>22668</v>
      </c>
      <c r="BA3214" s="93" t="s">
        <v>22668</v>
      </c>
      <c r="BB3214" s="93" t="s">
        <v>22668</v>
      </c>
      <c r="BC3214" s="93" t="s">
        <v>21359</v>
      </c>
      <c r="BD3214" s="87">
        <v>3530068642</v>
      </c>
      <c r="BE3214" s="87"/>
      <c r="BF3214" s="87"/>
      <c r="BG3214" s="87"/>
      <c r="BH3214" s="87"/>
      <c r="BI3214" s="87"/>
    </row>
    <row r="3215" spans="1:61" x14ac:dyDescent="0.25">
      <c r="A3215" s="63" t="s">
        <v>1220</v>
      </c>
      <c r="B3215" s="63" t="s">
        <v>1220</v>
      </c>
      <c r="C3215" s="64"/>
      <c r="D3215" s="65"/>
      <c r="E3215" s="66"/>
      <c r="F3215" s="67"/>
      <c r="G3215" s="64"/>
      <c r="H3215" s="68"/>
      <c r="I3215" s="69"/>
      <c r="J3215" s="69"/>
      <c r="K3215" s="32"/>
      <c r="L3215" s="76">
        <v>3215</v>
      </c>
      <c r="M3215" s="76"/>
      <c r="N3215" s="71"/>
      <c r="O3215" s="87" t="s">
        <v>179</v>
      </c>
      <c r="P3215" s="90">
        <v>45114.568831018521</v>
      </c>
      <c r="Q3215" s="87" t="s">
        <v>4910</v>
      </c>
      <c r="R3215" s="87">
        <v>0</v>
      </c>
      <c r="S3215" s="87">
        <v>1</v>
      </c>
      <c r="T3215" s="87">
        <v>0</v>
      </c>
      <c r="U3215" s="87">
        <v>0</v>
      </c>
      <c r="V3215" s="87">
        <v>16</v>
      </c>
      <c r="W3215" s="93" t="s">
        <v>7677</v>
      </c>
      <c r="X3215" s="87"/>
      <c r="Y3215" s="87"/>
      <c r="Z3215" s="87"/>
      <c r="AA3215" s="87" t="s">
        <v>10815</v>
      </c>
      <c r="AB3215" s="87" t="s">
        <v>11449</v>
      </c>
      <c r="AC3215" s="93" t="s">
        <v>11457</v>
      </c>
      <c r="AD3215" s="87" t="s">
        <v>11519</v>
      </c>
      <c r="AE3215" s="92" t="str">
        <f>HYPERLINK("https://twitter.com/cleverlacerda/status/1677311282255392772")</f>
        <v>https://twitter.com/cleverlacerda/status/1677311282255392772</v>
      </c>
      <c r="AF3215" s="90">
        <v>45114.568831018521</v>
      </c>
      <c r="AG3215" s="99">
        <v>45114</v>
      </c>
      <c r="AH3215" s="93" t="s">
        <v>14384</v>
      </c>
      <c r="AI3215" s="87" t="b">
        <v>0</v>
      </c>
      <c r="AJ3215" s="87"/>
      <c r="AK3215" s="87"/>
      <c r="AL3215" s="87"/>
      <c r="AM3215" s="87"/>
      <c r="AN3215" s="87"/>
      <c r="AO3215" s="87"/>
      <c r="AP3215" s="87"/>
      <c r="AQ3215" s="87" t="s">
        <v>17627</v>
      </c>
      <c r="AR3215" s="87"/>
      <c r="AS3215" s="87"/>
      <c r="AT3215" s="87"/>
      <c r="AU3215" s="87"/>
      <c r="AV3215" s="92" t="str">
        <f>HYPERLINK("https://pbs.twimg.com/media/F0cA4uZXgAEqvwN.jpg")</f>
        <v>https://pbs.twimg.com/media/F0cA4uZXgAEqvwN.jpg</v>
      </c>
      <c r="AW3215" s="93" t="s">
        <v>21360</v>
      </c>
      <c r="AX3215" s="93" t="s">
        <v>21360</v>
      </c>
      <c r="AY3215" s="87"/>
      <c r="AZ3215" s="93" t="s">
        <v>22668</v>
      </c>
      <c r="BA3215" s="93" t="s">
        <v>22668</v>
      </c>
      <c r="BB3215" s="93" t="s">
        <v>22668</v>
      </c>
      <c r="BC3215" s="93" t="s">
        <v>21360</v>
      </c>
      <c r="BD3215" s="87">
        <v>3530068642</v>
      </c>
      <c r="BE3215" s="87"/>
      <c r="BF3215" s="87"/>
      <c r="BG3215" s="87"/>
      <c r="BH3215" s="87"/>
      <c r="BI3215" s="87"/>
    </row>
    <row r="3216" spans="1:61" x14ac:dyDescent="0.25">
      <c r="A3216" s="63" t="s">
        <v>1220</v>
      </c>
      <c r="B3216" s="63" t="s">
        <v>1220</v>
      </c>
      <c r="C3216" s="64"/>
      <c r="D3216" s="65"/>
      <c r="E3216" s="66"/>
      <c r="F3216" s="67"/>
      <c r="G3216" s="64"/>
      <c r="H3216" s="68"/>
      <c r="I3216" s="69"/>
      <c r="J3216" s="69"/>
      <c r="K3216" s="32"/>
      <c r="L3216" s="76">
        <v>3216</v>
      </c>
      <c r="M3216" s="76"/>
      <c r="N3216" s="71"/>
      <c r="O3216" s="87" t="s">
        <v>179</v>
      </c>
      <c r="P3216" s="90">
        <v>45127.549398148149</v>
      </c>
      <c r="Q3216" s="87" t="s">
        <v>4911</v>
      </c>
      <c r="R3216" s="87">
        <v>0</v>
      </c>
      <c r="S3216" s="87">
        <v>0</v>
      </c>
      <c r="T3216" s="87">
        <v>0</v>
      </c>
      <c r="U3216" s="87">
        <v>0</v>
      </c>
      <c r="V3216" s="87">
        <v>5</v>
      </c>
      <c r="W3216" s="93" t="s">
        <v>5897</v>
      </c>
      <c r="X3216" s="87"/>
      <c r="Y3216" s="87"/>
      <c r="Z3216" s="87"/>
      <c r="AA3216" s="87" t="s">
        <v>10816</v>
      </c>
      <c r="AB3216" s="87" t="s">
        <v>11448</v>
      </c>
      <c r="AC3216" s="93" t="s">
        <v>11457</v>
      </c>
      <c r="AD3216" s="87" t="s">
        <v>11519</v>
      </c>
      <c r="AE3216" s="92" t="str">
        <f>HYPERLINK("https://twitter.com/cleverlacerda/status/1682015284612268033")</f>
        <v>https://twitter.com/cleverlacerda/status/1682015284612268033</v>
      </c>
      <c r="AF3216" s="90">
        <v>45127.549398148149</v>
      </c>
      <c r="AG3216" s="99">
        <v>45127</v>
      </c>
      <c r="AH3216" s="93" t="s">
        <v>14385</v>
      </c>
      <c r="AI3216" s="87" t="b">
        <v>0</v>
      </c>
      <c r="AJ3216" s="87"/>
      <c r="AK3216" s="87"/>
      <c r="AL3216" s="87"/>
      <c r="AM3216" s="87"/>
      <c r="AN3216" s="87"/>
      <c r="AO3216" s="87"/>
      <c r="AP3216" s="87"/>
      <c r="AQ3216" s="87" t="s">
        <v>17628</v>
      </c>
      <c r="AR3216" s="87"/>
      <c r="AS3216" s="87"/>
      <c r="AT3216" s="87"/>
      <c r="AU3216" s="87"/>
      <c r="AV3216" s="92" t="str">
        <f>HYPERLINK("https://pbs.twimg.com/media/F1e34PaXgAAfWOE.jpg")</f>
        <v>https://pbs.twimg.com/media/F1e34PaXgAAfWOE.jpg</v>
      </c>
      <c r="AW3216" s="93" t="s">
        <v>21361</v>
      </c>
      <c r="AX3216" s="93" t="s">
        <v>21361</v>
      </c>
      <c r="AY3216" s="87"/>
      <c r="AZ3216" s="93" t="s">
        <v>22668</v>
      </c>
      <c r="BA3216" s="93" t="s">
        <v>22668</v>
      </c>
      <c r="BB3216" s="93" t="s">
        <v>22668</v>
      </c>
      <c r="BC3216" s="93" t="s">
        <v>21361</v>
      </c>
      <c r="BD3216" s="87">
        <v>3530068642</v>
      </c>
      <c r="BE3216" s="87"/>
      <c r="BF3216" s="87"/>
      <c r="BG3216" s="87"/>
      <c r="BH3216" s="87"/>
      <c r="BI3216" s="87"/>
    </row>
    <row r="3217" spans="1:61" x14ac:dyDescent="0.25">
      <c r="A3217" s="63" t="s">
        <v>1220</v>
      </c>
      <c r="B3217" s="63" t="s">
        <v>1220</v>
      </c>
      <c r="C3217" s="64"/>
      <c r="D3217" s="65"/>
      <c r="E3217" s="66"/>
      <c r="F3217" s="67"/>
      <c r="G3217" s="64"/>
      <c r="H3217" s="68"/>
      <c r="I3217" s="69"/>
      <c r="J3217" s="69"/>
      <c r="K3217" s="32"/>
      <c r="L3217" s="76">
        <v>3217</v>
      </c>
      <c r="M3217" s="76"/>
      <c r="N3217" s="71"/>
      <c r="O3217" s="87" t="s">
        <v>179</v>
      </c>
      <c r="P3217" s="90">
        <v>45126.525914351849</v>
      </c>
      <c r="Q3217" s="87" t="s">
        <v>4912</v>
      </c>
      <c r="R3217" s="87">
        <v>0</v>
      </c>
      <c r="S3217" s="87">
        <v>0</v>
      </c>
      <c r="T3217" s="87">
        <v>0</v>
      </c>
      <c r="U3217" s="87">
        <v>0</v>
      </c>
      <c r="V3217" s="87">
        <v>6</v>
      </c>
      <c r="W3217" s="93" t="s">
        <v>7678</v>
      </c>
      <c r="X3217" s="87"/>
      <c r="Y3217" s="87"/>
      <c r="Z3217" s="87"/>
      <c r="AA3217" s="87" t="s">
        <v>10817</v>
      </c>
      <c r="AB3217" s="87" t="s">
        <v>11448</v>
      </c>
      <c r="AC3217" s="93" t="s">
        <v>11457</v>
      </c>
      <c r="AD3217" s="87" t="s">
        <v>11519</v>
      </c>
      <c r="AE3217" s="92" t="str">
        <f>HYPERLINK("https://twitter.com/cleverlacerda/status/1681644383441911808")</f>
        <v>https://twitter.com/cleverlacerda/status/1681644383441911808</v>
      </c>
      <c r="AF3217" s="90">
        <v>45126.525914351849</v>
      </c>
      <c r="AG3217" s="99">
        <v>45126</v>
      </c>
      <c r="AH3217" s="93" t="s">
        <v>14386</v>
      </c>
      <c r="AI3217" s="87" t="b">
        <v>0</v>
      </c>
      <c r="AJ3217" s="87"/>
      <c r="AK3217" s="87"/>
      <c r="AL3217" s="87"/>
      <c r="AM3217" s="87"/>
      <c r="AN3217" s="87"/>
      <c r="AO3217" s="87"/>
      <c r="AP3217" s="87"/>
      <c r="AQ3217" s="87" t="s">
        <v>17629</v>
      </c>
      <c r="AR3217" s="87"/>
      <c r="AS3217" s="87"/>
      <c r="AT3217" s="87"/>
      <c r="AU3217" s="87"/>
      <c r="AV3217" s="92" t="str">
        <f>HYPERLINK("https://pbs.twimg.com/media/F1ZmR2GX0AE3Se9.jpg")</f>
        <v>https://pbs.twimg.com/media/F1ZmR2GX0AE3Se9.jpg</v>
      </c>
      <c r="AW3217" s="93" t="s">
        <v>21362</v>
      </c>
      <c r="AX3217" s="93" t="s">
        <v>21362</v>
      </c>
      <c r="AY3217" s="87"/>
      <c r="AZ3217" s="93" t="s">
        <v>22668</v>
      </c>
      <c r="BA3217" s="93" t="s">
        <v>22668</v>
      </c>
      <c r="BB3217" s="93" t="s">
        <v>22668</v>
      </c>
      <c r="BC3217" s="93" t="s">
        <v>21362</v>
      </c>
      <c r="BD3217" s="87">
        <v>3530068642</v>
      </c>
      <c r="BE3217" s="87"/>
      <c r="BF3217" s="87"/>
      <c r="BG3217" s="87"/>
      <c r="BH3217" s="87"/>
      <c r="BI3217" s="87"/>
    </row>
    <row r="3218" spans="1:61" x14ac:dyDescent="0.25">
      <c r="A3218" s="63" t="s">
        <v>1220</v>
      </c>
      <c r="B3218" s="63" t="s">
        <v>1220</v>
      </c>
      <c r="C3218" s="64"/>
      <c r="D3218" s="65"/>
      <c r="E3218" s="66"/>
      <c r="F3218" s="67"/>
      <c r="G3218" s="64"/>
      <c r="H3218" s="68"/>
      <c r="I3218" s="69"/>
      <c r="J3218" s="69"/>
      <c r="K3218" s="32"/>
      <c r="L3218" s="76">
        <v>3218</v>
      </c>
      <c r="M3218" s="76"/>
      <c r="N3218" s="71"/>
      <c r="O3218" s="87" t="s">
        <v>179</v>
      </c>
      <c r="P3218" s="90">
        <v>45125.551493055558</v>
      </c>
      <c r="Q3218" s="87" t="s">
        <v>4913</v>
      </c>
      <c r="R3218" s="87">
        <v>0</v>
      </c>
      <c r="S3218" s="87">
        <v>0</v>
      </c>
      <c r="T3218" s="87">
        <v>0</v>
      </c>
      <c r="U3218" s="87">
        <v>0</v>
      </c>
      <c r="V3218" s="87">
        <v>4</v>
      </c>
      <c r="W3218" s="93" t="s">
        <v>7678</v>
      </c>
      <c r="X3218" s="87"/>
      <c r="Y3218" s="87"/>
      <c r="Z3218" s="87"/>
      <c r="AA3218" s="87" t="s">
        <v>10818</v>
      </c>
      <c r="AB3218" s="87" t="s">
        <v>11451</v>
      </c>
      <c r="AC3218" s="93" t="s">
        <v>11457</v>
      </c>
      <c r="AD3218" s="87" t="s">
        <v>11519</v>
      </c>
      <c r="AE3218" s="92" t="str">
        <f>HYPERLINK("https://twitter.com/cleverlacerda/status/1681291265483198471")</f>
        <v>https://twitter.com/cleverlacerda/status/1681291265483198471</v>
      </c>
      <c r="AF3218" s="90">
        <v>45125.551493055558</v>
      </c>
      <c r="AG3218" s="99">
        <v>45125</v>
      </c>
      <c r="AH3218" s="93" t="s">
        <v>14387</v>
      </c>
      <c r="AI3218" s="87" t="b">
        <v>0</v>
      </c>
      <c r="AJ3218" s="87"/>
      <c r="AK3218" s="87"/>
      <c r="AL3218" s="87"/>
      <c r="AM3218" s="87"/>
      <c r="AN3218" s="87"/>
      <c r="AO3218" s="87"/>
      <c r="AP3218" s="87"/>
      <c r="AQ3218" s="87" t="s">
        <v>17630</v>
      </c>
      <c r="AR3218" s="87"/>
      <c r="AS3218" s="87"/>
      <c r="AT3218" s="87"/>
      <c r="AU3218" s="87"/>
      <c r="AV3218" s="92" t="str">
        <f>HYPERLINK("https://pbs.twimg.com/media/F1UlVIjWAAQuICe.jpg")</f>
        <v>https://pbs.twimg.com/media/F1UlVIjWAAQuICe.jpg</v>
      </c>
      <c r="AW3218" s="93" t="s">
        <v>21363</v>
      </c>
      <c r="AX3218" s="93" t="s">
        <v>21363</v>
      </c>
      <c r="AY3218" s="87"/>
      <c r="AZ3218" s="93" t="s">
        <v>22668</v>
      </c>
      <c r="BA3218" s="93" t="s">
        <v>22668</v>
      </c>
      <c r="BB3218" s="93" t="s">
        <v>22668</v>
      </c>
      <c r="BC3218" s="93" t="s">
        <v>21363</v>
      </c>
      <c r="BD3218" s="87">
        <v>3530068642</v>
      </c>
      <c r="BE3218" s="87"/>
      <c r="BF3218" s="87"/>
      <c r="BG3218" s="87"/>
      <c r="BH3218" s="87"/>
      <c r="BI3218" s="87"/>
    </row>
    <row r="3219" spans="1:61" x14ac:dyDescent="0.25">
      <c r="A3219" s="63" t="s">
        <v>1221</v>
      </c>
      <c r="B3219" s="63" t="s">
        <v>1221</v>
      </c>
      <c r="C3219" s="64"/>
      <c r="D3219" s="65"/>
      <c r="E3219" s="66"/>
      <c r="F3219" s="67"/>
      <c r="G3219" s="64"/>
      <c r="H3219" s="68"/>
      <c r="I3219" s="69"/>
      <c r="J3219" s="69"/>
      <c r="K3219" s="32"/>
      <c r="L3219" s="76">
        <v>3219</v>
      </c>
      <c r="M3219" s="76"/>
      <c r="N3219" s="71"/>
      <c r="O3219" s="87" t="s">
        <v>179</v>
      </c>
      <c r="P3219" s="90">
        <v>45120.132685185185</v>
      </c>
      <c r="Q3219" s="87" t="s">
        <v>4914</v>
      </c>
      <c r="R3219" s="87">
        <v>0</v>
      </c>
      <c r="S3219" s="87">
        <v>2</v>
      </c>
      <c r="T3219" s="87">
        <v>0</v>
      </c>
      <c r="U3219" s="87">
        <v>0</v>
      </c>
      <c r="V3219" s="87">
        <v>15</v>
      </c>
      <c r="W3219" s="93" t="s">
        <v>7133</v>
      </c>
      <c r="X3219" s="87"/>
      <c r="Y3219" s="87"/>
      <c r="Z3219" s="87"/>
      <c r="AA3219" s="87" t="s">
        <v>10819</v>
      </c>
      <c r="AB3219" s="87" t="s">
        <v>11447</v>
      </c>
      <c r="AC3219" s="93" t="s">
        <v>11458</v>
      </c>
      <c r="AD3219" s="87" t="s">
        <v>11522</v>
      </c>
      <c r="AE3219" s="92" t="str">
        <f>HYPERLINK("https://twitter.com/jailson_da/status/1679327557961887745")</f>
        <v>https://twitter.com/jailson_da/status/1679327557961887745</v>
      </c>
      <c r="AF3219" s="90">
        <v>45120.132685185185</v>
      </c>
      <c r="AG3219" s="99">
        <v>45120</v>
      </c>
      <c r="AH3219" s="93" t="s">
        <v>14388</v>
      </c>
      <c r="AI3219" s="87" t="b">
        <v>0</v>
      </c>
      <c r="AJ3219" s="87"/>
      <c r="AK3219" s="87"/>
      <c r="AL3219" s="87"/>
      <c r="AM3219" s="87"/>
      <c r="AN3219" s="87"/>
      <c r="AO3219" s="87"/>
      <c r="AP3219" s="87"/>
      <c r="AQ3219" s="87" t="s">
        <v>17631</v>
      </c>
      <c r="AR3219" s="87">
        <v>35900</v>
      </c>
      <c r="AS3219" s="87"/>
      <c r="AT3219" s="87"/>
      <c r="AU3219" s="87"/>
      <c r="AV3219" s="92" t="str">
        <f>HYPERLINK("https://pbs.twimg.com/amplify_video_thumb/1679327481596108802/img/3sAlkS5k-iuByJ0u.jpg")</f>
        <v>https://pbs.twimg.com/amplify_video_thumb/1679327481596108802/img/3sAlkS5k-iuByJ0u.jpg</v>
      </c>
      <c r="AW3219" s="93" t="s">
        <v>21364</v>
      </c>
      <c r="AX3219" s="93" t="s">
        <v>21364</v>
      </c>
      <c r="AY3219" s="87"/>
      <c r="AZ3219" s="93" t="s">
        <v>22668</v>
      </c>
      <c r="BA3219" s="93" t="s">
        <v>22668</v>
      </c>
      <c r="BB3219" s="93" t="s">
        <v>22668</v>
      </c>
      <c r="BC3219" s="93" t="s">
        <v>21364</v>
      </c>
      <c r="BD3219" s="87">
        <v>293876108</v>
      </c>
      <c r="BE3219" s="87"/>
      <c r="BF3219" s="87"/>
      <c r="BG3219" s="87"/>
      <c r="BH3219" s="87"/>
      <c r="BI3219" s="87"/>
    </row>
    <row r="3220" spans="1:61" x14ac:dyDescent="0.25">
      <c r="A3220" s="63" t="s">
        <v>1221</v>
      </c>
      <c r="B3220" s="63" t="s">
        <v>1221</v>
      </c>
      <c r="C3220" s="64"/>
      <c r="D3220" s="65"/>
      <c r="E3220" s="66"/>
      <c r="F3220" s="67"/>
      <c r="G3220" s="64"/>
      <c r="H3220" s="68"/>
      <c r="I3220" s="69"/>
      <c r="J3220" s="69"/>
      <c r="K3220" s="32"/>
      <c r="L3220" s="76">
        <v>3220</v>
      </c>
      <c r="M3220" s="76"/>
      <c r="N3220" s="71"/>
      <c r="O3220" s="87" t="s">
        <v>179</v>
      </c>
      <c r="P3220" s="90">
        <v>45114.748877314814</v>
      </c>
      <c r="Q3220" s="87" t="s">
        <v>4915</v>
      </c>
      <c r="R3220" s="87">
        <v>0</v>
      </c>
      <c r="S3220" s="87">
        <v>0</v>
      </c>
      <c r="T3220" s="87">
        <v>0</v>
      </c>
      <c r="U3220" s="87">
        <v>0</v>
      </c>
      <c r="V3220" s="87">
        <v>24</v>
      </c>
      <c r="W3220" s="93" t="s">
        <v>7679</v>
      </c>
      <c r="X3220" s="87"/>
      <c r="Y3220" s="87"/>
      <c r="Z3220" s="87"/>
      <c r="AA3220" s="87" t="s">
        <v>10820</v>
      </c>
      <c r="AB3220" s="87" t="s">
        <v>11447</v>
      </c>
      <c r="AC3220" s="93" t="s">
        <v>11458</v>
      </c>
      <c r="AD3220" s="87" t="s">
        <v>11519</v>
      </c>
      <c r="AE3220" s="92" t="str">
        <f>HYPERLINK("https://twitter.com/jailson_da/status/1677376531197460481")</f>
        <v>https://twitter.com/jailson_da/status/1677376531197460481</v>
      </c>
      <c r="AF3220" s="90">
        <v>45114.748877314814</v>
      </c>
      <c r="AG3220" s="99">
        <v>45114</v>
      </c>
      <c r="AH3220" s="93" t="s">
        <v>14389</v>
      </c>
      <c r="AI3220" s="87" t="b">
        <v>0</v>
      </c>
      <c r="AJ3220" s="87"/>
      <c r="AK3220" s="87"/>
      <c r="AL3220" s="87"/>
      <c r="AM3220" s="87"/>
      <c r="AN3220" s="87"/>
      <c r="AO3220" s="87"/>
      <c r="AP3220" s="87"/>
      <c r="AQ3220" s="87" t="s">
        <v>17632</v>
      </c>
      <c r="AR3220" s="87">
        <v>26085</v>
      </c>
      <c r="AS3220" s="87"/>
      <c r="AT3220" s="87"/>
      <c r="AU3220" s="87"/>
      <c r="AV3220" s="92" t="str">
        <f>HYPERLINK("https://pbs.twimg.com/amplify_video_thumb/1677376467431243776/img/l61kDGPjxXxReV4F.jpg")</f>
        <v>https://pbs.twimg.com/amplify_video_thumb/1677376467431243776/img/l61kDGPjxXxReV4F.jpg</v>
      </c>
      <c r="AW3220" s="93" t="s">
        <v>21365</v>
      </c>
      <c r="AX3220" s="93" t="s">
        <v>21365</v>
      </c>
      <c r="AY3220" s="87"/>
      <c r="AZ3220" s="93" t="s">
        <v>22668</v>
      </c>
      <c r="BA3220" s="93" t="s">
        <v>22668</v>
      </c>
      <c r="BB3220" s="93" t="s">
        <v>22668</v>
      </c>
      <c r="BC3220" s="93" t="s">
        <v>21365</v>
      </c>
      <c r="BD3220" s="87">
        <v>293876108</v>
      </c>
      <c r="BE3220" s="87"/>
      <c r="BF3220" s="87"/>
      <c r="BG3220" s="87"/>
      <c r="BH3220" s="87"/>
      <c r="BI3220" s="87"/>
    </row>
    <row r="3221" spans="1:61" x14ac:dyDescent="0.25">
      <c r="A3221" s="63" t="s">
        <v>1221</v>
      </c>
      <c r="B3221" s="63" t="s">
        <v>1221</v>
      </c>
      <c r="C3221" s="64"/>
      <c r="D3221" s="65"/>
      <c r="E3221" s="66"/>
      <c r="F3221" s="67"/>
      <c r="G3221" s="64"/>
      <c r="H3221" s="68"/>
      <c r="I3221" s="69"/>
      <c r="J3221" s="69"/>
      <c r="K3221" s="32"/>
      <c r="L3221" s="76">
        <v>3221</v>
      </c>
      <c r="M3221" s="76"/>
      <c r="N3221" s="71"/>
      <c r="O3221" s="87" t="s">
        <v>179</v>
      </c>
      <c r="P3221" s="90">
        <v>45135.532812500001</v>
      </c>
      <c r="Q3221" s="87" t="s">
        <v>4916</v>
      </c>
      <c r="R3221" s="87">
        <v>0</v>
      </c>
      <c r="S3221" s="87">
        <v>0</v>
      </c>
      <c r="T3221" s="87">
        <v>0</v>
      </c>
      <c r="U3221" s="87">
        <v>0</v>
      </c>
      <c r="V3221" s="87">
        <v>25</v>
      </c>
      <c r="W3221" s="93" t="s">
        <v>7134</v>
      </c>
      <c r="X3221" s="87"/>
      <c r="Y3221" s="87"/>
      <c r="Z3221" s="87"/>
      <c r="AA3221" s="87" t="s">
        <v>10821</v>
      </c>
      <c r="AB3221" s="87" t="s">
        <v>11448</v>
      </c>
      <c r="AC3221" s="93" t="s">
        <v>11458</v>
      </c>
      <c r="AD3221" s="87" t="s">
        <v>11519</v>
      </c>
      <c r="AE3221" s="92" t="str">
        <f>HYPERLINK("https://twitter.com/jailson_da/status/1684908374385725440")</f>
        <v>https://twitter.com/jailson_da/status/1684908374385725440</v>
      </c>
      <c r="AF3221" s="90">
        <v>45135.532812500001</v>
      </c>
      <c r="AG3221" s="99">
        <v>45135</v>
      </c>
      <c r="AH3221" s="93" t="s">
        <v>14390</v>
      </c>
      <c r="AI3221" s="87" t="b">
        <v>0</v>
      </c>
      <c r="AJ3221" s="87"/>
      <c r="AK3221" s="87"/>
      <c r="AL3221" s="87"/>
      <c r="AM3221" s="87"/>
      <c r="AN3221" s="87"/>
      <c r="AO3221" s="87"/>
      <c r="AP3221" s="87"/>
      <c r="AQ3221" s="87" t="s">
        <v>17633</v>
      </c>
      <c r="AR3221" s="87"/>
      <c r="AS3221" s="87"/>
      <c r="AT3221" s="87"/>
      <c r="AU3221" s="87"/>
      <c r="AV3221" s="92" t="str">
        <f>HYPERLINK("https://pbs.twimg.com/media/F2H_OzIWoAALiyl.jpg")</f>
        <v>https://pbs.twimg.com/media/F2H_OzIWoAALiyl.jpg</v>
      </c>
      <c r="AW3221" s="93" t="s">
        <v>21366</v>
      </c>
      <c r="AX3221" s="93" t="s">
        <v>21366</v>
      </c>
      <c r="AY3221" s="87"/>
      <c r="AZ3221" s="93" t="s">
        <v>22668</v>
      </c>
      <c r="BA3221" s="93" t="s">
        <v>22668</v>
      </c>
      <c r="BB3221" s="93" t="s">
        <v>22668</v>
      </c>
      <c r="BC3221" s="93" t="s">
        <v>21366</v>
      </c>
      <c r="BD3221" s="87">
        <v>293876108</v>
      </c>
      <c r="BE3221" s="87"/>
      <c r="BF3221" s="87"/>
      <c r="BG3221" s="87"/>
      <c r="BH3221" s="87"/>
      <c r="BI3221" s="87"/>
    </row>
    <row r="3222" spans="1:61" x14ac:dyDescent="0.25">
      <c r="A3222" s="63" t="s">
        <v>1221</v>
      </c>
      <c r="B3222" s="63" t="s">
        <v>1221</v>
      </c>
      <c r="C3222" s="64"/>
      <c r="D3222" s="65"/>
      <c r="E3222" s="66"/>
      <c r="F3222" s="67"/>
      <c r="G3222" s="64"/>
      <c r="H3222" s="68"/>
      <c r="I3222" s="69"/>
      <c r="J3222" s="69"/>
      <c r="K3222" s="32"/>
      <c r="L3222" s="76">
        <v>3222</v>
      </c>
      <c r="M3222" s="76"/>
      <c r="N3222" s="71"/>
      <c r="O3222" s="87" t="s">
        <v>179</v>
      </c>
      <c r="P3222" s="90">
        <v>45173.486724537041</v>
      </c>
      <c r="Q3222" s="87" t="s">
        <v>4917</v>
      </c>
      <c r="R3222" s="87">
        <v>0</v>
      </c>
      <c r="S3222" s="87">
        <v>0</v>
      </c>
      <c r="T3222" s="87">
        <v>0</v>
      </c>
      <c r="U3222" s="87">
        <v>0</v>
      </c>
      <c r="V3222" s="87">
        <v>12</v>
      </c>
      <c r="W3222" s="93" t="s">
        <v>7135</v>
      </c>
      <c r="X3222" s="87"/>
      <c r="Y3222" s="87"/>
      <c r="Z3222" s="87"/>
      <c r="AA3222" s="87" t="s">
        <v>10822</v>
      </c>
      <c r="AB3222" s="87" t="s">
        <v>11448</v>
      </c>
      <c r="AC3222" s="93" t="s">
        <v>11458</v>
      </c>
      <c r="AD3222" s="87" t="s">
        <v>11519</v>
      </c>
      <c r="AE3222" s="92" t="str">
        <f>HYPERLINK("https://twitter.com/jailson_da/status/1698662412415619519")</f>
        <v>https://twitter.com/jailson_da/status/1698662412415619519</v>
      </c>
      <c r="AF3222" s="90">
        <v>45173.486724537041</v>
      </c>
      <c r="AG3222" s="99">
        <v>45173</v>
      </c>
      <c r="AH3222" s="93" t="s">
        <v>14391</v>
      </c>
      <c r="AI3222" s="87" t="b">
        <v>0</v>
      </c>
      <c r="AJ3222" s="87"/>
      <c r="AK3222" s="87"/>
      <c r="AL3222" s="87"/>
      <c r="AM3222" s="87"/>
      <c r="AN3222" s="87"/>
      <c r="AO3222" s="87"/>
      <c r="AP3222" s="87"/>
      <c r="AQ3222" s="87" t="s">
        <v>17634</v>
      </c>
      <c r="AR3222" s="87"/>
      <c r="AS3222" s="87"/>
      <c r="AT3222" s="87"/>
      <c r="AU3222" s="87"/>
      <c r="AV3222" s="92" t="str">
        <f>HYPERLINK("https://pbs.twimg.com/media/F5LcdZRX0AA5ePt.jpg")</f>
        <v>https://pbs.twimg.com/media/F5LcdZRX0AA5ePt.jpg</v>
      </c>
      <c r="AW3222" s="93" t="s">
        <v>21367</v>
      </c>
      <c r="AX3222" s="93" t="s">
        <v>21367</v>
      </c>
      <c r="AY3222" s="87"/>
      <c r="AZ3222" s="93" t="s">
        <v>22668</v>
      </c>
      <c r="BA3222" s="93" t="s">
        <v>22668</v>
      </c>
      <c r="BB3222" s="93" t="s">
        <v>22668</v>
      </c>
      <c r="BC3222" s="93" t="s">
        <v>21367</v>
      </c>
      <c r="BD3222" s="87">
        <v>293876108</v>
      </c>
      <c r="BE3222" s="87"/>
      <c r="BF3222" s="87"/>
      <c r="BG3222" s="87"/>
      <c r="BH3222" s="87"/>
      <c r="BI3222" s="87"/>
    </row>
    <row r="3223" spans="1:61" x14ac:dyDescent="0.25">
      <c r="A3223" s="63" t="s">
        <v>1222</v>
      </c>
      <c r="B3223" s="63" t="s">
        <v>1222</v>
      </c>
      <c r="C3223" s="64"/>
      <c r="D3223" s="65"/>
      <c r="E3223" s="66"/>
      <c r="F3223" s="67"/>
      <c r="G3223" s="64"/>
      <c r="H3223" s="68"/>
      <c r="I3223" s="69"/>
      <c r="J3223" s="69"/>
      <c r="K3223" s="32"/>
      <c r="L3223" s="76">
        <v>3223</v>
      </c>
      <c r="M3223" s="76"/>
      <c r="N3223" s="71"/>
      <c r="O3223" s="87" t="s">
        <v>179</v>
      </c>
      <c r="P3223" s="90">
        <v>45150.992974537039</v>
      </c>
      <c r="Q3223" s="87" t="s">
        <v>4918</v>
      </c>
      <c r="R3223" s="87">
        <v>0</v>
      </c>
      <c r="S3223" s="87">
        <v>0</v>
      </c>
      <c r="T3223" s="87">
        <v>0</v>
      </c>
      <c r="U3223" s="87">
        <v>0</v>
      </c>
      <c r="V3223" s="87">
        <v>19</v>
      </c>
      <c r="W3223" s="93" t="s">
        <v>7680</v>
      </c>
      <c r="X3223" s="92" t="str">
        <f>HYPERLINK("https://instagram.com/_afroditelingeriesexyshop?utm_source=qr&amp;igshid=ZDc4ODBmNjlmNQ%3D%3D")</f>
        <v>https://instagram.com/_afroditelingeriesexyshop?utm_source=qr&amp;igshid=ZDc4ODBmNjlmNQ%3D%3D</v>
      </c>
      <c r="Y3223" s="87" t="s">
        <v>8383</v>
      </c>
      <c r="Z3223" s="87"/>
      <c r="AA3223" s="87" t="s">
        <v>10823</v>
      </c>
      <c r="AB3223" s="87" t="s">
        <v>11447</v>
      </c>
      <c r="AC3223" s="93" t="s">
        <v>11459</v>
      </c>
      <c r="AD3223" s="87" t="s">
        <v>11523</v>
      </c>
      <c r="AE3223" s="92" t="str">
        <f>HYPERLINK("https://twitter.com/_amandasantos09/status/1690510950858702848")</f>
        <v>https://twitter.com/_amandasantos09/status/1690510950858702848</v>
      </c>
      <c r="AF3223" s="90">
        <v>45150.992974537039</v>
      </c>
      <c r="AG3223" s="99">
        <v>45150</v>
      </c>
      <c r="AH3223" s="93" t="s">
        <v>14392</v>
      </c>
      <c r="AI3223" s="87" t="b">
        <v>0</v>
      </c>
      <c r="AJ3223" s="87"/>
      <c r="AK3223" s="87"/>
      <c r="AL3223" s="87"/>
      <c r="AM3223" s="87"/>
      <c r="AN3223" s="87"/>
      <c r="AO3223" s="87"/>
      <c r="AP3223" s="87"/>
      <c r="AQ3223" s="87" t="s">
        <v>17635</v>
      </c>
      <c r="AR3223" s="87">
        <v>2933</v>
      </c>
      <c r="AS3223" s="87"/>
      <c r="AT3223" s="87"/>
      <c r="AU3223" s="87"/>
      <c r="AV3223" s="92" t="str">
        <f>HYPERLINK("https://pbs.twimg.com/ext_tw_video_thumb/1690510934458957824/pu/img/y7ULRFEO58Wy6yP2.jpg")</f>
        <v>https://pbs.twimg.com/ext_tw_video_thumb/1690510934458957824/pu/img/y7ULRFEO58Wy6yP2.jpg</v>
      </c>
      <c r="AW3223" s="93" t="s">
        <v>21368</v>
      </c>
      <c r="AX3223" s="93" t="s">
        <v>21368</v>
      </c>
      <c r="AY3223" s="87"/>
      <c r="AZ3223" s="93" t="s">
        <v>22668</v>
      </c>
      <c r="BA3223" s="93" t="s">
        <v>22668</v>
      </c>
      <c r="BB3223" s="93" t="s">
        <v>22668</v>
      </c>
      <c r="BC3223" s="93" t="s">
        <v>21368</v>
      </c>
      <c r="BD3223" s="93" t="s">
        <v>23371</v>
      </c>
      <c r="BE3223" s="87"/>
      <c r="BF3223" s="87"/>
      <c r="BG3223" s="87"/>
      <c r="BH3223" s="87"/>
      <c r="BI3223" s="87"/>
    </row>
    <row r="3224" spans="1:61" x14ac:dyDescent="0.25">
      <c r="A3224" s="63" t="s">
        <v>1223</v>
      </c>
      <c r="B3224" s="63" t="s">
        <v>1223</v>
      </c>
      <c r="C3224" s="64"/>
      <c r="D3224" s="65"/>
      <c r="E3224" s="66"/>
      <c r="F3224" s="67"/>
      <c r="G3224" s="64"/>
      <c r="H3224" s="68"/>
      <c r="I3224" s="69"/>
      <c r="J3224" s="69"/>
      <c r="K3224" s="32"/>
      <c r="L3224" s="76">
        <v>3224</v>
      </c>
      <c r="M3224" s="76"/>
      <c r="N3224" s="71"/>
      <c r="O3224" s="87" t="s">
        <v>179</v>
      </c>
      <c r="P3224" s="90">
        <v>45155.046805555554</v>
      </c>
      <c r="Q3224" s="87" t="s">
        <v>4919</v>
      </c>
      <c r="R3224" s="87">
        <v>0</v>
      </c>
      <c r="S3224" s="87">
        <v>0</v>
      </c>
      <c r="T3224" s="87">
        <v>0</v>
      </c>
      <c r="U3224" s="87">
        <v>0</v>
      </c>
      <c r="V3224" s="87">
        <v>144</v>
      </c>
      <c r="W3224" s="93" t="s">
        <v>7681</v>
      </c>
      <c r="X3224" s="92" t="str">
        <f>HYPERLINK("https://hotm.art/koSSyLsL")</f>
        <v>https://hotm.art/koSSyLsL</v>
      </c>
      <c r="Y3224" s="87" t="s">
        <v>8421</v>
      </c>
      <c r="Z3224" s="87"/>
      <c r="AA3224" s="87" t="s">
        <v>10824</v>
      </c>
      <c r="AB3224" s="87" t="s">
        <v>11447</v>
      </c>
      <c r="AC3224" s="93" t="s">
        <v>11457</v>
      </c>
      <c r="AD3224" s="87" t="s">
        <v>11523</v>
      </c>
      <c r="AE3224" s="92" t="str">
        <f>HYPERLINK("https://twitter.com/cris91390163/status/1691980010574270951")</f>
        <v>https://twitter.com/cris91390163/status/1691980010574270951</v>
      </c>
      <c r="AF3224" s="90">
        <v>45155.046805555554</v>
      </c>
      <c r="AG3224" s="99">
        <v>45155</v>
      </c>
      <c r="AH3224" s="93" t="s">
        <v>14393</v>
      </c>
      <c r="AI3224" s="87" t="b">
        <v>0</v>
      </c>
      <c r="AJ3224" s="87"/>
      <c r="AK3224" s="87"/>
      <c r="AL3224" s="87"/>
      <c r="AM3224" s="87"/>
      <c r="AN3224" s="87"/>
      <c r="AO3224" s="87"/>
      <c r="AP3224" s="87"/>
      <c r="AQ3224" s="87" t="s">
        <v>17636</v>
      </c>
      <c r="AR3224" s="87">
        <v>20333</v>
      </c>
      <c r="AS3224" s="87"/>
      <c r="AT3224" s="87"/>
      <c r="AU3224" s="87"/>
      <c r="AV3224" s="92" t="str">
        <f>HYPERLINK("https://pbs.twimg.com/ext_tw_video_thumb/1691979541441318912/pu/img/CJg5jpFTSROm_dUH.jpg")</f>
        <v>https://pbs.twimg.com/ext_tw_video_thumb/1691979541441318912/pu/img/CJg5jpFTSROm_dUH.jpg</v>
      </c>
      <c r="AW3224" s="93" t="s">
        <v>21369</v>
      </c>
      <c r="AX3224" s="93" t="s">
        <v>21369</v>
      </c>
      <c r="AY3224" s="87"/>
      <c r="AZ3224" s="93" t="s">
        <v>22668</v>
      </c>
      <c r="BA3224" s="93" t="s">
        <v>22668</v>
      </c>
      <c r="BB3224" s="93" t="s">
        <v>22668</v>
      </c>
      <c r="BC3224" s="93" t="s">
        <v>21369</v>
      </c>
      <c r="BD3224" s="93" t="s">
        <v>23372</v>
      </c>
      <c r="BE3224" s="87"/>
      <c r="BF3224" s="87"/>
      <c r="BG3224" s="87"/>
      <c r="BH3224" s="87"/>
      <c r="BI3224" s="87"/>
    </row>
    <row r="3225" spans="1:61" x14ac:dyDescent="0.25">
      <c r="A3225" s="63" t="s">
        <v>1224</v>
      </c>
      <c r="B3225" s="63" t="s">
        <v>1224</v>
      </c>
      <c r="C3225" s="64"/>
      <c r="D3225" s="65"/>
      <c r="E3225" s="66"/>
      <c r="F3225" s="67"/>
      <c r="G3225" s="64"/>
      <c r="H3225" s="68"/>
      <c r="I3225" s="69"/>
      <c r="J3225" s="69"/>
      <c r="K3225" s="32"/>
      <c r="L3225" s="76">
        <v>3225</v>
      </c>
      <c r="M3225" s="76"/>
      <c r="N3225" s="71"/>
      <c r="O3225" s="87" t="s">
        <v>1840</v>
      </c>
      <c r="P3225" s="90">
        <v>45134.021736111114</v>
      </c>
      <c r="Q3225" s="87" t="s">
        <v>4920</v>
      </c>
      <c r="R3225" s="87">
        <v>2</v>
      </c>
      <c r="S3225" s="87">
        <v>2</v>
      </c>
      <c r="T3225" s="87">
        <v>0</v>
      </c>
      <c r="U3225" s="87">
        <v>0</v>
      </c>
      <c r="V3225" s="87">
        <v>17</v>
      </c>
      <c r="W3225" s="93" t="s">
        <v>7682</v>
      </c>
      <c r="X3225" s="87"/>
      <c r="Y3225" s="87"/>
      <c r="Z3225" s="87"/>
      <c r="AA3225" s="87"/>
      <c r="AB3225" s="87"/>
      <c r="AC3225" s="93" t="s">
        <v>11458</v>
      </c>
      <c r="AD3225" s="87" t="s">
        <v>11519</v>
      </c>
      <c r="AE3225" s="92" t="str">
        <f>HYPERLINK("https://twitter.com/matheusarzua/status/1684360781943513088")</f>
        <v>https://twitter.com/matheusarzua/status/1684360781943513088</v>
      </c>
      <c r="AF3225" s="90">
        <v>45134.021736111114</v>
      </c>
      <c r="AG3225" s="99">
        <v>45134</v>
      </c>
      <c r="AH3225" s="93" t="s">
        <v>14394</v>
      </c>
      <c r="AI3225" s="87"/>
      <c r="AJ3225" s="87"/>
      <c r="AK3225" s="87"/>
      <c r="AL3225" s="87"/>
      <c r="AM3225" s="87"/>
      <c r="AN3225" s="87"/>
      <c r="AO3225" s="87"/>
      <c r="AP3225" s="87"/>
      <c r="AQ3225" s="87"/>
      <c r="AR3225" s="87"/>
      <c r="AS3225" s="87"/>
      <c r="AT3225" s="87"/>
      <c r="AU3225" s="87"/>
      <c r="AV3225" s="92" t="str">
        <f>HYPERLINK("https://pbs.twimg.com/profile_images/1647970110848548864/-5OL2PEJ_normal.jpg")</f>
        <v>https://pbs.twimg.com/profile_images/1647970110848548864/-5OL2PEJ_normal.jpg</v>
      </c>
      <c r="AW3225" s="93" t="s">
        <v>21370</v>
      </c>
      <c r="AX3225" s="93" t="s">
        <v>22456</v>
      </c>
      <c r="AY3225" s="93" t="s">
        <v>22624</v>
      </c>
      <c r="AZ3225" s="93" t="s">
        <v>22752</v>
      </c>
      <c r="BA3225" s="93" t="s">
        <v>22668</v>
      </c>
      <c r="BB3225" s="93" t="s">
        <v>22668</v>
      </c>
      <c r="BC3225" s="93" t="s">
        <v>22752</v>
      </c>
      <c r="BD3225" s="93" t="s">
        <v>22624</v>
      </c>
      <c r="BE3225" s="87"/>
      <c r="BF3225" s="87"/>
      <c r="BG3225" s="87"/>
      <c r="BH3225" s="87"/>
      <c r="BI3225" s="87"/>
    </row>
    <row r="3226" spans="1:61" x14ac:dyDescent="0.25">
      <c r="A3226" s="63" t="s">
        <v>1225</v>
      </c>
      <c r="B3226" s="63" t="s">
        <v>1225</v>
      </c>
      <c r="C3226" s="64"/>
      <c r="D3226" s="65"/>
      <c r="E3226" s="66"/>
      <c r="F3226" s="67"/>
      <c r="G3226" s="64"/>
      <c r="H3226" s="68"/>
      <c r="I3226" s="69"/>
      <c r="J3226" s="69"/>
      <c r="K3226" s="32"/>
      <c r="L3226" s="76">
        <v>3226</v>
      </c>
      <c r="M3226" s="76"/>
      <c r="N3226" s="71"/>
      <c r="O3226" s="87" t="s">
        <v>179</v>
      </c>
      <c r="P3226" s="90">
        <v>45113.811828703707</v>
      </c>
      <c r="Q3226" s="87" t="s">
        <v>4921</v>
      </c>
      <c r="R3226" s="87">
        <v>0</v>
      </c>
      <c r="S3226" s="87">
        <v>2</v>
      </c>
      <c r="T3226" s="87">
        <v>0</v>
      </c>
      <c r="U3226" s="87">
        <v>0</v>
      </c>
      <c r="V3226" s="87">
        <v>63</v>
      </c>
      <c r="W3226" s="93" t="s">
        <v>7683</v>
      </c>
      <c r="X3226" s="92" t="str">
        <f>HYPERLINK("https://medium.com/orbiconecta/as-li%C3%A7%C3%B5es-da-primeira-gera%C3%A7%C3%A3o-de-empreendedores-de-inova%C3%A7%C3%A3o-em-mg-77d6906a32ec")</f>
        <v>https://medium.com/orbiconecta/as-li%C3%A7%C3%B5es-da-primeira-gera%C3%A7%C3%A3o-de-empreendedores-de-inova%C3%A7%C3%A3o-em-mg-77d6906a32ec</v>
      </c>
      <c r="Y3226" s="87" t="s">
        <v>8514</v>
      </c>
      <c r="Z3226" s="87"/>
      <c r="AA3226" s="87"/>
      <c r="AB3226" s="87"/>
      <c r="AC3226" s="93" t="s">
        <v>11457</v>
      </c>
      <c r="AD3226" s="87" t="s">
        <v>11519</v>
      </c>
      <c r="AE3226" s="92" t="str">
        <f>HYPERLINK("https://twitter.com/orbiconecta/status/1677036953483526145")</f>
        <v>https://twitter.com/orbiconecta/status/1677036953483526145</v>
      </c>
      <c r="AF3226" s="90">
        <v>45113.811828703707</v>
      </c>
      <c r="AG3226" s="99">
        <v>45113</v>
      </c>
      <c r="AH3226" s="93" t="s">
        <v>14395</v>
      </c>
      <c r="AI3226" s="87" t="b">
        <v>0</v>
      </c>
      <c r="AJ3226" s="87"/>
      <c r="AK3226" s="87"/>
      <c r="AL3226" s="87"/>
      <c r="AM3226" s="87"/>
      <c r="AN3226" s="87"/>
      <c r="AO3226" s="87"/>
      <c r="AP3226" s="87"/>
      <c r="AQ3226" s="87"/>
      <c r="AR3226" s="87"/>
      <c r="AS3226" s="87"/>
      <c r="AT3226" s="87"/>
      <c r="AU3226" s="87"/>
      <c r="AV3226" s="92" t="str">
        <f>HYPERLINK("https://pbs.twimg.com/profile_images/1622572400087818242/bYW79qSC_normal.jpg")</f>
        <v>https://pbs.twimg.com/profile_images/1622572400087818242/bYW79qSC_normal.jpg</v>
      </c>
      <c r="AW3226" s="93" t="s">
        <v>21371</v>
      </c>
      <c r="AX3226" s="93" t="s">
        <v>21371</v>
      </c>
      <c r="AY3226" s="87"/>
      <c r="AZ3226" s="93" t="s">
        <v>22668</v>
      </c>
      <c r="BA3226" s="93" t="s">
        <v>22668</v>
      </c>
      <c r="BB3226" s="93" t="s">
        <v>22668</v>
      </c>
      <c r="BC3226" s="93" t="s">
        <v>21371</v>
      </c>
      <c r="BD3226" s="93" t="s">
        <v>23373</v>
      </c>
      <c r="BE3226" s="87"/>
      <c r="BF3226" s="87"/>
      <c r="BG3226" s="87"/>
      <c r="BH3226" s="87"/>
      <c r="BI3226" s="87"/>
    </row>
    <row r="3227" spans="1:61" x14ac:dyDescent="0.25">
      <c r="A3227" s="63" t="s">
        <v>1226</v>
      </c>
      <c r="B3227" s="63" t="s">
        <v>1226</v>
      </c>
      <c r="C3227" s="64"/>
      <c r="D3227" s="65"/>
      <c r="E3227" s="66"/>
      <c r="F3227" s="67"/>
      <c r="G3227" s="64"/>
      <c r="H3227" s="68"/>
      <c r="I3227" s="69"/>
      <c r="J3227" s="69"/>
      <c r="K3227" s="32"/>
      <c r="L3227" s="76">
        <v>3227</v>
      </c>
      <c r="M3227" s="76"/>
      <c r="N3227" s="71"/>
      <c r="O3227" s="87" t="s">
        <v>179</v>
      </c>
      <c r="P3227" s="90">
        <v>45147.6875</v>
      </c>
      <c r="Q3227" s="87" t="s">
        <v>4922</v>
      </c>
      <c r="R3227" s="87">
        <v>7</v>
      </c>
      <c r="S3227" s="87">
        <v>130</v>
      </c>
      <c r="T3227" s="87">
        <v>30</v>
      </c>
      <c r="U3227" s="87">
        <v>12</v>
      </c>
      <c r="V3227" s="87">
        <v>57488</v>
      </c>
      <c r="W3227" s="93" t="s">
        <v>1226</v>
      </c>
      <c r="X3227" s="92" t="str">
        <f>HYPERLINK("http://glo.bo/3KwzGuk")</f>
        <v>http://glo.bo/3KwzGuk</v>
      </c>
      <c r="Y3227" s="87" t="s">
        <v>8389</v>
      </c>
      <c r="Z3227" s="87"/>
      <c r="AA3227" s="87" t="s">
        <v>10825</v>
      </c>
      <c r="AB3227" s="87" t="s">
        <v>11447</v>
      </c>
      <c r="AC3227" s="93" t="s">
        <v>11483</v>
      </c>
      <c r="AD3227" s="87" t="s">
        <v>11519</v>
      </c>
      <c r="AE3227" s="92" t="str">
        <f>HYPERLINK("https://twitter.com/g1/status/1689313085780279296")</f>
        <v>https://twitter.com/g1/status/1689313085780279296</v>
      </c>
      <c r="AF3227" s="90">
        <v>45147.6875</v>
      </c>
      <c r="AG3227" s="99">
        <v>45147</v>
      </c>
      <c r="AH3227" s="93" t="s">
        <v>14396</v>
      </c>
      <c r="AI3227" s="87" t="b">
        <v>0</v>
      </c>
      <c r="AJ3227" s="87"/>
      <c r="AK3227" s="87"/>
      <c r="AL3227" s="87"/>
      <c r="AM3227" s="87"/>
      <c r="AN3227" s="87"/>
      <c r="AO3227" s="87"/>
      <c r="AP3227" s="87"/>
      <c r="AQ3227" s="87" t="s">
        <v>17637</v>
      </c>
      <c r="AR3227" s="87">
        <v>92960</v>
      </c>
      <c r="AS3227" s="87"/>
      <c r="AT3227" s="87"/>
      <c r="AU3227" s="87"/>
      <c r="AV3227" s="92" t="str">
        <f>HYPERLINK("https://pbs.twimg.com/ext_tw_video_thumb/1689289367997575173/pu/img/i2aEAYiDI9sNQK52.jpg")</f>
        <v>https://pbs.twimg.com/ext_tw_video_thumb/1689289367997575173/pu/img/i2aEAYiDI9sNQK52.jpg</v>
      </c>
      <c r="AW3227" s="93" t="s">
        <v>21372</v>
      </c>
      <c r="AX3227" s="93" t="s">
        <v>21372</v>
      </c>
      <c r="AY3227" s="87"/>
      <c r="AZ3227" s="93" t="s">
        <v>22668</v>
      </c>
      <c r="BA3227" s="93" t="s">
        <v>22668</v>
      </c>
      <c r="BB3227" s="93" t="s">
        <v>22668</v>
      </c>
      <c r="BC3227" s="93" t="s">
        <v>21372</v>
      </c>
      <c r="BD3227" s="87">
        <v>8802752</v>
      </c>
      <c r="BE3227" s="87"/>
      <c r="BF3227" s="87"/>
      <c r="BG3227" s="87"/>
      <c r="BH3227" s="87"/>
      <c r="BI3227" s="87"/>
    </row>
    <row r="3228" spans="1:61" x14ac:dyDescent="0.25">
      <c r="A3228" s="63" t="s">
        <v>1227</v>
      </c>
      <c r="B3228" s="63" t="s">
        <v>1227</v>
      </c>
      <c r="C3228" s="64"/>
      <c r="D3228" s="65"/>
      <c r="E3228" s="66"/>
      <c r="F3228" s="67"/>
      <c r="G3228" s="64"/>
      <c r="H3228" s="68"/>
      <c r="I3228" s="69"/>
      <c r="J3228" s="69"/>
      <c r="K3228" s="32"/>
      <c r="L3228" s="76">
        <v>3228</v>
      </c>
      <c r="M3228" s="76"/>
      <c r="N3228" s="71"/>
      <c r="O3228" s="87" t="s">
        <v>179</v>
      </c>
      <c r="P3228" s="90">
        <v>45150.71429398148</v>
      </c>
      <c r="Q3228" s="87" t="s">
        <v>4923</v>
      </c>
      <c r="R3228" s="87">
        <v>0</v>
      </c>
      <c r="S3228" s="87">
        <v>0</v>
      </c>
      <c r="T3228" s="87">
        <v>0</v>
      </c>
      <c r="U3228" s="87">
        <v>0</v>
      </c>
      <c r="V3228" s="87">
        <v>41</v>
      </c>
      <c r="W3228" s="93" t="s">
        <v>7684</v>
      </c>
      <c r="X3228" s="87"/>
      <c r="Y3228" s="87"/>
      <c r="Z3228" s="87"/>
      <c r="AA3228" s="87" t="s">
        <v>10826</v>
      </c>
      <c r="AB3228" s="87" t="s">
        <v>11448</v>
      </c>
      <c r="AC3228" s="93" t="s">
        <v>11458</v>
      </c>
      <c r="AD3228" s="87" t="s">
        <v>11519</v>
      </c>
      <c r="AE3228" s="92" t="str">
        <f>HYPERLINK("https://twitter.com/ederson_melo/status/1690409961740750849")</f>
        <v>https://twitter.com/ederson_melo/status/1690409961740750849</v>
      </c>
      <c r="AF3228" s="90">
        <v>45150.71429398148</v>
      </c>
      <c r="AG3228" s="99">
        <v>45150</v>
      </c>
      <c r="AH3228" s="93" t="s">
        <v>14397</v>
      </c>
      <c r="AI3228" s="87" t="b">
        <v>0</v>
      </c>
      <c r="AJ3228" s="87" t="s">
        <v>15218</v>
      </c>
      <c r="AK3228" s="87" t="s">
        <v>15234</v>
      </c>
      <c r="AL3228" s="87" t="s">
        <v>15237</v>
      </c>
      <c r="AM3228" s="87" t="s">
        <v>15289</v>
      </c>
      <c r="AN3228" s="87" t="s">
        <v>15356</v>
      </c>
      <c r="AO3228" s="87" t="s">
        <v>15421</v>
      </c>
      <c r="AP3228" s="87" t="s">
        <v>15438</v>
      </c>
      <c r="AQ3228" s="87" t="s">
        <v>17638</v>
      </c>
      <c r="AR3228" s="87"/>
      <c r="AS3228" s="87"/>
      <c r="AT3228" s="87"/>
      <c r="AU3228" s="87"/>
      <c r="AV3228" s="92" t="str">
        <f>HYPERLINK("https://pbs.twimg.com/media/F3WK5exXkAAB1zR.jpg")</f>
        <v>https://pbs.twimg.com/media/F3WK5exXkAAB1zR.jpg</v>
      </c>
      <c r="AW3228" s="93" t="s">
        <v>21373</v>
      </c>
      <c r="AX3228" s="93" t="s">
        <v>21373</v>
      </c>
      <c r="AY3228" s="87"/>
      <c r="AZ3228" s="93" t="s">
        <v>22668</v>
      </c>
      <c r="BA3228" s="93" t="s">
        <v>22668</v>
      </c>
      <c r="BB3228" s="93" t="s">
        <v>22668</v>
      </c>
      <c r="BC3228" s="93" t="s">
        <v>21373</v>
      </c>
      <c r="BD3228" s="87">
        <v>189343931</v>
      </c>
      <c r="BE3228" s="87"/>
      <c r="BF3228" s="87"/>
      <c r="BG3228" s="87"/>
      <c r="BH3228" s="87"/>
      <c r="BI3228" s="87"/>
    </row>
    <row r="3229" spans="1:61" x14ac:dyDescent="0.25">
      <c r="A3229" s="63" t="s">
        <v>1227</v>
      </c>
      <c r="B3229" s="63" t="s">
        <v>1227</v>
      </c>
      <c r="C3229" s="64"/>
      <c r="D3229" s="65"/>
      <c r="E3229" s="66"/>
      <c r="F3229" s="67"/>
      <c r="G3229" s="64"/>
      <c r="H3229" s="68"/>
      <c r="I3229" s="69"/>
      <c r="J3229" s="69"/>
      <c r="K3229" s="32"/>
      <c r="L3229" s="76">
        <v>3229</v>
      </c>
      <c r="M3229" s="76"/>
      <c r="N3229" s="71"/>
      <c r="O3229" s="87" t="s">
        <v>179</v>
      </c>
      <c r="P3229" s="90">
        <v>45147.744722222225</v>
      </c>
      <c r="Q3229" s="87" t="s">
        <v>4924</v>
      </c>
      <c r="R3229" s="87">
        <v>0</v>
      </c>
      <c r="S3229" s="87">
        <v>1</v>
      </c>
      <c r="T3229" s="87">
        <v>0</v>
      </c>
      <c r="U3229" s="87">
        <v>0</v>
      </c>
      <c r="V3229" s="87">
        <v>50</v>
      </c>
      <c r="W3229" s="93" t="s">
        <v>7685</v>
      </c>
      <c r="X3229" s="87"/>
      <c r="Y3229" s="87"/>
      <c r="Z3229" s="87"/>
      <c r="AA3229" s="87" t="s">
        <v>10827</v>
      </c>
      <c r="AB3229" s="87" t="s">
        <v>11448</v>
      </c>
      <c r="AC3229" s="93" t="s">
        <v>11458</v>
      </c>
      <c r="AD3229" s="87" t="s">
        <v>11519</v>
      </c>
      <c r="AE3229" s="92" t="str">
        <f>HYPERLINK("https://twitter.com/ederson_melo/status/1689333824927277056")</f>
        <v>https://twitter.com/ederson_melo/status/1689333824927277056</v>
      </c>
      <c r="AF3229" s="90">
        <v>45147.744722222225</v>
      </c>
      <c r="AG3229" s="99">
        <v>45147</v>
      </c>
      <c r="AH3229" s="93" t="s">
        <v>14398</v>
      </c>
      <c r="AI3229" s="87" t="b">
        <v>0</v>
      </c>
      <c r="AJ3229" s="87"/>
      <c r="AK3229" s="87"/>
      <c r="AL3229" s="87"/>
      <c r="AM3229" s="87"/>
      <c r="AN3229" s="87"/>
      <c r="AO3229" s="87"/>
      <c r="AP3229" s="87"/>
      <c r="AQ3229" s="87" t="s">
        <v>17639</v>
      </c>
      <c r="AR3229" s="87"/>
      <c r="AS3229" s="87"/>
      <c r="AT3229" s="87"/>
      <c r="AU3229" s="87"/>
      <c r="AV3229" s="92" t="str">
        <f>HYPERLINK("https://pbs.twimg.com/media/F3G4J6kWwAM1PnQ.jpg")</f>
        <v>https://pbs.twimg.com/media/F3G4J6kWwAM1PnQ.jpg</v>
      </c>
      <c r="AW3229" s="93" t="s">
        <v>21374</v>
      </c>
      <c r="AX3229" s="93" t="s">
        <v>21374</v>
      </c>
      <c r="AY3229" s="87"/>
      <c r="AZ3229" s="93" t="s">
        <v>22668</v>
      </c>
      <c r="BA3229" s="93" t="s">
        <v>22668</v>
      </c>
      <c r="BB3229" s="93" t="s">
        <v>22668</v>
      </c>
      <c r="BC3229" s="93" t="s">
        <v>21374</v>
      </c>
      <c r="BD3229" s="87">
        <v>189343931</v>
      </c>
      <c r="BE3229" s="87"/>
      <c r="BF3229" s="87"/>
      <c r="BG3229" s="87"/>
      <c r="BH3229" s="87"/>
      <c r="BI3229" s="87"/>
    </row>
    <row r="3230" spans="1:61" x14ac:dyDescent="0.25">
      <c r="A3230" s="63" t="s">
        <v>1228</v>
      </c>
      <c r="B3230" s="63" t="s">
        <v>1228</v>
      </c>
      <c r="C3230" s="64"/>
      <c r="D3230" s="65"/>
      <c r="E3230" s="66"/>
      <c r="F3230" s="67"/>
      <c r="G3230" s="64"/>
      <c r="H3230" s="68"/>
      <c r="I3230" s="69"/>
      <c r="J3230" s="69"/>
      <c r="K3230" s="32"/>
      <c r="L3230" s="76">
        <v>3230</v>
      </c>
      <c r="M3230" s="76"/>
      <c r="N3230" s="71"/>
      <c r="O3230" s="87" t="s">
        <v>179</v>
      </c>
      <c r="P3230" s="90">
        <v>45195.010370370372</v>
      </c>
      <c r="Q3230" s="87" t="s">
        <v>4925</v>
      </c>
      <c r="R3230" s="87">
        <v>0</v>
      </c>
      <c r="S3230" s="87">
        <v>0</v>
      </c>
      <c r="T3230" s="87">
        <v>0</v>
      </c>
      <c r="U3230" s="87">
        <v>0</v>
      </c>
      <c r="V3230" s="87">
        <v>51</v>
      </c>
      <c r="W3230" s="93" t="s">
        <v>7686</v>
      </c>
      <c r="X3230" s="92" t="str">
        <f>HYPERLINK("https://shope.ee/qHalUqHet")</f>
        <v>https://shope.ee/qHalUqHet</v>
      </c>
      <c r="Y3230" s="87" t="s">
        <v>8472</v>
      </c>
      <c r="Z3230" s="87"/>
      <c r="AA3230" s="87" t="s">
        <v>10828</v>
      </c>
      <c r="AB3230" s="87" t="s">
        <v>11448</v>
      </c>
      <c r="AC3230" s="93" t="s">
        <v>11458</v>
      </c>
      <c r="AD3230" s="87" t="s">
        <v>11519</v>
      </c>
      <c r="AE3230" s="92" t="str">
        <f>HYPERLINK("https://twitter.com/adriano0406038/status/1706462319641870776")</f>
        <v>https://twitter.com/adriano0406038/status/1706462319641870776</v>
      </c>
      <c r="AF3230" s="90">
        <v>45195.010370370372</v>
      </c>
      <c r="AG3230" s="99">
        <v>45195</v>
      </c>
      <c r="AH3230" s="93" t="s">
        <v>14399</v>
      </c>
      <c r="AI3230" s="87" t="b">
        <v>1</v>
      </c>
      <c r="AJ3230" s="87"/>
      <c r="AK3230" s="87"/>
      <c r="AL3230" s="87"/>
      <c r="AM3230" s="87"/>
      <c r="AN3230" s="87"/>
      <c r="AO3230" s="87"/>
      <c r="AP3230" s="87"/>
      <c r="AQ3230" s="87" t="s">
        <v>17640</v>
      </c>
      <c r="AR3230" s="87"/>
      <c r="AS3230" s="87"/>
      <c r="AT3230" s="87"/>
      <c r="AU3230" s="87"/>
      <c r="AV3230" s="92" t="str">
        <f>HYPERLINK("https://pbs.twimg.com/media/F66SbysWUAAfXG7.jpg")</f>
        <v>https://pbs.twimg.com/media/F66SbysWUAAfXG7.jpg</v>
      </c>
      <c r="AW3230" s="93" t="s">
        <v>21375</v>
      </c>
      <c r="AX3230" s="93" t="s">
        <v>21375</v>
      </c>
      <c r="AY3230" s="87"/>
      <c r="AZ3230" s="93" t="s">
        <v>22668</v>
      </c>
      <c r="BA3230" s="93" t="s">
        <v>22668</v>
      </c>
      <c r="BB3230" s="93" t="s">
        <v>22668</v>
      </c>
      <c r="BC3230" s="93" t="s">
        <v>21375</v>
      </c>
      <c r="BD3230" s="93" t="s">
        <v>23374</v>
      </c>
      <c r="BE3230" s="87"/>
      <c r="BF3230" s="87"/>
      <c r="BG3230" s="87"/>
      <c r="BH3230" s="87"/>
      <c r="BI3230" s="87"/>
    </row>
    <row r="3231" spans="1:61" x14ac:dyDescent="0.25">
      <c r="A3231" s="63" t="s">
        <v>1229</v>
      </c>
      <c r="B3231" s="63" t="s">
        <v>1229</v>
      </c>
      <c r="C3231" s="64"/>
      <c r="D3231" s="65"/>
      <c r="E3231" s="66"/>
      <c r="F3231" s="67"/>
      <c r="G3231" s="64"/>
      <c r="H3231" s="68"/>
      <c r="I3231" s="69"/>
      <c r="J3231" s="69"/>
      <c r="K3231" s="32"/>
      <c r="L3231" s="76">
        <v>3231</v>
      </c>
      <c r="M3231" s="76"/>
      <c r="N3231" s="71"/>
      <c r="O3231" s="87" t="s">
        <v>179</v>
      </c>
      <c r="P3231" s="90">
        <v>45189.90761574074</v>
      </c>
      <c r="Q3231" s="87" t="s">
        <v>4926</v>
      </c>
      <c r="R3231" s="87">
        <v>0</v>
      </c>
      <c r="S3231" s="87">
        <v>2</v>
      </c>
      <c r="T3231" s="87">
        <v>0</v>
      </c>
      <c r="U3231" s="87">
        <v>0</v>
      </c>
      <c r="V3231" s="87">
        <v>36</v>
      </c>
      <c r="W3231" s="93" t="s">
        <v>7687</v>
      </c>
      <c r="X3231" s="92" t="str">
        <f>HYPERLINK("https://www.instagram.com/p/Cxbdke6u7y4/?igshid=NzZhOTFlYzFmZQ==")</f>
        <v>https://www.instagram.com/p/Cxbdke6u7y4/?igshid=NzZhOTFlYzFmZQ==</v>
      </c>
      <c r="Y3231" s="87" t="s">
        <v>8383</v>
      </c>
      <c r="Z3231" s="87"/>
      <c r="AA3231" s="87" t="s">
        <v>10829</v>
      </c>
      <c r="AB3231" s="87" t="s">
        <v>11448</v>
      </c>
      <c r="AC3231" s="93" t="s">
        <v>11459</v>
      </c>
      <c r="AD3231" s="87" t="s">
        <v>11519</v>
      </c>
      <c r="AE3231" s="92" t="str">
        <f>HYPERLINK("https://twitter.com/governope/status/1704613142985097471")</f>
        <v>https://twitter.com/governope/status/1704613142985097471</v>
      </c>
      <c r="AF3231" s="90">
        <v>45189.90761574074</v>
      </c>
      <c r="AG3231" s="99">
        <v>45189</v>
      </c>
      <c r="AH3231" s="93" t="s">
        <v>14400</v>
      </c>
      <c r="AI3231" s="87" t="b">
        <v>0</v>
      </c>
      <c r="AJ3231" s="87"/>
      <c r="AK3231" s="87"/>
      <c r="AL3231" s="87"/>
      <c r="AM3231" s="87"/>
      <c r="AN3231" s="87"/>
      <c r="AO3231" s="87"/>
      <c r="AP3231" s="87"/>
      <c r="AQ3231" s="87" t="s">
        <v>17641</v>
      </c>
      <c r="AR3231" s="87"/>
      <c r="AS3231" s="87"/>
      <c r="AT3231" s="87"/>
      <c r="AU3231" s="87"/>
      <c r="AV3231" s="92" t="str">
        <f>HYPERLINK("https://pbs.twimg.com/media/F6gAnVgXcAYrv96.jpg")</f>
        <v>https://pbs.twimg.com/media/F6gAnVgXcAYrv96.jpg</v>
      </c>
      <c r="AW3231" s="93" t="s">
        <v>21376</v>
      </c>
      <c r="AX3231" s="93" t="s">
        <v>21376</v>
      </c>
      <c r="AY3231" s="87"/>
      <c r="AZ3231" s="93" t="s">
        <v>22668</v>
      </c>
      <c r="BA3231" s="93" t="s">
        <v>22668</v>
      </c>
      <c r="BB3231" s="93" t="s">
        <v>22668</v>
      </c>
      <c r="BC3231" s="93" t="s">
        <v>21376</v>
      </c>
      <c r="BD3231" s="93" t="s">
        <v>23375</v>
      </c>
      <c r="BE3231" s="87"/>
      <c r="BF3231" s="87"/>
      <c r="BG3231" s="87"/>
      <c r="BH3231" s="87"/>
      <c r="BI3231" s="87"/>
    </row>
    <row r="3232" spans="1:61" x14ac:dyDescent="0.25">
      <c r="A3232" s="63" t="s">
        <v>1230</v>
      </c>
      <c r="B3232" s="63" t="s">
        <v>1230</v>
      </c>
      <c r="C3232" s="64"/>
      <c r="D3232" s="65"/>
      <c r="E3232" s="66"/>
      <c r="F3232" s="67"/>
      <c r="G3232" s="64"/>
      <c r="H3232" s="68"/>
      <c r="I3232" s="69"/>
      <c r="J3232" s="69"/>
      <c r="K3232" s="32"/>
      <c r="L3232" s="76">
        <v>3232</v>
      </c>
      <c r="M3232" s="76"/>
      <c r="N3232" s="71"/>
      <c r="O3232" s="87" t="s">
        <v>179</v>
      </c>
      <c r="P3232" s="90">
        <v>45117.854907407411</v>
      </c>
      <c r="Q3232" s="87" t="s">
        <v>4927</v>
      </c>
      <c r="R3232" s="87">
        <v>1</v>
      </c>
      <c r="S3232" s="87">
        <v>0</v>
      </c>
      <c r="T3232" s="87">
        <v>0</v>
      </c>
      <c r="U3232" s="87">
        <v>0</v>
      </c>
      <c r="V3232" s="87">
        <v>45</v>
      </c>
      <c r="W3232" s="93" t="s">
        <v>7688</v>
      </c>
      <c r="X3232" s="87"/>
      <c r="Y3232" s="87"/>
      <c r="Z3232" s="87"/>
      <c r="AA3232" s="87" t="s">
        <v>10830</v>
      </c>
      <c r="AB3232" s="87" t="s">
        <v>11447</v>
      </c>
      <c r="AC3232" s="93" t="s">
        <v>11459</v>
      </c>
      <c r="AD3232" s="87" t="s">
        <v>11519</v>
      </c>
      <c r="AE3232" s="92" t="str">
        <f>HYPERLINK("https://twitter.com/unhasdedeusa/status/1678502117604982786")</f>
        <v>https://twitter.com/unhasdedeusa/status/1678502117604982786</v>
      </c>
      <c r="AF3232" s="90">
        <v>45117.854907407411</v>
      </c>
      <c r="AG3232" s="99">
        <v>45117</v>
      </c>
      <c r="AH3232" s="93" t="s">
        <v>14401</v>
      </c>
      <c r="AI3232" s="87" t="b">
        <v>0</v>
      </c>
      <c r="AJ3232" s="87"/>
      <c r="AK3232" s="87"/>
      <c r="AL3232" s="87"/>
      <c r="AM3232" s="87"/>
      <c r="AN3232" s="87"/>
      <c r="AO3232" s="87"/>
      <c r="AP3232" s="87"/>
      <c r="AQ3232" s="87" t="s">
        <v>17642</v>
      </c>
      <c r="AR3232" s="87">
        <v>45000</v>
      </c>
      <c r="AS3232" s="87"/>
      <c r="AT3232" s="87"/>
      <c r="AU3232" s="87"/>
      <c r="AV3232" s="92" t="str">
        <f>HYPERLINK("https://pbs.twimg.com/ext_tw_video_thumb/1678502073136971779/pu/img/s7CZiJ3yd69jlgJR.jpg")</f>
        <v>https://pbs.twimg.com/ext_tw_video_thumb/1678502073136971779/pu/img/s7CZiJ3yd69jlgJR.jpg</v>
      </c>
      <c r="AW3232" s="93" t="s">
        <v>21377</v>
      </c>
      <c r="AX3232" s="93" t="s">
        <v>21377</v>
      </c>
      <c r="AY3232" s="87"/>
      <c r="AZ3232" s="93" t="s">
        <v>22668</v>
      </c>
      <c r="BA3232" s="93" t="s">
        <v>22668</v>
      </c>
      <c r="BB3232" s="93" t="s">
        <v>22668</v>
      </c>
      <c r="BC3232" s="93" t="s">
        <v>21377</v>
      </c>
      <c r="BD3232" s="93" t="s">
        <v>23376</v>
      </c>
      <c r="BE3232" s="87"/>
      <c r="BF3232" s="87"/>
      <c r="BG3232" s="87"/>
      <c r="BH3232" s="87"/>
      <c r="BI3232" s="87"/>
    </row>
    <row r="3233" spans="1:61" x14ac:dyDescent="0.25">
      <c r="A3233" s="63" t="s">
        <v>1230</v>
      </c>
      <c r="B3233" s="63" t="s">
        <v>1230</v>
      </c>
      <c r="C3233" s="64"/>
      <c r="D3233" s="65"/>
      <c r="E3233" s="66"/>
      <c r="F3233" s="67"/>
      <c r="G3233" s="64"/>
      <c r="H3233" s="68"/>
      <c r="I3233" s="69"/>
      <c r="J3233" s="69"/>
      <c r="K3233" s="32"/>
      <c r="L3233" s="76">
        <v>3233</v>
      </c>
      <c r="M3233" s="76"/>
      <c r="N3233" s="71"/>
      <c r="O3233" s="87" t="s">
        <v>179</v>
      </c>
      <c r="P3233" s="90">
        <v>45119.744895833333</v>
      </c>
      <c r="Q3233" s="87" t="s">
        <v>4928</v>
      </c>
      <c r="R3233" s="87">
        <v>1</v>
      </c>
      <c r="S3233" s="87">
        <v>0</v>
      </c>
      <c r="T3233" s="87">
        <v>0</v>
      </c>
      <c r="U3233" s="87">
        <v>0</v>
      </c>
      <c r="V3233" s="87">
        <v>64</v>
      </c>
      <c r="W3233" s="93" t="s">
        <v>7689</v>
      </c>
      <c r="X3233" s="87"/>
      <c r="Y3233" s="87"/>
      <c r="Z3233" s="87"/>
      <c r="AA3233" s="87" t="s">
        <v>10831</v>
      </c>
      <c r="AB3233" s="87" t="s">
        <v>11447</v>
      </c>
      <c r="AC3233" s="93" t="s">
        <v>11459</v>
      </c>
      <c r="AD3233" s="87" t="s">
        <v>11519</v>
      </c>
      <c r="AE3233" s="92" t="str">
        <f>HYPERLINK("https://twitter.com/unhasdedeusa/status/1679187024249487366")</f>
        <v>https://twitter.com/unhasdedeusa/status/1679187024249487366</v>
      </c>
      <c r="AF3233" s="90">
        <v>45119.744895833333</v>
      </c>
      <c r="AG3233" s="99">
        <v>45119</v>
      </c>
      <c r="AH3233" s="93" t="s">
        <v>14402</v>
      </c>
      <c r="AI3233" s="87" t="b">
        <v>0</v>
      </c>
      <c r="AJ3233" s="87"/>
      <c r="AK3233" s="87"/>
      <c r="AL3233" s="87"/>
      <c r="AM3233" s="87"/>
      <c r="AN3233" s="87"/>
      <c r="AO3233" s="87"/>
      <c r="AP3233" s="87"/>
      <c r="AQ3233" s="87" t="s">
        <v>17643</v>
      </c>
      <c r="AR3233" s="87">
        <v>5100</v>
      </c>
      <c r="AS3233" s="87"/>
      <c r="AT3233" s="87"/>
      <c r="AU3233" s="87"/>
      <c r="AV3233" s="92" t="str">
        <f>HYPERLINK("https://pbs.twimg.com/ext_tw_video_thumb/1679186961867653120/pu/img/hjRqg-7e-WAFXciW.jpg")</f>
        <v>https://pbs.twimg.com/ext_tw_video_thumb/1679186961867653120/pu/img/hjRqg-7e-WAFXciW.jpg</v>
      </c>
      <c r="AW3233" s="93" t="s">
        <v>21378</v>
      </c>
      <c r="AX3233" s="93" t="s">
        <v>21378</v>
      </c>
      <c r="AY3233" s="87"/>
      <c r="AZ3233" s="93" t="s">
        <v>22668</v>
      </c>
      <c r="BA3233" s="93" t="s">
        <v>22668</v>
      </c>
      <c r="BB3233" s="93" t="s">
        <v>22668</v>
      </c>
      <c r="BC3233" s="93" t="s">
        <v>21378</v>
      </c>
      <c r="BD3233" s="93" t="s">
        <v>23376</v>
      </c>
      <c r="BE3233" s="87"/>
      <c r="BF3233" s="87"/>
      <c r="BG3233" s="87"/>
      <c r="BH3233" s="87"/>
      <c r="BI3233" s="87"/>
    </row>
    <row r="3234" spans="1:61" x14ac:dyDescent="0.25">
      <c r="A3234" s="63" t="s">
        <v>1231</v>
      </c>
      <c r="B3234" s="63" t="s">
        <v>1231</v>
      </c>
      <c r="C3234" s="64"/>
      <c r="D3234" s="65"/>
      <c r="E3234" s="66"/>
      <c r="F3234" s="67"/>
      <c r="G3234" s="64"/>
      <c r="H3234" s="68"/>
      <c r="I3234" s="69"/>
      <c r="J3234" s="69"/>
      <c r="K3234" s="32"/>
      <c r="L3234" s="76">
        <v>3234</v>
      </c>
      <c r="M3234" s="76"/>
      <c r="N3234" s="71"/>
      <c r="O3234" s="87" t="s">
        <v>179</v>
      </c>
      <c r="P3234" s="90">
        <v>45116.719143518516</v>
      </c>
      <c r="Q3234" s="87" t="s">
        <v>4929</v>
      </c>
      <c r="R3234" s="87">
        <v>0</v>
      </c>
      <c r="S3234" s="87">
        <v>1</v>
      </c>
      <c r="T3234" s="87">
        <v>0</v>
      </c>
      <c r="U3234" s="87">
        <v>0</v>
      </c>
      <c r="V3234" s="87">
        <v>74</v>
      </c>
      <c r="W3234" s="93" t="s">
        <v>6641</v>
      </c>
      <c r="X3234" s="87"/>
      <c r="Y3234" s="87"/>
      <c r="Z3234" s="87"/>
      <c r="AA3234" s="87" t="s">
        <v>10832</v>
      </c>
      <c r="AB3234" s="87" t="s">
        <v>11449</v>
      </c>
      <c r="AC3234" s="93" t="s">
        <v>11459</v>
      </c>
      <c r="AD3234" s="87" t="s">
        <v>11519</v>
      </c>
      <c r="AE3234" s="92" t="str">
        <f>HYPERLINK("https://twitter.com/cufa_es/status/1678090529333030912")</f>
        <v>https://twitter.com/cufa_es/status/1678090529333030912</v>
      </c>
      <c r="AF3234" s="90">
        <v>45116.719143518516</v>
      </c>
      <c r="AG3234" s="99">
        <v>45116</v>
      </c>
      <c r="AH3234" s="93" t="s">
        <v>14403</v>
      </c>
      <c r="AI3234" s="87" t="b">
        <v>0</v>
      </c>
      <c r="AJ3234" s="87"/>
      <c r="AK3234" s="87"/>
      <c r="AL3234" s="87"/>
      <c r="AM3234" s="87"/>
      <c r="AN3234" s="87"/>
      <c r="AO3234" s="87"/>
      <c r="AP3234" s="87"/>
      <c r="AQ3234" s="87" t="s">
        <v>17644</v>
      </c>
      <c r="AR3234" s="87"/>
      <c r="AS3234" s="87"/>
      <c r="AT3234" s="87"/>
      <c r="AU3234" s="87"/>
      <c r="AV3234" s="92" t="str">
        <f>HYPERLINK("https://pbs.twimg.com/media/F0nGa6LXsAE7wpb.jpg")</f>
        <v>https://pbs.twimg.com/media/F0nGa6LXsAE7wpb.jpg</v>
      </c>
      <c r="AW3234" s="93" t="s">
        <v>21379</v>
      </c>
      <c r="AX3234" s="93" t="s">
        <v>21379</v>
      </c>
      <c r="AY3234" s="87"/>
      <c r="AZ3234" s="93" t="s">
        <v>22668</v>
      </c>
      <c r="BA3234" s="93" t="s">
        <v>22668</v>
      </c>
      <c r="BB3234" s="93" t="s">
        <v>22668</v>
      </c>
      <c r="BC3234" s="93" t="s">
        <v>21379</v>
      </c>
      <c r="BD3234" s="93" t="s">
        <v>23377</v>
      </c>
      <c r="BE3234" s="87"/>
      <c r="BF3234" s="87"/>
      <c r="BG3234" s="87"/>
      <c r="BH3234" s="87"/>
      <c r="BI3234" s="87"/>
    </row>
    <row r="3235" spans="1:61" x14ac:dyDescent="0.25">
      <c r="A3235" s="63" t="s">
        <v>1232</v>
      </c>
      <c r="B3235" s="63" t="s">
        <v>1232</v>
      </c>
      <c r="C3235" s="64"/>
      <c r="D3235" s="65"/>
      <c r="E3235" s="66"/>
      <c r="F3235" s="67"/>
      <c r="G3235" s="64"/>
      <c r="H3235" s="68"/>
      <c r="I3235" s="69"/>
      <c r="J3235" s="69"/>
      <c r="K3235" s="32"/>
      <c r="L3235" s="76">
        <v>3235</v>
      </c>
      <c r="M3235" s="76"/>
      <c r="N3235" s="71"/>
      <c r="O3235" s="87" t="s">
        <v>179</v>
      </c>
      <c r="P3235" s="90">
        <v>45135.4375</v>
      </c>
      <c r="Q3235" s="87" t="s">
        <v>4930</v>
      </c>
      <c r="R3235" s="87">
        <v>0</v>
      </c>
      <c r="S3235" s="87">
        <v>0</v>
      </c>
      <c r="T3235" s="87">
        <v>0</v>
      </c>
      <c r="U3235" s="87">
        <v>0</v>
      </c>
      <c r="V3235" s="87">
        <v>17</v>
      </c>
      <c r="W3235" s="93" t="s">
        <v>7690</v>
      </c>
      <c r="X3235" s="92" t="str">
        <f>HYPERLINK("https://www.hojemais.com.br/aracatuba/noticia/economia/banco-do-povo-de-aracatuba-libera-mais-de-r180-mil-em-creditos-para-empresarios")</f>
        <v>https://www.hojemais.com.br/aracatuba/noticia/economia/banco-do-povo-de-aracatuba-libera-mais-de-r180-mil-em-creditos-para-empresarios</v>
      </c>
      <c r="Y3235" s="87" t="s">
        <v>8373</v>
      </c>
      <c r="Z3235" s="87"/>
      <c r="AA3235" s="87" t="s">
        <v>10833</v>
      </c>
      <c r="AB3235" s="87" t="s">
        <v>11448</v>
      </c>
      <c r="AC3235" s="93" t="s">
        <v>11457</v>
      </c>
      <c r="AD3235" s="87" t="s">
        <v>11519</v>
      </c>
      <c r="AE3235" s="92" t="str">
        <f>HYPERLINK("https://twitter.com/hojemaisata/status/1684873834716123136")</f>
        <v>https://twitter.com/hojemaisata/status/1684873834716123136</v>
      </c>
      <c r="AF3235" s="90">
        <v>45135.4375</v>
      </c>
      <c r="AG3235" s="99">
        <v>45135</v>
      </c>
      <c r="AH3235" s="93" t="s">
        <v>14404</v>
      </c>
      <c r="AI3235" s="87" t="b">
        <v>0</v>
      </c>
      <c r="AJ3235" s="87"/>
      <c r="AK3235" s="87"/>
      <c r="AL3235" s="87"/>
      <c r="AM3235" s="87"/>
      <c r="AN3235" s="87"/>
      <c r="AO3235" s="87"/>
      <c r="AP3235" s="87"/>
      <c r="AQ3235" s="87" t="s">
        <v>17645</v>
      </c>
      <c r="AR3235" s="87"/>
      <c r="AS3235" s="87"/>
      <c r="AT3235" s="87"/>
      <c r="AU3235" s="87"/>
      <c r="AV3235" s="92" t="str">
        <f>HYPERLINK("https://pbs.twimg.com/media/F2FjujiWcAAdz4u.jpg")</f>
        <v>https://pbs.twimg.com/media/F2FjujiWcAAdz4u.jpg</v>
      </c>
      <c r="AW3235" s="93" t="s">
        <v>21380</v>
      </c>
      <c r="AX3235" s="93" t="s">
        <v>21380</v>
      </c>
      <c r="AY3235" s="87"/>
      <c r="AZ3235" s="93" t="s">
        <v>22668</v>
      </c>
      <c r="BA3235" s="93" t="s">
        <v>22668</v>
      </c>
      <c r="BB3235" s="93" t="s">
        <v>22668</v>
      </c>
      <c r="BC3235" s="93" t="s">
        <v>21380</v>
      </c>
      <c r="BD3235" s="93" t="s">
        <v>23378</v>
      </c>
      <c r="BE3235" s="87"/>
      <c r="BF3235" s="87"/>
      <c r="BG3235" s="87"/>
      <c r="BH3235" s="87"/>
      <c r="BI3235" s="87"/>
    </row>
    <row r="3236" spans="1:61" x14ac:dyDescent="0.25">
      <c r="A3236" s="63" t="s">
        <v>1232</v>
      </c>
      <c r="B3236" s="63" t="s">
        <v>1232</v>
      </c>
      <c r="C3236" s="64"/>
      <c r="D3236" s="65"/>
      <c r="E3236" s="66"/>
      <c r="F3236" s="67"/>
      <c r="G3236" s="64"/>
      <c r="H3236" s="68"/>
      <c r="I3236" s="69"/>
      <c r="J3236" s="69"/>
      <c r="K3236" s="32"/>
      <c r="L3236" s="76">
        <v>3236</v>
      </c>
      <c r="M3236" s="76"/>
      <c r="N3236" s="71"/>
      <c r="O3236" s="87" t="s">
        <v>179</v>
      </c>
      <c r="P3236" s="90">
        <v>45142.909722222219</v>
      </c>
      <c r="Q3236" s="87" t="s">
        <v>4931</v>
      </c>
      <c r="R3236" s="87">
        <v>0</v>
      </c>
      <c r="S3236" s="87">
        <v>0</v>
      </c>
      <c r="T3236" s="87">
        <v>0</v>
      </c>
      <c r="U3236" s="87">
        <v>0</v>
      </c>
      <c r="V3236" s="87">
        <v>21</v>
      </c>
      <c r="W3236" s="93" t="s">
        <v>7691</v>
      </c>
      <c r="X3236" s="92" t="str">
        <f>HYPERLINK("https://www.hojemais.com.br/aracatuba/noticia/cotidiano/vigilancia-sanitaria-de-birigui-libera-predio-de-influenciadora-digital-para-funcionar-como-loja")</f>
        <v>https://www.hojemais.com.br/aracatuba/noticia/cotidiano/vigilancia-sanitaria-de-birigui-libera-predio-de-influenciadora-digital-para-funcionar-como-loja</v>
      </c>
      <c r="Y3236" s="87" t="s">
        <v>8373</v>
      </c>
      <c r="Z3236" s="87"/>
      <c r="AA3236" s="87" t="s">
        <v>10834</v>
      </c>
      <c r="AB3236" s="87" t="s">
        <v>11448</v>
      </c>
      <c r="AC3236" s="93" t="s">
        <v>11457</v>
      </c>
      <c r="AD3236" s="87" t="s">
        <v>11519</v>
      </c>
      <c r="AE3236" s="92" t="str">
        <f>HYPERLINK("https://twitter.com/hojemaisata/status/1687581676971638785")</f>
        <v>https://twitter.com/hojemaisata/status/1687581676971638785</v>
      </c>
      <c r="AF3236" s="90">
        <v>45142.909722222219</v>
      </c>
      <c r="AG3236" s="99">
        <v>45142</v>
      </c>
      <c r="AH3236" s="93" t="s">
        <v>14405</v>
      </c>
      <c r="AI3236" s="87" t="b">
        <v>0</v>
      </c>
      <c r="AJ3236" s="87"/>
      <c r="AK3236" s="87"/>
      <c r="AL3236" s="87"/>
      <c r="AM3236" s="87"/>
      <c r="AN3236" s="87"/>
      <c r="AO3236" s="87"/>
      <c r="AP3236" s="87"/>
      <c r="AQ3236" s="87" t="s">
        <v>17646</v>
      </c>
      <c r="AR3236" s="87"/>
      <c r="AS3236" s="87"/>
      <c r="AT3236" s="87"/>
      <c r="AU3236" s="87"/>
      <c r="AV3236" s="92" t="str">
        <f>HYPERLINK("https://pbs.twimg.com/media/F2teL5oWEAAaiEM.jpg")</f>
        <v>https://pbs.twimg.com/media/F2teL5oWEAAaiEM.jpg</v>
      </c>
      <c r="AW3236" s="93" t="s">
        <v>21381</v>
      </c>
      <c r="AX3236" s="93" t="s">
        <v>21381</v>
      </c>
      <c r="AY3236" s="87"/>
      <c r="AZ3236" s="93" t="s">
        <v>22668</v>
      </c>
      <c r="BA3236" s="93" t="s">
        <v>22668</v>
      </c>
      <c r="BB3236" s="93" t="s">
        <v>22668</v>
      </c>
      <c r="BC3236" s="93" t="s">
        <v>21381</v>
      </c>
      <c r="BD3236" s="93" t="s">
        <v>23378</v>
      </c>
      <c r="BE3236" s="87"/>
      <c r="BF3236" s="87"/>
      <c r="BG3236" s="87"/>
      <c r="BH3236" s="87"/>
      <c r="BI3236" s="87"/>
    </row>
    <row r="3237" spans="1:61" x14ac:dyDescent="0.25">
      <c r="A3237" s="63" t="s">
        <v>1233</v>
      </c>
      <c r="B3237" s="63" t="s">
        <v>1233</v>
      </c>
      <c r="C3237" s="64"/>
      <c r="D3237" s="65"/>
      <c r="E3237" s="66"/>
      <c r="F3237" s="67"/>
      <c r="G3237" s="64"/>
      <c r="H3237" s="68"/>
      <c r="I3237" s="69"/>
      <c r="J3237" s="69"/>
      <c r="K3237" s="32"/>
      <c r="L3237" s="76">
        <v>3237</v>
      </c>
      <c r="M3237" s="76"/>
      <c r="N3237" s="71"/>
      <c r="O3237" s="87" t="s">
        <v>179</v>
      </c>
      <c r="P3237" s="90">
        <v>45190.532418981478</v>
      </c>
      <c r="Q3237" s="87" t="s">
        <v>4932</v>
      </c>
      <c r="R3237" s="87">
        <v>0</v>
      </c>
      <c r="S3237" s="87">
        <v>0</v>
      </c>
      <c r="T3237" s="87">
        <v>0</v>
      </c>
      <c r="U3237" s="87">
        <v>0</v>
      </c>
      <c r="V3237" s="87">
        <v>8</v>
      </c>
      <c r="W3237" s="93" t="s">
        <v>7692</v>
      </c>
      <c r="X3237" s="92" t="str">
        <f>HYPERLINK("https://maiseducativa.com/2023/09/20/46-mil-euros-para-transformares-sonhos-em-realidade-aliciante/")</f>
        <v>https://maiseducativa.com/2023/09/20/46-mil-euros-para-transformares-sonhos-em-realidade-aliciante/</v>
      </c>
      <c r="Y3237" s="87" t="s">
        <v>8515</v>
      </c>
      <c r="Z3237" s="87"/>
      <c r="AA3237" s="87"/>
      <c r="AB3237" s="87"/>
      <c r="AC3237" s="93" t="s">
        <v>11457</v>
      </c>
      <c r="AD3237" s="87" t="s">
        <v>11519</v>
      </c>
      <c r="AE3237" s="92" t="str">
        <f>HYPERLINK("https://twitter.com/mais_educativa/status/1704839564458610951")</f>
        <v>https://twitter.com/mais_educativa/status/1704839564458610951</v>
      </c>
      <c r="AF3237" s="90">
        <v>45190.532418981478</v>
      </c>
      <c r="AG3237" s="99">
        <v>45190</v>
      </c>
      <c r="AH3237" s="93" t="s">
        <v>14406</v>
      </c>
      <c r="AI3237" s="87" t="b">
        <v>0</v>
      </c>
      <c r="AJ3237" s="87"/>
      <c r="AK3237" s="87"/>
      <c r="AL3237" s="87"/>
      <c r="AM3237" s="87"/>
      <c r="AN3237" s="87"/>
      <c r="AO3237" s="87"/>
      <c r="AP3237" s="87"/>
      <c r="AQ3237" s="87"/>
      <c r="AR3237" s="87"/>
      <c r="AS3237" s="87"/>
      <c r="AT3237" s="87"/>
      <c r="AU3237" s="87"/>
      <c r="AV3237" s="92" t="str">
        <f>HYPERLINK("https://pbs.twimg.com/profile_images/1303009388815364096/P8h-whoB_normal.jpg")</f>
        <v>https://pbs.twimg.com/profile_images/1303009388815364096/P8h-whoB_normal.jpg</v>
      </c>
      <c r="AW3237" s="93" t="s">
        <v>21382</v>
      </c>
      <c r="AX3237" s="93" t="s">
        <v>21382</v>
      </c>
      <c r="AY3237" s="87"/>
      <c r="AZ3237" s="93" t="s">
        <v>22668</v>
      </c>
      <c r="BA3237" s="93" t="s">
        <v>22668</v>
      </c>
      <c r="BB3237" s="93" t="s">
        <v>22668</v>
      </c>
      <c r="BC3237" s="93" t="s">
        <v>21382</v>
      </c>
      <c r="BD3237" s="87">
        <v>609260052</v>
      </c>
      <c r="BE3237" s="87"/>
      <c r="BF3237" s="87"/>
      <c r="BG3237" s="87"/>
      <c r="BH3237" s="87"/>
      <c r="BI3237" s="87"/>
    </row>
    <row r="3238" spans="1:61" x14ac:dyDescent="0.25">
      <c r="A3238" s="63" t="s">
        <v>1234</v>
      </c>
      <c r="B3238" s="63" t="s">
        <v>1234</v>
      </c>
      <c r="C3238" s="64"/>
      <c r="D3238" s="65"/>
      <c r="E3238" s="66"/>
      <c r="F3238" s="67"/>
      <c r="G3238" s="64"/>
      <c r="H3238" s="68"/>
      <c r="I3238" s="69"/>
      <c r="J3238" s="69"/>
      <c r="K3238" s="32"/>
      <c r="L3238" s="76">
        <v>3238</v>
      </c>
      <c r="M3238" s="76"/>
      <c r="N3238" s="71"/>
      <c r="O3238" s="87" t="s">
        <v>179</v>
      </c>
      <c r="P3238" s="90">
        <v>45163.582094907404</v>
      </c>
      <c r="Q3238" s="87" t="s">
        <v>4933</v>
      </c>
      <c r="R3238" s="87">
        <v>0</v>
      </c>
      <c r="S3238" s="87">
        <v>0</v>
      </c>
      <c r="T3238" s="87">
        <v>0</v>
      </c>
      <c r="U3238" s="87">
        <v>0</v>
      </c>
      <c r="V3238" s="87">
        <v>28</v>
      </c>
      <c r="W3238" s="93" t="s">
        <v>7693</v>
      </c>
      <c r="X3238" s="87"/>
      <c r="Y3238" s="87"/>
      <c r="Z3238" s="87"/>
      <c r="AA3238" s="87" t="s">
        <v>10835</v>
      </c>
      <c r="AB3238" s="87" t="s">
        <v>11448</v>
      </c>
      <c r="AC3238" s="93" t="s">
        <v>11457</v>
      </c>
      <c r="AD3238" s="87" t="s">
        <v>11519</v>
      </c>
      <c r="AE3238" s="92" t="str">
        <f>HYPERLINK("https://twitter.com/clmcontroller/status/1695073095340425657")</f>
        <v>https://twitter.com/clmcontroller/status/1695073095340425657</v>
      </c>
      <c r="AF3238" s="90">
        <v>45163.582094907404</v>
      </c>
      <c r="AG3238" s="99">
        <v>45163</v>
      </c>
      <c r="AH3238" s="93" t="s">
        <v>14407</v>
      </c>
      <c r="AI3238" s="87" t="b">
        <v>0</v>
      </c>
      <c r="AJ3238" s="87"/>
      <c r="AK3238" s="87"/>
      <c r="AL3238" s="87"/>
      <c r="AM3238" s="87"/>
      <c r="AN3238" s="87"/>
      <c r="AO3238" s="87"/>
      <c r="AP3238" s="87"/>
      <c r="AQ3238" s="87" t="s">
        <v>17647</v>
      </c>
      <c r="AR3238" s="87"/>
      <c r="AS3238" s="87"/>
      <c r="AT3238" s="87"/>
      <c r="AU3238" s="87"/>
      <c r="AV3238" s="92" t="str">
        <f>HYPERLINK("https://pbs.twimg.com/media/F4YbnHaXwAAqIGM.jpg")</f>
        <v>https://pbs.twimg.com/media/F4YbnHaXwAAqIGM.jpg</v>
      </c>
      <c r="AW3238" s="93" t="s">
        <v>21383</v>
      </c>
      <c r="AX3238" s="93" t="s">
        <v>21383</v>
      </c>
      <c r="AY3238" s="87"/>
      <c r="AZ3238" s="93" t="s">
        <v>22668</v>
      </c>
      <c r="BA3238" s="93" t="s">
        <v>22668</v>
      </c>
      <c r="BB3238" s="93" t="s">
        <v>22668</v>
      </c>
      <c r="BC3238" s="93" t="s">
        <v>21383</v>
      </c>
      <c r="BD3238" s="87">
        <v>80030542</v>
      </c>
      <c r="BE3238" s="87"/>
      <c r="BF3238" s="87"/>
      <c r="BG3238" s="87"/>
      <c r="BH3238" s="87"/>
      <c r="BI3238" s="87"/>
    </row>
    <row r="3239" spans="1:61" x14ac:dyDescent="0.25">
      <c r="A3239" s="63" t="s">
        <v>1234</v>
      </c>
      <c r="B3239" s="63" t="s">
        <v>1234</v>
      </c>
      <c r="C3239" s="64"/>
      <c r="D3239" s="65"/>
      <c r="E3239" s="66"/>
      <c r="F3239" s="67"/>
      <c r="G3239" s="64"/>
      <c r="H3239" s="68"/>
      <c r="I3239" s="69"/>
      <c r="J3239" s="69"/>
      <c r="K3239" s="32"/>
      <c r="L3239" s="76">
        <v>3239</v>
      </c>
      <c r="M3239" s="76"/>
      <c r="N3239" s="71"/>
      <c r="O3239" s="87" t="s">
        <v>179</v>
      </c>
      <c r="P3239" s="90">
        <v>45121.571076388886</v>
      </c>
      <c r="Q3239" s="87" t="s">
        <v>4934</v>
      </c>
      <c r="R3239" s="87">
        <v>0</v>
      </c>
      <c r="S3239" s="87">
        <v>0</v>
      </c>
      <c r="T3239" s="87">
        <v>0</v>
      </c>
      <c r="U3239" s="87">
        <v>0</v>
      </c>
      <c r="V3239" s="87">
        <v>20</v>
      </c>
      <c r="W3239" s="93" t="s">
        <v>7694</v>
      </c>
      <c r="X3239" s="87" t="s">
        <v>8357</v>
      </c>
      <c r="Y3239" s="87" t="s">
        <v>8516</v>
      </c>
      <c r="Z3239" s="87"/>
      <c r="AA3239" s="87" t="s">
        <v>10836</v>
      </c>
      <c r="AB3239" s="87" t="s">
        <v>11448</v>
      </c>
      <c r="AC3239" s="93" t="s">
        <v>11457</v>
      </c>
      <c r="AD3239" s="87" t="s">
        <v>11519</v>
      </c>
      <c r="AE3239" s="92" t="str">
        <f>HYPERLINK("https://twitter.com/clmcontroller/status/1679848810858659840")</f>
        <v>https://twitter.com/clmcontroller/status/1679848810858659840</v>
      </c>
      <c r="AF3239" s="90">
        <v>45121.571076388886</v>
      </c>
      <c r="AG3239" s="99">
        <v>45121</v>
      </c>
      <c r="AH3239" s="93" t="s">
        <v>14408</v>
      </c>
      <c r="AI3239" s="87" t="b">
        <v>0</v>
      </c>
      <c r="AJ3239" s="87"/>
      <c r="AK3239" s="87"/>
      <c r="AL3239" s="87"/>
      <c r="AM3239" s="87"/>
      <c r="AN3239" s="87"/>
      <c r="AO3239" s="87"/>
      <c r="AP3239" s="87"/>
      <c r="AQ3239" s="87" t="s">
        <v>17648</v>
      </c>
      <c r="AR3239" s="87"/>
      <c r="AS3239" s="87"/>
      <c r="AT3239" s="87"/>
      <c r="AU3239" s="87"/>
      <c r="AV3239" s="92" t="str">
        <f>HYPERLINK("https://pbs.twimg.com/media/F1AFkImWIAQFcmT.jpg")</f>
        <v>https://pbs.twimg.com/media/F1AFkImWIAQFcmT.jpg</v>
      </c>
      <c r="AW3239" s="93" t="s">
        <v>21384</v>
      </c>
      <c r="AX3239" s="93" t="s">
        <v>21384</v>
      </c>
      <c r="AY3239" s="87"/>
      <c r="AZ3239" s="93" t="s">
        <v>22668</v>
      </c>
      <c r="BA3239" s="93" t="s">
        <v>22668</v>
      </c>
      <c r="BB3239" s="93" t="s">
        <v>22668</v>
      </c>
      <c r="BC3239" s="93" t="s">
        <v>21384</v>
      </c>
      <c r="BD3239" s="87">
        <v>80030542</v>
      </c>
      <c r="BE3239" s="87"/>
      <c r="BF3239" s="87"/>
      <c r="BG3239" s="87"/>
      <c r="BH3239" s="87"/>
      <c r="BI3239" s="87"/>
    </row>
    <row r="3240" spans="1:61" x14ac:dyDescent="0.25">
      <c r="A3240" s="63" t="s">
        <v>1234</v>
      </c>
      <c r="B3240" s="63" t="s">
        <v>1234</v>
      </c>
      <c r="C3240" s="64"/>
      <c r="D3240" s="65"/>
      <c r="E3240" s="66"/>
      <c r="F3240" s="67"/>
      <c r="G3240" s="64"/>
      <c r="H3240" s="68"/>
      <c r="I3240" s="69"/>
      <c r="J3240" s="69"/>
      <c r="K3240" s="32"/>
      <c r="L3240" s="76">
        <v>3240</v>
      </c>
      <c r="M3240" s="76"/>
      <c r="N3240" s="71"/>
      <c r="O3240" s="87" t="s">
        <v>179</v>
      </c>
      <c r="P3240" s="90">
        <v>45170.756041666667</v>
      </c>
      <c r="Q3240" s="87" t="s">
        <v>4935</v>
      </c>
      <c r="R3240" s="87">
        <v>0</v>
      </c>
      <c r="S3240" s="87">
        <v>0</v>
      </c>
      <c r="T3240" s="87">
        <v>0</v>
      </c>
      <c r="U3240" s="87">
        <v>0</v>
      </c>
      <c r="V3240" s="87">
        <v>16</v>
      </c>
      <c r="W3240" s="93" t="s">
        <v>7695</v>
      </c>
      <c r="X3240" s="87"/>
      <c r="Y3240" s="87"/>
      <c r="Z3240" s="87"/>
      <c r="AA3240" s="87" t="s">
        <v>10837</v>
      </c>
      <c r="AB3240" s="87" t="s">
        <v>11448</v>
      </c>
      <c r="AC3240" s="93" t="s">
        <v>11457</v>
      </c>
      <c r="AD3240" s="87" t="s">
        <v>11519</v>
      </c>
      <c r="AE3240" s="92" t="str">
        <f>HYPERLINK("https://twitter.com/clmcontroller/status/1697672845923377183")</f>
        <v>https://twitter.com/clmcontroller/status/1697672845923377183</v>
      </c>
      <c r="AF3240" s="90">
        <v>45170.756041666667</v>
      </c>
      <c r="AG3240" s="99">
        <v>45170</v>
      </c>
      <c r="AH3240" s="93" t="s">
        <v>14409</v>
      </c>
      <c r="AI3240" s="87" t="b">
        <v>0</v>
      </c>
      <c r="AJ3240" s="87"/>
      <c r="AK3240" s="87"/>
      <c r="AL3240" s="87"/>
      <c r="AM3240" s="87"/>
      <c r="AN3240" s="87"/>
      <c r="AO3240" s="87"/>
      <c r="AP3240" s="87"/>
      <c r="AQ3240" s="87" t="s">
        <v>17649</v>
      </c>
      <c r="AR3240" s="87"/>
      <c r="AS3240" s="87"/>
      <c r="AT3240" s="87"/>
      <c r="AU3240" s="87"/>
      <c r="AV3240" s="92" t="str">
        <f>HYPERLINK("https://pbs.twimg.com/media/F49YNs7XMAAN2ha.jpg")</f>
        <v>https://pbs.twimg.com/media/F49YNs7XMAAN2ha.jpg</v>
      </c>
      <c r="AW3240" s="93" t="s">
        <v>21385</v>
      </c>
      <c r="AX3240" s="93" t="s">
        <v>21385</v>
      </c>
      <c r="AY3240" s="87"/>
      <c r="AZ3240" s="93" t="s">
        <v>22668</v>
      </c>
      <c r="BA3240" s="93" t="s">
        <v>22668</v>
      </c>
      <c r="BB3240" s="93" t="s">
        <v>22668</v>
      </c>
      <c r="BC3240" s="93" t="s">
        <v>21385</v>
      </c>
      <c r="BD3240" s="87">
        <v>80030542</v>
      </c>
      <c r="BE3240" s="87"/>
      <c r="BF3240" s="87"/>
      <c r="BG3240" s="87"/>
      <c r="BH3240" s="87"/>
      <c r="BI3240" s="87"/>
    </row>
    <row r="3241" spans="1:61" x14ac:dyDescent="0.25">
      <c r="A3241" s="63" t="s">
        <v>1234</v>
      </c>
      <c r="B3241" s="63" t="s">
        <v>1234</v>
      </c>
      <c r="C3241" s="64"/>
      <c r="D3241" s="65"/>
      <c r="E3241" s="66"/>
      <c r="F3241" s="67"/>
      <c r="G3241" s="64"/>
      <c r="H3241" s="68"/>
      <c r="I3241" s="69"/>
      <c r="J3241" s="69"/>
      <c r="K3241" s="32"/>
      <c r="L3241" s="76">
        <v>3241</v>
      </c>
      <c r="M3241" s="76"/>
      <c r="N3241" s="71"/>
      <c r="O3241" s="87" t="s">
        <v>179</v>
      </c>
      <c r="P3241" s="90">
        <v>45175.557083333333</v>
      </c>
      <c r="Q3241" s="87" t="s">
        <v>4936</v>
      </c>
      <c r="R3241" s="87">
        <v>0</v>
      </c>
      <c r="S3241" s="87">
        <v>0</v>
      </c>
      <c r="T3241" s="87">
        <v>0</v>
      </c>
      <c r="U3241" s="87">
        <v>0</v>
      </c>
      <c r="V3241" s="87">
        <v>3</v>
      </c>
      <c r="W3241" s="93" t="s">
        <v>7696</v>
      </c>
      <c r="X3241" s="92" t="str">
        <f>HYPERLINK("https://shre.ink/Compliancetribubenefi")</f>
        <v>https://shre.ink/Compliancetribubenefi</v>
      </c>
      <c r="Y3241" s="87" t="s">
        <v>8496</v>
      </c>
      <c r="Z3241" s="87"/>
      <c r="AA3241" s="87" t="s">
        <v>10838</v>
      </c>
      <c r="AB3241" s="87" t="s">
        <v>11448</v>
      </c>
      <c r="AC3241" s="93" t="s">
        <v>11457</v>
      </c>
      <c r="AD3241" s="87" t="s">
        <v>11519</v>
      </c>
      <c r="AE3241" s="92" t="str">
        <f>HYPERLINK("https://twitter.com/clmcontroller/status/1699412684926517365")</f>
        <v>https://twitter.com/clmcontroller/status/1699412684926517365</v>
      </c>
      <c r="AF3241" s="90">
        <v>45175.557083333333</v>
      </c>
      <c r="AG3241" s="99">
        <v>45175</v>
      </c>
      <c r="AH3241" s="93" t="s">
        <v>14410</v>
      </c>
      <c r="AI3241" s="87" t="b">
        <v>0</v>
      </c>
      <c r="AJ3241" s="87"/>
      <c r="AK3241" s="87"/>
      <c r="AL3241" s="87"/>
      <c r="AM3241" s="87"/>
      <c r="AN3241" s="87"/>
      <c r="AO3241" s="87"/>
      <c r="AP3241" s="87"/>
      <c r="AQ3241" s="87" t="s">
        <v>17650</v>
      </c>
      <c r="AR3241" s="87"/>
      <c r="AS3241" s="87"/>
      <c r="AT3241" s="87"/>
      <c r="AU3241" s="87"/>
      <c r="AV3241" s="92" t="str">
        <f>HYPERLINK("https://pbs.twimg.com/media/F5WGs7ZXgAATLO7.jpg")</f>
        <v>https://pbs.twimg.com/media/F5WGs7ZXgAATLO7.jpg</v>
      </c>
      <c r="AW3241" s="93" t="s">
        <v>21386</v>
      </c>
      <c r="AX3241" s="93" t="s">
        <v>21386</v>
      </c>
      <c r="AY3241" s="87"/>
      <c r="AZ3241" s="93" t="s">
        <v>22668</v>
      </c>
      <c r="BA3241" s="93" t="s">
        <v>22668</v>
      </c>
      <c r="BB3241" s="93" t="s">
        <v>22668</v>
      </c>
      <c r="BC3241" s="93" t="s">
        <v>21386</v>
      </c>
      <c r="BD3241" s="87">
        <v>80030542</v>
      </c>
      <c r="BE3241" s="87"/>
      <c r="BF3241" s="87"/>
      <c r="BG3241" s="87"/>
      <c r="BH3241" s="87"/>
      <c r="BI3241" s="87"/>
    </row>
    <row r="3242" spans="1:61" x14ac:dyDescent="0.25">
      <c r="A3242" s="63" t="s">
        <v>1234</v>
      </c>
      <c r="B3242" s="63" t="s">
        <v>1234</v>
      </c>
      <c r="C3242" s="64"/>
      <c r="D3242" s="65"/>
      <c r="E3242" s="66"/>
      <c r="F3242" s="67"/>
      <c r="G3242" s="64"/>
      <c r="H3242" s="68"/>
      <c r="I3242" s="69"/>
      <c r="J3242" s="69"/>
      <c r="K3242" s="32"/>
      <c r="L3242" s="76">
        <v>3242</v>
      </c>
      <c r="M3242" s="76"/>
      <c r="N3242" s="71"/>
      <c r="O3242" s="87" t="s">
        <v>179</v>
      </c>
      <c r="P3242" s="90">
        <v>45168.740381944444</v>
      </c>
      <c r="Q3242" s="87" t="s">
        <v>4937</v>
      </c>
      <c r="R3242" s="87">
        <v>0</v>
      </c>
      <c r="S3242" s="87">
        <v>0</v>
      </c>
      <c r="T3242" s="87">
        <v>0</v>
      </c>
      <c r="U3242" s="87">
        <v>0</v>
      </c>
      <c r="V3242" s="87">
        <v>7</v>
      </c>
      <c r="W3242" s="93" t="s">
        <v>7697</v>
      </c>
      <c r="X3242" s="92" t="str">
        <f>HYPERLINK("https://shre.ink/empredeimport")</f>
        <v>https://shre.ink/empredeimport</v>
      </c>
      <c r="Y3242" s="87" t="s">
        <v>8496</v>
      </c>
      <c r="Z3242" s="87"/>
      <c r="AA3242" s="87" t="s">
        <v>10839</v>
      </c>
      <c r="AB3242" s="87" t="s">
        <v>11448</v>
      </c>
      <c r="AC3242" s="93" t="s">
        <v>11457</v>
      </c>
      <c r="AD3242" s="87" t="s">
        <v>11519</v>
      </c>
      <c r="AE3242" s="92" t="str">
        <f>HYPERLINK("https://twitter.com/clmcontroller/status/1696942397727338559")</f>
        <v>https://twitter.com/clmcontroller/status/1696942397727338559</v>
      </c>
      <c r="AF3242" s="90">
        <v>45168.740381944444</v>
      </c>
      <c r="AG3242" s="99">
        <v>45168</v>
      </c>
      <c r="AH3242" s="93" t="s">
        <v>14411</v>
      </c>
      <c r="AI3242" s="87" t="b">
        <v>0</v>
      </c>
      <c r="AJ3242" s="87"/>
      <c r="AK3242" s="87"/>
      <c r="AL3242" s="87"/>
      <c r="AM3242" s="87"/>
      <c r="AN3242" s="87"/>
      <c r="AO3242" s="87"/>
      <c r="AP3242" s="87"/>
      <c r="AQ3242" s="87" t="s">
        <v>17651</v>
      </c>
      <c r="AR3242" s="87"/>
      <c r="AS3242" s="87"/>
      <c r="AT3242" s="87"/>
      <c r="AU3242" s="87"/>
      <c r="AV3242" s="92" t="str">
        <f>HYPERLINK("https://pbs.twimg.com/media/F4y_0pyXIAAkW6R.jpg")</f>
        <v>https://pbs.twimg.com/media/F4y_0pyXIAAkW6R.jpg</v>
      </c>
      <c r="AW3242" s="93" t="s">
        <v>21387</v>
      </c>
      <c r="AX3242" s="93" t="s">
        <v>21387</v>
      </c>
      <c r="AY3242" s="87"/>
      <c r="AZ3242" s="93" t="s">
        <v>22668</v>
      </c>
      <c r="BA3242" s="93" t="s">
        <v>22668</v>
      </c>
      <c r="BB3242" s="93" t="s">
        <v>22668</v>
      </c>
      <c r="BC3242" s="93" t="s">
        <v>21387</v>
      </c>
      <c r="BD3242" s="87">
        <v>80030542</v>
      </c>
      <c r="BE3242" s="87"/>
      <c r="BF3242" s="87"/>
      <c r="BG3242" s="87"/>
      <c r="BH3242" s="87"/>
      <c r="BI3242" s="87"/>
    </row>
    <row r="3243" spans="1:61" x14ac:dyDescent="0.25">
      <c r="A3243" s="63" t="s">
        <v>1234</v>
      </c>
      <c r="B3243" s="63" t="s">
        <v>1234</v>
      </c>
      <c r="C3243" s="64"/>
      <c r="D3243" s="65"/>
      <c r="E3243" s="66"/>
      <c r="F3243" s="67"/>
      <c r="G3243" s="64"/>
      <c r="H3243" s="68"/>
      <c r="I3243" s="69"/>
      <c r="J3243" s="69"/>
      <c r="K3243" s="32"/>
      <c r="L3243" s="76">
        <v>3243</v>
      </c>
      <c r="M3243" s="76"/>
      <c r="N3243" s="71"/>
      <c r="O3243" s="87" t="s">
        <v>179</v>
      </c>
      <c r="P3243" s="90">
        <v>45181.878622685188</v>
      </c>
      <c r="Q3243" s="87" t="s">
        <v>4938</v>
      </c>
      <c r="R3243" s="87">
        <v>0</v>
      </c>
      <c r="S3243" s="87">
        <v>0</v>
      </c>
      <c r="T3243" s="87">
        <v>0</v>
      </c>
      <c r="U3243" s="87">
        <v>0</v>
      </c>
      <c r="V3243" s="87">
        <v>5</v>
      </c>
      <c r="W3243" s="93" t="s">
        <v>7698</v>
      </c>
      <c r="X3243" s="92" t="str">
        <f>HYPERLINK("https://shre.ink/controlpont")</f>
        <v>https://shre.ink/controlpont</v>
      </c>
      <c r="Y3243" s="87" t="s">
        <v>8496</v>
      </c>
      <c r="Z3243" s="87"/>
      <c r="AA3243" s="87" t="s">
        <v>10840</v>
      </c>
      <c r="AB3243" s="87" t="s">
        <v>11448</v>
      </c>
      <c r="AC3243" s="93" t="s">
        <v>11457</v>
      </c>
      <c r="AD3243" s="87" t="s">
        <v>11519</v>
      </c>
      <c r="AE3243" s="92" t="str">
        <f>HYPERLINK("https://twitter.com/clmcontroller/status/1701703535346544688")</f>
        <v>https://twitter.com/clmcontroller/status/1701703535346544688</v>
      </c>
      <c r="AF3243" s="90">
        <v>45181.878622685188</v>
      </c>
      <c r="AG3243" s="99">
        <v>45181</v>
      </c>
      <c r="AH3243" s="93" t="s">
        <v>11661</v>
      </c>
      <c r="AI3243" s="87" t="b">
        <v>0</v>
      </c>
      <c r="AJ3243" s="87"/>
      <c r="AK3243" s="87"/>
      <c r="AL3243" s="87"/>
      <c r="AM3243" s="87"/>
      <c r="AN3243" s="87"/>
      <c r="AO3243" s="87"/>
      <c r="AP3243" s="87"/>
      <c r="AQ3243" s="87" t="s">
        <v>17652</v>
      </c>
      <c r="AR3243" s="87"/>
      <c r="AS3243" s="87"/>
      <c r="AT3243" s="87"/>
      <c r="AU3243" s="87"/>
      <c r="AV3243" s="92" t="str">
        <f>HYPERLINK("https://pbs.twimg.com/media/F52qPFhW8AAEiVg.jpg")</f>
        <v>https://pbs.twimg.com/media/F52qPFhW8AAEiVg.jpg</v>
      </c>
      <c r="AW3243" s="93" t="s">
        <v>21388</v>
      </c>
      <c r="AX3243" s="93" t="s">
        <v>21388</v>
      </c>
      <c r="AY3243" s="87"/>
      <c r="AZ3243" s="93" t="s">
        <v>22668</v>
      </c>
      <c r="BA3243" s="93" t="s">
        <v>22668</v>
      </c>
      <c r="BB3243" s="93" t="s">
        <v>22668</v>
      </c>
      <c r="BC3243" s="93" t="s">
        <v>21388</v>
      </c>
      <c r="BD3243" s="87">
        <v>80030542</v>
      </c>
      <c r="BE3243" s="87"/>
      <c r="BF3243" s="87"/>
      <c r="BG3243" s="87"/>
      <c r="BH3243" s="87"/>
      <c r="BI3243" s="87"/>
    </row>
    <row r="3244" spans="1:61" x14ac:dyDescent="0.25">
      <c r="A3244" s="63" t="s">
        <v>1234</v>
      </c>
      <c r="B3244" s="63" t="s">
        <v>1234</v>
      </c>
      <c r="C3244" s="64"/>
      <c r="D3244" s="65"/>
      <c r="E3244" s="66"/>
      <c r="F3244" s="67"/>
      <c r="G3244" s="64"/>
      <c r="H3244" s="68"/>
      <c r="I3244" s="69"/>
      <c r="J3244" s="69"/>
      <c r="K3244" s="32"/>
      <c r="L3244" s="76">
        <v>3244</v>
      </c>
      <c r="M3244" s="76"/>
      <c r="N3244" s="71"/>
      <c r="O3244" s="87" t="s">
        <v>179</v>
      </c>
      <c r="P3244" s="90">
        <v>45188.881874999999</v>
      </c>
      <c r="Q3244" s="87" t="s">
        <v>4939</v>
      </c>
      <c r="R3244" s="87">
        <v>0</v>
      </c>
      <c r="S3244" s="87">
        <v>0</v>
      </c>
      <c r="T3244" s="87">
        <v>0</v>
      </c>
      <c r="U3244" s="87">
        <v>0</v>
      </c>
      <c r="V3244" s="87">
        <v>8</v>
      </c>
      <c r="W3244" s="93" t="s">
        <v>7699</v>
      </c>
      <c r="X3244" s="92" t="str">
        <f>HYPERLINK("https://shre.ink/tributostelecom")</f>
        <v>https://shre.ink/tributostelecom</v>
      </c>
      <c r="Y3244" s="87" t="s">
        <v>8496</v>
      </c>
      <c r="Z3244" s="87"/>
      <c r="AA3244" s="87" t="s">
        <v>10841</v>
      </c>
      <c r="AB3244" s="87" t="s">
        <v>11448</v>
      </c>
      <c r="AC3244" s="93" t="s">
        <v>11457</v>
      </c>
      <c r="AD3244" s="87" t="s">
        <v>11519</v>
      </c>
      <c r="AE3244" s="92" t="str">
        <f>HYPERLINK("https://twitter.com/clmcontroller/status/1704241428316950980")</f>
        <v>https://twitter.com/clmcontroller/status/1704241428316950980</v>
      </c>
      <c r="AF3244" s="90">
        <v>45188.881874999999</v>
      </c>
      <c r="AG3244" s="99">
        <v>45188</v>
      </c>
      <c r="AH3244" s="93" t="s">
        <v>14412</v>
      </c>
      <c r="AI3244" s="87" t="b">
        <v>0</v>
      </c>
      <c r="AJ3244" s="87"/>
      <c r="AK3244" s="87"/>
      <c r="AL3244" s="87"/>
      <c r="AM3244" s="87"/>
      <c r="AN3244" s="87"/>
      <c r="AO3244" s="87"/>
      <c r="AP3244" s="87"/>
      <c r="AQ3244" s="87" t="s">
        <v>17653</v>
      </c>
      <c r="AR3244" s="87"/>
      <c r="AS3244" s="87"/>
      <c r="AT3244" s="87"/>
      <c r="AU3244" s="87"/>
      <c r="AV3244" s="92" t="str">
        <f>HYPERLINK("https://pbs.twimg.com/media/F6audQPWEAAFRDA.jpg")</f>
        <v>https://pbs.twimg.com/media/F6audQPWEAAFRDA.jpg</v>
      </c>
      <c r="AW3244" s="93" t="s">
        <v>21389</v>
      </c>
      <c r="AX3244" s="93" t="s">
        <v>21389</v>
      </c>
      <c r="AY3244" s="87"/>
      <c r="AZ3244" s="93" t="s">
        <v>22668</v>
      </c>
      <c r="BA3244" s="93" t="s">
        <v>22668</v>
      </c>
      <c r="BB3244" s="93" t="s">
        <v>22668</v>
      </c>
      <c r="BC3244" s="93" t="s">
        <v>21389</v>
      </c>
      <c r="BD3244" s="87">
        <v>80030542</v>
      </c>
      <c r="BE3244" s="87"/>
      <c r="BF3244" s="87"/>
      <c r="BG3244" s="87"/>
      <c r="BH3244" s="87"/>
      <c r="BI3244" s="87"/>
    </row>
    <row r="3245" spans="1:61" x14ac:dyDescent="0.25">
      <c r="A3245" s="63" t="s">
        <v>1234</v>
      </c>
      <c r="B3245" s="63" t="s">
        <v>1234</v>
      </c>
      <c r="C3245" s="64"/>
      <c r="D3245" s="65"/>
      <c r="E3245" s="66"/>
      <c r="F3245" s="67"/>
      <c r="G3245" s="64"/>
      <c r="H3245" s="68"/>
      <c r="I3245" s="69"/>
      <c r="J3245" s="69"/>
      <c r="K3245" s="32"/>
      <c r="L3245" s="76">
        <v>3245</v>
      </c>
      <c r="M3245" s="76"/>
      <c r="N3245" s="71"/>
      <c r="O3245" s="87" t="s">
        <v>179</v>
      </c>
      <c r="P3245" s="90">
        <v>45169.765324074076</v>
      </c>
      <c r="Q3245" s="87" t="s">
        <v>4940</v>
      </c>
      <c r="R3245" s="87">
        <v>0</v>
      </c>
      <c r="S3245" s="87">
        <v>0</v>
      </c>
      <c r="T3245" s="87">
        <v>0</v>
      </c>
      <c r="U3245" s="87">
        <v>0</v>
      </c>
      <c r="V3245" s="87">
        <v>31</v>
      </c>
      <c r="W3245" s="93" t="s">
        <v>7700</v>
      </c>
      <c r="X3245" s="92" t="str">
        <f>HYPERLINK("https://lnkd.in/duG-dN5u")</f>
        <v>https://lnkd.in/duG-dN5u</v>
      </c>
      <c r="Y3245" s="87" t="s">
        <v>8408</v>
      </c>
      <c r="Z3245" s="87"/>
      <c r="AA3245" s="87" t="s">
        <v>10842</v>
      </c>
      <c r="AB3245" s="87" t="s">
        <v>11447</v>
      </c>
      <c r="AC3245" s="93" t="s">
        <v>11457</v>
      </c>
      <c r="AD3245" s="87" t="s">
        <v>11519</v>
      </c>
      <c r="AE3245" s="92" t="str">
        <f>HYPERLINK("https://twitter.com/clmcontroller/status/1697313820480245894")</f>
        <v>https://twitter.com/clmcontroller/status/1697313820480245894</v>
      </c>
      <c r="AF3245" s="90">
        <v>45169.765324074076</v>
      </c>
      <c r="AG3245" s="99">
        <v>45169</v>
      </c>
      <c r="AH3245" s="93" t="s">
        <v>14413</v>
      </c>
      <c r="AI3245" s="87" t="b">
        <v>0</v>
      </c>
      <c r="AJ3245" s="87"/>
      <c r="AK3245" s="87"/>
      <c r="AL3245" s="87"/>
      <c r="AM3245" s="87"/>
      <c r="AN3245" s="87"/>
      <c r="AO3245" s="87"/>
      <c r="AP3245" s="87"/>
      <c r="AQ3245" s="87" t="s">
        <v>17654</v>
      </c>
      <c r="AR3245" s="87">
        <v>62747</v>
      </c>
      <c r="AS3245" s="87"/>
      <c r="AT3245" s="87"/>
      <c r="AU3245" s="87"/>
      <c r="AV3245" s="92" t="str">
        <f>HYPERLINK("https://pbs.twimg.com/ext_tw_video_thumb/1697313329255952384/pu/img/lxFZJxOwwL7kTTe2.jpg")</f>
        <v>https://pbs.twimg.com/ext_tw_video_thumb/1697313329255952384/pu/img/lxFZJxOwwL7kTTe2.jpg</v>
      </c>
      <c r="AW3245" s="93" t="s">
        <v>21390</v>
      </c>
      <c r="AX3245" s="93" t="s">
        <v>21390</v>
      </c>
      <c r="AY3245" s="87"/>
      <c r="AZ3245" s="93" t="s">
        <v>22668</v>
      </c>
      <c r="BA3245" s="93" t="s">
        <v>22668</v>
      </c>
      <c r="BB3245" s="93" t="s">
        <v>22668</v>
      </c>
      <c r="BC3245" s="93" t="s">
        <v>21390</v>
      </c>
      <c r="BD3245" s="87">
        <v>80030542</v>
      </c>
      <c r="BE3245" s="87"/>
      <c r="BF3245" s="87"/>
      <c r="BG3245" s="87"/>
      <c r="BH3245" s="87"/>
      <c r="BI3245" s="87"/>
    </row>
    <row r="3246" spans="1:61" x14ac:dyDescent="0.25">
      <c r="A3246" s="63" t="s">
        <v>1235</v>
      </c>
      <c r="B3246" s="63" t="s">
        <v>1235</v>
      </c>
      <c r="C3246" s="64"/>
      <c r="D3246" s="65"/>
      <c r="E3246" s="66"/>
      <c r="F3246" s="67"/>
      <c r="G3246" s="64"/>
      <c r="H3246" s="68"/>
      <c r="I3246" s="69"/>
      <c r="J3246" s="69"/>
      <c r="K3246" s="32"/>
      <c r="L3246" s="76">
        <v>3246</v>
      </c>
      <c r="M3246" s="76"/>
      <c r="N3246" s="71"/>
      <c r="O3246" s="87" t="s">
        <v>179</v>
      </c>
      <c r="P3246" s="90">
        <v>45111.521331018521</v>
      </c>
      <c r="Q3246" s="87" t="s">
        <v>4941</v>
      </c>
      <c r="R3246" s="87">
        <v>0</v>
      </c>
      <c r="S3246" s="87">
        <v>0</v>
      </c>
      <c r="T3246" s="87">
        <v>0</v>
      </c>
      <c r="U3246" s="87">
        <v>0</v>
      </c>
      <c r="V3246" s="87">
        <v>12</v>
      </c>
      <c r="W3246" s="93" t="s">
        <v>5897</v>
      </c>
      <c r="X3246" s="87"/>
      <c r="Y3246" s="87"/>
      <c r="Z3246" s="87"/>
      <c r="AA3246" s="87" t="s">
        <v>10843</v>
      </c>
      <c r="AB3246" s="87" t="s">
        <v>11448</v>
      </c>
      <c r="AC3246" s="93" t="s">
        <v>11460</v>
      </c>
      <c r="AD3246" s="87" t="s">
        <v>11519</v>
      </c>
      <c r="AE3246" s="92" t="str">
        <f>HYPERLINK("https://twitter.com/evolucaoge/status/1676206904605913088")</f>
        <v>https://twitter.com/evolucaoge/status/1676206904605913088</v>
      </c>
      <c r="AF3246" s="90">
        <v>45111.521331018521</v>
      </c>
      <c r="AG3246" s="99">
        <v>45111</v>
      </c>
      <c r="AH3246" s="93" t="s">
        <v>11817</v>
      </c>
      <c r="AI3246" s="87" t="b">
        <v>0</v>
      </c>
      <c r="AJ3246" s="87"/>
      <c r="AK3246" s="87"/>
      <c r="AL3246" s="87"/>
      <c r="AM3246" s="87"/>
      <c r="AN3246" s="87"/>
      <c r="AO3246" s="87"/>
      <c r="AP3246" s="87"/>
      <c r="AQ3246" s="87" t="s">
        <v>17655</v>
      </c>
      <c r="AR3246" s="87"/>
      <c r="AS3246" s="87"/>
      <c r="AT3246" s="87"/>
      <c r="AU3246" s="87"/>
      <c r="AV3246" s="92" t="str">
        <f>HYPERLINK("https://pbs.twimg.com/media/F0MVS22XgAEqeEQ.jpg")</f>
        <v>https://pbs.twimg.com/media/F0MVS22XgAEqeEQ.jpg</v>
      </c>
      <c r="AW3246" s="93" t="s">
        <v>21391</v>
      </c>
      <c r="AX3246" s="93" t="s">
        <v>21391</v>
      </c>
      <c r="AY3246" s="87"/>
      <c r="AZ3246" s="93" t="s">
        <v>22668</v>
      </c>
      <c r="BA3246" s="93" t="s">
        <v>22668</v>
      </c>
      <c r="BB3246" s="93" t="s">
        <v>22668</v>
      </c>
      <c r="BC3246" s="93" t="s">
        <v>21391</v>
      </c>
      <c r="BD3246" s="93" t="s">
        <v>23379</v>
      </c>
      <c r="BE3246" s="87"/>
      <c r="BF3246" s="87"/>
      <c r="BG3246" s="87"/>
      <c r="BH3246" s="87"/>
      <c r="BI3246" s="87"/>
    </row>
    <row r="3247" spans="1:61" x14ac:dyDescent="0.25">
      <c r="A3247" s="63" t="s">
        <v>1235</v>
      </c>
      <c r="B3247" s="63" t="s">
        <v>1235</v>
      </c>
      <c r="C3247" s="64"/>
      <c r="D3247" s="65"/>
      <c r="E3247" s="66"/>
      <c r="F3247" s="67"/>
      <c r="G3247" s="64"/>
      <c r="H3247" s="68"/>
      <c r="I3247" s="69"/>
      <c r="J3247" s="69"/>
      <c r="K3247" s="32"/>
      <c r="L3247" s="76">
        <v>3247</v>
      </c>
      <c r="M3247" s="76"/>
      <c r="N3247" s="71"/>
      <c r="O3247" s="87" t="s">
        <v>179</v>
      </c>
      <c r="P3247" s="90">
        <v>45116.948252314818</v>
      </c>
      <c r="Q3247" s="87" t="s">
        <v>4942</v>
      </c>
      <c r="R3247" s="87">
        <v>0</v>
      </c>
      <c r="S3247" s="87">
        <v>0</v>
      </c>
      <c r="T3247" s="87">
        <v>0</v>
      </c>
      <c r="U3247" s="87">
        <v>0</v>
      </c>
      <c r="V3247" s="87">
        <v>10</v>
      </c>
      <c r="W3247" s="93" t="s">
        <v>7701</v>
      </c>
      <c r="X3247" s="87"/>
      <c r="Y3247" s="87"/>
      <c r="Z3247" s="87"/>
      <c r="AA3247" s="87" t="s">
        <v>10844</v>
      </c>
      <c r="AB3247" s="87" t="s">
        <v>11448</v>
      </c>
      <c r="AC3247" s="93" t="s">
        <v>11460</v>
      </c>
      <c r="AD3247" s="87" t="s">
        <v>11519</v>
      </c>
      <c r="AE3247" s="92" t="str">
        <f>HYPERLINK("https://twitter.com/evolucaoge/status/1678173557379964930")</f>
        <v>https://twitter.com/evolucaoge/status/1678173557379964930</v>
      </c>
      <c r="AF3247" s="90">
        <v>45116.948252314818</v>
      </c>
      <c r="AG3247" s="99">
        <v>45116</v>
      </c>
      <c r="AH3247" s="93" t="s">
        <v>14414</v>
      </c>
      <c r="AI3247" s="87" t="b">
        <v>0</v>
      </c>
      <c r="AJ3247" s="87"/>
      <c r="AK3247" s="87"/>
      <c r="AL3247" s="87"/>
      <c r="AM3247" s="87"/>
      <c r="AN3247" s="87"/>
      <c r="AO3247" s="87"/>
      <c r="AP3247" s="87"/>
      <c r="AQ3247" s="87" t="s">
        <v>17656</v>
      </c>
      <c r="AR3247" s="87"/>
      <c r="AS3247" s="87"/>
      <c r="AT3247" s="87"/>
      <c r="AU3247" s="87"/>
      <c r="AV3247" s="92" t="str">
        <f>HYPERLINK("https://pbs.twimg.com/media/F0oR9PDWIAAHnF2.jpg")</f>
        <v>https://pbs.twimg.com/media/F0oR9PDWIAAHnF2.jpg</v>
      </c>
      <c r="AW3247" s="93" t="s">
        <v>21392</v>
      </c>
      <c r="AX3247" s="93" t="s">
        <v>21392</v>
      </c>
      <c r="AY3247" s="87"/>
      <c r="AZ3247" s="93" t="s">
        <v>22668</v>
      </c>
      <c r="BA3247" s="93" t="s">
        <v>22668</v>
      </c>
      <c r="BB3247" s="93" t="s">
        <v>22668</v>
      </c>
      <c r="BC3247" s="93" t="s">
        <v>21392</v>
      </c>
      <c r="BD3247" s="93" t="s">
        <v>23379</v>
      </c>
      <c r="BE3247" s="87"/>
      <c r="BF3247" s="87"/>
      <c r="BG3247" s="87"/>
      <c r="BH3247" s="87"/>
      <c r="BI3247" s="87"/>
    </row>
    <row r="3248" spans="1:61" x14ac:dyDescent="0.25">
      <c r="A3248" s="63" t="s">
        <v>1236</v>
      </c>
      <c r="B3248" s="63" t="s">
        <v>1236</v>
      </c>
      <c r="C3248" s="64"/>
      <c r="D3248" s="65"/>
      <c r="E3248" s="66"/>
      <c r="F3248" s="67"/>
      <c r="G3248" s="64"/>
      <c r="H3248" s="68"/>
      <c r="I3248" s="69"/>
      <c r="J3248" s="69"/>
      <c r="K3248" s="32"/>
      <c r="L3248" s="76">
        <v>3248</v>
      </c>
      <c r="M3248" s="76"/>
      <c r="N3248" s="71"/>
      <c r="O3248" s="87" t="s">
        <v>179</v>
      </c>
      <c r="P3248" s="90">
        <v>45133.777187500003</v>
      </c>
      <c r="Q3248" s="87" t="s">
        <v>4943</v>
      </c>
      <c r="R3248" s="87">
        <v>0</v>
      </c>
      <c r="S3248" s="87">
        <v>0</v>
      </c>
      <c r="T3248" s="87">
        <v>0</v>
      </c>
      <c r="U3248" s="87">
        <v>0</v>
      </c>
      <c r="V3248" s="87">
        <v>17</v>
      </c>
      <c r="W3248" s="93" t="s">
        <v>7702</v>
      </c>
      <c r="X3248" s="92" t="str">
        <f>HYPERLINK("https://mla.bs/0f3b3c9d")</f>
        <v>https://mla.bs/0f3b3c9d</v>
      </c>
      <c r="Y3248" s="87" t="s">
        <v>8396</v>
      </c>
      <c r="Z3248" s="87"/>
      <c r="AA3248" s="87"/>
      <c r="AB3248" s="87"/>
      <c r="AC3248" s="93" t="s">
        <v>11459</v>
      </c>
      <c r="AD3248" s="87" t="s">
        <v>11519</v>
      </c>
      <c r="AE3248" s="92" t="str">
        <f>HYPERLINK("https://twitter.com/abrahosting/status/1684272160410329095")</f>
        <v>https://twitter.com/abrahosting/status/1684272160410329095</v>
      </c>
      <c r="AF3248" s="90">
        <v>45133.777187500003</v>
      </c>
      <c r="AG3248" s="99">
        <v>45133</v>
      </c>
      <c r="AH3248" s="93" t="s">
        <v>14415</v>
      </c>
      <c r="AI3248" s="87" t="b">
        <v>0</v>
      </c>
      <c r="AJ3248" s="87"/>
      <c r="AK3248" s="87"/>
      <c r="AL3248" s="87"/>
      <c r="AM3248" s="87"/>
      <c r="AN3248" s="87"/>
      <c r="AO3248" s="87"/>
      <c r="AP3248" s="87"/>
      <c r="AQ3248" s="87"/>
      <c r="AR3248" s="87"/>
      <c r="AS3248" s="87"/>
      <c r="AT3248" s="87"/>
      <c r="AU3248" s="87"/>
      <c r="AV3248" s="92" t="str">
        <f>HYPERLINK("https://pbs.twimg.com/profile_images/1909510558/abrahosting_-_marca_twitter_normal.jpg")</f>
        <v>https://pbs.twimg.com/profile_images/1909510558/abrahosting_-_marca_twitter_normal.jpg</v>
      </c>
      <c r="AW3248" s="93" t="s">
        <v>21393</v>
      </c>
      <c r="AX3248" s="93" t="s">
        <v>21393</v>
      </c>
      <c r="AY3248" s="87"/>
      <c r="AZ3248" s="93" t="s">
        <v>22668</v>
      </c>
      <c r="BA3248" s="93" t="s">
        <v>22668</v>
      </c>
      <c r="BB3248" s="93" t="s">
        <v>22668</v>
      </c>
      <c r="BC3248" s="93" t="s">
        <v>21393</v>
      </c>
      <c r="BD3248" s="87">
        <v>479552132</v>
      </c>
      <c r="BE3248" s="87"/>
      <c r="BF3248" s="87"/>
      <c r="BG3248" s="87"/>
      <c r="BH3248" s="87"/>
      <c r="BI3248" s="87"/>
    </row>
    <row r="3249" spans="1:61" x14ac:dyDescent="0.25">
      <c r="A3249" s="63" t="s">
        <v>1237</v>
      </c>
      <c r="B3249" s="63" t="s">
        <v>1237</v>
      </c>
      <c r="C3249" s="64"/>
      <c r="D3249" s="65"/>
      <c r="E3249" s="66"/>
      <c r="F3249" s="67"/>
      <c r="G3249" s="64"/>
      <c r="H3249" s="68"/>
      <c r="I3249" s="69"/>
      <c r="J3249" s="69"/>
      <c r="K3249" s="32"/>
      <c r="L3249" s="76">
        <v>3249</v>
      </c>
      <c r="M3249" s="76"/>
      <c r="N3249" s="71"/>
      <c r="O3249" s="87" t="s">
        <v>179</v>
      </c>
      <c r="P3249" s="90">
        <v>45122.841307870367</v>
      </c>
      <c r="Q3249" s="87" t="s">
        <v>4944</v>
      </c>
      <c r="R3249" s="87">
        <v>0</v>
      </c>
      <c r="S3249" s="87">
        <v>1</v>
      </c>
      <c r="T3249" s="87">
        <v>0</v>
      </c>
      <c r="U3249" s="87">
        <v>0</v>
      </c>
      <c r="V3249" s="87">
        <v>16</v>
      </c>
      <c r="W3249" s="93" t="s">
        <v>7703</v>
      </c>
      <c r="X3249" s="87"/>
      <c r="Y3249" s="87"/>
      <c r="Z3249" s="87"/>
      <c r="AA3249" s="87"/>
      <c r="AB3249" s="87"/>
      <c r="AC3249" s="93" t="s">
        <v>11459</v>
      </c>
      <c r="AD3249" s="87" t="s">
        <v>11519</v>
      </c>
      <c r="AE3249" s="92" t="str">
        <f>HYPERLINK("https://twitter.com/alereiscontador/status/1680309126767824901")</f>
        <v>https://twitter.com/alereiscontador/status/1680309126767824901</v>
      </c>
      <c r="AF3249" s="90">
        <v>45122.841307870367</v>
      </c>
      <c r="AG3249" s="99">
        <v>45122</v>
      </c>
      <c r="AH3249" s="93" t="s">
        <v>13624</v>
      </c>
      <c r="AI3249" s="87"/>
      <c r="AJ3249" s="87"/>
      <c r="AK3249" s="87"/>
      <c r="AL3249" s="87"/>
      <c r="AM3249" s="87"/>
      <c r="AN3249" s="87"/>
      <c r="AO3249" s="87"/>
      <c r="AP3249" s="87"/>
      <c r="AQ3249" s="87"/>
      <c r="AR3249" s="87"/>
      <c r="AS3249" s="87"/>
      <c r="AT3249" s="87"/>
      <c r="AU3249" s="87"/>
      <c r="AV3249" s="92" t="str">
        <f>HYPERLINK("https://pbs.twimg.com/profile_images/1161084777518247937/6Q80Yt-J_normal.jpg")</f>
        <v>https://pbs.twimg.com/profile_images/1161084777518247937/6Q80Yt-J_normal.jpg</v>
      </c>
      <c r="AW3249" s="93" t="s">
        <v>21394</v>
      </c>
      <c r="AX3249" s="93" t="s">
        <v>21394</v>
      </c>
      <c r="AY3249" s="87"/>
      <c r="AZ3249" s="93" t="s">
        <v>22668</v>
      </c>
      <c r="BA3249" s="93" t="s">
        <v>22668</v>
      </c>
      <c r="BB3249" s="93" t="s">
        <v>22668</v>
      </c>
      <c r="BC3249" s="93" t="s">
        <v>21394</v>
      </c>
      <c r="BD3249" s="93" t="s">
        <v>23380</v>
      </c>
      <c r="BE3249" s="87"/>
      <c r="BF3249" s="87"/>
      <c r="BG3249" s="87"/>
      <c r="BH3249" s="87"/>
      <c r="BI3249" s="87"/>
    </row>
    <row r="3250" spans="1:61" x14ac:dyDescent="0.25">
      <c r="A3250" s="63" t="s">
        <v>1237</v>
      </c>
      <c r="B3250" s="63" t="s">
        <v>1237</v>
      </c>
      <c r="C3250" s="64"/>
      <c r="D3250" s="65"/>
      <c r="E3250" s="66"/>
      <c r="F3250" s="67"/>
      <c r="G3250" s="64"/>
      <c r="H3250" s="68"/>
      <c r="I3250" s="69"/>
      <c r="J3250" s="69"/>
      <c r="K3250" s="32"/>
      <c r="L3250" s="76">
        <v>3250</v>
      </c>
      <c r="M3250" s="76"/>
      <c r="N3250" s="71"/>
      <c r="O3250" s="87" t="s">
        <v>179</v>
      </c>
      <c r="P3250" s="90">
        <v>45131.979062500002</v>
      </c>
      <c r="Q3250" s="87" t="s">
        <v>4945</v>
      </c>
      <c r="R3250" s="87">
        <v>0</v>
      </c>
      <c r="S3250" s="87">
        <v>0</v>
      </c>
      <c r="T3250" s="87">
        <v>0</v>
      </c>
      <c r="U3250" s="87">
        <v>0</v>
      </c>
      <c r="V3250" s="87">
        <v>25</v>
      </c>
      <c r="W3250" s="93" t="s">
        <v>7564</v>
      </c>
      <c r="X3250" s="87"/>
      <c r="Y3250" s="87"/>
      <c r="Z3250" s="87"/>
      <c r="AA3250" s="87" t="s">
        <v>10845</v>
      </c>
      <c r="AB3250" s="87" t="s">
        <v>11448</v>
      </c>
      <c r="AC3250" s="93" t="s">
        <v>11459</v>
      </c>
      <c r="AD3250" s="87" t="s">
        <v>11519</v>
      </c>
      <c r="AE3250" s="92" t="str">
        <f>HYPERLINK("https://twitter.com/alereiscontador/status/1683620537820389378")</f>
        <v>https://twitter.com/alereiscontador/status/1683620537820389378</v>
      </c>
      <c r="AF3250" s="90">
        <v>45131.979062500002</v>
      </c>
      <c r="AG3250" s="99">
        <v>45131</v>
      </c>
      <c r="AH3250" s="93" t="s">
        <v>14416</v>
      </c>
      <c r="AI3250" s="87" t="b">
        <v>0</v>
      </c>
      <c r="AJ3250" s="87"/>
      <c r="AK3250" s="87"/>
      <c r="AL3250" s="87"/>
      <c r="AM3250" s="87"/>
      <c r="AN3250" s="87"/>
      <c r="AO3250" s="87"/>
      <c r="AP3250" s="87"/>
      <c r="AQ3250" s="87" t="s">
        <v>17657</v>
      </c>
      <c r="AR3250" s="87"/>
      <c r="AS3250" s="87"/>
      <c r="AT3250" s="87"/>
      <c r="AU3250" s="87"/>
      <c r="AV3250" s="92" t="str">
        <f>HYPERLINK("https://pbs.twimg.com/media/F11r9Q_XwAA0Xg2.jpg")</f>
        <v>https://pbs.twimg.com/media/F11r9Q_XwAA0Xg2.jpg</v>
      </c>
      <c r="AW3250" s="93" t="s">
        <v>21395</v>
      </c>
      <c r="AX3250" s="93" t="s">
        <v>21395</v>
      </c>
      <c r="AY3250" s="87"/>
      <c r="AZ3250" s="93" t="s">
        <v>22668</v>
      </c>
      <c r="BA3250" s="93" t="s">
        <v>22668</v>
      </c>
      <c r="BB3250" s="93" t="s">
        <v>22668</v>
      </c>
      <c r="BC3250" s="93" t="s">
        <v>21395</v>
      </c>
      <c r="BD3250" s="93" t="s">
        <v>23380</v>
      </c>
      <c r="BE3250" s="87"/>
      <c r="BF3250" s="87"/>
      <c r="BG3250" s="87"/>
      <c r="BH3250" s="87"/>
      <c r="BI3250" s="87"/>
    </row>
    <row r="3251" spans="1:61" x14ac:dyDescent="0.25">
      <c r="A3251" s="63" t="s">
        <v>1238</v>
      </c>
      <c r="B3251" s="63" t="s">
        <v>1238</v>
      </c>
      <c r="C3251" s="64"/>
      <c r="D3251" s="65"/>
      <c r="E3251" s="66"/>
      <c r="F3251" s="67"/>
      <c r="G3251" s="64"/>
      <c r="H3251" s="68"/>
      <c r="I3251" s="69"/>
      <c r="J3251" s="69"/>
      <c r="K3251" s="32"/>
      <c r="L3251" s="76">
        <v>3251</v>
      </c>
      <c r="M3251" s="76"/>
      <c r="N3251" s="71"/>
      <c r="O3251" s="87" t="s">
        <v>179</v>
      </c>
      <c r="P3251" s="90">
        <v>45196.65425925926</v>
      </c>
      <c r="Q3251" s="87" t="s">
        <v>4946</v>
      </c>
      <c r="R3251" s="87">
        <v>0</v>
      </c>
      <c r="S3251" s="87">
        <v>0</v>
      </c>
      <c r="T3251" s="87">
        <v>0</v>
      </c>
      <c r="U3251" s="87">
        <v>0</v>
      </c>
      <c r="V3251" s="87">
        <v>1</v>
      </c>
      <c r="W3251" s="93" t="s">
        <v>7704</v>
      </c>
      <c r="X3251" s="87"/>
      <c r="Y3251" s="87"/>
      <c r="Z3251" s="87"/>
      <c r="AA3251" s="87" t="s">
        <v>10846</v>
      </c>
      <c r="AB3251" s="87" t="s">
        <v>11447</v>
      </c>
      <c r="AC3251" s="93" t="s">
        <v>11459</v>
      </c>
      <c r="AD3251" s="87" t="s">
        <v>11519</v>
      </c>
      <c r="AE3251" s="92" t="str">
        <f>HYPERLINK("https://twitter.com/_martcon/status/1707058045920985372")</f>
        <v>https://twitter.com/_martcon/status/1707058045920985372</v>
      </c>
      <c r="AF3251" s="90">
        <v>45196.65425925926</v>
      </c>
      <c r="AG3251" s="99">
        <v>45196</v>
      </c>
      <c r="AH3251" s="93" t="s">
        <v>14417</v>
      </c>
      <c r="AI3251" s="87" t="b">
        <v>0</v>
      </c>
      <c r="AJ3251" s="87"/>
      <c r="AK3251" s="87"/>
      <c r="AL3251" s="87"/>
      <c r="AM3251" s="87"/>
      <c r="AN3251" s="87"/>
      <c r="AO3251" s="87"/>
      <c r="AP3251" s="87"/>
      <c r="AQ3251" s="87" t="s">
        <v>17658</v>
      </c>
      <c r="AR3251" s="87">
        <v>69800</v>
      </c>
      <c r="AS3251" s="87"/>
      <c r="AT3251" s="87"/>
      <c r="AU3251" s="87"/>
      <c r="AV3251" s="92" t="str">
        <f>HYPERLINK("https://pbs.twimg.com/ext_tw_video_thumb/1707058012093923328/pu/img/Te0Apu9tllZK1yX5.jpg")</f>
        <v>https://pbs.twimg.com/ext_tw_video_thumb/1707058012093923328/pu/img/Te0Apu9tllZK1yX5.jpg</v>
      </c>
      <c r="AW3251" s="93" t="s">
        <v>21396</v>
      </c>
      <c r="AX3251" s="93" t="s">
        <v>21396</v>
      </c>
      <c r="AY3251" s="87"/>
      <c r="AZ3251" s="93" t="s">
        <v>22668</v>
      </c>
      <c r="BA3251" s="93" t="s">
        <v>22668</v>
      </c>
      <c r="BB3251" s="93" t="s">
        <v>22668</v>
      </c>
      <c r="BC3251" s="93" t="s">
        <v>21396</v>
      </c>
      <c r="BD3251" s="93" t="s">
        <v>23381</v>
      </c>
      <c r="BE3251" s="87"/>
      <c r="BF3251" s="87"/>
      <c r="BG3251" s="87"/>
      <c r="BH3251" s="87"/>
      <c r="BI3251" s="87"/>
    </row>
    <row r="3252" spans="1:61" x14ac:dyDescent="0.25">
      <c r="A3252" s="63" t="s">
        <v>1239</v>
      </c>
      <c r="B3252" s="63" t="s">
        <v>1239</v>
      </c>
      <c r="C3252" s="64"/>
      <c r="D3252" s="65"/>
      <c r="E3252" s="66"/>
      <c r="F3252" s="67"/>
      <c r="G3252" s="64"/>
      <c r="H3252" s="68"/>
      <c r="I3252" s="69"/>
      <c r="J3252" s="69"/>
      <c r="K3252" s="32"/>
      <c r="L3252" s="76">
        <v>3252</v>
      </c>
      <c r="M3252" s="76"/>
      <c r="N3252" s="71"/>
      <c r="O3252" s="87" t="s">
        <v>179</v>
      </c>
      <c r="P3252" s="90">
        <v>45126.916921296295</v>
      </c>
      <c r="Q3252" s="87" t="s">
        <v>4947</v>
      </c>
      <c r="R3252" s="87">
        <v>1</v>
      </c>
      <c r="S3252" s="87">
        <v>2</v>
      </c>
      <c r="T3252" s="87">
        <v>2</v>
      </c>
      <c r="U3252" s="87">
        <v>0</v>
      </c>
      <c r="V3252" s="87">
        <v>238</v>
      </c>
      <c r="W3252" s="93" t="s">
        <v>7705</v>
      </c>
      <c r="X3252" s="87"/>
      <c r="Y3252" s="87"/>
      <c r="Z3252" s="87"/>
      <c r="AA3252" s="87" t="s">
        <v>10847</v>
      </c>
      <c r="AB3252" s="87" t="s">
        <v>11448</v>
      </c>
      <c r="AC3252" s="93" t="s">
        <v>11509</v>
      </c>
      <c r="AD3252" s="87" t="s">
        <v>11519</v>
      </c>
      <c r="AE3252" s="92" t="str">
        <f>HYPERLINK("https://twitter.com/vautomatizar/status/1681786083250671616")</f>
        <v>https://twitter.com/vautomatizar/status/1681786083250671616</v>
      </c>
      <c r="AF3252" s="90">
        <v>45126.916921296295</v>
      </c>
      <c r="AG3252" s="99">
        <v>45126</v>
      </c>
      <c r="AH3252" s="93" t="s">
        <v>14418</v>
      </c>
      <c r="AI3252" s="87" t="b">
        <v>0</v>
      </c>
      <c r="AJ3252" s="87"/>
      <c r="AK3252" s="87"/>
      <c r="AL3252" s="87"/>
      <c r="AM3252" s="87"/>
      <c r="AN3252" s="87"/>
      <c r="AO3252" s="87"/>
      <c r="AP3252" s="87"/>
      <c r="AQ3252" s="87" t="s">
        <v>17659</v>
      </c>
      <c r="AR3252" s="87"/>
      <c r="AS3252" s="87"/>
      <c r="AT3252" s="87"/>
      <c r="AU3252" s="87"/>
      <c r="AV3252" s="92" t="str">
        <f>HYPERLINK("https://pbs.twimg.com/media/F1bnhZkacAANDFX.jpg")</f>
        <v>https://pbs.twimg.com/media/F1bnhZkacAANDFX.jpg</v>
      </c>
      <c r="AW3252" s="93" t="s">
        <v>21397</v>
      </c>
      <c r="AX3252" s="93" t="s">
        <v>21397</v>
      </c>
      <c r="AY3252" s="87"/>
      <c r="AZ3252" s="93" t="s">
        <v>22668</v>
      </c>
      <c r="BA3252" s="93" t="s">
        <v>22668</v>
      </c>
      <c r="BB3252" s="93" t="s">
        <v>22668</v>
      </c>
      <c r="BC3252" s="93" t="s">
        <v>21397</v>
      </c>
      <c r="BD3252" s="93" t="s">
        <v>23382</v>
      </c>
      <c r="BE3252" s="87"/>
      <c r="BF3252" s="87"/>
      <c r="BG3252" s="87"/>
      <c r="BH3252" s="87"/>
      <c r="BI3252" s="87"/>
    </row>
    <row r="3253" spans="1:61" x14ac:dyDescent="0.25">
      <c r="A3253" s="63" t="s">
        <v>1239</v>
      </c>
      <c r="B3253" s="63" t="s">
        <v>1239</v>
      </c>
      <c r="C3253" s="64"/>
      <c r="D3253" s="65"/>
      <c r="E3253" s="66"/>
      <c r="F3253" s="67"/>
      <c r="G3253" s="64"/>
      <c r="H3253" s="68"/>
      <c r="I3253" s="69"/>
      <c r="J3253" s="69"/>
      <c r="K3253" s="32"/>
      <c r="L3253" s="76">
        <v>3253</v>
      </c>
      <c r="M3253" s="76"/>
      <c r="N3253" s="71"/>
      <c r="O3253" s="87" t="s">
        <v>179</v>
      </c>
      <c r="P3253" s="90">
        <v>45125.916932870372</v>
      </c>
      <c r="Q3253" s="87" t="s">
        <v>4948</v>
      </c>
      <c r="R3253" s="87">
        <v>1</v>
      </c>
      <c r="S3253" s="87">
        <v>3</v>
      </c>
      <c r="T3253" s="87">
        <v>1</v>
      </c>
      <c r="U3253" s="87">
        <v>0</v>
      </c>
      <c r="V3253" s="87">
        <v>133</v>
      </c>
      <c r="W3253" s="93" t="s">
        <v>7705</v>
      </c>
      <c r="X3253" s="87"/>
      <c r="Y3253" s="87"/>
      <c r="Z3253" s="87"/>
      <c r="AA3253" s="87" t="s">
        <v>10848</v>
      </c>
      <c r="AB3253" s="87" t="s">
        <v>11448</v>
      </c>
      <c r="AC3253" s="93" t="s">
        <v>11509</v>
      </c>
      <c r="AD3253" s="87" t="s">
        <v>11519</v>
      </c>
      <c r="AE3253" s="92" t="str">
        <f>HYPERLINK("https://twitter.com/vautomatizar/status/1681423698002345988")</f>
        <v>https://twitter.com/vautomatizar/status/1681423698002345988</v>
      </c>
      <c r="AF3253" s="90">
        <v>45125.916932870372</v>
      </c>
      <c r="AG3253" s="99">
        <v>45125</v>
      </c>
      <c r="AH3253" s="93" t="s">
        <v>14419</v>
      </c>
      <c r="AI3253" s="87" t="b">
        <v>0</v>
      </c>
      <c r="AJ3253" s="87"/>
      <c r="AK3253" s="87"/>
      <c r="AL3253" s="87"/>
      <c r="AM3253" s="87"/>
      <c r="AN3253" s="87"/>
      <c r="AO3253" s="87"/>
      <c r="AP3253" s="87"/>
      <c r="AQ3253" s="87" t="s">
        <v>17660</v>
      </c>
      <c r="AR3253" s="87"/>
      <c r="AS3253" s="87"/>
      <c r="AT3253" s="87"/>
      <c r="AU3253" s="87"/>
      <c r="AV3253" s="92" t="str">
        <f>HYPERLINK("https://pbs.twimg.com/media/F1Wd7tWaYAAloEQ.jpg")</f>
        <v>https://pbs.twimg.com/media/F1Wd7tWaYAAloEQ.jpg</v>
      </c>
      <c r="AW3253" s="93" t="s">
        <v>21398</v>
      </c>
      <c r="AX3253" s="93" t="s">
        <v>21398</v>
      </c>
      <c r="AY3253" s="87"/>
      <c r="AZ3253" s="93" t="s">
        <v>22668</v>
      </c>
      <c r="BA3253" s="93" t="s">
        <v>22668</v>
      </c>
      <c r="BB3253" s="93" t="s">
        <v>22668</v>
      </c>
      <c r="BC3253" s="93" t="s">
        <v>21398</v>
      </c>
      <c r="BD3253" s="93" t="s">
        <v>23382</v>
      </c>
      <c r="BE3253" s="87"/>
      <c r="BF3253" s="87"/>
      <c r="BG3253" s="87"/>
      <c r="BH3253" s="87"/>
      <c r="BI3253" s="87"/>
    </row>
    <row r="3254" spans="1:61" x14ac:dyDescent="0.25">
      <c r="A3254" s="63" t="s">
        <v>1240</v>
      </c>
      <c r="B3254" s="63" t="s">
        <v>1240</v>
      </c>
      <c r="C3254" s="64"/>
      <c r="D3254" s="65"/>
      <c r="E3254" s="66"/>
      <c r="F3254" s="67"/>
      <c r="G3254" s="64"/>
      <c r="H3254" s="68"/>
      <c r="I3254" s="69"/>
      <c r="J3254" s="69"/>
      <c r="K3254" s="32"/>
      <c r="L3254" s="76">
        <v>3254</v>
      </c>
      <c r="M3254" s="76"/>
      <c r="N3254" s="71"/>
      <c r="O3254" s="87" t="s">
        <v>179</v>
      </c>
      <c r="P3254" s="90">
        <v>45140.954652777778</v>
      </c>
      <c r="Q3254" s="87" t="s">
        <v>4949</v>
      </c>
      <c r="R3254" s="87">
        <v>0</v>
      </c>
      <c r="S3254" s="87">
        <v>0</v>
      </c>
      <c r="T3254" s="87">
        <v>0</v>
      </c>
      <c r="U3254" s="87">
        <v>0</v>
      </c>
      <c r="V3254" s="87">
        <v>58</v>
      </c>
      <c r="W3254" s="93" t="s">
        <v>7706</v>
      </c>
      <c r="X3254" s="92" t="str">
        <f>HYPERLINK("https://youtu.be/crCDCBVOL8o")</f>
        <v>https://youtu.be/crCDCBVOL8o</v>
      </c>
      <c r="Y3254" s="87" t="s">
        <v>8372</v>
      </c>
      <c r="Z3254" s="87"/>
      <c r="AA3254" s="87"/>
      <c r="AB3254" s="87"/>
      <c r="AC3254" s="93" t="s">
        <v>11459</v>
      </c>
      <c r="AD3254" s="87" t="s">
        <v>11519</v>
      </c>
      <c r="AE3254" s="92" t="str">
        <f>HYPERLINK("https://twitter.com/carquimilion/status/1686873186305036289")</f>
        <v>https://twitter.com/carquimilion/status/1686873186305036289</v>
      </c>
      <c r="AF3254" s="90">
        <v>45140.954652777778</v>
      </c>
      <c r="AG3254" s="99">
        <v>45140</v>
      </c>
      <c r="AH3254" s="93" t="s">
        <v>14420</v>
      </c>
      <c r="AI3254" s="87" t="b">
        <v>0</v>
      </c>
      <c r="AJ3254" s="87"/>
      <c r="AK3254" s="87"/>
      <c r="AL3254" s="87"/>
      <c r="AM3254" s="87"/>
      <c r="AN3254" s="87"/>
      <c r="AO3254" s="87"/>
      <c r="AP3254" s="87"/>
      <c r="AQ3254" s="87"/>
      <c r="AR3254" s="87"/>
      <c r="AS3254" s="87"/>
      <c r="AT3254" s="87"/>
      <c r="AU3254" s="87"/>
      <c r="AV3254" s="92" t="str">
        <f>HYPERLINK("https://pbs.twimg.com/profile_images/1675156613282275328/B1Hk6poD_normal.jpg")</f>
        <v>https://pbs.twimg.com/profile_images/1675156613282275328/B1Hk6poD_normal.jpg</v>
      </c>
      <c r="AW3254" s="93" t="s">
        <v>21399</v>
      </c>
      <c r="AX3254" s="93" t="s">
        <v>21399</v>
      </c>
      <c r="AY3254" s="87"/>
      <c r="AZ3254" s="93" t="s">
        <v>22668</v>
      </c>
      <c r="BA3254" s="93" t="s">
        <v>22668</v>
      </c>
      <c r="BB3254" s="93" t="s">
        <v>22668</v>
      </c>
      <c r="BC3254" s="93" t="s">
        <v>21399</v>
      </c>
      <c r="BD3254" s="93" t="s">
        <v>23383</v>
      </c>
      <c r="BE3254" s="87"/>
      <c r="BF3254" s="87"/>
      <c r="BG3254" s="87"/>
      <c r="BH3254" s="87"/>
      <c r="BI3254" s="87"/>
    </row>
    <row r="3255" spans="1:61" x14ac:dyDescent="0.25">
      <c r="A3255" s="63" t="s">
        <v>1241</v>
      </c>
      <c r="B3255" s="63" t="s">
        <v>1241</v>
      </c>
      <c r="C3255" s="64"/>
      <c r="D3255" s="65"/>
      <c r="E3255" s="66"/>
      <c r="F3255" s="67"/>
      <c r="G3255" s="64"/>
      <c r="H3255" s="68"/>
      <c r="I3255" s="69"/>
      <c r="J3255" s="69"/>
      <c r="K3255" s="32"/>
      <c r="L3255" s="76">
        <v>3255</v>
      </c>
      <c r="M3255" s="76"/>
      <c r="N3255" s="71"/>
      <c r="O3255" s="87" t="s">
        <v>179</v>
      </c>
      <c r="P3255" s="90">
        <v>45195.533043981479</v>
      </c>
      <c r="Q3255" s="87" t="s">
        <v>4950</v>
      </c>
      <c r="R3255" s="87">
        <v>0</v>
      </c>
      <c r="S3255" s="87">
        <v>0</v>
      </c>
      <c r="T3255" s="87">
        <v>0</v>
      </c>
      <c r="U3255" s="87">
        <v>0</v>
      </c>
      <c r="V3255" s="87">
        <v>7</v>
      </c>
      <c r="W3255" s="93" t="s">
        <v>7707</v>
      </c>
      <c r="X3255" s="92" t="str">
        <f>HYPERLINK("https://x.gd/JcqkK")</f>
        <v>https://x.gd/JcqkK</v>
      </c>
      <c r="Y3255" s="87" t="s">
        <v>8517</v>
      </c>
      <c r="Z3255" s="87"/>
      <c r="AA3255" s="87" t="s">
        <v>10849</v>
      </c>
      <c r="AB3255" s="87" t="s">
        <v>11448</v>
      </c>
      <c r="AC3255" s="93" t="s">
        <v>11457</v>
      </c>
      <c r="AD3255" s="87" t="s">
        <v>11519</v>
      </c>
      <c r="AE3255" s="92" t="str">
        <f>HYPERLINK("https://twitter.com/juristecadv/status/1706651731621249363")</f>
        <v>https://twitter.com/juristecadv/status/1706651731621249363</v>
      </c>
      <c r="AF3255" s="90">
        <v>45195.533043981479</v>
      </c>
      <c r="AG3255" s="99">
        <v>45195</v>
      </c>
      <c r="AH3255" s="93" t="s">
        <v>13349</v>
      </c>
      <c r="AI3255" s="87" t="b">
        <v>0</v>
      </c>
      <c r="AJ3255" s="87"/>
      <c r="AK3255" s="87"/>
      <c r="AL3255" s="87"/>
      <c r="AM3255" s="87"/>
      <c r="AN3255" s="87"/>
      <c r="AO3255" s="87"/>
      <c r="AP3255" s="87"/>
      <c r="AQ3255" s="87" t="s">
        <v>17661</v>
      </c>
      <c r="AR3255" s="87"/>
      <c r="AS3255" s="87"/>
      <c r="AT3255" s="87"/>
      <c r="AU3255" s="87"/>
      <c r="AV3255" s="92" t="str">
        <f>HYPERLINK("https://pbs.twimg.com/media/F68-svhWgAAqDgm.jpg")</f>
        <v>https://pbs.twimg.com/media/F68-svhWgAAqDgm.jpg</v>
      </c>
      <c r="AW3255" s="93" t="s">
        <v>21400</v>
      </c>
      <c r="AX3255" s="93" t="s">
        <v>21400</v>
      </c>
      <c r="AY3255" s="87"/>
      <c r="AZ3255" s="93" t="s">
        <v>22668</v>
      </c>
      <c r="BA3255" s="93" t="s">
        <v>22668</v>
      </c>
      <c r="BB3255" s="93" t="s">
        <v>22668</v>
      </c>
      <c r="BC3255" s="93" t="s">
        <v>21400</v>
      </c>
      <c r="BD3255" s="93" t="s">
        <v>23384</v>
      </c>
      <c r="BE3255" s="87"/>
      <c r="BF3255" s="87"/>
      <c r="BG3255" s="87"/>
      <c r="BH3255" s="87"/>
      <c r="BI3255" s="87"/>
    </row>
    <row r="3256" spans="1:61" x14ac:dyDescent="0.25">
      <c r="A3256" s="63" t="s">
        <v>1242</v>
      </c>
      <c r="B3256" s="63" t="s">
        <v>1242</v>
      </c>
      <c r="C3256" s="64"/>
      <c r="D3256" s="65"/>
      <c r="E3256" s="66"/>
      <c r="F3256" s="67"/>
      <c r="G3256" s="64"/>
      <c r="H3256" s="68"/>
      <c r="I3256" s="69"/>
      <c r="J3256" s="69"/>
      <c r="K3256" s="32"/>
      <c r="L3256" s="76">
        <v>3256</v>
      </c>
      <c r="M3256" s="76"/>
      <c r="N3256" s="71"/>
      <c r="O3256" s="87" t="s">
        <v>179</v>
      </c>
      <c r="P3256" s="90">
        <v>45125.459039351852</v>
      </c>
      <c r="Q3256" s="87" t="s">
        <v>4951</v>
      </c>
      <c r="R3256" s="87">
        <v>0</v>
      </c>
      <c r="S3256" s="87">
        <v>0</v>
      </c>
      <c r="T3256" s="87">
        <v>0</v>
      </c>
      <c r="U3256" s="87">
        <v>0</v>
      </c>
      <c r="V3256" s="87">
        <v>23</v>
      </c>
      <c r="W3256" s="93" t="s">
        <v>7708</v>
      </c>
      <c r="X3256" s="92" t="str">
        <f>HYPERLINK("http://blgs.co/Vy51c0")</f>
        <v>http://blgs.co/Vy51c0</v>
      </c>
      <c r="Y3256" s="87" t="s">
        <v>8518</v>
      </c>
      <c r="Z3256" s="87"/>
      <c r="AA3256" s="87"/>
      <c r="AB3256" s="87"/>
      <c r="AC3256" s="93" t="s">
        <v>11510</v>
      </c>
      <c r="AD3256" s="87" t="s">
        <v>11523</v>
      </c>
      <c r="AE3256" s="92" t="str">
        <f>HYPERLINK("https://twitter.com/esmktdigital/status/1681257761395576832")</f>
        <v>https://twitter.com/esmktdigital/status/1681257761395576832</v>
      </c>
      <c r="AF3256" s="90">
        <v>45125.459039351852</v>
      </c>
      <c r="AG3256" s="99">
        <v>45125</v>
      </c>
      <c r="AH3256" s="93" t="s">
        <v>14421</v>
      </c>
      <c r="AI3256" s="87" t="b">
        <v>0</v>
      </c>
      <c r="AJ3256" s="87"/>
      <c r="AK3256" s="87"/>
      <c r="AL3256" s="87"/>
      <c r="AM3256" s="87"/>
      <c r="AN3256" s="87"/>
      <c r="AO3256" s="87"/>
      <c r="AP3256" s="87"/>
      <c r="AQ3256" s="87"/>
      <c r="AR3256" s="87"/>
      <c r="AS3256" s="87"/>
      <c r="AT3256" s="87"/>
      <c r="AU3256" s="87"/>
      <c r="AV3256" s="92" t="str">
        <f>HYPERLINK("https://pbs.twimg.com/profile_images/1424400486598385673/9rkiCVi1_normal.jpg")</f>
        <v>https://pbs.twimg.com/profile_images/1424400486598385673/9rkiCVi1_normal.jpg</v>
      </c>
      <c r="AW3256" s="93" t="s">
        <v>21401</v>
      </c>
      <c r="AX3256" s="93" t="s">
        <v>21401</v>
      </c>
      <c r="AY3256" s="87"/>
      <c r="AZ3256" s="93" t="s">
        <v>22668</v>
      </c>
      <c r="BA3256" s="93" t="s">
        <v>22668</v>
      </c>
      <c r="BB3256" s="93" t="s">
        <v>22668</v>
      </c>
      <c r="BC3256" s="93" t="s">
        <v>21401</v>
      </c>
      <c r="BD3256" s="87">
        <v>936235920</v>
      </c>
      <c r="BE3256" s="87"/>
      <c r="BF3256" s="87"/>
      <c r="BG3256" s="87"/>
      <c r="BH3256" s="87"/>
      <c r="BI3256" s="87"/>
    </row>
    <row r="3257" spans="1:61" x14ac:dyDescent="0.25">
      <c r="A3257" s="63" t="s">
        <v>1242</v>
      </c>
      <c r="B3257" s="63" t="s">
        <v>1242</v>
      </c>
      <c r="C3257" s="64"/>
      <c r="D3257" s="65"/>
      <c r="E3257" s="66"/>
      <c r="F3257" s="67"/>
      <c r="G3257" s="64"/>
      <c r="H3257" s="68"/>
      <c r="I3257" s="69"/>
      <c r="J3257" s="69"/>
      <c r="K3257" s="32"/>
      <c r="L3257" s="76">
        <v>3257</v>
      </c>
      <c r="M3257" s="76"/>
      <c r="N3257" s="71"/>
      <c r="O3257" s="87" t="s">
        <v>179</v>
      </c>
      <c r="P3257" s="90">
        <v>45177.459108796298</v>
      </c>
      <c r="Q3257" s="87" t="s">
        <v>4952</v>
      </c>
      <c r="R3257" s="87">
        <v>0</v>
      </c>
      <c r="S3257" s="87">
        <v>0</v>
      </c>
      <c r="T3257" s="87">
        <v>0</v>
      </c>
      <c r="U3257" s="87">
        <v>0</v>
      </c>
      <c r="V3257" s="87">
        <v>11</v>
      </c>
      <c r="W3257" s="93" t="s">
        <v>7709</v>
      </c>
      <c r="X3257" s="92" t="str">
        <f>HYPERLINK("http://blgs.co/2L6PP4")</f>
        <v>http://blgs.co/2L6PP4</v>
      </c>
      <c r="Y3257" s="87" t="s">
        <v>8518</v>
      </c>
      <c r="Z3257" s="87"/>
      <c r="AA3257" s="87" t="s">
        <v>10850</v>
      </c>
      <c r="AB3257" s="87" t="s">
        <v>11448</v>
      </c>
      <c r="AC3257" s="93" t="s">
        <v>11510</v>
      </c>
      <c r="AD3257" s="87" t="s">
        <v>11523</v>
      </c>
      <c r="AE3257" s="92" t="str">
        <f>HYPERLINK("https://twitter.com/esmktdigital/status/1700101954750259574")</f>
        <v>https://twitter.com/esmktdigital/status/1700101954750259574</v>
      </c>
      <c r="AF3257" s="90">
        <v>45177.459108796298</v>
      </c>
      <c r="AG3257" s="99">
        <v>45177</v>
      </c>
      <c r="AH3257" s="93" t="s">
        <v>14422</v>
      </c>
      <c r="AI3257" s="87" t="b">
        <v>0</v>
      </c>
      <c r="AJ3257" s="87"/>
      <c r="AK3257" s="87"/>
      <c r="AL3257" s="87"/>
      <c r="AM3257" s="87"/>
      <c r="AN3257" s="87"/>
      <c r="AO3257" s="87"/>
      <c r="AP3257" s="87"/>
      <c r="AQ3257" s="87" t="s">
        <v>17662</v>
      </c>
      <c r="AR3257" s="87"/>
      <c r="AS3257" s="87"/>
      <c r="AT3257" s="87"/>
      <c r="AU3257" s="87"/>
      <c r="AV3257" s="92" t="str">
        <f>HYPERLINK("https://pbs.twimg.com/media/F5f5uBBXEAAhcAJ.jpg")</f>
        <v>https://pbs.twimg.com/media/F5f5uBBXEAAhcAJ.jpg</v>
      </c>
      <c r="AW3257" s="93" t="s">
        <v>21402</v>
      </c>
      <c r="AX3257" s="93" t="s">
        <v>21402</v>
      </c>
      <c r="AY3257" s="87"/>
      <c r="AZ3257" s="93" t="s">
        <v>22668</v>
      </c>
      <c r="BA3257" s="93" t="s">
        <v>22668</v>
      </c>
      <c r="BB3257" s="93" t="s">
        <v>22668</v>
      </c>
      <c r="BC3257" s="93" t="s">
        <v>21402</v>
      </c>
      <c r="BD3257" s="87">
        <v>936235920</v>
      </c>
      <c r="BE3257" s="87"/>
      <c r="BF3257" s="87"/>
      <c r="BG3257" s="87"/>
      <c r="BH3257" s="87"/>
      <c r="BI3257" s="87"/>
    </row>
    <row r="3258" spans="1:61" x14ac:dyDescent="0.25">
      <c r="A3258" s="63" t="s">
        <v>1243</v>
      </c>
      <c r="B3258" s="63" t="s">
        <v>1243</v>
      </c>
      <c r="C3258" s="64"/>
      <c r="D3258" s="65"/>
      <c r="E3258" s="66"/>
      <c r="F3258" s="67"/>
      <c r="G3258" s="64"/>
      <c r="H3258" s="68"/>
      <c r="I3258" s="69"/>
      <c r="J3258" s="69"/>
      <c r="K3258" s="32"/>
      <c r="L3258" s="76">
        <v>3258</v>
      </c>
      <c r="M3258" s="76"/>
      <c r="N3258" s="71"/>
      <c r="O3258" s="87" t="s">
        <v>179</v>
      </c>
      <c r="P3258" s="90">
        <v>45195.70957175926</v>
      </c>
      <c r="Q3258" s="87" t="s">
        <v>4953</v>
      </c>
      <c r="R3258" s="87">
        <v>0</v>
      </c>
      <c r="S3258" s="87">
        <v>2</v>
      </c>
      <c r="T3258" s="87">
        <v>0</v>
      </c>
      <c r="U3258" s="87">
        <v>0</v>
      </c>
      <c r="V3258" s="87">
        <v>29</v>
      </c>
      <c r="W3258" s="93" t="s">
        <v>7710</v>
      </c>
      <c r="X3258" s="92" t="str">
        <f>HYPERLINK("http://dx.doi.org/10.5380/atoz.v8i2.71303")</f>
        <v>http://dx.doi.org/10.5380/atoz.v8i2.71303</v>
      </c>
      <c r="Y3258" s="87" t="s">
        <v>8519</v>
      </c>
      <c r="Z3258" s="87"/>
      <c r="AA3258" s="87" t="s">
        <v>10851</v>
      </c>
      <c r="AB3258" s="87" t="s">
        <v>11448</v>
      </c>
      <c r="AC3258" s="93" t="s">
        <v>11485</v>
      </c>
      <c r="AD3258" s="87" t="s">
        <v>11519</v>
      </c>
      <c r="AE3258" s="92" t="str">
        <f>HYPERLINK("https://twitter.com/revistaatoz/status/1706715705091977582")</f>
        <v>https://twitter.com/revistaatoz/status/1706715705091977582</v>
      </c>
      <c r="AF3258" s="90">
        <v>45195.70957175926</v>
      </c>
      <c r="AG3258" s="99">
        <v>45195</v>
      </c>
      <c r="AH3258" s="93" t="s">
        <v>14423</v>
      </c>
      <c r="AI3258" s="87" t="b">
        <v>0</v>
      </c>
      <c r="AJ3258" s="87"/>
      <c r="AK3258" s="87"/>
      <c r="AL3258" s="87"/>
      <c r="AM3258" s="87"/>
      <c r="AN3258" s="87"/>
      <c r="AO3258" s="87"/>
      <c r="AP3258" s="87"/>
      <c r="AQ3258" s="87" t="s">
        <v>17663</v>
      </c>
      <c r="AR3258" s="87"/>
      <c r="AS3258" s="87"/>
      <c r="AT3258" s="87"/>
      <c r="AU3258" s="87"/>
      <c r="AV3258" s="92" t="str">
        <f>HYPERLINK("https://pbs.twimg.com/media/F694qQSWgAANa3R.jpg")</f>
        <v>https://pbs.twimg.com/media/F694qQSWgAANa3R.jpg</v>
      </c>
      <c r="AW3258" s="93" t="s">
        <v>21403</v>
      </c>
      <c r="AX3258" s="93" t="s">
        <v>21403</v>
      </c>
      <c r="AY3258" s="87"/>
      <c r="AZ3258" s="93" t="s">
        <v>22668</v>
      </c>
      <c r="BA3258" s="93" t="s">
        <v>22668</v>
      </c>
      <c r="BB3258" s="93" t="s">
        <v>22668</v>
      </c>
      <c r="BC3258" s="93" t="s">
        <v>21403</v>
      </c>
      <c r="BD3258" s="87">
        <v>238628995</v>
      </c>
      <c r="BE3258" s="87"/>
      <c r="BF3258" s="87"/>
      <c r="BG3258" s="87"/>
      <c r="BH3258" s="87"/>
      <c r="BI3258" s="87"/>
    </row>
    <row r="3259" spans="1:61" x14ac:dyDescent="0.25">
      <c r="A3259" s="63" t="s">
        <v>1244</v>
      </c>
      <c r="B3259" s="63" t="s">
        <v>1244</v>
      </c>
      <c r="C3259" s="64"/>
      <c r="D3259" s="65"/>
      <c r="E3259" s="66"/>
      <c r="F3259" s="67"/>
      <c r="G3259" s="64"/>
      <c r="H3259" s="68"/>
      <c r="I3259" s="69"/>
      <c r="J3259" s="69"/>
      <c r="K3259" s="32"/>
      <c r="L3259" s="76">
        <v>3259</v>
      </c>
      <c r="M3259" s="76"/>
      <c r="N3259" s="71"/>
      <c r="O3259" s="87" t="s">
        <v>179</v>
      </c>
      <c r="P3259" s="90">
        <v>45129.040694444448</v>
      </c>
      <c r="Q3259" s="87" t="s">
        <v>4954</v>
      </c>
      <c r="R3259" s="87">
        <v>0</v>
      </c>
      <c r="S3259" s="87">
        <v>0</v>
      </c>
      <c r="T3259" s="87">
        <v>0</v>
      </c>
      <c r="U3259" s="87">
        <v>0</v>
      </c>
      <c r="V3259" s="87">
        <v>19</v>
      </c>
      <c r="W3259" s="93" t="s">
        <v>7711</v>
      </c>
      <c r="X3259" s="92" t="str">
        <f>HYPERLINK("https://psdweb.com.br/maximizando-a-eficiencia-empresarial-com-solucoes-web/")</f>
        <v>https://psdweb.com.br/maximizando-a-eficiencia-empresarial-com-solucoes-web/</v>
      </c>
      <c r="Y3259" s="87" t="s">
        <v>8373</v>
      </c>
      <c r="Z3259" s="87"/>
      <c r="AA3259" s="87" t="s">
        <v>10852</v>
      </c>
      <c r="AB3259" s="87" t="s">
        <v>11448</v>
      </c>
      <c r="AC3259" s="93" t="s">
        <v>11457</v>
      </c>
      <c r="AD3259" s="87" t="s">
        <v>11519</v>
      </c>
      <c r="AE3259" s="92" t="str">
        <f>HYPERLINK("https://twitter.com/psdweb/status/1682555710372995075")</f>
        <v>https://twitter.com/psdweb/status/1682555710372995075</v>
      </c>
      <c r="AF3259" s="90">
        <v>45129.040694444448</v>
      </c>
      <c r="AG3259" s="99">
        <v>45129</v>
      </c>
      <c r="AH3259" s="93" t="s">
        <v>14424</v>
      </c>
      <c r="AI3259" s="87" t="b">
        <v>0</v>
      </c>
      <c r="AJ3259" s="87"/>
      <c r="AK3259" s="87"/>
      <c r="AL3259" s="87"/>
      <c r="AM3259" s="87"/>
      <c r="AN3259" s="87"/>
      <c r="AO3259" s="87"/>
      <c r="AP3259" s="87"/>
      <c r="AQ3259" s="87" t="s">
        <v>17664</v>
      </c>
      <c r="AR3259" s="87"/>
      <c r="AS3259" s="87"/>
      <c r="AT3259" s="87"/>
      <c r="AU3259" s="87"/>
      <c r="AV3259" s="92" t="str">
        <f>HYPERLINK("https://pbs.twimg.com/media/F1mjfX-XgAEH4As.jpg")</f>
        <v>https://pbs.twimg.com/media/F1mjfX-XgAEH4As.jpg</v>
      </c>
      <c r="AW3259" s="93" t="s">
        <v>21404</v>
      </c>
      <c r="AX3259" s="93" t="s">
        <v>21404</v>
      </c>
      <c r="AY3259" s="87"/>
      <c r="AZ3259" s="93" t="s">
        <v>22668</v>
      </c>
      <c r="BA3259" s="93" t="s">
        <v>22668</v>
      </c>
      <c r="BB3259" s="93" t="s">
        <v>22668</v>
      </c>
      <c r="BC3259" s="93" t="s">
        <v>21404</v>
      </c>
      <c r="BD3259" s="87">
        <v>713367260</v>
      </c>
      <c r="BE3259" s="87"/>
      <c r="BF3259" s="87"/>
      <c r="BG3259" s="87"/>
      <c r="BH3259" s="87"/>
      <c r="BI3259" s="87"/>
    </row>
    <row r="3260" spans="1:61" x14ac:dyDescent="0.25">
      <c r="A3260" s="63" t="s">
        <v>1245</v>
      </c>
      <c r="B3260" s="63" t="s">
        <v>1245</v>
      </c>
      <c r="C3260" s="64"/>
      <c r="D3260" s="65"/>
      <c r="E3260" s="66"/>
      <c r="F3260" s="67"/>
      <c r="G3260" s="64"/>
      <c r="H3260" s="68"/>
      <c r="I3260" s="69"/>
      <c r="J3260" s="69"/>
      <c r="K3260" s="32"/>
      <c r="L3260" s="76">
        <v>3260</v>
      </c>
      <c r="M3260" s="76"/>
      <c r="N3260" s="71"/>
      <c r="O3260" s="87" t="s">
        <v>179</v>
      </c>
      <c r="P3260" s="90">
        <v>45111.577951388892</v>
      </c>
      <c r="Q3260" s="87" t="s">
        <v>4955</v>
      </c>
      <c r="R3260" s="87">
        <v>0</v>
      </c>
      <c r="S3260" s="87">
        <v>1</v>
      </c>
      <c r="T3260" s="87">
        <v>0</v>
      </c>
      <c r="U3260" s="87">
        <v>0</v>
      </c>
      <c r="V3260" s="87">
        <v>126</v>
      </c>
      <c r="W3260" s="93" t="s">
        <v>7712</v>
      </c>
      <c r="X3260" s="87"/>
      <c r="Y3260" s="87"/>
      <c r="Z3260" s="87"/>
      <c r="AA3260" s="87" t="s">
        <v>10853</v>
      </c>
      <c r="AB3260" s="87" t="s">
        <v>11447</v>
      </c>
      <c r="AC3260" s="93" t="s">
        <v>11459</v>
      </c>
      <c r="AD3260" s="87" t="s">
        <v>11519</v>
      </c>
      <c r="AE3260" s="92" t="str">
        <f>HYPERLINK("https://twitter.com/celsomellani/status/1676227423896051715")</f>
        <v>https://twitter.com/celsomellani/status/1676227423896051715</v>
      </c>
      <c r="AF3260" s="90">
        <v>45111.577951388892</v>
      </c>
      <c r="AG3260" s="99">
        <v>45111</v>
      </c>
      <c r="AH3260" s="93" t="s">
        <v>14425</v>
      </c>
      <c r="AI3260" s="87" t="b">
        <v>0</v>
      </c>
      <c r="AJ3260" s="87" t="s">
        <v>15198</v>
      </c>
      <c r="AK3260" s="87" t="s">
        <v>15234</v>
      </c>
      <c r="AL3260" s="87" t="s">
        <v>15237</v>
      </c>
      <c r="AM3260" s="87" t="s">
        <v>15270</v>
      </c>
      <c r="AN3260" s="87" t="s">
        <v>15336</v>
      </c>
      <c r="AO3260" s="87" t="s">
        <v>15402</v>
      </c>
      <c r="AP3260" s="87" t="s">
        <v>15438</v>
      </c>
      <c r="AQ3260" s="87" t="s">
        <v>17665</v>
      </c>
      <c r="AR3260" s="87">
        <v>3534</v>
      </c>
      <c r="AS3260" s="87"/>
      <c r="AT3260" s="87"/>
      <c r="AU3260" s="87"/>
      <c r="AV3260" s="92" t="str">
        <f>HYPERLINK("https://pbs.twimg.com/ext_tw_video_thumb/1676227389339189250/pu/img/CfL2c9nEbqtSUlgr.jpg")</f>
        <v>https://pbs.twimg.com/ext_tw_video_thumb/1676227389339189250/pu/img/CfL2c9nEbqtSUlgr.jpg</v>
      </c>
      <c r="AW3260" s="93" t="s">
        <v>21405</v>
      </c>
      <c r="AX3260" s="93" t="s">
        <v>21405</v>
      </c>
      <c r="AY3260" s="87"/>
      <c r="AZ3260" s="93" t="s">
        <v>22668</v>
      </c>
      <c r="BA3260" s="93" t="s">
        <v>22668</v>
      </c>
      <c r="BB3260" s="93" t="s">
        <v>22668</v>
      </c>
      <c r="BC3260" s="93" t="s">
        <v>21405</v>
      </c>
      <c r="BD3260" s="93" t="s">
        <v>23385</v>
      </c>
      <c r="BE3260" s="87"/>
      <c r="BF3260" s="87"/>
      <c r="BG3260" s="87"/>
      <c r="BH3260" s="87"/>
      <c r="BI3260" s="87"/>
    </row>
    <row r="3261" spans="1:61" x14ac:dyDescent="0.25">
      <c r="A3261" s="63" t="s">
        <v>1246</v>
      </c>
      <c r="B3261" s="63" t="s">
        <v>1246</v>
      </c>
      <c r="C3261" s="64"/>
      <c r="D3261" s="65"/>
      <c r="E3261" s="66"/>
      <c r="F3261" s="67"/>
      <c r="G3261" s="64"/>
      <c r="H3261" s="68"/>
      <c r="I3261" s="69"/>
      <c r="J3261" s="69"/>
      <c r="K3261" s="32"/>
      <c r="L3261" s="76">
        <v>3261</v>
      </c>
      <c r="M3261" s="76"/>
      <c r="N3261" s="71"/>
      <c r="O3261" s="87" t="s">
        <v>179</v>
      </c>
      <c r="P3261" s="90">
        <v>45125.60087962963</v>
      </c>
      <c r="Q3261" s="87" t="s">
        <v>4956</v>
      </c>
      <c r="R3261" s="87">
        <v>0</v>
      </c>
      <c r="S3261" s="87">
        <v>0</v>
      </c>
      <c r="T3261" s="87">
        <v>0</v>
      </c>
      <c r="U3261" s="87">
        <v>0</v>
      </c>
      <c r="V3261" s="87">
        <v>11</v>
      </c>
      <c r="W3261" s="93" t="s">
        <v>7713</v>
      </c>
      <c r="X3261" s="87"/>
      <c r="Y3261" s="87"/>
      <c r="Z3261" s="87"/>
      <c r="AA3261" s="87" t="s">
        <v>10854</v>
      </c>
      <c r="AB3261" s="87" t="s">
        <v>11448</v>
      </c>
      <c r="AC3261" s="93" t="s">
        <v>11457</v>
      </c>
      <c r="AD3261" s="87" t="s">
        <v>11519</v>
      </c>
      <c r="AE3261" s="92" t="str">
        <f>HYPERLINK("https://twitter.com/pref_anchietaes/status/1681309162108776451")</f>
        <v>https://twitter.com/pref_anchietaes/status/1681309162108776451</v>
      </c>
      <c r="AF3261" s="90">
        <v>45125.60087962963</v>
      </c>
      <c r="AG3261" s="99">
        <v>45125</v>
      </c>
      <c r="AH3261" s="93" t="s">
        <v>14426</v>
      </c>
      <c r="AI3261" s="87" t="b">
        <v>0</v>
      </c>
      <c r="AJ3261" s="87"/>
      <c r="AK3261" s="87"/>
      <c r="AL3261" s="87"/>
      <c r="AM3261" s="87"/>
      <c r="AN3261" s="87"/>
      <c r="AO3261" s="87"/>
      <c r="AP3261" s="87"/>
      <c r="AQ3261" s="87" t="s">
        <v>17666</v>
      </c>
      <c r="AR3261" s="87"/>
      <c r="AS3261" s="87"/>
      <c r="AT3261" s="87"/>
      <c r="AU3261" s="87"/>
      <c r="AV3261" s="92" t="str">
        <f>HYPERLINK("https://pbs.twimg.com/media/F1U1wRGaIAIEqV5.jpg")</f>
        <v>https://pbs.twimg.com/media/F1U1wRGaIAIEqV5.jpg</v>
      </c>
      <c r="AW3261" s="93" t="s">
        <v>21406</v>
      </c>
      <c r="AX3261" s="93" t="s">
        <v>21406</v>
      </c>
      <c r="AY3261" s="87"/>
      <c r="AZ3261" s="93" t="s">
        <v>22668</v>
      </c>
      <c r="BA3261" s="93" t="s">
        <v>22668</v>
      </c>
      <c r="BB3261" s="93" t="s">
        <v>22668</v>
      </c>
      <c r="BC3261" s="93" t="s">
        <v>21406</v>
      </c>
      <c r="BD3261" s="87">
        <v>3291859173</v>
      </c>
      <c r="BE3261" s="87"/>
      <c r="BF3261" s="87"/>
      <c r="BG3261" s="87"/>
      <c r="BH3261" s="87"/>
      <c r="BI3261" s="87"/>
    </row>
    <row r="3262" spans="1:61" x14ac:dyDescent="0.25">
      <c r="A3262" s="63" t="s">
        <v>1247</v>
      </c>
      <c r="B3262" s="63" t="s">
        <v>1367</v>
      </c>
      <c r="C3262" s="64"/>
      <c r="D3262" s="65"/>
      <c r="E3262" s="66"/>
      <c r="F3262" s="67"/>
      <c r="G3262" s="64"/>
      <c r="H3262" s="68"/>
      <c r="I3262" s="69"/>
      <c r="J3262" s="69"/>
      <c r="K3262" s="32"/>
      <c r="L3262" s="76">
        <v>3262</v>
      </c>
      <c r="M3262" s="76"/>
      <c r="N3262" s="71"/>
      <c r="O3262" s="87" t="s">
        <v>1841</v>
      </c>
      <c r="P3262" s="90">
        <v>45191.750358796293</v>
      </c>
      <c r="Q3262" s="87" t="s">
        <v>2090</v>
      </c>
      <c r="R3262" s="87">
        <v>14</v>
      </c>
      <c r="S3262" s="87">
        <v>0</v>
      </c>
      <c r="T3262" s="87">
        <v>0</v>
      </c>
      <c r="U3262" s="87">
        <v>0</v>
      </c>
      <c r="V3262" s="87"/>
      <c r="W3262" s="93" t="s">
        <v>6034</v>
      </c>
      <c r="X3262" s="87"/>
      <c r="Y3262" s="87"/>
      <c r="Z3262" s="87" t="s">
        <v>1367</v>
      </c>
      <c r="AA3262" s="87"/>
      <c r="AB3262" s="87"/>
      <c r="AC3262" s="93" t="s">
        <v>11457</v>
      </c>
      <c r="AD3262" s="87" t="s">
        <v>11519</v>
      </c>
      <c r="AE3262" s="92" t="str">
        <f>HYPERLINK("https://twitter.com/alinesabrinax/status/1705280930267463765")</f>
        <v>https://twitter.com/alinesabrinax/status/1705280930267463765</v>
      </c>
      <c r="AF3262" s="90">
        <v>45191.750358796293</v>
      </c>
      <c r="AG3262" s="99">
        <v>45191</v>
      </c>
      <c r="AH3262" s="93" t="s">
        <v>14427</v>
      </c>
      <c r="AI3262" s="87"/>
      <c r="AJ3262" s="87"/>
      <c r="AK3262" s="87"/>
      <c r="AL3262" s="87"/>
      <c r="AM3262" s="87"/>
      <c r="AN3262" s="87"/>
      <c r="AO3262" s="87"/>
      <c r="AP3262" s="87"/>
      <c r="AQ3262" s="87"/>
      <c r="AR3262" s="87"/>
      <c r="AS3262" s="87"/>
      <c r="AT3262" s="87"/>
      <c r="AU3262" s="87"/>
      <c r="AV3262" s="92" t="str">
        <f>HYPERLINK("https://pbs.twimg.com/profile_images/1294088469120196610/jCUbeZEr_normal.jpg")</f>
        <v>https://pbs.twimg.com/profile_images/1294088469120196610/jCUbeZEr_normal.jpg</v>
      </c>
      <c r="AW3262" s="93" t="s">
        <v>21407</v>
      </c>
      <c r="AX3262" s="93" t="s">
        <v>21407</v>
      </c>
      <c r="AY3262" s="87"/>
      <c r="AZ3262" s="93" t="s">
        <v>22668</v>
      </c>
      <c r="BA3262" s="93" t="s">
        <v>22668</v>
      </c>
      <c r="BB3262" s="93" t="s">
        <v>21717</v>
      </c>
      <c r="BC3262" s="93" t="s">
        <v>21717</v>
      </c>
      <c r="BD3262" s="87">
        <v>623139451</v>
      </c>
      <c r="BE3262" s="87"/>
      <c r="BF3262" s="87"/>
      <c r="BG3262" s="87"/>
      <c r="BH3262" s="87"/>
      <c r="BI3262" s="87"/>
    </row>
    <row r="3263" spans="1:61" x14ac:dyDescent="0.25">
      <c r="A3263" s="63" t="s">
        <v>1248</v>
      </c>
      <c r="B3263" s="63" t="s">
        <v>1776</v>
      </c>
      <c r="C3263" s="64"/>
      <c r="D3263" s="65"/>
      <c r="E3263" s="66"/>
      <c r="F3263" s="67"/>
      <c r="G3263" s="64"/>
      <c r="H3263" s="68"/>
      <c r="I3263" s="69"/>
      <c r="J3263" s="69"/>
      <c r="K3263" s="32"/>
      <c r="L3263" s="76">
        <v>3263</v>
      </c>
      <c r="M3263" s="76"/>
      <c r="N3263" s="71"/>
      <c r="O3263" s="87" t="s">
        <v>1844</v>
      </c>
      <c r="P3263" s="90">
        <v>45163.059282407405</v>
      </c>
      <c r="Q3263" s="87" t="s">
        <v>4957</v>
      </c>
      <c r="R3263" s="87">
        <v>0</v>
      </c>
      <c r="S3263" s="87">
        <v>0</v>
      </c>
      <c r="T3263" s="87">
        <v>1</v>
      </c>
      <c r="U3263" s="87">
        <v>0</v>
      </c>
      <c r="V3263" s="87">
        <v>31</v>
      </c>
      <c r="W3263" s="93" t="s">
        <v>7714</v>
      </c>
      <c r="X3263" s="87"/>
      <c r="Y3263" s="87"/>
      <c r="Z3263" s="87" t="s">
        <v>8606</v>
      </c>
      <c r="AA3263" s="87"/>
      <c r="AB3263" s="87"/>
      <c r="AC3263" s="93" t="s">
        <v>11459</v>
      </c>
      <c r="AD3263" s="87" t="s">
        <v>11519</v>
      </c>
      <c r="AE3263" s="92" t="str">
        <f>HYPERLINK("https://twitter.com/walves__/status/1694883633796878473")</f>
        <v>https://twitter.com/walves__/status/1694883633796878473</v>
      </c>
      <c r="AF3263" s="90">
        <v>45163.059282407405</v>
      </c>
      <c r="AG3263" s="99">
        <v>45163</v>
      </c>
      <c r="AH3263" s="93" t="s">
        <v>14428</v>
      </c>
      <c r="AI3263" s="87"/>
      <c r="AJ3263" s="87"/>
      <c r="AK3263" s="87"/>
      <c r="AL3263" s="87"/>
      <c r="AM3263" s="87"/>
      <c r="AN3263" s="87"/>
      <c r="AO3263" s="87"/>
      <c r="AP3263" s="87"/>
      <c r="AQ3263" s="87"/>
      <c r="AR3263" s="87"/>
      <c r="AS3263" s="87"/>
      <c r="AT3263" s="87"/>
      <c r="AU3263" s="87"/>
      <c r="AV3263" s="92" t="str">
        <f>HYPERLINK("https://pbs.twimg.com/profile_images/1641913020904341510/IZvj5eYB_normal.jpg")</f>
        <v>https://pbs.twimg.com/profile_images/1641913020904341510/IZvj5eYB_normal.jpg</v>
      </c>
      <c r="AW3263" s="93" t="s">
        <v>21408</v>
      </c>
      <c r="AX3263" s="93" t="s">
        <v>22457</v>
      </c>
      <c r="AY3263" s="93" t="s">
        <v>22625</v>
      </c>
      <c r="AZ3263" s="93" t="s">
        <v>22753</v>
      </c>
      <c r="BA3263" s="93" t="s">
        <v>22668</v>
      </c>
      <c r="BB3263" s="93" t="s">
        <v>22668</v>
      </c>
      <c r="BC3263" s="93" t="s">
        <v>22753</v>
      </c>
      <c r="BD3263" s="93" t="s">
        <v>23386</v>
      </c>
      <c r="BE3263" s="87"/>
      <c r="BF3263" s="87"/>
      <c r="BG3263" s="87"/>
      <c r="BH3263" s="87"/>
      <c r="BI3263" s="87"/>
    </row>
    <row r="3264" spans="1:61" x14ac:dyDescent="0.25">
      <c r="A3264" s="63" t="s">
        <v>1248</v>
      </c>
      <c r="B3264" s="63" t="s">
        <v>1777</v>
      </c>
      <c r="C3264" s="64"/>
      <c r="D3264" s="65"/>
      <c r="E3264" s="66"/>
      <c r="F3264" s="67"/>
      <c r="G3264" s="64"/>
      <c r="H3264" s="68"/>
      <c r="I3264" s="69"/>
      <c r="J3264" s="69"/>
      <c r="K3264" s="32"/>
      <c r="L3264" s="76">
        <v>3264</v>
      </c>
      <c r="M3264" s="76"/>
      <c r="N3264" s="71"/>
      <c r="O3264" s="87" t="s">
        <v>1840</v>
      </c>
      <c r="P3264" s="90">
        <v>45163.059282407405</v>
      </c>
      <c r="Q3264" s="87" t="s">
        <v>4957</v>
      </c>
      <c r="R3264" s="87">
        <v>0</v>
      </c>
      <c r="S3264" s="87">
        <v>0</v>
      </c>
      <c r="T3264" s="87">
        <v>1</v>
      </c>
      <c r="U3264" s="87">
        <v>0</v>
      </c>
      <c r="V3264" s="87">
        <v>31</v>
      </c>
      <c r="W3264" s="93" t="s">
        <v>7714</v>
      </c>
      <c r="X3264" s="87"/>
      <c r="Y3264" s="87"/>
      <c r="Z3264" s="87" t="s">
        <v>8606</v>
      </c>
      <c r="AA3264" s="87"/>
      <c r="AB3264" s="87"/>
      <c r="AC3264" s="93" t="s">
        <v>11459</v>
      </c>
      <c r="AD3264" s="87" t="s">
        <v>11519</v>
      </c>
      <c r="AE3264" s="92" t="str">
        <f>HYPERLINK("https://twitter.com/walves__/status/1694883633796878473")</f>
        <v>https://twitter.com/walves__/status/1694883633796878473</v>
      </c>
      <c r="AF3264" s="90">
        <v>45163.059282407405</v>
      </c>
      <c r="AG3264" s="99">
        <v>45163</v>
      </c>
      <c r="AH3264" s="93" t="s">
        <v>14428</v>
      </c>
      <c r="AI3264" s="87"/>
      <c r="AJ3264" s="87"/>
      <c r="AK3264" s="87"/>
      <c r="AL3264" s="87"/>
      <c r="AM3264" s="87"/>
      <c r="AN3264" s="87"/>
      <c r="AO3264" s="87"/>
      <c r="AP3264" s="87"/>
      <c r="AQ3264" s="87"/>
      <c r="AR3264" s="87"/>
      <c r="AS3264" s="87"/>
      <c r="AT3264" s="87"/>
      <c r="AU3264" s="87"/>
      <c r="AV3264" s="92" t="str">
        <f>HYPERLINK("https://pbs.twimg.com/profile_images/1641913020904341510/IZvj5eYB_normal.jpg")</f>
        <v>https://pbs.twimg.com/profile_images/1641913020904341510/IZvj5eYB_normal.jpg</v>
      </c>
      <c r="AW3264" s="93" t="s">
        <v>21408</v>
      </c>
      <c r="AX3264" s="93" t="s">
        <v>22457</v>
      </c>
      <c r="AY3264" s="93" t="s">
        <v>22625</v>
      </c>
      <c r="AZ3264" s="93" t="s">
        <v>22753</v>
      </c>
      <c r="BA3264" s="93" t="s">
        <v>22668</v>
      </c>
      <c r="BB3264" s="93" t="s">
        <v>22668</v>
      </c>
      <c r="BC3264" s="93" t="s">
        <v>22753</v>
      </c>
      <c r="BD3264" s="93" t="s">
        <v>23386</v>
      </c>
      <c r="BE3264" s="87"/>
      <c r="BF3264" s="87"/>
      <c r="BG3264" s="87"/>
      <c r="BH3264" s="87"/>
      <c r="BI3264" s="87"/>
    </row>
    <row r="3265" spans="1:61" x14ac:dyDescent="0.25">
      <c r="A3265" s="63" t="s">
        <v>254</v>
      </c>
      <c r="B3265" s="63" t="s">
        <v>254</v>
      </c>
      <c r="C3265" s="64"/>
      <c r="D3265" s="65"/>
      <c r="E3265" s="66"/>
      <c r="F3265" s="67"/>
      <c r="G3265" s="64"/>
      <c r="H3265" s="68"/>
      <c r="I3265" s="69"/>
      <c r="J3265" s="69"/>
      <c r="K3265" s="32"/>
      <c r="L3265" s="76">
        <v>3265</v>
      </c>
      <c r="M3265" s="76"/>
      <c r="N3265" s="71"/>
      <c r="O3265" s="87" t="s">
        <v>179</v>
      </c>
      <c r="P3265" s="90">
        <v>45137.703263888892</v>
      </c>
      <c r="Q3265" s="87" t="s">
        <v>4958</v>
      </c>
      <c r="R3265" s="87">
        <v>0</v>
      </c>
      <c r="S3265" s="87">
        <v>2</v>
      </c>
      <c r="T3265" s="87">
        <v>0</v>
      </c>
      <c r="U3265" s="87">
        <v>0</v>
      </c>
      <c r="V3265" s="87">
        <v>1824</v>
      </c>
      <c r="W3265" s="93" t="s">
        <v>7715</v>
      </c>
      <c r="X3265" s="92" t="str">
        <f>HYPERLINK("http://bit.ly/ContaVirada")</f>
        <v>http://bit.ly/ContaVirada</v>
      </c>
      <c r="Y3265" s="87" t="s">
        <v>8374</v>
      </c>
      <c r="Z3265" s="87"/>
      <c r="AA3265" s="87" t="s">
        <v>10855</v>
      </c>
      <c r="AB3265" s="87" t="s">
        <v>11448</v>
      </c>
      <c r="AC3265" s="93" t="s">
        <v>11457</v>
      </c>
      <c r="AD3265" s="87" t="s">
        <v>11519</v>
      </c>
      <c r="AE3265" s="92" t="str">
        <f>HYPERLINK("https://twitter.com/sebrae/status/1685694921028636673")</f>
        <v>https://twitter.com/sebrae/status/1685694921028636673</v>
      </c>
      <c r="AF3265" s="90">
        <v>45137.703263888892</v>
      </c>
      <c r="AG3265" s="99">
        <v>45137</v>
      </c>
      <c r="AH3265" s="93" t="s">
        <v>14429</v>
      </c>
      <c r="AI3265" s="87" t="b">
        <v>0</v>
      </c>
      <c r="AJ3265" s="87"/>
      <c r="AK3265" s="87"/>
      <c r="AL3265" s="87"/>
      <c r="AM3265" s="87"/>
      <c r="AN3265" s="87"/>
      <c r="AO3265" s="87"/>
      <c r="AP3265" s="87"/>
      <c r="AQ3265" s="87" t="s">
        <v>17667</v>
      </c>
      <c r="AR3265" s="87"/>
      <c r="AS3265" s="87"/>
      <c r="AT3265" s="87"/>
      <c r="AU3265" s="87"/>
      <c r="AV3265" s="92" t="str">
        <f>HYPERLINK("https://pbs.twimg.com/media/F2TInSdWMAAP-tS.jpg")</f>
        <v>https://pbs.twimg.com/media/F2TInSdWMAAP-tS.jpg</v>
      </c>
      <c r="AW3265" s="93" t="s">
        <v>21409</v>
      </c>
      <c r="AX3265" s="93" t="s">
        <v>21409</v>
      </c>
      <c r="AY3265" s="87"/>
      <c r="AZ3265" s="93" t="s">
        <v>22668</v>
      </c>
      <c r="BA3265" s="93" t="s">
        <v>22668</v>
      </c>
      <c r="BB3265" s="93" t="s">
        <v>22668</v>
      </c>
      <c r="BC3265" s="93" t="s">
        <v>21409</v>
      </c>
      <c r="BD3265" s="87">
        <v>14584765</v>
      </c>
      <c r="BE3265" s="87"/>
      <c r="BF3265" s="87"/>
      <c r="BG3265" s="87"/>
      <c r="BH3265" s="87"/>
      <c r="BI3265" s="87"/>
    </row>
    <row r="3266" spans="1:61" x14ac:dyDescent="0.25">
      <c r="A3266" s="63" t="s">
        <v>254</v>
      </c>
      <c r="B3266" s="63" t="s">
        <v>254</v>
      </c>
      <c r="C3266" s="64"/>
      <c r="D3266" s="65"/>
      <c r="E3266" s="66"/>
      <c r="F3266" s="67"/>
      <c r="G3266" s="64"/>
      <c r="H3266" s="68"/>
      <c r="I3266" s="69"/>
      <c r="J3266" s="69"/>
      <c r="K3266" s="32"/>
      <c r="L3266" s="76">
        <v>3266</v>
      </c>
      <c r="M3266" s="76"/>
      <c r="N3266" s="71"/>
      <c r="O3266" s="87" t="s">
        <v>179</v>
      </c>
      <c r="P3266" s="90">
        <v>45173.901192129626</v>
      </c>
      <c r="Q3266" s="87" t="s">
        <v>4959</v>
      </c>
      <c r="R3266" s="87">
        <v>0</v>
      </c>
      <c r="S3266" s="87">
        <v>10</v>
      </c>
      <c r="T3266" s="87">
        <v>0</v>
      </c>
      <c r="U3266" s="87">
        <v>0</v>
      </c>
      <c r="V3266" s="87">
        <v>1334</v>
      </c>
      <c r="W3266" s="93" t="s">
        <v>7716</v>
      </c>
      <c r="X3266" s="92" t="str">
        <f>HYPERLINK("https://bit.ly/educacaoempreendedora_TT")</f>
        <v>https://bit.ly/educacaoempreendedora_TT</v>
      </c>
      <c r="Y3266" s="87" t="s">
        <v>8374</v>
      </c>
      <c r="Z3266" s="87"/>
      <c r="AA3266" s="87" t="s">
        <v>10856</v>
      </c>
      <c r="AB3266" s="87" t="s">
        <v>11447</v>
      </c>
      <c r="AC3266" s="93" t="s">
        <v>11500</v>
      </c>
      <c r="AD3266" s="87" t="s">
        <v>11519</v>
      </c>
      <c r="AE3266" s="92" t="str">
        <f>HYPERLINK("https://twitter.com/sebrae/status/1698812610135867486")</f>
        <v>https://twitter.com/sebrae/status/1698812610135867486</v>
      </c>
      <c r="AF3266" s="90">
        <v>45173.901192129626</v>
      </c>
      <c r="AG3266" s="99">
        <v>45173</v>
      </c>
      <c r="AH3266" s="93" t="s">
        <v>14430</v>
      </c>
      <c r="AI3266" s="87" t="b">
        <v>0</v>
      </c>
      <c r="AJ3266" s="87"/>
      <c r="AK3266" s="87"/>
      <c r="AL3266" s="87"/>
      <c r="AM3266" s="87"/>
      <c r="AN3266" s="87"/>
      <c r="AO3266" s="87"/>
      <c r="AP3266" s="87"/>
      <c r="AQ3266" s="87" t="s">
        <v>17668</v>
      </c>
      <c r="AR3266" s="87">
        <v>7000</v>
      </c>
      <c r="AS3266" s="87"/>
      <c r="AT3266" s="87"/>
      <c r="AU3266" s="87"/>
      <c r="AV3266" s="92" t="str">
        <f>HYPERLINK("https://pbs.twimg.com/ext_tw_video_thumb/1698812553382748160/pu/img/Rr5iHj49XQvVkEpO.jpg")</f>
        <v>https://pbs.twimg.com/ext_tw_video_thumb/1698812553382748160/pu/img/Rr5iHj49XQvVkEpO.jpg</v>
      </c>
      <c r="AW3266" s="93" t="s">
        <v>21410</v>
      </c>
      <c r="AX3266" s="93" t="s">
        <v>21410</v>
      </c>
      <c r="AY3266" s="87"/>
      <c r="AZ3266" s="93" t="s">
        <v>22668</v>
      </c>
      <c r="BA3266" s="93" t="s">
        <v>22668</v>
      </c>
      <c r="BB3266" s="93" t="s">
        <v>22668</v>
      </c>
      <c r="BC3266" s="93" t="s">
        <v>21410</v>
      </c>
      <c r="BD3266" s="87">
        <v>14584765</v>
      </c>
      <c r="BE3266" s="87"/>
      <c r="BF3266" s="87"/>
      <c r="BG3266" s="87"/>
      <c r="BH3266" s="87"/>
      <c r="BI3266" s="87"/>
    </row>
    <row r="3267" spans="1:61" x14ac:dyDescent="0.25">
      <c r="A3267" s="63" t="s">
        <v>254</v>
      </c>
      <c r="B3267" s="63" t="s">
        <v>254</v>
      </c>
      <c r="C3267" s="64"/>
      <c r="D3267" s="65"/>
      <c r="E3267" s="66"/>
      <c r="F3267" s="67"/>
      <c r="G3267" s="64"/>
      <c r="H3267" s="68"/>
      <c r="I3267" s="69"/>
      <c r="J3267" s="69"/>
      <c r="K3267" s="32"/>
      <c r="L3267" s="76">
        <v>3267</v>
      </c>
      <c r="M3267" s="76"/>
      <c r="N3267" s="71"/>
      <c r="O3267" s="87" t="s">
        <v>1840</v>
      </c>
      <c r="P3267" s="90">
        <v>45173.827928240738</v>
      </c>
      <c r="Q3267" s="87" t="s">
        <v>4960</v>
      </c>
      <c r="R3267" s="87">
        <v>0</v>
      </c>
      <c r="S3267" s="87">
        <v>7</v>
      </c>
      <c r="T3267" s="87">
        <v>0</v>
      </c>
      <c r="U3267" s="87">
        <v>0</v>
      </c>
      <c r="V3267" s="87">
        <v>551</v>
      </c>
      <c r="W3267" s="93" t="s">
        <v>7717</v>
      </c>
      <c r="X3267" s="92" t="str">
        <f>HYPERLINK("https://sebrae.com.br/sites/PortalSebrae/faleconosco")</f>
        <v>https://sebrae.com.br/sites/PortalSebrae/faleconosco</v>
      </c>
      <c r="Y3267" s="87" t="s">
        <v>8373</v>
      </c>
      <c r="Z3267" s="87"/>
      <c r="AA3267" s="87"/>
      <c r="AB3267" s="87"/>
      <c r="AC3267" s="93" t="s">
        <v>11500</v>
      </c>
      <c r="AD3267" s="87" t="s">
        <v>11519</v>
      </c>
      <c r="AE3267" s="92" t="str">
        <f>HYPERLINK("https://twitter.com/sebrae/status/1698786062041321571")</f>
        <v>https://twitter.com/sebrae/status/1698786062041321571</v>
      </c>
      <c r="AF3267" s="90">
        <v>45173.827928240738</v>
      </c>
      <c r="AG3267" s="99">
        <v>45173</v>
      </c>
      <c r="AH3267" s="93" t="s">
        <v>14431</v>
      </c>
      <c r="AI3267" s="87" t="b">
        <v>0</v>
      </c>
      <c r="AJ3267" s="87"/>
      <c r="AK3267" s="87"/>
      <c r="AL3267" s="87"/>
      <c r="AM3267" s="87"/>
      <c r="AN3267" s="87"/>
      <c r="AO3267" s="87"/>
      <c r="AP3267" s="87"/>
      <c r="AQ3267" s="87"/>
      <c r="AR3267" s="87"/>
      <c r="AS3267" s="87"/>
      <c r="AT3267" s="87"/>
      <c r="AU3267" s="87"/>
      <c r="AV3267" s="92" t="str">
        <f>HYPERLINK("https://pbs.twimg.com/profile_images/1702087694174605312/wIBn99EO_normal.jpg")</f>
        <v>https://pbs.twimg.com/profile_images/1702087694174605312/wIBn99EO_normal.jpg</v>
      </c>
      <c r="AW3267" s="93" t="s">
        <v>21411</v>
      </c>
      <c r="AX3267" s="93" t="s">
        <v>22458</v>
      </c>
      <c r="AY3267" s="93" t="s">
        <v>22626</v>
      </c>
      <c r="AZ3267" s="93" t="s">
        <v>21412</v>
      </c>
      <c r="BA3267" s="93" t="s">
        <v>22668</v>
      </c>
      <c r="BB3267" s="93" t="s">
        <v>22668</v>
      </c>
      <c r="BC3267" s="93" t="s">
        <v>21412</v>
      </c>
      <c r="BD3267" s="87">
        <v>14584765</v>
      </c>
      <c r="BE3267" s="87"/>
      <c r="BF3267" s="87"/>
      <c r="BG3267" s="87"/>
      <c r="BH3267" s="87"/>
      <c r="BI3267" s="87"/>
    </row>
    <row r="3268" spans="1:61" x14ac:dyDescent="0.25">
      <c r="A3268" s="63" t="s">
        <v>254</v>
      </c>
      <c r="B3268" s="63" t="s">
        <v>254</v>
      </c>
      <c r="C3268" s="64"/>
      <c r="D3268" s="65"/>
      <c r="E3268" s="66"/>
      <c r="F3268" s="67"/>
      <c r="G3268" s="64"/>
      <c r="H3268" s="68"/>
      <c r="I3268" s="69"/>
      <c r="J3268" s="69"/>
      <c r="K3268" s="32"/>
      <c r="L3268" s="76">
        <v>3268</v>
      </c>
      <c r="M3268" s="76"/>
      <c r="N3268" s="71"/>
      <c r="O3268" s="87" t="s">
        <v>1840</v>
      </c>
      <c r="P3268" s="90">
        <v>45173.827893518515</v>
      </c>
      <c r="Q3268" s="87" t="s">
        <v>4961</v>
      </c>
      <c r="R3268" s="87">
        <v>0</v>
      </c>
      <c r="S3268" s="87">
        <v>7</v>
      </c>
      <c r="T3268" s="87">
        <v>1</v>
      </c>
      <c r="U3268" s="87">
        <v>0</v>
      </c>
      <c r="V3268" s="87">
        <v>545</v>
      </c>
      <c r="W3268" s="93" t="s">
        <v>7717</v>
      </c>
      <c r="X3268" s="92" t="str">
        <f>HYPERLINK("https://bit.ly/Seutalentoseunegócio_IG")</f>
        <v>https://bit.ly/Seutalentoseunegócio_IG</v>
      </c>
      <c r="Y3268" s="87" t="s">
        <v>8374</v>
      </c>
      <c r="Z3268" s="87"/>
      <c r="AA3268" s="87"/>
      <c r="AB3268" s="87"/>
      <c r="AC3268" s="93" t="s">
        <v>11500</v>
      </c>
      <c r="AD3268" s="87" t="s">
        <v>11519</v>
      </c>
      <c r="AE3268" s="92" t="str">
        <f>HYPERLINK("https://twitter.com/sebrae/status/1698786049181577528")</f>
        <v>https://twitter.com/sebrae/status/1698786049181577528</v>
      </c>
      <c r="AF3268" s="90">
        <v>45173.827893518515</v>
      </c>
      <c r="AG3268" s="99">
        <v>45173</v>
      </c>
      <c r="AH3268" s="93" t="s">
        <v>14432</v>
      </c>
      <c r="AI3268" s="87" t="b">
        <v>0</v>
      </c>
      <c r="AJ3268" s="87"/>
      <c r="AK3268" s="87"/>
      <c r="AL3268" s="87"/>
      <c r="AM3268" s="87"/>
      <c r="AN3268" s="87"/>
      <c r="AO3268" s="87"/>
      <c r="AP3268" s="87"/>
      <c r="AQ3268" s="87"/>
      <c r="AR3268" s="87"/>
      <c r="AS3268" s="87"/>
      <c r="AT3268" s="87"/>
      <c r="AU3268" s="87"/>
      <c r="AV3268" s="92" t="str">
        <f>HYPERLINK("https://pbs.twimg.com/profile_images/1702087694174605312/wIBn99EO_normal.jpg")</f>
        <v>https://pbs.twimg.com/profile_images/1702087694174605312/wIBn99EO_normal.jpg</v>
      </c>
      <c r="AW3268" s="93" t="s">
        <v>21412</v>
      </c>
      <c r="AX3268" s="93" t="s">
        <v>22458</v>
      </c>
      <c r="AY3268" s="93" t="s">
        <v>22626</v>
      </c>
      <c r="AZ3268" s="93" t="s">
        <v>21413</v>
      </c>
      <c r="BA3268" s="93" t="s">
        <v>22668</v>
      </c>
      <c r="BB3268" s="93" t="s">
        <v>22668</v>
      </c>
      <c r="BC3268" s="93" t="s">
        <v>21413</v>
      </c>
      <c r="BD3268" s="87">
        <v>14584765</v>
      </c>
      <c r="BE3268" s="87"/>
      <c r="BF3268" s="87"/>
      <c r="BG3268" s="87"/>
      <c r="BH3268" s="87"/>
      <c r="BI3268" s="87"/>
    </row>
    <row r="3269" spans="1:61" x14ac:dyDescent="0.25">
      <c r="A3269" s="63" t="s">
        <v>254</v>
      </c>
      <c r="B3269" s="63" t="s">
        <v>254</v>
      </c>
      <c r="C3269" s="64"/>
      <c r="D3269" s="65"/>
      <c r="E3269" s="66"/>
      <c r="F3269" s="67"/>
      <c r="G3269" s="64"/>
      <c r="H3269" s="68"/>
      <c r="I3269" s="69"/>
      <c r="J3269" s="69"/>
      <c r="K3269" s="32"/>
      <c r="L3269" s="76">
        <v>3269</v>
      </c>
      <c r="M3269" s="76"/>
      <c r="N3269" s="71"/>
      <c r="O3269" s="87" t="s">
        <v>1840</v>
      </c>
      <c r="P3269" s="90">
        <v>45173.8278587963</v>
      </c>
      <c r="Q3269" s="87" t="s">
        <v>4962</v>
      </c>
      <c r="R3269" s="87">
        <v>0</v>
      </c>
      <c r="S3269" s="87">
        <v>2</v>
      </c>
      <c r="T3269" s="87">
        <v>1</v>
      </c>
      <c r="U3269" s="87">
        <v>0</v>
      </c>
      <c r="V3269" s="87">
        <v>44</v>
      </c>
      <c r="W3269" s="93" t="s">
        <v>7717</v>
      </c>
      <c r="X3269" s="87"/>
      <c r="Y3269" s="87"/>
      <c r="Z3269" s="87"/>
      <c r="AA3269" s="87"/>
      <c r="AB3269" s="87"/>
      <c r="AC3269" s="93" t="s">
        <v>11500</v>
      </c>
      <c r="AD3269" s="87" t="s">
        <v>11519</v>
      </c>
      <c r="AE3269" s="92" t="str">
        <f>HYPERLINK("https://twitter.com/sebrae/status/1698786036250505265")</f>
        <v>https://twitter.com/sebrae/status/1698786036250505265</v>
      </c>
      <c r="AF3269" s="90">
        <v>45173.8278587963</v>
      </c>
      <c r="AG3269" s="99">
        <v>45173</v>
      </c>
      <c r="AH3269" s="93" t="s">
        <v>14433</v>
      </c>
      <c r="AI3269" s="87"/>
      <c r="AJ3269" s="87"/>
      <c r="AK3269" s="87"/>
      <c r="AL3269" s="87"/>
      <c r="AM3269" s="87"/>
      <c r="AN3269" s="87"/>
      <c r="AO3269" s="87"/>
      <c r="AP3269" s="87"/>
      <c r="AQ3269" s="87"/>
      <c r="AR3269" s="87"/>
      <c r="AS3269" s="87"/>
      <c r="AT3269" s="87"/>
      <c r="AU3269" s="87"/>
      <c r="AV3269" s="92" t="str">
        <f>HYPERLINK("https://pbs.twimg.com/profile_images/1702087694174605312/wIBn99EO_normal.jpg")</f>
        <v>https://pbs.twimg.com/profile_images/1702087694174605312/wIBn99EO_normal.jpg</v>
      </c>
      <c r="AW3269" s="93" t="s">
        <v>21413</v>
      </c>
      <c r="AX3269" s="93" t="s">
        <v>22458</v>
      </c>
      <c r="AY3269" s="93" t="s">
        <v>22626</v>
      </c>
      <c r="AZ3269" s="93" t="s">
        <v>21414</v>
      </c>
      <c r="BA3269" s="93" t="s">
        <v>22668</v>
      </c>
      <c r="BB3269" s="93" t="s">
        <v>22668</v>
      </c>
      <c r="BC3269" s="93" t="s">
        <v>21414</v>
      </c>
      <c r="BD3269" s="87">
        <v>14584765</v>
      </c>
      <c r="BE3269" s="87"/>
      <c r="BF3269" s="87"/>
      <c r="BG3269" s="87"/>
      <c r="BH3269" s="87"/>
      <c r="BI3269" s="87"/>
    </row>
    <row r="3270" spans="1:61" x14ac:dyDescent="0.25">
      <c r="A3270" s="63" t="s">
        <v>254</v>
      </c>
      <c r="B3270" s="63" t="s">
        <v>254</v>
      </c>
      <c r="C3270" s="64"/>
      <c r="D3270" s="65"/>
      <c r="E3270" s="66"/>
      <c r="F3270" s="67"/>
      <c r="G3270" s="64"/>
      <c r="H3270" s="68"/>
      <c r="I3270" s="69"/>
      <c r="J3270" s="69"/>
      <c r="K3270" s="32"/>
      <c r="L3270" s="76">
        <v>3270</v>
      </c>
      <c r="M3270" s="76"/>
      <c r="N3270" s="71"/>
      <c r="O3270" s="87" t="s">
        <v>1840</v>
      </c>
      <c r="P3270" s="90">
        <v>45173.827824074076</v>
      </c>
      <c r="Q3270" s="87" t="s">
        <v>4963</v>
      </c>
      <c r="R3270" s="87">
        <v>0</v>
      </c>
      <c r="S3270" s="87">
        <v>1</v>
      </c>
      <c r="T3270" s="87">
        <v>1</v>
      </c>
      <c r="U3270" s="87">
        <v>0</v>
      </c>
      <c r="V3270" s="87">
        <v>38</v>
      </c>
      <c r="W3270" s="93" t="s">
        <v>7717</v>
      </c>
      <c r="X3270" s="92" t="str">
        <f>HYPERLINK("https://congressodeinovacao.com.br/")</f>
        <v>https://congressodeinovacao.com.br/</v>
      </c>
      <c r="Y3270" s="87" t="s">
        <v>8373</v>
      </c>
      <c r="Z3270" s="87"/>
      <c r="AA3270" s="87"/>
      <c r="AB3270" s="87"/>
      <c r="AC3270" s="93" t="s">
        <v>11500</v>
      </c>
      <c r="AD3270" s="87" t="s">
        <v>11519</v>
      </c>
      <c r="AE3270" s="92" t="str">
        <f>HYPERLINK("https://twitter.com/sebrae/status/1698786023411687867")</f>
        <v>https://twitter.com/sebrae/status/1698786023411687867</v>
      </c>
      <c r="AF3270" s="90">
        <v>45173.827824074076</v>
      </c>
      <c r="AG3270" s="99">
        <v>45173</v>
      </c>
      <c r="AH3270" s="93" t="s">
        <v>14434</v>
      </c>
      <c r="AI3270" s="87" t="b">
        <v>0</v>
      </c>
      <c r="AJ3270" s="87"/>
      <c r="AK3270" s="87"/>
      <c r="AL3270" s="87"/>
      <c r="AM3270" s="87"/>
      <c r="AN3270" s="87"/>
      <c r="AO3270" s="87"/>
      <c r="AP3270" s="87"/>
      <c r="AQ3270" s="87"/>
      <c r="AR3270" s="87"/>
      <c r="AS3270" s="87"/>
      <c r="AT3270" s="87"/>
      <c r="AU3270" s="87"/>
      <c r="AV3270" s="92" t="str">
        <f>HYPERLINK("https://pbs.twimg.com/profile_images/1702087694174605312/wIBn99EO_normal.jpg")</f>
        <v>https://pbs.twimg.com/profile_images/1702087694174605312/wIBn99EO_normal.jpg</v>
      </c>
      <c r="AW3270" s="93" t="s">
        <v>21414</v>
      </c>
      <c r="AX3270" s="93" t="s">
        <v>22458</v>
      </c>
      <c r="AY3270" s="93" t="s">
        <v>22626</v>
      </c>
      <c r="AZ3270" s="93" t="s">
        <v>21415</v>
      </c>
      <c r="BA3270" s="93" t="s">
        <v>22668</v>
      </c>
      <c r="BB3270" s="93" t="s">
        <v>22668</v>
      </c>
      <c r="BC3270" s="93" t="s">
        <v>21415</v>
      </c>
      <c r="BD3270" s="87">
        <v>14584765</v>
      </c>
      <c r="BE3270" s="87"/>
      <c r="BF3270" s="87"/>
      <c r="BG3270" s="87"/>
      <c r="BH3270" s="87"/>
      <c r="BI3270" s="87"/>
    </row>
    <row r="3271" spans="1:61" x14ac:dyDescent="0.25">
      <c r="A3271" s="63" t="s">
        <v>254</v>
      </c>
      <c r="B3271" s="63" t="s">
        <v>254</v>
      </c>
      <c r="C3271" s="64"/>
      <c r="D3271" s="65"/>
      <c r="E3271" s="66"/>
      <c r="F3271" s="67"/>
      <c r="G3271" s="64"/>
      <c r="H3271" s="68"/>
      <c r="I3271" s="69"/>
      <c r="J3271" s="69"/>
      <c r="K3271" s="32"/>
      <c r="L3271" s="76">
        <v>3271</v>
      </c>
      <c r="M3271" s="76"/>
      <c r="N3271" s="71"/>
      <c r="O3271" s="87" t="s">
        <v>1840</v>
      </c>
      <c r="P3271" s="90">
        <v>45173.827789351853</v>
      </c>
      <c r="Q3271" s="87" t="s">
        <v>4964</v>
      </c>
      <c r="R3271" s="87">
        <v>0</v>
      </c>
      <c r="S3271" s="87">
        <v>1</v>
      </c>
      <c r="T3271" s="87">
        <v>1</v>
      </c>
      <c r="U3271" s="87">
        <v>0</v>
      </c>
      <c r="V3271" s="87">
        <v>43</v>
      </c>
      <c r="W3271" s="93" t="s">
        <v>7717</v>
      </c>
      <c r="X3271" s="92" t="str">
        <f>HYPERLINK("https://www.portaldaindustria.com.br/canais/plataforma-inovacao-para-industria/")</f>
        <v>https://www.portaldaindustria.com.br/canais/plataforma-inovacao-para-industria/</v>
      </c>
      <c r="Y3271" s="87" t="s">
        <v>8373</v>
      </c>
      <c r="Z3271" s="87"/>
      <c r="AA3271" s="87"/>
      <c r="AB3271" s="87"/>
      <c r="AC3271" s="93" t="s">
        <v>11500</v>
      </c>
      <c r="AD3271" s="87" t="s">
        <v>11519</v>
      </c>
      <c r="AE3271" s="92" t="str">
        <f>HYPERLINK("https://twitter.com/sebrae/status/1698786010501611739")</f>
        <v>https://twitter.com/sebrae/status/1698786010501611739</v>
      </c>
      <c r="AF3271" s="90">
        <v>45173.827789351853</v>
      </c>
      <c r="AG3271" s="99">
        <v>45173</v>
      </c>
      <c r="AH3271" s="93" t="s">
        <v>14435</v>
      </c>
      <c r="AI3271" s="87" t="b">
        <v>0</v>
      </c>
      <c r="AJ3271" s="87"/>
      <c r="AK3271" s="87"/>
      <c r="AL3271" s="87"/>
      <c r="AM3271" s="87"/>
      <c r="AN3271" s="87"/>
      <c r="AO3271" s="87"/>
      <c r="AP3271" s="87"/>
      <c r="AQ3271" s="87"/>
      <c r="AR3271" s="87"/>
      <c r="AS3271" s="87"/>
      <c r="AT3271" s="87"/>
      <c r="AU3271" s="87"/>
      <c r="AV3271" s="92" t="str">
        <f>HYPERLINK("https://pbs.twimg.com/profile_images/1702087694174605312/wIBn99EO_normal.jpg")</f>
        <v>https://pbs.twimg.com/profile_images/1702087694174605312/wIBn99EO_normal.jpg</v>
      </c>
      <c r="AW3271" s="93" t="s">
        <v>21415</v>
      </c>
      <c r="AX3271" s="93" t="s">
        <v>22458</v>
      </c>
      <c r="AY3271" s="93" t="s">
        <v>22626</v>
      </c>
      <c r="AZ3271" s="93" t="s">
        <v>21416</v>
      </c>
      <c r="BA3271" s="93" t="s">
        <v>22668</v>
      </c>
      <c r="BB3271" s="93" t="s">
        <v>22668</v>
      </c>
      <c r="BC3271" s="93" t="s">
        <v>21416</v>
      </c>
      <c r="BD3271" s="87">
        <v>14584765</v>
      </c>
      <c r="BE3271" s="87"/>
      <c r="BF3271" s="87"/>
      <c r="BG3271" s="87"/>
      <c r="BH3271" s="87"/>
      <c r="BI3271" s="87"/>
    </row>
    <row r="3272" spans="1:61" x14ac:dyDescent="0.25">
      <c r="A3272" s="63" t="s">
        <v>254</v>
      </c>
      <c r="B3272" s="63" t="s">
        <v>254</v>
      </c>
      <c r="C3272" s="64"/>
      <c r="D3272" s="65"/>
      <c r="E3272" s="66"/>
      <c r="F3272" s="67"/>
      <c r="G3272" s="64"/>
      <c r="H3272" s="68"/>
      <c r="I3272" s="69"/>
      <c r="J3272" s="69"/>
      <c r="K3272" s="32"/>
      <c r="L3272" s="76">
        <v>3272</v>
      </c>
      <c r="M3272" s="76"/>
      <c r="N3272" s="71"/>
      <c r="O3272" s="87" t="s">
        <v>1840</v>
      </c>
      <c r="P3272" s="90">
        <v>45173.82775462963</v>
      </c>
      <c r="Q3272" s="87" t="s">
        <v>4965</v>
      </c>
      <c r="R3272" s="87">
        <v>0</v>
      </c>
      <c r="S3272" s="87">
        <v>1</v>
      </c>
      <c r="T3272" s="87">
        <v>1</v>
      </c>
      <c r="U3272" s="87">
        <v>0</v>
      </c>
      <c r="V3272" s="87">
        <v>31</v>
      </c>
      <c r="W3272" s="93" t="s">
        <v>7717</v>
      </c>
      <c r="X3272" s="92" t="str">
        <f>HYPERLINK("https://bit.ly/educacaoempreendedora_")</f>
        <v>https://bit.ly/educacaoempreendedora_</v>
      </c>
      <c r="Y3272" s="87" t="s">
        <v>8374</v>
      </c>
      <c r="Z3272" s="87"/>
      <c r="AA3272" s="87"/>
      <c r="AB3272" s="87"/>
      <c r="AC3272" s="93" t="s">
        <v>11500</v>
      </c>
      <c r="AD3272" s="87" t="s">
        <v>11519</v>
      </c>
      <c r="AE3272" s="92" t="str">
        <f>HYPERLINK("https://twitter.com/sebrae/status/1698785997155385847")</f>
        <v>https://twitter.com/sebrae/status/1698785997155385847</v>
      </c>
      <c r="AF3272" s="90">
        <v>45173.82775462963</v>
      </c>
      <c r="AG3272" s="99">
        <v>45173</v>
      </c>
      <c r="AH3272" s="93" t="s">
        <v>11707</v>
      </c>
      <c r="AI3272" s="87" t="b">
        <v>0</v>
      </c>
      <c r="AJ3272" s="87"/>
      <c r="AK3272" s="87"/>
      <c r="AL3272" s="87"/>
      <c r="AM3272" s="87"/>
      <c r="AN3272" s="87"/>
      <c r="AO3272" s="87"/>
      <c r="AP3272" s="87"/>
      <c r="AQ3272" s="87"/>
      <c r="AR3272" s="87"/>
      <c r="AS3272" s="87"/>
      <c r="AT3272" s="87"/>
      <c r="AU3272" s="87"/>
      <c r="AV3272" s="92" t="str">
        <f>HYPERLINK("https://pbs.twimg.com/profile_images/1702087694174605312/wIBn99EO_normal.jpg")</f>
        <v>https://pbs.twimg.com/profile_images/1702087694174605312/wIBn99EO_normal.jpg</v>
      </c>
      <c r="AW3272" s="93" t="s">
        <v>21416</v>
      </c>
      <c r="AX3272" s="93" t="s">
        <v>22458</v>
      </c>
      <c r="AY3272" s="93" t="s">
        <v>22626</v>
      </c>
      <c r="AZ3272" s="93" t="s">
        <v>22458</v>
      </c>
      <c r="BA3272" s="93" t="s">
        <v>22668</v>
      </c>
      <c r="BB3272" s="93" t="s">
        <v>22668</v>
      </c>
      <c r="BC3272" s="93" t="s">
        <v>22458</v>
      </c>
      <c r="BD3272" s="87">
        <v>14584765</v>
      </c>
      <c r="BE3272" s="87"/>
      <c r="BF3272" s="87"/>
      <c r="BG3272" s="87"/>
      <c r="BH3272" s="87"/>
      <c r="BI3272" s="87"/>
    </row>
    <row r="3273" spans="1:61" x14ac:dyDescent="0.25">
      <c r="A3273" s="63" t="s">
        <v>254</v>
      </c>
      <c r="B3273" s="63" t="s">
        <v>254</v>
      </c>
      <c r="C3273" s="64"/>
      <c r="D3273" s="65"/>
      <c r="E3273" s="66"/>
      <c r="F3273" s="67"/>
      <c r="G3273" s="64"/>
      <c r="H3273" s="68"/>
      <c r="I3273" s="69"/>
      <c r="J3273" s="69"/>
      <c r="K3273" s="32"/>
      <c r="L3273" s="76">
        <v>3273</v>
      </c>
      <c r="M3273" s="76"/>
      <c r="N3273" s="71"/>
      <c r="O3273" s="87" t="s">
        <v>179</v>
      </c>
      <c r="P3273" s="90">
        <v>45145.881041666667</v>
      </c>
      <c r="Q3273" s="87" t="s">
        <v>4966</v>
      </c>
      <c r="R3273" s="87">
        <v>0</v>
      </c>
      <c r="S3273" s="87">
        <v>2</v>
      </c>
      <c r="T3273" s="87">
        <v>1</v>
      </c>
      <c r="U3273" s="87">
        <v>0</v>
      </c>
      <c r="V3273" s="87">
        <v>1006</v>
      </c>
      <c r="W3273" s="93" t="s">
        <v>5897</v>
      </c>
      <c r="X3273" s="92" t="str">
        <f>HYPERLINK("https://bit.ly/educacaoempreendedora_TT")</f>
        <v>https://bit.ly/educacaoempreendedora_TT</v>
      </c>
      <c r="Y3273" s="87" t="s">
        <v>8374</v>
      </c>
      <c r="Z3273" s="87"/>
      <c r="AA3273" s="87" t="s">
        <v>10857</v>
      </c>
      <c r="AB3273" s="87" t="s">
        <v>11447</v>
      </c>
      <c r="AC3273" s="93" t="s">
        <v>11457</v>
      </c>
      <c r="AD3273" s="87" t="s">
        <v>11519</v>
      </c>
      <c r="AE3273" s="92" t="str">
        <f>HYPERLINK("https://twitter.com/sebrae/status/1688658448165359619")</f>
        <v>https://twitter.com/sebrae/status/1688658448165359619</v>
      </c>
      <c r="AF3273" s="90">
        <v>45145.881041666667</v>
      </c>
      <c r="AG3273" s="99">
        <v>45145</v>
      </c>
      <c r="AH3273" s="93" t="s">
        <v>14436</v>
      </c>
      <c r="AI3273" s="87" t="b">
        <v>0</v>
      </c>
      <c r="AJ3273" s="87"/>
      <c r="AK3273" s="87"/>
      <c r="AL3273" s="87"/>
      <c r="AM3273" s="87"/>
      <c r="AN3273" s="87"/>
      <c r="AO3273" s="87"/>
      <c r="AP3273" s="87"/>
      <c r="AQ3273" s="87" t="s">
        <v>17669</v>
      </c>
      <c r="AR3273" s="87">
        <v>60000</v>
      </c>
      <c r="AS3273" s="87"/>
      <c r="AT3273" s="87"/>
      <c r="AU3273" s="87"/>
      <c r="AV3273" s="92" t="str">
        <f>HYPERLINK("https://pbs.twimg.com/ext_tw_video_thumb/1688657639431921664/pu/img/28G9UpXNAFMAwY4o.jpg")</f>
        <v>https://pbs.twimg.com/ext_tw_video_thumb/1688657639431921664/pu/img/28G9UpXNAFMAwY4o.jpg</v>
      </c>
      <c r="AW3273" s="93" t="s">
        <v>21417</v>
      </c>
      <c r="AX3273" s="93" t="s">
        <v>21417</v>
      </c>
      <c r="AY3273" s="87"/>
      <c r="AZ3273" s="93" t="s">
        <v>22668</v>
      </c>
      <c r="BA3273" s="93" t="s">
        <v>22668</v>
      </c>
      <c r="BB3273" s="93" t="s">
        <v>22668</v>
      </c>
      <c r="BC3273" s="93" t="s">
        <v>21417</v>
      </c>
      <c r="BD3273" s="87">
        <v>14584765</v>
      </c>
      <c r="BE3273" s="87"/>
      <c r="BF3273" s="87"/>
      <c r="BG3273" s="87"/>
      <c r="BH3273" s="87"/>
      <c r="BI3273" s="87"/>
    </row>
    <row r="3274" spans="1:61" x14ac:dyDescent="0.25">
      <c r="A3274" s="63" t="s">
        <v>254</v>
      </c>
      <c r="B3274" s="63" t="s">
        <v>254</v>
      </c>
      <c r="C3274" s="64"/>
      <c r="D3274" s="65"/>
      <c r="E3274" s="66"/>
      <c r="F3274" s="67"/>
      <c r="G3274" s="64"/>
      <c r="H3274" s="68"/>
      <c r="I3274" s="69"/>
      <c r="J3274" s="69"/>
      <c r="K3274" s="32"/>
      <c r="L3274" s="76">
        <v>3274</v>
      </c>
      <c r="M3274" s="76"/>
      <c r="N3274" s="71"/>
      <c r="O3274" s="87" t="s">
        <v>179</v>
      </c>
      <c r="P3274" s="90">
        <v>45133.809849537036</v>
      </c>
      <c r="Q3274" s="87" t="s">
        <v>4967</v>
      </c>
      <c r="R3274" s="87">
        <v>0</v>
      </c>
      <c r="S3274" s="87">
        <v>3</v>
      </c>
      <c r="T3274" s="87">
        <v>0</v>
      </c>
      <c r="U3274" s="87">
        <v>0</v>
      </c>
      <c r="V3274" s="87">
        <v>1337</v>
      </c>
      <c r="W3274" s="93" t="s">
        <v>7718</v>
      </c>
      <c r="X3274" s="87"/>
      <c r="Y3274" s="87"/>
      <c r="Z3274" s="87"/>
      <c r="AA3274" s="87" t="s">
        <v>10858</v>
      </c>
      <c r="AB3274" s="87" t="s">
        <v>11448</v>
      </c>
      <c r="AC3274" s="93" t="s">
        <v>11457</v>
      </c>
      <c r="AD3274" s="87" t="s">
        <v>11519</v>
      </c>
      <c r="AE3274" s="92" t="str">
        <f>HYPERLINK("https://twitter.com/sebrae/status/1684283996279111680")</f>
        <v>https://twitter.com/sebrae/status/1684283996279111680</v>
      </c>
      <c r="AF3274" s="90">
        <v>45133.809849537036</v>
      </c>
      <c r="AG3274" s="99">
        <v>45133</v>
      </c>
      <c r="AH3274" s="93" t="s">
        <v>12894</v>
      </c>
      <c r="AI3274" s="87" t="b">
        <v>0</v>
      </c>
      <c r="AJ3274" s="87"/>
      <c r="AK3274" s="87"/>
      <c r="AL3274" s="87"/>
      <c r="AM3274" s="87"/>
      <c r="AN3274" s="87"/>
      <c r="AO3274" s="87"/>
      <c r="AP3274" s="87"/>
      <c r="AQ3274" s="87" t="s">
        <v>17670</v>
      </c>
      <c r="AR3274" s="87"/>
      <c r="AS3274" s="87"/>
      <c r="AT3274" s="87"/>
      <c r="AU3274" s="87"/>
      <c r="AV3274" s="92" t="str">
        <f>HYPERLINK("https://pbs.twimg.com/media/F1_HUmjWEAADS-u.jpg")</f>
        <v>https://pbs.twimg.com/media/F1_HUmjWEAADS-u.jpg</v>
      </c>
      <c r="AW3274" s="93" t="s">
        <v>21418</v>
      </c>
      <c r="AX3274" s="93" t="s">
        <v>21418</v>
      </c>
      <c r="AY3274" s="87"/>
      <c r="AZ3274" s="93" t="s">
        <v>22668</v>
      </c>
      <c r="BA3274" s="93" t="s">
        <v>22668</v>
      </c>
      <c r="BB3274" s="93" t="s">
        <v>22668</v>
      </c>
      <c r="BC3274" s="93" t="s">
        <v>21418</v>
      </c>
      <c r="BD3274" s="87">
        <v>14584765</v>
      </c>
      <c r="BE3274" s="87"/>
      <c r="BF3274" s="87"/>
      <c r="BG3274" s="87"/>
      <c r="BH3274" s="87"/>
      <c r="BI3274" s="87"/>
    </row>
    <row r="3275" spans="1:61" x14ac:dyDescent="0.25">
      <c r="A3275" s="63" t="s">
        <v>254</v>
      </c>
      <c r="B3275" s="63" t="s">
        <v>254</v>
      </c>
      <c r="C3275" s="64"/>
      <c r="D3275" s="65"/>
      <c r="E3275" s="66"/>
      <c r="F3275" s="67"/>
      <c r="G3275" s="64"/>
      <c r="H3275" s="68"/>
      <c r="I3275" s="69"/>
      <c r="J3275" s="69"/>
      <c r="K3275" s="32"/>
      <c r="L3275" s="76">
        <v>3275</v>
      </c>
      <c r="M3275" s="76"/>
      <c r="N3275" s="71"/>
      <c r="O3275" s="87" t="s">
        <v>1840</v>
      </c>
      <c r="P3275" s="90">
        <v>45194.458807870367</v>
      </c>
      <c r="Q3275" s="87" t="s">
        <v>4968</v>
      </c>
      <c r="R3275" s="87">
        <v>0</v>
      </c>
      <c r="S3275" s="87">
        <v>6</v>
      </c>
      <c r="T3275" s="87">
        <v>0</v>
      </c>
      <c r="U3275" s="87">
        <v>0</v>
      </c>
      <c r="V3275" s="87">
        <v>713</v>
      </c>
      <c r="W3275" s="93" t="s">
        <v>7719</v>
      </c>
      <c r="X3275" s="87"/>
      <c r="Y3275" s="87"/>
      <c r="Z3275" s="87"/>
      <c r="AA3275" s="87"/>
      <c r="AB3275" s="87"/>
      <c r="AC3275" s="93" t="s">
        <v>11500</v>
      </c>
      <c r="AD3275" s="87" t="s">
        <v>11519</v>
      </c>
      <c r="AE3275" s="92" t="str">
        <f>HYPERLINK("https://twitter.com/sebrae/status/1706262442416988544")</f>
        <v>https://twitter.com/sebrae/status/1706262442416988544</v>
      </c>
      <c r="AF3275" s="90">
        <v>45194.458807870367</v>
      </c>
      <c r="AG3275" s="99">
        <v>45194</v>
      </c>
      <c r="AH3275" s="93" t="s">
        <v>11751</v>
      </c>
      <c r="AI3275" s="87"/>
      <c r="AJ3275" s="87"/>
      <c r="AK3275" s="87"/>
      <c r="AL3275" s="87"/>
      <c r="AM3275" s="87"/>
      <c r="AN3275" s="87"/>
      <c r="AO3275" s="87"/>
      <c r="AP3275" s="87"/>
      <c r="AQ3275" s="87"/>
      <c r="AR3275" s="87"/>
      <c r="AS3275" s="87"/>
      <c r="AT3275" s="87"/>
      <c r="AU3275" s="87"/>
      <c r="AV3275" s="92" t="str">
        <f>HYPERLINK("https://pbs.twimg.com/profile_images/1702087694174605312/wIBn99EO_normal.jpg")</f>
        <v>https://pbs.twimg.com/profile_images/1702087694174605312/wIBn99EO_normal.jpg</v>
      </c>
      <c r="AW3275" s="93" t="s">
        <v>21419</v>
      </c>
      <c r="AX3275" s="93" t="s">
        <v>22459</v>
      </c>
      <c r="AY3275" s="93" t="s">
        <v>22626</v>
      </c>
      <c r="AZ3275" s="93" t="s">
        <v>22754</v>
      </c>
      <c r="BA3275" s="93" t="s">
        <v>22668</v>
      </c>
      <c r="BB3275" s="93" t="s">
        <v>22668</v>
      </c>
      <c r="BC3275" s="93" t="s">
        <v>22754</v>
      </c>
      <c r="BD3275" s="87">
        <v>14584765</v>
      </c>
      <c r="BE3275" s="87"/>
      <c r="BF3275" s="87"/>
      <c r="BG3275" s="87"/>
      <c r="BH3275" s="87"/>
      <c r="BI3275" s="87"/>
    </row>
    <row r="3276" spans="1:61" x14ac:dyDescent="0.25">
      <c r="A3276" s="63" t="s">
        <v>1249</v>
      </c>
      <c r="B3276" s="63" t="s">
        <v>254</v>
      </c>
      <c r="C3276" s="64"/>
      <c r="D3276" s="65"/>
      <c r="E3276" s="66"/>
      <c r="F3276" s="67"/>
      <c r="G3276" s="64"/>
      <c r="H3276" s="68"/>
      <c r="I3276" s="69"/>
      <c r="J3276" s="69"/>
      <c r="K3276" s="32"/>
      <c r="L3276" s="76">
        <v>3276</v>
      </c>
      <c r="M3276" s="76"/>
      <c r="N3276" s="71"/>
      <c r="O3276" s="87" t="s">
        <v>1839</v>
      </c>
      <c r="P3276" s="90">
        <v>45182.833333333336</v>
      </c>
      <c r="Q3276" s="87" t="s">
        <v>4969</v>
      </c>
      <c r="R3276" s="87">
        <v>3</v>
      </c>
      <c r="S3276" s="87">
        <v>4</v>
      </c>
      <c r="T3276" s="87">
        <v>0</v>
      </c>
      <c r="U3276" s="87">
        <v>0</v>
      </c>
      <c r="V3276" s="87">
        <v>60</v>
      </c>
      <c r="W3276" s="93" t="s">
        <v>7720</v>
      </c>
      <c r="X3276" s="92" t="str">
        <f>HYPERLINK("https://dcomercio.com.br/publicacao/s/cinco-livros-essenciais-de-empreendedorismo-e-financas")</f>
        <v>https://dcomercio.com.br/publicacao/s/cinco-livros-essenciais-de-empreendedorismo-e-financas</v>
      </c>
      <c r="Y3276" s="87" t="s">
        <v>8373</v>
      </c>
      <c r="Z3276" s="87" t="s">
        <v>8607</v>
      </c>
      <c r="AA3276" s="87"/>
      <c r="AB3276" s="87"/>
      <c r="AC3276" s="93" t="s">
        <v>11457</v>
      </c>
      <c r="AD3276" s="87" t="s">
        <v>11519</v>
      </c>
      <c r="AE3276" s="92" t="str">
        <f>HYPERLINK("https://twitter.com/dcomercio1/status/1702049511412036010")</f>
        <v>https://twitter.com/dcomercio1/status/1702049511412036010</v>
      </c>
      <c r="AF3276" s="90">
        <v>45182.833333333336</v>
      </c>
      <c r="AG3276" s="99">
        <v>45182</v>
      </c>
      <c r="AH3276" s="93" t="s">
        <v>11773</v>
      </c>
      <c r="AI3276" s="87" t="b">
        <v>0</v>
      </c>
      <c r="AJ3276" s="87"/>
      <c r="AK3276" s="87"/>
      <c r="AL3276" s="87"/>
      <c r="AM3276" s="87"/>
      <c r="AN3276" s="87"/>
      <c r="AO3276" s="87"/>
      <c r="AP3276" s="87"/>
      <c r="AQ3276" s="87"/>
      <c r="AR3276" s="87"/>
      <c r="AS3276" s="87"/>
      <c r="AT3276" s="87"/>
      <c r="AU3276" s="87"/>
      <c r="AV3276" s="92" t="str">
        <f>HYPERLINK("https://pbs.twimg.com/profile_images/1674886843744108544/Hq1yDB1j_normal.jpg")</f>
        <v>https://pbs.twimg.com/profile_images/1674886843744108544/Hq1yDB1j_normal.jpg</v>
      </c>
      <c r="AW3276" s="93" t="s">
        <v>21420</v>
      </c>
      <c r="AX3276" s="93" t="s">
        <v>21420</v>
      </c>
      <c r="AY3276" s="87"/>
      <c r="AZ3276" s="93" t="s">
        <v>22668</v>
      </c>
      <c r="BA3276" s="93" t="s">
        <v>22668</v>
      </c>
      <c r="BB3276" s="93" t="s">
        <v>22668</v>
      </c>
      <c r="BC3276" s="93" t="s">
        <v>21420</v>
      </c>
      <c r="BD3276" s="87">
        <v>58935944</v>
      </c>
      <c r="BE3276" s="87"/>
      <c r="BF3276" s="87"/>
      <c r="BG3276" s="87"/>
      <c r="BH3276" s="87"/>
      <c r="BI3276" s="87"/>
    </row>
    <row r="3277" spans="1:61" x14ac:dyDescent="0.25">
      <c r="A3277" s="63" t="s">
        <v>1249</v>
      </c>
      <c r="B3277" s="63" t="s">
        <v>1778</v>
      </c>
      <c r="C3277" s="64"/>
      <c r="D3277" s="65"/>
      <c r="E3277" s="66"/>
      <c r="F3277" s="67"/>
      <c r="G3277" s="64"/>
      <c r="H3277" s="68"/>
      <c r="I3277" s="69"/>
      <c r="J3277" s="69"/>
      <c r="K3277" s="32"/>
      <c r="L3277" s="76">
        <v>3277</v>
      </c>
      <c r="M3277" s="76"/>
      <c r="N3277" s="71"/>
      <c r="O3277" s="87" t="s">
        <v>1839</v>
      </c>
      <c r="P3277" s="90">
        <v>45182.833333333336</v>
      </c>
      <c r="Q3277" s="87" t="s">
        <v>4969</v>
      </c>
      <c r="R3277" s="87">
        <v>3</v>
      </c>
      <c r="S3277" s="87">
        <v>4</v>
      </c>
      <c r="T3277" s="87">
        <v>0</v>
      </c>
      <c r="U3277" s="87">
        <v>0</v>
      </c>
      <c r="V3277" s="87">
        <v>60</v>
      </c>
      <c r="W3277" s="93" t="s">
        <v>7720</v>
      </c>
      <c r="X3277" s="92" t="str">
        <f>HYPERLINK("https://dcomercio.com.br/publicacao/s/cinco-livros-essenciais-de-empreendedorismo-e-financas")</f>
        <v>https://dcomercio.com.br/publicacao/s/cinco-livros-essenciais-de-empreendedorismo-e-financas</v>
      </c>
      <c r="Y3277" s="87" t="s">
        <v>8373</v>
      </c>
      <c r="Z3277" s="87" t="s">
        <v>8607</v>
      </c>
      <c r="AA3277" s="87"/>
      <c r="AB3277" s="87"/>
      <c r="AC3277" s="93" t="s">
        <v>11457</v>
      </c>
      <c r="AD3277" s="87" t="s">
        <v>11519</v>
      </c>
      <c r="AE3277" s="92" t="str">
        <f>HYPERLINK("https://twitter.com/dcomercio1/status/1702049511412036010")</f>
        <v>https://twitter.com/dcomercio1/status/1702049511412036010</v>
      </c>
      <c r="AF3277" s="90">
        <v>45182.833333333336</v>
      </c>
      <c r="AG3277" s="99">
        <v>45182</v>
      </c>
      <c r="AH3277" s="93" t="s">
        <v>11773</v>
      </c>
      <c r="AI3277" s="87" t="b">
        <v>0</v>
      </c>
      <c r="AJ3277" s="87"/>
      <c r="AK3277" s="87"/>
      <c r="AL3277" s="87"/>
      <c r="AM3277" s="87"/>
      <c r="AN3277" s="87"/>
      <c r="AO3277" s="87"/>
      <c r="AP3277" s="87"/>
      <c r="AQ3277" s="87"/>
      <c r="AR3277" s="87"/>
      <c r="AS3277" s="87"/>
      <c r="AT3277" s="87"/>
      <c r="AU3277" s="87"/>
      <c r="AV3277" s="92" t="str">
        <f>HYPERLINK("https://pbs.twimg.com/profile_images/1674886843744108544/Hq1yDB1j_normal.jpg")</f>
        <v>https://pbs.twimg.com/profile_images/1674886843744108544/Hq1yDB1j_normal.jpg</v>
      </c>
      <c r="AW3277" s="93" t="s">
        <v>21420</v>
      </c>
      <c r="AX3277" s="93" t="s">
        <v>21420</v>
      </c>
      <c r="AY3277" s="87"/>
      <c r="AZ3277" s="93" t="s">
        <v>22668</v>
      </c>
      <c r="BA3277" s="93" t="s">
        <v>22668</v>
      </c>
      <c r="BB3277" s="93" t="s">
        <v>22668</v>
      </c>
      <c r="BC3277" s="93" t="s">
        <v>21420</v>
      </c>
      <c r="BD3277" s="87">
        <v>58935944</v>
      </c>
      <c r="BE3277" s="87"/>
      <c r="BF3277" s="87"/>
      <c r="BG3277" s="87"/>
      <c r="BH3277" s="87"/>
      <c r="BI3277" s="87"/>
    </row>
    <row r="3278" spans="1:61" x14ac:dyDescent="0.25">
      <c r="A3278" s="63" t="s">
        <v>1250</v>
      </c>
      <c r="B3278" s="63" t="s">
        <v>1250</v>
      </c>
      <c r="C3278" s="64"/>
      <c r="D3278" s="65"/>
      <c r="E3278" s="66"/>
      <c r="F3278" s="67"/>
      <c r="G3278" s="64"/>
      <c r="H3278" s="68"/>
      <c r="I3278" s="69"/>
      <c r="J3278" s="69"/>
      <c r="K3278" s="32"/>
      <c r="L3278" s="76">
        <v>3278</v>
      </c>
      <c r="M3278" s="76"/>
      <c r="N3278" s="71"/>
      <c r="O3278" s="87" t="s">
        <v>179</v>
      </c>
      <c r="P3278" s="90">
        <v>45110.979699074072</v>
      </c>
      <c r="Q3278" s="87" t="s">
        <v>4970</v>
      </c>
      <c r="R3278" s="87">
        <v>1171</v>
      </c>
      <c r="S3278" s="87">
        <v>15436</v>
      </c>
      <c r="T3278" s="87">
        <v>454</v>
      </c>
      <c r="U3278" s="87">
        <v>742</v>
      </c>
      <c r="V3278" s="87">
        <v>1987341</v>
      </c>
      <c r="W3278" s="87"/>
      <c r="X3278" s="87"/>
      <c r="Y3278" s="87"/>
      <c r="Z3278" s="87"/>
      <c r="AA3278" s="87" t="s">
        <v>10859</v>
      </c>
      <c r="AB3278" s="87" t="s">
        <v>11447</v>
      </c>
      <c r="AC3278" s="93" t="s">
        <v>11458</v>
      </c>
      <c r="AD3278" s="87" t="s">
        <v>11519</v>
      </c>
      <c r="AE3278" s="92" t="str">
        <f>HYPERLINK("https://twitter.com/nazareamarga/status/1676010625892220937")</f>
        <v>https://twitter.com/nazareamarga/status/1676010625892220937</v>
      </c>
      <c r="AF3278" s="90">
        <v>45110.979699074072</v>
      </c>
      <c r="AG3278" s="99">
        <v>45110</v>
      </c>
      <c r="AH3278" s="93" t="s">
        <v>14437</v>
      </c>
      <c r="AI3278" s="87" t="b">
        <v>0</v>
      </c>
      <c r="AJ3278" s="87"/>
      <c r="AK3278" s="87"/>
      <c r="AL3278" s="87"/>
      <c r="AM3278" s="87"/>
      <c r="AN3278" s="87"/>
      <c r="AO3278" s="87"/>
      <c r="AP3278" s="87"/>
      <c r="AQ3278" s="87" t="s">
        <v>17671</v>
      </c>
      <c r="AR3278" s="87">
        <v>77466</v>
      </c>
      <c r="AS3278" s="87"/>
      <c r="AT3278" s="87"/>
      <c r="AU3278" s="87"/>
      <c r="AV3278" s="92" t="str">
        <f>HYPERLINK("https://pbs.twimg.com/amplify_video_thumb/1676010395381710848/img/EyIC5VlLIJ2b5jW6.jpg")</f>
        <v>https://pbs.twimg.com/amplify_video_thumb/1676010395381710848/img/EyIC5VlLIJ2b5jW6.jpg</v>
      </c>
      <c r="AW3278" s="93" t="s">
        <v>21421</v>
      </c>
      <c r="AX3278" s="93" t="s">
        <v>21421</v>
      </c>
      <c r="AY3278" s="87"/>
      <c r="AZ3278" s="93" t="s">
        <v>22668</v>
      </c>
      <c r="BA3278" s="93" t="s">
        <v>22668</v>
      </c>
      <c r="BB3278" s="93" t="s">
        <v>22668</v>
      </c>
      <c r="BC3278" s="93" t="s">
        <v>21421</v>
      </c>
      <c r="BD3278" s="87">
        <v>1072573028</v>
      </c>
      <c r="BE3278" s="87"/>
      <c r="BF3278" s="87"/>
      <c r="BG3278" s="87"/>
      <c r="BH3278" s="87"/>
      <c r="BI3278" s="87"/>
    </row>
    <row r="3279" spans="1:61" x14ac:dyDescent="0.25">
      <c r="A3279" s="63" t="s">
        <v>1251</v>
      </c>
      <c r="B3279" s="63" t="s">
        <v>1779</v>
      </c>
      <c r="C3279" s="64"/>
      <c r="D3279" s="65"/>
      <c r="E3279" s="66"/>
      <c r="F3279" s="67"/>
      <c r="G3279" s="64"/>
      <c r="H3279" s="68"/>
      <c r="I3279" s="69"/>
      <c r="J3279" s="69"/>
      <c r="K3279" s="32"/>
      <c r="L3279" s="76">
        <v>3279</v>
      </c>
      <c r="M3279" s="76"/>
      <c r="N3279" s="71"/>
      <c r="O3279" s="87" t="s">
        <v>1844</v>
      </c>
      <c r="P3279" s="90">
        <v>45137.610289351855</v>
      </c>
      <c r="Q3279" s="87" t="s">
        <v>4971</v>
      </c>
      <c r="R3279" s="87">
        <v>1</v>
      </c>
      <c r="S3279" s="87">
        <v>2</v>
      </c>
      <c r="T3279" s="87">
        <v>0</v>
      </c>
      <c r="U3279" s="87">
        <v>0</v>
      </c>
      <c r="V3279" s="87">
        <v>216</v>
      </c>
      <c r="W3279" s="93" t="s">
        <v>7721</v>
      </c>
      <c r="X3279" s="87"/>
      <c r="Y3279" s="87"/>
      <c r="Z3279" s="87" t="s">
        <v>8608</v>
      </c>
      <c r="AA3279" s="87"/>
      <c r="AB3279" s="87"/>
      <c r="AC3279" s="93" t="s">
        <v>11458</v>
      </c>
      <c r="AD3279" s="87" t="s">
        <v>11519</v>
      </c>
      <c r="AE3279" s="92" t="str">
        <f>HYPERLINK("https://twitter.com/cufa_brasil/status/1685661227274379264")</f>
        <v>https://twitter.com/cufa_brasil/status/1685661227274379264</v>
      </c>
      <c r="AF3279" s="90">
        <v>45137.610289351855</v>
      </c>
      <c r="AG3279" s="99">
        <v>45137</v>
      </c>
      <c r="AH3279" s="93" t="s">
        <v>14109</v>
      </c>
      <c r="AI3279" s="87"/>
      <c r="AJ3279" s="87"/>
      <c r="AK3279" s="87"/>
      <c r="AL3279" s="87"/>
      <c r="AM3279" s="87"/>
      <c r="AN3279" s="87"/>
      <c r="AO3279" s="87"/>
      <c r="AP3279" s="87"/>
      <c r="AQ3279" s="87"/>
      <c r="AR3279" s="87"/>
      <c r="AS3279" s="87"/>
      <c r="AT3279" s="87"/>
      <c r="AU3279" s="87"/>
      <c r="AV3279" s="92" t="str">
        <f>HYPERLINK("https://pbs.twimg.com/profile_images/1604888284173320202/LFQMtVpg_normal.jpg")</f>
        <v>https://pbs.twimg.com/profile_images/1604888284173320202/LFQMtVpg_normal.jpg</v>
      </c>
      <c r="AW3279" s="93" t="s">
        <v>21422</v>
      </c>
      <c r="AX3279" s="93" t="s">
        <v>22460</v>
      </c>
      <c r="AY3279" s="93" t="s">
        <v>22627</v>
      </c>
      <c r="AZ3279" s="93" t="s">
        <v>22460</v>
      </c>
      <c r="BA3279" s="93" t="s">
        <v>22668</v>
      </c>
      <c r="BB3279" s="93" t="s">
        <v>22668</v>
      </c>
      <c r="BC3279" s="93" t="s">
        <v>22460</v>
      </c>
      <c r="BD3279" s="87">
        <v>96334264</v>
      </c>
      <c r="BE3279" s="87"/>
      <c r="BF3279" s="87"/>
      <c r="BG3279" s="87"/>
      <c r="BH3279" s="87"/>
      <c r="BI3279" s="87"/>
    </row>
    <row r="3280" spans="1:61" x14ac:dyDescent="0.25">
      <c r="A3280" s="63" t="s">
        <v>1251</v>
      </c>
      <c r="B3280" s="63" t="s">
        <v>1780</v>
      </c>
      <c r="C3280" s="64"/>
      <c r="D3280" s="65"/>
      <c r="E3280" s="66"/>
      <c r="F3280" s="67"/>
      <c r="G3280" s="64"/>
      <c r="H3280" s="68"/>
      <c r="I3280" s="69"/>
      <c r="J3280" s="69"/>
      <c r="K3280" s="32"/>
      <c r="L3280" s="76">
        <v>3280</v>
      </c>
      <c r="M3280" s="76"/>
      <c r="N3280" s="71"/>
      <c r="O3280" s="87" t="s">
        <v>1839</v>
      </c>
      <c r="P3280" s="90">
        <v>45136.835011574076</v>
      </c>
      <c r="Q3280" s="87" t="s">
        <v>4972</v>
      </c>
      <c r="R3280" s="87">
        <v>0</v>
      </c>
      <c r="S3280" s="87">
        <v>2</v>
      </c>
      <c r="T3280" s="87">
        <v>0</v>
      </c>
      <c r="U3280" s="87">
        <v>0</v>
      </c>
      <c r="V3280" s="87">
        <v>305</v>
      </c>
      <c r="W3280" s="93" t="s">
        <v>7722</v>
      </c>
      <c r="X3280" s="87"/>
      <c r="Y3280" s="87"/>
      <c r="Z3280" s="87" t="s">
        <v>8609</v>
      </c>
      <c r="AA3280" s="87" t="s">
        <v>10860</v>
      </c>
      <c r="AB3280" s="87" t="s">
        <v>11447</v>
      </c>
      <c r="AC3280" s="93" t="s">
        <v>11458</v>
      </c>
      <c r="AD3280" s="87" t="s">
        <v>11519</v>
      </c>
      <c r="AE3280" s="92" t="str">
        <f>HYPERLINK("https://twitter.com/cufa_brasil/status/1685380276417937408")</f>
        <v>https://twitter.com/cufa_brasil/status/1685380276417937408</v>
      </c>
      <c r="AF3280" s="90">
        <v>45136.835011574076</v>
      </c>
      <c r="AG3280" s="99">
        <v>45136</v>
      </c>
      <c r="AH3280" s="93" t="s">
        <v>14438</v>
      </c>
      <c r="AI3280" s="87" t="b">
        <v>0</v>
      </c>
      <c r="AJ3280" s="87"/>
      <c r="AK3280" s="87"/>
      <c r="AL3280" s="87"/>
      <c r="AM3280" s="87"/>
      <c r="AN3280" s="87"/>
      <c r="AO3280" s="87"/>
      <c r="AP3280" s="87"/>
      <c r="AQ3280" s="87" t="s">
        <v>17672</v>
      </c>
      <c r="AR3280" s="87">
        <v>140000</v>
      </c>
      <c r="AS3280" s="87"/>
      <c r="AT3280" s="87"/>
      <c r="AU3280" s="87"/>
      <c r="AV3280" s="92" t="str">
        <f>HYPERLINK("https://pbs.twimg.com/ext_tw_video_thumb/1685380125460779008/pu/img/q1C3pvQyUF0Y59Pw.jpg")</f>
        <v>https://pbs.twimg.com/ext_tw_video_thumb/1685380125460779008/pu/img/q1C3pvQyUF0Y59Pw.jpg</v>
      </c>
      <c r="AW3280" s="93" t="s">
        <v>21423</v>
      </c>
      <c r="AX3280" s="93" t="s">
        <v>21423</v>
      </c>
      <c r="AY3280" s="87"/>
      <c r="AZ3280" s="93" t="s">
        <v>22668</v>
      </c>
      <c r="BA3280" s="93" t="s">
        <v>22668</v>
      </c>
      <c r="BB3280" s="93" t="s">
        <v>22668</v>
      </c>
      <c r="BC3280" s="93" t="s">
        <v>21423</v>
      </c>
      <c r="BD3280" s="87">
        <v>96334264</v>
      </c>
      <c r="BE3280" s="87"/>
      <c r="BF3280" s="87"/>
      <c r="BG3280" s="87"/>
      <c r="BH3280" s="87"/>
      <c r="BI3280" s="87"/>
    </row>
    <row r="3281" spans="1:61" x14ac:dyDescent="0.25">
      <c r="A3281" s="63" t="s">
        <v>1251</v>
      </c>
      <c r="B3281" s="63" t="s">
        <v>1781</v>
      </c>
      <c r="C3281" s="64"/>
      <c r="D3281" s="65"/>
      <c r="E3281" s="66"/>
      <c r="F3281" s="67"/>
      <c r="G3281" s="64"/>
      <c r="H3281" s="68"/>
      <c r="I3281" s="69"/>
      <c r="J3281" s="69"/>
      <c r="K3281" s="32"/>
      <c r="L3281" s="76">
        <v>3281</v>
      </c>
      <c r="M3281" s="76"/>
      <c r="N3281" s="71"/>
      <c r="O3281" s="87" t="s">
        <v>1839</v>
      </c>
      <c r="P3281" s="90">
        <v>45136.835011574076</v>
      </c>
      <c r="Q3281" s="87" t="s">
        <v>4972</v>
      </c>
      <c r="R3281" s="87">
        <v>0</v>
      </c>
      <c r="S3281" s="87">
        <v>2</v>
      </c>
      <c r="T3281" s="87">
        <v>0</v>
      </c>
      <c r="U3281" s="87">
        <v>0</v>
      </c>
      <c r="V3281" s="87">
        <v>305</v>
      </c>
      <c r="W3281" s="93" t="s">
        <v>7722</v>
      </c>
      <c r="X3281" s="87"/>
      <c r="Y3281" s="87"/>
      <c r="Z3281" s="87" t="s">
        <v>8609</v>
      </c>
      <c r="AA3281" s="87" t="s">
        <v>10860</v>
      </c>
      <c r="AB3281" s="87" t="s">
        <v>11447</v>
      </c>
      <c r="AC3281" s="93" t="s">
        <v>11458</v>
      </c>
      <c r="AD3281" s="87" t="s">
        <v>11519</v>
      </c>
      <c r="AE3281" s="92" t="str">
        <f>HYPERLINK("https://twitter.com/cufa_brasil/status/1685380276417937408")</f>
        <v>https://twitter.com/cufa_brasil/status/1685380276417937408</v>
      </c>
      <c r="AF3281" s="90">
        <v>45136.835011574076</v>
      </c>
      <c r="AG3281" s="99">
        <v>45136</v>
      </c>
      <c r="AH3281" s="93" t="s">
        <v>14438</v>
      </c>
      <c r="AI3281" s="87" t="b">
        <v>0</v>
      </c>
      <c r="AJ3281" s="87"/>
      <c r="AK3281" s="87"/>
      <c r="AL3281" s="87"/>
      <c r="AM3281" s="87"/>
      <c r="AN3281" s="87"/>
      <c r="AO3281" s="87"/>
      <c r="AP3281" s="87"/>
      <c r="AQ3281" s="87" t="s">
        <v>17672</v>
      </c>
      <c r="AR3281" s="87">
        <v>140000</v>
      </c>
      <c r="AS3281" s="87"/>
      <c r="AT3281" s="87"/>
      <c r="AU3281" s="87"/>
      <c r="AV3281" s="92" t="str">
        <f>HYPERLINK("https://pbs.twimg.com/ext_tw_video_thumb/1685380125460779008/pu/img/q1C3pvQyUF0Y59Pw.jpg")</f>
        <v>https://pbs.twimg.com/ext_tw_video_thumb/1685380125460779008/pu/img/q1C3pvQyUF0Y59Pw.jpg</v>
      </c>
      <c r="AW3281" s="93" t="s">
        <v>21423</v>
      </c>
      <c r="AX3281" s="93" t="s">
        <v>21423</v>
      </c>
      <c r="AY3281" s="87"/>
      <c r="AZ3281" s="93" t="s">
        <v>22668</v>
      </c>
      <c r="BA3281" s="93" t="s">
        <v>22668</v>
      </c>
      <c r="BB3281" s="93" t="s">
        <v>22668</v>
      </c>
      <c r="BC3281" s="93" t="s">
        <v>21423</v>
      </c>
      <c r="BD3281" s="87">
        <v>96334264</v>
      </c>
      <c r="BE3281" s="87"/>
      <c r="BF3281" s="87"/>
      <c r="BG3281" s="87"/>
      <c r="BH3281" s="87"/>
      <c r="BI3281" s="87"/>
    </row>
    <row r="3282" spans="1:61" x14ac:dyDescent="0.25">
      <c r="A3282" s="63" t="s">
        <v>1251</v>
      </c>
      <c r="B3282" s="63" t="s">
        <v>1782</v>
      </c>
      <c r="C3282" s="64"/>
      <c r="D3282" s="65"/>
      <c r="E3282" s="66"/>
      <c r="F3282" s="67"/>
      <c r="G3282" s="64"/>
      <c r="H3282" s="68"/>
      <c r="I3282" s="69"/>
      <c r="J3282" s="69"/>
      <c r="K3282" s="32"/>
      <c r="L3282" s="76">
        <v>3282</v>
      </c>
      <c r="M3282" s="76"/>
      <c r="N3282" s="71"/>
      <c r="O3282" s="87" t="s">
        <v>1839</v>
      </c>
      <c r="P3282" s="90">
        <v>45111.781064814815</v>
      </c>
      <c r="Q3282" s="87" t="s">
        <v>4973</v>
      </c>
      <c r="R3282" s="87">
        <v>0</v>
      </c>
      <c r="S3282" s="87">
        <v>2</v>
      </c>
      <c r="T3282" s="87">
        <v>0</v>
      </c>
      <c r="U3282" s="87">
        <v>0</v>
      </c>
      <c r="V3282" s="87">
        <v>244</v>
      </c>
      <c r="W3282" s="93" t="s">
        <v>7723</v>
      </c>
      <c r="X3282" s="87"/>
      <c r="Y3282" s="87"/>
      <c r="Z3282" s="87" t="s">
        <v>8610</v>
      </c>
      <c r="AA3282" s="87" t="s">
        <v>10861</v>
      </c>
      <c r="AB3282" s="87" t="s">
        <v>11448</v>
      </c>
      <c r="AC3282" s="93" t="s">
        <v>11457</v>
      </c>
      <c r="AD3282" s="87" t="s">
        <v>11519</v>
      </c>
      <c r="AE3282" s="92" t="str">
        <f>HYPERLINK("https://twitter.com/cufa_brasil/status/1676301031632781313")</f>
        <v>https://twitter.com/cufa_brasil/status/1676301031632781313</v>
      </c>
      <c r="AF3282" s="90">
        <v>45111.781064814815</v>
      </c>
      <c r="AG3282" s="99">
        <v>45111</v>
      </c>
      <c r="AH3282" s="93" t="s">
        <v>14439</v>
      </c>
      <c r="AI3282" s="87" t="b">
        <v>0</v>
      </c>
      <c r="AJ3282" s="87"/>
      <c r="AK3282" s="87"/>
      <c r="AL3282" s="87"/>
      <c r="AM3282" s="87"/>
      <c r="AN3282" s="87"/>
      <c r="AO3282" s="87"/>
      <c r="AP3282" s="87"/>
      <c r="AQ3282" s="87" t="s">
        <v>17673</v>
      </c>
      <c r="AR3282" s="87"/>
      <c r="AS3282" s="87"/>
      <c r="AT3282" s="87"/>
      <c r="AU3282" s="87"/>
      <c r="AV3282" s="92" t="str">
        <f>HYPERLINK("https://pbs.twimg.com/media/F0Nq1vcXgAAS1qG.jpg")</f>
        <v>https://pbs.twimg.com/media/F0Nq1vcXgAAS1qG.jpg</v>
      </c>
      <c r="AW3282" s="93" t="s">
        <v>21424</v>
      </c>
      <c r="AX3282" s="93" t="s">
        <v>21424</v>
      </c>
      <c r="AY3282" s="87"/>
      <c r="AZ3282" s="93" t="s">
        <v>22668</v>
      </c>
      <c r="BA3282" s="93" t="s">
        <v>22668</v>
      </c>
      <c r="BB3282" s="93" t="s">
        <v>22668</v>
      </c>
      <c r="BC3282" s="93" t="s">
        <v>21424</v>
      </c>
      <c r="BD3282" s="87">
        <v>96334264</v>
      </c>
      <c r="BE3282" s="87"/>
      <c r="BF3282" s="87"/>
      <c r="BG3282" s="87"/>
      <c r="BH3282" s="87"/>
      <c r="BI3282" s="87"/>
    </row>
    <row r="3283" spans="1:61" x14ac:dyDescent="0.25">
      <c r="A3283" s="63" t="s">
        <v>1251</v>
      </c>
      <c r="B3283" s="63" t="s">
        <v>1783</v>
      </c>
      <c r="C3283" s="64"/>
      <c r="D3283" s="65"/>
      <c r="E3283" s="66"/>
      <c r="F3283" s="67"/>
      <c r="G3283" s="64"/>
      <c r="H3283" s="68"/>
      <c r="I3283" s="69"/>
      <c r="J3283" s="69"/>
      <c r="K3283" s="32"/>
      <c r="L3283" s="76">
        <v>3283</v>
      </c>
      <c r="M3283" s="76"/>
      <c r="N3283" s="71"/>
      <c r="O3283" s="87" t="s">
        <v>1839</v>
      </c>
      <c r="P3283" s="90">
        <v>45111.781064814815</v>
      </c>
      <c r="Q3283" s="87" t="s">
        <v>4973</v>
      </c>
      <c r="R3283" s="87">
        <v>0</v>
      </c>
      <c r="S3283" s="87">
        <v>2</v>
      </c>
      <c r="T3283" s="87">
        <v>0</v>
      </c>
      <c r="U3283" s="87">
        <v>0</v>
      </c>
      <c r="V3283" s="87">
        <v>244</v>
      </c>
      <c r="W3283" s="93" t="s">
        <v>7723</v>
      </c>
      <c r="X3283" s="87"/>
      <c r="Y3283" s="87"/>
      <c r="Z3283" s="87" t="s">
        <v>8610</v>
      </c>
      <c r="AA3283" s="87" t="s">
        <v>10861</v>
      </c>
      <c r="AB3283" s="87" t="s">
        <v>11448</v>
      </c>
      <c r="AC3283" s="93" t="s">
        <v>11457</v>
      </c>
      <c r="AD3283" s="87" t="s">
        <v>11519</v>
      </c>
      <c r="AE3283" s="92" t="str">
        <f>HYPERLINK("https://twitter.com/cufa_brasil/status/1676301031632781313")</f>
        <v>https://twitter.com/cufa_brasil/status/1676301031632781313</v>
      </c>
      <c r="AF3283" s="90">
        <v>45111.781064814815</v>
      </c>
      <c r="AG3283" s="99">
        <v>45111</v>
      </c>
      <c r="AH3283" s="93" t="s">
        <v>14439</v>
      </c>
      <c r="AI3283" s="87" t="b">
        <v>0</v>
      </c>
      <c r="AJ3283" s="87"/>
      <c r="AK3283" s="87"/>
      <c r="AL3283" s="87"/>
      <c r="AM3283" s="87"/>
      <c r="AN3283" s="87"/>
      <c r="AO3283" s="87"/>
      <c r="AP3283" s="87"/>
      <c r="AQ3283" s="87" t="s">
        <v>17673</v>
      </c>
      <c r="AR3283" s="87"/>
      <c r="AS3283" s="87"/>
      <c r="AT3283" s="87"/>
      <c r="AU3283" s="87"/>
      <c r="AV3283" s="92" t="str">
        <f>HYPERLINK("https://pbs.twimg.com/media/F0Nq1vcXgAAS1qG.jpg")</f>
        <v>https://pbs.twimg.com/media/F0Nq1vcXgAAS1qG.jpg</v>
      </c>
      <c r="AW3283" s="93" t="s">
        <v>21424</v>
      </c>
      <c r="AX3283" s="93" t="s">
        <v>21424</v>
      </c>
      <c r="AY3283" s="87"/>
      <c r="AZ3283" s="93" t="s">
        <v>22668</v>
      </c>
      <c r="BA3283" s="93" t="s">
        <v>22668</v>
      </c>
      <c r="BB3283" s="93" t="s">
        <v>22668</v>
      </c>
      <c r="BC3283" s="93" t="s">
        <v>21424</v>
      </c>
      <c r="BD3283" s="87">
        <v>96334264</v>
      </c>
      <c r="BE3283" s="87"/>
      <c r="BF3283" s="87"/>
      <c r="BG3283" s="87"/>
      <c r="BH3283" s="87"/>
      <c r="BI3283" s="87"/>
    </row>
    <row r="3284" spans="1:61" x14ac:dyDescent="0.25">
      <c r="A3284" s="63" t="s">
        <v>1251</v>
      </c>
      <c r="B3284" s="63" t="s">
        <v>1783</v>
      </c>
      <c r="C3284" s="64"/>
      <c r="D3284" s="65"/>
      <c r="E3284" s="66"/>
      <c r="F3284" s="67"/>
      <c r="G3284" s="64"/>
      <c r="H3284" s="68"/>
      <c r="I3284" s="69"/>
      <c r="J3284" s="69"/>
      <c r="K3284" s="32"/>
      <c r="L3284" s="76">
        <v>3284</v>
      </c>
      <c r="M3284" s="76"/>
      <c r="N3284" s="71"/>
      <c r="O3284" s="87" t="s">
        <v>1839</v>
      </c>
      <c r="P3284" s="90">
        <v>45115.02652777778</v>
      </c>
      <c r="Q3284" s="87" t="s">
        <v>4974</v>
      </c>
      <c r="R3284" s="87">
        <v>1</v>
      </c>
      <c r="S3284" s="87">
        <v>3</v>
      </c>
      <c r="T3284" s="87">
        <v>1</v>
      </c>
      <c r="U3284" s="87">
        <v>0</v>
      </c>
      <c r="V3284" s="87">
        <v>344</v>
      </c>
      <c r="W3284" s="93" t="s">
        <v>7724</v>
      </c>
      <c r="X3284" s="87"/>
      <c r="Y3284" s="87"/>
      <c r="Z3284" s="87" t="s">
        <v>1783</v>
      </c>
      <c r="AA3284" s="87" t="s">
        <v>10862</v>
      </c>
      <c r="AB3284" s="87" t="s">
        <v>11448</v>
      </c>
      <c r="AC3284" s="93" t="s">
        <v>11457</v>
      </c>
      <c r="AD3284" s="87" t="s">
        <v>11519</v>
      </c>
      <c r="AE3284" s="92" t="str">
        <f>HYPERLINK("https://twitter.com/cufa_brasil/status/1677477147651260417")</f>
        <v>https://twitter.com/cufa_brasil/status/1677477147651260417</v>
      </c>
      <c r="AF3284" s="90">
        <v>45115.02652777778</v>
      </c>
      <c r="AG3284" s="99">
        <v>45115</v>
      </c>
      <c r="AH3284" s="93" t="s">
        <v>14440</v>
      </c>
      <c r="AI3284" s="87" t="b">
        <v>0</v>
      </c>
      <c r="AJ3284" s="87"/>
      <c r="AK3284" s="87"/>
      <c r="AL3284" s="87"/>
      <c r="AM3284" s="87"/>
      <c r="AN3284" s="87"/>
      <c r="AO3284" s="87"/>
      <c r="AP3284" s="87"/>
      <c r="AQ3284" s="87" t="s">
        <v>17674</v>
      </c>
      <c r="AR3284" s="87"/>
      <c r="AS3284" s="87"/>
      <c r="AT3284" s="87"/>
      <c r="AU3284" s="87"/>
      <c r="AV3284" s="92" t="str">
        <f>HYPERLINK("https://pbs.twimg.com/media/F0eW0R5XoAMQ1_3.jpg")</f>
        <v>https://pbs.twimg.com/media/F0eW0R5XoAMQ1_3.jpg</v>
      </c>
      <c r="AW3284" s="93" t="s">
        <v>21425</v>
      </c>
      <c r="AX3284" s="93" t="s">
        <v>21425</v>
      </c>
      <c r="AY3284" s="87"/>
      <c r="AZ3284" s="93" t="s">
        <v>22668</v>
      </c>
      <c r="BA3284" s="93" t="s">
        <v>22668</v>
      </c>
      <c r="BB3284" s="93" t="s">
        <v>22668</v>
      </c>
      <c r="BC3284" s="93" t="s">
        <v>21425</v>
      </c>
      <c r="BD3284" s="87">
        <v>96334264</v>
      </c>
      <c r="BE3284" s="87"/>
      <c r="BF3284" s="87"/>
      <c r="BG3284" s="87"/>
      <c r="BH3284" s="87"/>
      <c r="BI3284" s="87"/>
    </row>
    <row r="3285" spans="1:61" x14ac:dyDescent="0.25">
      <c r="A3285" s="63" t="s">
        <v>1251</v>
      </c>
      <c r="B3285" s="63" t="s">
        <v>1478</v>
      </c>
      <c r="C3285" s="64"/>
      <c r="D3285" s="65"/>
      <c r="E3285" s="66"/>
      <c r="F3285" s="67"/>
      <c r="G3285" s="64"/>
      <c r="H3285" s="68"/>
      <c r="I3285" s="69"/>
      <c r="J3285" s="69"/>
      <c r="K3285" s="32"/>
      <c r="L3285" s="76">
        <v>3285</v>
      </c>
      <c r="M3285" s="76"/>
      <c r="N3285" s="71"/>
      <c r="O3285" s="87" t="s">
        <v>1844</v>
      </c>
      <c r="P3285" s="90">
        <v>45137.610289351855</v>
      </c>
      <c r="Q3285" s="87" t="s">
        <v>4971</v>
      </c>
      <c r="R3285" s="87">
        <v>1</v>
      </c>
      <c r="S3285" s="87">
        <v>2</v>
      </c>
      <c r="T3285" s="87">
        <v>0</v>
      </c>
      <c r="U3285" s="87">
        <v>0</v>
      </c>
      <c r="V3285" s="87">
        <v>216</v>
      </c>
      <c r="W3285" s="93" t="s">
        <v>7721</v>
      </c>
      <c r="X3285" s="87"/>
      <c r="Y3285" s="87"/>
      <c r="Z3285" s="87" t="s">
        <v>8608</v>
      </c>
      <c r="AA3285" s="87"/>
      <c r="AB3285" s="87"/>
      <c r="AC3285" s="93" t="s">
        <v>11458</v>
      </c>
      <c r="AD3285" s="87" t="s">
        <v>11519</v>
      </c>
      <c r="AE3285" s="92" t="str">
        <f>HYPERLINK("https://twitter.com/cufa_brasil/status/1685661227274379264")</f>
        <v>https://twitter.com/cufa_brasil/status/1685661227274379264</v>
      </c>
      <c r="AF3285" s="90">
        <v>45137.610289351855</v>
      </c>
      <c r="AG3285" s="99">
        <v>45137</v>
      </c>
      <c r="AH3285" s="93" t="s">
        <v>14109</v>
      </c>
      <c r="AI3285" s="87"/>
      <c r="AJ3285" s="87"/>
      <c r="AK3285" s="87"/>
      <c r="AL3285" s="87"/>
      <c r="AM3285" s="87"/>
      <c r="AN3285" s="87"/>
      <c r="AO3285" s="87"/>
      <c r="AP3285" s="87"/>
      <c r="AQ3285" s="87"/>
      <c r="AR3285" s="87"/>
      <c r="AS3285" s="87"/>
      <c r="AT3285" s="87"/>
      <c r="AU3285" s="87"/>
      <c r="AV3285" s="92" t="str">
        <f>HYPERLINK("https://pbs.twimg.com/profile_images/1604888284173320202/LFQMtVpg_normal.jpg")</f>
        <v>https://pbs.twimg.com/profile_images/1604888284173320202/LFQMtVpg_normal.jpg</v>
      </c>
      <c r="AW3285" s="93" t="s">
        <v>21422</v>
      </c>
      <c r="AX3285" s="93" t="s">
        <v>22460</v>
      </c>
      <c r="AY3285" s="93" t="s">
        <v>22627</v>
      </c>
      <c r="AZ3285" s="93" t="s">
        <v>22460</v>
      </c>
      <c r="BA3285" s="93" t="s">
        <v>22668</v>
      </c>
      <c r="BB3285" s="93" t="s">
        <v>22668</v>
      </c>
      <c r="BC3285" s="93" t="s">
        <v>22460</v>
      </c>
      <c r="BD3285" s="87">
        <v>96334264</v>
      </c>
      <c r="BE3285" s="87"/>
      <c r="BF3285" s="87"/>
      <c r="BG3285" s="87"/>
      <c r="BH3285" s="87"/>
      <c r="BI3285" s="87"/>
    </row>
    <row r="3286" spans="1:61" x14ac:dyDescent="0.25">
      <c r="A3286" s="63" t="s">
        <v>1251</v>
      </c>
      <c r="B3286" s="63" t="s">
        <v>1782</v>
      </c>
      <c r="C3286" s="64"/>
      <c r="D3286" s="65"/>
      <c r="E3286" s="66"/>
      <c r="F3286" s="67"/>
      <c r="G3286" s="64"/>
      <c r="H3286" s="68"/>
      <c r="I3286" s="69"/>
      <c r="J3286" s="69"/>
      <c r="K3286" s="32"/>
      <c r="L3286" s="76">
        <v>3286</v>
      </c>
      <c r="M3286" s="76"/>
      <c r="N3286" s="71"/>
      <c r="O3286" s="87" t="s">
        <v>1844</v>
      </c>
      <c r="P3286" s="90">
        <v>45137.610289351855</v>
      </c>
      <c r="Q3286" s="87" t="s">
        <v>4971</v>
      </c>
      <c r="R3286" s="87">
        <v>1</v>
      </c>
      <c r="S3286" s="87">
        <v>2</v>
      </c>
      <c r="T3286" s="87">
        <v>0</v>
      </c>
      <c r="U3286" s="87">
        <v>0</v>
      </c>
      <c r="V3286" s="87">
        <v>216</v>
      </c>
      <c r="W3286" s="93" t="s">
        <v>7721</v>
      </c>
      <c r="X3286" s="87"/>
      <c r="Y3286" s="87"/>
      <c r="Z3286" s="87" t="s">
        <v>8608</v>
      </c>
      <c r="AA3286" s="87"/>
      <c r="AB3286" s="87"/>
      <c r="AC3286" s="93" t="s">
        <v>11458</v>
      </c>
      <c r="AD3286" s="87" t="s">
        <v>11519</v>
      </c>
      <c r="AE3286" s="92" t="str">
        <f>HYPERLINK("https://twitter.com/cufa_brasil/status/1685661227274379264")</f>
        <v>https://twitter.com/cufa_brasil/status/1685661227274379264</v>
      </c>
      <c r="AF3286" s="90">
        <v>45137.610289351855</v>
      </c>
      <c r="AG3286" s="99">
        <v>45137</v>
      </c>
      <c r="AH3286" s="93" t="s">
        <v>14109</v>
      </c>
      <c r="AI3286" s="87"/>
      <c r="AJ3286" s="87"/>
      <c r="AK3286" s="87"/>
      <c r="AL3286" s="87"/>
      <c r="AM3286" s="87"/>
      <c r="AN3286" s="87"/>
      <c r="AO3286" s="87"/>
      <c r="AP3286" s="87"/>
      <c r="AQ3286" s="87"/>
      <c r="AR3286" s="87"/>
      <c r="AS3286" s="87"/>
      <c r="AT3286" s="87"/>
      <c r="AU3286" s="87"/>
      <c r="AV3286" s="92" t="str">
        <f>HYPERLINK("https://pbs.twimg.com/profile_images/1604888284173320202/LFQMtVpg_normal.jpg")</f>
        <v>https://pbs.twimg.com/profile_images/1604888284173320202/LFQMtVpg_normal.jpg</v>
      </c>
      <c r="AW3286" s="93" t="s">
        <v>21422</v>
      </c>
      <c r="AX3286" s="93" t="s">
        <v>22460</v>
      </c>
      <c r="AY3286" s="93" t="s">
        <v>22627</v>
      </c>
      <c r="AZ3286" s="93" t="s">
        <v>22460</v>
      </c>
      <c r="BA3286" s="93" t="s">
        <v>22668</v>
      </c>
      <c r="BB3286" s="93" t="s">
        <v>22668</v>
      </c>
      <c r="BC3286" s="93" t="s">
        <v>22460</v>
      </c>
      <c r="BD3286" s="87">
        <v>96334264</v>
      </c>
      <c r="BE3286" s="87"/>
      <c r="BF3286" s="87"/>
      <c r="BG3286" s="87"/>
      <c r="BH3286" s="87"/>
      <c r="BI3286" s="87"/>
    </row>
    <row r="3287" spans="1:61" x14ac:dyDescent="0.25">
      <c r="A3287" s="63" t="s">
        <v>1251</v>
      </c>
      <c r="B3287" s="63" t="s">
        <v>1251</v>
      </c>
      <c r="C3287" s="64"/>
      <c r="D3287" s="65"/>
      <c r="E3287" s="66"/>
      <c r="F3287" s="67"/>
      <c r="G3287" s="64"/>
      <c r="H3287" s="68"/>
      <c r="I3287" s="69"/>
      <c r="J3287" s="69"/>
      <c r="K3287" s="32"/>
      <c r="L3287" s="76">
        <v>3287</v>
      </c>
      <c r="M3287" s="76"/>
      <c r="N3287" s="71"/>
      <c r="O3287" s="87" t="s">
        <v>1840</v>
      </c>
      <c r="P3287" s="90">
        <v>45137.610289351855</v>
      </c>
      <c r="Q3287" s="87" t="s">
        <v>4971</v>
      </c>
      <c r="R3287" s="87">
        <v>1</v>
      </c>
      <c r="S3287" s="87">
        <v>2</v>
      </c>
      <c r="T3287" s="87">
        <v>0</v>
      </c>
      <c r="U3287" s="87">
        <v>0</v>
      </c>
      <c r="V3287" s="87">
        <v>216</v>
      </c>
      <c r="W3287" s="93" t="s">
        <v>7721</v>
      </c>
      <c r="X3287" s="87"/>
      <c r="Y3287" s="87"/>
      <c r="Z3287" s="87" t="s">
        <v>8608</v>
      </c>
      <c r="AA3287" s="87"/>
      <c r="AB3287" s="87"/>
      <c r="AC3287" s="93" t="s">
        <v>11458</v>
      </c>
      <c r="AD3287" s="87" t="s">
        <v>11519</v>
      </c>
      <c r="AE3287" s="92" t="str">
        <f>HYPERLINK("https://twitter.com/cufa_brasil/status/1685661227274379264")</f>
        <v>https://twitter.com/cufa_brasil/status/1685661227274379264</v>
      </c>
      <c r="AF3287" s="90">
        <v>45137.610289351855</v>
      </c>
      <c r="AG3287" s="99">
        <v>45137</v>
      </c>
      <c r="AH3287" s="93" t="s">
        <v>14109</v>
      </c>
      <c r="AI3287" s="87"/>
      <c r="AJ3287" s="87"/>
      <c r="AK3287" s="87"/>
      <c r="AL3287" s="87"/>
      <c r="AM3287" s="87"/>
      <c r="AN3287" s="87"/>
      <c r="AO3287" s="87"/>
      <c r="AP3287" s="87"/>
      <c r="AQ3287" s="87"/>
      <c r="AR3287" s="87"/>
      <c r="AS3287" s="87"/>
      <c r="AT3287" s="87"/>
      <c r="AU3287" s="87"/>
      <c r="AV3287" s="92" t="str">
        <f>HYPERLINK("https://pbs.twimg.com/profile_images/1604888284173320202/LFQMtVpg_normal.jpg")</f>
        <v>https://pbs.twimg.com/profile_images/1604888284173320202/LFQMtVpg_normal.jpg</v>
      </c>
      <c r="AW3287" s="93" t="s">
        <v>21422</v>
      </c>
      <c r="AX3287" s="93" t="s">
        <v>22460</v>
      </c>
      <c r="AY3287" s="93" t="s">
        <v>22627</v>
      </c>
      <c r="AZ3287" s="93" t="s">
        <v>22460</v>
      </c>
      <c r="BA3287" s="93" t="s">
        <v>22668</v>
      </c>
      <c r="BB3287" s="93" t="s">
        <v>22668</v>
      </c>
      <c r="BC3287" s="93" t="s">
        <v>22460</v>
      </c>
      <c r="BD3287" s="87">
        <v>96334264</v>
      </c>
      <c r="BE3287" s="87"/>
      <c r="BF3287" s="87"/>
      <c r="BG3287" s="87"/>
      <c r="BH3287" s="87"/>
      <c r="BI3287" s="87"/>
    </row>
    <row r="3288" spans="1:61" x14ac:dyDescent="0.25">
      <c r="A3288" s="63" t="s">
        <v>1251</v>
      </c>
      <c r="B3288" s="63" t="s">
        <v>1782</v>
      </c>
      <c r="C3288" s="64"/>
      <c r="D3288" s="65"/>
      <c r="E3288" s="66"/>
      <c r="F3288" s="67"/>
      <c r="G3288" s="64"/>
      <c r="H3288" s="68"/>
      <c r="I3288" s="69"/>
      <c r="J3288" s="69"/>
      <c r="K3288" s="32"/>
      <c r="L3288" s="76">
        <v>3288</v>
      </c>
      <c r="M3288" s="76"/>
      <c r="N3288" s="71"/>
      <c r="O3288" s="87" t="s">
        <v>1839</v>
      </c>
      <c r="P3288" s="90">
        <v>45136.835011574076</v>
      </c>
      <c r="Q3288" s="87" t="s">
        <v>4972</v>
      </c>
      <c r="R3288" s="87">
        <v>0</v>
      </c>
      <c r="S3288" s="87">
        <v>2</v>
      </c>
      <c r="T3288" s="87">
        <v>0</v>
      </c>
      <c r="U3288" s="87">
        <v>0</v>
      </c>
      <c r="V3288" s="87">
        <v>305</v>
      </c>
      <c r="W3288" s="93" t="s">
        <v>7722</v>
      </c>
      <c r="X3288" s="87"/>
      <c r="Y3288" s="87"/>
      <c r="Z3288" s="87" t="s">
        <v>8609</v>
      </c>
      <c r="AA3288" s="87" t="s">
        <v>10860</v>
      </c>
      <c r="AB3288" s="87" t="s">
        <v>11447</v>
      </c>
      <c r="AC3288" s="93" t="s">
        <v>11458</v>
      </c>
      <c r="AD3288" s="87" t="s">
        <v>11519</v>
      </c>
      <c r="AE3288" s="92" t="str">
        <f>HYPERLINK("https://twitter.com/cufa_brasil/status/1685380276417937408")</f>
        <v>https://twitter.com/cufa_brasil/status/1685380276417937408</v>
      </c>
      <c r="AF3288" s="90">
        <v>45136.835011574076</v>
      </c>
      <c r="AG3288" s="99">
        <v>45136</v>
      </c>
      <c r="AH3288" s="93" t="s">
        <v>14438</v>
      </c>
      <c r="AI3288" s="87" t="b">
        <v>0</v>
      </c>
      <c r="AJ3288" s="87"/>
      <c r="AK3288" s="87"/>
      <c r="AL3288" s="87"/>
      <c r="AM3288" s="87"/>
      <c r="AN3288" s="87"/>
      <c r="AO3288" s="87"/>
      <c r="AP3288" s="87"/>
      <c r="AQ3288" s="87" t="s">
        <v>17672</v>
      </c>
      <c r="AR3288" s="87">
        <v>140000</v>
      </c>
      <c r="AS3288" s="87"/>
      <c r="AT3288" s="87"/>
      <c r="AU3288" s="87"/>
      <c r="AV3288" s="92" t="str">
        <f>HYPERLINK("https://pbs.twimg.com/ext_tw_video_thumb/1685380125460779008/pu/img/q1C3pvQyUF0Y59Pw.jpg")</f>
        <v>https://pbs.twimg.com/ext_tw_video_thumb/1685380125460779008/pu/img/q1C3pvQyUF0Y59Pw.jpg</v>
      </c>
      <c r="AW3288" s="93" t="s">
        <v>21423</v>
      </c>
      <c r="AX3288" s="93" t="s">
        <v>21423</v>
      </c>
      <c r="AY3288" s="87"/>
      <c r="AZ3288" s="93" t="s">
        <v>22668</v>
      </c>
      <c r="BA3288" s="93" t="s">
        <v>22668</v>
      </c>
      <c r="BB3288" s="93" t="s">
        <v>22668</v>
      </c>
      <c r="BC3288" s="93" t="s">
        <v>21423</v>
      </c>
      <c r="BD3288" s="87">
        <v>96334264</v>
      </c>
      <c r="BE3288" s="87"/>
      <c r="BF3288" s="87"/>
      <c r="BG3288" s="87"/>
      <c r="BH3288" s="87"/>
      <c r="BI3288" s="87"/>
    </row>
    <row r="3289" spans="1:61" x14ac:dyDescent="0.25">
      <c r="A3289" s="63" t="s">
        <v>1252</v>
      </c>
      <c r="B3289" s="63" t="s">
        <v>1784</v>
      </c>
      <c r="C3289" s="64"/>
      <c r="D3289" s="65"/>
      <c r="E3289" s="66"/>
      <c r="F3289" s="67"/>
      <c r="G3289" s="64"/>
      <c r="H3289" s="68"/>
      <c r="I3289" s="69"/>
      <c r="J3289" s="69"/>
      <c r="K3289" s="32"/>
      <c r="L3289" s="76">
        <v>3289</v>
      </c>
      <c r="M3289" s="76"/>
      <c r="N3289" s="71"/>
      <c r="O3289" s="87" t="s">
        <v>1839</v>
      </c>
      <c r="P3289" s="90">
        <v>45160.937708333331</v>
      </c>
      <c r="Q3289" s="87" t="s">
        <v>4975</v>
      </c>
      <c r="R3289" s="87">
        <v>1</v>
      </c>
      <c r="S3289" s="87">
        <v>2</v>
      </c>
      <c r="T3289" s="87">
        <v>0</v>
      </c>
      <c r="U3289" s="87">
        <v>0</v>
      </c>
      <c r="V3289" s="87">
        <v>165</v>
      </c>
      <c r="W3289" s="93" t="s">
        <v>7725</v>
      </c>
      <c r="X3289" s="87"/>
      <c r="Y3289" s="87"/>
      <c r="Z3289" s="87" t="s">
        <v>8611</v>
      </c>
      <c r="AA3289" s="87" t="s">
        <v>10863</v>
      </c>
      <c r="AB3289" s="87" t="s">
        <v>11448</v>
      </c>
      <c r="AC3289" s="93" t="s">
        <v>11457</v>
      </c>
      <c r="AD3289" s="87" t="s">
        <v>11519</v>
      </c>
      <c r="AE3289" s="92" t="str">
        <f>HYPERLINK("https://twitter.com/kamayvc/status/1694114799972491533")</f>
        <v>https://twitter.com/kamayvc/status/1694114799972491533</v>
      </c>
      <c r="AF3289" s="90">
        <v>45160.937708333331</v>
      </c>
      <c r="AG3289" s="99">
        <v>45160</v>
      </c>
      <c r="AH3289" s="93" t="s">
        <v>14441</v>
      </c>
      <c r="AI3289" s="87" t="b">
        <v>0</v>
      </c>
      <c r="AJ3289" s="87"/>
      <c r="AK3289" s="87"/>
      <c r="AL3289" s="87"/>
      <c r="AM3289" s="87"/>
      <c r="AN3289" s="87"/>
      <c r="AO3289" s="87"/>
      <c r="AP3289" s="87"/>
      <c r="AQ3289" s="87" t="s">
        <v>17675</v>
      </c>
      <c r="AR3289" s="87"/>
      <c r="AS3289" s="87"/>
      <c r="AT3289" s="87"/>
      <c r="AU3289" s="87"/>
      <c r="AV3289" s="92" t="str">
        <f>HYPERLINK("https://pbs.twimg.com/media/F4Kzpo3WIAEA4f8.jpg")</f>
        <v>https://pbs.twimg.com/media/F4Kzpo3WIAEA4f8.jpg</v>
      </c>
      <c r="AW3289" s="93" t="s">
        <v>21426</v>
      </c>
      <c r="AX3289" s="93" t="s">
        <v>21426</v>
      </c>
      <c r="AY3289" s="87"/>
      <c r="AZ3289" s="93" t="s">
        <v>22668</v>
      </c>
      <c r="BA3289" s="93" t="s">
        <v>22668</v>
      </c>
      <c r="BB3289" s="93" t="s">
        <v>22668</v>
      </c>
      <c r="BC3289" s="93" t="s">
        <v>21426</v>
      </c>
      <c r="BD3289" s="93" t="s">
        <v>23387</v>
      </c>
      <c r="BE3289" s="87"/>
      <c r="BF3289" s="87"/>
      <c r="BG3289" s="87"/>
      <c r="BH3289" s="87"/>
      <c r="BI3289" s="87"/>
    </row>
    <row r="3290" spans="1:61" x14ac:dyDescent="0.25">
      <c r="A3290" s="63" t="s">
        <v>1252</v>
      </c>
      <c r="B3290" s="63" t="s">
        <v>1785</v>
      </c>
      <c r="C3290" s="64"/>
      <c r="D3290" s="65"/>
      <c r="E3290" s="66"/>
      <c r="F3290" s="67"/>
      <c r="G3290" s="64"/>
      <c r="H3290" s="68"/>
      <c r="I3290" s="69"/>
      <c r="J3290" s="69"/>
      <c r="K3290" s="32"/>
      <c r="L3290" s="76">
        <v>3290</v>
      </c>
      <c r="M3290" s="76"/>
      <c r="N3290" s="71"/>
      <c r="O3290" s="87" t="s">
        <v>1839</v>
      </c>
      <c r="P3290" s="90">
        <v>45160.937708333331</v>
      </c>
      <c r="Q3290" s="87" t="s">
        <v>4975</v>
      </c>
      <c r="R3290" s="87">
        <v>1</v>
      </c>
      <c r="S3290" s="87">
        <v>2</v>
      </c>
      <c r="T3290" s="87">
        <v>0</v>
      </c>
      <c r="U3290" s="87">
        <v>0</v>
      </c>
      <c r="V3290" s="87">
        <v>165</v>
      </c>
      <c r="W3290" s="93" t="s">
        <v>7725</v>
      </c>
      <c r="X3290" s="87"/>
      <c r="Y3290" s="87"/>
      <c r="Z3290" s="87" t="s">
        <v>8611</v>
      </c>
      <c r="AA3290" s="87" t="s">
        <v>10863</v>
      </c>
      <c r="AB3290" s="87" t="s">
        <v>11448</v>
      </c>
      <c r="AC3290" s="93" t="s">
        <v>11457</v>
      </c>
      <c r="AD3290" s="87" t="s">
        <v>11519</v>
      </c>
      <c r="AE3290" s="92" t="str">
        <f>HYPERLINK("https://twitter.com/kamayvc/status/1694114799972491533")</f>
        <v>https://twitter.com/kamayvc/status/1694114799972491533</v>
      </c>
      <c r="AF3290" s="90">
        <v>45160.937708333331</v>
      </c>
      <c r="AG3290" s="99">
        <v>45160</v>
      </c>
      <c r="AH3290" s="93" t="s">
        <v>14441</v>
      </c>
      <c r="AI3290" s="87" t="b">
        <v>0</v>
      </c>
      <c r="AJ3290" s="87"/>
      <c r="AK3290" s="87"/>
      <c r="AL3290" s="87"/>
      <c r="AM3290" s="87"/>
      <c r="AN3290" s="87"/>
      <c r="AO3290" s="87"/>
      <c r="AP3290" s="87"/>
      <c r="AQ3290" s="87" t="s">
        <v>17675</v>
      </c>
      <c r="AR3290" s="87"/>
      <c r="AS3290" s="87"/>
      <c r="AT3290" s="87"/>
      <c r="AU3290" s="87"/>
      <c r="AV3290" s="92" t="str">
        <f>HYPERLINK("https://pbs.twimg.com/media/F4Kzpo3WIAEA4f8.jpg")</f>
        <v>https://pbs.twimg.com/media/F4Kzpo3WIAEA4f8.jpg</v>
      </c>
      <c r="AW3290" s="93" t="s">
        <v>21426</v>
      </c>
      <c r="AX3290" s="93" t="s">
        <v>21426</v>
      </c>
      <c r="AY3290" s="87"/>
      <c r="AZ3290" s="93" t="s">
        <v>22668</v>
      </c>
      <c r="BA3290" s="93" t="s">
        <v>22668</v>
      </c>
      <c r="BB3290" s="93" t="s">
        <v>22668</v>
      </c>
      <c r="BC3290" s="93" t="s">
        <v>21426</v>
      </c>
      <c r="BD3290" s="93" t="s">
        <v>23387</v>
      </c>
      <c r="BE3290" s="87"/>
      <c r="BF3290" s="87"/>
      <c r="BG3290" s="87"/>
      <c r="BH3290" s="87"/>
      <c r="BI3290" s="87"/>
    </row>
    <row r="3291" spans="1:61" x14ac:dyDescent="0.25">
      <c r="A3291" s="63" t="s">
        <v>1252</v>
      </c>
      <c r="B3291" s="63" t="s">
        <v>1786</v>
      </c>
      <c r="C3291" s="64"/>
      <c r="D3291" s="65"/>
      <c r="E3291" s="66"/>
      <c r="F3291" s="67"/>
      <c r="G3291" s="64"/>
      <c r="H3291" s="68"/>
      <c r="I3291" s="69"/>
      <c r="J3291" s="69"/>
      <c r="K3291" s="32"/>
      <c r="L3291" s="76">
        <v>3291</v>
      </c>
      <c r="M3291" s="76"/>
      <c r="N3291" s="71"/>
      <c r="O3291" s="87" t="s">
        <v>1839</v>
      </c>
      <c r="P3291" s="90">
        <v>45160.937708333331</v>
      </c>
      <c r="Q3291" s="87" t="s">
        <v>4975</v>
      </c>
      <c r="R3291" s="87">
        <v>1</v>
      </c>
      <c r="S3291" s="87">
        <v>2</v>
      </c>
      <c r="T3291" s="87">
        <v>0</v>
      </c>
      <c r="U3291" s="87">
        <v>0</v>
      </c>
      <c r="V3291" s="87">
        <v>165</v>
      </c>
      <c r="W3291" s="93" t="s">
        <v>7725</v>
      </c>
      <c r="X3291" s="87"/>
      <c r="Y3291" s="87"/>
      <c r="Z3291" s="87" t="s">
        <v>8611</v>
      </c>
      <c r="AA3291" s="87" t="s">
        <v>10863</v>
      </c>
      <c r="AB3291" s="87" t="s">
        <v>11448</v>
      </c>
      <c r="AC3291" s="93" t="s">
        <v>11457</v>
      </c>
      <c r="AD3291" s="87" t="s">
        <v>11519</v>
      </c>
      <c r="AE3291" s="92" t="str">
        <f>HYPERLINK("https://twitter.com/kamayvc/status/1694114799972491533")</f>
        <v>https://twitter.com/kamayvc/status/1694114799972491533</v>
      </c>
      <c r="AF3291" s="90">
        <v>45160.937708333331</v>
      </c>
      <c r="AG3291" s="99">
        <v>45160</v>
      </c>
      <c r="AH3291" s="93" t="s">
        <v>14441</v>
      </c>
      <c r="AI3291" s="87" t="b">
        <v>0</v>
      </c>
      <c r="AJ3291" s="87"/>
      <c r="AK3291" s="87"/>
      <c r="AL3291" s="87"/>
      <c r="AM3291" s="87"/>
      <c r="AN3291" s="87"/>
      <c r="AO3291" s="87"/>
      <c r="AP3291" s="87"/>
      <c r="AQ3291" s="87" t="s">
        <v>17675</v>
      </c>
      <c r="AR3291" s="87"/>
      <c r="AS3291" s="87"/>
      <c r="AT3291" s="87"/>
      <c r="AU3291" s="87"/>
      <c r="AV3291" s="92" t="str">
        <f>HYPERLINK("https://pbs.twimg.com/media/F4Kzpo3WIAEA4f8.jpg")</f>
        <v>https://pbs.twimg.com/media/F4Kzpo3WIAEA4f8.jpg</v>
      </c>
      <c r="AW3291" s="93" t="s">
        <v>21426</v>
      </c>
      <c r="AX3291" s="93" t="s">
        <v>21426</v>
      </c>
      <c r="AY3291" s="87"/>
      <c r="AZ3291" s="93" t="s">
        <v>22668</v>
      </c>
      <c r="BA3291" s="93" t="s">
        <v>22668</v>
      </c>
      <c r="BB3291" s="93" t="s">
        <v>22668</v>
      </c>
      <c r="BC3291" s="93" t="s">
        <v>21426</v>
      </c>
      <c r="BD3291" s="93" t="s">
        <v>23387</v>
      </c>
      <c r="BE3291" s="87"/>
      <c r="BF3291" s="87"/>
      <c r="BG3291" s="87"/>
      <c r="BH3291" s="87"/>
      <c r="BI3291" s="87"/>
    </row>
    <row r="3292" spans="1:61" x14ac:dyDescent="0.25">
      <c r="A3292" s="63" t="s">
        <v>1252</v>
      </c>
      <c r="B3292" s="63" t="s">
        <v>1787</v>
      </c>
      <c r="C3292" s="64"/>
      <c r="D3292" s="65"/>
      <c r="E3292" s="66"/>
      <c r="F3292" s="67"/>
      <c r="G3292" s="64"/>
      <c r="H3292" s="68"/>
      <c r="I3292" s="69"/>
      <c r="J3292" s="69"/>
      <c r="K3292" s="32"/>
      <c r="L3292" s="76">
        <v>3292</v>
      </c>
      <c r="M3292" s="76"/>
      <c r="N3292" s="71"/>
      <c r="O3292" s="87" t="s">
        <v>1839</v>
      </c>
      <c r="P3292" s="90">
        <v>45160.937708333331</v>
      </c>
      <c r="Q3292" s="87" t="s">
        <v>4975</v>
      </c>
      <c r="R3292" s="87">
        <v>1</v>
      </c>
      <c r="S3292" s="87">
        <v>2</v>
      </c>
      <c r="T3292" s="87">
        <v>0</v>
      </c>
      <c r="U3292" s="87">
        <v>0</v>
      </c>
      <c r="V3292" s="87">
        <v>165</v>
      </c>
      <c r="W3292" s="93" t="s">
        <v>7725</v>
      </c>
      <c r="X3292" s="87"/>
      <c r="Y3292" s="87"/>
      <c r="Z3292" s="87" t="s">
        <v>8611</v>
      </c>
      <c r="AA3292" s="87" t="s">
        <v>10863</v>
      </c>
      <c r="AB3292" s="87" t="s">
        <v>11448</v>
      </c>
      <c r="AC3292" s="93" t="s">
        <v>11457</v>
      </c>
      <c r="AD3292" s="87" t="s">
        <v>11519</v>
      </c>
      <c r="AE3292" s="92" t="str">
        <f>HYPERLINK("https://twitter.com/kamayvc/status/1694114799972491533")</f>
        <v>https://twitter.com/kamayvc/status/1694114799972491533</v>
      </c>
      <c r="AF3292" s="90">
        <v>45160.937708333331</v>
      </c>
      <c r="AG3292" s="99">
        <v>45160</v>
      </c>
      <c r="AH3292" s="93" t="s">
        <v>14441</v>
      </c>
      <c r="AI3292" s="87" t="b">
        <v>0</v>
      </c>
      <c r="AJ3292" s="87"/>
      <c r="AK3292" s="87"/>
      <c r="AL3292" s="87"/>
      <c r="AM3292" s="87"/>
      <c r="AN3292" s="87"/>
      <c r="AO3292" s="87"/>
      <c r="AP3292" s="87"/>
      <c r="AQ3292" s="87" t="s">
        <v>17675</v>
      </c>
      <c r="AR3292" s="87"/>
      <c r="AS3292" s="87"/>
      <c r="AT3292" s="87"/>
      <c r="AU3292" s="87"/>
      <c r="AV3292" s="92" t="str">
        <f>HYPERLINK("https://pbs.twimg.com/media/F4Kzpo3WIAEA4f8.jpg")</f>
        <v>https://pbs.twimg.com/media/F4Kzpo3WIAEA4f8.jpg</v>
      </c>
      <c r="AW3292" s="93" t="s">
        <v>21426</v>
      </c>
      <c r="AX3292" s="93" t="s">
        <v>21426</v>
      </c>
      <c r="AY3292" s="87"/>
      <c r="AZ3292" s="93" t="s">
        <v>22668</v>
      </c>
      <c r="BA3292" s="93" t="s">
        <v>22668</v>
      </c>
      <c r="BB3292" s="93" t="s">
        <v>22668</v>
      </c>
      <c r="BC3292" s="93" t="s">
        <v>21426</v>
      </c>
      <c r="BD3292" s="93" t="s">
        <v>23387</v>
      </c>
      <c r="BE3292" s="87"/>
      <c r="BF3292" s="87"/>
      <c r="BG3292" s="87"/>
      <c r="BH3292" s="87"/>
      <c r="BI3292" s="87"/>
    </row>
    <row r="3293" spans="1:61" x14ac:dyDescent="0.25">
      <c r="A3293" s="63" t="s">
        <v>1252</v>
      </c>
      <c r="B3293" s="63" t="s">
        <v>1788</v>
      </c>
      <c r="C3293" s="64"/>
      <c r="D3293" s="65"/>
      <c r="E3293" s="66"/>
      <c r="F3293" s="67"/>
      <c r="G3293" s="64"/>
      <c r="H3293" s="68"/>
      <c r="I3293" s="69"/>
      <c r="J3293" s="69"/>
      <c r="K3293" s="32"/>
      <c r="L3293" s="76">
        <v>3293</v>
      </c>
      <c r="M3293" s="76"/>
      <c r="N3293" s="71"/>
      <c r="O3293" s="87" t="s">
        <v>1839</v>
      </c>
      <c r="P3293" s="90">
        <v>45160.937708333331</v>
      </c>
      <c r="Q3293" s="87" t="s">
        <v>4975</v>
      </c>
      <c r="R3293" s="87">
        <v>1</v>
      </c>
      <c r="S3293" s="87">
        <v>2</v>
      </c>
      <c r="T3293" s="87">
        <v>0</v>
      </c>
      <c r="U3293" s="87">
        <v>0</v>
      </c>
      <c r="V3293" s="87">
        <v>165</v>
      </c>
      <c r="W3293" s="93" t="s">
        <v>7725</v>
      </c>
      <c r="X3293" s="87"/>
      <c r="Y3293" s="87"/>
      <c r="Z3293" s="87" t="s">
        <v>8611</v>
      </c>
      <c r="AA3293" s="87" t="s">
        <v>10863</v>
      </c>
      <c r="AB3293" s="87" t="s">
        <v>11448</v>
      </c>
      <c r="AC3293" s="93" t="s">
        <v>11457</v>
      </c>
      <c r="AD3293" s="87" t="s">
        <v>11519</v>
      </c>
      <c r="AE3293" s="92" t="str">
        <f>HYPERLINK("https://twitter.com/kamayvc/status/1694114799972491533")</f>
        <v>https://twitter.com/kamayvc/status/1694114799972491533</v>
      </c>
      <c r="AF3293" s="90">
        <v>45160.937708333331</v>
      </c>
      <c r="AG3293" s="99">
        <v>45160</v>
      </c>
      <c r="AH3293" s="93" t="s">
        <v>14441</v>
      </c>
      <c r="AI3293" s="87" t="b">
        <v>0</v>
      </c>
      <c r="AJ3293" s="87"/>
      <c r="AK3293" s="87"/>
      <c r="AL3293" s="87"/>
      <c r="AM3293" s="87"/>
      <c r="AN3293" s="87"/>
      <c r="AO3293" s="87"/>
      <c r="AP3293" s="87"/>
      <c r="AQ3293" s="87" t="s">
        <v>17675</v>
      </c>
      <c r="AR3293" s="87"/>
      <c r="AS3293" s="87"/>
      <c r="AT3293" s="87"/>
      <c r="AU3293" s="87"/>
      <c r="AV3293" s="92" t="str">
        <f>HYPERLINK("https://pbs.twimg.com/media/F4Kzpo3WIAEA4f8.jpg")</f>
        <v>https://pbs.twimg.com/media/F4Kzpo3WIAEA4f8.jpg</v>
      </c>
      <c r="AW3293" s="93" t="s">
        <v>21426</v>
      </c>
      <c r="AX3293" s="93" t="s">
        <v>21426</v>
      </c>
      <c r="AY3293" s="87"/>
      <c r="AZ3293" s="93" t="s">
        <v>22668</v>
      </c>
      <c r="BA3293" s="93" t="s">
        <v>22668</v>
      </c>
      <c r="BB3293" s="93" t="s">
        <v>22668</v>
      </c>
      <c r="BC3293" s="93" t="s">
        <v>21426</v>
      </c>
      <c r="BD3293" s="93" t="s">
        <v>23387</v>
      </c>
      <c r="BE3293" s="87"/>
      <c r="BF3293" s="87"/>
      <c r="BG3293" s="87"/>
      <c r="BH3293" s="87"/>
      <c r="BI3293" s="87"/>
    </row>
    <row r="3294" spans="1:61" x14ac:dyDescent="0.25">
      <c r="A3294" s="63" t="s">
        <v>1252</v>
      </c>
      <c r="B3294" s="63" t="s">
        <v>1789</v>
      </c>
      <c r="C3294" s="64"/>
      <c r="D3294" s="65"/>
      <c r="E3294" s="66"/>
      <c r="F3294" s="67"/>
      <c r="G3294" s="64"/>
      <c r="H3294" s="68"/>
      <c r="I3294" s="69"/>
      <c r="J3294" s="69"/>
      <c r="K3294" s="32"/>
      <c r="L3294" s="76">
        <v>3294</v>
      </c>
      <c r="M3294" s="76"/>
      <c r="N3294" s="71"/>
      <c r="O3294" s="87" t="s">
        <v>1839</v>
      </c>
      <c r="P3294" s="90">
        <v>45160.937708333331</v>
      </c>
      <c r="Q3294" s="87" t="s">
        <v>4975</v>
      </c>
      <c r="R3294" s="87">
        <v>1</v>
      </c>
      <c r="S3294" s="87">
        <v>2</v>
      </c>
      <c r="T3294" s="87">
        <v>0</v>
      </c>
      <c r="U3294" s="87">
        <v>0</v>
      </c>
      <c r="V3294" s="87">
        <v>165</v>
      </c>
      <c r="W3294" s="93" t="s">
        <v>7725</v>
      </c>
      <c r="X3294" s="87"/>
      <c r="Y3294" s="87"/>
      <c r="Z3294" s="87" t="s">
        <v>8611</v>
      </c>
      <c r="AA3294" s="87" t="s">
        <v>10863</v>
      </c>
      <c r="AB3294" s="87" t="s">
        <v>11448</v>
      </c>
      <c r="AC3294" s="93" t="s">
        <v>11457</v>
      </c>
      <c r="AD3294" s="87" t="s">
        <v>11519</v>
      </c>
      <c r="AE3294" s="92" t="str">
        <f>HYPERLINK("https://twitter.com/kamayvc/status/1694114799972491533")</f>
        <v>https://twitter.com/kamayvc/status/1694114799972491533</v>
      </c>
      <c r="AF3294" s="90">
        <v>45160.937708333331</v>
      </c>
      <c r="AG3294" s="99">
        <v>45160</v>
      </c>
      <c r="AH3294" s="93" t="s">
        <v>14441</v>
      </c>
      <c r="AI3294" s="87" t="b">
        <v>0</v>
      </c>
      <c r="AJ3294" s="87"/>
      <c r="AK3294" s="87"/>
      <c r="AL3294" s="87"/>
      <c r="AM3294" s="87"/>
      <c r="AN3294" s="87"/>
      <c r="AO3294" s="87"/>
      <c r="AP3294" s="87"/>
      <c r="AQ3294" s="87" t="s">
        <v>17675</v>
      </c>
      <c r="AR3294" s="87"/>
      <c r="AS3294" s="87"/>
      <c r="AT3294" s="87"/>
      <c r="AU3294" s="87"/>
      <c r="AV3294" s="92" t="str">
        <f>HYPERLINK("https://pbs.twimg.com/media/F4Kzpo3WIAEA4f8.jpg")</f>
        <v>https://pbs.twimg.com/media/F4Kzpo3WIAEA4f8.jpg</v>
      </c>
      <c r="AW3294" s="93" t="s">
        <v>21426</v>
      </c>
      <c r="AX3294" s="93" t="s">
        <v>21426</v>
      </c>
      <c r="AY3294" s="87"/>
      <c r="AZ3294" s="93" t="s">
        <v>22668</v>
      </c>
      <c r="BA3294" s="93" t="s">
        <v>22668</v>
      </c>
      <c r="BB3294" s="93" t="s">
        <v>22668</v>
      </c>
      <c r="BC3294" s="93" t="s">
        <v>21426</v>
      </c>
      <c r="BD3294" s="93" t="s">
        <v>23387</v>
      </c>
      <c r="BE3294" s="87"/>
      <c r="BF3294" s="87"/>
      <c r="BG3294" s="87"/>
      <c r="BH3294" s="87"/>
      <c r="BI3294" s="87"/>
    </row>
    <row r="3295" spans="1:61" x14ac:dyDescent="0.25">
      <c r="A3295" s="63" t="s">
        <v>1252</v>
      </c>
      <c r="B3295" s="63" t="s">
        <v>1252</v>
      </c>
      <c r="C3295" s="64"/>
      <c r="D3295" s="65"/>
      <c r="E3295" s="66"/>
      <c r="F3295" s="67"/>
      <c r="G3295" s="64"/>
      <c r="H3295" s="68"/>
      <c r="I3295" s="69"/>
      <c r="J3295" s="69"/>
      <c r="K3295" s="32"/>
      <c r="L3295" s="76">
        <v>3295</v>
      </c>
      <c r="M3295" s="76"/>
      <c r="N3295" s="71"/>
      <c r="O3295" s="87" t="s">
        <v>179</v>
      </c>
      <c r="P3295" s="90">
        <v>45160.661365740743</v>
      </c>
      <c r="Q3295" s="87" t="s">
        <v>4976</v>
      </c>
      <c r="R3295" s="87">
        <v>0</v>
      </c>
      <c r="S3295" s="87">
        <v>0</v>
      </c>
      <c r="T3295" s="87">
        <v>0</v>
      </c>
      <c r="U3295" s="87">
        <v>0</v>
      </c>
      <c r="V3295" s="87">
        <v>49</v>
      </c>
      <c r="W3295" s="93" t="s">
        <v>7726</v>
      </c>
      <c r="X3295" s="87"/>
      <c r="Y3295" s="87"/>
      <c r="Z3295" s="87"/>
      <c r="AA3295" s="87" t="s">
        <v>10864</v>
      </c>
      <c r="AB3295" s="87" t="s">
        <v>11447</v>
      </c>
      <c r="AC3295" s="93" t="s">
        <v>11457</v>
      </c>
      <c r="AD3295" s="87" t="s">
        <v>11519</v>
      </c>
      <c r="AE3295" s="92" t="str">
        <f>HYPERLINK("https://twitter.com/kamayvc/status/1694014656380104796")</f>
        <v>https://twitter.com/kamayvc/status/1694014656380104796</v>
      </c>
      <c r="AF3295" s="90">
        <v>45160.661365740743</v>
      </c>
      <c r="AG3295" s="99">
        <v>45160</v>
      </c>
      <c r="AH3295" s="93" t="s">
        <v>14442</v>
      </c>
      <c r="AI3295" s="87" t="b">
        <v>0</v>
      </c>
      <c r="AJ3295" s="87"/>
      <c r="AK3295" s="87"/>
      <c r="AL3295" s="87"/>
      <c r="AM3295" s="87"/>
      <c r="AN3295" s="87"/>
      <c r="AO3295" s="87"/>
      <c r="AP3295" s="87"/>
      <c r="AQ3295" s="87" t="s">
        <v>17676</v>
      </c>
      <c r="AR3295" s="87">
        <v>42353</v>
      </c>
      <c r="AS3295" s="87"/>
      <c r="AT3295" s="87"/>
      <c r="AU3295" s="87"/>
      <c r="AV3295" s="92" t="str">
        <f>HYPERLINK("https://pbs.twimg.com/ext_tw_video_thumb/1694014571571204096/pu/img/h32ZlgAU_anj5KHJ.jpg")</f>
        <v>https://pbs.twimg.com/ext_tw_video_thumb/1694014571571204096/pu/img/h32ZlgAU_anj5KHJ.jpg</v>
      </c>
      <c r="AW3295" s="93" t="s">
        <v>21427</v>
      </c>
      <c r="AX3295" s="93" t="s">
        <v>21427</v>
      </c>
      <c r="AY3295" s="87"/>
      <c r="AZ3295" s="93" t="s">
        <v>22668</v>
      </c>
      <c r="BA3295" s="93" t="s">
        <v>22668</v>
      </c>
      <c r="BB3295" s="93" t="s">
        <v>22668</v>
      </c>
      <c r="BC3295" s="93" t="s">
        <v>21427</v>
      </c>
      <c r="BD3295" s="93" t="s">
        <v>23387</v>
      </c>
      <c r="BE3295" s="87"/>
      <c r="BF3295" s="87"/>
      <c r="BG3295" s="87"/>
      <c r="BH3295" s="87"/>
      <c r="BI3295" s="87"/>
    </row>
    <row r="3296" spans="1:61" x14ac:dyDescent="0.25">
      <c r="A3296" s="63" t="s">
        <v>1252</v>
      </c>
      <c r="B3296" s="63" t="s">
        <v>1252</v>
      </c>
      <c r="C3296" s="64"/>
      <c r="D3296" s="65"/>
      <c r="E3296" s="66"/>
      <c r="F3296" s="67"/>
      <c r="G3296" s="64"/>
      <c r="H3296" s="68"/>
      <c r="I3296" s="69"/>
      <c r="J3296" s="69"/>
      <c r="K3296" s="32"/>
      <c r="L3296" s="76">
        <v>3296</v>
      </c>
      <c r="M3296" s="76"/>
      <c r="N3296" s="71"/>
      <c r="O3296" s="87" t="s">
        <v>179</v>
      </c>
      <c r="P3296" s="90">
        <v>45160.5468287037</v>
      </c>
      <c r="Q3296" s="87" t="s">
        <v>4977</v>
      </c>
      <c r="R3296" s="87">
        <v>0</v>
      </c>
      <c r="S3296" s="87">
        <v>1</v>
      </c>
      <c r="T3296" s="87">
        <v>1</v>
      </c>
      <c r="U3296" s="87">
        <v>0</v>
      </c>
      <c r="V3296" s="87">
        <v>99</v>
      </c>
      <c r="W3296" s="93" t="s">
        <v>7727</v>
      </c>
      <c r="X3296" s="92" t="str">
        <f>HYPERLINK("http://bit.ly/45lTKYU")</f>
        <v>http://bit.ly/45lTKYU</v>
      </c>
      <c r="Y3296" s="87" t="s">
        <v>8374</v>
      </c>
      <c r="Z3296" s="87"/>
      <c r="AA3296" s="87" t="s">
        <v>10865</v>
      </c>
      <c r="AB3296" s="87" t="s">
        <v>11448</v>
      </c>
      <c r="AC3296" s="93" t="s">
        <v>11457</v>
      </c>
      <c r="AD3296" s="87" t="s">
        <v>11519</v>
      </c>
      <c r="AE3296" s="92" t="str">
        <f>HYPERLINK("https://twitter.com/kamayvc/status/1693973149979648133")</f>
        <v>https://twitter.com/kamayvc/status/1693973149979648133</v>
      </c>
      <c r="AF3296" s="90">
        <v>45160.5468287037</v>
      </c>
      <c r="AG3296" s="99">
        <v>45160</v>
      </c>
      <c r="AH3296" s="93" t="s">
        <v>14443</v>
      </c>
      <c r="AI3296" s="87" t="b">
        <v>0</v>
      </c>
      <c r="AJ3296" s="87"/>
      <c r="AK3296" s="87"/>
      <c r="AL3296" s="87"/>
      <c r="AM3296" s="87"/>
      <c r="AN3296" s="87"/>
      <c r="AO3296" s="87"/>
      <c r="AP3296" s="87"/>
      <c r="AQ3296" s="87" t="s">
        <v>17677</v>
      </c>
      <c r="AR3296" s="87"/>
      <c r="AS3296" s="87"/>
      <c r="AT3296" s="87"/>
      <c r="AU3296" s="87"/>
      <c r="AV3296" s="92" t="str">
        <f>HYPERLINK("https://pbs.twimg.com/media/F4IyrivX0AArzGm.jpg")</f>
        <v>https://pbs.twimg.com/media/F4IyrivX0AArzGm.jpg</v>
      </c>
      <c r="AW3296" s="93" t="s">
        <v>21428</v>
      </c>
      <c r="AX3296" s="93" t="s">
        <v>21428</v>
      </c>
      <c r="AY3296" s="87"/>
      <c r="AZ3296" s="93" t="s">
        <v>22668</v>
      </c>
      <c r="BA3296" s="93" t="s">
        <v>22668</v>
      </c>
      <c r="BB3296" s="93" t="s">
        <v>22668</v>
      </c>
      <c r="BC3296" s="93" t="s">
        <v>21428</v>
      </c>
      <c r="BD3296" s="93" t="s">
        <v>23387</v>
      </c>
      <c r="BE3296" s="87"/>
      <c r="BF3296" s="87"/>
      <c r="BG3296" s="87"/>
      <c r="BH3296" s="87"/>
      <c r="BI3296" s="87"/>
    </row>
    <row r="3297" spans="1:61" x14ac:dyDescent="0.25">
      <c r="A3297" s="63" t="s">
        <v>1252</v>
      </c>
      <c r="B3297" s="63" t="s">
        <v>1252</v>
      </c>
      <c r="C3297" s="64"/>
      <c r="D3297" s="65"/>
      <c r="E3297" s="66"/>
      <c r="F3297" s="67"/>
      <c r="G3297" s="64"/>
      <c r="H3297" s="68"/>
      <c r="I3297" s="69"/>
      <c r="J3297" s="69"/>
      <c r="K3297" s="32"/>
      <c r="L3297" s="76">
        <v>3297</v>
      </c>
      <c r="M3297" s="76"/>
      <c r="N3297" s="71"/>
      <c r="O3297" s="87" t="s">
        <v>179</v>
      </c>
      <c r="P3297" s="90">
        <v>45160.832291666666</v>
      </c>
      <c r="Q3297" s="87" t="s">
        <v>4978</v>
      </c>
      <c r="R3297" s="87">
        <v>0</v>
      </c>
      <c r="S3297" s="87">
        <v>1</v>
      </c>
      <c r="T3297" s="87">
        <v>0</v>
      </c>
      <c r="U3297" s="87">
        <v>0</v>
      </c>
      <c r="V3297" s="87">
        <v>45</v>
      </c>
      <c r="W3297" s="93" t="s">
        <v>7728</v>
      </c>
      <c r="X3297" s="87"/>
      <c r="Y3297" s="87"/>
      <c r="Z3297" s="87"/>
      <c r="AA3297" s="87" t="s">
        <v>10866</v>
      </c>
      <c r="AB3297" s="87" t="s">
        <v>11447</v>
      </c>
      <c r="AC3297" s="93" t="s">
        <v>11457</v>
      </c>
      <c r="AD3297" s="87" t="s">
        <v>11519</v>
      </c>
      <c r="AE3297" s="92" t="str">
        <f>HYPERLINK("https://twitter.com/kamayvc/status/1694076599660855543")</f>
        <v>https://twitter.com/kamayvc/status/1694076599660855543</v>
      </c>
      <c r="AF3297" s="90">
        <v>45160.832291666666</v>
      </c>
      <c r="AG3297" s="99">
        <v>45160</v>
      </c>
      <c r="AH3297" s="93" t="s">
        <v>14444</v>
      </c>
      <c r="AI3297" s="87" t="b">
        <v>0</v>
      </c>
      <c r="AJ3297" s="87"/>
      <c r="AK3297" s="87"/>
      <c r="AL3297" s="87"/>
      <c r="AM3297" s="87"/>
      <c r="AN3297" s="87"/>
      <c r="AO3297" s="87"/>
      <c r="AP3297" s="87"/>
      <c r="AQ3297" s="87" t="s">
        <v>17678</v>
      </c>
      <c r="AR3297" s="87">
        <v>23312</v>
      </c>
      <c r="AS3297" s="87"/>
      <c r="AT3297" s="87"/>
      <c r="AU3297" s="87"/>
      <c r="AV3297" s="92" t="str">
        <f>HYPERLINK("https://pbs.twimg.com/ext_tw_video_thumb/1694076485114421248/pu/img/bITdf5_Z7pbiYmXO.jpg")</f>
        <v>https://pbs.twimg.com/ext_tw_video_thumb/1694076485114421248/pu/img/bITdf5_Z7pbiYmXO.jpg</v>
      </c>
      <c r="AW3297" s="93" t="s">
        <v>21429</v>
      </c>
      <c r="AX3297" s="93" t="s">
        <v>21429</v>
      </c>
      <c r="AY3297" s="87"/>
      <c r="AZ3297" s="93" t="s">
        <v>22668</v>
      </c>
      <c r="BA3297" s="93" t="s">
        <v>22668</v>
      </c>
      <c r="BB3297" s="93" t="s">
        <v>22668</v>
      </c>
      <c r="BC3297" s="93" t="s">
        <v>21429</v>
      </c>
      <c r="BD3297" s="93" t="s">
        <v>23387</v>
      </c>
      <c r="BE3297" s="87"/>
      <c r="BF3297" s="87"/>
      <c r="BG3297" s="87"/>
      <c r="BH3297" s="87"/>
      <c r="BI3297" s="87"/>
    </row>
    <row r="3298" spans="1:61" x14ac:dyDescent="0.25">
      <c r="A3298" s="63" t="s">
        <v>1252</v>
      </c>
      <c r="B3298" s="63" t="s">
        <v>1252</v>
      </c>
      <c r="C3298" s="64"/>
      <c r="D3298" s="65"/>
      <c r="E3298" s="66"/>
      <c r="F3298" s="67"/>
      <c r="G3298" s="64"/>
      <c r="H3298" s="68"/>
      <c r="I3298" s="69"/>
      <c r="J3298" s="69"/>
      <c r="K3298" s="32"/>
      <c r="L3298" s="76">
        <v>3298</v>
      </c>
      <c r="M3298" s="76"/>
      <c r="N3298" s="71"/>
      <c r="O3298" s="87" t="s">
        <v>179</v>
      </c>
      <c r="P3298" s="90">
        <v>45160.784224537034</v>
      </c>
      <c r="Q3298" s="87" t="s">
        <v>4979</v>
      </c>
      <c r="R3298" s="87">
        <v>0</v>
      </c>
      <c r="S3298" s="87">
        <v>0</v>
      </c>
      <c r="T3298" s="87">
        <v>0</v>
      </c>
      <c r="U3298" s="87">
        <v>0</v>
      </c>
      <c r="V3298" s="87">
        <v>46</v>
      </c>
      <c r="W3298" s="93" t="s">
        <v>7729</v>
      </c>
      <c r="X3298" s="87"/>
      <c r="Y3298" s="87"/>
      <c r="Z3298" s="87"/>
      <c r="AA3298" s="87" t="s">
        <v>10867</v>
      </c>
      <c r="AB3298" s="87" t="s">
        <v>11448</v>
      </c>
      <c r="AC3298" s="93" t="s">
        <v>11457</v>
      </c>
      <c r="AD3298" s="87" t="s">
        <v>11519</v>
      </c>
      <c r="AE3298" s="92" t="str">
        <f>HYPERLINK("https://twitter.com/kamayvc/status/1694059179986534518")</f>
        <v>https://twitter.com/kamayvc/status/1694059179986534518</v>
      </c>
      <c r="AF3298" s="90">
        <v>45160.784224537034</v>
      </c>
      <c r="AG3298" s="99">
        <v>45160</v>
      </c>
      <c r="AH3298" s="93" t="s">
        <v>14445</v>
      </c>
      <c r="AI3298" s="87" t="b">
        <v>0</v>
      </c>
      <c r="AJ3298" s="87"/>
      <c r="AK3298" s="87"/>
      <c r="AL3298" s="87"/>
      <c r="AM3298" s="87"/>
      <c r="AN3298" s="87"/>
      <c r="AO3298" s="87"/>
      <c r="AP3298" s="87"/>
      <c r="AQ3298" s="87" t="s">
        <v>17679</v>
      </c>
      <c r="AR3298" s="87"/>
      <c r="AS3298" s="87"/>
      <c r="AT3298" s="87"/>
      <c r="AU3298" s="87"/>
      <c r="AV3298" s="92" t="str">
        <f>HYPERLINK("https://pbs.twimg.com/media/F4KB1OSWkAEBKwk.jpg")</f>
        <v>https://pbs.twimg.com/media/F4KB1OSWkAEBKwk.jpg</v>
      </c>
      <c r="AW3298" s="93" t="s">
        <v>21430</v>
      </c>
      <c r="AX3298" s="93" t="s">
        <v>21430</v>
      </c>
      <c r="AY3298" s="87"/>
      <c r="AZ3298" s="93" t="s">
        <v>22668</v>
      </c>
      <c r="BA3298" s="93" t="s">
        <v>22668</v>
      </c>
      <c r="BB3298" s="93" t="s">
        <v>22668</v>
      </c>
      <c r="BC3298" s="93" t="s">
        <v>21430</v>
      </c>
      <c r="BD3298" s="93" t="s">
        <v>23387</v>
      </c>
      <c r="BE3298" s="87"/>
      <c r="BF3298" s="87"/>
      <c r="BG3298" s="87"/>
      <c r="BH3298" s="87"/>
      <c r="BI3298" s="87"/>
    </row>
    <row r="3299" spans="1:61" x14ac:dyDescent="0.25">
      <c r="A3299" s="63" t="s">
        <v>1252</v>
      </c>
      <c r="B3299" s="63" t="s">
        <v>1252</v>
      </c>
      <c r="C3299" s="64"/>
      <c r="D3299" s="65"/>
      <c r="E3299" s="66"/>
      <c r="F3299" s="67"/>
      <c r="G3299" s="64"/>
      <c r="H3299" s="68"/>
      <c r="I3299" s="69"/>
      <c r="J3299" s="69"/>
      <c r="K3299" s="32"/>
      <c r="L3299" s="76">
        <v>3299</v>
      </c>
      <c r="M3299" s="76"/>
      <c r="N3299" s="71"/>
      <c r="O3299" s="87" t="s">
        <v>179</v>
      </c>
      <c r="P3299" s="90">
        <v>45160.760138888887</v>
      </c>
      <c r="Q3299" s="87" t="s">
        <v>4980</v>
      </c>
      <c r="R3299" s="87">
        <v>1</v>
      </c>
      <c r="S3299" s="87">
        <v>0</v>
      </c>
      <c r="T3299" s="87">
        <v>0</v>
      </c>
      <c r="U3299" s="87">
        <v>0</v>
      </c>
      <c r="V3299" s="87">
        <v>140</v>
      </c>
      <c r="W3299" s="93" t="s">
        <v>7730</v>
      </c>
      <c r="X3299" s="87"/>
      <c r="Y3299" s="87"/>
      <c r="Z3299" s="87"/>
      <c r="AA3299" s="87" t="s">
        <v>10868</v>
      </c>
      <c r="AB3299" s="87" t="s">
        <v>11447</v>
      </c>
      <c r="AC3299" s="93" t="s">
        <v>11457</v>
      </c>
      <c r="AD3299" s="87" t="s">
        <v>11519</v>
      </c>
      <c r="AE3299" s="92" t="str">
        <f>HYPERLINK("https://twitter.com/kamayvc/status/1694050453141455199")</f>
        <v>https://twitter.com/kamayvc/status/1694050453141455199</v>
      </c>
      <c r="AF3299" s="90">
        <v>45160.760138888887</v>
      </c>
      <c r="AG3299" s="99">
        <v>45160</v>
      </c>
      <c r="AH3299" s="93" t="s">
        <v>14446</v>
      </c>
      <c r="AI3299" s="87" t="b">
        <v>0</v>
      </c>
      <c r="AJ3299" s="87"/>
      <c r="AK3299" s="87"/>
      <c r="AL3299" s="87"/>
      <c r="AM3299" s="87"/>
      <c r="AN3299" s="87"/>
      <c r="AO3299" s="87"/>
      <c r="AP3299" s="87"/>
      <c r="AQ3299" s="87" t="s">
        <v>17680</v>
      </c>
      <c r="AR3299" s="87">
        <v>4342</v>
      </c>
      <c r="AS3299" s="87"/>
      <c r="AT3299" s="87"/>
      <c r="AU3299" s="87"/>
      <c r="AV3299" s="92" t="str">
        <f>HYPERLINK("https://pbs.twimg.com/ext_tw_video_thumb/1694049949300768768/pu/img/gMcR6_qibmOjQBiF.jpg")</f>
        <v>https://pbs.twimg.com/ext_tw_video_thumb/1694049949300768768/pu/img/gMcR6_qibmOjQBiF.jpg</v>
      </c>
      <c r="AW3299" s="93" t="s">
        <v>21431</v>
      </c>
      <c r="AX3299" s="93" t="s">
        <v>21431</v>
      </c>
      <c r="AY3299" s="87"/>
      <c r="AZ3299" s="93" t="s">
        <v>22668</v>
      </c>
      <c r="BA3299" s="93" t="s">
        <v>22668</v>
      </c>
      <c r="BB3299" s="93" t="s">
        <v>22668</v>
      </c>
      <c r="BC3299" s="93" t="s">
        <v>21431</v>
      </c>
      <c r="BD3299" s="93" t="s">
        <v>23387</v>
      </c>
      <c r="BE3299" s="87"/>
      <c r="BF3299" s="87"/>
      <c r="BG3299" s="87"/>
      <c r="BH3299" s="87"/>
      <c r="BI3299" s="87"/>
    </row>
    <row r="3300" spans="1:61" x14ac:dyDescent="0.25">
      <c r="A3300" s="63" t="s">
        <v>1252</v>
      </c>
      <c r="B3300" s="63" t="s">
        <v>1252</v>
      </c>
      <c r="C3300" s="64"/>
      <c r="D3300" s="65"/>
      <c r="E3300" s="66"/>
      <c r="F3300" s="67"/>
      <c r="G3300" s="64"/>
      <c r="H3300" s="68"/>
      <c r="I3300" s="69"/>
      <c r="J3300" s="69"/>
      <c r="K3300" s="32"/>
      <c r="L3300" s="76">
        <v>3300</v>
      </c>
      <c r="M3300" s="76"/>
      <c r="N3300" s="71"/>
      <c r="O3300" s="87" t="s">
        <v>179</v>
      </c>
      <c r="P3300" s="90">
        <v>45160.731712962966</v>
      </c>
      <c r="Q3300" s="87" t="s">
        <v>4981</v>
      </c>
      <c r="R3300" s="87">
        <v>0</v>
      </c>
      <c r="S3300" s="87">
        <v>0</v>
      </c>
      <c r="T3300" s="87">
        <v>0</v>
      </c>
      <c r="U3300" s="87">
        <v>0</v>
      </c>
      <c r="V3300" s="87">
        <v>58</v>
      </c>
      <c r="W3300" s="93" t="s">
        <v>7731</v>
      </c>
      <c r="X3300" s="87"/>
      <c r="Y3300" s="87"/>
      <c r="Z3300" s="87"/>
      <c r="AA3300" s="87" t="s">
        <v>10869</v>
      </c>
      <c r="AB3300" s="87" t="s">
        <v>11447</v>
      </c>
      <c r="AC3300" s="93" t="s">
        <v>11457</v>
      </c>
      <c r="AD3300" s="87" t="s">
        <v>11519</v>
      </c>
      <c r="AE3300" s="92" t="str">
        <f>HYPERLINK("https://twitter.com/kamayvc/status/1694040150433567022")</f>
        <v>https://twitter.com/kamayvc/status/1694040150433567022</v>
      </c>
      <c r="AF3300" s="90">
        <v>45160.731712962966</v>
      </c>
      <c r="AG3300" s="99">
        <v>45160</v>
      </c>
      <c r="AH3300" s="93" t="s">
        <v>14447</v>
      </c>
      <c r="AI3300" s="87" t="b">
        <v>0</v>
      </c>
      <c r="AJ3300" s="87"/>
      <c r="AK3300" s="87"/>
      <c r="AL3300" s="87"/>
      <c r="AM3300" s="87"/>
      <c r="AN3300" s="87"/>
      <c r="AO3300" s="87"/>
      <c r="AP3300" s="87"/>
      <c r="AQ3300" s="87" t="s">
        <v>17681</v>
      </c>
      <c r="AR3300" s="87">
        <v>35433</v>
      </c>
      <c r="AS3300" s="87"/>
      <c r="AT3300" s="87"/>
      <c r="AU3300" s="87"/>
      <c r="AV3300" s="92" t="str">
        <f>HYPERLINK("https://pbs.twimg.com/ext_tw_video_thumb/1694039593387978753/pu/img/8cXbYG6absykt8kD.jpg")</f>
        <v>https://pbs.twimg.com/ext_tw_video_thumb/1694039593387978753/pu/img/8cXbYG6absykt8kD.jpg</v>
      </c>
      <c r="AW3300" s="93" t="s">
        <v>21432</v>
      </c>
      <c r="AX3300" s="93" t="s">
        <v>21432</v>
      </c>
      <c r="AY3300" s="87"/>
      <c r="AZ3300" s="93" t="s">
        <v>22668</v>
      </c>
      <c r="BA3300" s="93" t="s">
        <v>22668</v>
      </c>
      <c r="BB3300" s="93" t="s">
        <v>22668</v>
      </c>
      <c r="BC3300" s="93" t="s">
        <v>21432</v>
      </c>
      <c r="BD3300" s="93" t="s">
        <v>23387</v>
      </c>
      <c r="BE3300" s="87"/>
      <c r="BF3300" s="87"/>
      <c r="BG3300" s="87"/>
      <c r="BH3300" s="87"/>
      <c r="BI3300" s="87"/>
    </row>
    <row r="3301" spans="1:61" x14ac:dyDescent="0.25">
      <c r="A3301" s="63" t="s">
        <v>1252</v>
      </c>
      <c r="B3301" s="63" t="s">
        <v>1252</v>
      </c>
      <c r="C3301" s="64"/>
      <c r="D3301" s="65"/>
      <c r="E3301" s="66"/>
      <c r="F3301" s="67"/>
      <c r="G3301" s="64"/>
      <c r="H3301" s="68"/>
      <c r="I3301" s="69"/>
      <c r="J3301" s="69"/>
      <c r="K3301" s="32"/>
      <c r="L3301" s="76">
        <v>3301</v>
      </c>
      <c r="M3301" s="76"/>
      <c r="N3301" s="71"/>
      <c r="O3301" s="87" t="s">
        <v>179</v>
      </c>
      <c r="P3301" s="90">
        <v>45160.663263888891</v>
      </c>
      <c r="Q3301" s="87" t="s">
        <v>4982</v>
      </c>
      <c r="R3301" s="87">
        <v>1</v>
      </c>
      <c r="S3301" s="87">
        <v>2</v>
      </c>
      <c r="T3301" s="87">
        <v>0</v>
      </c>
      <c r="U3301" s="87">
        <v>0</v>
      </c>
      <c r="V3301" s="87">
        <v>85</v>
      </c>
      <c r="W3301" s="93" t="s">
        <v>7732</v>
      </c>
      <c r="X3301" s="87"/>
      <c r="Y3301" s="87"/>
      <c r="Z3301" s="87"/>
      <c r="AA3301" s="87" t="s">
        <v>10870</v>
      </c>
      <c r="AB3301" s="87" t="s">
        <v>11447</v>
      </c>
      <c r="AC3301" s="93" t="s">
        <v>11457</v>
      </c>
      <c r="AD3301" s="87" t="s">
        <v>11519</v>
      </c>
      <c r="AE3301" s="92" t="str">
        <f>HYPERLINK("https://twitter.com/kamayvc/status/1694015346859028880")</f>
        <v>https://twitter.com/kamayvc/status/1694015346859028880</v>
      </c>
      <c r="AF3301" s="90">
        <v>45160.663263888891</v>
      </c>
      <c r="AG3301" s="99">
        <v>45160</v>
      </c>
      <c r="AH3301" s="93" t="s">
        <v>14448</v>
      </c>
      <c r="AI3301" s="87" t="b">
        <v>0</v>
      </c>
      <c r="AJ3301" s="87"/>
      <c r="AK3301" s="87"/>
      <c r="AL3301" s="87"/>
      <c r="AM3301" s="87"/>
      <c r="AN3301" s="87"/>
      <c r="AO3301" s="87"/>
      <c r="AP3301" s="87"/>
      <c r="AQ3301" s="87" t="s">
        <v>17682</v>
      </c>
      <c r="AR3301" s="87">
        <v>5990</v>
      </c>
      <c r="AS3301" s="87"/>
      <c r="AT3301" s="87"/>
      <c r="AU3301" s="87"/>
      <c r="AV3301" s="92" t="str">
        <f>HYPERLINK("https://pbs.twimg.com/ext_tw_video_thumb/1694015233243631616/pu/img/KXyzuHU5WYUVQygI.jpg")</f>
        <v>https://pbs.twimg.com/ext_tw_video_thumb/1694015233243631616/pu/img/KXyzuHU5WYUVQygI.jpg</v>
      </c>
      <c r="AW3301" s="93" t="s">
        <v>21433</v>
      </c>
      <c r="AX3301" s="93" t="s">
        <v>21433</v>
      </c>
      <c r="AY3301" s="87"/>
      <c r="AZ3301" s="93" t="s">
        <v>22668</v>
      </c>
      <c r="BA3301" s="93" t="s">
        <v>22668</v>
      </c>
      <c r="BB3301" s="93" t="s">
        <v>22668</v>
      </c>
      <c r="BC3301" s="93" t="s">
        <v>21433</v>
      </c>
      <c r="BD3301" s="93" t="s">
        <v>23387</v>
      </c>
      <c r="BE3301" s="87"/>
      <c r="BF3301" s="87"/>
      <c r="BG3301" s="87"/>
      <c r="BH3301" s="87"/>
      <c r="BI3301" s="87"/>
    </row>
    <row r="3302" spans="1:61" x14ac:dyDescent="0.25">
      <c r="A3302" s="63" t="s">
        <v>1253</v>
      </c>
      <c r="B3302" s="63" t="s">
        <v>1253</v>
      </c>
      <c r="C3302" s="64"/>
      <c r="D3302" s="65"/>
      <c r="E3302" s="66"/>
      <c r="F3302" s="67"/>
      <c r="G3302" s="64"/>
      <c r="H3302" s="68"/>
      <c r="I3302" s="69"/>
      <c r="J3302" s="69"/>
      <c r="K3302" s="32"/>
      <c r="L3302" s="76">
        <v>3302</v>
      </c>
      <c r="M3302" s="76"/>
      <c r="N3302" s="71"/>
      <c r="O3302" s="87" t="s">
        <v>179</v>
      </c>
      <c r="P3302" s="90">
        <v>45192.167673611111</v>
      </c>
      <c r="Q3302" s="87" t="s">
        <v>4983</v>
      </c>
      <c r="R3302" s="87">
        <v>1</v>
      </c>
      <c r="S3302" s="87">
        <v>0</v>
      </c>
      <c r="T3302" s="87">
        <v>0</v>
      </c>
      <c r="U3302" s="87">
        <v>0</v>
      </c>
      <c r="V3302" s="87">
        <v>7</v>
      </c>
      <c r="W3302" s="93" t="s">
        <v>7733</v>
      </c>
      <c r="X3302" s="92" t="str">
        <f>HYPERLINK("http://www.somospinka.com")</f>
        <v>http://www.somospinka.com</v>
      </c>
      <c r="Y3302" s="87" t="s">
        <v>8520</v>
      </c>
      <c r="Z3302" s="87"/>
      <c r="AA3302" s="87" t="s">
        <v>10871</v>
      </c>
      <c r="AB3302" s="87" t="s">
        <v>11450</v>
      </c>
      <c r="AC3302" s="93" t="s">
        <v>11511</v>
      </c>
      <c r="AD3302" s="87" t="s">
        <v>11523</v>
      </c>
      <c r="AE3302" s="92" t="str">
        <f>HYPERLINK("https://twitter.com/pinkainnovacion/status/1705432161896026338")</f>
        <v>https://twitter.com/pinkainnovacion/status/1705432161896026338</v>
      </c>
      <c r="AF3302" s="90">
        <v>45192.167673611111</v>
      </c>
      <c r="AG3302" s="99">
        <v>45192</v>
      </c>
      <c r="AH3302" s="93" t="s">
        <v>14449</v>
      </c>
      <c r="AI3302" s="87" t="b">
        <v>0</v>
      </c>
      <c r="AJ3302" s="87"/>
      <c r="AK3302" s="87"/>
      <c r="AL3302" s="87"/>
      <c r="AM3302" s="87"/>
      <c r="AN3302" s="87"/>
      <c r="AO3302" s="87"/>
      <c r="AP3302" s="87"/>
      <c r="AQ3302" s="87" t="s">
        <v>17683</v>
      </c>
      <c r="AR3302" s="87"/>
      <c r="AS3302" s="87"/>
      <c r="AT3302" s="87"/>
      <c r="AU3302" s="87"/>
      <c r="AV3302" s="92" t="str">
        <f>HYPERLINK("https://pbs.twimg.com/media/F6rpf_mWgAA6y7g.jpg")</f>
        <v>https://pbs.twimg.com/media/F6rpf_mWgAA6y7g.jpg</v>
      </c>
      <c r="AW3302" s="93" t="s">
        <v>21434</v>
      </c>
      <c r="AX3302" s="93" t="s">
        <v>21434</v>
      </c>
      <c r="AY3302" s="87"/>
      <c r="AZ3302" s="93" t="s">
        <v>22668</v>
      </c>
      <c r="BA3302" s="93" t="s">
        <v>22668</v>
      </c>
      <c r="BB3302" s="93" t="s">
        <v>22668</v>
      </c>
      <c r="BC3302" s="93" t="s">
        <v>21434</v>
      </c>
      <c r="BD3302" s="87">
        <v>4896346336</v>
      </c>
      <c r="BE3302" s="87"/>
      <c r="BF3302" s="87"/>
      <c r="BG3302" s="87"/>
      <c r="BH3302" s="87"/>
      <c r="BI3302" s="87"/>
    </row>
    <row r="3303" spans="1:61" x14ac:dyDescent="0.25">
      <c r="A3303" s="63" t="s">
        <v>1254</v>
      </c>
      <c r="B3303" s="63" t="s">
        <v>1253</v>
      </c>
      <c r="C3303" s="64"/>
      <c r="D3303" s="65"/>
      <c r="E3303" s="66"/>
      <c r="F3303" s="67"/>
      <c r="G3303" s="64"/>
      <c r="H3303" s="68"/>
      <c r="I3303" s="69"/>
      <c r="J3303" s="69"/>
      <c r="K3303" s="32"/>
      <c r="L3303" s="76">
        <v>3303</v>
      </c>
      <c r="M3303" s="76"/>
      <c r="N3303" s="71"/>
      <c r="O3303" s="87" t="s">
        <v>1841</v>
      </c>
      <c r="P3303" s="90">
        <v>45192.185648148145</v>
      </c>
      <c r="Q3303" s="87" t="s">
        <v>4984</v>
      </c>
      <c r="R3303" s="87">
        <v>1</v>
      </c>
      <c r="S3303" s="87">
        <v>0</v>
      </c>
      <c r="T3303" s="87">
        <v>0</v>
      </c>
      <c r="U3303" s="87">
        <v>0</v>
      </c>
      <c r="V3303" s="87"/>
      <c r="W3303" s="93" t="s">
        <v>7734</v>
      </c>
      <c r="X3303" s="92" t="str">
        <f>HYPERLINK("http://www.somospinka.com")</f>
        <v>http://www.somospinka.com</v>
      </c>
      <c r="Y3303" s="87" t="s">
        <v>8520</v>
      </c>
      <c r="Z3303" s="87" t="s">
        <v>1253</v>
      </c>
      <c r="AA3303" s="87"/>
      <c r="AB3303" s="87"/>
      <c r="AC3303" s="93" t="s">
        <v>11457</v>
      </c>
      <c r="AD3303" s="87" t="s">
        <v>11523</v>
      </c>
      <c r="AE3303" s="92" t="str">
        <f>HYPERLINK("https://twitter.com/parthquote/status/1705438675046437097")</f>
        <v>https://twitter.com/parthquote/status/1705438675046437097</v>
      </c>
      <c r="AF3303" s="90">
        <v>45192.185648148145</v>
      </c>
      <c r="AG3303" s="99">
        <v>45192</v>
      </c>
      <c r="AH3303" s="93" t="s">
        <v>14450</v>
      </c>
      <c r="AI3303" s="87" t="b">
        <v>0</v>
      </c>
      <c r="AJ3303" s="87"/>
      <c r="AK3303" s="87"/>
      <c r="AL3303" s="87"/>
      <c r="AM3303" s="87"/>
      <c r="AN3303" s="87"/>
      <c r="AO3303" s="87"/>
      <c r="AP3303" s="87"/>
      <c r="AQ3303" s="87"/>
      <c r="AR3303" s="87"/>
      <c r="AS3303" s="87"/>
      <c r="AT3303" s="87"/>
      <c r="AU3303" s="87"/>
      <c r="AV3303" s="92" t="str">
        <f>HYPERLINK("https://pbs.twimg.com/profile_images/1702932895969714176/tgkRA9fC_normal.jpg")</f>
        <v>https://pbs.twimg.com/profile_images/1702932895969714176/tgkRA9fC_normal.jpg</v>
      </c>
      <c r="AW3303" s="93" t="s">
        <v>21435</v>
      </c>
      <c r="AX3303" s="93" t="s">
        <v>21435</v>
      </c>
      <c r="AY3303" s="87"/>
      <c r="AZ3303" s="93" t="s">
        <v>22668</v>
      </c>
      <c r="BA3303" s="93" t="s">
        <v>22668</v>
      </c>
      <c r="BB3303" s="93" t="s">
        <v>21434</v>
      </c>
      <c r="BC3303" s="93" t="s">
        <v>21434</v>
      </c>
      <c r="BD3303" s="93" t="s">
        <v>23388</v>
      </c>
      <c r="BE3303" s="87"/>
      <c r="BF3303" s="87"/>
      <c r="BG3303" s="87"/>
      <c r="BH3303" s="87"/>
      <c r="BI3303" s="87"/>
    </row>
    <row r="3304" spans="1:61" x14ac:dyDescent="0.25">
      <c r="A3304" s="63" t="s">
        <v>1255</v>
      </c>
      <c r="B3304" s="63" t="s">
        <v>1255</v>
      </c>
      <c r="C3304" s="64"/>
      <c r="D3304" s="65"/>
      <c r="E3304" s="66"/>
      <c r="F3304" s="67"/>
      <c r="G3304" s="64"/>
      <c r="H3304" s="68"/>
      <c r="I3304" s="69"/>
      <c r="J3304" s="69"/>
      <c r="K3304" s="32"/>
      <c r="L3304" s="76">
        <v>3304</v>
      </c>
      <c r="M3304" s="76"/>
      <c r="N3304" s="71"/>
      <c r="O3304" s="87" t="s">
        <v>179</v>
      </c>
      <c r="P3304" s="90">
        <v>45124.61755787037</v>
      </c>
      <c r="Q3304" s="87" t="s">
        <v>4985</v>
      </c>
      <c r="R3304" s="87">
        <v>0</v>
      </c>
      <c r="S3304" s="87">
        <v>1</v>
      </c>
      <c r="T3304" s="87">
        <v>0</v>
      </c>
      <c r="U3304" s="87">
        <v>0</v>
      </c>
      <c r="V3304" s="87">
        <v>115</v>
      </c>
      <c r="W3304" s="93" t="s">
        <v>7735</v>
      </c>
      <c r="X3304" s="92" t="str">
        <f>HYPERLINK("https://youtu.be/zuVHQqs63OQ")</f>
        <v>https://youtu.be/zuVHQqs63OQ</v>
      </c>
      <c r="Y3304" s="87" t="s">
        <v>8372</v>
      </c>
      <c r="Z3304" s="87"/>
      <c r="AA3304" s="87" t="s">
        <v>10872</v>
      </c>
      <c r="AB3304" s="87" t="s">
        <v>11448</v>
      </c>
      <c r="AC3304" s="93" t="s">
        <v>11457</v>
      </c>
      <c r="AD3304" s="87" t="s">
        <v>11519</v>
      </c>
      <c r="AE3304" s="92" t="str">
        <f>HYPERLINK("https://twitter.com/douglas_scn/status/1680952818465644548")</f>
        <v>https://twitter.com/douglas_scn/status/1680952818465644548</v>
      </c>
      <c r="AF3304" s="90">
        <v>45124.61755787037</v>
      </c>
      <c r="AG3304" s="99">
        <v>45124</v>
      </c>
      <c r="AH3304" s="93" t="s">
        <v>14451</v>
      </c>
      <c r="AI3304" s="87" t="b">
        <v>0</v>
      </c>
      <c r="AJ3304" s="87" t="s">
        <v>15184</v>
      </c>
      <c r="AK3304" s="87" t="s">
        <v>15234</v>
      </c>
      <c r="AL3304" s="87" t="s">
        <v>15237</v>
      </c>
      <c r="AM3304" s="87" t="s">
        <v>15256</v>
      </c>
      <c r="AN3304" s="87" t="s">
        <v>15322</v>
      </c>
      <c r="AO3304" s="87" t="s">
        <v>15388</v>
      </c>
      <c r="AP3304" s="87" t="s">
        <v>15438</v>
      </c>
      <c r="AQ3304" s="87" t="s">
        <v>17684</v>
      </c>
      <c r="AR3304" s="87"/>
      <c r="AS3304" s="87"/>
      <c r="AT3304" s="87"/>
      <c r="AU3304" s="87"/>
      <c r="AV3304" s="92" t="str">
        <f>HYPERLINK("https://pbs.twimg.com/media/F1PxpCRXgAIQT77.jpg")</f>
        <v>https://pbs.twimg.com/media/F1PxpCRXgAIQT77.jpg</v>
      </c>
      <c r="AW3304" s="93" t="s">
        <v>21436</v>
      </c>
      <c r="AX3304" s="93" t="s">
        <v>21436</v>
      </c>
      <c r="AY3304" s="87"/>
      <c r="AZ3304" s="93" t="s">
        <v>22668</v>
      </c>
      <c r="BA3304" s="93" t="s">
        <v>22668</v>
      </c>
      <c r="BB3304" s="93" t="s">
        <v>22668</v>
      </c>
      <c r="BC3304" s="93" t="s">
        <v>21436</v>
      </c>
      <c r="BD3304" s="87">
        <v>388286996</v>
      </c>
      <c r="BE3304" s="87"/>
      <c r="BF3304" s="87"/>
      <c r="BG3304" s="87"/>
      <c r="BH3304" s="87"/>
      <c r="BI3304" s="87"/>
    </row>
    <row r="3305" spans="1:61" x14ac:dyDescent="0.25">
      <c r="A3305" s="63" t="s">
        <v>1255</v>
      </c>
      <c r="B3305" s="63" t="s">
        <v>1255</v>
      </c>
      <c r="C3305" s="64"/>
      <c r="D3305" s="65"/>
      <c r="E3305" s="66"/>
      <c r="F3305" s="67"/>
      <c r="G3305" s="64"/>
      <c r="H3305" s="68"/>
      <c r="I3305" s="69"/>
      <c r="J3305" s="69"/>
      <c r="K3305" s="32"/>
      <c r="L3305" s="76">
        <v>3305</v>
      </c>
      <c r="M3305" s="76"/>
      <c r="N3305" s="71"/>
      <c r="O3305" s="87" t="s">
        <v>179</v>
      </c>
      <c r="P3305" s="90">
        <v>45147.574016203704</v>
      </c>
      <c r="Q3305" s="87" t="s">
        <v>4986</v>
      </c>
      <c r="R3305" s="87">
        <v>0</v>
      </c>
      <c r="S3305" s="87">
        <v>1</v>
      </c>
      <c r="T3305" s="87">
        <v>0</v>
      </c>
      <c r="U3305" s="87">
        <v>0</v>
      </c>
      <c r="V3305" s="87">
        <v>42</v>
      </c>
      <c r="W3305" s="93" t="s">
        <v>7736</v>
      </c>
      <c r="X3305" s="92" t="str">
        <f>HYPERLINK("https://youtu.be/Dn83vVeOGRo")</f>
        <v>https://youtu.be/Dn83vVeOGRo</v>
      </c>
      <c r="Y3305" s="87" t="s">
        <v>8372</v>
      </c>
      <c r="Z3305" s="87"/>
      <c r="AA3305" s="87" t="s">
        <v>10873</v>
      </c>
      <c r="AB3305" s="87" t="s">
        <v>11448</v>
      </c>
      <c r="AC3305" s="93" t="s">
        <v>11459</v>
      </c>
      <c r="AD3305" s="87" t="s">
        <v>11519</v>
      </c>
      <c r="AE3305" s="92" t="str">
        <f>HYPERLINK("https://twitter.com/douglas_scn/status/1689271962487418880")</f>
        <v>https://twitter.com/douglas_scn/status/1689271962487418880</v>
      </c>
      <c r="AF3305" s="90">
        <v>45147.574016203704</v>
      </c>
      <c r="AG3305" s="99">
        <v>45147</v>
      </c>
      <c r="AH3305" s="93" t="s">
        <v>14452</v>
      </c>
      <c r="AI3305" s="87" t="b">
        <v>0</v>
      </c>
      <c r="AJ3305" s="87" t="s">
        <v>15184</v>
      </c>
      <c r="AK3305" s="87" t="s">
        <v>15234</v>
      </c>
      <c r="AL3305" s="87" t="s">
        <v>15237</v>
      </c>
      <c r="AM3305" s="87" t="s">
        <v>15256</v>
      </c>
      <c r="AN3305" s="87" t="s">
        <v>15322</v>
      </c>
      <c r="AO3305" s="87" t="s">
        <v>15388</v>
      </c>
      <c r="AP3305" s="87" t="s">
        <v>15438</v>
      </c>
      <c r="AQ3305" s="87" t="s">
        <v>17685</v>
      </c>
      <c r="AR3305" s="87"/>
      <c r="AS3305" s="87"/>
      <c r="AT3305" s="87"/>
      <c r="AU3305" s="87"/>
      <c r="AV3305" s="92" t="str">
        <f>HYPERLINK("https://pbs.twimg.com/media/F3F_5Q7WYAA7efU.jpg")</f>
        <v>https://pbs.twimg.com/media/F3F_5Q7WYAA7efU.jpg</v>
      </c>
      <c r="AW3305" s="93" t="s">
        <v>21437</v>
      </c>
      <c r="AX3305" s="93" t="s">
        <v>21437</v>
      </c>
      <c r="AY3305" s="87"/>
      <c r="AZ3305" s="93" t="s">
        <v>22668</v>
      </c>
      <c r="BA3305" s="93" t="s">
        <v>22668</v>
      </c>
      <c r="BB3305" s="93" t="s">
        <v>22668</v>
      </c>
      <c r="BC3305" s="93" t="s">
        <v>21437</v>
      </c>
      <c r="BD3305" s="87">
        <v>388286996</v>
      </c>
      <c r="BE3305" s="87"/>
      <c r="BF3305" s="87"/>
      <c r="BG3305" s="87"/>
      <c r="BH3305" s="87"/>
      <c r="BI3305" s="87"/>
    </row>
    <row r="3306" spans="1:61" x14ac:dyDescent="0.25">
      <c r="A3306" s="63" t="s">
        <v>1255</v>
      </c>
      <c r="B3306" s="63" t="s">
        <v>1255</v>
      </c>
      <c r="C3306" s="64"/>
      <c r="D3306" s="65"/>
      <c r="E3306" s="66"/>
      <c r="F3306" s="67"/>
      <c r="G3306" s="64"/>
      <c r="H3306" s="68"/>
      <c r="I3306" s="69"/>
      <c r="J3306" s="69"/>
      <c r="K3306" s="32"/>
      <c r="L3306" s="76">
        <v>3306</v>
      </c>
      <c r="M3306" s="76"/>
      <c r="N3306" s="71"/>
      <c r="O3306" s="87" t="s">
        <v>179</v>
      </c>
      <c r="P3306" s="90">
        <v>45135.55672453704</v>
      </c>
      <c r="Q3306" s="87" t="s">
        <v>4987</v>
      </c>
      <c r="R3306" s="87">
        <v>0</v>
      </c>
      <c r="S3306" s="87">
        <v>1</v>
      </c>
      <c r="T3306" s="87">
        <v>0</v>
      </c>
      <c r="U3306" s="87">
        <v>0</v>
      </c>
      <c r="V3306" s="87">
        <v>35</v>
      </c>
      <c r="W3306" s="93" t="s">
        <v>7737</v>
      </c>
      <c r="X3306" s="92" t="str">
        <f>HYPERLINK("https://youtu.be/h0TbWd3_Akg")</f>
        <v>https://youtu.be/h0TbWd3_Akg</v>
      </c>
      <c r="Y3306" s="87" t="s">
        <v>8372</v>
      </c>
      <c r="Z3306" s="87"/>
      <c r="AA3306" s="87" t="s">
        <v>10874</v>
      </c>
      <c r="AB3306" s="87" t="s">
        <v>11448</v>
      </c>
      <c r="AC3306" s="93" t="s">
        <v>11459</v>
      </c>
      <c r="AD3306" s="87" t="s">
        <v>11519</v>
      </c>
      <c r="AE3306" s="92" t="str">
        <f>HYPERLINK("https://twitter.com/douglas_scn/status/1684917039373193216")</f>
        <v>https://twitter.com/douglas_scn/status/1684917039373193216</v>
      </c>
      <c r="AF3306" s="90">
        <v>45135.55672453704</v>
      </c>
      <c r="AG3306" s="99">
        <v>45135</v>
      </c>
      <c r="AH3306" s="93" t="s">
        <v>14453</v>
      </c>
      <c r="AI3306" s="87" t="b">
        <v>0</v>
      </c>
      <c r="AJ3306" s="87" t="s">
        <v>15184</v>
      </c>
      <c r="AK3306" s="87" t="s">
        <v>15234</v>
      </c>
      <c r="AL3306" s="87" t="s">
        <v>15237</v>
      </c>
      <c r="AM3306" s="87" t="s">
        <v>15256</v>
      </c>
      <c r="AN3306" s="87" t="s">
        <v>15322</v>
      </c>
      <c r="AO3306" s="87" t="s">
        <v>15388</v>
      </c>
      <c r="AP3306" s="87" t="s">
        <v>15438</v>
      </c>
      <c r="AQ3306" s="87" t="s">
        <v>17686</v>
      </c>
      <c r="AR3306" s="87"/>
      <c r="AS3306" s="87"/>
      <c r="AT3306" s="87"/>
      <c r="AU3306" s="87"/>
      <c r="AV3306" s="92" t="str">
        <f>HYPERLINK("https://pbs.twimg.com/media/F2IHHbUWEAEO4h7.jpg")</f>
        <v>https://pbs.twimg.com/media/F2IHHbUWEAEO4h7.jpg</v>
      </c>
      <c r="AW3306" s="93" t="s">
        <v>21438</v>
      </c>
      <c r="AX3306" s="93" t="s">
        <v>21438</v>
      </c>
      <c r="AY3306" s="87"/>
      <c r="AZ3306" s="93" t="s">
        <v>22668</v>
      </c>
      <c r="BA3306" s="93" t="s">
        <v>22668</v>
      </c>
      <c r="BB3306" s="93" t="s">
        <v>22668</v>
      </c>
      <c r="BC3306" s="93" t="s">
        <v>21438</v>
      </c>
      <c r="BD3306" s="87">
        <v>388286996</v>
      </c>
      <c r="BE3306" s="87"/>
      <c r="BF3306" s="87"/>
      <c r="BG3306" s="87"/>
      <c r="BH3306" s="87"/>
      <c r="BI3306" s="87"/>
    </row>
    <row r="3307" spans="1:61" x14ac:dyDescent="0.25">
      <c r="A3307" s="63" t="s">
        <v>1255</v>
      </c>
      <c r="B3307" s="63" t="s">
        <v>1255</v>
      </c>
      <c r="C3307" s="64"/>
      <c r="D3307" s="65"/>
      <c r="E3307" s="66"/>
      <c r="F3307" s="67"/>
      <c r="G3307" s="64"/>
      <c r="H3307" s="68"/>
      <c r="I3307" s="69"/>
      <c r="J3307" s="69"/>
      <c r="K3307" s="32"/>
      <c r="L3307" s="76">
        <v>3307</v>
      </c>
      <c r="M3307" s="76"/>
      <c r="N3307" s="71"/>
      <c r="O3307" s="87" t="s">
        <v>179</v>
      </c>
      <c r="P3307" s="90">
        <v>45155.887442129628</v>
      </c>
      <c r="Q3307" s="87" t="s">
        <v>4988</v>
      </c>
      <c r="R3307" s="87">
        <v>0</v>
      </c>
      <c r="S3307" s="87">
        <v>1</v>
      </c>
      <c r="T3307" s="87">
        <v>0</v>
      </c>
      <c r="U3307" s="87">
        <v>0</v>
      </c>
      <c r="V3307" s="87">
        <v>14</v>
      </c>
      <c r="W3307" s="93" t="s">
        <v>7738</v>
      </c>
      <c r="X3307" s="92" t="str">
        <f>HYPERLINK("https://www.instagram.com/p/CwD24qavSuo/?igshid=MzRlODBiNWFlZA==")</f>
        <v>https://www.instagram.com/p/CwD24qavSuo/?igshid=MzRlODBiNWFlZA==</v>
      </c>
      <c r="Y3307" s="87" t="s">
        <v>8383</v>
      </c>
      <c r="Z3307" s="87"/>
      <c r="AA3307" s="87" t="s">
        <v>10875</v>
      </c>
      <c r="AB3307" s="87" t="s">
        <v>11448</v>
      </c>
      <c r="AC3307" s="93" t="s">
        <v>11459</v>
      </c>
      <c r="AD3307" s="87" t="s">
        <v>11519</v>
      </c>
      <c r="AE3307" s="92" t="str">
        <f>HYPERLINK("https://twitter.com/douglas_scn/status/1692284644958282026")</f>
        <v>https://twitter.com/douglas_scn/status/1692284644958282026</v>
      </c>
      <c r="AF3307" s="90">
        <v>45155.887442129628</v>
      </c>
      <c r="AG3307" s="99">
        <v>45155</v>
      </c>
      <c r="AH3307" s="93" t="s">
        <v>14454</v>
      </c>
      <c r="AI3307" s="87" t="b">
        <v>0</v>
      </c>
      <c r="AJ3307" s="87" t="s">
        <v>15219</v>
      </c>
      <c r="AK3307" s="87" t="s">
        <v>15234</v>
      </c>
      <c r="AL3307" s="87" t="s">
        <v>15237</v>
      </c>
      <c r="AM3307" s="87" t="s">
        <v>15290</v>
      </c>
      <c r="AN3307" s="87" t="s">
        <v>15357</v>
      </c>
      <c r="AO3307" s="87" t="s">
        <v>15422</v>
      </c>
      <c r="AP3307" s="87" t="s">
        <v>15438</v>
      </c>
      <c r="AQ3307" s="87" t="s">
        <v>17687</v>
      </c>
      <c r="AR3307" s="87"/>
      <c r="AS3307" s="87"/>
      <c r="AT3307" s="87"/>
      <c r="AU3307" s="87"/>
      <c r="AV3307" s="92" t="str">
        <f>HYPERLINK("https://pbs.twimg.com/media/F3wz6aiWAAAK95Q.jpg")</f>
        <v>https://pbs.twimg.com/media/F3wz6aiWAAAK95Q.jpg</v>
      </c>
      <c r="AW3307" s="93" t="s">
        <v>21439</v>
      </c>
      <c r="AX3307" s="93" t="s">
        <v>21439</v>
      </c>
      <c r="AY3307" s="87"/>
      <c r="AZ3307" s="93" t="s">
        <v>22668</v>
      </c>
      <c r="BA3307" s="93" t="s">
        <v>22668</v>
      </c>
      <c r="BB3307" s="93" t="s">
        <v>22668</v>
      </c>
      <c r="BC3307" s="93" t="s">
        <v>21439</v>
      </c>
      <c r="BD3307" s="87">
        <v>388286996</v>
      </c>
      <c r="BE3307" s="87"/>
      <c r="BF3307" s="87"/>
      <c r="BG3307" s="87"/>
      <c r="BH3307" s="87"/>
      <c r="BI3307" s="87"/>
    </row>
    <row r="3308" spans="1:61" x14ac:dyDescent="0.25">
      <c r="A3308" s="63" t="s">
        <v>1255</v>
      </c>
      <c r="B3308" s="63" t="s">
        <v>1255</v>
      </c>
      <c r="C3308" s="64"/>
      <c r="D3308" s="65"/>
      <c r="E3308" s="66"/>
      <c r="F3308" s="67"/>
      <c r="G3308" s="64"/>
      <c r="H3308" s="68"/>
      <c r="I3308" s="69"/>
      <c r="J3308" s="69"/>
      <c r="K3308" s="32"/>
      <c r="L3308" s="76">
        <v>3308</v>
      </c>
      <c r="M3308" s="76"/>
      <c r="N3308" s="71"/>
      <c r="O3308" s="87" t="s">
        <v>179</v>
      </c>
      <c r="P3308" s="90">
        <v>45131.781493055554</v>
      </c>
      <c r="Q3308" s="87" t="s">
        <v>4989</v>
      </c>
      <c r="R3308" s="87">
        <v>0</v>
      </c>
      <c r="S3308" s="87">
        <v>1</v>
      </c>
      <c r="T3308" s="87">
        <v>0</v>
      </c>
      <c r="U3308" s="87">
        <v>0</v>
      </c>
      <c r="V3308" s="87">
        <v>13</v>
      </c>
      <c r="W3308" s="93" t="s">
        <v>7739</v>
      </c>
      <c r="X3308" s="92" t="str">
        <f>HYPERLINK("https://www.instagram.com/p/CvFw_x6uKX9/?utm_source=ig_web_copy_link&amp;igshid=MzRlODBiNWFlZA==")</f>
        <v>https://www.instagram.com/p/CvFw_x6uKX9/?utm_source=ig_web_copy_link&amp;igshid=MzRlODBiNWFlZA==</v>
      </c>
      <c r="Y3308" s="87" t="s">
        <v>8383</v>
      </c>
      <c r="Z3308" s="87"/>
      <c r="AA3308" s="87" t="s">
        <v>10876</v>
      </c>
      <c r="AB3308" s="87" t="s">
        <v>11448</v>
      </c>
      <c r="AC3308" s="93" t="s">
        <v>11457</v>
      </c>
      <c r="AD3308" s="87" t="s">
        <v>11519</v>
      </c>
      <c r="AE3308" s="92" t="str">
        <f>HYPERLINK("https://twitter.com/douglas_scn/status/1683548944582811657")</f>
        <v>https://twitter.com/douglas_scn/status/1683548944582811657</v>
      </c>
      <c r="AF3308" s="90">
        <v>45131.781493055554</v>
      </c>
      <c r="AG3308" s="99">
        <v>45131</v>
      </c>
      <c r="AH3308" s="93" t="s">
        <v>14455</v>
      </c>
      <c r="AI3308" s="87" t="b">
        <v>0</v>
      </c>
      <c r="AJ3308" s="87" t="s">
        <v>15184</v>
      </c>
      <c r="AK3308" s="87" t="s">
        <v>15234</v>
      </c>
      <c r="AL3308" s="87" t="s">
        <v>15237</v>
      </c>
      <c r="AM3308" s="87" t="s">
        <v>15256</v>
      </c>
      <c r="AN3308" s="87" t="s">
        <v>15322</v>
      </c>
      <c r="AO3308" s="87" t="s">
        <v>15388</v>
      </c>
      <c r="AP3308" s="87" t="s">
        <v>15438</v>
      </c>
      <c r="AQ3308" s="87" t="s">
        <v>17688</v>
      </c>
      <c r="AR3308" s="87"/>
      <c r="AS3308" s="87"/>
      <c r="AT3308" s="87"/>
      <c r="AU3308" s="87"/>
      <c r="AV3308" s="92" t="str">
        <f>HYPERLINK("https://pbs.twimg.com/media/F10qhfxWIAEv-a5.jpg")</f>
        <v>https://pbs.twimg.com/media/F10qhfxWIAEv-a5.jpg</v>
      </c>
      <c r="AW3308" s="93" t="s">
        <v>21440</v>
      </c>
      <c r="AX3308" s="93" t="s">
        <v>21440</v>
      </c>
      <c r="AY3308" s="87"/>
      <c r="AZ3308" s="93" t="s">
        <v>22668</v>
      </c>
      <c r="BA3308" s="93" t="s">
        <v>22668</v>
      </c>
      <c r="BB3308" s="93" t="s">
        <v>22668</v>
      </c>
      <c r="BC3308" s="93" t="s">
        <v>21440</v>
      </c>
      <c r="BD3308" s="87">
        <v>388286996</v>
      </c>
      <c r="BE3308" s="87"/>
      <c r="BF3308" s="87"/>
      <c r="BG3308" s="87"/>
      <c r="BH3308" s="87"/>
      <c r="BI3308" s="87"/>
    </row>
    <row r="3309" spans="1:61" x14ac:dyDescent="0.25">
      <c r="A3309" s="63" t="s">
        <v>1255</v>
      </c>
      <c r="B3309" s="63" t="s">
        <v>1255</v>
      </c>
      <c r="C3309" s="64"/>
      <c r="D3309" s="65"/>
      <c r="E3309" s="66"/>
      <c r="F3309" s="67"/>
      <c r="G3309" s="64"/>
      <c r="H3309" s="68"/>
      <c r="I3309" s="69"/>
      <c r="J3309" s="69"/>
      <c r="K3309" s="32"/>
      <c r="L3309" s="76">
        <v>3309</v>
      </c>
      <c r="M3309" s="76"/>
      <c r="N3309" s="71"/>
      <c r="O3309" s="87" t="s">
        <v>179</v>
      </c>
      <c r="P3309" s="90">
        <v>45162.6877662037</v>
      </c>
      <c r="Q3309" s="87" t="s">
        <v>4990</v>
      </c>
      <c r="R3309" s="87">
        <v>0</v>
      </c>
      <c r="S3309" s="87">
        <v>1</v>
      </c>
      <c r="T3309" s="87">
        <v>0</v>
      </c>
      <c r="U3309" s="87">
        <v>0</v>
      </c>
      <c r="V3309" s="87">
        <v>31</v>
      </c>
      <c r="W3309" s="93" t="s">
        <v>7740</v>
      </c>
      <c r="X3309" s="92" t="str">
        <f>HYPERLINK("https://youtu.be/F78cCmhfe9Y")</f>
        <v>https://youtu.be/F78cCmhfe9Y</v>
      </c>
      <c r="Y3309" s="87" t="s">
        <v>8372</v>
      </c>
      <c r="Z3309" s="87"/>
      <c r="AA3309" s="87" t="s">
        <v>10877</v>
      </c>
      <c r="AB3309" s="87" t="s">
        <v>11448</v>
      </c>
      <c r="AC3309" s="93" t="s">
        <v>11457</v>
      </c>
      <c r="AD3309" s="87" t="s">
        <v>11519</v>
      </c>
      <c r="AE3309" s="92" t="str">
        <f>HYPERLINK("https://twitter.com/douglas_scn/status/1694749002879680839")</f>
        <v>https://twitter.com/douglas_scn/status/1694749002879680839</v>
      </c>
      <c r="AF3309" s="90">
        <v>45162.6877662037</v>
      </c>
      <c r="AG3309" s="99">
        <v>45162</v>
      </c>
      <c r="AH3309" s="93" t="s">
        <v>14456</v>
      </c>
      <c r="AI3309" s="87" t="b">
        <v>0</v>
      </c>
      <c r="AJ3309" s="87"/>
      <c r="AK3309" s="87"/>
      <c r="AL3309" s="87"/>
      <c r="AM3309" s="87"/>
      <c r="AN3309" s="87"/>
      <c r="AO3309" s="87"/>
      <c r="AP3309" s="87"/>
      <c r="AQ3309" s="87" t="s">
        <v>17689</v>
      </c>
      <c r="AR3309" s="87"/>
      <c r="AS3309" s="87"/>
      <c r="AT3309" s="87"/>
      <c r="AU3309" s="87"/>
      <c r="AV3309" s="92" t="str">
        <f>HYPERLINK("https://pbs.twimg.com/media/F4T1H5IWcAMuG1t.jpg")</f>
        <v>https://pbs.twimg.com/media/F4T1H5IWcAMuG1t.jpg</v>
      </c>
      <c r="AW3309" s="93" t="s">
        <v>21441</v>
      </c>
      <c r="AX3309" s="93" t="s">
        <v>21441</v>
      </c>
      <c r="AY3309" s="87"/>
      <c r="AZ3309" s="93" t="s">
        <v>22668</v>
      </c>
      <c r="BA3309" s="93" t="s">
        <v>22668</v>
      </c>
      <c r="BB3309" s="93" t="s">
        <v>22668</v>
      </c>
      <c r="BC3309" s="93" t="s">
        <v>21441</v>
      </c>
      <c r="BD3309" s="87">
        <v>388286996</v>
      </c>
      <c r="BE3309" s="87"/>
      <c r="BF3309" s="87"/>
      <c r="BG3309" s="87"/>
      <c r="BH3309" s="87"/>
      <c r="BI3309" s="87"/>
    </row>
    <row r="3310" spans="1:61" x14ac:dyDescent="0.25">
      <c r="A3310" s="63" t="s">
        <v>1255</v>
      </c>
      <c r="B3310" s="63" t="s">
        <v>1255</v>
      </c>
      <c r="C3310" s="64"/>
      <c r="D3310" s="65"/>
      <c r="E3310" s="66"/>
      <c r="F3310" s="67"/>
      <c r="G3310" s="64"/>
      <c r="H3310" s="68"/>
      <c r="I3310" s="69"/>
      <c r="J3310" s="69"/>
      <c r="K3310" s="32"/>
      <c r="L3310" s="76">
        <v>3310</v>
      </c>
      <c r="M3310" s="76"/>
      <c r="N3310" s="71"/>
      <c r="O3310" s="87" t="s">
        <v>179</v>
      </c>
      <c r="P3310" s="90">
        <v>45169.618148148147</v>
      </c>
      <c r="Q3310" s="87" t="s">
        <v>4991</v>
      </c>
      <c r="R3310" s="87">
        <v>0</v>
      </c>
      <c r="S3310" s="87">
        <v>1</v>
      </c>
      <c r="T3310" s="87">
        <v>0</v>
      </c>
      <c r="U3310" s="87">
        <v>0</v>
      </c>
      <c r="V3310" s="87">
        <v>30</v>
      </c>
      <c r="W3310" s="93" t="s">
        <v>7741</v>
      </c>
      <c r="X3310" s="92" t="str">
        <f>HYPERLINK("https://www.instagram.com/p/CwnJsRlrHv0/?igshid=MzRlODBiNWFlZA==")</f>
        <v>https://www.instagram.com/p/CwnJsRlrHv0/?igshid=MzRlODBiNWFlZA==</v>
      </c>
      <c r="Y3310" s="87" t="s">
        <v>8383</v>
      </c>
      <c r="Z3310" s="87"/>
      <c r="AA3310" s="87" t="s">
        <v>10878</v>
      </c>
      <c r="AB3310" s="87" t="s">
        <v>11448</v>
      </c>
      <c r="AC3310" s="93" t="s">
        <v>11457</v>
      </c>
      <c r="AD3310" s="87" t="s">
        <v>11519</v>
      </c>
      <c r="AE3310" s="92" t="str">
        <f>HYPERLINK("https://twitter.com/douglas_scn/status/1697260487740981345")</f>
        <v>https://twitter.com/douglas_scn/status/1697260487740981345</v>
      </c>
      <c r="AF3310" s="90">
        <v>45169.618148148147</v>
      </c>
      <c r="AG3310" s="99">
        <v>45169</v>
      </c>
      <c r="AH3310" s="93" t="s">
        <v>14457</v>
      </c>
      <c r="AI3310" s="87" t="b">
        <v>0</v>
      </c>
      <c r="AJ3310" s="87"/>
      <c r="AK3310" s="87"/>
      <c r="AL3310" s="87"/>
      <c r="AM3310" s="87"/>
      <c r="AN3310" s="87"/>
      <c r="AO3310" s="87"/>
      <c r="AP3310" s="87"/>
      <c r="AQ3310" s="87" t="s">
        <v>17690</v>
      </c>
      <c r="AR3310" s="87"/>
      <c r="AS3310" s="87"/>
      <c r="AT3310" s="87"/>
      <c r="AU3310" s="87"/>
      <c r="AV3310" s="92" t="str">
        <f>HYPERLINK("https://pbs.twimg.com/media/F43hHdOaIAA_1uq.jpg")</f>
        <v>https://pbs.twimg.com/media/F43hHdOaIAA_1uq.jpg</v>
      </c>
      <c r="AW3310" s="93" t="s">
        <v>21442</v>
      </c>
      <c r="AX3310" s="93" t="s">
        <v>21442</v>
      </c>
      <c r="AY3310" s="87"/>
      <c r="AZ3310" s="93" t="s">
        <v>22668</v>
      </c>
      <c r="BA3310" s="93" t="s">
        <v>22668</v>
      </c>
      <c r="BB3310" s="93" t="s">
        <v>22668</v>
      </c>
      <c r="BC3310" s="93" t="s">
        <v>21442</v>
      </c>
      <c r="BD3310" s="87">
        <v>388286996</v>
      </c>
      <c r="BE3310" s="87"/>
      <c r="BF3310" s="87"/>
      <c r="BG3310" s="87"/>
      <c r="BH3310" s="87"/>
      <c r="BI3310" s="87"/>
    </row>
    <row r="3311" spans="1:61" x14ac:dyDescent="0.25">
      <c r="A3311" s="63" t="s">
        <v>1255</v>
      </c>
      <c r="B3311" s="63" t="s">
        <v>1255</v>
      </c>
      <c r="C3311" s="64"/>
      <c r="D3311" s="65"/>
      <c r="E3311" s="66"/>
      <c r="F3311" s="67"/>
      <c r="G3311" s="64"/>
      <c r="H3311" s="68"/>
      <c r="I3311" s="69"/>
      <c r="J3311" s="69"/>
      <c r="K3311" s="32"/>
      <c r="L3311" s="76">
        <v>3311</v>
      </c>
      <c r="M3311" s="76"/>
      <c r="N3311" s="71"/>
      <c r="O3311" s="87" t="s">
        <v>179</v>
      </c>
      <c r="P3311" s="90">
        <v>45143.774537037039</v>
      </c>
      <c r="Q3311" s="87" t="s">
        <v>4992</v>
      </c>
      <c r="R3311" s="87">
        <v>0</v>
      </c>
      <c r="S3311" s="87">
        <v>2</v>
      </c>
      <c r="T3311" s="87">
        <v>0</v>
      </c>
      <c r="U3311" s="87">
        <v>0</v>
      </c>
      <c r="V3311" s="87">
        <v>25</v>
      </c>
      <c r="W3311" s="93" t="s">
        <v>7738</v>
      </c>
      <c r="X3311" s="92" t="str">
        <f>HYPERLINK("https://www.instagram.com/p/CvkrQlMukYB/?utm_source=ig_web_copy_link&amp;igshid=MzRlODBiNWFlZA==")</f>
        <v>https://www.instagram.com/p/CvkrQlMukYB/?utm_source=ig_web_copy_link&amp;igshid=MzRlODBiNWFlZA==</v>
      </c>
      <c r="Y3311" s="87" t="s">
        <v>8383</v>
      </c>
      <c r="Z3311" s="87"/>
      <c r="AA3311" s="87" t="s">
        <v>10879</v>
      </c>
      <c r="AB3311" s="87" t="s">
        <v>11448</v>
      </c>
      <c r="AC3311" s="93" t="s">
        <v>11457</v>
      </c>
      <c r="AD3311" s="87" t="s">
        <v>11519</v>
      </c>
      <c r="AE3311" s="92" t="str">
        <f>HYPERLINK("https://twitter.com/douglas_scn/status/1687895077887078402")</f>
        <v>https://twitter.com/douglas_scn/status/1687895077887078402</v>
      </c>
      <c r="AF3311" s="90">
        <v>45143.774537037039</v>
      </c>
      <c r="AG3311" s="99">
        <v>45143</v>
      </c>
      <c r="AH3311" s="93" t="s">
        <v>14458</v>
      </c>
      <c r="AI3311" s="87" t="b">
        <v>0</v>
      </c>
      <c r="AJ3311" s="87"/>
      <c r="AK3311" s="87"/>
      <c r="AL3311" s="87"/>
      <c r="AM3311" s="87"/>
      <c r="AN3311" s="87"/>
      <c r="AO3311" s="87"/>
      <c r="AP3311" s="87"/>
      <c r="AQ3311" s="87" t="s">
        <v>17691</v>
      </c>
      <c r="AR3311" s="87"/>
      <c r="AS3311" s="87"/>
      <c r="AT3311" s="87"/>
      <c r="AU3311" s="87"/>
      <c r="AV3311" s="92" t="str">
        <f>HYPERLINK("https://pbs.twimg.com/media/F2ybdQnWYAECk95.jpg")</f>
        <v>https://pbs.twimg.com/media/F2ybdQnWYAECk95.jpg</v>
      </c>
      <c r="AW3311" s="93" t="s">
        <v>21443</v>
      </c>
      <c r="AX3311" s="93" t="s">
        <v>21443</v>
      </c>
      <c r="AY3311" s="87"/>
      <c r="AZ3311" s="93" t="s">
        <v>22668</v>
      </c>
      <c r="BA3311" s="93" t="s">
        <v>22668</v>
      </c>
      <c r="BB3311" s="93" t="s">
        <v>22668</v>
      </c>
      <c r="BC3311" s="93" t="s">
        <v>21443</v>
      </c>
      <c r="BD3311" s="87">
        <v>388286996</v>
      </c>
      <c r="BE3311" s="87"/>
      <c r="BF3311" s="87"/>
      <c r="BG3311" s="87"/>
      <c r="BH3311" s="87"/>
      <c r="BI3311" s="87"/>
    </row>
    <row r="3312" spans="1:61" x14ac:dyDescent="0.25">
      <c r="A3312" s="63" t="s">
        <v>1255</v>
      </c>
      <c r="B3312" s="63" t="s">
        <v>1255</v>
      </c>
      <c r="C3312" s="64"/>
      <c r="D3312" s="65"/>
      <c r="E3312" s="66"/>
      <c r="F3312" s="67"/>
      <c r="G3312" s="64"/>
      <c r="H3312" s="68"/>
      <c r="I3312" s="69"/>
      <c r="J3312" s="69"/>
      <c r="K3312" s="32"/>
      <c r="L3312" s="76">
        <v>3312</v>
      </c>
      <c r="M3312" s="76"/>
      <c r="N3312" s="71"/>
      <c r="O3312" s="87" t="s">
        <v>179</v>
      </c>
      <c r="P3312" s="90">
        <v>45175.642685185187</v>
      </c>
      <c r="Q3312" s="87" t="s">
        <v>4993</v>
      </c>
      <c r="R3312" s="87">
        <v>0</v>
      </c>
      <c r="S3312" s="87">
        <v>1</v>
      </c>
      <c r="T3312" s="87">
        <v>0</v>
      </c>
      <c r="U3312" s="87">
        <v>0</v>
      </c>
      <c r="V3312" s="87">
        <v>15</v>
      </c>
      <c r="W3312" s="93" t="s">
        <v>7742</v>
      </c>
      <c r="X3312" s="92" t="str">
        <f>HYPERLINK("https://www.instagram.com/p/Cw2iMlnOL60/?igshid=MzRlODBiNWFlZA==")</f>
        <v>https://www.instagram.com/p/Cw2iMlnOL60/?igshid=MzRlODBiNWFlZA==</v>
      </c>
      <c r="Y3312" s="87" t="s">
        <v>8383</v>
      </c>
      <c r="Z3312" s="87"/>
      <c r="AA3312" s="87" t="s">
        <v>10880</v>
      </c>
      <c r="AB3312" s="87" t="s">
        <v>11448</v>
      </c>
      <c r="AC3312" s="93" t="s">
        <v>11459</v>
      </c>
      <c r="AD3312" s="87" t="s">
        <v>11519</v>
      </c>
      <c r="AE3312" s="92" t="str">
        <f>HYPERLINK("https://twitter.com/douglas_scn/status/1699443706871345654")</f>
        <v>https://twitter.com/douglas_scn/status/1699443706871345654</v>
      </c>
      <c r="AF3312" s="90">
        <v>45175.642685185187</v>
      </c>
      <c r="AG3312" s="99">
        <v>45175</v>
      </c>
      <c r="AH3312" s="93" t="s">
        <v>14459</v>
      </c>
      <c r="AI3312" s="87" t="b">
        <v>0</v>
      </c>
      <c r="AJ3312" s="87"/>
      <c r="AK3312" s="87"/>
      <c r="AL3312" s="87"/>
      <c r="AM3312" s="87"/>
      <c r="AN3312" s="87"/>
      <c r="AO3312" s="87"/>
      <c r="AP3312" s="87"/>
      <c r="AQ3312" s="87" t="s">
        <v>17692</v>
      </c>
      <c r="AR3312" s="87"/>
      <c r="AS3312" s="87"/>
      <c r="AT3312" s="87"/>
      <c r="AU3312" s="87"/>
      <c r="AV3312" s="92" t="str">
        <f>HYPERLINK("https://pbs.twimg.com/media/F5WjCxHXQAEdrSQ.jpg")</f>
        <v>https://pbs.twimg.com/media/F5WjCxHXQAEdrSQ.jpg</v>
      </c>
      <c r="AW3312" s="93" t="s">
        <v>21444</v>
      </c>
      <c r="AX3312" s="93" t="s">
        <v>21444</v>
      </c>
      <c r="AY3312" s="87"/>
      <c r="AZ3312" s="93" t="s">
        <v>22668</v>
      </c>
      <c r="BA3312" s="93" t="s">
        <v>22668</v>
      </c>
      <c r="BB3312" s="93" t="s">
        <v>22668</v>
      </c>
      <c r="BC3312" s="93" t="s">
        <v>21444</v>
      </c>
      <c r="BD3312" s="87">
        <v>388286996</v>
      </c>
      <c r="BE3312" s="87"/>
      <c r="BF3312" s="87"/>
      <c r="BG3312" s="87"/>
      <c r="BH3312" s="87"/>
      <c r="BI3312" s="87"/>
    </row>
    <row r="3313" spans="1:61" x14ac:dyDescent="0.25">
      <c r="A3313" s="63" t="s">
        <v>1256</v>
      </c>
      <c r="B3313" s="63" t="s">
        <v>1256</v>
      </c>
      <c r="C3313" s="64"/>
      <c r="D3313" s="65"/>
      <c r="E3313" s="66"/>
      <c r="F3313" s="67"/>
      <c r="G3313" s="64"/>
      <c r="H3313" s="68"/>
      <c r="I3313" s="69"/>
      <c r="J3313" s="69"/>
      <c r="K3313" s="32"/>
      <c r="L3313" s="76">
        <v>3313</v>
      </c>
      <c r="M3313" s="76"/>
      <c r="N3313" s="71"/>
      <c r="O3313" s="87" t="s">
        <v>179</v>
      </c>
      <c r="P3313" s="90">
        <v>45183.993483796294</v>
      </c>
      <c r="Q3313" s="87" t="s">
        <v>4994</v>
      </c>
      <c r="R3313" s="87">
        <v>0</v>
      </c>
      <c r="S3313" s="87">
        <v>0</v>
      </c>
      <c r="T3313" s="87">
        <v>0</v>
      </c>
      <c r="U3313" s="87">
        <v>0</v>
      </c>
      <c r="V3313" s="87">
        <v>6</v>
      </c>
      <c r="W3313" s="93" t="s">
        <v>6118</v>
      </c>
      <c r="X3313" s="87"/>
      <c r="Y3313" s="87"/>
      <c r="Z3313" s="87"/>
      <c r="AA3313" s="87" t="s">
        <v>10881</v>
      </c>
      <c r="AB3313" s="87" t="s">
        <v>11447</v>
      </c>
      <c r="AC3313" s="93" t="s">
        <v>11459</v>
      </c>
      <c r="AD3313" s="87" t="s">
        <v>11519</v>
      </c>
      <c r="AE3313" s="92" t="str">
        <f>HYPERLINK("https://twitter.com/rapperpirata/status/1702469936084303925")</f>
        <v>https://twitter.com/rapperpirata/status/1702469936084303925</v>
      </c>
      <c r="AF3313" s="90">
        <v>45183.993483796294</v>
      </c>
      <c r="AG3313" s="99">
        <v>45183</v>
      </c>
      <c r="AH3313" s="93" t="s">
        <v>14460</v>
      </c>
      <c r="AI3313" s="87" t="b">
        <v>0</v>
      </c>
      <c r="AJ3313" s="87"/>
      <c r="AK3313" s="87"/>
      <c r="AL3313" s="87"/>
      <c r="AM3313" s="87"/>
      <c r="AN3313" s="87"/>
      <c r="AO3313" s="87"/>
      <c r="AP3313" s="87"/>
      <c r="AQ3313" s="87" t="s">
        <v>17693</v>
      </c>
      <c r="AR3313" s="87">
        <v>140000</v>
      </c>
      <c r="AS3313" s="87"/>
      <c r="AT3313" s="87"/>
      <c r="AU3313" s="87"/>
      <c r="AV3313" s="92" t="str">
        <f>HYPERLINK("https://pbs.twimg.com/ext_tw_video_thumb/1702469805171769344/pu/img/rANblJQqm-nLvVhf.jpg")</f>
        <v>https://pbs.twimg.com/ext_tw_video_thumb/1702469805171769344/pu/img/rANblJQqm-nLvVhf.jpg</v>
      </c>
      <c r="AW3313" s="93" t="s">
        <v>21445</v>
      </c>
      <c r="AX3313" s="93" t="s">
        <v>21445</v>
      </c>
      <c r="AY3313" s="87"/>
      <c r="AZ3313" s="93" t="s">
        <v>22668</v>
      </c>
      <c r="BA3313" s="93" t="s">
        <v>22668</v>
      </c>
      <c r="BB3313" s="93" t="s">
        <v>22668</v>
      </c>
      <c r="BC3313" s="93" t="s">
        <v>21445</v>
      </c>
      <c r="BD3313" s="87">
        <v>304193023</v>
      </c>
      <c r="BE3313" s="87"/>
      <c r="BF3313" s="87"/>
      <c r="BG3313" s="87"/>
      <c r="BH3313" s="87"/>
      <c r="BI3313" s="87"/>
    </row>
    <row r="3314" spans="1:61" x14ac:dyDescent="0.25">
      <c r="A3314" s="63" t="s">
        <v>1257</v>
      </c>
      <c r="B3314" s="63" t="s">
        <v>1790</v>
      </c>
      <c r="C3314" s="64"/>
      <c r="D3314" s="65"/>
      <c r="E3314" s="66"/>
      <c r="F3314" s="67"/>
      <c r="G3314" s="64"/>
      <c r="H3314" s="68"/>
      <c r="I3314" s="69"/>
      <c r="J3314" s="69"/>
      <c r="K3314" s="32"/>
      <c r="L3314" s="76">
        <v>3314</v>
      </c>
      <c r="M3314" s="76"/>
      <c r="N3314" s="71"/>
      <c r="O3314" s="87" t="s">
        <v>1840</v>
      </c>
      <c r="P3314" s="90">
        <v>45141.877615740741</v>
      </c>
      <c r="Q3314" s="87" t="s">
        <v>4995</v>
      </c>
      <c r="R3314" s="87">
        <v>0</v>
      </c>
      <c r="S3314" s="87">
        <v>0</v>
      </c>
      <c r="T3314" s="87">
        <v>0</v>
      </c>
      <c r="U3314" s="87">
        <v>0</v>
      </c>
      <c r="V3314" s="87">
        <v>60</v>
      </c>
      <c r="W3314" s="93" t="s">
        <v>5897</v>
      </c>
      <c r="X3314" s="87"/>
      <c r="Y3314" s="87"/>
      <c r="Z3314" s="87" t="s">
        <v>1790</v>
      </c>
      <c r="AA3314" s="87"/>
      <c r="AB3314" s="87"/>
      <c r="AC3314" s="93" t="s">
        <v>11458</v>
      </c>
      <c r="AD3314" s="87" t="s">
        <v>11520</v>
      </c>
      <c r="AE3314" s="92" t="str">
        <f>HYPERLINK("https://twitter.com/carvalho_rick/status/1687207653897031687")</f>
        <v>https://twitter.com/carvalho_rick/status/1687207653897031687</v>
      </c>
      <c r="AF3314" s="90">
        <v>45141.877615740741</v>
      </c>
      <c r="AG3314" s="99">
        <v>45141</v>
      </c>
      <c r="AH3314" s="93" t="s">
        <v>14461</v>
      </c>
      <c r="AI3314" s="87"/>
      <c r="AJ3314" s="87"/>
      <c r="AK3314" s="87"/>
      <c r="AL3314" s="87"/>
      <c r="AM3314" s="87"/>
      <c r="AN3314" s="87"/>
      <c r="AO3314" s="87"/>
      <c r="AP3314" s="87"/>
      <c r="AQ3314" s="87"/>
      <c r="AR3314" s="87"/>
      <c r="AS3314" s="87"/>
      <c r="AT3314" s="87"/>
      <c r="AU3314" s="87"/>
      <c r="AV3314" s="92" t="str">
        <f>HYPERLINK("https://pbs.twimg.com/profile_images/1674435445743312903/qsL29Sk6_normal.jpg")</f>
        <v>https://pbs.twimg.com/profile_images/1674435445743312903/qsL29Sk6_normal.jpg</v>
      </c>
      <c r="AW3314" s="93" t="s">
        <v>21446</v>
      </c>
      <c r="AX3314" s="93" t="s">
        <v>22461</v>
      </c>
      <c r="AY3314" s="93" t="s">
        <v>22628</v>
      </c>
      <c r="AZ3314" s="93" t="s">
        <v>22755</v>
      </c>
      <c r="BA3314" s="93" t="s">
        <v>22668</v>
      </c>
      <c r="BB3314" s="93" t="s">
        <v>22668</v>
      </c>
      <c r="BC3314" s="93" t="s">
        <v>22755</v>
      </c>
      <c r="BD3314" s="87">
        <v>155638696</v>
      </c>
      <c r="BE3314" s="87"/>
      <c r="BF3314" s="87"/>
      <c r="BG3314" s="87"/>
      <c r="BH3314" s="87"/>
      <c r="BI3314" s="87"/>
    </row>
    <row r="3315" spans="1:61" x14ac:dyDescent="0.25">
      <c r="A3315" s="63" t="s">
        <v>1258</v>
      </c>
      <c r="B3315" s="63" t="s">
        <v>1258</v>
      </c>
      <c r="C3315" s="64"/>
      <c r="D3315" s="65"/>
      <c r="E3315" s="66"/>
      <c r="F3315" s="67"/>
      <c r="G3315" s="64"/>
      <c r="H3315" s="68"/>
      <c r="I3315" s="69"/>
      <c r="J3315" s="69"/>
      <c r="K3315" s="32"/>
      <c r="L3315" s="76">
        <v>3315</v>
      </c>
      <c r="M3315" s="76"/>
      <c r="N3315" s="71"/>
      <c r="O3315" s="87" t="s">
        <v>179</v>
      </c>
      <c r="P3315" s="90">
        <v>45163.706990740742</v>
      </c>
      <c r="Q3315" s="87" t="s">
        <v>4996</v>
      </c>
      <c r="R3315" s="87">
        <v>0</v>
      </c>
      <c r="S3315" s="87">
        <v>0</v>
      </c>
      <c r="T3315" s="87">
        <v>0</v>
      </c>
      <c r="U3315" s="87">
        <v>0</v>
      </c>
      <c r="V3315" s="87">
        <v>64</v>
      </c>
      <c r="W3315" s="93" t="s">
        <v>7743</v>
      </c>
      <c r="X3315" s="87" t="s">
        <v>8358</v>
      </c>
      <c r="Y3315" s="87" t="s">
        <v>8521</v>
      </c>
      <c r="Z3315" s="87"/>
      <c r="AA3315" s="87" t="s">
        <v>10882</v>
      </c>
      <c r="AB3315" s="87" t="s">
        <v>11447</v>
      </c>
      <c r="AC3315" s="93" t="s">
        <v>11485</v>
      </c>
      <c r="AD3315" s="87" t="s">
        <v>11520</v>
      </c>
      <c r="AE3315" s="92" t="str">
        <f>HYPERLINK("https://twitter.com/caioneto2/status/1695118355332583481")</f>
        <v>https://twitter.com/caioneto2/status/1695118355332583481</v>
      </c>
      <c r="AF3315" s="90">
        <v>45163.706990740742</v>
      </c>
      <c r="AG3315" s="99">
        <v>45163</v>
      </c>
      <c r="AH3315" s="93" t="s">
        <v>14462</v>
      </c>
      <c r="AI3315" s="87" t="b">
        <v>0</v>
      </c>
      <c r="AJ3315" s="87"/>
      <c r="AK3315" s="87"/>
      <c r="AL3315" s="87"/>
      <c r="AM3315" s="87"/>
      <c r="AN3315" s="87"/>
      <c r="AO3315" s="87"/>
      <c r="AP3315" s="87"/>
      <c r="AQ3315" s="87" t="s">
        <v>17694</v>
      </c>
      <c r="AR3315" s="87">
        <v>5000</v>
      </c>
      <c r="AS3315" s="87"/>
      <c r="AT3315" s="87"/>
      <c r="AU3315" s="87"/>
      <c r="AV3315" s="92" t="str">
        <f>HYPERLINK("https://pbs.twimg.com/ext_tw_video_thumb/1695118338328838144/pu/img/g1YsWgsmGtf2vagJ.jpg")</f>
        <v>https://pbs.twimg.com/ext_tw_video_thumb/1695118338328838144/pu/img/g1YsWgsmGtf2vagJ.jpg</v>
      </c>
      <c r="AW3315" s="93" t="s">
        <v>21447</v>
      </c>
      <c r="AX3315" s="93" t="s">
        <v>21447</v>
      </c>
      <c r="AY3315" s="87"/>
      <c r="AZ3315" s="93" t="s">
        <v>22668</v>
      </c>
      <c r="BA3315" s="93" t="s">
        <v>22668</v>
      </c>
      <c r="BB3315" s="93" t="s">
        <v>22668</v>
      </c>
      <c r="BC3315" s="93" t="s">
        <v>21447</v>
      </c>
      <c r="BD3315" s="87">
        <v>351247493</v>
      </c>
      <c r="BE3315" s="87"/>
      <c r="BF3315" s="87"/>
      <c r="BG3315" s="87"/>
      <c r="BH3315" s="87"/>
      <c r="BI3315" s="87"/>
    </row>
    <row r="3316" spans="1:61" x14ac:dyDescent="0.25">
      <c r="A3316" s="63" t="s">
        <v>1258</v>
      </c>
      <c r="B3316" s="63" t="s">
        <v>1258</v>
      </c>
      <c r="C3316" s="64"/>
      <c r="D3316" s="65"/>
      <c r="E3316" s="66"/>
      <c r="F3316" s="67"/>
      <c r="G3316" s="64"/>
      <c r="H3316" s="68"/>
      <c r="I3316" s="69"/>
      <c r="J3316" s="69"/>
      <c r="K3316" s="32"/>
      <c r="L3316" s="76">
        <v>3316</v>
      </c>
      <c r="M3316" s="76"/>
      <c r="N3316" s="71"/>
      <c r="O3316" s="87" t="s">
        <v>179</v>
      </c>
      <c r="P3316" s="90">
        <v>45151.815324074072</v>
      </c>
      <c r="Q3316" s="87" t="s">
        <v>4997</v>
      </c>
      <c r="R3316" s="87">
        <v>0</v>
      </c>
      <c r="S3316" s="87">
        <v>0</v>
      </c>
      <c r="T3316" s="87">
        <v>0</v>
      </c>
      <c r="U3316" s="87">
        <v>0</v>
      </c>
      <c r="V3316" s="87">
        <v>37</v>
      </c>
      <c r="W3316" s="93" t="s">
        <v>7743</v>
      </c>
      <c r="X3316" s="87" t="s">
        <v>8359</v>
      </c>
      <c r="Y3316" s="87" t="s">
        <v>8522</v>
      </c>
      <c r="Z3316" s="87"/>
      <c r="AA3316" s="87" t="s">
        <v>10883</v>
      </c>
      <c r="AB3316" s="87" t="s">
        <v>11447</v>
      </c>
      <c r="AC3316" s="93" t="s">
        <v>11485</v>
      </c>
      <c r="AD3316" s="87" t="s">
        <v>11520</v>
      </c>
      <c r="AE3316" s="92" t="str">
        <f>HYPERLINK("https://twitter.com/caioneto2/status/1690808958292774912")</f>
        <v>https://twitter.com/caioneto2/status/1690808958292774912</v>
      </c>
      <c r="AF3316" s="90">
        <v>45151.815324074072</v>
      </c>
      <c r="AG3316" s="99">
        <v>45151</v>
      </c>
      <c r="AH3316" s="93" t="s">
        <v>14463</v>
      </c>
      <c r="AI3316" s="87" t="b">
        <v>0</v>
      </c>
      <c r="AJ3316" s="87"/>
      <c r="AK3316" s="87"/>
      <c r="AL3316" s="87"/>
      <c r="AM3316" s="87"/>
      <c r="AN3316" s="87"/>
      <c r="AO3316" s="87"/>
      <c r="AP3316" s="87"/>
      <c r="AQ3316" s="87" t="s">
        <v>17695</v>
      </c>
      <c r="AR3316" s="87">
        <v>5000</v>
      </c>
      <c r="AS3316" s="87"/>
      <c r="AT3316" s="87"/>
      <c r="AU3316" s="87"/>
      <c r="AV3316" s="92" t="str">
        <f>HYPERLINK("https://pbs.twimg.com/ext_tw_video_thumb/1690808938432790528/pu/img/9cgrZfqygJRlDbJ9.jpg")</f>
        <v>https://pbs.twimg.com/ext_tw_video_thumb/1690808938432790528/pu/img/9cgrZfqygJRlDbJ9.jpg</v>
      </c>
      <c r="AW3316" s="93" t="s">
        <v>21448</v>
      </c>
      <c r="AX3316" s="93" t="s">
        <v>21448</v>
      </c>
      <c r="AY3316" s="87"/>
      <c r="AZ3316" s="93" t="s">
        <v>22668</v>
      </c>
      <c r="BA3316" s="93" t="s">
        <v>22668</v>
      </c>
      <c r="BB3316" s="93" t="s">
        <v>22668</v>
      </c>
      <c r="BC3316" s="93" t="s">
        <v>21448</v>
      </c>
      <c r="BD3316" s="87">
        <v>351247493</v>
      </c>
      <c r="BE3316" s="87"/>
      <c r="BF3316" s="87"/>
      <c r="BG3316" s="87"/>
      <c r="BH3316" s="87"/>
      <c r="BI3316" s="87"/>
    </row>
    <row r="3317" spans="1:61" x14ac:dyDescent="0.25">
      <c r="A3317" s="63" t="s">
        <v>1258</v>
      </c>
      <c r="B3317" s="63" t="s">
        <v>1258</v>
      </c>
      <c r="C3317" s="64"/>
      <c r="D3317" s="65"/>
      <c r="E3317" s="66"/>
      <c r="F3317" s="67"/>
      <c r="G3317" s="64"/>
      <c r="H3317" s="68"/>
      <c r="I3317" s="69"/>
      <c r="J3317" s="69"/>
      <c r="K3317" s="32"/>
      <c r="L3317" s="76">
        <v>3317</v>
      </c>
      <c r="M3317" s="76"/>
      <c r="N3317" s="71"/>
      <c r="O3317" s="87" t="s">
        <v>179</v>
      </c>
      <c r="P3317" s="90">
        <v>45160.584363425929</v>
      </c>
      <c r="Q3317" s="87" t="s">
        <v>4998</v>
      </c>
      <c r="R3317" s="87">
        <v>0</v>
      </c>
      <c r="S3317" s="87">
        <v>0</v>
      </c>
      <c r="T3317" s="87">
        <v>0</v>
      </c>
      <c r="U3317" s="87">
        <v>0</v>
      </c>
      <c r="V3317" s="87">
        <v>2</v>
      </c>
      <c r="W3317" s="93" t="s">
        <v>7744</v>
      </c>
      <c r="X3317" s="87" t="s">
        <v>8358</v>
      </c>
      <c r="Y3317" s="87" t="s">
        <v>8521</v>
      </c>
      <c r="Z3317" s="87"/>
      <c r="AA3317" s="87" t="s">
        <v>10884</v>
      </c>
      <c r="AB3317" s="87" t="s">
        <v>11447</v>
      </c>
      <c r="AC3317" s="93" t="s">
        <v>11485</v>
      </c>
      <c r="AD3317" s="87" t="s">
        <v>11520</v>
      </c>
      <c r="AE3317" s="92" t="str">
        <f>HYPERLINK("https://twitter.com/caioneto2/status/1693986752258781209")</f>
        <v>https://twitter.com/caioneto2/status/1693986752258781209</v>
      </c>
      <c r="AF3317" s="90">
        <v>45160.584363425929</v>
      </c>
      <c r="AG3317" s="99">
        <v>45160</v>
      </c>
      <c r="AH3317" s="93" t="s">
        <v>14464</v>
      </c>
      <c r="AI3317" s="87" t="b">
        <v>0</v>
      </c>
      <c r="AJ3317" s="87"/>
      <c r="AK3317" s="87"/>
      <c r="AL3317" s="87"/>
      <c r="AM3317" s="87"/>
      <c r="AN3317" s="87"/>
      <c r="AO3317" s="87"/>
      <c r="AP3317" s="87"/>
      <c r="AQ3317" s="87" t="s">
        <v>17696</v>
      </c>
      <c r="AR3317" s="87">
        <v>5000</v>
      </c>
      <c r="AS3317" s="87"/>
      <c r="AT3317" s="87"/>
      <c r="AU3317" s="87"/>
      <c r="AV3317" s="92" t="str">
        <f>HYPERLINK("https://pbs.twimg.com/ext_tw_video_thumb/1693986654946799618/pu/img/eTHAPqr6mFpLVU76.jpg")</f>
        <v>https://pbs.twimg.com/ext_tw_video_thumb/1693986654946799618/pu/img/eTHAPqr6mFpLVU76.jpg</v>
      </c>
      <c r="AW3317" s="93" t="s">
        <v>21449</v>
      </c>
      <c r="AX3317" s="93" t="s">
        <v>21449</v>
      </c>
      <c r="AY3317" s="87"/>
      <c r="AZ3317" s="93" t="s">
        <v>22668</v>
      </c>
      <c r="BA3317" s="93" t="s">
        <v>22668</v>
      </c>
      <c r="BB3317" s="93" t="s">
        <v>22668</v>
      </c>
      <c r="BC3317" s="93" t="s">
        <v>21449</v>
      </c>
      <c r="BD3317" s="87">
        <v>351247493</v>
      </c>
      <c r="BE3317" s="87"/>
      <c r="BF3317" s="87"/>
      <c r="BG3317" s="87"/>
      <c r="BH3317" s="87"/>
      <c r="BI3317" s="87"/>
    </row>
    <row r="3318" spans="1:61" x14ac:dyDescent="0.25">
      <c r="A3318" s="63" t="s">
        <v>1258</v>
      </c>
      <c r="B3318" s="63" t="s">
        <v>1258</v>
      </c>
      <c r="C3318" s="64"/>
      <c r="D3318" s="65"/>
      <c r="E3318" s="66"/>
      <c r="F3318" s="67"/>
      <c r="G3318" s="64"/>
      <c r="H3318" s="68"/>
      <c r="I3318" s="69"/>
      <c r="J3318" s="69"/>
      <c r="K3318" s="32"/>
      <c r="L3318" s="76">
        <v>3318</v>
      </c>
      <c r="M3318" s="76"/>
      <c r="N3318" s="71"/>
      <c r="O3318" s="87" t="s">
        <v>179</v>
      </c>
      <c r="P3318" s="90">
        <v>45165.751458333332</v>
      </c>
      <c r="Q3318" s="87" t="s">
        <v>4999</v>
      </c>
      <c r="R3318" s="87">
        <v>0</v>
      </c>
      <c r="S3318" s="87">
        <v>0</v>
      </c>
      <c r="T3318" s="87">
        <v>0</v>
      </c>
      <c r="U3318" s="87">
        <v>0</v>
      </c>
      <c r="V3318" s="87">
        <v>47</v>
      </c>
      <c r="W3318" s="93" t="s">
        <v>7745</v>
      </c>
      <c r="X3318" s="87" t="s">
        <v>8359</v>
      </c>
      <c r="Y3318" s="87" t="s">
        <v>8522</v>
      </c>
      <c r="Z3318" s="87"/>
      <c r="AA3318" s="87" t="s">
        <v>10885</v>
      </c>
      <c r="AB3318" s="87" t="s">
        <v>11447</v>
      </c>
      <c r="AC3318" s="93" t="s">
        <v>11485</v>
      </c>
      <c r="AD3318" s="87" t="s">
        <v>11520</v>
      </c>
      <c r="AE3318" s="92" t="str">
        <f>HYPERLINK("https://twitter.com/caioneto2/status/1695859244447269374")</f>
        <v>https://twitter.com/caioneto2/status/1695859244447269374</v>
      </c>
      <c r="AF3318" s="90">
        <v>45165.751458333332</v>
      </c>
      <c r="AG3318" s="99">
        <v>45165</v>
      </c>
      <c r="AH3318" s="93" t="s">
        <v>14465</v>
      </c>
      <c r="AI3318" s="87" t="b">
        <v>0</v>
      </c>
      <c r="AJ3318" s="87"/>
      <c r="AK3318" s="87"/>
      <c r="AL3318" s="87"/>
      <c r="AM3318" s="87"/>
      <c r="AN3318" s="87"/>
      <c r="AO3318" s="87"/>
      <c r="AP3318" s="87"/>
      <c r="AQ3318" s="87" t="s">
        <v>17697</v>
      </c>
      <c r="AR3318" s="87">
        <v>5000</v>
      </c>
      <c r="AS3318" s="87"/>
      <c r="AT3318" s="87"/>
      <c r="AU3318" s="87"/>
      <c r="AV3318" s="92" t="str">
        <f>HYPERLINK("https://pbs.twimg.com/ext_tw_video_thumb/1695859220103483392/pu/img/d-02hNa3GpzgWwDn.jpg")</f>
        <v>https://pbs.twimg.com/ext_tw_video_thumb/1695859220103483392/pu/img/d-02hNa3GpzgWwDn.jpg</v>
      </c>
      <c r="AW3318" s="93" t="s">
        <v>21450</v>
      </c>
      <c r="AX3318" s="93" t="s">
        <v>21450</v>
      </c>
      <c r="AY3318" s="87"/>
      <c r="AZ3318" s="93" t="s">
        <v>22668</v>
      </c>
      <c r="BA3318" s="93" t="s">
        <v>22668</v>
      </c>
      <c r="BB3318" s="93" t="s">
        <v>22668</v>
      </c>
      <c r="BC3318" s="93" t="s">
        <v>21450</v>
      </c>
      <c r="BD3318" s="87">
        <v>351247493</v>
      </c>
      <c r="BE3318" s="87"/>
      <c r="BF3318" s="87"/>
      <c r="BG3318" s="87"/>
      <c r="BH3318" s="87"/>
      <c r="BI3318" s="87"/>
    </row>
    <row r="3319" spans="1:61" x14ac:dyDescent="0.25">
      <c r="A3319" s="63" t="s">
        <v>1259</v>
      </c>
      <c r="B3319" s="63" t="s">
        <v>1259</v>
      </c>
      <c r="C3319" s="64"/>
      <c r="D3319" s="65"/>
      <c r="E3319" s="66"/>
      <c r="F3319" s="67"/>
      <c r="G3319" s="64"/>
      <c r="H3319" s="68"/>
      <c r="I3319" s="69"/>
      <c r="J3319" s="69"/>
      <c r="K3319" s="32"/>
      <c r="L3319" s="76">
        <v>3319</v>
      </c>
      <c r="M3319" s="76"/>
      <c r="N3319" s="71"/>
      <c r="O3319" s="87" t="s">
        <v>179</v>
      </c>
      <c r="P3319" s="90">
        <v>45181.3905787037</v>
      </c>
      <c r="Q3319" s="87" t="s">
        <v>5000</v>
      </c>
      <c r="R3319" s="87">
        <v>0</v>
      </c>
      <c r="S3319" s="87">
        <v>0</v>
      </c>
      <c r="T3319" s="87">
        <v>0</v>
      </c>
      <c r="U3319" s="87">
        <v>0</v>
      </c>
      <c r="V3319" s="87">
        <v>9</v>
      </c>
      <c r="W3319" s="93" t="s">
        <v>7746</v>
      </c>
      <c r="X3319" s="87"/>
      <c r="Y3319" s="87"/>
      <c r="Z3319" s="87"/>
      <c r="AA3319" s="87" t="s">
        <v>10886</v>
      </c>
      <c r="AB3319" s="87" t="s">
        <v>11448</v>
      </c>
      <c r="AC3319" s="93" t="s">
        <v>11459</v>
      </c>
      <c r="AD3319" s="87" t="s">
        <v>11520</v>
      </c>
      <c r="AE3319" s="92" t="str">
        <f>HYPERLINK("https://twitter.com/pacosantos56370/status/1701526673085137159")</f>
        <v>https://twitter.com/pacosantos56370/status/1701526673085137159</v>
      </c>
      <c r="AF3319" s="90">
        <v>45181.3905787037</v>
      </c>
      <c r="AG3319" s="99">
        <v>45181</v>
      </c>
      <c r="AH3319" s="93" t="s">
        <v>14466</v>
      </c>
      <c r="AI3319" s="87" t="b">
        <v>0</v>
      </c>
      <c r="AJ3319" s="87" t="s">
        <v>15196</v>
      </c>
      <c r="AK3319" s="87" t="s">
        <v>15234</v>
      </c>
      <c r="AL3319" s="87" t="s">
        <v>15237</v>
      </c>
      <c r="AM3319" s="87" t="s">
        <v>15268</v>
      </c>
      <c r="AN3319" s="87" t="s">
        <v>15334</v>
      </c>
      <c r="AO3319" s="87" t="s">
        <v>15400</v>
      </c>
      <c r="AP3319" s="87" t="s">
        <v>15438</v>
      </c>
      <c r="AQ3319" s="87" t="s">
        <v>17698</v>
      </c>
      <c r="AR3319" s="87"/>
      <c r="AS3319" s="87"/>
      <c r="AT3319" s="87"/>
      <c r="AU3319" s="87"/>
      <c r="AV3319" s="92" t="str">
        <f>HYPERLINK("https://pbs.twimg.com/media/F50JfeOXwAAhY4F.jpg")</f>
        <v>https://pbs.twimg.com/media/F50JfeOXwAAhY4F.jpg</v>
      </c>
      <c r="AW3319" s="93" t="s">
        <v>21451</v>
      </c>
      <c r="AX3319" s="93" t="s">
        <v>21451</v>
      </c>
      <c r="AY3319" s="87"/>
      <c r="AZ3319" s="93" t="s">
        <v>22668</v>
      </c>
      <c r="BA3319" s="93" t="s">
        <v>22668</v>
      </c>
      <c r="BB3319" s="93" t="s">
        <v>22668</v>
      </c>
      <c r="BC3319" s="93" t="s">
        <v>21451</v>
      </c>
      <c r="BD3319" s="93" t="s">
        <v>23389</v>
      </c>
      <c r="BE3319" s="87"/>
      <c r="BF3319" s="87"/>
      <c r="BG3319" s="87"/>
      <c r="BH3319" s="87"/>
      <c r="BI3319" s="87"/>
    </row>
    <row r="3320" spans="1:61" x14ac:dyDescent="0.25">
      <c r="A3320" s="63" t="s">
        <v>1260</v>
      </c>
      <c r="B3320" s="63" t="s">
        <v>1260</v>
      </c>
      <c r="C3320" s="64"/>
      <c r="D3320" s="65"/>
      <c r="E3320" s="66"/>
      <c r="F3320" s="67"/>
      <c r="G3320" s="64"/>
      <c r="H3320" s="68"/>
      <c r="I3320" s="69"/>
      <c r="J3320" s="69"/>
      <c r="K3320" s="32"/>
      <c r="L3320" s="76">
        <v>3320</v>
      </c>
      <c r="M3320" s="76"/>
      <c r="N3320" s="71"/>
      <c r="O3320" s="87" t="s">
        <v>179</v>
      </c>
      <c r="P3320" s="90">
        <v>45117.577256944445</v>
      </c>
      <c r="Q3320" s="87" t="s">
        <v>5001</v>
      </c>
      <c r="R3320" s="87">
        <v>0</v>
      </c>
      <c r="S3320" s="87">
        <v>0</v>
      </c>
      <c r="T3320" s="87">
        <v>0</v>
      </c>
      <c r="U3320" s="87">
        <v>0</v>
      </c>
      <c r="V3320" s="87">
        <v>7</v>
      </c>
      <c r="W3320" s="93" t="s">
        <v>7747</v>
      </c>
      <c r="X3320" s="87"/>
      <c r="Y3320" s="87"/>
      <c r="Z3320" s="87"/>
      <c r="AA3320" s="87" t="s">
        <v>10887</v>
      </c>
      <c r="AB3320" s="87" t="s">
        <v>11448</v>
      </c>
      <c r="AC3320" s="93" t="s">
        <v>11462</v>
      </c>
      <c r="AD3320" s="87" t="s">
        <v>11519</v>
      </c>
      <c r="AE3320" s="92" t="str">
        <f>HYPERLINK("https://twitter.com/tatifeuanalista/status/1678401498764419072")</f>
        <v>https://twitter.com/tatifeuanalista/status/1678401498764419072</v>
      </c>
      <c r="AF3320" s="90">
        <v>45117.577256944445</v>
      </c>
      <c r="AG3320" s="99">
        <v>45117</v>
      </c>
      <c r="AH3320" s="93" t="s">
        <v>14467</v>
      </c>
      <c r="AI3320" s="87" t="b">
        <v>0</v>
      </c>
      <c r="AJ3320" s="87"/>
      <c r="AK3320" s="87"/>
      <c r="AL3320" s="87"/>
      <c r="AM3320" s="87"/>
      <c r="AN3320" s="87"/>
      <c r="AO3320" s="87"/>
      <c r="AP3320" s="87"/>
      <c r="AQ3320" s="87" t="s">
        <v>17699</v>
      </c>
      <c r="AR3320" s="87"/>
      <c r="AS3320" s="87"/>
      <c r="AT3320" s="87"/>
      <c r="AU3320" s="87"/>
      <c r="AV3320" s="92" t="str">
        <f>HYPERLINK("https://pbs.twimg.com/media/F0rhRKJXgAEox92.jpg")</f>
        <v>https://pbs.twimg.com/media/F0rhRKJXgAEox92.jpg</v>
      </c>
      <c r="AW3320" s="93" t="s">
        <v>21452</v>
      </c>
      <c r="AX3320" s="93" t="s">
        <v>21452</v>
      </c>
      <c r="AY3320" s="87"/>
      <c r="AZ3320" s="93" t="s">
        <v>22668</v>
      </c>
      <c r="BA3320" s="93" t="s">
        <v>22668</v>
      </c>
      <c r="BB3320" s="93" t="s">
        <v>22668</v>
      </c>
      <c r="BC3320" s="93" t="s">
        <v>21452</v>
      </c>
      <c r="BD3320" s="93" t="s">
        <v>23390</v>
      </c>
      <c r="BE3320" s="87"/>
      <c r="BF3320" s="87"/>
      <c r="BG3320" s="87"/>
      <c r="BH3320" s="87"/>
      <c r="BI3320" s="87"/>
    </row>
    <row r="3321" spans="1:61" x14ac:dyDescent="0.25">
      <c r="A3321" s="63" t="s">
        <v>1260</v>
      </c>
      <c r="B3321" s="63" t="s">
        <v>1260</v>
      </c>
      <c r="C3321" s="64"/>
      <c r="D3321" s="65"/>
      <c r="E3321" s="66"/>
      <c r="F3321" s="67"/>
      <c r="G3321" s="64"/>
      <c r="H3321" s="68"/>
      <c r="I3321" s="69"/>
      <c r="J3321" s="69"/>
      <c r="K3321" s="32"/>
      <c r="L3321" s="76">
        <v>3321</v>
      </c>
      <c r="M3321" s="76"/>
      <c r="N3321" s="71"/>
      <c r="O3321" s="87" t="s">
        <v>179</v>
      </c>
      <c r="P3321" s="90">
        <v>45129.333483796298</v>
      </c>
      <c r="Q3321" s="87" t="s">
        <v>5002</v>
      </c>
      <c r="R3321" s="87">
        <v>0</v>
      </c>
      <c r="S3321" s="87">
        <v>0</v>
      </c>
      <c r="T3321" s="87">
        <v>0</v>
      </c>
      <c r="U3321" s="87">
        <v>0</v>
      </c>
      <c r="V3321" s="87">
        <v>12</v>
      </c>
      <c r="W3321" s="93" t="s">
        <v>7748</v>
      </c>
      <c r="X3321" s="87"/>
      <c r="Y3321" s="87"/>
      <c r="Z3321" s="87"/>
      <c r="AA3321" s="87" t="s">
        <v>10888</v>
      </c>
      <c r="AB3321" s="87" t="s">
        <v>11448</v>
      </c>
      <c r="AC3321" s="93" t="s">
        <v>11462</v>
      </c>
      <c r="AD3321" s="87" t="s">
        <v>11519</v>
      </c>
      <c r="AE3321" s="92" t="str">
        <f>HYPERLINK("https://twitter.com/tatifeuanalista/status/1682661815694524417")</f>
        <v>https://twitter.com/tatifeuanalista/status/1682661815694524417</v>
      </c>
      <c r="AF3321" s="90">
        <v>45129.333483796298</v>
      </c>
      <c r="AG3321" s="99">
        <v>45129</v>
      </c>
      <c r="AH3321" s="93" t="s">
        <v>14468</v>
      </c>
      <c r="AI3321" s="87" t="b">
        <v>0</v>
      </c>
      <c r="AJ3321" s="87"/>
      <c r="AK3321" s="87"/>
      <c r="AL3321" s="87"/>
      <c r="AM3321" s="87"/>
      <c r="AN3321" s="87"/>
      <c r="AO3321" s="87"/>
      <c r="AP3321" s="87"/>
      <c r="AQ3321" s="87" t="s">
        <v>17700</v>
      </c>
      <c r="AR3321" s="87"/>
      <c r="AS3321" s="87"/>
      <c r="AT3321" s="87"/>
      <c r="AU3321" s="87"/>
      <c r="AV3321" s="92" t="str">
        <f>HYPERLINK("https://pbs.twimg.com/media/F1oEARlWcAAS1KE.jpg")</f>
        <v>https://pbs.twimg.com/media/F1oEARlWcAAS1KE.jpg</v>
      </c>
      <c r="AW3321" s="93" t="s">
        <v>21453</v>
      </c>
      <c r="AX3321" s="93" t="s">
        <v>21453</v>
      </c>
      <c r="AY3321" s="87"/>
      <c r="AZ3321" s="93" t="s">
        <v>22668</v>
      </c>
      <c r="BA3321" s="93" t="s">
        <v>22668</v>
      </c>
      <c r="BB3321" s="93" t="s">
        <v>22668</v>
      </c>
      <c r="BC3321" s="93" t="s">
        <v>21453</v>
      </c>
      <c r="BD3321" s="93" t="s">
        <v>23390</v>
      </c>
      <c r="BE3321" s="87"/>
      <c r="BF3321" s="87"/>
      <c r="BG3321" s="87"/>
      <c r="BH3321" s="87"/>
      <c r="BI3321" s="87"/>
    </row>
    <row r="3322" spans="1:61" x14ac:dyDescent="0.25">
      <c r="A3322" s="63" t="s">
        <v>1261</v>
      </c>
      <c r="B3322" s="63" t="s">
        <v>1261</v>
      </c>
      <c r="C3322" s="64"/>
      <c r="D3322" s="65"/>
      <c r="E3322" s="66"/>
      <c r="F3322" s="67"/>
      <c r="G3322" s="64"/>
      <c r="H3322" s="68"/>
      <c r="I3322" s="69"/>
      <c r="J3322" s="69"/>
      <c r="K3322" s="32"/>
      <c r="L3322" s="76">
        <v>3322</v>
      </c>
      <c r="M3322" s="76"/>
      <c r="N3322" s="71"/>
      <c r="O3322" s="87" t="s">
        <v>179</v>
      </c>
      <c r="P3322" s="90">
        <v>45113.787534722222</v>
      </c>
      <c r="Q3322" s="87" t="s">
        <v>5003</v>
      </c>
      <c r="R3322" s="87">
        <v>0</v>
      </c>
      <c r="S3322" s="87">
        <v>0</v>
      </c>
      <c r="T3322" s="87">
        <v>0</v>
      </c>
      <c r="U3322" s="87">
        <v>0</v>
      </c>
      <c r="V3322" s="87"/>
      <c r="W3322" s="93" t="s">
        <v>7749</v>
      </c>
      <c r="X3322" s="92" t="str">
        <f>HYPERLINK("https://www.instagram.com/reel/CuXTPAEMnqo/?igshid=MmI3ZjZhMGU3NQ==")</f>
        <v>https://www.instagram.com/reel/CuXTPAEMnqo/?igshid=MmI3ZjZhMGU3NQ==</v>
      </c>
      <c r="Y3322" s="87" t="s">
        <v>8383</v>
      </c>
      <c r="Z3322" s="87"/>
      <c r="AA3322" s="87"/>
      <c r="AB3322" s="87"/>
      <c r="AC3322" s="93" t="s">
        <v>11459</v>
      </c>
      <c r="AD3322" s="87" t="s">
        <v>11520</v>
      </c>
      <c r="AE3322" s="92" t="str">
        <f>HYPERLINK("https://twitter.com/aninhaperfil8/status/1677028152520986626")</f>
        <v>https://twitter.com/aninhaperfil8/status/1677028152520986626</v>
      </c>
      <c r="AF3322" s="90">
        <v>45113.787534722222</v>
      </c>
      <c r="AG3322" s="99">
        <v>45113</v>
      </c>
      <c r="AH3322" s="93" t="s">
        <v>14469</v>
      </c>
      <c r="AI3322" s="87" t="b">
        <v>0</v>
      </c>
      <c r="AJ3322" s="87"/>
      <c r="AK3322" s="87"/>
      <c r="AL3322" s="87"/>
      <c r="AM3322" s="87"/>
      <c r="AN3322" s="87"/>
      <c r="AO3322" s="87"/>
      <c r="AP3322" s="87"/>
      <c r="AQ3322" s="87"/>
      <c r="AR3322" s="87"/>
      <c r="AS3322" s="87"/>
      <c r="AT3322" s="87"/>
      <c r="AU3322" s="87"/>
      <c r="AV3322" s="92" t="str">
        <f>HYPERLINK("https://pbs.twimg.com/profile_images/1588226692539195393/TQAZx841_normal.jpg")</f>
        <v>https://pbs.twimg.com/profile_images/1588226692539195393/TQAZx841_normal.jpg</v>
      </c>
      <c r="AW3322" s="93" t="s">
        <v>21454</v>
      </c>
      <c r="AX3322" s="93" t="s">
        <v>21454</v>
      </c>
      <c r="AY3322" s="87"/>
      <c r="AZ3322" s="93" t="s">
        <v>22668</v>
      </c>
      <c r="BA3322" s="93" t="s">
        <v>22668</v>
      </c>
      <c r="BB3322" s="93" t="s">
        <v>22668</v>
      </c>
      <c r="BC3322" s="93" t="s">
        <v>21454</v>
      </c>
      <c r="BD3322" s="93" t="s">
        <v>23391</v>
      </c>
      <c r="BE3322" s="87"/>
      <c r="BF3322" s="87"/>
      <c r="BG3322" s="87"/>
      <c r="BH3322" s="87"/>
      <c r="BI3322" s="87"/>
    </row>
    <row r="3323" spans="1:61" x14ac:dyDescent="0.25">
      <c r="A3323" s="63" t="s">
        <v>1262</v>
      </c>
      <c r="B3323" s="63" t="s">
        <v>1262</v>
      </c>
      <c r="C3323" s="64"/>
      <c r="D3323" s="65"/>
      <c r="E3323" s="66"/>
      <c r="F3323" s="67"/>
      <c r="G3323" s="64"/>
      <c r="H3323" s="68"/>
      <c r="I3323" s="69"/>
      <c r="J3323" s="69"/>
      <c r="K3323" s="32"/>
      <c r="L3323" s="76">
        <v>3323</v>
      </c>
      <c r="M3323" s="76"/>
      <c r="N3323" s="71"/>
      <c r="O3323" s="87" t="s">
        <v>1840</v>
      </c>
      <c r="P3323" s="90">
        <v>45130.502476851849</v>
      </c>
      <c r="Q3323" s="87" t="s">
        <v>5004</v>
      </c>
      <c r="R3323" s="87">
        <v>0</v>
      </c>
      <c r="S3323" s="87">
        <v>0</v>
      </c>
      <c r="T3323" s="87">
        <v>0</v>
      </c>
      <c r="U3323" s="87">
        <v>0</v>
      </c>
      <c r="V3323" s="87">
        <v>13</v>
      </c>
      <c r="W3323" s="93" t="s">
        <v>7750</v>
      </c>
      <c r="X3323" s="87"/>
      <c r="Y3323" s="87"/>
      <c r="Z3323" s="87"/>
      <c r="AA3323" s="87"/>
      <c r="AB3323" s="87"/>
      <c r="AC3323" s="93" t="s">
        <v>11458</v>
      </c>
      <c r="AD3323" s="87" t="s">
        <v>11519</v>
      </c>
      <c r="AE3323" s="92" t="str">
        <f>HYPERLINK("https://twitter.com/hachicasamais/status/1683085444228038656")</f>
        <v>https://twitter.com/hachicasamais/status/1683085444228038656</v>
      </c>
      <c r="AF3323" s="90">
        <v>45130.502476851849</v>
      </c>
      <c r="AG3323" s="99">
        <v>45130</v>
      </c>
      <c r="AH3323" s="93" t="s">
        <v>14470</v>
      </c>
      <c r="AI3323" s="87"/>
      <c r="AJ3323" s="87"/>
      <c r="AK3323" s="87"/>
      <c r="AL3323" s="87"/>
      <c r="AM3323" s="87"/>
      <c r="AN3323" s="87"/>
      <c r="AO3323" s="87"/>
      <c r="AP3323" s="87"/>
      <c r="AQ3323" s="87"/>
      <c r="AR3323" s="87"/>
      <c r="AS3323" s="87"/>
      <c r="AT3323" s="87"/>
      <c r="AU3323" s="87"/>
      <c r="AV3323" s="92" t="str">
        <f>HYPERLINK("https://pbs.twimg.com/profile_images/1687559559068483584/QTmybI6A_normal.jpg")</f>
        <v>https://pbs.twimg.com/profile_images/1687559559068483584/QTmybI6A_normal.jpg</v>
      </c>
      <c r="AW3323" s="93" t="s">
        <v>21455</v>
      </c>
      <c r="AX3323" s="93" t="s">
        <v>22462</v>
      </c>
      <c r="AY3323" s="93" t="s">
        <v>22629</v>
      </c>
      <c r="AZ3323" s="93" t="s">
        <v>22462</v>
      </c>
      <c r="BA3323" s="93" t="s">
        <v>22668</v>
      </c>
      <c r="BB3323" s="93" t="s">
        <v>22668</v>
      </c>
      <c r="BC3323" s="93" t="s">
        <v>22462</v>
      </c>
      <c r="BD3323" s="93" t="s">
        <v>22629</v>
      </c>
      <c r="BE3323" s="87"/>
      <c r="BF3323" s="87"/>
      <c r="BG3323" s="87"/>
      <c r="BH3323" s="87"/>
      <c r="BI3323" s="87"/>
    </row>
    <row r="3324" spans="1:61" x14ac:dyDescent="0.25">
      <c r="A3324" s="63" t="s">
        <v>1263</v>
      </c>
      <c r="B3324" s="63" t="s">
        <v>1791</v>
      </c>
      <c r="C3324" s="64"/>
      <c r="D3324" s="65"/>
      <c r="E3324" s="66"/>
      <c r="F3324" s="67"/>
      <c r="G3324" s="64"/>
      <c r="H3324" s="68"/>
      <c r="I3324" s="69"/>
      <c r="J3324" s="69"/>
      <c r="K3324" s="32"/>
      <c r="L3324" s="76">
        <v>3324</v>
      </c>
      <c r="M3324" s="76"/>
      <c r="N3324" s="71"/>
      <c r="O3324" s="87" t="s">
        <v>1839</v>
      </c>
      <c r="P3324" s="90">
        <v>45129.625567129631</v>
      </c>
      <c r="Q3324" s="87" t="s">
        <v>5005</v>
      </c>
      <c r="R3324" s="87">
        <v>0</v>
      </c>
      <c r="S3324" s="87">
        <v>0</v>
      </c>
      <c r="T3324" s="87">
        <v>0</v>
      </c>
      <c r="U3324" s="87">
        <v>0</v>
      </c>
      <c r="V3324" s="87">
        <v>51</v>
      </c>
      <c r="W3324" s="93" t="s">
        <v>7751</v>
      </c>
      <c r="X3324" s="87"/>
      <c r="Y3324" s="87"/>
      <c r="Z3324" s="87" t="s">
        <v>8612</v>
      </c>
      <c r="AA3324" s="87" t="s">
        <v>10889</v>
      </c>
      <c r="AB3324" s="87" t="s">
        <v>11448</v>
      </c>
      <c r="AC3324" s="93" t="s">
        <v>11460</v>
      </c>
      <c r="AD3324" s="87" t="s">
        <v>11519</v>
      </c>
      <c r="AE3324" s="92" t="str">
        <f>HYPERLINK("https://twitter.com/sulminastv/status/1682767660092727297")</f>
        <v>https://twitter.com/sulminastv/status/1682767660092727297</v>
      </c>
      <c r="AF3324" s="90">
        <v>45129.625567129631</v>
      </c>
      <c r="AG3324" s="99">
        <v>45129</v>
      </c>
      <c r="AH3324" s="93" t="s">
        <v>13028</v>
      </c>
      <c r="AI3324" s="87" t="b">
        <v>0</v>
      </c>
      <c r="AJ3324" s="87"/>
      <c r="AK3324" s="87"/>
      <c r="AL3324" s="87"/>
      <c r="AM3324" s="87"/>
      <c r="AN3324" s="87"/>
      <c r="AO3324" s="87"/>
      <c r="AP3324" s="87"/>
      <c r="AQ3324" s="87" t="s">
        <v>17701</v>
      </c>
      <c r="AR3324" s="87"/>
      <c r="AS3324" s="87"/>
      <c r="AT3324" s="87"/>
      <c r="AU3324" s="87"/>
      <c r="AV3324" s="92" t="str">
        <f>HYPERLINK("https://pbs.twimg.com/media/F1pkRMlX0AAJNp8.jpg")</f>
        <v>https://pbs.twimg.com/media/F1pkRMlX0AAJNp8.jpg</v>
      </c>
      <c r="AW3324" s="93" t="s">
        <v>21456</v>
      </c>
      <c r="AX3324" s="93" t="s">
        <v>21456</v>
      </c>
      <c r="AY3324" s="87"/>
      <c r="AZ3324" s="93" t="s">
        <v>22668</v>
      </c>
      <c r="BA3324" s="93" t="s">
        <v>22668</v>
      </c>
      <c r="BB3324" s="93" t="s">
        <v>22668</v>
      </c>
      <c r="BC3324" s="93" t="s">
        <v>21456</v>
      </c>
      <c r="BD3324" s="93" t="s">
        <v>23392</v>
      </c>
      <c r="BE3324" s="87"/>
      <c r="BF3324" s="87"/>
      <c r="BG3324" s="87"/>
      <c r="BH3324" s="87"/>
      <c r="BI3324" s="87"/>
    </row>
    <row r="3325" spans="1:61" x14ac:dyDescent="0.25">
      <c r="A3325" s="63" t="s">
        <v>1263</v>
      </c>
      <c r="B3325" s="63" t="s">
        <v>1792</v>
      </c>
      <c r="C3325" s="64"/>
      <c r="D3325" s="65"/>
      <c r="E3325" s="66"/>
      <c r="F3325" s="67"/>
      <c r="G3325" s="64"/>
      <c r="H3325" s="68"/>
      <c r="I3325" s="69"/>
      <c r="J3325" s="69"/>
      <c r="K3325" s="32"/>
      <c r="L3325" s="76">
        <v>3325</v>
      </c>
      <c r="M3325" s="76"/>
      <c r="N3325" s="71"/>
      <c r="O3325" s="87" t="s">
        <v>1839</v>
      </c>
      <c r="P3325" s="90">
        <v>45129.625567129631</v>
      </c>
      <c r="Q3325" s="87" t="s">
        <v>5005</v>
      </c>
      <c r="R3325" s="87">
        <v>0</v>
      </c>
      <c r="S3325" s="87">
        <v>0</v>
      </c>
      <c r="T3325" s="87">
        <v>0</v>
      </c>
      <c r="U3325" s="87">
        <v>0</v>
      </c>
      <c r="V3325" s="87">
        <v>51</v>
      </c>
      <c r="W3325" s="93" t="s">
        <v>7751</v>
      </c>
      <c r="X3325" s="87"/>
      <c r="Y3325" s="87"/>
      <c r="Z3325" s="87" t="s">
        <v>8612</v>
      </c>
      <c r="AA3325" s="87" t="s">
        <v>10889</v>
      </c>
      <c r="AB3325" s="87" t="s">
        <v>11448</v>
      </c>
      <c r="AC3325" s="93" t="s">
        <v>11460</v>
      </c>
      <c r="AD3325" s="87" t="s">
        <v>11519</v>
      </c>
      <c r="AE3325" s="92" t="str">
        <f>HYPERLINK("https://twitter.com/sulminastv/status/1682767660092727297")</f>
        <v>https://twitter.com/sulminastv/status/1682767660092727297</v>
      </c>
      <c r="AF3325" s="90">
        <v>45129.625567129631</v>
      </c>
      <c r="AG3325" s="99">
        <v>45129</v>
      </c>
      <c r="AH3325" s="93" t="s">
        <v>13028</v>
      </c>
      <c r="AI3325" s="87" t="b">
        <v>0</v>
      </c>
      <c r="AJ3325" s="87"/>
      <c r="AK3325" s="87"/>
      <c r="AL3325" s="87"/>
      <c r="AM3325" s="87"/>
      <c r="AN3325" s="87"/>
      <c r="AO3325" s="87"/>
      <c r="AP3325" s="87"/>
      <c r="AQ3325" s="87" t="s">
        <v>17701</v>
      </c>
      <c r="AR3325" s="87"/>
      <c r="AS3325" s="87"/>
      <c r="AT3325" s="87"/>
      <c r="AU3325" s="87"/>
      <c r="AV3325" s="92" t="str">
        <f>HYPERLINK("https://pbs.twimg.com/media/F1pkRMlX0AAJNp8.jpg")</f>
        <v>https://pbs.twimg.com/media/F1pkRMlX0AAJNp8.jpg</v>
      </c>
      <c r="AW3325" s="93" t="s">
        <v>21456</v>
      </c>
      <c r="AX3325" s="93" t="s">
        <v>21456</v>
      </c>
      <c r="AY3325" s="87"/>
      <c r="AZ3325" s="93" t="s">
        <v>22668</v>
      </c>
      <c r="BA3325" s="93" t="s">
        <v>22668</v>
      </c>
      <c r="BB3325" s="93" t="s">
        <v>22668</v>
      </c>
      <c r="BC3325" s="93" t="s">
        <v>21456</v>
      </c>
      <c r="BD3325" s="93" t="s">
        <v>23392</v>
      </c>
      <c r="BE3325" s="87"/>
      <c r="BF3325" s="87"/>
      <c r="BG3325" s="87"/>
      <c r="BH3325" s="87"/>
      <c r="BI3325" s="87"/>
    </row>
    <row r="3326" spans="1:61" x14ac:dyDescent="0.25">
      <c r="A3326" s="63" t="s">
        <v>1264</v>
      </c>
      <c r="B3326" s="63" t="s">
        <v>1264</v>
      </c>
      <c r="C3326" s="64"/>
      <c r="D3326" s="65"/>
      <c r="E3326" s="66"/>
      <c r="F3326" s="67"/>
      <c r="G3326" s="64"/>
      <c r="H3326" s="68"/>
      <c r="I3326" s="69"/>
      <c r="J3326" s="69"/>
      <c r="K3326" s="32"/>
      <c r="L3326" s="76">
        <v>3326</v>
      </c>
      <c r="M3326" s="76"/>
      <c r="N3326" s="71"/>
      <c r="O3326" s="87" t="s">
        <v>179</v>
      </c>
      <c r="P3326" s="90">
        <v>45131.934490740743</v>
      </c>
      <c r="Q3326" s="87" t="s">
        <v>5006</v>
      </c>
      <c r="R3326" s="87">
        <v>0</v>
      </c>
      <c r="S3326" s="87">
        <v>1</v>
      </c>
      <c r="T3326" s="87">
        <v>0</v>
      </c>
      <c r="U3326" s="87">
        <v>0</v>
      </c>
      <c r="V3326" s="87">
        <v>32</v>
      </c>
      <c r="W3326" s="93" t="s">
        <v>7752</v>
      </c>
      <c r="X3326" s="87"/>
      <c r="Y3326" s="87"/>
      <c r="Z3326" s="87"/>
      <c r="AA3326" s="87" t="s">
        <v>10890</v>
      </c>
      <c r="AB3326" s="87" t="s">
        <v>11447</v>
      </c>
      <c r="AC3326" s="93" t="s">
        <v>11458</v>
      </c>
      <c r="AD3326" s="87" t="s">
        <v>11520</v>
      </c>
      <c r="AE3326" s="92" t="str">
        <f>HYPERLINK("https://twitter.com/upsilontoledo/status/1683604388655386626")</f>
        <v>https://twitter.com/upsilontoledo/status/1683604388655386626</v>
      </c>
      <c r="AF3326" s="90">
        <v>45131.934490740743</v>
      </c>
      <c r="AG3326" s="99">
        <v>45131</v>
      </c>
      <c r="AH3326" s="93" t="s">
        <v>14471</v>
      </c>
      <c r="AI3326" s="87" t="b">
        <v>0</v>
      </c>
      <c r="AJ3326" s="87"/>
      <c r="AK3326" s="87"/>
      <c r="AL3326" s="87"/>
      <c r="AM3326" s="87"/>
      <c r="AN3326" s="87"/>
      <c r="AO3326" s="87"/>
      <c r="AP3326" s="87"/>
      <c r="AQ3326" s="87" t="s">
        <v>17702</v>
      </c>
      <c r="AR3326" s="87">
        <v>12563</v>
      </c>
      <c r="AS3326" s="87"/>
      <c r="AT3326" s="87"/>
      <c r="AU3326" s="87"/>
      <c r="AV3326" s="92" t="str">
        <f>HYPERLINK("https://pbs.twimg.com/ext_tw_video_thumb/1683604360364711937/pu/img/T-loOYB8TGEwLkXN.jpg")</f>
        <v>https://pbs.twimg.com/ext_tw_video_thumb/1683604360364711937/pu/img/T-loOYB8TGEwLkXN.jpg</v>
      </c>
      <c r="AW3326" s="93" t="s">
        <v>21457</v>
      </c>
      <c r="AX3326" s="93" t="s">
        <v>21457</v>
      </c>
      <c r="AY3326" s="87"/>
      <c r="AZ3326" s="93" t="s">
        <v>22668</v>
      </c>
      <c r="BA3326" s="93" t="s">
        <v>22668</v>
      </c>
      <c r="BB3326" s="93" t="s">
        <v>22668</v>
      </c>
      <c r="BC3326" s="93" t="s">
        <v>21457</v>
      </c>
      <c r="BD3326" s="93" t="s">
        <v>23393</v>
      </c>
      <c r="BE3326" s="87"/>
      <c r="BF3326" s="87"/>
      <c r="BG3326" s="87"/>
      <c r="BH3326" s="87"/>
      <c r="BI3326" s="87"/>
    </row>
    <row r="3327" spans="1:61" x14ac:dyDescent="0.25">
      <c r="A3327" s="63" t="s">
        <v>1264</v>
      </c>
      <c r="B3327" s="63" t="s">
        <v>1264</v>
      </c>
      <c r="C3327" s="64"/>
      <c r="D3327" s="65"/>
      <c r="E3327" s="66"/>
      <c r="F3327" s="67"/>
      <c r="G3327" s="64"/>
      <c r="H3327" s="68"/>
      <c r="I3327" s="69"/>
      <c r="J3327" s="69"/>
      <c r="K3327" s="32"/>
      <c r="L3327" s="76">
        <v>3327</v>
      </c>
      <c r="M3327" s="76"/>
      <c r="N3327" s="71"/>
      <c r="O3327" s="87" t="s">
        <v>179</v>
      </c>
      <c r="P3327" s="90">
        <v>45134.932002314818</v>
      </c>
      <c r="Q3327" s="87" t="s">
        <v>5007</v>
      </c>
      <c r="R3327" s="87">
        <v>0</v>
      </c>
      <c r="S3327" s="87">
        <v>1</v>
      </c>
      <c r="T3327" s="87">
        <v>0</v>
      </c>
      <c r="U3327" s="87">
        <v>0</v>
      </c>
      <c r="V3327" s="87">
        <v>23</v>
      </c>
      <c r="W3327" s="93" t="s">
        <v>7753</v>
      </c>
      <c r="X3327" s="87"/>
      <c r="Y3327" s="87"/>
      <c r="Z3327" s="87"/>
      <c r="AA3327" s="87" t="s">
        <v>10891</v>
      </c>
      <c r="AB3327" s="87" t="s">
        <v>11447</v>
      </c>
      <c r="AC3327" s="93" t="s">
        <v>11458</v>
      </c>
      <c r="AD3327" s="87" t="s">
        <v>11520</v>
      </c>
      <c r="AE3327" s="92" t="str">
        <f>HYPERLINK("https://twitter.com/upsilontoledo/status/1684690649818218496")</f>
        <v>https://twitter.com/upsilontoledo/status/1684690649818218496</v>
      </c>
      <c r="AF3327" s="90">
        <v>45134.932002314818</v>
      </c>
      <c r="AG3327" s="99">
        <v>45134</v>
      </c>
      <c r="AH3327" s="93" t="s">
        <v>14472</v>
      </c>
      <c r="AI3327" s="87" t="b">
        <v>0</v>
      </c>
      <c r="AJ3327" s="87" t="s">
        <v>15220</v>
      </c>
      <c r="AK3327" s="87" t="s">
        <v>15234</v>
      </c>
      <c r="AL3327" s="87" t="s">
        <v>15237</v>
      </c>
      <c r="AM3327" s="87" t="s">
        <v>15291</v>
      </c>
      <c r="AN3327" s="87" t="s">
        <v>15358</v>
      </c>
      <c r="AO3327" s="87" t="s">
        <v>15423</v>
      </c>
      <c r="AP3327" s="87" t="s">
        <v>15438</v>
      </c>
      <c r="AQ3327" s="87" t="s">
        <v>17703</v>
      </c>
      <c r="AR3327" s="87">
        <v>4204</v>
      </c>
      <c r="AS3327" s="87"/>
      <c r="AT3327" s="87"/>
      <c r="AU3327" s="87"/>
      <c r="AV3327" s="92" t="str">
        <f>HYPERLINK("https://pbs.twimg.com/ext_tw_video_thumb/1684690636442644480/pu/img/LdkQYaRrR1y2WGY6.jpg")</f>
        <v>https://pbs.twimg.com/ext_tw_video_thumb/1684690636442644480/pu/img/LdkQYaRrR1y2WGY6.jpg</v>
      </c>
      <c r="AW3327" s="93" t="s">
        <v>21458</v>
      </c>
      <c r="AX3327" s="93" t="s">
        <v>21458</v>
      </c>
      <c r="AY3327" s="87"/>
      <c r="AZ3327" s="93" t="s">
        <v>22668</v>
      </c>
      <c r="BA3327" s="93" t="s">
        <v>22668</v>
      </c>
      <c r="BB3327" s="93" t="s">
        <v>22668</v>
      </c>
      <c r="BC3327" s="93" t="s">
        <v>21458</v>
      </c>
      <c r="BD3327" s="93" t="s">
        <v>23393</v>
      </c>
      <c r="BE3327" s="87"/>
      <c r="BF3327" s="87"/>
      <c r="BG3327" s="87"/>
      <c r="BH3327" s="87"/>
      <c r="BI3327" s="87"/>
    </row>
    <row r="3328" spans="1:61" x14ac:dyDescent="0.25">
      <c r="A3328" s="63" t="s">
        <v>1265</v>
      </c>
      <c r="B3328" s="63" t="s">
        <v>1265</v>
      </c>
      <c r="C3328" s="64"/>
      <c r="D3328" s="65"/>
      <c r="E3328" s="66"/>
      <c r="F3328" s="67"/>
      <c r="G3328" s="64"/>
      <c r="H3328" s="68"/>
      <c r="I3328" s="69"/>
      <c r="J3328" s="69"/>
      <c r="K3328" s="32"/>
      <c r="L3328" s="76">
        <v>3328</v>
      </c>
      <c r="M3328" s="76"/>
      <c r="N3328" s="71"/>
      <c r="O3328" s="87" t="s">
        <v>179</v>
      </c>
      <c r="P3328" s="90">
        <v>45178.911446759259</v>
      </c>
      <c r="Q3328" s="87" t="s">
        <v>5008</v>
      </c>
      <c r="R3328" s="87">
        <v>0</v>
      </c>
      <c r="S3328" s="87">
        <v>0</v>
      </c>
      <c r="T3328" s="87">
        <v>0</v>
      </c>
      <c r="U3328" s="87">
        <v>0</v>
      </c>
      <c r="V3328" s="87">
        <v>39</v>
      </c>
      <c r="W3328" s="93" t="s">
        <v>7754</v>
      </c>
      <c r="X3328" s="92" t="str">
        <f>HYPERLINK("https://scalodigital.com.br/funil-de-vendas-no-marketing-digital/")</f>
        <v>https://scalodigital.com.br/funil-de-vendas-no-marketing-digital/</v>
      </c>
      <c r="Y3328" s="87" t="s">
        <v>8373</v>
      </c>
      <c r="Z3328" s="87"/>
      <c r="AA3328" s="87"/>
      <c r="AB3328" s="87"/>
      <c r="AC3328" s="93" t="s">
        <v>11457</v>
      </c>
      <c r="AD3328" s="87" t="s">
        <v>11519</v>
      </c>
      <c r="AE3328" s="92" t="str">
        <f>HYPERLINK("https://twitter.com/scalodigital/status/1700628268418777147")</f>
        <v>https://twitter.com/scalodigital/status/1700628268418777147</v>
      </c>
      <c r="AF3328" s="90">
        <v>45178.911446759259</v>
      </c>
      <c r="AG3328" s="99">
        <v>45178</v>
      </c>
      <c r="AH3328" s="93" t="s">
        <v>14473</v>
      </c>
      <c r="AI3328" s="87" t="b">
        <v>0</v>
      </c>
      <c r="AJ3328" s="87"/>
      <c r="AK3328" s="87"/>
      <c r="AL3328" s="87"/>
      <c r="AM3328" s="87"/>
      <c r="AN3328" s="87"/>
      <c r="AO3328" s="87"/>
      <c r="AP3328" s="87"/>
      <c r="AQ3328" s="87"/>
      <c r="AR3328" s="87"/>
      <c r="AS3328" s="87"/>
      <c r="AT3328" s="87"/>
      <c r="AU3328" s="87"/>
      <c r="AV3328" s="92" t="str">
        <f>HYPERLINK("https://pbs.twimg.com/profile_images/1700617948799315968/HuepgPJ2_normal.jpg")</f>
        <v>https://pbs.twimg.com/profile_images/1700617948799315968/HuepgPJ2_normal.jpg</v>
      </c>
      <c r="AW3328" s="93" t="s">
        <v>21459</v>
      </c>
      <c r="AX3328" s="93" t="s">
        <v>21459</v>
      </c>
      <c r="AY3328" s="87"/>
      <c r="AZ3328" s="93" t="s">
        <v>22668</v>
      </c>
      <c r="BA3328" s="93" t="s">
        <v>22668</v>
      </c>
      <c r="BB3328" s="93" t="s">
        <v>22668</v>
      </c>
      <c r="BC3328" s="93" t="s">
        <v>21459</v>
      </c>
      <c r="BD3328" s="93" t="s">
        <v>23394</v>
      </c>
      <c r="BE3328" s="87"/>
      <c r="BF3328" s="87"/>
      <c r="BG3328" s="87"/>
      <c r="BH3328" s="87"/>
      <c r="BI3328" s="87"/>
    </row>
    <row r="3329" spans="1:61" x14ac:dyDescent="0.25">
      <c r="A3329" s="63" t="s">
        <v>1265</v>
      </c>
      <c r="B3329" s="63" t="s">
        <v>1265</v>
      </c>
      <c r="C3329" s="64"/>
      <c r="D3329" s="65"/>
      <c r="E3329" s="66"/>
      <c r="F3329" s="67"/>
      <c r="G3329" s="64"/>
      <c r="H3329" s="68"/>
      <c r="I3329" s="69"/>
      <c r="J3329" s="69"/>
      <c r="K3329" s="32"/>
      <c r="L3329" s="76">
        <v>3329</v>
      </c>
      <c r="M3329" s="76"/>
      <c r="N3329" s="71"/>
      <c r="O3329" s="87" t="s">
        <v>179</v>
      </c>
      <c r="P3329" s="90">
        <v>45178.901770833334</v>
      </c>
      <c r="Q3329" s="87" t="s">
        <v>5009</v>
      </c>
      <c r="R3329" s="87">
        <v>0</v>
      </c>
      <c r="S3329" s="87">
        <v>0</v>
      </c>
      <c r="T3329" s="87">
        <v>0</v>
      </c>
      <c r="U3329" s="87">
        <v>0</v>
      </c>
      <c r="V3329" s="87">
        <v>47</v>
      </c>
      <c r="W3329" s="93" t="s">
        <v>7755</v>
      </c>
      <c r="X3329" s="92" t="str">
        <f>HYPERLINK("https://scalodigital.com.br/o-que-e-marketing-digital-um-guia-completo")</f>
        <v>https://scalodigital.com.br/o-que-e-marketing-digital-um-guia-completo</v>
      </c>
      <c r="Y3329" s="87" t="s">
        <v>8373</v>
      </c>
      <c r="Z3329" s="87"/>
      <c r="AA3329" s="87"/>
      <c r="AB3329" s="87"/>
      <c r="AC3329" s="93" t="s">
        <v>11457</v>
      </c>
      <c r="AD3329" s="87" t="s">
        <v>11519</v>
      </c>
      <c r="AE3329" s="92" t="str">
        <f>HYPERLINK("https://twitter.com/scalodigital/status/1700624757891248560")</f>
        <v>https://twitter.com/scalodigital/status/1700624757891248560</v>
      </c>
      <c r="AF3329" s="90">
        <v>45178.901770833334</v>
      </c>
      <c r="AG3329" s="99">
        <v>45178</v>
      </c>
      <c r="AH3329" s="93" t="s">
        <v>14474</v>
      </c>
      <c r="AI3329" s="87" t="b">
        <v>0</v>
      </c>
      <c r="AJ3329" s="87"/>
      <c r="AK3329" s="87"/>
      <c r="AL3329" s="87"/>
      <c r="AM3329" s="87"/>
      <c r="AN3329" s="87"/>
      <c r="AO3329" s="87"/>
      <c r="AP3329" s="87"/>
      <c r="AQ3329" s="87"/>
      <c r="AR3329" s="87"/>
      <c r="AS3329" s="87"/>
      <c r="AT3329" s="87"/>
      <c r="AU3329" s="87"/>
      <c r="AV3329" s="92" t="str">
        <f>HYPERLINK("https://pbs.twimg.com/profile_images/1700617948799315968/HuepgPJ2_normal.jpg")</f>
        <v>https://pbs.twimg.com/profile_images/1700617948799315968/HuepgPJ2_normal.jpg</v>
      </c>
      <c r="AW3329" s="93" t="s">
        <v>21460</v>
      </c>
      <c r="AX3329" s="93" t="s">
        <v>21460</v>
      </c>
      <c r="AY3329" s="87"/>
      <c r="AZ3329" s="93" t="s">
        <v>22668</v>
      </c>
      <c r="BA3329" s="93" t="s">
        <v>22668</v>
      </c>
      <c r="BB3329" s="93" t="s">
        <v>22668</v>
      </c>
      <c r="BC3329" s="93" t="s">
        <v>21460</v>
      </c>
      <c r="BD3329" s="93" t="s">
        <v>23394</v>
      </c>
      <c r="BE3329" s="87"/>
      <c r="BF3329" s="87"/>
      <c r="BG3329" s="87"/>
      <c r="BH3329" s="87"/>
      <c r="BI3329" s="87"/>
    </row>
    <row r="3330" spans="1:61" x14ac:dyDescent="0.25">
      <c r="A3330" s="63" t="s">
        <v>1266</v>
      </c>
      <c r="B3330" s="63" t="s">
        <v>1266</v>
      </c>
      <c r="C3330" s="64"/>
      <c r="D3330" s="65"/>
      <c r="E3330" s="66"/>
      <c r="F3330" s="67"/>
      <c r="G3330" s="64"/>
      <c r="H3330" s="68"/>
      <c r="I3330" s="69"/>
      <c r="J3330" s="69"/>
      <c r="K3330" s="32"/>
      <c r="L3330" s="76">
        <v>3330</v>
      </c>
      <c r="M3330" s="76"/>
      <c r="N3330" s="71"/>
      <c r="O3330" s="87" t="s">
        <v>179</v>
      </c>
      <c r="P3330" s="90">
        <v>45152.750011574077</v>
      </c>
      <c r="Q3330" s="87" t="s">
        <v>5010</v>
      </c>
      <c r="R3330" s="87">
        <v>0</v>
      </c>
      <c r="S3330" s="87">
        <v>2</v>
      </c>
      <c r="T3330" s="87">
        <v>0</v>
      </c>
      <c r="U3330" s="87">
        <v>0</v>
      </c>
      <c r="V3330" s="87">
        <v>42</v>
      </c>
      <c r="W3330" s="93" t="s">
        <v>7756</v>
      </c>
      <c r="X3330" s="92" t="str">
        <f>HYPERLINK("https://folhadolitoral.com.br/editorias/trabalho/com-cursos-gratuitos-alunos-do-senac-paranagua-obtem-emprego-empreendem-e-se-qualificam/")</f>
        <v>https://folhadolitoral.com.br/editorias/trabalho/com-cursos-gratuitos-alunos-do-senac-paranagua-obtem-emprego-empreendem-e-se-qualificam/</v>
      </c>
      <c r="Y3330" s="87" t="s">
        <v>8373</v>
      </c>
      <c r="Z3330" s="87"/>
      <c r="AA3330" s="87" t="s">
        <v>10892</v>
      </c>
      <c r="AB3330" s="87" t="s">
        <v>11448</v>
      </c>
      <c r="AC3330" s="93" t="s">
        <v>11457</v>
      </c>
      <c r="AD3330" s="87" t="s">
        <v>11519</v>
      </c>
      <c r="AE3330" s="92" t="str">
        <f>HYPERLINK("https://twitter.com/cidade_ama/status/1691147680339079187")</f>
        <v>https://twitter.com/cidade_ama/status/1691147680339079187</v>
      </c>
      <c r="AF3330" s="90">
        <v>45152.750011574077</v>
      </c>
      <c r="AG3330" s="99">
        <v>45152</v>
      </c>
      <c r="AH3330" s="93" t="s">
        <v>11959</v>
      </c>
      <c r="AI3330" s="87" t="b">
        <v>0</v>
      </c>
      <c r="AJ3330" s="87"/>
      <c r="AK3330" s="87"/>
      <c r="AL3330" s="87"/>
      <c r="AM3330" s="87"/>
      <c r="AN3330" s="87"/>
      <c r="AO3330" s="87"/>
      <c r="AP3330" s="87"/>
      <c r="AQ3330" s="87" t="s">
        <v>17704</v>
      </c>
      <c r="AR3330" s="87"/>
      <c r="AS3330" s="87"/>
      <c r="AT3330" s="87"/>
      <c r="AU3330" s="87"/>
      <c r="AV3330" s="92" t="str">
        <f>HYPERLINK("https://pbs.twimg.com/media/F3f5mooWkAAiyL7.png")</f>
        <v>https://pbs.twimg.com/media/F3f5mooWkAAiyL7.png</v>
      </c>
      <c r="AW3330" s="93" t="s">
        <v>21461</v>
      </c>
      <c r="AX3330" s="93" t="s">
        <v>21461</v>
      </c>
      <c r="AY3330" s="87"/>
      <c r="AZ3330" s="93" t="s">
        <v>22668</v>
      </c>
      <c r="BA3330" s="93" t="s">
        <v>22668</v>
      </c>
      <c r="BB3330" s="93" t="s">
        <v>22668</v>
      </c>
      <c r="BC3330" s="93" t="s">
        <v>21461</v>
      </c>
      <c r="BD3330" s="93" t="s">
        <v>23395</v>
      </c>
      <c r="BE3330" s="87"/>
      <c r="BF3330" s="87"/>
      <c r="BG3330" s="87"/>
      <c r="BH3330" s="87"/>
      <c r="BI3330" s="87"/>
    </row>
    <row r="3331" spans="1:61" x14ac:dyDescent="0.25">
      <c r="A3331" s="63" t="s">
        <v>1267</v>
      </c>
      <c r="B3331" s="63" t="s">
        <v>1267</v>
      </c>
      <c r="C3331" s="64"/>
      <c r="D3331" s="65"/>
      <c r="E3331" s="66"/>
      <c r="F3331" s="67"/>
      <c r="G3331" s="64"/>
      <c r="H3331" s="68"/>
      <c r="I3331" s="69"/>
      <c r="J3331" s="69"/>
      <c r="K3331" s="32"/>
      <c r="L3331" s="76">
        <v>3331</v>
      </c>
      <c r="M3331" s="76"/>
      <c r="N3331" s="71"/>
      <c r="O3331" s="87" t="s">
        <v>179</v>
      </c>
      <c r="P3331" s="90">
        <v>45139.335844907408</v>
      </c>
      <c r="Q3331" s="87" t="s">
        <v>5011</v>
      </c>
      <c r="R3331" s="87">
        <v>1</v>
      </c>
      <c r="S3331" s="87">
        <v>5</v>
      </c>
      <c r="T3331" s="87">
        <v>0</v>
      </c>
      <c r="U3331" s="87">
        <v>0</v>
      </c>
      <c r="V3331" s="87">
        <v>149</v>
      </c>
      <c r="W3331" s="93" t="s">
        <v>1737</v>
      </c>
      <c r="X3331" s="92" t="str">
        <f>HYPERLINK("https://www.youtube.com/live/Tqckeq6yA3M?feature=share")</f>
        <v>https://www.youtube.com/live/Tqckeq6yA3M?feature=share</v>
      </c>
      <c r="Y3331" s="87" t="s">
        <v>8380</v>
      </c>
      <c r="Z3331" s="87"/>
      <c r="AA3331" s="87"/>
      <c r="AB3331" s="87"/>
      <c r="AC3331" s="93" t="s">
        <v>11457</v>
      </c>
      <c r="AD3331" s="87" t="s">
        <v>11519</v>
      </c>
      <c r="AE3331" s="92" t="str">
        <f>HYPERLINK("https://twitter.com/prmarcosbomfim/status/1686286547136503808")</f>
        <v>https://twitter.com/prmarcosbomfim/status/1686286547136503808</v>
      </c>
      <c r="AF3331" s="90">
        <v>45139.335844907408</v>
      </c>
      <c r="AG3331" s="99">
        <v>45139</v>
      </c>
      <c r="AH3331" s="93" t="s">
        <v>14475</v>
      </c>
      <c r="AI3331" s="87" t="b">
        <v>0</v>
      </c>
      <c r="AJ3331" s="87"/>
      <c r="AK3331" s="87"/>
      <c r="AL3331" s="87"/>
      <c r="AM3331" s="87"/>
      <c r="AN3331" s="87"/>
      <c r="AO3331" s="87"/>
      <c r="AP3331" s="87"/>
      <c r="AQ3331" s="87"/>
      <c r="AR3331" s="87"/>
      <c r="AS3331" s="87"/>
      <c r="AT3331" s="87"/>
      <c r="AU3331" s="87"/>
      <c r="AV3331" s="92" t="str">
        <f>HYPERLINK("https://pbs.twimg.com/profile_images/1291817287670992896/EW69X0fM_normal.jpg")</f>
        <v>https://pbs.twimg.com/profile_images/1291817287670992896/EW69X0fM_normal.jpg</v>
      </c>
      <c r="AW3331" s="93" t="s">
        <v>21462</v>
      </c>
      <c r="AX3331" s="93" t="s">
        <v>21462</v>
      </c>
      <c r="AY3331" s="87"/>
      <c r="AZ3331" s="93" t="s">
        <v>22668</v>
      </c>
      <c r="BA3331" s="93" t="s">
        <v>22668</v>
      </c>
      <c r="BB3331" s="93" t="s">
        <v>22668</v>
      </c>
      <c r="BC3331" s="93" t="s">
        <v>21462</v>
      </c>
      <c r="BD3331" s="87">
        <v>220450059</v>
      </c>
      <c r="BE3331" s="87"/>
      <c r="BF3331" s="87"/>
      <c r="BG3331" s="87"/>
      <c r="BH3331" s="87"/>
      <c r="BI3331" s="87"/>
    </row>
    <row r="3332" spans="1:61" x14ac:dyDescent="0.25">
      <c r="A3332" s="63" t="s">
        <v>1268</v>
      </c>
      <c r="B3332" s="63" t="s">
        <v>1268</v>
      </c>
      <c r="C3332" s="64"/>
      <c r="D3332" s="65"/>
      <c r="E3332" s="66"/>
      <c r="F3332" s="67"/>
      <c r="G3332" s="64"/>
      <c r="H3332" s="68"/>
      <c r="I3332" s="69"/>
      <c r="J3332" s="69"/>
      <c r="K3332" s="32"/>
      <c r="L3332" s="76">
        <v>3332</v>
      </c>
      <c r="M3332" s="76"/>
      <c r="N3332" s="71"/>
      <c r="O3332" s="87" t="s">
        <v>179</v>
      </c>
      <c r="P3332" s="90">
        <v>45189.402881944443</v>
      </c>
      <c r="Q3332" s="87" t="s">
        <v>5012</v>
      </c>
      <c r="R3332" s="87">
        <v>2</v>
      </c>
      <c r="S3332" s="87">
        <v>40</v>
      </c>
      <c r="T3332" s="87">
        <v>6</v>
      </c>
      <c r="U3332" s="87">
        <v>0</v>
      </c>
      <c r="V3332" s="87">
        <v>4587</v>
      </c>
      <c r="W3332" s="93" t="s">
        <v>7757</v>
      </c>
      <c r="X3332" s="87"/>
      <c r="Y3332" s="87"/>
      <c r="Z3332" s="87"/>
      <c r="AA3332" s="87" t="s">
        <v>10893</v>
      </c>
      <c r="AB3332" s="87" t="s">
        <v>11448</v>
      </c>
      <c r="AC3332" s="93" t="s">
        <v>11458</v>
      </c>
      <c r="AD3332" s="87" t="s">
        <v>11519</v>
      </c>
      <c r="AE3332" s="92" t="str">
        <f>HYPERLINK("https://twitter.com/julioreis78/status/1704430234328535410")</f>
        <v>https://twitter.com/julioreis78/status/1704430234328535410</v>
      </c>
      <c r="AF3332" s="90">
        <v>45189.402881944443</v>
      </c>
      <c r="AG3332" s="99">
        <v>45189</v>
      </c>
      <c r="AH3332" s="93" t="s">
        <v>14476</v>
      </c>
      <c r="AI3332" s="87" t="b">
        <v>0</v>
      </c>
      <c r="AJ3332" s="87"/>
      <c r="AK3332" s="87"/>
      <c r="AL3332" s="87"/>
      <c r="AM3332" s="87"/>
      <c r="AN3332" s="87"/>
      <c r="AO3332" s="87"/>
      <c r="AP3332" s="87"/>
      <c r="AQ3332" s="87" t="s">
        <v>17705</v>
      </c>
      <c r="AR3332" s="87"/>
      <c r="AS3332" s="87"/>
      <c r="AT3332" s="87"/>
      <c r="AU3332" s="87"/>
      <c r="AV3332" s="92" t="str">
        <f>HYPERLINK("https://pbs.twimg.com/media/F6daQsbXEAASw15.jpg")</f>
        <v>https://pbs.twimg.com/media/F6daQsbXEAASw15.jpg</v>
      </c>
      <c r="AW3332" s="93" t="s">
        <v>21463</v>
      </c>
      <c r="AX3332" s="93" t="s">
        <v>21463</v>
      </c>
      <c r="AY3332" s="87"/>
      <c r="AZ3332" s="93" t="s">
        <v>22668</v>
      </c>
      <c r="BA3332" s="93" t="s">
        <v>22668</v>
      </c>
      <c r="BB3332" s="93" t="s">
        <v>22668</v>
      </c>
      <c r="BC3332" s="93" t="s">
        <v>21463</v>
      </c>
      <c r="BD3332" s="87">
        <v>50036480</v>
      </c>
      <c r="BE3332" s="87"/>
      <c r="BF3332" s="87"/>
      <c r="BG3332" s="87"/>
      <c r="BH3332" s="87"/>
      <c r="BI3332" s="87"/>
    </row>
    <row r="3333" spans="1:61" x14ac:dyDescent="0.25">
      <c r="A3333" s="63" t="s">
        <v>1268</v>
      </c>
      <c r="B3333" s="63" t="s">
        <v>1268</v>
      </c>
      <c r="C3333" s="64"/>
      <c r="D3333" s="65"/>
      <c r="E3333" s="66"/>
      <c r="F3333" s="67"/>
      <c r="G3333" s="64"/>
      <c r="H3333" s="68"/>
      <c r="I3333" s="69"/>
      <c r="J3333" s="69"/>
      <c r="K3333" s="32"/>
      <c r="L3333" s="76">
        <v>3333</v>
      </c>
      <c r="M3333" s="76"/>
      <c r="N3333" s="71"/>
      <c r="O3333" s="87" t="s">
        <v>179</v>
      </c>
      <c r="P3333" s="90">
        <v>45192.528946759259</v>
      </c>
      <c r="Q3333" s="87" t="s">
        <v>5013</v>
      </c>
      <c r="R3333" s="87">
        <v>0</v>
      </c>
      <c r="S3333" s="87">
        <v>15</v>
      </c>
      <c r="T3333" s="87">
        <v>0</v>
      </c>
      <c r="U3333" s="87">
        <v>0</v>
      </c>
      <c r="V3333" s="87">
        <v>1664</v>
      </c>
      <c r="W3333" s="93" t="s">
        <v>7758</v>
      </c>
      <c r="X3333" s="87"/>
      <c r="Y3333" s="87"/>
      <c r="Z3333" s="87"/>
      <c r="AA3333" s="87" t="s">
        <v>10894</v>
      </c>
      <c r="AB3333" s="87" t="s">
        <v>11447</v>
      </c>
      <c r="AC3333" s="93" t="s">
        <v>11458</v>
      </c>
      <c r="AD3333" s="87" t="s">
        <v>11519</v>
      </c>
      <c r="AE3333" s="92" t="str">
        <f>HYPERLINK("https://twitter.com/julioreis78/status/1705563083387670616")</f>
        <v>https://twitter.com/julioreis78/status/1705563083387670616</v>
      </c>
      <c r="AF3333" s="90">
        <v>45192.528946759259</v>
      </c>
      <c r="AG3333" s="99">
        <v>45192</v>
      </c>
      <c r="AH3333" s="93" t="s">
        <v>14477</v>
      </c>
      <c r="AI3333" s="87" t="b">
        <v>0</v>
      </c>
      <c r="AJ3333" s="87"/>
      <c r="AK3333" s="87"/>
      <c r="AL3333" s="87"/>
      <c r="AM3333" s="87"/>
      <c r="AN3333" s="87"/>
      <c r="AO3333" s="87"/>
      <c r="AP3333" s="87"/>
      <c r="AQ3333" s="87" t="s">
        <v>17706</v>
      </c>
      <c r="AR3333" s="87">
        <v>37566</v>
      </c>
      <c r="AS3333" s="87"/>
      <c r="AT3333" s="87"/>
      <c r="AU3333" s="87"/>
      <c r="AV3333" s="92" t="str">
        <f>HYPERLINK("https://pbs.twimg.com/amplify_video_thumb/1705562948171665408/img/jAGjOBD_Iwy5WcZI.jpg")</f>
        <v>https://pbs.twimg.com/amplify_video_thumb/1705562948171665408/img/jAGjOBD_Iwy5WcZI.jpg</v>
      </c>
      <c r="AW3333" s="93" t="s">
        <v>21464</v>
      </c>
      <c r="AX3333" s="93" t="s">
        <v>21464</v>
      </c>
      <c r="AY3333" s="87"/>
      <c r="AZ3333" s="93" t="s">
        <v>22668</v>
      </c>
      <c r="BA3333" s="93" t="s">
        <v>22668</v>
      </c>
      <c r="BB3333" s="93" t="s">
        <v>22668</v>
      </c>
      <c r="BC3333" s="93" t="s">
        <v>21464</v>
      </c>
      <c r="BD3333" s="87">
        <v>50036480</v>
      </c>
      <c r="BE3333" s="87"/>
      <c r="BF3333" s="87"/>
      <c r="BG3333" s="87"/>
      <c r="BH3333" s="87"/>
      <c r="BI3333" s="87"/>
    </row>
    <row r="3334" spans="1:61" x14ac:dyDescent="0.25">
      <c r="A3334" s="63" t="s">
        <v>1268</v>
      </c>
      <c r="B3334" s="63" t="s">
        <v>1268</v>
      </c>
      <c r="C3334" s="64"/>
      <c r="D3334" s="65"/>
      <c r="E3334" s="66"/>
      <c r="F3334" s="67"/>
      <c r="G3334" s="64"/>
      <c r="H3334" s="68"/>
      <c r="I3334" s="69"/>
      <c r="J3334" s="69"/>
      <c r="K3334" s="32"/>
      <c r="L3334" s="76">
        <v>3334</v>
      </c>
      <c r="M3334" s="76"/>
      <c r="N3334" s="71"/>
      <c r="O3334" s="87" t="s">
        <v>179</v>
      </c>
      <c r="P3334" s="90">
        <v>45196.493287037039</v>
      </c>
      <c r="Q3334" s="87" t="s">
        <v>5014</v>
      </c>
      <c r="R3334" s="87">
        <v>0</v>
      </c>
      <c r="S3334" s="87">
        <v>1</v>
      </c>
      <c r="T3334" s="87">
        <v>0</v>
      </c>
      <c r="U3334" s="87">
        <v>0</v>
      </c>
      <c r="V3334" s="87">
        <v>576</v>
      </c>
      <c r="W3334" s="93" t="s">
        <v>7759</v>
      </c>
      <c r="X3334" s="87"/>
      <c r="Y3334" s="87"/>
      <c r="Z3334" s="87"/>
      <c r="AA3334" s="87" t="s">
        <v>10895</v>
      </c>
      <c r="AB3334" s="87" t="s">
        <v>11447</v>
      </c>
      <c r="AC3334" s="93" t="s">
        <v>11458</v>
      </c>
      <c r="AD3334" s="87" t="s">
        <v>11519</v>
      </c>
      <c r="AE3334" s="92" t="str">
        <f>HYPERLINK("https://twitter.com/julioreis78/status/1706999711037636923")</f>
        <v>https://twitter.com/julioreis78/status/1706999711037636923</v>
      </c>
      <c r="AF3334" s="90">
        <v>45196.493287037039</v>
      </c>
      <c r="AG3334" s="99">
        <v>45196</v>
      </c>
      <c r="AH3334" s="93" t="s">
        <v>14478</v>
      </c>
      <c r="AI3334" s="87" t="b">
        <v>0</v>
      </c>
      <c r="AJ3334" s="87"/>
      <c r="AK3334" s="87"/>
      <c r="AL3334" s="87"/>
      <c r="AM3334" s="87"/>
      <c r="AN3334" s="87"/>
      <c r="AO3334" s="87"/>
      <c r="AP3334" s="87"/>
      <c r="AQ3334" s="87" t="s">
        <v>17707</v>
      </c>
      <c r="AR3334" s="87">
        <v>519000</v>
      </c>
      <c r="AS3334" s="87"/>
      <c r="AT3334" s="87"/>
      <c r="AU3334" s="87"/>
      <c r="AV3334" s="92" t="str">
        <f>HYPERLINK("https://pbs.twimg.com/amplify_video_thumb/1706999064561168384/img/p-5kzYPLxpYXrrxV.jpg")</f>
        <v>https://pbs.twimg.com/amplify_video_thumb/1706999064561168384/img/p-5kzYPLxpYXrrxV.jpg</v>
      </c>
      <c r="AW3334" s="93" t="s">
        <v>21465</v>
      </c>
      <c r="AX3334" s="93" t="s">
        <v>21465</v>
      </c>
      <c r="AY3334" s="87"/>
      <c r="AZ3334" s="93" t="s">
        <v>22668</v>
      </c>
      <c r="BA3334" s="93" t="s">
        <v>22668</v>
      </c>
      <c r="BB3334" s="93" t="s">
        <v>22668</v>
      </c>
      <c r="BC3334" s="93" t="s">
        <v>21465</v>
      </c>
      <c r="BD3334" s="87">
        <v>50036480</v>
      </c>
      <c r="BE3334" s="87"/>
      <c r="BF3334" s="87"/>
      <c r="BG3334" s="87"/>
      <c r="BH3334" s="87"/>
      <c r="BI3334" s="87"/>
    </row>
    <row r="3335" spans="1:61" x14ac:dyDescent="0.25">
      <c r="A3335" s="63" t="s">
        <v>1269</v>
      </c>
      <c r="B3335" s="63" t="s">
        <v>1269</v>
      </c>
      <c r="C3335" s="64"/>
      <c r="D3335" s="65"/>
      <c r="E3335" s="66"/>
      <c r="F3335" s="67"/>
      <c r="G3335" s="64"/>
      <c r="H3335" s="68"/>
      <c r="I3335" s="69"/>
      <c r="J3335" s="69"/>
      <c r="K3335" s="32"/>
      <c r="L3335" s="76">
        <v>3335</v>
      </c>
      <c r="M3335" s="76"/>
      <c r="N3335" s="71"/>
      <c r="O3335" s="87" t="s">
        <v>179</v>
      </c>
      <c r="P3335" s="90">
        <v>45178.636828703704</v>
      </c>
      <c r="Q3335" s="87" t="s">
        <v>5015</v>
      </c>
      <c r="R3335" s="87">
        <v>0</v>
      </c>
      <c r="S3335" s="87">
        <v>2</v>
      </c>
      <c r="T3335" s="87">
        <v>0</v>
      </c>
      <c r="U3335" s="87">
        <v>0</v>
      </c>
      <c r="V3335" s="87">
        <v>93</v>
      </c>
      <c r="W3335" s="93" t="s">
        <v>7760</v>
      </c>
      <c r="X3335" s="87"/>
      <c r="Y3335" s="87"/>
      <c r="Z3335" s="87"/>
      <c r="AA3335" s="87"/>
      <c r="AB3335" s="87"/>
      <c r="AC3335" s="93" t="s">
        <v>11459</v>
      </c>
      <c r="AD3335" s="87" t="s">
        <v>11519</v>
      </c>
      <c r="AE3335" s="92" t="str">
        <f>HYPERLINK("https://twitter.com/__mentesucesso/status/1700528746078302487")</f>
        <v>https://twitter.com/__mentesucesso/status/1700528746078302487</v>
      </c>
      <c r="AF3335" s="90">
        <v>45178.636828703704</v>
      </c>
      <c r="AG3335" s="99">
        <v>45178</v>
      </c>
      <c r="AH3335" s="93" t="s">
        <v>14479</v>
      </c>
      <c r="AI3335" s="87"/>
      <c r="AJ3335" s="87"/>
      <c r="AK3335" s="87"/>
      <c r="AL3335" s="87"/>
      <c r="AM3335" s="87"/>
      <c r="AN3335" s="87"/>
      <c r="AO3335" s="87"/>
      <c r="AP3335" s="87"/>
      <c r="AQ3335" s="87"/>
      <c r="AR3335" s="87"/>
      <c r="AS3335" s="87"/>
      <c r="AT3335" s="87"/>
      <c r="AU3335" s="87"/>
      <c r="AV3335" s="92" t="str">
        <f>HYPERLINK("https://pbs.twimg.com/profile_images/1699079608832819200/qSe0f_op_normal.png")</f>
        <v>https://pbs.twimg.com/profile_images/1699079608832819200/qSe0f_op_normal.png</v>
      </c>
      <c r="AW3335" s="93" t="s">
        <v>21466</v>
      </c>
      <c r="AX3335" s="93" t="s">
        <v>21466</v>
      </c>
      <c r="AY3335" s="87"/>
      <c r="AZ3335" s="93" t="s">
        <v>22668</v>
      </c>
      <c r="BA3335" s="93" t="s">
        <v>22668</v>
      </c>
      <c r="BB3335" s="93" t="s">
        <v>22668</v>
      </c>
      <c r="BC3335" s="93" t="s">
        <v>21466</v>
      </c>
      <c r="BD3335" s="93" t="s">
        <v>23396</v>
      </c>
      <c r="BE3335" s="87"/>
      <c r="BF3335" s="87"/>
      <c r="BG3335" s="87"/>
      <c r="BH3335" s="87"/>
      <c r="BI3335" s="87"/>
    </row>
    <row r="3336" spans="1:61" x14ac:dyDescent="0.25">
      <c r="A3336" s="63" t="s">
        <v>1269</v>
      </c>
      <c r="B3336" s="63" t="s">
        <v>1269</v>
      </c>
      <c r="C3336" s="64"/>
      <c r="D3336" s="65"/>
      <c r="E3336" s="66"/>
      <c r="F3336" s="67"/>
      <c r="G3336" s="64"/>
      <c r="H3336" s="68"/>
      <c r="I3336" s="69"/>
      <c r="J3336" s="69"/>
      <c r="K3336" s="32"/>
      <c r="L3336" s="76">
        <v>3336</v>
      </c>
      <c r="M3336" s="76"/>
      <c r="N3336" s="71"/>
      <c r="O3336" s="87" t="s">
        <v>179</v>
      </c>
      <c r="P3336" s="90">
        <v>45177.964375000003</v>
      </c>
      <c r="Q3336" s="87" t="s">
        <v>5016</v>
      </c>
      <c r="R3336" s="87">
        <v>0</v>
      </c>
      <c r="S3336" s="87">
        <v>1</v>
      </c>
      <c r="T3336" s="87">
        <v>0</v>
      </c>
      <c r="U3336" s="87">
        <v>0</v>
      </c>
      <c r="V3336" s="87">
        <v>11</v>
      </c>
      <c r="W3336" s="93" t="s">
        <v>7761</v>
      </c>
      <c r="X3336" s="87"/>
      <c r="Y3336" s="87"/>
      <c r="Z3336" s="87"/>
      <c r="AA3336" s="87"/>
      <c r="AB3336" s="87"/>
      <c r="AC3336" s="93" t="s">
        <v>11459</v>
      </c>
      <c r="AD3336" s="87" t="s">
        <v>11519</v>
      </c>
      <c r="AE3336" s="92" t="str">
        <f>HYPERLINK("https://twitter.com/__mentesucesso/status/1700285058878189957")</f>
        <v>https://twitter.com/__mentesucesso/status/1700285058878189957</v>
      </c>
      <c r="AF3336" s="90">
        <v>45177.964375000003</v>
      </c>
      <c r="AG3336" s="99">
        <v>45177</v>
      </c>
      <c r="AH3336" s="93" t="s">
        <v>14480</v>
      </c>
      <c r="AI3336" s="87"/>
      <c r="AJ3336" s="87"/>
      <c r="AK3336" s="87"/>
      <c r="AL3336" s="87"/>
      <c r="AM3336" s="87"/>
      <c r="AN3336" s="87"/>
      <c r="AO3336" s="87"/>
      <c r="AP3336" s="87"/>
      <c r="AQ3336" s="87"/>
      <c r="AR3336" s="87"/>
      <c r="AS3336" s="87"/>
      <c r="AT3336" s="87"/>
      <c r="AU3336" s="87"/>
      <c r="AV3336" s="92" t="str">
        <f>HYPERLINK("https://pbs.twimg.com/profile_images/1699079608832819200/qSe0f_op_normal.png")</f>
        <v>https://pbs.twimg.com/profile_images/1699079608832819200/qSe0f_op_normal.png</v>
      </c>
      <c r="AW3336" s="93" t="s">
        <v>21467</v>
      </c>
      <c r="AX3336" s="93" t="s">
        <v>21467</v>
      </c>
      <c r="AY3336" s="87"/>
      <c r="AZ3336" s="93" t="s">
        <v>22668</v>
      </c>
      <c r="BA3336" s="93" t="s">
        <v>22668</v>
      </c>
      <c r="BB3336" s="93" t="s">
        <v>22668</v>
      </c>
      <c r="BC3336" s="93" t="s">
        <v>21467</v>
      </c>
      <c r="BD3336" s="93" t="s">
        <v>23396</v>
      </c>
      <c r="BE3336" s="87"/>
      <c r="BF3336" s="87"/>
      <c r="BG3336" s="87"/>
      <c r="BH3336" s="87"/>
      <c r="BI3336" s="87"/>
    </row>
    <row r="3337" spans="1:61" x14ac:dyDescent="0.25">
      <c r="A3337" s="63" t="s">
        <v>1269</v>
      </c>
      <c r="B3337" s="63" t="s">
        <v>1269</v>
      </c>
      <c r="C3337" s="64"/>
      <c r="D3337" s="65"/>
      <c r="E3337" s="66"/>
      <c r="F3337" s="67"/>
      <c r="G3337" s="64"/>
      <c r="H3337" s="68"/>
      <c r="I3337" s="69"/>
      <c r="J3337" s="69"/>
      <c r="K3337" s="32"/>
      <c r="L3337" s="76">
        <v>3337</v>
      </c>
      <c r="M3337" s="76"/>
      <c r="N3337" s="71"/>
      <c r="O3337" s="87" t="s">
        <v>179</v>
      </c>
      <c r="P3337" s="90">
        <v>45177.793182870373</v>
      </c>
      <c r="Q3337" s="87" t="s">
        <v>5017</v>
      </c>
      <c r="R3337" s="87">
        <v>1</v>
      </c>
      <c r="S3337" s="87">
        <v>2</v>
      </c>
      <c r="T3337" s="87">
        <v>0</v>
      </c>
      <c r="U3337" s="87">
        <v>0</v>
      </c>
      <c r="V3337" s="87">
        <v>25</v>
      </c>
      <c r="W3337" s="93" t="s">
        <v>7762</v>
      </c>
      <c r="X3337" s="87"/>
      <c r="Y3337" s="87"/>
      <c r="Z3337" s="87"/>
      <c r="AA3337" s="87"/>
      <c r="AB3337" s="87"/>
      <c r="AC3337" s="93" t="s">
        <v>11459</v>
      </c>
      <c r="AD3337" s="87" t="s">
        <v>11519</v>
      </c>
      <c r="AE3337" s="92" t="str">
        <f>HYPERLINK("https://twitter.com/__mentesucesso/status/1700223020260897194")</f>
        <v>https://twitter.com/__mentesucesso/status/1700223020260897194</v>
      </c>
      <c r="AF3337" s="90">
        <v>45177.793182870373</v>
      </c>
      <c r="AG3337" s="99">
        <v>45177</v>
      </c>
      <c r="AH3337" s="93" t="s">
        <v>14481</v>
      </c>
      <c r="AI3337" s="87"/>
      <c r="AJ3337" s="87"/>
      <c r="AK3337" s="87"/>
      <c r="AL3337" s="87"/>
      <c r="AM3337" s="87"/>
      <c r="AN3337" s="87"/>
      <c r="AO3337" s="87"/>
      <c r="AP3337" s="87"/>
      <c r="AQ3337" s="87"/>
      <c r="AR3337" s="87"/>
      <c r="AS3337" s="87"/>
      <c r="AT3337" s="87"/>
      <c r="AU3337" s="87"/>
      <c r="AV3337" s="92" t="str">
        <f>HYPERLINK("https://pbs.twimg.com/profile_images/1699079608832819200/qSe0f_op_normal.png")</f>
        <v>https://pbs.twimg.com/profile_images/1699079608832819200/qSe0f_op_normal.png</v>
      </c>
      <c r="AW3337" s="93" t="s">
        <v>21468</v>
      </c>
      <c r="AX3337" s="93" t="s">
        <v>21468</v>
      </c>
      <c r="AY3337" s="87"/>
      <c r="AZ3337" s="93" t="s">
        <v>22668</v>
      </c>
      <c r="BA3337" s="93" t="s">
        <v>22668</v>
      </c>
      <c r="BB3337" s="93" t="s">
        <v>22668</v>
      </c>
      <c r="BC3337" s="93" t="s">
        <v>21468</v>
      </c>
      <c r="BD3337" s="93" t="s">
        <v>23396</v>
      </c>
      <c r="BE3337" s="87"/>
      <c r="BF3337" s="87"/>
      <c r="BG3337" s="87"/>
      <c r="BH3337" s="87"/>
      <c r="BI3337" s="87"/>
    </row>
    <row r="3338" spans="1:61" x14ac:dyDescent="0.25">
      <c r="A3338" s="63" t="s">
        <v>1270</v>
      </c>
      <c r="B3338" s="63" t="s">
        <v>1793</v>
      </c>
      <c r="C3338" s="64"/>
      <c r="D3338" s="65"/>
      <c r="E3338" s="66"/>
      <c r="F3338" s="67"/>
      <c r="G3338" s="64"/>
      <c r="H3338" s="68"/>
      <c r="I3338" s="69"/>
      <c r="J3338" s="69"/>
      <c r="K3338" s="32"/>
      <c r="L3338" s="76">
        <v>3338</v>
      </c>
      <c r="M3338" s="76"/>
      <c r="N3338" s="71"/>
      <c r="O3338" s="87" t="s">
        <v>1839</v>
      </c>
      <c r="P3338" s="90">
        <v>45125.484525462962</v>
      </c>
      <c r="Q3338" s="87" t="s">
        <v>5018</v>
      </c>
      <c r="R3338" s="87">
        <v>0</v>
      </c>
      <c r="S3338" s="87">
        <v>0</v>
      </c>
      <c r="T3338" s="87">
        <v>0</v>
      </c>
      <c r="U3338" s="87">
        <v>0</v>
      </c>
      <c r="V3338" s="87">
        <v>53</v>
      </c>
      <c r="W3338" s="93" t="s">
        <v>6694</v>
      </c>
      <c r="X3338" s="87"/>
      <c r="Y3338" s="87"/>
      <c r="Z3338" s="87" t="s">
        <v>8613</v>
      </c>
      <c r="AA3338" s="87" t="s">
        <v>10896</v>
      </c>
      <c r="AB3338" s="87" t="s">
        <v>11448</v>
      </c>
      <c r="AC3338" s="93" t="s">
        <v>11459</v>
      </c>
      <c r="AD3338" s="87" t="s">
        <v>11519</v>
      </c>
      <c r="AE3338" s="92" t="str">
        <f>HYPERLINK("https://twitter.com/uninterpicos/status/1681266997261131777")</f>
        <v>https://twitter.com/uninterpicos/status/1681266997261131777</v>
      </c>
      <c r="AF3338" s="90">
        <v>45125.484525462962</v>
      </c>
      <c r="AG3338" s="99">
        <v>45125</v>
      </c>
      <c r="AH3338" s="93" t="s">
        <v>14482</v>
      </c>
      <c r="AI3338" s="87" t="b">
        <v>0</v>
      </c>
      <c r="AJ3338" s="87" t="s">
        <v>15221</v>
      </c>
      <c r="AK3338" s="87" t="s">
        <v>15234</v>
      </c>
      <c r="AL3338" s="87" t="s">
        <v>15237</v>
      </c>
      <c r="AM3338" s="87" t="s">
        <v>15292</v>
      </c>
      <c r="AN3338" s="87" t="s">
        <v>15359</v>
      </c>
      <c r="AO3338" s="87" t="s">
        <v>15424</v>
      </c>
      <c r="AP3338" s="87" t="s">
        <v>15438</v>
      </c>
      <c r="AQ3338" s="87" t="s">
        <v>17708</v>
      </c>
      <c r="AR3338" s="87"/>
      <c r="AS3338" s="87"/>
      <c r="AT3338" s="87"/>
      <c r="AU3338" s="87"/>
      <c r="AV3338" s="92" t="str">
        <f>HYPERLINK("https://pbs.twimg.com/media/F1UPbHOWAAAF-Xh.jpg")</f>
        <v>https://pbs.twimg.com/media/F1UPbHOWAAAF-Xh.jpg</v>
      </c>
      <c r="AW3338" s="93" t="s">
        <v>21469</v>
      </c>
      <c r="AX3338" s="93" t="s">
        <v>21469</v>
      </c>
      <c r="AY3338" s="87"/>
      <c r="AZ3338" s="93" t="s">
        <v>22668</v>
      </c>
      <c r="BA3338" s="93" t="s">
        <v>22668</v>
      </c>
      <c r="BB3338" s="93" t="s">
        <v>22668</v>
      </c>
      <c r="BC3338" s="93" t="s">
        <v>21469</v>
      </c>
      <c r="BD3338" s="87">
        <v>4375338449</v>
      </c>
      <c r="BE3338" s="87"/>
      <c r="BF3338" s="87"/>
      <c r="BG3338" s="87"/>
      <c r="BH3338" s="87"/>
      <c r="BI3338" s="87"/>
    </row>
    <row r="3339" spans="1:61" x14ac:dyDescent="0.25">
      <c r="A3339" s="63" t="s">
        <v>1270</v>
      </c>
      <c r="B3339" s="63" t="s">
        <v>1794</v>
      </c>
      <c r="C3339" s="64"/>
      <c r="D3339" s="65"/>
      <c r="E3339" s="66"/>
      <c r="F3339" s="67"/>
      <c r="G3339" s="64"/>
      <c r="H3339" s="68"/>
      <c r="I3339" s="69"/>
      <c r="J3339" s="69"/>
      <c r="K3339" s="32"/>
      <c r="L3339" s="76">
        <v>3339</v>
      </c>
      <c r="M3339" s="76"/>
      <c r="N3339" s="71"/>
      <c r="O3339" s="87" t="s">
        <v>1839</v>
      </c>
      <c r="P3339" s="90">
        <v>45125.484525462962</v>
      </c>
      <c r="Q3339" s="87" t="s">
        <v>5018</v>
      </c>
      <c r="R3339" s="87">
        <v>0</v>
      </c>
      <c r="S3339" s="87">
        <v>0</v>
      </c>
      <c r="T3339" s="87">
        <v>0</v>
      </c>
      <c r="U3339" s="87">
        <v>0</v>
      </c>
      <c r="V3339" s="87">
        <v>53</v>
      </c>
      <c r="W3339" s="93" t="s">
        <v>6694</v>
      </c>
      <c r="X3339" s="87"/>
      <c r="Y3339" s="87"/>
      <c r="Z3339" s="87" t="s">
        <v>8613</v>
      </c>
      <c r="AA3339" s="87" t="s">
        <v>10896</v>
      </c>
      <c r="AB3339" s="87" t="s">
        <v>11448</v>
      </c>
      <c r="AC3339" s="93" t="s">
        <v>11459</v>
      </c>
      <c r="AD3339" s="87" t="s">
        <v>11519</v>
      </c>
      <c r="AE3339" s="92" t="str">
        <f>HYPERLINK("https://twitter.com/uninterpicos/status/1681266997261131777")</f>
        <v>https://twitter.com/uninterpicos/status/1681266997261131777</v>
      </c>
      <c r="AF3339" s="90">
        <v>45125.484525462962</v>
      </c>
      <c r="AG3339" s="99">
        <v>45125</v>
      </c>
      <c r="AH3339" s="93" t="s">
        <v>14482</v>
      </c>
      <c r="AI3339" s="87" t="b">
        <v>0</v>
      </c>
      <c r="AJ3339" s="87" t="s">
        <v>15221</v>
      </c>
      <c r="AK3339" s="87" t="s">
        <v>15234</v>
      </c>
      <c r="AL3339" s="87" t="s">
        <v>15237</v>
      </c>
      <c r="AM3339" s="87" t="s">
        <v>15292</v>
      </c>
      <c r="AN3339" s="87" t="s">
        <v>15359</v>
      </c>
      <c r="AO3339" s="87" t="s">
        <v>15424</v>
      </c>
      <c r="AP3339" s="87" t="s">
        <v>15438</v>
      </c>
      <c r="AQ3339" s="87" t="s">
        <v>17708</v>
      </c>
      <c r="AR3339" s="87"/>
      <c r="AS3339" s="87"/>
      <c r="AT3339" s="87"/>
      <c r="AU3339" s="87"/>
      <c r="AV3339" s="92" t="str">
        <f>HYPERLINK("https://pbs.twimg.com/media/F1UPbHOWAAAF-Xh.jpg")</f>
        <v>https://pbs.twimg.com/media/F1UPbHOWAAAF-Xh.jpg</v>
      </c>
      <c r="AW3339" s="93" t="s">
        <v>21469</v>
      </c>
      <c r="AX3339" s="93" t="s">
        <v>21469</v>
      </c>
      <c r="AY3339" s="87"/>
      <c r="AZ3339" s="93" t="s">
        <v>22668</v>
      </c>
      <c r="BA3339" s="93" t="s">
        <v>22668</v>
      </c>
      <c r="BB3339" s="93" t="s">
        <v>22668</v>
      </c>
      <c r="BC3339" s="93" t="s">
        <v>21469</v>
      </c>
      <c r="BD3339" s="87">
        <v>4375338449</v>
      </c>
      <c r="BE3339" s="87"/>
      <c r="BF3339" s="87"/>
      <c r="BG3339" s="87"/>
      <c r="BH3339" s="87"/>
      <c r="BI3339" s="87"/>
    </row>
    <row r="3340" spans="1:61" x14ac:dyDescent="0.25">
      <c r="A3340" s="63" t="s">
        <v>1271</v>
      </c>
      <c r="B3340" s="63" t="s">
        <v>1432</v>
      </c>
      <c r="C3340" s="64"/>
      <c r="D3340" s="65"/>
      <c r="E3340" s="66"/>
      <c r="F3340" s="67"/>
      <c r="G3340" s="64"/>
      <c r="H3340" s="68"/>
      <c r="I3340" s="69"/>
      <c r="J3340" s="69"/>
      <c r="K3340" s="32"/>
      <c r="L3340" s="76">
        <v>3340</v>
      </c>
      <c r="M3340" s="76"/>
      <c r="N3340" s="71"/>
      <c r="O3340" s="87" t="s">
        <v>1841</v>
      </c>
      <c r="P3340" s="90">
        <v>45191.863587962966</v>
      </c>
      <c r="Q3340" s="87" t="s">
        <v>5019</v>
      </c>
      <c r="R3340" s="87">
        <v>4</v>
      </c>
      <c r="S3340" s="87">
        <v>0</v>
      </c>
      <c r="T3340" s="87">
        <v>0</v>
      </c>
      <c r="U3340" s="87">
        <v>0</v>
      </c>
      <c r="V3340" s="87"/>
      <c r="W3340" s="87"/>
      <c r="X3340" s="87"/>
      <c r="Y3340" s="87"/>
      <c r="Z3340" s="87" t="s">
        <v>1432</v>
      </c>
      <c r="AA3340" s="87"/>
      <c r="AB3340" s="87"/>
      <c r="AC3340" s="93" t="s">
        <v>11459</v>
      </c>
      <c r="AD3340" s="87" t="s">
        <v>11519</v>
      </c>
      <c r="AE3340" s="92" t="str">
        <f>HYPERLINK("https://twitter.com/costamiguel1984/status/1705321965924278394")</f>
        <v>https://twitter.com/costamiguel1984/status/1705321965924278394</v>
      </c>
      <c r="AF3340" s="90">
        <v>45191.863587962966</v>
      </c>
      <c r="AG3340" s="99">
        <v>45191</v>
      </c>
      <c r="AH3340" s="93" t="s">
        <v>14483</v>
      </c>
      <c r="AI3340" s="87"/>
      <c r="AJ3340" s="87"/>
      <c r="AK3340" s="87"/>
      <c r="AL3340" s="87"/>
      <c r="AM3340" s="87"/>
      <c r="AN3340" s="87"/>
      <c r="AO3340" s="87"/>
      <c r="AP3340" s="87"/>
      <c r="AQ3340" s="87"/>
      <c r="AR3340" s="87"/>
      <c r="AS3340" s="87"/>
      <c r="AT3340" s="87"/>
      <c r="AU3340" s="87"/>
      <c r="AV3340" s="92" t="str">
        <f>HYPERLINK("https://pbs.twimg.com/profile_images/993302617953656833/V2SUGgNp_normal.jpg")</f>
        <v>https://pbs.twimg.com/profile_images/993302617953656833/V2SUGgNp_normal.jpg</v>
      </c>
      <c r="AW3340" s="93" t="s">
        <v>21470</v>
      </c>
      <c r="AX3340" s="93" t="s">
        <v>21470</v>
      </c>
      <c r="AY3340" s="87"/>
      <c r="AZ3340" s="93" t="s">
        <v>22668</v>
      </c>
      <c r="BA3340" s="93" t="s">
        <v>22668</v>
      </c>
      <c r="BB3340" s="93" t="s">
        <v>21850</v>
      </c>
      <c r="BC3340" s="93" t="s">
        <v>21850</v>
      </c>
      <c r="BD3340" s="93" t="s">
        <v>23397</v>
      </c>
      <c r="BE3340" s="87"/>
      <c r="BF3340" s="87"/>
      <c r="BG3340" s="87"/>
      <c r="BH3340" s="87"/>
      <c r="BI3340" s="87"/>
    </row>
    <row r="3341" spans="1:61" x14ac:dyDescent="0.25">
      <c r="A3341" s="63" t="s">
        <v>1272</v>
      </c>
      <c r="B3341" s="63" t="s">
        <v>1272</v>
      </c>
      <c r="C3341" s="64"/>
      <c r="D3341" s="65"/>
      <c r="E3341" s="66"/>
      <c r="F3341" s="67"/>
      <c r="G3341" s="64"/>
      <c r="H3341" s="68"/>
      <c r="I3341" s="69"/>
      <c r="J3341" s="69"/>
      <c r="K3341" s="32"/>
      <c r="L3341" s="76">
        <v>3341</v>
      </c>
      <c r="M3341" s="76"/>
      <c r="N3341" s="71"/>
      <c r="O3341" s="87" t="s">
        <v>179</v>
      </c>
      <c r="P3341" s="90">
        <v>45117.806203703702</v>
      </c>
      <c r="Q3341" s="87" t="s">
        <v>5020</v>
      </c>
      <c r="R3341" s="87">
        <v>0</v>
      </c>
      <c r="S3341" s="87">
        <v>0</v>
      </c>
      <c r="T3341" s="87">
        <v>0</v>
      </c>
      <c r="U3341" s="87">
        <v>0</v>
      </c>
      <c r="V3341" s="87"/>
      <c r="W3341" s="93" t="s">
        <v>7763</v>
      </c>
      <c r="X3341" s="92" t="str">
        <f>HYPERLINK("https://lnkd.in/dtB4MdCq")</f>
        <v>https://lnkd.in/dtB4MdCq</v>
      </c>
      <c r="Y3341" s="87" t="s">
        <v>8408</v>
      </c>
      <c r="Z3341" s="87"/>
      <c r="AA3341" s="87"/>
      <c r="AB3341" s="87"/>
      <c r="AC3341" s="93" t="s">
        <v>11474</v>
      </c>
      <c r="AD3341" s="87" t="s">
        <v>11519</v>
      </c>
      <c r="AE3341" s="92" t="str">
        <f>HYPERLINK("https://twitter.com/imprensaberta/status/1678484466530938891")</f>
        <v>https://twitter.com/imprensaberta/status/1678484466530938891</v>
      </c>
      <c r="AF3341" s="90">
        <v>45117.806203703702</v>
      </c>
      <c r="AG3341" s="99">
        <v>45117</v>
      </c>
      <c r="AH3341" s="93" t="s">
        <v>14484</v>
      </c>
      <c r="AI3341" s="87" t="b">
        <v>1</v>
      </c>
      <c r="AJ3341" s="87"/>
      <c r="AK3341" s="87"/>
      <c r="AL3341" s="87"/>
      <c r="AM3341" s="87"/>
      <c r="AN3341" s="87"/>
      <c r="AO3341" s="87"/>
      <c r="AP3341" s="87"/>
      <c r="AQ3341" s="87"/>
      <c r="AR3341" s="87"/>
      <c r="AS3341" s="87"/>
      <c r="AT3341" s="87"/>
      <c r="AU3341" s="87"/>
      <c r="AV3341" s="92" t="str">
        <f>HYPERLINK("https://pbs.twimg.com/profile_images/998595805169700865/Uur2kDpn_normal.jpg")</f>
        <v>https://pbs.twimg.com/profile_images/998595805169700865/Uur2kDpn_normal.jpg</v>
      </c>
      <c r="AW3341" s="93" t="s">
        <v>21471</v>
      </c>
      <c r="AX3341" s="93" t="s">
        <v>21471</v>
      </c>
      <c r="AY3341" s="87"/>
      <c r="AZ3341" s="93" t="s">
        <v>22668</v>
      </c>
      <c r="BA3341" s="93" t="s">
        <v>22668</v>
      </c>
      <c r="BB3341" s="93" t="s">
        <v>22668</v>
      </c>
      <c r="BC3341" s="93" t="s">
        <v>21471</v>
      </c>
      <c r="BD3341" s="87">
        <v>71258973</v>
      </c>
      <c r="BE3341" s="87"/>
      <c r="BF3341" s="87"/>
      <c r="BG3341" s="87"/>
      <c r="BH3341" s="87"/>
      <c r="BI3341" s="87"/>
    </row>
    <row r="3342" spans="1:61" x14ac:dyDescent="0.25">
      <c r="A3342" s="63" t="s">
        <v>1273</v>
      </c>
      <c r="B3342" s="63" t="s">
        <v>1273</v>
      </c>
      <c r="C3342" s="64"/>
      <c r="D3342" s="65"/>
      <c r="E3342" s="66"/>
      <c r="F3342" s="67"/>
      <c r="G3342" s="64"/>
      <c r="H3342" s="68"/>
      <c r="I3342" s="69"/>
      <c r="J3342" s="69"/>
      <c r="K3342" s="32"/>
      <c r="L3342" s="76">
        <v>3342</v>
      </c>
      <c r="M3342" s="76"/>
      <c r="N3342" s="71"/>
      <c r="O3342" s="87" t="s">
        <v>179</v>
      </c>
      <c r="P3342" s="90">
        <v>45118.598043981481</v>
      </c>
      <c r="Q3342" s="87" t="s">
        <v>5021</v>
      </c>
      <c r="R3342" s="87">
        <v>0</v>
      </c>
      <c r="S3342" s="87">
        <v>0</v>
      </c>
      <c r="T3342" s="87">
        <v>0</v>
      </c>
      <c r="U3342" s="87">
        <v>0</v>
      </c>
      <c r="V3342" s="87">
        <v>12</v>
      </c>
      <c r="W3342" s="93" t="s">
        <v>7764</v>
      </c>
      <c r="X3342" s="92" t="str">
        <f>HYPERLINK("http://wix.to/zk3OK3u")</f>
        <v>http://wix.to/zk3OK3u</v>
      </c>
      <c r="Y3342" s="87" t="s">
        <v>8382</v>
      </c>
      <c r="Z3342" s="87"/>
      <c r="AA3342" s="87"/>
      <c r="AB3342" s="87"/>
      <c r="AC3342" s="93" t="s">
        <v>11466</v>
      </c>
      <c r="AD3342" s="87" t="s">
        <v>11519</v>
      </c>
      <c r="AE3342" s="92" t="str">
        <f>HYPERLINK("https://twitter.com/penedagerestv/status/1678771420170715137")</f>
        <v>https://twitter.com/penedagerestv/status/1678771420170715137</v>
      </c>
      <c r="AF3342" s="90">
        <v>45118.598043981481</v>
      </c>
      <c r="AG3342" s="99">
        <v>45118</v>
      </c>
      <c r="AH3342" s="93" t="s">
        <v>14485</v>
      </c>
      <c r="AI3342" s="87" t="b">
        <v>0</v>
      </c>
      <c r="AJ3342" s="87"/>
      <c r="AK3342" s="87"/>
      <c r="AL3342" s="87"/>
      <c r="AM3342" s="87"/>
      <c r="AN3342" s="87"/>
      <c r="AO3342" s="87"/>
      <c r="AP3342" s="87"/>
      <c r="AQ3342" s="87"/>
      <c r="AR3342" s="87"/>
      <c r="AS3342" s="87"/>
      <c r="AT3342" s="87"/>
      <c r="AU3342" s="87"/>
      <c r="AV3342" s="92" t="str">
        <f>HYPERLINK("https://pbs.twimg.com/profile_images/1027514443801022464/lg3iD2M-_normal.jpg")</f>
        <v>https://pbs.twimg.com/profile_images/1027514443801022464/lg3iD2M-_normal.jpg</v>
      </c>
      <c r="AW3342" s="93" t="s">
        <v>21472</v>
      </c>
      <c r="AX3342" s="93" t="s">
        <v>21472</v>
      </c>
      <c r="AY3342" s="87"/>
      <c r="AZ3342" s="93" t="s">
        <v>22668</v>
      </c>
      <c r="BA3342" s="93" t="s">
        <v>22668</v>
      </c>
      <c r="BB3342" s="93" t="s">
        <v>22668</v>
      </c>
      <c r="BC3342" s="93" t="s">
        <v>21472</v>
      </c>
      <c r="BD3342" s="93" t="s">
        <v>23398</v>
      </c>
      <c r="BE3342" s="87"/>
      <c r="BF3342" s="87"/>
      <c r="BG3342" s="87"/>
      <c r="BH3342" s="87"/>
      <c r="BI3342" s="87"/>
    </row>
    <row r="3343" spans="1:61" x14ac:dyDescent="0.25">
      <c r="A3343" s="63" t="s">
        <v>1274</v>
      </c>
      <c r="B3343" s="63" t="s">
        <v>1274</v>
      </c>
      <c r="C3343" s="64"/>
      <c r="D3343" s="65"/>
      <c r="E3343" s="66"/>
      <c r="F3343" s="67"/>
      <c r="G3343" s="64"/>
      <c r="H3343" s="68"/>
      <c r="I3343" s="69"/>
      <c r="J3343" s="69"/>
      <c r="K3343" s="32"/>
      <c r="L3343" s="76">
        <v>3343</v>
      </c>
      <c r="M3343" s="76"/>
      <c r="N3343" s="71"/>
      <c r="O3343" s="87" t="s">
        <v>179</v>
      </c>
      <c r="P3343" s="90">
        <v>45177.779745370368</v>
      </c>
      <c r="Q3343" s="87" t="s">
        <v>5022</v>
      </c>
      <c r="R3343" s="87">
        <v>0</v>
      </c>
      <c r="S3343" s="87">
        <v>0</v>
      </c>
      <c r="T3343" s="87">
        <v>1</v>
      </c>
      <c r="U3343" s="87">
        <v>0</v>
      </c>
      <c r="V3343" s="87">
        <v>57</v>
      </c>
      <c r="W3343" s="93" t="s">
        <v>7765</v>
      </c>
      <c r="X3343" s="87"/>
      <c r="Y3343" s="87"/>
      <c r="Z3343" s="87"/>
      <c r="AA3343" s="87" t="s">
        <v>10897</v>
      </c>
      <c r="AB3343" s="87" t="s">
        <v>11447</v>
      </c>
      <c r="AC3343" s="93" t="s">
        <v>11459</v>
      </c>
      <c r="AD3343" s="87" t="s">
        <v>11519</v>
      </c>
      <c r="AE3343" s="92" t="str">
        <f>HYPERLINK("https://twitter.com/alexkid18734651/status/1700218151797960743")</f>
        <v>https://twitter.com/alexkid18734651/status/1700218151797960743</v>
      </c>
      <c r="AF3343" s="90">
        <v>45177.779745370368</v>
      </c>
      <c r="AG3343" s="99">
        <v>45177</v>
      </c>
      <c r="AH3343" s="93" t="s">
        <v>14486</v>
      </c>
      <c r="AI3343" s="87" t="b">
        <v>0</v>
      </c>
      <c r="AJ3343" s="87"/>
      <c r="AK3343" s="87"/>
      <c r="AL3343" s="87"/>
      <c r="AM3343" s="87"/>
      <c r="AN3343" s="87"/>
      <c r="AO3343" s="87"/>
      <c r="AP3343" s="87"/>
      <c r="AQ3343" s="87" t="s">
        <v>17709</v>
      </c>
      <c r="AR3343" s="87">
        <v>27000</v>
      </c>
      <c r="AS3343" s="87"/>
      <c r="AT3343" s="87"/>
      <c r="AU3343" s="87"/>
      <c r="AV3343" s="92" t="str">
        <f>HYPERLINK("https://pbs.twimg.com/ext_tw_video_thumb/1700218116070907904/pu/img/glarBayI91t7fvHM.jpg")</f>
        <v>https://pbs.twimg.com/ext_tw_video_thumb/1700218116070907904/pu/img/glarBayI91t7fvHM.jpg</v>
      </c>
      <c r="AW3343" s="93" t="s">
        <v>21473</v>
      </c>
      <c r="AX3343" s="93" t="s">
        <v>21473</v>
      </c>
      <c r="AY3343" s="87"/>
      <c r="AZ3343" s="93" t="s">
        <v>22668</v>
      </c>
      <c r="BA3343" s="93" t="s">
        <v>22668</v>
      </c>
      <c r="BB3343" s="93" t="s">
        <v>22668</v>
      </c>
      <c r="BC3343" s="93" t="s">
        <v>21473</v>
      </c>
      <c r="BD3343" s="93" t="s">
        <v>23399</v>
      </c>
      <c r="BE3343" s="87"/>
      <c r="BF3343" s="87"/>
      <c r="BG3343" s="87"/>
      <c r="BH3343" s="87"/>
      <c r="BI3343" s="87"/>
    </row>
    <row r="3344" spans="1:61" x14ac:dyDescent="0.25">
      <c r="A3344" s="63" t="s">
        <v>1275</v>
      </c>
      <c r="B3344" s="63" t="s">
        <v>1275</v>
      </c>
      <c r="C3344" s="64"/>
      <c r="D3344" s="65"/>
      <c r="E3344" s="66"/>
      <c r="F3344" s="67"/>
      <c r="G3344" s="64"/>
      <c r="H3344" s="68"/>
      <c r="I3344" s="69"/>
      <c r="J3344" s="69"/>
      <c r="K3344" s="32"/>
      <c r="L3344" s="76">
        <v>3344</v>
      </c>
      <c r="M3344" s="76"/>
      <c r="N3344" s="71"/>
      <c r="O3344" s="87" t="s">
        <v>179</v>
      </c>
      <c r="P3344" s="90">
        <v>45161.950543981482</v>
      </c>
      <c r="Q3344" s="87" t="s">
        <v>5023</v>
      </c>
      <c r="R3344" s="87">
        <v>0</v>
      </c>
      <c r="S3344" s="87">
        <v>1</v>
      </c>
      <c r="T3344" s="87">
        <v>0</v>
      </c>
      <c r="U3344" s="87">
        <v>0</v>
      </c>
      <c r="V3344" s="87">
        <v>26</v>
      </c>
      <c r="W3344" s="93" t="s">
        <v>7766</v>
      </c>
      <c r="X3344" s="92" t="str">
        <f>HYPERLINK("http://linktr.ee/beyoursco")</f>
        <v>http://linktr.ee/beyoursco</v>
      </c>
      <c r="Y3344" s="87" t="s">
        <v>8482</v>
      </c>
      <c r="Z3344" s="87"/>
      <c r="AA3344" s="87"/>
      <c r="AB3344" s="87"/>
      <c r="AC3344" s="93" t="s">
        <v>11458</v>
      </c>
      <c r="AD3344" s="87" t="s">
        <v>11519</v>
      </c>
      <c r="AE3344" s="92" t="str">
        <f>HYPERLINK("https://twitter.com/beyourscompany/status/1694481840214532435")</f>
        <v>https://twitter.com/beyourscompany/status/1694481840214532435</v>
      </c>
      <c r="AF3344" s="90">
        <v>45161.950543981482</v>
      </c>
      <c r="AG3344" s="99">
        <v>45161</v>
      </c>
      <c r="AH3344" s="93" t="s">
        <v>14487</v>
      </c>
      <c r="AI3344" s="87" t="b">
        <v>0</v>
      </c>
      <c r="AJ3344" s="87"/>
      <c r="AK3344" s="87"/>
      <c r="AL3344" s="87"/>
      <c r="AM3344" s="87"/>
      <c r="AN3344" s="87"/>
      <c r="AO3344" s="87"/>
      <c r="AP3344" s="87"/>
      <c r="AQ3344" s="87"/>
      <c r="AR3344" s="87"/>
      <c r="AS3344" s="87"/>
      <c r="AT3344" s="87"/>
      <c r="AU3344" s="87"/>
      <c r="AV3344" s="92" t="str">
        <f>HYPERLINK("https://pbs.twimg.com/profile_images/1693798116053377024/cxGXWjJM_normal.png")</f>
        <v>https://pbs.twimg.com/profile_images/1693798116053377024/cxGXWjJM_normal.png</v>
      </c>
      <c r="AW3344" s="93" t="s">
        <v>21474</v>
      </c>
      <c r="AX3344" s="93" t="s">
        <v>21474</v>
      </c>
      <c r="AY3344" s="87"/>
      <c r="AZ3344" s="93" t="s">
        <v>22668</v>
      </c>
      <c r="BA3344" s="93" t="s">
        <v>22668</v>
      </c>
      <c r="BB3344" s="93" t="s">
        <v>22668</v>
      </c>
      <c r="BC3344" s="93" t="s">
        <v>21474</v>
      </c>
      <c r="BD3344" s="93" t="s">
        <v>23400</v>
      </c>
      <c r="BE3344" s="87"/>
      <c r="BF3344" s="87"/>
      <c r="BG3344" s="87"/>
      <c r="BH3344" s="87"/>
      <c r="BI3344" s="87"/>
    </row>
    <row r="3345" spans="1:61" x14ac:dyDescent="0.25">
      <c r="A3345" s="63" t="s">
        <v>1275</v>
      </c>
      <c r="B3345" s="63" t="s">
        <v>1275</v>
      </c>
      <c r="C3345" s="64"/>
      <c r="D3345" s="65"/>
      <c r="E3345" s="66"/>
      <c r="F3345" s="67"/>
      <c r="G3345" s="64"/>
      <c r="H3345" s="68"/>
      <c r="I3345" s="69"/>
      <c r="J3345" s="69"/>
      <c r="K3345" s="32"/>
      <c r="L3345" s="76">
        <v>3345</v>
      </c>
      <c r="M3345" s="76"/>
      <c r="N3345" s="71"/>
      <c r="O3345" s="87" t="s">
        <v>179</v>
      </c>
      <c r="P3345" s="90">
        <v>45163.172731481478</v>
      </c>
      <c r="Q3345" s="87" t="s">
        <v>5024</v>
      </c>
      <c r="R3345" s="87">
        <v>0</v>
      </c>
      <c r="S3345" s="87">
        <v>1</v>
      </c>
      <c r="T3345" s="87">
        <v>0</v>
      </c>
      <c r="U3345" s="87">
        <v>0</v>
      </c>
      <c r="V3345" s="87">
        <v>29</v>
      </c>
      <c r="W3345" s="93" t="s">
        <v>7767</v>
      </c>
      <c r="X3345" s="92" t="str">
        <f>HYPERLINK("https://www.instagram.com/reel/CwWnXIcMhGk/?igshid=MTVlNTYxMjY2ZQ==")</f>
        <v>https://www.instagram.com/reel/CwWnXIcMhGk/?igshid=MTVlNTYxMjY2ZQ==</v>
      </c>
      <c r="Y3345" s="87" t="s">
        <v>8383</v>
      </c>
      <c r="Z3345" s="87"/>
      <c r="AA3345" s="87"/>
      <c r="AB3345" s="87"/>
      <c r="AC3345" s="93" t="s">
        <v>11458</v>
      </c>
      <c r="AD3345" s="87" t="s">
        <v>11519</v>
      </c>
      <c r="AE3345" s="92" t="str">
        <f>HYPERLINK("https://twitter.com/beyourscompany/status/1694924744884191335")</f>
        <v>https://twitter.com/beyourscompany/status/1694924744884191335</v>
      </c>
      <c r="AF3345" s="90">
        <v>45163.172731481478</v>
      </c>
      <c r="AG3345" s="99">
        <v>45163</v>
      </c>
      <c r="AH3345" s="93" t="s">
        <v>14488</v>
      </c>
      <c r="AI3345" s="87" t="b">
        <v>0</v>
      </c>
      <c r="AJ3345" s="87"/>
      <c r="AK3345" s="87"/>
      <c r="AL3345" s="87"/>
      <c r="AM3345" s="87"/>
      <c r="AN3345" s="87"/>
      <c r="AO3345" s="87"/>
      <c r="AP3345" s="87"/>
      <c r="AQ3345" s="87"/>
      <c r="AR3345" s="87"/>
      <c r="AS3345" s="87"/>
      <c r="AT3345" s="87"/>
      <c r="AU3345" s="87"/>
      <c r="AV3345" s="92" t="str">
        <f>HYPERLINK("https://pbs.twimg.com/profile_images/1693798116053377024/cxGXWjJM_normal.png")</f>
        <v>https://pbs.twimg.com/profile_images/1693798116053377024/cxGXWjJM_normal.png</v>
      </c>
      <c r="AW3345" s="93" t="s">
        <v>21475</v>
      </c>
      <c r="AX3345" s="93" t="s">
        <v>21475</v>
      </c>
      <c r="AY3345" s="87"/>
      <c r="AZ3345" s="93" t="s">
        <v>22668</v>
      </c>
      <c r="BA3345" s="93" t="s">
        <v>22668</v>
      </c>
      <c r="BB3345" s="93" t="s">
        <v>22668</v>
      </c>
      <c r="BC3345" s="93" t="s">
        <v>21475</v>
      </c>
      <c r="BD3345" s="93" t="s">
        <v>23400</v>
      </c>
      <c r="BE3345" s="87"/>
      <c r="BF3345" s="87"/>
      <c r="BG3345" s="87"/>
      <c r="BH3345" s="87"/>
      <c r="BI3345" s="87"/>
    </row>
    <row r="3346" spans="1:61" x14ac:dyDescent="0.25">
      <c r="A3346" s="63" t="s">
        <v>1275</v>
      </c>
      <c r="B3346" s="63" t="s">
        <v>1275</v>
      </c>
      <c r="C3346" s="64"/>
      <c r="D3346" s="65"/>
      <c r="E3346" s="66"/>
      <c r="F3346" s="67"/>
      <c r="G3346" s="64"/>
      <c r="H3346" s="68"/>
      <c r="I3346" s="69"/>
      <c r="J3346" s="69"/>
      <c r="K3346" s="32"/>
      <c r="L3346" s="76">
        <v>3346</v>
      </c>
      <c r="M3346" s="76"/>
      <c r="N3346" s="71"/>
      <c r="O3346" s="87" t="s">
        <v>179</v>
      </c>
      <c r="P3346" s="90">
        <v>45161.745324074072</v>
      </c>
      <c r="Q3346" s="87" t="s">
        <v>5023</v>
      </c>
      <c r="R3346" s="87">
        <v>0</v>
      </c>
      <c r="S3346" s="87">
        <v>1</v>
      </c>
      <c r="T3346" s="87">
        <v>0</v>
      </c>
      <c r="U3346" s="87">
        <v>0</v>
      </c>
      <c r="V3346" s="87">
        <v>26</v>
      </c>
      <c r="W3346" s="93" t="s">
        <v>7766</v>
      </c>
      <c r="X3346" s="92" t="str">
        <f>HYPERLINK("http://linktr.ee/beyoursco")</f>
        <v>http://linktr.ee/beyoursco</v>
      </c>
      <c r="Y3346" s="87" t="s">
        <v>8482</v>
      </c>
      <c r="Z3346" s="87"/>
      <c r="AA3346" s="87"/>
      <c r="AB3346" s="87"/>
      <c r="AC3346" s="93" t="s">
        <v>11458</v>
      </c>
      <c r="AD3346" s="87" t="s">
        <v>11519</v>
      </c>
      <c r="AE3346" s="92" t="str">
        <f>HYPERLINK("https://twitter.com/beyourscompany/status/1694407473359147028")</f>
        <v>https://twitter.com/beyourscompany/status/1694407473359147028</v>
      </c>
      <c r="AF3346" s="90">
        <v>45161.745324074072</v>
      </c>
      <c r="AG3346" s="99">
        <v>45161</v>
      </c>
      <c r="AH3346" s="93" t="s">
        <v>14489</v>
      </c>
      <c r="AI3346" s="87" t="b">
        <v>0</v>
      </c>
      <c r="AJ3346" s="87"/>
      <c r="AK3346" s="87"/>
      <c r="AL3346" s="87"/>
      <c r="AM3346" s="87"/>
      <c r="AN3346" s="87"/>
      <c r="AO3346" s="87"/>
      <c r="AP3346" s="87"/>
      <c r="AQ3346" s="87"/>
      <c r="AR3346" s="87"/>
      <c r="AS3346" s="87"/>
      <c r="AT3346" s="87"/>
      <c r="AU3346" s="87"/>
      <c r="AV3346" s="92" t="str">
        <f>HYPERLINK("https://pbs.twimg.com/profile_images/1693798116053377024/cxGXWjJM_normal.png")</f>
        <v>https://pbs.twimg.com/profile_images/1693798116053377024/cxGXWjJM_normal.png</v>
      </c>
      <c r="AW3346" s="93" t="s">
        <v>21476</v>
      </c>
      <c r="AX3346" s="93" t="s">
        <v>21476</v>
      </c>
      <c r="AY3346" s="87"/>
      <c r="AZ3346" s="93" t="s">
        <v>22668</v>
      </c>
      <c r="BA3346" s="93" t="s">
        <v>22668</v>
      </c>
      <c r="BB3346" s="93" t="s">
        <v>22668</v>
      </c>
      <c r="BC3346" s="93" t="s">
        <v>21476</v>
      </c>
      <c r="BD3346" s="93" t="s">
        <v>23400</v>
      </c>
      <c r="BE3346" s="87"/>
      <c r="BF3346" s="87"/>
      <c r="BG3346" s="87"/>
      <c r="BH3346" s="87"/>
      <c r="BI3346" s="87"/>
    </row>
    <row r="3347" spans="1:61" x14ac:dyDescent="0.25">
      <c r="A3347" s="63" t="s">
        <v>1275</v>
      </c>
      <c r="B3347" s="63" t="s">
        <v>1275</v>
      </c>
      <c r="C3347" s="64"/>
      <c r="D3347" s="65"/>
      <c r="E3347" s="66"/>
      <c r="F3347" s="67"/>
      <c r="G3347" s="64"/>
      <c r="H3347" s="68"/>
      <c r="I3347" s="69"/>
      <c r="J3347" s="69"/>
      <c r="K3347" s="32"/>
      <c r="L3347" s="76">
        <v>3347</v>
      </c>
      <c r="M3347" s="76"/>
      <c r="N3347" s="71"/>
      <c r="O3347" s="87" t="s">
        <v>179</v>
      </c>
      <c r="P3347" s="90">
        <v>45161.67633101852</v>
      </c>
      <c r="Q3347" s="87" t="s">
        <v>5025</v>
      </c>
      <c r="R3347" s="87">
        <v>1</v>
      </c>
      <c r="S3347" s="87">
        <v>2</v>
      </c>
      <c r="T3347" s="87">
        <v>0</v>
      </c>
      <c r="U3347" s="87">
        <v>0</v>
      </c>
      <c r="V3347" s="87">
        <v>50</v>
      </c>
      <c r="W3347" s="93" t="s">
        <v>7768</v>
      </c>
      <c r="X3347" s="92" t="str">
        <f>HYPERLINK("https://linktr.ee/beyoursco")</f>
        <v>https://linktr.ee/beyoursco</v>
      </c>
      <c r="Y3347" s="87" t="s">
        <v>8482</v>
      </c>
      <c r="Z3347" s="87"/>
      <c r="AA3347" s="87" t="s">
        <v>10898</v>
      </c>
      <c r="AB3347" s="87" t="s">
        <v>11448</v>
      </c>
      <c r="AC3347" s="93" t="s">
        <v>11458</v>
      </c>
      <c r="AD3347" s="87" t="s">
        <v>11519</v>
      </c>
      <c r="AE3347" s="92" t="str">
        <f>HYPERLINK("https://twitter.com/beyourscompany/status/1694382471624773788")</f>
        <v>https://twitter.com/beyourscompany/status/1694382471624773788</v>
      </c>
      <c r="AF3347" s="90">
        <v>45161.67633101852</v>
      </c>
      <c r="AG3347" s="99">
        <v>45161</v>
      </c>
      <c r="AH3347" s="93" t="s">
        <v>14490</v>
      </c>
      <c r="AI3347" s="87" t="b">
        <v>0</v>
      </c>
      <c r="AJ3347" s="87"/>
      <c r="AK3347" s="87"/>
      <c r="AL3347" s="87"/>
      <c r="AM3347" s="87"/>
      <c r="AN3347" s="87"/>
      <c r="AO3347" s="87"/>
      <c r="AP3347" s="87"/>
      <c r="AQ3347" s="87" t="s">
        <v>17710</v>
      </c>
      <c r="AR3347" s="87"/>
      <c r="AS3347" s="87"/>
      <c r="AT3347" s="87"/>
      <c r="AU3347" s="87"/>
      <c r="AV3347" s="92" t="str">
        <f>HYPERLINK("https://pbs.twimg.com/media/F4On4H5W8AEj1vz.jpg")</f>
        <v>https://pbs.twimg.com/media/F4On4H5W8AEj1vz.jpg</v>
      </c>
      <c r="AW3347" s="93" t="s">
        <v>21477</v>
      </c>
      <c r="AX3347" s="93" t="s">
        <v>21477</v>
      </c>
      <c r="AY3347" s="87"/>
      <c r="AZ3347" s="93" t="s">
        <v>22668</v>
      </c>
      <c r="BA3347" s="93" t="s">
        <v>22668</v>
      </c>
      <c r="BB3347" s="93" t="s">
        <v>22668</v>
      </c>
      <c r="BC3347" s="93" t="s">
        <v>21477</v>
      </c>
      <c r="BD3347" s="93" t="s">
        <v>23400</v>
      </c>
      <c r="BE3347" s="87"/>
      <c r="BF3347" s="87"/>
      <c r="BG3347" s="87"/>
      <c r="BH3347" s="87"/>
      <c r="BI3347" s="87"/>
    </row>
    <row r="3348" spans="1:61" x14ac:dyDescent="0.25">
      <c r="A3348" s="63" t="s">
        <v>1275</v>
      </c>
      <c r="B3348" s="63" t="s">
        <v>1275</v>
      </c>
      <c r="C3348" s="64"/>
      <c r="D3348" s="65"/>
      <c r="E3348" s="66"/>
      <c r="F3348" s="67"/>
      <c r="G3348" s="64"/>
      <c r="H3348" s="68"/>
      <c r="I3348" s="69"/>
      <c r="J3348" s="69"/>
      <c r="K3348" s="32"/>
      <c r="L3348" s="76">
        <v>3348</v>
      </c>
      <c r="M3348" s="76"/>
      <c r="N3348" s="71"/>
      <c r="O3348" s="87" t="s">
        <v>179</v>
      </c>
      <c r="P3348" s="90">
        <v>45161.671076388891</v>
      </c>
      <c r="Q3348" s="87" t="s">
        <v>5026</v>
      </c>
      <c r="R3348" s="87">
        <v>1</v>
      </c>
      <c r="S3348" s="87">
        <v>1</v>
      </c>
      <c r="T3348" s="87">
        <v>0</v>
      </c>
      <c r="U3348" s="87">
        <v>0</v>
      </c>
      <c r="V3348" s="87">
        <v>34</v>
      </c>
      <c r="W3348" s="93" t="s">
        <v>7769</v>
      </c>
      <c r="X3348" s="87"/>
      <c r="Y3348" s="87"/>
      <c r="Z3348" s="87"/>
      <c r="AA3348" s="87" t="s">
        <v>10899</v>
      </c>
      <c r="AB3348" s="87" t="s">
        <v>11448</v>
      </c>
      <c r="AC3348" s="93" t="s">
        <v>11458</v>
      </c>
      <c r="AD3348" s="87" t="s">
        <v>11519</v>
      </c>
      <c r="AE3348" s="92" t="str">
        <f>HYPERLINK("https://twitter.com/beyourscompany/status/1694380565070291160")</f>
        <v>https://twitter.com/beyourscompany/status/1694380565070291160</v>
      </c>
      <c r="AF3348" s="90">
        <v>45161.671076388891</v>
      </c>
      <c r="AG3348" s="99">
        <v>45161</v>
      </c>
      <c r="AH3348" s="93" t="s">
        <v>14491</v>
      </c>
      <c r="AI3348" s="87" t="b">
        <v>0</v>
      </c>
      <c r="AJ3348" s="87"/>
      <c r="AK3348" s="87"/>
      <c r="AL3348" s="87"/>
      <c r="AM3348" s="87"/>
      <c r="AN3348" s="87"/>
      <c r="AO3348" s="87"/>
      <c r="AP3348" s="87"/>
      <c r="AQ3348" s="87" t="s">
        <v>17711</v>
      </c>
      <c r="AR3348" s="87"/>
      <c r="AS3348" s="87"/>
      <c r="AT3348" s="87"/>
      <c r="AU3348" s="87"/>
      <c r="AV3348" s="92" t="str">
        <f>HYPERLINK("https://pbs.twimg.com/media/F4OmJJFXgAAkhPR.jpg")</f>
        <v>https://pbs.twimg.com/media/F4OmJJFXgAAkhPR.jpg</v>
      </c>
      <c r="AW3348" s="93" t="s">
        <v>21478</v>
      </c>
      <c r="AX3348" s="93" t="s">
        <v>21478</v>
      </c>
      <c r="AY3348" s="87"/>
      <c r="AZ3348" s="93" t="s">
        <v>22668</v>
      </c>
      <c r="BA3348" s="93" t="s">
        <v>22668</v>
      </c>
      <c r="BB3348" s="93" t="s">
        <v>22668</v>
      </c>
      <c r="BC3348" s="93" t="s">
        <v>21478</v>
      </c>
      <c r="BD3348" s="93" t="s">
        <v>23400</v>
      </c>
      <c r="BE3348" s="87"/>
      <c r="BF3348" s="87"/>
      <c r="BG3348" s="87"/>
      <c r="BH3348" s="87"/>
      <c r="BI3348" s="87"/>
    </row>
    <row r="3349" spans="1:61" x14ac:dyDescent="0.25">
      <c r="A3349" s="63" t="s">
        <v>1275</v>
      </c>
      <c r="B3349" s="63" t="s">
        <v>1275</v>
      </c>
      <c r="C3349" s="64"/>
      <c r="D3349" s="65"/>
      <c r="E3349" s="66"/>
      <c r="F3349" s="67"/>
      <c r="G3349" s="64"/>
      <c r="H3349" s="68"/>
      <c r="I3349" s="69"/>
      <c r="J3349" s="69"/>
      <c r="K3349" s="32"/>
      <c r="L3349" s="76">
        <v>3349</v>
      </c>
      <c r="M3349" s="76"/>
      <c r="N3349" s="71"/>
      <c r="O3349" s="87" t="s">
        <v>179</v>
      </c>
      <c r="P3349" s="90">
        <v>45167.094166666669</v>
      </c>
      <c r="Q3349" s="87" t="s">
        <v>5027</v>
      </c>
      <c r="R3349" s="87">
        <v>0</v>
      </c>
      <c r="S3349" s="87">
        <v>0</v>
      </c>
      <c r="T3349" s="87">
        <v>0</v>
      </c>
      <c r="U3349" s="87">
        <v>0</v>
      </c>
      <c r="V3349" s="87">
        <v>187</v>
      </c>
      <c r="W3349" s="93" t="s">
        <v>7770</v>
      </c>
      <c r="X3349" s="92" t="str">
        <f>HYPERLINK("https://chk.eduzz.com/1460936?a=34262233")</f>
        <v>https://chk.eduzz.com/1460936?a=34262233</v>
      </c>
      <c r="Y3349" s="87" t="s">
        <v>8500</v>
      </c>
      <c r="Z3349" s="87"/>
      <c r="AA3349" s="87" t="s">
        <v>10900</v>
      </c>
      <c r="AB3349" s="87" t="s">
        <v>11448</v>
      </c>
      <c r="AC3349" s="93" t="s">
        <v>11457</v>
      </c>
      <c r="AD3349" s="87" t="s">
        <v>11519</v>
      </c>
      <c r="AE3349" s="92" t="str">
        <f>HYPERLINK("https://twitter.com/beyourscompany/status/1696345829240430618")</f>
        <v>https://twitter.com/beyourscompany/status/1696345829240430618</v>
      </c>
      <c r="AF3349" s="90">
        <v>45167.094166666669</v>
      </c>
      <c r="AG3349" s="99">
        <v>45167</v>
      </c>
      <c r="AH3349" s="93" t="s">
        <v>14492</v>
      </c>
      <c r="AI3349" s="87" t="b">
        <v>0</v>
      </c>
      <c r="AJ3349" s="87"/>
      <c r="AK3349" s="87"/>
      <c r="AL3349" s="87"/>
      <c r="AM3349" s="87"/>
      <c r="AN3349" s="87"/>
      <c r="AO3349" s="87"/>
      <c r="AP3349" s="87"/>
      <c r="AQ3349" s="87" t="s">
        <v>17712</v>
      </c>
      <c r="AR3349" s="87"/>
      <c r="AS3349" s="87"/>
      <c r="AT3349" s="87"/>
      <c r="AU3349" s="87"/>
      <c r="AV3349" s="92" t="str">
        <f>HYPERLINK("https://pbs.twimg.com/media/F4qhVlkXEAA6-eJ.jpg")</f>
        <v>https://pbs.twimg.com/media/F4qhVlkXEAA6-eJ.jpg</v>
      </c>
      <c r="AW3349" s="93" t="s">
        <v>21479</v>
      </c>
      <c r="AX3349" s="93" t="s">
        <v>21479</v>
      </c>
      <c r="AY3349" s="87"/>
      <c r="AZ3349" s="93" t="s">
        <v>22668</v>
      </c>
      <c r="BA3349" s="93" t="s">
        <v>22668</v>
      </c>
      <c r="BB3349" s="93" t="s">
        <v>22668</v>
      </c>
      <c r="BC3349" s="93" t="s">
        <v>21479</v>
      </c>
      <c r="BD3349" s="93" t="s">
        <v>23400</v>
      </c>
      <c r="BE3349" s="87"/>
      <c r="BF3349" s="87"/>
      <c r="BG3349" s="87"/>
      <c r="BH3349" s="87"/>
      <c r="BI3349" s="87"/>
    </row>
    <row r="3350" spans="1:61" x14ac:dyDescent="0.25">
      <c r="A3350" s="63" t="s">
        <v>1276</v>
      </c>
      <c r="B3350" s="63" t="s">
        <v>1276</v>
      </c>
      <c r="C3350" s="64"/>
      <c r="D3350" s="65"/>
      <c r="E3350" s="66"/>
      <c r="F3350" s="67"/>
      <c r="G3350" s="64"/>
      <c r="H3350" s="68"/>
      <c r="I3350" s="69"/>
      <c r="J3350" s="69"/>
      <c r="K3350" s="32"/>
      <c r="L3350" s="76">
        <v>3350</v>
      </c>
      <c r="M3350" s="76"/>
      <c r="N3350" s="71"/>
      <c r="O3350" s="87" t="s">
        <v>179</v>
      </c>
      <c r="P3350" s="90">
        <v>45182.733530092592</v>
      </c>
      <c r="Q3350" s="87" t="s">
        <v>5028</v>
      </c>
      <c r="R3350" s="87">
        <v>0</v>
      </c>
      <c r="S3350" s="87">
        <v>1</v>
      </c>
      <c r="T3350" s="87">
        <v>0</v>
      </c>
      <c r="U3350" s="87">
        <v>0</v>
      </c>
      <c r="V3350" s="87">
        <v>2</v>
      </c>
      <c r="W3350" s="93" t="s">
        <v>7771</v>
      </c>
      <c r="X3350" s="92" t="str">
        <f>HYPERLINK("https://f2tips.com/pronavenda")</f>
        <v>https://f2tips.com/pronavenda</v>
      </c>
      <c r="Y3350" s="87" t="s">
        <v>8523</v>
      </c>
      <c r="Z3350" s="87"/>
      <c r="AA3350" s="87" t="s">
        <v>10901</v>
      </c>
      <c r="AB3350" s="87" t="s">
        <v>11447</v>
      </c>
      <c r="AC3350" s="93" t="s">
        <v>11457</v>
      </c>
      <c r="AD3350" s="87" t="s">
        <v>11519</v>
      </c>
      <c r="AE3350" s="92" t="str">
        <f>HYPERLINK("https://twitter.com/tempodenegocio/status/1702013343375008107")</f>
        <v>https://twitter.com/tempodenegocio/status/1702013343375008107</v>
      </c>
      <c r="AF3350" s="90">
        <v>45182.733530092592</v>
      </c>
      <c r="AG3350" s="99">
        <v>45182</v>
      </c>
      <c r="AH3350" s="93" t="s">
        <v>14493</v>
      </c>
      <c r="AI3350" s="87" t="b">
        <v>0</v>
      </c>
      <c r="AJ3350" s="87"/>
      <c r="AK3350" s="87"/>
      <c r="AL3350" s="87"/>
      <c r="AM3350" s="87"/>
      <c r="AN3350" s="87"/>
      <c r="AO3350" s="87"/>
      <c r="AP3350" s="87"/>
      <c r="AQ3350" s="87" t="s">
        <v>17713</v>
      </c>
      <c r="AR3350" s="87">
        <v>56448</v>
      </c>
      <c r="AS3350" s="87"/>
      <c r="AT3350" s="87"/>
      <c r="AU3350" s="87"/>
      <c r="AV3350" s="92" t="str">
        <f>HYPERLINK("https://pbs.twimg.com/ext_tw_video_thumb/1702012872836952064/pu/img/8G4EQ88R0SnkZJYb.jpg")</f>
        <v>https://pbs.twimg.com/ext_tw_video_thumb/1702012872836952064/pu/img/8G4EQ88R0SnkZJYb.jpg</v>
      </c>
      <c r="AW3350" s="93" t="s">
        <v>21480</v>
      </c>
      <c r="AX3350" s="93" t="s">
        <v>21480</v>
      </c>
      <c r="AY3350" s="87"/>
      <c r="AZ3350" s="93" t="s">
        <v>22668</v>
      </c>
      <c r="BA3350" s="93" t="s">
        <v>22668</v>
      </c>
      <c r="BB3350" s="93" t="s">
        <v>22668</v>
      </c>
      <c r="BC3350" s="93" t="s">
        <v>21480</v>
      </c>
      <c r="BD3350" s="93" t="s">
        <v>23401</v>
      </c>
      <c r="BE3350" s="87"/>
      <c r="BF3350" s="87"/>
      <c r="BG3350" s="87"/>
      <c r="BH3350" s="87"/>
      <c r="BI3350" s="87"/>
    </row>
    <row r="3351" spans="1:61" x14ac:dyDescent="0.25">
      <c r="A3351" s="63" t="s">
        <v>1276</v>
      </c>
      <c r="B3351" s="63" t="s">
        <v>1276</v>
      </c>
      <c r="C3351" s="64"/>
      <c r="D3351" s="65"/>
      <c r="E3351" s="66"/>
      <c r="F3351" s="67"/>
      <c r="G3351" s="64"/>
      <c r="H3351" s="68"/>
      <c r="I3351" s="69"/>
      <c r="J3351" s="69"/>
      <c r="K3351" s="32"/>
      <c r="L3351" s="76">
        <v>3351</v>
      </c>
      <c r="M3351" s="76"/>
      <c r="N3351" s="71"/>
      <c r="O3351" s="87" t="s">
        <v>179</v>
      </c>
      <c r="P3351" s="90">
        <v>45183.747511574074</v>
      </c>
      <c r="Q3351" s="87" t="s">
        <v>5029</v>
      </c>
      <c r="R3351" s="87">
        <v>0</v>
      </c>
      <c r="S3351" s="87">
        <v>0</v>
      </c>
      <c r="T3351" s="87">
        <v>0</v>
      </c>
      <c r="U3351" s="87">
        <v>0</v>
      </c>
      <c r="V3351" s="87">
        <v>5</v>
      </c>
      <c r="W3351" s="93" t="s">
        <v>7771</v>
      </c>
      <c r="X3351" s="92" t="str">
        <f>HYPERLINK("https://f2tips.com/pronavenda")</f>
        <v>https://f2tips.com/pronavenda</v>
      </c>
      <c r="Y3351" s="87" t="s">
        <v>8523</v>
      </c>
      <c r="Z3351" s="87"/>
      <c r="AA3351" s="87" t="s">
        <v>10902</v>
      </c>
      <c r="AB3351" s="87" t="s">
        <v>11447</v>
      </c>
      <c r="AC3351" s="93" t="s">
        <v>11457</v>
      </c>
      <c r="AD3351" s="87" t="s">
        <v>11519</v>
      </c>
      <c r="AE3351" s="92" t="str">
        <f>HYPERLINK("https://twitter.com/tempodenegocio/status/1702380796827341215")</f>
        <v>https://twitter.com/tempodenegocio/status/1702380796827341215</v>
      </c>
      <c r="AF3351" s="90">
        <v>45183.747511574074</v>
      </c>
      <c r="AG3351" s="99">
        <v>45183</v>
      </c>
      <c r="AH3351" s="93" t="s">
        <v>14494</v>
      </c>
      <c r="AI3351" s="87" t="b">
        <v>0</v>
      </c>
      <c r="AJ3351" s="87"/>
      <c r="AK3351" s="87"/>
      <c r="AL3351" s="87"/>
      <c r="AM3351" s="87"/>
      <c r="AN3351" s="87"/>
      <c r="AO3351" s="87"/>
      <c r="AP3351" s="87"/>
      <c r="AQ3351" s="87" t="s">
        <v>17714</v>
      </c>
      <c r="AR3351" s="87">
        <v>58677</v>
      </c>
      <c r="AS3351" s="87"/>
      <c r="AT3351" s="87"/>
      <c r="AU3351" s="87"/>
      <c r="AV3351" s="92" t="str">
        <f>HYPERLINK("https://pbs.twimg.com/ext_tw_video_thumb/1702380157300822016/pu/img/UIDuRwmrvgqg8pUz.jpg")</f>
        <v>https://pbs.twimg.com/ext_tw_video_thumb/1702380157300822016/pu/img/UIDuRwmrvgqg8pUz.jpg</v>
      </c>
      <c r="AW3351" s="93" t="s">
        <v>21481</v>
      </c>
      <c r="AX3351" s="93" t="s">
        <v>21481</v>
      </c>
      <c r="AY3351" s="87"/>
      <c r="AZ3351" s="93" t="s">
        <v>22668</v>
      </c>
      <c r="BA3351" s="93" t="s">
        <v>22668</v>
      </c>
      <c r="BB3351" s="93" t="s">
        <v>22668</v>
      </c>
      <c r="BC3351" s="93" t="s">
        <v>21481</v>
      </c>
      <c r="BD3351" s="93" t="s">
        <v>23401</v>
      </c>
      <c r="BE3351" s="87"/>
      <c r="BF3351" s="87"/>
      <c r="BG3351" s="87"/>
      <c r="BH3351" s="87"/>
      <c r="BI3351" s="87"/>
    </row>
    <row r="3352" spans="1:61" x14ac:dyDescent="0.25">
      <c r="A3352" s="63" t="s">
        <v>1276</v>
      </c>
      <c r="B3352" s="63" t="s">
        <v>1276</v>
      </c>
      <c r="C3352" s="64"/>
      <c r="D3352" s="65"/>
      <c r="E3352" s="66"/>
      <c r="F3352" s="67"/>
      <c r="G3352" s="64"/>
      <c r="H3352" s="68"/>
      <c r="I3352" s="69"/>
      <c r="J3352" s="69"/>
      <c r="K3352" s="32"/>
      <c r="L3352" s="76">
        <v>3352</v>
      </c>
      <c r="M3352" s="76"/>
      <c r="N3352" s="71"/>
      <c r="O3352" s="87" t="s">
        <v>179</v>
      </c>
      <c r="P3352" s="90">
        <v>45184.791018518517</v>
      </c>
      <c r="Q3352" s="87" t="s">
        <v>5030</v>
      </c>
      <c r="R3352" s="87">
        <v>0</v>
      </c>
      <c r="S3352" s="87">
        <v>1</v>
      </c>
      <c r="T3352" s="87">
        <v>0</v>
      </c>
      <c r="U3352" s="87">
        <v>0</v>
      </c>
      <c r="V3352" s="87">
        <v>4</v>
      </c>
      <c r="W3352" s="93" t="s">
        <v>7771</v>
      </c>
      <c r="X3352" s="92" t="str">
        <f>HYPERLINK("https://f2tips.com/pronavenda")</f>
        <v>https://f2tips.com/pronavenda</v>
      </c>
      <c r="Y3352" s="87" t="s">
        <v>8523</v>
      </c>
      <c r="Z3352" s="87"/>
      <c r="AA3352" s="87" t="s">
        <v>10903</v>
      </c>
      <c r="AB3352" s="87" t="s">
        <v>11447</v>
      </c>
      <c r="AC3352" s="93" t="s">
        <v>11457</v>
      </c>
      <c r="AD3352" s="87" t="s">
        <v>11519</v>
      </c>
      <c r="AE3352" s="92" t="str">
        <f>HYPERLINK("https://twitter.com/tempodenegocio/status/1702758952260297075")</f>
        <v>https://twitter.com/tempodenegocio/status/1702758952260297075</v>
      </c>
      <c r="AF3352" s="90">
        <v>45184.791018518517</v>
      </c>
      <c r="AG3352" s="99">
        <v>45184</v>
      </c>
      <c r="AH3352" s="93" t="s">
        <v>14495</v>
      </c>
      <c r="AI3352" s="87" t="b">
        <v>0</v>
      </c>
      <c r="AJ3352" s="87"/>
      <c r="AK3352" s="87"/>
      <c r="AL3352" s="87"/>
      <c r="AM3352" s="87"/>
      <c r="AN3352" s="87"/>
      <c r="AO3352" s="87"/>
      <c r="AP3352" s="87"/>
      <c r="AQ3352" s="87" t="s">
        <v>17715</v>
      </c>
      <c r="AR3352" s="87">
        <v>59745</v>
      </c>
      <c r="AS3352" s="87"/>
      <c r="AT3352" s="87"/>
      <c r="AU3352" s="87"/>
      <c r="AV3352" s="92" t="str">
        <f>HYPERLINK("https://pbs.twimg.com/ext_tw_video_thumb/1702758443487031296/pu/img/sFxKa7SDnfz8X5GO.jpg")</f>
        <v>https://pbs.twimg.com/ext_tw_video_thumb/1702758443487031296/pu/img/sFxKa7SDnfz8X5GO.jpg</v>
      </c>
      <c r="AW3352" s="93" t="s">
        <v>21482</v>
      </c>
      <c r="AX3352" s="93" t="s">
        <v>21482</v>
      </c>
      <c r="AY3352" s="87"/>
      <c r="AZ3352" s="93" t="s">
        <v>22668</v>
      </c>
      <c r="BA3352" s="93" t="s">
        <v>22668</v>
      </c>
      <c r="BB3352" s="93" t="s">
        <v>22668</v>
      </c>
      <c r="BC3352" s="93" t="s">
        <v>21482</v>
      </c>
      <c r="BD3352" s="93" t="s">
        <v>23401</v>
      </c>
      <c r="BE3352" s="87"/>
      <c r="BF3352" s="87"/>
      <c r="BG3352" s="87"/>
      <c r="BH3352" s="87"/>
      <c r="BI3352" s="87"/>
    </row>
    <row r="3353" spans="1:61" x14ac:dyDescent="0.25">
      <c r="A3353" s="63" t="s">
        <v>1277</v>
      </c>
      <c r="B3353" s="63" t="s">
        <v>1277</v>
      </c>
      <c r="C3353" s="64"/>
      <c r="D3353" s="65"/>
      <c r="E3353" s="66"/>
      <c r="F3353" s="67"/>
      <c r="G3353" s="64"/>
      <c r="H3353" s="68"/>
      <c r="I3353" s="69"/>
      <c r="J3353" s="69"/>
      <c r="K3353" s="32"/>
      <c r="L3353" s="76">
        <v>3353</v>
      </c>
      <c r="M3353" s="76"/>
      <c r="N3353" s="71"/>
      <c r="O3353" s="87" t="s">
        <v>179</v>
      </c>
      <c r="P3353" s="90">
        <v>45161.755740740744</v>
      </c>
      <c r="Q3353" s="87" t="s">
        <v>5031</v>
      </c>
      <c r="R3353" s="87">
        <v>0</v>
      </c>
      <c r="S3353" s="87">
        <v>0</v>
      </c>
      <c r="T3353" s="87">
        <v>0</v>
      </c>
      <c r="U3353" s="87">
        <v>0</v>
      </c>
      <c r="V3353" s="87">
        <v>8</v>
      </c>
      <c r="W3353" s="93" t="s">
        <v>7772</v>
      </c>
      <c r="X3353" s="92" t="str">
        <f>HYPERLINK("https://www.newssantacatarina.com.br/empresa-linkmex-oferece-resultados-em-comercio-exterior-e-logistica/")</f>
        <v>https://www.newssantacatarina.com.br/empresa-linkmex-oferece-resultados-em-comercio-exterior-e-logistica/</v>
      </c>
      <c r="Y3353" s="87" t="s">
        <v>8373</v>
      </c>
      <c r="Z3353" s="87"/>
      <c r="AA3353" s="87"/>
      <c r="AB3353" s="87"/>
      <c r="AC3353" s="93" t="s">
        <v>11457</v>
      </c>
      <c r="AD3353" s="87" t="s">
        <v>11520</v>
      </c>
      <c r="AE3353" s="92" t="str">
        <f>HYPERLINK("https://twitter.com/newscatarina/status/1694411247779709239")</f>
        <v>https://twitter.com/newscatarina/status/1694411247779709239</v>
      </c>
      <c r="AF3353" s="90">
        <v>45161.755740740744</v>
      </c>
      <c r="AG3353" s="99">
        <v>45161</v>
      </c>
      <c r="AH3353" s="93" t="s">
        <v>14496</v>
      </c>
      <c r="AI3353" s="87" t="b">
        <v>0</v>
      </c>
      <c r="AJ3353" s="87"/>
      <c r="AK3353" s="87"/>
      <c r="AL3353" s="87"/>
      <c r="AM3353" s="87"/>
      <c r="AN3353" s="87"/>
      <c r="AO3353" s="87"/>
      <c r="AP3353" s="87"/>
      <c r="AQ3353" s="87"/>
      <c r="AR3353" s="87"/>
      <c r="AS3353" s="87"/>
      <c r="AT3353" s="87"/>
      <c r="AU3353" s="87"/>
      <c r="AV3353" s="92" t="str">
        <f>HYPERLINK("https://pbs.twimg.com/profile_images/1688922806816526337/V06HgPaj_normal.jpg")</f>
        <v>https://pbs.twimg.com/profile_images/1688922806816526337/V06HgPaj_normal.jpg</v>
      </c>
      <c r="AW3353" s="93" t="s">
        <v>21483</v>
      </c>
      <c r="AX3353" s="93" t="s">
        <v>21483</v>
      </c>
      <c r="AY3353" s="87"/>
      <c r="AZ3353" s="93" t="s">
        <v>22668</v>
      </c>
      <c r="BA3353" s="93" t="s">
        <v>22668</v>
      </c>
      <c r="BB3353" s="93" t="s">
        <v>22668</v>
      </c>
      <c r="BC3353" s="93" t="s">
        <v>21483</v>
      </c>
      <c r="BD3353" s="93" t="s">
        <v>23402</v>
      </c>
      <c r="BE3353" s="87"/>
      <c r="BF3353" s="87"/>
      <c r="BG3353" s="87"/>
      <c r="BH3353" s="87"/>
      <c r="BI3353" s="87"/>
    </row>
    <row r="3354" spans="1:61" x14ac:dyDescent="0.25">
      <c r="A3354" s="63" t="s">
        <v>1278</v>
      </c>
      <c r="B3354" s="63" t="s">
        <v>1278</v>
      </c>
      <c r="C3354" s="64"/>
      <c r="D3354" s="65"/>
      <c r="E3354" s="66"/>
      <c r="F3354" s="67"/>
      <c r="G3354" s="64"/>
      <c r="H3354" s="68"/>
      <c r="I3354" s="69"/>
      <c r="J3354" s="69"/>
      <c r="K3354" s="32"/>
      <c r="L3354" s="76">
        <v>3354</v>
      </c>
      <c r="M3354" s="76"/>
      <c r="N3354" s="71"/>
      <c r="O3354" s="87" t="s">
        <v>179</v>
      </c>
      <c r="P3354" s="90">
        <v>45177.057129629633</v>
      </c>
      <c r="Q3354" s="87" t="s">
        <v>5032</v>
      </c>
      <c r="R3354" s="87">
        <v>0</v>
      </c>
      <c r="S3354" s="87">
        <v>0</v>
      </c>
      <c r="T3354" s="87">
        <v>0</v>
      </c>
      <c r="U3354" s="87">
        <v>0</v>
      </c>
      <c r="V3354" s="87">
        <v>43</v>
      </c>
      <c r="W3354" s="93" t="s">
        <v>7773</v>
      </c>
      <c r="X3354" s="92" t="str">
        <f>HYPERLINK("https://tinyurl.com/yeyjunhh")</f>
        <v>https://tinyurl.com/yeyjunhh</v>
      </c>
      <c r="Y3354" s="87" t="s">
        <v>8388</v>
      </c>
      <c r="Z3354" s="87"/>
      <c r="AA3354" s="87" t="s">
        <v>10904</v>
      </c>
      <c r="AB3354" s="87" t="s">
        <v>11448</v>
      </c>
      <c r="AC3354" s="93" t="s">
        <v>11457</v>
      </c>
      <c r="AD3354" s="87" t="s">
        <v>11519</v>
      </c>
      <c r="AE3354" s="92" t="str">
        <f>HYPERLINK("https://twitter.com/onjornal1/status/1699956285901345129")</f>
        <v>https://twitter.com/onjornal1/status/1699956285901345129</v>
      </c>
      <c r="AF3354" s="90">
        <v>45177.057129629633</v>
      </c>
      <c r="AG3354" s="99">
        <v>45177</v>
      </c>
      <c r="AH3354" s="93" t="s">
        <v>14497</v>
      </c>
      <c r="AI3354" s="87" t="b">
        <v>0</v>
      </c>
      <c r="AJ3354" s="87"/>
      <c r="AK3354" s="87"/>
      <c r="AL3354" s="87"/>
      <c r="AM3354" s="87"/>
      <c r="AN3354" s="87"/>
      <c r="AO3354" s="87"/>
      <c r="AP3354" s="87"/>
      <c r="AQ3354" s="87" t="s">
        <v>17716</v>
      </c>
      <c r="AR3354" s="87"/>
      <c r="AS3354" s="87"/>
      <c r="AT3354" s="87"/>
      <c r="AU3354" s="87"/>
      <c r="AV3354" s="92" t="str">
        <f>HYPERLINK("https://pbs.twimg.com/media/F5d1Aq6WEAA_-x4.jpg")</f>
        <v>https://pbs.twimg.com/media/F5d1Aq6WEAA_-x4.jpg</v>
      </c>
      <c r="AW3354" s="93" t="s">
        <v>21484</v>
      </c>
      <c r="AX3354" s="93" t="s">
        <v>21484</v>
      </c>
      <c r="AY3354" s="87"/>
      <c r="AZ3354" s="93" t="s">
        <v>22668</v>
      </c>
      <c r="BA3354" s="93" t="s">
        <v>22668</v>
      </c>
      <c r="BB3354" s="93" t="s">
        <v>22668</v>
      </c>
      <c r="BC3354" s="93" t="s">
        <v>21484</v>
      </c>
      <c r="BD3354" s="93" t="s">
        <v>23403</v>
      </c>
      <c r="BE3354" s="87"/>
      <c r="BF3354" s="87"/>
      <c r="BG3354" s="87"/>
      <c r="BH3354" s="87"/>
      <c r="BI3354" s="87"/>
    </row>
    <row r="3355" spans="1:61" x14ac:dyDescent="0.25">
      <c r="A3355" s="63" t="s">
        <v>1278</v>
      </c>
      <c r="B3355" s="63" t="s">
        <v>1278</v>
      </c>
      <c r="C3355" s="64"/>
      <c r="D3355" s="65"/>
      <c r="E3355" s="66"/>
      <c r="F3355" s="67"/>
      <c r="G3355" s="64"/>
      <c r="H3355" s="68"/>
      <c r="I3355" s="69"/>
      <c r="J3355" s="69"/>
      <c r="K3355" s="32"/>
      <c r="L3355" s="76">
        <v>3355</v>
      </c>
      <c r="M3355" s="76"/>
      <c r="N3355" s="71"/>
      <c r="O3355" s="87" t="s">
        <v>179</v>
      </c>
      <c r="P3355" s="90">
        <v>45190.776898148149</v>
      </c>
      <c r="Q3355" s="87" t="s">
        <v>5033</v>
      </c>
      <c r="R3355" s="87">
        <v>0</v>
      </c>
      <c r="S3355" s="87">
        <v>0</v>
      </c>
      <c r="T3355" s="87">
        <v>0</v>
      </c>
      <c r="U3355" s="87">
        <v>0</v>
      </c>
      <c r="V3355" s="87">
        <v>17</v>
      </c>
      <c r="W3355" s="93" t="s">
        <v>7774</v>
      </c>
      <c r="X3355" s="92" t="str">
        <f>HYPERLINK("https://tinyurl.com/2dpvnmbm")</f>
        <v>https://tinyurl.com/2dpvnmbm</v>
      </c>
      <c r="Y3355" s="87" t="s">
        <v>8388</v>
      </c>
      <c r="Z3355" s="87"/>
      <c r="AA3355" s="87" t="s">
        <v>10905</v>
      </c>
      <c r="AB3355" s="87" t="s">
        <v>11448</v>
      </c>
      <c r="AC3355" s="93" t="s">
        <v>11457</v>
      </c>
      <c r="AD3355" s="87" t="s">
        <v>11519</v>
      </c>
      <c r="AE3355" s="92" t="str">
        <f>HYPERLINK("https://twitter.com/onjornal1/status/1704928161127911472")</f>
        <v>https://twitter.com/onjornal1/status/1704928161127911472</v>
      </c>
      <c r="AF3355" s="90">
        <v>45190.776898148149</v>
      </c>
      <c r="AG3355" s="99">
        <v>45190</v>
      </c>
      <c r="AH3355" s="93" t="s">
        <v>13103</v>
      </c>
      <c r="AI3355" s="87" t="b">
        <v>0</v>
      </c>
      <c r="AJ3355" s="87"/>
      <c r="AK3355" s="87"/>
      <c r="AL3355" s="87"/>
      <c r="AM3355" s="87"/>
      <c r="AN3355" s="87"/>
      <c r="AO3355" s="87"/>
      <c r="AP3355" s="87"/>
      <c r="AQ3355" s="87" t="s">
        <v>17717</v>
      </c>
      <c r="AR3355" s="87"/>
      <c r="AS3355" s="87"/>
      <c r="AT3355" s="87"/>
      <c r="AU3355" s="87"/>
      <c r="AV3355" s="92" t="str">
        <f>HYPERLINK("https://pbs.twimg.com/media/F6keymRXgAAENmJ.jpg")</f>
        <v>https://pbs.twimg.com/media/F6keymRXgAAENmJ.jpg</v>
      </c>
      <c r="AW3355" s="93" t="s">
        <v>21485</v>
      </c>
      <c r="AX3355" s="93" t="s">
        <v>21485</v>
      </c>
      <c r="AY3355" s="87"/>
      <c r="AZ3355" s="93" t="s">
        <v>22668</v>
      </c>
      <c r="BA3355" s="93" t="s">
        <v>22668</v>
      </c>
      <c r="BB3355" s="93" t="s">
        <v>22668</v>
      </c>
      <c r="BC3355" s="93" t="s">
        <v>21485</v>
      </c>
      <c r="BD3355" s="93" t="s">
        <v>23403</v>
      </c>
      <c r="BE3355" s="87"/>
      <c r="BF3355" s="87"/>
      <c r="BG3355" s="87"/>
      <c r="BH3355" s="87"/>
      <c r="BI3355" s="87"/>
    </row>
    <row r="3356" spans="1:61" x14ac:dyDescent="0.25">
      <c r="A3356" s="63" t="s">
        <v>1279</v>
      </c>
      <c r="B3356" s="63" t="s">
        <v>1279</v>
      </c>
      <c r="C3356" s="64"/>
      <c r="D3356" s="65"/>
      <c r="E3356" s="66"/>
      <c r="F3356" s="67"/>
      <c r="G3356" s="64"/>
      <c r="H3356" s="68"/>
      <c r="I3356" s="69"/>
      <c r="J3356" s="69"/>
      <c r="K3356" s="32"/>
      <c r="L3356" s="76">
        <v>3356</v>
      </c>
      <c r="M3356" s="76"/>
      <c r="N3356" s="71"/>
      <c r="O3356" s="87" t="s">
        <v>179</v>
      </c>
      <c r="P3356" s="90">
        <v>45187.84716435185</v>
      </c>
      <c r="Q3356" s="87" t="s">
        <v>5034</v>
      </c>
      <c r="R3356" s="87">
        <v>0</v>
      </c>
      <c r="S3356" s="87">
        <v>0</v>
      </c>
      <c r="T3356" s="87">
        <v>0</v>
      </c>
      <c r="U3356" s="87">
        <v>0</v>
      </c>
      <c r="V3356" s="87">
        <v>2</v>
      </c>
      <c r="W3356" s="93" t="s">
        <v>7775</v>
      </c>
      <c r="X3356" s="87"/>
      <c r="Y3356" s="87"/>
      <c r="Z3356" s="87"/>
      <c r="AA3356" s="87" t="s">
        <v>10906</v>
      </c>
      <c r="AB3356" s="87" t="s">
        <v>11451</v>
      </c>
      <c r="AC3356" s="93" t="s">
        <v>11458</v>
      </c>
      <c r="AD3356" s="87" t="s">
        <v>11520</v>
      </c>
      <c r="AE3356" s="92" t="str">
        <f>HYPERLINK("https://twitter.com/barbara_alcan/status/1703866463218786398")</f>
        <v>https://twitter.com/barbara_alcan/status/1703866463218786398</v>
      </c>
      <c r="AF3356" s="90">
        <v>45187.84716435185</v>
      </c>
      <c r="AG3356" s="99">
        <v>45187</v>
      </c>
      <c r="AH3356" s="93" t="s">
        <v>14498</v>
      </c>
      <c r="AI3356" s="87" t="b">
        <v>0</v>
      </c>
      <c r="AJ3356" s="87"/>
      <c r="AK3356" s="87"/>
      <c r="AL3356" s="87"/>
      <c r="AM3356" s="87"/>
      <c r="AN3356" s="87"/>
      <c r="AO3356" s="87"/>
      <c r="AP3356" s="87"/>
      <c r="AQ3356" s="87" t="s">
        <v>17718</v>
      </c>
      <c r="AR3356" s="87"/>
      <c r="AS3356" s="87"/>
      <c r="AT3356" s="87"/>
      <c r="AU3356" s="87"/>
      <c r="AV3356" s="92" t="str">
        <f>HYPERLINK("https://pbs.twimg.com/media/F6VZhFobEAAyjNn.jpg")</f>
        <v>https://pbs.twimg.com/media/F6VZhFobEAAyjNn.jpg</v>
      </c>
      <c r="AW3356" s="93" t="s">
        <v>21486</v>
      </c>
      <c r="AX3356" s="93" t="s">
        <v>21486</v>
      </c>
      <c r="AY3356" s="87"/>
      <c r="AZ3356" s="93" t="s">
        <v>22668</v>
      </c>
      <c r="BA3356" s="93" t="s">
        <v>22668</v>
      </c>
      <c r="BB3356" s="93" t="s">
        <v>22668</v>
      </c>
      <c r="BC3356" s="93" t="s">
        <v>21486</v>
      </c>
      <c r="BD3356" s="93" t="s">
        <v>23404</v>
      </c>
      <c r="BE3356" s="87"/>
      <c r="BF3356" s="87"/>
      <c r="BG3356" s="87"/>
      <c r="BH3356" s="87"/>
      <c r="BI3356" s="87"/>
    </row>
    <row r="3357" spans="1:61" x14ac:dyDescent="0.25">
      <c r="A3357" s="63" t="s">
        <v>1280</v>
      </c>
      <c r="B3357" s="63" t="s">
        <v>1795</v>
      </c>
      <c r="C3357" s="64"/>
      <c r="D3357" s="65"/>
      <c r="E3357" s="66"/>
      <c r="F3357" s="67"/>
      <c r="G3357" s="64"/>
      <c r="H3357" s="68"/>
      <c r="I3357" s="69"/>
      <c r="J3357" s="69"/>
      <c r="K3357" s="32"/>
      <c r="L3357" s="76">
        <v>3357</v>
      </c>
      <c r="M3357" s="76"/>
      <c r="N3357" s="71"/>
      <c r="O3357" s="87" t="s">
        <v>1839</v>
      </c>
      <c r="P3357" s="90">
        <v>45130.933113425926</v>
      </c>
      <c r="Q3357" s="87" t="s">
        <v>5035</v>
      </c>
      <c r="R3357" s="87">
        <v>0</v>
      </c>
      <c r="S3357" s="87">
        <v>0</v>
      </c>
      <c r="T3357" s="87">
        <v>2</v>
      </c>
      <c r="U3357" s="87">
        <v>0</v>
      </c>
      <c r="V3357" s="87">
        <v>181</v>
      </c>
      <c r="W3357" s="93" t="s">
        <v>7776</v>
      </c>
      <c r="X3357" s="87"/>
      <c r="Y3357" s="87"/>
      <c r="Z3357" s="87" t="s">
        <v>8614</v>
      </c>
      <c r="AA3357" s="87" t="s">
        <v>10907</v>
      </c>
      <c r="AB3357" s="87" t="s">
        <v>11448</v>
      </c>
      <c r="AC3357" s="93" t="s">
        <v>11459</v>
      </c>
      <c r="AD3357" s="87" t="s">
        <v>11519</v>
      </c>
      <c r="AE3357" s="92" t="str">
        <f>HYPERLINK("https://twitter.com/workshopdantas/status/1683241500468019200")</f>
        <v>https://twitter.com/workshopdantas/status/1683241500468019200</v>
      </c>
      <c r="AF3357" s="90">
        <v>45130.933113425926</v>
      </c>
      <c r="AG3357" s="99">
        <v>45130</v>
      </c>
      <c r="AH3357" s="93" t="s">
        <v>14499</v>
      </c>
      <c r="AI3357" s="87" t="b">
        <v>0</v>
      </c>
      <c r="AJ3357" s="87"/>
      <c r="AK3357" s="87"/>
      <c r="AL3357" s="87"/>
      <c r="AM3357" s="87"/>
      <c r="AN3357" s="87"/>
      <c r="AO3357" s="87"/>
      <c r="AP3357" s="87"/>
      <c r="AQ3357" s="87" t="s">
        <v>17719</v>
      </c>
      <c r="AR3357" s="87"/>
      <c r="AS3357" s="87"/>
      <c r="AT3357" s="87"/>
      <c r="AU3357" s="87"/>
      <c r="AV3357" s="92" t="str">
        <f>HYPERLINK("https://pbs.twimg.com/media/F1wTODlXgAMFYga.jpg")</f>
        <v>https://pbs.twimg.com/media/F1wTODlXgAMFYga.jpg</v>
      </c>
      <c r="AW3357" s="93" t="s">
        <v>21487</v>
      </c>
      <c r="AX3357" s="93" t="s">
        <v>21487</v>
      </c>
      <c r="AY3357" s="87"/>
      <c r="AZ3357" s="93" t="s">
        <v>22668</v>
      </c>
      <c r="BA3357" s="93" t="s">
        <v>22668</v>
      </c>
      <c r="BB3357" s="93" t="s">
        <v>22668</v>
      </c>
      <c r="BC3357" s="93" t="s">
        <v>21487</v>
      </c>
      <c r="BD3357" s="93" t="s">
        <v>23405</v>
      </c>
      <c r="BE3357" s="87"/>
      <c r="BF3357" s="87"/>
      <c r="BG3357" s="87"/>
      <c r="BH3357" s="87"/>
      <c r="BI3357" s="87"/>
    </row>
    <row r="3358" spans="1:61" x14ac:dyDescent="0.25">
      <c r="A3358" s="63" t="s">
        <v>1280</v>
      </c>
      <c r="B3358" s="63" t="s">
        <v>1796</v>
      </c>
      <c r="C3358" s="64"/>
      <c r="D3358" s="65"/>
      <c r="E3358" s="66"/>
      <c r="F3358" s="67"/>
      <c r="G3358" s="64"/>
      <c r="H3358" s="68"/>
      <c r="I3358" s="69"/>
      <c r="J3358" s="69"/>
      <c r="K3358" s="32"/>
      <c r="L3358" s="76">
        <v>3358</v>
      </c>
      <c r="M3358" s="76"/>
      <c r="N3358" s="71"/>
      <c r="O3358" s="87" t="s">
        <v>1839</v>
      </c>
      <c r="P3358" s="90">
        <v>45135.456828703704</v>
      </c>
      <c r="Q3358" s="87" t="s">
        <v>5036</v>
      </c>
      <c r="R3358" s="87">
        <v>0</v>
      </c>
      <c r="S3358" s="87">
        <v>0</v>
      </c>
      <c r="T3358" s="87">
        <v>0</v>
      </c>
      <c r="U3358" s="87">
        <v>0</v>
      </c>
      <c r="V3358" s="87">
        <v>52</v>
      </c>
      <c r="W3358" s="93" t="s">
        <v>7777</v>
      </c>
      <c r="X3358" s="87"/>
      <c r="Y3358" s="87"/>
      <c r="Z3358" s="87" t="s">
        <v>8615</v>
      </c>
      <c r="AA3358" s="87" t="s">
        <v>10908</v>
      </c>
      <c r="AB3358" s="87" t="s">
        <v>11448</v>
      </c>
      <c r="AC3358" s="93" t="s">
        <v>11459</v>
      </c>
      <c r="AD3358" s="87" t="s">
        <v>11519</v>
      </c>
      <c r="AE3358" s="92" t="str">
        <f>HYPERLINK("https://twitter.com/workshopdantas/status/1684880840432721920")</f>
        <v>https://twitter.com/workshopdantas/status/1684880840432721920</v>
      </c>
      <c r="AF3358" s="90">
        <v>45135.456828703704</v>
      </c>
      <c r="AG3358" s="99">
        <v>45135</v>
      </c>
      <c r="AH3358" s="93" t="s">
        <v>13627</v>
      </c>
      <c r="AI3358" s="87" t="b">
        <v>0</v>
      </c>
      <c r="AJ3358" s="87"/>
      <c r="AK3358" s="87"/>
      <c r="AL3358" s="87"/>
      <c r="AM3358" s="87"/>
      <c r="AN3358" s="87"/>
      <c r="AO3358" s="87"/>
      <c r="AP3358" s="87"/>
      <c r="AQ3358" s="87" t="s">
        <v>17720</v>
      </c>
      <c r="AR3358" s="87"/>
      <c r="AS3358" s="87"/>
      <c r="AT3358" s="87"/>
      <c r="AU3358" s="87"/>
      <c r="AV3358" s="92" t="str">
        <f>HYPERLINK("https://pbs.twimg.com/media/F2HmMekbcAAuTpe.jpg")</f>
        <v>https://pbs.twimg.com/media/F2HmMekbcAAuTpe.jpg</v>
      </c>
      <c r="AW3358" s="93" t="s">
        <v>21488</v>
      </c>
      <c r="AX3358" s="93" t="s">
        <v>21488</v>
      </c>
      <c r="AY3358" s="87"/>
      <c r="AZ3358" s="93" t="s">
        <v>22668</v>
      </c>
      <c r="BA3358" s="93" t="s">
        <v>22668</v>
      </c>
      <c r="BB3358" s="93" t="s">
        <v>22668</v>
      </c>
      <c r="BC3358" s="93" t="s">
        <v>21488</v>
      </c>
      <c r="BD3358" s="93" t="s">
        <v>23405</v>
      </c>
      <c r="BE3358" s="87"/>
      <c r="BF3358" s="87"/>
      <c r="BG3358" s="87"/>
      <c r="BH3358" s="87"/>
      <c r="BI3358" s="87"/>
    </row>
    <row r="3359" spans="1:61" x14ac:dyDescent="0.25">
      <c r="A3359" s="63" t="s">
        <v>1280</v>
      </c>
      <c r="B3359" s="63" t="s">
        <v>1797</v>
      </c>
      <c r="C3359" s="64"/>
      <c r="D3359" s="65"/>
      <c r="E3359" s="66"/>
      <c r="F3359" s="67"/>
      <c r="G3359" s="64"/>
      <c r="H3359" s="68"/>
      <c r="I3359" s="69"/>
      <c r="J3359" s="69"/>
      <c r="K3359" s="32"/>
      <c r="L3359" s="76">
        <v>3359</v>
      </c>
      <c r="M3359" s="76"/>
      <c r="N3359" s="71"/>
      <c r="O3359" s="87" t="s">
        <v>1839</v>
      </c>
      <c r="P3359" s="90">
        <v>45119.478668981479</v>
      </c>
      <c r="Q3359" s="87" t="s">
        <v>5037</v>
      </c>
      <c r="R3359" s="87">
        <v>0</v>
      </c>
      <c r="S3359" s="87">
        <v>2</v>
      </c>
      <c r="T3359" s="87">
        <v>1</v>
      </c>
      <c r="U3359" s="87">
        <v>0</v>
      </c>
      <c r="V3359" s="87">
        <v>47</v>
      </c>
      <c r="W3359" s="93" t="s">
        <v>7777</v>
      </c>
      <c r="X3359" s="87"/>
      <c r="Y3359" s="87"/>
      <c r="Z3359" s="87" t="s">
        <v>8616</v>
      </c>
      <c r="AA3359" s="87" t="s">
        <v>10909</v>
      </c>
      <c r="AB3359" s="87" t="s">
        <v>11448</v>
      </c>
      <c r="AC3359" s="93" t="s">
        <v>11459</v>
      </c>
      <c r="AD3359" s="87" t="s">
        <v>11519</v>
      </c>
      <c r="AE3359" s="92" t="str">
        <f>HYPERLINK("https://twitter.com/workshopdantas/status/1679090549804900352")</f>
        <v>https://twitter.com/workshopdantas/status/1679090549804900352</v>
      </c>
      <c r="AF3359" s="90">
        <v>45119.478668981479</v>
      </c>
      <c r="AG3359" s="99">
        <v>45119</v>
      </c>
      <c r="AH3359" s="93" t="s">
        <v>14500</v>
      </c>
      <c r="AI3359" s="87" t="b">
        <v>0</v>
      </c>
      <c r="AJ3359" s="87"/>
      <c r="AK3359" s="87"/>
      <c r="AL3359" s="87"/>
      <c r="AM3359" s="87"/>
      <c r="AN3359" s="87"/>
      <c r="AO3359" s="87"/>
      <c r="AP3359" s="87"/>
      <c r="AQ3359" s="87" t="s">
        <v>17721</v>
      </c>
      <c r="AR3359" s="87"/>
      <c r="AS3359" s="87"/>
      <c r="AT3359" s="87"/>
      <c r="AU3359" s="87"/>
      <c r="AV3359" s="92" t="str">
        <f>HYPERLINK("https://pbs.twimg.com/media/F01T9MnWYAAqxnf.jpg")</f>
        <v>https://pbs.twimg.com/media/F01T9MnWYAAqxnf.jpg</v>
      </c>
      <c r="AW3359" s="93" t="s">
        <v>21489</v>
      </c>
      <c r="AX3359" s="93" t="s">
        <v>21489</v>
      </c>
      <c r="AY3359" s="87"/>
      <c r="AZ3359" s="93" t="s">
        <v>22668</v>
      </c>
      <c r="BA3359" s="93" t="s">
        <v>22668</v>
      </c>
      <c r="BB3359" s="93" t="s">
        <v>22668</v>
      </c>
      <c r="BC3359" s="93" t="s">
        <v>21489</v>
      </c>
      <c r="BD3359" s="93" t="s">
        <v>23405</v>
      </c>
      <c r="BE3359" s="87"/>
      <c r="BF3359" s="87"/>
      <c r="BG3359" s="87"/>
      <c r="BH3359" s="87"/>
      <c r="BI3359" s="87"/>
    </row>
    <row r="3360" spans="1:61" x14ac:dyDescent="0.25">
      <c r="A3360" s="63" t="s">
        <v>1280</v>
      </c>
      <c r="B3360" s="63" t="s">
        <v>1280</v>
      </c>
      <c r="C3360" s="64"/>
      <c r="D3360" s="65"/>
      <c r="E3360" s="66"/>
      <c r="F3360" s="67"/>
      <c r="G3360" s="64"/>
      <c r="H3360" s="68"/>
      <c r="I3360" s="69"/>
      <c r="J3360" s="69"/>
      <c r="K3360" s="32"/>
      <c r="L3360" s="76">
        <v>3360</v>
      </c>
      <c r="M3360" s="76"/>
      <c r="N3360" s="71"/>
      <c r="O3360" s="87" t="s">
        <v>1839</v>
      </c>
      <c r="P3360" s="90">
        <v>45149.447430555556</v>
      </c>
      <c r="Q3360" s="87" t="s">
        <v>5038</v>
      </c>
      <c r="R3360" s="87">
        <v>0</v>
      </c>
      <c r="S3360" s="87">
        <v>0</v>
      </c>
      <c r="T3360" s="87">
        <v>0</v>
      </c>
      <c r="U3360" s="87">
        <v>0</v>
      </c>
      <c r="V3360" s="87">
        <v>48</v>
      </c>
      <c r="W3360" s="93" t="s">
        <v>7777</v>
      </c>
      <c r="X3360" s="87"/>
      <c r="Y3360" s="87"/>
      <c r="Z3360" s="87" t="s">
        <v>1280</v>
      </c>
      <c r="AA3360" s="87" t="s">
        <v>10910</v>
      </c>
      <c r="AB3360" s="87" t="s">
        <v>11448</v>
      </c>
      <c r="AC3360" s="93" t="s">
        <v>11459</v>
      </c>
      <c r="AD3360" s="87" t="s">
        <v>11519</v>
      </c>
      <c r="AE3360" s="92" t="str">
        <f>HYPERLINK("https://twitter.com/workshopdantas/status/1689950864725692416")</f>
        <v>https://twitter.com/workshopdantas/status/1689950864725692416</v>
      </c>
      <c r="AF3360" s="90">
        <v>45149.447430555556</v>
      </c>
      <c r="AG3360" s="99">
        <v>45149</v>
      </c>
      <c r="AH3360" s="93" t="s">
        <v>14501</v>
      </c>
      <c r="AI3360" s="87" t="b">
        <v>0</v>
      </c>
      <c r="AJ3360" s="87"/>
      <c r="AK3360" s="87"/>
      <c r="AL3360" s="87"/>
      <c r="AM3360" s="87"/>
      <c r="AN3360" s="87"/>
      <c r="AO3360" s="87"/>
      <c r="AP3360" s="87"/>
      <c r="AQ3360" s="87" t="s">
        <v>17722</v>
      </c>
      <c r="AR3360" s="87"/>
      <c r="AS3360" s="87"/>
      <c r="AT3360" s="87"/>
      <c r="AU3360" s="87"/>
      <c r="AV3360" s="92" t="str">
        <f>HYPERLINK("https://pbs.twimg.com/media/F3PpWvdW4AAeNNE.jpg")</f>
        <v>https://pbs.twimg.com/media/F3PpWvdW4AAeNNE.jpg</v>
      </c>
      <c r="AW3360" s="93" t="s">
        <v>21490</v>
      </c>
      <c r="AX3360" s="93" t="s">
        <v>21490</v>
      </c>
      <c r="AY3360" s="87"/>
      <c r="AZ3360" s="93" t="s">
        <v>22668</v>
      </c>
      <c r="BA3360" s="93" t="s">
        <v>22668</v>
      </c>
      <c r="BB3360" s="93" t="s">
        <v>22668</v>
      </c>
      <c r="BC3360" s="93" t="s">
        <v>21490</v>
      </c>
      <c r="BD3360" s="93" t="s">
        <v>23405</v>
      </c>
      <c r="BE3360" s="87"/>
      <c r="BF3360" s="87"/>
      <c r="BG3360" s="87"/>
      <c r="BH3360" s="87"/>
      <c r="BI3360" s="87"/>
    </row>
    <row r="3361" spans="1:61" x14ac:dyDescent="0.25">
      <c r="A3361" s="63" t="s">
        <v>1280</v>
      </c>
      <c r="B3361" s="63" t="s">
        <v>1280</v>
      </c>
      <c r="C3361" s="64"/>
      <c r="D3361" s="65"/>
      <c r="E3361" s="66"/>
      <c r="F3361" s="67"/>
      <c r="G3361" s="64"/>
      <c r="H3361" s="68"/>
      <c r="I3361" s="69"/>
      <c r="J3361" s="69"/>
      <c r="K3361" s="32"/>
      <c r="L3361" s="76">
        <v>3361</v>
      </c>
      <c r="M3361" s="76"/>
      <c r="N3361" s="71"/>
      <c r="O3361" s="87" t="s">
        <v>1839</v>
      </c>
      <c r="P3361" s="90">
        <v>45137.432233796295</v>
      </c>
      <c r="Q3361" s="87" t="s">
        <v>5039</v>
      </c>
      <c r="R3361" s="87">
        <v>0</v>
      </c>
      <c r="S3361" s="87">
        <v>0</v>
      </c>
      <c r="T3361" s="87">
        <v>0</v>
      </c>
      <c r="U3361" s="87">
        <v>0</v>
      </c>
      <c r="V3361" s="87">
        <v>50</v>
      </c>
      <c r="W3361" s="93" t="s">
        <v>7778</v>
      </c>
      <c r="X3361" s="87"/>
      <c r="Y3361" s="87"/>
      <c r="Z3361" s="87" t="s">
        <v>1280</v>
      </c>
      <c r="AA3361" s="87" t="s">
        <v>10911</v>
      </c>
      <c r="AB3361" s="87" t="s">
        <v>11448</v>
      </c>
      <c r="AC3361" s="93" t="s">
        <v>11459</v>
      </c>
      <c r="AD3361" s="87" t="s">
        <v>11519</v>
      </c>
      <c r="AE3361" s="92" t="str">
        <f>HYPERLINK("https://twitter.com/workshopdantas/status/1685596701896105985")</f>
        <v>https://twitter.com/workshopdantas/status/1685596701896105985</v>
      </c>
      <c r="AF3361" s="90">
        <v>45137.432233796295</v>
      </c>
      <c r="AG3361" s="99">
        <v>45137</v>
      </c>
      <c r="AH3361" s="93" t="s">
        <v>14502</v>
      </c>
      <c r="AI3361" s="87" t="b">
        <v>0</v>
      </c>
      <c r="AJ3361" s="87"/>
      <c r="AK3361" s="87"/>
      <c r="AL3361" s="87"/>
      <c r="AM3361" s="87"/>
      <c r="AN3361" s="87"/>
      <c r="AO3361" s="87"/>
      <c r="AP3361" s="87"/>
      <c r="AQ3361" s="87" t="s">
        <v>17723</v>
      </c>
      <c r="AR3361" s="87"/>
      <c r="AS3361" s="87"/>
      <c r="AT3361" s="87"/>
      <c r="AU3361" s="87"/>
      <c r="AV3361" s="92" t="str">
        <f>HYPERLINK("https://pbs.twimg.com/media/F2RxRFJXEAAV5Yx.jpg")</f>
        <v>https://pbs.twimg.com/media/F2RxRFJXEAAV5Yx.jpg</v>
      </c>
      <c r="AW3361" s="93" t="s">
        <v>21491</v>
      </c>
      <c r="AX3361" s="93" t="s">
        <v>21491</v>
      </c>
      <c r="AY3361" s="87"/>
      <c r="AZ3361" s="93" t="s">
        <v>22668</v>
      </c>
      <c r="BA3361" s="93" t="s">
        <v>22668</v>
      </c>
      <c r="BB3361" s="93" t="s">
        <v>22668</v>
      </c>
      <c r="BC3361" s="93" t="s">
        <v>21491</v>
      </c>
      <c r="BD3361" s="93" t="s">
        <v>23405</v>
      </c>
      <c r="BE3361" s="87"/>
      <c r="BF3361" s="87"/>
      <c r="BG3361" s="87"/>
      <c r="BH3361" s="87"/>
      <c r="BI3361" s="87"/>
    </row>
    <row r="3362" spans="1:61" x14ac:dyDescent="0.25">
      <c r="A3362" s="63" t="s">
        <v>1280</v>
      </c>
      <c r="B3362" s="63" t="s">
        <v>1280</v>
      </c>
      <c r="C3362" s="64"/>
      <c r="D3362" s="65"/>
      <c r="E3362" s="66"/>
      <c r="F3362" s="67"/>
      <c r="G3362" s="64"/>
      <c r="H3362" s="68"/>
      <c r="I3362" s="69"/>
      <c r="J3362" s="69"/>
      <c r="K3362" s="32"/>
      <c r="L3362" s="76">
        <v>3362</v>
      </c>
      <c r="M3362" s="76"/>
      <c r="N3362" s="71"/>
      <c r="O3362" s="87" t="s">
        <v>1839</v>
      </c>
      <c r="P3362" s="90">
        <v>45136.471944444442</v>
      </c>
      <c r="Q3362" s="87" t="s">
        <v>5040</v>
      </c>
      <c r="R3362" s="87">
        <v>0</v>
      </c>
      <c r="S3362" s="87">
        <v>0</v>
      </c>
      <c r="T3362" s="87">
        <v>1</v>
      </c>
      <c r="U3362" s="87">
        <v>0</v>
      </c>
      <c r="V3362" s="87">
        <v>81</v>
      </c>
      <c r="W3362" s="93" t="s">
        <v>7779</v>
      </c>
      <c r="X3362" s="87"/>
      <c r="Y3362" s="87"/>
      <c r="Z3362" s="87" t="s">
        <v>1280</v>
      </c>
      <c r="AA3362" s="87" t="s">
        <v>10912</v>
      </c>
      <c r="AB3362" s="87" t="s">
        <v>11448</v>
      </c>
      <c r="AC3362" s="93" t="s">
        <v>11459</v>
      </c>
      <c r="AD3362" s="87" t="s">
        <v>11519</v>
      </c>
      <c r="AE3362" s="92" t="str">
        <f>HYPERLINK("https://twitter.com/workshopdantas/status/1685248705039904769")</f>
        <v>https://twitter.com/workshopdantas/status/1685248705039904769</v>
      </c>
      <c r="AF3362" s="90">
        <v>45136.471944444442</v>
      </c>
      <c r="AG3362" s="99">
        <v>45136</v>
      </c>
      <c r="AH3362" s="93" t="s">
        <v>14503</v>
      </c>
      <c r="AI3362" s="87" t="b">
        <v>0</v>
      </c>
      <c r="AJ3362" s="87"/>
      <c r="AK3362" s="87"/>
      <c r="AL3362" s="87"/>
      <c r="AM3362" s="87"/>
      <c r="AN3362" s="87"/>
      <c r="AO3362" s="87"/>
      <c r="AP3362" s="87"/>
      <c r="AQ3362" s="87" t="s">
        <v>17724</v>
      </c>
      <c r="AR3362" s="87"/>
      <c r="AS3362" s="87"/>
      <c r="AT3362" s="87"/>
      <c r="AU3362" s="87"/>
      <c r="AV3362" s="92" t="str">
        <f>HYPERLINK("https://pbs.twimg.com/media/F2M0xBNW4AAMNrh.jpg")</f>
        <v>https://pbs.twimg.com/media/F2M0xBNW4AAMNrh.jpg</v>
      </c>
      <c r="AW3362" s="93" t="s">
        <v>21492</v>
      </c>
      <c r="AX3362" s="93" t="s">
        <v>21492</v>
      </c>
      <c r="AY3362" s="87"/>
      <c r="AZ3362" s="93" t="s">
        <v>22668</v>
      </c>
      <c r="BA3362" s="93" t="s">
        <v>22668</v>
      </c>
      <c r="BB3362" s="93" t="s">
        <v>22668</v>
      </c>
      <c r="BC3362" s="93" t="s">
        <v>21492</v>
      </c>
      <c r="BD3362" s="93" t="s">
        <v>23405</v>
      </c>
      <c r="BE3362" s="87"/>
      <c r="BF3362" s="87"/>
      <c r="BG3362" s="87"/>
      <c r="BH3362" s="87"/>
      <c r="BI3362" s="87"/>
    </row>
    <row r="3363" spans="1:61" x14ac:dyDescent="0.25">
      <c r="A3363" s="63" t="s">
        <v>1280</v>
      </c>
      <c r="B3363" s="63" t="s">
        <v>1280</v>
      </c>
      <c r="C3363" s="64"/>
      <c r="D3363" s="65"/>
      <c r="E3363" s="66"/>
      <c r="F3363" s="67"/>
      <c r="G3363" s="64"/>
      <c r="H3363" s="68"/>
      <c r="I3363" s="69"/>
      <c r="J3363" s="69"/>
      <c r="K3363" s="32"/>
      <c r="L3363" s="76">
        <v>3363</v>
      </c>
      <c r="M3363" s="76"/>
      <c r="N3363" s="71"/>
      <c r="O3363" s="87" t="s">
        <v>1839</v>
      </c>
      <c r="P3363" s="90">
        <v>45136.110717592594</v>
      </c>
      <c r="Q3363" s="87" t="s">
        <v>5041</v>
      </c>
      <c r="R3363" s="87">
        <v>0</v>
      </c>
      <c r="S3363" s="87">
        <v>0</v>
      </c>
      <c r="T3363" s="87">
        <v>0</v>
      </c>
      <c r="U3363" s="87">
        <v>0</v>
      </c>
      <c r="V3363" s="87">
        <v>60</v>
      </c>
      <c r="W3363" s="93" t="s">
        <v>7780</v>
      </c>
      <c r="X3363" s="87"/>
      <c r="Y3363" s="87"/>
      <c r="Z3363" s="87" t="s">
        <v>1280</v>
      </c>
      <c r="AA3363" s="87" t="s">
        <v>10913</v>
      </c>
      <c r="AB3363" s="87" t="s">
        <v>11447</v>
      </c>
      <c r="AC3363" s="93" t="s">
        <v>11459</v>
      </c>
      <c r="AD3363" s="87" t="s">
        <v>11519</v>
      </c>
      <c r="AE3363" s="92" t="str">
        <f>HYPERLINK("https://twitter.com/workshopdantas/status/1685117801311162369")</f>
        <v>https://twitter.com/workshopdantas/status/1685117801311162369</v>
      </c>
      <c r="AF3363" s="90">
        <v>45136.110717592594</v>
      </c>
      <c r="AG3363" s="99">
        <v>45136</v>
      </c>
      <c r="AH3363" s="93" t="s">
        <v>14504</v>
      </c>
      <c r="AI3363" s="87" t="b">
        <v>0</v>
      </c>
      <c r="AJ3363" s="87"/>
      <c r="AK3363" s="87"/>
      <c r="AL3363" s="87"/>
      <c r="AM3363" s="87"/>
      <c r="AN3363" s="87"/>
      <c r="AO3363" s="87"/>
      <c r="AP3363" s="87"/>
      <c r="AQ3363" s="87" t="s">
        <v>17725</v>
      </c>
      <c r="AR3363" s="87">
        <v>25912</v>
      </c>
      <c r="AS3363" s="87"/>
      <c r="AT3363" s="87"/>
      <c r="AU3363" s="87"/>
      <c r="AV3363" s="92" t="str">
        <f>HYPERLINK("https://pbs.twimg.com/ext_tw_video_thumb/1685117722953179136/pu/img/XBpb-CvjoiirR5pg.jpg")</f>
        <v>https://pbs.twimg.com/ext_tw_video_thumb/1685117722953179136/pu/img/XBpb-CvjoiirR5pg.jpg</v>
      </c>
      <c r="AW3363" s="93" t="s">
        <v>21493</v>
      </c>
      <c r="AX3363" s="93" t="s">
        <v>21493</v>
      </c>
      <c r="AY3363" s="87"/>
      <c r="AZ3363" s="93" t="s">
        <v>22668</v>
      </c>
      <c r="BA3363" s="93" t="s">
        <v>22668</v>
      </c>
      <c r="BB3363" s="93" t="s">
        <v>22668</v>
      </c>
      <c r="BC3363" s="93" t="s">
        <v>21493</v>
      </c>
      <c r="BD3363" s="93" t="s">
        <v>23405</v>
      </c>
      <c r="BE3363" s="87"/>
      <c r="BF3363" s="87"/>
      <c r="BG3363" s="87"/>
      <c r="BH3363" s="87"/>
      <c r="BI3363" s="87"/>
    </row>
    <row r="3364" spans="1:61" x14ac:dyDescent="0.25">
      <c r="A3364" s="63" t="s">
        <v>1280</v>
      </c>
      <c r="B3364" s="63" t="s">
        <v>1280</v>
      </c>
      <c r="C3364" s="64"/>
      <c r="D3364" s="65"/>
      <c r="E3364" s="66"/>
      <c r="F3364" s="67"/>
      <c r="G3364" s="64"/>
      <c r="H3364" s="68"/>
      <c r="I3364" s="69"/>
      <c r="J3364" s="69"/>
      <c r="K3364" s="32"/>
      <c r="L3364" s="76">
        <v>3364</v>
      </c>
      <c r="M3364" s="76"/>
      <c r="N3364" s="71"/>
      <c r="O3364" s="87" t="s">
        <v>1839</v>
      </c>
      <c r="P3364" s="90">
        <v>45121.408101851855</v>
      </c>
      <c r="Q3364" s="87" t="s">
        <v>5042</v>
      </c>
      <c r="R3364" s="87">
        <v>1</v>
      </c>
      <c r="S3364" s="87">
        <v>3</v>
      </c>
      <c r="T3364" s="87">
        <v>1</v>
      </c>
      <c r="U3364" s="87">
        <v>1</v>
      </c>
      <c r="V3364" s="87">
        <v>289</v>
      </c>
      <c r="W3364" s="93" t="s">
        <v>7781</v>
      </c>
      <c r="X3364" s="87"/>
      <c r="Y3364" s="87"/>
      <c r="Z3364" s="87" t="s">
        <v>1280</v>
      </c>
      <c r="AA3364" s="87" t="s">
        <v>10914</v>
      </c>
      <c r="AB3364" s="87" t="s">
        <v>11448</v>
      </c>
      <c r="AC3364" s="93" t="s">
        <v>11459</v>
      </c>
      <c r="AD3364" s="87" t="s">
        <v>11519</v>
      </c>
      <c r="AE3364" s="92" t="str">
        <f>HYPERLINK("https://twitter.com/workshopdantas/status/1679789753762193410")</f>
        <v>https://twitter.com/workshopdantas/status/1679789753762193410</v>
      </c>
      <c r="AF3364" s="90">
        <v>45121.408101851855</v>
      </c>
      <c r="AG3364" s="99">
        <v>45121</v>
      </c>
      <c r="AH3364" s="93" t="s">
        <v>14505</v>
      </c>
      <c r="AI3364" s="87" t="b">
        <v>0</v>
      </c>
      <c r="AJ3364" s="87"/>
      <c r="AK3364" s="87"/>
      <c r="AL3364" s="87"/>
      <c r="AM3364" s="87"/>
      <c r="AN3364" s="87"/>
      <c r="AO3364" s="87"/>
      <c r="AP3364" s="87"/>
      <c r="AQ3364" s="87" t="s">
        <v>17726</v>
      </c>
      <c r="AR3364" s="87"/>
      <c r="AS3364" s="87"/>
      <c r="AT3364" s="87"/>
      <c r="AU3364" s="87"/>
      <c r="AV3364" s="92" t="str">
        <f>HYPERLINK("https://pbs.twimg.com/media/F0_P4OVXsAQbkoE.jpg")</f>
        <v>https://pbs.twimg.com/media/F0_P4OVXsAQbkoE.jpg</v>
      </c>
      <c r="AW3364" s="93" t="s">
        <v>21494</v>
      </c>
      <c r="AX3364" s="93" t="s">
        <v>21494</v>
      </c>
      <c r="AY3364" s="87"/>
      <c r="AZ3364" s="93" t="s">
        <v>22668</v>
      </c>
      <c r="BA3364" s="93" t="s">
        <v>22668</v>
      </c>
      <c r="BB3364" s="93" t="s">
        <v>22668</v>
      </c>
      <c r="BC3364" s="93" t="s">
        <v>21494</v>
      </c>
      <c r="BD3364" s="93" t="s">
        <v>23405</v>
      </c>
      <c r="BE3364" s="87"/>
      <c r="BF3364" s="87"/>
      <c r="BG3364" s="87"/>
      <c r="BH3364" s="87"/>
      <c r="BI3364" s="87"/>
    </row>
    <row r="3365" spans="1:61" x14ac:dyDescent="0.25">
      <c r="A3365" s="63" t="s">
        <v>1280</v>
      </c>
      <c r="B3365" s="63" t="s">
        <v>1280</v>
      </c>
      <c r="C3365" s="64"/>
      <c r="D3365" s="65"/>
      <c r="E3365" s="66"/>
      <c r="F3365" s="67"/>
      <c r="G3365" s="64"/>
      <c r="H3365" s="68"/>
      <c r="I3365" s="69"/>
      <c r="J3365" s="69"/>
      <c r="K3365" s="32"/>
      <c r="L3365" s="76">
        <v>3365</v>
      </c>
      <c r="M3365" s="76"/>
      <c r="N3365" s="71"/>
      <c r="O3365" s="87" t="s">
        <v>1839</v>
      </c>
      <c r="P3365" s="90">
        <v>45120.403506944444</v>
      </c>
      <c r="Q3365" s="87" t="s">
        <v>5043</v>
      </c>
      <c r="R3365" s="87">
        <v>0</v>
      </c>
      <c r="S3365" s="87">
        <v>0</v>
      </c>
      <c r="T3365" s="87">
        <v>0</v>
      </c>
      <c r="U3365" s="87">
        <v>0</v>
      </c>
      <c r="V3365" s="87">
        <v>47</v>
      </c>
      <c r="W3365" s="93" t="s">
        <v>7782</v>
      </c>
      <c r="X3365" s="87"/>
      <c r="Y3365" s="87"/>
      <c r="Z3365" s="87" t="s">
        <v>1280</v>
      </c>
      <c r="AA3365" s="87" t="s">
        <v>10915</v>
      </c>
      <c r="AB3365" s="87" t="s">
        <v>11448</v>
      </c>
      <c r="AC3365" s="93" t="s">
        <v>11459</v>
      </c>
      <c r="AD3365" s="87" t="s">
        <v>11519</v>
      </c>
      <c r="AE3365" s="92" t="str">
        <f>HYPERLINK("https://twitter.com/workshopdantas/status/1679425699512287236")</f>
        <v>https://twitter.com/workshopdantas/status/1679425699512287236</v>
      </c>
      <c r="AF3365" s="90">
        <v>45120.403506944444</v>
      </c>
      <c r="AG3365" s="99">
        <v>45120</v>
      </c>
      <c r="AH3365" s="93" t="s">
        <v>14506</v>
      </c>
      <c r="AI3365" s="87" t="b">
        <v>0</v>
      </c>
      <c r="AJ3365" s="87"/>
      <c r="AK3365" s="87"/>
      <c r="AL3365" s="87"/>
      <c r="AM3365" s="87"/>
      <c r="AN3365" s="87"/>
      <c r="AO3365" s="87"/>
      <c r="AP3365" s="87"/>
      <c r="AQ3365" s="87" t="s">
        <v>17727</v>
      </c>
      <c r="AR3365" s="87"/>
      <c r="AS3365" s="87"/>
      <c r="AT3365" s="87"/>
      <c r="AU3365" s="87"/>
      <c r="AV3365" s="92" t="str">
        <f>HYPERLINK("https://pbs.twimg.com/media/F06ExcgX0AAz6sS.jpg")</f>
        <v>https://pbs.twimg.com/media/F06ExcgX0AAz6sS.jpg</v>
      </c>
      <c r="AW3365" s="93" t="s">
        <v>21495</v>
      </c>
      <c r="AX3365" s="93" t="s">
        <v>21495</v>
      </c>
      <c r="AY3365" s="87"/>
      <c r="AZ3365" s="93" t="s">
        <v>22668</v>
      </c>
      <c r="BA3365" s="93" t="s">
        <v>22668</v>
      </c>
      <c r="BB3365" s="93" t="s">
        <v>22668</v>
      </c>
      <c r="BC3365" s="93" t="s">
        <v>21495</v>
      </c>
      <c r="BD3365" s="93" t="s">
        <v>23405</v>
      </c>
      <c r="BE3365" s="87"/>
      <c r="BF3365" s="87"/>
      <c r="BG3365" s="87"/>
      <c r="BH3365" s="87"/>
      <c r="BI3365" s="87"/>
    </row>
    <row r="3366" spans="1:61" x14ac:dyDescent="0.25">
      <c r="A3366" s="63" t="s">
        <v>1280</v>
      </c>
      <c r="B3366" s="63" t="s">
        <v>1280</v>
      </c>
      <c r="C3366" s="64"/>
      <c r="D3366" s="65"/>
      <c r="E3366" s="66"/>
      <c r="F3366" s="67"/>
      <c r="G3366" s="64"/>
      <c r="H3366" s="68"/>
      <c r="I3366" s="69"/>
      <c r="J3366" s="69"/>
      <c r="K3366" s="32"/>
      <c r="L3366" s="76">
        <v>3366</v>
      </c>
      <c r="M3366" s="76"/>
      <c r="N3366" s="71"/>
      <c r="O3366" s="87" t="s">
        <v>1839</v>
      </c>
      <c r="P3366" s="90">
        <v>45120.012754629628</v>
      </c>
      <c r="Q3366" s="87" t="s">
        <v>5044</v>
      </c>
      <c r="R3366" s="87">
        <v>0</v>
      </c>
      <c r="S3366" s="87">
        <v>0</v>
      </c>
      <c r="T3366" s="87">
        <v>1</v>
      </c>
      <c r="U3366" s="87">
        <v>0</v>
      </c>
      <c r="V3366" s="87">
        <v>45</v>
      </c>
      <c r="W3366" s="93" t="s">
        <v>7777</v>
      </c>
      <c r="X3366" s="87"/>
      <c r="Y3366" s="87"/>
      <c r="Z3366" s="87" t="s">
        <v>1280</v>
      </c>
      <c r="AA3366" s="87" t="s">
        <v>10916</v>
      </c>
      <c r="AB3366" s="87" t="s">
        <v>11448</v>
      </c>
      <c r="AC3366" s="93" t="s">
        <v>11459</v>
      </c>
      <c r="AD3366" s="87" t="s">
        <v>11519</v>
      </c>
      <c r="AE3366" s="92" t="str">
        <f>HYPERLINK("https://twitter.com/workshopdantas/status/1679284094331416579")</f>
        <v>https://twitter.com/workshopdantas/status/1679284094331416579</v>
      </c>
      <c r="AF3366" s="90">
        <v>45120.012754629628</v>
      </c>
      <c r="AG3366" s="99">
        <v>45120</v>
      </c>
      <c r="AH3366" s="93" t="s">
        <v>14507</v>
      </c>
      <c r="AI3366" s="87" t="b">
        <v>0</v>
      </c>
      <c r="AJ3366" s="87"/>
      <c r="AK3366" s="87"/>
      <c r="AL3366" s="87"/>
      <c r="AM3366" s="87"/>
      <c r="AN3366" s="87"/>
      <c r="AO3366" s="87"/>
      <c r="AP3366" s="87"/>
      <c r="AQ3366" s="87" t="s">
        <v>17728</v>
      </c>
      <c r="AR3366" s="87"/>
      <c r="AS3366" s="87"/>
      <c r="AT3366" s="87"/>
      <c r="AU3366" s="87"/>
      <c r="AV3366" s="92" t="str">
        <f>HYPERLINK("https://pbs.twimg.com/media/F04D-mEX0AEh8IS.jpg")</f>
        <v>https://pbs.twimg.com/media/F04D-mEX0AEh8IS.jpg</v>
      </c>
      <c r="AW3366" s="93" t="s">
        <v>21496</v>
      </c>
      <c r="AX3366" s="93" t="s">
        <v>21496</v>
      </c>
      <c r="AY3366" s="87"/>
      <c r="AZ3366" s="93" t="s">
        <v>22668</v>
      </c>
      <c r="BA3366" s="93" t="s">
        <v>22668</v>
      </c>
      <c r="BB3366" s="93" t="s">
        <v>22668</v>
      </c>
      <c r="BC3366" s="93" t="s">
        <v>21496</v>
      </c>
      <c r="BD3366" s="93" t="s">
        <v>23405</v>
      </c>
      <c r="BE3366" s="87"/>
      <c r="BF3366" s="87"/>
      <c r="BG3366" s="87"/>
      <c r="BH3366" s="87"/>
      <c r="BI3366" s="87"/>
    </row>
    <row r="3367" spans="1:61" x14ac:dyDescent="0.25">
      <c r="A3367" s="63" t="s">
        <v>1280</v>
      </c>
      <c r="B3367" s="63" t="s">
        <v>1280</v>
      </c>
      <c r="C3367" s="64"/>
      <c r="D3367" s="65"/>
      <c r="E3367" s="66"/>
      <c r="F3367" s="67"/>
      <c r="G3367" s="64"/>
      <c r="H3367" s="68"/>
      <c r="I3367" s="69"/>
      <c r="J3367" s="69"/>
      <c r="K3367" s="32"/>
      <c r="L3367" s="76">
        <v>3367</v>
      </c>
      <c r="M3367" s="76"/>
      <c r="N3367" s="71"/>
      <c r="O3367" s="87" t="s">
        <v>1839</v>
      </c>
      <c r="P3367" s="90">
        <v>45153.883263888885</v>
      </c>
      <c r="Q3367" s="87" t="s">
        <v>5045</v>
      </c>
      <c r="R3367" s="87">
        <v>0</v>
      </c>
      <c r="S3367" s="87">
        <v>0</v>
      </c>
      <c r="T3367" s="87">
        <v>1</v>
      </c>
      <c r="U3367" s="87">
        <v>0</v>
      </c>
      <c r="V3367" s="87">
        <v>72</v>
      </c>
      <c r="W3367" s="93" t="s">
        <v>7783</v>
      </c>
      <c r="X3367" s="87"/>
      <c r="Y3367" s="87"/>
      <c r="Z3367" s="87" t="s">
        <v>1280</v>
      </c>
      <c r="AA3367" s="87" t="s">
        <v>10917</v>
      </c>
      <c r="AB3367" s="87" t="s">
        <v>11448</v>
      </c>
      <c r="AC3367" s="93" t="s">
        <v>11459</v>
      </c>
      <c r="AD3367" s="87" t="s">
        <v>11519</v>
      </c>
      <c r="AE3367" s="92" t="str">
        <f>HYPERLINK("https://twitter.com/workshopdantas/status/1691558358115865079")</f>
        <v>https://twitter.com/workshopdantas/status/1691558358115865079</v>
      </c>
      <c r="AF3367" s="90">
        <v>45153.883263888885</v>
      </c>
      <c r="AG3367" s="99">
        <v>45153</v>
      </c>
      <c r="AH3367" s="93" t="s">
        <v>14508</v>
      </c>
      <c r="AI3367" s="87" t="b">
        <v>0</v>
      </c>
      <c r="AJ3367" s="87"/>
      <c r="AK3367" s="87"/>
      <c r="AL3367" s="87"/>
      <c r="AM3367" s="87"/>
      <c r="AN3367" s="87"/>
      <c r="AO3367" s="87"/>
      <c r="AP3367" s="87"/>
      <c r="AQ3367" s="87" t="s">
        <v>17729</v>
      </c>
      <c r="AR3367" s="87"/>
      <c r="AS3367" s="87"/>
      <c r="AT3367" s="87"/>
      <c r="AU3367" s="87"/>
      <c r="AV3367" s="92" t="str">
        <f>HYPERLINK("https://pbs.twimg.com/media/F3mfXLPXsAEEL6x.jpg")</f>
        <v>https://pbs.twimg.com/media/F3mfXLPXsAEEL6x.jpg</v>
      </c>
      <c r="AW3367" s="93" t="s">
        <v>21497</v>
      </c>
      <c r="AX3367" s="93" t="s">
        <v>21497</v>
      </c>
      <c r="AY3367" s="87"/>
      <c r="AZ3367" s="93" t="s">
        <v>22668</v>
      </c>
      <c r="BA3367" s="93" t="s">
        <v>22668</v>
      </c>
      <c r="BB3367" s="93" t="s">
        <v>22668</v>
      </c>
      <c r="BC3367" s="93" t="s">
        <v>21497</v>
      </c>
      <c r="BD3367" s="93" t="s">
        <v>23405</v>
      </c>
      <c r="BE3367" s="87"/>
      <c r="BF3367" s="87"/>
      <c r="BG3367" s="87"/>
      <c r="BH3367" s="87"/>
      <c r="BI3367" s="87"/>
    </row>
    <row r="3368" spans="1:61" x14ac:dyDescent="0.25">
      <c r="A3368" s="63" t="s">
        <v>1280</v>
      </c>
      <c r="B3368" s="63" t="s">
        <v>1280</v>
      </c>
      <c r="C3368" s="64"/>
      <c r="D3368" s="65"/>
      <c r="E3368" s="66"/>
      <c r="F3368" s="67"/>
      <c r="G3368" s="64"/>
      <c r="H3368" s="68"/>
      <c r="I3368" s="69"/>
      <c r="J3368" s="69"/>
      <c r="K3368" s="32"/>
      <c r="L3368" s="76">
        <v>3368</v>
      </c>
      <c r="M3368" s="76"/>
      <c r="N3368" s="71"/>
      <c r="O3368" s="87" t="s">
        <v>1839</v>
      </c>
      <c r="P3368" s="90">
        <v>45141.467210648145</v>
      </c>
      <c r="Q3368" s="87" t="s">
        <v>5046</v>
      </c>
      <c r="R3368" s="87">
        <v>0</v>
      </c>
      <c r="S3368" s="87">
        <v>0</v>
      </c>
      <c r="T3368" s="87">
        <v>1</v>
      </c>
      <c r="U3368" s="87">
        <v>0</v>
      </c>
      <c r="V3368" s="87">
        <v>45</v>
      </c>
      <c r="W3368" s="93" t="s">
        <v>7784</v>
      </c>
      <c r="X3368" s="87"/>
      <c r="Y3368" s="87"/>
      <c r="Z3368" s="87" t="s">
        <v>1280</v>
      </c>
      <c r="AA3368" s="87" t="s">
        <v>10918</v>
      </c>
      <c r="AB3368" s="87" t="s">
        <v>11448</v>
      </c>
      <c r="AC3368" s="93" t="s">
        <v>11459</v>
      </c>
      <c r="AD3368" s="87" t="s">
        <v>11519</v>
      </c>
      <c r="AE3368" s="92" t="str">
        <f>HYPERLINK("https://twitter.com/workshopdantas/status/1687058930738814976")</f>
        <v>https://twitter.com/workshopdantas/status/1687058930738814976</v>
      </c>
      <c r="AF3368" s="90">
        <v>45141.467210648145</v>
      </c>
      <c r="AG3368" s="99">
        <v>45141</v>
      </c>
      <c r="AH3368" s="93" t="s">
        <v>14509</v>
      </c>
      <c r="AI3368" s="87" t="b">
        <v>0</v>
      </c>
      <c r="AJ3368" s="87"/>
      <c r="AK3368" s="87"/>
      <c r="AL3368" s="87"/>
      <c r="AM3368" s="87"/>
      <c r="AN3368" s="87"/>
      <c r="AO3368" s="87"/>
      <c r="AP3368" s="87"/>
      <c r="AQ3368" s="87" t="s">
        <v>17730</v>
      </c>
      <c r="AR3368" s="87"/>
      <c r="AS3368" s="87"/>
      <c r="AT3368" s="87"/>
      <c r="AU3368" s="87"/>
      <c r="AV3368" s="92" t="str">
        <f>HYPERLINK("https://pbs.twimg.com/media/F2mjKDRXwAIkqKU.jpg")</f>
        <v>https://pbs.twimg.com/media/F2mjKDRXwAIkqKU.jpg</v>
      </c>
      <c r="AW3368" s="93" t="s">
        <v>21498</v>
      </c>
      <c r="AX3368" s="93" t="s">
        <v>21498</v>
      </c>
      <c r="AY3368" s="87"/>
      <c r="AZ3368" s="93" t="s">
        <v>22668</v>
      </c>
      <c r="BA3368" s="93" t="s">
        <v>22668</v>
      </c>
      <c r="BB3368" s="93" t="s">
        <v>22668</v>
      </c>
      <c r="BC3368" s="93" t="s">
        <v>21498</v>
      </c>
      <c r="BD3368" s="93" t="s">
        <v>23405</v>
      </c>
      <c r="BE3368" s="87"/>
      <c r="BF3368" s="87"/>
      <c r="BG3368" s="87"/>
      <c r="BH3368" s="87"/>
      <c r="BI3368" s="87"/>
    </row>
    <row r="3369" spans="1:61" x14ac:dyDescent="0.25">
      <c r="A3369" s="63" t="s">
        <v>1280</v>
      </c>
      <c r="B3369" s="63" t="s">
        <v>1280</v>
      </c>
      <c r="C3369" s="64"/>
      <c r="D3369" s="65"/>
      <c r="E3369" s="66"/>
      <c r="F3369" s="67"/>
      <c r="G3369" s="64"/>
      <c r="H3369" s="68"/>
      <c r="I3369" s="69"/>
      <c r="J3369" s="69"/>
      <c r="K3369" s="32"/>
      <c r="L3369" s="76">
        <v>3369</v>
      </c>
      <c r="M3369" s="76"/>
      <c r="N3369" s="71"/>
      <c r="O3369" s="87" t="s">
        <v>1839</v>
      </c>
      <c r="P3369" s="90">
        <v>45140.621574074074</v>
      </c>
      <c r="Q3369" s="87" t="s">
        <v>5047</v>
      </c>
      <c r="R3369" s="87">
        <v>0</v>
      </c>
      <c r="S3369" s="87">
        <v>0</v>
      </c>
      <c r="T3369" s="87">
        <v>0</v>
      </c>
      <c r="U3369" s="87">
        <v>0</v>
      </c>
      <c r="V3369" s="87">
        <v>55</v>
      </c>
      <c r="W3369" s="93" t="s">
        <v>7785</v>
      </c>
      <c r="X3369" s="87"/>
      <c r="Y3369" s="87"/>
      <c r="Z3369" s="87" t="s">
        <v>1280</v>
      </c>
      <c r="AA3369" s="87" t="s">
        <v>10919</v>
      </c>
      <c r="AB3369" s="87" t="s">
        <v>11448</v>
      </c>
      <c r="AC3369" s="93" t="s">
        <v>11459</v>
      </c>
      <c r="AD3369" s="87" t="s">
        <v>11519</v>
      </c>
      <c r="AE3369" s="92" t="str">
        <f>HYPERLINK("https://twitter.com/workshopdantas/status/1686752481793994752")</f>
        <v>https://twitter.com/workshopdantas/status/1686752481793994752</v>
      </c>
      <c r="AF3369" s="90">
        <v>45140.621574074074</v>
      </c>
      <c r="AG3369" s="99">
        <v>45140</v>
      </c>
      <c r="AH3369" s="93" t="s">
        <v>14510</v>
      </c>
      <c r="AI3369" s="87" t="b">
        <v>0</v>
      </c>
      <c r="AJ3369" s="87"/>
      <c r="AK3369" s="87"/>
      <c r="AL3369" s="87"/>
      <c r="AM3369" s="87"/>
      <c r="AN3369" s="87"/>
      <c r="AO3369" s="87"/>
      <c r="AP3369" s="87"/>
      <c r="AQ3369" s="87" t="s">
        <v>17731</v>
      </c>
      <c r="AR3369" s="87"/>
      <c r="AS3369" s="87"/>
      <c r="AT3369" s="87"/>
      <c r="AU3369" s="87"/>
      <c r="AV3369" s="92" t="str">
        <f>HYPERLINK("https://pbs.twimg.com/media/F2iMcENW4AE12lX.jpg")</f>
        <v>https://pbs.twimg.com/media/F2iMcENW4AE12lX.jpg</v>
      </c>
      <c r="AW3369" s="93" t="s">
        <v>21499</v>
      </c>
      <c r="AX3369" s="93" t="s">
        <v>21499</v>
      </c>
      <c r="AY3369" s="87"/>
      <c r="AZ3369" s="93" t="s">
        <v>22668</v>
      </c>
      <c r="BA3369" s="93" t="s">
        <v>22668</v>
      </c>
      <c r="BB3369" s="93" t="s">
        <v>22668</v>
      </c>
      <c r="BC3369" s="93" t="s">
        <v>21499</v>
      </c>
      <c r="BD3369" s="93" t="s">
        <v>23405</v>
      </c>
      <c r="BE3369" s="87"/>
      <c r="BF3369" s="87"/>
      <c r="BG3369" s="87"/>
      <c r="BH3369" s="87"/>
      <c r="BI3369" s="87"/>
    </row>
    <row r="3370" spans="1:61" x14ac:dyDescent="0.25">
      <c r="A3370" s="63" t="s">
        <v>1280</v>
      </c>
      <c r="B3370" s="63" t="s">
        <v>1280</v>
      </c>
      <c r="C3370" s="64"/>
      <c r="D3370" s="65"/>
      <c r="E3370" s="66"/>
      <c r="F3370" s="67"/>
      <c r="G3370" s="64"/>
      <c r="H3370" s="68"/>
      <c r="I3370" s="69"/>
      <c r="J3370" s="69"/>
      <c r="K3370" s="32"/>
      <c r="L3370" s="76">
        <v>3370</v>
      </c>
      <c r="M3370" s="76"/>
      <c r="N3370" s="71"/>
      <c r="O3370" s="87" t="s">
        <v>1839</v>
      </c>
      <c r="P3370" s="90">
        <v>45130.479224537034</v>
      </c>
      <c r="Q3370" s="87" t="s">
        <v>5048</v>
      </c>
      <c r="R3370" s="87">
        <v>0</v>
      </c>
      <c r="S3370" s="87">
        <v>1</v>
      </c>
      <c r="T3370" s="87">
        <v>1</v>
      </c>
      <c r="U3370" s="87">
        <v>0</v>
      </c>
      <c r="V3370" s="87">
        <v>57</v>
      </c>
      <c r="W3370" s="93" t="s">
        <v>7786</v>
      </c>
      <c r="X3370" s="87"/>
      <c r="Y3370" s="87"/>
      <c r="Z3370" s="87" t="s">
        <v>1280</v>
      </c>
      <c r="AA3370" s="87" t="s">
        <v>10920</v>
      </c>
      <c r="AB3370" s="87" t="s">
        <v>11448</v>
      </c>
      <c r="AC3370" s="93" t="s">
        <v>11459</v>
      </c>
      <c r="AD3370" s="87" t="s">
        <v>11519</v>
      </c>
      <c r="AE3370" s="92" t="str">
        <f>HYPERLINK("https://twitter.com/workshopdantas/status/1683077017497919488")</f>
        <v>https://twitter.com/workshopdantas/status/1683077017497919488</v>
      </c>
      <c r="AF3370" s="90">
        <v>45130.479224537034</v>
      </c>
      <c r="AG3370" s="99">
        <v>45130</v>
      </c>
      <c r="AH3370" s="93" t="s">
        <v>14511</v>
      </c>
      <c r="AI3370" s="87" t="b">
        <v>0</v>
      </c>
      <c r="AJ3370" s="87"/>
      <c r="AK3370" s="87"/>
      <c r="AL3370" s="87"/>
      <c r="AM3370" s="87"/>
      <c r="AN3370" s="87"/>
      <c r="AO3370" s="87"/>
      <c r="AP3370" s="87"/>
      <c r="AQ3370" s="87" t="s">
        <v>17732</v>
      </c>
      <c r="AR3370" s="87"/>
      <c r="AS3370" s="87"/>
      <c r="AT3370" s="87"/>
      <c r="AU3370" s="87"/>
      <c r="AV3370" s="92" t="str">
        <f>HYPERLINK("https://pbs.twimg.com/media/F1t9oKRX0AE6DHn.jpg")</f>
        <v>https://pbs.twimg.com/media/F1t9oKRX0AE6DHn.jpg</v>
      </c>
      <c r="AW3370" s="93" t="s">
        <v>21500</v>
      </c>
      <c r="AX3370" s="93" t="s">
        <v>21500</v>
      </c>
      <c r="AY3370" s="87"/>
      <c r="AZ3370" s="93" t="s">
        <v>22668</v>
      </c>
      <c r="BA3370" s="93" t="s">
        <v>22668</v>
      </c>
      <c r="BB3370" s="93" t="s">
        <v>22668</v>
      </c>
      <c r="BC3370" s="93" t="s">
        <v>21500</v>
      </c>
      <c r="BD3370" s="93" t="s">
        <v>23405</v>
      </c>
      <c r="BE3370" s="87"/>
      <c r="BF3370" s="87"/>
      <c r="BG3370" s="87"/>
      <c r="BH3370" s="87"/>
      <c r="BI3370" s="87"/>
    </row>
    <row r="3371" spans="1:61" x14ac:dyDescent="0.25">
      <c r="A3371" s="63" t="s">
        <v>1280</v>
      </c>
      <c r="B3371" s="63" t="s">
        <v>1280</v>
      </c>
      <c r="C3371" s="64"/>
      <c r="D3371" s="65"/>
      <c r="E3371" s="66"/>
      <c r="F3371" s="67"/>
      <c r="G3371" s="64"/>
      <c r="H3371" s="68"/>
      <c r="I3371" s="69"/>
      <c r="J3371" s="69"/>
      <c r="K3371" s="32"/>
      <c r="L3371" s="76">
        <v>3371</v>
      </c>
      <c r="M3371" s="76"/>
      <c r="N3371" s="71"/>
      <c r="O3371" s="87" t="s">
        <v>1839</v>
      </c>
      <c r="P3371" s="90">
        <v>45130.032523148147</v>
      </c>
      <c r="Q3371" s="87" t="s">
        <v>5049</v>
      </c>
      <c r="R3371" s="87">
        <v>0</v>
      </c>
      <c r="S3371" s="87">
        <v>1</v>
      </c>
      <c r="T3371" s="87">
        <v>0</v>
      </c>
      <c r="U3371" s="87">
        <v>0</v>
      </c>
      <c r="V3371" s="87">
        <v>157</v>
      </c>
      <c r="W3371" s="93" t="s">
        <v>7787</v>
      </c>
      <c r="X3371" s="87"/>
      <c r="Y3371" s="87"/>
      <c r="Z3371" s="87" t="s">
        <v>1280</v>
      </c>
      <c r="AA3371" s="87" t="s">
        <v>10921</v>
      </c>
      <c r="AB3371" s="87" t="s">
        <v>11447</v>
      </c>
      <c r="AC3371" s="93" t="s">
        <v>11459</v>
      </c>
      <c r="AD3371" s="87" t="s">
        <v>11519</v>
      </c>
      <c r="AE3371" s="92" t="str">
        <f>HYPERLINK("https://twitter.com/workshopdantas/status/1682915136846045185")</f>
        <v>https://twitter.com/workshopdantas/status/1682915136846045185</v>
      </c>
      <c r="AF3371" s="90">
        <v>45130.032523148147</v>
      </c>
      <c r="AG3371" s="99">
        <v>45130</v>
      </c>
      <c r="AH3371" s="93" t="s">
        <v>14512</v>
      </c>
      <c r="AI3371" s="87" t="b">
        <v>0</v>
      </c>
      <c r="AJ3371" s="87"/>
      <c r="AK3371" s="87"/>
      <c r="AL3371" s="87"/>
      <c r="AM3371" s="87"/>
      <c r="AN3371" s="87"/>
      <c r="AO3371" s="87"/>
      <c r="AP3371" s="87"/>
      <c r="AQ3371" s="87" t="s">
        <v>17733</v>
      </c>
      <c r="AR3371" s="87">
        <v>27444</v>
      </c>
      <c r="AS3371" s="87"/>
      <c r="AT3371" s="87"/>
      <c r="AU3371" s="87"/>
      <c r="AV3371" s="92" t="str">
        <f>HYPERLINK("https://pbs.twimg.com/ext_tw_video_thumb/1682915081007316996/pu/img/_R0T8r5SvfIyIpis.jpg")</f>
        <v>https://pbs.twimg.com/ext_tw_video_thumb/1682915081007316996/pu/img/_R0T8r5SvfIyIpis.jpg</v>
      </c>
      <c r="AW3371" s="93" t="s">
        <v>21501</v>
      </c>
      <c r="AX3371" s="93" t="s">
        <v>21501</v>
      </c>
      <c r="AY3371" s="87"/>
      <c r="AZ3371" s="93" t="s">
        <v>22668</v>
      </c>
      <c r="BA3371" s="93" t="s">
        <v>22668</v>
      </c>
      <c r="BB3371" s="93" t="s">
        <v>22668</v>
      </c>
      <c r="BC3371" s="93" t="s">
        <v>21501</v>
      </c>
      <c r="BD3371" s="93" t="s">
        <v>23405</v>
      </c>
      <c r="BE3371" s="87"/>
      <c r="BF3371" s="87"/>
      <c r="BG3371" s="87"/>
      <c r="BH3371" s="87"/>
      <c r="BI3371" s="87"/>
    </row>
    <row r="3372" spans="1:61" x14ac:dyDescent="0.25">
      <c r="A3372" s="63" t="s">
        <v>1280</v>
      </c>
      <c r="B3372" s="63" t="s">
        <v>1280</v>
      </c>
      <c r="C3372" s="64"/>
      <c r="D3372" s="65"/>
      <c r="E3372" s="66"/>
      <c r="F3372" s="67"/>
      <c r="G3372" s="64"/>
      <c r="H3372" s="68"/>
      <c r="I3372" s="69"/>
      <c r="J3372" s="69"/>
      <c r="K3372" s="32"/>
      <c r="L3372" s="76">
        <v>3372</v>
      </c>
      <c r="M3372" s="76"/>
      <c r="N3372" s="71"/>
      <c r="O3372" s="87" t="s">
        <v>1839</v>
      </c>
      <c r="P3372" s="90">
        <v>45129.51189814815</v>
      </c>
      <c r="Q3372" s="87" t="s">
        <v>5050</v>
      </c>
      <c r="R3372" s="87">
        <v>0</v>
      </c>
      <c r="S3372" s="87">
        <v>1</v>
      </c>
      <c r="T3372" s="87">
        <v>0</v>
      </c>
      <c r="U3372" s="87">
        <v>0</v>
      </c>
      <c r="V3372" s="87">
        <v>62</v>
      </c>
      <c r="W3372" s="93" t="s">
        <v>7788</v>
      </c>
      <c r="X3372" s="87"/>
      <c r="Y3372" s="87"/>
      <c r="Z3372" s="87" t="s">
        <v>1280</v>
      </c>
      <c r="AA3372" s="87" t="s">
        <v>10922</v>
      </c>
      <c r="AB3372" s="87" t="s">
        <v>11448</v>
      </c>
      <c r="AC3372" s="93" t="s">
        <v>11459</v>
      </c>
      <c r="AD3372" s="87" t="s">
        <v>11519</v>
      </c>
      <c r="AE3372" s="92" t="str">
        <f>HYPERLINK("https://twitter.com/workshopdantas/status/1682726469099745280")</f>
        <v>https://twitter.com/workshopdantas/status/1682726469099745280</v>
      </c>
      <c r="AF3372" s="90">
        <v>45129.51189814815</v>
      </c>
      <c r="AG3372" s="99">
        <v>45129</v>
      </c>
      <c r="AH3372" s="93" t="s">
        <v>14513</v>
      </c>
      <c r="AI3372" s="87" t="b">
        <v>0</v>
      </c>
      <c r="AJ3372" s="87"/>
      <c r="AK3372" s="87"/>
      <c r="AL3372" s="87"/>
      <c r="AM3372" s="87"/>
      <c r="AN3372" s="87"/>
      <c r="AO3372" s="87"/>
      <c r="AP3372" s="87"/>
      <c r="AQ3372" s="87" t="s">
        <v>17734</v>
      </c>
      <c r="AR3372" s="87"/>
      <c r="AS3372" s="87"/>
      <c r="AT3372" s="87"/>
      <c r="AU3372" s="87"/>
      <c r="AV3372" s="92" t="str">
        <f>HYPERLINK("https://pbs.twimg.com/media/F1o-zhCWcAAz-7f.jpg")</f>
        <v>https://pbs.twimg.com/media/F1o-zhCWcAAz-7f.jpg</v>
      </c>
      <c r="AW3372" s="93" t="s">
        <v>21502</v>
      </c>
      <c r="AX3372" s="93" t="s">
        <v>21502</v>
      </c>
      <c r="AY3372" s="87"/>
      <c r="AZ3372" s="93" t="s">
        <v>22668</v>
      </c>
      <c r="BA3372" s="93" t="s">
        <v>22668</v>
      </c>
      <c r="BB3372" s="93" t="s">
        <v>22668</v>
      </c>
      <c r="BC3372" s="93" t="s">
        <v>21502</v>
      </c>
      <c r="BD3372" s="93" t="s">
        <v>23405</v>
      </c>
      <c r="BE3372" s="87"/>
      <c r="BF3372" s="87"/>
      <c r="BG3372" s="87"/>
      <c r="BH3372" s="87"/>
      <c r="BI3372" s="87"/>
    </row>
    <row r="3373" spans="1:61" x14ac:dyDescent="0.25">
      <c r="A3373" s="63" t="s">
        <v>1280</v>
      </c>
      <c r="B3373" s="63" t="s">
        <v>1280</v>
      </c>
      <c r="C3373" s="64"/>
      <c r="D3373" s="65"/>
      <c r="E3373" s="66"/>
      <c r="F3373" s="67"/>
      <c r="G3373" s="64"/>
      <c r="H3373" s="68"/>
      <c r="I3373" s="69"/>
      <c r="J3373" s="69"/>
      <c r="K3373" s="32"/>
      <c r="L3373" s="76">
        <v>3373</v>
      </c>
      <c r="M3373" s="76"/>
      <c r="N3373" s="71"/>
      <c r="O3373" s="87" t="s">
        <v>1839</v>
      </c>
      <c r="P3373" s="90">
        <v>45128.512986111113</v>
      </c>
      <c r="Q3373" s="87" t="s">
        <v>5051</v>
      </c>
      <c r="R3373" s="87">
        <v>0</v>
      </c>
      <c r="S3373" s="87">
        <v>0</v>
      </c>
      <c r="T3373" s="87">
        <v>0</v>
      </c>
      <c r="U3373" s="87">
        <v>0</v>
      </c>
      <c r="V3373" s="87">
        <v>42</v>
      </c>
      <c r="W3373" s="93" t="s">
        <v>7789</v>
      </c>
      <c r="X3373" s="87"/>
      <c r="Y3373" s="87"/>
      <c r="Z3373" s="87" t="s">
        <v>1280</v>
      </c>
      <c r="AA3373" s="87" t="s">
        <v>10923</v>
      </c>
      <c r="AB3373" s="87" t="s">
        <v>11448</v>
      </c>
      <c r="AC3373" s="93" t="s">
        <v>11459</v>
      </c>
      <c r="AD3373" s="87" t="s">
        <v>11519</v>
      </c>
      <c r="AE3373" s="92" t="str">
        <f>HYPERLINK("https://twitter.com/workshopdantas/status/1682364474139844612")</f>
        <v>https://twitter.com/workshopdantas/status/1682364474139844612</v>
      </c>
      <c r="AF3373" s="90">
        <v>45128.512986111113</v>
      </c>
      <c r="AG3373" s="99">
        <v>45128</v>
      </c>
      <c r="AH3373" s="93" t="s">
        <v>14514</v>
      </c>
      <c r="AI3373" s="87" t="b">
        <v>0</v>
      </c>
      <c r="AJ3373" s="87"/>
      <c r="AK3373" s="87"/>
      <c r="AL3373" s="87"/>
      <c r="AM3373" s="87"/>
      <c r="AN3373" s="87"/>
      <c r="AO3373" s="87"/>
      <c r="AP3373" s="87"/>
      <c r="AQ3373" s="87" t="s">
        <v>17735</v>
      </c>
      <c r="AR3373" s="87"/>
      <c r="AS3373" s="87"/>
      <c r="AT3373" s="87"/>
      <c r="AU3373" s="87"/>
      <c r="AV3373" s="92" t="str">
        <f>HYPERLINK("https://pbs.twimg.com/media/F1j1kr7XgAAPksI.jpg")</f>
        <v>https://pbs.twimg.com/media/F1j1kr7XgAAPksI.jpg</v>
      </c>
      <c r="AW3373" s="93" t="s">
        <v>21503</v>
      </c>
      <c r="AX3373" s="93" t="s">
        <v>21503</v>
      </c>
      <c r="AY3373" s="87"/>
      <c r="AZ3373" s="93" t="s">
        <v>22668</v>
      </c>
      <c r="BA3373" s="93" t="s">
        <v>22668</v>
      </c>
      <c r="BB3373" s="93" t="s">
        <v>22668</v>
      </c>
      <c r="BC3373" s="93" t="s">
        <v>21503</v>
      </c>
      <c r="BD3373" s="93" t="s">
        <v>23405</v>
      </c>
      <c r="BE3373" s="87"/>
      <c r="BF3373" s="87"/>
      <c r="BG3373" s="87"/>
      <c r="BH3373" s="87"/>
      <c r="BI3373" s="87"/>
    </row>
    <row r="3374" spans="1:61" x14ac:dyDescent="0.25">
      <c r="A3374" s="63" t="s">
        <v>1280</v>
      </c>
      <c r="B3374" s="63" t="s">
        <v>1280</v>
      </c>
      <c r="C3374" s="64"/>
      <c r="D3374" s="65"/>
      <c r="E3374" s="66"/>
      <c r="F3374" s="67"/>
      <c r="G3374" s="64"/>
      <c r="H3374" s="68"/>
      <c r="I3374" s="69"/>
      <c r="J3374" s="69"/>
      <c r="K3374" s="32"/>
      <c r="L3374" s="76">
        <v>3374</v>
      </c>
      <c r="M3374" s="76"/>
      <c r="N3374" s="71"/>
      <c r="O3374" s="87" t="s">
        <v>1839</v>
      </c>
      <c r="P3374" s="90">
        <v>45127.475925925923</v>
      </c>
      <c r="Q3374" s="87" t="s">
        <v>5052</v>
      </c>
      <c r="R3374" s="87">
        <v>0</v>
      </c>
      <c r="S3374" s="87">
        <v>1</v>
      </c>
      <c r="T3374" s="87">
        <v>0</v>
      </c>
      <c r="U3374" s="87">
        <v>0</v>
      </c>
      <c r="V3374" s="87">
        <v>64</v>
      </c>
      <c r="W3374" s="93" t="s">
        <v>7790</v>
      </c>
      <c r="X3374" s="87"/>
      <c r="Y3374" s="87"/>
      <c r="Z3374" s="87" t="s">
        <v>1280</v>
      </c>
      <c r="AA3374" s="87" t="s">
        <v>10924</v>
      </c>
      <c r="AB3374" s="87" t="s">
        <v>11448</v>
      </c>
      <c r="AC3374" s="93" t="s">
        <v>11459</v>
      </c>
      <c r="AD3374" s="87" t="s">
        <v>11519</v>
      </c>
      <c r="AE3374" s="92" t="str">
        <f>HYPERLINK("https://twitter.com/workshopdantas/status/1681988659334004736")</f>
        <v>https://twitter.com/workshopdantas/status/1681988659334004736</v>
      </c>
      <c r="AF3374" s="90">
        <v>45127.475925925923</v>
      </c>
      <c r="AG3374" s="99">
        <v>45127</v>
      </c>
      <c r="AH3374" s="93" t="s">
        <v>14515</v>
      </c>
      <c r="AI3374" s="87" t="b">
        <v>0</v>
      </c>
      <c r="AJ3374" s="87"/>
      <c r="AK3374" s="87"/>
      <c r="AL3374" s="87"/>
      <c r="AM3374" s="87"/>
      <c r="AN3374" s="87"/>
      <c r="AO3374" s="87"/>
      <c r="AP3374" s="87"/>
      <c r="AQ3374" s="87" t="s">
        <v>17736</v>
      </c>
      <c r="AR3374" s="87"/>
      <c r="AS3374" s="87"/>
      <c r="AT3374" s="87"/>
      <c r="AU3374" s="87"/>
      <c r="AV3374" s="92" t="str">
        <f>HYPERLINK("https://pbs.twimg.com/media/F1efxZDXoAErfdA.jpg")</f>
        <v>https://pbs.twimg.com/media/F1efxZDXoAErfdA.jpg</v>
      </c>
      <c r="AW3374" s="93" t="s">
        <v>21504</v>
      </c>
      <c r="AX3374" s="93" t="s">
        <v>21504</v>
      </c>
      <c r="AY3374" s="87"/>
      <c r="AZ3374" s="93" t="s">
        <v>22668</v>
      </c>
      <c r="BA3374" s="93" t="s">
        <v>22668</v>
      </c>
      <c r="BB3374" s="93" t="s">
        <v>22668</v>
      </c>
      <c r="BC3374" s="93" t="s">
        <v>21504</v>
      </c>
      <c r="BD3374" s="93" t="s">
        <v>23405</v>
      </c>
      <c r="BE3374" s="87"/>
      <c r="BF3374" s="87"/>
      <c r="BG3374" s="87"/>
      <c r="BH3374" s="87"/>
      <c r="BI3374" s="87"/>
    </row>
    <row r="3375" spans="1:61" x14ac:dyDescent="0.25">
      <c r="A3375" s="63" t="s">
        <v>1280</v>
      </c>
      <c r="B3375" s="63" t="s">
        <v>1280</v>
      </c>
      <c r="C3375" s="64"/>
      <c r="D3375" s="65"/>
      <c r="E3375" s="66"/>
      <c r="F3375" s="67"/>
      <c r="G3375" s="64"/>
      <c r="H3375" s="68"/>
      <c r="I3375" s="69"/>
      <c r="J3375" s="69"/>
      <c r="K3375" s="32"/>
      <c r="L3375" s="76">
        <v>3375</v>
      </c>
      <c r="M3375" s="76"/>
      <c r="N3375" s="71"/>
      <c r="O3375" s="87" t="s">
        <v>1839</v>
      </c>
      <c r="P3375" s="90">
        <v>45127.426018518519</v>
      </c>
      <c r="Q3375" s="87" t="s">
        <v>5053</v>
      </c>
      <c r="R3375" s="87">
        <v>0</v>
      </c>
      <c r="S3375" s="87">
        <v>2</v>
      </c>
      <c r="T3375" s="87">
        <v>1</v>
      </c>
      <c r="U3375" s="87">
        <v>0</v>
      </c>
      <c r="V3375" s="87">
        <v>76</v>
      </c>
      <c r="W3375" s="93" t="s">
        <v>7791</v>
      </c>
      <c r="X3375" s="87"/>
      <c r="Y3375" s="87"/>
      <c r="Z3375" s="87" t="s">
        <v>1280</v>
      </c>
      <c r="AA3375" s="87" t="s">
        <v>10925</v>
      </c>
      <c r="AB3375" s="87" t="s">
        <v>11448</v>
      </c>
      <c r="AC3375" s="93" t="s">
        <v>11459</v>
      </c>
      <c r="AD3375" s="87" t="s">
        <v>11519</v>
      </c>
      <c r="AE3375" s="92" t="str">
        <f>HYPERLINK("https://twitter.com/workshopdantas/status/1681970572429803520")</f>
        <v>https://twitter.com/workshopdantas/status/1681970572429803520</v>
      </c>
      <c r="AF3375" s="90">
        <v>45127.426018518519</v>
      </c>
      <c r="AG3375" s="99">
        <v>45127</v>
      </c>
      <c r="AH3375" s="93" t="s">
        <v>14516</v>
      </c>
      <c r="AI3375" s="87" t="b">
        <v>0</v>
      </c>
      <c r="AJ3375" s="87"/>
      <c r="AK3375" s="87"/>
      <c r="AL3375" s="87"/>
      <c r="AM3375" s="87"/>
      <c r="AN3375" s="87"/>
      <c r="AO3375" s="87"/>
      <c r="AP3375" s="87"/>
      <c r="AQ3375" s="87" t="s">
        <v>17737</v>
      </c>
      <c r="AR3375" s="87"/>
      <c r="AS3375" s="87"/>
      <c r="AT3375" s="87"/>
      <c r="AU3375" s="87"/>
      <c r="AV3375" s="92" t="str">
        <f>HYPERLINK("https://pbs.twimg.com/media/F1ePUiIXgAANAOY.jpg")</f>
        <v>https://pbs.twimg.com/media/F1ePUiIXgAANAOY.jpg</v>
      </c>
      <c r="AW3375" s="93" t="s">
        <v>21505</v>
      </c>
      <c r="AX3375" s="93" t="s">
        <v>21505</v>
      </c>
      <c r="AY3375" s="87"/>
      <c r="AZ3375" s="93" t="s">
        <v>22668</v>
      </c>
      <c r="BA3375" s="93" t="s">
        <v>22668</v>
      </c>
      <c r="BB3375" s="93" t="s">
        <v>22668</v>
      </c>
      <c r="BC3375" s="93" t="s">
        <v>21505</v>
      </c>
      <c r="BD3375" s="93" t="s">
        <v>23405</v>
      </c>
      <c r="BE3375" s="87"/>
      <c r="BF3375" s="87"/>
      <c r="BG3375" s="87"/>
      <c r="BH3375" s="87"/>
      <c r="BI3375" s="87"/>
    </row>
    <row r="3376" spans="1:61" x14ac:dyDescent="0.25">
      <c r="A3376" s="63" t="s">
        <v>1280</v>
      </c>
      <c r="B3376" s="63" t="s">
        <v>1280</v>
      </c>
      <c r="C3376" s="64"/>
      <c r="D3376" s="65"/>
      <c r="E3376" s="66"/>
      <c r="F3376" s="67"/>
      <c r="G3376" s="64"/>
      <c r="H3376" s="68"/>
      <c r="I3376" s="69"/>
      <c r="J3376" s="69"/>
      <c r="K3376" s="32"/>
      <c r="L3376" s="76">
        <v>3376</v>
      </c>
      <c r="M3376" s="76"/>
      <c r="N3376" s="71"/>
      <c r="O3376" s="87" t="s">
        <v>1839</v>
      </c>
      <c r="P3376" s="90">
        <v>45155.472708333335</v>
      </c>
      <c r="Q3376" s="87" t="s">
        <v>5054</v>
      </c>
      <c r="R3376" s="87">
        <v>0</v>
      </c>
      <c r="S3376" s="87">
        <v>0</v>
      </c>
      <c r="T3376" s="87">
        <v>0</v>
      </c>
      <c r="U3376" s="87">
        <v>0</v>
      </c>
      <c r="V3376" s="87">
        <v>118</v>
      </c>
      <c r="W3376" s="93" t="s">
        <v>7792</v>
      </c>
      <c r="X3376" s="87"/>
      <c r="Y3376" s="87"/>
      <c r="Z3376" s="87" t="s">
        <v>1280</v>
      </c>
      <c r="AA3376" s="87" t="s">
        <v>10926</v>
      </c>
      <c r="AB3376" s="87" t="s">
        <v>11448</v>
      </c>
      <c r="AC3376" s="93" t="s">
        <v>11459</v>
      </c>
      <c r="AD3376" s="87" t="s">
        <v>11519</v>
      </c>
      <c r="AE3376" s="92" t="str">
        <f>HYPERLINK("https://twitter.com/workshopdantas/status/1692134352119894211")</f>
        <v>https://twitter.com/workshopdantas/status/1692134352119894211</v>
      </c>
      <c r="AF3376" s="90">
        <v>45155.472708333335</v>
      </c>
      <c r="AG3376" s="99">
        <v>45155</v>
      </c>
      <c r="AH3376" s="93" t="s">
        <v>14517</v>
      </c>
      <c r="AI3376" s="87" t="b">
        <v>0</v>
      </c>
      <c r="AJ3376" s="87"/>
      <c r="AK3376" s="87"/>
      <c r="AL3376" s="87"/>
      <c r="AM3376" s="87"/>
      <c r="AN3376" s="87"/>
      <c r="AO3376" s="87"/>
      <c r="AP3376" s="87"/>
      <c r="AQ3376" s="87" t="s">
        <v>17738</v>
      </c>
      <c r="AR3376" s="87"/>
      <c r="AS3376" s="87"/>
      <c r="AT3376" s="87"/>
      <c r="AU3376" s="87"/>
      <c r="AV3376" s="92" t="str">
        <f>HYPERLINK("https://pbs.twimg.com/media/F3urOcmW8AAv6ne.jpg")</f>
        <v>https://pbs.twimg.com/media/F3urOcmW8AAv6ne.jpg</v>
      </c>
      <c r="AW3376" s="93" t="s">
        <v>21506</v>
      </c>
      <c r="AX3376" s="93" t="s">
        <v>21506</v>
      </c>
      <c r="AY3376" s="87"/>
      <c r="AZ3376" s="93" t="s">
        <v>22668</v>
      </c>
      <c r="BA3376" s="93" t="s">
        <v>22668</v>
      </c>
      <c r="BB3376" s="93" t="s">
        <v>22668</v>
      </c>
      <c r="BC3376" s="93" t="s">
        <v>21506</v>
      </c>
      <c r="BD3376" s="93" t="s">
        <v>23405</v>
      </c>
      <c r="BE3376" s="87"/>
      <c r="BF3376" s="87"/>
      <c r="BG3376" s="87"/>
      <c r="BH3376" s="87"/>
      <c r="BI3376" s="87"/>
    </row>
    <row r="3377" spans="1:61" x14ac:dyDescent="0.25">
      <c r="A3377" s="63" t="s">
        <v>1280</v>
      </c>
      <c r="B3377" s="63" t="s">
        <v>1280</v>
      </c>
      <c r="C3377" s="64"/>
      <c r="D3377" s="65"/>
      <c r="E3377" s="66"/>
      <c r="F3377" s="67"/>
      <c r="G3377" s="64"/>
      <c r="H3377" s="68"/>
      <c r="I3377" s="69"/>
      <c r="J3377" s="69"/>
      <c r="K3377" s="32"/>
      <c r="L3377" s="76">
        <v>3377</v>
      </c>
      <c r="M3377" s="76"/>
      <c r="N3377" s="71"/>
      <c r="O3377" s="87" t="s">
        <v>1839</v>
      </c>
      <c r="P3377" s="90">
        <v>45142.426249999997</v>
      </c>
      <c r="Q3377" s="87" t="s">
        <v>5055</v>
      </c>
      <c r="R3377" s="87">
        <v>0</v>
      </c>
      <c r="S3377" s="87">
        <v>0</v>
      </c>
      <c r="T3377" s="87">
        <v>0</v>
      </c>
      <c r="U3377" s="87">
        <v>0</v>
      </c>
      <c r="V3377" s="87">
        <v>152</v>
      </c>
      <c r="W3377" s="93" t="s">
        <v>7793</v>
      </c>
      <c r="X3377" s="87"/>
      <c r="Y3377" s="87"/>
      <c r="Z3377" s="87" t="s">
        <v>1280</v>
      </c>
      <c r="AA3377" s="87" t="s">
        <v>10927</v>
      </c>
      <c r="AB3377" s="87" t="s">
        <v>11447</v>
      </c>
      <c r="AC3377" s="93" t="s">
        <v>11459</v>
      </c>
      <c r="AD3377" s="87" t="s">
        <v>11519</v>
      </c>
      <c r="AE3377" s="92" t="str">
        <f>HYPERLINK("https://twitter.com/workshopdantas/status/1687406474832588800")</f>
        <v>https://twitter.com/workshopdantas/status/1687406474832588800</v>
      </c>
      <c r="AF3377" s="90">
        <v>45142.426249999997</v>
      </c>
      <c r="AG3377" s="99">
        <v>45142</v>
      </c>
      <c r="AH3377" s="93" t="s">
        <v>14518</v>
      </c>
      <c r="AI3377" s="87" t="b">
        <v>0</v>
      </c>
      <c r="AJ3377" s="87"/>
      <c r="AK3377" s="87"/>
      <c r="AL3377" s="87"/>
      <c r="AM3377" s="87"/>
      <c r="AN3377" s="87"/>
      <c r="AO3377" s="87"/>
      <c r="AP3377" s="87"/>
      <c r="AQ3377" s="87" t="s">
        <v>17739</v>
      </c>
      <c r="AR3377" s="87">
        <v>119069</v>
      </c>
      <c r="AS3377" s="87"/>
      <c r="AT3377" s="87"/>
      <c r="AU3377" s="87"/>
      <c r="AV3377" s="92" t="str">
        <f>HYPERLINK("https://pbs.twimg.com/ext_tw_video_thumb/1687406431551537152/pu/img/9DRrA9kzcJOfw7Wy.jpg")</f>
        <v>https://pbs.twimg.com/ext_tw_video_thumb/1687406431551537152/pu/img/9DRrA9kzcJOfw7Wy.jpg</v>
      </c>
      <c r="AW3377" s="93" t="s">
        <v>21507</v>
      </c>
      <c r="AX3377" s="93" t="s">
        <v>21507</v>
      </c>
      <c r="AY3377" s="87"/>
      <c r="AZ3377" s="93" t="s">
        <v>22668</v>
      </c>
      <c r="BA3377" s="93" t="s">
        <v>22668</v>
      </c>
      <c r="BB3377" s="93" t="s">
        <v>22668</v>
      </c>
      <c r="BC3377" s="93" t="s">
        <v>21507</v>
      </c>
      <c r="BD3377" s="93" t="s">
        <v>23405</v>
      </c>
      <c r="BE3377" s="87"/>
      <c r="BF3377" s="87"/>
      <c r="BG3377" s="87"/>
      <c r="BH3377" s="87"/>
      <c r="BI3377" s="87"/>
    </row>
    <row r="3378" spans="1:61" x14ac:dyDescent="0.25">
      <c r="A3378" s="63" t="s">
        <v>1280</v>
      </c>
      <c r="B3378" s="63" t="s">
        <v>1280</v>
      </c>
      <c r="C3378" s="64"/>
      <c r="D3378" s="65"/>
      <c r="E3378" s="66"/>
      <c r="F3378" s="67"/>
      <c r="G3378" s="64"/>
      <c r="H3378" s="68"/>
      <c r="I3378" s="69"/>
      <c r="J3378" s="69"/>
      <c r="K3378" s="32"/>
      <c r="L3378" s="76">
        <v>3378</v>
      </c>
      <c r="M3378" s="76"/>
      <c r="N3378" s="71"/>
      <c r="O3378" s="87" t="s">
        <v>1839</v>
      </c>
      <c r="P3378" s="90">
        <v>45142.405381944445</v>
      </c>
      <c r="Q3378" s="87" t="s">
        <v>5056</v>
      </c>
      <c r="R3378" s="87">
        <v>0</v>
      </c>
      <c r="S3378" s="87">
        <v>1</v>
      </c>
      <c r="T3378" s="87">
        <v>0</v>
      </c>
      <c r="U3378" s="87">
        <v>0</v>
      </c>
      <c r="V3378" s="87">
        <v>49</v>
      </c>
      <c r="W3378" s="93" t="s">
        <v>7794</v>
      </c>
      <c r="X3378" s="87"/>
      <c r="Y3378" s="87"/>
      <c r="Z3378" s="87" t="s">
        <v>1280</v>
      </c>
      <c r="AA3378" s="87" t="s">
        <v>10928</v>
      </c>
      <c r="AB3378" s="87" t="s">
        <v>11448</v>
      </c>
      <c r="AC3378" s="93" t="s">
        <v>11459</v>
      </c>
      <c r="AD3378" s="87" t="s">
        <v>11519</v>
      </c>
      <c r="AE3378" s="92" t="str">
        <f>HYPERLINK("https://twitter.com/workshopdantas/status/1687398910950547456")</f>
        <v>https://twitter.com/workshopdantas/status/1687398910950547456</v>
      </c>
      <c r="AF3378" s="90">
        <v>45142.405381944445</v>
      </c>
      <c r="AG3378" s="99">
        <v>45142</v>
      </c>
      <c r="AH3378" s="93" t="s">
        <v>14519</v>
      </c>
      <c r="AI3378" s="87" t="b">
        <v>0</v>
      </c>
      <c r="AJ3378" s="87"/>
      <c r="AK3378" s="87"/>
      <c r="AL3378" s="87"/>
      <c r="AM3378" s="87"/>
      <c r="AN3378" s="87"/>
      <c r="AO3378" s="87"/>
      <c r="AP3378" s="87"/>
      <c r="AQ3378" s="87" t="s">
        <v>17740</v>
      </c>
      <c r="AR3378" s="87"/>
      <c r="AS3378" s="87"/>
      <c r="AT3378" s="87"/>
      <c r="AU3378" s="87"/>
      <c r="AV3378" s="92" t="str">
        <f>HYPERLINK("https://pbs.twimg.com/media/F2rYXgNX0AATnXw.jpg")</f>
        <v>https://pbs.twimg.com/media/F2rYXgNX0AATnXw.jpg</v>
      </c>
      <c r="AW3378" s="93" t="s">
        <v>21508</v>
      </c>
      <c r="AX3378" s="93" t="s">
        <v>21508</v>
      </c>
      <c r="AY3378" s="87"/>
      <c r="AZ3378" s="93" t="s">
        <v>22668</v>
      </c>
      <c r="BA3378" s="93" t="s">
        <v>22668</v>
      </c>
      <c r="BB3378" s="93" t="s">
        <v>22668</v>
      </c>
      <c r="BC3378" s="93" t="s">
        <v>21508</v>
      </c>
      <c r="BD3378" s="93" t="s">
        <v>23405</v>
      </c>
      <c r="BE3378" s="87"/>
      <c r="BF3378" s="87"/>
      <c r="BG3378" s="87"/>
      <c r="BH3378" s="87"/>
      <c r="BI3378" s="87"/>
    </row>
    <row r="3379" spans="1:61" x14ac:dyDescent="0.25">
      <c r="A3379" s="63" t="s">
        <v>1280</v>
      </c>
      <c r="B3379" s="63" t="s">
        <v>1280</v>
      </c>
      <c r="C3379" s="64"/>
      <c r="D3379" s="65"/>
      <c r="E3379" s="66"/>
      <c r="F3379" s="67"/>
      <c r="G3379" s="64"/>
      <c r="H3379" s="68"/>
      <c r="I3379" s="69"/>
      <c r="J3379" s="69"/>
      <c r="K3379" s="32"/>
      <c r="L3379" s="76">
        <v>3379</v>
      </c>
      <c r="M3379" s="76"/>
      <c r="N3379" s="71"/>
      <c r="O3379" s="87" t="s">
        <v>1839</v>
      </c>
      <c r="P3379" s="90">
        <v>45130.992407407408</v>
      </c>
      <c r="Q3379" s="87" t="s">
        <v>5057</v>
      </c>
      <c r="R3379" s="87">
        <v>0</v>
      </c>
      <c r="S3379" s="87">
        <v>0</v>
      </c>
      <c r="T3379" s="87">
        <v>0</v>
      </c>
      <c r="U3379" s="87">
        <v>0</v>
      </c>
      <c r="V3379" s="87">
        <v>93</v>
      </c>
      <c r="W3379" s="93" t="s">
        <v>7795</v>
      </c>
      <c r="X3379" s="87"/>
      <c r="Y3379" s="87"/>
      <c r="Z3379" s="87" t="s">
        <v>1280</v>
      </c>
      <c r="AA3379" s="87" t="s">
        <v>10929</v>
      </c>
      <c r="AB3379" s="87" t="s">
        <v>11448</v>
      </c>
      <c r="AC3379" s="93" t="s">
        <v>11459</v>
      </c>
      <c r="AD3379" s="87" t="s">
        <v>11519</v>
      </c>
      <c r="AE3379" s="92" t="str">
        <f>HYPERLINK("https://twitter.com/workshopdantas/status/1683262989791526914")</f>
        <v>https://twitter.com/workshopdantas/status/1683262989791526914</v>
      </c>
      <c r="AF3379" s="90">
        <v>45130.992407407408</v>
      </c>
      <c r="AG3379" s="99">
        <v>45130</v>
      </c>
      <c r="AH3379" s="93" t="s">
        <v>14520</v>
      </c>
      <c r="AI3379" s="87" t="b">
        <v>0</v>
      </c>
      <c r="AJ3379" s="87"/>
      <c r="AK3379" s="87"/>
      <c r="AL3379" s="87"/>
      <c r="AM3379" s="87"/>
      <c r="AN3379" s="87"/>
      <c r="AO3379" s="87"/>
      <c r="AP3379" s="87"/>
      <c r="AQ3379" s="87" t="s">
        <v>17741</v>
      </c>
      <c r="AR3379" s="87"/>
      <c r="AS3379" s="87"/>
      <c r="AT3379" s="87"/>
      <c r="AU3379" s="87"/>
      <c r="AV3379" s="92" t="str">
        <f>HYPERLINK("https://pbs.twimg.com/media/F1wmw3dWwAAjpDX.jpg")</f>
        <v>https://pbs.twimg.com/media/F1wmw3dWwAAjpDX.jpg</v>
      </c>
      <c r="AW3379" s="93" t="s">
        <v>21509</v>
      </c>
      <c r="AX3379" s="93" t="s">
        <v>21509</v>
      </c>
      <c r="AY3379" s="87"/>
      <c r="AZ3379" s="93" t="s">
        <v>22668</v>
      </c>
      <c r="BA3379" s="93" t="s">
        <v>22668</v>
      </c>
      <c r="BB3379" s="93" t="s">
        <v>22668</v>
      </c>
      <c r="BC3379" s="93" t="s">
        <v>21509</v>
      </c>
      <c r="BD3379" s="93" t="s">
        <v>23405</v>
      </c>
      <c r="BE3379" s="87"/>
      <c r="BF3379" s="87"/>
      <c r="BG3379" s="87"/>
      <c r="BH3379" s="87"/>
      <c r="BI3379" s="87"/>
    </row>
    <row r="3380" spans="1:61" x14ac:dyDescent="0.25">
      <c r="A3380" s="63" t="s">
        <v>1280</v>
      </c>
      <c r="B3380" s="63" t="s">
        <v>1280</v>
      </c>
      <c r="C3380" s="64"/>
      <c r="D3380" s="65"/>
      <c r="E3380" s="66"/>
      <c r="F3380" s="67"/>
      <c r="G3380" s="64"/>
      <c r="H3380" s="68"/>
      <c r="I3380" s="69"/>
      <c r="J3380" s="69"/>
      <c r="K3380" s="32"/>
      <c r="L3380" s="76">
        <v>3380</v>
      </c>
      <c r="M3380" s="76"/>
      <c r="N3380" s="71"/>
      <c r="O3380" s="87" t="s">
        <v>1839</v>
      </c>
      <c r="P3380" s="90">
        <v>45130.960763888892</v>
      </c>
      <c r="Q3380" s="87" t="s">
        <v>5058</v>
      </c>
      <c r="R3380" s="87">
        <v>0</v>
      </c>
      <c r="S3380" s="87">
        <v>0</v>
      </c>
      <c r="T3380" s="87">
        <v>0</v>
      </c>
      <c r="U3380" s="87">
        <v>0</v>
      </c>
      <c r="V3380" s="87">
        <v>42</v>
      </c>
      <c r="W3380" s="93" t="s">
        <v>7796</v>
      </c>
      <c r="X3380" s="87"/>
      <c r="Y3380" s="87"/>
      <c r="Z3380" s="87" t="s">
        <v>1280</v>
      </c>
      <c r="AA3380" s="87" t="s">
        <v>10930</v>
      </c>
      <c r="AB3380" s="87" t="s">
        <v>11448</v>
      </c>
      <c r="AC3380" s="93" t="s">
        <v>11459</v>
      </c>
      <c r="AD3380" s="87" t="s">
        <v>11519</v>
      </c>
      <c r="AE3380" s="92" t="str">
        <f>HYPERLINK("https://twitter.com/workshopdantas/status/1683251521600000001")</f>
        <v>https://twitter.com/workshopdantas/status/1683251521600000001</v>
      </c>
      <c r="AF3380" s="90">
        <v>45130.960763888892</v>
      </c>
      <c r="AG3380" s="99">
        <v>45130</v>
      </c>
      <c r="AH3380" s="93" t="s">
        <v>14521</v>
      </c>
      <c r="AI3380" s="87" t="b">
        <v>0</v>
      </c>
      <c r="AJ3380" s="87"/>
      <c r="AK3380" s="87"/>
      <c r="AL3380" s="87"/>
      <c r="AM3380" s="87"/>
      <c r="AN3380" s="87"/>
      <c r="AO3380" s="87"/>
      <c r="AP3380" s="87"/>
      <c r="AQ3380" s="87" t="s">
        <v>17742</v>
      </c>
      <c r="AR3380" s="87"/>
      <c r="AS3380" s="87"/>
      <c r="AT3380" s="87"/>
      <c r="AU3380" s="87"/>
      <c r="AV3380" s="92" t="str">
        <f>HYPERLINK("https://pbs.twimg.com/media/F1wcVU5XsAI1OnQ.jpg")</f>
        <v>https://pbs.twimg.com/media/F1wcVU5XsAI1OnQ.jpg</v>
      </c>
      <c r="AW3380" s="93" t="s">
        <v>21510</v>
      </c>
      <c r="AX3380" s="93" t="s">
        <v>21510</v>
      </c>
      <c r="AY3380" s="87"/>
      <c r="AZ3380" s="93" t="s">
        <v>22668</v>
      </c>
      <c r="BA3380" s="93" t="s">
        <v>22668</v>
      </c>
      <c r="BB3380" s="93" t="s">
        <v>22668</v>
      </c>
      <c r="BC3380" s="93" t="s">
        <v>21510</v>
      </c>
      <c r="BD3380" s="93" t="s">
        <v>23405</v>
      </c>
      <c r="BE3380" s="87"/>
      <c r="BF3380" s="87"/>
      <c r="BG3380" s="87"/>
      <c r="BH3380" s="87"/>
      <c r="BI3380" s="87"/>
    </row>
    <row r="3381" spans="1:61" x14ac:dyDescent="0.25">
      <c r="A3381" s="63" t="s">
        <v>1280</v>
      </c>
      <c r="B3381" s="63" t="s">
        <v>1280</v>
      </c>
      <c r="C3381" s="64"/>
      <c r="D3381" s="65"/>
      <c r="E3381" s="66"/>
      <c r="F3381" s="67"/>
      <c r="G3381" s="64"/>
      <c r="H3381" s="68"/>
      <c r="I3381" s="69"/>
      <c r="J3381" s="69"/>
      <c r="K3381" s="32"/>
      <c r="L3381" s="76">
        <v>3381</v>
      </c>
      <c r="M3381" s="76"/>
      <c r="N3381" s="71"/>
      <c r="O3381" s="87" t="s">
        <v>1839</v>
      </c>
      <c r="P3381" s="90">
        <v>45130.933113425926</v>
      </c>
      <c r="Q3381" s="87" t="s">
        <v>5035</v>
      </c>
      <c r="R3381" s="87">
        <v>0</v>
      </c>
      <c r="S3381" s="87">
        <v>0</v>
      </c>
      <c r="T3381" s="87">
        <v>2</v>
      </c>
      <c r="U3381" s="87">
        <v>0</v>
      </c>
      <c r="V3381" s="87">
        <v>181</v>
      </c>
      <c r="W3381" s="93" t="s">
        <v>7776</v>
      </c>
      <c r="X3381" s="87"/>
      <c r="Y3381" s="87"/>
      <c r="Z3381" s="87" t="s">
        <v>8614</v>
      </c>
      <c r="AA3381" s="87" t="s">
        <v>10907</v>
      </c>
      <c r="AB3381" s="87" t="s">
        <v>11448</v>
      </c>
      <c r="AC3381" s="93" t="s">
        <v>11459</v>
      </c>
      <c r="AD3381" s="87" t="s">
        <v>11519</v>
      </c>
      <c r="AE3381" s="92" t="str">
        <f>HYPERLINK("https://twitter.com/workshopdantas/status/1683241500468019200")</f>
        <v>https://twitter.com/workshopdantas/status/1683241500468019200</v>
      </c>
      <c r="AF3381" s="90">
        <v>45130.933113425926</v>
      </c>
      <c r="AG3381" s="99">
        <v>45130</v>
      </c>
      <c r="AH3381" s="93" t="s">
        <v>14499</v>
      </c>
      <c r="AI3381" s="87" t="b">
        <v>0</v>
      </c>
      <c r="AJ3381" s="87"/>
      <c r="AK3381" s="87"/>
      <c r="AL3381" s="87"/>
      <c r="AM3381" s="87"/>
      <c r="AN3381" s="87"/>
      <c r="AO3381" s="87"/>
      <c r="AP3381" s="87"/>
      <c r="AQ3381" s="87" t="s">
        <v>17719</v>
      </c>
      <c r="AR3381" s="87"/>
      <c r="AS3381" s="87"/>
      <c r="AT3381" s="87"/>
      <c r="AU3381" s="87"/>
      <c r="AV3381" s="92" t="str">
        <f>HYPERLINK("https://pbs.twimg.com/media/F1wTODlXgAMFYga.jpg")</f>
        <v>https://pbs.twimg.com/media/F1wTODlXgAMFYga.jpg</v>
      </c>
      <c r="AW3381" s="93" t="s">
        <v>21487</v>
      </c>
      <c r="AX3381" s="93" t="s">
        <v>21487</v>
      </c>
      <c r="AY3381" s="87"/>
      <c r="AZ3381" s="93" t="s">
        <v>22668</v>
      </c>
      <c r="BA3381" s="93" t="s">
        <v>22668</v>
      </c>
      <c r="BB3381" s="93" t="s">
        <v>22668</v>
      </c>
      <c r="BC3381" s="93" t="s">
        <v>21487</v>
      </c>
      <c r="BD3381" s="93" t="s">
        <v>23405</v>
      </c>
      <c r="BE3381" s="87"/>
      <c r="BF3381" s="87"/>
      <c r="BG3381" s="87"/>
      <c r="BH3381" s="87"/>
      <c r="BI3381" s="87"/>
    </row>
    <row r="3382" spans="1:61" x14ac:dyDescent="0.25">
      <c r="A3382" s="63" t="s">
        <v>1280</v>
      </c>
      <c r="B3382" s="63" t="s">
        <v>1280</v>
      </c>
      <c r="C3382" s="64"/>
      <c r="D3382" s="65"/>
      <c r="E3382" s="66"/>
      <c r="F3382" s="67"/>
      <c r="G3382" s="64"/>
      <c r="H3382" s="68"/>
      <c r="I3382" s="69"/>
      <c r="J3382" s="69"/>
      <c r="K3382" s="32"/>
      <c r="L3382" s="76">
        <v>3382</v>
      </c>
      <c r="M3382" s="76"/>
      <c r="N3382" s="71"/>
      <c r="O3382" s="87" t="s">
        <v>1839</v>
      </c>
      <c r="P3382" s="90">
        <v>45130.803900462961</v>
      </c>
      <c r="Q3382" s="87" t="s">
        <v>5059</v>
      </c>
      <c r="R3382" s="87">
        <v>0</v>
      </c>
      <c r="S3382" s="87">
        <v>0</v>
      </c>
      <c r="T3382" s="87">
        <v>1</v>
      </c>
      <c r="U3382" s="87">
        <v>0</v>
      </c>
      <c r="V3382" s="87">
        <v>87</v>
      </c>
      <c r="W3382" s="93" t="s">
        <v>7797</v>
      </c>
      <c r="X3382" s="87"/>
      <c r="Y3382" s="87"/>
      <c r="Z3382" s="87" t="s">
        <v>1280</v>
      </c>
      <c r="AA3382" s="87" t="s">
        <v>10931</v>
      </c>
      <c r="AB3382" s="87" t="s">
        <v>11448</v>
      </c>
      <c r="AC3382" s="93" t="s">
        <v>11459</v>
      </c>
      <c r="AD3382" s="87" t="s">
        <v>11519</v>
      </c>
      <c r="AE3382" s="92" t="str">
        <f>HYPERLINK("https://twitter.com/workshopdantas/status/1683194675224625152")</f>
        <v>https://twitter.com/workshopdantas/status/1683194675224625152</v>
      </c>
      <c r="AF3382" s="90">
        <v>45130.803900462961</v>
      </c>
      <c r="AG3382" s="99">
        <v>45130</v>
      </c>
      <c r="AH3382" s="93" t="s">
        <v>14522</v>
      </c>
      <c r="AI3382" s="87" t="b">
        <v>0</v>
      </c>
      <c r="AJ3382" s="87"/>
      <c r="AK3382" s="87"/>
      <c r="AL3382" s="87"/>
      <c r="AM3382" s="87"/>
      <c r="AN3382" s="87"/>
      <c r="AO3382" s="87"/>
      <c r="AP3382" s="87"/>
      <c r="AQ3382" s="87" t="s">
        <v>17743</v>
      </c>
      <c r="AR3382" s="87"/>
      <c r="AS3382" s="87"/>
      <c r="AT3382" s="87"/>
      <c r="AU3382" s="87"/>
      <c r="AV3382" s="92" t="str">
        <f>HYPERLINK("https://pbs.twimg.com/media/F1vomguWIAkOUZW.jpg")</f>
        <v>https://pbs.twimg.com/media/F1vomguWIAkOUZW.jpg</v>
      </c>
      <c r="AW3382" s="93" t="s">
        <v>21511</v>
      </c>
      <c r="AX3382" s="93" t="s">
        <v>21511</v>
      </c>
      <c r="AY3382" s="87"/>
      <c r="AZ3382" s="93" t="s">
        <v>22668</v>
      </c>
      <c r="BA3382" s="93" t="s">
        <v>22668</v>
      </c>
      <c r="BB3382" s="93" t="s">
        <v>22668</v>
      </c>
      <c r="BC3382" s="93" t="s">
        <v>21511</v>
      </c>
      <c r="BD3382" s="93" t="s">
        <v>23405</v>
      </c>
      <c r="BE3382" s="87"/>
      <c r="BF3382" s="87"/>
      <c r="BG3382" s="87"/>
      <c r="BH3382" s="87"/>
      <c r="BI3382" s="87"/>
    </row>
    <row r="3383" spans="1:61" x14ac:dyDescent="0.25">
      <c r="A3383" s="63" t="s">
        <v>1280</v>
      </c>
      <c r="B3383" s="63" t="s">
        <v>1280</v>
      </c>
      <c r="C3383" s="64"/>
      <c r="D3383" s="65"/>
      <c r="E3383" s="66"/>
      <c r="F3383" s="67"/>
      <c r="G3383" s="64"/>
      <c r="H3383" s="68"/>
      <c r="I3383" s="69"/>
      <c r="J3383" s="69"/>
      <c r="K3383" s="32"/>
      <c r="L3383" s="76">
        <v>3383</v>
      </c>
      <c r="M3383" s="76"/>
      <c r="N3383" s="71"/>
      <c r="O3383" s="87" t="s">
        <v>1839</v>
      </c>
      <c r="P3383" s="90">
        <v>45114.673032407409</v>
      </c>
      <c r="Q3383" s="87" t="s">
        <v>5060</v>
      </c>
      <c r="R3383" s="87">
        <v>0</v>
      </c>
      <c r="S3383" s="87">
        <v>2</v>
      </c>
      <c r="T3383" s="87">
        <v>0</v>
      </c>
      <c r="U3383" s="87">
        <v>0</v>
      </c>
      <c r="V3383" s="87">
        <v>46</v>
      </c>
      <c r="W3383" s="93" t="s">
        <v>7798</v>
      </c>
      <c r="X3383" s="87"/>
      <c r="Y3383" s="87"/>
      <c r="Z3383" s="87" t="s">
        <v>1280</v>
      </c>
      <c r="AA3383" s="87" t="s">
        <v>10932</v>
      </c>
      <c r="AB3383" s="87" t="s">
        <v>11448</v>
      </c>
      <c r="AC3383" s="93" t="s">
        <v>11459</v>
      </c>
      <c r="AD3383" s="87" t="s">
        <v>11519</v>
      </c>
      <c r="AE3383" s="92" t="str">
        <f>HYPERLINK("https://twitter.com/workshopdantas/status/1677349043318472705")</f>
        <v>https://twitter.com/workshopdantas/status/1677349043318472705</v>
      </c>
      <c r="AF3383" s="90">
        <v>45114.673032407409</v>
      </c>
      <c r="AG3383" s="99">
        <v>45114</v>
      </c>
      <c r="AH3383" s="93" t="s">
        <v>14523</v>
      </c>
      <c r="AI3383" s="87" t="b">
        <v>0</v>
      </c>
      <c r="AJ3383" s="87"/>
      <c r="AK3383" s="87"/>
      <c r="AL3383" s="87"/>
      <c r="AM3383" s="87"/>
      <c r="AN3383" s="87"/>
      <c r="AO3383" s="87"/>
      <c r="AP3383" s="87"/>
      <c r="AQ3383" s="87" t="s">
        <v>17744</v>
      </c>
      <c r="AR3383" s="87"/>
      <c r="AS3383" s="87"/>
      <c r="AT3383" s="87"/>
      <c r="AU3383" s="87"/>
      <c r="AV3383" s="92" t="str">
        <f>HYPERLINK("https://pbs.twimg.com/media/F0ckDzjWYAIpJEN.jpg")</f>
        <v>https://pbs.twimg.com/media/F0ckDzjWYAIpJEN.jpg</v>
      </c>
      <c r="AW3383" s="93" t="s">
        <v>21512</v>
      </c>
      <c r="AX3383" s="93" t="s">
        <v>21512</v>
      </c>
      <c r="AY3383" s="87"/>
      <c r="AZ3383" s="93" t="s">
        <v>22668</v>
      </c>
      <c r="BA3383" s="93" t="s">
        <v>22668</v>
      </c>
      <c r="BB3383" s="93" t="s">
        <v>22668</v>
      </c>
      <c r="BC3383" s="93" t="s">
        <v>21512</v>
      </c>
      <c r="BD3383" s="93" t="s">
        <v>23405</v>
      </c>
      <c r="BE3383" s="87"/>
      <c r="BF3383" s="87"/>
      <c r="BG3383" s="87"/>
      <c r="BH3383" s="87"/>
      <c r="BI3383" s="87"/>
    </row>
    <row r="3384" spans="1:61" x14ac:dyDescent="0.25">
      <c r="A3384" s="63" t="s">
        <v>1280</v>
      </c>
      <c r="B3384" s="63" t="s">
        <v>1280</v>
      </c>
      <c r="C3384" s="64"/>
      <c r="D3384" s="65"/>
      <c r="E3384" s="66"/>
      <c r="F3384" s="67"/>
      <c r="G3384" s="64"/>
      <c r="H3384" s="68"/>
      <c r="I3384" s="69"/>
      <c r="J3384" s="69"/>
      <c r="K3384" s="32"/>
      <c r="L3384" s="76">
        <v>3384</v>
      </c>
      <c r="M3384" s="76"/>
      <c r="N3384" s="71"/>
      <c r="O3384" s="87" t="s">
        <v>1839</v>
      </c>
      <c r="P3384" s="90">
        <v>45153.462916666664</v>
      </c>
      <c r="Q3384" s="87" t="s">
        <v>5061</v>
      </c>
      <c r="R3384" s="87">
        <v>0</v>
      </c>
      <c r="S3384" s="87">
        <v>0</v>
      </c>
      <c r="T3384" s="87">
        <v>0</v>
      </c>
      <c r="U3384" s="87">
        <v>0</v>
      </c>
      <c r="V3384" s="87">
        <v>68</v>
      </c>
      <c r="W3384" s="93" t="s">
        <v>7799</v>
      </c>
      <c r="X3384" s="87"/>
      <c r="Y3384" s="87"/>
      <c r="Z3384" s="87" t="s">
        <v>1280</v>
      </c>
      <c r="AA3384" s="87" t="s">
        <v>10933</v>
      </c>
      <c r="AB3384" s="87" t="s">
        <v>11448</v>
      </c>
      <c r="AC3384" s="93" t="s">
        <v>11459</v>
      </c>
      <c r="AD3384" s="87" t="s">
        <v>11519</v>
      </c>
      <c r="AE3384" s="92" t="str">
        <f>HYPERLINK("https://twitter.com/workshopdantas/status/1691406026443046912")</f>
        <v>https://twitter.com/workshopdantas/status/1691406026443046912</v>
      </c>
      <c r="AF3384" s="90">
        <v>45153.462916666664</v>
      </c>
      <c r="AG3384" s="99">
        <v>45153</v>
      </c>
      <c r="AH3384" s="93" t="s">
        <v>14524</v>
      </c>
      <c r="AI3384" s="87" t="b">
        <v>0</v>
      </c>
      <c r="AJ3384" s="87"/>
      <c r="AK3384" s="87"/>
      <c r="AL3384" s="87"/>
      <c r="AM3384" s="87"/>
      <c r="AN3384" s="87"/>
      <c r="AO3384" s="87"/>
      <c r="AP3384" s="87"/>
      <c r="AQ3384" s="87" t="s">
        <v>17745</v>
      </c>
      <c r="AR3384" s="87"/>
      <c r="AS3384" s="87"/>
      <c r="AT3384" s="87"/>
      <c r="AU3384" s="87"/>
      <c r="AV3384" s="92" t="str">
        <f>HYPERLINK("https://pbs.twimg.com/media/F3kU0VWWUAA5nDy.jpg")</f>
        <v>https://pbs.twimg.com/media/F3kU0VWWUAA5nDy.jpg</v>
      </c>
      <c r="AW3384" s="93" t="s">
        <v>21513</v>
      </c>
      <c r="AX3384" s="93" t="s">
        <v>21513</v>
      </c>
      <c r="AY3384" s="87"/>
      <c r="AZ3384" s="93" t="s">
        <v>22668</v>
      </c>
      <c r="BA3384" s="93" t="s">
        <v>22668</v>
      </c>
      <c r="BB3384" s="93" t="s">
        <v>22668</v>
      </c>
      <c r="BC3384" s="93" t="s">
        <v>21513</v>
      </c>
      <c r="BD3384" s="93" t="s">
        <v>23405</v>
      </c>
      <c r="BE3384" s="87"/>
      <c r="BF3384" s="87"/>
      <c r="BG3384" s="87"/>
      <c r="BH3384" s="87"/>
      <c r="BI3384" s="87"/>
    </row>
    <row r="3385" spans="1:61" x14ac:dyDescent="0.25">
      <c r="A3385" s="63" t="s">
        <v>1280</v>
      </c>
      <c r="B3385" s="63" t="s">
        <v>1280</v>
      </c>
      <c r="C3385" s="64"/>
      <c r="D3385" s="65"/>
      <c r="E3385" s="66"/>
      <c r="F3385" s="67"/>
      <c r="G3385" s="64"/>
      <c r="H3385" s="68"/>
      <c r="I3385" s="69"/>
      <c r="J3385" s="69"/>
      <c r="K3385" s="32"/>
      <c r="L3385" s="76">
        <v>3385</v>
      </c>
      <c r="M3385" s="76"/>
      <c r="N3385" s="71"/>
      <c r="O3385" s="87" t="s">
        <v>1839</v>
      </c>
      <c r="P3385" s="90">
        <v>45152.88616898148</v>
      </c>
      <c r="Q3385" s="87" t="s">
        <v>5062</v>
      </c>
      <c r="R3385" s="87">
        <v>1</v>
      </c>
      <c r="S3385" s="87">
        <v>3</v>
      </c>
      <c r="T3385" s="87">
        <v>0</v>
      </c>
      <c r="U3385" s="87">
        <v>1</v>
      </c>
      <c r="V3385" s="87">
        <v>114</v>
      </c>
      <c r="W3385" s="93" t="s">
        <v>7800</v>
      </c>
      <c r="X3385" s="87"/>
      <c r="Y3385" s="87"/>
      <c r="Z3385" s="87" t="s">
        <v>1280</v>
      </c>
      <c r="AA3385" s="87" t="s">
        <v>10934</v>
      </c>
      <c r="AB3385" s="87" t="s">
        <v>11448</v>
      </c>
      <c r="AC3385" s="93" t="s">
        <v>11459</v>
      </c>
      <c r="AD3385" s="87" t="s">
        <v>11519</v>
      </c>
      <c r="AE3385" s="92" t="str">
        <f>HYPERLINK("https://twitter.com/workshopdantas/status/1691197020650795009")</f>
        <v>https://twitter.com/workshopdantas/status/1691197020650795009</v>
      </c>
      <c r="AF3385" s="90">
        <v>45152.88616898148</v>
      </c>
      <c r="AG3385" s="99">
        <v>45152</v>
      </c>
      <c r="AH3385" s="93" t="s">
        <v>14525</v>
      </c>
      <c r="AI3385" s="87" t="b">
        <v>0</v>
      </c>
      <c r="AJ3385" s="87"/>
      <c r="AK3385" s="87"/>
      <c r="AL3385" s="87"/>
      <c r="AM3385" s="87"/>
      <c r="AN3385" s="87"/>
      <c r="AO3385" s="87"/>
      <c r="AP3385" s="87"/>
      <c r="AQ3385" s="87" t="s">
        <v>17746</v>
      </c>
      <c r="AR3385" s="87"/>
      <c r="AS3385" s="87"/>
      <c r="AT3385" s="87"/>
      <c r="AU3385" s="87"/>
      <c r="AV3385" s="92" t="str">
        <f>HYPERLINK("https://pbs.twimg.com/media/F3hWuRAXUAE7LuQ.jpg")</f>
        <v>https://pbs.twimg.com/media/F3hWuRAXUAE7LuQ.jpg</v>
      </c>
      <c r="AW3385" s="93" t="s">
        <v>21514</v>
      </c>
      <c r="AX3385" s="93" t="s">
        <v>21514</v>
      </c>
      <c r="AY3385" s="87"/>
      <c r="AZ3385" s="93" t="s">
        <v>22668</v>
      </c>
      <c r="BA3385" s="93" t="s">
        <v>22668</v>
      </c>
      <c r="BB3385" s="93" t="s">
        <v>22668</v>
      </c>
      <c r="BC3385" s="93" t="s">
        <v>21514</v>
      </c>
      <c r="BD3385" s="93" t="s">
        <v>23405</v>
      </c>
      <c r="BE3385" s="87"/>
      <c r="BF3385" s="87"/>
      <c r="BG3385" s="87"/>
      <c r="BH3385" s="87"/>
      <c r="BI3385" s="87"/>
    </row>
    <row r="3386" spans="1:61" x14ac:dyDescent="0.25">
      <c r="A3386" s="63" t="s">
        <v>1280</v>
      </c>
      <c r="B3386" s="63" t="s">
        <v>1280</v>
      </c>
      <c r="C3386" s="64"/>
      <c r="D3386" s="65"/>
      <c r="E3386" s="66"/>
      <c r="F3386" s="67"/>
      <c r="G3386" s="64"/>
      <c r="H3386" s="68"/>
      <c r="I3386" s="69"/>
      <c r="J3386" s="69"/>
      <c r="K3386" s="32"/>
      <c r="L3386" s="76">
        <v>3386</v>
      </c>
      <c r="M3386" s="76"/>
      <c r="N3386" s="71"/>
      <c r="O3386" s="87" t="s">
        <v>1839</v>
      </c>
      <c r="P3386" s="90">
        <v>45140.39130787037</v>
      </c>
      <c r="Q3386" s="87" t="s">
        <v>5063</v>
      </c>
      <c r="R3386" s="87">
        <v>0</v>
      </c>
      <c r="S3386" s="87">
        <v>0</v>
      </c>
      <c r="T3386" s="87">
        <v>0</v>
      </c>
      <c r="U3386" s="87">
        <v>0</v>
      </c>
      <c r="V3386" s="87">
        <v>43</v>
      </c>
      <c r="W3386" s="93" t="s">
        <v>7801</v>
      </c>
      <c r="X3386" s="87"/>
      <c r="Y3386" s="87"/>
      <c r="Z3386" s="87" t="s">
        <v>1280</v>
      </c>
      <c r="AA3386" s="87" t="s">
        <v>10935</v>
      </c>
      <c r="AB3386" s="87" t="s">
        <v>11448</v>
      </c>
      <c r="AC3386" s="93" t="s">
        <v>11459</v>
      </c>
      <c r="AD3386" s="87" t="s">
        <v>11519</v>
      </c>
      <c r="AE3386" s="92" t="str">
        <f>HYPERLINK("https://twitter.com/workshopdantas/status/1686669033364418560")</f>
        <v>https://twitter.com/workshopdantas/status/1686669033364418560</v>
      </c>
      <c r="AF3386" s="90">
        <v>45140.39130787037</v>
      </c>
      <c r="AG3386" s="99">
        <v>45140</v>
      </c>
      <c r="AH3386" s="93" t="s">
        <v>14526</v>
      </c>
      <c r="AI3386" s="87" t="b">
        <v>0</v>
      </c>
      <c r="AJ3386" s="87"/>
      <c r="AK3386" s="87"/>
      <c r="AL3386" s="87"/>
      <c r="AM3386" s="87"/>
      <c r="AN3386" s="87"/>
      <c r="AO3386" s="87"/>
      <c r="AP3386" s="87"/>
      <c r="AQ3386" s="87" t="s">
        <v>17747</v>
      </c>
      <c r="AR3386" s="87"/>
      <c r="AS3386" s="87"/>
      <c r="AT3386" s="87"/>
      <c r="AU3386" s="87"/>
      <c r="AV3386" s="92" t="str">
        <f>HYPERLINK("https://pbs.twimg.com/media/F2hAjCnXwAAM6pR.jpg")</f>
        <v>https://pbs.twimg.com/media/F2hAjCnXwAAM6pR.jpg</v>
      </c>
      <c r="AW3386" s="93" t="s">
        <v>21515</v>
      </c>
      <c r="AX3386" s="93" t="s">
        <v>21515</v>
      </c>
      <c r="AY3386" s="87"/>
      <c r="AZ3386" s="93" t="s">
        <v>22668</v>
      </c>
      <c r="BA3386" s="93" t="s">
        <v>22668</v>
      </c>
      <c r="BB3386" s="93" t="s">
        <v>22668</v>
      </c>
      <c r="BC3386" s="93" t="s">
        <v>21515</v>
      </c>
      <c r="BD3386" s="93" t="s">
        <v>23405</v>
      </c>
      <c r="BE3386" s="87"/>
      <c r="BF3386" s="87"/>
      <c r="BG3386" s="87"/>
      <c r="BH3386" s="87"/>
      <c r="BI3386" s="87"/>
    </row>
    <row r="3387" spans="1:61" x14ac:dyDescent="0.25">
      <c r="A3387" s="63" t="s">
        <v>1280</v>
      </c>
      <c r="B3387" s="63" t="s">
        <v>1280</v>
      </c>
      <c r="C3387" s="64"/>
      <c r="D3387" s="65"/>
      <c r="E3387" s="66"/>
      <c r="F3387" s="67"/>
      <c r="G3387" s="64"/>
      <c r="H3387" s="68"/>
      <c r="I3387" s="69"/>
      <c r="J3387" s="69"/>
      <c r="K3387" s="32"/>
      <c r="L3387" s="76">
        <v>3387</v>
      </c>
      <c r="M3387" s="76"/>
      <c r="N3387" s="71"/>
      <c r="O3387" s="87" t="s">
        <v>1839</v>
      </c>
      <c r="P3387" s="90">
        <v>45139.490671296298</v>
      </c>
      <c r="Q3387" s="87" t="s">
        <v>5064</v>
      </c>
      <c r="R3387" s="87">
        <v>0</v>
      </c>
      <c r="S3387" s="87">
        <v>2</v>
      </c>
      <c r="T3387" s="87">
        <v>0</v>
      </c>
      <c r="U3387" s="87">
        <v>0</v>
      </c>
      <c r="V3387" s="87">
        <v>77</v>
      </c>
      <c r="W3387" s="93" t="s">
        <v>7802</v>
      </c>
      <c r="X3387" s="87"/>
      <c r="Y3387" s="87"/>
      <c r="Z3387" s="87" t="s">
        <v>1280</v>
      </c>
      <c r="AA3387" s="87" t="s">
        <v>10936</v>
      </c>
      <c r="AB3387" s="87" t="s">
        <v>11448</v>
      </c>
      <c r="AC3387" s="93" t="s">
        <v>11459</v>
      </c>
      <c r="AD3387" s="87" t="s">
        <v>11519</v>
      </c>
      <c r="AE3387" s="92" t="str">
        <f>HYPERLINK("https://twitter.com/workshopdantas/status/1686342654907334656")</f>
        <v>https://twitter.com/workshopdantas/status/1686342654907334656</v>
      </c>
      <c r="AF3387" s="90">
        <v>45139.490671296298</v>
      </c>
      <c r="AG3387" s="99">
        <v>45139</v>
      </c>
      <c r="AH3387" s="93" t="s">
        <v>14527</v>
      </c>
      <c r="AI3387" s="87" t="b">
        <v>0</v>
      </c>
      <c r="AJ3387" s="87"/>
      <c r="AK3387" s="87"/>
      <c r="AL3387" s="87"/>
      <c r="AM3387" s="87"/>
      <c r="AN3387" s="87"/>
      <c r="AO3387" s="87"/>
      <c r="AP3387" s="87"/>
      <c r="AQ3387" s="87" t="s">
        <v>17748</v>
      </c>
      <c r="AR3387" s="87"/>
      <c r="AS3387" s="87"/>
      <c r="AT3387" s="87"/>
      <c r="AU3387" s="87"/>
      <c r="AV3387" s="92" t="str">
        <f>HYPERLINK("https://pbs.twimg.com/media/F2cXtRaWUAAhdOr.jpg")</f>
        <v>https://pbs.twimg.com/media/F2cXtRaWUAAhdOr.jpg</v>
      </c>
      <c r="AW3387" s="93" t="s">
        <v>21516</v>
      </c>
      <c r="AX3387" s="93" t="s">
        <v>21516</v>
      </c>
      <c r="AY3387" s="87"/>
      <c r="AZ3387" s="93" t="s">
        <v>22668</v>
      </c>
      <c r="BA3387" s="93" t="s">
        <v>22668</v>
      </c>
      <c r="BB3387" s="93" t="s">
        <v>22668</v>
      </c>
      <c r="BC3387" s="93" t="s">
        <v>21516</v>
      </c>
      <c r="BD3387" s="93" t="s">
        <v>23405</v>
      </c>
      <c r="BE3387" s="87"/>
      <c r="BF3387" s="87"/>
      <c r="BG3387" s="87"/>
      <c r="BH3387" s="87"/>
      <c r="BI3387" s="87"/>
    </row>
    <row r="3388" spans="1:61" x14ac:dyDescent="0.25">
      <c r="A3388" s="63" t="s">
        <v>1280</v>
      </c>
      <c r="B3388" s="63" t="s">
        <v>1280</v>
      </c>
      <c r="C3388" s="64"/>
      <c r="D3388" s="65"/>
      <c r="E3388" s="66"/>
      <c r="F3388" s="67"/>
      <c r="G3388" s="64"/>
      <c r="H3388" s="68"/>
      <c r="I3388" s="69"/>
      <c r="J3388" s="69"/>
      <c r="K3388" s="32"/>
      <c r="L3388" s="76">
        <v>3388</v>
      </c>
      <c r="M3388" s="76"/>
      <c r="N3388" s="71"/>
      <c r="O3388" s="87" t="s">
        <v>1839</v>
      </c>
      <c r="P3388" s="90">
        <v>45126.485706018517</v>
      </c>
      <c r="Q3388" s="87" t="s">
        <v>5065</v>
      </c>
      <c r="R3388" s="87">
        <v>0</v>
      </c>
      <c r="S3388" s="87">
        <v>1</v>
      </c>
      <c r="T3388" s="87">
        <v>0</v>
      </c>
      <c r="U3388" s="87">
        <v>0</v>
      </c>
      <c r="V3388" s="87">
        <v>58</v>
      </c>
      <c r="W3388" s="93" t="s">
        <v>7803</v>
      </c>
      <c r="X3388" s="87"/>
      <c r="Y3388" s="87"/>
      <c r="Z3388" s="87" t="s">
        <v>1280</v>
      </c>
      <c r="AA3388" s="87" t="s">
        <v>10937</v>
      </c>
      <c r="AB3388" s="87" t="s">
        <v>11448</v>
      </c>
      <c r="AC3388" s="93" t="s">
        <v>11459</v>
      </c>
      <c r="AD3388" s="87" t="s">
        <v>11519</v>
      </c>
      <c r="AE3388" s="92" t="str">
        <f>HYPERLINK("https://twitter.com/workshopdantas/status/1681629814459883520")</f>
        <v>https://twitter.com/workshopdantas/status/1681629814459883520</v>
      </c>
      <c r="AF3388" s="90">
        <v>45126.485706018517</v>
      </c>
      <c r="AG3388" s="99">
        <v>45126</v>
      </c>
      <c r="AH3388" s="93" t="s">
        <v>14528</v>
      </c>
      <c r="AI3388" s="87" t="b">
        <v>0</v>
      </c>
      <c r="AJ3388" s="87"/>
      <c r="AK3388" s="87"/>
      <c r="AL3388" s="87"/>
      <c r="AM3388" s="87"/>
      <c r="AN3388" s="87"/>
      <c r="AO3388" s="87"/>
      <c r="AP3388" s="87"/>
      <c r="AQ3388" s="87" t="s">
        <v>17749</v>
      </c>
      <c r="AR3388" s="87"/>
      <c r="AS3388" s="87"/>
      <c r="AT3388" s="87"/>
      <c r="AU3388" s="87"/>
      <c r="AV3388" s="92" t="str">
        <f>HYPERLINK("https://pbs.twimg.com/media/F1ZZZ27WAAA_Nxe.jpg")</f>
        <v>https://pbs.twimg.com/media/F1ZZZ27WAAA_Nxe.jpg</v>
      </c>
      <c r="AW3388" s="93" t="s">
        <v>21517</v>
      </c>
      <c r="AX3388" s="93" t="s">
        <v>21517</v>
      </c>
      <c r="AY3388" s="87"/>
      <c r="AZ3388" s="93" t="s">
        <v>22668</v>
      </c>
      <c r="BA3388" s="93" t="s">
        <v>22668</v>
      </c>
      <c r="BB3388" s="93" t="s">
        <v>22668</v>
      </c>
      <c r="BC3388" s="93" t="s">
        <v>21517</v>
      </c>
      <c r="BD3388" s="93" t="s">
        <v>23405</v>
      </c>
      <c r="BE3388" s="87"/>
      <c r="BF3388" s="87"/>
      <c r="BG3388" s="87"/>
      <c r="BH3388" s="87"/>
      <c r="BI3388" s="87"/>
    </row>
    <row r="3389" spans="1:61" x14ac:dyDescent="0.25">
      <c r="A3389" s="63" t="s">
        <v>1280</v>
      </c>
      <c r="B3389" s="63" t="s">
        <v>1280</v>
      </c>
      <c r="C3389" s="64"/>
      <c r="D3389" s="65"/>
      <c r="E3389" s="66"/>
      <c r="F3389" s="67"/>
      <c r="G3389" s="64"/>
      <c r="H3389" s="68"/>
      <c r="I3389" s="69"/>
      <c r="J3389" s="69"/>
      <c r="K3389" s="32"/>
      <c r="L3389" s="76">
        <v>3389</v>
      </c>
      <c r="M3389" s="76"/>
      <c r="N3389" s="71"/>
      <c r="O3389" s="87" t="s">
        <v>1839</v>
      </c>
      <c r="P3389" s="90">
        <v>45125.447685185187</v>
      </c>
      <c r="Q3389" s="87" t="s">
        <v>5066</v>
      </c>
      <c r="R3389" s="87">
        <v>0</v>
      </c>
      <c r="S3389" s="87">
        <v>0</v>
      </c>
      <c r="T3389" s="87">
        <v>1</v>
      </c>
      <c r="U3389" s="87">
        <v>0</v>
      </c>
      <c r="V3389" s="87">
        <v>42</v>
      </c>
      <c r="W3389" s="93" t="s">
        <v>7804</v>
      </c>
      <c r="X3389" s="87"/>
      <c r="Y3389" s="87"/>
      <c r="Z3389" s="87" t="s">
        <v>1280</v>
      </c>
      <c r="AA3389" s="87" t="s">
        <v>10938</v>
      </c>
      <c r="AB3389" s="87" t="s">
        <v>11448</v>
      </c>
      <c r="AC3389" s="93" t="s">
        <v>11459</v>
      </c>
      <c r="AD3389" s="87" t="s">
        <v>11519</v>
      </c>
      <c r="AE3389" s="92" t="str">
        <f>HYPERLINK("https://twitter.com/workshopdantas/status/1681253645877145600")</f>
        <v>https://twitter.com/workshopdantas/status/1681253645877145600</v>
      </c>
      <c r="AF3389" s="90">
        <v>45125.447685185187</v>
      </c>
      <c r="AG3389" s="99">
        <v>45125</v>
      </c>
      <c r="AH3389" s="93" t="s">
        <v>14529</v>
      </c>
      <c r="AI3389" s="87" t="b">
        <v>0</v>
      </c>
      <c r="AJ3389" s="87"/>
      <c r="AK3389" s="87"/>
      <c r="AL3389" s="87"/>
      <c r="AM3389" s="87"/>
      <c r="AN3389" s="87"/>
      <c r="AO3389" s="87"/>
      <c r="AP3389" s="87"/>
      <c r="AQ3389" s="87" t="s">
        <v>17750</v>
      </c>
      <c r="AR3389" s="87"/>
      <c r="AS3389" s="87"/>
      <c r="AT3389" s="87"/>
      <c r="AU3389" s="87"/>
      <c r="AV3389" s="92" t="str">
        <f>HYPERLINK("https://pbs.twimg.com/media/F1UDR-MXsAA3UbA.jpg")</f>
        <v>https://pbs.twimg.com/media/F1UDR-MXsAA3UbA.jpg</v>
      </c>
      <c r="AW3389" s="93" t="s">
        <v>21518</v>
      </c>
      <c r="AX3389" s="93" t="s">
        <v>21518</v>
      </c>
      <c r="AY3389" s="87"/>
      <c r="AZ3389" s="93" t="s">
        <v>22668</v>
      </c>
      <c r="BA3389" s="93" t="s">
        <v>22668</v>
      </c>
      <c r="BB3389" s="93" t="s">
        <v>22668</v>
      </c>
      <c r="BC3389" s="93" t="s">
        <v>21518</v>
      </c>
      <c r="BD3389" s="93" t="s">
        <v>23405</v>
      </c>
      <c r="BE3389" s="87"/>
      <c r="BF3389" s="87"/>
      <c r="BG3389" s="87"/>
      <c r="BH3389" s="87"/>
      <c r="BI3389" s="87"/>
    </row>
    <row r="3390" spans="1:61" x14ac:dyDescent="0.25">
      <c r="A3390" s="63" t="s">
        <v>1280</v>
      </c>
      <c r="B3390" s="63" t="s">
        <v>1280</v>
      </c>
      <c r="C3390" s="64"/>
      <c r="D3390" s="65"/>
      <c r="E3390" s="66"/>
      <c r="F3390" s="67"/>
      <c r="G3390" s="64"/>
      <c r="H3390" s="68"/>
      <c r="I3390" s="69"/>
      <c r="J3390" s="69"/>
      <c r="K3390" s="32"/>
      <c r="L3390" s="76">
        <v>3390</v>
      </c>
      <c r="M3390" s="76"/>
      <c r="N3390" s="71"/>
      <c r="O3390" s="87" t="s">
        <v>1839</v>
      </c>
      <c r="P3390" s="90">
        <v>45125.134826388887</v>
      </c>
      <c r="Q3390" s="87" t="s">
        <v>5067</v>
      </c>
      <c r="R3390" s="87">
        <v>0</v>
      </c>
      <c r="S3390" s="87">
        <v>0</v>
      </c>
      <c r="T3390" s="87">
        <v>0</v>
      </c>
      <c r="U3390" s="87">
        <v>0</v>
      </c>
      <c r="V3390" s="87">
        <v>32</v>
      </c>
      <c r="W3390" s="93" t="s">
        <v>7805</v>
      </c>
      <c r="X3390" s="87"/>
      <c r="Y3390" s="87"/>
      <c r="Z3390" s="87" t="s">
        <v>1280</v>
      </c>
      <c r="AA3390" s="87" t="s">
        <v>10939</v>
      </c>
      <c r="AB3390" s="87" t="s">
        <v>11448</v>
      </c>
      <c r="AC3390" s="93" t="s">
        <v>11459</v>
      </c>
      <c r="AD3390" s="87" t="s">
        <v>11519</v>
      </c>
      <c r="AE3390" s="92" t="str">
        <f>HYPERLINK("https://twitter.com/workshopdantas/status/1681140271373754370")</f>
        <v>https://twitter.com/workshopdantas/status/1681140271373754370</v>
      </c>
      <c r="AF3390" s="90">
        <v>45125.134826388887</v>
      </c>
      <c r="AG3390" s="99">
        <v>45125</v>
      </c>
      <c r="AH3390" s="93" t="s">
        <v>14530</v>
      </c>
      <c r="AI3390" s="87" t="b">
        <v>0</v>
      </c>
      <c r="AJ3390" s="87"/>
      <c r="AK3390" s="87"/>
      <c r="AL3390" s="87"/>
      <c r="AM3390" s="87"/>
      <c r="AN3390" s="87"/>
      <c r="AO3390" s="87"/>
      <c r="AP3390" s="87"/>
      <c r="AQ3390" s="87" t="s">
        <v>17751</v>
      </c>
      <c r="AR3390" s="87"/>
      <c r="AS3390" s="87"/>
      <c r="AT3390" s="87"/>
      <c r="AU3390" s="87"/>
      <c r="AV3390" s="92" t="str">
        <f>HYPERLINK("https://pbs.twimg.com/media/F1ScKvvWAAArolX.jpg")</f>
        <v>https://pbs.twimg.com/media/F1ScKvvWAAArolX.jpg</v>
      </c>
      <c r="AW3390" s="93" t="s">
        <v>21519</v>
      </c>
      <c r="AX3390" s="93" t="s">
        <v>21519</v>
      </c>
      <c r="AY3390" s="87"/>
      <c r="AZ3390" s="93" t="s">
        <v>22668</v>
      </c>
      <c r="BA3390" s="93" t="s">
        <v>22668</v>
      </c>
      <c r="BB3390" s="93" t="s">
        <v>22668</v>
      </c>
      <c r="BC3390" s="93" t="s">
        <v>21519</v>
      </c>
      <c r="BD3390" s="93" t="s">
        <v>23405</v>
      </c>
      <c r="BE3390" s="87"/>
      <c r="BF3390" s="87"/>
      <c r="BG3390" s="87"/>
      <c r="BH3390" s="87"/>
      <c r="BI3390" s="87"/>
    </row>
    <row r="3391" spans="1:61" x14ac:dyDescent="0.25">
      <c r="A3391" s="63" t="s">
        <v>1280</v>
      </c>
      <c r="B3391" s="63" t="s">
        <v>1280</v>
      </c>
      <c r="C3391" s="64"/>
      <c r="D3391" s="65"/>
      <c r="E3391" s="66"/>
      <c r="F3391" s="67"/>
      <c r="G3391" s="64"/>
      <c r="H3391" s="68"/>
      <c r="I3391" s="69"/>
      <c r="J3391" s="69"/>
      <c r="K3391" s="32"/>
      <c r="L3391" s="76">
        <v>3391</v>
      </c>
      <c r="M3391" s="76"/>
      <c r="N3391" s="71"/>
      <c r="O3391" s="87" t="s">
        <v>1839</v>
      </c>
      <c r="P3391" s="90">
        <v>45162.543738425928</v>
      </c>
      <c r="Q3391" s="87" t="s">
        <v>5068</v>
      </c>
      <c r="R3391" s="87">
        <v>0</v>
      </c>
      <c r="S3391" s="87">
        <v>0</v>
      </c>
      <c r="T3391" s="87">
        <v>0</v>
      </c>
      <c r="U3391" s="87">
        <v>0</v>
      </c>
      <c r="V3391" s="87">
        <v>195</v>
      </c>
      <c r="W3391" s="93" t="s">
        <v>7806</v>
      </c>
      <c r="X3391" s="87"/>
      <c r="Y3391" s="87"/>
      <c r="Z3391" s="87" t="s">
        <v>1280</v>
      </c>
      <c r="AA3391" s="87" t="s">
        <v>10940</v>
      </c>
      <c r="AB3391" s="87" t="s">
        <v>11448</v>
      </c>
      <c r="AC3391" s="93" t="s">
        <v>11459</v>
      </c>
      <c r="AD3391" s="87" t="s">
        <v>11519</v>
      </c>
      <c r="AE3391" s="92" t="str">
        <f>HYPERLINK("https://twitter.com/workshopdantas/status/1694696806636999058")</f>
        <v>https://twitter.com/workshopdantas/status/1694696806636999058</v>
      </c>
      <c r="AF3391" s="90">
        <v>45162.543738425928</v>
      </c>
      <c r="AG3391" s="99">
        <v>45162</v>
      </c>
      <c r="AH3391" s="93" t="s">
        <v>14531</v>
      </c>
      <c r="AI3391" s="87" t="b">
        <v>0</v>
      </c>
      <c r="AJ3391" s="87"/>
      <c r="AK3391" s="87"/>
      <c r="AL3391" s="87"/>
      <c r="AM3391" s="87"/>
      <c r="AN3391" s="87"/>
      <c r="AO3391" s="87"/>
      <c r="AP3391" s="87"/>
      <c r="AQ3391" s="87" t="s">
        <v>17752</v>
      </c>
      <c r="AR3391" s="87"/>
      <c r="AS3391" s="87"/>
      <c r="AT3391" s="87"/>
      <c r="AU3391" s="87"/>
      <c r="AV3391" s="92" t="str">
        <f>HYPERLINK("https://pbs.twimg.com/media/F4TFw6BWcAAhAvN.jpg")</f>
        <v>https://pbs.twimg.com/media/F4TFw6BWcAAhAvN.jpg</v>
      </c>
      <c r="AW3391" s="93" t="s">
        <v>21520</v>
      </c>
      <c r="AX3391" s="93" t="s">
        <v>21520</v>
      </c>
      <c r="AY3391" s="87"/>
      <c r="AZ3391" s="93" t="s">
        <v>22668</v>
      </c>
      <c r="BA3391" s="93" t="s">
        <v>22668</v>
      </c>
      <c r="BB3391" s="93" t="s">
        <v>22668</v>
      </c>
      <c r="BC3391" s="93" t="s">
        <v>21520</v>
      </c>
      <c r="BD3391" s="93" t="s">
        <v>23405</v>
      </c>
      <c r="BE3391" s="87"/>
      <c r="BF3391" s="87"/>
      <c r="BG3391" s="87"/>
      <c r="BH3391" s="87"/>
      <c r="BI3391" s="87"/>
    </row>
    <row r="3392" spans="1:61" x14ac:dyDescent="0.25">
      <c r="A3392" s="63" t="s">
        <v>1280</v>
      </c>
      <c r="B3392" s="63" t="s">
        <v>1280</v>
      </c>
      <c r="C3392" s="64"/>
      <c r="D3392" s="65"/>
      <c r="E3392" s="66"/>
      <c r="F3392" s="67"/>
      <c r="G3392" s="64"/>
      <c r="H3392" s="68"/>
      <c r="I3392" s="69"/>
      <c r="J3392" s="69"/>
      <c r="K3392" s="32"/>
      <c r="L3392" s="76">
        <v>3392</v>
      </c>
      <c r="M3392" s="76"/>
      <c r="N3392" s="71"/>
      <c r="O3392" s="87" t="s">
        <v>1839</v>
      </c>
      <c r="P3392" s="90">
        <v>45148.500833333332</v>
      </c>
      <c r="Q3392" s="87" t="s">
        <v>5069</v>
      </c>
      <c r="R3392" s="87">
        <v>0</v>
      </c>
      <c r="S3392" s="87">
        <v>0</v>
      </c>
      <c r="T3392" s="87">
        <v>0</v>
      </c>
      <c r="U3392" s="87">
        <v>0</v>
      </c>
      <c r="V3392" s="87">
        <v>43</v>
      </c>
      <c r="W3392" s="93" t="s">
        <v>7777</v>
      </c>
      <c r="X3392" s="87"/>
      <c r="Y3392" s="87"/>
      <c r="Z3392" s="87" t="s">
        <v>1280</v>
      </c>
      <c r="AA3392" s="87" t="s">
        <v>10941</v>
      </c>
      <c r="AB3392" s="87" t="s">
        <v>11448</v>
      </c>
      <c r="AC3392" s="93" t="s">
        <v>11459</v>
      </c>
      <c r="AD3392" s="87" t="s">
        <v>11519</v>
      </c>
      <c r="AE3392" s="92" t="str">
        <f>HYPERLINK("https://twitter.com/workshopdantas/status/1689607828128792576")</f>
        <v>https://twitter.com/workshopdantas/status/1689607828128792576</v>
      </c>
      <c r="AF3392" s="90">
        <v>45148.500833333332</v>
      </c>
      <c r="AG3392" s="99">
        <v>45148</v>
      </c>
      <c r="AH3392" s="93" t="s">
        <v>14532</v>
      </c>
      <c r="AI3392" s="87" t="b">
        <v>0</v>
      </c>
      <c r="AJ3392" s="87"/>
      <c r="AK3392" s="87"/>
      <c r="AL3392" s="87"/>
      <c r="AM3392" s="87"/>
      <c r="AN3392" s="87"/>
      <c r="AO3392" s="87"/>
      <c r="AP3392" s="87"/>
      <c r="AQ3392" s="87" t="s">
        <v>17753</v>
      </c>
      <c r="AR3392" s="87"/>
      <c r="AS3392" s="87"/>
      <c r="AT3392" s="87"/>
      <c r="AU3392" s="87"/>
      <c r="AV3392" s="92" t="str">
        <f>HYPERLINK("https://pbs.twimg.com/media/F3KxXYuWYAEAa0A.jpg")</f>
        <v>https://pbs.twimg.com/media/F3KxXYuWYAEAa0A.jpg</v>
      </c>
      <c r="AW3392" s="93" t="s">
        <v>21521</v>
      </c>
      <c r="AX3392" s="93" t="s">
        <v>21521</v>
      </c>
      <c r="AY3392" s="87"/>
      <c r="AZ3392" s="93" t="s">
        <v>22668</v>
      </c>
      <c r="BA3392" s="93" t="s">
        <v>22668</v>
      </c>
      <c r="BB3392" s="93" t="s">
        <v>22668</v>
      </c>
      <c r="BC3392" s="93" t="s">
        <v>21521</v>
      </c>
      <c r="BD3392" s="93" t="s">
        <v>23405</v>
      </c>
      <c r="BE3392" s="87"/>
      <c r="BF3392" s="87"/>
      <c r="BG3392" s="87"/>
      <c r="BH3392" s="87"/>
      <c r="BI3392" s="87"/>
    </row>
    <row r="3393" spans="1:61" x14ac:dyDescent="0.25">
      <c r="A3393" s="63" t="s">
        <v>1280</v>
      </c>
      <c r="B3393" s="63" t="s">
        <v>1280</v>
      </c>
      <c r="C3393" s="64"/>
      <c r="D3393" s="65"/>
      <c r="E3393" s="66"/>
      <c r="F3393" s="67"/>
      <c r="G3393" s="64"/>
      <c r="H3393" s="68"/>
      <c r="I3393" s="69"/>
      <c r="J3393" s="69"/>
      <c r="K3393" s="32"/>
      <c r="L3393" s="76">
        <v>3393</v>
      </c>
      <c r="M3393" s="76"/>
      <c r="N3393" s="71"/>
      <c r="O3393" s="87" t="s">
        <v>1839</v>
      </c>
      <c r="P3393" s="90">
        <v>45146.495069444441</v>
      </c>
      <c r="Q3393" s="87" t="s">
        <v>5070</v>
      </c>
      <c r="R3393" s="87">
        <v>1</v>
      </c>
      <c r="S3393" s="87">
        <v>0</v>
      </c>
      <c r="T3393" s="87">
        <v>1</v>
      </c>
      <c r="U3393" s="87">
        <v>0</v>
      </c>
      <c r="V3393" s="87">
        <v>87</v>
      </c>
      <c r="W3393" s="93" t="s">
        <v>7807</v>
      </c>
      <c r="X3393" s="87"/>
      <c r="Y3393" s="87"/>
      <c r="Z3393" s="87" t="s">
        <v>1280</v>
      </c>
      <c r="AA3393" s="87" t="s">
        <v>10942</v>
      </c>
      <c r="AB3393" s="87" t="s">
        <v>11448</v>
      </c>
      <c r="AC3393" s="93" t="s">
        <v>11459</v>
      </c>
      <c r="AD3393" s="87" t="s">
        <v>11519</v>
      </c>
      <c r="AE3393" s="92" t="str">
        <f>HYPERLINK("https://twitter.com/workshopdantas/status/1688880965605572610")</f>
        <v>https://twitter.com/workshopdantas/status/1688880965605572610</v>
      </c>
      <c r="AF3393" s="90">
        <v>45146.495069444441</v>
      </c>
      <c r="AG3393" s="99">
        <v>45146</v>
      </c>
      <c r="AH3393" s="93" t="s">
        <v>14533</v>
      </c>
      <c r="AI3393" s="87" t="b">
        <v>0</v>
      </c>
      <c r="AJ3393" s="87"/>
      <c r="AK3393" s="87"/>
      <c r="AL3393" s="87"/>
      <c r="AM3393" s="87"/>
      <c r="AN3393" s="87"/>
      <c r="AO3393" s="87"/>
      <c r="AP3393" s="87"/>
      <c r="AQ3393" s="87" t="s">
        <v>17754</v>
      </c>
      <c r="AR3393" s="87"/>
      <c r="AS3393" s="87"/>
      <c r="AT3393" s="87"/>
      <c r="AU3393" s="87"/>
      <c r="AV3393" s="92" t="str">
        <f>HYPERLINK("https://pbs.twimg.com/media/F3AcSdrXEAAZwWO.jpg")</f>
        <v>https://pbs.twimg.com/media/F3AcSdrXEAAZwWO.jpg</v>
      </c>
      <c r="AW3393" s="93" t="s">
        <v>21522</v>
      </c>
      <c r="AX3393" s="93" t="s">
        <v>21522</v>
      </c>
      <c r="AY3393" s="87"/>
      <c r="AZ3393" s="93" t="s">
        <v>22668</v>
      </c>
      <c r="BA3393" s="93" t="s">
        <v>22668</v>
      </c>
      <c r="BB3393" s="93" t="s">
        <v>22668</v>
      </c>
      <c r="BC3393" s="93" t="s">
        <v>21522</v>
      </c>
      <c r="BD3393" s="93" t="s">
        <v>23405</v>
      </c>
      <c r="BE3393" s="87"/>
      <c r="BF3393" s="87"/>
      <c r="BG3393" s="87"/>
      <c r="BH3393" s="87"/>
      <c r="BI3393" s="87"/>
    </row>
    <row r="3394" spans="1:61" x14ac:dyDescent="0.25">
      <c r="A3394" s="63" t="s">
        <v>1280</v>
      </c>
      <c r="B3394" s="63" t="s">
        <v>1280</v>
      </c>
      <c r="C3394" s="64"/>
      <c r="D3394" s="65"/>
      <c r="E3394" s="66"/>
      <c r="F3394" s="67"/>
      <c r="G3394" s="64"/>
      <c r="H3394" s="68"/>
      <c r="I3394" s="69"/>
      <c r="J3394" s="69"/>
      <c r="K3394" s="32"/>
      <c r="L3394" s="76">
        <v>3394</v>
      </c>
      <c r="M3394" s="76"/>
      <c r="N3394" s="71"/>
      <c r="O3394" s="87" t="s">
        <v>1839</v>
      </c>
      <c r="P3394" s="90">
        <v>45146.423935185187</v>
      </c>
      <c r="Q3394" s="87" t="s">
        <v>5071</v>
      </c>
      <c r="R3394" s="87">
        <v>0</v>
      </c>
      <c r="S3394" s="87">
        <v>1</v>
      </c>
      <c r="T3394" s="87">
        <v>0</v>
      </c>
      <c r="U3394" s="87">
        <v>0</v>
      </c>
      <c r="V3394" s="87">
        <v>47</v>
      </c>
      <c r="W3394" s="93" t="s">
        <v>7808</v>
      </c>
      <c r="X3394" s="87"/>
      <c r="Y3394" s="87"/>
      <c r="Z3394" s="87" t="s">
        <v>1280</v>
      </c>
      <c r="AA3394" s="87" t="s">
        <v>10943</v>
      </c>
      <c r="AB3394" s="87" t="s">
        <v>11448</v>
      </c>
      <c r="AC3394" s="93" t="s">
        <v>11459</v>
      </c>
      <c r="AD3394" s="87" t="s">
        <v>11519</v>
      </c>
      <c r="AE3394" s="92" t="str">
        <f>HYPERLINK("https://twitter.com/workshopdantas/status/1688855184489771009")</f>
        <v>https://twitter.com/workshopdantas/status/1688855184489771009</v>
      </c>
      <c r="AF3394" s="90">
        <v>45146.423935185187</v>
      </c>
      <c r="AG3394" s="99">
        <v>45146</v>
      </c>
      <c r="AH3394" s="93" t="s">
        <v>14534</v>
      </c>
      <c r="AI3394" s="87" t="b">
        <v>0</v>
      </c>
      <c r="AJ3394" s="87"/>
      <c r="AK3394" s="87"/>
      <c r="AL3394" s="87"/>
      <c r="AM3394" s="87"/>
      <c r="AN3394" s="87"/>
      <c r="AO3394" s="87"/>
      <c r="AP3394" s="87"/>
      <c r="AQ3394" s="87" t="s">
        <v>17755</v>
      </c>
      <c r="AR3394" s="87"/>
      <c r="AS3394" s="87"/>
      <c r="AT3394" s="87"/>
      <c r="AU3394" s="87"/>
      <c r="AV3394" s="92" t="str">
        <f>HYPERLINK("https://pbs.twimg.com/media/F3AE1xHXYAE8eQv.jpg")</f>
        <v>https://pbs.twimg.com/media/F3AE1xHXYAE8eQv.jpg</v>
      </c>
      <c r="AW3394" s="93" t="s">
        <v>21523</v>
      </c>
      <c r="AX3394" s="93" t="s">
        <v>21523</v>
      </c>
      <c r="AY3394" s="87"/>
      <c r="AZ3394" s="93" t="s">
        <v>22668</v>
      </c>
      <c r="BA3394" s="93" t="s">
        <v>22668</v>
      </c>
      <c r="BB3394" s="93" t="s">
        <v>22668</v>
      </c>
      <c r="BC3394" s="93" t="s">
        <v>21523</v>
      </c>
      <c r="BD3394" s="93" t="s">
        <v>23405</v>
      </c>
      <c r="BE3394" s="87"/>
      <c r="BF3394" s="87"/>
      <c r="BG3394" s="87"/>
      <c r="BH3394" s="87"/>
      <c r="BI3394" s="87"/>
    </row>
    <row r="3395" spans="1:61" x14ac:dyDescent="0.25">
      <c r="A3395" s="63" t="s">
        <v>1280</v>
      </c>
      <c r="B3395" s="63" t="s">
        <v>1280</v>
      </c>
      <c r="C3395" s="64"/>
      <c r="D3395" s="65"/>
      <c r="E3395" s="66"/>
      <c r="F3395" s="67"/>
      <c r="G3395" s="64"/>
      <c r="H3395" s="68"/>
      <c r="I3395" s="69"/>
      <c r="J3395" s="69"/>
      <c r="K3395" s="32"/>
      <c r="L3395" s="76">
        <v>3395</v>
      </c>
      <c r="M3395" s="76"/>
      <c r="N3395" s="71"/>
      <c r="O3395" s="87" t="s">
        <v>1839</v>
      </c>
      <c r="P3395" s="90">
        <v>45135.683229166665</v>
      </c>
      <c r="Q3395" s="87" t="s">
        <v>5072</v>
      </c>
      <c r="R3395" s="87">
        <v>0</v>
      </c>
      <c r="S3395" s="87">
        <v>0</v>
      </c>
      <c r="T3395" s="87">
        <v>0</v>
      </c>
      <c r="U3395" s="87">
        <v>0</v>
      </c>
      <c r="V3395" s="87">
        <v>51</v>
      </c>
      <c r="W3395" s="93" t="s">
        <v>7809</v>
      </c>
      <c r="X3395" s="87"/>
      <c r="Y3395" s="87"/>
      <c r="Z3395" s="87" t="s">
        <v>1280</v>
      </c>
      <c r="AA3395" s="87" t="s">
        <v>10944</v>
      </c>
      <c r="AB3395" s="87" t="s">
        <v>11448</v>
      </c>
      <c r="AC3395" s="93" t="s">
        <v>11459</v>
      </c>
      <c r="AD3395" s="87" t="s">
        <v>11519</v>
      </c>
      <c r="AE3395" s="92" t="str">
        <f>HYPERLINK("https://twitter.com/workshopdantas/status/1684962886668492814")</f>
        <v>https://twitter.com/workshopdantas/status/1684962886668492814</v>
      </c>
      <c r="AF3395" s="90">
        <v>45135.683229166665</v>
      </c>
      <c r="AG3395" s="99">
        <v>45135</v>
      </c>
      <c r="AH3395" s="93" t="s">
        <v>14535</v>
      </c>
      <c r="AI3395" s="87" t="b">
        <v>0</v>
      </c>
      <c r="AJ3395" s="87"/>
      <c r="AK3395" s="87"/>
      <c r="AL3395" s="87"/>
      <c r="AM3395" s="87"/>
      <c r="AN3395" s="87"/>
      <c r="AO3395" s="87"/>
      <c r="AP3395" s="87"/>
      <c r="AQ3395" s="87" t="s">
        <v>17756</v>
      </c>
      <c r="AR3395" s="87"/>
      <c r="AS3395" s="87"/>
      <c r="AT3395" s="87"/>
      <c r="AU3395" s="87"/>
      <c r="AV3395" s="92" t="str">
        <f>HYPERLINK("https://pbs.twimg.com/media/F2Iwz7cXoAkzpzv.jpg")</f>
        <v>https://pbs.twimg.com/media/F2Iwz7cXoAkzpzv.jpg</v>
      </c>
      <c r="AW3395" s="93" t="s">
        <v>21524</v>
      </c>
      <c r="AX3395" s="93" t="s">
        <v>21524</v>
      </c>
      <c r="AY3395" s="87"/>
      <c r="AZ3395" s="93" t="s">
        <v>22668</v>
      </c>
      <c r="BA3395" s="93" t="s">
        <v>22668</v>
      </c>
      <c r="BB3395" s="93" t="s">
        <v>22668</v>
      </c>
      <c r="BC3395" s="93" t="s">
        <v>21524</v>
      </c>
      <c r="BD3395" s="93" t="s">
        <v>23405</v>
      </c>
      <c r="BE3395" s="87"/>
      <c r="BF3395" s="87"/>
      <c r="BG3395" s="87"/>
      <c r="BH3395" s="87"/>
      <c r="BI3395" s="87"/>
    </row>
    <row r="3396" spans="1:61" x14ac:dyDescent="0.25">
      <c r="A3396" s="63" t="s">
        <v>1280</v>
      </c>
      <c r="B3396" s="63" t="s">
        <v>1280</v>
      </c>
      <c r="C3396" s="64"/>
      <c r="D3396" s="65"/>
      <c r="E3396" s="66"/>
      <c r="F3396" s="67"/>
      <c r="G3396" s="64"/>
      <c r="H3396" s="68"/>
      <c r="I3396" s="69"/>
      <c r="J3396" s="69"/>
      <c r="K3396" s="32"/>
      <c r="L3396" s="76">
        <v>3396</v>
      </c>
      <c r="M3396" s="76"/>
      <c r="N3396" s="71"/>
      <c r="O3396" s="87" t="s">
        <v>1839</v>
      </c>
      <c r="P3396" s="90">
        <v>45135.456828703704</v>
      </c>
      <c r="Q3396" s="87" t="s">
        <v>5036</v>
      </c>
      <c r="R3396" s="87">
        <v>0</v>
      </c>
      <c r="S3396" s="87">
        <v>0</v>
      </c>
      <c r="T3396" s="87">
        <v>0</v>
      </c>
      <c r="U3396" s="87">
        <v>0</v>
      </c>
      <c r="V3396" s="87">
        <v>52</v>
      </c>
      <c r="W3396" s="93" t="s">
        <v>7777</v>
      </c>
      <c r="X3396" s="87"/>
      <c r="Y3396" s="87"/>
      <c r="Z3396" s="87" t="s">
        <v>8615</v>
      </c>
      <c r="AA3396" s="87" t="s">
        <v>10908</v>
      </c>
      <c r="AB3396" s="87" t="s">
        <v>11448</v>
      </c>
      <c r="AC3396" s="93" t="s">
        <v>11459</v>
      </c>
      <c r="AD3396" s="87" t="s">
        <v>11519</v>
      </c>
      <c r="AE3396" s="92" t="str">
        <f>HYPERLINK("https://twitter.com/workshopdantas/status/1684880840432721920")</f>
        <v>https://twitter.com/workshopdantas/status/1684880840432721920</v>
      </c>
      <c r="AF3396" s="90">
        <v>45135.456828703704</v>
      </c>
      <c r="AG3396" s="99">
        <v>45135</v>
      </c>
      <c r="AH3396" s="93" t="s">
        <v>13627</v>
      </c>
      <c r="AI3396" s="87" t="b">
        <v>0</v>
      </c>
      <c r="AJ3396" s="87"/>
      <c r="AK3396" s="87"/>
      <c r="AL3396" s="87"/>
      <c r="AM3396" s="87"/>
      <c r="AN3396" s="87"/>
      <c r="AO3396" s="87"/>
      <c r="AP3396" s="87"/>
      <c r="AQ3396" s="87" t="s">
        <v>17720</v>
      </c>
      <c r="AR3396" s="87"/>
      <c r="AS3396" s="87"/>
      <c r="AT3396" s="87"/>
      <c r="AU3396" s="87"/>
      <c r="AV3396" s="92" t="str">
        <f>HYPERLINK("https://pbs.twimg.com/media/F2HmMekbcAAuTpe.jpg")</f>
        <v>https://pbs.twimg.com/media/F2HmMekbcAAuTpe.jpg</v>
      </c>
      <c r="AW3396" s="93" t="s">
        <v>21488</v>
      </c>
      <c r="AX3396" s="93" t="s">
        <v>21488</v>
      </c>
      <c r="AY3396" s="87"/>
      <c r="AZ3396" s="93" t="s">
        <v>22668</v>
      </c>
      <c r="BA3396" s="93" t="s">
        <v>22668</v>
      </c>
      <c r="BB3396" s="93" t="s">
        <v>22668</v>
      </c>
      <c r="BC3396" s="93" t="s">
        <v>21488</v>
      </c>
      <c r="BD3396" s="93" t="s">
        <v>23405</v>
      </c>
      <c r="BE3396" s="87"/>
      <c r="BF3396" s="87"/>
      <c r="BG3396" s="87"/>
      <c r="BH3396" s="87"/>
      <c r="BI3396" s="87"/>
    </row>
    <row r="3397" spans="1:61" x14ac:dyDescent="0.25">
      <c r="A3397" s="63" t="s">
        <v>1280</v>
      </c>
      <c r="B3397" s="63" t="s">
        <v>1280</v>
      </c>
      <c r="C3397" s="64"/>
      <c r="D3397" s="65"/>
      <c r="E3397" s="66"/>
      <c r="F3397" s="67"/>
      <c r="G3397" s="64"/>
      <c r="H3397" s="68"/>
      <c r="I3397" s="69"/>
      <c r="J3397" s="69"/>
      <c r="K3397" s="32"/>
      <c r="L3397" s="76">
        <v>3397</v>
      </c>
      <c r="M3397" s="76"/>
      <c r="N3397" s="71"/>
      <c r="O3397" s="87" t="s">
        <v>1839</v>
      </c>
      <c r="P3397" s="90">
        <v>45134.741898148146</v>
      </c>
      <c r="Q3397" s="87" t="s">
        <v>5073</v>
      </c>
      <c r="R3397" s="87">
        <v>0</v>
      </c>
      <c r="S3397" s="87">
        <v>0</v>
      </c>
      <c r="T3397" s="87">
        <v>1</v>
      </c>
      <c r="U3397" s="87">
        <v>1</v>
      </c>
      <c r="V3397" s="87">
        <v>233</v>
      </c>
      <c r="W3397" s="93" t="s">
        <v>7810</v>
      </c>
      <c r="X3397" s="87"/>
      <c r="Y3397" s="87"/>
      <c r="Z3397" s="87" t="s">
        <v>1280</v>
      </c>
      <c r="AA3397" s="87" t="s">
        <v>10945</v>
      </c>
      <c r="AB3397" s="87" t="s">
        <v>11447</v>
      </c>
      <c r="AC3397" s="93" t="s">
        <v>11459</v>
      </c>
      <c r="AD3397" s="87" t="s">
        <v>11519</v>
      </c>
      <c r="AE3397" s="92" t="str">
        <f>HYPERLINK("https://twitter.com/workshopdantas/status/1684621756609236992")</f>
        <v>https://twitter.com/workshopdantas/status/1684621756609236992</v>
      </c>
      <c r="AF3397" s="90">
        <v>45134.741898148146</v>
      </c>
      <c r="AG3397" s="99">
        <v>45134</v>
      </c>
      <c r="AH3397" s="93" t="s">
        <v>14536</v>
      </c>
      <c r="AI3397" s="87" t="b">
        <v>0</v>
      </c>
      <c r="AJ3397" s="87"/>
      <c r="AK3397" s="87"/>
      <c r="AL3397" s="87"/>
      <c r="AM3397" s="87"/>
      <c r="AN3397" s="87"/>
      <c r="AO3397" s="87"/>
      <c r="AP3397" s="87"/>
      <c r="AQ3397" s="87" t="s">
        <v>17757</v>
      </c>
      <c r="AR3397" s="87">
        <v>40517</v>
      </c>
      <c r="AS3397" s="87"/>
      <c r="AT3397" s="87"/>
      <c r="AU3397" s="87"/>
      <c r="AV3397" s="92" t="str">
        <f>HYPERLINK("https://pbs.twimg.com/ext_tw_video_thumb/1684621704830586880/pu/img/9DW4swX3XfeDqdNM.jpg")</f>
        <v>https://pbs.twimg.com/ext_tw_video_thumb/1684621704830586880/pu/img/9DW4swX3XfeDqdNM.jpg</v>
      </c>
      <c r="AW3397" s="93" t="s">
        <v>21525</v>
      </c>
      <c r="AX3397" s="93" t="s">
        <v>21525</v>
      </c>
      <c r="AY3397" s="87"/>
      <c r="AZ3397" s="93" t="s">
        <v>22668</v>
      </c>
      <c r="BA3397" s="93" t="s">
        <v>22668</v>
      </c>
      <c r="BB3397" s="93" t="s">
        <v>22668</v>
      </c>
      <c r="BC3397" s="93" t="s">
        <v>21525</v>
      </c>
      <c r="BD3397" s="93" t="s">
        <v>23405</v>
      </c>
      <c r="BE3397" s="87"/>
      <c r="BF3397" s="87"/>
      <c r="BG3397" s="87"/>
      <c r="BH3397" s="87"/>
      <c r="BI3397" s="87"/>
    </row>
    <row r="3398" spans="1:61" x14ac:dyDescent="0.25">
      <c r="A3398" s="63" t="s">
        <v>1280</v>
      </c>
      <c r="B3398" s="63" t="s">
        <v>1280</v>
      </c>
      <c r="C3398" s="64"/>
      <c r="D3398" s="65"/>
      <c r="E3398" s="66"/>
      <c r="F3398" s="67"/>
      <c r="G3398" s="64"/>
      <c r="H3398" s="68"/>
      <c r="I3398" s="69"/>
      <c r="J3398" s="69"/>
      <c r="K3398" s="32"/>
      <c r="L3398" s="76">
        <v>3398</v>
      </c>
      <c r="M3398" s="76"/>
      <c r="N3398" s="71"/>
      <c r="O3398" s="87" t="s">
        <v>1839</v>
      </c>
      <c r="P3398" s="90">
        <v>45118.916377314818</v>
      </c>
      <c r="Q3398" s="87" t="s">
        <v>5074</v>
      </c>
      <c r="R3398" s="87">
        <v>0</v>
      </c>
      <c r="S3398" s="87">
        <v>0</v>
      </c>
      <c r="T3398" s="87">
        <v>0</v>
      </c>
      <c r="U3398" s="87">
        <v>0</v>
      </c>
      <c r="V3398" s="87">
        <v>25</v>
      </c>
      <c r="W3398" s="93" t="s">
        <v>7811</v>
      </c>
      <c r="X3398" s="87"/>
      <c r="Y3398" s="87"/>
      <c r="Z3398" s="87" t="s">
        <v>1280</v>
      </c>
      <c r="AA3398" s="87" t="s">
        <v>10946</v>
      </c>
      <c r="AB3398" s="87" t="s">
        <v>11447</v>
      </c>
      <c r="AC3398" s="93" t="s">
        <v>11459</v>
      </c>
      <c r="AD3398" s="87" t="s">
        <v>11519</v>
      </c>
      <c r="AE3398" s="92" t="str">
        <f>HYPERLINK("https://twitter.com/workshopdantas/status/1678886780777508869")</f>
        <v>https://twitter.com/workshopdantas/status/1678886780777508869</v>
      </c>
      <c r="AF3398" s="90">
        <v>45118.916377314818</v>
      </c>
      <c r="AG3398" s="99">
        <v>45118</v>
      </c>
      <c r="AH3398" s="93" t="s">
        <v>14537</v>
      </c>
      <c r="AI3398" s="87" t="b">
        <v>0</v>
      </c>
      <c r="AJ3398" s="87"/>
      <c r="AK3398" s="87"/>
      <c r="AL3398" s="87"/>
      <c r="AM3398" s="87"/>
      <c r="AN3398" s="87"/>
      <c r="AO3398" s="87"/>
      <c r="AP3398" s="87"/>
      <c r="AQ3398" s="87" t="s">
        <v>17758</v>
      </c>
      <c r="AR3398" s="87">
        <v>23697</v>
      </c>
      <c r="AS3398" s="87"/>
      <c r="AT3398" s="87"/>
      <c r="AU3398" s="87"/>
      <c r="AV3398" s="92" t="str">
        <f>HYPERLINK("https://pbs.twimg.com/ext_tw_video_thumb/1678886707507212289/pu/img/VVtxTuAu53Qg3REh.jpg")</f>
        <v>https://pbs.twimg.com/ext_tw_video_thumb/1678886707507212289/pu/img/VVtxTuAu53Qg3REh.jpg</v>
      </c>
      <c r="AW3398" s="93" t="s">
        <v>21526</v>
      </c>
      <c r="AX3398" s="93" t="s">
        <v>21526</v>
      </c>
      <c r="AY3398" s="87"/>
      <c r="AZ3398" s="93" t="s">
        <v>22668</v>
      </c>
      <c r="BA3398" s="93" t="s">
        <v>22668</v>
      </c>
      <c r="BB3398" s="93" t="s">
        <v>22668</v>
      </c>
      <c r="BC3398" s="93" t="s">
        <v>21526</v>
      </c>
      <c r="BD3398" s="93" t="s">
        <v>23405</v>
      </c>
      <c r="BE3398" s="87"/>
      <c r="BF3398" s="87"/>
      <c r="BG3398" s="87"/>
      <c r="BH3398" s="87"/>
      <c r="BI3398" s="87"/>
    </row>
    <row r="3399" spans="1:61" x14ac:dyDescent="0.25">
      <c r="A3399" s="63" t="s">
        <v>1280</v>
      </c>
      <c r="B3399" s="63" t="s">
        <v>1280</v>
      </c>
      <c r="C3399" s="64"/>
      <c r="D3399" s="65"/>
      <c r="E3399" s="66"/>
      <c r="F3399" s="67"/>
      <c r="G3399" s="64"/>
      <c r="H3399" s="68"/>
      <c r="I3399" s="69"/>
      <c r="J3399" s="69"/>
      <c r="K3399" s="32"/>
      <c r="L3399" s="76">
        <v>3399</v>
      </c>
      <c r="M3399" s="76"/>
      <c r="N3399" s="71"/>
      <c r="O3399" s="87" t="s">
        <v>1839</v>
      </c>
      <c r="P3399" s="90">
        <v>45118.489050925928</v>
      </c>
      <c r="Q3399" s="87" t="s">
        <v>5075</v>
      </c>
      <c r="R3399" s="87">
        <v>0</v>
      </c>
      <c r="S3399" s="87">
        <v>0</v>
      </c>
      <c r="T3399" s="87">
        <v>0</v>
      </c>
      <c r="U3399" s="87">
        <v>0</v>
      </c>
      <c r="V3399" s="87">
        <v>40</v>
      </c>
      <c r="W3399" s="93" t="s">
        <v>7812</v>
      </c>
      <c r="X3399" s="87"/>
      <c r="Y3399" s="87"/>
      <c r="Z3399" s="87" t="s">
        <v>1280</v>
      </c>
      <c r="AA3399" s="87" t="s">
        <v>10947</v>
      </c>
      <c r="AB3399" s="87" t="s">
        <v>11448</v>
      </c>
      <c r="AC3399" s="93" t="s">
        <v>11459</v>
      </c>
      <c r="AD3399" s="87" t="s">
        <v>11519</v>
      </c>
      <c r="AE3399" s="92" t="str">
        <f>HYPERLINK("https://twitter.com/workshopdantas/status/1678731922816499713")</f>
        <v>https://twitter.com/workshopdantas/status/1678731922816499713</v>
      </c>
      <c r="AF3399" s="90">
        <v>45118.489050925928</v>
      </c>
      <c r="AG3399" s="99">
        <v>45118</v>
      </c>
      <c r="AH3399" s="93" t="s">
        <v>14538</v>
      </c>
      <c r="AI3399" s="87" t="b">
        <v>0</v>
      </c>
      <c r="AJ3399" s="87"/>
      <c r="AK3399" s="87"/>
      <c r="AL3399" s="87"/>
      <c r="AM3399" s="87"/>
      <c r="AN3399" s="87"/>
      <c r="AO3399" s="87"/>
      <c r="AP3399" s="87"/>
      <c r="AQ3399" s="87" t="s">
        <v>17759</v>
      </c>
      <c r="AR3399" s="87"/>
      <c r="AS3399" s="87"/>
      <c r="AT3399" s="87"/>
      <c r="AU3399" s="87"/>
      <c r="AV3399" s="92" t="str">
        <f>HYPERLINK("https://pbs.twimg.com/media/F0wNyURXsAEjUmQ.jpg")</f>
        <v>https://pbs.twimg.com/media/F0wNyURXsAEjUmQ.jpg</v>
      </c>
      <c r="AW3399" s="93" t="s">
        <v>21527</v>
      </c>
      <c r="AX3399" s="93" t="s">
        <v>21527</v>
      </c>
      <c r="AY3399" s="87"/>
      <c r="AZ3399" s="93" t="s">
        <v>22668</v>
      </c>
      <c r="BA3399" s="93" t="s">
        <v>22668</v>
      </c>
      <c r="BB3399" s="93" t="s">
        <v>22668</v>
      </c>
      <c r="BC3399" s="93" t="s">
        <v>21527</v>
      </c>
      <c r="BD3399" s="93" t="s">
        <v>23405</v>
      </c>
      <c r="BE3399" s="87"/>
      <c r="BF3399" s="87"/>
      <c r="BG3399" s="87"/>
      <c r="BH3399" s="87"/>
      <c r="BI3399" s="87"/>
    </row>
    <row r="3400" spans="1:61" x14ac:dyDescent="0.25">
      <c r="A3400" s="63" t="s">
        <v>1280</v>
      </c>
      <c r="B3400" s="63" t="s">
        <v>1280</v>
      </c>
      <c r="C3400" s="64"/>
      <c r="D3400" s="65"/>
      <c r="E3400" s="66"/>
      <c r="F3400" s="67"/>
      <c r="G3400" s="64"/>
      <c r="H3400" s="68"/>
      <c r="I3400" s="69"/>
      <c r="J3400" s="69"/>
      <c r="K3400" s="32"/>
      <c r="L3400" s="76">
        <v>3400</v>
      </c>
      <c r="M3400" s="76"/>
      <c r="N3400" s="71"/>
      <c r="O3400" s="87" t="s">
        <v>1839</v>
      </c>
      <c r="P3400" s="90">
        <v>45182.934374999997</v>
      </c>
      <c r="Q3400" s="87" t="s">
        <v>5076</v>
      </c>
      <c r="R3400" s="87">
        <v>0</v>
      </c>
      <c r="S3400" s="87">
        <v>0</v>
      </c>
      <c r="T3400" s="87">
        <v>0</v>
      </c>
      <c r="U3400" s="87">
        <v>0</v>
      </c>
      <c r="V3400" s="87">
        <v>42</v>
      </c>
      <c r="W3400" s="93" t="s">
        <v>7813</v>
      </c>
      <c r="X3400" s="87"/>
      <c r="Y3400" s="87"/>
      <c r="Z3400" s="87" t="s">
        <v>1280</v>
      </c>
      <c r="AA3400" s="87" t="s">
        <v>10948</v>
      </c>
      <c r="AB3400" s="87" t="s">
        <v>11448</v>
      </c>
      <c r="AC3400" s="93" t="s">
        <v>11459</v>
      </c>
      <c r="AD3400" s="87" t="s">
        <v>11519</v>
      </c>
      <c r="AE3400" s="92" t="str">
        <f>HYPERLINK("https://twitter.com/workshopdantas/status/1702086128239624319")</f>
        <v>https://twitter.com/workshopdantas/status/1702086128239624319</v>
      </c>
      <c r="AF3400" s="90">
        <v>45182.934374999997</v>
      </c>
      <c r="AG3400" s="99">
        <v>45182</v>
      </c>
      <c r="AH3400" s="93" t="s">
        <v>14539</v>
      </c>
      <c r="AI3400" s="87" t="b">
        <v>0</v>
      </c>
      <c r="AJ3400" s="87"/>
      <c r="AK3400" s="87"/>
      <c r="AL3400" s="87"/>
      <c r="AM3400" s="87"/>
      <c r="AN3400" s="87"/>
      <c r="AO3400" s="87"/>
      <c r="AP3400" s="87"/>
      <c r="AQ3400" s="87" t="s">
        <v>17760</v>
      </c>
      <c r="AR3400" s="87"/>
      <c r="AS3400" s="87"/>
      <c r="AT3400" s="87"/>
      <c r="AU3400" s="87"/>
      <c r="AV3400" s="92" t="str">
        <f>HYPERLINK("https://pbs.twimg.com/media/F58GUDVXAAAMXaK.jpg")</f>
        <v>https://pbs.twimg.com/media/F58GUDVXAAAMXaK.jpg</v>
      </c>
      <c r="AW3400" s="93" t="s">
        <v>21528</v>
      </c>
      <c r="AX3400" s="93" t="s">
        <v>21528</v>
      </c>
      <c r="AY3400" s="87"/>
      <c r="AZ3400" s="93" t="s">
        <v>22668</v>
      </c>
      <c r="BA3400" s="93" t="s">
        <v>22668</v>
      </c>
      <c r="BB3400" s="93" t="s">
        <v>22668</v>
      </c>
      <c r="BC3400" s="93" t="s">
        <v>21528</v>
      </c>
      <c r="BD3400" s="93" t="s">
        <v>23405</v>
      </c>
      <c r="BE3400" s="87"/>
      <c r="BF3400" s="87"/>
      <c r="BG3400" s="87"/>
      <c r="BH3400" s="87"/>
      <c r="BI3400" s="87"/>
    </row>
    <row r="3401" spans="1:61" x14ac:dyDescent="0.25">
      <c r="A3401" s="63" t="s">
        <v>1280</v>
      </c>
      <c r="B3401" s="63" t="s">
        <v>1280</v>
      </c>
      <c r="C3401" s="64"/>
      <c r="D3401" s="65"/>
      <c r="E3401" s="66"/>
      <c r="F3401" s="67"/>
      <c r="G3401" s="64"/>
      <c r="H3401" s="68"/>
      <c r="I3401" s="69"/>
      <c r="J3401" s="69"/>
      <c r="K3401" s="32"/>
      <c r="L3401" s="76">
        <v>3401</v>
      </c>
      <c r="M3401" s="76"/>
      <c r="N3401" s="71"/>
      <c r="O3401" s="87" t="s">
        <v>1839</v>
      </c>
      <c r="P3401" s="90">
        <v>45144.644108796296</v>
      </c>
      <c r="Q3401" s="87" t="s">
        <v>5077</v>
      </c>
      <c r="R3401" s="87">
        <v>0</v>
      </c>
      <c r="S3401" s="87">
        <v>0</v>
      </c>
      <c r="T3401" s="87">
        <v>1</v>
      </c>
      <c r="U3401" s="87">
        <v>0</v>
      </c>
      <c r="V3401" s="87">
        <v>57</v>
      </c>
      <c r="W3401" s="93" t="s">
        <v>7814</v>
      </c>
      <c r="X3401" s="87"/>
      <c r="Y3401" s="87"/>
      <c r="Z3401" s="87" t="s">
        <v>1280</v>
      </c>
      <c r="AA3401" s="87" t="s">
        <v>10949</v>
      </c>
      <c r="AB3401" s="87" t="s">
        <v>11448</v>
      </c>
      <c r="AC3401" s="93" t="s">
        <v>11459</v>
      </c>
      <c r="AD3401" s="87" t="s">
        <v>11519</v>
      </c>
      <c r="AE3401" s="92" t="str">
        <f>HYPERLINK("https://twitter.com/workshopdantas/status/1688210199658602497")</f>
        <v>https://twitter.com/workshopdantas/status/1688210199658602497</v>
      </c>
      <c r="AF3401" s="90">
        <v>45144.644108796296</v>
      </c>
      <c r="AG3401" s="99">
        <v>45144</v>
      </c>
      <c r="AH3401" s="93" t="s">
        <v>14540</v>
      </c>
      <c r="AI3401" s="87" t="b">
        <v>0</v>
      </c>
      <c r="AJ3401" s="87"/>
      <c r="AK3401" s="87"/>
      <c r="AL3401" s="87"/>
      <c r="AM3401" s="87"/>
      <c r="AN3401" s="87"/>
      <c r="AO3401" s="87"/>
      <c r="AP3401" s="87"/>
      <c r="AQ3401" s="87" t="s">
        <v>17761</v>
      </c>
      <c r="AR3401" s="87"/>
      <c r="AS3401" s="87"/>
      <c r="AT3401" s="87"/>
      <c r="AU3401" s="87"/>
      <c r="AV3401" s="92" t="str">
        <f>HYPERLINK("https://pbs.twimg.com/media/F226OYvWoAEWj6j.jpg")</f>
        <v>https://pbs.twimg.com/media/F226OYvWoAEWj6j.jpg</v>
      </c>
      <c r="AW3401" s="93" t="s">
        <v>21529</v>
      </c>
      <c r="AX3401" s="93" t="s">
        <v>21529</v>
      </c>
      <c r="AY3401" s="87"/>
      <c r="AZ3401" s="93" t="s">
        <v>22668</v>
      </c>
      <c r="BA3401" s="93" t="s">
        <v>22668</v>
      </c>
      <c r="BB3401" s="93" t="s">
        <v>22668</v>
      </c>
      <c r="BC3401" s="93" t="s">
        <v>21529</v>
      </c>
      <c r="BD3401" s="93" t="s">
        <v>23405</v>
      </c>
      <c r="BE3401" s="87"/>
      <c r="BF3401" s="87"/>
      <c r="BG3401" s="87"/>
      <c r="BH3401" s="87"/>
      <c r="BI3401" s="87"/>
    </row>
    <row r="3402" spans="1:61" x14ac:dyDescent="0.25">
      <c r="A3402" s="63" t="s">
        <v>1280</v>
      </c>
      <c r="B3402" s="63" t="s">
        <v>1280</v>
      </c>
      <c r="C3402" s="64"/>
      <c r="D3402" s="65"/>
      <c r="E3402" s="66"/>
      <c r="F3402" s="67"/>
      <c r="G3402" s="64"/>
      <c r="H3402" s="68"/>
      <c r="I3402" s="69"/>
      <c r="J3402" s="69"/>
      <c r="K3402" s="32"/>
      <c r="L3402" s="76">
        <v>3402</v>
      </c>
      <c r="M3402" s="76"/>
      <c r="N3402" s="71"/>
      <c r="O3402" s="87" t="s">
        <v>1839</v>
      </c>
      <c r="P3402" s="90">
        <v>45143.416828703703</v>
      </c>
      <c r="Q3402" s="87" t="s">
        <v>5078</v>
      </c>
      <c r="R3402" s="87">
        <v>0</v>
      </c>
      <c r="S3402" s="87">
        <v>0</v>
      </c>
      <c r="T3402" s="87">
        <v>0</v>
      </c>
      <c r="U3402" s="87">
        <v>0</v>
      </c>
      <c r="V3402" s="87">
        <v>67</v>
      </c>
      <c r="W3402" s="93" t="s">
        <v>7815</v>
      </c>
      <c r="X3402" s="87"/>
      <c r="Y3402" s="87"/>
      <c r="Z3402" s="87" t="s">
        <v>1280</v>
      </c>
      <c r="AA3402" s="87" t="s">
        <v>10950</v>
      </c>
      <c r="AB3402" s="87" t="s">
        <v>11448</v>
      </c>
      <c r="AC3402" s="93" t="s">
        <v>11459</v>
      </c>
      <c r="AD3402" s="87" t="s">
        <v>11519</v>
      </c>
      <c r="AE3402" s="92" t="str">
        <f>HYPERLINK("https://twitter.com/workshopdantas/status/1687765448933113856")</f>
        <v>https://twitter.com/workshopdantas/status/1687765448933113856</v>
      </c>
      <c r="AF3402" s="90">
        <v>45143.416828703703</v>
      </c>
      <c r="AG3402" s="99">
        <v>45143</v>
      </c>
      <c r="AH3402" s="93" t="s">
        <v>14541</v>
      </c>
      <c r="AI3402" s="87" t="b">
        <v>0</v>
      </c>
      <c r="AJ3402" s="87"/>
      <c r="AK3402" s="87"/>
      <c r="AL3402" s="87"/>
      <c r="AM3402" s="87"/>
      <c r="AN3402" s="87"/>
      <c r="AO3402" s="87"/>
      <c r="AP3402" s="87"/>
      <c r="AQ3402" s="87" t="s">
        <v>17762</v>
      </c>
      <c r="AR3402" s="87"/>
      <c r="AS3402" s="87"/>
      <c r="AT3402" s="87"/>
      <c r="AU3402" s="87"/>
      <c r="AV3402" s="92" t="str">
        <f>HYPERLINK("https://pbs.twimg.com/media/F2wluzZWEAEWi3e.jpg")</f>
        <v>https://pbs.twimg.com/media/F2wluzZWEAEWi3e.jpg</v>
      </c>
      <c r="AW3402" s="93" t="s">
        <v>21530</v>
      </c>
      <c r="AX3402" s="93" t="s">
        <v>21530</v>
      </c>
      <c r="AY3402" s="87"/>
      <c r="AZ3402" s="93" t="s">
        <v>22668</v>
      </c>
      <c r="BA3402" s="93" t="s">
        <v>22668</v>
      </c>
      <c r="BB3402" s="93" t="s">
        <v>22668</v>
      </c>
      <c r="BC3402" s="93" t="s">
        <v>21530</v>
      </c>
      <c r="BD3402" s="93" t="s">
        <v>23405</v>
      </c>
      <c r="BE3402" s="87"/>
      <c r="BF3402" s="87"/>
      <c r="BG3402" s="87"/>
      <c r="BH3402" s="87"/>
      <c r="BI3402" s="87"/>
    </row>
    <row r="3403" spans="1:61" x14ac:dyDescent="0.25">
      <c r="A3403" s="63" t="s">
        <v>1280</v>
      </c>
      <c r="B3403" s="63" t="s">
        <v>1280</v>
      </c>
      <c r="C3403" s="64"/>
      <c r="D3403" s="65"/>
      <c r="E3403" s="66"/>
      <c r="F3403" s="67"/>
      <c r="G3403" s="64"/>
      <c r="H3403" s="68"/>
      <c r="I3403" s="69"/>
      <c r="J3403" s="69"/>
      <c r="K3403" s="32"/>
      <c r="L3403" s="76">
        <v>3403</v>
      </c>
      <c r="M3403" s="76"/>
      <c r="N3403" s="71"/>
      <c r="O3403" s="87" t="s">
        <v>1839</v>
      </c>
      <c r="P3403" s="90">
        <v>45132.576354166667</v>
      </c>
      <c r="Q3403" s="87" t="s">
        <v>5079</v>
      </c>
      <c r="R3403" s="87">
        <v>0</v>
      </c>
      <c r="S3403" s="87">
        <v>1</v>
      </c>
      <c r="T3403" s="87">
        <v>0</v>
      </c>
      <c r="U3403" s="87">
        <v>0</v>
      </c>
      <c r="V3403" s="87">
        <v>54</v>
      </c>
      <c r="W3403" s="93" t="s">
        <v>7816</v>
      </c>
      <c r="X3403" s="87"/>
      <c r="Y3403" s="87"/>
      <c r="Z3403" s="87" t="s">
        <v>1280</v>
      </c>
      <c r="AA3403" s="87" t="s">
        <v>10951</v>
      </c>
      <c r="AB3403" s="87" t="s">
        <v>11448</v>
      </c>
      <c r="AC3403" s="93" t="s">
        <v>11459</v>
      </c>
      <c r="AD3403" s="87" t="s">
        <v>11519</v>
      </c>
      <c r="AE3403" s="92" t="str">
        <f>HYPERLINK("https://twitter.com/workshopdantas/status/1683836991111307266")</f>
        <v>https://twitter.com/workshopdantas/status/1683836991111307266</v>
      </c>
      <c r="AF3403" s="90">
        <v>45132.576354166667</v>
      </c>
      <c r="AG3403" s="99">
        <v>45132</v>
      </c>
      <c r="AH3403" s="93" t="s">
        <v>14542</v>
      </c>
      <c r="AI3403" s="87" t="b">
        <v>0</v>
      </c>
      <c r="AJ3403" s="87"/>
      <c r="AK3403" s="87"/>
      <c r="AL3403" s="87"/>
      <c r="AM3403" s="87"/>
      <c r="AN3403" s="87"/>
      <c r="AO3403" s="87"/>
      <c r="AP3403" s="87"/>
      <c r="AQ3403" s="87" t="s">
        <v>17763</v>
      </c>
      <c r="AR3403" s="87"/>
      <c r="AS3403" s="87"/>
      <c r="AT3403" s="87"/>
      <c r="AU3403" s="87"/>
      <c r="AV3403" s="92" t="str">
        <f>HYPERLINK("https://pbs.twimg.com/media/F14w0dgaMAANj2-.jpg")</f>
        <v>https://pbs.twimg.com/media/F14w0dgaMAANj2-.jpg</v>
      </c>
      <c r="AW3403" s="93" t="s">
        <v>21531</v>
      </c>
      <c r="AX3403" s="93" t="s">
        <v>21531</v>
      </c>
      <c r="AY3403" s="87"/>
      <c r="AZ3403" s="93" t="s">
        <v>22668</v>
      </c>
      <c r="BA3403" s="93" t="s">
        <v>22668</v>
      </c>
      <c r="BB3403" s="93" t="s">
        <v>22668</v>
      </c>
      <c r="BC3403" s="93" t="s">
        <v>21531</v>
      </c>
      <c r="BD3403" s="93" t="s">
        <v>23405</v>
      </c>
      <c r="BE3403" s="87"/>
      <c r="BF3403" s="87"/>
      <c r="BG3403" s="87"/>
      <c r="BH3403" s="87"/>
      <c r="BI3403" s="87"/>
    </row>
    <row r="3404" spans="1:61" x14ac:dyDescent="0.25">
      <c r="A3404" s="63" t="s">
        <v>1280</v>
      </c>
      <c r="B3404" s="63" t="s">
        <v>1280</v>
      </c>
      <c r="C3404" s="64"/>
      <c r="D3404" s="65"/>
      <c r="E3404" s="66"/>
      <c r="F3404" s="67"/>
      <c r="G3404" s="64"/>
      <c r="H3404" s="68"/>
      <c r="I3404" s="69"/>
      <c r="J3404" s="69"/>
      <c r="K3404" s="32"/>
      <c r="L3404" s="76">
        <v>3404</v>
      </c>
      <c r="M3404" s="76"/>
      <c r="N3404" s="71"/>
      <c r="O3404" s="87" t="s">
        <v>1839</v>
      </c>
      <c r="P3404" s="90">
        <v>45132.024594907409</v>
      </c>
      <c r="Q3404" s="87" t="s">
        <v>5080</v>
      </c>
      <c r="R3404" s="87">
        <v>0</v>
      </c>
      <c r="S3404" s="87">
        <v>0</v>
      </c>
      <c r="T3404" s="87">
        <v>0</v>
      </c>
      <c r="U3404" s="87">
        <v>0</v>
      </c>
      <c r="V3404" s="87">
        <v>48</v>
      </c>
      <c r="W3404" s="93" t="s">
        <v>7817</v>
      </c>
      <c r="X3404" s="87"/>
      <c r="Y3404" s="87"/>
      <c r="Z3404" s="87" t="s">
        <v>1280</v>
      </c>
      <c r="AA3404" s="87" t="s">
        <v>10952</v>
      </c>
      <c r="AB3404" s="87" t="s">
        <v>11448</v>
      </c>
      <c r="AC3404" s="93" t="s">
        <v>11459</v>
      </c>
      <c r="AD3404" s="87" t="s">
        <v>11519</v>
      </c>
      <c r="AE3404" s="92" t="str">
        <f>HYPERLINK("https://twitter.com/workshopdantas/status/1683637039810457603")</f>
        <v>https://twitter.com/workshopdantas/status/1683637039810457603</v>
      </c>
      <c r="AF3404" s="90">
        <v>45132.024594907409</v>
      </c>
      <c r="AG3404" s="99">
        <v>45132</v>
      </c>
      <c r="AH3404" s="93" t="s">
        <v>14543</v>
      </c>
      <c r="AI3404" s="87" t="b">
        <v>0</v>
      </c>
      <c r="AJ3404" s="87"/>
      <c r="AK3404" s="87"/>
      <c r="AL3404" s="87"/>
      <c r="AM3404" s="87"/>
      <c r="AN3404" s="87"/>
      <c r="AO3404" s="87"/>
      <c r="AP3404" s="87"/>
      <c r="AQ3404" s="87" t="s">
        <v>17764</v>
      </c>
      <c r="AR3404" s="87"/>
      <c r="AS3404" s="87"/>
      <c r="AT3404" s="87"/>
      <c r="AU3404" s="87"/>
      <c r="AV3404" s="92" t="str">
        <f>HYPERLINK("https://pbs.twimg.com/media/F1169YDXgAAyuwc.jpg")</f>
        <v>https://pbs.twimg.com/media/F1169YDXgAAyuwc.jpg</v>
      </c>
      <c r="AW3404" s="93" t="s">
        <v>21532</v>
      </c>
      <c r="AX3404" s="93" t="s">
        <v>21532</v>
      </c>
      <c r="AY3404" s="87"/>
      <c r="AZ3404" s="93" t="s">
        <v>22668</v>
      </c>
      <c r="BA3404" s="93" t="s">
        <v>22668</v>
      </c>
      <c r="BB3404" s="93" t="s">
        <v>22668</v>
      </c>
      <c r="BC3404" s="93" t="s">
        <v>21532</v>
      </c>
      <c r="BD3404" s="93" t="s">
        <v>23405</v>
      </c>
      <c r="BE3404" s="87"/>
      <c r="BF3404" s="87"/>
      <c r="BG3404" s="87"/>
      <c r="BH3404" s="87"/>
      <c r="BI3404" s="87"/>
    </row>
    <row r="3405" spans="1:61" x14ac:dyDescent="0.25">
      <c r="A3405" s="63" t="s">
        <v>1280</v>
      </c>
      <c r="B3405" s="63" t="s">
        <v>1280</v>
      </c>
      <c r="C3405" s="64"/>
      <c r="D3405" s="65"/>
      <c r="E3405" s="66"/>
      <c r="F3405" s="67"/>
      <c r="G3405" s="64"/>
      <c r="H3405" s="68"/>
      <c r="I3405" s="69"/>
      <c r="J3405" s="69"/>
      <c r="K3405" s="32"/>
      <c r="L3405" s="76">
        <v>3405</v>
      </c>
      <c r="M3405" s="76"/>
      <c r="N3405" s="71"/>
      <c r="O3405" s="87" t="s">
        <v>1839</v>
      </c>
      <c r="P3405" s="90">
        <v>45117.702488425923</v>
      </c>
      <c r="Q3405" s="87" t="s">
        <v>5081</v>
      </c>
      <c r="R3405" s="87">
        <v>1</v>
      </c>
      <c r="S3405" s="87">
        <v>4</v>
      </c>
      <c r="T3405" s="87">
        <v>2</v>
      </c>
      <c r="U3405" s="87">
        <v>0</v>
      </c>
      <c r="V3405" s="87">
        <v>735</v>
      </c>
      <c r="W3405" s="93" t="s">
        <v>7818</v>
      </c>
      <c r="X3405" s="87"/>
      <c r="Y3405" s="87"/>
      <c r="Z3405" s="87" t="s">
        <v>1280</v>
      </c>
      <c r="AA3405" s="87" t="s">
        <v>10953</v>
      </c>
      <c r="AB3405" s="87" t="s">
        <v>11448</v>
      </c>
      <c r="AC3405" s="93" t="s">
        <v>11459</v>
      </c>
      <c r="AD3405" s="87" t="s">
        <v>11519</v>
      </c>
      <c r="AE3405" s="92" t="str">
        <f>HYPERLINK("https://twitter.com/workshopdantas/status/1678446881465147429")</f>
        <v>https://twitter.com/workshopdantas/status/1678446881465147429</v>
      </c>
      <c r="AF3405" s="90">
        <v>45117.702488425923</v>
      </c>
      <c r="AG3405" s="99">
        <v>45117</v>
      </c>
      <c r="AH3405" s="93" t="s">
        <v>14544</v>
      </c>
      <c r="AI3405" s="87" t="b">
        <v>0</v>
      </c>
      <c r="AJ3405" s="87"/>
      <c r="AK3405" s="87"/>
      <c r="AL3405" s="87"/>
      <c r="AM3405" s="87"/>
      <c r="AN3405" s="87"/>
      <c r="AO3405" s="87"/>
      <c r="AP3405" s="87"/>
      <c r="AQ3405" s="87" t="s">
        <v>17765</v>
      </c>
      <c r="AR3405" s="87"/>
      <c r="AS3405" s="87"/>
      <c r="AT3405" s="87"/>
      <c r="AU3405" s="87"/>
      <c r="AV3405" s="92" t="str">
        <f>HYPERLINK("https://pbs.twimg.com/media/F0sKijNXoAATLUe.jpg")</f>
        <v>https://pbs.twimg.com/media/F0sKijNXoAATLUe.jpg</v>
      </c>
      <c r="AW3405" s="93" t="s">
        <v>21533</v>
      </c>
      <c r="AX3405" s="93" t="s">
        <v>21533</v>
      </c>
      <c r="AY3405" s="87"/>
      <c r="AZ3405" s="93" t="s">
        <v>22668</v>
      </c>
      <c r="BA3405" s="93" t="s">
        <v>22668</v>
      </c>
      <c r="BB3405" s="93" t="s">
        <v>22668</v>
      </c>
      <c r="BC3405" s="93" t="s">
        <v>21533</v>
      </c>
      <c r="BD3405" s="93" t="s">
        <v>23405</v>
      </c>
      <c r="BE3405" s="87"/>
      <c r="BF3405" s="87"/>
      <c r="BG3405" s="87"/>
      <c r="BH3405" s="87"/>
      <c r="BI3405" s="87"/>
    </row>
    <row r="3406" spans="1:61" x14ac:dyDescent="0.25">
      <c r="A3406" s="63" t="s">
        <v>1280</v>
      </c>
      <c r="B3406" s="63" t="s">
        <v>1280</v>
      </c>
      <c r="C3406" s="64"/>
      <c r="D3406" s="65"/>
      <c r="E3406" s="66"/>
      <c r="F3406" s="67"/>
      <c r="G3406" s="64"/>
      <c r="H3406" s="68"/>
      <c r="I3406" s="69"/>
      <c r="J3406" s="69"/>
      <c r="K3406" s="32"/>
      <c r="L3406" s="76">
        <v>3406</v>
      </c>
      <c r="M3406" s="76"/>
      <c r="N3406" s="71"/>
      <c r="O3406" s="87" t="s">
        <v>1839</v>
      </c>
      <c r="P3406" s="90">
        <v>45185.464525462965</v>
      </c>
      <c r="Q3406" s="87" t="s">
        <v>5082</v>
      </c>
      <c r="R3406" s="87">
        <v>0</v>
      </c>
      <c r="S3406" s="87">
        <v>0</v>
      </c>
      <c r="T3406" s="87">
        <v>0</v>
      </c>
      <c r="U3406" s="87">
        <v>0</v>
      </c>
      <c r="V3406" s="87">
        <v>103</v>
      </c>
      <c r="W3406" s="93" t="s">
        <v>7796</v>
      </c>
      <c r="X3406" s="87"/>
      <c r="Y3406" s="87"/>
      <c r="Z3406" s="87" t="s">
        <v>1280</v>
      </c>
      <c r="AA3406" s="87" t="s">
        <v>10954</v>
      </c>
      <c r="AB3406" s="87" t="s">
        <v>11448</v>
      </c>
      <c r="AC3406" s="93" t="s">
        <v>11459</v>
      </c>
      <c r="AD3406" s="87" t="s">
        <v>11519</v>
      </c>
      <c r="AE3406" s="92" t="str">
        <f>HYPERLINK("https://twitter.com/workshopdantas/status/1703003023012675630")</f>
        <v>https://twitter.com/workshopdantas/status/1703003023012675630</v>
      </c>
      <c r="AF3406" s="90">
        <v>45185.464525462965</v>
      </c>
      <c r="AG3406" s="99">
        <v>45185</v>
      </c>
      <c r="AH3406" s="93" t="s">
        <v>14545</v>
      </c>
      <c r="AI3406" s="87" t="b">
        <v>0</v>
      </c>
      <c r="AJ3406" s="87"/>
      <c r="AK3406" s="87"/>
      <c r="AL3406" s="87"/>
      <c r="AM3406" s="87"/>
      <c r="AN3406" s="87"/>
      <c r="AO3406" s="87"/>
      <c r="AP3406" s="87"/>
      <c r="AQ3406" s="87" t="s">
        <v>17766</v>
      </c>
      <c r="AR3406" s="87"/>
      <c r="AS3406" s="87"/>
      <c r="AT3406" s="87"/>
      <c r="AU3406" s="87"/>
      <c r="AV3406" s="92" t="str">
        <f>HYPERLINK("https://pbs.twimg.com/media/F6JIOWGXYAAngAy.jpg")</f>
        <v>https://pbs.twimg.com/media/F6JIOWGXYAAngAy.jpg</v>
      </c>
      <c r="AW3406" s="93" t="s">
        <v>21534</v>
      </c>
      <c r="AX3406" s="93" t="s">
        <v>21534</v>
      </c>
      <c r="AY3406" s="87"/>
      <c r="AZ3406" s="93" t="s">
        <v>22668</v>
      </c>
      <c r="BA3406" s="93" t="s">
        <v>22668</v>
      </c>
      <c r="BB3406" s="93" t="s">
        <v>22668</v>
      </c>
      <c r="BC3406" s="93" t="s">
        <v>21534</v>
      </c>
      <c r="BD3406" s="93" t="s">
        <v>23405</v>
      </c>
      <c r="BE3406" s="87"/>
      <c r="BF3406" s="87"/>
      <c r="BG3406" s="87"/>
      <c r="BH3406" s="87"/>
      <c r="BI3406" s="87"/>
    </row>
    <row r="3407" spans="1:61" x14ac:dyDescent="0.25">
      <c r="A3407" s="63" t="s">
        <v>1280</v>
      </c>
      <c r="B3407" s="63" t="s">
        <v>1280</v>
      </c>
      <c r="C3407" s="64"/>
      <c r="D3407" s="65"/>
      <c r="E3407" s="66"/>
      <c r="F3407" s="67"/>
      <c r="G3407" s="64"/>
      <c r="H3407" s="68"/>
      <c r="I3407" s="69"/>
      <c r="J3407" s="69"/>
      <c r="K3407" s="32"/>
      <c r="L3407" s="76">
        <v>3407</v>
      </c>
      <c r="M3407" s="76"/>
      <c r="N3407" s="71"/>
      <c r="O3407" s="87" t="s">
        <v>1839</v>
      </c>
      <c r="P3407" s="90">
        <v>45151.892476851855</v>
      </c>
      <c r="Q3407" s="87" t="s">
        <v>5083</v>
      </c>
      <c r="R3407" s="87">
        <v>0</v>
      </c>
      <c r="S3407" s="87">
        <v>1</v>
      </c>
      <c r="T3407" s="87">
        <v>1</v>
      </c>
      <c r="U3407" s="87">
        <v>0</v>
      </c>
      <c r="V3407" s="87">
        <v>20</v>
      </c>
      <c r="W3407" s="93" t="s">
        <v>7777</v>
      </c>
      <c r="X3407" s="87"/>
      <c r="Y3407" s="87"/>
      <c r="Z3407" s="87" t="s">
        <v>1280</v>
      </c>
      <c r="AA3407" s="87" t="s">
        <v>10955</v>
      </c>
      <c r="AB3407" s="87" t="s">
        <v>11448</v>
      </c>
      <c r="AC3407" s="93" t="s">
        <v>11459</v>
      </c>
      <c r="AD3407" s="87" t="s">
        <v>11519</v>
      </c>
      <c r="AE3407" s="92" t="str">
        <f>HYPERLINK("https://twitter.com/workshopdantas/status/1690836920203403264")</f>
        <v>https://twitter.com/workshopdantas/status/1690836920203403264</v>
      </c>
      <c r="AF3407" s="90">
        <v>45151.892476851855</v>
      </c>
      <c r="AG3407" s="99">
        <v>45151</v>
      </c>
      <c r="AH3407" s="93" t="s">
        <v>14546</v>
      </c>
      <c r="AI3407" s="87" t="b">
        <v>0</v>
      </c>
      <c r="AJ3407" s="87"/>
      <c r="AK3407" s="87"/>
      <c r="AL3407" s="87"/>
      <c r="AM3407" s="87"/>
      <c r="AN3407" s="87"/>
      <c r="AO3407" s="87"/>
      <c r="AP3407" s="87"/>
      <c r="AQ3407" s="87" t="s">
        <v>17767</v>
      </c>
      <c r="AR3407" s="87"/>
      <c r="AS3407" s="87"/>
      <c r="AT3407" s="87"/>
      <c r="AU3407" s="87"/>
      <c r="AV3407" s="92" t="str">
        <f>HYPERLINK("https://pbs.twimg.com/media/F3cPNk_WcAIp2Sm.jpg")</f>
        <v>https://pbs.twimg.com/media/F3cPNk_WcAIp2Sm.jpg</v>
      </c>
      <c r="AW3407" s="93" t="s">
        <v>21535</v>
      </c>
      <c r="AX3407" s="93" t="s">
        <v>21535</v>
      </c>
      <c r="AY3407" s="87"/>
      <c r="AZ3407" s="93" t="s">
        <v>22668</v>
      </c>
      <c r="BA3407" s="93" t="s">
        <v>22668</v>
      </c>
      <c r="BB3407" s="93" t="s">
        <v>22668</v>
      </c>
      <c r="BC3407" s="93" t="s">
        <v>21535</v>
      </c>
      <c r="BD3407" s="93" t="s">
        <v>23405</v>
      </c>
      <c r="BE3407" s="87"/>
      <c r="BF3407" s="87"/>
      <c r="BG3407" s="87"/>
      <c r="BH3407" s="87"/>
      <c r="BI3407" s="87"/>
    </row>
    <row r="3408" spans="1:61" x14ac:dyDescent="0.25">
      <c r="A3408" s="63" t="s">
        <v>1280</v>
      </c>
      <c r="B3408" s="63" t="s">
        <v>1280</v>
      </c>
      <c r="C3408" s="64"/>
      <c r="D3408" s="65"/>
      <c r="E3408" s="66"/>
      <c r="F3408" s="67"/>
      <c r="G3408" s="64"/>
      <c r="H3408" s="68"/>
      <c r="I3408" s="69"/>
      <c r="J3408" s="69"/>
      <c r="K3408" s="32"/>
      <c r="L3408" s="76">
        <v>3408</v>
      </c>
      <c r="M3408" s="76"/>
      <c r="N3408" s="71"/>
      <c r="O3408" s="87" t="s">
        <v>1839</v>
      </c>
      <c r="P3408" s="90">
        <v>45150.439062500001</v>
      </c>
      <c r="Q3408" s="87" t="s">
        <v>5084</v>
      </c>
      <c r="R3408" s="87">
        <v>1</v>
      </c>
      <c r="S3408" s="87">
        <v>1</v>
      </c>
      <c r="T3408" s="87">
        <v>0</v>
      </c>
      <c r="U3408" s="87">
        <v>0</v>
      </c>
      <c r="V3408" s="87">
        <v>61</v>
      </c>
      <c r="W3408" s="93" t="s">
        <v>7819</v>
      </c>
      <c r="X3408" s="87"/>
      <c r="Y3408" s="87"/>
      <c r="Z3408" s="87" t="s">
        <v>1280</v>
      </c>
      <c r="AA3408" s="87" t="s">
        <v>10956</v>
      </c>
      <c r="AB3408" s="87" t="s">
        <v>11448</v>
      </c>
      <c r="AC3408" s="93" t="s">
        <v>11459</v>
      </c>
      <c r="AD3408" s="87" t="s">
        <v>11519</v>
      </c>
      <c r="AE3408" s="92" t="str">
        <f>HYPERLINK("https://twitter.com/workshopdantas/status/1690310218633060352")</f>
        <v>https://twitter.com/workshopdantas/status/1690310218633060352</v>
      </c>
      <c r="AF3408" s="90">
        <v>45150.439062500001</v>
      </c>
      <c r="AG3408" s="99">
        <v>45150</v>
      </c>
      <c r="AH3408" s="93" t="s">
        <v>14547</v>
      </c>
      <c r="AI3408" s="87" t="b">
        <v>0</v>
      </c>
      <c r="AJ3408" s="87"/>
      <c r="AK3408" s="87"/>
      <c r="AL3408" s="87"/>
      <c r="AM3408" s="87"/>
      <c r="AN3408" s="87"/>
      <c r="AO3408" s="87"/>
      <c r="AP3408" s="87"/>
      <c r="AQ3408" s="87" t="s">
        <v>17768</v>
      </c>
      <c r="AR3408" s="87"/>
      <c r="AS3408" s="87"/>
      <c r="AT3408" s="87"/>
      <c r="AU3408" s="87"/>
      <c r="AV3408" s="92" t="str">
        <f>HYPERLINK("https://pbs.twimg.com/media/F3UwL6kWgAAAQYg.jpg")</f>
        <v>https://pbs.twimg.com/media/F3UwL6kWgAAAQYg.jpg</v>
      </c>
      <c r="AW3408" s="93" t="s">
        <v>21536</v>
      </c>
      <c r="AX3408" s="93" t="s">
        <v>21536</v>
      </c>
      <c r="AY3408" s="87"/>
      <c r="AZ3408" s="93" t="s">
        <v>22668</v>
      </c>
      <c r="BA3408" s="93" t="s">
        <v>22668</v>
      </c>
      <c r="BB3408" s="93" t="s">
        <v>22668</v>
      </c>
      <c r="BC3408" s="93" t="s">
        <v>21536</v>
      </c>
      <c r="BD3408" s="93" t="s">
        <v>23405</v>
      </c>
      <c r="BE3408" s="87"/>
      <c r="BF3408" s="87"/>
      <c r="BG3408" s="87"/>
      <c r="BH3408" s="87"/>
      <c r="BI3408" s="87"/>
    </row>
    <row r="3409" spans="1:61" x14ac:dyDescent="0.25">
      <c r="A3409" s="63" t="s">
        <v>1280</v>
      </c>
      <c r="B3409" s="63" t="s">
        <v>1280</v>
      </c>
      <c r="C3409" s="64"/>
      <c r="D3409" s="65"/>
      <c r="E3409" s="66"/>
      <c r="F3409" s="67"/>
      <c r="G3409" s="64"/>
      <c r="H3409" s="68"/>
      <c r="I3409" s="69"/>
      <c r="J3409" s="69"/>
      <c r="K3409" s="32"/>
      <c r="L3409" s="76">
        <v>3409</v>
      </c>
      <c r="M3409" s="76"/>
      <c r="N3409" s="71"/>
      <c r="O3409" s="87" t="s">
        <v>1839</v>
      </c>
      <c r="P3409" s="90">
        <v>45138.456770833334</v>
      </c>
      <c r="Q3409" s="87" t="s">
        <v>5085</v>
      </c>
      <c r="R3409" s="87">
        <v>0</v>
      </c>
      <c r="S3409" s="87">
        <v>0</v>
      </c>
      <c r="T3409" s="87">
        <v>0</v>
      </c>
      <c r="U3409" s="87">
        <v>0</v>
      </c>
      <c r="V3409" s="87">
        <v>47</v>
      </c>
      <c r="W3409" s="93" t="s">
        <v>7777</v>
      </c>
      <c r="X3409" s="87"/>
      <c r="Y3409" s="87"/>
      <c r="Z3409" s="87" t="s">
        <v>1280</v>
      </c>
      <c r="AA3409" s="87" t="s">
        <v>10957</v>
      </c>
      <c r="AB3409" s="87" t="s">
        <v>11448</v>
      </c>
      <c r="AC3409" s="93" t="s">
        <v>11459</v>
      </c>
      <c r="AD3409" s="87" t="s">
        <v>11519</v>
      </c>
      <c r="AE3409" s="92" t="str">
        <f>HYPERLINK("https://twitter.com/workshopdantas/status/1685967981170327552")</f>
        <v>https://twitter.com/workshopdantas/status/1685967981170327552</v>
      </c>
      <c r="AF3409" s="90">
        <v>45138.456770833334</v>
      </c>
      <c r="AG3409" s="99">
        <v>45138</v>
      </c>
      <c r="AH3409" s="93" t="s">
        <v>14548</v>
      </c>
      <c r="AI3409" s="87" t="b">
        <v>0</v>
      </c>
      <c r="AJ3409" s="87"/>
      <c r="AK3409" s="87"/>
      <c r="AL3409" s="87"/>
      <c r="AM3409" s="87"/>
      <c r="AN3409" s="87"/>
      <c r="AO3409" s="87"/>
      <c r="AP3409" s="87"/>
      <c r="AQ3409" s="87" t="s">
        <v>17769</v>
      </c>
      <c r="AR3409" s="87"/>
      <c r="AS3409" s="87"/>
      <c r="AT3409" s="87"/>
      <c r="AU3409" s="87"/>
      <c r="AV3409" s="92" t="str">
        <f>HYPERLINK("https://pbs.twimg.com/media/F2XC8X8XsAAy_l4.jpg")</f>
        <v>https://pbs.twimg.com/media/F2XC8X8XsAAy_l4.jpg</v>
      </c>
      <c r="AW3409" s="93" t="s">
        <v>21537</v>
      </c>
      <c r="AX3409" s="93" t="s">
        <v>21537</v>
      </c>
      <c r="AY3409" s="87"/>
      <c r="AZ3409" s="93" t="s">
        <v>22668</v>
      </c>
      <c r="BA3409" s="93" t="s">
        <v>22668</v>
      </c>
      <c r="BB3409" s="93" t="s">
        <v>22668</v>
      </c>
      <c r="BC3409" s="93" t="s">
        <v>21537</v>
      </c>
      <c r="BD3409" s="93" t="s">
        <v>23405</v>
      </c>
      <c r="BE3409" s="87"/>
      <c r="BF3409" s="87"/>
      <c r="BG3409" s="87"/>
      <c r="BH3409" s="87"/>
      <c r="BI3409" s="87"/>
    </row>
    <row r="3410" spans="1:61" x14ac:dyDescent="0.25">
      <c r="A3410" s="63" t="s">
        <v>1280</v>
      </c>
      <c r="B3410" s="63" t="s">
        <v>1280</v>
      </c>
      <c r="C3410" s="64"/>
      <c r="D3410" s="65"/>
      <c r="E3410" s="66"/>
      <c r="F3410" s="67"/>
      <c r="G3410" s="64"/>
      <c r="H3410" s="68"/>
      <c r="I3410" s="69"/>
      <c r="J3410" s="69"/>
      <c r="K3410" s="32"/>
      <c r="L3410" s="76">
        <v>3410</v>
      </c>
      <c r="M3410" s="76"/>
      <c r="N3410" s="71"/>
      <c r="O3410" s="87" t="s">
        <v>1839</v>
      </c>
      <c r="P3410" s="90">
        <v>45124.491261574076</v>
      </c>
      <c r="Q3410" s="87" t="s">
        <v>5086</v>
      </c>
      <c r="R3410" s="87">
        <v>0</v>
      </c>
      <c r="S3410" s="87">
        <v>1</v>
      </c>
      <c r="T3410" s="87">
        <v>0</v>
      </c>
      <c r="U3410" s="87">
        <v>0</v>
      </c>
      <c r="V3410" s="87">
        <v>51</v>
      </c>
      <c r="W3410" s="93" t="s">
        <v>7820</v>
      </c>
      <c r="X3410" s="87"/>
      <c r="Y3410" s="87"/>
      <c r="Z3410" s="87" t="s">
        <v>1280</v>
      </c>
      <c r="AA3410" s="87" t="s">
        <v>10958</v>
      </c>
      <c r="AB3410" s="87" t="s">
        <v>11448</v>
      </c>
      <c r="AC3410" s="93" t="s">
        <v>11459</v>
      </c>
      <c r="AD3410" s="87" t="s">
        <v>11519</v>
      </c>
      <c r="AE3410" s="92" t="str">
        <f>HYPERLINK("https://twitter.com/workshopdantas/status/1680907050107252739")</f>
        <v>https://twitter.com/workshopdantas/status/1680907050107252739</v>
      </c>
      <c r="AF3410" s="90">
        <v>45124.491261574076</v>
      </c>
      <c r="AG3410" s="99">
        <v>45124</v>
      </c>
      <c r="AH3410" s="93" t="s">
        <v>14549</v>
      </c>
      <c r="AI3410" s="87" t="b">
        <v>0</v>
      </c>
      <c r="AJ3410" s="87"/>
      <c r="AK3410" s="87"/>
      <c r="AL3410" s="87"/>
      <c r="AM3410" s="87"/>
      <c r="AN3410" s="87"/>
      <c r="AO3410" s="87"/>
      <c r="AP3410" s="87"/>
      <c r="AQ3410" s="87" t="s">
        <v>17770</v>
      </c>
      <c r="AR3410" s="87"/>
      <c r="AS3410" s="87"/>
      <c r="AT3410" s="87"/>
      <c r="AU3410" s="87"/>
      <c r="AV3410" s="92" t="str">
        <f>HYPERLINK("https://pbs.twimg.com/media/F1PIDcPXwAAgzmT.jpg")</f>
        <v>https://pbs.twimg.com/media/F1PIDcPXwAAgzmT.jpg</v>
      </c>
      <c r="AW3410" s="93" t="s">
        <v>21538</v>
      </c>
      <c r="AX3410" s="93" t="s">
        <v>21538</v>
      </c>
      <c r="AY3410" s="87"/>
      <c r="AZ3410" s="93" t="s">
        <v>22668</v>
      </c>
      <c r="BA3410" s="93" t="s">
        <v>22668</v>
      </c>
      <c r="BB3410" s="93" t="s">
        <v>22668</v>
      </c>
      <c r="BC3410" s="93" t="s">
        <v>21538</v>
      </c>
      <c r="BD3410" s="93" t="s">
        <v>23405</v>
      </c>
      <c r="BE3410" s="87"/>
      <c r="BF3410" s="87"/>
      <c r="BG3410" s="87"/>
      <c r="BH3410" s="87"/>
      <c r="BI3410" s="87"/>
    </row>
    <row r="3411" spans="1:61" x14ac:dyDescent="0.25">
      <c r="A3411" s="63" t="s">
        <v>1280</v>
      </c>
      <c r="B3411" s="63" t="s">
        <v>1280</v>
      </c>
      <c r="C3411" s="64"/>
      <c r="D3411" s="65"/>
      <c r="E3411" s="66"/>
      <c r="F3411" s="67"/>
      <c r="G3411" s="64"/>
      <c r="H3411" s="68"/>
      <c r="I3411" s="69"/>
      <c r="J3411" s="69"/>
      <c r="K3411" s="32"/>
      <c r="L3411" s="76">
        <v>3411</v>
      </c>
      <c r="M3411" s="76"/>
      <c r="N3411" s="71"/>
      <c r="O3411" s="87" t="s">
        <v>1839</v>
      </c>
      <c r="P3411" s="90">
        <v>45123.955347222225</v>
      </c>
      <c r="Q3411" s="87" t="s">
        <v>5087</v>
      </c>
      <c r="R3411" s="87">
        <v>0</v>
      </c>
      <c r="S3411" s="87">
        <v>0</v>
      </c>
      <c r="T3411" s="87">
        <v>0</v>
      </c>
      <c r="U3411" s="87">
        <v>0</v>
      </c>
      <c r="V3411" s="87">
        <v>72</v>
      </c>
      <c r="W3411" s="93" t="s">
        <v>7821</v>
      </c>
      <c r="X3411" s="87"/>
      <c r="Y3411" s="87"/>
      <c r="Z3411" s="87" t="s">
        <v>1280</v>
      </c>
      <c r="AA3411" s="87" t="s">
        <v>10959</v>
      </c>
      <c r="AB3411" s="87" t="s">
        <v>11448</v>
      </c>
      <c r="AC3411" s="93" t="s">
        <v>11459</v>
      </c>
      <c r="AD3411" s="87" t="s">
        <v>11519</v>
      </c>
      <c r="AE3411" s="92" t="str">
        <f>HYPERLINK("https://twitter.com/workshopdantas/status/1680712842121494528")</f>
        <v>https://twitter.com/workshopdantas/status/1680712842121494528</v>
      </c>
      <c r="AF3411" s="90">
        <v>45123.955347222225</v>
      </c>
      <c r="AG3411" s="99">
        <v>45123</v>
      </c>
      <c r="AH3411" s="93" t="s">
        <v>14550</v>
      </c>
      <c r="AI3411" s="87" t="b">
        <v>0</v>
      </c>
      <c r="AJ3411" s="87"/>
      <c r="AK3411" s="87"/>
      <c r="AL3411" s="87"/>
      <c r="AM3411" s="87"/>
      <c r="AN3411" s="87"/>
      <c r="AO3411" s="87"/>
      <c r="AP3411" s="87"/>
      <c r="AQ3411" s="87" t="s">
        <v>17771</v>
      </c>
      <c r="AR3411" s="87"/>
      <c r="AS3411" s="87"/>
      <c r="AT3411" s="87"/>
      <c r="AU3411" s="87"/>
      <c r="AV3411" s="92" t="str">
        <f>HYPERLINK("https://pbs.twimg.com/media/F1MXbF0XsAEWAGV.jpg")</f>
        <v>https://pbs.twimg.com/media/F1MXbF0XsAEWAGV.jpg</v>
      </c>
      <c r="AW3411" s="93" t="s">
        <v>21539</v>
      </c>
      <c r="AX3411" s="93" t="s">
        <v>21539</v>
      </c>
      <c r="AY3411" s="87"/>
      <c r="AZ3411" s="93" t="s">
        <v>22668</v>
      </c>
      <c r="BA3411" s="93" t="s">
        <v>22668</v>
      </c>
      <c r="BB3411" s="93" t="s">
        <v>22668</v>
      </c>
      <c r="BC3411" s="93" t="s">
        <v>21539</v>
      </c>
      <c r="BD3411" s="93" t="s">
        <v>23405</v>
      </c>
      <c r="BE3411" s="87"/>
      <c r="BF3411" s="87"/>
      <c r="BG3411" s="87"/>
      <c r="BH3411" s="87"/>
      <c r="BI3411" s="87"/>
    </row>
    <row r="3412" spans="1:61" x14ac:dyDescent="0.25">
      <c r="A3412" s="63" t="s">
        <v>1280</v>
      </c>
      <c r="B3412" s="63" t="s">
        <v>1280</v>
      </c>
      <c r="C3412" s="64"/>
      <c r="D3412" s="65"/>
      <c r="E3412" s="66"/>
      <c r="F3412" s="67"/>
      <c r="G3412" s="64"/>
      <c r="H3412" s="68"/>
      <c r="I3412" s="69"/>
      <c r="J3412" s="69"/>
      <c r="K3412" s="32"/>
      <c r="L3412" s="76">
        <v>3412</v>
      </c>
      <c r="M3412" s="76"/>
      <c r="N3412" s="71"/>
      <c r="O3412" s="87" t="s">
        <v>1839</v>
      </c>
      <c r="P3412" s="90">
        <v>45123.434953703705</v>
      </c>
      <c r="Q3412" s="87" t="s">
        <v>5088</v>
      </c>
      <c r="R3412" s="87">
        <v>0</v>
      </c>
      <c r="S3412" s="87">
        <v>0</v>
      </c>
      <c r="T3412" s="87">
        <v>0</v>
      </c>
      <c r="U3412" s="87">
        <v>0</v>
      </c>
      <c r="V3412" s="87">
        <v>78</v>
      </c>
      <c r="W3412" s="93" t="s">
        <v>7822</v>
      </c>
      <c r="X3412" s="87"/>
      <c r="Y3412" s="87"/>
      <c r="Z3412" s="87" t="s">
        <v>1280</v>
      </c>
      <c r="AA3412" s="87" t="s">
        <v>10960</v>
      </c>
      <c r="AB3412" s="87" t="s">
        <v>11448</v>
      </c>
      <c r="AC3412" s="93" t="s">
        <v>11459</v>
      </c>
      <c r="AD3412" s="87" t="s">
        <v>11519</v>
      </c>
      <c r="AE3412" s="92" t="str">
        <f>HYPERLINK("https://twitter.com/workshopdantas/status/1680524257506336768")</f>
        <v>https://twitter.com/workshopdantas/status/1680524257506336768</v>
      </c>
      <c r="AF3412" s="90">
        <v>45123.434953703705</v>
      </c>
      <c r="AG3412" s="99">
        <v>45123</v>
      </c>
      <c r="AH3412" s="93" t="s">
        <v>14551</v>
      </c>
      <c r="AI3412" s="87" t="b">
        <v>0</v>
      </c>
      <c r="AJ3412" s="87"/>
      <c r="AK3412" s="87"/>
      <c r="AL3412" s="87"/>
      <c r="AM3412" s="87"/>
      <c r="AN3412" s="87"/>
      <c r="AO3412" s="87"/>
      <c r="AP3412" s="87"/>
      <c r="AQ3412" s="87" t="s">
        <v>17772</v>
      </c>
      <c r="AR3412" s="87"/>
      <c r="AS3412" s="87"/>
      <c r="AT3412" s="87"/>
      <c r="AU3412" s="87"/>
      <c r="AV3412" s="92" t="str">
        <f>HYPERLINK("https://pbs.twimg.com/media/F1Jr5-1XsAESfrn.jpg")</f>
        <v>https://pbs.twimg.com/media/F1Jr5-1XsAESfrn.jpg</v>
      </c>
      <c r="AW3412" s="93" t="s">
        <v>21540</v>
      </c>
      <c r="AX3412" s="93" t="s">
        <v>21540</v>
      </c>
      <c r="AY3412" s="87"/>
      <c r="AZ3412" s="93" t="s">
        <v>22668</v>
      </c>
      <c r="BA3412" s="93" t="s">
        <v>22668</v>
      </c>
      <c r="BB3412" s="93" t="s">
        <v>22668</v>
      </c>
      <c r="BC3412" s="93" t="s">
        <v>21540</v>
      </c>
      <c r="BD3412" s="93" t="s">
        <v>23405</v>
      </c>
      <c r="BE3412" s="87"/>
      <c r="BF3412" s="87"/>
      <c r="BG3412" s="87"/>
      <c r="BH3412" s="87"/>
      <c r="BI3412" s="87"/>
    </row>
    <row r="3413" spans="1:61" x14ac:dyDescent="0.25">
      <c r="A3413" s="63" t="s">
        <v>1280</v>
      </c>
      <c r="B3413" s="63" t="s">
        <v>1280</v>
      </c>
      <c r="C3413" s="64"/>
      <c r="D3413" s="65"/>
      <c r="E3413" s="66"/>
      <c r="F3413" s="67"/>
      <c r="G3413" s="64"/>
      <c r="H3413" s="68"/>
      <c r="I3413" s="69"/>
      <c r="J3413" s="69"/>
      <c r="K3413" s="32"/>
      <c r="L3413" s="76">
        <v>3413</v>
      </c>
      <c r="M3413" s="76"/>
      <c r="N3413" s="71"/>
      <c r="O3413" s="87" t="s">
        <v>1839</v>
      </c>
      <c r="P3413" s="90">
        <v>45122.379606481481</v>
      </c>
      <c r="Q3413" s="87" t="s">
        <v>5089</v>
      </c>
      <c r="R3413" s="87">
        <v>0</v>
      </c>
      <c r="S3413" s="87">
        <v>0</v>
      </c>
      <c r="T3413" s="87">
        <v>0</v>
      </c>
      <c r="U3413" s="87">
        <v>0</v>
      </c>
      <c r="V3413" s="87">
        <v>180</v>
      </c>
      <c r="W3413" s="93" t="s">
        <v>7823</v>
      </c>
      <c r="X3413" s="87"/>
      <c r="Y3413" s="87"/>
      <c r="Z3413" s="87" t="s">
        <v>1280</v>
      </c>
      <c r="AA3413" s="87" t="s">
        <v>10961</v>
      </c>
      <c r="AB3413" s="87" t="s">
        <v>11448</v>
      </c>
      <c r="AC3413" s="93" t="s">
        <v>11459</v>
      </c>
      <c r="AD3413" s="87" t="s">
        <v>11519</v>
      </c>
      <c r="AE3413" s="92" t="str">
        <f>HYPERLINK("https://twitter.com/workshopdantas/status/1680141813133213697")</f>
        <v>https://twitter.com/workshopdantas/status/1680141813133213697</v>
      </c>
      <c r="AF3413" s="90">
        <v>45122.379606481481</v>
      </c>
      <c r="AG3413" s="99">
        <v>45122</v>
      </c>
      <c r="AH3413" s="93" t="s">
        <v>14552</v>
      </c>
      <c r="AI3413" s="87" t="b">
        <v>0</v>
      </c>
      <c r="AJ3413" s="87"/>
      <c r="AK3413" s="87"/>
      <c r="AL3413" s="87"/>
      <c r="AM3413" s="87"/>
      <c r="AN3413" s="87"/>
      <c r="AO3413" s="87"/>
      <c r="AP3413" s="87"/>
      <c r="AQ3413" s="87" t="s">
        <v>17773</v>
      </c>
      <c r="AR3413" s="87"/>
      <c r="AS3413" s="87"/>
      <c r="AT3413" s="87"/>
      <c r="AU3413" s="87"/>
      <c r="AV3413" s="92" t="str">
        <f>HYPERLINK("https://pbs.twimg.com/media/F1EQExvX0AAVqQo.jpg")</f>
        <v>https://pbs.twimg.com/media/F1EQExvX0AAVqQo.jpg</v>
      </c>
      <c r="AW3413" s="93" t="s">
        <v>21541</v>
      </c>
      <c r="AX3413" s="93" t="s">
        <v>21541</v>
      </c>
      <c r="AY3413" s="87"/>
      <c r="AZ3413" s="93" t="s">
        <v>22668</v>
      </c>
      <c r="BA3413" s="93" t="s">
        <v>22668</v>
      </c>
      <c r="BB3413" s="93" t="s">
        <v>22668</v>
      </c>
      <c r="BC3413" s="93" t="s">
        <v>21541</v>
      </c>
      <c r="BD3413" s="93" t="s">
        <v>23405</v>
      </c>
      <c r="BE3413" s="87"/>
      <c r="BF3413" s="87"/>
      <c r="BG3413" s="87"/>
      <c r="BH3413" s="87"/>
      <c r="BI3413" s="87"/>
    </row>
    <row r="3414" spans="1:61" x14ac:dyDescent="0.25">
      <c r="A3414" s="63" t="s">
        <v>1280</v>
      </c>
      <c r="B3414" s="63" t="s">
        <v>1280</v>
      </c>
      <c r="C3414" s="64"/>
      <c r="D3414" s="65"/>
      <c r="E3414" s="66"/>
      <c r="F3414" s="67"/>
      <c r="G3414" s="64"/>
      <c r="H3414" s="68"/>
      <c r="I3414" s="69"/>
      <c r="J3414" s="69"/>
      <c r="K3414" s="32"/>
      <c r="L3414" s="76">
        <v>3414</v>
      </c>
      <c r="M3414" s="76"/>
      <c r="N3414" s="71"/>
      <c r="O3414" s="87" t="s">
        <v>179</v>
      </c>
      <c r="P3414" s="90">
        <v>45183.726840277777</v>
      </c>
      <c r="Q3414" s="87" t="s">
        <v>5090</v>
      </c>
      <c r="R3414" s="87">
        <v>0</v>
      </c>
      <c r="S3414" s="87">
        <v>1</v>
      </c>
      <c r="T3414" s="87">
        <v>0</v>
      </c>
      <c r="U3414" s="87">
        <v>0</v>
      </c>
      <c r="V3414" s="87">
        <v>71</v>
      </c>
      <c r="W3414" s="93" t="s">
        <v>7824</v>
      </c>
      <c r="X3414" s="87"/>
      <c r="Y3414" s="87"/>
      <c r="Z3414" s="87"/>
      <c r="AA3414" s="87" t="s">
        <v>10962</v>
      </c>
      <c r="AB3414" s="87" t="s">
        <v>11448</v>
      </c>
      <c r="AC3414" s="93" t="s">
        <v>11459</v>
      </c>
      <c r="AD3414" s="87" t="s">
        <v>11519</v>
      </c>
      <c r="AE3414" s="92" t="str">
        <f>HYPERLINK("https://twitter.com/workshopdantas/status/1702373305867555185")</f>
        <v>https://twitter.com/workshopdantas/status/1702373305867555185</v>
      </c>
      <c r="AF3414" s="90">
        <v>45183.726840277777</v>
      </c>
      <c r="AG3414" s="99">
        <v>45183</v>
      </c>
      <c r="AH3414" s="93" t="s">
        <v>14553</v>
      </c>
      <c r="AI3414" s="87" t="b">
        <v>0</v>
      </c>
      <c r="AJ3414" s="87"/>
      <c r="AK3414" s="87"/>
      <c r="AL3414" s="87"/>
      <c r="AM3414" s="87"/>
      <c r="AN3414" s="87"/>
      <c r="AO3414" s="87"/>
      <c r="AP3414" s="87"/>
      <c r="AQ3414" s="87" t="s">
        <v>17774</v>
      </c>
      <c r="AR3414" s="87"/>
      <c r="AS3414" s="87"/>
      <c r="AT3414" s="87"/>
      <c r="AU3414" s="87"/>
      <c r="AV3414" s="92" t="str">
        <f>HYPERLINK("https://pbs.twimg.com/media/F6ALf-tXQAArhe7.jpg")</f>
        <v>https://pbs.twimg.com/media/F6ALf-tXQAArhe7.jpg</v>
      </c>
      <c r="AW3414" s="93" t="s">
        <v>21542</v>
      </c>
      <c r="AX3414" s="93" t="s">
        <v>21542</v>
      </c>
      <c r="AY3414" s="87"/>
      <c r="AZ3414" s="93" t="s">
        <v>22668</v>
      </c>
      <c r="BA3414" s="93" t="s">
        <v>22668</v>
      </c>
      <c r="BB3414" s="93" t="s">
        <v>22668</v>
      </c>
      <c r="BC3414" s="93" t="s">
        <v>21542</v>
      </c>
      <c r="BD3414" s="93" t="s">
        <v>23405</v>
      </c>
      <c r="BE3414" s="87"/>
      <c r="BF3414" s="87"/>
      <c r="BG3414" s="87"/>
      <c r="BH3414" s="87"/>
      <c r="BI3414" s="87"/>
    </row>
    <row r="3415" spans="1:61" x14ac:dyDescent="0.25">
      <c r="A3415" s="63" t="s">
        <v>1280</v>
      </c>
      <c r="B3415" s="63" t="s">
        <v>1280</v>
      </c>
      <c r="C3415" s="64"/>
      <c r="D3415" s="65"/>
      <c r="E3415" s="66"/>
      <c r="F3415" s="67"/>
      <c r="G3415" s="64"/>
      <c r="H3415" s="68"/>
      <c r="I3415" s="69"/>
      <c r="J3415" s="69"/>
      <c r="K3415" s="32"/>
      <c r="L3415" s="76">
        <v>3415</v>
      </c>
      <c r="M3415" s="76"/>
      <c r="N3415" s="71"/>
      <c r="O3415" s="87" t="s">
        <v>1839</v>
      </c>
      <c r="P3415" s="90">
        <v>45180.637766203705</v>
      </c>
      <c r="Q3415" s="87" t="s">
        <v>5091</v>
      </c>
      <c r="R3415" s="87">
        <v>0</v>
      </c>
      <c r="S3415" s="87">
        <v>0</v>
      </c>
      <c r="T3415" s="87">
        <v>0</v>
      </c>
      <c r="U3415" s="87">
        <v>0</v>
      </c>
      <c r="V3415" s="87">
        <v>77</v>
      </c>
      <c r="W3415" s="93" t="s">
        <v>7825</v>
      </c>
      <c r="X3415" s="87"/>
      <c r="Y3415" s="87"/>
      <c r="Z3415" s="87" t="s">
        <v>1280</v>
      </c>
      <c r="AA3415" s="87" t="s">
        <v>10963</v>
      </c>
      <c r="AB3415" s="87" t="s">
        <v>11448</v>
      </c>
      <c r="AC3415" s="93" t="s">
        <v>11459</v>
      </c>
      <c r="AD3415" s="87" t="s">
        <v>11519</v>
      </c>
      <c r="AE3415" s="92" t="str">
        <f>HYPERLINK("https://twitter.com/workshopdantas/status/1701253862164681160")</f>
        <v>https://twitter.com/workshopdantas/status/1701253862164681160</v>
      </c>
      <c r="AF3415" s="90">
        <v>45180.637766203705</v>
      </c>
      <c r="AG3415" s="99">
        <v>45180</v>
      </c>
      <c r="AH3415" s="93" t="s">
        <v>14554</v>
      </c>
      <c r="AI3415" s="87" t="b">
        <v>0</v>
      </c>
      <c r="AJ3415" s="87"/>
      <c r="AK3415" s="87"/>
      <c r="AL3415" s="87"/>
      <c r="AM3415" s="87"/>
      <c r="AN3415" s="87"/>
      <c r="AO3415" s="87"/>
      <c r="AP3415" s="87"/>
      <c r="AQ3415" s="87" t="s">
        <v>17775</v>
      </c>
      <c r="AR3415" s="87"/>
      <c r="AS3415" s="87"/>
      <c r="AT3415" s="87"/>
      <c r="AU3415" s="87"/>
      <c r="AV3415" s="92" t="str">
        <f>HYPERLINK("https://pbs.twimg.com/media/F5wRX0UWUAAzjhO.jpg")</f>
        <v>https://pbs.twimg.com/media/F5wRX0UWUAAzjhO.jpg</v>
      </c>
      <c r="AW3415" s="93" t="s">
        <v>21543</v>
      </c>
      <c r="AX3415" s="93" t="s">
        <v>21543</v>
      </c>
      <c r="AY3415" s="87"/>
      <c r="AZ3415" s="93" t="s">
        <v>22668</v>
      </c>
      <c r="BA3415" s="93" t="s">
        <v>22668</v>
      </c>
      <c r="BB3415" s="93" t="s">
        <v>22668</v>
      </c>
      <c r="BC3415" s="93" t="s">
        <v>21543</v>
      </c>
      <c r="BD3415" s="93" t="s">
        <v>23405</v>
      </c>
      <c r="BE3415" s="87"/>
      <c r="BF3415" s="87"/>
      <c r="BG3415" s="87"/>
      <c r="BH3415" s="87"/>
      <c r="BI3415" s="87"/>
    </row>
    <row r="3416" spans="1:61" x14ac:dyDescent="0.25">
      <c r="A3416" s="63" t="s">
        <v>1280</v>
      </c>
      <c r="B3416" s="63" t="s">
        <v>1280</v>
      </c>
      <c r="C3416" s="64"/>
      <c r="D3416" s="65"/>
      <c r="E3416" s="66"/>
      <c r="F3416" s="67"/>
      <c r="G3416" s="64"/>
      <c r="H3416" s="68"/>
      <c r="I3416" s="69"/>
      <c r="J3416" s="69"/>
      <c r="K3416" s="32"/>
      <c r="L3416" s="76">
        <v>3416</v>
      </c>
      <c r="M3416" s="76"/>
      <c r="N3416" s="71"/>
      <c r="O3416" s="87" t="s">
        <v>1839</v>
      </c>
      <c r="P3416" s="90">
        <v>45147.673136574071</v>
      </c>
      <c r="Q3416" s="87" t="s">
        <v>5092</v>
      </c>
      <c r="R3416" s="87">
        <v>0</v>
      </c>
      <c r="S3416" s="87">
        <v>0</v>
      </c>
      <c r="T3416" s="87">
        <v>0</v>
      </c>
      <c r="U3416" s="87">
        <v>0</v>
      </c>
      <c r="V3416" s="87">
        <v>38</v>
      </c>
      <c r="W3416" s="93" t="s">
        <v>7777</v>
      </c>
      <c r="X3416" s="87"/>
      <c r="Y3416" s="87"/>
      <c r="Z3416" s="87" t="s">
        <v>1280</v>
      </c>
      <c r="AA3416" s="87" t="s">
        <v>10964</v>
      </c>
      <c r="AB3416" s="87" t="s">
        <v>11448</v>
      </c>
      <c r="AC3416" s="93" t="s">
        <v>11459</v>
      </c>
      <c r="AD3416" s="87" t="s">
        <v>11519</v>
      </c>
      <c r="AE3416" s="92" t="str">
        <f>HYPERLINK("https://twitter.com/workshopdantas/status/1689307883454820353")</f>
        <v>https://twitter.com/workshopdantas/status/1689307883454820353</v>
      </c>
      <c r="AF3416" s="90">
        <v>45147.673136574071</v>
      </c>
      <c r="AG3416" s="99">
        <v>45147</v>
      </c>
      <c r="AH3416" s="93" t="s">
        <v>14555</v>
      </c>
      <c r="AI3416" s="87" t="b">
        <v>0</v>
      </c>
      <c r="AJ3416" s="87"/>
      <c r="AK3416" s="87"/>
      <c r="AL3416" s="87"/>
      <c r="AM3416" s="87"/>
      <c r="AN3416" s="87"/>
      <c r="AO3416" s="87"/>
      <c r="AP3416" s="87"/>
      <c r="AQ3416" s="87" t="s">
        <v>17776</v>
      </c>
      <c r="AR3416" s="87"/>
      <c r="AS3416" s="87"/>
      <c r="AT3416" s="87"/>
      <c r="AU3416" s="87"/>
      <c r="AV3416" s="92" t="str">
        <f>HYPERLINK("https://pbs.twimg.com/media/F3GgkWGXQAAI-1T.jpg")</f>
        <v>https://pbs.twimg.com/media/F3GgkWGXQAAI-1T.jpg</v>
      </c>
      <c r="AW3416" s="93" t="s">
        <v>21544</v>
      </c>
      <c r="AX3416" s="93" t="s">
        <v>21544</v>
      </c>
      <c r="AY3416" s="87"/>
      <c r="AZ3416" s="93" t="s">
        <v>22668</v>
      </c>
      <c r="BA3416" s="93" t="s">
        <v>22668</v>
      </c>
      <c r="BB3416" s="93" t="s">
        <v>22668</v>
      </c>
      <c r="BC3416" s="93" t="s">
        <v>21544</v>
      </c>
      <c r="BD3416" s="93" t="s">
        <v>23405</v>
      </c>
      <c r="BE3416" s="87"/>
      <c r="BF3416" s="87"/>
      <c r="BG3416" s="87"/>
      <c r="BH3416" s="87"/>
      <c r="BI3416" s="87"/>
    </row>
    <row r="3417" spans="1:61" x14ac:dyDescent="0.25">
      <c r="A3417" s="63" t="s">
        <v>1280</v>
      </c>
      <c r="B3417" s="63" t="s">
        <v>1280</v>
      </c>
      <c r="C3417" s="64"/>
      <c r="D3417" s="65"/>
      <c r="E3417" s="66"/>
      <c r="F3417" s="67"/>
      <c r="G3417" s="64"/>
      <c r="H3417" s="68"/>
      <c r="I3417" s="69"/>
      <c r="J3417" s="69"/>
      <c r="K3417" s="32"/>
      <c r="L3417" s="76">
        <v>3417</v>
      </c>
      <c r="M3417" s="76"/>
      <c r="N3417" s="71"/>
      <c r="O3417" s="87" t="s">
        <v>1839</v>
      </c>
      <c r="P3417" s="90">
        <v>45145.499143518522</v>
      </c>
      <c r="Q3417" s="87" t="s">
        <v>5093</v>
      </c>
      <c r="R3417" s="87">
        <v>0</v>
      </c>
      <c r="S3417" s="87">
        <v>1</v>
      </c>
      <c r="T3417" s="87">
        <v>0</v>
      </c>
      <c r="U3417" s="87">
        <v>0</v>
      </c>
      <c r="V3417" s="87">
        <v>43</v>
      </c>
      <c r="W3417" s="93" t="s">
        <v>7826</v>
      </c>
      <c r="X3417" s="87"/>
      <c r="Y3417" s="87"/>
      <c r="Z3417" s="87" t="s">
        <v>1280</v>
      </c>
      <c r="AA3417" s="87" t="s">
        <v>10965</v>
      </c>
      <c r="AB3417" s="87" t="s">
        <v>11448</v>
      </c>
      <c r="AC3417" s="93" t="s">
        <v>11459</v>
      </c>
      <c r="AD3417" s="87" t="s">
        <v>11519</v>
      </c>
      <c r="AE3417" s="92" t="str">
        <f>HYPERLINK("https://twitter.com/workshopdantas/status/1688520053862326272")</f>
        <v>https://twitter.com/workshopdantas/status/1688520053862326272</v>
      </c>
      <c r="AF3417" s="90">
        <v>45145.499143518522</v>
      </c>
      <c r="AG3417" s="99">
        <v>45145</v>
      </c>
      <c r="AH3417" s="93" t="s">
        <v>14556</v>
      </c>
      <c r="AI3417" s="87" t="b">
        <v>0</v>
      </c>
      <c r="AJ3417" s="87"/>
      <c r="AK3417" s="87"/>
      <c r="AL3417" s="87"/>
      <c r="AM3417" s="87"/>
      <c r="AN3417" s="87"/>
      <c r="AO3417" s="87"/>
      <c r="AP3417" s="87"/>
      <c r="AQ3417" s="87" t="s">
        <v>17777</v>
      </c>
      <c r="AR3417" s="87"/>
      <c r="AS3417" s="87"/>
      <c r="AT3417" s="87"/>
      <c r="AU3417" s="87"/>
      <c r="AV3417" s="92" t="str">
        <f>HYPERLINK("https://pbs.twimg.com/media/F27UCmLXsAAGT9W.jpg")</f>
        <v>https://pbs.twimg.com/media/F27UCmLXsAAGT9W.jpg</v>
      </c>
      <c r="AW3417" s="93" t="s">
        <v>21545</v>
      </c>
      <c r="AX3417" s="93" t="s">
        <v>21545</v>
      </c>
      <c r="AY3417" s="87"/>
      <c r="AZ3417" s="93" t="s">
        <v>22668</v>
      </c>
      <c r="BA3417" s="93" t="s">
        <v>22668</v>
      </c>
      <c r="BB3417" s="93" t="s">
        <v>22668</v>
      </c>
      <c r="BC3417" s="93" t="s">
        <v>21545</v>
      </c>
      <c r="BD3417" s="93" t="s">
        <v>23405</v>
      </c>
      <c r="BE3417" s="87"/>
      <c r="BF3417" s="87"/>
      <c r="BG3417" s="87"/>
      <c r="BH3417" s="87"/>
      <c r="BI3417" s="87"/>
    </row>
    <row r="3418" spans="1:61" x14ac:dyDescent="0.25">
      <c r="A3418" s="63" t="s">
        <v>1280</v>
      </c>
      <c r="B3418" s="63" t="s">
        <v>1280</v>
      </c>
      <c r="C3418" s="64"/>
      <c r="D3418" s="65"/>
      <c r="E3418" s="66"/>
      <c r="F3418" s="67"/>
      <c r="G3418" s="64"/>
      <c r="H3418" s="68"/>
      <c r="I3418" s="69"/>
      <c r="J3418" s="69"/>
      <c r="K3418" s="32"/>
      <c r="L3418" s="76">
        <v>3418</v>
      </c>
      <c r="M3418" s="76"/>
      <c r="N3418" s="71"/>
      <c r="O3418" s="87" t="s">
        <v>1839</v>
      </c>
      <c r="P3418" s="90">
        <v>45134.490868055553</v>
      </c>
      <c r="Q3418" s="87" t="s">
        <v>5094</v>
      </c>
      <c r="R3418" s="87">
        <v>0</v>
      </c>
      <c r="S3418" s="87">
        <v>0</v>
      </c>
      <c r="T3418" s="87">
        <v>1</v>
      </c>
      <c r="U3418" s="87">
        <v>0</v>
      </c>
      <c r="V3418" s="87">
        <v>90</v>
      </c>
      <c r="W3418" s="93" t="s">
        <v>7827</v>
      </c>
      <c r="X3418" s="87"/>
      <c r="Y3418" s="87"/>
      <c r="Z3418" s="87" t="s">
        <v>1280</v>
      </c>
      <c r="AA3418" s="87" t="s">
        <v>10966</v>
      </c>
      <c r="AB3418" s="87" t="s">
        <v>11448</v>
      </c>
      <c r="AC3418" s="93" t="s">
        <v>11459</v>
      </c>
      <c r="AD3418" s="87" t="s">
        <v>11519</v>
      </c>
      <c r="AE3418" s="92" t="str">
        <f>HYPERLINK("https://twitter.com/workshopdantas/status/1684530788589600769")</f>
        <v>https://twitter.com/workshopdantas/status/1684530788589600769</v>
      </c>
      <c r="AF3418" s="90">
        <v>45134.490868055553</v>
      </c>
      <c r="AG3418" s="99">
        <v>45134</v>
      </c>
      <c r="AH3418" s="93" t="s">
        <v>14557</v>
      </c>
      <c r="AI3418" s="87" t="b">
        <v>0</v>
      </c>
      <c r="AJ3418" s="87"/>
      <c r="AK3418" s="87"/>
      <c r="AL3418" s="87"/>
      <c r="AM3418" s="87"/>
      <c r="AN3418" s="87"/>
      <c r="AO3418" s="87"/>
      <c r="AP3418" s="87"/>
      <c r="AQ3418" s="87" t="s">
        <v>17778</v>
      </c>
      <c r="AR3418" s="87"/>
      <c r="AS3418" s="87"/>
      <c r="AT3418" s="87"/>
      <c r="AU3418" s="87"/>
      <c r="AV3418" s="92" t="str">
        <f>HYPERLINK("https://pbs.twimg.com/media/F2Cn0h_WIAAxorE.jpg")</f>
        <v>https://pbs.twimg.com/media/F2Cn0h_WIAAxorE.jpg</v>
      </c>
      <c r="AW3418" s="93" t="s">
        <v>21546</v>
      </c>
      <c r="AX3418" s="93" t="s">
        <v>21546</v>
      </c>
      <c r="AY3418" s="87"/>
      <c r="AZ3418" s="93" t="s">
        <v>22668</v>
      </c>
      <c r="BA3418" s="93" t="s">
        <v>22668</v>
      </c>
      <c r="BB3418" s="93" t="s">
        <v>22668</v>
      </c>
      <c r="BC3418" s="93" t="s">
        <v>21546</v>
      </c>
      <c r="BD3418" s="93" t="s">
        <v>23405</v>
      </c>
      <c r="BE3418" s="87"/>
      <c r="BF3418" s="87"/>
      <c r="BG3418" s="87"/>
      <c r="BH3418" s="87"/>
      <c r="BI3418" s="87"/>
    </row>
    <row r="3419" spans="1:61" x14ac:dyDescent="0.25">
      <c r="A3419" s="63" t="s">
        <v>1280</v>
      </c>
      <c r="B3419" s="63" t="s">
        <v>1280</v>
      </c>
      <c r="C3419" s="64"/>
      <c r="D3419" s="65"/>
      <c r="E3419" s="66"/>
      <c r="F3419" s="67"/>
      <c r="G3419" s="64"/>
      <c r="H3419" s="68"/>
      <c r="I3419" s="69"/>
      <c r="J3419" s="69"/>
      <c r="K3419" s="32"/>
      <c r="L3419" s="76">
        <v>3419</v>
      </c>
      <c r="M3419" s="76"/>
      <c r="N3419" s="71"/>
      <c r="O3419" s="87" t="s">
        <v>1839</v>
      </c>
      <c r="P3419" s="90">
        <v>45133.740057870367</v>
      </c>
      <c r="Q3419" s="87" t="s">
        <v>5095</v>
      </c>
      <c r="R3419" s="87">
        <v>0</v>
      </c>
      <c r="S3419" s="87">
        <v>1</v>
      </c>
      <c r="T3419" s="87">
        <v>0</v>
      </c>
      <c r="U3419" s="87">
        <v>0</v>
      </c>
      <c r="V3419" s="87">
        <v>110</v>
      </c>
      <c r="W3419" s="93" t="s">
        <v>7828</v>
      </c>
      <c r="X3419" s="87"/>
      <c r="Y3419" s="87"/>
      <c r="Z3419" s="87" t="s">
        <v>1280</v>
      </c>
      <c r="AA3419" s="87" t="s">
        <v>10967</v>
      </c>
      <c r="AB3419" s="87" t="s">
        <v>11448</v>
      </c>
      <c r="AC3419" s="93" t="s">
        <v>11459</v>
      </c>
      <c r="AD3419" s="87" t="s">
        <v>11519</v>
      </c>
      <c r="AE3419" s="92" t="str">
        <f>HYPERLINK("https://twitter.com/workshopdantas/status/1684258703216611328")</f>
        <v>https://twitter.com/workshopdantas/status/1684258703216611328</v>
      </c>
      <c r="AF3419" s="90">
        <v>45133.740057870367</v>
      </c>
      <c r="AG3419" s="99">
        <v>45133</v>
      </c>
      <c r="AH3419" s="93" t="s">
        <v>14558</v>
      </c>
      <c r="AI3419" s="87" t="b">
        <v>0</v>
      </c>
      <c r="AJ3419" s="87"/>
      <c r="AK3419" s="87"/>
      <c r="AL3419" s="87"/>
      <c r="AM3419" s="87"/>
      <c r="AN3419" s="87"/>
      <c r="AO3419" s="87"/>
      <c r="AP3419" s="87"/>
      <c r="AQ3419" s="87" t="s">
        <v>17779</v>
      </c>
      <c r="AR3419" s="87"/>
      <c r="AS3419" s="87"/>
      <c r="AT3419" s="87"/>
      <c r="AU3419" s="87"/>
      <c r="AV3419" s="92" t="str">
        <f>HYPERLINK("https://pbs.twimg.com/media/F1-wXV2XoAUNk18.jpg")</f>
        <v>https://pbs.twimg.com/media/F1-wXV2XoAUNk18.jpg</v>
      </c>
      <c r="AW3419" s="93" t="s">
        <v>21547</v>
      </c>
      <c r="AX3419" s="93" t="s">
        <v>21547</v>
      </c>
      <c r="AY3419" s="87"/>
      <c r="AZ3419" s="93" t="s">
        <v>22668</v>
      </c>
      <c r="BA3419" s="93" t="s">
        <v>22668</v>
      </c>
      <c r="BB3419" s="93" t="s">
        <v>22668</v>
      </c>
      <c r="BC3419" s="93" t="s">
        <v>21547</v>
      </c>
      <c r="BD3419" s="93" t="s">
        <v>23405</v>
      </c>
      <c r="BE3419" s="87"/>
      <c r="BF3419" s="87"/>
      <c r="BG3419" s="87"/>
      <c r="BH3419" s="87"/>
      <c r="BI3419" s="87"/>
    </row>
    <row r="3420" spans="1:61" x14ac:dyDescent="0.25">
      <c r="A3420" s="63" t="s">
        <v>1280</v>
      </c>
      <c r="B3420" s="63" t="s">
        <v>1280</v>
      </c>
      <c r="C3420" s="64"/>
      <c r="D3420" s="65"/>
      <c r="E3420" s="66"/>
      <c r="F3420" s="67"/>
      <c r="G3420" s="64"/>
      <c r="H3420" s="68"/>
      <c r="I3420" s="69"/>
      <c r="J3420" s="69"/>
      <c r="K3420" s="32"/>
      <c r="L3420" s="76">
        <v>3420</v>
      </c>
      <c r="M3420" s="76"/>
      <c r="N3420" s="71"/>
      <c r="O3420" s="87" t="s">
        <v>1839</v>
      </c>
      <c r="P3420" s="90">
        <v>45132.958472222221</v>
      </c>
      <c r="Q3420" s="87" t="s">
        <v>5096</v>
      </c>
      <c r="R3420" s="87">
        <v>0</v>
      </c>
      <c r="S3420" s="87">
        <v>1</v>
      </c>
      <c r="T3420" s="87">
        <v>0</v>
      </c>
      <c r="U3420" s="87">
        <v>0</v>
      </c>
      <c r="V3420" s="87">
        <v>106</v>
      </c>
      <c r="W3420" s="93" t="s">
        <v>7829</v>
      </c>
      <c r="X3420" s="87"/>
      <c r="Y3420" s="87"/>
      <c r="Z3420" s="87" t="s">
        <v>1280</v>
      </c>
      <c r="AA3420" s="87" t="s">
        <v>10968</v>
      </c>
      <c r="AB3420" s="87" t="s">
        <v>11448</v>
      </c>
      <c r="AC3420" s="93" t="s">
        <v>11459</v>
      </c>
      <c r="AD3420" s="87" t="s">
        <v>11519</v>
      </c>
      <c r="AE3420" s="92" t="str">
        <f>HYPERLINK("https://twitter.com/workshopdantas/status/1683975467299217410")</f>
        <v>https://twitter.com/workshopdantas/status/1683975467299217410</v>
      </c>
      <c r="AF3420" s="90">
        <v>45132.958472222221</v>
      </c>
      <c r="AG3420" s="99">
        <v>45132</v>
      </c>
      <c r="AH3420" s="93" t="s">
        <v>14559</v>
      </c>
      <c r="AI3420" s="87" t="b">
        <v>0</v>
      </c>
      <c r="AJ3420" s="87"/>
      <c r="AK3420" s="87"/>
      <c r="AL3420" s="87"/>
      <c r="AM3420" s="87"/>
      <c r="AN3420" s="87"/>
      <c r="AO3420" s="87"/>
      <c r="AP3420" s="87"/>
      <c r="AQ3420" s="87" t="s">
        <v>17780</v>
      </c>
      <c r="AR3420" s="87"/>
      <c r="AS3420" s="87"/>
      <c r="AT3420" s="87"/>
      <c r="AU3420" s="87"/>
      <c r="AV3420" s="92" t="str">
        <f>HYPERLINK("https://pbs.twimg.com/media/F16uwbPWAAA4hfA.jpg")</f>
        <v>https://pbs.twimg.com/media/F16uwbPWAAA4hfA.jpg</v>
      </c>
      <c r="AW3420" s="93" t="s">
        <v>21548</v>
      </c>
      <c r="AX3420" s="93" t="s">
        <v>21548</v>
      </c>
      <c r="AY3420" s="87"/>
      <c r="AZ3420" s="93" t="s">
        <v>22668</v>
      </c>
      <c r="BA3420" s="93" t="s">
        <v>22668</v>
      </c>
      <c r="BB3420" s="93" t="s">
        <v>22668</v>
      </c>
      <c r="BC3420" s="93" t="s">
        <v>21548</v>
      </c>
      <c r="BD3420" s="93" t="s">
        <v>23405</v>
      </c>
      <c r="BE3420" s="87"/>
      <c r="BF3420" s="87"/>
      <c r="BG3420" s="87"/>
      <c r="BH3420" s="87"/>
      <c r="BI3420" s="87"/>
    </row>
    <row r="3421" spans="1:61" x14ac:dyDescent="0.25">
      <c r="A3421" s="63" t="s">
        <v>1280</v>
      </c>
      <c r="B3421" s="63" t="s">
        <v>1280</v>
      </c>
      <c r="C3421" s="64"/>
      <c r="D3421" s="65"/>
      <c r="E3421" s="66"/>
      <c r="F3421" s="67"/>
      <c r="G3421" s="64"/>
      <c r="H3421" s="68"/>
      <c r="I3421" s="69"/>
      <c r="J3421" s="69"/>
      <c r="K3421" s="32"/>
      <c r="L3421" s="76">
        <v>3421</v>
      </c>
      <c r="M3421" s="76"/>
      <c r="N3421" s="71"/>
      <c r="O3421" s="87" t="s">
        <v>1839</v>
      </c>
      <c r="P3421" s="90">
        <v>45119.478668981479</v>
      </c>
      <c r="Q3421" s="87" t="s">
        <v>5037</v>
      </c>
      <c r="R3421" s="87">
        <v>0</v>
      </c>
      <c r="S3421" s="87">
        <v>2</v>
      </c>
      <c r="T3421" s="87">
        <v>1</v>
      </c>
      <c r="U3421" s="87">
        <v>0</v>
      </c>
      <c r="V3421" s="87">
        <v>47</v>
      </c>
      <c r="W3421" s="93" t="s">
        <v>7777</v>
      </c>
      <c r="X3421" s="87"/>
      <c r="Y3421" s="87"/>
      <c r="Z3421" s="87" t="s">
        <v>8616</v>
      </c>
      <c r="AA3421" s="87" t="s">
        <v>10909</v>
      </c>
      <c r="AB3421" s="87" t="s">
        <v>11448</v>
      </c>
      <c r="AC3421" s="93" t="s">
        <v>11459</v>
      </c>
      <c r="AD3421" s="87" t="s">
        <v>11519</v>
      </c>
      <c r="AE3421" s="92" t="str">
        <f>HYPERLINK("https://twitter.com/workshopdantas/status/1679090549804900352")</f>
        <v>https://twitter.com/workshopdantas/status/1679090549804900352</v>
      </c>
      <c r="AF3421" s="90">
        <v>45119.478668981479</v>
      </c>
      <c r="AG3421" s="99">
        <v>45119</v>
      </c>
      <c r="AH3421" s="93" t="s">
        <v>14500</v>
      </c>
      <c r="AI3421" s="87" t="b">
        <v>0</v>
      </c>
      <c r="AJ3421" s="87"/>
      <c r="AK3421" s="87"/>
      <c r="AL3421" s="87"/>
      <c r="AM3421" s="87"/>
      <c r="AN3421" s="87"/>
      <c r="AO3421" s="87"/>
      <c r="AP3421" s="87"/>
      <c r="AQ3421" s="87" t="s">
        <v>17721</v>
      </c>
      <c r="AR3421" s="87"/>
      <c r="AS3421" s="87"/>
      <c r="AT3421" s="87"/>
      <c r="AU3421" s="87"/>
      <c r="AV3421" s="92" t="str">
        <f>HYPERLINK("https://pbs.twimg.com/media/F01T9MnWYAAqxnf.jpg")</f>
        <v>https://pbs.twimg.com/media/F01T9MnWYAAqxnf.jpg</v>
      </c>
      <c r="AW3421" s="93" t="s">
        <v>21489</v>
      </c>
      <c r="AX3421" s="93" t="s">
        <v>21489</v>
      </c>
      <c r="AY3421" s="87"/>
      <c r="AZ3421" s="93" t="s">
        <v>22668</v>
      </c>
      <c r="BA3421" s="93" t="s">
        <v>22668</v>
      </c>
      <c r="BB3421" s="93" t="s">
        <v>22668</v>
      </c>
      <c r="BC3421" s="93" t="s">
        <v>21489</v>
      </c>
      <c r="BD3421" s="93" t="s">
        <v>23405</v>
      </c>
      <c r="BE3421" s="87"/>
      <c r="BF3421" s="87"/>
      <c r="BG3421" s="87"/>
      <c r="BH3421" s="87"/>
      <c r="BI3421" s="87"/>
    </row>
    <row r="3422" spans="1:61" x14ac:dyDescent="0.25">
      <c r="A3422" s="63" t="s">
        <v>1280</v>
      </c>
      <c r="B3422" s="63" t="s">
        <v>1280</v>
      </c>
      <c r="C3422" s="64"/>
      <c r="D3422" s="65"/>
      <c r="E3422" s="66"/>
      <c r="F3422" s="67"/>
      <c r="G3422" s="64"/>
      <c r="H3422" s="68"/>
      <c r="I3422" s="69"/>
      <c r="J3422" s="69"/>
      <c r="K3422" s="32"/>
      <c r="L3422" s="76">
        <v>3422</v>
      </c>
      <c r="M3422" s="76"/>
      <c r="N3422" s="71"/>
      <c r="O3422" s="87" t="s">
        <v>1839</v>
      </c>
      <c r="P3422" s="90">
        <v>45113.495937500003</v>
      </c>
      <c r="Q3422" s="87" t="s">
        <v>5097</v>
      </c>
      <c r="R3422" s="87">
        <v>0</v>
      </c>
      <c r="S3422" s="87">
        <v>0</v>
      </c>
      <c r="T3422" s="87">
        <v>0</v>
      </c>
      <c r="U3422" s="87">
        <v>0</v>
      </c>
      <c r="V3422" s="87">
        <v>53</v>
      </c>
      <c r="W3422" s="93" t="s">
        <v>7830</v>
      </c>
      <c r="X3422" s="87"/>
      <c r="Y3422" s="87"/>
      <c r="Z3422" s="87" t="s">
        <v>1280</v>
      </c>
      <c r="AA3422" s="87" t="s">
        <v>10969</v>
      </c>
      <c r="AB3422" s="87" t="s">
        <v>11448</v>
      </c>
      <c r="AC3422" s="93" t="s">
        <v>11459</v>
      </c>
      <c r="AD3422" s="87" t="s">
        <v>11519</v>
      </c>
      <c r="AE3422" s="92" t="str">
        <f>HYPERLINK("https://twitter.com/workshopdantas/status/1676922480592666626")</f>
        <v>https://twitter.com/workshopdantas/status/1676922480592666626</v>
      </c>
      <c r="AF3422" s="90">
        <v>45113.495937500003</v>
      </c>
      <c r="AG3422" s="99">
        <v>45113</v>
      </c>
      <c r="AH3422" s="93" t="s">
        <v>14560</v>
      </c>
      <c r="AI3422" s="87" t="b">
        <v>0</v>
      </c>
      <c r="AJ3422" s="87"/>
      <c r="AK3422" s="87"/>
      <c r="AL3422" s="87"/>
      <c r="AM3422" s="87"/>
      <c r="AN3422" s="87"/>
      <c r="AO3422" s="87"/>
      <c r="AP3422" s="87"/>
      <c r="AQ3422" s="87" t="s">
        <v>17781</v>
      </c>
      <c r="AR3422" s="87"/>
      <c r="AS3422" s="87"/>
      <c r="AT3422" s="87"/>
      <c r="AU3422" s="87"/>
      <c r="AV3422" s="92" t="str">
        <f>HYPERLINK("https://pbs.twimg.com/media/F0WgG-YX0AApQpp.jpg")</f>
        <v>https://pbs.twimg.com/media/F0WgG-YX0AApQpp.jpg</v>
      </c>
      <c r="AW3422" s="93" t="s">
        <v>21549</v>
      </c>
      <c r="AX3422" s="93" t="s">
        <v>21549</v>
      </c>
      <c r="AY3422" s="87"/>
      <c r="AZ3422" s="93" t="s">
        <v>22668</v>
      </c>
      <c r="BA3422" s="93" t="s">
        <v>22668</v>
      </c>
      <c r="BB3422" s="93" t="s">
        <v>22668</v>
      </c>
      <c r="BC3422" s="93" t="s">
        <v>21549</v>
      </c>
      <c r="BD3422" s="93" t="s">
        <v>23405</v>
      </c>
      <c r="BE3422" s="87"/>
      <c r="BF3422" s="87"/>
      <c r="BG3422" s="87"/>
      <c r="BH3422" s="87"/>
      <c r="BI3422" s="87"/>
    </row>
    <row r="3423" spans="1:61" x14ac:dyDescent="0.25">
      <c r="A3423" s="63" t="s">
        <v>1280</v>
      </c>
      <c r="B3423" s="63" t="s">
        <v>1280</v>
      </c>
      <c r="C3423" s="64"/>
      <c r="D3423" s="65"/>
      <c r="E3423" s="66"/>
      <c r="F3423" s="67"/>
      <c r="G3423" s="64"/>
      <c r="H3423" s="68"/>
      <c r="I3423" s="69"/>
      <c r="J3423" s="69"/>
      <c r="K3423" s="32"/>
      <c r="L3423" s="76">
        <v>3423</v>
      </c>
      <c r="M3423" s="76"/>
      <c r="N3423" s="71"/>
      <c r="O3423" s="87" t="s">
        <v>1839</v>
      </c>
      <c r="P3423" s="90">
        <v>45112.477175925924</v>
      </c>
      <c r="Q3423" s="87" t="s">
        <v>5098</v>
      </c>
      <c r="R3423" s="87">
        <v>0</v>
      </c>
      <c r="S3423" s="87">
        <v>0</v>
      </c>
      <c r="T3423" s="87">
        <v>0</v>
      </c>
      <c r="U3423" s="87">
        <v>0</v>
      </c>
      <c r="V3423" s="87">
        <v>59</v>
      </c>
      <c r="W3423" s="93" t="s">
        <v>7831</v>
      </c>
      <c r="X3423" s="87"/>
      <c r="Y3423" s="87"/>
      <c r="Z3423" s="87" t="s">
        <v>1280</v>
      </c>
      <c r="AA3423" s="87" t="s">
        <v>10970</v>
      </c>
      <c r="AB3423" s="87" t="s">
        <v>11448</v>
      </c>
      <c r="AC3423" s="93" t="s">
        <v>11459</v>
      </c>
      <c r="AD3423" s="87" t="s">
        <v>11519</v>
      </c>
      <c r="AE3423" s="92" t="str">
        <f>HYPERLINK("https://twitter.com/workshopdantas/status/1676553292044705794")</f>
        <v>https://twitter.com/workshopdantas/status/1676553292044705794</v>
      </c>
      <c r="AF3423" s="90">
        <v>45112.477175925924</v>
      </c>
      <c r="AG3423" s="99">
        <v>45112</v>
      </c>
      <c r="AH3423" s="93" t="s">
        <v>14561</v>
      </c>
      <c r="AI3423" s="87" t="b">
        <v>0</v>
      </c>
      <c r="AJ3423" s="87"/>
      <c r="AK3423" s="87"/>
      <c r="AL3423" s="87"/>
      <c r="AM3423" s="87"/>
      <c r="AN3423" s="87"/>
      <c r="AO3423" s="87"/>
      <c r="AP3423" s="87"/>
      <c r="AQ3423" s="87" t="s">
        <v>17782</v>
      </c>
      <c r="AR3423" s="87"/>
      <c r="AS3423" s="87"/>
      <c r="AT3423" s="87"/>
      <c r="AU3423" s="87"/>
      <c r="AV3423" s="92" t="str">
        <f>HYPERLINK("https://pbs.twimg.com/media/F0RQVXnWcAIZOSy.jpg")</f>
        <v>https://pbs.twimg.com/media/F0RQVXnWcAIZOSy.jpg</v>
      </c>
      <c r="AW3423" s="93" t="s">
        <v>21550</v>
      </c>
      <c r="AX3423" s="93" t="s">
        <v>21550</v>
      </c>
      <c r="AY3423" s="87"/>
      <c r="AZ3423" s="93" t="s">
        <v>22668</v>
      </c>
      <c r="BA3423" s="93" t="s">
        <v>22668</v>
      </c>
      <c r="BB3423" s="93" t="s">
        <v>22668</v>
      </c>
      <c r="BC3423" s="93" t="s">
        <v>21550</v>
      </c>
      <c r="BD3423" s="93" t="s">
        <v>23405</v>
      </c>
      <c r="BE3423" s="87"/>
      <c r="BF3423" s="87"/>
      <c r="BG3423" s="87"/>
      <c r="BH3423" s="87"/>
      <c r="BI3423" s="87"/>
    </row>
    <row r="3424" spans="1:61" x14ac:dyDescent="0.25">
      <c r="A3424" s="63" t="s">
        <v>1281</v>
      </c>
      <c r="B3424" s="63" t="s">
        <v>1281</v>
      </c>
      <c r="C3424" s="64"/>
      <c r="D3424" s="65"/>
      <c r="E3424" s="66"/>
      <c r="F3424" s="67"/>
      <c r="G3424" s="64"/>
      <c r="H3424" s="68"/>
      <c r="I3424" s="69"/>
      <c r="J3424" s="69"/>
      <c r="K3424" s="32"/>
      <c r="L3424" s="76">
        <v>3424</v>
      </c>
      <c r="M3424" s="76"/>
      <c r="N3424" s="71"/>
      <c r="O3424" s="87" t="s">
        <v>179</v>
      </c>
      <c r="P3424" s="90">
        <v>45125.629166666666</v>
      </c>
      <c r="Q3424" s="87" t="s">
        <v>5099</v>
      </c>
      <c r="R3424" s="87">
        <v>0</v>
      </c>
      <c r="S3424" s="87">
        <v>2</v>
      </c>
      <c r="T3424" s="87">
        <v>0</v>
      </c>
      <c r="U3424" s="87">
        <v>0</v>
      </c>
      <c r="V3424" s="87">
        <v>127</v>
      </c>
      <c r="W3424" s="93" t="s">
        <v>7832</v>
      </c>
      <c r="X3424" s="92" t="str">
        <f>HYPERLINK("https://diariodeuberlandia.com.br/noticia/34013/aciub-promove-nova-edicao-da-rodada-de-negocios-nesta-quinta-20")</f>
        <v>https://diariodeuberlandia.com.br/noticia/34013/aciub-promove-nova-edicao-da-rodada-de-negocios-nesta-quinta-20</v>
      </c>
      <c r="Y3424" s="87" t="s">
        <v>8373</v>
      </c>
      <c r="Z3424" s="87"/>
      <c r="AA3424" s="87"/>
      <c r="AB3424" s="87"/>
      <c r="AC3424" s="93" t="s">
        <v>11457</v>
      </c>
      <c r="AD3424" s="87" t="s">
        <v>11519</v>
      </c>
      <c r="AE3424" s="92" t="str">
        <f>HYPERLINK("https://twitter.com/diarioudi/status/1681319412778045440")</f>
        <v>https://twitter.com/diarioudi/status/1681319412778045440</v>
      </c>
      <c r="AF3424" s="90">
        <v>45125.629166666666</v>
      </c>
      <c r="AG3424" s="99">
        <v>45125</v>
      </c>
      <c r="AH3424" s="93" t="s">
        <v>12825</v>
      </c>
      <c r="AI3424" s="87" t="b">
        <v>0</v>
      </c>
      <c r="AJ3424" s="87"/>
      <c r="AK3424" s="87"/>
      <c r="AL3424" s="87"/>
      <c r="AM3424" s="87"/>
      <c r="AN3424" s="87"/>
      <c r="AO3424" s="87"/>
      <c r="AP3424" s="87"/>
      <c r="AQ3424" s="87"/>
      <c r="AR3424" s="87"/>
      <c r="AS3424" s="87"/>
      <c r="AT3424" s="87"/>
      <c r="AU3424" s="87"/>
      <c r="AV3424" s="92" t="str">
        <f>HYPERLINK("https://pbs.twimg.com/profile_images/981906789838016513/iuFn0WzC_normal.jpg")</f>
        <v>https://pbs.twimg.com/profile_images/981906789838016513/iuFn0WzC_normal.jpg</v>
      </c>
      <c r="AW3424" s="93" t="s">
        <v>21551</v>
      </c>
      <c r="AX3424" s="93" t="s">
        <v>21551</v>
      </c>
      <c r="AY3424" s="87"/>
      <c r="AZ3424" s="93" t="s">
        <v>22668</v>
      </c>
      <c r="BA3424" s="93" t="s">
        <v>22668</v>
      </c>
      <c r="BB3424" s="93" t="s">
        <v>22668</v>
      </c>
      <c r="BC3424" s="93" t="s">
        <v>21551</v>
      </c>
      <c r="BD3424" s="93" t="s">
        <v>23406</v>
      </c>
      <c r="BE3424" s="87"/>
      <c r="BF3424" s="87"/>
      <c r="BG3424" s="87"/>
      <c r="BH3424" s="87"/>
      <c r="BI3424" s="87"/>
    </row>
    <row r="3425" spans="1:61" x14ac:dyDescent="0.25">
      <c r="A3425" s="63" t="s">
        <v>1281</v>
      </c>
      <c r="B3425" s="63" t="s">
        <v>1281</v>
      </c>
      <c r="C3425" s="64"/>
      <c r="D3425" s="65"/>
      <c r="E3425" s="66"/>
      <c r="F3425" s="67"/>
      <c r="G3425" s="64"/>
      <c r="H3425" s="68"/>
      <c r="I3425" s="69"/>
      <c r="J3425" s="69"/>
      <c r="K3425" s="32"/>
      <c r="L3425" s="76">
        <v>3425</v>
      </c>
      <c r="M3425" s="76"/>
      <c r="N3425" s="71"/>
      <c r="O3425" s="87" t="s">
        <v>179</v>
      </c>
      <c r="P3425" s="90">
        <v>45195.818078703705</v>
      </c>
      <c r="Q3425" s="87" t="s">
        <v>5100</v>
      </c>
      <c r="R3425" s="87">
        <v>0</v>
      </c>
      <c r="S3425" s="87">
        <v>0</v>
      </c>
      <c r="T3425" s="87">
        <v>0</v>
      </c>
      <c r="U3425" s="87">
        <v>0</v>
      </c>
      <c r="V3425" s="87">
        <v>110</v>
      </c>
      <c r="W3425" s="93" t="s">
        <v>7833</v>
      </c>
      <c r="X3425" s="92" t="str">
        <f>HYPERLINK("https://diariodeuberlandia.com.br/noticia/34455/sebrae-oferta-programa-de-auxilio-a-microempreendedores-de-uberlandia-veja-como-participar")</f>
        <v>https://diariodeuberlandia.com.br/noticia/34455/sebrae-oferta-programa-de-auxilio-a-microempreendedores-de-uberlandia-veja-como-participar</v>
      </c>
      <c r="Y3425" s="87" t="s">
        <v>8373</v>
      </c>
      <c r="Z3425" s="87"/>
      <c r="AA3425" s="87"/>
      <c r="AB3425" s="87"/>
      <c r="AC3425" s="93" t="s">
        <v>11457</v>
      </c>
      <c r="AD3425" s="87" t="s">
        <v>11519</v>
      </c>
      <c r="AE3425" s="92" t="str">
        <f>HYPERLINK("https://twitter.com/diarioudi/status/1706755024947495089")</f>
        <v>https://twitter.com/diarioudi/status/1706755024947495089</v>
      </c>
      <c r="AF3425" s="90">
        <v>45195.818078703705</v>
      </c>
      <c r="AG3425" s="99">
        <v>45195</v>
      </c>
      <c r="AH3425" s="93" t="s">
        <v>14562</v>
      </c>
      <c r="AI3425" s="87" t="b">
        <v>0</v>
      </c>
      <c r="AJ3425" s="87"/>
      <c r="AK3425" s="87"/>
      <c r="AL3425" s="87"/>
      <c r="AM3425" s="87"/>
      <c r="AN3425" s="87"/>
      <c r="AO3425" s="87"/>
      <c r="AP3425" s="87"/>
      <c r="AQ3425" s="87"/>
      <c r="AR3425" s="87"/>
      <c r="AS3425" s="87"/>
      <c r="AT3425" s="87"/>
      <c r="AU3425" s="87"/>
      <c r="AV3425" s="92" t="str">
        <f>HYPERLINK("https://pbs.twimg.com/profile_images/981906789838016513/iuFn0WzC_normal.jpg")</f>
        <v>https://pbs.twimg.com/profile_images/981906789838016513/iuFn0WzC_normal.jpg</v>
      </c>
      <c r="AW3425" s="93" t="s">
        <v>21552</v>
      </c>
      <c r="AX3425" s="93" t="s">
        <v>21552</v>
      </c>
      <c r="AY3425" s="87"/>
      <c r="AZ3425" s="93" t="s">
        <v>22668</v>
      </c>
      <c r="BA3425" s="93" t="s">
        <v>22668</v>
      </c>
      <c r="BB3425" s="93" t="s">
        <v>22668</v>
      </c>
      <c r="BC3425" s="93" t="s">
        <v>21552</v>
      </c>
      <c r="BD3425" s="93" t="s">
        <v>23406</v>
      </c>
      <c r="BE3425" s="87"/>
      <c r="BF3425" s="87"/>
      <c r="BG3425" s="87"/>
      <c r="BH3425" s="87"/>
      <c r="BI3425" s="87"/>
    </row>
    <row r="3426" spans="1:61" x14ac:dyDescent="0.25">
      <c r="A3426" s="63" t="s">
        <v>1282</v>
      </c>
      <c r="B3426" s="63" t="s">
        <v>1282</v>
      </c>
      <c r="C3426" s="64"/>
      <c r="D3426" s="65"/>
      <c r="E3426" s="66"/>
      <c r="F3426" s="67"/>
      <c r="G3426" s="64"/>
      <c r="H3426" s="68"/>
      <c r="I3426" s="69"/>
      <c r="J3426" s="69"/>
      <c r="K3426" s="32"/>
      <c r="L3426" s="76">
        <v>3426</v>
      </c>
      <c r="M3426" s="76"/>
      <c r="N3426" s="71"/>
      <c r="O3426" s="87" t="s">
        <v>179</v>
      </c>
      <c r="P3426" s="90">
        <v>45112.513923611114</v>
      </c>
      <c r="Q3426" s="87" t="s">
        <v>5101</v>
      </c>
      <c r="R3426" s="87">
        <v>0</v>
      </c>
      <c r="S3426" s="87">
        <v>0</v>
      </c>
      <c r="T3426" s="87">
        <v>0</v>
      </c>
      <c r="U3426" s="87">
        <v>0</v>
      </c>
      <c r="V3426" s="87">
        <v>8</v>
      </c>
      <c r="W3426" s="93" t="s">
        <v>7834</v>
      </c>
      <c r="X3426" s="87"/>
      <c r="Y3426" s="87"/>
      <c r="Z3426" s="87"/>
      <c r="AA3426" s="87" t="s">
        <v>10971</v>
      </c>
      <c r="AB3426" s="87" t="s">
        <v>11447</v>
      </c>
      <c r="AC3426" s="93" t="s">
        <v>11458</v>
      </c>
      <c r="AD3426" s="87" t="s">
        <v>11523</v>
      </c>
      <c r="AE3426" s="92" t="str">
        <f>HYPERLINK("https://twitter.com/rodrigo_diario/status/1676566608280428546")</f>
        <v>https://twitter.com/rodrigo_diario/status/1676566608280428546</v>
      </c>
      <c r="AF3426" s="90">
        <v>45112.513923611114</v>
      </c>
      <c r="AG3426" s="99">
        <v>45112</v>
      </c>
      <c r="AH3426" s="93" t="s">
        <v>14563</v>
      </c>
      <c r="AI3426" s="87" t="b">
        <v>0</v>
      </c>
      <c r="AJ3426" s="87"/>
      <c r="AK3426" s="87"/>
      <c r="AL3426" s="87"/>
      <c r="AM3426" s="87"/>
      <c r="AN3426" s="87"/>
      <c r="AO3426" s="87"/>
      <c r="AP3426" s="87"/>
      <c r="AQ3426" s="87" t="s">
        <v>17783</v>
      </c>
      <c r="AR3426" s="87">
        <v>45000</v>
      </c>
      <c r="AS3426" s="87"/>
      <c r="AT3426" s="87"/>
      <c r="AU3426" s="87"/>
      <c r="AV3426" s="92" t="str">
        <f>HYPERLINK("https://pbs.twimg.com/ext_tw_video_thumb/1676566552424902659/pu/img/WyoON_kcX-4wb9-H.jpg")</f>
        <v>https://pbs.twimg.com/ext_tw_video_thumb/1676566552424902659/pu/img/WyoON_kcX-4wb9-H.jpg</v>
      </c>
      <c r="AW3426" s="93" t="s">
        <v>21553</v>
      </c>
      <c r="AX3426" s="93" t="s">
        <v>21553</v>
      </c>
      <c r="AY3426" s="87"/>
      <c r="AZ3426" s="93" t="s">
        <v>22668</v>
      </c>
      <c r="BA3426" s="93" t="s">
        <v>22668</v>
      </c>
      <c r="BB3426" s="93" t="s">
        <v>22668</v>
      </c>
      <c r="BC3426" s="93" t="s">
        <v>21553</v>
      </c>
      <c r="BD3426" s="93" t="s">
        <v>23407</v>
      </c>
      <c r="BE3426" s="87"/>
      <c r="BF3426" s="87"/>
      <c r="BG3426" s="87"/>
      <c r="BH3426" s="87"/>
      <c r="BI3426" s="87"/>
    </row>
    <row r="3427" spans="1:61" x14ac:dyDescent="0.25">
      <c r="A3427" s="63" t="s">
        <v>1283</v>
      </c>
      <c r="B3427" s="63" t="s">
        <v>1283</v>
      </c>
      <c r="C3427" s="64"/>
      <c r="D3427" s="65"/>
      <c r="E3427" s="66"/>
      <c r="F3427" s="67"/>
      <c r="G3427" s="64"/>
      <c r="H3427" s="68"/>
      <c r="I3427" s="69"/>
      <c r="J3427" s="69"/>
      <c r="K3427" s="32"/>
      <c r="L3427" s="76">
        <v>3427</v>
      </c>
      <c r="M3427" s="76"/>
      <c r="N3427" s="71"/>
      <c r="O3427" s="87" t="s">
        <v>179</v>
      </c>
      <c r="P3427" s="90">
        <v>45153.72991898148</v>
      </c>
      <c r="Q3427" s="87" t="s">
        <v>5102</v>
      </c>
      <c r="R3427" s="87">
        <v>0</v>
      </c>
      <c r="S3427" s="87">
        <v>0</v>
      </c>
      <c r="T3427" s="87">
        <v>0</v>
      </c>
      <c r="U3427" s="87">
        <v>0</v>
      </c>
      <c r="V3427" s="87">
        <v>13</v>
      </c>
      <c r="W3427" s="93" t="s">
        <v>7835</v>
      </c>
      <c r="X3427" s="87"/>
      <c r="Y3427" s="87"/>
      <c r="Z3427" s="87"/>
      <c r="AA3427" s="87" t="s">
        <v>10972</v>
      </c>
      <c r="AB3427" s="87" t="s">
        <v>11448</v>
      </c>
      <c r="AC3427" s="93" t="s">
        <v>11458</v>
      </c>
      <c r="AD3427" s="87" t="s">
        <v>11519</v>
      </c>
      <c r="AE3427" s="92" t="str">
        <f>HYPERLINK("https://twitter.com/bahiacamaroess/status/1691502784221159425")</f>
        <v>https://twitter.com/bahiacamaroess/status/1691502784221159425</v>
      </c>
      <c r="AF3427" s="90">
        <v>45153.72991898148</v>
      </c>
      <c r="AG3427" s="99">
        <v>45153</v>
      </c>
      <c r="AH3427" s="93" t="s">
        <v>14564</v>
      </c>
      <c r="AI3427" s="87" t="b">
        <v>0</v>
      </c>
      <c r="AJ3427" s="87"/>
      <c r="AK3427" s="87"/>
      <c r="AL3427" s="87"/>
      <c r="AM3427" s="87"/>
      <c r="AN3427" s="87"/>
      <c r="AO3427" s="87"/>
      <c r="AP3427" s="87"/>
      <c r="AQ3427" s="87" t="s">
        <v>17784</v>
      </c>
      <c r="AR3427" s="87"/>
      <c r="AS3427" s="87"/>
      <c r="AT3427" s="87"/>
      <c r="AU3427" s="87"/>
      <c r="AV3427" s="92" t="str">
        <f>HYPERLINK("https://pbs.twimg.com/media/F3ls0DMXoAASjrO.jpg")</f>
        <v>https://pbs.twimg.com/media/F3ls0DMXoAASjrO.jpg</v>
      </c>
      <c r="AW3427" s="93" t="s">
        <v>21554</v>
      </c>
      <c r="AX3427" s="93" t="s">
        <v>21554</v>
      </c>
      <c r="AY3427" s="87"/>
      <c r="AZ3427" s="93" t="s">
        <v>22668</v>
      </c>
      <c r="BA3427" s="93" t="s">
        <v>22668</v>
      </c>
      <c r="BB3427" s="93" t="s">
        <v>22668</v>
      </c>
      <c r="BC3427" s="93" t="s">
        <v>21554</v>
      </c>
      <c r="BD3427" s="93" t="s">
        <v>23408</v>
      </c>
      <c r="BE3427" s="87"/>
      <c r="BF3427" s="87"/>
      <c r="BG3427" s="87"/>
      <c r="BH3427" s="87"/>
      <c r="BI3427" s="87"/>
    </row>
    <row r="3428" spans="1:61" x14ac:dyDescent="0.25">
      <c r="A3428" s="63" t="s">
        <v>1284</v>
      </c>
      <c r="B3428" s="63" t="s">
        <v>1284</v>
      </c>
      <c r="C3428" s="64"/>
      <c r="D3428" s="65"/>
      <c r="E3428" s="66"/>
      <c r="F3428" s="67"/>
      <c r="G3428" s="64"/>
      <c r="H3428" s="68"/>
      <c r="I3428" s="69"/>
      <c r="J3428" s="69"/>
      <c r="K3428" s="32"/>
      <c r="L3428" s="76">
        <v>3428</v>
      </c>
      <c r="M3428" s="76"/>
      <c r="N3428" s="71"/>
      <c r="O3428" s="87" t="s">
        <v>179</v>
      </c>
      <c r="P3428" s="90">
        <v>45116.625590277778</v>
      </c>
      <c r="Q3428" s="87" t="s">
        <v>5103</v>
      </c>
      <c r="R3428" s="87">
        <v>0</v>
      </c>
      <c r="S3428" s="87">
        <v>0</v>
      </c>
      <c r="T3428" s="87">
        <v>0</v>
      </c>
      <c r="U3428" s="87">
        <v>0</v>
      </c>
      <c r="V3428" s="87">
        <v>147</v>
      </c>
      <c r="W3428" s="93" t="s">
        <v>7836</v>
      </c>
      <c r="X3428" s="87"/>
      <c r="Y3428" s="87"/>
      <c r="Z3428" s="87"/>
      <c r="AA3428" s="87" t="s">
        <v>10973</v>
      </c>
      <c r="AB3428" s="87" t="s">
        <v>11448</v>
      </c>
      <c r="AC3428" s="93" t="s">
        <v>11460</v>
      </c>
      <c r="AD3428" s="87" t="s">
        <v>11519</v>
      </c>
      <c r="AE3428" s="92" t="str">
        <f>HYPERLINK("https://twitter.com/radio1029/status/1678056627503546369")</f>
        <v>https://twitter.com/radio1029/status/1678056627503546369</v>
      </c>
      <c r="AF3428" s="90">
        <v>45116.625590277778</v>
      </c>
      <c r="AG3428" s="99">
        <v>45116</v>
      </c>
      <c r="AH3428" s="93" t="s">
        <v>12904</v>
      </c>
      <c r="AI3428" s="87" t="b">
        <v>0</v>
      </c>
      <c r="AJ3428" s="87"/>
      <c r="AK3428" s="87"/>
      <c r="AL3428" s="87"/>
      <c r="AM3428" s="87"/>
      <c r="AN3428" s="87"/>
      <c r="AO3428" s="87"/>
      <c r="AP3428" s="87"/>
      <c r="AQ3428" s="87" t="s">
        <v>17785</v>
      </c>
      <c r="AR3428" s="87"/>
      <c r="AS3428" s="87"/>
      <c r="AT3428" s="87"/>
      <c r="AU3428" s="87"/>
      <c r="AV3428" s="92" t="str">
        <f>HYPERLINK("https://pbs.twimg.com/media/F0mnm-5XsAACzkb.jpg")</f>
        <v>https://pbs.twimg.com/media/F0mnm-5XsAACzkb.jpg</v>
      </c>
      <c r="AW3428" s="93" t="s">
        <v>21555</v>
      </c>
      <c r="AX3428" s="93" t="s">
        <v>21555</v>
      </c>
      <c r="AY3428" s="87"/>
      <c r="AZ3428" s="93" t="s">
        <v>22668</v>
      </c>
      <c r="BA3428" s="93" t="s">
        <v>22668</v>
      </c>
      <c r="BB3428" s="93" t="s">
        <v>22668</v>
      </c>
      <c r="BC3428" s="93" t="s">
        <v>21555</v>
      </c>
      <c r="BD3428" s="87">
        <v>55339757</v>
      </c>
      <c r="BE3428" s="87"/>
      <c r="BF3428" s="87"/>
      <c r="BG3428" s="87"/>
      <c r="BH3428" s="87"/>
      <c r="BI3428" s="87"/>
    </row>
    <row r="3429" spans="1:61" x14ac:dyDescent="0.25">
      <c r="A3429" s="63" t="s">
        <v>1284</v>
      </c>
      <c r="B3429" s="63" t="s">
        <v>1284</v>
      </c>
      <c r="C3429" s="64"/>
      <c r="D3429" s="65"/>
      <c r="E3429" s="66"/>
      <c r="F3429" s="67"/>
      <c r="G3429" s="64"/>
      <c r="H3429" s="68"/>
      <c r="I3429" s="69"/>
      <c r="J3429" s="69"/>
      <c r="K3429" s="32"/>
      <c r="L3429" s="76">
        <v>3429</v>
      </c>
      <c r="M3429" s="76"/>
      <c r="N3429" s="71"/>
      <c r="O3429" s="87" t="s">
        <v>179</v>
      </c>
      <c r="P3429" s="90">
        <v>45130.625509259262</v>
      </c>
      <c r="Q3429" s="87" t="s">
        <v>5104</v>
      </c>
      <c r="R3429" s="87">
        <v>1</v>
      </c>
      <c r="S3429" s="87">
        <v>1</v>
      </c>
      <c r="T3429" s="87">
        <v>0</v>
      </c>
      <c r="U3429" s="87">
        <v>0</v>
      </c>
      <c r="V3429" s="87">
        <v>154</v>
      </c>
      <c r="W3429" s="93" t="s">
        <v>7837</v>
      </c>
      <c r="X3429" s="87"/>
      <c r="Y3429" s="87"/>
      <c r="Z3429" s="87"/>
      <c r="AA3429" s="87" t="s">
        <v>10974</v>
      </c>
      <c r="AB3429" s="87" t="s">
        <v>11448</v>
      </c>
      <c r="AC3429" s="93" t="s">
        <v>11460</v>
      </c>
      <c r="AD3429" s="87" t="s">
        <v>11519</v>
      </c>
      <c r="AE3429" s="92" t="str">
        <f>HYPERLINK("https://twitter.com/radio1029/status/1683130030371622916")</f>
        <v>https://twitter.com/radio1029/status/1683130030371622916</v>
      </c>
      <c r="AF3429" s="90">
        <v>45130.625509259262</v>
      </c>
      <c r="AG3429" s="99">
        <v>45130</v>
      </c>
      <c r="AH3429" s="93" t="s">
        <v>14565</v>
      </c>
      <c r="AI3429" s="87" t="b">
        <v>0</v>
      </c>
      <c r="AJ3429" s="87"/>
      <c r="AK3429" s="87"/>
      <c r="AL3429" s="87"/>
      <c r="AM3429" s="87"/>
      <c r="AN3429" s="87"/>
      <c r="AO3429" s="87"/>
      <c r="AP3429" s="87"/>
      <c r="AQ3429" s="87" t="s">
        <v>17786</v>
      </c>
      <c r="AR3429" s="87"/>
      <c r="AS3429" s="87"/>
      <c r="AT3429" s="87"/>
      <c r="AU3429" s="87"/>
      <c r="AV3429" s="92" t="str">
        <f>HYPERLINK("https://pbs.twimg.com/media/F1ut174WIAEKpgk.jpg")</f>
        <v>https://pbs.twimg.com/media/F1ut174WIAEKpgk.jpg</v>
      </c>
      <c r="AW3429" s="93" t="s">
        <v>21556</v>
      </c>
      <c r="AX3429" s="93" t="s">
        <v>21556</v>
      </c>
      <c r="AY3429" s="87"/>
      <c r="AZ3429" s="93" t="s">
        <v>22668</v>
      </c>
      <c r="BA3429" s="93" t="s">
        <v>22668</v>
      </c>
      <c r="BB3429" s="93" t="s">
        <v>22668</v>
      </c>
      <c r="BC3429" s="93" t="s">
        <v>21556</v>
      </c>
      <c r="BD3429" s="87">
        <v>55339757</v>
      </c>
      <c r="BE3429" s="87"/>
      <c r="BF3429" s="87"/>
      <c r="BG3429" s="87"/>
      <c r="BH3429" s="87"/>
      <c r="BI3429" s="87"/>
    </row>
    <row r="3430" spans="1:61" x14ac:dyDescent="0.25">
      <c r="A3430" s="63" t="s">
        <v>1285</v>
      </c>
      <c r="B3430" s="63" t="s">
        <v>1285</v>
      </c>
      <c r="C3430" s="64"/>
      <c r="D3430" s="65"/>
      <c r="E3430" s="66"/>
      <c r="F3430" s="67"/>
      <c r="G3430" s="64"/>
      <c r="H3430" s="68"/>
      <c r="I3430" s="69"/>
      <c r="J3430" s="69"/>
      <c r="K3430" s="32"/>
      <c r="L3430" s="76">
        <v>3430</v>
      </c>
      <c r="M3430" s="76"/>
      <c r="N3430" s="71"/>
      <c r="O3430" s="87" t="s">
        <v>179</v>
      </c>
      <c r="P3430" s="90">
        <v>45173.745046296295</v>
      </c>
      <c r="Q3430" s="87" t="s">
        <v>5105</v>
      </c>
      <c r="R3430" s="87">
        <v>0</v>
      </c>
      <c r="S3430" s="87">
        <v>1</v>
      </c>
      <c r="T3430" s="87">
        <v>0</v>
      </c>
      <c r="U3430" s="87">
        <v>0</v>
      </c>
      <c r="V3430" s="87">
        <v>32</v>
      </c>
      <c r="W3430" s="93" t="s">
        <v>7838</v>
      </c>
      <c r="X3430" s="87"/>
      <c r="Y3430" s="87"/>
      <c r="Z3430" s="87"/>
      <c r="AA3430" s="87" t="s">
        <v>10975</v>
      </c>
      <c r="AB3430" s="87" t="s">
        <v>11448</v>
      </c>
      <c r="AC3430" s="93" t="s">
        <v>11457</v>
      </c>
      <c r="AD3430" s="87" t="s">
        <v>11519</v>
      </c>
      <c r="AE3430" s="92" t="str">
        <f>HYPERLINK("https://twitter.com/unespfeis/status/1698756025275314373")</f>
        <v>https://twitter.com/unespfeis/status/1698756025275314373</v>
      </c>
      <c r="AF3430" s="90">
        <v>45173.745046296295</v>
      </c>
      <c r="AG3430" s="99">
        <v>45173</v>
      </c>
      <c r="AH3430" s="93" t="s">
        <v>14566</v>
      </c>
      <c r="AI3430" s="87" t="b">
        <v>0</v>
      </c>
      <c r="AJ3430" s="87"/>
      <c r="AK3430" s="87"/>
      <c r="AL3430" s="87"/>
      <c r="AM3430" s="87"/>
      <c r="AN3430" s="87"/>
      <c r="AO3430" s="87"/>
      <c r="AP3430" s="87"/>
      <c r="AQ3430" s="87" t="s">
        <v>17787</v>
      </c>
      <c r="AR3430" s="87"/>
      <c r="AS3430" s="87"/>
      <c r="AT3430" s="87"/>
      <c r="AU3430" s="87"/>
      <c r="AV3430" s="92" t="str">
        <f>HYPERLINK("https://pbs.twimg.com/media/F5MxaeaW8AANk7F.jpg")</f>
        <v>https://pbs.twimg.com/media/F5MxaeaW8AANk7F.jpg</v>
      </c>
      <c r="AW3430" s="93" t="s">
        <v>21557</v>
      </c>
      <c r="AX3430" s="93" t="s">
        <v>21557</v>
      </c>
      <c r="AY3430" s="87"/>
      <c r="AZ3430" s="93" t="s">
        <v>22668</v>
      </c>
      <c r="BA3430" s="93" t="s">
        <v>22668</v>
      </c>
      <c r="BB3430" s="93" t="s">
        <v>22668</v>
      </c>
      <c r="BC3430" s="93" t="s">
        <v>21557</v>
      </c>
      <c r="BD3430" s="87">
        <v>4180566701</v>
      </c>
      <c r="BE3430" s="87"/>
      <c r="BF3430" s="87"/>
      <c r="BG3430" s="87"/>
      <c r="BH3430" s="87"/>
      <c r="BI3430" s="87"/>
    </row>
    <row r="3431" spans="1:61" x14ac:dyDescent="0.25">
      <c r="A3431" s="63" t="s">
        <v>1285</v>
      </c>
      <c r="B3431" s="63" t="s">
        <v>1285</v>
      </c>
      <c r="C3431" s="64"/>
      <c r="D3431" s="65"/>
      <c r="E3431" s="66"/>
      <c r="F3431" s="67"/>
      <c r="G3431" s="64"/>
      <c r="H3431" s="68"/>
      <c r="I3431" s="69"/>
      <c r="J3431" s="69"/>
      <c r="K3431" s="32"/>
      <c r="L3431" s="76">
        <v>3431</v>
      </c>
      <c r="M3431" s="76"/>
      <c r="N3431" s="71"/>
      <c r="O3431" s="87" t="s">
        <v>179</v>
      </c>
      <c r="P3431" s="90">
        <v>45189.504976851851</v>
      </c>
      <c r="Q3431" s="87" t="s">
        <v>5106</v>
      </c>
      <c r="R3431" s="87">
        <v>0</v>
      </c>
      <c r="S3431" s="87">
        <v>0</v>
      </c>
      <c r="T3431" s="87">
        <v>0</v>
      </c>
      <c r="U3431" s="87">
        <v>0</v>
      </c>
      <c r="V3431" s="87">
        <v>16</v>
      </c>
      <c r="W3431" s="93" t="s">
        <v>7839</v>
      </c>
      <c r="X3431" s="87"/>
      <c r="Y3431" s="87"/>
      <c r="Z3431" s="87"/>
      <c r="AA3431" s="87" t="s">
        <v>10976</v>
      </c>
      <c r="AB3431" s="87" t="s">
        <v>11448</v>
      </c>
      <c r="AC3431" s="93" t="s">
        <v>11457</v>
      </c>
      <c r="AD3431" s="87" t="s">
        <v>11519</v>
      </c>
      <c r="AE3431" s="92" t="str">
        <f>HYPERLINK("https://twitter.com/unespfeis/status/1704467234968547632")</f>
        <v>https://twitter.com/unespfeis/status/1704467234968547632</v>
      </c>
      <c r="AF3431" s="90">
        <v>45189.504976851851</v>
      </c>
      <c r="AG3431" s="99">
        <v>45189</v>
      </c>
      <c r="AH3431" s="93" t="s">
        <v>14567</v>
      </c>
      <c r="AI3431" s="87" t="b">
        <v>0</v>
      </c>
      <c r="AJ3431" s="87"/>
      <c r="AK3431" s="87"/>
      <c r="AL3431" s="87"/>
      <c r="AM3431" s="87"/>
      <c r="AN3431" s="87"/>
      <c r="AO3431" s="87"/>
      <c r="AP3431" s="87"/>
      <c r="AQ3431" s="87" t="s">
        <v>17788</v>
      </c>
      <c r="AR3431" s="87"/>
      <c r="AS3431" s="87"/>
      <c r="AT3431" s="87"/>
      <c r="AU3431" s="87"/>
      <c r="AV3431" s="92" t="str">
        <f>HYPERLINK("https://pbs.twimg.com/media/F6d7mDTWAAAMbXo.jpg")</f>
        <v>https://pbs.twimg.com/media/F6d7mDTWAAAMbXo.jpg</v>
      </c>
      <c r="AW3431" s="93" t="s">
        <v>21558</v>
      </c>
      <c r="AX3431" s="93" t="s">
        <v>21558</v>
      </c>
      <c r="AY3431" s="87"/>
      <c r="AZ3431" s="93" t="s">
        <v>22668</v>
      </c>
      <c r="BA3431" s="93" t="s">
        <v>22668</v>
      </c>
      <c r="BB3431" s="93" t="s">
        <v>22668</v>
      </c>
      <c r="BC3431" s="93" t="s">
        <v>21558</v>
      </c>
      <c r="BD3431" s="87">
        <v>4180566701</v>
      </c>
      <c r="BE3431" s="87"/>
      <c r="BF3431" s="87"/>
      <c r="BG3431" s="87"/>
      <c r="BH3431" s="87"/>
      <c r="BI3431" s="87"/>
    </row>
    <row r="3432" spans="1:61" x14ac:dyDescent="0.25">
      <c r="A3432" s="63" t="s">
        <v>1286</v>
      </c>
      <c r="B3432" s="63" t="s">
        <v>1286</v>
      </c>
      <c r="C3432" s="64"/>
      <c r="D3432" s="65"/>
      <c r="E3432" s="66"/>
      <c r="F3432" s="67"/>
      <c r="G3432" s="64"/>
      <c r="H3432" s="68"/>
      <c r="I3432" s="69"/>
      <c r="J3432" s="69"/>
      <c r="K3432" s="32"/>
      <c r="L3432" s="76">
        <v>3432</v>
      </c>
      <c r="M3432" s="76"/>
      <c r="N3432" s="71"/>
      <c r="O3432" s="87" t="s">
        <v>179</v>
      </c>
      <c r="P3432" s="90">
        <v>45133.813773148147</v>
      </c>
      <c r="Q3432" s="87" t="s">
        <v>5107</v>
      </c>
      <c r="R3432" s="87">
        <v>0</v>
      </c>
      <c r="S3432" s="87">
        <v>0</v>
      </c>
      <c r="T3432" s="87">
        <v>1</v>
      </c>
      <c r="U3432" s="87">
        <v>0</v>
      </c>
      <c r="V3432" s="87">
        <v>23</v>
      </c>
      <c r="W3432" s="93" t="s">
        <v>7840</v>
      </c>
      <c r="X3432" s="92" t="str">
        <f>HYPERLINK("https://www.instagram.com/p/CvK1l7XAb0T/")</f>
        <v>https://www.instagram.com/p/CvK1l7XAb0T/</v>
      </c>
      <c r="Y3432" s="87" t="s">
        <v>8383</v>
      </c>
      <c r="Z3432" s="87"/>
      <c r="AA3432" s="87" t="s">
        <v>10977</v>
      </c>
      <c r="AB3432" s="87" t="s">
        <v>11448</v>
      </c>
      <c r="AC3432" s="93" t="s">
        <v>11457</v>
      </c>
      <c r="AD3432" s="87" t="s">
        <v>11519</v>
      </c>
      <c r="AE3432" s="92" t="str">
        <f>HYPERLINK("https://twitter.com/patercontabil/status/1684285416965283841")</f>
        <v>https://twitter.com/patercontabil/status/1684285416965283841</v>
      </c>
      <c r="AF3432" s="90">
        <v>45133.813773148147</v>
      </c>
      <c r="AG3432" s="99">
        <v>45133</v>
      </c>
      <c r="AH3432" s="93" t="s">
        <v>14568</v>
      </c>
      <c r="AI3432" s="87" t="b">
        <v>0</v>
      </c>
      <c r="AJ3432" s="87"/>
      <c r="AK3432" s="87"/>
      <c r="AL3432" s="87"/>
      <c r="AM3432" s="87"/>
      <c r="AN3432" s="87"/>
      <c r="AO3432" s="87"/>
      <c r="AP3432" s="87"/>
      <c r="AQ3432" s="87" t="s">
        <v>17789</v>
      </c>
      <c r="AR3432" s="87"/>
      <c r="AS3432" s="87"/>
      <c r="AT3432" s="87"/>
      <c r="AU3432" s="87"/>
      <c r="AV3432" s="92" t="str">
        <f>HYPERLINK("https://pbs.twimg.com/media/F1_Ip2iX0AEY_pN.jpg")</f>
        <v>https://pbs.twimg.com/media/F1_Ip2iX0AEY_pN.jpg</v>
      </c>
      <c r="AW3432" s="93" t="s">
        <v>21559</v>
      </c>
      <c r="AX3432" s="93" t="s">
        <v>21559</v>
      </c>
      <c r="AY3432" s="87"/>
      <c r="AZ3432" s="93" t="s">
        <v>22668</v>
      </c>
      <c r="BA3432" s="93" t="s">
        <v>22668</v>
      </c>
      <c r="BB3432" s="93" t="s">
        <v>22668</v>
      </c>
      <c r="BC3432" s="93" t="s">
        <v>21559</v>
      </c>
      <c r="BD3432" s="87">
        <v>836165648</v>
      </c>
      <c r="BE3432" s="87"/>
      <c r="BF3432" s="87"/>
      <c r="BG3432" s="87"/>
      <c r="BH3432" s="87"/>
      <c r="BI3432" s="87"/>
    </row>
    <row r="3433" spans="1:61" x14ac:dyDescent="0.25">
      <c r="A3433" s="63" t="s">
        <v>1287</v>
      </c>
      <c r="B3433" s="63" t="s">
        <v>1287</v>
      </c>
      <c r="C3433" s="64"/>
      <c r="D3433" s="65"/>
      <c r="E3433" s="66"/>
      <c r="F3433" s="67"/>
      <c r="G3433" s="64"/>
      <c r="H3433" s="68"/>
      <c r="I3433" s="69"/>
      <c r="J3433" s="69"/>
      <c r="K3433" s="32"/>
      <c r="L3433" s="76">
        <v>3433</v>
      </c>
      <c r="M3433" s="76"/>
      <c r="N3433" s="71"/>
      <c r="O3433" s="87" t="s">
        <v>179</v>
      </c>
      <c r="P3433" s="90">
        <v>45159.668749999997</v>
      </c>
      <c r="Q3433" s="87" t="s">
        <v>5108</v>
      </c>
      <c r="R3433" s="87">
        <v>0</v>
      </c>
      <c r="S3433" s="87">
        <v>0</v>
      </c>
      <c r="T3433" s="87">
        <v>0</v>
      </c>
      <c r="U3433" s="87">
        <v>0</v>
      </c>
      <c r="V3433" s="87">
        <v>303</v>
      </c>
      <c r="W3433" s="93" t="s">
        <v>7841</v>
      </c>
      <c r="X3433" s="87"/>
      <c r="Y3433" s="87"/>
      <c r="Z3433" s="87"/>
      <c r="AA3433" s="87" t="s">
        <v>10978</v>
      </c>
      <c r="AB3433" s="87" t="s">
        <v>11447</v>
      </c>
      <c r="AC3433" s="93" t="s">
        <v>11459</v>
      </c>
      <c r="AD3433" s="87" t="s">
        <v>11519</v>
      </c>
      <c r="AE3433" s="92" t="str">
        <f>HYPERLINK("https://twitter.com/acess_moon/status/1693654945445142670")</f>
        <v>https://twitter.com/acess_moon/status/1693654945445142670</v>
      </c>
      <c r="AF3433" s="90">
        <v>45159.668749999997</v>
      </c>
      <c r="AG3433" s="99">
        <v>45159</v>
      </c>
      <c r="AH3433" s="93" t="s">
        <v>14569</v>
      </c>
      <c r="AI3433" s="87" t="b">
        <v>0</v>
      </c>
      <c r="AJ3433" s="87" t="s">
        <v>15222</v>
      </c>
      <c r="AK3433" s="87" t="s">
        <v>15234</v>
      </c>
      <c r="AL3433" s="87" t="s">
        <v>15237</v>
      </c>
      <c r="AM3433" s="87" t="s">
        <v>15293</v>
      </c>
      <c r="AN3433" s="87" t="s">
        <v>15360</v>
      </c>
      <c r="AO3433" s="87" t="s">
        <v>15425</v>
      </c>
      <c r="AP3433" s="87" t="s">
        <v>15438</v>
      </c>
      <c r="AQ3433" s="87" t="s">
        <v>17790</v>
      </c>
      <c r="AR3433" s="87">
        <v>5433</v>
      </c>
      <c r="AS3433" s="87"/>
      <c r="AT3433" s="87"/>
      <c r="AU3433" s="87"/>
      <c r="AV3433" s="92" t="str">
        <f>HYPERLINK("https://pbs.twimg.com/ext_tw_video_thumb/1693654912234577920/pu/img/ohGEDrJlRUOpY19b.jpg")</f>
        <v>https://pbs.twimg.com/ext_tw_video_thumb/1693654912234577920/pu/img/ohGEDrJlRUOpY19b.jpg</v>
      </c>
      <c r="AW3433" s="93" t="s">
        <v>21560</v>
      </c>
      <c r="AX3433" s="93" t="s">
        <v>21560</v>
      </c>
      <c r="AY3433" s="87"/>
      <c r="AZ3433" s="93" t="s">
        <v>22668</v>
      </c>
      <c r="BA3433" s="93" t="s">
        <v>22668</v>
      </c>
      <c r="BB3433" s="93" t="s">
        <v>22668</v>
      </c>
      <c r="BC3433" s="93" t="s">
        <v>21560</v>
      </c>
      <c r="BD3433" s="87">
        <v>573779959</v>
      </c>
      <c r="BE3433" s="87"/>
      <c r="BF3433" s="87"/>
      <c r="BG3433" s="87"/>
      <c r="BH3433" s="87"/>
      <c r="BI3433" s="87"/>
    </row>
    <row r="3434" spans="1:61" x14ac:dyDescent="0.25">
      <c r="A3434" s="63" t="s">
        <v>1287</v>
      </c>
      <c r="B3434" s="63" t="s">
        <v>1287</v>
      </c>
      <c r="C3434" s="64"/>
      <c r="D3434" s="65"/>
      <c r="E3434" s="66"/>
      <c r="F3434" s="67"/>
      <c r="G3434" s="64"/>
      <c r="H3434" s="68"/>
      <c r="I3434" s="69"/>
      <c r="J3434" s="69"/>
      <c r="K3434" s="32"/>
      <c r="L3434" s="76">
        <v>3434</v>
      </c>
      <c r="M3434" s="76"/>
      <c r="N3434" s="71"/>
      <c r="O3434" s="87" t="s">
        <v>179</v>
      </c>
      <c r="P3434" s="90">
        <v>45183.844675925924</v>
      </c>
      <c r="Q3434" s="87" t="s">
        <v>5109</v>
      </c>
      <c r="R3434" s="87">
        <v>0</v>
      </c>
      <c r="S3434" s="87">
        <v>0</v>
      </c>
      <c r="T3434" s="87">
        <v>0</v>
      </c>
      <c r="U3434" s="87">
        <v>0</v>
      </c>
      <c r="V3434" s="87">
        <v>290</v>
      </c>
      <c r="W3434" s="93" t="s">
        <v>7842</v>
      </c>
      <c r="X3434" s="87"/>
      <c r="Y3434" s="87"/>
      <c r="Z3434" s="87"/>
      <c r="AA3434" s="87" t="s">
        <v>10979</v>
      </c>
      <c r="AB3434" s="87" t="s">
        <v>11448</v>
      </c>
      <c r="AC3434" s="93" t="s">
        <v>11459</v>
      </c>
      <c r="AD3434" s="87" t="s">
        <v>11519</v>
      </c>
      <c r="AE3434" s="92" t="str">
        <f>HYPERLINK("https://twitter.com/acess_moon/status/1702416009515147307")</f>
        <v>https://twitter.com/acess_moon/status/1702416009515147307</v>
      </c>
      <c r="AF3434" s="90">
        <v>45183.844675925924</v>
      </c>
      <c r="AG3434" s="99">
        <v>45183</v>
      </c>
      <c r="AH3434" s="93" t="s">
        <v>14570</v>
      </c>
      <c r="AI3434" s="87" t="b">
        <v>0</v>
      </c>
      <c r="AJ3434" s="87" t="s">
        <v>15222</v>
      </c>
      <c r="AK3434" s="87" t="s">
        <v>15234</v>
      </c>
      <c r="AL3434" s="87" t="s">
        <v>15237</v>
      </c>
      <c r="AM3434" s="87" t="s">
        <v>15293</v>
      </c>
      <c r="AN3434" s="87" t="s">
        <v>15360</v>
      </c>
      <c r="AO3434" s="87" t="s">
        <v>15425</v>
      </c>
      <c r="AP3434" s="87" t="s">
        <v>15438</v>
      </c>
      <c r="AQ3434" s="87" t="s">
        <v>17791</v>
      </c>
      <c r="AR3434" s="87"/>
      <c r="AS3434" s="87"/>
      <c r="AT3434" s="87"/>
      <c r="AU3434" s="87"/>
      <c r="AV3434" s="92" t="str">
        <f>HYPERLINK("https://pbs.twimg.com/media/F6AyVmgWUAAKlv8.jpg")</f>
        <v>https://pbs.twimg.com/media/F6AyVmgWUAAKlv8.jpg</v>
      </c>
      <c r="AW3434" s="93" t="s">
        <v>21561</v>
      </c>
      <c r="AX3434" s="93" t="s">
        <v>21561</v>
      </c>
      <c r="AY3434" s="87"/>
      <c r="AZ3434" s="93" t="s">
        <v>22668</v>
      </c>
      <c r="BA3434" s="93" t="s">
        <v>22668</v>
      </c>
      <c r="BB3434" s="93" t="s">
        <v>22668</v>
      </c>
      <c r="BC3434" s="93" t="s">
        <v>21561</v>
      </c>
      <c r="BD3434" s="87">
        <v>573779959</v>
      </c>
      <c r="BE3434" s="87"/>
      <c r="BF3434" s="87"/>
      <c r="BG3434" s="87"/>
      <c r="BH3434" s="87"/>
      <c r="BI3434" s="87"/>
    </row>
    <row r="3435" spans="1:61" x14ac:dyDescent="0.25">
      <c r="A3435" s="63" t="s">
        <v>1288</v>
      </c>
      <c r="B3435" s="63" t="s">
        <v>1288</v>
      </c>
      <c r="C3435" s="64"/>
      <c r="D3435" s="65"/>
      <c r="E3435" s="66"/>
      <c r="F3435" s="67"/>
      <c r="G3435" s="64"/>
      <c r="H3435" s="68"/>
      <c r="I3435" s="69"/>
      <c r="J3435" s="69"/>
      <c r="K3435" s="32"/>
      <c r="L3435" s="76">
        <v>3435</v>
      </c>
      <c r="M3435" s="76"/>
      <c r="N3435" s="71"/>
      <c r="O3435" s="87" t="s">
        <v>179</v>
      </c>
      <c r="P3435" s="90">
        <v>45116.68854166667</v>
      </c>
      <c r="Q3435" s="87" t="s">
        <v>5110</v>
      </c>
      <c r="R3435" s="87">
        <v>0</v>
      </c>
      <c r="S3435" s="87">
        <v>0</v>
      </c>
      <c r="T3435" s="87">
        <v>0</v>
      </c>
      <c r="U3435" s="87">
        <v>0</v>
      </c>
      <c r="V3435" s="87">
        <v>8</v>
      </c>
      <c r="W3435" s="93" t="s">
        <v>6274</v>
      </c>
      <c r="X3435" s="87" t="s">
        <v>8360</v>
      </c>
      <c r="Y3435" s="87" t="s">
        <v>8471</v>
      </c>
      <c r="Z3435" s="87"/>
      <c r="AA3435" s="87"/>
      <c r="AB3435" s="87"/>
      <c r="AC3435" s="93" t="s">
        <v>11474</v>
      </c>
      <c r="AD3435" s="87" t="s">
        <v>11519</v>
      </c>
      <c r="AE3435" s="92" t="str">
        <f>HYPERLINK("https://twitter.com/marcosliotti/status/1678079441556103171")</f>
        <v>https://twitter.com/marcosliotti/status/1678079441556103171</v>
      </c>
      <c r="AF3435" s="90">
        <v>45116.68854166667</v>
      </c>
      <c r="AG3435" s="99">
        <v>45116</v>
      </c>
      <c r="AH3435" s="93" t="s">
        <v>14571</v>
      </c>
      <c r="AI3435" s="87" t="b">
        <v>0</v>
      </c>
      <c r="AJ3435" s="87"/>
      <c r="AK3435" s="87"/>
      <c r="AL3435" s="87"/>
      <c r="AM3435" s="87"/>
      <c r="AN3435" s="87"/>
      <c r="AO3435" s="87"/>
      <c r="AP3435" s="87"/>
      <c r="AQ3435" s="87"/>
      <c r="AR3435" s="87"/>
      <c r="AS3435" s="87"/>
      <c r="AT3435" s="87"/>
      <c r="AU3435" s="87"/>
      <c r="AV3435" s="92" t="str">
        <f>HYPERLINK("https://pbs.twimg.com/profile_images/1679947032604049415/1bSEFGrx_normal.png")</f>
        <v>https://pbs.twimg.com/profile_images/1679947032604049415/1bSEFGrx_normal.png</v>
      </c>
      <c r="AW3435" s="93" t="s">
        <v>21562</v>
      </c>
      <c r="AX3435" s="93" t="s">
        <v>21562</v>
      </c>
      <c r="AY3435" s="87"/>
      <c r="AZ3435" s="93" t="s">
        <v>22668</v>
      </c>
      <c r="BA3435" s="93" t="s">
        <v>22668</v>
      </c>
      <c r="BB3435" s="93" t="s">
        <v>22668</v>
      </c>
      <c r="BC3435" s="93" t="s">
        <v>21562</v>
      </c>
      <c r="BD3435" s="87">
        <v>1006384165</v>
      </c>
      <c r="BE3435" s="87"/>
      <c r="BF3435" s="87"/>
      <c r="BG3435" s="87"/>
      <c r="BH3435" s="87"/>
      <c r="BI3435" s="87"/>
    </row>
    <row r="3436" spans="1:61" x14ac:dyDescent="0.25">
      <c r="A3436" s="63" t="s">
        <v>1289</v>
      </c>
      <c r="B3436" s="63" t="s">
        <v>1289</v>
      </c>
      <c r="C3436" s="64"/>
      <c r="D3436" s="65"/>
      <c r="E3436" s="66"/>
      <c r="F3436" s="67"/>
      <c r="G3436" s="64"/>
      <c r="H3436" s="68"/>
      <c r="I3436" s="69"/>
      <c r="J3436" s="69"/>
      <c r="K3436" s="32"/>
      <c r="L3436" s="76">
        <v>3436</v>
      </c>
      <c r="M3436" s="76"/>
      <c r="N3436" s="71"/>
      <c r="O3436" s="87" t="s">
        <v>179</v>
      </c>
      <c r="P3436" s="90">
        <v>45148.0234375</v>
      </c>
      <c r="Q3436" s="87" t="s">
        <v>5111</v>
      </c>
      <c r="R3436" s="87">
        <v>2</v>
      </c>
      <c r="S3436" s="87">
        <v>2</v>
      </c>
      <c r="T3436" s="87">
        <v>0</v>
      </c>
      <c r="U3436" s="87">
        <v>0</v>
      </c>
      <c r="V3436" s="87">
        <v>18</v>
      </c>
      <c r="W3436" s="93" t="s">
        <v>7843</v>
      </c>
      <c r="X3436" s="92" t="str">
        <f>HYPERLINK("https://virtualeestudio.blogspot.com/2023/08/importancia-de-eventos-feiras-e.html")</f>
        <v>https://virtualeestudio.blogspot.com/2023/08/importancia-de-eventos-feiras-e.html</v>
      </c>
      <c r="Y3436" s="87" t="s">
        <v>8394</v>
      </c>
      <c r="Z3436" s="87"/>
      <c r="AA3436" s="87"/>
      <c r="AB3436" s="87"/>
      <c r="AC3436" s="93" t="s">
        <v>11457</v>
      </c>
      <c r="AD3436" s="87" t="s">
        <v>11519</v>
      </c>
      <c r="AE3436" s="92" t="str">
        <f>HYPERLINK("https://twitter.com/virtualeestudio/status/1689434826057613312")</f>
        <v>https://twitter.com/virtualeestudio/status/1689434826057613312</v>
      </c>
      <c r="AF3436" s="90">
        <v>45148.0234375</v>
      </c>
      <c r="AG3436" s="99">
        <v>45148</v>
      </c>
      <c r="AH3436" s="93" t="s">
        <v>14572</v>
      </c>
      <c r="AI3436" s="87" t="b">
        <v>0</v>
      </c>
      <c r="AJ3436" s="87"/>
      <c r="AK3436" s="87"/>
      <c r="AL3436" s="87"/>
      <c r="AM3436" s="87"/>
      <c r="AN3436" s="87"/>
      <c r="AO3436" s="87"/>
      <c r="AP3436" s="87"/>
      <c r="AQ3436" s="87"/>
      <c r="AR3436" s="87"/>
      <c r="AS3436" s="87"/>
      <c r="AT3436" s="87"/>
      <c r="AU3436" s="87"/>
      <c r="AV3436" s="92" t="str">
        <f>HYPERLINK("https://pbs.twimg.com/profile_images/906911954945658881/5Bjc0eX1_normal.jpg")</f>
        <v>https://pbs.twimg.com/profile_images/906911954945658881/5Bjc0eX1_normal.jpg</v>
      </c>
      <c r="AW3436" s="93" t="s">
        <v>21563</v>
      </c>
      <c r="AX3436" s="93" t="s">
        <v>21563</v>
      </c>
      <c r="AY3436" s="87"/>
      <c r="AZ3436" s="93" t="s">
        <v>22668</v>
      </c>
      <c r="BA3436" s="93" t="s">
        <v>22668</v>
      </c>
      <c r="BB3436" s="93" t="s">
        <v>22668</v>
      </c>
      <c r="BC3436" s="93" t="s">
        <v>21563</v>
      </c>
      <c r="BD3436" s="87">
        <v>1655968658</v>
      </c>
      <c r="BE3436" s="87"/>
      <c r="BF3436" s="87"/>
      <c r="BG3436" s="87"/>
      <c r="BH3436" s="87"/>
      <c r="BI3436" s="87"/>
    </row>
    <row r="3437" spans="1:61" x14ac:dyDescent="0.25">
      <c r="A3437" s="63" t="s">
        <v>1290</v>
      </c>
      <c r="B3437" s="63" t="s">
        <v>1290</v>
      </c>
      <c r="C3437" s="64"/>
      <c r="D3437" s="65"/>
      <c r="E3437" s="66"/>
      <c r="F3437" s="67"/>
      <c r="G3437" s="64"/>
      <c r="H3437" s="68"/>
      <c r="I3437" s="69"/>
      <c r="J3437" s="69"/>
      <c r="K3437" s="32"/>
      <c r="L3437" s="76">
        <v>3437</v>
      </c>
      <c r="M3437" s="76"/>
      <c r="N3437" s="71"/>
      <c r="O3437" s="87" t="s">
        <v>179</v>
      </c>
      <c r="P3437" s="90">
        <v>45148.49050925926</v>
      </c>
      <c r="Q3437" s="87" t="s">
        <v>5112</v>
      </c>
      <c r="R3437" s="87">
        <v>0</v>
      </c>
      <c r="S3437" s="87">
        <v>0</v>
      </c>
      <c r="T3437" s="87">
        <v>0</v>
      </c>
      <c r="U3437" s="87">
        <v>0</v>
      </c>
      <c r="V3437" s="87">
        <v>11</v>
      </c>
      <c r="W3437" s="93" t="s">
        <v>7844</v>
      </c>
      <c r="X3437" s="87"/>
      <c r="Y3437" s="87"/>
      <c r="Z3437" s="87"/>
      <c r="AA3437" s="87" t="s">
        <v>10980</v>
      </c>
      <c r="AB3437" s="87" t="s">
        <v>11448</v>
      </c>
      <c r="AC3437" s="93" t="s">
        <v>11458</v>
      </c>
      <c r="AD3437" s="87" t="s">
        <v>11519</v>
      </c>
      <c r="AE3437" s="92" t="str">
        <f>HYPERLINK("https://twitter.com/fredmacedof/status/1689604089045209089")</f>
        <v>https://twitter.com/fredmacedof/status/1689604089045209089</v>
      </c>
      <c r="AF3437" s="90">
        <v>45148.49050925926</v>
      </c>
      <c r="AG3437" s="99">
        <v>45148</v>
      </c>
      <c r="AH3437" s="93" t="s">
        <v>14573</v>
      </c>
      <c r="AI3437" s="87" t="b">
        <v>0</v>
      </c>
      <c r="AJ3437" s="87"/>
      <c r="AK3437" s="87"/>
      <c r="AL3437" s="87"/>
      <c r="AM3437" s="87"/>
      <c r="AN3437" s="87"/>
      <c r="AO3437" s="87"/>
      <c r="AP3437" s="87"/>
      <c r="AQ3437" s="87" t="s">
        <v>17792</v>
      </c>
      <c r="AR3437" s="87"/>
      <c r="AS3437" s="87"/>
      <c r="AT3437" s="87"/>
      <c r="AU3437" s="87"/>
      <c r="AV3437" s="92" t="str">
        <f>HYPERLINK("https://pbs.twimg.com/media/F3Kt9gNWcAAt4U3.jpg")</f>
        <v>https://pbs.twimg.com/media/F3Kt9gNWcAAt4U3.jpg</v>
      </c>
      <c r="AW3437" s="93" t="s">
        <v>21564</v>
      </c>
      <c r="AX3437" s="93" t="s">
        <v>21564</v>
      </c>
      <c r="AY3437" s="87"/>
      <c r="AZ3437" s="93" t="s">
        <v>22668</v>
      </c>
      <c r="BA3437" s="93" t="s">
        <v>22668</v>
      </c>
      <c r="BB3437" s="93" t="s">
        <v>22668</v>
      </c>
      <c r="BC3437" s="93" t="s">
        <v>21564</v>
      </c>
      <c r="BD3437" s="93" t="s">
        <v>23409</v>
      </c>
      <c r="BE3437" s="87"/>
      <c r="BF3437" s="87"/>
      <c r="BG3437" s="87"/>
      <c r="BH3437" s="87"/>
      <c r="BI3437" s="87"/>
    </row>
    <row r="3438" spans="1:61" x14ac:dyDescent="0.25">
      <c r="A3438" s="63" t="s">
        <v>1290</v>
      </c>
      <c r="B3438" s="63" t="s">
        <v>1290</v>
      </c>
      <c r="C3438" s="64"/>
      <c r="D3438" s="65"/>
      <c r="E3438" s="66"/>
      <c r="F3438" s="67"/>
      <c r="G3438" s="64"/>
      <c r="H3438" s="68"/>
      <c r="I3438" s="69"/>
      <c r="J3438" s="69"/>
      <c r="K3438" s="32"/>
      <c r="L3438" s="76">
        <v>3438</v>
      </c>
      <c r="M3438" s="76"/>
      <c r="N3438" s="71"/>
      <c r="O3438" s="87" t="s">
        <v>179</v>
      </c>
      <c r="P3438" s="90">
        <v>45153.954872685186</v>
      </c>
      <c r="Q3438" s="87" t="s">
        <v>5113</v>
      </c>
      <c r="R3438" s="87">
        <v>0</v>
      </c>
      <c r="S3438" s="87">
        <v>0</v>
      </c>
      <c r="T3438" s="87">
        <v>0</v>
      </c>
      <c r="U3438" s="87">
        <v>0</v>
      </c>
      <c r="V3438" s="87">
        <v>11</v>
      </c>
      <c r="W3438" s="93" t="s">
        <v>7845</v>
      </c>
      <c r="X3438" s="87"/>
      <c r="Y3438" s="87"/>
      <c r="Z3438" s="87"/>
      <c r="AA3438" s="87" t="s">
        <v>10981</v>
      </c>
      <c r="AB3438" s="87" t="s">
        <v>11448</v>
      </c>
      <c r="AC3438" s="93" t="s">
        <v>11458</v>
      </c>
      <c r="AD3438" s="87" t="s">
        <v>11519</v>
      </c>
      <c r="AE3438" s="92" t="str">
        <f>HYPERLINK("https://twitter.com/fredmacedof/status/1691584307926589788")</f>
        <v>https://twitter.com/fredmacedof/status/1691584307926589788</v>
      </c>
      <c r="AF3438" s="90">
        <v>45153.954872685186</v>
      </c>
      <c r="AG3438" s="99">
        <v>45153</v>
      </c>
      <c r="AH3438" s="93" t="s">
        <v>12547</v>
      </c>
      <c r="AI3438" s="87" t="b">
        <v>0</v>
      </c>
      <c r="AJ3438" s="87"/>
      <c r="AK3438" s="87"/>
      <c r="AL3438" s="87"/>
      <c r="AM3438" s="87"/>
      <c r="AN3438" s="87"/>
      <c r="AO3438" s="87"/>
      <c r="AP3438" s="87"/>
      <c r="AQ3438" s="87" t="s">
        <v>17793</v>
      </c>
      <c r="AR3438" s="87"/>
      <c r="AS3438" s="87"/>
      <c r="AT3438" s="87"/>
      <c r="AU3438" s="87"/>
      <c r="AV3438" s="92" t="str">
        <f>HYPERLINK("https://pbs.twimg.com/media/F3m29ZtWUAAikiN.jpg")</f>
        <v>https://pbs.twimg.com/media/F3m29ZtWUAAikiN.jpg</v>
      </c>
      <c r="AW3438" s="93" t="s">
        <v>21565</v>
      </c>
      <c r="AX3438" s="93" t="s">
        <v>21565</v>
      </c>
      <c r="AY3438" s="87"/>
      <c r="AZ3438" s="93" t="s">
        <v>22668</v>
      </c>
      <c r="BA3438" s="93" t="s">
        <v>22668</v>
      </c>
      <c r="BB3438" s="93" t="s">
        <v>22668</v>
      </c>
      <c r="BC3438" s="93" t="s">
        <v>21565</v>
      </c>
      <c r="BD3438" s="93" t="s">
        <v>23409</v>
      </c>
      <c r="BE3438" s="87"/>
      <c r="BF3438" s="87"/>
      <c r="BG3438" s="87"/>
      <c r="BH3438" s="87"/>
      <c r="BI3438" s="87"/>
    </row>
    <row r="3439" spans="1:61" x14ac:dyDescent="0.25">
      <c r="A3439" s="63" t="s">
        <v>1291</v>
      </c>
      <c r="B3439" s="63" t="s">
        <v>1291</v>
      </c>
      <c r="C3439" s="64"/>
      <c r="D3439" s="65"/>
      <c r="E3439" s="66"/>
      <c r="F3439" s="67"/>
      <c r="G3439" s="64"/>
      <c r="H3439" s="68"/>
      <c r="I3439" s="69"/>
      <c r="J3439" s="69"/>
      <c r="K3439" s="32"/>
      <c r="L3439" s="76">
        <v>3439</v>
      </c>
      <c r="M3439" s="76"/>
      <c r="N3439" s="71"/>
      <c r="O3439" s="87" t="s">
        <v>179</v>
      </c>
      <c r="P3439" s="90">
        <v>45149.700173611112</v>
      </c>
      <c r="Q3439" s="87" t="s">
        <v>5114</v>
      </c>
      <c r="R3439" s="87">
        <v>0</v>
      </c>
      <c r="S3439" s="87">
        <v>0</v>
      </c>
      <c r="T3439" s="87">
        <v>0</v>
      </c>
      <c r="U3439" s="87">
        <v>0</v>
      </c>
      <c r="V3439" s="87">
        <v>8</v>
      </c>
      <c r="W3439" s="93" t="s">
        <v>7846</v>
      </c>
      <c r="X3439" s="87"/>
      <c r="Y3439" s="87"/>
      <c r="Z3439" s="87"/>
      <c r="AA3439" s="87" t="s">
        <v>10982</v>
      </c>
      <c r="AB3439" s="87" t="s">
        <v>11448</v>
      </c>
      <c r="AC3439" s="93" t="s">
        <v>11459</v>
      </c>
      <c r="AD3439" s="87" t="s">
        <v>11519</v>
      </c>
      <c r="AE3439" s="92" t="str">
        <f>HYPERLINK("https://twitter.com/digitalgomito/status/1690042456635584531")</f>
        <v>https://twitter.com/digitalgomito/status/1690042456635584531</v>
      </c>
      <c r="AF3439" s="90">
        <v>45149.700173611112</v>
      </c>
      <c r="AG3439" s="99">
        <v>45149</v>
      </c>
      <c r="AH3439" s="93" t="s">
        <v>14574</v>
      </c>
      <c r="AI3439" s="87" t="b">
        <v>0</v>
      </c>
      <c r="AJ3439" s="87"/>
      <c r="AK3439" s="87"/>
      <c r="AL3439" s="87"/>
      <c r="AM3439" s="87"/>
      <c r="AN3439" s="87"/>
      <c r="AO3439" s="87"/>
      <c r="AP3439" s="87"/>
      <c r="AQ3439" s="87" t="s">
        <v>17794</v>
      </c>
      <c r="AR3439" s="87"/>
      <c r="AS3439" s="87"/>
      <c r="AT3439" s="87"/>
      <c r="AU3439" s="87"/>
      <c r="AV3439" s="92" t="str">
        <f>HYPERLINK("https://pbs.twimg.com/media/F3Q8pkcaAAARcJi.jpg")</f>
        <v>https://pbs.twimg.com/media/F3Q8pkcaAAARcJi.jpg</v>
      </c>
      <c r="AW3439" s="93" t="s">
        <v>21566</v>
      </c>
      <c r="AX3439" s="93" t="s">
        <v>21566</v>
      </c>
      <c r="AY3439" s="87"/>
      <c r="AZ3439" s="93" t="s">
        <v>22668</v>
      </c>
      <c r="BA3439" s="93" t="s">
        <v>22668</v>
      </c>
      <c r="BB3439" s="93" t="s">
        <v>22668</v>
      </c>
      <c r="BC3439" s="93" t="s">
        <v>21566</v>
      </c>
      <c r="BD3439" s="93" t="s">
        <v>23410</v>
      </c>
      <c r="BE3439" s="87"/>
      <c r="BF3439" s="87"/>
      <c r="BG3439" s="87"/>
      <c r="BH3439" s="87"/>
      <c r="BI3439" s="87"/>
    </row>
    <row r="3440" spans="1:61" x14ac:dyDescent="0.25">
      <c r="A3440" s="63" t="s">
        <v>1292</v>
      </c>
      <c r="B3440" s="63" t="s">
        <v>1798</v>
      </c>
      <c r="C3440" s="64"/>
      <c r="D3440" s="65"/>
      <c r="E3440" s="66"/>
      <c r="F3440" s="67"/>
      <c r="G3440" s="64"/>
      <c r="H3440" s="68"/>
      <c r="I3440" s="69"/>
      <c r="J3440" s="69"/>
      <c r="K3440" s="32"/>
      <c r="L3440" s="76">
        <v>3440</v>
      </c>
      <c r="M3440" s="76"/>
      <c r="N3440" s="71"/>
      <c r="O3440" s="87" t="s">
        <v>1840</v>
      </c>
      <c r="P3440" s="90">
        <v>45113.885821759257</v>
      </c>
      <c r="Q3440" s="87" t="s">
        <v>5115</v>
      </c>
      <c r="R3440" s="87">
        <v>0</v>
      </c>
      <c r="S3440" s="87">
        <v>0</v>
      </c>
      <c r="T3440" s="87">
        <v>0</v>
      </c>
      <c r="U3440" s="87">
        <v>0</v>
      </c>
      <c r="V3440" s="87">
        <v>54</v>
      </c>
      <c r="W3440" s="93" t="s">
        <v>1737</v>
      </c>
      <c r="X3440" s="87"/>
      <c r="Y3440" s="87"/>
      <c r="Z3440" s="87" t="s">
        <v>1798</v>
      </c>
      <c r="AA3440" s="87"/>
      <c r="AB3440" s="87"/>
      <c r="AC3440" s="93" t="s">
        <v>11459</v>
      </c>
      <c r="AD3440" s="87" t="s">
        <v>11520</v>
      </c>
      <c r="AE3440" s="92" t="str">
        <f>HYPERLINK("https://twitter.com/brinjshater/status/1677063770126925828")</f>
        <v>https://twitter.com/brinjshater/status/1677063770126925828</v>
      </c>
      <c r="AF3440" s="90">
        <v>45113.885821759257</v>
      </c>
      <c r="AG3440" s="99">
        <v>45113</v>
      </c>
      <c r="AH3440" s="93" t="s">
        <v>14575</v>
      </c>
      <c r="AI3440" s="87"/>
      <c r="AJ3440" s="87"/>
      <c r="AK3440" s="87"/>
      <c r="AL3440" s="87"/>
      <c r="AM3440" s="87"/>
      <c r="AN3440" s="87"/>
      <c r="AO3440" s="87"/>
      <c r="AP3440" s="87"/>
      <c r="AQ3440" s="87"/>
      <c r="AR3440" s="87"/>
      <c r="AS3440" s="87"/>
      <c r="AT3440" s="87"/>
      <c r="AU3440" s="87"/>
      <c r="AV3440" s="92" t="str">
        <f>HYPERLINK("https://pbs.twimg.com/profile_images/847780506922090497/UoyIYB6C_normal.jpg")</f>
        <v>https://pbs.twimg.com/profile_images/847780506922090497/UoyIYB6C_normal.jpg</v>
      </c>
      <c r="AW3440" s="93" t="s">
        <v>21567</v>
      </c>
      <c r="AX3440" s="93" t="s">
        <v>22463</v>
      </c>
      <c r="AY3440" s="93" t="s">
        <v>22630</v>
      </c>
      <c r="AZ3440" s="93" t="s">
        <v>22463</v>
      </c>
      <c r="BA3440" s="93" t="s">
        <v>22668</v>
      </c>
      <c r="BB3440" s="93" t="s">
        <v>22668</v>
      </c>
      <c r="BC3440" s="93" t="s">
        <v>22463</v>
      </c>
      <c r="BD3440" s="87">
        <v>101630758</v>
      </c>
      <c r="BE3440" s="87"/>
      <c r="BF3440" s="87"/>
      <c r="BG3440" s="87"/>
      <c r="BH3440" s="87"/>
      <c r="BI3440" s="87"/>
    </row>
    <row r="3441" spans="1:61" x14ac:dyDescent="0.25">
      <c r="A3441" s="63" t="s">
        <v>1293</v>
      </c>
      <c r="B3441" s="63" t="s">
        <v>1293</v>
      </c>
      <c r="C3441" s="64"/>
      <c r="D3441" s="65"/>
      <c r="E3441" s="66"/>
      <c r="F3441" s="67"/>
      <c r="G3441" s="64"/>
      <c r="H3441" s="68"/>
      <c r="I3441" s="69"/>
      <c r="J3441" s="69"/>
      <c r="K3441" s="32"/>
      <c r="L3441" s="76">
        <v>3441</v>
      </c>
      <c r="M3441" s="76"/>
      <c r="N3441" s="71"/>
      <c r="O3441" s="87" t="s">
        <v>179</v>
      </c>
      <c r="P3441" s="90">
        <v>45113.938101851854</v>
      </c>
      <c r="Q3441" s="87" t="s">
        <v>5116</v>
      </c>
      <c r="R3441" s="87">
        <v>0</v>
      </c>
      <c r="S3441" s="87">
        <v>1</v>
      </c>
      <c r="T3441" s="87">
        <v>0</v>
      </c>
      <c r="U3441" s="87">
        <v>0</v>
      </c>
      <c r="V3441" s="87">
        <v>31</v>
      </c>
      <c r="W3441" s="93" t="s">
        <v>7847</v>
      </c>
      <c r="X3441" s="87"/>
      <c r="Y3441" s="87"/>
      <c r="Z3441" s="87"/>
      <c r="AA3441" s="87" t="s">
        <v>10983</v>
      </c>
      <c r="AB3441" s="87" t="s">
        <v>11447</v>
      </c>
      <c r="AC3441" s="93" t="s">
        <v>11460</v>
      </c>
      <c r="AD3441" s="87" t="s">
        <v>11519</v>
      </c>
      <c r="AE3441" s="92" t="str">
        <f>HYPERLINK("https://twitter.com/lucianotokikawa/status/1677082715730968581")</f>
        <v>https://twitter.com/lucianotokikawa/status/1677082715730968581</v>
      </c>
      <c r="AF3441" s="90">
        <v>45113.938101851854</v>
      </c>
      <c r="AG3441" s="99">
        <v>45113</v>
      </c>
      <c r="AH3441" s="93" t="s">
        <v>14576</v>
      </c>
      <c r="AI3441" s="87" t="b">
        <v>0</v>
      </c>
      <c r="AJ3441" s="87"/>
      <c r="AK3441" s="87"/>
      <c r="AL3441" s="87"/>
      <c r="AM3441" s="87"/>
      <c r="AN3441" s="87"/>
      <c r="AO3441" s="87"/>
      <c r="AP3441" s="87"/>
      <c r="AQ3441" s="87" t="s">
        <v>17795</v>
      </c>
      <c r="AR3441" s="87">
        <v>47172</v>
      </c>
      <c r="AS3441" s="87"/>
      <c r="AT3441" s="87"/>
      <c r="AU3441" s="87"/>
      <c r="AV3441" s="92" t="str">
        <f>HYPERLINK("https://pbs.twimg.com/ext_tw_video_thumb/1677082665852321793/pu/img/HfBzN19lYXn270s0.jpg")</f>
        <v>https://pbs.twimg.com/ext_tw_video_thumb/1677082665852321793/pu/img/HfBzN19lYXn270s0.jpg</v>
      </c>
      <c r="AW3441" s="93" t="s">
        <v>21568</v>
      </c>
      <c r="AX3441" s="93" t="s">
        <v>21568</v>
      </c>
      <c r="AY3441" s="87"/>
      <c r="AZ3441" s="93" t="s">
        <v>22668</v>
      </c>
      <c r="BA3441" s="93" t="s">
        <v>22668</v>
      </c>
      <c r="BB3441" s="93" t="s">
        <v>22668</v>
      </c>
      <c r="BC3441" s="93" t="s">
        <v>21568</v>
      </c>
      <c r="BD3441" s="87">
        <v>235606538</v>
      </c>
      <c r="BE3441" s="87"/>
      <c r="BF3441" s="87"/>
      <c r="BG3441" s="87"/>
      <c r="BH3441" s="87"/>
      <c r="BI3441" s="87"/>
    </row>
    <row r="3442" spans="1:61" x14ac:dyDescent="0.25">
      <c r="A3442" s="63" t="s">
        <v>1293</v>
      </c>
      <c r="B3442" s="63" t="s">
        <v>1293</v>
      </c>
      <c r="C3442" s="64"/>
      <c r="D3442" s="65"/>
      <c r="E3442" s="66"/>
      <c r="F3442" s="67"/>
      <c r="G3442" s="64"/>
      <c r="H3442" s="68"/>
      <c r="I3442" s="69"/>
      <c r="J3442" s="69"/>
      <c r="K3442" s="32"/>
      <c r="L3442" s="76">
        <v>3442</v>
      </c>
      <c r="M3442" s="76"/>
      <c r="N3442" s="71"/>
      <c r="O3442" s="87" t="s">
        <v>179</v>
      </c>
      <c r="P3442" s="90">
        <v>45116.937708333331</v>
      </c>
      <c r="Q3442" s="87" t="s">
        <v>5117</v>
      </c>
      <c r="R3442" s="87">
        <v>0</v>
      </c>
      <c r="S3442" s="87">
        <v>0</v>
      </c>
      <c r="T3442" s="87">
        <v>0</v>
      </c>
      <c r="U3442" s="87">
        <v>0</v>
      </c>
      <c r="V3442" s="87">
        <v>13</v>
      </c>
      <c r="W3442" s="93" t="s">
        <v>7848</v>
      </c>
      <c r="X3442" s="87"/>
      <c r="Y3442" s="87"/>
      <c r="Z3442" s="87"/>
      <c r="AA3442" s="87" t="s">
        <v>10984</v>
      </c>
      <c r="AB3442" s="87" t="s">
        <v>11448</v>
      </c>
      <c r="AC3442" s="93" t="s">
        <v>11460</v>
      </c>
      <c r="AD3442" s="87" t="s">
        <v>11519</v>
      </c>
      <c r="AE3442" s="92" t="str">
        <f>HYPERLINK("https://twitter.com/lucianotokikawa/status/1678169735366602752")</f>
        <v>https://twitter.com/lucianotokikawa/status/1678169735366602752</v>
      </c>
      <c r="AF3442" s="90">
        <v>45116.937708333331</v>
      </c>
      <c r="AG3442" s="99">
        <v>45116</v>
      </c>
      <c r="AH3442" s="93" t="s">
        <v>14441</v>
      </c>
      <c r="AI3442" s="87" t="b">
        <v>0</v>
      </c>
      <c r="AJ3442" s="87"/>
      <c r="AK3442" s="87"/>
      <c r="AL3442" s="87"/>
      <c r="AM3442" s="87"/>
      <c r="AN3442" s="87"/>
      <c r="AO3442" s="87"/>
      <c r="AP3442" s="87"/>
      <c r="AQ3442" s="87" t="s">
        <v>17796</v>
      </c>
      <c r="AR3442" s="87"/>
      <c r="AS3442" s="87"/>
      <c r="AT3442" s="87"/>
      <c r="AU3442" s="87"/>
      <c r="AV3442" s="92" t="str">
        <f>HYPERLINK("https://pbs.twimg.com/media/F0oOewWXwAIITyS.jpg")</f>
        <v>https://pbs.twimg.com/media/F0oOewWXwAIITyS.jpg</v>
      </c>
      <c r="AW3442" s="93" t="s">
        <v>21569</v>
      </c>
      <c r="AX3442" s="93" t="s">
        <v>21569</v>
      </c>
      <c r="AY3442" s="87"/>
      <c r="AZ3442" s="93" t="s">
        <v>22668</v>
      </c>
      <c r="BA3442" s="93" t="s">
        <v>22668</v>
      </c>
      <c r="BB3442" s="93" t="s">
        <v>22668</v>
      </c>
      <c r="BC3442" s="93" t="s">
        <v>21569</v>
      </c>
      <c r="BD3442" s="87">
        <v>235606538</v>
      </c>
      <c r="BE3442" s="87"/>
      <c r="BF3442" s="87"/>
      <c r="BG3442" s="87"/>
      <c r="BH3442" s="87"/>
      <c r="BI3442" s="87"/>
    </row>
    <row r="3443" spans="1:61" x14ac:dyDescent="0.25">
      <c r="A3443" s="63" t="s">
        <v>1293</v>
      </c>
      <c r="B3443" s="63" t="s">
        <v>1293</v>
      </c>
      <c r="C3443" s="64"/>
      <c r="D3443" s="65"/>
      <c r="E3443" s="66"/>
      <c r="F3443" s="67"/>
      <c r="G3443" s="64"/>
      <c r="H3443" s="68"/>
      <c r="I3443" s="69"/>
      <c r="J3443" s="69"/>
      <c r="K3443" s="32"/>
      <c r="L3443" s="76">
        <v>3443</v>
      </c>
      <c r="M3443" s="76"/>
      <c r="N3443" s="71"/>
      <c r="O3443" s="87" t="s">
        <v>179</v>
      </c>
      <c r="P3443" s="90">
        <v>45118.938773148147</v>
      </c>
      <c r="Q3443" s="87" t="s">
        <v>5118</v>
      </c>
      <c r="R3443" s="87">
        <v>0</v>
      </c>
      <c r="S3443" s="87">
        <v>1</v>
      </c>
      <c r="T3443" s="87">
        <v>0</v>
      </c>
      <c r="U3443" s="87">
        <v>0</v>
      </c>
      <c r="V3443" s="87">
        <v>17</v>
      </c>
      <c r="W3443" s="93" t="s">
        <v>7849</v>
      </c>
      <c r="X3443" s="87"/>
      <c r="Y3443" s="87"/>
      <c r="Z3443" s="87"/>
      <c r="AA3443" s="87" t="s">
        <v>10985</v>
      </c>
      <c r="AB3443" s="87" t="s">
        <v>11447</v>
      </c>
      <c r="AC3443" s="93" t="s">
        <v>11460</v>
      </c>
      <c r="AD3443" s="87" t="s">
        <v>11519</v>
      </c>
      <c r="AE3443" s="92" t="str">
        <f>HYPERLINK("https://twitter.com/lucianotokikawa/status/1678894898840236032")</f>
        <v>https://twitter.com/lucianotokikawa/status/1678894898840236032</v>
      </c>
      <c r="AF3443" s="90">
        <v>45118.938773148147</v>
      </c>
      <c r="AG3443" s="99">
        <v>45118</v>
      </c>
      <c r="AH3443" s="93" t="s">
        <v>14577</v>
      </c>
      <c r="AI3443" s="87" t="b">
        <v>0</v>
      </c>
      <c r="AJ3443" s="87"/>
      <c r="AK3443" s="87"/>
      <c r="AL3443" s="87"/>
      <c r="AM3443" s="87"/>
      <c r="AN3443" s="87"/>
      <c r="AO3443" s="87"/>
      <c r="AP3443" s="87"/>
      <c r="AQ3443" s="87" t="s">
        <v>17797</v>
      </c>
      <c r="AR3443" s="87">
        <v>51633</v>
      </c>
      <c r="AS3443" s="87"/>
      <c r="AT3443" s="87"/>
      <c r="AU3443" s="87"/>
      <c r="AV3443" s="92" t="str">
        <f>HYPERLINK("https://pbs.twimg.com/ext_tw_video_thumb/1678894672758947840/pu/img/f-HFnoISH1vk8P4j.jpg")</f>
        <v>https://pbs.twimg.com/ext_tw_video_thumb/1678894672758947840/pu/img/f-HFnoISH1vk8P4j.jpg</v>
      </c>
      <c r="AW3443" s="93" t="s">
        <v>21570</v>
      </c>
      <c r="AX3443" s="93" t="s">
        <v>21570</v>
      </c>
      <c r="AY3443" s="87"/>
      <c r="AZ3443" s="93" t="s">
        <v>22668</v>
      </c>
      <c r="BA3443" s="93" t="s">
        <v>22668</v>
      </c>
      <c r="BB3443" s="93" t="s">
        <v>22668</v>
      </c>
      <c r="BC3443" s="93" t="s">
        <v>21570</v>
      </c>
      <c r="BD3443" s="87">
        <v>235606538</v>
      </c>
      <c r="BE3443" s="87"/>
      <c r="BF3443" s="87"/>
      <c r="BG3443" s="87"/>
      <c r="BH3443" s="87"/>
      <c r="BI3443" s="87"/>
    </row>
    <row r="3444" spans="1:61" x14ac:dyDescent="0.25">
      <c r="A3444" s="63" t="s">
        <v>1293</v>
      </c>
      <c r="B3444" s="63" t="s">
        <v>1293</v>
      </c>
      <c r="C3444" s="64"/>
      <c r="D3444" s="65"/>
      <c r="E3444" s="66"/>
      <c r="F3444" s="67"/>
      <c r="G3444" s="64"/>
      <c r="H3444" s="68"/>
      <c r="I3444" s="69"/>
      <c r="J3444" s="69"/>
      <c r="K3444" s="32"/>
      <c r="L3444" s="76">
        <v>3444</v>
      </c>
      <c r="M3444" s="76"/>
      <c r="N3444" s="71"/>
      <c r="O3444" s="87" t="s">
        <v>179</v>
      </c>
      <c r="P3444" s="90">
        <v>45122.940995370373</v>
      </c>
      <c r="Q3444" s="87" t="s">
        <v>5119</v>
      </c>
      <c r="R3444" s="87">
        <v>0</v>
      </c>
      <c r="S3444" s="87">
        <v>0</v>
      </c>
      <c r="T3444" s="87">
        <v>0</v>
      </c>
      <c r="U3444" s="87">
        <v>0</v>
      </c>
      <c r="V3444" s="87">
        <v>9</v>
      </c>
      <c r="W3444" s="93" t="s">
        <v>7850</v>
      </c>
      <c r="X3444" s="87"/>
      <c r="Y3444" s="87"/>
      <c r="Z3444" s="87"/>
      <c r="AA3444" s="87" t="s">
        <v>10986</v>
      </c>
      <c r="AB3444" s="87" t="s">
        <v>11448</v>
      </c>
      <c r="AC3444" s="93" t="s">
        <v>11460</v>
      </c>
      <c r="AD3444" s="87" t="s">
        <v>11519</v>
      </c>
      <c r="AE3444" s="92" t="str">
        <f>HYPERLINK("https://twitter.com/lucianotokikawa/status/1680345252773732352")</f>
        <v>https://twitter.com/lucianotokikawa/status/1680345252773732352</v>
      </c>
      <c r="AF3444" s="90">
        <v>45122.940995370373</v>
      </c>
      <c r="AG3444" s="99">
        <v>45122</v>
      </c>
      <c r="AH3444" s="93" t="s">
        <v>14578</v>
      </c>
      <c r="AI3444" s="87" t="b">
        <v>0</v>
      </c>
      <c r="AJ3444" s="87"/>
      <c r="AK3444" s="87"/>
      <c r="AL3444" s="87"/>
      <c r="AM3444" s="87"/>
      <c r="AN3444" s="87"/>
      <c r="AO3444" s="87"/>
      <c r="AP3444" s="87"/>
      <c r="AQ3444" s="87" t="s">
        <v>17798</v>
      </c>
      <c r="AR3444" s="87"/>
      <c r="AS3444" s="87"/>
      <c r="AT3444" s="87"/>
      <c r="AU3444" s="87"/>
      <c r="AV3444" s="92" t="str">
        <f>HYPERLINK("https://pbs.twimg.com/media/F1HJGihX0AEs2PB.jpg")</f>
        <v>https://pbs.twimg.com/media/F1HJGihX0AEs2PB.jpg</v>
      </c>
      <c r="AW3444" s="93" t="s">
        <v>21571</v>
      </c>
      <c r="AX3444" s="93" t="s">
        <v>21571</v>
      </c>
      <c r="AY3444" s="87"/>
      <c r="AZ3444" s="93" t="s">
        <v>22668</v>
      </c>
      <c r="BA3444" s="93" t="s">
        <v>22668</v>
      </c>
      <c r="BB3444" s="93" t="s">
        <v>22668</v>
      </c>
      <c r="BC3444" s="93" t="s">
        <v>21571</v>
      </c>
      <c r="BD3444" s="87">
        <v>235606538</v>
      </c>
      <c r="BE3444" s="87"/>
      <c r="BF3444" s="87"/>
      <c r="BG3444" s="87"/>
      <c r="BH3444" s="87"/>
      <c r="BI3444" s="87"/>
    </row>
    <row r="3445" spans="1:61" x14ac:dyDescent="0.25">
      <c r="A3445" s="63" t="s">
        <v>1293</v>
      </c>
      <c r="B3445" s="63" t="s">
        <v>1293</v>
      </c>
      <c r="C3445" s="64"/>
      <c r="D3445" s="65"/>
      <c r="E3445" s="66"/>
      <c r="F3445" s="67"/>
      <c r="G3445" s="64"/>
      <c r="H3445" s="68"/>
      <c r="I3445" s="69"/>
      <c r="J3445" s="69"/>
      <c r="K3445" s="32"/>
      <c r="L3445" s="76">
        <v>3445</v>
      </c>
      <c r="M3445" s="76"/>
      <c r="N3445" s="71"/>
      <c r="O3445" s="87" t="s">
        <v>179</v>
      </c>
      <c r="P3445" s="90">
        <v>45121.938009259262</v>
      </c>
      <c r="Q3445" s="87" t="s">
        <v>5120</v>
      </c>
      <c r="R3445" s="87">
        <v>0</v>
      </c>
      <c r="S3445" s="87">
        <v>0</v>
      </c>
      <c r="T3445" s="87">
        <v>0</v>
      </c>
      <c r="U3445" s="87">
        <v>0</v>
      </c>
      <c r="V3445" s="87">
        <v>17</v>
      </c>
      <c r="W3445" s="93" t="s">
        <v>7849</v>
      </c>
      <c r="X3445" s="87"/>
      <c r="Y3445" s="87"/>
      <c r="Z3445" s="87"/>
      <c r="AA3445" s="87" t="s">
        <v>10987</v>
      </c>
      <c r="AB3445" s="87" t="s">
        <v>11447</v>
      </c>
      <c r="AC3445" s="93" t="s">
        <v>11460</v>
      </c>
      <c r="AD3445" s="87" t="s">
        <v>11519</v>
      </c>
      <c r="AE3445" s="92" t="str">
        <f>HYPERLINK("https://twitter.com/lucianotokikawa/status/1679981784417865735")</f>
        <v>https://twitter.com/lucianotokikawa/status/1679981784417865735</v>
      </c>
      <c r="AF3445" s="90">
        <v>45121.938009259262</v>
      </c>
      <c r="AG3445" s="99">
        <v>45121</v>
      </c>
      <c r="AH3445" s="93" t="s">
        <v>14579</v>
      </c>
      <c r="AI3445" s="87" t="b">
        <v>0</v>
      </c>
      <c r="AJ3445" s="87"/>
      <c r="AK3445" s="87"/>
      <c r="AL3445" s="87"/>
      <c r="AM3445" s="87"/>
      <c r="AN3445" s="87"/>
      <c r="AO3445" s="87"/>
      <c r="AP3445" s="87"/>
      <c r="AQ3445" s="87" t="s">
        <v>17799</v>
      </c>
      <c r="AR3445" s="87">
        <v>89500</v>
      </c>
      <c r="AS3445" s="87"/>
      <c r="AT3445" s="87"/>
      <c r="AU3445" s="87"/>
      <c r="AV3445" s="92" t="str">
        <f>HYPERLINK("https://pbs.twimg.com/ext_tw_video_thumb/1679981734182412288/pu/img/y6I-B5fm8QzmdxEm.jpg")</f>
        <v>https://pbs.twimg.com/ext_tw_video_thumb/1679981734182412288/pu/img/y6I-B5fm8QzmdxEm.jpg</v>
      </c>
      <c r="AW3445" s="93" t="s">
        <v>21572</v>
      </c>
      <c r="AX3445" s="93" t="s">
        <v>21572</v>
      </c>
      <c r="AY3445" s="87"/>
      <c r="AZ3445" s="93" t="s">
        <v>22668</v>
      </c>
      <c r="BA3445" s="93" t="s">
        <v>22668</v>
      </c>
      <c r="BB3445" s="93" t="s">
        <v>22668</v>
      </c>
      <c r="BC3445" s="93" t="s">
        <v>21572</v>
      </c>
      <c r="BD3445" s="87">
        <v>235606538</v>
      </c>
      <c r="BE3445" s="87"/>
      <c r="BF3445" s="87"/>
      <c r="BG3445" s="87"/>
      <c r="BH3445" s="87"/>
      <c r="BI3445" s="87"/>
    </row>
    <row r="3446" spans="1:61" x14ac:dyDescent="0.25">
      <c r="A3446" s="63" t="s">
        <v>1294</v>
      </c>
      <c r="B3446" s="63" t="s">
        <v>1294</v>
      </c>
      <c r="C3446" s="64"/>
      <c r="D3446" s="65"/>
      <c r="E3446" s="66"/>
      <c r="F3446" s="67"/>
      <c r="G3446" s="64"/>
      <c r="H3446" s="68"/>
      <c r="I3446" s="69"/>
      <c r="J3446" s="69"/>
      <c r="K3446" s="32"/>
      <c r="L3446" s="76">
        <v>3446</v>
      </c>
      <c r="M3446" s="76"/>
      <c r="N3446" s="71"/>
      <c r="O3446" s="87" t="s">
        <v>179</v>
      </c>
      <c r="P3446" s="90">
        <v>45110.600624999999</v>
      </c>
      <c r="Q3446" s="87" t="s">
        <v>5121</v>
      </c>
      <c r="R3446" s="87">
        <v>1</v>
      </c>
      <c r="S3446" s="87">
        <v>6</v>
      </c>
      <c r="T3446" s="87">
        <v>0</v>
      </c>
      <c r="U3446" s="87">
        <v>1</v>
      </c>
      <c r="V3446" s="87">
        <v>1413</v>
      </c>
      <c r="W3446" s="93" t="s">
        <v>5989</v>
      </c>
      <c r="X3446" s="92" t="str">
        <f>HYPERLINK("https://blog.inventivos.co/afrosaude-empreendedorismo-dentista-inventivos-investimento/")</f>
        <v>https://blog.inventivos.co/afrosaude-empreendedorismo-dentista-inventivos-investimento/</v>
      </c>
      <c r="Y3446" s="87" t="s">
        <v>8524</v>
      </c>
      <c r="Z3446" s="87"/>
      <c r="AA3446" s="87"/>
      <c r="AB3446" s="87"/>
      <c r="AC3446" s="93" t="s">
        <v>11457</v>
      </c>
      <c r="AD3446" s="87" t="s">
        <v>11519</v>
      </c>
      <c r="AE3446" s="92" t="str">
        <f>HYPERLINK("https://twitter.com/inventivosco/status/1675873251489206273")</f>
        <v>https://twitter.com/inventivosco/status/1675873251489206273</v>
      </c>
      <c r="AF3446" s="90">
        <v>45110.600624999999</v>
      </c>
      <c r="AG3446" s="99">
        <v>45110</v>
      </c>
      <c r="AH3446" s="93" t="s">
        <v>14580</v>
      </c>
      <c r="AI3446" s="87" t="b">
        <v>0</v>
      </c>
      <c r="AJ3446" s="87"/>
      <c r="AK3446" s="87"/>
      <c r="AL3446" s="87"/>
      <c r="AM3446" s="87"/>
      <c r="AN3446" s="87"/>
      <c r="AO3446" s="87"/>
      <c r="AP3446" s="87"/>
      <c r="AQ3446" s="87"/>
      <c r="AR3446" s="87"/>
      <c r="AS3446" s="87"/>
      <c r="AT3446" s="87"/>
      <c r="AU3446" s="87"/>
      <c r="AV3446" s="92" t="str">
        <f>HYPERLINK("https://pbs.twimg.com/profile_images/1679520135894163456/qLSALpJn_normal.jpg")</f>
        <v>https://pbs.twimg.com/profile_images/1679520135894163456/qLSALpJn_normal.jpg</v>
      </c>
      <c r="AW3446" s="93" t="s">
        <v>21573</v>
      </c>
      <c r="AX3446" s="93" t="s">
        <v>21573</v>
      </c>
      <c r="AY3446" s="87"/>
      <c r="AZ3446" s="93" t="s">
        <v>22668</v>
      </c>
      <c r="BA3446" s="93" t="s">
        <v>22668</v>
      </c>
      <c r="BB3446" s="93" t="s">
        <v>22668</v>
      </c>
      <c r="BC3446" s="93" t="s">
        <v>21573</v>
      </c>
      <c r="BD3446" s="87">
        <v>866359201</v>
      </c>
      <c r="BE3446" s="87"/>
      <c r="BF3446" s="87"/>
      <c r="BG3446" s="87"/>
      <c r="BH3446" s="87"/>
      <c r="BI3446" s="87"/>
    </row>
    <row r="3447" spans="1:61" x14ac:dyDescent="0.25">
      <c r="A3447" s="63" t="s">
        <v>1295</v>
      </c>
      <c r="B3447" s="63" t="s">
        <v>1799</v>
      </c>
      <c r="C3447" s="64"/>
      <c r="D3447" s="65"/>
      <c r="E3447" s="66"/>
      <c r="F3447" s="67"/>
      <c r="G3447" s="64"/>
      <c r="H3447" s="68"/>
      <c r="I3447" s="69"/>
      <c r="J3447" s="69"/>
      <c r="K3447" s="32"/>
      <c r="L3447" s="76">
        <v>3447</v>
      </c>
      <c r="M3447" s="76"/>
      <c r="N3447" s="71"/>
      <c r="O3447" s="87" t="s">
        <v>1839</v>
      </c>
      <c r="P3447" s="90">
        <v>45155.623599537037</v>
      </c>
      <c r="Q3447" s="87" t="s">
        <v>5122</v>
      </c>
      <c r="R3447" s="87">
        <v>0</v>
      </c>
      <c r="S3447" s="87">
        <v>0</v>
      </c>
      <c r="T3447" s="87">
        <v>0</v>
      </c>
      <c r="U3447" s="87">
        <v>0</v>
      </c>
      <c r="V3447" s="87">
        <v>90</v>
      </c>
      <c r="W3447" s="93" t="s">
        <v>7851</v>
      </c>
      <c r="X3447" s="87"/>
      <c r="Y3447" s="87"/>
      <c r="Z3447" s="87" t="s">
        <v>1799</v>
      </c>
      <c r="AA3447" s="87" t="s">
        <v>10988</v>
      </c>
      <c r="AB3447" s="87" t="s">
        <v>11451</v>
      </c>
      <c r="AC3447" s="93" t="s">
        <v>11457</v>
      </c>
      <c r="AD3447" s="87" t="s">
        <v>11519</v>
      </c>
      <c r="AE3447" s="92" t="str">
        <f>HYPERLINK("https://twitter.com/sebraepa/status/1692189031935684785")</f>
        <v>https://twitter.com/sebraepa/status/1692189031935684785</v>
      </c>
      <c r="AF3447" s="90">
        <v>45155.623599537037</v>
      </c>
      <c r="AG3447" s="99">
        <v>45155</v>
      </c>
      <c r="AH3447" s="93" t="s">
        <v>12004</v>
      </c>
      <c r="AI3447" s="87" t="b">
        <v>0</v>
      </c>
      <c r="AJ3447" s="87" t="s">
        <v>15184</v>
      </c>
      <c r="AK3447" s="87" t="s">
        <v>15234</v>
      </c>
      <c r="AL3447" s="87" t="s">
        <v>15237</v>
      </c>
      <c r="AM3447" s="87" t="s">
        <v>15256</v>
      </c>
      <c r="AN3447" s="87" t="s">
        <v>15322</v>
      </c>
      <c r="AO3447" s="87" t="s">
        <v>15388</v>
      </c>
      <c r="AP3447" s="87" t="s">
        <v>15438</v>
      </c>
      <c r="AQ3447" s="87" t="s">
        <v>17800</v>
      </c>
      <c r="AR3447" s="87"/>
      <c r="AS3447" s="87"/>
      <c r="AT3447" s="87"/>
      <c r="AU3447" s="87"/>
      <c r="AV3447" s="92" t="str">
        <f>HYPERLINK("https://pbs.twimg.com/media/F3vae-OXEAACNoT.jpg")</f>
        <v>https://pbs.twimg.com/media/F3vae-OXEAACNoT.jpg</v>
      </c>
      <c r="AW3447" s="93" t="s">
        <v>21574</v>
      </c>
      <c r="AX3447" s="93" t="s">
        <v>21574</v>
      </c>
      <c r="AY3447" s="87"/>
      <c r="AZ3447" s="93" t="s">
        <v>22668</v>
      </c>
      <c r="BA3447" s="93" t="s">
        <v>22668</v>
      </c>
      <c r="BB3447" s="93" t="s">
        <v>22668</v>
      </c>
      <c r="BC3447" s="93" t="s">
        <v>21574</v>
      </c>
      <c r="BD3447" s="87">
        <v>85354996</v>
      </c>
      <c r="BE3447" s="87"/>
      <c r="BF3447" s="87"/>
      <c r="BG3447" s="87"/>
      <c r="BH3447" s="87"/>
      <c r="BI3447" s="87"/>
    </row>
    <row r="3448" spans="1:61" x14ac:dyDescent="0.25">
      <c r="A3448" s="63" t="s">
        <v>1295</v>
      </c>
      <c r="B3448" s="63" t="s">
        <v>1295</v>
      </c>
      <c r="C3448" s="64"/>
      <c r="D3448" s="65"/>
      <c r="E3448" s="66"/>
      <c r="F3448" s="67"/>
      <c r="G3448" s="64"/>
      <c r="H3448" s="68"/>
      <c r="I3448" s="69"/>
      <c r="J3448" s="69"/>
      <c r="K3448" s="32"/>
      <c r="L3448" s="76">
        <v>3448</v>
      </c>
      <c r="M3448" s="76"/>
      <c r="N3448" s="71"/>
      <c r="O3448" s="87" t="s">
        <v>179</v>
      </c>
      <c r="P3448" s="90">
        <v>45117.427268518521</v>
      </c>
      <c r="Q3448" s="87" t="s">
        <v>5123</v>
      </c>
      <c r="R3448" s="87">
        <v>0</v>
      </c>
      <c r="S3448" s="87">
        <v>0</v>
      </c>
      <c r="T3448" s="87">
        <v>0</v>
      </c>
      <c r="U3448" s="87">
        <v>0</v>
      </c>
      <c r="V3448" s="87">
        <v>80</v>
      </c>
      <c r="W3448" s="93" t="s">
        <v>6292</v>
      </c>
      <c r="X3448" s="92" t="str">
        <f>HYPERLINK("https://canvas-apps.pr.sebrae.com.br/")</f>
        <v>https://canvas-apps.pr.sebrae.com.br/</v>
      </c>
      <c r="Y3448" s="87" t="s">
        <v>8373</v>
      </c>
      <c r="Z3448" s="87"/>
      <c r="AA3448" s="87" t="s">
        <v>10989</v>
      </c>
      <c r="AB3448" s="87" t="s">
        <v>11448</v>
      </c>
      <c r="AC3448" s="93" t="s">
        <v>11460</v>
      </c>
      <c r="AD3448" s="87" t="s">
        <v>11519</v>
      </c>
      <c r="AE3448" s="92" t="str">
        <f>HYPERLINK("https://twitter.com/sebraepa/status/1678347145169043464")</f>
        <v>https://twitter.com/sebraepa/status/1678347145169043464</v>
      </c>
      <c r="AF3448" s="90">
        <v>45117.427268518521</v>
      </c>
      <c r="AG3448" s="99">
        <v>45117</v>
      </c>
      <c r="AH3448" s="93" t="s">
        <v>14581</v>
      </c>
      <c r="AI3448" s="87" t="b">
        <v>0</v>
      </c>
      <c r="AJ3448" s="87"/>
      <c r="AK3448" s="87"/>
      <c r="AL3448" s="87"/>
      <c r="AM3448" s="87"/>
      <c r="AN3448" s="87"/>
      <c r="AO3448" s="87"/>
      <c r="AP3448" s="87"/>
      <c r="AQ3448" s="87" t="s">
        <v>17801</v>
      </c>
      <c r="AR3448" s="87"/>
      <c r="AS3448" s="87"/>
      <c r="AT3448" s="87"/>
      <c r="AU3448" s="87"/>
      <c r="AV3448" s="92" t="str">
        <f>HYPERLINK("https://pbs.twimg.com/media/F0qv1ZKWAAAGPxF.jpg")</f>
        <v>https://pbs.twimg.com/media/F0qv1ZKWAAAGPxF.jpg</v>
      </c>
      <c r="AW3448" s="93" t="s">
        <v>21575</v>
      </c>
      <c r="AX3448" s="93" t="s">
        <v>21575</v>
      </c>
      <c r="AY3448" s="87"/>
      <c r="AZ3448" s="93" t="s">
        <v>22668</v>
      </c>
      <c r="BA3448" s="93" t="s">
        <v>22668</v>
      </c>
      <c r="BB3448" s="93" t="s">
        <v>22668</v>
      </c>
      <c r="BC3448" s="93" t="s">
        <v>21575</v>
      </c>
      <c r="BD3448" s="87">
        <v>85354996</v>
      </c>
      <c r="BE3448" s="87"/>
      <c r="BF3448" s="87"/>
      <c r="BG3448" s="87"/>
      <c r="BH3448" s="87"/>
      <c r="BI3448" s="87"/>
    </row>
    <row r="3449" spans="1:61" x14ac:dyDescent="0.25">
      <c r="A3449" s="63" t="s">
        <v>1295</v>
      </c>
      <c r="B3449" s="63" t="s">
        <v>1295</v>
      </c>
      <c r="C3449" s="64"/>
      <c r="D3449" s="65"/>
      <c r="E3449" s="66"/>
      <c r="F3449" s="67"/>
      <c r="G3449" s="64"/>
      <c r="H3449" s="68"/>
      <c r="I3449" s="69"/>
      <c r="J3449" s="69"/>
      <c r="K3449" s="32"/>
      <c r="L3449" s="76">
        <v>3449</v>
      </c>
      <c r="M3449" s="76"/>
      <c r="N3449" s="71"/>
      <c r="O3449" s="87" t="s">
        <v>179</v>
      </c>
      <c r="P3449" s="90">
        <v>45119.462002314816</v>
      </c>
      <c r="Q3449" s="87" t="s">
        <v>5124</v>
      </c>
      <c r="R3449" s="87">
        <v>0</v>
      </c>
      <c r="S3449" s="87">
        <v>0</v>
      </c>
      <c r="T3449" s="87">
        <v>0</v>
      </c>
      <c r="U3449" s="87">
        <v>0</v>
      </c>
      <c r="V3449" s="87">
        <v>90</v>
      </c>
      <c r="W3449" s="93" t="s">
        <v>7852</v>
      </c>
      <c r="X3449" s="87"/>
      <c r="Y3449" s="87"/>
      <c r="Z3449" s="87"/>
      <c r="AA3449" s="87" t="s">
        <v>10990</v>
      </c>
      <c r="AB3449" s="87" t="s">
        <v>11448</v>
      </c>
      <c r="AC3449" s="93" t="s">
        <v>11460</v>
      </c>
      <c r="AD3449" s="87" t="s">
        <v>11519</v>
      </c>
      <c r="AE3449" s="92" t="str">
        <f>HYPERLINK("https://twitter.com/sebraepa/status/1679084507217920002")</f>
        <v>https://twitter.com/sebraepa/status/1679084507217920002</v>
      </c>
      <c r="AF3449" s="90">
        <v>45119.462002314816</v>
      </c>
      <c r="AG3449" s="99">
        <v>45119</v>
      </c>
      <c r="AH3449" s="93" t="s">
        <v>14582</v>
      </c>
      <c r="AI3449" s="87" t="b">
        <v>0</v>
      </c>
      <c r="AJ3449" s="87"/>
      <c r="AK3449" s="87"/>
      <c r="AL3449" s="87"/>
      <c r="AM3449" s="87"/>
      <c r="AN3449" s="87"/>
      <c r="AO3449" s="87"/>
      <c r="AP3449" s="87"/>
      <c r="AQ3449" s="87" t="s">
        <v>17802</v>
      </c>
      <c r="AR3449" s="87"/>
      <c r="AS3449" s="87"/>
      <c r="AT3449" s="87"/>
      <c r="AU3449" s="87"/>
      <c r="AV3449" s="92" t="str">
        <f>HYPERLINK("https://pbs.twimg.com/media/F01OdhYXsAAwQ9c.jpg")</f>
        <v>https://pbs.twimg.com/media/F01OdhYXsAAwQ9c.jpg</v>
      </c>
      <c r="AW3449" s="93" t="s">
        <v>21576</v>
      </c>
      <c r="AX3449" s="93" t="s">
        <v>21576</v>
      </c>
      <c r="AY3449" s="87"/>
      <c r="AZ3449" s="93" t="s">
        <v>22668</v>
      </c>
      <c r="BA3449" s="93" t="s">
        <v>22668</v>
      </c>
      <c r="BB3449" s="93" t="s">
        <v>22668</v>
      </c>
      <c r="BC3449" s="93" t="s">
        <v>21576</v>
      </c>
      <c r="BD3449" s="87">
        <v>85354996</v>
      </c>
      <c r="BE3449" s="87"/>
      <c r="BF3449" s="87"/>
      <c r="BG3449" s="87"/>
      <c r="BH3449" s="87"/>
      <c r="BI3449" s="87"/>
    </row>
    <row r="3450" spans="1:61" x14ac:dyDescent="0.25">
      <c r="A3450" s="63" t="s">
        <v>1295</v>
      </c>
      <c r="B3450" s="63" t="s">
        <v>1295</v>
      </c>
      <c r="C3450" s="64"/>
      <c r="D3450" s="65"/>
      <c r="E3450" s="66"/>
      <c r="F3450" s="67"/>
      <c r="G3450" s="64"/>
      <c r="H3450" s="68"/>
      <c r="I3450" s="69"/>
      <c r="J3450" s="69"/>
      <c r="K3450" s="32"/>
      <c r="L3450" s="76">
        <v>3450</v>
      </c>
      <c r="M3450" s="76"/>
      <c r="N3450" s="71"/>
      <c r="O3450" s="87" t="s">
        <v>179</v>
      </c>
      <c r="P3450" s="90">
        <v>45130.635520833333</v>
      </c>
      <c r="Q3450" s="87" t="s">
        <v>5125</v>
      </c>
      <c r="R3450" s="87">
        <v>0</v>
      </c>
      <c r="S3450" s="87">
        <v>0</v>
      </c>
      <c r="T3450" s="87">
        <v>0</v>
      </c>
      <c r="U3450" s="87">
        <v>0</v>
      </c>
      <c r="V3450" s="87">
        <v>71</v>
      </c>
      <c r="W3450" s="93" t="s">
        <v>7853</v>
      </c>
      <c r="X3450" s="87"/>
      <c r="Y3450" s="87"/>
      <c r="Z3450" s="87"/>
      <c r="AA3450" s="87" t="s">
        <v>10991</v>
      </c>
      <c r="AB3450" s="87" t="s">
        <v>11448</v>
      </c>
      <c r="AC3450" s="93" t="s">
        <v>11460</v>
      </c>
      <c r="AD3450" s="87" t="s">
        <v>11519</v>
      </c>
      <c r="AE3450" s="92" t="str">
        <f>HYPERLINK("https://twitter.com/sebraepa/status/1683133658448773120")</f>
        <v>https://twitter.com/sebraepa/status/1683133658448773120</v>
      </c>
      <c r="AF3450" s="90">
        <v>45130.635520833333</v>
      </c>
      <c r="AG3450" s="99">
        <v>45130</v>
      </c>
      <c r="AH3450" s="93" t="s">
        <v>14583</v>
      </c>
      <c r="AI3450" s="87" t="b">
        <v>0</v>
      </c>
      <c r="AJ3450" s="87"/>
      <c r="AK3450" s="87"/>
      <c r="AL3450" s="87"/>
      <c r="AM3450" s="87"/>
      <c r="AN3450" s="87"/>
      <c r="AO3450" s="87"/>
      <c r="AP3450" s="87"/>
      <c r="AQ3450" s="87" t="s">
        <v>17803</v>
      </c>
      <c r="AR3450" s="87"/>
      <c r="AS3450" s="87"/>
      <c r="AT3450" s="87"/>
      <c r="AU3450" s="87"/>
      <c r="AV3450" s="92" t="str">
        <f>HYPERLINK("https://pbs.twimg.com/media/F1uxJGNX0AMzA9K.jpg")</f>
        <v>https://pbs.twimg.com/media/F1uxJGNX0AMzA9K.jpg</v>
      </c>
      <c r="AW3450" s="93" t="s">
        <v>21577</v>
      </c>
      <c r="AX3450" s="93" t="s">
        <v>21577</v>
      </c>
      <c r="AY3450" s="87"/>
      <c r="AZ3450" s="93" t="s">
        <v>22668</v>
      </c>
      <c r="BA3450" s="93" t="s">
        <v>22668</v>
      </c>
      <c r="BB3450" s="93" t="s">
        <v>22668</v>
      </c>
      <c r="BC3450" s="93" t="s">
        <v>21577</v>
      </c>
      <c r="BD3450" s="87">
        <v>85354996</v>
      </c>
      <c r="BE3450" s="87"/>
      <c r="BF3450" s="87"/>
      <c r="BG3450" s="87"/>
      <c r="BH3450" s="87"/>
      <c r="BI3450" s="87"/>
    </row>
    <row r="3451" spans="1:61" x14ac:dyDescent="0.25">
      <c r="A3451" s="63" t="s">
        <v>1295</v>
      </c>
      <c r="B3451" s="63" t="s">
        <v>1295</v>
      </c>
      <c r="C3451" s="64"/>
      <c r="D3451" s="65"/>
      <c r="E3451" s="66"/>
      <c r="F3451" s="67"/>
      <c r="G3451" s="64"/>
      <c r="H3451" s="68"/>
      <c r="I3451" s="69"/>
      <c r="J3451" s="69"/>
      <c r="K3451" s="32"/>
      <c r="L3451" s="76">
        <v>3451</v>
      </c>
      <c r="M3451" s="76"/>
      <c r="N3451" s="71"/>
      <c r="O3451" s="87" t="s">
        <v>179</v>
      </c>
      <c r="P3451" s="90">
        <v>45147.420162037037</v>
      </c>
      <c r="Q3451" s="87" t="s">
        <v>5126</v>
      </c>
      <c r="R3451" s="87">
        <v>0</v>
      </c>
      <c r="S3451" s="87">
        <v>0</v>
      </c>
      <c r="T3451" s="87">
        <v>0</v>
      </c>
      <c r="U3451" s="87">
        <v>0</v>
      </c>
      <c r="V3451" s="87">
        <v>41</v>
      </c>
      <c r="W3451" s="93" t="s">
        <v>5897</v>
      </c>
      <c r="X3451" s="87"/>
      <c r="Y3451" s="87"/>
      <c r="Z3451" s="87"/>
      <c r="AA3451" s="87" t="s">
        <v>10992</v>
      </c>
      <c r="AB3451" s="87" t="s">
        <v>11448</v>
      </c>
      <c r="AC3451" s="93" t="s">
        <v>11458</v>
      </c>
      <c r="AD3451" s="87" t="s">
        <v>11519</v>
      </c>
      <c r="AE3451" s="92" t="str">
        <f>HYPERLINK("https://twitter.com/sebraepa/status/1689216206635479040")</f>
        <v>https://twitter.com/sebraepa/status/1689216206635479040</v>
      </c>
      <c r="AF3451" s="90">
        <v>45147.420162037037</v>
      </c>
      <c r="AG3451" s="99">
        <v>45147</v>
      </c>
      <c r="AH3451" s="93" t="s">
        <v>14584</v>
      </c>
      <c r="AI3451" s="87" t="b">
        <v>0</v>
      </c>
      <c r="AJ3451" s="87"/>
      <c r="AK3451" s="87"/>
      <c r="AL3451" s="87"/>
      <c r="AM3451" s="87"/>
      <c r="AN3451" s="87"/>
      <c r="AO3451" s="87"/>
      <c r="AP3451" s="87"/>
      <c r="AQ3451" s="87" t="s">
        <v>17804</v>
      </c>
      <c r="AR3451" s="87"/>
      <c r="AS3451" s="87"/>
      <c r="AT3451" s="87"/>
      <c r="AU3451" s="87"/>
      <c r="AV3451" s="92" t="str">
        <f>HYPERLINK("https://pbs.twimg.com/media/F3FNLwaXkAAXSfU.jpg")</f>
        <v>https://pbs.twimg.com/media/F3FNLwaXkAAXSfU.jpg</v>
      </c>
      <c r="AW3451" s="93" t="s">
        <v>21578</v>
      </c>
      <c r="AX3451" s="93" t="s">
        <v>21578</v>
      </c>
      <c r="AY3451" s="87"/>
      <c r="AZ3451" s="93" t="s">
        <v>22668</v>
      </c>
      <c r="BA3451" s="93" t="s">
        <v>22668</v>
      </c>
      <c r="BB3451" s="93" t="s">
        <v>22668</v>
      </c>
      <c r="BC3451" s="93" t="s">
        <v>21578</v>
      </c>
      <c r="BD3451" s="87">
        <v>85354996</v>
      </c>
      <c r="BE3451" s="87"/>
      <c r="BF3451" s="87"/>
      <c r="BG3451" s="87"/>
      <c r="BH3451" s="87"/>
      <c r="BI3451" s="87"/>
    </row>
    <row r="3452" spans="1:61" x14ac:dyDescent="0.25">
      <c r="A3452" s="63" t="s">
        <v>1295</v>
      </c>
      <c r="B3452" s="63" t="s">
        <v>1295</v>
      </c>
      <c r="C3452" s="64"/>
      <c r="D3452" s="65"/>
      <c r="E3452" s="66"/>
      <c r="F3452" s="67"/>
      <c r="G3452" s="64"/>
      <c r="H3452" s="68"/>
      <c r="I3452" s="69"/>
      <c r="J3452" s="69"/>
      <c r="K3452" s="32"/>
      <c r="L3452" s="76">
        <v>3452</v>
      </c>
      <c r="M3452" s="76"/>
      <c r="N3452" s="71"/>
      <c r="O3452" s="87" t="s">
        <v>179</v>
      </c>
      <c r="P3452" s="90">
        <v>45118.465405092589</v>
      </c>
      <c r="Q3452" s="87" t="s">
        <v>5127</v>
      </c>
      <c r="R3452" s="87">
        <v>0</v>
      </c>
      <c r="S3452" s="87">
        <v>0</v>
      </c>
      <c r="T3452" s="87">
        <v>0</v>
      </c>
      <c r="U3452" s="87">
        <v>0</v>
      </c>
      <c r="V3452" s="87">
        <v>78</v>
      </c>
      <c r="W3452" s="93" t="s">
        <v>7854</v>
      </c>
      <c r="X3452" s="87"/>
      <c r="Y3452" s="87"/>
      <c r="Z3452" s="87"/>
      <c r="AA3452" s="87" t="s">
        <v>10993</v>
      </c>
      <c r="AB3452" s="87" t="s">
        <v>11448</v>
      </c>
      <c r="AC3452" s="93" t="s">
        <v>11460</v>
      </c>
      <c r="AD3452" s="87" t="s">
        <v>11519</v>
      </c>
      <c r="AE3452" s="92" t="str">
        <f>HYPERLINK("https://twitter.com/sebraepa/status/1678723354784669696")</f>
        <v>https://twitter.com/sebraepa/status/1678723354784669696</v>
      </c>
      <c r="AF3452" s="90">
        <v>45118.465405092589</v>
      </c>
      <c r="AG3452" s="99">
        <v>45118</v>
      </c>
      <c r="AH3452" s="93" t="s">
        <v>14585</v>
      </c>
      <c r="AI3452" s="87" t="b">
        <v>0</v>
      </c>
      <c r="AJ3452" s="87"/>
      <c r="AK3452" s="87"/>
      <c r="AL3452" s="87"/>
      <c r="AM3452" s="87"/>
      <c r="AN3452" s="87"/>
      <c r="AO3452" s="87"/>
      <c r="AP3452" s="87"/>
      <c r="AQ3452" s="87" t="s">
        <v>17805</v>
      </c>
      <c r="AR3452" s="87"/>
      <c r="AS3452" s="87"/>
      <c r="AT3452" s="87"/>
      <c r="AU3452" s="87"/>
      <c r="AV3452" s="92" t="str">
        <f>HYPERLINK("https://pbs.twimg.com/media/F0wF_rgXsAItVpa.jpg")</f>
        <v>https://pbs.twimg.com/media/F0wF_rgXsAItVpa.jpg</v>
      </c>
      <c r="AW3452" s="93" t="s">
        <v>21579</v>
      </c>
      <c r="AX3452" s="93" t="s">
        <v>21579</v>
      </c>
      <c r="AY3452" s="87"/>
      <c r="AZ3452" s="93" t="s">
        <v>22668</v>
      </c>
      <c r="BA3452" s="93" t="s">
        <v>22668</v>
      </c>
      <c r="BB3452" s="93" t="s">
        <v>22668</v>
      </c>
      <c r="BC3452" s="93" t="s">
        <v>21579</v>
      </c>
      <c r="BD3452" s="87">
        <v>85354996</v>
      </c>
      <c r="BE3452" s="87"/>
      <c r="BF3452" s="87"/>
      <c r="BG3452" s="87"/>
      <c r="BH3452" s="87"/>
      <c r="BI3452" s="87"/>
    </row>
    <row r="3453" spans="1:61" x14ac:dyDescent="0.25">
      <c r="A3453" s="63" t="s">
        <v>1295</v>
      </c>
      <c r="B3453" s="63" t="s">
        <v>1295</v>
      </c>
      <c r="C3453" s="64"/>
      <c r="D3453" s="65"/>
      <c r="E3453" s="66"/>
      <c r="F3453" s="67"/>
      <c r="G3453" s="64"/>
      <c r="H3453" s="68"/>
      <c r="I3453" s="69"/>
      <c r="J3453" s="69"/>
      <c r="K3453" s="32"/>
      <c r="L3453" s="76">
        <v>3453</v>
      </c>
      <c r="M3453" s="76"/>
      <c r="N3453" s="71"/>
      <c r="O3453" s="87" t="s">
        <v>179</v>
      </c>
      <c r="P3453" s="90">
        <v>45173.737453703703</v>
      </c>
      <c r="Q3453" s="87" t="s">
        <v>5128</v>
      </c>
      <c r="R3453" s="87">
        <v>0</v>
      </c>
      <c r="S3453" s="87">
        <v>1</v>
      </c>
      <c r="T3453" s="87">
        <v>0</v>
      </c>
      <c r="U3453" s="87">
        <v>0</v>
      </c>
      <c r="V3453" s="87">
        <v>57</v>
      </c>
      <c r="W3453" s="93" t="s">
        <v>7855</v>
      </c>
      <c r="X3453" s="87"/>
      <c r="Y3453" s="87"/>
      <c r="Z3453" s="87"/>
      <c r="AA3453" s="87" t="s">
        <v>10994</v>
      </c>
      <c r="AB3453" s="87" t="s">
        <v>11449</v>
      </c>
      <c r="AC3453" s="93" t="s">
        <v>11458</v>
      </c>
      <c r="AD3453" s="87" t="s">
        <v>11519</v>
      </c>
      <c r="AE3453" s="92" t="str">
        <f>HYPERLINK("https://twitter.com/sebraepa/status/1698753275141460174")</f>
        <v>https://twitter.com/sebraepa/status/1698753275141460174</v>
      </c>
      <c r="AF3453" s="90">
        <v>45173.737453703703</v>
      </c>
      <c r="AG3453" s="99">
        <v>45173</v>
      </c>
      <c r="AH3453" s="93" t="s">
        <v>14586</v>
      </c>
      <c r="AI3453" s="87" t="b">
        <v>0</v>
      </c>
      <c r="AJ3453" s="87" t="s">
        <v>15223</v>
      </c>
      <c r="AK3453" s="87" t="s">
        <v>15234</v>
      </c>
      <c r="AL3453" s="87" t="s">
        <v>15237</v>
      </c>
      <c r="AM3453" s="87" t="s">
        <v>15294</v>
      </c>
      <c r="AN3453" s="87" t="s">
        <v>15361</v>
      </c>
      <c r="AO3453" s="87" t="s">
        <v>15426</v>
      </c>
      <c r="AP3453" s="87" t="s">
        <v>15438</v>
      </c>
      <c r="AQ3453" s="87" t="s">
        <v>17806</v>
      </c>
      <c r="AR3453" s="87"/>
      <c r="AS3453" s="87"/>
      <c r="AT3453" s="87"/>
      <c r="AU3453" s="87"/>
      <c r="AV3453" s="92" t="str">
        <f>HYPERLINK("https://pbs.twimg.com/media/F5Mhsh_XEAIwWTk.jpg")</f>
        <v>https://pbs.twimg.com/media/F5Mhsh_XEAIwWTk.jpg</v>
      </c>
      <c r="AW3453" s="93" t="s">
        <v>21580</v>
      </c>
      <c r="AX3453" s="93" t="s">
        <v>21580</v>
      </c>
      <c r="AY3453" s="87"/>
      <c r="AZ3453" s="93" t="s">
        <v>22668</v>
      </c>
      <c r="BA3453" s="93" t="s">
        <v>22668</v>
      </c>
      <c r="BB3453" s="93" t="s">
        <v>22668</v>
      </c>
      <c r="BC3453" s="93" t="s">
        <v>21580</v>
      </c>
      <c r="BD3453" s="87">
        <v>85354996</v>
      </c>
      <c r="BE3453" s="87"/>
      <c r="BF3453" s="87"/>
      <c r="BG3453" s="87"/>
      <c r="BH3453" s="87"/>
      <c r="BI3453" s="87"/>
    </row>
    <row r="3454" spans="1:61" x14ac:dyDescent="0.25">
      <c r="A3454" s="63" t="s">
        <v>1296</v>
      </c>
      <c r="B3454" s="63" t="s">
        <v>1624</v>
      </c>
      <c r="C3454" s="64"/>
      <c r="D3454" s="65"/>
      <c r="E3454" s="66"/>
      <c r="F3454" s="67"/>
      <c r="G3454" s="64"/>
      <c r="H3454" s="68"/>
      <c r="I3454" s="69"/>
      <c r="J3454" s="69"/>
      <c r="K3454" s="32"/>
      <c r="L3454" s="76">
        <v>3454</v>
      </c>
      <c r="M3454" s="76"/>
      <c r="N3454" s="71"/>
      <c r="O3454" s="87" t="s">
        <v>1839</v>
      </c>
      <c r="P3454" s="90">
        <v>45165.764224537037</v>
      </c>
      <c r="Q3454" s="87" t="s">
        <v>5129</v>
      </c>
      <c r="R3454" s="87">
        <v>0</v>
      </c>
      <c r="S3454" s="87">
        <v>1</v>
      </c>
      <c r="T3454" s="87">
        <v>0</v>
      </c>
      <c r="U3454" s="87">
        <v>0</v>
      </c>
      <c r="V3454" s="87">
        <v>5</v>
      </c>
      <c r="W3454" s="93" t="s">
        <v>7856</v>
      </c>
      <c r="X3454" s="92" t="str">
        <f>HYPERLINK("https://youtu.be/Izk5XLB3LnQ?feature=shared")</f>
        <v>https://youtu.be/Izk5XLB3LnQ?feature=shared</v>
      </c>
      <c r="Y3454" s="87" t="s">
        <v>8372</v>
      </c>
      <c r="Z3454" s="87" t="s">
        <v>1624</v>
      </c>
      <c r="AA3454" s="87"/>
      <c r="AB3454" s="87"/>
      <c r="AC3454" s="93" t="s">
        <v>11457</v>
      </c>
      <c r="AD3454" s="87" t="s">
        <v>11519</v>
      </c>
      <c r="AE3454" s="92" t="str">
        <f>HYPERLINK("https://twitter.com/vibescia/status/1695863873222385778")</f>
        <v>https://twitter.com/vibescia/status/1695863873222385778</v>
      </c>
      <c r="AF3454" s="90">
        <v>45165.764224537037</v>
      </c>
      <c r="AG3454" s="99">
        <v>45165</v>
      </c>
      <c r="AH3454" s="93" t="s">
        <v>14587</v>
      </c>
      <c r="AI3454" s="87" t="b">
        <v>0</v>
      </c>
      <c r="AJ3454" s="87"/>
      <c r="AK3454" s="87"/>
      <c r="AL3454" s="87"/>
      <c r="AM3454" s="87"/>
      <c r="AN3454" s="87"/>
      <c r="AO3454" s="87"/>
      <c r="AP3454" s="87"/>
      <c r="AQ3454" s="87"/>
      <c r="AR3454" s="87"/>
      <c r="AS3454" s="87"/>
      <c r="AT3454" s="87"/>
      <c r="AU3454" s="87"/>
      <c r="AV3454" s="92" t="str">
        <f>HYPERLINK("https://pbs.twimg.com/profile_images/1692003309001830400/PRIe8uqd_normal.jpg")</f>
        <v>https://pbs.twimg.com/profile_images/1692003309001830400/PRIe8uqd_normal.jpg</v>
      </c>
      <c r="AW3454" s="93" t="s">
        <v>21581</v>
      </c>
      <c r="AX3454" s="93" t="s">
        <v>21581</v>
      </c>
      <c r="AY3454" s="87"/>
      <c r="AZ3454" s="93" t="s">
        <v>22668</v>
      </c>
      <c r="BA3454" s="93" t="s">
        <v>22668</v>
      </c>
      <c r="BB3454" s="93" t="s">
        <v>22668</v>
      </c>
      <c r="BC3454" s="93" t="s">
        <v>21581</v>
      </c>
      <c r="BD3454" s="93" t="s">
        <v>23411</v>
      </c>
      <c r="BE3454" s="87"/>
      <c r="BF3454" s="87"/>
      <c r="BG3454" s="87"/>
      <c r="BH3454" s="87"/>
      <c r="BI3454" s="87"/>
    </row>
    <row r="3455" spans="1:61" x14ac:dyDescent="0.25">
      <c r="A3455" s="63" t="s">
        <v>1297</v>
      </c>
      <c r="B3455" s="63" t="s">
        <v>1297</v>
      </c>
      <c r="C3455" s="64"/>
      <c r="D3455" s="65"/>
      <c r="E3455" s="66"/>
      <c r="F3455" s="67"/>
      <c r="G3455" s="64"/>
      <c r="H3455" s="68"/>
      <c r="I3455" s="69"/>
      <c r="J3455" s="69"/>
      <c r="K3455" s="32"/>
      <c r="L3455" s="76">
        <v>3455</v>
      </c>
      <c r="M3455" s="76"/>
      <c r="N3455" s="71"/>
      <c r="O3455" s="87" t="s">
        <v>179</v>
      </c>
      <c r="P3455" s="90">
        <v>45149.687395833331</v>
      </c>
      <c r="Q3455" s="87" t="s">
        <v>5130</v>
      </c>
      <c r="R3455" s="87">
        <v>0</v>
      </c>
      <c r="S3455" s="87">
        <v>4</v>
      </c>
      <c r="T3455" s="87">
        <v>0</v>
      </c>
      <c r="U3455" s="87">
        <v>0</v>
      </c>
      <c r="V3455" s="87">
        <v>41</v>
      </c>
      <c r="W3455" s="93" t="s">
        <v>7857</v>
      </c>
      <c r="X3455" s="87"/>
      <c r="Y3455" s="87"/>
      <c r="Z3455" s="87"/>
      <c r="AA3455" s="87" t="s">
        <v>10995</v>
      </c>
      <c r="AB3455" s="87" t="s">
        <v>11448</v>
      </c>
      <c r="AC3455" s="93" t="s">
        <v>11458</v>
      </c>
      <c r="AD3455" s="87" t="s">
        <v>11519</v>
      </c>
      <c r="AE3455" s="92" t="str">
        <f>HYPERLINK("https://twitter.com/iamgiovannagama/status/1690037824312029188")</f>
        <v>https://twitter.com/iamgiovannagama/status/1690037824312029188</v>
      </c>
      <c r="AF3455" s="90">
        <v>45149.687395833331</v>
      </c>
      <c r="AG3455" s="99">
        <v>45149</v>
      </c>
      <c r="AH3455" s="93" t="s">
        <v>14588</v>
      </c>
      <c r="AI3455" s="87" t="b">
        <v>0</v>
      </c>
      <c r="AJ3455" s="87"/>
      <c r="AK3455" s="87"/>
      <c r="AL3455" s="87"/>
      <c r="AM3455" s="87"/>
      <c r="AN3455" s="87"/>
      <c r="AO3455" s="87"/>
      <c r="AP3455" s="87"/>
      <c r="AQ3455" s="87" t="s">
        <v>17807</v>
      </c>
      <c r="AR3455" s="87"/>
      <c r="AS3455" s="87"/>
      <c r="AT3455" s="87"/>
      <c r="AU3455" s="87"/>
      <c r="AV3455" s="92" t="str">
        <f>HYPERLINK("https://pbs.twimg.com/media/F3Q4b4raEAAk2-k.jpg")</f>
        <v>https://pbs.twimg.com/media/F3Q4b4raEAAk2-k.jpg</v>
      </c>
      <c r="AW3455" s="93" t="s">
        <v>21582</v>
      </c>
      <c r="AX3455" s="93" t="s">
        <v>21582</v>
      </c>
      <c r="AY3455" s="87"/>
      <c r="AZ3455" s="93" t="s">
        <v>22668</v>
      </c>
      <c r="BA3455" s="93" t="s">
        <v>22668</v>
      </c>
      <c r="BB3455" s="93" t="s">
        <v>22668</v>
      </c>
      <c r="BC3455" s="93" t="s">
        <v>21582</v>
      </c>
      <c r="BD3455" s="93" t="s">
        <v>23412</v>
      </c>
      <c r="BE3455" s="87"/>
      <c r="BF3455" s="87"/>
      <c r="BG3455" s="87"/>
      <c r="BH3455" s="87"/>
      <c r="BI3455" s="87"/>
    </row>
    <row r="3456" spans="1:61" x14ac:dyDescent="0.25">
      <c r="A3456" s="63" t="s">
        <v>1298</v>
      </c>
      <c r="B3456" s="63" t="s">
        <v>1298</v>
      </c>
      <c r="C3456" s="64"/>
      <c r="D3456" s="65"/>
      <c r="E3456" s="66"/>
      <c r="F3456" s="67"/>
      <c r="G3456" s="64"/>
      <c r="H3456" s="68"/>
      <c r="I3456" s="69"/>
      <c r="J3456" s="69"/>
      <c r="K3456" s="32"/>
      <c r="L3456" s="76">
        <v>3456</v>
      </c>
      <c r="M3456" s="76"/>
      <c r="N3456" s="71"/>
      <c r="O3456" s="87" t="s">
        <v>179</v>
      </c>
      <c r="P3456" s="90">
        <v>45112.596643518518</v>
      </c>
      <c r="Q3456" s="87" t="s">
        <v>5131</v>
      </c>
      <c r="R3456" s="87">
        <v>0</v>
      </c>
      <c r="S3456" s="87">
        <v>1</v>
      </c>
      <c r="T3456" s="87">
        <v>0</v>
      </c>
      <c r="U3456" s="87">
        <v>0</v>
      </c>
      <c r="V3456" s="87">
        <v>3</v>
      </c>
      <c r="W3456" s="93" t="s">
        <v>7858</v>
      </c>
      <c r="X3456" s="92" t="str">
        <f>HYPERLINK("https://www.g2mix.com.br/")</f>
        <v>https://www.g2mix.com.br/</v>
      </c>
      <c r="Y3456" s="87" t="s">
        <v>8373</v>
      </c>
      <c r="Z3456" s="87"/>
      <c r="AA3456" s="87" t="s">
        <v>10996</v>
      </c>
      <c r="AB3456" s="87" t="s">
        <v>11447</v>
      </c>
      <c r="AC3456" s="93" t="s">
        <v>11459</v>
      </c>
      <c r="AD3456" s="87" t="s">
        <v>11521</v>
      </c>
      <c r="AE3456" s="92" t="str">
        <f>HYPERLINK("https://twitter.com/g2mix_franquias/status/1676596586892218369")</f>
        <v>https://twitter.com/g2mix_franquias/status/1676596586892218369</v>
      </c>
      <c r="AF3456" s="90">
        <v>45112.596643518518</v>
      </c>
      <c r="AG3456" s="99">
        <v>45112</v>
      </c>
      <c r="AH3456" s="93" t="s">
        <v>14589</v>
      </c>
      <c r="AI3456" s="87" t="b">
        <v>0</v>
      </c>
      <c r="AJ3456" s="87"/>
      <c r="AK3456" s="87"/>
      <c r="AL3456" s="87"/>
      <c r="AM3456" s="87"/>
      <c r="AN3456" s="87"/>
      <c r="AO3456" s="87"/>
      <c r="AP3456" s="87"/>
      <c r="AQ3456" s="87" t="s">
        <v>17808</v>
      </c>
      <c r="AR3456" s="87">
        <v>58733</v>
      </c>
      <c r="AS3456" s="87"/>
      <c r="AT3456" s="87"/>
      <c r="AU3456" s="87"/>
      <c r="AV3456" s="92" t="str">
        <f>HYPERLINK("https://pbs.twimg.com/ext_tw_video_thumb/1676596497683476481/pu/img/w7NxxwPpSvilJF8i.jpg")</f>
        <v>https://pbs.twimg.com/ext_tw_video_thumb/1676596497683476481/pu/img/w7NxxwPpSvilJF8i.jpg</v>
      </c>
      <c r="AW3456" s="93" t="s">
        <v>21583</v>
      </c>
      <c r="AX3456" s="93" t="s">
        <v>21583</v>
      </c>
      <c r="AY3456" s="87"/>
      <c r="AZ3456" s="93" t="s">
        <v>22668</v>
      </c>
      <c r="BA3456" s="93" t="s">
        <v>22668</v>
      </c>
      <c r="BB3456" s="93" t="s">
        <v>22668</v>
      </c>
      <c r="BC3456" s="93" t="s">
        <v>21583</v>
      </c>
      <c r="BD3456" s="93" t="s">
        <v>23413</v>
      </c>
      <c r="BE3456" s="87"/>
      <c r="BF3456" s="87"/>
      <c r="BG3456" s="87"/>
      <c r="BH3456" s="87"/>
      <c r="BI3456" s="87"/>
    </row>
    <row r="3457" spans="1:61" x14ac:dyDescent="0.25">
      <c r="A3457" s="63" t="s">
        <v>1299</v>
      </c>
      <c r="B3457" s="63" t="s">
        <v>1299</v>
      </c>
      <c r="C3457" s="64"/>
      <c r="D3457" s="65"/>
      <c r="E3457" s="66"/>
      <c r="F3457" s="67"/>
      <c r="G3457" s="64"/>
      <c r="H3457" s="68"/>
      <c r="I3457" s="69"/>
      <c r="J3457" s="69"/>
      <c r="K3457" s="32"/>
      <c r="L3457" s="76">
        <v>3457</v>
      </c>
      <c r="M3457" s="76"/>
      <c r="N3457" s="71"/>
      <c r="O3457" s="87" t="s">
        <v>179</v>
      </c>
      <c r="P3457" s="90">
        <v>45170.779074074075</v>
      </c>
      <c r="Q3457" s="87" t="s">
        <v>5132</v>
      </c>
      <c r="R3457" s="87">
        <v>0</v>
      </c>
      <c r="S3457" s="87">
        <v>0</v>
      </c>
      <c r="T3457" s="87">
        <v>0</v>
      </c>
      <c r="U3457" s="87">
        <v>0</v>
      </c>
      <c r="V3457" s="87">
        <v>27</v>
      </c>
      <c r="W3457" s="93" t="s">
        <v>7859</v>
      </c>
      <c r="X3457" s="92" t="str">
        <f>HYPERLINK("https://canaltech.com.br/internet/site-da-receita-fica-fora-do-ar-e-impede-meis-de-emitirem-nfse-261865/")</f>
        <v>https://canaltech.com.br/internet/site-da-receita-fica-fora-do-ar-e-impede-meis-de-emitirem-nfse-261865/</v>
      </c>
      <c r="Y3457" s="87" t="s">
        <v>8373</v>
      </c>
      <c r="Z3457" s="87"/>
      <c r="AA3457" s="87" t="s">
        <v>10997</v>
      </c>
      <c r="AB3457" s="87" t="s">
        <v>11448</v>
      </c>
      <c r="AC3457" s="93" t="s">
        <v>11457</v>
      </c>
      <c r="AD3457" s="87" t="s">
        <v>11519</v>
      </c>
      <c r="AE3457" s="92" t="str">
        <f>HYPERLINK("https://twitter.com/criardigital/status/1697681191409684918")</f>
        <v>https://twitter.com/criardigital/status/1697681191409684918</v>
      </c>
      <c r="AF3457" s="90">
        <v>45170.779074074075</v>
      </c>
      <c r="AG3457" s="99">
        <v>45170</v>
      </c>
      <c r="AH3457" s="93" t="s">
        <v>14590</v>
      </c>
      <c r="AI3457" s="87" t="b">
        <v>0</v>
      </c>
      <c r="AJ3457" s="87"/>
      <c r="AK3457" s="87"/>
      <c r="AL3457" s="87"/>
      <c r="AM3457" s="87"/>
      <c r="AN3457" s="87"/>
      <c r="AO3457" s="87"/>
      <c r="AP3457" s="87"/>
      <c r="AQ3457" s="87" t="s">
        <v>17809</v>
      </c>
      <c r="AR3457" s="87"/>
      <c r="AS3457" s="87"/>
      <c r="AT3457" s="87"/>
      <c r="AU3457" s="87"/>
      <c r="AV3457" s="92" t="str">
        <f>HYPERLINK("https://pbs.twimg.com/media/F49fwMqWgAABfzf.png")</f>
        <v>https://pbs.twimg.com/media/F49fwMqWgAABfzf.png</v>
      </c>
      <c r="AW3457" s="93" t="s">
        <v>21584</v>
      </c>
      <c r="AX3457" s="93" t="s">
        <v>21584</v>
      </c>
      <c r="AY3457" s="87"/>
      <c r="AZ3457" s="93" t="s">
        <v>22668</v>
      </c>
      <c r="BA3457" s="93" t="s">
        <v>22668</v>
      </c>
      <c r="BB3457" s="93" t="s">
        <v>22668</v>
      </c>
      <c r="BC3457" s="93" t="s">
        <v>21584</v>
      </c>
      <c r="BD3457" s="87">
        <v>84320725</v>
      </c>
      <c r="BE3457" s="87"/>
      <c r="BF3457" s="87"/>
      <c r="BG3457" s="87"/>
      <c r="BH3457" s="87"/>
      <c r="BI3457" s="87"/>
    </row>
    <row r="3458" spans="1:61" x14ac:dyDescent="0.25">
      <c r="A3458" s="63" t="s">
        <v>1300</v>
      </c>
      <c r="B3458" s="63" t="s">
        <v>1300</v>
      </c>
      <c r="C3458" s="64"/>
      <c r="D3458" s="65"/>
      <c r="E3458" s="66"/>
      <c r="F3458" s="67"/>
      <c r="G3458" s="64"/>
      <c r="H3458" s="68"/>
      <c r="I3458" s="69"/>
      <c r="J3458" s="69"/>
      <c r="K3458" s="32"/>
      <c r="L3458" s="76">
        <v>3458</v>
      </c>
      <c r="M3458" s="76"/>
      <c r="N3458" s="71"/>
      <c r="O3458" s="87" t="s">
        <v>179</v>
      </c>
      <c r="P3458" s="90">
        <v>45122.103622685187</v>
      </c>
      <c r="Q3458" s="87" t="s">
        <v>5133</v>
      </c>
      <c r="R3458" s="87">
        <v>0</v>
      </c>
      <c r="S3458" s="87">
        <v>0</v>
      </c>
      <c r="T3458" s="87">
        <v>0</v>
      </c>
      <c r="U3458" s="87">
        <v>0</v>
      </c>
      <c r="V3458" s="87">
        <v>12</v>
      </c>
      <c r="W3458" s="93" t="s">
        <v>7860</v>
      </c>
      <c r="X3458" s="87" t="s">
        <v>8361</v>
      </c>
      <c r="Y3458" s="87" t="s">
        <v>8525</v>
      </c>
      <c r="Z3458" s="87"/>
      <c r="AA3458" s="87" t="s">
        <v>10998</v>
      </c>
      <c r="AB3458" s="87" t="s">
        <v>11448</v>
      </c>
      <c r="AC3458" s="93" t="s">
        <v>11459</v>
      </c>
      <c r="AD3458" s="87" t="s">
        <v>11519</v>
      </c>
      <c r="AE3458" s="92" t="str">
        <f>HYPERLINK("https://twitter.com/elivretek/status/1680041799501398018")</f>
        <v>https://twitter.com/elivretek/status/1680041799501398018</v>
      </c>
      <c r="AF3458" s="90">
        <v>45122.103622685187</v>
      </c>
      <c r="AG3458" s="99">
        <v>45122</v>
      </c>
      <c r="AH3458" s="93" t="s">
        <v>14591</v>
      </c>
      <c r="AI3458" s="87" t="b">
        <v>0</v>
      </c>
      <c r="AJ3458" s="87"/>
      <c r="AK3458" s="87"/>
      <c r="AL3458" s="87"/>
      <c r="AM3458" s="87"/>
      <c r="AN3458" s="87"/>
      <c r="AO3458" s="87"/>
      <c r="AP3458" s="87"/>
      <c r="AQ3458" s="87" t="s">
        <v>17810</v>
      </c>
      <c r="AR3458" s="87"/>
      <c r="AS3458" s="87"/>
      <c r="AT3458" s="87"/>
      <c r="AU3458" s="87"/>
      <c r="AV3458" s="92" t="str">
        <f>HYPERLINK("https://pbs.twimg.com/media/F1C1HP7X0AEILyh.jpg")</f>
        <v>https://pbs.twimg.com/media/F1C1HP7X0AEILyh.jpg</v>
      </c>
      <c r="AW3458" s="93" t="s">
        <v>21585</v>
      </c>
      <c r="AX3458" s="93" t="s">
        <v>21585</v>
      </c>
      <c r="AY3458" s="87"/>
      <c r="AZ3458" s="93" t="s">
        <v>22668</v>
      </c>
      <c r="BA3458" s="93" t="s">
        <v>22668</v>
      </c>
      <c r="BB3458" s="93" t="s">
        <v>22668</v>
      </c>
      <c r="BC3458" s="93" t="s">
        <v>21585</v>
      </c>
      <c r="BD3458" s="93" t="s">
        <v>23414</v>
      </c>
      <c r="BE3458" s="87"/>
      <c r="BF3458" s="87"/>
      <c r="BG3458" s="87"/>
      <c r="BH3458" s="87"/>
      <c r="BI3458" s="87"/>
    </row>
    <row r="3459" spans="1:61" x14ac:dyDescent="0.25">
      <c r="A3459" s="63" t="s">
        <v>1301</v>
      </c>
      <c r="B3459" s="63" t="s">
        <v>1301</v>
      </c>
      <c r="C3459" s="64"/>
      <c r="D3459" s="65"/>
      <c r="E3459" s="66"/>
      <c r="F3459" s="67"/>
      <c r="G3459" s="64"/>
      <c r="H3459" s="68"/>
      <c r="I3459" s="69"/>
      <c r="J3459" s="69"/>
      <c r="K3459" s="32"/>
      <c r="L3459" s="76">
        <v>3459</v>
      </c>
      <c r="M3459" s="76"/>
      <c r="N3459" s="71"/>
      <c r="O3459" s="87" t="s">
        <v>1840</v>
      </c>
      <c r="P3459" s="90">
        <v>45189.598483796297</v>
      </c>
      <c r="Q3459" s="87" t="s">
        <v>5134</v>
      </c>
      <c r="R3459" s="87">
        <v>0</v>
      </c>
      <c r="S3459" s="87">
        <v>0</v>
      </c>
      <c r="T3459" s="87">
        <v>0</v>
      </c>
      <c r="U3459" s="87">
        <v>0</v>
      </c>
      <c r="V3459" s="87">
        <v>14</v>
      </c>
      <c r="W3459" s="93" t="s">
        <v>5897</v>
      </c>
      <c r="X3459" s="87"/>
      <c r="Y3459" s="87"/>
      <c r="Z3459" s="87"/>
      <c r="AA3459" s="87"/>
      <c r="AB3459" s="87"/>
      <c r="AC3459" s="93" t="s">
        <v>11458</v>
      </c>
      <c r="AD3459" s="87" t="s">
        <v>11519</v>
      </c>
      <c r="AE3459" s="92" t="str">
        <f>HYPERLINK("https://twitter.com/hugosilveirab/status/1704501118821159392")</f>
        <v>https://twitter.com/hugosilveirab/status/1704501118821159392</v>
      </c>
      <c r="AF3459" s="90">
        <v>45189.598483796297</v>
      </c>
      <c r="AG3459" s="99">
        <v>45189</v>
      </c>
      <c r="AH3459" s="93" t="s">
        <v>14592</v>
      </c>
      <c r="AI3459" s="87"/>
      <c r="AJ3459" s="87"/>
      <c r="AK3459" s="87"/>
      <c r="AL3459" s="87"/>
      <c r="AM3459" s="87"/>
      <c r="AN3459" s="87"/>
      <c r="AO3459" s="87"/>
      <c r="AP3459" s="87"/>
      <c r="AQ3459" s="87"/>
      <c r="AR3459" s="87"/>
      <c r="AS3459" s="87"/>
      <c r="AT3459" s="87"/>
      <c r="AU3459" s="87"/>
      <c r="AV3459" s="92" t="str">
        <f>HYPERLINK("https://pbs.twimg.com/profile_images/1519473770733490176/pJmeT6tp_normal.jpg")</f>
        <v>https://pbs.twimg.com/profile_images/1519473770733490176/pJmeT6tp_normal.jpg</v>
      </c>
      <c r="AW3459" s="93" t="s">
        <v>21586</v>
      </c>
      <c r="AX3459" s="93" t="s">
        <v>22464</v>
      </c>
      <c r="AY3459" s="93" t="s">
        <v>22631</v>
      </c>
      <c r="AZ3459" s="93" t="s">
        <v>22756</v>
      </c>
      <c r="BA3459" s="93" t="s">
        <v>22668</v>
      </c>
      <c r="BB3459" s="93" t="s">
        <v>22668</v>
      </c>
      <c r="BC3459" s="93" t="s">
        <v>22756</v>
      </c>
      <c r="BD3459" s="93" t="s">
        <v>22631</v>
      </c>
      <c r="BE3459" s="87"/>
      <c r="BF3459" s="87"/>
      <c r="BG3459" s="87"/>
      <c r="BH3459" s="87"/>
      <c r="BI3459" s="87"/>
    </row>
    <row r="3460" spans="1:61" x14ac:dyDescent="0.25">
      <c r="A3460" s="63" t="s">
        <v>1302</v>
      </c>
      <c r="B3460" s="63" t="s">
        <v>1302</v>
      </c>
      <c r="C3460" s="64"/>
      <c r="D3460" s="65"/>
      <c r="E3460" s="66"/>
      <c r="F3460" s="67"/>
      <c r="G3460" s="64"/>
      <c r="H3460" s="68"/>
      <c r="I3460" s="69"/>
      <c r="J3460" s="69"/>
      <c r="K3460" s="32"/>
      <c r="L3460" s="76">
        <v>3460</v>
      </c>
      <c r="M3460" s="76"/>
      <c r="N3460" s="71"/>
      <c r="O3460" s="87" t="s">
        <v>1840</v>
      </c>
      <c r="P3460" s="90">
        <v>45149.795601851853</v>
      </c>
      <c r="Q3460" s="87" t="s">
        <v>5135</v>
      </c>
      <c r="R3460" s="87">
        <v>0</v>
      </c>
      <c r="S3460" s="87">
        <v>0</v>
      </c>
      <c r="T3460" s="87">
        <v>0</v>
      </c>
      <c r="U3460" s="87">
        <v>0</v>
      </c>
      <c r="V3460" s="87">
        <v>3</v>
      </c>
      <c r="W3460" s="93" t="s">
        <v>7861</v>
      </c>
      <c r="X3460" s="87"/>
      <c r="Y3460" s="87"/>
      <c r="Z3460" s="87"/>
      <c r="AA3460" s="87"/>
      <c r="AB3460" s="87"/>
      <c r="AC3460" s="93" t="s">
        <v>11457</v>
      </c>
      <c r="AD3460" s="87" t="s">
        <v>11524</v>
      </c>
      <c r="AE3460" s="92" t="str">
        <f>HYPERLINK("https://twitter.com/bozappfood/status/1690077036994351104")</f>
        <v>https://twitter.com/bozappfood/status/1690077036994351104</v>
      </c>
      <c r="AF3460" s="90">
        <v>45149.795601851853</v>
      </c>
      <c r="AG3460" s="99">
        <v>45149</v>
      </c>
      <c r="AH3460" s="93" t="s">
        <v>14593</v>
      </c>
      <c r="AI3460" s="87"/>
      <c r="AJ3460" s="87"/>
      <c r="AK3460" s="87"/>
      <c r="AL3460" s="87"/>
      <c r="AM3460" s="87"/>
      <c r="AN3460" s="87"/>
      <c r="AO3460" s="87"/>
      <c r="AP3460" s="87"/>
      <c r="AQ3460" s="87"/>
      <c r="AR3460" s="87"/>
      <c r="AS3460" s="87"/>
      <c r="AT3460" s="87"/>
      <c r="AU3460" s="87"/>
      <c r="AV3460" s="92" t="str">
        <f>HYPERLINK("https://pbs.twimg.com/profile_images/1674429814655324164/QqXOGsJU_normal.jpg")</f>
        <v>https://pbs.twimg.com/profile_images/1674429814655324164/QqXOGsJU_normal.jpg</v>
      </c>
      <c r="AW3460" s="93" t="s">
        <v>21587</v>
      </c>
      <c r="AX3460" s="93" t="s">
        <v>22465</v>
      </c>
      <c r="AY3460" s="93" t="s">
        <v>22632</v>
      </c>
      <c r="AZ3460" s="93" t="s">
        <v>22757</v>
      </c>
      <c r="BA3460" s="93" t="s">
        <v>22668</v>
      </c>
      <c r="BB3460" s="93" t="s">
        <v>22668</v>
      </c>
      <c r="BC3460" s="93" t="s">
        <v>22757</v>
      </c>
      <c r="BD3460" s="93" t="s">
        <v>22632</v>
      </c>
      <c r="BE3460" s="87"/>
      <c r="BF3460" s="87"/>
      <c r="BG3460" s="87"/>
      <c r="BH3460" s="87"/>
      <c r="BI3460" s="87"/>
    </row>
    <row r="3461" spans="1:61" x14ac:dyDescent="0.25">
      <c r="A3461" s="63" t="s">
        <v>1302</v>
      </c>
      <c r="B3461" s="63" t="s">
        <v>1302</v>
      </c>
      <c r="C3461" s="64"/>
      <c r="D3461" s="65"/>
      <c r="E3461" s="66"/>
      <c r="F3461" s="67"/>
      <c r="G3461" s="64"/>
      <c r="H3461" s="68"/>
      <c r="I3461" s="69"/>
      <c r="J3461" s="69"/>
      <c r="K3461" s="32"/>
      <c r="L3461" s="76">
        <v>3461</v>
      </c>
      <c r="M3461" s="76"/>
      <c r="N3461" s="71"/>
      <c r="O3461" s="87" t="s">
        <v>1840</v>
      </c>
      <c r="P3461" s="90">
        <v>45160.619479166664</v>
      </c>
      <c r="Q3461" s="87" t="s">
        <v>5136</v>
      </c>
      <c r="R3461" s="87">
        <v>0</v>
      </c>
      <c r="S3461" s="87">
        <v>0</v>
      </c>
      <c r="T3461" s="87">
        <v>0</v>
      </c>
      <c r="U3461" s="87">
        <v>0</v>
      </c>
      <c r="V3461" s="87">
        <v>2</v>
      </c>
      <c r="W3461" s="93" t="s">
        <v>7862</v>
      </c>
      <c r="X3461" s="87"/>
      <c r="Y3461" s="87"/>
      <c r="Z3461" s="87"/>
      <c r="AA3461" s="87"/>
      <c r="AB3461" s="87"/>
      <c r="AC3461" s="93" t="s">
        <v>11457</v>
      </c>
      <c r="AD3461" s="87" t="s">
        <v>11524</v>
      </c>
      <c r="AE3461" s="92" t="str">
        <f>HYPERLINK("https://twitter.com/bozappfood/status/1693999478565638220")</f>
        <v>https://twitter.com/bozappfood/status/1693999478565638220</v>
      </c>
      <c r="AF3461" s="90">
        <v>45160.619479166664</v>
      </c>
      <c r="AG3461" s="99">
        <v>45160</v>
      </c>
      <c r="AH3461" s="93" t="s">
        <v>14594</v>
      </c>
      <c r="AI3461" s="87"/>
      <c r="AJ3461" s="87"/>
      <c r="AK3461" s="87"/>
      <c r="AL3461" s="87"/>
      <c r="AM3461" s="87"/>
      <c r="AN3461" s="87"/>
      <c r="AO3461" s="87"/>
      <c r="AP3461" s="87"/>
      <c r="AQ3461" s="87"/>
      <c r="AR3461" s="87"/>
      <c r="AS3461" s="87"/>
      <c r="AT3461" s="87"/>
      <c r="AU3461" s="87"/>
      <c r="AV3461" s="92" t="str">
        <f>HYPERLINK("https://pbs.twimg.com/profile_images/1674429814655324164/QqXOGsJU_normal.jpg")</f>
        <v>https://pbs.twimg.com/profile_images/1674429814655324164/QqXOGsJU_normal.jpg</v>
      </c>
      <c r="AW3461" s="93" t="s">
        <v>21588</v>
      </c>
      <c r="AX3461" s="93" t="s">
        <v>22466</v>
      </c>
      <c r="AY3461" s="93" t="s">
        <v>22632</v>
      </c>
      <c r="AZ3461" s="93" t="s">
        <v>22466</v>
      </c>
      <c r="BA3461" s="93" t="s">
        <v>22668</v>
      </c>
      <c r="BB3461" s="93" t="s">
        <v>22668</v>
      </c>
      <c r="BC3461" s="93" t="s">
        <v>22466</v>
      </c>
      <c r="BD3461" s="93" t="s">
        <v>22632</v>
      </c>
      <c r="BE3461" s="87"/>
      <c r="BF3461" s="87"/>
      <c r="BG3461" s="87"/>
      <c r="BH3461" s="87"/>
      <c r="BI3461" s="87"/>
    </row>
    <row r="3462" spans="1:61" x14ac:dyDescent="0.25">
      <c r="A3462" s="63" t="s">
        <v>1303</v>
      </c>
      <c r="B3462" s="63" t="s">
        <v>1303</v>
      </c>
      <c r="C3462" s="64"/>
      <c r="D3462" s="65"/>
      <c r="E3462" s="66"/>
      <c r="F3462" s="67"/>
      <c r="G3462" s="64"/>
      <c r="H3462" s="68"/>
      <c r="I3462" s="69"/>
      <c r="J3462" s="69"/>
      <c r="K3462" s="32"/>
      <c r="L3462" s="76">
        <v>3462</v>
      </c>
      <c r="M3462" s="76"/>
      <c r="N3462" s="71"/>
      <c r="O3462" s="87" t="s">
        <v>179</v>
      </c>
      <c r="P3462" s="90">
        <v>45194.553807870368</v>
      </c>
      <c r="Q3462" s="87" t="s">
        <v>5137</v>
      </c>
      <c r="R3462" s="87">
        <v>0</v>
      </c>
      <c r="S3462" s="87">
        <v>0</v>
      </c>
      <c r="T3462" s="87">
        <v>0</v>
      </c>
      <c r="U3462" s="87">
        <v>0</v>
      </c>
      <c r="V3462" s="87">
        <v>11</v>
      </c>
      <c r="W3462" s="93" t="s">
        <v>7863</v>
      </c>
      <c r="X3462" s="87"/>
      <c r="Y3462" s="87"/>
      <c r="Z3462" s="87"/>
      <c r="AA3462" s="87" t="s">
        <v>10999</v>
      </c>
      <c r="AB3462" s="87" t="s">
        <v>11448</v>
      </c>
      <c r="AC3462" s="93" t="s">
        <v>11458</v>
      </c>
      <c r="AD3462" s="87" t="s">
        <v>11519</v>
      </c>
      <c r="AE3462" s="92" t="str">
        <f>HYPERLINK("https://twitter.com/campoli1979/status/1706296868341211272")</f>
        <v>https://twitter.com/campoli1979/status/1706296868341211272</v>
      </c>
      <c r="AF3462" s="90">
        <v>45194.553807870368</v>
      </c>
      <c r="AG3462" s="99">
        <v>45194</v>
      </c>
      <c r="AH3462" s="93" t="s">
        <v>14595</v>
      </c>
      <c r="AI3462" s="87" t="b">
        <v>0</v>
      </c>
      <c r="AJ3462" s="87"/>
      <c r="AK3462" s="87"/>
      <c r="AL3462" s="87"/>
      <c r="AM3462" s="87"/>
      <c r="AN3462" s="87"/>
      <c r="AO3462" s="87"/>
      <c r="AP3462" s="87"/>
      <c r="AQ3462" s="87" t="s">
        <v>17811</v>
      </c>
      <c r="AR3462" s="87"/>
      <c r="AS3462" s="87"/>
      <c r="AT3462" s="87"/>
      <c r="AU3462" s="87"/>
      <c r="AV3462" s="92" t="str">
        <f>HYPERLINK("https://pbs.twimg.com/media/F6379RWWcAAxF5t.jpg")</f>
        <v>https://pbs.twimg.com/media/F6379RWWcAAxF5t.jpg</v>
      </c>
      <c r="AW3462" s="93" t="s">
        <v>21589</v>
      </c>
      <c r="AX3462" s="93" t="s">
        <v>21589</v>
      </c>
      <c r="AY3462" s="87"/>
      <c r="AZ3462" s="93" t="s">
        <v>22668</v>
      </c>
      <c r="BA3462" s="93" t="s">
        <v>22668</v>
      </c>
      <c r="BB3462" s="93" t="s">
        <v>22668</v>
      </c>
      <c r="BC3462" s="93" t="s">
        <v>21589</v>
      </c>
      <c r="BD3462" s="93" t="s">
        <v>23415</v>
      </c>
      <c r="BE3462" s="87"/>
      <c r="BF3462" s="87"/>
      <c r="BG3462" s="87"/>
      <c r="BH3462" s="87"/>
      <c r="BI3462" s="87"/>
    </row>
    <row r="3463" spans="1:61" x14ac:dyDescent="0.25">
      <c r="A3463" s="63" t="s">
        <v>1304</v>
      </c>
      <c r="B3463" s="63" t="s">
        <v>1304</v>
      </c>
      <c r="C3463" s="64"/>
      <c r="D3463" s="65"/>
      <c r="E3463" s="66"/>
      <c r="F3463" s="67"/>
      <c r="G3463" s="64"/>
      <c r="H3463" s="68"/>
      <c r="I3463" s="69"/>
      <c r="J3463" s="69"/>
      <c r="K3463" s="32"/>
      <c r="L3463" s="76">
        <v>3463</v>
      </c>
      <c r="M3463" s="76"/>
      <c r="N3463" s="71"/>
      <c r="O3463" s="87" t="s">
        <v>1840</v>
      </c>
      <c r="P3463" s="90">
        <v>45195.827326388891</v>
      </c>
      <c r="Q3463" s="87" t="s">
        <v>5138</v>
      </c>
      <c r="R3463" s="87">
        <v>0</v>
      </c>
      <c r="S3463" s="87">
        <v>0</v>
      </c>
      <c r="T3463" s="87">
        <v>1</v>
      </c>
      <c r="U3463" s="87">
        <v>0</v>
      </c>
      <c r="V3463" s="87">
        <v>4</v>
      </c>
      <c r="W3463" s="93" t="s">
        <v>7864</v>
      </c>
      <c r="X3463" s="87"/>
      <c r="Y3463" s="87"/>
      <c r="Z3463" s="87"/>
      <c r="AA3463" s="87"/>
      <c r="AB3463" s="87"/>
      <c r="AC3463" s="93" t="s">
        <v>11457</v>
      </c>
      <c r="AD3463" s="87" t="s">
        <v>11519</v>
      </c>
      <c r="AE3463" s="92" t="str">
        <f>HYPERLINK("https://twitter.com/joseguilhermeft/status/1706758377777365001")</f>
        <v>https://twitter.com/joseguilhermeft/status/1706758377777365001</v>
      </c>
      <c r="AF3463" s="90">
        <v>45195.827326388891</v>
      </c>
      <c r="AG3463" s="99">
        <v>45195</v>
      </c>
      <c r="AH3463" s="93" t="s">
        <v>14596</v>
      </c>
      <c r="AI3463" s="87"/>
      <c r="AJ3463" s="87"/>
      <c r="AK3463" s="87"/>
      <c r="AL3463" s="87"/>
      <c r="AM3463" s="87"/>
      <c r="AN3463" s="87"/>
      <c r="AO3463" s="87"/>
      <c r="AP3463" s="87"/>
      <c r="AQ3463" s="87"/>
      <c r="AR3463" s="87"/>
      <c r="AS3463" s="87"/>
      <c r="AT3463" s="87"/>
      <c r="AU3463" s="87"/>
      <c r="AV3463" s="92" t="str">
        <f>HYPERLINK("https://pbs.twimg.com/profile_images/1706754884609970176/N6nHzVkC_normal.jpg")</f>
        <v>https://pbs.twimg.com/profile_images/1706754884609970176/N6nHzVkC_normal.jpg</v>
      </c>
      <c r="AW3463" s="93" t="s">
        <v>21590</v>
      </c>
      <c r="AX3463" s="93" t="s">
        <v>22467</v>
      </c>
      <c r="AY3463" s="93" t="s">
        <v>22633</v>
      </c>
      <c r="AZ3463" s="93" t="s">
        <v>22758</v>
      </c>
      <c r="BA3463" s="93" t="s">
        <v>22668</v>
      </c>
      <c r="BB3463" s="93" t="s">
        <v>22668</v>
      </c>
      <c r="BC3463" s="93" t="s">
        <v>22758</v>
      </c>
      <c r="BD3463" s="93" t="s">
        <v>22633</v>
      </c>
      <c r="BE3463" s="87"/>
      <c r="BF3463" s="87"/>
      <c r="BG3463" s="87"/>
      <c r="BH3463" s="87"/>
      <c r="BI3463" s="87"/>
    </row>
    <row r="3464" spans="1:61" x14ac:dyDescent="0.25">
      <c r="A3464" s="63" t="s">
        <v>1304</v>
      </c>
      <c r="B3464" s="63" t="s">
        <v>1304</v>
      </c>
      <c r="C3464" s="64"/>
      <c r="D3464" s="65"/>
      <c r="E3464" s="66"/>
      <c r="F3464" s="67"/>
      <c r="G3464" s="64"/>
      <c r="H3464" s="68"/>
      <c r="I3464" s="69"/>
      <c r="J3464" s="69"/>
      <c r="K3464" s="32"/>
      <c r="L3464" s="76">
        <v>3464</v>
      </c>
      <c r="M3464" s="76"/>
      <c r="N3464" s="71"/>
      <c r="O3464" s="87" t="s">
        <v>1840</v>
      </c>
      <c r="P3464" s="90">
        <v>45195.827291666668</v>
      </c>
      <c r="Q3464" s="87" t="s">
        <v>5139</v>
      </c>
      <c r="R3464" s="87">
        <v>0</v>
      </c>
      <c r="S3464" s="87">
        <v>0</v>
      </c>
      <c r="T3464" s="87">
        <v>1</v>
      </c>
      <c r="U3464" s="87">
        <v>0</v>
      </c>
      <c r="V3464" s="87">
        <v>5</v>
      </c>
      <c r="W3464" s="93" t="s">
        <v>6555</v>
      </c>
      <c r="X3464" s="87"/>
      <c r="Y3464" s="87"/>
      <c r="Z3464" s="87"/>
      <c r="AA3464" s="87"/>
      <c r="AB3464" s="87"/>
      <c r="AC3464" s="93" t="s">
        <v>11457</v>
      </c>
      <c r="AD3464" s="87" t="s">
        <v>11519</v>
      </c>
      <c r="AE3464" s="92" t="str">
        <f>HYPERLINK("https://twitter.com/joseguilhermeft/status/1706758361302090146")</f>
        <v>https://twitter.com/joseguilhermeft/status/1706758361302090146</v>
      </c>
      <c r="AF3464" s="90">
        <v>45195.827291666668</v>
      </c>
      <c r="AG3464" s="99">
        <v>45195</v>
      </c>
      <c r="AH3464" s="93" t="s">
        <v>14597</v>
      </c>
      <c r="AI3464" s="87"/>
      <c r="AJ3464" s="87"/>
      <c r="AK3464" s="87"/>
      <c r="AL3464" s="87"/>
      <c r="AM3464" s="87"/>
      <c r="AN3464" s="87"/>
      <c r="AO3464" s="87"/>
      <c r="AP3464" s="87"/>
      <c r="AQ3464" s="87"/>
      <c r="AR3464" s="87"/>
      <c r="AS3464" s="87"/>
      <c r="AT3464" s="87"/>
      <c r="AU3464" s="87"/>
      <c r="AV3464" s="92" t="str">
        <f>HYPERLINK("https://pbs.twimg.com/profile_images/1706754884609970176/N6nHzVkC_normal.jpg")</f>
        <v>https://pbs.twimg.com/profile_images/1706754884609970176/N6nHzVkC_normal.jpg</v>
      </c>
      <c r="AW3464" s="93" t="s">
        <v>21591</v>
      </c>
      <c r="AX3464" s="93" t="s">
        <v>22467</v>
      </c>
      <c r="AY3464" s="93" t="s">
        <v>22633</v>
      </c>
      <c r="AZ3464" s="93" t="s">
        <v>22759</v>
      </c>
      <c r="BA3464" s="93" t="s">
        <v>22668</v>
      </c>
      <c r="BB3464" s="93" t="s">
        <v>22668</v>
      </c>
      <c r="BC3464" s="93" t="s">
        <v>22759</v>
      </c>
      <c r="BD3464" s="93" t="s">
        <v>22633</v>
      </c>
      <c r="BE3464" s="87"/>
      <c r="BF3464" s="87"/>
      <c r="BG3464" s="87"/>
      <c r="BH3464" s="87"/>
      <c r="BI3464" s="87"/>
    </row>
    <row r="3465" spans="1:61" x14ac:dyDescent="0.25">
      <c r="A3465" s="63" t="s">
        <v>1305</v>
      </c>
      <c r="B3465" s="63" t="s">
        <v>1305</v>
      </c>
      <c r="C3465" s="64"/>
      <c r="D3465" s="65"/>
      <c r="E3465" s="66"/>
      <c r="F3465" s="67"/>
      <c r="G3465" s="64"/>
      <c r="H3465" s="68"/>
      <c r="I3465" s="69"/>
      <c r="J3465" s="69"/>
      <c r="K3465" s="32"/>
      <c r="L3465" s="76">
        <v>3465</v>
      </c>
      <c r="M3465" s="76"/>
      <c r="N3465" s="71"/>
      <c r="O3465" s="87" t="s">
        <v>179</v>
      </c>
      <c r="P3465" s="90">
        <v>45171.614074074074</v>
      </c>
      <c r="Q3465" s="87" t="s">
        <v>5140</v>
      </c>
      <c r="R3465" s="87">
        <v>0</v>
      </c>
      <c r="S3465" s="87">
        <v>0</v>
      </c>
      <c r="T3465" s="87">
        <v>0</v>
      </c>
      <c r="U3465" s="87">
        <v>0</v>
      </c>
      <c r="V3465" s="87">
        <v>18</v>
      </c>
      <c r="W3465" s="93" t="s">
        <v>7865</v>
      </c>
      <c r="X3465" s="87"/>
      <c r="Y3465" s="87"/>
      <c r="Z3465" s="87"/>
      <c r="AA3465" s="87" t="s">
        <v>11000</v>
      </c>
      <c r="AB3465" s="87" t="s">
        <v>11448</v>
      </c>
      <c r="AC3465" s="93" t="s">
        <v>11457</v>
      </c>
      <c r="AD3465" s="87" t="s">
        <v>11519</v>
      </c>
      <c r="AE3465" s="92" t="str">
        <f>HYPERLINK("https://twitter.com/mktcomsucesso/status/1697983786288349276")</f>
        <v>https://twitter.com/mktcomsucesso/status/1697983786288349276</v>
      </c>
      <c r="AF3465" s="90">
        <v>45171.614074074074</v>
      </c>
      <c r="AG3465" s="99">
        <v>45171</v>
      </c>
      <c r="AH3465" s="93" t="s">
        <v>14598</v>
      </c>
      <c r="AI3465" s="87" t="b">
        <v>0</v>
      </c>
      <c r="AJ3465" s="87"/>
      <c r="AK3465" s="87"/>
      <c r="AL3465" s="87"/>
      <c r="AM3465" s="87"/>
      <c r="AN3465" s="87"/>
      <c r="AO3465" s="87"/>
      <c r="AP3465" s="87"/>
      <c r="AQ3465" s="87" t="s">
        <v>17812</v>
      </c>
      <c r="AR3465" s="87"/>
      <c r="AS3465" s="87"/>
      <c r="AT3465" s="87"/>
      <c r="AU3465" s="87"/>
      <c r="AV3465" s="92" t="str">
        <f>HYPERLINK("https://pbs.twimg.com/media/F5BzLHrXYAEyXJB.jpg")</f>
        <v>https://pbs.twimg.com/media/F5BzLHrXYAEyXJB.jpg</v>
      </c>
      <c r="AW3465" s="93" t="s">
        <v>21592</v>
      </c>
      <c r="AX3465" s="93" t="s">
        <v>21592</v>
      </c>
      <c r="AY3465" s="87"/>
      <c r="AZ3465" s="93" t="s">
        <v>22668</v>
      </c>
      <c r="BA3465" s="93" t="s">
        <v>22668</v>
      </c>
      <c r="BB3465" s="93" t="s">
        <v>22668</v>
      </c>
      <c r="BC3465" s="93" t="s">
        <v>21592</v>
      </c>
      <c r="BD3465" s="93" t="s">
        <v>23416</v>
      </c>
      <c r="BE3465" s="87"/>
      <c r="BF3465" s="87"/>
      <c r="BG3465" s="87"/>
      <c r="BH3465" s="87"/>
      <c r="BI3465" s="87"/>
    </row>
    <row r="3466" spans="1:61" x14ac:dyDescent="0.25">
      <c r="A3466" s="63" t="s">
        <v>1306</v>
      </c>
      <c r="B3466" s="63" t="s">
        <v>1306</v>
      </c>
      <c r="C3466" s="64"/>
      <c r="D3466" s="65"/>
      <c r="E3466" s="66"/>
      <c r="F3466" s="67"/>
      <c r="G3466" s="64"/>
      <c r="H3466" s="68"/>
      <c r="I3466" s="69"/>
      <c r="J3466" s="69"/>
      <c r="K3466" s="32"/>
      <c r="L3466" s="76">
        <v>3466</v>
      </c>
      <c r="M3466" s="76"/>
      <c r="N3466" s="71"/>
      <c r="O3466" s="87" t="s">
        <v>179</v>
      </c>
      <c r="P3466" s="90">
        <v>45169.575370370374</v>
      </c>
      <c r="Q3466" s="87" t="s">
        <v>5141</v>
      </c>
      <c r="R3466" s="87">
        <v>0</v>
      </c>
      <c r="S3466" s="87">
        <v>0</v>
      </c>
      <c r="T3466" s="87">
        <v>0</v>
      </c>
      <c r="U3466" s="87">
        <v>0</v>
      </c>
      <c r="V3466" s="87">
        <v>46</v>
      </c>
      <c r="W3466" s="93" t="s">
        <v>7866</v>
      </c>
      <c r="X3466" s="92" t="str">
        <f>HYPERLINK("http://biblioteca.cofen.gov.br/empreendedorismo-pos-graduacao-enfermagem-tendencias-significados/")</f>
        <v>http://biblioteca.cofen.gov.br/empreendedorismo-pos-graduacao-enfermagem-tendencias-significados/</v>
      </c>
      <c r="Y3466" s="87" t="s">
        <v>8392</v>
      </c>
      <c r="Z3466" s="87"/>
      <c r="AA3466" s="87"/>
      <c r="AB3466" s="87"/>
      <c r="AC3466" s="93" t="s">
        <v>11457</v>
      </c>
      <c r="AD3466" s="87" t="s">
        <v>11519</v>
      </c>
      <c r="AE3466" s="92" t="str">
        <f>HYPERLINK("https://twitter.com/bvenf/status/1697244983592644857")</f>
        <v>https://twitter.com/bvenf/status/1697244983592644857</v>
      </c>
      <c r="AF3466" s="90">
        <v>45169.575370370374</v>
      </c>
      <c r="AG3466" s="99">
        <v>45169</v>
      </c>
      <c r="AH3466" s="93" t="s">
        <v>14599</v>
      </c>
      <c r="AI3466" s="87" t="b">
        <v>0</v>
      </c>
      <c r="AJ3466" s="87"/>
      <c r="AK3466" s="87"/>
      <c r="AL3466" s="87"/>
      <c r="AM3466" s="87"/>
      <c r="AN3466" s="87"/>
      <c r="AO3466" s="87"/>
      <c r="AP3466" s="87"/>
      <c r="AQ3466" s="87"/>
      <c r="AR3466" s="87"/>
      <c r="AS3466" s="87"/>
      <c r="AT3466" s="87"/>
      <c r="AU3466" s="87"/>
      <c r="AV3466" s="92" t="str">
        <f>HYPERLINK("https://pbs.twimg.com/profile_images/1022117259794427905/Gqnpowfq_normal.jpg")</f>
        <v>https://pbs.twimg.com/profile_images/1022117259794427905/Gqnpowfq_normal.jpg</v>
      </c>
      <c r="AW3466" s="93" t="s">
        <v>21593</v>
      </c>
      <c r="AX3466" s="93" t="s">
        <v>21593</v>
      </c>
      <c r="AY3466" s="87"/>
      <c r="AZ3466" s="93" t="s">
        <v>22668</v>
      </c>
      <c r="BA3466" s="93" t="s">
        <v>22668</v>
      </c>
      <c r="BB3466" s="93" t="s">
        <v>22668</v>
      </c>
      <c r="BC3466" s="93" t="s">
        <v>21593</v>
      </c>
      <c r="BD3466" s="93" t="s">
        <v>23417</v>
      </c>
      <c r="BE3466" s="87"/>
      <c r="BF3466" s="87"/>
      <c r="BG3466" s="87"/>
      <c r="BH3466" s="87"/>
      <c r="BI3466" s="87"/>
    </row>
    <row r="3467" spans="1:61" x14ac:dyDescent="0.25">
      <c r="A3467" s="63" t="s">
        <v>1307</v>
      </c>
      <c r="B3467" s="63" t="s">
        <v>1307</v>
      </c>
      <c r="C3467" s="64"/>
      <c r="D3467" s="65"/>
      <c r="E3467" s="66"/>
      <c r="F3467" s="67"/>
      <c r="G3467" s="64"/>
      <c r="H3467" s="68"/>
      <c r="I3467" s="69"/>
      <c r="J3467" s="69"/>
      <c r="K3467" s="32"/>
      <c r="L3467" s="76">
        <v>3467</v>
      </c>
      <c r="M3467" s="76"/>
      <c r="N3467" s="71"/>
      <c r="O3467" s="87" t="s">
        <v>179</v>
      </c>
      <c r="P3467" s="90">
        <v>45169.885416666664</v>
      </c>
      <c r="Q3467" s="87" t="s">
        <v>5142</v>
      </c>
      <c r="R3467" s="87">
        <v>0</v>
      </c>
      <c r="S3467" s="87">
        <v>0</v>
      </c>
      <c r="T3467" s="87">
        <v>0</v>
      </c>
      <c r="U3467" s="87">
        <v>0</v>
      </c>
      <c r="V3467" s="87">
        <v>14</v>
      </c>
      <c r="W3467" s="93" t="s">
        <v>7867</v>
      </c>
      <c r="X3467" s="87"/>
      <c r="Y3467" s="87"/>
      <c r="Z3467" s="87"/>
      <c r="AA3467" s="87" t="s">
        <v>11001</v>
      </c>
      <c r="AB3467" s="87" t="s">
        <v>11447</v>
      </c>
      <c r="AC3467" s="93" t="s">
        <v>11457</v>
      </c>
      <c r="AD3467" s="87" t="s">
        <v>11519</v>
      </c>
      <c r="AE3467" s="92" t="str">
        <f>HYPERLINK("https://twitter.com/historia_md1/status/1697357341442847200")</f>
        <v>https://twitter.com/historia_md1/status/1697357341442847200</v>
      </c>
      <c r="AF3467" s="90">
        <v>45169.885416666664</v>
      </c>
      <c r="AG3467" s="99">
        <v>45169</v>
      </c>
      <c r="AH3467" s="93" t="s">
        <v>13732</v>
      </c>
      <c r="AI3467" s="87" t="b">
        <v>0</v>
      </c>
      <c r="AJ3467" s="87"/>
      <c r="AK3467" s="87"/>
      <c r="AL3467" s="87"/>
      <c r="AM3467" s="87"/>
      <c r="AN3467" s="87"/>
      <c r="AO3467" s="87"/>
      <c r="AP3467" s="87"/>
      <c r="AQ3467" s="87" t="s">
        <v>17813</v>
      </c>
      <c r="AR3467" s="87">
        <v>52919</v>
      </c>
      <c r="AS3467" s="87"/>
      <c r="AT3467" s="87"/>
      <c r="AU3467" s="87"/>
      <c r="AV3467" s="92" t="str">
        <f>HYPERLINK("https://pbs.twimg.com/ext_tw_video_thumb/1696391010887065600/pu/img/om4u5UAgANyQQ4Gq.jpg")</f>
        <v>https://pbs.twimg.com/ext_tw_video_thumb/1696391010887065600/pu/img/om4u5UAgANyQQ4Gq.jpg</v>
      </c>
      <c r="AW3467" s="93" t="s">
        <v>21594</v>
      </c>
      <c r="AX3467" s="93" t="s">
        <v>21594</v>
      </c>
      <c r="AY3467" s="87"/>
      <c r="AZ3467" s="93" t="s">
        <v>22668</v>
      </c>
      <c r="BA3467" s="93" t="s">
        <v>22668</v>
      </c>
      <c r="BB3467" s="93" t="s">
        <v>22668</v>
      </c>
      <c r="BC3467" s="93" t="s">
        <v>21594</v>
      </c>
      <c r="BD3467" s="93" t="s">
        <v>23418</v>
      </c>
      <c r="BE3467" s="87"/>
      <c r="BF3467" s="87"/>
      <c r="BG3467" s="87"/>
      <c r="BH3467" s="87"/>
      <c r="BI3467" s="87"/>
    </row>
    <row r="3468" spans="1:61" x14ac:dyDescent="0.25">
      <c r="A3468" s="63" t="s">
        <v>1307</v>
      </c>
      <c r="B3468" s="63" t="s">
        <v>1307</v>
      </c>
      <c r="C3468" s="64"/>
      <c r="D3468" s="65"/>
      <c r="E3468" s="66"/>
      <c r="F3468" s="67"/>
      <c r="G3468" s="64"/>
      <c r="H3468" s="68"/>
      <c r="I3468" s="69"/>
      <c r="J3468" s="69"/>
      <c r="K3468" s="32"/>
      <c r="L3468" s="76">
        <v>3468</v>
      </c>
      <c r="M3468" s="76"/>
      <c r="N3468" s="71"/>
      <c r="O3468" s="87" t="s">
        <v>179</v>
      </c>
      <c r="P3468" s="90">
        <v>45168.968055555553</v>
      </c>
      <c r="Q3468" s="87" t="s">
        <v>5143</v>
      </c>
      <c r="R3468" s="87">
        <v>0</v>
      </c>
      <c r="S3468" s="87">
        <v>0</v>
      </c>
      <c r="T3468" s="87">
        <v>0</v>
      </c>
      <c r="U3468" s="87">
        <v>0</v>
      </c>
      <c r="V3468" s="87">
        <v>25</v>
      </c>
      <c r="W3468" s="93" t="s">
        <v>7868</v>
      </c>
      <c r="X3468" s="87"/>
      <c r="Y3468" s="87"/>
      <c r="Z3468" s="87"/>
      <c r="AA3468" s="87" t="s">
        <v>11002</v>
      </c>
      <c r="AB3468" s="87" t="s">
        <v>11447</v>
      </c>
      <c r="AC3468" s="93" t="s">
        <v>11457</v>
      </c>
      <c r="AD3468" s="87" t="s">
        <v>11519</v>
      </c>
      <c r="AE3468" s="92" t="str">
        <f>HYPERLINK("https://twitter.com/historia_md1/status/1697024900823765342")</f>
        <v>https://twitter.com/historia_md1/status/1697024900823765342</v>
      </c>
      <c r="AF3468" s="90">
        <v>45168.968055555553</v>
      </c>
      <c r="AG3468" s="99">
        <v>45168</v>
      </c>
      <c r="AH3468" s="93" t="s">
        <v>14600</v>
      </c>
      <c r="AI3468" s="87" t="b">
        <v>0</v>
      </c>
      <c r="AJ3468" s="87"/>
      <c r="AK3468" s="87"/>
      <c r="AL3468" s="87"/>
      <c r="AM3468" s="87"/>
      <c r="AN3468" s="87"/>
      <c r="AO3468" s="87"/>
      <c r="AP3468" s="87"/>
      <c r="AQ3468" s="87" t="s">
        <v>17814</v>
      </c>
      <c r="AR3468" s="87">
        <v>41449</v>
      </c>
      <c r="AS3468" s="87"/>
      <c r="AT3468" s="87"/>
      <c r="AU3468" s="87"/>
      <c r="AV3468" s="92" t="str">
        <f>HYPERLINK("https://pbs.twimg.com/ext_tw_video_thumb/1696390739981119488/pu/img/7fb5FN9LgKTFatBr.jpg")</f>
        <v>https://pbs.twimg.com/ext_tw_video_thumb/1696390739981119488/pu/img/7fb5FN9LgKTFatBr.jpg</v>
      </c>
      <c r="AW3468" s="93" t="s">
        <v>21595</v>
      </c>
      <c r="AX3468" s="93" t="s">
        <v>21595</v>
      </c>
      <c r="AY3468" s="87"/>
      <c r="AZ3468" s="93" t="s">
        <v>22668</v>
      </c>
      <c r="BA3468" s="93" t="s">
        <v>22668</v>
      </c>
      <c r="BB3468" s="93" t="s">
        <v>22668</v>
      </c>
      <c r="BC3468" s="93" t="s">
        <v>21595</v>
      </c>
      <c r="BD3468" s="93" t="s">
        <v>23418</v>
      </c>
      <c r="BE3468" s="87"/>
      <c r="BF3468" s="87"/>
      <c r="BG3468" s="87"/>
      <c r="BH3468" s="87"/>
      <c r="BI3468" s="87"/>
    </row>
    <row r="3469" spans="1:61" x14ac:dyDescent="0.25">
      <c r="A3469" s="63" t="s">
        <v>1307</v>
      </c>
      <c r="B3469" s="63" t="s">
        <v>1307</v>
      </c>
      <c r="C3469" s="64"/>
      <c r="D3469" s="65"/>
      <c r="E3469" s="66"/>
      <c r="F3469" s="67"/>
      <c r="G3469" s="64"/>
      <c r="H3469" s="68"/>
      <c r="I3469" s="69"/>
      <c r="J3469" s="69"/>
      <c r="K3469" s="32"/>
      <c r="L3469" s="76">
        <v>3469</v>
      </c>
      <c r="M3469" s="76"/>
      <c r="N3469" s="71"/>
      <c r="O3469" s="87" t="s">
        <v>179</v>
      </c>
      <c r="P3469" s="90">
        <v>45188.744444444441</v>
      </c>
      <c r="Q3469" s="87" t="s">
        <v>5144</v>
      </c>
      <c r="R3469" s="87">
        <v>0</v>
      </c>
      <c r="S3469" s="87">
        <v>0</v>
      </c>
      <c r="T3469" s="87">
        <v>0</v>
      </c>
      <c r="U3469" s="87">
        <v>0</v>
      </c>
      <c r="V3469" s="87">
        <v>34</v>
      </c>
      <c r="W3469" s="93" t="s">
        <v>7869</v>
      </c>
      <c r="X3469" s="87"/>
      <c r="Y3469" s="87"/>
      <c r="Z3469" s="87"/>
      <c r="AA3469" s="87" t="s">
        <v>11003</v>
      </c>
      <c r="AB3469" s="87" t="s">
        <v>11447</v>
      </c>
      <c r="AC3469" s="93" t="s">
        <v>11457</v>
      </c>
      <c r="AD3469" s="87" t="s">
        <v>11519</v>
      </c>
      <c r="AE3469" s="92" t="str">
        <f>HYPERLINK("https://twitter.com/historia_md1/status/1704191624463466837")</f>
        <v>https://twitter.com/historia_md1/status/1704191624463466837</v>
      </c>
      <c r="AF3469" s="90">
        <v>45188.744444444441</v>
      </c>
      <c r="AG3469" s="99">
        <v>45188</v>
      </c>
      <c r="AH3469" s="93" t="s">
        <v>14601</v>
      </c>
      <c r="AI3469" s="87" t="b">
        <v>0</v>
      </c>
      <c r="AJ3469" s="87"/>
      <c r="AK3469" s="87"/>
      <c r="AL3469" s="87"/>
      <c r="AM3469" s="87"/>
      <c r="AN3469" s="87"/>
      <c r="AO3469" s="87"/>
      <c r="AP3469" s="87"/>
      <c r="AQ3469" s="87" t="s">
        <v>17815</v>
      </c>
      <c r="AR3469" s="87">
        <v>24730</v>
      </c>
      <c r="AS3469" s="87"/>
      <c r="AT3469" s="87"/>
      <c r="AU3469" s="87"/>
      <c r="AV3469" s="92" t="str">
        <f>HYPERLINK("https://pbs.twimg.com/ext_tw_video_thumb/1702953494406213632/pu/img/zEa1iU1qvDUogbQk.jpg")</f>
        <v>https://pbs.twimg.com/ext_tw_video_thumb/1702953494406213632/pu/img/zEa1iU1qvDUogbQk.jpg</v>
      </c>
      <c r="AW3469" s="93" t="s">
        <v>21596</v>
      </c>
      <c r="AX3469" s="93" t="s">
        <v>21596</v>
      </c>
      <c r="AY3469" s="87"/>
      <c r="AZ3469" s="93" t="s">
        <v>22668</v>
      </c>
      <c r="BA3469" s="93" t="s">
        <v>22668</v>
      </c>
      <c r="BB3469" s="93" t="s">
        <v>22668</v>
      </c>
      <c r="BC3469" s="93" t="s">
        <v>21596</v>
      </c>
      <c r="BD3469" s="93" t="s">
        <v>23418</v>
      </c>
      <c r="BE3469" s="87"/>
      <c r="BF3469" s="87"/>
      <c r="BG3469" s="87"/>
      <c r="BH3469" s="87"/>
      <c r="BI3469" s="87"/>
    </row>
    <row r="3470" spans="1:61" x14ac:dyDescent="0.25">
      <c r="A3470" s="63" t="s">
        <v>1308</v>
      </c>
      <c r="B3470" s="63" t="s">
        <v>1308</v>
      </c>
      <c r="C3470" s="64"/>
      <c r="D3470" s="65"/>
      <c r="E3470" s="66"/>
      <c r="F3470" s="67"/>
      <c r="G3470" s="64"/>
      <c r="H3470" s="68"/>
      <c r="I3470" s="69"/>
      <c r="J3470" s="69"/>
      <c r="K3470" s="32"/>
      <c r="L3470" s="76">
        <v>3470</v>
      </c>
      <c r="M3470" s="76"/>
      <c r="N3470" s="71"/>
      <c r="O3470" s="87" t="s">
        <v>179</v>
      </c>
      <c r="P3470" s="90">
        <v>45191.640925925924</v>
      </c>
      <c r="Q3470" s="87" t="s">
        <v>5145</v>
      </c>
      <c r="R3470" s="87">
        <v>0</v>
      </c>
      <c r="S3470" s="87">
        <v>0</v>
      </c>
      <c r="T3470" s="87">
        <v>0</v>
      </c>
      <c r="U3470" s="87">
        <v>0</v>
      </c>
      <c r="V3470" s="87">
        <v>8</v>
      </c>
      <c r="W3470" s="93" t="s">
        <v>7870</v>
      </c>
      <c r="X3470" s="87"/>
      <c r="Y3470" s="87"/>
      <c r="Z3470" s="87"/>
      <c r="AA3470" s="87" t="s">
        <v>11004</v>
      </c>
      <c r="AB3470" s="87" t="s">
        <v>11448</v>
      </c>
      <c r="AC3470" s="93" t="s">
        <v>11459</v>
      </c>
      <c r="AD3470" s="87" t="s">
        <v>11519</v>
      </c>
      <c r="AE3470" s="92" t="str">
        <f>HYPERLINK("https://twitter.com/thiagobudni/status/1705241274888974627")</f>
        <v>https://twitter.com/thiagobudni/status/1705241274888974627</v>
      </c>
      <c r="AF3470" s="90">
        <v>45191.640925925924</v>
      </c>
      <c r="AG3470" s="99">
        <v>45191</v>
      </c>
      <c r="AH3470" s="93" t="s">
        <v>14602</v>
      </c>
      <c r="AI3470" s="87" t="b">
        <v>0</v>
      </c>
      <c r="AJ3470" s="87" t="s">
        <v>15174</v>
      </c>
      <c r="AK3470" s="87" t="s">
        <v>15234</v>
      </c>
      <c r="AL3470" s="87" t="s">
        <v>15237</v>
      </c>
      <c r="AM3470" s="87" t="s">
        <v>15246</v>
      </c>
      <c r="AN3470" s="87" t="s">
        <v>15311</v>
      </c>
      <c r="AO3470" s="87" t="s">
        <v>15378</v>
      </c>
      <c r="AP3470" s="87" t="s">
        <v>15438</v>
      </c>
      <c r="AQ3470" s="87" t="s">
        <v>17816</v>
      </c>
      <c r="AR3470" s="87"/>
      <c r="AS3470" s="87"/>
      <c r="AT3470" s="87"/>
      <c r="AU3470" s="87"/>
      <c r="AV3470" s="92" t="str">
        <f>HYPERLINK("https://pbs.twimg.com/media/F6o75wWWAAA6QLm.jpg")</f>
        <v>https://pbs.twimg.com/media/F6o75wWWAAA6QLm.jpg</v>
      </c>
      <c r="AW3470" s="93" t="s">
        <v>21597</v>
      </c>
      <c r="AX3470" s="93" t="s">
        <v>21597</v>
      </c>
      <c r="AY3470" s="87"/>
      <c r="AZ3470" s="93" t="s">
        <v>22668</v>
      </c>
      <c r="BA3470" s="93" t="s">
        <v>22668</v>
      </c>
      <c r="BB3470" s="93" t="s">
        <v>22668</v>
      </c>
      <c r="BC3470" s="93" t="s">
        <v>21597</v>
      </c>
      <c r="BD3470" s="87">
        <v>57981116</v>
      </c>
      <c r="BE3470" s="87"/>
      <c r="BF3470" s="87"/>
      <c r="BG3470" s="87"/>
      <c r="BH3470" s="87"/>
      <c r="BI3470" s="87"/>
    </row>
    <row r="3471" spans="1:61" x14ac:dyDescent="0.25">
      <c r="A3471" s="63" t="s">
        <v>1309</v>
      </c>
      <c r="B3471" s="63" t="s">
        <v>1309</v>
      </c>
      <c r="C3471" s="64"/>
      <c r="D3471" s="65"/>
      <c r="E3471" s="66"/>
      <c r="F3471" s="67"/>
      <c r="G3471" s="64"/>
      <c r="H3471" s="68"/>
      <c r="I3471" s="69"/>
      <c r="J3471" s="69"/>
      <c r="K3471" s="32"/>
      <c r="L3471" s="76">
        <v>3471</v>
      </c>
      <c r="M3471" s="76"/>
      <c r="N3471" s="71"/>
      <c r="O3471" s="87" t="s">
        <v>179</v>
      </c>
      <c r="P3471" s="90">
        <v>45190.908402777779</v>
      </c>
      <c r="Q3471" s="87" t="s">
        <v>5146</v>
      </c>
      <c r="R3471" s="87">
        <v>0</v>
      </c>
      <c r="S3471" s="87">
        <v>0</v>
      </c>
      <c r="T3471" s="87">
        <v>0</v>
      </c>
      <c r="U3471" s="87">
        <v>0</v>
      </c>
      <c r="V3471" s="87">
        <v>4</v>
      </c>
      <c r="W3471" s="93" t="s">
        <v>5897</v>
      </c>
      <c r="X3471" s="87"/>
      <c r="Y3471" s="87"/>
      <c r="Z3471" s="87"/>
      <c r="AA3471" s="87" t="s">
        <v>11005</v>
      </c>
      <c r="AB3471" s="87" t="s">
        <v>11448</v>
      </c>
      <c r="AC3471" s="93" t="s">
        <v>11459</v>
      </c>
      <c r="AD3471" s="87" t="s">
        <v>11520</v>
      </c>
      <c r="AE3471" s="92" t="str">
        <f>HYPERLINK("https://twitter.com/faeca/status/1704975819406233758")</f>
        <v>https://twitter.com/faeca/status/1704975819406233758</v>
      </c>
      <c r="AF3471" s="90">
        <v>45190.908402777779</v>
      </c>
      <c r="AG3471" s="99">
        <v>45190</v>
      </c>
      <c r="AH3471" s="93" t="s">
        <v>14603</v>
      </c>
      <c r="AI3471" s="87" t="b">
        <v>0</v>
      </c>
      <c r="AJ3471" s="87"/>
      <c r="AK3471" s="87"/>
      <c r="AL3471" s="87"/>
      <c r="AM3471" s="87"/>
      <c r="AN3471" s="87"/>
      <c r="AO3471" s="87"/>
      <c r="AP3471" s="87"/>
      <c r="AQ3471" s="87" t="s">
        <v>17817</v>
      </c>
      <c r="AR3471" s="87"/>
      <c r="AS3471" s="87"/>
      <c r="AT3471" s="87"/>
      <c r="AU3471" s="87"/>
      <c r="AV3471" s="92" t="str">
        <f>HYPERLINK("https://pbs.twimg.com/media/F6lKePwWgAEV2ZK.jpg")</f>
        <v>https://pbs.twimg.com/media/F6lKePwWgAEV2ZK.jpg</v>
      </c>
      <c r="AW3471" s="93" t="s">
        <v>21598</v>
      </c>
      <c r="AX3471" s="93" t="s">
        <v>21598</v>
      </c>
      <c r="AY3471" s="87"/>
      <c r="AZ3471" s="93" t="s">
        <v>22668</v>
      </c>
      <c r="BA3471" s="93" t="s">
        <v>22668</v>
      </c>
      <c r="BB3471" s="93" t="s">
        <v>22668</v>
      </c>
      <c r="BC3471" s="93" t="s">
        <v>21598</v>
      </c>
      <c r="BD3471" s="87">
        <v>15434048</v>
      </c>
      <c r="BE3471" s="87"/>
      <c r="BF3471" s="87"/>
      <c r="BG3471" s="87"/>
      <c r="BH3471" s="87"/>
      <c r="BI3471" s="87"/>
    </row>
    <row r="3472" spans="1:61" x14ac:dyDescent="0.25">
      <c r="A3472" s="63" t="s">
        <v>1310</v>
      </c>
      <c r="B3472" s="63" t="s">
        <v>1310</v>
      </c>
      <c r="C3472" s="64"/>
      <c r="D3472" s="65"/>
      <c r="E3472" s="66"/>
      <c r="F3472" s="67"/>
      <c r="G3472" s="64"/>
      <c r="H3472" s="68"/>
      <c r="I3472" s="69"/>
      <c r="J3472" s="69"/>
      <c r="K3472" s="32"/>
      <c r="L3472" s="76">
        <v>3472</v>
      </c>
      <c r="M3472" s="76"/>
      <c r="N3472" s="71"/>
      <c r="O3472" s="87" t="s">
        <v>179</v>
      </c>
      <c r="P3472" s="90">
        <v>45153.416666666664</v>
      </c>
      <c r="Q3472" s="87" t="s">
        <v>5147</v>
      </c>
      <c r="R3472" s="87">
        <v>0</v>
      </c>
      <c r="S3472" s="87">
        <v>0</v>
      </c>
      <c r="T3472" s="87">
        <v>0</v>
      </c>
      <c r="U3472" s="87">
        <v>0</v>
      </c>
      <c r="V3472" s="87"/>
      <c r="W3472" s="93" t="s">
        <v>7871</v>
      </c>
      <c r="X3472" s="87"/>
      <c r="Y3472" s="87"/>
      <c r="Z3472" s="87"/>
      <c r="AA3472" s="87"/>
      <c r="AB3472" s="87"/>
      <c r="AC3472" s="93" t="s">
        <v>11457</v>
      </c>
      <c r="AD3472" s="87" t="s">
        <v>11519</v>
      </c>
      <c r="AE3472" s="92" t="str">
        <f>HYPERLINK("https://twitter.com/lumosconnectmkt/status/1691389266444865536")</f>
        <v>https://twitter.com/lumosconnectmkt/status/1691389266444865536</v>
      </c>
      <c r="AF3472" s="90">
        <v>45153.416666666664</v>
      </c>
      <c r="AG3472" s="99">
        <v>45153</v>
      </c>
      <c r="AH3472" s="93" t="s">
        <v>12369</v>
      </c>
      <c r="AI3472" s="87"/>
      <c r="AJ3472" s="87"/>
      <c r="AK3472" s="87"/>
      <c r="AL3472" s="87"/>
      <c r="AM3472" s="87"/>
      <c r="AN3472" s="87"/>
      <c r="AO3472" s="87"/>
      <c r="AP3472" s="87"/>
      <c r="AQ3472" s="87"/>
      <c r="AR3472" s="87"/>
      <c r="AS3472" s="87"/>
      <c r="AT3472" s="87"/>
      <c r="AU3472" s="87"/>
      <c r="AV3472" s="92" t="str">
        <f>HYPERLINK("https://pbs.twimg.com/profile_images/1684549521810882568/2Vd0BD7c_normal.jpg")</f>
        <v>https://pbs.twimg.com/profile_images/1684549521810882568/2Vd0BD7c_normal.jpg</v>
      </c>
      <c r="AW3472" s="93" t="s">
        <v>21599</v>
      </c>
      <c r="AX3472" s="93" t="s">
        <v>21599</v>
      </c>
      <c r="AY3472" s="87"/>
      <c r="AZ3472" s="93" t="s">
        <v>22668</v>
      </c>
      <c r="BA3472" s="93" t="s">
        <v>22668</v>
      </c>
      <c r="BB3472" s="93" t="s">
        <v>22668</v>
      </c>
      <c r="BC3472" s="93" t="s">
        <v>21599</v>
      </c>
      <c r="BD3472" s="93" t="s">
        <v>23419</v>
      </c>
      <c r="BE3472" s="87"/>
      <c r="BF3472" s="87"/>
      <c r="BG3472" s="87"/>
      <c r="BH3472" s="87"/>
      <c r="BI3472" s="87"/>
    </row>
    <row r="3473" spans="1:61" x14ac:dyDescent="0.25">
      <c r="A3473" s="63" t="s">
        <v>1311</v>
      </c>
      <c r="B3473" s="63" t="s">
        <v>1311</v>
      </c>
      <c r="C3473" s="64"/>
      <c r="D3473" s="65"/>
      <c r="E3473" s="66"/>
      <c r="F3473" s="67"/>
      <c r="G3473" s="64"/>
      <c r="H3473" s="68"/>
      <c r="I3473" s="69"/>
      <c r="J3473" s="69"/>
      <c r="K3473" s="32"/>
      <c r="L3473" s="76">
        <v>3473</v>
      </c>
      <c r="M3473" s="76"/>
      <c r="N3473" s="71"/>
      <c r="O3473" s="87" t="s">
        <v>179</v>
      </c>
      <c r="P3473" s="90">
        <v>45176.714085648149</v>
      </c>
      <c r="Q3473" s="87" t="s">
        <v>5148</v>
      </c>
      <c r="R3473" s="87">
        <v>0</v>
      </c>
      <c r="S3473" s="87">
        <v>0</v>
      </c>
      <c r="T3473" s="87">
        <v>0</v>
      </c>
      <c r="U3473" s="87">
        <v>0</v>
      </c>
      <c r="V3473" s="87">
        <v>10</v>
      </c>
      <c r="W3473" s="93" t="s">
        <v>7872</v>
      </c>
      <c r="X3473" s="87"/>
      <c r="Y3473" s="87"/>
      <c r="Z3473" s="87"/>
      <c r="AA3473" s="87" t="s">
        <v>11006</v>
      </c>
      <c r="AB3473" s="87" t="s">
        <v>11450</v>
      </c>
      <c r="AC3473" s="93" t="s">
        <v>11459</v>
      </c>
      <c r="AD3473" s="87" t="s">
        <v>11519</v>
      </c>
      <c r="AE3473" s="92" t="str">
        <f>HYPERLINK("https://twitter.com/crfaugustoo/status/1699831968672935979")</f>
        <v>https://twitter.com/crfaugustoo/status/1699831968672935979</v>
      </c>
      <c r="AF3473" s="90">
        <v>45176.714085648149</v>
      </c>
      <c r="AG3473" s="99">
        <v>45176</v>
      </c>
      <c r="AH3473" s="93" t="s">
        <v>14604</v>
      </c>
      <c r="AI3473" s="87" t="b">
        <v>0</v>
      </c>
      <c r="AJ3473" s="87"/>
      <c r="AK3473" s="87"/>
      <c r="AL3473" s="87"/>
      <c r="AM3473" s="87"/>
      <c r="AN3473" s="87"/>
      <c r="AO3473" s="87"/>
      <c r="AP3473" s="87"/>
      <c r="AQ3473" s="87" t="s">
        <v>17818</v>
      </c>
      <c r="AR3473" s="87"/>
      <c r="AS3473" s="87"/>
      <c r="AT3473" s="87"/>
      <c r="AU3473" s="87"/>
      <c r="AV3473" s="92" t="str">
        <f>HYPERLINK("https://pbs.twimg.com/media/F5cEKIwXsAA415S.jpg")</f>
        <v>https://pbs.twimg.com/media/F5cEKIwXsAA415S.jpg</v>
      </c>
      <c r="AW3473" s="93" t="s">
        <v>21600</v>
      </c>
      <c r="AX3473" s="93" t="s">
        <v>21600</v>
      </c>
      <c r="AY3473" s="87"/>
      <c r="AZ3473" s="93" t="s">
        <v>22668</v>
      </c>
      <c r="BA3473" s="93" t="s">
        <v>22668</v>
      </c>
      <c r="BB3473" s="93" t="s">
        <v>22668</v>
      </c>
      <c r="BC3473" s="93" t="s">
        <v>21600</v>
      </c>
      <c r="BD3473" s="93" t="s">
        <v>23420</v>
      </c>
      <c r="BE3473" s="87"/>
      <c r="BF3473" s="87"/>
      <c r="BG3473" s="87"/>
      <c r="BH3473" s="87"/>
      <c r="BI3473" s="87"/>
    </row>
    <row r="3474" spans="1:61" x14ac:dyDescent="0.25">
      <c r="A3474" s="63" t="s">
        <v>1311</v>
      </c>
      <c r="B3474" s="63" t="s">
        <v>1311</v>
      </c>
      <c r="C3474" s="64"/>
      <c r="D3474" s="65"/>
      <c r="E3474" s="66"/>
      <c r="F3474" s="67"/>
      <c r="G3474" s="64"/>
      <c r="H3474" s="68"/>
      <c r="I3474" s="69"/>
      <c r="J3474" s="69"/>
      <c r="K3474" s="32"/>
      <c r="L3474" s="76">
        <v>3474</v>
      </c>
      <c r="M3474" s="76"/>
      <c r="N3474" s="71"/>
      <c r="O3474" s="87" t="s">
        <v>179</v>
      </c>
      <c r="P3474" s="90">
        <v>45179.6875462963</v>
      </c>
      <c r="Q3474" s="87" t="s">
        <v>5149</v>
      </c>
      <c r="R3474" s="87">
        <v>0</v>
      </c>
      <c r="S3474" s="87">
        <v>0</v>
      </c>
      <c r="T3474" s="87">
        <v>0</v>
      </c>
      <c r="U3474" s="87">
        <v>0</v>
      </c>
      <c r="V3474" s="87">
        <v>4</v>
      </c>
      <c r="W3474" s="93" t="s">
        <v>7873</v>
      </c>
      <c r="X3474" s="87"/>
      <c r="Y3474" s="87"/>
      <c r="Z3474" s="87"/>
      <c r="AA3474" s="87" t="s">
        <v>11007</v>
      </c>
      <c r="AB3474" s="87" t="s">
        <v>11451</v>
      </c>
      <c r="AC3474" s="93" t="s">
        <v>11459</v>
      </c>
      <c r="AD3474" s="87" t="s">
        <v>11519</v>
      </c>
      <c r="AE3474" s="92" t="str">
        <f>HYPERLINK("https://twitter.com/crfaugustoo/status/1700909516043301073")</f>
        <v>https://twitter.com/crfaugustoo/status/1700909516043301073</v>
      </c>
      <c r="AF3474" s="90">
        <v>45179.6875462963</v>
      </c>
      <c r="AG3474" s="99">
        <v>45179</v>
      </c>
      <c r="AH3474" s="93" t="s">
        <v>14605</v>
      </c>
      <c r="AI3474" s="87" t="b">
        <v>0</v>
      </c>
      <c r="AJ3474" s="87"/>
      <c r="AK3474" s="87"/>
      <c r="AL3474" s="87"/>
      <c r="AM3474" s="87"/>
      <c r="AN3474" s="87"/>
      <c r="AO3474" s="87"/>
      <c r="AP3474" s="87"/>
      <c r="AQ3474" s="87" t="s">
        <v>17819</v>
      </c>
      <c r="AR3474" s="87"/>
      <c r="AS3474" s="87"/>
      <c r="AT3474" s="87"/>
      <c r="AU3474" s="87"/>
      <c r="AV3474" s="92" t="str">
        <f>HYPERLINK("https://pbs.twimg.com/media/F5rYL0_WEAA-fAY.jpg")</f>
        <v>https://pbs.twimg.com/media/F5rYL0_WEAA-fAY.jpg</v>
      </c>
      <c r="AW3474" s="93" t="s">
        <v>21601</v>
      </c>
      <c r="AX3474" s="93" t="s">
        <v>21601</v>
      </c>
      <c r="AY3474" s="87"/>
      <c r="AZ3474" s="93" t="s">
        <v>22668</v>
      </c>
      <c r="BA3474" s="93" t="s">
        <v>22668</v>
      </c>
      <c r="BB3474" s="93" t="s">
        <v>22668</v>
      </c>
      <c r="BC3474" s="93" t="s">
        <v>21601</v>
      </c>
      <c r="BD3474" s="93" t="s">
        <v>23420</v>
      </c>
      <c r="BE3474" s="87"/>
      <c r="BF3474" s="87"/>
      <c r="BG3474" s="87"/>
      <c r="BH3474" s="87"/>
      <c r="BI3474" s="87"/>
    </row>
    <row r="3475" spans="1:61" x14ac:dyDescent="0.25">
      <c r="A3475" s="63" t="s">
        <v>1312</v>
      </c>
      <c r="B3475" s="63" t="s">
        <v>1312</v>
      </c>
      <c r="C3475" s="64"/>
      <c r="D3475" s="65"/>
      <c r="E3475" s="66"/>
      <c r="F3475" s="67"/>
      <c r="G3475" s="64"/>
      <c r="H3475" s="68"/>
      <c r="I3475" s="69"/>
      <c r="J3475" s="69"/>
      <c r="K3475" s="32"/>
      <c r="L3475" s="76">
        <v>3475</v>
      </c>
      <c r="M3475" s="76"/>
      <c r="N3475" s="71"/>
      <c r="O3475" s="87" t="s">
        <v>179</v>
      </c>
      <c r="P3475" s="90">
        <v>45143.950740740744</v>
      </c>
      <c r="Q3475" s="87" t="s">
        <v>5150</v>
      </c>
      <c r="R3475" s="87">
        <v>0</v>
      </c>
      <c r="S3475" s="87">
        <v>1</v>
      </c>
      <c r="T3475" s="87">
        <v>0</v>
      </c>
      <c r="U3475" s="87">
        <v>0</v>
      </c>
      <c r="V3475" s="87">
        <v>93</v>
      </c>
      <c r="W3475" s="93" t="s">
        <v>7874</v>
      </c>
      <c r="X3475" s="92" t="str">
        <f>HYPERLINK("https://ysenseblog.blogspot.com/2023/07/encuestas-pagadas-ecuador.html")</f>
        <v>https://ysenseblog.blogspot.com/2023/07/encuestas-pagadas-ecuador.html</v>
      </c>
      <c r="Y3475" s="87" t="s">
        <v>8394</v>
      </c>
      <c r="Z3475" s="87"/>
      <c r="AA3475" s="87" t="s">
        <v>11008</v>
      </c>
      <c r="AB3475" s="87" t="s">
        <v>11448</v>
      </c>
      <c r="AC3475" s="93" t="s">
        <v>11457</v>
      </c>
      <c r="AD3475" s="87" t="s">
        <v>11523</v>
      </c>
      <c r="AE3475" s="92" t="str">
        <f>HYPERLINK("https://twitter.com/ysenselaguna/status/1687958932483174400")</f>
        <v>https://twitter.com/ysenselaguna/status/1687958932483174400</v>
      </c>
      <c r="AF3475" s="90">
        <v>45143.950740740744</v>
      </c>
      <c r="AG3475" s="99">
        <v>45143</v>
      </c>
      <c r="AH3475" s="93" t="s">
        <v>14606</v>
      </c>
      <c r="AI3475" s="87" t="b">
        <v>0</v>
      </c>
      <c r="AJ3475" s="87"/>
      <c r="AK3475" s="87"/>
      <c r="AL3475" s="87"/>
      <c r="AM3475" s="87"/>
      <c r="AN3475" s="87"/>
      <c r="AO3475" s="87"/>
      <c r="AP3475" s="87"/>
      <c r="AQ3475" s="87" t="s">
        <v>17820</v>
      </c>
      <c r="AR3475" s="87"/>
      <c r="AS3475" s="87"/>
      <c r="AT3475" s="87"/>
      <c r="AU3475" s="87"/>
      <c r="AV3475" s="92" t="str">
        <f>HYPERLINK("https://pbs.twimg.com/media/F2zVOocbUAA7z1V.jpg")</f>
        <v>https://pbs.twimg.com/media/F2zVOocbUAA7z1V.jpg</v>
      </c>
      <c r="AW3475" s="93" t="s">
        <v>21602</v>
      </c>
      <c r="AX3475" s="93" t="s">
        <v>21602</v>
      </c>
      <c r="AY3475" s="87"/>
      <c r="AZ3475" s="93" t="s">
        <v>22668</v>
      </c>
      <c r="BA3475" s="93" t="s">
        <v>22668</v>
      </c>
      <c r="BB3475" s="93" t="s">
        <v>22668</v>
      </c>
      <c r="BC3475" s="93" t="s">
        <v>21602</v>
      </c>
      <c r="BD3475" s="93" t="s">
        <v>23421</v>
      </c>
      <c r="BE3475" s="87"/>
      <c r="BF3475" s="87"/>
      <c r="BG3475" s="87"/>
      <c r="BH3475" s="87"/>
      <c r="BI3475" s="87"/>
    </row>
    <row r="3476" spans="1:61" x14ac:dyDescent="0.25">
      <c r="A3476" s="63" t="s">
        <v>1312</v>
      </c>
      <c r="B3476" s="63" t="s">
        <v>1312</v>
      </c>
      <c r="C3476" s="64"/>
      <c r="D3476" s="65"/>
      <c r="E3476" s="66"/>
      <c r="F3476" s="67"/>
      <c r="G3476" s="64"/>
      <c r="H3476" s="68"/>
      <c r="I3476" s="69"/>
      <c r="J3476" s="69"/>
      <c r="K3476" s="32"/>
      <c r="L3476" s="76">
        <v>3476</v>
      </c>
      <c r="M3476" s="76"/>
      <c r="N3476" s="71"/>
      <c r="O3476" s="87" t="s">
        <v>179</v>
      </c>
      <c r="P3476" s="90">
        <v>45116.084062499998</v>
      </c>
      <c r="Q3476" s="87" t="s">
        <v>5151</v>
      </c>
      <c r="R3476" s="87">
        <v>0</v>
      </c>
      <c r="S3476" s="87">
        <v>1</v>
      </c>
      <c r="T3476" s="87">
        <v>1</v>
      </c>
      <c r="U3476" s="87">
        <v>0</v>
      </c>
      <c r="V3476" s="87">
        <v>34</v>
      </c>
      <c r="W3476" s="93" t="s">
        <v>7875</v>
      </c>
      <c r="X3476" s="92" t="str">
        <f>HYPERLINK("https://ysenseblog.blogspot.com/2023/07/encuestas-pagadas-brasil.html")</f>
        <v>https://ysenseblog.blogspot.com/2023/07/encuestas-pagadas-brasil.html</v>
      </c>
      <c r="Y3476" s="87" t="s">
        <v>8394</v>
      </c>
      <c r="Z3476" s="87"/>
      <c r="AA3476" s="87" t="s">
        <v>11009</v>
      </c>
      <c r="AB3476" s="87" t="s">
        <v>11448</v>
      </c>
      <c r="AC3476" s="93" t="s">
        <v>11457</v>
      </c>
      <c r="AD3476" s="87" t="s">
        <v>11519</v>
      </c>
      <c r="AE3476" s="92" t="str">
        <f>HYPERLINK("https://twitter.com/ysenselaguna/status/1677860384932499457")</f>
        <v>https://twitter.com/ysenselaguna/status/1677860384932499457</v>
      </c>
      <c r="AF3476" s="90">
        <v>45116.084062499998</v>
      </c>
      <c r="AG3476" s="99">
        <v>45116</v>
      </c>
      <c r="AH3476" s="93" t="s">
        <v>14607</v>
      </c>
      <c r="AI3476" s="87" t="b">
        <v>0</v>
      </c>
      <c r="AJ3476" s="87"/>
      <c r="AK3476" s="87"/>
      <c r="AL3476" s="87"/>
      <c r="AM3476" s="87"/>
      <c r="AN3476" s="87"/>
      <c r="AO3476" s="87"/>
      <c r="AP3476" s="87"/>
      <c r="AQ3476" s="87" t="s">
        <v>17821</v>
      </c>
      <c r="AR3476" s="87"/>
      <c r="AS3476" s="87"/>
      <c r="AT3476" s="87"/>
      <c r="AU3476" s="87"/>
      <c r="AV3476" s="92" t="str">
        <f>HYPERLINK("https://pbs.twimg.com/media/F0j0-LBaAAASDPr.jpg")</f>
        <v>https://pbs.twimg.com/media/F0j0-LBaAAASDPr.jpg</v>
      </c>
      <c r="AW3476" s="93" t="s">
        <v>21603</v>
      </c>
      <c r="AX3476" s="93" t="s">
        <v>21603</v>
      </c>
      <c r="AY3476" s="87"/>
      <c r="AZ3476" s="93" t="s">
        <v>22668</v>
      </c>
      <c r="BA3476" s="93" t="s">
        <v>22668</v>
      </c>
      <c r="BB3476" s="93" t="s">
        <v>22668</v>
      </c>
      <c r="BC3476" s="93" t="s">
        <v>21603</v>
      </c>
      <c r="BD3476" s="93" t="s">
        <v>23421</v>
      </c>
      <c r="BE3476" s="87"/>
      <c r="BF3476" s="87"/>
      <c r="BG3476" s="87"/>
      <c r="BH3476" s="87"/>
      <c r="BI3476" s="87"/>
    </row>
    <row r="3477" spans="1:61" x14ac:dyDescent="0.25">
      <c r="A3477" s="63" t="s">
        <v>1313</v>
      </c>
      <c r="B3477" s="63" t="s">
        <v>1313</v>
      </c>
      <c r="C3477" s="64"/>
      <c r="D3477" s="65"/>
      <c r="E3477" s="66"/>
      <c r="F3477" s="67"/>
      <c r="G3477" s="64"/>
      <c r="H3477" s="68"/>
      <c r="I3477" s="69"/>
      <c r="J3477" s="69"/>
      <c r="K3477" s="32"/>
      <c r="L3477" s="76">
        <v>3477</v>
      </c>
      <c r="M3477" s="76"/>
      <c r="N3477" s="71"/>
      <c r="O3477" s="87" t="s">
        <v>179</v>
      </c>
      <c r="P3477" s="90">
        <v>45131.605590277781</v>
      </c>
      <c r="Q3477" s="87" t="s">
        <v>5152</v>
      </c>
      <c r="R3477" s="87">
        <v>0</v>
      </c>
      <c r="S3477" s="87">
        <v>0</v>
      </c>
      <c r="T3477" s="87">
        <v>0</v>
      </c>
      <c r="U3477" s="87">
        <v>0</v>
      </c>
      <c r="V3477" s="87">
        <v>14</v>
      </c>
      <c r="W3477" s="93" t="s">
        <v>7876</v>
      </c>
      <c r="X3477" s="92" t="str">
        <f>HYPERLINK("https://bit.ly/3QhXsxQ")</f>
        <v>https://bit.ly/3QhXsxQ</v>
      </c>
      <c r="Y3477" s="87" t="s">
        <v>8374</v>
      </c>
      <c r="Z3477" s="87"/>
      <c r="AA3477" s="87"/>
      <c r="AB3477" s="87"/>
      <c r="AC3477" s="93" t="s">
        <v>11457</v>
      </c>
      <c r="AD3477" s="87" t="s">
        <v>11519</v>
      </c>
      <c r="AE3477" s="92" t="str">
        <f>HYPERLINK("https://twitter.com/tmjuntos/status/1683485196585164800")</f>
        <v>https://twitter.com/tmjuntos/status/1683485196585164800</v>
      </c>
      <c r="AF3477" s="90">
        <v>45131.605590277781</v>
      </c>
      <c r="AG3477" s="99">
        <v>45131</v>
      </c>
      <c r="AH3477" s="93" t="s">
        <v>14608</v>
      </c>
      <c r="AI3477" s="87" t="b">
        <v>0</v>
      </c>
      <c r="AJ3477" s="87"/>
      <c r="AK3477" s="87"/>
      <c r="AL3477" s="87"/>
      <c r="AM3477" s="87"/>
      <c r="AN3477" s="87"/>
      <c r="AO3477" s="87"/>
      <c r="AP3477" s="87"/>
      <c r="AQ3477" s="87"/>
      <c r="AR3477" s="87"/>
      <c r="AS3477" s="87"/>
      <c r="AT3477" s="87"/>
      <c r="AU3477" s="87"/>
      <c r="AV3477" s="92" t="str">
        <f>HYPERLINK("https://pbs.twimg.com/profile_images/1514233462793854982/N-yRMMy8_normal.png")</f>
        <v>https://pbs.twimg.com/profile_images/1514233462793854982/N-yRMMy8_normal.png</v>
      </c>
      <c r="AW3477" s="93" t="s">
        <v>21604</v>
      </c>
      <c r="AX3477" s="93" t="s">
        <v>21604</v>
      </c>
      <c r="AY3477" s="87"/>
      <c r="AZ3477" s="93" t="s">
        <v>22668</v>
      </c>
      <c r="BA3477" s="93" t="s">
        <v>22668</v>
      </c>
      <c r="BB3477" s="93" t="s">
        <v>22668</v>
      </c>
      <c r="BC3477" s="93" t="s">
        <v>21604</v>
      </c>
      <c r="BD3477" s="93" t="s">
        <v>23422</v>
      </c>
      <c r="BE3477" s="87"/>
      <c r="BF3477" s="87"/>
      <c r="BG3477" s="87"/>
      <c r="BH3477" s="87"/>
      <c r="BI3477" s="87"/>
    </row>
    <row r="3478" spans="1:61" x14ac:dyDescent="0.25">
      <c r="A3478" s="63" t="s">
        <v>1314</v>
      </c>
      <c r="B3478" s="63" t="s">
        <v>1314</v>
      </c>
      <c r="C3478" s="64"/>
      <c r="D3478" s="65"/>
      <c r="E3478" s="66"/>
      <c r="F3478" s="67"/>
      <c r="G3478" s="64"/>
      <c r="H3478" s="68"/>
      <c r="I3478" s="69"/>
      <c r="J3478" s="69"/>
      <c r="K3478" s="32"/>
      <c r="L3478" s="76">
        <v>3478</v>
      </c>
      <c r="M3478" s="76"/>
      <c r="N3478" s="71"/>
      <c r="O3478" s="87" t="s">
        <v>179</v>
      </c>
      <c r="P3478" s="90">
        <v>45195.942812499998</v>
      </c>
      <c r="Q3478" s="87" t="s">
        <v>5153</v>
      </c>
      <c r="R3478" s="87">
        <v>0</v>
      </c>
      <c r="S3478" s="87">
        <v>0</v>
      </c>
      <c r="T3478" s="87">
        <v>0</v>
      </c>
      <c r="U3478" s="87">
        <v>0</v>
      </c>
      <c r="V3478" s="87">
        <v>46</v>
      </c>
      <c r="W3478" s="93" t="s">
        <v>5897</v>
      </c>
      <c r="X3478" s="87"/>
      <c r="Y3478" s="87"/>
      <c r="Z3478" s="87"/>
      <c r="AA3478" s="87"/>
      <c r="AB3478" s="87"/>
      <c r="AC3478" s="93" t="s">
        <v>11459</v>
      </c>
      <c r="AD3478" s="87" t="s">
        <v>11519</v>
      </c>
      <c r="AE3478" s="92" t="str">
        <f>HYPERLINK("https://twitter.com/_013julia/status/1706800226491593075")</f>
        <v>https://twitter.com/_013julia/status/1706800226491593075</v>
      </c>
      <c r="AF3478" s="90">
        <v>45195.942812499998</v>
      </c>
      <c r="AG3478" s="99">
        <v>45195</v>
      </c>
      <c r="AH3478" s="93" t="s">
        <v>14609</v>
      </c>
      <c r="AI3478" s="87"/>
      <c r="AJ3478" s="87"/>
      <c r="AK3478" s="87"/>
      <c r="AL3478" s="87"/>
      <c r="AM3478" s="87"/>
      <c r="AN3478" s="87"/>
      <c r="AO3478" s="87"/>
      <c r="AP3478" s="87"/>
      <c r="AQ3478" s="87"/>
      <c r="AR3478" s="87"/>
      <c r="AS3478" s="87"/>
      <c r="AT3478" s="87"/>
      <c r="AU3478" s="87"/>
      <c r="AV3478" s="92" t="str">
        <f>HYPERLINK("https://pbs.twimg.com/profile_images/1704319381579182080/MEz7b-5h_normal.jpg")</f>
        <v>https://pbs.twimg.com/profile_images/1704319381579182080/MEz7b-5h_normal.jpg</v>
      </c>
      <c r="AW3478" s="93" t="s">
        <v>21605</v>
      </c>
      <c r="AX3478" s="93" t="s">
        <v>21605</v>
      </c>
      <c r="AY3478" s="87"/>
      <c r="AZ3478" s="93" t="s">
        <v>22668</v>
      </c>
      <c r="BA3478" s="93" t="s">
        <v>22668</v>
      </c>
      <c r="BB3478" s="93" t="s">
        <v>22668</v>
      </c>
      <c r="BC3478" s="93" t="s">
        <v>21605</v>
      </c>
      <c r="BD3478" s="93" t="s">
        <v>23423</v>
      </c>
      <c r="BE3478" s="87"/>
      <c r="BF3478" s="87"/>
      <c r="BG3478" s="87"/>
      <c r="BH3478" s="87"/>
      <c r="BI3478" s="87"/>
    </row>
    <row r="3479" spans="1:61" x14ac:dyDescent="0.25">
      <c r="A3479" s="63" t="s">
        <v>1315</v>
      </c>
      <c r="B3479" s="63" t="s">
        <v>1315</v>
      </c>
      <c r="C3479" s="64"/>
      <c r="D3479" s="65"/>
      <c r="E3479" s="66"/>
      <c r="F3479" s="67"/>
      <c r="G3479" s="64"/>
      <c r="H3479" s="68"/>
      <c r="I3479" s="69"/>
      <c r="J3479" s="69"/>
      <c r="K3479" s="32"/>
      <c r="L3479" s="76">
        <v>3479</v>
      </c>
      <c r="M3479" s="76"/>
      <c r="N3479" s="71"/>
      <c r="O3479" s="87" t="s">
        <v>179</v>
      </c>
      <c r="P3479" s="90">
        <v>45124.785740740743</v>
      </c>
      <c r="Q3479" s="87" t="s">
        <v>5154</v>
      </c>
      <c r="R3479" s="87">
        <v>0</v>
      </c>
      <c r="S3479" s="87">
        <v>3</v>
      </c>
      <c r="T3479" s="87">
        <v>0</v>
      </c>
      <c r="U3479" s="87">
        <v>0</v>
      </c>
      <c r="V3479" s="87">
        <v>76</v>
      </c>
      <c r="W3479" s="93" t="s">
        <v>7877</v>
      </c>
      <c r="X3479" s="92" t="str">
        <f>HYPERLINK("https://fastcompanybrasil.com/5-perguntas/5-perguntas-para-roberta-coelho-ceo-do-mibr/")</f>
        <v>https://fastcompanybrasil.com/5-perguntas/5-perguntas-para-roberta-coelho-ceo-do-mibr/</v>
      </c>
      <c r="Y3479" s="87" t="s">
        <v>8526</v>
      </c>
      <c r="Z3479" s="87"/>
      <c r="AA3479" s="87"/>
      <c r="AB3479" s="87"/>
      <c r="AC3479" s="93" t="s">
        <v>11458</v>
      </c>
      <c r="AD3479" s="87" t="s">
        <v>11519</v>
      </c>
      <c r="AE3479" s="92" t="str">
        <f>HYPERLINK("https://twitter.com/fastcompanybra/status/1681013765209313291")</f>
        <v>https://twitter.com/fastcompanybra/status/1681013765209313291</v>
      </c>
      <c r="AF3479" s="90">
        <v>45124.785740740743</v>
      </c>
      <c r="AG3479" s="99">
        <v>45124</v>
      </c>
      <c r="AH3479" s="93" t="s">
        <v>14610</v>
      </c>
      <c r="AI3479" s="87" t="b">
        <v>0</v>
      </c>
      <c r="AJ3479" s="87"/>
      <c r="AK3479" s="87"/>
      <c r="AL3479" s="87"/>
      <c r="AM3479" s="87"/>
      <c r="AN3479" s="87"/>
      <c r="AO3479" s="87"/>
      <c r="AP3479" s="87"/>
      <c r="AQ3479" s="87"/>
      <c r="AR3479" s="87"/>
      <c r="AS3479" s="87"/>
      <c r="AT3479" s="87"/>
      <c r="AU3479" s="87"/>
      <c r="AV3479" s="92" t="str">
        <f>HYPERLINK("https://pbs.twimg.com/profile_images/1338251923795947526/uF7bImNs_normal.jpg")</f>
        <v>https://pbs.twimg.com/profile_images/1338251923795947526/uF7bImNs_normal.jpg</v>
      </c>
      <c r="AW3479" s="93" t="s">
        <v>21606</v>
      </c>
      <c r="AX3479" s="93" t="s">
        <v>21606</v>
      </c>
      <c r="AY3479" s="87"/>
      <c r="AZ3479" s="93" t="s">
        <v>22668</v>
      </c>
      <c r="BA3479" s="93" t="s">
        <v>22668</v>
      </c>
      <c r="BB3479" s="93" t="s">
        <v>22668</v>
      </c>
      <c r="BC3479" s="93" t="s">
        <v>21606</v>
      </c>
      <c r="BD3479" s="93" t="s">
        <v>23424</v>
      </c>
      <c r="BE3479" s="87"/>
      <c r="BF3479" s="87"/>
      <c r="BG3479" s="87"/>
      <c r="BH3479" s="87"/>
      <c r="BI3479" s="87"/>
    </row>
    <row r="3480" spans="1:61" x14ac:dyDescent="0.25">
      <c r="A3480" s="63" t="s">
        <v>1316</v>
      </c>
      <c r="B3480" s="63" t="s">
        <v>1316</v>
      </c>
      <c r="C3480" s="64"/>
      <c r="D3480" s="65"/>
      <c r="E3480" s="66"/>
      <c r="F3480" s="67"/>
      <c r="G3480" s="64"/>
      <c r="H3480" s="68"/>
      <c r="I3480" s="69"/>
      <c r="J3480" s="69"/>
      <c r="K3480" s="32"/>
      <c r="L3480" s="76">
        <v>3480</v>
      </c>
      <c r="M3480" s="76"/>
      <c r="N3480" s="71"/>
      <c r="O3480" s="87" t="s">
        <v>179</v>
      </c>
      <c r="P3480" s="90">
        <v>45194.762442129628</v>
      </c>
      <c r="Q3480" s="87" t="s">
        <v>5155</v>
      </c>
      <c r="R3480" s="87">
        <v>0</v>
      </c>
      <c r="S3480" s="87">
        <v>0</v>
      </c>
      <c r="T3480" s="87">
        <v>0</v>
      </c>
      <c r="U3480" s="87">
        <v>0</v>
      </c>
      <c r="V3480" s="87">
        <v>31</v>
      </c>
      <c r="W3480" s="93" t="s">
        <v>7878</v>
      </c>
      <c r="X3480" s="92" t="str">
        <f>HYPERLINK("https://kiwify.app/UdtaffM?afid=5mVRyQYB")</f>
        <v>https://kiwify.app/UdtaffM?afid=5mVRyQYB</v>
      </c>
      <c r="Y3480" s="87" t="s">
        <v>8379</v>
      </c>
      <c r="Z3480" s="87"/>
      <c r="AA3480" s="87" t="s">
        <v>11010</v>
      </c>
      <c r="AB3480" s="87" t="s">
        <v>11447</v>
      </c>
      <c r="AC3480" s="93" t="s">
        <v>11459</v>
      </c>
      <c r="AD3480" s="87" t="s">
        <v>11519</v>
      </c>
      <c r="AE3480" s="92" t="str">
        <f>HYPERLINK("https://twitter.com/camiladalmaso7/status/1706372475871793190")</f>
        <v>https://twitter.com/camiladalmaso7/status/1706372475871793190</v>
      </c>
      <c r="AF3480" s="90">
        <v>45194.762442129628</v>
      </c>
      <c r="AG3480" s="99">
        <v>45194</v>
      </c>
      <c r="AH3480" s="93" t="s">
        <v>14611</v>
      </c>
      <c r="AI3480" s="87" t="b">
        <v>0</v>
      </c>
      <c r="AJ3480" s="87" t="s">
        <v>15224</v>
      </c>
      <c r="AK3480" s="87" t="s">
        <v>15234</v>
      </c>
      <c r="AL3480" s="87" t="s">
        <v>15237</v>
      </c>
      <c r="AM3480" s="87" t="s">
        <v>15295</v>
      </c>
      <c r="AN3480" s="87" t="s">
        <v>15362</v>
      </c>
      <c r="AO3480" s="87" t="s">
        <v>15427</v>
      </c>
      <c r="AP3480" s="87" t="s">
        <v>15438</v>
      </c>
      <c r="AQ3480" s="87" t="s">
        <v>17822</v>
      </c>
      <c r="AR3480" s="87">
        <v>18466</v>
      </c>
      <c r="AS3480" s="87"/>
      <c r="AT3480" s="87"/>
      <c r="AU3480" s="87"/>
      <c r="AV3480" s="92" t="str">
        <f>HYPERLINK("https://pbs.twimg.com/ext_tw_video_thumb/1706372415637315584/pu/img/_jmAyTgSHH9nmYBO.jpg")</f>
        <v>https://pbs.twimg.com/ext_tw_video_thumb/1706372415637315584/pu/img/_jmAyTgSHH9nmYBO.jpg</v>
      </c>
      <c r="AW3480" s="93" t="s">
        <v>21607</v>
      </c>
      <c r="AX3480" s="93" t="s">
        <v>21607</v>
      </c>
      <c r="AY3480" s="87"/>
      <c r="AZ3480" s="93" t="s">
        <v>22668</v>
      </c>
      <c r="BA3480" s="93" t="s">
        <v>22668</v>
      </c>
      <c r="BB3480" s="93" t="s">
        <v>22668</v>
      </c>
      <c r="BC3480" s="93" t="s">
        <v>21607</v>
      </c>
      <c r="BD3480" s="93" t="s">
        <v>23425</v>
      </c>
      <c r="BE3480" s="87"/>
      <c r="BF3480" s="87"/>
      <c r="BG3480" s="87"/>
      <c r="BH3480" s="87"/>
      <c r="BI3480" s="87"/>
    </row>
    <row r="3481" spans="1:61" x14ac:dyDescent="0.25">
      <c r="A3481" s="63" t="s">
        <v>1317</v>
      </c>
      <c r="B3481" s="63" t="s">
        <v>1800</v>
      </c>
      <c r="C3481" s="64"/>
      <c r="D3481" s="65"/>
      <c r="E3481" s="66"/>
      <c r="F3481" s="67"/>
      <c r="G3481" s="64"/>
      <c r="H3481" s="68"/>
      <c r="I3481" s="69"/>
      <c r="J3481" s="69"/>
      <c r="K3481" s="32"/>
      <c r="L3481" s="76">
        <v>3481</v>
      </c>
      <c r="M3481" s="76"/>
      <c r="N3481" s="71"/>
      <c r="O3481" s="87" t="s">
        <v>1840</v>
      </c>
      <c r="P3481" s="90">
        <v>45166.783472222225</v>
      </c>
      <c r="Q3481" s="87" t="s">
        <v>5156</v>
      </c>
      <c r="R3481" s="87">
        <v>0</v>
      </c>
      <c r="S3481" s="87">
        <v>0</v>
      </c>
      <c r="T3481" s="87">
        <v>0</v>
      </c>
      <c r="U3481" s="87">
        <v>0</v>
      </c>
      <c r="V3481" s="87">
        <v>51</v>
      </c>
      <c r="W3481" s="93" t="s">
        <v>5897</v>
      </c>
      <c r="X3481" s="87"/>
      <c r="Y3481" s="87"/>
      <c r="Z3481" s="87" t="s">
        <v>1800</v>
      </c>
      <c r="AA3481" s="87"/>
      <c r="AB3481" s="87"/>
      <c r="AC3481" s="93" t="s">
        <v>11458</v>
      </c>
      <c r="AD3481" s="87" t="s">
        <v>11519</v>
      </c>
      <c r="AE3481" s="92" t="str">
        <f>HYPERLINK("https://twitter.com/simoeslelaa/status/1696233234420391962")</f>
        <v>https://twitter.com/simoeslelaa/status/1696233234420391962</v>
      </c>
      <c r="AF3481" s="90">
        <v>45166.783472222225</v>
      </c>
      <c r="AG3481" s="99">
        <v>45166</v>
      </c>
      <c r="AH3481" s="93" t="s">
        <v>14612</v>
      </c>
      <c r="AI3481" s="87"/>
      <c r="AJ3481" s="87"/>
      <c r="AK3481" s="87"/>
      <c r="AL3481" s="87"/>
      <c r="AM3481" s="87"/>
      <c r="AN3481" s="87"/>
      <c r="AO3481" s="87"/>
      <c r="AP3481" s="87"/>
      <c r="AQ3481" s="87"/>
      <c r="AR3481" s="87"/>
      <c r="AS3481" s="87"/>
      <c r="AT3481" s="87"/>
      <c r="AU3481" s="87"/>
      <c r="AV3481" s="92" t="str">
        <f>HYPERLINK("https://pbs.twimg.com/profile_images/1703546424908976128/Nn5tyjLY_normal.jpg")</f>
        <v>https://pbs.twimg.com/profile_images/1703546424908976128/Nn5tyjLY_normal.jpg</v>
      </c>
      <c r="AW3481" s="93" t="s">
        <v>21608</v>
      </c>
      <c r="AX3481" s="93" t="s">
        <v>22468</v>
      </c>
      <c r="AY3481" s="93" t="s">
        <v>22634</v>
      </c>
      <c r="AZ3481" s="93" t="s">
        <v>22760</v>
      </c>
      <c r="BA3481" s="93" t="s">
        <v>22668</v>
      </c>
      <c r="BB3481" s="93" t="s">
        <v>22668</v>
      </c>
      <c r="BC3481" s="93" t="s">
        <v>22760</v>
      </c>
      <c r="BD3481" s="93" t="s">
        <v>23426</v>
      </c>
      <c r="BE3481" s="87"/>
      <c r="BF3481" s="87"/>
      <c r="BG3481" s="87"/>
      <c r="BH3481" s="87"/>
      <c r="BI3481" s="87"/>
    </row>
    <row r="3482" spans="1:61" x14ac:dyDescent="0.25">
      <c r="A3482" s="63" t="s">
        <v>1318</v>
      </c>
      <c r="B3482" s="63" t="s">
        <v>1318</v>
      </c>
      <c r="C3482" s="64"/>
      <c r="D3482" s="65"/>
      <c r="E3482" s="66"/>
      <c r="F3482" s="67"/>
      <c r="G3482" s="64"/>
      <c r="H3482" s="68"/>
      <c r="I3482" s="69"/>
      <c r="J3482" s="69"/>
      <c r="K3482" s="32"/>
      <c r="L3482" s="76">
        <v>3482</v>
      </c>
      <c r="M3482" s="76"/>
      <c r="N3482" s="71"/>
      <c r="O3482" s="87" t="s">
        <v>179</v>
      </c>
      <c r="P3482" s="90">
        <v>45139.888564814813</v>
      </c>
      <c r="Q3482" s="87" t="s">
        <v>5157</v>
      </c>
      <c r="R3482" s="87">
        <v>0</v>
      </c>
      <c r="S3482" s="87">
        <v>0</v>
      </c>
      <c r="T3482" s="87">
        <v>0</v>
      </c>
      <c r="U3482" s="87">
        <v>0</v>
      </c>
      <c r="V3482" s="87">
        <v>14</v>
      </c>
      <c r="W3482" s="93" t="s">
        <v>7879</v>
      </c>
      <c r="X3482" s="87"/>
      <c r="Y3482" s="87"/>
      <c r="Z3482" s="87"/>
      <c r="AA3482" s="87" t="s">
        <v>11011</v>
      </c>
      <c r="AB3482" s="87" t="s">
        <v>11447</v>
      </c>
      <c r="AC3482" s="93" t="s">
        <v>11457</v>
      </c>
      <c r="AD3482" s="87" t="s">
        <v>11520</v>
      </c>
      <c r="AE3482" s="92" t="str">
        <f>HYPERLINK("https://twitter.com/atilamiller/status/1686486848422506496")</f>
        <v>https://twitter.com/atilamiller/status/1686486848422506496</v>
      </c>
      <c r="AF3482" s="90">
        <v>45139.888564814813</v>
      </c>
      <c r="AG3482" s="99">
        <v>45139</v>
      </c>
      <c r="AH3482" s="93" t="s">
        <v>14613</v>
      </c>
      <c r="AI3482" s="87" t="b">
        <v>0</v>
      </c>
      <c r="AJ3482" s="87"/>
      <c r="AK3482" s="87"/>
      <c r="AL3482" s="87"/>
      <c r="AM3482" s="87"/>
      <c r="AN3482" s="87"/>
      <c r="AO3482" s="87"/>
      <c r="AP3482" s="87"/>
      <c r="AQ3482" s="87" t="s">
        <v>17823</v>
      </c>
      <c r="AR3482" s="87">
        <v>53800</v>
      </c>
      <c r="AS3482" s="87"/>
      <c r="AT3482" s="87"/>
      <c r="AU3482" s="87"/>
      <c r="AV3482" s="92" t="str">
        <f>HYPERLINK("https://pbs.twimg.com/ext_tw_video_thumb/1686484280917229571/pu/img/fF_FSGuuqM9-H2h8.jpg")</f>
        <v>https://pbs.twimg.com/ext_tw_video_thumb/1686484280917229571/pu/img/fF_FSGuuqM9-H2h8.jpg</v>
      </c>
      <c r="AW3482" s="93" t="s">
        <v>21609</v>
      </c>
      <c r="AX3482" s="93" t="s">
        <v>21609</v>
      </c>
      <c r="AY3482" s="87"/>
      <c r="AZ3482" s="93" t="s">
        <v>22668</v>
      </c>
      <c r="BA3482" s="93" t="s">
        <v>22668</v>
      </c>
      <c r="BB3482" s="93" t="s">
        <v>22668</v>
      </c>
      <c r="BC3482" s="93" t="s">
        <v>21609</v>
      </c>
      <c r="BD3482" s="93" t="s">
        <v>23427</v>
      </c>
      <c r="BE3482" s="87"/>
      <c r="BF3482" s="87"/>
      <c r="BG3482" s="87"/>
      <c r="BH3482" s="87"/>
      <c r="BI3482" s="87"/>
    </row>
    <row r="3483" spans="1:61" x14ac:dyDescent="0.25">
      <c r="A3483" s="63" t="s">
        <v>1318</v>
      </c>
      <c r="B3483" s="63" t="s">
        <v>1318</v>
      </c>
      <c r="C3483" s="64"/>
      <c r="D3483" s="65"/>
      <c r="E3483" s="66"/>
      <c r="F3483" s="67"/>
      <c r="G3483" s="64"/>
      <c r="H3483" s="68"/>
      <c r="I3483" s="69"/>
      <c r="J3483" s="69"/>
      <c r="K3483" s="32"/>
      <c r="L3483" s="76">
        <v>3483</v>
      </c>
      <c r="M3483" s="76"/>
      <c r="N3483" s="71"/>
      <c r="O3483" s="87" t="s">
        <v>179</v>
      </c>
      <c r="P3483" s="90">
        <v>45139.877349537041</v>
      </c>
      <c r="Q3483" s="87" t="s">
        <v>5158</v>
      </c>
      <c r="R3483" s="87">
        <v>0</v>
      </c>
      <c r="S3483" s="87">
        <v>0</v>
      </c>
      <c r="T3483" s="87">
        <v>0</v>
      </c>
      <c r="U3483" s="87">
        <v>0</v>
      </c>
      <c r="V3483" s="87">
        <v>13</v>
      </c>
      <c r="W3483" s="93" t="s">
        <v>7879</v>
      </c>
      <c r="X3483" s="87"/>
      <c r="Y3483" s="87"/>
      <c r="Z3483" s="87"/>
      <c r="AA3483" s="87" t="s">
        <v>11012</v>
      </c>
      <c r="AB3483" s="87" t="s">
        <v>11447</v>
      </c>
      <c r="AC3483" s="93" t="s">
        <v>11457</v>
      </c>
      <c r="AD3483" s="87" t="s">
        <v>11520</v>
      </c>
      <c r="AE3483" s="92" t="str">
        <f>HYPERLINK("https://twitter.com/atilamiller/status/1686482783777009664")</f>
        <v>https://twitter.com/atilamiller/status/1686482783777009664</v>
      </c>
      <c r="AF3483" s="90">
        <v>45139.877349537041</v>
      </c>
      <c r="AG3483" s="99">
        <v>45139</v>
      </c>
      <c r="AH3483" s="93" t="s">
        <v>14614</v>
      </c>
      <c r="AI3483" s="87" t="b">
        <v>0</v>
      </c>
      <c r="AJ3483" s="87"/>
      <c r="AK3483" s="87"/>
      <c r="AL3483" s="87"/>
      <c r="AM3483" s="87"/>
      <c r="AN3483" s="87"/>
      <c r="AO3483" s="87"/>
      <c r="AP3483" s="87"/>
      <c r="AQ3483" s="87" t="s">
        <v>17824</v>
      </c>
      <c r="AR3483" s="87">
        <v>47433</v>
      </c>
      <c r="AS3483" s="87"/>
      <c r="AT3483" s="87"/>
      <c r="AU3483" s="87"/>
      <c r="AV3483" s="92" t="str">
        <f>HYPERLINK("https://pbs.twimg.com/ext_tw_video_thumb/1686482475181277188/pu/img/au1jMD0Ni2ZO6RQF.jpg")</f>
        <v>https://pbs.twimg.com/ext_tw_video_thumb/1686482475181277188/pu/img/au1jMD0Ni2ZO6RQF.jpg</v>
      </c>
      <c r="AW3483" s="93" t="s">
        <v>21610</v>
      </c>
      <c r="AX3483" s="93" t="s">
        <v>21610</v>
      </c>
      <c r="AY3483" s="87"/>
      <c r="AZ3483" s="93" t="s">
        <v>22668</v>
      </c>
      <c r="BA3483" s="93" t="s">
        <v>22668</v>
      </c>
      <c r="BB3483" s="93" t="s">
        <v>22668</v>
      </c>
      <c r="BC3483" s="93" t="s">
        <v>21610</v>
      </c>
      <c r="BD3483" s="93" t="s">
        <v>23427</v>
      </c>
      <c r="BE3483" s="87"/>
      <c r="BF3483" s="87"/>
      <c r="BG3483" s="87"/>
      <c r="BH3483" s="87"/>
      <c r="BI3483" s="87"/>
    </row>
    <row r="3484" spans="1:61" x14ac:dyDescent="0.25">
      <c r="A3484" s="63" t="s">
        <v>1319</v>
      </c>
      <c r="B3484" s="63" t="s">
        <v>1319</v>
      </c>
      <c r="C3484" s="64"/>
      <c r="D3484" s="65"/>
      <c r="E3484" s="66"/>
      <c r="F3484" s="67"/>
      <c r="G3484" s="64"/>
      <c r="H3484" s="68"/>
      <c r="I3484" s="69"/>
      <c r="J3484" s="69"/>
      <c r="K3484" s="32"/>
      <c r="L3484" s="76">
        <v>3484</v>
      </c>
      <c r="M3484" s="76"/>
      <c r="N3484" s="71"/>
      <c r="O3484" s="87" t="s">
        <v>179</v>
      </c>
      <c r="P3484" s="90">
        <v>45183.735347222224</v>
      </c>
      <c r="Q3484" s="87" t="s">
        <v>5159</v>
      </c>
      <c r="R3484" s="87">
        <v>0</v>
      </c>
      <c r="S3484" s="87">
        <v>2</v>
      </c>
      <c r="T3484" s="87">
        <v>1</v>
      </c>
      <c r="U3484" s="87">
        <v>0</v>
      </c>
      <c r="V3484" s="87">
        <v>20</v>
      </c>
      <c r="W3484" s="93" t="s">
        <v>7880</v>
      </c>
      <c r="X3484" s="87"/>
      <c r="Y3484" s="87"/>
      <c r="Z3484" s="87"/>
      <c r="AA3484" s="87" t="s">
        <v>11013</v>
      </c>
      <c r="AB3484" s="87" t="s">
        <v>11448</v>
      </c>
      <c r="AC3484" s="93" t="s">
        <v>11458</v>
      </c>
      <c r="AD3484" s="87" t="s">
        <v>11519</v>
      </c>
      <c r="AE3484" s="92" t="str">
        <f>HYPERLINK("https://twitter.com/martinhagondim/status/1702376389498818876")</f>
        <v>https://twitter.com/martinhagondim/status/1702376389498818876</v>
      </c>
      <c r="AF3484" s="90">
        <v>45183.735347222224</v>
      </c>
      <c r="AG3484" s="99">
        <v>45183</v>
      </c>
      <c r="AH3484" s="93" t="s">
        <v>13207</v>
      </c>
      <c r="AI3484" s="87" t="b">
        <v>0</v>
      </c>
      <c r="AJ3484" s="87"/>
      <c r="AK3484" s="87"/>
      <c r="AL3484" s="87"/>
      <c r="AM3484" s="87"/>
      <c r="AN3484" s="87"/>
      <c r="AO3484" s="87"/>
      <c r="AP3484" s="87"/>
      <c r="AQ3484" s="87" t="s">
        <v>17825</v>
      </c>
      <c r="AR3484" s="87"/>
      <c r="AS3484" s="87"/>
      <c r="AT3484" s="87"/>
      <c r="AU3484" s="87"/>
      <c r="AV3484" s="92" t="str">
        <f>HYPERLINK("https://pbs.twimg.com/media/F6AOS55XwAAMb-P.jpg")</f>
        <v>https://pbs.twimg.com/media/F6AOS55XwAAMb-P.jpg</v>
      </c>
      <c r="AW3484" s="93" t="s">
        <v>21611</v>
      </c>
      <c r="AX3484" s="93" t="s">
        <v>21611</v>
      </c>
      <c r="AY3484" s="87"/>
      <c r="AZ3484" s="93" t="s">
        <v>22668</v>
      </c>
      <c r="BA3484" s="93" t="s">
        <v>22668</v>
      </c>
      <c r="BB3484" s="93" t="s">
        <v>22668</v>
      </c>
      <c r="BC3484" s="93" t="s">
        <v>21611</v>
      </c>
      <c r="BD3484" s="93" t="s">
        <v>23428</v>
      </c>
      <c r="BE3484" s="87"/>
      <c r="BF3484" s="87"/>
      <c r="BG3484" s="87"/>
      <c r="BH3484" s="87"/>
      <c r="BI3484" s="87"/>
    </row>
    <row r="3485" spans="1:61" x14ac:dyDescent="0.25">
      <c r="A3485" s="63" t="s">
        <v>1320</v>
      </c>
      <c r="B3485" s="63" t="s">
        <v>1320</v>
      </c>
      <c r="C3485" s="64"/>
      <c r="D3485" s="65"/>
      <c r="E3485" s="66"/>
      <c r="F3485" s="67"/>
      <c r="G3485" s="64"/>
      <c r="H3485" s="68"/>
      <c r="I3485" s="69"/>
      <c r="J3485" s="69"/>
      <c r="K3485" s="32"/>
      <c r="L3485" s="76">
        <v>3485</v>
      </c>
      <c r="M3485" s="76"/>
      <c r="N3485" s="71"/>
      <c r="O3485" s="87" t="s">
        <v>179</v>
      </c>
      <c r="P3485" s="90">
        <v>45149.910960648151</v>
      </c>
      <c r="Q3485" s="87" t="s">
        <v>5160</v>
      </c>
      <c r="R3485" s="87">
        <v>7</v>
      </c>
      <c r="S3485" s="87">
        <v>57</v>
      </c>
      <c r="T3485" s="87">
        <v>8</v>
      </c>
      <c r="U3485" s="87">
        <v>0</v>
      </c>
      <c r="V3485" s="87">
        <v>1259</v>
      </c>
      <c r="W3485" s="93" t="s">
        <v>5897</v>
      </c>
      <c r="X3485" s="92" t="str">
        <f>HYPERLINK("https://www1.folha.uol.com.br/colunas/redesocial/2023/08/nao-precisa-ser-rica-pra-fazer-filantropia-diz-brasileira-que-ja-doou-us-6-milhoes-a-ongs.shtml")</f>
        <v>https://www1.folha.uol.com.br/colunas/redesocial/2023/08/nao-precisa-ser-rica-pra-fazer-filantropia-diz-brasileira-que-ja-doou-us-6-milhoes-a-ongs.shtml</v>
      </c>
      <c r="Y3485" s="87" t="s">
        <v>8373</v>
      </c>
      <c r="Z3485" s="87"/>
      <c r="AA3485" s="87"/>
      <c r="AB3485" s="87"/>
      <c r="AC3485" s="93" t="s">
        <v>11459</v>
      </c>
      <c r="AD3485" s="87" t="s">
        <v>11519</v>
      </c>
      <c r="AE3485" s="92" t="str">
        <f>HYPERLINK("https://twitter.com/tatunotoco/status/1690118840590712832")</f>
        <v>https://twitter.com/tatunotoco/status/1690118840590712832</v>
      </c>
      <c r="AF3485" s="90">
        <v>45149.910960648151</v>
      </c>
      <c r="AG3485" s="99">
        <v>45149</v>
      </c>
      <c r="AH3485" s="93" t="s">
        <v>14615</v>
      </c>
      <c r="AI3485" s="87" t="b">
        <v>0</v>
      </c>
      <c r="AJ3485" s="87"/>
      <c r="AK3485" s="87"/>
      <c r="AL3485" s="87"/>
      <c r="AM3485" s="87"/>
      <c r="AN3485" s="87"/>
      <c r="AO3485" s="87"/>
      <c r="AP3485" s="87"/>
      <c r="AQ3485" s="87"/>
      <c r="AR3485" s="87"/>
      <c r="AS3485" s="87"/>
      <c r="AT3485" s="87"/>
      <c r="AU3485" s="87"/>
      <c r="AV3485" s="92" t="str">
        <f>HYPERLINK("https://pbs.twimg.com/profile_images/1655984821267472385/__xyobp3_normal.jpg")</f>
        <v>https://pbs.twimg.com/profile_images/1655984821267472385/__xyobp3_normal.jpg</v>
      </c>
      <c r="AW3485" s="93" t="s">
        <v>21612</v>
      </c>
      <c r="AX3485" s="93" t="s">
        <v>21612</v>
      </c>
      <c r="AY3485" s="87"/>
      <c r="AZ3485" s="93" t="s">
        <v>22668</v>
      </c>
      <c r="BA3485" s="93" t="s">
        <v>22668</v>
      </c>
      <c r="BB3485" s="93" t="s">
        <v>22668</v>
      </c>
      <c r="BC3485" s="93" t="s">
        <v>21612</v>
      </c>
      <c r="BD3485" s="93" t="s">
        <v>23429</v>
      </c>
      <c r="BE3485" s="87"/>
      <c r="BF3485" s="87"/>
      <c r="BG3485" s="87"/>
      <c r="BH3485" s="87"/>
      <c r="BI3485" s="87"/>
    </row>
    <row r="3486" spans="1:61" x14ac:dyDescent="0.25">
      <c r="A3486" s="63" t="s">
        <v>1321</v>
      </c>
      <c r="B3486" s="63" t="s">
        <v>1321</v>
      </c>
      <c r="C3486" s="64"/>
      <c r="D3486" s="65"/>
      <c r="E3486" s="66"/>
      <c r="F3486" s="67"/>
      <c r="G3486" s="64"/>
      <c r="H3486" s="68"/>
      <c r="I3486" s="69"/>
      <c r="J3486" s="69"/>
      <c r="K3486" s="32"/>
      <c r="L3486" s="76">
        <v>3486</v>
      </c>
      <c r="M3486" s="76"/>
      <c r="N3486" s="71"/>
      <c r="O3486" s="87" t="s">
        <v>179</v>
      </c>
      <c r="P3486" s="90">
        <v>45170.105127314811</v>
      </c>
      <c r="Q3486" s="87" t="s">
        <v>5161</v>
      </c>
      <c r="R3486" s="87">
        <v>0</v>
      </c>
      <c r="S3486" s="87">
        <v>0</v>
      </c>
      <c r="T3486" s="87">
        <v>0</v>
      </c>
      <c r="U3486" s="87">
        <v>0</v>
      </c>
      <c r="V3486" s="87">
        <v>14</v>
      </c>
      <c r="W3486" s="93" t="s">
        <v>7844</v>
      </c>
      <c r="X3486" s="87"/>
      <c r="Y3486" s="87"/>
      <c r="Z3486" s="87"/>
      <c r="AA3486" s="87"/>
      <c r="AB3486" s="87"/>
      <c r="AC3486" s="93" t="s">
        <v>11458</v>
      </c>
      <c r="AD3486" s="87" t="s">
        <v>11519</v>
      </c>
      <c r="AE3486" s="92" t="str">
        <f>HYPERLINK("https://twitter.com/jandertabosa/status/1697436962464895309")</f>
        <v>https://twitter.com/jandertabosa/status/1697436962464895309</v>
      </c>
      <c r="AF3486" s="90">
        <v>45170.105127314811</v>
      </c>
      <c r="AG3486" s="99">
        <v>45170</v>
      </c>
      <c r="AH3486" s="93" t="s">
        <v>14616</v>
      </c>
      <c r="AI3486" s="87"/>
      <c r="AJ3486" s="87"/>
      <c r="AK3486" s="87"/>
      <c r="AL3486" s="87"/>
      <c r="AM3486" s="87"/>
      <c r="AN3486" s="87"/>
      <c r="AO3486" s="87"/>
      <c r="AP3486" s="87"/>
      <c r="AQ3486" s="87"/>
      <c r="AR3486" s="87"/>
      <c r="AS3486" s="87"/>
      <c r="AT3486" s="87"/>
      <c r="AU3486" s="87"/>
      <c r="AV3486" s="92" t="str">
        <f>HYPERLINK("https://pbs.twimg.com/profile_images/1555916679439335425/fQqlHTyP_normal.jpg")</f>
        <v>https://pbs.twimg.com/profile_images/1555916679439335425/fQqlHTyP_normal.jpg</v>
      </c>
      <c r="AW3486" s="93" t="s">
        <v>21613</v>
      </c>
      <c r="AX3486" s="93" t="s">
        <v>21613</v>
      </c>
      <c r="AY3486" s="87"/>
      <c r="AZ3486" s="93" t="s">
        <v>22668</v>
      </c>
      <c r="BA3486" s="93" t="s">
        <v>22668</v>
      </c>
      <c r="BB3486" s="93" t="s">
        <v>22668</v>
      </c>
      <c r="BC3486" s="93" t="s">
        <v>21613</v>
      </c>
      <c r="BD3486" s="93" t="s">
        <v>23430</v>
      </c>
      <c r="BE3486" s="87"/>
      <c r="BF3486" s="87"/>
      <c r="BG3486" s="87"/>
      <c r="BH3486" s="87"/>
      <c r="BI3486" s="87"/>
    </row>
    <row r="3487" spans="1:61" x14ac:dyDescent="0.25">
      <c r="A3487" s="63" t="s">
        <v>1322</v>
      </c>
      <c r="B3487" s="63" t="s">
        <v>1322</v>
      </c>
      <c r="C3487" s="64"/>
      <c r="D3487" s="65"/>
      <c r="E3487" s="66"/>
      <c r="F3487" s="67"/>
      <c r="G3487" s="64"/>
      <c r="H3487" s="68"/>
      <c r="I3487" s="69"/>
      <c r="J3487" s="69"/>
      <c r="K3487" s="32"/>
      <c r="L3487" s="76">
        <v>3487</v>
      </c>
      <c r="M3487" s="76"/>
      <c r="N3487" s="71"/>
      <c r="O3487" s="87" t="s">
        <v>179</v>
      </c>
      <c r="P3487" s="90">
        <v>45131.566504629627</v>
      </c>
      <c r="Q3487" s="87" t="s">
        <v>5162</v>
      </c>
      <c r="R3487" s="87">
        <v>0</v>
      </c>
      <c r="S3487" s="87">
        <v>0</v>
      </c>
      <c r="T3487" s="87">
        <v>0</v>
      </c>
      <c r="U3487" s="87">
        <v>0</v>
      </c>
      <c r="V3487" s="87">
        <v>1</v>
      </c>
      <c r="W3487" s="93" t="s">
        <v>7881</v>
      </c>
      <c r="X3487" s="87"/>
      <c r="Y3487" s="87"/>
      <c r="Z3487" s="87"/>
      <c r="AA3487" s="87"/>
      <c r="AB3487" s="87"/>
      <c r="AC3487" s="93" t="s">
        <v>11459</v>
      </c>
      <c r="AD3487" s="87" t="s">
        <v>11519</v>
      </c>
      <c r="AE3487" s="92" t="str">
        <f>HYPERLINK("https://twitter.com/3079destilados/status/1683471034903666688")</f>
        <v>https://twitter.com/3079destilados/status/1683471034903666688</v>
      </c>
      <c r="AF3487" s="90">
        <v>45131.566504629627</v>
      </c>
      <c r="AG3487" s="99">
        <v>45131</v>
      </c>
      <c r="AH3487" s="93" t="s">
        <v>14617</v>
      </c>
      <c r="AI3487" s="87"/>
      <c r="AJ3487" s="87"/>
      <c r="AK3487" s="87"/>
      <c r="AL3487" s="87"/>
      <c r="AM3487" s="87"/>
      <c r="AN3487" s="87"/>
      <c r="AO3487" s="87"/>
      <c r="AP3487" s="87"/>
      <c r="AQ3487" s="87"/>
      <c r="AR3487" s="87"/>
      <c r="AS3487" s="87"/>
      <c r="AT3487" s="87"/>
      <c r="AU3487" s="87"/>
      <c r="AV3487" s="92" t="str">
        <f>HYPERLINK("https://pbs.twimg.com/profile_images/1681691612135452672/B-RN1PHh_normal.jpg")</f>
        <v>https://pbs.twimg.com/profile_images/1681691612135452672/B-RN1PHh_normal.jpg</v>
      </c>
      <c r="AW3487" s="93" t="s">
        <v>21614</v>
      </c>
      <c r="AX3487" s="93" t="s">
        <v>21614</v>
      </c>
      <c r="AY3487" s="87"/>
      <c r="AZ3487" s="93" t="s">
        <v>22668</v>
      </c>
      <c r="BA3487" s="93" t="s">
        <v>22668</v>
      </c>
      <c r="BB3487" s="93" t="s">
        <v>22668</v>
      </c>
      <c r="BC3487" s="93" t="s">
        <v>21614</v>
      </c>
      <c r="BD3487" s="93" t="s">
        <v>23431</v>
      </c>
      <c r="BE3487" s="87"/>
      <c r="BF3487" s="87"/>
      <c r="BG3487" s="87"/>
      <c r="BH3487" s="87"/>
      <c r="BI3487" s="87"/>
    </row>
    <row r="3488" spans="1:61" x14ac:dyDescent="0.25">
      <c r="A3488" s="63" t="s">
        <v>1323</v>
      </c>
      <c r="B3488" s="63" t="s">
        <v>1323</v>
      </c>
      <c r="C3488" s="64"/>
      <c r="D3488" s="65"/>
      <c r="E3488" s="66"/>
      <c r="F3488" s="67"/>
      <c r="G3488" s="64"/>
      <c r="H3488" s="68"/>
      <c r="I3488" s="69"/>
      <c r="J3488" s="69"/>
      <c r="K3488" s="32"/>
      <c r="L3488" s="76">
        <v>3488</v>
      </c>
      <c r="M3488" s="76"/>
      <c r="N3488" s="71"/>
      <c r="O3488" s="87" t="s">
        <v>179</v>
      </c>
      <c r="P3488" s="90">
        <v>45162.824618055558</v>
      </c>
      <c r="Q3488" s="87" t="s">
        <v>5163</v>
      </c>
      <c r="R3488" s="87">
        <v>0</v>
      </c>
      <c r="S3488" s="87">
        <v>1</v>
      </c>
      <c r="T3488" s="87">
        <v>0</v>
      </c>
      <c r="U3488" s="87">
        <v>0</v>
      </c>
      <c r="V3488" s="87">
        <v>4</v>
      </c>
      <c r="W3488" s="93" t="s">
        <v>5897</v>
      </c>
      <c r="X3488" s="92" t="str">
        <f>HYPERLINK("https://www.ton.com.br/catalogo/?referrer=74B18394-00F6-4664-9F52-0B4018F9B692&amp;utm_medium=invite_share&amp;utm_source=revendedor")</f>
        <v>https://www.ton.com.br/catalogo/?referrer=74B18394-00F6-4664-9F52-0B4018F9B692&amp;utm_medium=invite_share&amp;utm_source=revendedor</v>
      </c>
      <c r="Y3488" s="87" t="s">
        <v>8373</v>
      </c>
      <c r="Z3488" s="87"/>
      <c r="AA3488" s="87"/>
      <c r="AB3488" s="87"/>
      <c r="AC3488" s="93" t="s">
        <v>11459</v>
      </c>
      <c r="AD3488" s="87" t="s">
        <v>11519</v>
      </c>
      <c r="AE3488" s="92" t="str">
        <f>HYPERLINK("https://twitter.com/danielramicazzi/status/1694798592806948913")</f>
        <v>https://twitter.com/danielramicazzi/status/1694798592806948913</v>
      </c>
      <c r="AF3488" s="90">
        <v>45162.824618055558</v>
      </c>
      <c r="AG3488" s="99">
        <v>45162</v>
      </c>
      <c r="AH3488" s="93" t="s">
        <v>14618</v>
      </c>
      <c r="AI3488" s="87" t="b">
        <v>0</v>
      </c>
      <c r="AJ3488" s="87"/>
      <c r="AK3488" s="87"/>
      <c r="AL3488" s="87"/>
      <c r="AM3488" s="87"/>
      <c r="AN3488" s="87"/>
      <c r="AO3488" s="87"/>
      <c r="AP3488" s="87"/>
      <c r="AQ3488" s="87"/>
      <c r="AR3488" s="87"/>
      <c r="AS3488" s="87"/>
      <c r="AT3488" s="87"/>
      <c r="AU3488" s="87"/>
      <c r="AV3488" s="92" t="str">
        <f>HYPERLINK("https://pbs.twimg.com/profile_images/1498739474326503432/K-4uz3Vu_normal.jpg")</f>
        <v>https://pbs.twimg.com/profile_images/1498739474326503432/K-4uz3Vu_normal.jpg</v>
      </c>
      <c r="AW3488" s="93" t="s">
        <v>21615</v>
      </c>
      <c r="AX3488" s="93" t="s">
        <v>21615</v>
      </c>
      <c r="AY3488" s="87"/>
      <c r="AZ3488" s="93" t="s">
        <v>22668</v>
      </c>
      <c r="BA3488" s="93" t="s">
        <v>22668</v>
      </c>
      <c r="BB3488" s="93" t="s">
        <v>22668</v>
      </c>
      <c r="BC3488" s="93" t="s">
        <v>21615</v>
      </c>
      <c r="BD3488" s="93" t="s">
        <v>23432</v>
      </c>
      <c r="BE3488" s="87"/>
      <c r="BF3488" s="87"/>
      <c r="BG3488" s="87"/>
      <c r="BH3488" s="87"/>
      <c r="BI3488" s="87"/>
    </row>
    <row r="3489" spans="1:61" x14ac:dyDescent="0.25">
      <c r="A3489" s="63" t="s">
        <v>1324</v>
      </c>
      <c r="B3489" s="63" t="s">
        <v>1324</v>
      </c>
      <c r="C3489" s="64"/>
      <c r="D3489" s="65"/>
      <c r="E3489" s="66"/>
      <c r="F3489" s="67"/>
      <c r="G3489" s="64"/>
      <c r="H3489" s="68"/>
      <c r="I3489" s="69"/>
      <c r="J3489" s="69"/>
      <c r="K3489" s="32"/>
      <c r="L3489" s="76">
        <v>3489</v>
      </c>
      <c r="M3489" s="76"/>
      <c r="N3489" s="71"/>
      <c r="O3489" s="87" t="s">
        <v>179</v>
      </c>
      <c r="P3489" s="90">
        <v>45113.49291666667</v>
      </c>
      <c r="Q3489" s="87" t="s">
        <v>5164</v>
      </c>
      <c r="R3489" s="87">
        <v>0</v>
      </c>
      <c r="S3489" s="87">
        <v>0</v>
      </c>
      <c r="T3489" s="87">
        <v>0</v>
      </c>
      <c r="U3489" s="87">
        <v>0</v>
      </c>
      <c r="V3489" s="87">
        <v>6</v>
      </c>
      <c r="W3489" s="93" t="s">
        <v>7882</v>
      </c>
      <c r="X3489" s="92" t="str">
        <f>HYPERLINK("http://ig.machado.digital")</f>
        <v>http://ig.machado.digital</v>
      </c>
      <c r="Y3489" s="87" t="s">
        <v>8527</v>
      </c>
      <c r="Z3489" s="87"/>
      <c r="AA3489" s="87" t="s">
        <v>11014</v>
      </c>
      <c r="AB3489" s="87" t="s">
        <v>11448</v>
      </c>
      <c r="AC3489" s="93" t="s">
        <v>11457</v>
      </c>
      <c r="AD3489" s="87" t="s">
        <v>11519</v>
      </c>
      <c r="AE3489" s="92" t="str">
        <f>HYPERLINK("https://twitter.com/machadodb_/status/1676921386428690435")</f>
        <v>https://twitter.com/machadodb_/status/1676921386428690435</v>
      </c>
      <c r="AF3489" s="90">
        <v>45113.49291666667</v>
      </c>
      <c r="AG3489" s="99">
        <v>45113</v>
      </c>
      <c r="AH3489" s="93" t="s">
        <v>14619</v>
      </c>
      <c r="AI3489" s="87" t="b">
        <v>0</v>
      </c>
      <c r="AJ3489" s="87"/>
      <c r="AK3489" s="87"/>
      <c r="AL3489" s="87"/>
      <c r="AM3489" s="87"/>
      <c r="AN3489" s="87"/>
      <c r="AO3489" s="87"/>
      <c r="AP3489" s="87"/>
      <c r="AQ3489" s="87" t="s">
        <v>17826</v>
      </c>
      <c r="AR3489" s="87"/>
      <c r="AS3489" s="87"/>
      <c r="AT3489" s="87"/>
      <c r="AU3489" s="87"/>
      <c r="AV3489" s="92" t="str">
        <f>HYPERLINK("https://pbs.twimg.com/media/F0We9sEWcAAHqC2.jpg")</f>
        <v>https://pbs.twimg.com/media/F0We9sEWcAAHqC2.jpg</v>
      </c>
      <c r="AW3489" s="93" t="s">
        <v>21616</v>
      </c>
      <c r="AX3489" s="93" t="s">
        <v>21616</v>
      </c>
      <c r="AY3489" s="87"/>
      <c r="AZ3489" s="93" t="s">
        <v>22668</v>
      </c>
      <c r="BA3489" s="93" t="s">
        <v>22668</v>
      </c>
      <c r="BB3489" s="93" t="s">
        <v>22668</v>
      </c>
      <c r="BC3489" s="93" t="s">
        <v>21616</v>
      </c>
      <c r="BD3489" s="87">
        <v>146536708</v>
      </c>
      <c r="BE3489" s="87"/>
      <c r="BF3489" s="87"/>
      <c r="BG3489" s="87"/>
      <c r="BH3489" s="87"/>
      <c r="BI3489" s="87"/>
    </row>
    <row r="3490" spans="1:61" x14ac:dyDescent="0.25">
      <c r="A3490" s="63" t="s">
        <v>1324</v>
      </c>
      <c r="B3490" s="63" t="s">
        <v>1324</v>
      </c>
      <c r="C3490" s="64"/>
      <c r="D3490" s="65"/>
      <c r="E3490" s="66"/>
      <c r="F3490" s="67"/>
      <c r="G3490" s="64"/>
      <c r="H3490" s="68"/>
      <c r="I3490" s="69"/>
      <c r="J3490" s="69"/>
      <c r="K3490" s="32"/>
      <c r="L3490" s="76">
        <v>3490</v>
      </c>
      <c r="M3490" s="76"/>
      <c r="N3490" s="71"/>
      <c r="O3490" s="87" t="s">
        <v>179</v>
      </c>
      <c r="P3490" s="90">
        <v>45181.0153587963</v>
      </c>
      <c r="Q3490" s="87" t="s">
        <v>5165</v>
      </c>
      <c r="R3490" s="87">
        <v>0</v>
      </c>
      <c r="S3490" s="87">
        <v>0</v>
      </c>
      <c r="T3490" s="87">
        <v>0</v>
      </c>
      <c r="U3490" s="87">
        <v>0</v>
      </c>
      <c r="V3490" s="87">
        <v>20</v>
      </c>
      <c r="W3490" s="93" t="s">
        <v>7883</v>
      </c>
      <c r="X3490" s="92" t="str">
        <f>HYPERLINK("http://machado.digital")</f>
        <v>http://machado.digital</v>
      </c>
      <c r="Y3490" s="87" t="s">
        <v>8527</v>
      </c>
      <c r="Z3490" s="87"/>
      <c r="AA3490" s="87" t="s">
        <v>11015</v>
      </c>
      <c r="AB3490" s="87" t="s">
        <v>11448</v>
      </c>
      <c r="AC3490" s="93" t="s">
        <v>11462</v>
      </c>
      <c r="AD3490" s="87" t="s">
        <v>11519</v>
      </c>
      <c r="AE3490" s="92" t="str">
        <f>HYPERLINK("https://twitter.com/machadodb_/status/1701390698480611794")</f>
        <v>https://twitter.com/machadodb_/status/1701390698480611794</v>
      </c>
      <c r="AF3490" s="90">
        <v>45181.0153587963</v>
      </c>
      <c r="AG3490" s="99">
        <v>45181</v>
      </c>
      <c r="AH3490" s="93" t="s">
        <v>14620</v>
      </c>
      <c r="AI3490" s="87" t="b">
        <v>0</v>
      </c>
      <c r="AJ3490" s="87"/>
      <c r="AK3490" s="87"/>
      <c r="AL3490" s="87"/>
      <c r="AM3490" s="87"/>
      <c r="AN3490" s="87"/>
      <c r="AO3490" s="87"/>
      <c r="AP3490" s="87"/>
      <c r="AQ3490" s="87" t="s">
        <v>17827</v>
      </c>
      <c r="AR3490" s="87"/>
      <c r="AS3490" s="87"/>
      <c r="AT3490" s="87"/>
      <c r="AU3490" s="87"/>
      <c r="AV3490" s="92" t="str">
        <f>HYPERLINK("https://pbs.twimg.com/media/F5yN0u1WsAAG7s7.jpg")</f>
        <v>https://pbs.twimg.com/media/F5yN0u1WsAAG7s7.jpg</v>
      </c>
      <c r="AW3490" s="93" t="s">
        <v>21617</v>
      </c>
      <c r="AX3490" s="93" t="s">
        <v>21617</v>
      </c>
      <c r="AY3490" s="87"/>
      <c r="AZ3490" s="93" t="s">
        <v>22668</v>
      </c>
      <c r="BA3490" s="93" t="s">
        <v>22668</v>
      </c>
      <c r="BB3490" s="93" t="s">
        <v>22668</v>
      </c>
      <c r="BC3490" s="93" t="s">
        <v>21617</v>
      </c>
      <c r="BD3490" s="87">
        <v>146536708</v>
      </c>
      <c r="BE3490" s="87"/>
      <c r="BF3490" s="87"/>
      <c r="BG3490" s="87"/>
      <c r="BH3490" s="87"/>
      <c r="BI3490" s="87"/>
    </row>
    <row r="3491" spans="1:61" x14ac:dyDescent="0.25">
      <c r="A3491" s="63" t="s">
        <v>1324</v>
      </c>
      <c r="B3491" s="63" t="s">
        <v>1324</v>
      </c>
      <c r="C3491" s="64"/>
      <c r="D3491" s="65"/>
      <c r="E3491" s="66"/>
      <c r="F3491" s="67"/>
      <c r="G3491" s="64"/>
      <c r="H3491" s="68"/>
      <c r="I3491" s="69"/>
      <c r="J3491" s="69"/>
      <c r="K3491" s="32"/>
      <c r="L3491" s="76">
        <v>3491</v>
      </c>
      <c r="M3491" s="76"/>
      <c r="N3491" s="71"/>
      <c r="O3491" s="87" t="s">
        <v>179</v>
      </c>
      <c r="P3491" s="90">
        <v>45173.416979166665</v>
      </c>
      <c r="Q3491" s="87" t="s">
        <v>5166</v>
      </c>
      <c r="R3491" s="87">
        <v>0</v>
      </c>
      <c r="S3491" s="87">
        <v>0</v>
      </c>
      <c r="T3491" s="87">
        <v>0</v>
      </c>
      <c r="U3491" s="87">
        <v>0</v>
      </c>
      <c r="V3491" s="87">
        <v>34</v>
      </c>
      <c r="W3491" s="93" t="s">
        <v>7883</v>
      </c>
      <c r="X3491" s="87"/>
      <c r="Y3491" s="87"/>
      <c r="Z3491" s="87"/>
      <c r="AA3491" s="87" t="s">
        <v>11016</v>
      </c>
      <c r="AB3491" s="87" t="s">
        <v>11448</v>
      </c>
      <c r="AC3491" s="93" t="s">
        <v>11462</v>
      </c>
      <c r="AD3491" s="87" t="s">
        <v>11519</v>
      </c>
      <c r="AE3491" s="92" t="str">
        <f>HYPERLINK("https://twitter.com/machadodb_/status/1698637135962624413")</f>
        <v>https://twitter.com/machadodb_/status/1698637135962624413</v>
      </c>
      <c r="AF3491" s="90">
        <v>45173.416979166665</v>
      </c>
      <c r="AG3491" s="99">
        <v>45173</v>
      </c>
      <c r="AH3491" s="93" t="s">
        <v>14621</v>
      </c>
      <c r="AI3491" s="87" t="b">
        <v>0</v>
      </c>
      <c r="AJ3491" s="87"/>
      <c r="AK3491" s="87"/>
      <c r="AL3491" s="87"/>
      <c r="AM3491" s="87"/>
      <c r="AN3491" s="87"/>
      <c r="AO3491" s="87"/>
      <c r="AP3491" s="87"/>
      <c r="AQ3491" s="87" t="s">
        <v>17828</v>
      </c>
      <c r="AR3491" s="87"/>
      <c r="AS3491" s="87"/>
      <c r="AT3491" s="87"/>
      <c r="AU3491" s="87"/>
      <c r="AV3491" s="92" t="str">
        <f>HYPERLINK("https://pbs.twimg.com/media/F5LFeVuWgAAwVLW.jpg")</f>
        <v>https://pbs.twimg.com/media/F5LFeVuWgAAwVLW.jpg</v>
      </c>
      <c r="AW3491" s="93" t="s">
        <v>21618</v>
      </c>
      <c r="AX3491" s="93" t="s">
        <v>21618</v>
      </c>
      <c r="AY3491" s="87"/>
      <c r="AZ3491" s="93" t="s">
        <v>22668</v>
      </c>
      <c r="BA3491" s="93" t="s">
        <v>22668</v>
      </c>
      <c r="BB3491" s="93" t="s">
        <v>22668</v>
      </c>
      <c r="BC3491" s="93" t="s">
        <v>21618</v>
      </c>
      <c r="BD3491" s="87">
        <v>146536708</v>
      </c>
      <c r="BE3491" s="87"/>
      <c r="BF3491" s="87"/>
      <c r="BG3491" s="87"/>
      <c r="BH3491" s="87"/>
      <c r="BI3491" s="87"/>
    </row>
    <row r="3492" spans="1:61" x14ac:dyDescent="0.25">
      <c r="A3492" s="63" t="s">
        <v>1324</v>
      </c>
      <c r="B3492" s="63" t="s">
        <v>1324</v>
      </c>
      <c r="C3492" s="64"/>
      <c r="D3492" s="65"/>
      <c r="E3492" s="66"/>
      <c r="F3492" s="67"/>
      <c r="G3492" s="64"/>
      <c r="H3492" s="68"/>
      <c r="I3492" s="69"/>
      <c r="J3492" s="69"/>
      <c r="K3492" s="32"/>
      <c r="L3492" s="76">
        <v>3492</v>
      </c>
      <c r="M3492" s="76"/>
      <c r="N3492" s="71"/>
      <c r="O3492" s="87" t="s">
        <v>179</v>
      </c>
      <c r="P3492" s="90">
        <v>45165.600844907407</v>
      </c>
      <c r="Q3492" s="87" t="s">
        <v>5167</v>
      </c>
      <c r="R3492" s="87">
        <v>0</v>
      </c>
      <c r="S3492" s="87">
        <v>0</v>
      </c>
      <c r="T3492" s="87">
        <v>0</v>
      </c>
      <c r="U3492" s="87">
        <v>0</v>
      </c>
      <c r="V3492" s="87">
        <v>23</v>
      </c>
      <c r="W3492" s="93" t="s">
        <v>7884</v>
      </c>
      <c r="X3492" s="92" t="str">
        <f>HYPERLINK("http://eu.machado.digital/")</f>
        <v>http://eu.machado.digital/</v>
      </c>
      <c r="Y3492" s="87" t="s">
        <v>8527</v>
      </c>
      <c r="Z3492" s="87"/>
      <c r="AA3492" s="87" t="s">
        <v>11017</v>
      </c>
      <c r="AB3492" s="87" t="s">
        <v>11448</v>
      </c>
      <c r="AC3492" s="93" t="s">
        <v>11462</v>
      </c>
      <c r="AD3492" s="87" t="s">
        <v>11519</v>
      </c>
      <c r="AE3492" s="92" t="str">
        <f>HYPERLINK("https://twitter.com/machadodb_/status/1695804666741653778")</f>
        <v>https://twitter.com/machadodb_/status/1695804666741653778</v>
      </c>
      <c r="AF3492" s="90">
        <v>45165.600844907407</v>
      </c>
      <c r="AG3492" s="99">
        <v>45165</v>
      </c>
      <c r="AH3492" s="93" t="s">
        <v>14622</v>
      </c>
      <c r="AI3492" s="87" t="b">
        <v>0</v>
      </c>
      <c r="AJ3492" s="87"/>
      <c r="AK3492" s="87"/>
      <c r="AL3492" s="87"/>
      <c r="AM3492" s="87"/>
      <c r="AN3492" s="87"/>
      <c r="AO3492" s="87"/>
      <c r="AP3492" s="87"/>
      <c r="AQ3492" s="87" t="s">
        <v>17829</v>
      </c>
      <c r="AR3492" s="87"/>
      <c r="AS3492" s="87"/>
      <c r="AT3492" s="87"/>
      <c r="AU3492" s="87"/>
      <c r="AV3492" s="92" t="str">
        <f>HYPERLINK("https://pbs.twimg.com/media/F4i1W5gXQAAKX0D.jpg")</f>
        <v>https://pbs.twimg.com/media/F4i1W5gXQAAKX0D.jpg</v>
      </c>
      <c r="AW3492" s="93" t="s">
        <v>21619</v>
      </c>
      <c r="AX3492" s="93" t="s">
        <v>21619</v>
      </c>
      <c r="AY3492" s="87"/>
      <c r="AZ3492" s="93" t="s">
        <v>22668</v>
      </c>
      <c r="BA3492" s="93" t="s">
        <v>22668</v>
      </c>
      <c r="BB3492" s="93" t="s">
        <v>22668</v>
      </c>
      <c r="BC3492" s="93" t="s">
        <v>21619</v>
      </c>
      <c r="BD3492" s="87">
        <v>146536708</v>
      </c>
      <c r="BE3492" s="87"/>
      <c r="BF3492" s="87"/>
      <c r="BG3492" s="87"/>
      <c r="BH3492" s="87"/>
      <c r="BI3492" s="87"/>
    </row>
    <row r="3493" spans="1:61" x14ac:dyDescent="0.25">
      <c r="A3493" s="63" t="s">
        <v>1324</v>
      </c>
      <c r="B3493" s="63" t="s">
        <v>1324</v>
      </c>
      <c r="C3493" s="64"/>
      <c r="D3493" s="65"/>
      <c r="E3493" s="66"/>
      <c r="F3493" s="67"/>
      <c r="G3493" s="64"/>
      <c r="H3493" s="68"/>
      <c r="I3493" s="69"/>
      <c r="J3493" s="69"/>
      <c r="K3493" s="32"/>
      <c r="L3493" s="76">
        <v>3493</v>
      </c>
      <c r="M3493" s="76"/>
      <c r="N3493" s="71"/>
      <c r="O3493" s="87" t="s">
        <v>179</v>
      </c>
      <c r="P3493" s="90">
        <v>45179.541944444441</v>
      </c>
      <c r="Q3493" s="87" t="s">
        <v>5168</v>
      </c>
      <c r="R3493" s="87">
        <v>0</v>
      </c>
      <c r="S3493" s="87">
        <v>1</v>
      </c>
      <c r="T3493" s="87">
        <v>0</v>
      </c>
      <c r="U3493" s="87">
        <v>0</v>
      </c>
      <c r="V3493" s="87">
        <v>44</v>
      </c>
      <c r="W3493" s="93" t="s">
        <v>7885</v>
      </c>
      <c r="X3493" s="87"/>
      <c r="Y3493" s="87"/>
      <c r="Z3493" s="87"/>
      <c r="AA3493" s="87" t="s">
        <v>11018</v>
      </c>
      <c r="AB3493" s="87" t="s">
        <v>11448</v>
      </c>
      <c r="AC3493" s="93" t="s">
        <v>11462</v>
      </c>
      <c r="AD3493" s="87" t="s">
        <v>11519</v>
      </c>
      <c r="AE3493" s="92" t="str">
        <f>HYPERLINK("https://twitter.com/machadodb_/status/1700856749383733403")</f>
        <v>https://twitter.com/machadodb_/status/1700856749383733403</v>
      </c>
      <c r="AF3493" s="90">
        <v>45179.541944444441</v>
      </c>
      <c r="AG3493" s="99">
        <v>45179</v>
      </c>
      <c r="AH3493" s="93" t="s">
        <v>14623</v>
      </c>
      <c r="AI3493" s="87" t="b">
        <v>0</v>
      </c>
      <c r="AJ3493" s="87"/>
      <c r="AK3493" s="87"/>
      <c r="AL3493" s="87"/>
      <c r="AM3493" s="87"/>
      <c r="AN3493" s="87"/>
      <c r="AO3493" s="87"/>
      <c r="AP3493" s="87"/>
      <c r="AQ3493" s="87" t="s">
        <v>17830</v>
      </c>
      <c r="AR3493" s="87"/>
      <c r="AS3493" s="87"/>
      <c r="AT3493" s="87"/>
      <c r="AU3493" s="87"/>
      <c r="AV3493" s="92" t="str">
        <f>HYPERLINK("https://pbs.twimg.com/media/F5qoM2BX0AAy2UF.jpg")</f>
        <v>https://pbs.twimg.com/media/F5qoM2BX0AAy2UF.jpg</v>
      </c>
      <c r="AW3493" s="93" t="s">
        <v>21620</v>
      </c>
      <c r="AX3493" s="93" t="s">
        <v>21620</v>
      </c>
      <c r="AY3493" s="87"/>
      <c r="AZ3493" s="93" t="s">
        <v>22668</v>
      </c>
      <c r="BA3493" s="93" t="s">
        <v>22668</v>
      </c>
      <c r="BB3493" s="93" t="s">
        <v>22668</v>
      </c>
      <c r="BC3493" s="93" t="s">
        <v>21620</v>
      </c>
      <c r="BD3493" s="87">
        <v>146536708</v>
      </c>
      <c r="BE3493" s="87"/>
      <c r="BF3493" s="87"/>
      <c r="BG3493" s="87"/>
      <c r="BH3493" s="87"/>
      <c r="BI3493" s="87"/>
    </row>
    <row r="3494" spans="1:61" x14ac:dyDescent="0.25">
      <c r="A3494" s="63" t="s">
        <v>1324</v>
      </c>
      <c r="B3494" s="63" t="s">
        <v>1324</v>
      </c>
      <c r="C3494" s="64"/>
      <c r="D3494" s="65"/>
      <c r="E3494" s="66"/>
      <c r="F3494" s="67"/>
      <c r="G3494" s="64"/>
      <c r="H3494" s="68"/>
      <c r="I3494" s="69"/>
      <c r="J3494" s="69"/>
      <c r="K3494" s="32"/>
      <c r="L3494" s="76">
        <v>3494</v>
      </c>
      <c r="M3494" s="76"/>
      <c r="N3494" s="71"/>
      <c r="O3494" s="87" t="s">
        <v>179</v>
      </c>
      <c r="P3494" s="90">
        <v>45117.375208333331</v>
      </c>
      <c r="Q3494" s="87" t="s">
        <v>5169</v>
      </c>
      <c r="R3494" s="87">
        <v>0</v>
      </c>
      <c r="S3494" s="87">
        <v>0</v>
      </c>
      <c r="T3494" s="87">
        <v>0</v>
      </c>
      <c r="U3494" s="87">
        <v>0</v>
      </c>
      <c r="V3494" s="87">
        <v>20</v>
      </c>
      <c r="W3494" s="93" t="s">
        <v>7885</v>
      </c>
      <c r="X3494" s="87"/>
      <c r="Y3494" s="87"/>
      <c r="Z3494" s="87"/>
      <c r="AA3494" s="87" t="s">
        <v>11019</v>
      </c>
      <c r="AB3494" s="87" t="s">
        <v>11448</v>
      </c>
      <c r="AC3494" s="93" t="s">
        <v>11462</v>
      </c>
      <c r="AD3494" s="87" t="s">
        <v>11519</v>
      </c>
      <c r="AE3494" s="92" t="str">
        <f>HYPERLINK("https://twitter.com/machadodb_/status/1678328280200409089")</f>
        <v>https://twitter.com/machadodb_/status/1678328280200409089</v>
      </c>
      <c r="AF3494" s="90">
        <v>45117.375208333331</v>
      </c>
      <c r="AG3494" s="99">
        <v>45117</v>
      </c>
      <c r="AH3494" s="93" t="s">
        <v>14624</v>
      </c>
      <c r="AI3494" s="87" t="b">
        <v>0</v>
      </c>
      <c r="AJ3494" s="87"/>
      <c r="AK3494" s="87"/>
      <c r="AL3494" s="87"/>
      <c r="AM3494" s="87"/>
      <c r="AN3494" s="87"/>
      <c r="AO3494" s="87"/>
      <c r="AP3494" s="87"/>
      <c r="AQ3494" s="87" t="s">
        <v>17831</v>
      </c>
      <c r="AR3494" s="87"/>
      <c r="AS3494" s="87"/>
      <c r="AT3494" s="87"/>
      <c r="AU3494" s="87"/>
      <c r="AV3494" s="92" t="str">
        <f>HYPERLINK("https://pbs.twimg.com/media/F0qerV_XwAAH24k.jpg")</f>
        <v>https://pbs.twimg.com/media/F0qerV_XwAAH24k.jpg</v>
      </c>
      <c r="AW3494" s="93" t="s">
        <v>21621</v>
      </c>
      <c r="AX3494" s="93" t="s">
        <v>21621</v>
      </c>
      <c r="AY3494" s="87"/>
      <c r="AZ3494" s="93" t="s">
        <v>22668</v>
      </c>
      <c r="BA3494" s="93" t="s">
        <v>22668</v>
      </c>
      <c r="BB3494" s="93" t="s">
        <v>22668</v>
      </c>
      <c r="BC3494" s="93" t="s">
        <v>21621</v>
      </c>
      <c r="BD3494" s="87">
        <v>146536708</v>
      </c>
      <c r="BE3494" s="87"/>
      <c r="BF3494" s="87"/>
      <c r="BG3494" s="87"/>
      <c r="BH3494" s="87"/>
      <c r="BI3494" s="87"/>
    </row>
    <row r="3495" spans="1:61" x14ac:dyDescent="0.25">
      <c r="A3495" s="63" t="s">
        <v>1324</v>
      </c>
      <c r="B3495" s="63" t="s">
        <v>1324</v>
      </c>
      <c r="C3495" s="64"/>
      <c r="D3495" s="65"/>
      <c r="E3495" s="66"/>
      <c r="F3495" s="67"/>
      <c r="G3495" s="64"/>
      <c r="H3495" s="68"/>
      <c r="I3495" s="69"/>
      <c r="J3495" s="69"/>
      <c r="K3495" s="32"/>
      <c r="L3495" s="76">
        <v>3495</v>
      </c>
      <c r="M3495" s="76"/>
      <c r="N3495" s="71"/>
      <c r="O3495" s="87" t="s">
        <v>179</v>
      </c>
      <c r="P3495" s="90">
        <v>45115.843217592592</v>
      </c>
      <c r="Q3495" s="87" t="s">
        <v>5170</v>
      </c>
      <c r="R3495" s="87">
        <v>0</v>
      </c>
      <c r="S3495" s="87">
        <v>0</v>
      </c>
      <c r="T3495" s="87">
        <v>0</v>
      </c>
      <c r="U3495" s="87">
        <v>0</v>
      </c>
      <c r="V3495" s="87">
        <v>12</v>
      </c>
      <c r="W3495" s="93" t="s">
        <v>7886</v>
      </c>
      <c r="X3495" s="87"/>
      <c r="Y3495" s="87"/>
      <c r="Z3495" s="87"/>
      <c r="AA3495" s="87" t="s">
        <v>11020</v>
      </c>
      <c r="AB3495" s="87" t="s">
        <v>11448</v>
      </c>
      <c r="AC3495" s="93" t="s">
        <v>11462</v>
      </c>
      <c r="AD3495" s="87" t="s">
        <v>11519</v>
      </c>
      <c r="AE3495" s="92" t="str">
        <f>HYPERLINK("https://twitter.com/machadodb_/status/1677773106469797889")</f>
        <v>https://twitter.com/machadodb_/status/1677773106469797889</v>
      </c>
      <c r="AF3495" s="90">
        <v>45115.843217592592</v>
      </c>
      <c r="AG3495" s="99">
        <v>45115</v>
      </c>
      <c r="AH3495" s="93" t="s">
        <v>14625</v>
      </c>
      <c r="AI3495" s="87" t="b">
        <v>0</v>
      </c>
      <c r="AJ3495" s="87"/>
      <c r="AK3495" s="87"/>
      <c r="AL3495" s="87"/>
      <c r="AM3495" s="87"/>
      <c r="AN3495" s="87"/>
      <c r="AO3495" s="87"/>
      <c r="AP3495" s="87"/>
      <c r="AQ3495" s="87" t="s">
        <v>17832</v>
      </c>
      <c r="AR3495" s="87"/>
      <c r="AS3495" s="87"/>
      <c r="AT3495" s="87"/>
      <c r="AU3495" s="87"/>
      <c r="AV3495" s="92" t="str">
        <f>HYPERLINK("https://pbs.twimg.com/media/F0ilv8-WIAEVgTI.jpg")</f>
        <v>https://pbs.twimg.com/media/F0ilv8-WIAEVgTI.jpg</v>
      </c>
      <c r="AW3495" s="93" t="s">
        <v>21622</v>
      </c>
      <c r="AX3495" s="93" t="s">
        <v>21622</v>
      </c>
      <c r="AY3495" s="87"/>
      <c r="AZ3495" s="93" t="s">
        <v>22668</v>
      </c>
      <c r="BA3495" s="93" t="s">
        <v>22668</v>
      </c>
      <c r="BB3495" s="93" t="s">
        <v>22668</v>
      </c>
      <c r="BC3495" s="93" t="s">
        <v>21622</v>
      </c>
      <c r="BD3495" s="87">
        <v>146536708</v>
      </c>
      <c r="BE3495" s="87"/>
      <c r="BF3495" s="87"/>
      <c r="BG3495" s="87"/>
      <c r="BH3495" s="87"/>
      <c r="BI3495" s="87"/>
    </row>
    <row r="3496" spans="1:61" x14ac:dyDescent="0.25">
      <c r="A3496" s="63" t="s">
        <v>1324</v>
      </c>
      <c r="B3496" s="63" t="s">
        <v>1324</v>
      </c>
      <c r="C3496" s="64"/>
      <c r="D3496" s="65"/>
      <c r="E3496" s="66"/>
      <c r="F3496" s="67"/>
      <c r="G3496" s="64"/>
      <c r="H3496" s="68"/>
      <c r="I3496" s="69"/>
      <c r="J3496" s="69"/>
      <c r="K3496" s="32"/>
      <c r="L3496" s="76">
        <v>3496</v>
      </c>
      <c r="M3496" s="76"/>
      <c r="N3496" s="71"/>
      <c r="O3496" s="87" t="s">
        <v>179</v>
      </c>
      <c r="P3496" s="90">
        <v>45195.39603009259</v>
      </c>
      <c r="Q3496" s="87" t="s">
        <v>5171</v>
      </c>
      <c r="R3496" s="87">
        <v>0</v>
      </c>
      <c r="S3496" s="87">
        <v>0</v>
      </c>
      <c r="T3496" s="87">
        <v>0</v>
      </c>
      <c r="U3496" s="87">
        <v>0</v>
      </c>
      <c r="V3496" s="87">
        <v>16</v>
      </c>
      <c r="W3496" s="93" t="s">
        <v>7884</v>
      </c>
      <c r="X3496" s="92" t="str">
        <f>HYPERLINK("http://canais.machado.digital")</f>
        <v>http://canais.machado.digital</v>
      </c>
      <c r="Y3496" s="87" t="s">
        <v>8527</v>
      </c>
      <c r="Z3496" s="87"/>
      <c r="AA3496" s="87" t="s">
        <v>11021</v>
      </c>
      <c r="AB3496" s="87" t="s">
        <v>11448</v>
      </c>
      <c r="AC3496" s="93" t="s">
        <v>11462</v>
      </c>
      <c r="AD3496" s="87" t="s">
        <v>11519</v>
      </c>
      <c r="AE3496" s="92" t="str">
        <f>HYPERLINK("https://twitter.com/machadodb_/status/1706602078338986462")</f>
        <v>https://twitter.com/machadodb_/status/1706602078338986462</v>
      </c>
      <c r="AF3496" s="90">
        <v>45195.39603009259</v>
      </c>
      <c r="AG3496" s="99">
        <v>45195</v>
      </c>
      <c r="AH3496" s="93" t="s">
        <v>14626</v>
      </c>
      <c r="AI3496" s="87" t="b">
        <v>0</v>
      </c>
      <c r="AJ3496" s="87"/>
      <c r="AK3496" s="87"/>
      <c r="AL3496" s="87"/>
      <c r="AM3496" s="87"/>
      <c r="AN3496" s="87"/>
      <c r="AO3496" s="87"/>
      <c r="AP3496" s="87"/>
      <c r="AQ3496" s="87" t="s">
        <v>17833</v>
      </c>
      <c r="AR3496" s="87"/>
      <c r="AS3496" s="87"/>
      <c r="AT3496" s="87"/>
      <c r="AU3496" s="87"/>
      <c r="AV3496" s="92" t="str">
        <f>HYPERLINK("https://pbs.twimg.com/media/F68Ri_hXkAAThz-.jpg")</f>
        <v>https://pbs.twimg.com/media/F68Ri_hXkAAThz-.jpg</v>
      </c>
      <c r="AW3496" s="93" t="s">
        <v>21623</v>
      </c>
      <c r="AX3496" s="93" t="s">
        <v>21623</v>
      </c>
      <c r="AY3496" s="87"/>
      <c r="AZ3496" s="93" t="s">
        <v>22668</v>
      </c>
      <c r="BA3496" s="93" t="s">
        <v>22668</v>
      </c>
      <c r="BB3496" s="93" t="s">
        <v>22668</v>
      </c>
      <c r="BC3496" s="93" t="s">
        <v>21623</v>
      </c>
      <c r="BD3496" s="87">
        <v>146536708</v>
      </c>
      <c r="BE3496" s="87"/>
      <c r="BF3496" s="87"/>
      <c r="BG3496" s="87"/>
      <c r="BH3496" s="87"/>
      <c r="BI3496" s="87"/>
    </row>
    <row r="3497" spans="1:61" x14ac:dyDescent="0.25">
      <c r="A3497" s="63" t="s">
        <v>1324</v>
      </c>
      <c r="B3497" s="63" t="s">
        <v>1324</v>
      </c>
      <c r="C3497" s="64"/>
      <c r="D3497" s="65"/>
      <c r="E3497" s="66"/>
      <c r="F3497" s="67"/>
      <c r="G3497" s="64"/>
      <c r="H3497" s="68"/>
      <c r="I3497" s="69"/>
      <c r="J3497" s="69"/>
      <c r="K3497" s="32"/>
      <c r="L3497" s="76">
        <v>3497</v>
      </c>
      <c r="M3497" s="76"/>
      <c r="N3497" s="71"/>
      <c r="O3497" s="87" t="s">
        <v>179</v>
      </c>
      <c r="P3497" s="90">
        <v>45191.475868055553</v>
      </c>
      <c r="Q3497" s="87" t="s">
        <v>5172</v>
      </c>
      <c r="R3497" s="87">
        <v>0</v>
      </c>
      <c r="S3497" s="87">
        <v>0</v>
      </c>
      <c r="T3497" s="87">
        <v>0</v>
      </c>
      <c r="U3497" s="87">
        <v>0</v>
      </c>
      <c r="V3497" s="87">
        <v>28</v>
      </c>
      <c r="W3497" s="93" t="s">
        <v>7887</v>
      </c>
      <c r="X3497" s="87"/>
      <c r="Y3497" s="87"/>
      <c r="Z3497" s="87"/>
      <c r="AA3497" s="87" t="s">
        <v>11022</v>
      </c>
      <c r="AB3497" s="87" t="s">
        <v>11448</v>
      </c>
      <c r="AC3497" s="93" t="s">
        <v>11462</v>
      </c>
      <c r="AD3497" s="87" t="s">
        <v>11519</v>
      </c>
      <c r="AE3497" s="92" t="str">
        <f>HYPERLINK("https://twitter.com/machadodb_/status/1705181459428868324")</f>
        <v>https://twitter.com/machadodb_/status/1705181459428868324</v>
      </c>
      <c r="AF3497" s="90">
        <v>45191.475868055553</v>
      </c>
      <c r="AG3497" s="99">
        <v>45191</v>
      </c>
      <c r="AH3497" s="93" t="s">
        <v>14627</v>
      </c>
      <c r="AI3497" s="87" t="b">
        <v>0</v>
      </c>
      <c r="AJ3497" s="87"/>
      <c r="AK3497" s="87"/>
      <c r="AL3497" s="87"/>
      <c r="AM3497" s="87"/>
      <c r="AN3497" s="87"/>
      <c r="AO3497" s="87"/>
      <c r="AP3497" s="87"/>
      <c r="AQ3497" s="87" t="s">
        <v>17834</v>
      </c>
      <c r="AR3497" s="87"/>
      <c r="AS3497" s="87"/>
      <c r="AT3497" s="87"/>
      <c r="AU3497" s="87"/>
      <c r="AV3497" s="92" t="str">
        <f>HYPERLINK("https://pbs.twimg.com/media/F6oFgGCW8AAuenB.jpg")</f>
        <v>https://pbs.twimg.com/media/F6oFgGCW8AAuenB.jpg</v>
      </c>
      <c r="AW3497" s="93" t="s">
        <v>21624</v>
      </c>
      <c r="AX3497" s="93" t="s">
        <v>21624</v>
      </c>
      <c r="AY3497" s="87"/>
      <c r="AZ3497" s="93" t="s">
        <v>22668</v>
      </c>
      <c r="BA3497" s="93" t="s">
        <v>22668</v>
      </c>
      <c r="BB3497" s="93" t="s">
        <v>22668</v>
      </c>
      <c r="BC3497" s="93" t="s">
        <v>21624</v>
      </c>
      <c r="BD3497" s="87">
        <v>146536708</v>
      </c>
      <c r="BE3497" s="87"/>
      <c r="BF3497" s="87"/>
      <c r="BG3497" s="87"/>
      <c r="BH3497" s="87"/>
      <c r="BI3497" s="87"/>
    </row>
    <row r="3498" spans="1:61" x14ac:dyDescent="0.25">
      <c r="A3498" s="63" t="s">
        <v>1324</v>
      </c>
      <c r="B3498" s="63" t="s">
        <v>1324</v>
      </c>
      <c r="C3498" s="64"/>
      <c r="D3498" s="65"/>
      <c r="E3498" s="66"/>
      <c r="F3498" s="67"/>
      <c r="G3498" s="64"/>
      <c r="H3498" s="68"/>
      <c r="I3498" s="69"/>
      <c r="J3498" s="69"/>
      <c r="K3498" s="32"/>
      <c r="L3498" s="76">
        <v>3498</v>
      </c>
      <c r="M3498" s="76"/>
      <c r="N3498" s="71"/>
      <c r="O3498" s="87" t="s">
        <v>179</v>
      </c>
      <c r="P3498" s="90">
        <v>45139.769328703704</v>
      </c>
      <c r="Q3498" s="87" t="s">
        <v>5173</v>
      </c>
      <c r="R3498" s="87">
        <v>0</v>
      </c>
      <c r="S3498" s="87">
        <v>0</v>
      </c>
      <c r="T3498" s="87">
        <v>0</v>
      </c>
      <c r="U3498" s="87">
        <v>0</v>
      </c>
      <c r="V3498" s="87">
        <v>20</v>
      </c>
      <c r="W3498" s="93" t="s">
        <v>7883</v>
      </c>
      <c r="X3498" s="87"/>
      <c r="Y3498" s="87"/>
      <c r="Z3498" s="87"/>
      <c r="AA3498" s="87" t="s">
        <v>11023</v>
      </c>
      <c r="AB3498" s="87" t="s">
        <v>11448</v>
      </c>
      <c r="AC3498" s="93" t="s">
        <v>11462</v>
      </c>
      <c r="AD3498" s="87" t="s">
        <v>11519</v>
      </c>
      <c r="AE3498" s="92" t="str">
        <f>HYPERLINK("https://twitter.com/machadodb_/status/1686443636588691464")</f>
        <v>https://twitter.com/machadodb_/status/1686443636588691464</v>
      </c>
      <c r="AF3498" s="90">
        <v>45139.769328703704</v>
      </c>
      <c r="AG3498" s="99">
        <v>45139</v>
      </c>
      <c r="AH3498" s="93" t="s">
        <v>14628</v>
      </c>
      <c r="AI3498" s="87" t="b">
        <v>0</v>
      </c>
      <c r="AJ3498" s="87"/>
      <c r="AK3498" s="87"/>
      <c r="AL3498" s="87"/>
      <c r="AM3498" s="87"/>
      <c r="AN3498" s="87"/>
      <c r="AO3498" s="87"/>
      <c r="AP3498" s="87"/>
      <c r="AQ3498" s="87" t="s">
        <v>17835</v>
      </c>
      <c r="AR3498" s="87"/>
      <c r="AS3498" s="87"/>
      <c r="AT3498" s="87"/>
      <c r="AU3498" s="87"/>
      <c r="AV3498" s="92" t="str">
        <f>HYPERLINK("https://pbs.twimg.com/media/F2dzjNPWQAUoYID.jpg")</f>
        <v>https://pbs.twimg.com/media/F2dzjNPWQAUoYID.jpg</v>
      </c>
      <c r="AW3498" s="93" t="s">
        <v>21625</v>
      </c>
      <c r="AX3498" s="93" t="s">
        <v>21625</v>
      </c>
      <c r="AY3498" s="87"/>
      <c r="AZ3498" s="93" t="s">
        <v>22668</v>
      </c>
      <c r="BA3498" s="93" t="s">
        <v>22668</v>
      </c>
      <c r="BB3498" s="93" t="s">
        <v>22668</v>
      </c>
      <c r="BC3498" s="93" t="s">
        <v>21625</v>
      </c>
      <c r="BD3498" s="87">
        <v>146536708</v>
      </c>
      <c r="BE3498" s="87"/>
      <c r="BF3498" s="87"/>
      <c r="BG3498" s="87"/>
      <c r="BH3498" s="87"/>
      <c r="BI3498" s="87"/>
    </row>
    <row r="3499" spans="1:61" x14ac:dyDescent="0.25">
      <c r="A3499" s="63" t="s">
        <v>1324</v>
      </c>
      <c r="B3499" s="63" t="s">
        <v>1324</v>
      </c>
      <c r="C3499" s="64"/>
      <c r="D3499" s="65"/>
      <c r="E3499" s="66"/>
      <c r="F3499" s="67"/>
      <c r="G3499" s="64"/>
      <c r="H3499" s="68"/>
      <c r="I3499" s="69"/>
      <c r="J3499" s="69"/>
      <c r="K3499" s="32"/>
      <c r="L3499" s="76">
        <v>3499</v>
      </c>
      <c r="M3499" s="76"/>
      <c r="N3499" s="71"/>
      <c r="O3499" s="87" t="s">
        <v>179</v>
      </c>
      <c r="P3499" s="90">
        <v>45126.511157407411</v>
      </c>
      <c r="Q3499" s="87" t="s">
        <v>5174</v>
      </c>
      <c r="R3499" s="87">
        <v>0</v>
      </c>
      <c r="S3499" s="87">
        <v>0</v>
      </c>
      <c r="T3499" s="87">
        <v>0</v>
      </c>
      <c r="U3499" s="87">
        <v>0</v>
      </c>
      <c r="V3499" s="87">
        <v>26</v>
      </c>
      <c r="W3499" s="93" t="s">
        <v>6094</v>
      </c>
      <c r="X3499" s="87"/>
      <c r="Y3499" s="87"/>
      <c r="Z3499" s="87"/>
      <c r="AA3499" s="87" t="s">
        <v>11024</v>
      </c>
      <c r="AB3499" s="87" t="s">
        <v>11448</v>
      </c>
      <c r="AC3499" s="93" t="s">
        <v>11462</v>
      </c>
      <c r="AD3499" s="87" t="s">
        <v>11519</v>
      </c>
      <c r="AE3499" s="92" t="str">
        <f>HYPERLINK("https://twitter.com/machadodb_/status/1681639035641495552")</f>
        <v>https://twitter.com/machadodb_/status/1681639035641495552</v>
      </c>
      <c r="AF3499" s="90">
        <v>45126.511157407411</v>
      </c>
      <c r="AG3499" s="99">
        <v>45126</v>
      </c>
      <c r="AH3499" s="93" t="s">
        <v>14629</v>
      </c>
      <c r="AI3499" s="87" t="b">
        <v>0</v>
      </c>
      <c r="AJ3499" s="87"/>
      <c r="AK3499" s="87"/>
      <c r="AL3499" s="87"/>
      <c r="AM3499" s="87"/>
      <c r="AN3499" s="87"/>
      <c r="AO3499" s="87"/>
      <c r="AP3499" s="87"/>
      <c r="AQ3499" s="87" t="s">
        <v>17836</v>
      </c>
      <c r="AR3499" s="87"/>
      <c r="AS3499" s="87"/>
      <c r="AT3499" s="87"/>
      <c r="AU3499" s="87"/>
      <c r="AV3499" s="92" t="str">
        <f>HYPERLINK("https://pbs.twimg.com/media/F1Zhym8WIAA4xIC.jpg")</f>
        <v>https://pbs.twimg.com/media/F1Zhym8WIAA4xIC.jpg</v>
      </c>
      <c r="AW3499" s="93" t="s">
        <v>21626</v>
      </c>
      <c r="AX3499" s="93" t="s">
        <v>21626</v>
      </c>
      <c r="AY3499" s="87"/>
      <c r="AZ3499" s="93" t="s">
        <v>22668</v>
      </c>
      <c r="BA3499" s="93" t="s">
        <v>22668</v>
      </c>
      <c r="BB3499" s="93" t="s">
        <v>22668</v>
      </c>
      <c r="BC3499" s="93" t="s">
        <v>21626</v>
      </c>
      <c r="BD3499" s="87">
        <v>146536708</v>
      </c>
      <c r="BE3499" s="87"/>
      <c r="BF3499" s="87"/>
      <c r="BG3499" s="87"/>
      <c r="BH3499" s="87"/>
      <c r="BI3499" s="87"/>
    </row>
    <row r="3500" spans="1:61" x14ac:dyDescent="0.25">
      <c r="A3500" s="63" t="s">
        <v>1324</v>
      </c>
      <c r="B3500" s="63" t="s">
        <v>1324</v>
      </c>
      <c r="C3500" s="64"/>
      <c r="D3500" s="65"/>
      <c r="E3500" s="66"/>
      <c r="F3500" s="67"/>
      <c r="G3500" s="64"/>
      <c r="H3500" s="68"/>
      <c r="I3500" s="69"/>
      <c r="J3500" s="69"/>
      <c r="K3500" s="32"/>
      <c r="L3500" s="76">
        <v>3500</v>
      </c>
      <c r="M3500" s="76"/>
      <c r="N3500" s="71"/>
      <c r="O3500" s="87" t="s">
        <v>179</v>
      </c>
      <c r="P3500" s="90">
        <v>45196.723194444443</v>
      </c>
      <c r="Q3500" s="87" t="s">
        <v>5175</v>
      </c>
      <c r="R3500" s="87">
        <v>0</v>
      </c>
      <c r="S3500" s="87">
        <v>0</v>
      </c>
      <c r="T3500" s="87">
        <v>0</v>
      </c>
      <c r="U3500" s="87">
        <v>0</v>
      </c>
      <c r="V3500" s="87">
        <v>6</v>
      </c>
      <c r="W3500" s="93" t="s">
        <v>7888</v>
      </c>
      <c r="X3500" s="92" t="str">
        <f>HYPERLINK("http://ig.machado.digital")</f>
        <v>http://ig.machado.digital</v>
      </c>
      <c r="Y3500" s="87" t="s">
        <v>8527</v>
      </c>
      <c r="Z3500" s="87"/>
      <c r="AA3500" s="87" t="s">
        <v>11025</v>
      </c>
      <c r="AB3500" s="87" t="s">
        <v>11448</v>
      </c>
      <c r="AC3500" s="93" t="s">
        <v>11462</v>
      </c>
      <c r="AD3500" s="87" t="s">
        <v>11519</v>
      </c>
      <c r="AE3500" s="92" t="str">
        <f>HYPERLINK("https://twitter.com/machadodb_/status/1707083025702441258")</f>
        <v>https://twitter.com/machadodb_/status/1707083025702441258</v>
      </c>
      <c r="AF3500" s="90">
        <v>45196.723194444443</v>
      </c>
      <c r="AG3500" s="99">
        <v>45196</v>
      </c>
      <c r="AH3500" s="93" t="s">
        <v>14630</v>
      </c>
      <c r="AI3500" s="87" t="b">
        <v>0</v>
      </c>
      <c r="AJ3500" s="87"/>
      <c r="AK3500" s="87"/>
      <c r="AL3500" s="87"/>
      <c r="AM3500" s="87"/>
      <c r="AN3500" s="87"/>
      <c r="AO3500" s="87"/>
      <c r="AP3500" s="87"/>
      <c r="AQ3500" s="87" t="s">
        <v>17837</v>
      </c>
      <c r="AR3500" s="87"/>
      <c r="AS3500" s="87"/>
      <c r="AT3500" s="87"/>
      <c r="AU3500" s="87"/>
      <c r="AV3500" s="92" t="str">
        <f>HYPERLINK("https://pbs.twimg.com/media/F7DG9yhWMAAVSCR.jpg")</f>
        <v>https://pbs.twimg.com/media/F7DG9yhWMAAVSCR.jpg</v>
      </c>
      <c r="AW3500" s="93" t="s">
        <v>21627</v>
      </c>
      <c r="AX3500" s="93" t="s">
        <v>21627</v>
      </c>
      <c r="AY3500" s="87"/>
      <c r="AZ3500" s="93" t="s">
        <v>22668</v>
      </c>
      <c r="BA3500" s="93" t="s">
        <v>22668</v>
      </c>
      <c r="BB3500" s="93" t="s">
        <v>22668</v>
      </c>
      <c r="BC3500" s="93" t="s">
        <v>21627</v>
      </c>
      <c r="BD3500" s="87">
        <v>146536708</v>
      </c>
      <c r="BE3500" s="87"/>
      <c r="BF3500" s="87"/>
      <c r="BG3500" s="87"/>
      <c r="BH3500" s="87"/>
      <c r="BI3500" s="87"/>
    </row>
    <row r="3501" spans="1:61" x14ac:dyDescent="0.25">
      <c r="A3501" s="63" t="s">
        <v>1324</v>
      </c>
      <c r="B3501" s="63" t="s">
        <v>1324</v>
      </c>
      <c r="C3501" s="64"/>
      <c r="D3501" s="65"/>
      <c r="E3501" s="66"/>
      <c r="F3501" s="67"/>
      <c r="G3501" s="64"/>
      <c r="H3501" s="68"/>
      <c r="I3501" s="69"/>
      <c r="J3501" s="69"/>
      <c r="K3501" s="32"/>
      <c r="L3501" s="76">
        <v>3501</v>
      </c>
      <c r="M3501" s="76"/>
      <c r="N3501" s="71"/>
      <c r="O3501" s="87" t="s">
        <v>179</v>
      </c>
      <c r="P3501" s="90">
        <v>45175.503078703703</v>
      </c>
      <c r="Q3501" s="87" t="s">
        <v>5176</v>
      </c>
      <c r="R3501" s="87">
        <v>0</v>
      </c>
      <c r="S3501" s="87">
        <v>0</v>
      </c>
      <c r="T3501" s="87">
        <v>0</v>
      </c>
      <c r="U3501" s="87">
        <v>0</v>
      </c>
      <c r="V3501" s="87">
        <v>16</v>
      </c>
      <c r="W3501" s="93" t="s">
        <v>7884</v>
      </c>
      <c r="X3501" s="92" t="str">
        <f>HYPERLINK("http://canais.pilmoza.digital")</f>
        <v>http://canais.pilmoza.digital</v>
      </c>
      <c r="Y3501" s="87" t="s">
        <v>8528</v>
      </c>
      <c r="Z3501" s="87"/>
      <c r="AA3501" s="87" t="s">
        <v>11026</v>
      </c>
      <c r="AB3501" s="87" t="s">
        <v>11448</v>
      </c>
      <c r="AC3501" s="93" t="s">
        <v>11462</v>
      </c>
      <c r="AD3501" s="87" t="s">
        <v>11519</v>
      </c>
      <c r="AE3501" s="92" t="str">
        <f>HYPERLINK("https://twitter.com/machadodb_/status/1699393113251303927")</f>
        <v>https://twitter.com/machadodb_/status/1699393113251303927</v>
      </c>
      <c r="AF3501" s="90">
        <v>45175.503078703703</v>
      </c>
      <c r="AG3501" s="99">
        <v>45175</v>
      </c>
      <c r="AH3501" s="93" t="s">
        <v>14631</v>
      </c>
      <c r="AI3501" s="87" t="b">
        <v>0</v>
      </c>
      <c r="AJ3501" s="87"/>
      <c r="AK3501" s="87"/>
      <c r="AL3501" s="87"/>
      <c r="AM3501" s="87"/>
      <c r="AN3501" s="87"/>
      <c r="AO3501" s="87"/>
      <c r="AP3501" s="87"/>
      <c r="AQ3501" s="87" t="s">
        <v>17838</v>
      </c>
      <c r="AR3501" s="87"/>
      <c r="AS3501" s="87"/>
      <c r="AT3501" s="87"/>
      <c r="AU3501" s="87"/>
      <c r="AV3501" s="92" t="str">
        <f>HYPERLINK("https://pbs.twimg.com/media/F5V1B-IW8AA_LBt.jpg")</f>
        <v>https://pbs.twimg.com/media/F5V1B-IW8AA_LBt.jpg</v>
      </c>
      <c r="AW3501" s="93" t="s">
        <v>21628</v>
      </c>
      <c r="AX3501" s="93" t="s">
        <v>21628</v>
      </c>
      <c r="AY3501" s="87"/>
      <c r="AZ3501" s="93" t="s">
        <v>22668</v>
      </c>
      <c r="BA3501" s="93" t="s">
        <v>22668</v>
      </c>
      <c r="BB3501" s="93" t="s">
        <v>22668</v>
      </c>
      <c r="BC3501" s="93" t="s">
        <v>21628</v>
      </c>
      <c r="BD3501" s="87">
        <v>146536708</v>
      </c>
      <c r="BE3501" s="87"/>
      <c r="BF3501" s="87"/>
      <c r="BG3501" s="87"/>
      <c r="BH3501" s="87"/>
      <c r="BI3501" s="87"/>
    </row>
    <row r="3502" spans="1:61" x14ac:dyDescent="0.25">
      <c r="A3502" s="63" t="s">
        <v>1325</v>
      </c>
      <c r="B3502" s="63" t="s">
        <v>1325</v>
      </c>
      <c r="C3502" s="64"/>
      <c r="D3502" s="65"/>
      <c r="E3502" s="66"/>
      <c r="F3502" s="67"/>
      <c r="G3502" s="64"/>
      <c r="H3502" s="68"/>
      <c r="I3502" s="69"/>
      <c r="J3502" s="69"/>
      <c r="K3502" s="32"/>
      <c r="L3502" s="76">
        <v>3502</v>
      </c>
      <c r="M3502" s="76"/>
      <c r="N3502" s="71"/>
      <c r="O3502" s="87" t="s">
        <v>179</v>
      </c>
      <c r="P3502" s="90">
        <v>45194.857199074075</v>
      </c>
      <c r="Q3502" s="87" t="s">
        <v>5177</v>
      </c>
      <c r="R3502" s="87">
        <v>1</v>
      </c>
      <c r="S3502" s="87">
        <v>1</v>
      </c>
      <c r="T3502" s="87">
        <v>0</v>
      </c>
      <c r="U3502" s="87">
        <v>0</v>
      </c>
      <c r="V3502" s="87">
        <v>10</v>
      </c>
      <c r="W3502" s="93" t="s">
        <v>6940</v>
      </c>
      <c r="X3502" s="87"/>
      <c r="Y3502" s="87"/>
      <c r="Z3502" s="87"/>
      <c r="AA3502" s="87" t="s">
        <v>11027</v>
      </c>
      <c r="AB3502" s="87" t="s">
        <v>11448</v>
      </c>
      <c r="AC3502" s="93" t="s">
        <v>11457</v>
      </c>
      <c r="AD3502" s="87" t="s">
        <v>11519</v>
      </c>
      <c r="AE3502" s="92" t="str">
        <f>HYPERLINK("https://twitter.com/planbhangout/status/1706406811518091515")</f>
        <v>https://twitter.com/planbhangout/status/1706406811518091515</v>
      </c>
      <c r="AF3502" s="90">
        <v>45194.857199074075</v>
      </c>
      <c r="AG3502" s="99">
        <v>45194</v>
      </c>
      <c r="AH3502" s="93" t="s">
        <v>14632</v>
      </c>
      <c r="AI3502" s="87" t="b">
        <v>0</v>
      </c>
      <c r="AJ3502" s="87"/>
      <c r="AK3502" s="87"/>
      <c r="AL3502" s="87"/>
      <c r="AM3502" s="87"/>
      <c r="AN3502" s="87"/>
      <c r="AO3502" s="87"/>
      <c r="AP3502" s="87"/>
      <c r="AQ3502" s="87" t="s">
        <v>17839</v>
      </c>
      <c r="AR3502" s="87"/>
      <c r="AS3502" s="87"/>
      <c r="AT3502" s="87"/>
      <c r="AU3502" s="87"/>
      <c r="AV3502" s="92" t="str">
        <f>HYPERLINK("https://pbs.twimg.com/media/F65fa4dXoAANkDM.jpg")</f>
        <v>https://pbs.twimg.com/media/F65fa4dXoAANkDM.jpg</v>
      </c>
      <c r="AW3502" s="93" t="s">
        <v>21629</v>
      </c>
      <c r="AX3502" s="93" t="s">
        <v>21629</v>
      </c>
      <c r="AY3502" s="87"/>
      <c r="AZ3502" s="93" t="s">
        <v>22668</v>
      </c>
      <c r="BA3502" s="93" t="s">
        <v>22668</v>
      </c>
      <c r="BB3502" s="93" t="s">
        <v>22668</v>
      </c>
      <c r="BC3502" s="93" t="s">
        <v>21629</v>
      </c>
      <c r="BD3502" s="93" t="s">
        <v>23433</v>
      </c>
      <c r="BE3502" s="87"/>
      <c r="BF3502" s="87"/>
      <c r="BG3502" s="87"/>
      <c r="BH3502" s="87"/>
      <c r="BI3502" s="87"/>
    </row>
    <row r="3503" spans="1:61" x14ac:dyDescent="0.25">
      <c r="A3503" s="63" t="s">
        <v>1326</v>
      </c>
      <c r="B3503" s="63" t="s">
        <v>1326</v>
      </c>
      <c r="C3503" s="64"/>
      <c r="D3503" s="65"/>
      <c r="E3503" s="66"/>
      <c r="F3503" s="67"/>
      <c r="G3503" s="64"/>
      <c r="H3503" s="68"/>
      <c r="I3503" s="69"/>
      <c r="J3503" s="69"/>
      <c r="K3503" s="32"/>
      <c r="L3503" s="76">
        <v>3503</v>
      </c>
      <c r="M3503" s="76"/>
      <c r="N3503" s="71"/>
      <c r="O3503" s="87" t="s">
        <v>179</v>
      </c>
      <c r="P3503" s="90">
        <v>45111.045046296298</v>
      </c>
      <c r="Q3503" s="87" t="s">
        <v>5178</v>
      </c>
      <c r="R3503" s="87">
        <v>0</v>
      </c>
      <c r="S3503" s="87">
        <v>0</v>
      </c>
      <c r="T3503" s="87">
        <v>0</v>
      </c>
      <c r="U3503" s="87">
        <v>0</v>
      </c>
      <c r="V3503" s="87">
        <v>18</v>
      </c>
      <c r="W3503" s="93" t="s">
        <v>7889</v>
      </c>
      <c r="X3503" s="87"/>
      <c r="Y3503" s="87"/>
      <c r="Z3503" s="87"/>
      <c r="AA3503" s="87" t="s">
        <v>11028</v>
      </c>
      <c r="AB3503" s="87" t="s">
        <v>11447</v>
      </c>
      <c r="AC3503" s="93" t="s">
        <v>11458</v>
      </c>
      <c r="AD3503" s="87" t="s">
        <v>11520</v>
      </c>
      <c r="AE3503" s="92" t="str">
        <f>HYPERLINK("https://twitter.com/eujuliochaves/status/1676034304852336640")</f>
        <v>https://twitter.com/eujuliochaves/status/1676034304852336640</v>
      </c>
      <c r="AF3503" s="90">
        <v>45111.045046296298</v>
      </c>
      <c r="AG3503" s="99">
        <v>45111</v>
      </c>
      <c r="AH3503" s="93" t="s">
        <v>14633</v>
      </c>
      <c r="AI3503" s="87" t="b">
        <v>0</v>
      </c>
      <c r="AJ3503" s="87"/>
      <c r="AK3503" s="87"/>
      <c r="AL3503" s="87"/>
      <c r="AM3503" s="87"/>
      <c r="AN3503" s="87"/>
      <c r="AO3503" s="87"/>
      <c r="AP3503" s="87"/>
      <c r="AQ3503" s="87" t="s">
        <v>17840</v>
      </c>
      <c r="AR3503" s="87">
        <v>7268</v>
      </c>
      <c r="AS3503" s="87"/>
      <c r="AT3503" s="87"/>
      <c r="AU3503" s="87"/>
      <c r="AV3503" s="92" t="str">
        <f>HYPERLINK("https://pbs.twimg.com/ext_tw_video_thumb/1676034254243786752/pu/img/RNse6PG4aaFJ_byi.jpg")</f>
        <v>https://pbs.twimg.com/ext_tw_video_thumb/1676034254243786752/pu/img/RNse6PG4aaFJ_byi.jpg</v>
      </c>
      <c r="AW3503" s="93" t="s">
        <v>21630</v>
      </c>
      <c r="AX3503" s="93" t="s">
        <v>21630</v>
      </c>
      <c r="AY3503" s="87"/>
      <c r="AZ3503" s="93" t="s">
        <v>22668</v>
      </c>
      <c r="BA3503" s="93" t="s">
        <v>22668</v>
      </c>
      <c r="BB3503" s="93" t="s">
        <v>22668</v>
      </c>
      <c r="BC3503" s="93" t="s">
        <v>21630</v>
      </c>
      <c r="BD3503" s="87">
        <v>60326241</v>
      </c>
      <c r="BE3503" s="87"/>
      <c r="BF3503" s="87"/>
      <c r="BG3503" s="87"/>
      <c r="BH3503" s="87"/>
      <c r="BI3503" s="87"/>
    </row>
    <row r="3504" spans="1:61" x14ac:dyDescent="0.25">
      <c r="A3504" s="63" t="s">
        <v>1327</v>
      </c>
      <c r="B3504" s="63" t="s">
        <v>1327</v>
      </c>
      <c r="C3504" s="64"/>
      <c r="D3504" s="65"/>
      <c r="E3504" s="66"/>
      <c r="F3504" s="67"/>
      <c r="G3504" s="64"/>
      <c r="H3504" s="68"/>
      <c r="I3504" s="69"/>
      <c r="J3504" s="69"/>
      <c r="K3504" s="32"/>
      <c r="L3504" s="76">
        <v>3504</v>
      </c>
      <c r="M3504" s="76"/>
      <c r="N3504" s="71"/>
      <c r="O3504" s="87" t="s">
        <v>179</v>
      </c>
      <c r="P3504" s="90">
        <v>45139.646284722221</v>
      </c>
      <c r="Q3504" s="87" t="s">
        <v>5179</v>
      </c>
      <c r="R3504" s="87">
        <v>0</v>
      </c>
      <c r="S3504" s="87">
        <v>0</v>
      </c>
      <c r="T3504" s="87">
        <v>0</v>
      </c>
      <c r="U3504" s="87">
        <v>0</v>
      </c>
      <c r="V3504" s="87">
        <v>10</v>
      </c>
      <c r="W3504" s="93" t="s">
        <v>7890</v>
      </c>
      <c r="X3504" s="92" t="str">
        <f>HYPERLINK("https://youtube.com/@Dicasdeumadministrador")</f>
        <v>https://youtube.com/@Dicasdeumadministrador</v>
      </c>
      <c r="Y3504" s="87" t="s">
        <v>8380</v>
      </c>
      <c r="Z3504" s="87"/>
      <c r="AA3504" s="87"/>
      <c r="AB3504" s="87"/>
      <c r="AC3504" s="93" t="s">
        <v>11459</v>
      </c>
      <c r="AD3504" s="87" t="s">
        <v>11519</v>
      </c>
      <c r="AE3504" s="92" t="str">
        <f>HYPERLINK("https://twitter.com/dicasdeumadm/status/1686399047400034305")</f>
        <v>https://twitter.com/dicasdeumadm/status/1686399047400034305</v>
      </c>
      <c r="AF3504" s="90">
        <v>45139.646284722221</v>
      </c>
      <c r="AG3504" s="99">
        <v>45139</v>
      </c>
      <c r="AH3504" s="93" t="s">
        <v>14634</v>
      </c>
      <c r="AI3504" s="87" t="b">
        <v>0</v>
      </c>
      <c r="AJ3504" s="87"/>
      <c r="AK3504" s="87"/>
      <c r="AL3504" s="87"/>
      <c r="AM3504" s="87"/>
      <c r="AN3504" s="87"/>
      <c r="AO3504" s="87"/>
      <c r="AP3504" s="87"/>
      <c r="AQ3504" s="87"/>
      <c r="AR3504" s="87"/>
      <c r="AS3504" s="87"/>
      <c r="AT3504" s="87"/>
      <c r="AU3504" s="87"/>
      <c r="AV3504" s="92" t="str">
        <f>HYPERLINK("https://pbs.twimg.com/profile_images/1654255591567638528/IouWXOEX_normal.jpg")</f>
        <v>https://pbs.twimg.com/profile_images/1654255591567638528/IouWXOEX_normal.jpg</v>
      </c>
      <c r="AW3504" s="93" t="s">
        <v>21631</v>
      </c>
      <c r="AX3504" s="93" t="s">
        <v>21631</v>
      </c>
      <c r="AY3504" s="87"/>
      <c r="AZ3504" s="93" t="s">
        <v>22668</v>
      </c>
      <c r="BA3504" s="93" t="s">
        <v>22668</v>
      </c>
      <c r="BB3504" s="93" t="s">
        <v>22668</v>
      </c>
      <c r="BC3504" s="93" t="s">
        <v>21631</v>
      </c>
      <c r="BD3504" s="93" t="s">
        <v>23434</v>
      </c>
      <c r="BE3504" s="87"/>
      <c r="BF3504" s="87"/>
      <c r="BG3504" s="87"/>
      <c r="BH3504" s="87"/>
      <c r="BI3504" s="87"/>
    </row>
    <row r="3505" spans="1:61" x14ac:dyDescent="0.25">
      <c r="A3505" s="63" t="s">
        <v>1327</v>
      </c>
      <c r="B3505" s="63" t="s">
        <v>1327</v>
      </c>
      <c r="C3505" s="64"/>
      <c r="D3505" s="65"/>
      <c r="E3505" s="66"/>
      <c r="F3505" s="67"/>
      <c r="G3505" s="64"/>
      <c r="H3505" s="68"/>
      <c r="I3505" s="69"/>
      <c r="J3505" s="69"/>
      <c r="K3505" s="32"/>
      <c r="L3505" s="76">
        <v>3505</v>
      </c>
      <c r="M3505" s="76"/>
      <c r="N3505" s="71"/>
      <c r="O3505" s="87" t="s">
        <v>179</v>
      </c>
      <c r="P3505" s="90">
        <v>45140.984027777777</v>
      </c>
      <c r="Q3505" s="87" t="s">
        <v>5180</v>
      </c>
      <c r="R3505" s="87">
        <v>0</v>
      </c>
      <c r="S3505" s="87">
        <v>0</v>
      </c>
      <c r="T3505" s="87">
        <v>0</v>
      </c>
      <c r="U3505" s="87">
        <v>0</v>
      </c>
      <c r="V3505" s="87">
        <v>13</v>
      </c>
      <c r="W3505" s="93" t="s">
        <v>7891</v>
      </c>
      <c r="X3505" s="92" t="str">
        <f>HYPERLINK("https://youtube.com/shorts/MqBxlJWv64Y?feature=share")</f>
        <v>https://youtube.com/shorts/MqBxlJWv64Y?feature=share</v>
      </c>
      <c r="Y3505" s="87" t="s">
        <v>8380</v>
      </c>
      <c r="Z3505" s="87"/>
      <c r="AA3505" s="87"/>
      <c r="AB3505" s="87"/>
      <c r="AC3505" s="93" t="s">
        <v>11459</v>
      </c>
      <c r="AD3505" s="87" t="s">
        <v>11521</v>
      </c>
      <c r="AE3505" s="92" t="str">
        <f>HYPERLINK("https://twitter.com/dicasdeumadm/status/1686883829280083968")</f>
        <v>https://twitter.com/dicasdeumadm/status/1686883829280083968</v>
      </c>
      <c r="AF3505" s="90">
        <v>45140.984027777777</v>
      </c>
      <c r="AG3505" s="99">
        <v>45140</v>
      </c>
      <c r="AH3505" s="93" t="s">
        <v>14635</v>
      </c>
      <c r="AI3505" s="87" t="b">
        <v>0</v>
      </c>
      <c r="AJ3505" s="87"/>
      <c r="AK3505" s="87"/>
      <c r="AL3505" s="87"/>
      <c r="AM3505" s="87"/>
      <c r="AN3505" s="87"/>
      <c r="AO3505" s="87"/>
      <c r="AP3505" s="87"/>
      <c r="AQ3505" s="87"/>
      <c r="AR3505" s="87"/>
      <c r="AS3505" s="87"/>
      <c r="AT3505" s="87"/>
      <c r="AU3505" s="87"/>
      <c r="AV3505" s="92" t="str">
        <f>HYPERLINK("https://pbs.twimg.com/profile_images/1654255591567638528/IouWXOEX_normal.jpg")</f>
        <v>https://pbs.twimg.com/profile_images/1654255591567638528/IouWXOEX_normal.jpg</v>
      </c>
      <c r="AW3505" s="93" t="s">
        <v>21632</v>
      </c>
      <c r="AX3505" s="93" t="s">
        <v>21632</v>
      </c>
      <c r="AY3505" s="87"/>
      <c r="AZ3505" s="93" t="s">
        <v>22668</v>
      </c>
      <c r="BA3505" s="93" t="s">
        <v>22668</v>
      </c>
      <c r="BB3505" s="93" t="s">
        <v>22668</v>
      </c>
      <c r="BC3505" s="93" t="s">
        <v>21632</v>
      </c>
      <c r="BD3505" s="93" t="s">
        <v>23434</v>
      </c>
      <c r="BE3505" s="87"/>
      <c r="BF3505" s="87"/>
      <c r="BG3505" s="87"/>
      <c r="BH3505" s="87"/>
      <c r="BI3505" s="87"/>
    </row>
    <row r="3506" spans="1:61" x14ac:dyDescent="0.25">
      <c r="A3506" s="63" t="s">
        <v>1327</v>
      </c>
      <c r="B3506" s="63" t="s">
        <v>1327</v>
      </c>
      <c r="C3506" s="64"/>
      <c r="D3506" s="65"/>
      <c r="E3506" s="66"/>
      <c r="F3506" s="67"/>
      <c r="G3506" s="64"/>
      <c r="H3506" s="68"/>
      <c r="I3506" s="69"/>
      <c r="J3506" s="69"/>
      <c r="K3506" s="32"/>
      <c r="L3506" s="76">
        <v>3506</v>
      </c>
      <c r="M3506" s="76"/>
      <c r="N3506" s="71"/>
      <c r="O3506" s="87" t="s">
        <v>179</v>
      </c>
      <c r="P3506" s="90">
        <v>45143.563217592593</v>
      </c>
      <c r="Q3506" s="87" t="s">
        <v>5181</v>
      </c>
      <c r="R3506" s="87">
        <v>0</v>
      </c>
      <c r="S3506" s="87">
        <v>0</v>
      </c>
      <c r="T3506" s="87">
        <v>0</v>
      </c>
      <c r="U3506" s="87">
        <v>0</v>
      </c>
      <c r="V3506" s="87">
        <v>29</v>
      </c>
      <c r="W3506" s="93" t="s">
        <v>7892</v>
      </c>
      <c r="X3506" s="92" t="str">
        <f>HYPERLINK("https://youtu.be/LrnN2v98Ghc")</f>
        <v>https://youtu.be/LrnN2v98Ghc</v>
      </c>
      <c r="Y3506" s="87" t="s">
        <v>8372</v>
      </c>
      <c r="Z3506" s="87"/>
      <c r="AA3506" s="87"/>
      <c r="AB3506" s="87"/>
      <c r="AC3506" s="93" t="s">
        <v>11459</v>
      </c>
      <c r="AD3506" s="87" t="s">
        <v>11519</v>
      </c>
      <c r="AE3506" s="92" t="str">
        <f>HYPERLINK("https://twitter.com/dicasdeumadm/status/1687818498490179584")</f>
        <v>https://twitter.com/dicasdeumadm/status/1687818498490179584</v>
      </c>
      <c r="AF3506" s="90">
        <v>45143.563217592593</v>
      </c>
      <c r="AG3506" s="99">
        <v>45143</v>
      </c>
      <c r="AH3506" s="93" t="s">
        <v>14636</v>
      </c>
      <c r="AI3506" s="87" t="b">
        <v>0</v>
      </c>
      <c r="AJ3506" s="87"/>
      <c r="AK3506" s="87"/>
      <c r="AL3506" s="87"/>
      <c r="AM3506" s="87"/>
      <c r="AN3506" s="87"/>
      <c r="AO3506" s="87"/>
      <c r="AP3506" s="87"/>
      <c r="AQ3506" s="87"/>
      <c r="AR3506" s="87"/>
      <c r="AS3506" s="87"/>
      <c r="AT3506" s="87"/>
      <c r="AU3506" s="87"/>
      <c r="AV3506" s="92" t="str">
        <f>HYPERLINK("https://pbs.twimg.com/profile_images/1654255591567638528/IouWXOEX_normal.jpg")</f>
        <v>https://pbs.twimg.com/profile_images/1654255591567638528/IouWXOEX_normal.jpg</v>
      </c>
      <c r="AW3506" s="93" t="s">
        <v>21633</v>
      </c>
      <c r="AX3506" s="93" t="s">
        <v>21633</v>
      </c>
      <c r="AY3506" s="87"/>
      <c r="AZ3506" s="93" t="s">
        <v>22668</v>
      </c>
      <c r="BA3506" s="93" t="s">
        <v>22668</v>
      </c>
      <c r="BB3506" s="93" t="s">
        <v>22668</v>
      </c>
      <c r="BC3506" s="93" t="s">
        <v>21633</v>
      </c>
      <c r="BD3506" s="93" t="s">
        <v>23434</v>
      </c>
      <c r="BE3506" s="87"/>
      <c r="BF3506" s="87"/>
      <c r="BG3506" s="87"/>
      <c r="BH3506" s="87"/>
      <c r="BI3506" s="87"/>
    </row>
    <row r="3507" spans="1:61" x14ac:dyDescent="0.25">
      <c r="A3507" s="63" t="s">
        <v>1328</v>
      </c>
      <c r="B3507" s="63" t="s">
        <v>1328</v>
      </c>
      <c r="C3507" s="64"/>
      <c r="D3507" s="65"/>
      <c r="E3507" s="66"/>
      <c r="F3507" s="67"/>
      <c r="G3507" s="64"/>
      <c r="H3507" s="68"/>
      <c r="I3507" s="69"/>
      <c r="J3507" s="69"/>
      <c r="K3507" s="32"/>
      <c r="L3507" s="76">
        <v>3507</v>
      </c>
      <c r="M3507" s="76"/>
      <c r="N3507" s="71"/>
      <c r="O3507" s="87" t="s">
        <v>1840</v>
      </c>
      <c r="P3507" s="90">
        <v>45131.972326388888</v>
      </c>
      <c r="Q3507" s="87" t="s">
        <v>5182</v>
      </c>
      <c r="R3507" s="87">
        <v>0</v>
      </c>
      <c r="S3507" s="87">
        <v>0</v>
      </c>
      <c r="T3507" s="87">
        <v>0</v>
      </c>
      <c r="U3507" s="87">
        <v>0</v>
      </c>
      <c r="V3507" s="87">
        <v>101</v>
      </c>
      <c r="W3507" s="93" t="s">
        <v>7893</v>
      </c>
      <c r="X3507" s="92" t="str">
        <f>HYPERLINK("https://sincronizze.com/estrategias-de-marketing-impulsionando-o-crescimento-do-seu-negocio/")</f>
        <v>https://sincronizze.com/estrategias-de-marketing-impulsionando-o-crescimento-do-seu-negocio/</v>
      </c>
      <c r="Y3507" s="87" t="s">
        <v>8529</v>
      </c>
      <c r="Z3507" s="87"/>
      <c r="AA3507" s="87"/>
      <c r="AB3507" s="87"/>
      <c r="AC3507" s="93" t="s">
        <v>11459</v>
      </c>
      <c r="AD3507" s="87" t="s">
        <v>11519</v>
      </c>
      <c r="AE3507" s="92" t="str">
        <f>HYPERLINK("https://twitter.com/tai_follmann/status/1683618100434853889")</f>
        <v>https://twitter.com/tai_follmann/status/1683618100434853889</v>
      </c>
      <c r="AF3507" s="90">
        <v>45131.972326388888</v>
      </c>
      <c r="AG3507" s="99">
        <v>45131</v>
      </c>
      <c r="AH3507" s="93" t="s">
        <v>14637</v>
      </c>
      <c r="AI3507" s="87" t="b">
        <v>0</v>
      </c>
      <c r="AJ3507" s="87"/>
      <c r="AK3507" s="87"/>
      <c r="AL3507" s="87"/>
      <c r="AM3507" s="87"/>
      <c r="AN3507" s="87"/>
      <c r="AO3507" s="87"/>
      <c r="AP3507" s="87"/>
      <c r="AQ3507" s="87"/>
      <c r="AR3507" s="87"/>
      <c r="AS3507" s="87"/>
      <c r="AT3507" s="87"/>
      <c r="AU3507" s="87"/>
      <c r="AV3507" s="92" t="str">
        <f>HYPERLINK("https://pbs.twimg.com/profile_images/1295806876777619458/1-scEtFi_normal.jpg")</f>
        <v>https://pbs.twimg.com/profile_images/1295806876777619458/1-scEtFi_normal.jpg</v>
      </c>
      <c r="AW3507" s="93" t="s">
        <v>21634</v>
      </c>
      <c r="AX3507" s="93" t="s">
        <v>22469</v>
      </c>
      <c r="AY3507" s="93" t="s">
        <v>22635</v>
      </c>
      <c r="AZ3507" s="93" t="s">
        <v>22469</v>
      </c>
      <c r="BA3507" s="93" t="s">
        <v>22668</v>
      </c>
      <c r="BB3507" s="93" t="s">
        <v>22668</v>
      </c>
      <c r="BC3507" s="93" t="s">
        <v>22469</v>
      </c>
      <c r="BD3507" s="87">
        <v>508075094</v>
      </c>
      <c r="BE3507" s="87"/>
      <c r="BF3507" s="87"/>
      <c r="BG3507" s="87"/>
      <c r="BH3507" s="87"/>
      <c r="BI3507" s="87"/>
    </row>
    <row r="3508" spans="1:61" x14ac:dyDescent="0.25">
      <c r="A3508" s="63" t="s">
        <v>1329</v>
      </c>
      <c r="B3508" s="63" t="s">
        <v>1329</v>
      </c>
      <c r="C3508" s="64"/>
      <c r="D3508" s="65"/>
      <c r="E3508" s="66"/>
      <c r="F3508" s="67"/>
      <c r="G3508" s="64"/>
      <c r="H3508" s="68"/>
      <c r="I3508" s="69"/>
      <c r="J3508" s="69"/>
      <c r="K3508" s="32"/>
      <c r="L3508" s="76">
        <v>3508</v>
      </c>
      <c r="M3508" s="76"/>
      <c r="N3508" s="71"/>
      <c r="O3508" s="87" t="s">
        <v>179</v>
      </c>
      <c r="P3508" s="90">
        <v>45151.811608796299</v>
      </c>
      <c r="Q3508" s="87" t="s">
        <v>5183</v>
      </c>
      <c r="R3508" s="87">
        <v>0</v>
      </c>
      <c r="S3508" s="87">
        <v>1</v>
      </c>
      <c r="T3508" s="87">
        <v>0</v>
      </c>
      <c r="U3508" s="87">
        <v>0</v>
      </c>
      <c r="V3508" s="87">
        <v>55</v>
      </c>
      <c r="W3508" s="93" t="s">
        <v>7894</v>
      </c>
      <c r="X3508" s="87"/>
      <c r="Y3508" s="87"/>
      <c r="Z3508" s="87"/>
      <c r="AA3508" s="87" t="s">
        <v>11029</v>
      </c>
      <c r="AB3508" s="87" t="s">
        <v>11447</v>
      </c>
      <c r="AC3508" s="93" t="s">
        <v>11458</v>
      </c>
      <c r="AD3508" s="87" t="s">
        <v>11519</v>
      </c>
      <c r="AE3508" s="92" t="str">
        <f>HYPERLINK("https://twitter.com/digitalblack_/status/1690807615222079488")</f>
        <v>https://twitter.com/digitalblack_/status/1690807615222079488</v>
      </c>
      <c r="AF3508" s="90">
        <v>45151.811608796299</v>
      </c>
      <c r="AG3508" s="99">
        <v>45151</v>
      </c>
      <c r="AH3508" s="93" t="s">
        <v>14638</v>
      </c>
      <c r="AI3508" s="87" t="b">
        <v>0</v>
      </c>
      <c r="AJ3508" s="87"/>
      <c r="AK3508" s="87"/>
      <c r="AL3508" s="87"/>
      <c r="AM3508" s="87"/>
      <c r="AN3508" s="87"/>
      <c r="AO3508" s="87"/>
      <c r="AP3508" s="87"/>
      <c r="AQ3508" s="87" t="s">
        <v>17841</v>
      </c>
      <c r="AR3508" s="87">
        <v>25100</v>
      </c>
      <c r="AS3508" s="87"/>
      <c r="AT3508" s="87"/>
      <c r="AU3508" s="87"/>
      <c r="AV3508" s="92" t="str">
        <f>HYPERLINK("https://pbs.twimg.com/ext_tw_video_thumb/1690807497282523137/pu/img/E6gDEkdgb2DyLxdr.jpg")</f>
        <v>https://pbs.twimg.com/ext_tw_video_thumb/1690807497282523137/pu/img/E6gDEkdgb2DyLxdr.jpg</v>
      </c>
      <c r="AW3508" s="93" t="s">
        <v>21635</v>
      </c>
      <c r="AX3508" s="93" t="s">
        <v>21635</v>
      </c>
      <c r="AY3508" s="87"/>
      <c r="AZ3508" s="93" t="s">
        <v>22668</v>
      </c>
      <c r="BA3508" s="93" t="s">
        <v>22668</v>
      </c>
      <c r="BB3508" s="93" t="s">
        <v>22668</v>
      </c>
      <c r="BC3508" s="93" t="s">
        <v>21635</v>
      </c>
      <c r="BD3508" s="93" t="s">
        <v>23435</v>
      </c>
      <c r="BE3508" s="87"/>
      <c r="BF3508" s="87"/>
      <c r="BG3508" s="87"/>
      <c r="BH3508" s="87"/>
      <c r="BI3508" s="87"/>
    </row>
    <row r="3509" spans="1:61" x14ac:dyDescent="0.25">
      <c r="A3509" s="63" t="s">
        <v>1330</v>
      </c>
      <c r="B3509" s="63" t="s">
        <v>1330</v>
      </c>
      <c r="C3509" s="64"/>
      <c r="D3509" s="65"/>
      <c r="E3509" s="66"/>
      <c r="F3509" s="67"/>
      <c r="G3509" s="64"/>
      <c r="H3509" s="68"/>
      <c r="I3509" s="69"/>
      <c r="J3509" s="69"/>
      <c r="K3509" s="32"/>
      <c r="L3509" s="76">
        <v>3509</v>
      </c>
      <c r="M3509" s="76"/>
      <c r="N3509" s="71"/>
      <c r="O3509" s="87" t="s">
        <v>179</v>
      </c>
      <c r="P3509" s="90">
        <v>45148.606342592589</v>
      </c>
      <c r="Q3509" s="87" t="s">
        <v>5184</v>
      </c>
      <c r="R3509" s="87">
        <v>0</v>
      </c>
      <c r="S3509" s="87">
        <v>2</v>
      </c>
      <c r="T3509" s="87">
        <v>0</v>
      </c>
      <c r="U3509" s="87">
        <v>0</v>
      </c>
      <c r="V3509" s="87">
        <v>24</v>
      </c>
      <c r="W3509" s="93" t="s">
        <v>7895</v>
      </c>
      <c r="X3509" s="87"/>
      <c r="Y3509" s="87"/>
      <c r="Z3509" s="87"/>
      <c r="AA3509" s="87" t="s">
        <v>11030</v>
      </c>
      <c r="AB3509" s="87" t="s">
        <v>11447</v>
      </c>
      <c r="AC3509" s="93" t="s">
        <v>11458</v>
      </c>
      <c r="AD3509" s="87" t="s">
        <v>11519</v>
      </c>
      <c r="AE3509" s="92" t="str">
        <f>HYPERLINK("https://twitter.com/thiagoithiro/status/1689646065795096576")</f>
        <v>https://twitter.com/thiagoithiro/status/1689646065795096576</v>
      </c>
      <c r="AF3509" s="90">
        <v>45148.606342592589</v>
      </c>
      <c r="AG3509" s="99">
        <v>45148</v>
      </c>
      <c r="AH3509" s="93" t="s">
        <v>14639</v>
      </c>
      <c r="AI3509" s="87" t="b">
        <v>0</v>
      </c>
      <c r="AJ3509" s="87"/>
      <c r="AK3509" s="87"/>
      <c r="AL3509" s="87"/>
      <c r="AM3509" s="87"/>
      <c r="AN3509" s="87"/>
      <c r="AO3509" s="87"/>
      <c r="AP3509" s="87"/>
      <c r="AQ3509" s="87" t="s">
        <v>17842</v>
      </c>
      <c r="AR3509" s="87">
        <v>57833</v>
      </c>
      <c r="AS3509" s="87"/>
      <c r="AT3509" s="87"/>
      <c r="AU3509" s="87"/>
      <c r="AV3509" s="92" t="str">
        <f>HYPERLINK("https://pbs.twimg.com/ext_tw_video_thumb/1689645937436848128/pu/img/aVXPFbMkU9lnYqgl.jpg")</f>
        <v>https://pbs.twimg.com/ext_tw_video_thumb/1689645937436848128/pu/img/aVXPFbMkU9lnYqgl.jpg</v>
      </c>
      <c r="AW3509" s="93" t="s">
        <v>21636</v>
      </c>
      <c r="AX3509" s="93" t="s">
        <v>21636</v>
      </c>
      <c r="AY3509" s="87"/>
      <c r="AZ3509" s="93" t="s">
        <v>22668</v>
      </c>
      <c r="BA3509" s="93" t="s">
        <v>22668</v>
      </c>
      <c r="BB3509" s="93" t="s">
        <v>22668</v>
      </c>
      <c r="BC3509" s="93" t="s">
        <v>21636</v>
      </c>
      <c r="BD3509" s="87">
        <v>81600870</v>
      </c>
      <c r="BE3509" s="87"/>
      <c r="BF3509" s="87"/>
      <c r="BG3509" s="87"/>
      <c r="BH3509" s="87"/>
      <c r="BI3509" s="87"/>
    </row>
    <row r="3510" spans="1:61" x14ac:dyDescent="0.25">
      <c r="A3510" s="63" t="s">
        <v>1331</v>
      </c>
      <c r="B3510" s="63" t="s">
        <v>1331</v>
      </c>
      <c r="C3510" s="64"/>
      <c r="D3510" s="65"/>
      <c r="E3510" s="66"/>
      <c r="F3510" s="67"/>
      <c r="G3510" s="64"/>
      <c r="H3510" s="68"/>
      <c r="I3510" s="69"/>
      <c r="J3510" s="69"/>
      <c r="K3510" s="32"/>
      <c r="L3510" s="76">
        <v>3510</v>
      </c>
      <c r="M3510" s="76"/>
      <c r="N3510" s="71"/>
      <c r="O3510" s="87" t="s">
        <v>179</v>
      </c>
      <c r="P3510" s="90">
        <v>45138.971412037034</v>
      </c>
      <c r="Q3510" s="87" t="s">
        <v>5185</v>
      </c>
      <c r="R3510" s="87">
        <v>0</v>
      </c>
      <c r="S3510" s="87">
        <v>1</v>
      </c>
      <c r="T3510" s="87">
        <v>0</v>
      </c>
      <c r="U3510" s="87">
        <v>0</v>
      </c>
      <c r="V3510" s="87">
        <v>1</v>
      </c>
      <c r="W3510" s="93" t="s">
        <v>7896</v>
      </c>
      <c r="X3510" s="87"/>
      <c r="Y3510" s="87"/>
      <c r="Z3510" s="87"/>
      <c r="AA3510" s="87" t="s">
        <v>11031</v>
      </c>
      <c r="AB3510" s="87" t="s">
        <v>11448</v>
      </c>
      <c r="AC3510" s="93" t="s">
        <v>11459</v>
      </c>
      <c r="AD3510" s="87" t="s">
        <v>11520</v>
      </c>
      <c r="AE3510" s="92" t="str">
        <f>HYPERLINK("https://twitter.com/matmitzz/status/1686154483678466049")</f>
        <v>https://twitter.com/matmitzz/status/1686154483678466049</v>
      </c>
      <c r="AF3510" s="90">
        <v>45138.971412037034</v>
      </c>
      <c r="AG3510" s="99">
        <v>45138</v>
      </c>
      <c r="AH3510" s="93" t="s">
        <v>14640</v>
      </c>
      <c r="AI3510" s="87" t="b">
        <v>0</v>
      </c>
      <c r="AJ3510" s="87"/>
      <c r="AK3510" s="87"/>
      <c r="AL3510" s="87"/>
      <c r="AM3510" s="87"/>
      <c r="AN3510" s="87"/>
      <c r="AO3510" s="87"/>
      <c r="AP3510" s="87"/>
      <c r="AQ3510" s="87" t="s">
        <v>17843</v>
      </c>
      <c r="AR3510" s="87"/>
      <c r="AS3510" s="87"/>
      <c r="AT3510" s="87"/>
      <c r="AU3510" s="87"/>
      <c r="AV3510" s="92" t="str">
        <f>HYPERLINK("https://pbs.twimg.com/media/F2ZskQxXIAAW8U6.jpg")</f>
        <v>https://pbs.twimg.com/media/F2ZskQxXIAAW8U6.jpg</v>
      </c>
      <c r="AW3510" s="93" t="s">
        <v>21637</v>
      </c>
      <c r="AX3510" s="93" t="s">
        <v>21637</v>
      </c>
      <c r="AY3510" s="87"/>
      <c r="AZ3510" s="93" t="s">
        <v>22668</v>
      </c>
      <c r="BA3510" s="93" t="s">
        <v>22668</v>
      </c>
      <c r="BB3510" s="93" t="s">
        <v>22668</v>
      </c>
      <c r="BC3510" s="93" t="s">
        <v>21637</v>
      </c>
      <c r="BD3510" s="93" t="s">
        <v>23436</v>
      </c>
      <c r="BE3510" s="87"/>
      <c r="BF3510" s="87"/>
      <c r="BG3510" s="87"/>
      <c r="BH3510" s="87"/>
      <c r="BI3510" s="87"/>
    </row>
    <row r="3511" spans="1:61" x14ac:dyDescent="0.25">
      <c r="A3511" s="63" t="s">
        <v>1332</v>
      </c>
      <c r="B3511" s="63" t="s">
        <v>1801</v>
      </c>
      <c r="C3511" s="64"/>
      <c r="D3511" s="65"/>
      <c r="E3511" s="66"/>
      <c r="F3511" s="67"/>
      <c r="G3511" s="64"/>
      <c r="H3511" s="68"/>
      <c r="I3511" s="69"/>
      <c r="J3511" s="69"/>
      <c r="K3511" s="32"/>
      <c r="L3511" s="76">
        <v>3511</v>
      </c>
      <c r="M3511" s="76"/>
      <c r="N3511" s="71"/>
      <c r="O3511" s="87" t="s">
        <v>1840</v>
      </c>
      <c r="P3511" s="90">
        <v>45116.094351851854</v>
      </c>
      <c r="Q3511" s="87" t="s">
        <v>5186</v>
      </c>
      <c r="R3511" s="87">
        <v>0</v>
      </c>
      <c r="S3511" s="87">
        <v>8</v>
      </c>
      <c r="T3511" s="87">
        <v>0</v>
      </c>
      <c r="U3511" s="87">
        <v>0</v>
      </c>
      <c r="V3511" s="87">
        <v>1133</v>
      </c>
      <c r="W3511" s="93" t="s">
        <v>5897</v>
      </c>
      <c r="X3511" s="87"/>
      <c r="Y3511" s="87"/>
      <c r="Z3511" s="87" t="s">
        <v>1801</v>
      </c>
      <c r="AA3511" s="87"/>
      <c r="AB3511" s="87"/>
      <c r="AC3511" s="93" t="s">
        <v>11458</v>
      </c>
      <c r="AD3511" s="87" t="s">
        <v>11519</v>
      </c>
      <c r="AE3511" s="92" t="str">
        <f>HYPERLINK("https://twitter.com/thiagomotaadv/status/1677864111512731649")</f>
        <v>https://twitter.com/thiagomotaadv/status/1677864111512731649</v>
      </c>
      <c r="AF3511" s="90">
        <v>45116.094351851854</v>
      </c>
      <c r="AG3511" s="99">
        <v>45116</v>
      </c>
      <c r="AH3511" s="93" t="s">
        <v>14641</v>
      </c>
      <c r="AI3511" s="87"/>
      <c r="AJ3511" s="87"/>
      <c r="AK3511" s="87"/>
      <c r="AL3511" s="87"/>
      <c r="AM3511" s="87"/>
      <c r="AN3511" s="87"/>
      <c r="AO3511" s="87"/>
      <c r="AP3511" s="87"/>
      <c r="AQ3511" s="87"/>
      <c r="AR3511" s="87"/>
      <c r="AS3511" s="87"/>
      <c r="AT3511" s="87"/>
      <c r="AU3511" s="87"/>
      <c r="AV3511" s="92" t="str">
        <f>HYPERLINK("https://pbs.twimg.com/profile_images/1532739645968113669/tXltCsHm_normal.jpg")</f>
        <v>https://pbs.twimg.com/profile_images/1532739645968113669/tXltCsHm_normal.jpg</v>
      </c>
      <c r="AW3511" s="93" t="s">
        <v>21638</v>
      </c>
      <c r="AX3511" s="93" t="s">
        <v>22470</v>
      </c>
      <c r="AY3511" s="93" t="s">
        <v>22636</v>
      </c>
      <c r="AZ3511" s="93" t="s">
        <v>22470</v>
      </c>
      <c r="BA3511" s="93" t="s">
        <v>22668</v>
      </c>
      <c r="BB3511" s="93" t="s">
        <v>22668</v>
      </c>
      <c r="BC3511" s="93" t="s">
        <v>22470</v>
      </c>
      <c r="BD3511" s="87">
        <v>163027008</v>
      </c>
      <c r="BE3511" s="87"/>
      <c r="BF3511" s="87"/>
      <c r="BG3511" s="87"/>
      <c r="BH3511" s="87"/>
      <c r="BI3511" s="87"/>
    </row>
    <row r="3512" spans="1:61" x14ac:dyDescent="0.25">
      <c r="A3512" s="63" t="s">
        <v>1333</v>
      </c>
      <c r="B3512" s="63" t="s">
        <v>1333</v>
      </c>
      <c r="C3512" s="64"/>
      <c r="D3512" s="65"/>
      <c r="E3512" s="66"/>
      <c r="F3512" s="67"/>
      <c r="G3512" s="64"/>
      <c r="H3512" s="68"/>
      <c r="I3512" s="69"/>
      <c r="J3512" s="69"/>
      <c r="K3512" s="32"/>
      <c r="L3512" s="76">
        <v>3512</v>
      </c>
      <c r="M3512" s="76"/>
      <c r="N3512" s="71"/>
      <c r="O3512" s="87" t="s">
        <v>179</v>
      </c>
      <c r="P3512" s="90">
        <v>45121.506249999999</v>
      </c>
      <c r="Q3512" s="87" t="s">
        <v>5187</v>
      </c>
      <c r="R3512" s="87">
        <v>1</v>
      </c>
      <c r="S3512" s="87">
        <v>1</v>
      </c>
      <c r="T3512" s="87">
        <v>0</v>
      </c>
      <c r="U3512" s="87">
        <v>0</v>
      </c>
      <c r="V3512" s="87">
        <v>16</v>
      </c>
      <c r="W3512" s="93" t="s">
        <v>7897</v>
      </c>
      <c r="X3512" s="87"/>
      <c r="Y3512" s="87"/>
      <c r="Z3512" s="87"/>
      <c r="AA3512" s="87" t="s">
        <v>11032</v>
      </c>
      <c r="AB3512" s="87" t="s">
        <v>11448</v>
      </c>
      <c r="AC3512" s="93" t="s">
        <v>11457</v>
      </c>
      <c r="AD3512" s="87" t="s">
        <v>11519</v>
      </c>
      <c r="AE3512" s="92" t="str">
        <f>HYPERLINK("https://twitter.com/ludgerocontato/status/1679825318448865280")</f>
        <v>https://twitter.com/ludgerocontato/status/1679825318448865280</v>
      </c>
      <c r="AF3512" s="90">
        <v>45121.506249999999</v>
      </c>
      <c r="AG3512" s="99">
        <v>45121</v>
      </c>
      <c r="AH3512" s="93" t="s">
        <v>12112</v>
      </c>
      <c r="AI3512" s="87" t="b">
        <v>0</v>
      </c>
      <c r="AJ3512" s="87"/>
      <c r="AK3512" s="87"/>
      <c r="AL3512" s="87"/>
      <c r="AM3512" s="87"/>
      <c r="AN3512" s="87"/>
      <c r="AO3512" s="87"/>
      <c r="AP3512" s="87"/>
      <c r="AQ3512" s="87" t="s">
        <v>17844</v>
      </c>
      <c r="AR3512" s="87"/>
      <c r="AS3512" s="87"/>
      <c r="AT3512" s="87"/>
      <c r="AU3512" s="87"/>
      <c r="AV3512" s="92" t="str">
        <f>HYPERLINK("https://pbs.twimg.com/media/F0MpVAvWAAIJ6no.jpg")</f>
        <v>https://pbs.twimg.com/media/F0MpVAvWAAIJ6no.jpg</v>
      </c>
      <c r="AW3512" s="93" t="s">
        <v>21639</v>
      </c>
      <c r="AX3512" s="93" t="s">
        <v>21639</v>
      </c>
      <c r="AY3512" s="87"/>
      <c r="AZ3512" s="93" t="s">
        <v>22668</v>
      </c>
      <c r="BA3512" s="93" t="s">
        <v>22668</v>
      </c>
      <c r="BB3512" s="93" t="s">
        <v>22668</v>
      </c>
      <c r="BC3512" s="93" t="s">
        <v>21639</v>
      </c>
      <c r="BD3512" s="87">
        <v>2523425059</v>
      </c>
      <c r="BE3512" s="87"/>
      <c r="BF3512" s="87"/>
      <c r="BG3512" s="87"/>
      <c r="BH3512" s="87"/>
      <c r="BI3512" s="87"/>
    </row>
    <row r="3513" spans="1:61" x14ac:dyDescent="0.25">
      <c r="A3513" s="63" t="s">
        <v>1333</v>
      </c>
      <c r="B3513" s="63" t="s">
        <v>1333</v>
      </c>
      <c r="C3513" s="64"/>
      <c r="D3513" s="65"/>
      <c r="E3513" s="66"/>
      <c r="F3513" s="67"/>
      <c r="G3513" s="64"/>
      <c r="H3513" s="68"/>
      <c r="I3513" s="69"/>
      <c r="J3513" s="69"/>
      <c r="K3513" s="32"/>
      <c r="L3513" s="76">
        <v>3513</v>
      </c>
      <c r="M3513" s="76"/>
      <c r="N3513" s="71"/>
      <c r="O3513" s="87" t="s">
        <v>179</v>
      </c>
      <c r="P3513" s="90">
        <v>45120.760416666664</v>
      </c>
      <c r="Q3513" s="87" t="s">
        <v>5188</v>
      </c>
      <c r="R3513" s="87">
        <v>1</v>
      </c>
      <c r="S3513" s="87">
        <v>1</v>
      </c>
      <c r="T3513" s="87">
        <v>0</v>
      </c>
      <c r="U3513" s="87">
        <v>0</v>
      </c>
      <c r="V3513" s="87">
        <v>15</v>
      </c>
      <c r="W3513" s="93" t="s">
        <v>7898</v>
      </c>
      <c r="X3513" s="87"/>
      <c r="Y3513" s="87"/>
      <c r="Z3513" s="87"/>
      <c r="AA3513" s="87" t="s">
        <v>11033</v>
      </c>
      <c r="AB3513" s="87" t="s">
        <v>11448</v>
      </c>
      <c r="AC3513" s="93" t="s">
        <v>11457</v>
      </c>
      <c r="AD3513" s="87" t="s">
        <v>11519</v>
      </c>
      <c r="AE3513" s="92" t="str">
        <f>HYPERLINK("https://twitter.com/ludgerocontato/status/1679555037754695687")</f>
        <v>https://twitter.com/ludgerocontato/status/1679555037754695687</v>
      </c>
      <c r="AF3513" s="90">
        <v>45120.760416666664</v>
      </c>
      <c r="AG3513" s="99">
        <v>45120</v>
      </c>
      <c r="AH3513" s="93" t="s">
        <v>14642</v>
      </c>
      <c r="AI3513" s="87" t="b">
        <v>0</v>
      </c>
      <c r="AJ3513" s="87"/>
      <c r="AK3513" s="87"/>
      <c r="AL3513" s="87"/>
      <c r="AM3513" s="87"/>
      <c r="AN3513" s="87"/>
      <c r="AO3513" s="87"/>
      <c r="AP3513" s="87"/>
      <c r="AQ3513" s="87" t="s">
        <v>17845</v>
      </c>
      <c r="AR3513" s="87"/>
      <c r="AS3513" s="87"/>
      <c r="AT3513" s="87"/>
      <c r="AU3513" s="87"/>
      <c r="AV3513" s="92" t="str">
        <f>HYPERLINK("https://pbs.twimg.com/media/F0MegmiX0AE0WAl.jpg")</f>
        <v>https://pbs.twimg.com/media/F0MegmiX0AE0WAl.jpg</v>
      </c>
      <c r="AW3513" s="93" t="s">
        <v>21640</v>
      </c>
      <c r="AX3513" s="93" t="s">
        <v>21640</v>
      </c>
      <c r="AY3513" s="87"/>
      <c r="AZ3513" s="93" t="s">
        <v>22668</v>
      </c>
      <c r="BA3513" s="93" t="s">
        <v>22668</v>
      </c>
      <c r="BB3513" s="93" t="s">
        <v>22668</v>
      </c>
      <c r="BC3513" s="93" t="s">
        <v>21640</v>
      </c>
      <c r="BD3513" s="87">
        <v>2523425059</v>
      </c>
      <c r="BE3513" s="87"/>
      <c r="BF3513" s="87"/>
      <c r="BG3513" s="87"/>
      <c r="BH3513" s="87"/>
      <c r="BI3513" s="87"/>
    </row>
    <row r="3514" spans="1:61" x14ac:dyDescent="0.25">
      <c r="A3514" s="63" t="s">
        <v>1333</v>
      </c>
      <c r="B3514" s="63" t="s">
        <v>1333</v>
      </c>
      <c r="C3514" s="64"/>
      <c r="D3514" s="65"/>
      <c r="E3514" s="66"/>
      <c r="F3514" s="67"/>
      <c r="G3514" s="64"/>
      <c r="H3514" s="68"/>
      <c r="I3514" s="69"/>
      <c r="J3514" s="69"/>
      <c r="K3514" s="32"/>
      <c r="L3514" s="76">
        <v>3514</v>
      </c>
      <c r="M3514" s="76"/>
      <c r="N3514" s="71"/>
      <c r="O3514" s="87" t="s">
        <v>179</v>
      </c>
      <c r="P3514" s="90">
        <v>45120.633333333331</v>
      </c>
      <c r="Q3514" s="87" t="s">
        <v>5189</v>
      </c>
      <c r="R3514" s="87">
        <v>0</v>
      </c>
      <c r="S3514" s="87">
        <v>1</v>
      </c>
      <c r="T3514" s="87">
        <v>0</v>
      </c>
      <c r="U3514" s="87">
        <v>0</v>
      </c>
      <c r="V3514" s="87">
        <v>17</v>
      </c>
      <c r="W3514" s="93" t="s">
        <v>7899</v>
      </c>
      <c r="X3514" s="87"/>
      <c r="Y3514" s="87"/>
      <c r="Z3514" s="87"/>
      <c r="AA3514" s="87" t="s">
        <v>11034</v>
      </c>
      <c r="AB3514" s="87" t="s">
        <v>11448</v>
      </c>
      <c r="AC3514" s="93" t="s">
        <v>11457</v>
      </c>
      <c r="AD3514" s="87" t="s">
        <v>11519</v>
      </c>
      <c r="AE3514" s="92" t="str">
        <f>HYPERLINK("https://twitter.com/ludgerocontato/status/1679508984170962944")</f>
        <v>https://twitter.com/ludgerocontato/status/1679508984170962944</v>
      </c>
      <c r="AF3514" s="90">
        <v>45120.633333333331</v>
      </c>
      <c r="AG3514" s="99">
        <v>45120</v>
      </c>
      <c r="AH3514" s="93" t="s">
        <v>14643</v>
      </c>
      <c r="AI3514" s="87" t="b">
        <v>0</v>
      </c>
      <c r="AJ3514" s="87"/>
      <c r="AK3514" s="87"/>
      <c r="AL3514" s="87"/>
      <c r="AM3514" s="87"/>
      <c r="AN3514" s="87"/>
      <c r="AO3514" s="87"/>
      <c r="AP3514" s="87"/>
      <c r="AQ3514" s="87" t="s">
        <v>17846</v>
      </c>
      <c r="AR3514" s="87"/>
      <c r="AS3514" s="87"/>
      <c r="AT3514" s="87"/>
      <c r="AU3514" s="87"/>
      <c r="AV3514" s="92" t="str">
        <f>HYPERLINK("https://pbs.twimg.com/media/F0MaFCJXoAU6Vmn.jpg")</f>
        <v>https://pbs.twimg.com/media/F0MaFCJXoAU6Vmn.jpg</v>
      </c>
      <c r="AW3514" s="93" t="s">
        <v>21641</v>
      </c>
      <c r="AX3514" s="93" t="s">
        <v>21641</v>
      </c>
      <c r="AY3514" s="87"/>
      <c r="AZ3514" s="93" t="s">
        <v>22668</v>
      </c>
      <c r="BA3514" s="93" t="s">
        <v>22668</v>
      </c>
      <c r="BB3514" s="93" t="s">
        <v>22668</v>
      </c>
      <c r="BC3514" s="93" t="s">
        <v>21641</v>
      </c>
      <c r="BD3514" s="87">
        <v>2523425059</v>
      </c>
      <c r="BE3514" s="87"/>
      <c r="BF3514" s="87"/>
      <c r="BG3514" s="87"/>
      <c r="BH3514" s="87"/>
      <c r="BI3514" s="87"/>
    </row>
    <row r="3515" spans="1:61" x14ac:dyDescent="0.25">
      <c r="A3515" s="63" t="s">
        <v>1334</v>
      </c>
      <c r="B3515" s="63" t="s">
        <v>1334</v>
      </c>
      <c r="C3515" s="64"/>
      <c r="D3515" s="65"/>
      <c r="E3515" s="66"/>
      <c r="F3515" s="67"/>
      <c r="G3515" s="64"/>
      <c r="H3515" s="68"/>
      <c r="I3515" s="69"/>
      <c r="J3515" s="69"/>
      <c r="K3515" s="32"/>
      <c r="L3515" s="76">
        <v>3515</v>
      </c>
      <c r="M3515" s="76"/>
      <c r="N3515" s="71"/>
      <c r="O3515" s="87" t="s">
        <v>179</v>
      </c>
      <c r="P3515" s="90">
        <v>45168.927210648151</v>
      </c>
      <c r="Q3515" s="87" t="s">
        <v>5190</v>
      </c>
      <c r="R3515" s="87">
        <v>0</v>
      </c>
      <c r="S3515" s="87">
        <v>0</v>
      </c>
      <c r="T3515" s="87">
        <v>0</v>
      </c>
      <c r="U3515" s="87">
        <v>0</v>
      </c>
      <c r="V3515" s="87">
        <v>7</v>
      </c>
      <c r="W3515" s="93" t="s">
        <v>7900</v>
      </c>
      <c r="X3515" s="92" t="str">
        <f>HYPERLINK("http://alphagraphics.com.br/franquia")</f>
        <v>http://alphagraphics.com.br/franquia</v>
      </c>
      <c r="Y3515" s="87" t="s">
        <v>8373</v>
      </c>
      <c r="Z3515" s="87"/>
      <c r="AA3515" s="87" t="s">
        <v>11035</v>
      </c>
      <c r="AB3515" s="87" t="s">
        <v>11448</v>
      </c>
      <c r="AC3515" s="93" t="s">
        <v>11460</v>
      </c>
      <c r="AD3515" s="87" t="s">
        <v>11519</v>
      </c>
      <c r="AE3515" s="92" t="str">
        <f>HYPERLINK("https://twitter.com/alphagraphicsbr/status/1697010101511434289")</f>
        <v>https://twitter.com/alphagraphicsbr/status/1697010101511434289</v>
      </c>
      <c r="AF3515" s="90">
        <v>45168.927210648151</v>
      </c>
      <c r="AG3515" s="99">
        <v>45168</v>
      </c>
      <c r="AH3515" s="93" t="s">
        <v>14644</v>
      </c>
      <c r="AI3515" s="87" t="b">
        <v>0</v>
      </c>
      <c r="AJ3515" s="87"/>
      <c r="AK3515" s="87"/>
      <c r="AL3515" s="87"/>
      <c r="AM3515" s="87"/>
      <c r="AN3515" s="87"/>
      <c r="AO3515" s="87"/>
      <c r="AP3515" s="87"/>
      <c r="AQ3515" s="87" t="s">
        <v>17847</v>
      </c>
      <c r="AR3515" s="87"/>
      <c r="AS3515" s="87"/>
      <c r="AT3515" s="87"/>
      <c r="AU3515" s="87"/>
      <c r="AV3515" s="92" t="str">
        <f>HYPERLINK("https://pbs.twimg.com/media/F4z9scTXoAA6Z8S.jpg")</f>
        <v>https://pbs.twimg.com/media/F4z9scTXoAA6Z8S.jpg</v>
      </c>
      <c r="AW3515" s="93" t="s">
        <v>21642</v>
      </c>
      <c r="AX3515" s="93" t="s">
        <v>21642</v>
      </c>
      <c r="AY3515" s="87"/>
      <c r="AZ3515" s="93" t="s">
        <v>22668</v>
      </c>
      <c r="BA3515" s="93" t="s">
        <v>22668</v>
      </c>
      <c r="BB3515" s="93" t="s">
        <v>22668</v>
      </c>
      <c r="BC3515" s="93" t="s">
        <v>21642</v>
      </c>
      <c r="BD3515" s="87">
        <v>77315167</v>
      </c>
      <c r="BE3515" s="87"/>
      <c r="BF3515" s="87"/>
      <c r="BG3515" s="87"/>
      <c r="BH3515" s="87"/>
      <c r="BI3515" s="87"/>
    </row>
    <row r="3516" spans="1:61" x14ac:dyDescent="0.25">
      <c r="A3516" s="63" t="s">
        <v>1334</v>
      </c>
      <c r="B3516" s="63" t="s">
        <v>1334</v>
      </c>
      <c r="C3516" s="64"/>
      <c r="D3516" s="65"/>
      <c r="E3516" s="66"/>
      <c r="F3516" s="67"/>
      <c r="G3516" s="64"/>
      <c r="H3516" s="68"/>
      <c r="I3516" s="69"/>
      <c r="J3516" s="69"/>
      <c r="K3516" s="32"/>
      <c r="L3516" s="76">
        <v>3516</v>
      </c>
      <c r="M3516" s="76"/>
      <c r="N3516" s="71"/>
      <c r="O3516" s="87" t="s">
        <v>179</v>
      </c>
      <c r="P3516" s="90">
        <v>45171.930578703701</v>
      </c>
      <c r="Q3516" s="87" t="s">
        <v>5191</v>
      </c>
      <c r="R3516" s="87">
        <v>0</v>
      </c>
      <c r="S3516" s="87">
        <v>0</v>
      </c>
      <c r="T3516" s="87">
        <v>0</v>
      </c>
      <c r="U3516" s="87">
        <v>0</v>
      </c>
      <c r="V3516" s="87">
        <v>5</v>
      </c>
      <c r="W3516" s="93" t="s">
        <v>7900</v>
      </c>
      <c r="X3516" s="92" t="str">
        <f>HYPERLINK("http://alphagraphics.com.br/franquia")</f>
        <v>http://alphagraphics.com.br/franquia</v>
      </c>
      <c r="Y3516" s="87" t="s">
        <v>8373</v>
      </c>
      <c r="Z3516" s="87"/>
      <c r="AA3516" s="87" t="s">
        <v>11036</v>
      </c>
      <c r="AB3516" s="87" t="s">
        <v>11448</v>
      </c>
      <c r="AC3516" s="93" t="s">
        <v>11460</v>
      </c>
      <c r="AD3516" s="87" t="s">
        <v>11519</v>
      </c>
      <c r="AE3516" s="92" t="str">
        <f>HYPERLINK("https://twitter.com/alphagraphicsbr/status/1698098485453590816")</f>
        <v>https://twitter.com/alphagraphicsbr/status/1698098485453590816</v>
      </c>
      <c r="AF3516" s="90">
        <v>45171.930578703701</v>
      </c>
      <c r="AG3516" s="99">
        <v>45171</v>
      </c>
      <c r="AH3516" s="93" t="s">
        <v>14645</v>
      </c>
      <c r="AI3516" s="87" t="b">
        <v>0</v>
      </c>
      <c r="AJ3516" s="87"/>
      <c r="AK3516" s="87"/>
      <c r="AL3516" s="87"/>
      <c r="AM3516" s="87"/>
      <c r="AN3516" s="87"/>
      <c r="AO3516" s="87"/>
      <c r="AP3516" s="87"/>
      <c r="AQ3516" s="87" t="s">
        <v>17848</v>
      </c>
      <c r="AR3516" s="87"/>
      <c r="AS3516" s="87"/>
      <c r="AT3516" s="87"/>
      <c r="AU3516" s="87"/>
      <c r="AV3516" s="92" t="str">
        <f>HYPERLINK("https://pbs.twimg.com/media/F5Dbkt4WAAMCSMt.jpg")</f>
        <v>https://pbs.twimg.com/media/F5Dbkt4WAAMCSMt.jpg</v>
      </c>
      <c r="AW3516" s="93" t="s">
        <v>21643</v>
      </c>
      <c r="AX3516" s="93" t="s">
        <v>21643</v>
      </c>
      <c r="AY3516" s="87"/>
      <c r="AZ3516" s="93" t="s">
        <v>22668</v>
      </c>
      <c r="BA3516" s="93" t="s">
        <v>22668</v>
      </c>
      <c r="BB3516" s="93" t="s">
        <v>22668</v>
      </c>
      <c r="BC3516" s="93" t="s">
        <v>21643</v>
      </c>
      <c r="BD3516" s="87">
        <v>77315167</v>
      </c>
      <c r="BE3516" s="87"/>
      <c r="BF3516" s="87"/>
      <c r="BG3516" s="87"/>
      <c r="BH3516" s="87"/>
      <c r="BI3516" s="87"/>
    </row>
    <row r="3517" spans="1:61" x14ac:dyDescent="0.25">
      <c r="A3517" s="63" t="s">
        <v>1334</v>
      </c>
      <c r="B3517" s="63" t="s">
        <v>1334</v>
      </c>
      <c r="C3517" s="64"/>
      <c r="D3517" s="65"/>
      <c r="E3517" s="66"/>
      <c r="F3517" s="67"/>
      <c r="G3517" s="64"/>
      <c r="H3517" s="68"/>
      <c r="I3517" s="69"/>
      <c r="J3517" s="69"/>
      <c r="K3517" s="32"/>
      <c r="L3517" s="76">
        <v>3517</v>
      </c>
      <c r="M3517" s="76"/>
      <c r="N3517" s="71"/>
      <c r="O3517" s="87" t="s">
        <v>179</v>
      </c>
      <c r="P3517" s="90">
        <v>45174.885694444441</v>
      </c>
      <c r="Q3517" s="87" t="s">
        <v>5192</v>
      </c>
      <c r="R3517" s="87">
        <v>0</v>
      </c>
      <c r="S3517" s="87">
        <v>0</v>
      </c>
      <c r="T3517" s="87">
        <v>0</v>
      </c>
      <c r="U3517" s="87">
        <v>0</v>
      </c>
      <c r="V3517" s="87">
        <v>5</v>
      </c>
      <c r="W3517" s="93" t="s">
        <v>7900</v>
      </c>
      <c r="X3517" s="92" t="str">
        <f>HYPERLINK("http://alphagraphics.com.br/franquia")</f>
        <v>http://alphagraphics.com.br/franquia</v>
      </c>
      <c r="Y3517" s="87" t="s">
        <v>8373</v>
      </c>
      <c r="Z3517" s="87"/>
      <c r="AA3517" s="87" t="s">
        <v>11037</v>
      </c>
      <c r="AB3517" s="87" t="s">
        <v>11448</v>
      </c>
      <c r="AC3517" s="93" t="s">
        <v>11460</v>
      </c>
      <c r="AD3517" s="87" t="s">
        <v>11519</v>
      </c>
      <c r="AE3517" s="92" t="str">
        <f>HYPERLINK("https://twitter.com/alphagraphicsbr/status/1699169381454914041")</f>
        <v>https://twitter.com/alphagraphicsbr/status/1699169381454914041</v>
      </c>
      <c r="AF3517" s="90">
        <v>45174.885694444441</v>
      </c>
      <c r="AG3517" s="99">
        <v>45174</v>
      </c>
      <c r="AH3517" s="93" t="s">
        <v>14646</v>
      </c>
      <c r="AI3517" s="87" t="b">
        <v>0</v>
      </c>
      <c r="AJ3517" s="87"/>
      <c r="AK3517" s="87"/>
      <c r="AL3517" s="87"/>
      <c r="AM3517" s="87"/>
      <c r="AN3517" s="87"/>
      <c r="AO3517" s="87"/>
      <c r="AP3517" s="87"/>
      <c r="AQ3517" s="87" t="s">
        <v>17849</v>
      </c>
      <c r="AR3517" s="87"/>
      <c r="AS3517" s="87"/>
      <c r="AT3517" s="87"/>
      <c r="AU3517" s="87"/>
      <c r="AV3517" s="92" t="str">
        <f>HYPERLINK("https://pbs.twimg.com/media/F5SpjD1WIAAFoBx.jpg")</f>
        <v>https://pbs.twimg.com/media/F5SpjD1WIAAFoBx.jpg</v>
      </c>
      <c r="AW3517" s="93" t="s">
        <v>21644</v>
      </c>
      <c r="AX3517" s="93" t="s">
        <v>21644</v>
      </c>
      <c r="AY3517" s="87"/>
      <c r="AZ3517" s="93" t="s">
        <v>22668</v>
      </c>
      <c r="BA3517" s="93" t="s">
        <v>22668</v>
      </c>
      <c r="BB3517" s="93" t="s">
        <v>22668</v>
      </c>
      <c r="BC3517" s="93" t="s">
        <v>21644</v>
      </c>
      <c r="BD3517" s="87">
        <v>77315167</v>
      </c>
      <c r="BE3517" s="87"/>
      <c r="BF3517" s="87"/>
      <c r="BG3517" s="87"/>
      <c r="BH3517" s="87"/>
      <c r="BI3517" s="87"/>
    </row>
    <row r="3518" spans="1:61" x14ac:dyDescent="0.25">
      <c r="A3518" s="63" t="s">
        <v>1334</v>
      </c>
      <c r="B3518" s="63" t="s">
        <v>1334</v>
      </c>
      <c r="C3518" s="64"/>
      <c r="D3518" s="65"/>
      <c r="E3518" s="66"/>
      <c r="F3518" s="67"/>
      <c r="G3518" s="64"/>
      <c r="H3518" s="68"/>
      <c r="I3518" s="69"/>
      <c r="J3518" s="69"/>
      <c r="K3518" s="32"/>
      <c r="L3518" s="76">
        <v>3518</v>
      </c>
      <c r="M3518" s="76"/>
      <c r="N3518" s="71"/>
      <c r="O3518" s="87" t="s">
        <v>179</v>
      </c>
      <c r="P3518" s="90">
        <v>45176.469270833331</v>
      </c>
      <c r="Q3518" s="87" t="s">
        <v>5193</v>
      </c>
      <c r="R3518" s="87">
        <v>0</v>
      </c>
      <c r="S3518" s="87">
        <v>0</v>
      </c>
      <c r="T3518" s="87">
        <v>0</v>
      </c>
      <c r="U3518" s="87">
        <v>0</v>
      </c>
      <c r="V3518" s="87">
        <v>8</v>
      </c>
      <c r="W3518" s="93" t="s">
        <v>7901</v>
      </c>
      <c r="X3518" s="87"/>
      <c r="Y3518" s="87"/>
      <c r="Z3518" s="87"/>
      <c r="AA3518" s="87" t="s">
        <v>11038</v>
      </c>
      <c r="AB3518" s="87" t="s">
        <v>11448</v>
      </c>
      <c r="AC3518" s="93" t="s">
        <v>11460</v>
      </c>
      <c r="AD3518" s="87" t="s">
        <v>11519</v>
      </c>
      <c r="AE3518" s="92" t="str">
        <f>HYPERLINK("https://twitter.com/alphagraphicsbr/status/1699743250557317203")</f>
        <v>https://twitter.com/alphagraphicsbr/status/1699743250557317203</v>
      </c>
      <c r="AF3518" s="90">
        <v>45176.469270833331</v>
      </c>
      <c r="AG3518" s="99">
        <v>45176</v>
      </c>
      <c r="AH3518" s="93" t="s">
        <v>14647</v>
      </c>
      <c r="AI3518" s="87" t="b">
        <v>0</v>
      </c>
      <c r="AJ3518" s="87"/>
      <c r="AK3518" s="87"/>
      <c r="AL3518" s="87"/>
      <c r="AM3518" s="87"/>
      <c r="AN3518" s="87"/>
      <c r="AO3518" s="87"/>
      <c r="AP3518" s="87"/>
      <c r="AQ3518" s="87" t="s">
        <v>17850</v>
      </c>
      <c r="AR3518" s="87"/>
      <c r="AS3518" s="87"/>
      <c r="AT3518" s="87"/>
      <c r="AU3518" s="87"/>
      <c r="AV3518" s="92" t="str">
        <f>HYPERLINK("https://pbs.twimg.com/media/F5azenyXsAA_79_.jpg")</f>
        <v>https://pbs.twimg.com/media/F5azenyXsAA_79_.jpg</v>
      </c>
      <c r="AW3518" s="93" t="s">
        <v>21645</v>
      </c>
      <c r="AX3518" s="93" t="s">
        <v>21645</v>
      </c>
      <c r="AY3518" s="87"/>
      <c r="AZ3518" s="93" t="s">
        <v>22668</v>
      </c>
      <c r="BA3518" s="93" t="s">
        <v>22668</v>
      </c>
      <c r="BB3518" s="93" t="s">
        <v>22668</v>
      </c>
      <c r="BC3518" s="93" t="s">
        <v>21645</v>
      </c>
      <c r="BD3518" s="87">
        <v>77315167</v>
      </c>
      <c r="BE3518" s="87"/>
      <c r="BF3518" s="87"/>
      <c r="BG3518" s="87"/>
      <c r="BH3518" s="87"/>
      <c r="BI3518" s="87"/>
    </row>
    <row r="3519" spans="1:61" x14ac:dyDescent="0.25">
      <c r="A3519" s="63" t="s">
        <v>1334</v>
      </c>
      <c r="B3519" s="63" t="s">
        <v>1334</v>
      </c>
      <c r="C3519" s="64"/>
      <c r="D3519" s="65"/>
      <c r="E3519" s="66"/>
      <c r="F3519" s="67"/>
      <c r="G3519" s="64"/>
      <c r="H3519" s="68"/>
      <c r="I3519" s="69"/>
      <c r="J3519" s="69"/>
      <c r="K3519" s="32"/>
      <c r="L3519" s="76">
        <v>3519</v>
      </c>
      <c r="M3519" s="76"/>
      <c r="N3519" s="71"/>
      <c r="O3519" s="87" t="s">
        <v>179</v>
      </c>
      <c r="P3519" s="90">
        <v>45182.837002314816</v>
      </c>
      <c r="Q3519" s="87" t="s">
        <v>5194</v>
      </c>
      <c r="R3519" s="87">
        <v>0</v>
      </c>
      <c r="S3519" s="87">
        <v>0</v>
      </c>
      <c r="T3519" s="87">
        <v>0</v>
      </c>
      <c r="U3519" s="87">
        <v>0</v>
      </c>
      <c r="V3519" s="87">
        <v>10</v>
      </c>
      <c r="W3519" s="93" t="s">
        <v>7900</v>
      </c>
      <c r="X3519" s="92" t="str">
        <f>HYPERLINK("http://alphagraphics.com.br/franquia")</f>
        <v>http://alphagraphics.com.br/franquia</v>
      </c>
      <c r="Y3519" s="87" t="s">
        <v>8373</v>
      </c>
      <c r="Z3519" s="87"/>
      <c r="AA3519" s="87" t="s">
        <v>11039</v>
      </c>
      <c r="AB3519" s="87" t="s">
        <v>11448</v>
      </c>
      <c r="AC3519" s="93" t="s">
        <v>11460</v>
      </c>
      <c r="AD3519" s="87" t="s">
        <v>11519</v>
      </c>
      <c r="AE3519" s="92" t="str">
        <f>HYPERLINK("https://twitter.com/alphagraphicsbr/status/1702050839014039993")</f>
        <v>https://twitter.com/alphagraphicsbr/status/1702050839014039993</v>
      </c>
      <c r="AF3519" s="90">
        <v>45182.837002314816</v>
      </c>
      <c r="AG3519" s="99">
        <v>45182</v>
      </c>
      <c r="AH3519" s="93" t="s">
        <v>14648</v>
      </c>
      <c r="AI3519" s="87" t="b">
        <v>0</v>
      </c>
      <c r="AJ3519" s="87"/>
      <c r="AK3519" s="87"/>
      <c r="AL3519" s="87"/>
      <c r="AM3519" s="87"/>
      <c r="AN3519" s="87"/>
      <c r="AO3519" s="87"/>
      <c r="AP3519" s="87"/>
      <c r="AQ3519" s="87" t="s">
        <v>17851</v>
      </c>
      <c r="AR3519" s="87"/>
      <c r="AS3519" s="87"/>
      <c r="AT3519" s="87"/>
      <c r="AU3519" s="87"/>
      <c r="AV3519" s="92" t="str">
        <f>HYPERLINK("https://pbs.twimg.com/media/F57mN8vXUAAS9R2.jpg")</f>
        <v>https://pbs.twimg.com/media/F57mN8vXUAAS9R2.jpg</v>
      </c>
      <c r="AW3519" s="93" t="s">
        <v>21646</v>
      </c>
      <c r="AX3519" s="93" t="s">
        <v>21646</v>
      </c>
      <c r="AY3519" s="87"/>
      <c r="AZ3519" s="93" t="s">
        <v>22668</v>
      </c>
      <c r="BA3519" s="93" t="s">
        <v>22668</v>
      </c>
      <c r="BB3519" s="93" t="s">
        <v>22668</v>
      </c>
      <c r="BC3519" s="93" t="s">
        <v>21646</v>
      </c>
      <c r="BD3519" s="87">
        <v>77315167</v>
      </c>
      <c r="BE3519" s="87"/>
      <c r="BF3519" s="87"/>
      <c r="BG3519" s="87"/>
      <c r="BH3519" s="87"/>
      <c r="BI3519" s="87"/>
    </row>
    <row r="3520" spans="1:61" x14ac:dyDescent="0.25">
      <c r="A3520" s="63" t="s">
        <v>1334</v>
      </c>
      <c r="B3520" s="63" t="s">
        <v>1334</v>
      </c>
      <c r="C3520" s="64"/>
      <c r="D3520" s="65"/>
      <c r="E3520" s="66"/>
      <c r="F3520" s="67"/>
      <c r="G3520" s="64"/>
      <c r="H3520" s="68"/>
      <c r="I3520" s="69"/>
      <c r="J3520" s="69"/>
      <c r="K3520" s="32"/>
      <c r="L3520" s="76">
        <v>3520</v>
      </c>
      <c r="M3520" s="76"/>
      <c r="N3520" s="71"/>
      <c r="O3520" s="87" t="s">
        <v>179</v>
      </c>
      <c r="P3520" s="90">
        <v>45185.829907407409</v>
      </c>
      <c r="Q3520" s="87" t="s">
        <v>5195</v>
      </c>
      <c r="R3520" s="87">
        <v>0</v>
      </c>
      <c r="S3520" s="87">
        <v>0</v>
      </c>
      <c r="T3520" s="87">
        <v>0</v>
      </c>
      <c r="U3520" s="87">
        <v>0</v>
      </c>
      <c r="V3520" s="87">
        <v>7</v>
      </c>
      <c r="W3520" s="93" t="s">
        <v>7900</v>
      </c>
      <c r="X3520" s="92" t="str">
        <f>HYPERLINK("http://alphagraphics.com.br/franquia")</f>
        <v>http://alphagraphics.com.br/franquia</v>
      </c>
      <c r="Y3520" s="87" t="s">
        <v>8373</v>
      </c>
      <c r="Z3520" s="87"/>
      <c r="AA3520" s="87" t="s">
        <v>11040</v>
      </c>
      <c r="AB3520" s="87" t="s">
        <v>11448</v>
      </c>
      <c r="AC3520" s="93" t="s">
        <v>11460</v>
      </c>
      <c r="AD3520" s="87" t="s">
        <v>11519</v>
      </c>
      <c r="AE3520" s="92" t="str">
        <f>HYPERLINK("https://twitter.com/alphagraphicsbr/status/1703135434425987423")</f>
        <v>https://twitter.com/alphagraphicsbr/status/1703135434425987423</v>
      </c>
      <c r="AF3520" s="90">
        <v>45185.829907407409</v>
      </c>
      <c r="AG3520" s="99">
        <v>45185</v>
      </c>
      <c r="AH3520" s="93" t="s">
        <v>14649</v>
      </c>
      <c r="AI3520" s="87" t="b">
        <v>0</v>
      </c>
      <c r="AJ3520" s="87"/>
      <c r="AK3520" s="87"/>
      <c r="AL3520" s="87"/>
      <c r="AM3520" s="87"/>
      <c r="AN3520" s="87"/>
      <c r="AO3520" s="87"/>
      <c r="AP3520" s="87"/>
      <c r="AQ3520" s="87" t="s">
        <v>17852</v>
      </c>
      <c r="AR3520" s="87"/>
      <c r="AS3520" s="87"/>
      <c r="AT3520" s="87"/>
      <c r="AU3520" s="87"/>
      <c r="AV3520" s="92" t="str">
        <f>HYPERLINK("https://pbs.twimg.com/media/F6LAptLXEAAPOeu.jpg")</f>
        <v>https://pbs.twimg.com/media/F6LAptLXEAAPOeu.jpg</v>
      </c>
      <c r="AW3520" s="93" t="s">
        <v>21647</v>
      </c>
      <c r="AX3520" s="93" t="s">
        <v>21647</v>
      </c>
      <c r="AY3520" s="87"/>
      <c r="AZ3520" s="93" t="s">
        <v>22668</v>
      </c>
      <c r="BA3520" s="93" t="s">
        <v>22668</v>
      </c>
      <c r="BB3520" s="93" t="s">
        <v>22668</v>
      </c>
      <c r="BC3520" s="93" t="s">
        <v>21647</v>
      </c>
      <c r="BD3520" s="87">
        <v>77315167</v>
      </c>
      <c r="BE3520" s="87"/>
      <c r="BF3520" s="87"/>
      <c r="BG3520" s="87"/>
      <c r="BH3520" s="87"/>
      <c r="BI3520" s="87"/>
    </row>
    <row r="3521" spans="1:61" x14ac:dyDescent="0.25">
      <c r="A3521" s="63" t="s">
        <v>1335</v>
      </c>
      <c r="B3521" s="63" t="s">
        <v>1335</v>
      </c>
      <c r="C3521" s="64"/>
      <c r="D3521" s="65"/>
      <c r="E3521" s="66"/>
      <c r="F3521" s="67"/>
      <c r="G3521" s="64"/>
      <c r="H3521" s="68"/>
      <c r="I3521" s="69"/>
      <c r="J3521" s="69"/>
      <c r="K3521" s="32"/>
      <c r="L3521" s="76">
        <v>3521</v>
      </c>
      <c r="M3521" s="76"/>
      <c r="N3521" s="71"/>
      <c r="O3521" s="87" t="s">
        <v>179</v>
      </c>
      <c r="P3521" s="90">
        <v>45123.845879629633</v>
      </c>
      <c r="Q3521" s="87" t="s">
        <v>5196</v>
      </c>
      <c r="R3521" s="87">
        <v>0</v>
      </c>
      <c r="S3521" s="87">
        <v>0</v>
      </c>
      <c r="T3521" s="87">
        <v>0</v>
      </c>
      <c r="U3521" s="87">
        <v>0</v>
      </c>
      <c r="V3521" s="87">
        <v>49</v>
      </c>
      <c r="W3521" s="93" t="s">
        <v>1737</v>
      </c>
      <c r="X3521" s="87"/>
      <c r="Y3521" s="87"/>
      <c r="Z3521" s="87"/>
      <c r="AA3521" s="87"/>
      <c r="AB3521" s="87"/>
      <c r="AC3521" s="93" t="s">
        <v>11458</v>
      </c>
      <c r="AD3521" s="87" t="s">
        <v>11519</v>
      </c>
      <c r="AE3521" s="92" t="str">
        <f>HYPERLINK("https://twitter.com/ricardo_matos_/status/1680673171056254979")</f>
        <v>https://twitter.com/ricardo_matos_/status/1680673171056254979</v>
      </c>
      <c r="AF3521" s="90">
        <v>45123.845879629633</v>
      </c>
      <c r="AG3521" s="99">
        <v>45123</v>
      </c>
      <c r="AH3521" s="93" t="s">
        <v>14650</v>
      </c>
      <c r="AI3521" s="87"/>
      <c r="AJ3521" s="87"/>
      <c r="AK3521" s="87"/>
      <c r="AL3521" s="87"/>
      <c r="AM3521" s="87"/>
      <c r="AN3521" s="87"/>
      <c r="AO3521" s="87"/>
      <c r="AP3521" s="87"/>
      <c r="AQ3521" s="87"/>
      <c r="AR3521" s="87"/>
      <c r="AS3521" s="87"/>
      <c r="AT3521" s="87"/>
      <c r="AU3521" s="87"/>
      <c r="AV3521" s="92" t="str">
        <f>HYPERLINK("https://pbs.twimg.com/profile_images/1704553737245622273/FOaec7Vn_normal.jpg")</f>
        <v>https://pbs.twimg.com/profile_images/1704553737245622273/FOaec7Vn_normal.jpg</v>
      </c>
      <c r="AW3521" s="93" t="s">
        <v>21648</v>
      </c>
      <c r="AX3521" s="93" t="s">
        <v>21648</v>
      </c>
      <c r="AY3521" s="87"/>
      <c r="AZ3521" s="93" t="s">
        <v>22668</v>
      </c>
      <c r="BA3521" s="93" t="s">
        <v>22668</v>
      </c>
      <c r="BB3521" s="93" t="s">
        <v>22668</v>
      </c>
      <c r="BC3521" s="93" t="s">
        <v>21648</v>
      </c>
      <c r="BD3521" s="93" t="s">
        <v>23437</v>
      </c>
      <c r="BE3521" s="87"/>
      <c r="BF3521" s="87"/>
      <c r="BG3521" s="87"/>
      <c r="BH3521" s="87"/>
      <c r="BI3521" s="87"/>
    </row>
    <row r="3522" spans="1:61" x14ac:dyDescent="0.25">
      <c r="A3522" s="63" t="s">
        <v>1336</v>
      </c>
      <c r="B3522" s="63" t="s">
        <v>1336</v>
      </c>
      <c r="C3522" s="64"/>
      <c r="D3522" s="65"/>
      <c r="E3522" s="66"/>
      <c r="F3522" s="67"/>
      <c r="G3522" s="64"/>
      <c r="H3522" s="68"/>
      <c r="I3522" s="69"/>
      <c r="J3522" s="69"/>
      <c r="K3522" s="32"/>
      <c r="L3522" s="76">
        <v>3522</v>
      </c>
      <c r="M3522" s="76"/>
      <c r="N3522" s="71"/>
      <c r="O3522" s="87" t="s">
        <v>179</v>
      </c>
      <c r="P3522" s="90">
        <v>45115.596064814818</v>
      </c>
      <c r="Q3522" s="87" t="s">
        <v>5197</v>
      </c>
      <c r="R3522" s="87">
        <v>0</v>
      </c>
      <c r="S3522" s="87">
        <v>1</v>
      </c>
      <c r="T3522" s="87">
        <v>0</v>
      </c>
      <c r="U3522" s="87">
        <v>0</v>
      </c>
      <c r="V3522" s="87">
        <v>12</v>
      </c>
      <c r="W3522" s="93" t="s">
        <v>7902</v>
      </c>
      <c r="X3522" s="87"/>
      <c r="Y3522" s="87"/>
      <c r="Z3522" s="87"/>
      <c r="AA3522" s="87"/>
      <c r="AB3522" s="87"/>
      <c r="AC3522" s="93" t="s">
        <v>11459</v>
      </c>
      <c r="AD3522" s="87" t="s">
        <v>11519</v>
      </c>
      <c r="AE3522" s="92" t="str">
        <f>HYPERLINK("https://twitter.com/elivansantos_18/status/1677683540287275010")</f>
        <v>https://twitter.com/elivansantos_18/status/1677683540287275010</v>
      </c>
      <c r="AF3522" s="90">
        <v>45115.596064814818</v>
      </c>
      <c r="AG3522" s="99">
        <v>45115</v>
      </c>
      <c r="AH3522" s="93" t="s">
        <v>14651</v>
      </c>
      <c r="AI3522" s="87"/>
      <c r="AJ3522" s="87"/>
      <c r="AK3522" s="87"/>
      <c r="AL3522" s="87"/>
      <c r="AM3522" s="87"/>
      <c r="AN3522" s="87"/>
      <c r="AO3522" s="87"/>
      <c r="AP3522" s="87"/>
      <c r="AQ3522" s="87"/>
      <c r="AR3522" s="87"/>
      <c r="AS3522" s="87"/>
      <c r="AT3522" s="87"/>
      <c r="AU3522" s="87"/>
      <c r="AV3522" s="92" t="str">
        <f>HYPERLINK("https://pbs.twimg.com/profile_images/1655040740244717568/bIozefM4_normal.jpg")</f>
        <v>https://pbs.twimg.com/profile_images/1655040740244717568/bIozefM4_normal.jpg</v>
      </c>
      <c r="AW3522" s="93" t="s">
        <v>21649</v>
      </c>
      <c r="AX3522" s="93" t="s">
        <v>21649</v>
      </c>
      <c r="AY3522" s="87"/>
      <c r="AZ3522" s="93" t="s">
        <v>22668</v>
      </c>
      <c r="BA3522" s="93" t="s">
        <v>22668</v>
      </c>
      <c r="BB3522" s="93" t="s">
        <v>22668</v>
      </c>
      <c r="BC3522" s="93" t="s">
        <v>21649</v>
      </c>
      <c r="BD3522" s="93" t="s">
        <v>23438</v>
      </c>
      <c r="BE3522" s="87"/>
      <c r="BF3522" s="87"/>
      <c r="BG3522" s="87"/>
      <c r="BH3522" s="87"/>
      <c r="BI3522" s="87"/>
    </row>
    <row r="3523" spans="1:61" x14ac:dyDescent="0.25">
      <c r="A3523" s="63" t="s">
        <v>1337</v>
      </c>
      <c r="B3523" s="63" t="s">
        <v>1337</v>
      </c>
      <c r="C3523" s="64"/>
      <c r="D3523" s="65"/>
      <c r="E3523" s="66"/>
      <c r="F3523" s="67"/>
      <c r="G3523" s="64"/>
      <c r="H3523" s="68"/>
      <c r="I3523" s="69"/>
      <c r="J3523" s="69"/>
      <c r="K3523" s="32"/>
      <c r="L3523" s="76">
        <v>3523</v>
      </c>
      <c r="M3523" s="76"/>
      <c r="N3523" s="71"/>
      <c r="O3523" s="87" t="s">
        <v>179</v>
      </c>
      <c r="P3523" s="90">
        <v>45110.64135416667</v>
      </c>
      <c r="Q3523" s="87" t="s">
        <v>5198</v>
      </c>
      <c r="R3523" s="87">
        <v>0</v>
      </c>
      <c r="S3523" s="87">
        <v>0</v>
      </c>
      <c r="T3523" s="87">
        <v>0</v>
      </c>
      <c r="U3523" s="87">
        <v>0</v>
      </c>
      <c r="V3523" s="87">
        <v>19</v>
      </c>
      <c r="W3523" s="93" t="s">
        <v>7903</v>
      </c>
      <c r="X3523" s="92" t="str">
        <f>HYPERLINK("https://www.premioinovacao.pt/")</f>
        <v>https://www.premioinovacao.pt/</v>
      </c>
      <c r="Y3523" s="87" t="s">
        <v>8530</v>
      </c>
      <c r="Z3523" s="87"/>
      <c r="AA3523" s="87" t="s">
        <v>11041</v>
      </c>
      <c r="AB3523" s="87" t="s">
        <v>11448</v>
      </c>
      <c r="AC3523" s="93" t="s">
        <v>11457</v>
      </c>
      <c r="AD3523" s="87" t="s">
        <v>11519</v>
      </c>
      <c r="AE3523" s="92" t="str">
        <f>HYPERLINK("https://twitter.com/iniav_ip/status/1675888014638174208")</f>
        <v>https://twitter.com/iniav_ip/status/1675888014638174208</v>
      </c>
      <c r="AF3523" s="90">
        <v>45110.64135416667</v>
      </c>
      <c r="AG3523" s="99">
        <v>45110</v>
      </c>
      <c r="AH3523" s="93" t="s">
        <v>14652</v>
      </c>
      <c r="AI3523" s="87" t="b">
        <v>1</v>
      </c>
      <c r="AJ3523" s="87"/>
      <c r="AK3523" s="87"/>
      <c r="AL3523" s="87"/>
      <c r="AM3523" s="87"/>
      <c r="AN3523" s="87"/>
      <c r="AO3523" s="87"/>
      <c r="AP3523" s="87"/>
      <c r="AQ3523" s="87" t="s">
        <v>17853</v>
      </c>
      <c r="AR3523" s="87"/>
      <c r="AS3523" s="87"/>
      <c r="AT3523" s="87"/>
      <c r="AU3523" s="87"/>
      <c r="AV3523" s="92" t="str">
        <f>HYPERLINK("https://pbs.twimg.com/media/F0HzPGEXoAAybqU.jpg")</f>
        <v>https://pbs.twimg.com/media/F0HzPGEXoAAybqU.jpg</v>
      </c>
      <c r="AW3523" s="93" t="s">
        <v>21650</v>
      </c>
      <c r="AX3523" s="93" t="s">
        <v>21650</v>
      </c>
      <c r="AY3523" s="87"/>
      <c r="AZ3523" s="93" t="s">
        <v>22668</v>
      </c>
      <c r="BA3523" s="93" t="s">
        <v>22668</v>
      </c>
      <c r="BB3523" s="93" t="s">
        <v>22668</v>
      </c>
      <c r="BC3523" s="93" t="s">
        <v>21650</v>
      </c>
      <c r="BD3523" s="87">
        <v>2854423368</v>
      </c>
      <c r="BE3523" s="87"/>
      <c r="BF3523" s="87"/>
      <c r="BG3523" s="87"/>
      <c r="BH3523" s="87"/>
      <c r="BI3523" s="87"/>
    </row>
    <row r="3524" spans="1:61" x14ac:dyDescent="0.25">
      <c r="A3524" s="63" t="s">
        <v>1338</v>
      </c>
      <c r="B3524" s="63" t="s">
        <v>1338</v>
      </c>
      <c r="C3524" s="64"/>
      <c r="D3524" s="65"/>
      <c r="E3524" s="66"/>
      <c r="F3524" s="67"/>
      <c r="G3524" s="64"/>
      <c r="H3524" s="68"/>
      <c r="I3524" s="69"/>
      <c r="J3524" s="69"/>
      <c r="K3524" s="32"/>
      <c r="L3524" s="76">
        <v>3524</v>
      </c>
      <c r="M3524" s="76"/>
      <c r="N3524" s="71"/>
      <c r="O3524" s="87" t="s">
        <v>179</v>
      </c>
      <c r="P3524" s="90">
        <v>45121.742129629631</v>
      </c>
      <c r="Q3524" s="87" t="s">
        <v>5199</v>
      </c>
      <c r="R3524" s="87">
        <v>0</v>
      </c>
      <c r="S3524" s="87">
        <v>0</v>
      </c>
      <c r="T3524" s="87">
        <v>0</v>
      </c>
      <c r="U3524" s="87">
        <v>0</v>
      </c>
      <c r="V3524" s="87">
        <v>10</v>
      </c>
      <c r="W3524" s="93" t="s">
        <v>7904</v>
      </c>
      <c r="X3524" s="92" t="str">
        <f>HYPERLINK("https://radioitatiaiajf.com.br/sebrae-minas-divulga-agenda-de-capacitacoes-gratuitas-em-juiz-de-fora/")</f>
        <v>https://radioitatiaiajf.com.br/sebrae-minas-divulga-agenda-de-capacitacoes-gratuitas-em-juiz-de-fora/</v>
      </c>
      <c r="Y3524" s="87" t="s">
        <v>8373</v>
      </c>
      <c r="Z3524" s="87"/>
      <c r="AA3524" s="87"/>
      <c r="AB3524" s="87"/>
      <c r="AC3524" s="93" t="s">
        <v>11457</v>
      </c>
      <c r="AD3524" s="87" t="s">
        <v>11520</v>
      </c>
      <c r="AE3524" s="92" t="str">
        <f>HYPERLINK("https://twitter.com/itatiaiajf/status/1679910800884891649")</f>
        <v>https://twitter.com/itatiaiajf/status/1679910800884891649</v>
      </c>
      <c r="AF3524" s="90">
        <v>45121.742129629631</v>
      </c>
      <c r="AG3524" s="99">
        <v>45121</v>
      </c>
      <c r="AH3524" s="93" t="s">
        <v>14653</v>
      </c>
      <c r="AI3524" s="87" t="b">
        <v>0</v>
      </c>
      <c r="AJ3524" s="87"/>
      <c r="AK3524" s="87"/>
      <c r="AL3524" s="87"/>
      <c r="AM3524" s="87"/>
      <c r="AN3524" s="87"/>
      <c r="AO3524" s="87"/>
      <c r="AP3524" s="87"/>
      <c r="AQ3524" s="87"/>
      <c r="AR3524" s="87"/>
      <c r="AS3524" s="87"/>
      <c r="AT3524" s="87"/>
      <c r="AU3524" s="87"/>
      <c r="AV3524" s="92" t="str">
        <f>HYPERLINK("https://pbs.twimg.com/profile_images/1672199922588819457/x4r4nNLR_normal.jpg")</f>
        <v>https://pbs.twimg.com/profile_images/1672199922588819457/x4r4nNLR_normal.jpg</v>
      </c>
      <c r="AW3524" s="93" t="s">
        <v>21651</v>
      </c>
      <c r="AX3524" s="93" t="s">
        <v>21651</v>
      </c>
      <c r="AY3524" s="87"/>
      <c r="AZ3524" s="93" t="s">
        <v>22668</v>
      </c>
      <c r="BA3524" s="93" t="s">
        <v>22668</v>
      </c>
      <c r="BB3524" s="93" t="s">
        <v>22668</v>
      </c>
      <c r="BC3524" s="93" t="s">
        <v>21651</v>
      </c>
      <c r="BD3524" s="87">
        <v>349719588</v>
      </c>
      <c r="BE3524" s="87"/>
      <c r="BF3524" s="87"/>
      <c r="BG3524" s="87"/>
      <c r="BH3524" s="87"/>
      <c r="BI3524" s="87"/>
    </row>
    <row r="3525" spans="1:61" x14ac:dyDescent="0.25">
      <c r="A3525" s="63" t="s">
        <v>1338</v>
      </c>
      <c r="B3525" s="63" t="s">
        <v>1338</v>
      </c>
      <c r="C3525" s="64"/>
      <c r="D3525" s="65"/>
      <c r="E3525" s="66"/>
      <c r="F3525" s="67"/>
      <c r="G3525" s="64"/>
      <c r="H3525" s="68"/>
      <c r="I3525" s="69"/>
      <c r="J3525" s="69"/>
      <c r="K3525" s="32"/>
      <c r="L3525" s="76">
        <v>3525</v>
      </c>
      <c r="M3525" s="76"/>
      <c r="N3525" s="71"/>
      <c r="O3525" s="87" t="s">
        <v>179</v>
      </c>
      <c r="P3525" s="90">
        <v>45196.861111111109</v>
      </c>
      <c r="Q3525" s="87" t="s">
        <v>5200</v>
      </c>
      <c r="R3525" s="87">
        <v>0</v>
      </c>
      <c r="S3525" s="87">
        <v>0</v>
      </c>
      <c r="T3525" s="87">
        <v>0</v>
      </c>
      <c r="U3525" s="87">
        <v>0</v>
      </c>
      <c r="V3525" s="87">
        <v>11</v>
      </c>
      <c r="W3525" s="93" t="s">
        <v>7905</v>
      </c>
      <c r="X3525" s="92" t="str">
        <f>HYPERLINK("https://radioitatiaiajf.com.br/sebrae-juiz-de-fora-promove-workshop-de-empreendedorismo-para-mulheres-com-50-anos-ou-mais/")</f>
        <v>https://radioitatiaiajf.com.br/sebrae-juiz-de-fora-promove-workshop-de-empreendedorismo-para-mulheres-com-50-anos-ou-mais/</v>
      </c>
      <c r="Y3525" s="87" t="s">
        <v>8373</v>
      </c>
      <c r="Z3525" s="87"/>
      <c r="AA3525" s="87" t="s">
        <v>11042</v>
      </c>
      <c r="AB3525" s="87" t="s">
        <v>11448</v>
      </c>
      <c r="AC3525" s="93" t="s">
        <v>11457</v>
      </c>
      <c r="AD3525" s="87" t="s">
        <v>11520</v>
      </c>
      <c r="AE3525" s="92" t="str">
        <f>HYPERLINK("https://twitter.com/itatiaiajf/status/1707133005842850266")</f>
        <v>https://twitter.com/itatiaiajf/status/1707133005842850266</v>
      </c>
      <c r="AF3525" s="90">
        <v>45196.861111111109</v>
      </c>
      <c r="AG3525" s="99">
        <v>45196</v>
      </c>
      <c r="AH3525" s="93" t="s">
        <v>14654</v>
      </c>
      <c r="AI3525" s="87" t="b">
        <v>0</v>
      </c>
      <c r="AJ3525" s="87"/>
      <c r="AK3525" s="87"/>
      <c r="AL3525" s="87"/>
      <c r="AM3525" s="87"/>
      <c r="AN3525" s="87"/>
      <c r="AO3525" s="87"/>
      <c r="AP3525" s="87"/>
      <c r="AQ3525" s="87" t="s">
        <v>17854</v>
      </c>
      <c r="AR3525" s="87"/>
      <c r="AS3525" s="87"/>
      <c r="AT3525" s="87"/>
      <c r="AU3525" s="87"/>
      <c r="AV3525" s="92" t="str">
        <f>HYPERLINK("https://pbs.twimg.com/media/F7Dx6gcWsAANeOV.jpg")</f>
        <v>https://pbs.twimg.com/media/F7Dx6gcWsAANeOV.jpg</v>
      </c>
      <c r="AW3525" s="93" t="s">
        <v>21652</v>
      </c>
      <c r="AX3525" s="93" t="s">
        <v>21652</v>
      </c>
      <c r="AY3525" s="87"/>
      <c r="AZ3525" s="93" t="s">
        <v>22668</v>
      </c>
      <c r="BA3525" s="93" t="s">
        <v>22668</v>
      </c>
      <c r="BB3525" s="93" t="s">
        <v>22668</v>
      </c>
      <c r="BC3525" s="93" t="s">
        <v>21652</v>
      </c>
      <c r="BD3525" s="87">
        <v>349719588</v>
      </c>
      <c r="BE3525" s="87"/>
      <c r="BF3525" s="87"/>
      <c r="BG3525" s="87"/>
      <c r="BH3525" s="87"/>
      <c r="BI3525" s="87"/>
    </row>
    <row r="3526" spans="1:61" x14ac:dyDescent="0.25">
      <c r="A3526" s="63" t="s">
        <v>1338</v>
      </c>
      <c r="B3526" s="63" t="s">
        <v>1338</v>
      </c>
      <c r="C3526" s="64"/>
      <c r="D3526" s="65"/>
      <c r="E3526" s="66"/>
      <c r="F3526" s="67"/>
      <c r="G3526" s="64"/>
      <c r="H3526" s="68"/>
      <c r="I3526" s="69"/>
      <c r="J3526" s="69"/>
      <c r="K3526" s="32"/>
      <c r="L3526" s="76">
        <v>3526</v>
      </c>
      <c r="M3526" s="76"/>
      <c r="N3526" s="71"/>
      <c r="O3526" s="87" t="s">
        <v>179</v>
      </c>
      <c r="P3526" s="90">
        <v>45147.900694444441</v>
      </c>
      <c r="Q3526" s="87" t="s">
        <v>5201</v>
      </c>
      <c r="R3526" s="87">
        <v>0</v>
      </c>
      <c r="S3526" s="87">
        <v>0</v>
      </c>
      <c r="T3526" s="87">
        <v>0</v>
      </c>
      <c r="U3526" s="87">
        <v>0</v>
      </c>
      <c r="V3526" s="87">
        <v>14</v>
      </c>
      <c r="W3526" s="93" t="s">
        <v>7906</v>
      </c>
      <c r="X3526" s="92" t="str">
        <f>HYPERLINK("https://radioitatiaiajf.com.br/jf-summit-palestrantes-e-empresarios-aprovam-holofotes-no-debate-sobre-empreendedorismo/")</f>
        <v>https://radioitatiaiajf.com.br/jf-summit-palestrantes-e-empresarios-aprovam-holofotes-no-debate-sobre-empreendedorismo/</v>
      </c>
      <c r="Y3526" s="87" t="s">
        <v>8373</v>
      </c>
      <c r="Z3526" s="87"/>
      <c r="AA3526" s="87"/>
      <c r="AB3526" s="87"/>
      <c r="AC3526" s="93" t="s">
        <v>11457</v>
      </c>
      <c r="AD3526" s="87" t="s">
        <v>11520</v>
      </c>
      <c r="AE3526" s="92" t="str">
        <f>HYPERLINK("https://twitter.com/itatiaiajf/status/1689390344792592386")</f>
        <v>https://twitter.com/itatiaiajf/status/1689390344792592386</v>
      </c>
      <c r="AF3526" s="90">
        <v>45147.900694444441</v>
      </c>
      <c r="AG3526" s="99">
        <v>45147</v>
      </c>
      <c r="AH3526" s="93" t="s">
        <v>14655</v>
      </c>
      <c r="AI3526" s="87" t="b">
        <v>0</v>
      </c>
      <c r="AJ3526" s="87"/>
      <c r="AK3526" s="87"/>
      <c r="AL3526" s="87"/>
      <c r="AM3526" s="87"/>
      <c r="AN3526" s="87"/>
      <c r="AO3526" s="87"/>
      <c r="AP3526" s="87"/>
      <c r="AQ3526" s="87"/>
      <c r="AR3526" s="87"/>
      <c r="AS3526" s="87"/>
      <c r="AT3526" s="87"/>
      <c r="AU3526" s="87"/>
      <c r="AV3526" s="92" t="str">
        <f>HYPERLINK("https://pbs.twimg.com/profile_images/1672199922588819457/x4r4nNLR_normal.jpg")</f>
        <v>https://pbs.twimg.com/profile_images/1672199922588819457/x4r4nNLR_normal.jpg</v>
      </c>
      <c r="AW3526" s="93" t="s">
        <v>21653</v>
      </c>
      <c r="AX3526" s="93" t="s">
        <v>21653</v>
      </c>
      <c r="AY3526" s="87"/>
      <c r="AZ3526" s="93" t="s">
        <v>22668</v>
      </c>
      <c r="BA3526" s="93" t="s">
        <v>22668</v>
      </c>
      <c r="BB3526" s="93" t="s">
        <v>22668</v>
      </c>
      <c r="BC3526" s="93" t="s">
        <v>21653</v>
      </c>
      <c r="BD3526" s="87">
        <v>349719588</v>
      </c>
      <c r="BE3526" s="87"/>
      <c r="BF3526" s="87"/>
      <c r="BG3526" s="87"/>
      <c r="BH3526" s="87"/>
      <c r="BI3526" s="87"/>
    </row>
    <row r="3527" spans="1:61" x14ac:dyDescent="0.25">
      <c r="A3527" s="63" t="s">
        <v>1339</v>
      </c>
      <c r="B3527" s="63" t="s">
        <v>1624</v>
      </c>
      <c r="C3527" s="64"/>
      <c r="D3527" s="65"/>
      <c r="E3527" s="66"/>
      <c r="F3527" s="67"/>
      <c r="G3527" s="64"/>
      <c r="H3527" s="68"/>
      <c r="I3527" s="69"/>
      <c r="J3527" s="69"/>
      <c r="K3527" s="32"/>
      <c r="L3527" s="76">
        <v>3527</v>
      </c>
      <c r="M3527" s="76"/>
      <c r="N3527" s="71"/>
      <c r="O3527" s="87" t="s">
        <v>1839</v>
      </c>
      <c r="P3527" s="90">
        <v>45167.641053240739</v>
      </c>
      <c r="Q3527" s="87" t="s">
        <v>5202</v>
      </c>
      <c r="R3527" s="87">
        <v>0</v>
      </c>
      <c r="S3527" s="87">
        <v>1</v>
      </c>
      <c r="T3527" s="87">
        <v>0</v>
      </c>
      <c r="U3527" s="87">
        <v>0</v>
      </c>
      <c r="V3527" s="87">
        <v>10</v>
      </c>
      <c r="W3527" s="93" t="s">
        <v>7907</v>
      </c>
      <c r="X3527" s="92" t="str">
        <f>HYPERLINK("https://youtu.be/YIbJNjSWrB8?si=dJH1Ygxowyz4Zqca")</f>
        <v>https://youtu.be/YIbJNjSWrB8?si=dJH1Ygxowyz4Zqca</v>
      </c>
      <c r="Y3527" s="87" t="s">
        <v>8372</v>
      </c>
      <c r="Z3527" s="87" t="s">
        <v>1624</v>
      </c>
      <c r="AA3527" s="87"/>
      <c r="AB3527" s="87"/>
      <c r="AC3527" s="93" t="s">
        <v>11457</v>
      </c>
      <c r="AD3527" s="87" t="s">
        <v>11519</v>
      </c>
      <c r="AE3527" s="92" t="str">
        <f>HYPERLINK("https://twitter.com/quempodepodi/status/1696544012830708088")</f>
        <v>https://twitter.com/quempodepodi/status/1696544012830708088</v>
      </c>
      <c r="AF3527" s="90">
        <v>45167.641053240739</v>
      </c>
      <c r="AG3527" s="99">
        <v>45167</v>
      </c>
      <c r="AH3527" s="93" t="s">
        <v>14656</v>
      </c>
      <c r="AI3527" s="87" t="b">
        <v>0</v>
      </c>
      <c r="AJ3527" s="87"/>
      <c r="AK3527" s="87"/>
      <c r="AL3527" s="87"/>
      <c r="AM3527" s="87"/>
      <c r="AN3527" s="87"/>
      <c r="AO3527" s="87"/>
      <c r="AP3527" s="87"/>
      <c r="AQ3527" s="87"/>
      <c r="AR3527" s="87"/>
      <c r="AS3527" s="87"/>
      <c r="AT3527" s="87"/>
      <c r="AU3527" s="87"/>
      <c r="AV3527" s="92" t="str">
        <f>HYPERLINK("https://pbs.twimg.com/profile_images/1688680164882866177/4_D0MLxn_normal.png")</f>
        <v>https://pbs.twimg.com/profile_images/1688680164882866177/4_D0MLxn_normal.png</v>
      </c>
      <c r="AW3527" s="93" t="s">
        <v>21654</v>
      </c>
      <c r="AX3527" s="93" t="s">
        <v>21654</v>
      </c>
      <c r="AY3527" s="87"/>
      <c r="AZ3527" s="93" t="s">
        <v>22668</v>
      </c>
      <c r="BA3527" s="93" t="s">
        <v>22668</v>
      </c>
      <c r="BB3527" s="93" t="s">
        <v>22668</v>
      </c>
      <c r="BC3527" s="93" t="s">
        <v>21654</v>
      </c>
      <c r="BD3527" s="93" t="s">
        <v>23439</v>
      </c>
      <c r="BE3527" s="87"/>
      <c r="BF3527" s="87"/>
      <c r="BG3527" s="87"/>
      <c r="BH3527" s="87"/>
      <c r="BI3527" s="87"/>
    </row>
    <row r="3528" spans="1:61" x14ac:dyDescent="0.25">
      <c r="A3528" s="63" t="s">
        <v>1340</v>
      </c>
      <c r="B3528" s="63" t="s">
        <v>1340</v>
      </c>
      <c r="C3528" s="64"/>
      <c r="D3528" s="65"/>
      <c r="E3528" s="66"/>
      <c r="F3528" s="67"/>
      <c r="G3528" s="64"/>
      <c r="H3528" s="68"/>
      <c r="I3528" s="69"/>
      <c r="J3528" s="69"/>
      <c r="K3528" s="32"/>
      <c r="L3528" s="76">
        <v>3528</v>
      </c>
      <c r="M3528" s="76"/>
      <c r="N3528" s="71"/>
      <c r="O3528" s="87" t="s">
        <v>1840</v>
      </c>
      <c r="P3528" s="90">
        <v>45132.573842592596</v>
      </c>
      <c r="Q3528" s="87" t="s">
        <v>5203</v>
      </c>
      <c r="R3528" s="87">
        <v>0</v>
      </c>
      <c r="S3528" s="87">
        <v>0</v>
      </c>
      <c r="T3528" s="87">
        <v>0</v>
      </c>
      <c r="U3528" s="87">
        <v>0</v>
      </c>
      <c r="V3528" s="87">
        <v>8</v>
      </c>
      <c r="W3528" s="93" t="s">
        <v>7908</v>
      </c>
      <c r="X3528" s="92" t="str">
        <f>HYPERLINK("http://bit.ly/acelera_liderança")</f>
        <v>http://bit.ly/acelera_liderança</v>
      </c>
      <c r="Y3528" s="87" t="s">
        <v>8374</v>
      </c>
      <c r="Z3528" s="87"/>
      <c r="AA3528" s="87"/>
      <c r="AB3528" s="87"/>
      <c r="AC3528" s="93" t="s">
        <v>11457</v>
      </c>
      <c r="AD3528" s="87" t="s">
        <v>11523</v>
      </c>
      <c r="AE3528" s="92" t="str">
        <f>HYPERLINK("https://twitter.com/gorn2023/status/1683836080297213955")</f>
        <v>https://twitter.com/gorn2023/status/1683836080297213955</v>
      </c>
      <c r="AF3528" s="90">
        <v>45132.573842592596</v>
      </c>
      <c r="AG3528" s="99">
        <v>45132</v>
      </c>
      <c r="AH3528" s="93" t="s">
        <v>14657</v>
      </c>
      <c r="AI3528" s="87" t="b">
        <v>0</v>
      </c>
      <c r="AJ3528" s="87"/>
      <c r="AK3528" s="87"/>
      <c r="AL3528" s="87"/>
      <c r="AM3528" s="87"/>
      <c r="AN3528" s="87"/>
      <c r="AO3528" s="87"/>
      <c r="AP3528" s="87"/>
      <c r="AQ3528" s="87"/>
      <c r="AR3528" s="87"/>
      <c r="AS3528" s="87"/>
      <c r="AT3528" s="87"/>
      <c r="AU3528" s="87"/>
      <c r="AV3528" s="92" t="str">
        <f>HYPERLINK("https://pbs.twimg.com/profile_images/1681291978779111425/bX6kE1xR_normal.jpg")</f>
        <v>https://pbs.twimg.com/profile_images/1681291978779111425/bX6kE1xR_normal.jpg</v>
      </c>
      <c r="AW3528" s="93" t="s">
        <v>21655</v>
      </c>
      <c r="AX3528" s="93" t="s">
        <v>22471</v>
      </c>
      <c r="AY3528" s="93" t="s">
        <v>22637</v>
      </c>
      <c r="AZ3528" s="93" t="s">
        <v>22761</v>
      </c>
      <c r="BA3528" s="93" t="s">
        <v>22668</v>
      </c>
      <c r="BB3528" s="93" t="s">
        <v>22668</v>
      </c>
      <c r="BC3528" s="93" t="s">
        <v>22761</v>
      </c>
      <c r="BD3528" s="93" t="s">
        <v>22637</v>
      </c>
      <c r="BE3528" s="87"/>
      <c r="BF3528" s="87"/>
      <c r="BG3528" s="87"/>
      <c r="BH3528" s="87"/>
      <c r="BI3528" s="87"/>
    </row>
    <row r="3529" spans="1:61" x14ac:dyDescent="0.25">
      <c r="A3529" s="63" t="s">
        <v>1340</v>
      </c>
      <c r="B3529" s="63" t="s">
        <v>1340</v>
      </c>
      <c r="C3529" s="64"/>
      <c r="D3529" s="65"/>
      <c r="E3529" s="66"/>
      <c r="F3529" s="67"/>
      <c r="G3529" s="64"/>
      <c r="H3529" s="68"/>
      <c r="I3529" s="69"/>
      <c r="J3529" s="69"/>
      <c r="K3529" s="32"/>
      <c r="L3529" s="76">
        <v>3529</v>
      </c>
      <c r="M3529" s="76"/>
      <c r="N3529" s="71"/>
      <c r="O3529" s="87" t="s">
        <v>1840</v>
      </c>
      <c r="P3529" s="90">
        <v>45159.835740740738</v>
      </c>
      <c r="Q3529" s="87" t="s">
        <v>5204</v>
      </c>
      <c r="R3529" s="87">
        <v>0</v>
      </c>
      <c r="S3529" s="87">
        <v>0</v>
      </c>
      <c r="T3529" s="87">
        <v>0</v>
      </c>
      <c r="U3529" s="87">
        <v>0</v>
      </c>
      <c r="V3529" s="87">
        <v>6</v>
      </c>
      <c r="W3529" s="93" t="s">
        <v>7909</v>
      </c>
      <c r="X3529" s="87"/>
      <c r="Y3529" s="87"/>
      <c r="Z3529" s="87"/>
      <c r="AA3529" s="87"/>
      <c r="AB3529" s="87"/>
      <c r="AC3529" s="93" t="s">
        <v>11457</v>
      </c>
      <c r="AD3529" s="87" t="s">
        <v>11518</v>
      </c>
      <c r="AE3529" s="92" t="str">
        <f>HYPERLINK("https://twitter.com/gorn2023/status/1693715460292747549")</f>
        <v>https://twitter.com/gorn2023/status/1693715460292747549</v>
      </c>
      <c r="AF3529" s="90">
        <v>45159.835740740738</v>
      </c>
      <c r="AG3529" s="99">
        <v>45159</v>
      </c>
      <c r="AH3529" s="93" t="s">
        <v>14658</v>
      </c>
      <c r="AI3529" s="87"/>
      <c r="AJ3529" s="87"/>
      <c r="AK3529" s="87"/>
      <c r="AL3529" s="87"/>
      <c r="AM3529" s="87"/>
      <c r="AN3529" s="87"/>
      <c r="AO3529" s="87"/>
      <c r="AP3529" s="87"/>
      <c r="AQ3529" s="87"/>
      <c r="AR3529" s="87"/>
      <c r="AS3529" s="87"/>
      <c r="AT3529" s="87"/>
      <c r="AU3529" s="87"/>
      <c r="AV3529" s="92" t="str">
        <f>HYPERLINK("https://pbs.twimg.com/profile_images/1681291978779111425/bX6kE1xR_normal.jpg")</f>
        <v>https://pbs.twimg.com/profile_images/1681291978779111425/bX6kE1xR_normal.jpg</v>
      </c>
      <c r="AW3529" s="93" t="s">
        <v>21656</v>
      </c>
      <c r="AX3529" s="93" t="s">
        <v>22472</v>
      </c>
      <c r="AY3529" s="93" t="s">
        <v>22637</v>
      </c>
      <c r="AZ3529" s="93" t="s">
        <v>22762</v>
      </c>
      <c r="BA3529" s="93" t="s">
        <v>22668</v>
      </c>
      <c r="BB3529" s="93" t="s">
        <v>22668</v>
      </c>
      <c r="BC3529" s="93" t="s">
        <v>22762</v>
      </c>
      <c r="BD3529" s="93" t="s">
        <v>22637</v>
      </c>
      <c r="BE3529" s="87"/>
      <c r="BF3529" s="87"/>
      <c r="BG3529" s="87"/>
      <c r="BH3529" s="87"/>
      <c r="BI3529" s="87"/>
    </row>
    <row r="3530" spans="1:61" x14ac:dyDescent="0.25">
      <c r="A3530" s="63" t="s">
        <v>1341</v>
      </c>
      <c r="B3530" s="63" t="s">
        <v>1341</v>
      </c>
      <c r="C3530" s="64"/>
      <c r="D3530" s="65"/>
      <c r="E3530" s="66"/>
      <c r="F3530" s="67"/>
      <c r="G3530" s="64"/>
      <c r="H3530" s="68"/>
      <c r="I3530" s="69"/>
      <c r="J3530" s="69"/>
      <c r="K3530" s="32"/>
      <c r="L3530" s="76">
        <v>3530</v>
      </c>
      <c r="M3530" s="76"/>
      <c r="N3530" s="71"/>
      <c r="O3530" s="87" t="s">
        <v>179</v>
      </c>
      <c r="P3530" s="90">
        <v>45135.961817129632</v>
      </c>
      <c r="Q3530" s="87" t="s">
        <v>5205</v>
      </c>
      <c r="R3530" s="87">
        <v>0</v>
      </c>
      <c r="S3530" s="87">
        <v>0</v>
      </c>
      <c r="T3530" s="87">
        <v>0</v>
      </c>
      <c r="U3530" s="87">
        <v>0</v>
      </c>
      <c r="V3530" s="87">
        <v>26</v>
      </c>
      <c r="W3530" s="93" t="s">
        <v>6801</v>
      </c>
      <c r="X3530" s="92" t="str">
        <f>HYPERLINK("https://agenciagrifo.com.br/empresas-devem-ter-blog-corporativo-no-site/")</f>
        <v>https://agenciagrifo.com.br/empresas-devem-ter-blog-corporativo-no-site/</v>
      </c>
      <c r="Y3530" s="87" t="s">
        <v>8373</v>
      </c>
      <c r="Z3530" s="87"/>
      <c r="AA3530" s="87"/>
      <c r="AB3530" s="87"/>
      <c r="AC3530" s="93" t="s">
        <v>11457</v>
      </c>
      <c r="AD3530" s="87" t="s">
        <v>11519</v>
      </c>
      <c r="AE3530" s="92" t="str">
        <f>HYPERLINK("https://twitter.com/danielemiliano/status/1685063843674759170")</f>
        <v>https://twitter.com/danielemiliano/status/1685063843674759170</v>
      </c>
      <c r="AF3530" s="90">
        <v>45135.961817129632</v>
      </c>
      <c r="AG3530" s="99">
        <v>45135</v>
      </c>
      <c r="AH3530" s="93" t="s">
        <v>14659</v>
      </c>
      <c r="AI3530" s="87" t="b">
        <v>0</v>
      </c>
      <c r="AJ3530" s="87"/>
      <c r="AK3530" s="87"/>
      <c r="AL3530" s="87"/>
      <c r="AM3530" s="87"/>
      <c r="AN3530" s="87"/>
      <c r="AO3530" s="87"/>
      <c r="AP3530" s="87"/>
      <c r="AQ3530" s="87"/>
      <c r="AR3530" s="87"/>
      <c r="AS3530" s="87"/>
      <c r="AT3530" s="87"/>
      <c r="AU3530" s="87"/>
      <c r="AV3530" s="92" t="str">
        <f>HYPERLINK("https://pbs.twimg.com/profile_images/1451598407483674624/sZSmao9J_normal.jpg")</f>
        <v>https://pbs.twimg.com/profile_images/1451598407483674624/sZSmao9J_normal.jpg</v>
      </c>
      <c r="AW3530" s="93" t="s">
        <v>21657</v>
      </c>
      <c r="AX3530" s="93" t="s">
        <v>21657</v>
      </c>
      <c r="AY3530" s="87"/>
      <c r="AZ3530" s="93" t="s">
        <v>22668</v>
      </c>
      <c r="BA3530" s="93" t="s">
        <v>22668</v>
      </c>
      <c r="BB3530" s="93" t="s">
        <v>22668</v>
      </c>
      <c r="BC3530" s="93" t="s">
        <v>21657</v>
      </c>
      <c r="BD3530" s="87">
        <v>52061411</v>
      </c>
      <c r="BE3530" s="87"/>
      <c r="BF3530" s="87"/>
      <c r="BG3530" s="87"/>
      <c r="BH3530" s="87"/>
      <c r="BI3530" s="87"/>
    </row>
    <row r="3531" spans="1:61" x14ac:dyDescent="0.25">
      <c r="A3531" s="63" t="s">
        <v>1342</v>
      </c>
      <c r="B3531" s="63" t="s">
        <v>1342</v>
      </c>
      <c r="C3531" s="64"/>
      <c r="D3531" s="65"/>
      <c r="E3531" s="66"/>
      <c r="F3531" s="67"/>
      <c r="G3531" s="64"/>
      <c r="H3531" s="68"/>
      <c r="I3531" s="69"/>
      <c r="J3531" s="69"/>
      <c r="K3531" s="32"/>
      <c r="L3531" s="76">
        <v>3531</v>
      </c>
      <c r="M3531" s="76"/>
      <c r="N3531" s="71"/>
      <c r="O3531" s="87" t="s">
        <v>179</v>
      </c>
      <c r="P3531" s="90">
        <v>45160.57916666667</v>
      </c>
      <c r="Q3531" s="87" t="s">
        <v>5206</v>
      </c>
      <c r="R3531" s="87">
        <v>0</v>
      </c>
      <c r="S3531" s="87">
        <v>0</v>
      </c>
      <c r="T3531" s="87">
        <v>0</v>
      </c>
      <c r="U3531" s="87">
        <v>0</v>
      </c>
      <c r="V3531" s="87">
        <v>45</v>
      </c>
      <c r="W3531" s="93" t="s">
        <v>7910</v>
      </c>
      <c r="X3531" s="92" t="str">
        <f>HYPERLINK("https://cursoscda.com.br/cursos/renda-extra/curso-monte-seu-negocio-de-marmitas-fit")</f>
        <v>https://cursoscda.com.br/cursos/renda-extra/curso-monte-seu-negocio-de-marmitas-fit</v>
      </c>
      <c r="Y3531" s="87" t="s">
        <v>8373</v>
      </c>
      <c r="Z3531" s="87"/>
      <c r="AA3531" s="87" t="s">
        <v>11043</v>
      </c>
      <c r="AB3531" s="87" t="s">
        <v>11447</v>
      </c>
      <c r="AC3531" s="93" t="s">
        <v>11457</v>
      </c>
      <c r="AD3531" s="87" t="s">
        <v>11519</v>
      </c>
      <c r="AE3531" s="92" t="str">
        <f>HYPERLINK("https://twitter.com/plataformacda/status/1693984869125165527")</f>
        <v>https://twitter.com/plataformacda/status/1693984869125165527</v>
      </c>
      <c r="AF3531" s="90">
        <v>45160.57916666667</v>
      </c>
      <c r="AG3531" s="99">
        <v>45160</v>
      </c>
      <c r="AH3531" s="93" t="s">
        <v>14660</v>
      </c>
      <c r="AI3531" s="87" t="b">
        <v>0</v>
      </c>
      <c r="AJ3531" s="87"/>
      <c r="AK3531" s="87"/>
      <c r="AL3531" s="87"/>
      <c r="AM3531" s="87"/>
      <c r="AN3531" s="87"/>
      <c r="AO3531" s="87"/>
      <c r="AP3531" s="87"/>
      <c r="AQ3531" s="87" t="s">
        <v>17855</v>
      </c>
      <c r="AR3531" s="87">
        <v>8880</v>
      </c>
      <c r="AS3531" s="87"/>
      <c r="AT3531" s="87"/>
      <c r="AU3531" s="87"/>
      <c r="AV3531" s="92" t="str">
        <f>HYPERLINK("https://pbs.twimg.com/ext_tw_video_thumb/1693139382302027776/pu/img/gMMzerZZSNeMOwIU.jpg")</f>
        <v>https://pbs.twimg.com/ext_tw_video_thumb/1693139382302027776/pu/img/gMMzerZZSNeMOwIU.jpg</v>
      </c>
      <c r="AW3531" s="93" t="s">
        <v>21658</v>
      </c>
      <c r="AX3531" s="93" t="s">
        <v>21658</v>
      </c>
      <c r="AY3531" s="87"/>
      <c r="AZ3531" s="93" t="s">
        <v>22668</v>
      </c>
      <c r="BA3531" s="93" t="s">
        <v>22668</v>
      </c>
      <c r="BB3531" s="93" t="s">
        <v>22668</v>
      </c>
      <c r="BC3531" s="93" t="s">
        <v>21658</v>
      </c>
      <c r="BD3531" s="93" t="s">
        <v>23440</v>
      </c>
      <c r="BE3531" s="87"/>
      <c r="BF3531" s="87"/>
      <c r="BG3531" s="87"/>
      <c r="BH3531" s="87"/>
      <c r="BI3531" s="87"/>
    </row>
    <row r="3532" spans="1:61" x14ac:dyDescent="0.25">
      <c r="A3532" s="63" t="s">
        <v>1343</v>
      </c>
      <c r="B3532" s="63" t="s">
        <v>1343</v>
      </c>
      <c r="C3532" s="64"/>
      <c r="D3532" s="65"/>
      <c r="E3532" s="66"/>
      <c r="F3532" s="67"/>
      <c r="G3532" s="64"/>
      <c r="H3532" s="68"/>
      <c r="I3532" s="69"/>
      <c r="J3532" s="69"/>
      <c r="K3532" s="32"/>
      <c r="L3532" s="76">
        <v>3532</v>
      </c>
      <c r="M3532" s="76"/>
      <c r="N3532" s="71"/>
      <c r="O3532" s="87" t="s">
        <v>179</v>
      </c>
      <c r="P3532" s="90">
        <v>45159.562974537039</v>
      </c>
      <c r="Q3532" s="87" t="s">
        <v>5207</v>
      </c>
      <c r="R3532" s="87">
        <v>0</v>
      </c>
      <c r="S3532" s="87">
        <v>0</v>
      </c>
      <c r="T3532" s="87">
        <v>0</v>
      </c>
      <c r="U3532" s="87">
        <v>0</v>
      </c>
      <c r="V3532" s="87">
        <v>45</v>
      </c>
      <c r="W3532" s="93" t="s">
        <v>5897</v>
      </c>
      <c r="X3532" s="87"/>
      <c r="Y3532" s="87"/>
      <c r="Z3532" s="87"/>
      <c r="AA3532" s="87" t="s">
        <v>11044</v>
      </c>
      <c r="AB3532" s="87" t="s">
        <v>11450</v>
      </c>
      <c r="AC3532" s="93" t="s">
        <v>11460</v>
      </c>
      <c r="AD3532" s="87" t="s">
        <v>11519</v>
      </c>
      <c r="AE3532" s="92" t="str">
        <f>HYPERLINK("https://twitter.com/tapejaraexpo/status/1693616615026286905")</f>
        <v>https://twitter.com/tapejaraexpo/status/1693616615026286905</v>
      </c>
      <c r="AF3532" s="90">
        <v>45159.562974537039</v>
      </c>
      <c r="AG3532" s="99">
        <v>45159</v>
      </c>
      <c r="AH3532" s="93" t="s">
        <v>14661</v>
      </c>
      <c r="AI3532" s="87" t="b">
        <v>0</v>
      </c>
      <c r="AJ3532" s="87"/>
      <c r="AK3532" s="87"/>
      <c r="AL3532" s="87"/>
      <c r="AM3532" s="87"/>
      <c r="AN3532" s="87"/>
      <c r="AO3532" s="87"/>
      <c r="AP3532" s="87"/>
      <c r="AQ3532" s="87" t="s">
        <v>17856</v>
      </c>
      <c r="AR3532" s="87"/>
      <c r="AS3532" s="87"/>
      <c r="AT3532" s="87"/>
      <c r="AU3532" s="87"/>
      <c r="AV3532" s="92" t="str">
        <f>HYPERLINK("https://pbs.twimg.com/media/F4DvVP6XYAAGp3r.jpg")</f>
        <v>https://pbs.twimg.com/media/F4DvVP6XYAAGp3r.jpg</v>
      </c>
      <c r="AW3532" s="93" t="s">
        <v>21659</v>
      </c>
      <c r="AX3532" s="93" t="s">
        <v>21659</v>
      </c>
      <c r="AY3532" s="87"/>
      <c r="AZ3532" s="93" t="s">
        <v>22668</v>
      </c>
      <c r="BA3532" s="93" t="s">
        <v>22668</v>
      </c>
      <c r="BB3532" s="93" t="s">
        <v>22668</v>
      </c>
      <c r="BC3532" s="93" t="s">
        <v>21659</v>
      </c>
      <c r="BD3532" s="93" t="s">
        <v>23441</v>
      </c>
      <c r="BE3532" s="87"/>
      <c r="BF3532" s="87"/>
      <c r="BG3532" s="87"/>
      <c r="BH3532" s="87"/>
      <c r="BI3532" s="87"/>
    </row>
    <row r="3533" spans="1:61" x14ac:dyDescent="0.25">
      <c r="A3533" s="63" t="s">
        <v>1343</v>
      </c>
      <c r="B3533" s="63" t="s">
        <v>1343</v>
      </c>
      <c r="C3533" s="64"/>
      <c r="D3533" s="65"/>
      <c r="E3533" s="66"/>
      <c r="F3533" s="67"/>
      <c r="G3533" s="64"/>
      <c r="H3533" s="68"/>
      <c r="I3533" s="69"/>
      <c r="J3533" s="69"/>
      <c r="K3533" s="32"/>
      <c r="L3533" s="76">
        <v>3533</v>
      </c>
      <c r="M3533" s="76"/>
      <c r="N3533" s="71"/>
      <c r="O3533" s="87" t="s">
        <v>179</v>
      </c>
      <c r="P3533" s="90">
        <v>45174.917314814818</v>
      </c>
      <c r="Q3533" s="87" t="s">
        <v>5208</v>
      </c>
      <c r="R3533" s="87">
        <v>0</v>
      </c>
      <c r="S3533" s="87">
        <v>0</v>
      </c>
      <c r="T3533" s="87">
        <v>0</v>
      </c>
      <c r="U3533" s="87">
        <v>0</v>
      </c>
      <c r="V3533" s="87">
        <v>39</v>
      </c>
      <c r="W3533" s="93" t="s">
        <v>7911</v>
      </c>
      <c r="X3533" s="87"/>
      <c r="Y3533" s="87"/>
      <c r="Z3533" s="87"/>
      <c r="AA3533" s="87" t="s">
        <v>11045</v>
      </c>
      <c r="AB3533" s="87" t="s">
        <v>11448</v>
      </c>
      <c r="AC3533" s="93" t="s">
        <v>11460</v>
      </c>
      <c r="AD3533" s="87" t="s">
        <v>11519</v>
      </c>
      <c r="AE3533" s="92" t="str">
        <f>HYPERLINK("https://twitter.com/tapejaraexpo/status/1699180841245577365")</f>
        <v>https://twitter.com/tapejaraexpo/status/1699180841245577365</v>
      </c>
      <c r="AF3533" s="90">
        <v>45174.917314814818</v>
      </c>
      <c r="AG3533" s="99">
        <v>45174</v>
      </c>
      <c r="AH3533" s="93" t="s">
        <v>14662</v>
      </c>
      <c r="AI3533" s="87" t="b">
        <v>0</v>
      </c>
      <c r="AJ3533" s="87"/>
      <c r="AK3533" s="87"/>
      <c r="AL3533" s="87"/>
      <c r="AM3533" s="87"/>
      <c r="AN3533" s="87"/>
      <c r="AO3533" s="87"/>
      <c r="AP3533" s="87"/>
      <c r="AQ3533" s="87" t="s">
        <v>17857</v>
      </c>
      <c r="AR3533" s="87"/>
      <c r="AS3533" s="87"/>
      <c r="AT3533" s="87"/>
      <c r="AU3533" s="87"/>
      <c r="AV3533" s="92" t="str">
        <f>HYPERLINK("https://pbs.twimg.com/media/F5Sz-ChW8AAJ4ZX.jpg")</f>
        <v>https://pbs.twimg.com/media/F5Sz-ChW8AAJ4ZX.jpg</v>
      </c>
      <c r="AW3533" s="93" t="s">
        <v>21660</v>
      </c>
      <c r="AX3533" s="93" t="s">
        <v>21660</v>
      </c>
      <c r="AY3533" s="87"/>
      <c r="AZ3533" s="93" t="s">
        <v>22668</v>
      </c>
      <c r="BA3533" s="93" t="s">
        <v>22668</v>
      </c>
      <c r="BB3533" s="93" t="s">
        <v>22668</v>
      </c>
      <c r="BC3533" s="93" t="s">
        <v>21660</v>
      </c>
      <c r="BD3533" s="93" t="s">
        <v>23441</v>
      </c>
      <c r="BE3533" s="87"/>
      <c r="BF3533" s="87"/>
      <c r="BG3533" s="87"/>
      <c r="BH3533" s="87"/>
      <c r="BI3533" s="87"/>
    </row>
    <row r="3534" spans="1:61" x14ac:dyDescent="0.25">
      <c r="A3534" s="63" t="s">
        <v>1344</v>
      </c>
      <c r="B3534" s="63" t="s">
        <v>1344</v>
      </c>
      <c r="C3534" s="64"/>
      <c r="D3534" s="65"/>
      <c r="E3534" s="66"/>
      <c r="F3534" s="67"/>
      <c r="G3534" s="64"/>
      <c r="H3534" s="68"/>
      <c r="I3534" s="69"/>
      <c r="J3534" s="69"/>
      <c r="K3534" s="32"/>
      <c r="L3534" s="76">
        <v>3534</v>
      </c>
      <c r="M3534" s="76"/>
      <c r="N3534" s="71"/>
      <c r="O3534" s="87" t="s">
        <v>179</v>
      </c>
      <c r="P3534" s="90">
        <v>45177.751273148147</v>
      </c>
      <c r="Q3534" s="87" t="s">
        <v>5209</v>
      </c>
      <c r="R3534" s="87">
        <v>0</v>
      </c>
      <c r="S3534" s="87">
        <v>0</v>
      </c>
      <c r="T3534" s="87">
        <v>0</v>
      </c>
      <c r="U3534" s="87">
        <v>0</v>
      </c>
      <c r="V3534" s="87">
        <v>9</v>
      </c>
      <c r="W3534" s="93" t="s">
        <v>7912</v>
      </c>
      <c r="X3534" s="87"/>
      <c r="Y3534" s="87"/>
      <c r="Z3534" s="87"/>
      <c r="AA3534" s="87"/>
      <c r="AB3534" s="87"/>
      <c r="AC3534" s="93" t="s">
        <v>11457</v>
      </c>
      <c r="AD3534" s="87" t="s">
        <v>11519</v>
      </c>
      <c r="AE3534" s="92" t="str">
        <f>HYPERLINK("https://twitter.com/folettojuliana/status/1700207832107245703")</f>
        <v>https://twitter.com/folettojuliana/status/1700207832107245703</v>
      </c>
      <c r="AF3534" s="90">
        <v>45177.751273148147</v>
      </c>
      <c r="AG3534" s="99">
        <v>45177</v>
      </c>
      <c r="AH3534" s="93" t="s">
        <v>14663</v>
      </c>
      <c r="AI3534" s="87"/>
      <c r="AJ3534" s="87"/>
      <c r="AK3534" s="87"/>
      <c r="AL3534" s="87"/>
      <c r="AM3534" s="87"/>
      <c r="AN3534" s="87"/>
      <c r="AO3534" s="87"/>
      <c r="AP3534" s="87"/>
      <c r="AQ3534" s="87"/>
      <c r="AR3534" s="87"/>
      <c r="AS3534" s="87"/>
      <c r="AT3534" s="87"/>
      <c r="AU3534" s="87"/>
      <c r="AV3534" s="92" t="str">
        <f>HYPERLINK("https://pbs.twimg.com/profile_images/921383232402345985/huGQdQdl_normal.jpg")</f>
        <v>https://pbs.twimg.com/profile_images/921383232402345985/huGQdQdl_normal.jpg</v>
      </c>
      <c r="AW3534" s="93" t="s">
        <v>21661</v>
      </c>
      <c r="AX3534" s="93" t="s">
        <v>21661</v>
      </c>
      <c r="AY3534" s="87"/>
      <c r="AZ3534" s="93" t="s">
        <v>22668</v>
      </c>
      <c r="BA3534" s="93" t="s">
        <v>22668</v>
      </c>
      <c r="BB3534" s="93" t="s">
        <v>22668</v>
      </c>
      <c r="BC3534" s="93" t="s">
        <v>21661</v>
      </c>
      <c r="BD3534" s="93" t="s">
        <v>23442</v>
      </c>
      <c r="BE3534" s="87"/>
      <c r="BF3534" s="87"/>
      <c r="BG3534" s="87"/>
      <c r="BH3534" s="87"/>
      <c r="BI3534" s="87"/>
    </row>
    <row r="3535" spans="1:61" x14ac:dyDescent="0.25">
      <c r="A3535" s="63" t="s">
        <v>1345</v>
      </c>
      <c r="B3535" s="63" t="s">
        <v>1345</v>
      </c>
      <c r="C3535" s="64"/>
      <c r="D3535" s="65"/>
      <c r="E3535" s="66"/>
      <c r="F3535" s="67"/>
      <c r="G3535" s="64"/>
      <c r="H3535" s="68"/>
      <c r="I3535" s="69"/>
      <c r="J3535" s="69"/>
      <c r="K3535" s="32"/>
      <c r="L3535" s="76">
        <v>3535</v>
      </c>
      <c r="M3535" s="76"/>
      <c r="N3535" s="71"/>
      <c r="O3535" s="87" t="s">
        <v>179</v>
      </c>
      <c r="P3535" s="90">
        <v>45112.979467592595</v>
      </c>
      <c r="Q3535" s="87" t="s">
        <v>5210</v>
      </c>
      <c r="R3535" s="87">
        <v>0</v>
      </c>
      <c r="S3535" s="87">
        <v>0</v>
      </c>
      <c r="T3535" s="87">
        <v>0</v>
      </c>
      <c r="U3535" s="87">
        <v>0</v>
      </c>
      <c r="V3535" s="87">
        <v>72</v>
      </c>
      <c r="W3535" s="93" t="s">
        <v>7913</v>
      </c>
      <c r="X3535" s="92" t="str">
        <f>HYPERLINK("https://linkme.bio/ghitswh")</f>
        <v>https://linkme.bio/ghitswh</v>
      </c>
      <c r="Y3535" s="87" t="s">
        <v>8531</v>
      </c>
      <c r="Z3535" s="87"/>
      <c r="AA3535" s="87" t="s">
        <v>11046</v>
      </c>
      <c r="AB3535" s="87" t="s">
        <v>11448</v>
      </c>
      <c r="AC3535" s="93" t="s">
        <v>11457</v>
      </c>
      <c r="AD3535" s="87" t="s">
        <v>11519</v>
      </c>
      <c r="AE3535" s="92" t="str">
        <f>HYPERLINK("https://twitter.com/ghitswh_/status/1676735318177767424")</f>
        <v>https://twitter.com/ghitswh_/status/1676735318177767424</v>
      </c>
      <c r="AF3535" s="90">
        <v>45112.979467592595</v>
      </c>
      <c r="AG3535" s="99">
        <v>45112</v>
      </c>
      <c r="AH3535" s="93" t="s">
        <v>14664</v>
      </c>
      <c r="AI3535" s="87" t="b">
        <v>0</v>
      </c>
      <c r="AJ3535" s="87"/>
      <c r="AK3535" s="87"/>
      <c r="AL3535" s="87"/>
      <c r="AM3535" s="87"/>
      <c r="AN3535" s="87"/>
      <c r="AO3535" s="87"/>
      <c r="AP3535" s="87"/>
      <c r="AQ3535" s="87" t="s">
        <v>17858</v>
      </c>
      <c r="AR3535" s="87"/>
      <c r="AS3535" s="87"/>
      <c r="AT3535" s="87"/>
      <c r="AU3535" s="87"/>
      <c r="AV3535" s="92" t="str">
        <f>HYPERLINK("https://pbs.twimg.com/media/F0T1ZY3X0AELZHH.jpg")</f>
        <v>https://pbs.twimg.com/media/F0T1ZY3X0AELZHH.jpg</v>
      </c>
      <c r="AW3535" s="93" t="s">
        <v>21662</v>
      </c>
      <c r="AX3535" s="93" t="s">
        <v>21662</v>
      </c>
      <c r="AY3535" s="87"/>
      <c r="AZ3535" s="93" t="s">
        <v>22668</v>
      </c>
      <c r="BA3535" s="93" t="s">
        <v>22668</v>
      </c>
      <c r="BB3535" s="93" t="s">
        <v>22668</v>
      </c>
      <c r="BC3535" s="93" t="s">
        <v>21662</v>
      </c>
      <c r="BD3535" s="93" t="s">
        <v>23443</v>
      </c>
      <c r="BE3535" s="87"/>
      <c r="BF3535" s="87"/>
      <c r="BG3535" s="87"/>
      <c r="BH3535" s="87"/>
      <c r="BI3535" s="87"/>
    </row>
    <row r="3536" spans="1:61" x14ac:dyDescent="0.25">
      <c r="A3536" s="63" t="s">
        <v>1346</v>
      </c>
      <c r="B3536" s="63" t="s">
        <v>1346</v>
      </c>
      <c r="C3536" s="64"/>
      <c r="D3536" s="65"/>
      <c r="E3536" s="66"/>
      <c r="F3536" s="67"/>
      <c r="G3536" s="64"/>
      <c r="H3536" s="68"/>
      <c r="I3536" s="69"/>
      <c r="J3536" s="69"/>
      <c r="K3536" s="32"/>
      <c r="L3536" s="76">
        <v>3536</v>
      </c>
      <c r="M3536" s="76"/>
      <c r="N3536" s="71"/>
      <c r="O3536" s="87" t="s">
        <v>179</v>
      </c>
      <c r="P3536" s="90">
        <v>44500.747418981482</v>
      </c>
      <c r="Q3536" s="87" t="s">
        <v>5211</v>
      </c>
      <c r="R3536" s="87">
        <v>2</v>
      </c>
      <c r="S3536" s="87">
        <v>1</v>
      </c>
      <c r="T3536" s="87">
        <v>0</v>
      </c>
      <c r="U3536" s="87">
        <v>0</v>
      </c>
      <c r="V3536" s="87"/>
      <c r="W3536" s="93" t="s">
        <v>7914</v>
      </c>
      <c r="X3536" s="87"/>
      <c r="Y3536" s="87"/>
      <c r="Z3536" s="87"/>
      <c r="AA3536" s="87"/>
      <c r="AB3536" s="87"/>
      <c r="AC3536" s="93" t="s">
        <v>11458</v>
      </c>
      <c r="AD3536" s="87" t="s">
        <v>11519</v>
      </c>
      <c r="AE3536" s="92" t="str">
        <f>HYPERLINK("https://twitter.com/silwadigital/status/1454869850124390412")</f>
        <v>https://twitter.com/silwadigital/status/1454869850124390412</v>
      </c>
      <c r="AF3536" s="90">
        <v>44500.747418981482</v>
      </c>
      <c r="AG3536" s="99">
        <v>44500</v>
      </c>
      <c r="AH3536" s="93" t="s">
        <v>14665</v>
      </c>
      <c r="AI3536" s="87"/>
      <c r="AJ3536" s="87"/>
      <c r="AK3536" s="87"/>
      <c r="AL3536" s="87"/>
      <c r="AM3536" s="87"/>
      <c r="AN3536" s="87"/>
      <c r="AO3536" s="87"/>
      <c r="AP3536" s="87"/>
      <c r="AQ3536" s="87"/>
      <c r="AR3536" s="87"/>
      <c r="AS3536" s="87"/>
      <c r="AT3536" s="87"/>
      <c r="AU3536" s="87"/>
      <c r="AV3536" s="92" t="str">
        <f>HYPERLINK("https://pbs.twimg.com/profile_images/1453883793211863043/ydEbOV7__normal.jpg")</f>
        <v>https://pbs.twimg.com/profile_images/1453883793211863043/ydEbOV7__normal.jpg</v>
      </c>
      <c r="AW3536" s="93" t="s">
        <v>21663</v>
      </c>
      <c r="AX3536" s="93" t="s">
        <v>21663</v>
      </c>
      <c r="AY3536" s="87"/>
      <c r="AZ3536" s="93" t="s">
        <v>22668</v>
      </c>
      <c r="BA3536" s="93" t="s">
        <v>22668</v>
      </c>
      <c r="BB3536" s="93" t="s">
        <v>22668</v>
      </c>
      <c r="BC3536" s="93" t="s">
        <v>21663</v>
      </c>
      <c r="BD3536" s="93" t="s">
        <v>23444</v>
      </c>
      <c r="BE3536" s="87"/>
      <c r="BF3536" s="87"/>
      <c r="BG3536" s="87"/>
      <c r="BH3536" s="87"/>
      <c r="BI3536" s="87"/>
    </row>
    <row r="3537" spans="1:61" x14ac:dyDescent="0.25">
      <c r="A3537" s="63" t="s">
        <v>1347</v>
      </c>
      <c r="B3537" s="63" t="s">
        <v>1346</v>
      </c>
      <c r="C3537" s="64"/>
      <c r="D3537" s="65"/>
      <c r="E3537" s="66"/>
      <c r="F3537" s="67"/>
      <c r="G3537" s="64"/>
      <c r="H3537" s="68"/>
      <c r="I3537" s="69"/>
      <c r="J3537" s="69"/>
      <c r="K3537" s="32"/>
      <c r="L3537" s="76">
        <v>3537</v>
      </c>
      <c r="M3537" s="76"/>
      <c r="N3537" s="71"/>
      <c r="O3537" s="87" t="s">
        <v>1841</v>
      </c>
      <c r="P3537" s="90">
        <v>45188.928888888891</v>
      </c>
      <c r="Q3537" s="87" t="s">
        <v>5212</v>
      </c>
      <c r="R3537" s="87">
        <v>2</v>
      </c>
      <c r="S3537" s="87">
        <v>0</v>
      </c>
      <c r="T3537" s="87">
        <v>0</v>
      </c>
      <c r="U3537" s="87">
        <v>0</v>
      </c>
      <c r="V3537" s="87"/>
      <c r="W3537" s="87"/>
      <c r="X3537" s="87"/>
      <c r="Y3537" s="87"/>
      <c r="Z3537" s="87" t="s">
        <v>1346</v>
      </c>
      <c r="AA3537" s="87"/>
      <c r="AB3537" s="87"/>
      <c r="AC3537" s="93" t="s">
        <v>11457</v>
      </c>
      <c r="AD3537" s="87" t="s">
        <v>11519</v>
      </c>
      <c r="AE3537" s="92" t="str">
        <f>HYPERLINK("https://twitter.com/shannonwoo20449/status/1704258466666205550")</f>
        <v>https://twitter.com/shannonwoo20449/status/1704258466666205550</v>
      </c>
      <c r="AF3537" s="90">
        <v>45188.928888888891</v>
      </c>
      <c r="AG3537" s="99">
        <v>45188</v>
      </c>
      <c r="AH3537" s="93" t="s">
        <v>14666</v>
      </c>
      <c r="AI3537" s="87"/>
      <c r="AJ3537" s="87"/>
      <c r="AK3537" s="87"/>
      <c r="AL3537" s="87"/>
      <c r="AM3537" s="87"/>
      <c r="AN3537" s="87"/>
      <c r="AO3537" s="87"/>
      <c r="AP3537" s="87"/>
      <c r="AQ3537" s="87"/>
      <c r="AR3537" s="87"/>
      <c r="AS3537" s="87"/>
      <c r="AT3537" s="87"/>
      <c r="AU3537" s="87"/>
      <c r="AV3537" s="92" t="str">
        <f>HYPERLINK("https://pbs.twimg.com/profile_images/1697739336467292160/GAtS1NaQ_normal.jpg")</f>
        <v>https://pbs.twimg.com/profile_images/1697739336467292160/GAtS1NaQ_normal.jpg</v>
      </c>
      <c r="AW3537" s="93" t="s">
        <v>21664</v>
      </c>
      <c r="AX3537" s="93" t="s">
        <v>21664</v>
      </c>
      <c r="AY3537" s="87"/>
      <c r="AZ3537" s="93" t="s">
        <v>22668</v>
      </c>
      <c r="BA3537" s="93" t="s">
        <v>22668</v>
      </c>
      <c r="BB3537" s="93" t="s">
        <v>21663</v>
      </c>
      <c r="BC3537" s="93" t="s">
        <v>21663</v>
      </c>
      <c r="BD3537" s="93" t="s">
        <v>23445</v>
      </c>
      <c r="BE3537" s="87"/>
      <c r="BF3537" s="87"/>
      <c r="BG3537" s="87"/>
      <c r="BH3537" s="87"/>
      <c r="BI3537" s="87"/>
    </row>
    <row r="3538" spans="1:61" x14ac:dyDescent="0.25">
      <c r="A3538" s="63" t="s">
        <v>1348</v>
      </c>
      <c r="B3538" s="63" t="s">
        <v>1348</v>
      </c>
      <c r="C3538" s="64"/>
      <c r="D3538" s="65"/>
      <c r="E3538" s="66"/>
      <c r="F3538" s="67"/>
      <c r="G3538" s="64"/>
      <c r="H3538" s="68"/>
      <c r="I3538" s="69"/>
      <c r="J3538" s="69"/>
      <c r="K3538" s="32"/>
      <c r="L3538" s="76">
        <v>3538</v>
      </c>
      <c r="M3538" s="76"/>
      <c r="N3538" s="71"/>
      <c r="O3538" s="87" t="s">
        <v>179</v>
      </c>
      <c r="P3538" s="90">
        <v>45111.873564814814</v>
      </c>
      <c r="Q3538" s="87" t="s">
        <v>5213</v>
      </c>
      <c r="R3538" s="87">
        <v>0</v>
      </c>
      <c r="S3538" s="87">
        <v>0</v>
      </c>
      <c r="T3538" s="87">
        <v>0</v>
      </c>
      <c r="U3538" s="87">
        <v>0</v>
      </c>
      <c r="V3538" s="87">
        <v>46</v>
      </c>
      <c r="W3538" s="93" t="s">
        <v>7915</v>
      </c>
      <c r="X3538" s="92" t="str">
        <f>HYPERLINK("http://www.riomaframix.com.br")</f>
        <v>http://www.riomaframix.com.br</v>
      </c>
      <c r="Y3538" s="87" t="s">
        <v>8373</v>
      </c>
      <c r="Z3538" s="87"/>
      <c r="AA3538" s="87" t="s">
        <v>11047</v>
      </c>
      <c r="AB3538" s="87" t="s">
        <v>11448</v>
      </c>
      <c r="AC3538" s="93" t="s">
        <v>11460</v>
      </c>
      <c r="AD3538" s="87" t="s">
        <v>11519</v>
      </c>
      <c r="AE3538" s="92" t="str">
        <f>HYPERLINK("https://twitter.com/riomaframix/status/1676334551600078852")</f>
        <v>https://twitter.com/riomaframix/status/1676334551600078852</v>
      </c>
      <c r="AF3538" s="90">
        <v>45111.873564814814</v>
      </c>
      <c r="AG3538" s="99">
        <v>45111</v>
      </c>
      <c r="AH3538" s="93" t="s">
        <v>14667</v>
      </c>
      <c r="AI3538" s="87" t="b">
        <v>0</v>
      </c>
      <c r="AJ3538" s="87"/>
      <c r="AK3538" s="87"/>
      <c r="AL3538" s="87"/>
      <c r="AM3538" s="87"/>
      <c r="AN3538" s="87"/>
      <c r="AO3538" s="87"/>
      <c r="AP3538" s="87"/>
      <c r="AQ3538" s="87" t="s">
        <v>17859</v>
      </c>
      <c r="AR3538" s="87"/>
      <c r="AS3538" s="87"/>
      <c r="AT3538" s="87"/>
      <c r="AU3538" s="87"/>
      <c r="AV3538" s="92" t="str">
        <f>HYPERLINK("https://pbs.twimg.com/media/F0OJZFDWcAMJF_a.jpg")</f>
        <v>https://pbs.twimg.com/media/F0OJZFDWcAMJF_a.jpg</v>
      </c>
      <c r="AW3538" s="93" t="s">
        <v>21665</v>
      </c>
      <c r="AX3538" s="93" t="s">
        <v>21665</v>
      </c>
      <c r="AY3538" s="87"/>
      <c r="AZ3538" s="93" t="s">
        <v>22668</v>
      </c>
      <c r="BA3538" s="93" t="s">
        <v>22668</v>
      </c>
      <c r="BB3538" s="93" t="s">
        <v>22668</v>
      </c>
      <c r="BC3538" s="93" t="s">
        <v>21665</v>
      </c>
      <c r="BD3538" s="93" t="s">
        <v>23446</v>
      </c>
      <c r="BE3538" s="87"/>
      <c r="BF3538" s="87"/>
      <c r="BG3538" s="87"/>
      <c r="BH3538" s="87"/>
      <c r="BI3538" s="87"/>
    </row>
    <row r="3539" spans="1:61" x14ac:dyDescent="0.25">
      <c r="A3539" s="63" t="s">
        <v>1349</v>
      </c>
      <c r="B3539" s="63" t="s">
        <v>1349</v>
      </c>
      <c r="C3539" s="64"/>
      <c r="D3539" s="65"/>
      <c r="E3539" s="66"/>
      <c r="F3539" s="67"/>
      <c r="G3539" s="64"/>
      <c r="H3539" s="68"/>
      <c r="I3539" s="69"/>
      <c r="J3539" s="69"/>
      <c r="K3539" s="32"/>
      <c r="L3539" s="76">
        <v>3539</v>
      </c>
      <c r="M3539" s="76"/>
      <c r="N3539" s="71"/>
      <c r="O3539" s="87" t="s">
        <v>179</v>
      </c>
      <c r="P3539" s="90">
        <v>45140.577337962961</v>
      </c>
      <c r="Q3539" s="87" t="s">
        <v>5214</v>
      </c>
      <c r="R3539" s="87">
        <v>1</v>
      </c>
      <c r="S3539" s="87">
        <v>2</v>
      </c>
      <c r="T3539" s="87">
        <v>1</v>
      </c>
      <c r="U3539" s="87">
        <v>0</v>
      </c>
      <c r="V3539" s="87">
        <v>76</v>
      </c>
      <c r="W3539" s="93" t="s">
        <v>7916</v>
      </c>
      <c r="X3539" s="87"/>
      <c r="Y3539" s="87"/>
      <c r="Z3539" s="87"/>
      <c r="AA3539" s="87" t="s">
        <v>11048</v>
      </c>
      <c r="AB3539" s="87" t="s">
        <v>11448</v>
      </c>
      <c r="AC3539" s="93" t="s">
        <v>11457</v>
      </c>
      <c r="AD3539" s="87" t="s">
        <v>11519</v>
      </c>
      <c r="AE3539" s="92" t="str">
        <f>HYPERLINK("https://twitter.com/i_trentini/status/1686736450425880576")</f>
        <v>https://twitter.com/i_trentini/status/1686736450425880576</v>
      </c>
      <c r="AF3539" s="90">
        <v>45140.577337962961</v>
      </c>
      <c r="AG3539" s="99">
        <v>45140</v>
      </c>
      <c r="AH3539" s="93" t="s">
        <v>14668</v>
      </c>
      <c r="AI3539" s="87" t="b">
        <v>0</v>
      </c>
      <c r="AJ3539" s="87"/>
      <c r="AK3539" s="87"/>
      <c r="AL3539" s="87"/>
      <c r="AM3539" s="87"/>
      <c r="AN3539" s="87"/>
      <c r="AO3539" s="87"/>
      <c r="AP3539" s="87"/>
      <c r="AQ3539" s="87" t="s">
        <v>17860</v>
      </c>
      <c r="AR3539" s="87"/>
      <c r="AS3539" s="87"/>
      <c r="AT3539" s="87"/>
      <c r="AU3539" s="87"/>
      <c r="AV3539" s="92" t="str">
        <f>HYPERLINK("https://pbs.twimg.com/media/F2h92xTXYAEQLTB.png")</f>
        <v>https://pbs.twimg.com/media/F2h92xTXYAEQLTB.png</v>
      </c>
      <c r="AW3539" s="93" t="s">
        <v>21666</v>
      </c>
      <c r="AX3539" s="93" t="s">
        <v>21666</v>
      </c>
      <c r="AY3539" s="87"/>
      <c r="AZ3539" s="93" t="s">
        <v>22668</v>
      </c>
      <c r="BA3539" s="93" t="s">
        <v>22668</v>
      </c>
      <c r="BB3539" s="93" t="s">
        <v>22668</v>
      </c>
      <c r="BC3539" s="93" t="s">
        <v>21666</v>
      </c>
      <c r="BD3539" s="93" t="s">
        <v>23447</v>
      </c>
      <c r="BE3539" s="87"/>
      <c r="BF3539" s="87"/>
      <c r="BG3539" s="87"/>
      <c r="BH3539" s="87"/>
      <c r="BI3539" s="87"/>
    </row>
    <row r="3540" spans="1:61" x14ac:dyDescent="0.25">
      <c r="A3540" s="63" t="s">
        <v>1350</v>
      </c>
      <c r="B3540" s="63" t="s">
        <v>1350</v>
      </c>
      <c r="C3540" s="64"/>
      <c r="D3540" s="65"/>
      <c r="E3540" s="66"/>
      <c r="F3540" s="67"/>
      <c r="G3540" s="64"/>
      <c r="H3540" s="68"/>
      <c r="I3540" s="69"/>
      <c r="J3540" s="69"/>
      <c r="K3540" s="32"/>
      <c r="L3540" s="76">
        <v>3540</v>
      </c>
      <c r="M3540" s="76"/>
      <c r="N3540" s="71"/>
      <c r="O3540" s="87" t="s">
        <v>179</v>
      </c>
      <c r="P3540" s="90">
        <v>45176.106956018521</v>
      </c>
      <c r="Q3540" s="87" t="s">
        <v>5215</v>
      </c>
      <c r="R3540" s="87">
        <v>0</v>
      </c>
      <c r="S3540" s="87">
        <v>0</v>
      </c>
      <c r="T3540" s="87">
        <v>0</v>
      </c>
      <c r="U3540" s="87">
        <v>0</v>
      </c>
      <c r="V3540" s="87">
        <v>19</v>
      </c>
      <c r="W3540" s="93" t="s">
        <v>7917</v>
      </c>
      <c r="X3540" s="92" t="str">
        <f>HYPERLINK("https://www.magazinevoce.com.br/magazinelukafabis")</f>
        <v>https://www.magazinevoce.com.br/magazinelukafabis</v>
      </c>
      <c r="Y3540" s="87" t="s">
        <v>8373</v>
      </c>
      <c r="Z3540" s="87"/>
      <c r="AA3540" s="87" t="s">
        <v>11049</v>
      </c>
      <c r="AB3540" s="87" t="s">
        <v>11448</v>
      </c>
      <c r="AC3540" s="93" t="s">
        <v>11459</v>
      </c>
      <c r="AD3540" s="87" t="s">
        <v>11519</v>
      </c>
      <c r="AE3540" s="92" t="str">
        <f>HYPERLINK("https://twitter.com/bila_morena/status/1699611951637172338")</f>
        <v>https://twitter.com/bila_morena/status/1699611951637172338</v>
      </c>
      <c r="AF3540" s="90">
        <v>45176.106956018521</v>
      </c>
      <c r="AG3540" s="99">
        <v>45176</v>
      </c>
      <c r="AH3540" s="93" t="s">
        <v>14669</v>
      </c>
      <c r="AI3540" s="87" t="b">
        <v>0</v>
      </c>
      <c r="AJ3540" s="87"/>
      <c r="AK3540" s="87"/>
      <c r="AL3540" s="87"/>
      <c r="AM3540" s="87"/>
      <c r="AN3540" s="87"/>
      <c r="AO3540" s="87"/>
      <c r="AP3540" s="87"/>
      <c r="AQ3540" s="87" t="s">
        <v>17861</v>
      </c>
      <c r="AR3540" s="87"/>
      <c r="AS3540" s="87"/>
      <c r="AT3540" s="87"/>
      <c r="AU3540" s="87"/>
      <c r="AV3540" s="92" t="str">
        <f>HYPERLINK("https://pbs.twimg.com/media/F5Y8D_dXkAAmfxk.jpg")</f>
        <v>https://pbs.twimg.com/media/F5Y8D_dXkAAmfxk.jpg</v>
      </c>
      <c r="AW3540" s="93" t="s">
        <v>21667</v>
      </c>
      <c r="AX3540" s="93" t="s">
        <v>21667</v>
      </c>
      <c r="AY3540" s="87"/>
      <c r="AZ3540" s="93" t="s">
        <v>22668</v>
      </c>
      <c r="BA3540" s="93" t="s">
        <v>22668</v>
      </c>
      <c r="BB3540" s="93" t="s">
        <v>22668</v>
      </c>
      <c r="BC3540" s="93" t="s">
        <v>21667</v>
      </c>
      <c r="BD3540" s="87">
        <v>58619347</v>
      </c>
      <c r="BE3540" s="87"/>
      <c r="BF3540" s="87"/>
      <c r="BG3540" s="87"/>
      <c r="BH3540" s="87"/>
      <c r="BI3540" s="87"/>
    </row>
    <row r="3541" spans="1:61" x14ac:dyDescent="0.25">
      <c r="A3541" s="63" t="s">
        <v>1350</v>
      </c>
      <c r="B3541" s="63" t="s">
        <v>1350</v>
      </c>
      <c r="C3541" s="64"/>
      <c r="D3541" s="65"/>
      <c r="E3541" s="66"/>
      <c r="F3541" s="67"/>
      <c r="G3541" s="64"/>
      <c r="H3541" s="68"/>
      <c r="I3541" s="69"/>
      <c r="J3541" s="69"/>
      <c r="K3541" s="32"/>
      <c r="L3541" s="76">
        <v>3541</v>
      </c>
      <c r="M3541" s="76"/>
      <c r="N3541" s="71"/>
      <c r="O3541" s="87" t="s">
        <v>179</v>
      </c>
      <c r="P3541" s="90">
        <v>45176.10664351852</v>
      </c>
      <c r="Q3541" s="87" t="s">
        <v>5216</v>
      </c>
      <c r="R3541" s="87">
        <v>0</v>
      </c>
      <c r="S3541" s="87">
        <v>0</v>
      </c>
      <c r="T3541" s="87">
        <v>0</v>
      </c>
      <c r="U3541" s="87">
        <v>0</v>
      </c>
      <c r="V3541" s="87">
        <v>20</v>
      </c>
      <c r="W3541" s="93" t="s">
        <v>7917</v>
      </c>
      <c r="X3541" s="92" t="str">
        <f>HYPERLINK("https://www.magazinevoce.com.br/magazinelukafabis")</f>
        <v>https://www.magazinevoce.com.br/magazinelukafabis</v>
      </c>
      <c r="Y3541" s="87" t="s">
        <v>8373</v>
      </c>
      <c r="Z3541" s="87"/>
      <c r="AA3541" s="87" t="s">
        <v>11050</v>
      </c>
      <c r="AB3541" s="87" t="s">
        <v>11448</v>
      </c>
      <c r="AC3541" s="93" t="s">
        <v>11459</v>
      </c>
      <c r="AD3541" s="87" t="s">
        <v>11519</v>
      </c>
      <c r="AE3541" s="92" t="str">
        <f>HYPERLINK("https://twitter.com/bila_morena/status/1699611840366461408")</f>
        <v>https://twitter.com/bila_morena/status/1699611840366461408</v>
      </c>
      <c r="AF3541" s="90">
        <v>45176.10664351852</v>
      </c>
      <c r="AG3541" s="99">
        <v>45176</v>
      </c>
      <c r="AH3541" s="93" t="s">
        <v>14670</v>
      </c>
      <c r="AI3541" s="87" t="b">
        <v>0</v>
      </c>
      <c r="AJ3541" s="87"/>
      <c r="AK3541" s="87"/>
      <c r="AL3541" s="87"/>
      <c r="AM3541" s="87"/>
      <c r="AN3541" s="87"/>
      <c r="AO3541" s="87"/>
      <c r="AP3541" s="87"/>
      <c r="AQ3541" s="87" t="s">
        <v>17862</v>
      </c>
      <c r="AR3541" s="87"/>
      <c r="AS3541" s="87"/>
      <c r="AT3541" s="87"/>
      <c r="AU3541" s="87"/>
      <c r="AV3541" s="92" t="str">
        <f>HYPERLINK("https://pbs.twimg.com/media/F5Y79j1WoAAXUw4.jpg")</f>
        <v>https://pbs.twimg.com/media/F5Y79j1WoAAXUw4.jpg</v>
      </c>
      <c r="AW3541" s="93" t="s">
        <v>21668</v>
      </c>
      <c r="AX3541" s="93" t="s">
        <v>21668</v>
      </c>
      <c r="AY3541" s="87"/>
      <c r="AZ3541" s="93" t="s">
        <v>22668</v>
      </c>
      <c r="BA3541" s="93" t="s">
        <v>22668</v>
      </c>
      <c r="BB3541" s="93" t="s">
        <v>22668</v>
      </c>
      <c r="BC3541" s="93" t="s">
        <v>21668</v>
      </c>
      <c r="BD3541" s="87">
        <v>58619347</v>
      </c>
      <c r="BE3541" s="87"/>
      <c r="BF3541" s="87"/>
      <c r="BG3541" s="87"/>
      <c r="BH3541" s="87"/>
      <c r="BI3541" s="87"/>
    </row>
    <row r="3542" spans="1:61" x14ac:dyDescent="0.25">
      <c r="A3542" s="63" t="s">
        <v>1350</v>
      </c>
      <c r="B3542" s="63" t="s">
        <v>1350</v>
      </c>
      <c r="C3542" s="64"/>
      <c r="D3542" s="65"/>
      <c r="E3542" s="66"/>
      <c r="F3542" s="67"/>
      <c r="G3542" s="64"/>
      <c r="H3542" s="68"/>
      <c r="I3542" s="69"/>
      <c r="J3542" s="69"/>
      <c r="K3542" s="32"/>
      <c r="L3542" s="76">
        <v>3542</v>
      </c>
      <c r="M3542" s="76"/>
      <c r="N3542" s="71"/>
      <c r="O3542" s="87" t="s">
        <v>179</v>
      </c>
      <c r="P3542" s="90">
        <v>45176.106273148151</v>
      </c>
      <c r="Q3542" s="87" t="s">
        <v>5217</v>
      </c>
      <c r="R3542" s="87">
        <v>0</v>
      </c>
      <c r="S3542" s="87">
        <v>0</v>
      </c>
      <c r="T3542" s="87">
        <v>0</v>
      </c>
      <c r="U3542" s="87">
        <v>0</v>
      </c>
      <c r="V3542" s="87">
        <v>19</v>
      </c>
      <c r="W3542" s="93" t="s">
        <v>7917</v>
      </c>
      <c r="X3542" s="92" t="str">
        <f>HYPERLINK("https://www.magazinevoce.com.br/magazinelukafabis")</f>
        <v>https://www.magazinevoce.com.br/magazinelukafabis</v>
      </c>
      <c r="Y3542" s="87" t="s">
        <v>8373</v>
      </c>
      <c r="Z3542" s="87"/>
      <c r="AA3542" s="87" t="s">
        <v>11051</v>
      </c>
      <c r="AB3542" s="87" t="s">
        <v>11448</v>
      </c>
      <c r="AC3542" s="93" t="s">
        <v>11459</v>
      </c>
      <c r="AD3542" s="87" t="s">
        <v>11519</v>
      </c>
      <c r="AE3542" s="92" t="str">
        <f>HYPERLINK("https://twitter.com/bila_morena/status/1699611706853314745")</f>
        <v>https://twitter.com/bila_morena/status/1699611706853314745</v>
      </c>
      <c r="AF3542" s="90">
        <v>45176.106273148151</v>
      </c>
      <c r="AG3542" s="99">
        <v>45176</v>
      </c>
      <c r="AH3542" s="93" t="s">
        <v>14671</v>
      </c>
      <c r="AI3542" s="87" t="b">
        <v>0</v>
      </c>
      <c r="AJ3542" s="87"/>
      <c r="AK3542" s="87"/>
      <c r="AL3542" s="87"/>
      <c r="AM3542" s="87"/>
      <c r="AN3542" s="87"/>
      <c r="AO3542" s="87"/>
      <c r="AP3542" s="87"/>
      <c r="AQ3542" s="87" t="s">
        <v>17863</v>
      </c>
      <c r="AR3542" s="87"/>
      <c r="AS3542" s="87"/>
      <c r="AT3542" s="87"/>
      <c r="AU3542" s="87"/>
      <c r="AV3542" s="92" t="str">
        <f>HYPERLINK("https://pbs.twimg.com/media/F5Y71xdXQAAT550.jpg")</f>
        <v>https://pbs.twimg.com/media/F5Y71xdXQAAT550.jpg</v>
      </c>
      <c r="AW3542" s="93" t="s">
        <v>21669</v>
      </c>
      <c r="AX3542" s="93" t="s">
        <v>21669</v>
      </c>
      <c r="AY3542" s="87"/>
      <c r="AZ3542" s="93" t="s">
        <v>22668</v>
      </c>
      <c r="BA3542" s="93" t="s">
        <v>22668</v>
      </c>
      <c r="BB3542" s="93" t="s">
        <v>22668</v>
      </c>
      <c r="BC3542" s="93" t="s">
        <v>21669</v>
      </c>
      <c r="BD3542" s="87">
        <v>58619347</v>
      </c>
      <c r="BE3542" s="87"/>
      <c r="BF3542" s="87"/>
      <c r="BG3542" s="87"/>
      <c r="BH3542" s="87"/>
      <c r="BI3542" s="87"/>
    </row>
    <row r="3543" spans="1:61" x14ac:dyDescent="0.25">
      <c r="A3543" s="63" t="s">
        <v>1350</v>
      </c>
      <c r="B3543" s="63" t="s">
        <v>1350</v>
      </c>
      <c r="C3543" s="64"/>
      <c r="D3543" s="65"/>
      <c r="E3543" s="66"/>
      <c r="F3543" s="67"/>
      <c r="G3543" s="64"/>
      <c r="H3543" s="68"/>
      <c r="I3543" s="69"/>
      <c r="J3543" s="69"/>
      <c r="K3543" s="32"/>
      <c r="L3543" s="76">
        <v>3543</v>
      </c>
      <c r="M3543" s="76"/>
      <c r="N3543" s="71"/>
      <c r="O3543" s="87" t="s">
        <v>179</v>
      </c>
      <c r="P3543" s="90">
        <v>45176.106041666666</v>
      </c>
      <c r="Q3543" s="87" t="s">
        <v>5218</v>
      </c>
      <c r="R3543" s="87">
        <v>0</v>
      </c>
      <c r="S3543" s="87">
        <v>0</v>
      </c>
      <c r="T3543" s="87">
        <v>0</v>
      </c>
      <c r="U3543" s="87">
        <v>0</v>
      </c>
      <c r="V3543" s="87">
        <v>12</v>
      </c>
      <c r="W3543" s="93" t="s">
        <v>7917</v>
      </c>
      <c r="X3543" s="92" t="str">
        <f>HYPERLINK("https://www.magazinevoce.com.br/magazinelukafabis")</f>
        <v>https://www.magazinevoce.com.br/magazinelukafabis</v>
      </c>
      <c r="Y3543" s="87" t="s">
        <v>8373</v>
      </c>
      <c r="Z3543" s="87"/>
      <c r="AA3543" s="87" t="s">
        <v>11052</v>
      </c>
      <c r="AB3543" s="87" t="s">
        <v>11448</v>
      </c>
      <c r="AC3543" s="93" t="s">
        <v>11459</v>
      </c>
      <c r="AD3543" s="87" t="s">
        <v>11519</v>
      </c>
      <c r="AE3543" s="92" t="str">
        <f>HYPERLINK("https://twitter.com/bila_morena/status/1699611622111637860")</f>
        <v>https://twitter.com/bila_morena/status/1699611622111637860</v>
      </c>
      <c r="AF3543" s="90">
        <v>45176.106041666666</v>
      </c>
      <c r="AG3543" s="99">
        <v>45176</v>
      </c>
      <c r="AH3543" s="93" t="s">
        <v>14672</v>
      </c>
      <c r="AI3543" s="87" t="b">
        <v>0</v>
      </c>
      <c r="AJ3543" s="87"/>
      <c r="AK3543" s="87"/>
      <c r="AL3543" s="87"/>
      <c r="AM3543" s="87"/>
      <c r="AN3543" s="87"/>
      <c r="AO3543" s="87"/>
      <c r="AP3543" s="87"/>
      <c r="AQ3543" s="87" t="s">
        <v>17864</v>
      </c>
      <c r="AR3543" s="87"/>
      <c r="AS3543" s="87"/>
      <c r="AT3543" s="87"/>
      <c r="AU3543" s="87"/>
      <c r="AV3543" s="92" t="str">
        <f>HYPERLINK("https://pbs.twimg.com/media/F5Y7w1jWcAARMZa.jpg")</f>
        <v>https://pbs.twimg.com/media/F5Y7w1jWcAARMZa.jpg</v>
      </c>
      <c r="AW3543" s="93" t="s">
        <v>21670</v>
      </c>
      <c r="AX3543" s="93" t="s">
        <v>21670</v>
      </c>
      <c r="AY3543" s="87"/>
      <c r="AZ3543" s="93" t="s">
        <v>22668</v>
      </c>
      <c r="BA3543" s="93" t="s">
        <v>22668</v>
      </c>
      <c r="BB3543" s="93" t="s">
        <v>22668</v>
      </c>
      <c r="BC3543" s="93" t="s">
        <v>21670</v>
      </c>
      <c r="BD3543" s="87">
        <v>58619347</v>
      </c>
      <c r="BE3543" s="87"/>
      <c r="BF3543" s="87"/>
      <c r="BG3543" s="87"/>
      <c r="BH3543" s="87"/>
      <c r="BI3543" s="87"/>
    </row>
    <row r="3544" spans="1:61" x14ac:dyDescent="0.25">
      <c r="A3544" s="63" t="s">
        <v>1350</v>
      </c>
      <c r="B3544" s="63" t="s">
        <v>1350</v>
      </c>
      <c r="C3544" s="64"/>
      <c r="D3544" s="65"/>
      <c r="E3544" s="66"/>
      <c r="F3544" s="67"/>
      <c r="G3544" s="64"/>
      <c r="H3544" s="68"/>
      <c r="I3544" s="69"/>
      <c r="J3544" s="69"/>
      <c r="K3544" s="32"/>
      <c r="L3544" s="76">
        <v>3544</v>
      </c>
      <c r="M3544" s="76"/>
      <c r="N3544" s="71"/>
      <c r="O3544" s="87" t="s">
        <v>179</v>
      </c>
      <c r="P3544" s="90">
        <v>45176.105856481481</v>
      </c>
      <c r="Q3544" s="87" t="s">
        <v>5219</v>
      </c>
      <c r="R3544" s="87">
        <v>0</v>
      </c>
      <c r="S3544" s="87">
        <v>0</v>
      </c>
      <c r="T3544" s="87">
        <v>0</v>
      </c>
      <c r="U3544" s="87">
        <v>0</v>
      </c>
      <c r="V3544" s="87">
        <v>11</v>
      </c>
      <c r="W3544" s="93" t="s">
        <v>7917</v>
      </c>
      <c r="X3544" s="92" t="str">
        <f>HYPERLINK("https://www.magazinevoce.com.br/magazinelukafabis")</f>
        <v>https://www.magazinevoce.com.br/magazinelukafabis</v>
      </c>
      <c r="Y3544" s="87" t="s">
        <v>8373</v>
      </c>
      <c r="Z3544" s="87"/>
      <c r="AA3544" s="87" t="s">
        <v>11053</v>
      </c>
      <c r="AB3544" s="87" t="s">
        <v>11448</v>
      </c>
      <c r="AC3544" s="93" t="s">
        <v>11459</v>
      </c>
      <c r="AD3544" s="87" t="s">
        <v>11519</v>
      </c>
      <c r="AE3544" s="92" t="str">
        <f>HYPERLINK("https://twitter.com/bila_morena/status/1699611552624554213")</f>
        <v>https://twitter.com/bila_morena/status/1699611552624554213</v>
      </c>
      <c r="AF3544" s="90">
        <v>45176.105856481481</v>
      </c>
      <c r="AG3544" s="99">
        <v>45176</v>
      </c>
      <c r="AH3544" s="93" t="s">
        <v>14673</v>
      </c>
      <c r="AI3544" s="87" t="b">
        <v>0</v>
      </c>
      <c r="AJ3544" s="87"/>
      <c r="AK3544" s="87"/>
      <c r="AL3544" s="87"/>
      <c r="AM3544" s="87"/>
      <c r="AN3544" s="87"/>
      <c r="AO3544" s="87"/>
      <c r="AP3544" s="87"/>
      <c r="AQ3544" s="87" t="s">
        <v>17865</v>
      </c>
      <c r="AR3544" s="87"/>
      <c r="AS3544" s="87"/>
      <c r="AT3544" s="87"/>
      <c r="AU3544" s="87"/>
      <c r="AV3544" s="92" t="str">
        <f>HYPERLINK("https://pbs.twimg.com/media/F5Y7szLXcAAphyo.jpg")</f>
        <v>https://pbs.twimg.com/media/F5Y7szLXcAAphyo.jpg</v>
      </c>
      <c r="AW3544" s="93" t="s">
        <v>21671</v>
      </c>
      <c r="AX3544" s="93" t="s">
        <v>21671</v>
      </c>
      <c r="AY3544" s="87"/>
      <c r="AZ3544" s="93" t="s">
        <v>22668</v>
      </c>
      <c r="BA3544" s="93" t="s">
        <v>22668</v>
      </c>
      <c r="BB3544" s="93" t="s">
        <v>22668</v>
      </c>
      <c r="BC3544" s="93" t="s">
        <v>21671</v>
      </c>
      <c r="BD3544" s="87">
        <v>58619347</v>
      </c>
      <c r="BE3544" s="87"/>
      <c r="BF3544" s="87"/>
      <c r="BG3544" s="87"/>
      <c r="BH3544" s="87"/>
      <c r="BI3544" s="87"/>
    </row>
    <row r="3545" spans="1:61" x14ac:dyDescent="0.25">
      <c r="A3545" s="63" t="s">
        <v>1350</v>
      </c>
      <c r="B3545" s="63" t="s">
        <v>1350</v>
      </c>
      <c r="C3545" s="64"/>
      <c r="D3545" s="65"/>
      <c r="E3545" s="66"/>
      <c r="F3545" s="67"/>
      <c r="G3545" s="64"/>
      <c r="H3545" s="68"/>
      <c r="I3545" s="69"/>
      <c r="J3545" s="69"/>
      <c r="K3545" s="32"/>
      <c r="L3545" s="76">
        <v>3545</v>
      </c>
      <c r="M3545" s="76"/>
      <c r="N3545" s="71"/>
      <c r="O3545" s="87" t="s">
        <v>179</v>
      </c>
      <c r="P3545" s="90">
        <v>45176.105555555558</v>
      </c>
      <c r="Q3545" s="87" t="s">
        <v>5220</v>
      </c>
      <c r="R3545" s="87">
        <v>0</v>
      </c>
      <c r="S3545" s="87">
        <v>0</v>
      </c>
      <c r="T3545" s="87">
        <v>0</v>
      </c>
      <c r="U3545" s="87">
        <v>0</v>
      </c>
      <c r="V3545" s="87">
        <v>11</v>
      </c>
      <c r="W3545" s="93" t="s">
        <v>7917</v>
      </c>
      <c r="X3545" s="92" t="str">
        <f>HYPERLINK("https://www.magazinevoce.com.br/magazinelukafabis")</f>
        <v>https://www.magazinevoce.com.br/magazinelukafabis</v>
      </c>
      <c r="Y3545" s="87" t="s">
        <v>8373</v>
      </c>
      <c r="Z3545" s="87"/>
      <c r="AA3545" s="87" t="s">
        <v>11054</v>
      </c>
      <c r="AB3545" s="87" t="s">
        <v>11448</v>
      </c>
      <c r="AC3545" s="93" t="s">
        <v>11459</v>
      </c>
      <c r="AD3545" s="87" t="s">
        <v>11519</v>
      </c>
      <c r="AE3545" s="92" t="str">
        <f>HYPERLINK("https://twitter.com/bila_morena/status/1699611443551703344")</f>
        <v>https://twitter.com/bila_morena/status/1699611443551703344</v>
      </c>
      <c r="AF3545" s="90">
        <v>45176.105555555558</v>
      </c>
      <c r="AG3545" s="99">
        <v>45176</v>
      </c>
      <c r="AH3545" s="93" t="s">
        <v>14674</v>
      </c>
      <c r="AI3545" s="87" t="b">
        <v>0</v>
      </c>
      <c r="AJ3545" s="87"/>
      <c r="AK3545" s="87"/>
      <c r="AL3545" s="87"/>
      <c r="AM3545" s="87"/>
      <c r="AN3545" s="87"/>
      <c r="AO3545" s="87"/>
      <c r="AP3545" s="87"/>
      <c r="AQ3545" s="87" t="s">
        <v>17866</v>
      </c>
      <c r="AR3545" s="87"/>
      <c r="AS3545" s="87"/>
      <c r="AT3545" s="87"/>
      <c r="AU3545" s="87"/>
      <c r="AV3545" s="92" t="str">
        <f>HYPERLINK("https://pbs.twimg.com/media/F5Y7malWsAAL6J1.jpg")</f>
        <v>https://pbs.twimg.com/media/F5Y7malWsAAL6J1.jpg</v>
      </c>
      <c r="AW3545" s="93" t="s">
        <v>21672</v>
      </c>
      <c r="AX3545" s="93" t="s">
        <v>21672</v>
      </c>
      <c r="AY3545" s="87"/>
      <c r="AZ3545" s="93" t="s">
        <v>22668</v>
      </c>
      <c r="BA3545" s="93" t="s">
        <v>22668</v>
      </c>
      <c r="BB3545" s="93" t="s">
        <v>22668</v>
      </c>
      <c r="BC3545" s="93" t="s">
        <v>21672</v>
      </c>
      <c r="BD3545" s="87">
        <v>58619347</v>
      </c>
      <c r="BE3545" s="87"/>
      <c r="BF3545" s="87"/>
      <c r="BG3545" s="87"/>
      <c r="BH3545" s="87"/>
      <c r="BI3545" s="87"/>
    </row>
    <row r="3546" spans="1:61" x14ac:dyDescent="0.25">
      <c r="A3546" s="63" t="s">
        <v>1350</v>
      </c>
      <c r="B3546" s="63" t="s">
        <v>1350</v>
      </c>
      <c r="C3546" s="64"/>
      <c r="D3546" s="65"/>
      <c r="E3546" s="66"/>
      <c r="F3546" s="67"/>
      <c r="G3546" s="64"/>
      <c r="H3546" s="68"/>
      <c r="I3546" s="69"/>
      <c r="J3546" s="69"/>
      <c r="K3546" s="32"/>
      <c r="L3546" s="76">
        <v>3546</v>
      </c>
      <c r="M3546" s="76"/>
      <c r="N3546" s="71"/>
      <c r="O3546" s="87" t="s">
        <v>179</v>
      </c>
      <c r="P3546" s="90">
        <v>45176.105347222219</v>
      </c>
      <c r="Q3546" s="87" t="s">
        <v>5221</v>
      </c>
      <c r="R3546" s="87">
        <v>0</v>
      </c>
      <c r="S3546" s="87">
        <v>0</v>
      </c>
      <c r="T3546" s="87">
        <v>0</v>
      </c>
      <c r="U3546" s="87">
        <v>0</v>
      </c>
      <c r="V3546" s="87">
        <v>10</v>
      </c>
      <c r="W3546" s="93" t="s">
        <v>7917</v>
      </c>
      <c r="X3546" s="92" t="str">
        <f>HYPERLINK("https://www.magazinevoce.com.br/magazinelukafabis")</f>
        <v>https://www.magazinevoce.com.br/magazinelukafabis</v>
      </c>
      <c r="Y3546" s="87" t="s">
        <v>8373</v>
      </c>
      <c r="Z3546" s="87"/>
      <c r="AA3546" s="87" t="s">
        <v>11055</v>
      </c>
      <c r="AB3546" s="87" t="s">
        <v>11448</v>
      </c>
      <c r="AC3546" s="93" t="s">
        <v>11459</v>
      </c>
      <c r="AD3546" s="87" t="s">
        <v>11519</v>
      </c>
      <c r="AE3546" s="92" t="str">
        <f>HYPERLINK("https://twitter.com/bila_morena/status/1699611370122035659")</f>
        <v>https://twitter.com/bila_morena/status/1699611370122035659</v>
      </c>
      <c r="AF3546" s="90">
        <v>45176.105347222219</v>
      </c>
      <c r="AG3546" s="99">
        <v>45176</v>
      </c>
      <c r="AH3546" s="93" t="s">
        <v>14675</v>
      </c>
      <c r="AI3546" s="87" t="b">
        <v>0</v>
      </c>
      <c r="AJ3546" s="87"/>
      <c r="AK3546" s="87"/>
      <c r="AL3546" s="87"/>
      <c r="AM3546" s="87"/>
      <c r="AN3546" s="87"/>
      <c r="AO3546" s="87"/>
      <c r="AP3546" s="87"/>
      <c r="AQ3546" s="87" t="s">
        <v>17867</v>
      </c>
      <c r="AR3546" s="87"/>
      <c r="AS3546" s="87"/>
      <c r="AT3546" s="87"/>
      <c r="AU3546" s="87"/>
      <c r="AV3546" s="92" t="str">
        <f>HYPERLINK("https://pbs.twimg.com/media/F5Y7iLnWkAASV-W.jpg")</f>
        <v>https://pbs.twimg.com/media/F5Y7iLnWkAASV-W.jpg</v>
      </c>
      <c r="AW3546" s="93" t="s">
        <v>21673</v>
      </c>
      <c r="AX3546" s="93" t="s">
        <v>21673</v>
      </c>
      <c r="AY3546" s="87"/>
      <c r="AZ3546" s="93" t="s">
        <v>22668</v>
      </c>
      <c r="BA3546" s="93" t="s">
        <v>22668</v>
      </c>
      <c r="BB3546" s="93" t="s">
        <v>22668</v>
      </c>
      <c r="BC3546" s="93" t="s">
        <v>21673</v>
      </c>
      <c r="BD3546" s="87">
        <v>58619347</v>
      </c>
      <c r="BE3546" s="87"/>
      <c r="BF3546" s="87"/>
      <c r="BG3546" s="87"/>
      <c r="BH3546" s="87"/>
      <c r="BI3546" s="87"/>
    </row>
    <row r="3547" spans="1:61" x14ac:dyDescent="0.25">
      <c r="A3547" s="63" t="s">
        <v>1350</v>
      </c>
      <c r="B3547" s="63" t="s">
        <v>1350</v>
      </c>
      <c r="C3547" s="64"/>
      <c r="D3547" s="65"/>
      <c r="E3547" s="66"/>
      <c r="F3547" s="67"/>
      <c r="G3547" s="64"/>
      <c r="H3547" s="68"/>
      <c r="I3547" s="69"/>
      <c r="J3547" s="69"/>
      <c r="K3547" s="32"/>
      <c r="L3547" s="76">
        <v>3547</v>
      </c>
      <c r="M3547" s="76"/>
      <c r="N3547" s="71"/>
      <c r="O3547" s="87" t="s">
        <v>179</v>
      </c>
      <c r="P3547" s="90">
        <v>45176.103715277779</v>
      </c>
      <c r="Q3547" s="87" t="s">
        <v>5222</v>
      </c>
      <c r="R3547" s="87">
        <v>0</v>
      </c>
      <c r="S3547" s="87">
        <v>0</v>
      </c>
      <c r="T3547" s="87">
        <v>0</v>
      </c>
      <c r="U3547" s="87">
        <v>0</v>
      </c>
      <c r="V3547" s="87">
        <v>23</v>
      </c>
      <c r="W3547" s="93" t="s">
        <v>7918</v>
      </c>
      <c r="X3547" s="92" t="str">
        <f>HYPERLINK("https://www.magazinevoce.com.br/magazinelukafabis")</f>
        <v>https://www.magazinevoce.com.br/magazinelukafabis</v>
      </c>
      <c r="Y3547" s="87" t="s">
        <v>8373</v>
      </c>
      <c r="Z3547" s="87"/>
      <c r="AA3547" s="87" t="s">
        <v>11056</v>
      </c>
      <c r="AB3547" s="87" t="s">
        <v>11448</v>
      </c>
      <c r="AC3547" s="93" t="s">
        <v>11459</v>
      </c>
      <c r="AD3547" s="87" t="s">
        <v>11519</v>
      </c>
      <c r="AE3547" s="92" t="str">
        <f>HYPERLINK("https://twitter.com/bila_morena/status/1699610777848578239")</f>
        <v>https://twitter.com/bila_morena/status/1699610777848578239</v>
      </c>
      <c r="AF3547" s="90">
        <v>45176.103715277779</v>
      </c>
      <c r="AG3547" s="99">
        <v>45176</v>
      </c>
      <c r="AH3547" s="93" t="s">
        <v>14676</v>
      </c>
      <c r="AI3547" s="87" t="b">
        <v>0</v>
      </c>
      <c r="AJ3547" s="87"/>
      <c r="AK3547" s="87"/>
      <c r="AL3547" s="87"/>
      <c r="AM3547" s="87"/>
      <c r="AN3547" s="87"/>
      <c r="AO3547" s="87"/>
      <c r="AP3547" s="87"/>
      <c r="AQ3547" s="87" t="s">
        <v>17868</v>
      </c>
      <c r="AR3547" s="87"/>
      <c r="AS3547" s="87"/>
      <c r="AT3547" s="87"/>
      <c r="AU3547" s="87"/>
      <c r="AV3547" s="92" t="str">
        <f>HYPERLINK("https://pbs.twimg.com/media/F5Y6_soWsAAv6Gg.jpg")</f>
        <v>https://pbs.twimg.com/media/F5Y6_soWsAAv6Gg.jpg</v>
      </c>
      <c r="AW3547" s="93" t="s">
        <v>21674</v>
      </c>
      <c r="AX3547" s="93" t="s">
        <v>21674</v>
      </c>
      <c r="AY3547" s="87"/>
      <c r="AZ3547" s="93" t="s">
        <v>22668</v>
      </c>
      <c r="BA3547" s="93" t="s">
        <v>22668</v>
      </c>
      <c r="BB3547" s="93" t="s">
        <v>22668</v>
      </c>
      <c r="BC3547" s="93" t="s">
        <v>21674</v>
      </c>
      <c r="BD3547" s="87">
        <v>58619347</v>
      </c>
      <c r="BE3547" s="87"/>
      <c r="BF3547" s="87"/>
      <c r="BG3547" s="87"/>
      <c r="BH3547" s="87"/>
      <c r="BI3547" s="87"/>
    </row>
    <row r="3548" spans="1:61" x14ac:dyDescent="0.25">
      <c r="A3548" s="63" t="s">
        <v>1351</v>
      </c>
      <c r="B3548" s="63" t="s">
        <v>1802</v>
      </c>
      <c r="C3548" s="64"/>
      <c r="D3548" s="65"/>
      <c r="E3548" s="66"/>
      <c r="F3548" s="67"/>
      <c r="G3548" s="64"/>
      <c r="H3548" s="68"/>
      <c r="I3548" s="69"/>
      <c r="J3548" s="69"/>
      <c r="K3548" s="32"/>
      <c r="L3548" s="76">
        <v>3548</v>
      </c>
      <c r="M3548" s="76"/>
      <c r="N3548" s="71"/>
      <c r="O3548" s="87" t="s">
        <v>1839</v>
      </c>
      <c r="P3548" s="90">
        <v>45180.666678240741</v>
      </c>
      <c r="Q3548" s="87" t="s">
        <v>5223</v>
      </c>
      <c r="R3548" s="87">
        <v>0</v>
      </c>
      <c r="S3548" s="87">
        <v>1</v>
      </c>
      <c r="T3548" s="87">
        <v>0</v>
      </c>
      <c r="U3548" s="87">
        <v>1</v>
      </c>
      <c r="V3548" s="87">
        <v>47</v>
      </c>
      <c r="W3548" s="93" t="s">
        <v>7919</v>
      </c>
      <c r="X3548" s="92" t="str">
        <f>HYPERLINK("https://t.ly/i8CD4")</f>
        <v>https://t.ly/i8CD4</v>
      </c>
      <c r="Y3548" s="87" t="s">
        <v>8477</v>
      </c>
      <c r="Z3548" s="87" t="s">
        <v>8617</v>
      </c>
      <c r="AA3548" s="87" t="s">
        <v>11057</v>
      </c>
      <c r="AB3548" s="87" t="s">
        <v>11448</v>
      </c>
      <c r="AC3548" s="93" t="s">
        <v>11457</v>
      </c>
      <c r="AD3548" s="87" t="s">
        <v>11519</v>
      </c>
      <c r="AE3548" s="92" t="str">
        <f>HYPERLINK("https://twitter.com/smart_citiespt/status/1701264341348102326")</f>
        <v>https://twitter.com/smart_citiespt/status/1701264341348102326</v>
      </c>
      <c r="AF3548" s="90">
        <v>45180.666678240741</v>
      </c>
      <c r="AG3548" s="99">
        <v>45180</v>
      </c>
      <c r="AH3548" s="93" t="s">
        <v>13588</v>
      </c>
      <c r="AI3548" s="87" t="b">
        <v>0</v>
      </c>
      <c r="AJ3548" s="87"/>
      <c r="AK3548" s="87"/>
      <c r="AL3548" s="87"/>
      <c r="AM3548" s="87"/>
      <c r="AN3548" s="87"/>
      <c r="AO3548" s="87"/>
      <c r="AP3548" s="87"/>
      <c r="AQ3548" s="87" t="s">
        <v>17869</v>
      </c>
      <c r="AR3548" s="87"/>
      <c r="AS3548" s="87"/>
      <c r="AT3548" s="87"/>
      <c r="AU3548" s="87"/>
      <c r="AV3548" s="92" t="str">
        <f>HYPERLINK("https://pbs.twimg.com/media/F5u6ZXYWcAATii2.jpg")</f>
        <v>https://pbs.twimg.com/media/F5u6ZXYWcAATii2.jpg</v>
      </c>
      <c r="AW3548" s="93" t="s">
        <v>21675</v>
      </c>
      <c r="AX3548" s="93" t="s">
        <v>21675</v>
      </c>
      <c r="AY3548" s="87"/>
      <c r="AZ3548" s="93" t="s">
        <v>22668</v>
      </c>
      <c r="BA3548" s="93" t="s">
        <v>22668</v>
      </c>
      <c r="BB3548" s="93" t="s">
        <v>22668</v>
      </c>
      <c r="BC3548" s="93" t="s">
        <v>21675</v>
      </c>
      <c r="BD3548" s="87">
        <v>2546487510</v>
      </c>
      <c r="BE3548" s="87"/>
      <c r="BF3548" s="87"/>
      <c r="BG3548" s="87"/>
      <c r="BH3548" s="87"/>
      <c r="BI3548" s="87"/>
    </row>
    <row r="3549" spans="1:61" x14ac:dyDescent="0.25">
      <c r="A3549" s="63" t="s">
        <v>1351</v>
      </c>
      <c r="B3549" s="63" t="s">
        <v>1803</v>
      </c>
      <c r="C3549" s="64"/>
      <c r="D3549" s="65"/>
      <c r="E3549" s="66"/>
      <c r="F3549" s="67"/>
      <c r="G3549" s="64"/>
      <c r="H3549" s="68"/>
      <c r="I3549" s="69"/>
      <c r="J3549" s="69"/>
      <c r="K3549" s="32"/>
      <c r="L3549" s="76">
        <v>3549</v>
      </c>
      <c r="M3549" s="76"/>
      <c r="N3549" s="71"/>
      <c r="O3549" s="87" t="s">
        <v>1839</v>
      </c>
      <c r="P3549" s="90">
        <v>45180.666678240741</v>
      </c>
      <c r="Q3549" s="87" t="s">
        <v>5223</v>
      </c>
      <c r="R3549" s="87">
        <v>0</v>
      </c>
      <c r="S3549" s="87">
        <v>1</v>
      </c>
      <c r="T3549" s="87">
        <v>0</v>
      </c>
      <c r="U3549" s="87">
        <v>1</v>
      </c>
      <c r="V3549" s="87">
        <v>47</v>
      </c>
      <c r="W3549" s="93" t="s">
        <v>7919</v>
      </c>
      <c r="X3549" s="92" t="str">
        <f>HYPERLINK("https://t.ly/i8CD4")</f>
        <v>https://t.ly/i8CD4</v>
      </c>
      <c r="Y3549" s="87" t="s">
        <v>8477</v>
      </c>
      <c r="Z3549" s="87" t="s">
        <v>8617</v>
      </c>
      <c r="AA3549" s="87" t="s">
        <v>11057</v>
      </c>
      <c r="AB3549" s="87" t="s">
        <v>11448</v>
      </c>
      <c r="AC3549" s="93" t="s">
        <v>11457</v>
      </c>
      <c r="AD3549" s="87" t="s">
        <v>11519</v>
      </c>
      <c r="AE3549" s="92" t="str">
        <f>HYPERLINK("https://twitter.com/smart_citiespt/status/1701264341348102326")</f>
        <v>https://twitter.com/smart_citiespt/status/1701264341348102326</v>
      </c>
      <c r="AF3549" s="90">
        <v>45180.666678240741</v>
      </c>
      <c r="AG3549" s="99">
        <v>45180</v>
      </c>
      <c r="AH3549" s="93" t="s">
        <v>13588</v>
      </c>
      <c r="AI3549" s="87" t="b">
        <v>0</v>
      </c>
      <c r="AJ3549" s="87"/>
      <c r="AK3549" s="87"/>
      <c r="AL3549" s="87"/>
      <c r="AM3549" s="87"/>
      <c r="AN3549" s="87"/>
      <c r="AO3549" s="87"/>
      <c r="AP3549" s="87"/>
      <c r="AQ3549" s="87" t="s">
        <v>17869</v>
      </c>
      <c r="AR3549" s="87"/>
      <c r="AS3549" s="87"/>
      <c r="AT3549" s="87"/>
      <c r="AU3549" s="87"/>
      <c r="AV3549" s="92" t="str">
        <f>HYPERLINK("https://pbs.twimg.com/media/F5u6ZXYWcAATii2.jpg")</f>
        <v>https://pbs.twimg.com/media/F5u6ZXYWcAATii2.jpg</v>
      </c>
      <c r="AW3549" s="93" t="s">
        <v>21675</v>
      </c>
      <c r="AX3549" s="93" t="s">
        <v>21675</v>
      </c>
      <c r="AY3549" s="87"/>
      <c r="AZ3549" s="93" t="s">
        <v>22668</v>
      </c>
      <c r="BA3549" s="93" t="s">
        <v>22668</v>
      </c>
      <c r="BB3549" s="93" t="s">
        <v>22668</v>
      </c>
      <c r="BC3549" s="93" t="s">
        <v>21675</v>
      </c>
      <c r="BD3549" s="87">
        <v>2546487510</v>
      </c>
      <c r="BE3549" s="87"/>
      <c r="BF3549" s="87"/>
      <c r="BG3549" s="87"/>
      <c r="BH3549" s="87"/>
      <c r="BI3549" s="87"/>
    </row>
    <row r="3550" spans="1:61" x14ac:dyDescent="0.25">
      <c r="A3550" s="63" t="s">
        <v>1351</v>
      </c>
      <c r="B3550" s="63" t="s">
        <v>1804</v>
      </c>
      <c r="C3550" s="64"/>
      <c r="D3550" s="65"/>
      <c r="E3550" s="66"/>
      <c r="F3550" s="67"/>
      <c r="G3550" s="64"/>
      <c r="H3550" s="68"/>
      <c r="I3550" s="69"/>
      <c r="J3550" s="69"/>
      <c r="K3550" s="32"/>
      <c r="L3550" s="76">
        <v>3550</v>
      </c>
      <c r="M3550" s="76"/>
      <c r="N3550" s="71"/>
      <c r="O3550" s="87" t="s">
        <v>1839</v>
      </c>
      <c r="P3550" s="90">
        <v>45113.326481481483</v>
      </c>
      <c r="Q3550" s="87" t="s">
        <v>5224</v>
      </c>
      <c r="R3550" s="87">
        <v>0</v>
      </c>
      <c r="S3550" s="87">
        <v>1</v>
      </c>
      <c r="T3550" s="87">
        <v>0</v>
      </c>
      <c r="U3550" s="87">
        <v>0</v>
      </c>
      <c r="V3550" s="87">
        <v>103</v>
      </c>
      <c r="W3550" s="93" t="s">
        <v>7920</v>
      </c>
      <c r="X3550" s="92" t="str">
        <f>HYPERLINK("http://bitly.ws/KohV")</f>
        <v>http://bitly.ws/KohV</v>
      </c>
      <c r="Y3550" s="87" t="s">
        <v>8532</v>
      </c>
      <c r="Z3550" s="87" t="s">
        <v>8618</v>
      </c>
      <c r="AA3550" s="87" t="s">
        <v>11058</v>
      </c>
      <c r="AB3550" s="87" t="s">
        <v>11448</v>
      </c>
      <c r="AC3550" s="93" t="s">
        <v>11457</v>
      </c>
      <c r="AD3550" s="87" t="s">
        <v>11519</v>
      </c>
      <c r="AE3550" s="92" t="str">
        <f>HYPERLINK("https://twitter.com/smart_citiespt/status/1676861071351758850")</f>
        <v>https://twitter.com/smart_citiespt/status/1676861071351758850</v>
      </c>
      <c r="AF3550" s="90">
        <v>45113.326481481483</v>
      </c>
      <c r="AG3550" s="99">
        <v>45113</v>
      </c>
      <c r="AH3550" s="93" t="s">
        <v>14677</v>
      </c>
      <c r="AI3550" s="87" t="b">
        <v>0</v>
      </c>
      <c r="AJ3550" s="87"/>
      <c r="AK3550" s="87"/>
      <c r="AL3550" s="87"/>
      <c r="AM3550" s="87"/>
      <c r="AN3550" s="87"/>
      <c r="AO3550" s="87"/>
      <c r="AP3550" s="87"/>
      <c r="AQ3550" s="87" t="s">
        <v>17870</v>
      </c>
      <c r="AR3550" s="87"/>
      <c r="AS3550" s="87"/>
      <c r="AT3550" s="87"/>
      <c r="AU3550" s="87"/>
      <c r="AV3550" s="92" t="str">
        <f>HYPERLINK("https://pbs.twimg.com/media/F0VoDQjWYAAb2MS.jpg")</f>
        <v>https://pbs.twimg.com/media/F0VoDQjWYAAb2MS.jpg</v>
      </c>
      <c r="AW3550" s="93" t="s">
        <v>21676</v>
      </c>
      <c r="AX3550" s="93" t="s">
        <v>21676</v>
      </c>
      <c r="AY3550" s="87"/>
      <c r="AZ3550" s="93" t="s">
        <v>22668</v>
      </c>
      <c r="BA3550" s="93" t="s">
        <v>22668</v>
      </c>
      <c r="BB3550" s="93" t="s">
        <v>22668</v>
      </c>
      <c r="BC3550" s="93" t="s">
        <v>21676</v>
      </c>
      <c r="BD3550" s="87">
        <v>2546487510</v>
      </c>
      <c r="BE3550" s="87"/>
      <c r="BF3550" s="87"/>
      <c r="BG3550" s="87"/>
      <c r="BH3550" s="87"/>
      <c r="BI3550" s="87"/>
    </row>
    <row r="3551" spans="1:61" x14ac:dyDescent="0.25">
      <c r="A3551" s="63" t="s">
        <v>1351</v>
      </c>
      <c r="B3551" s="63" t="s">
        <v>1805</v>
      </c>
      <c r="C3551" s="64"/>
      <c r="D3551" s="65"/>
      <c r="E3551" s="66"/>
      <c r="F3551" s="67"/>
      <c r="G3551" s="64"/>
      <c r="H3551" s="68"/>
      <c r="I3551" s="69"/>
      <c r="J3551" s="69"/>
      <c r="K3551" s="32"/>
      <c r="L3551" s="76">
        <v>3551</v>
      </c>
      <c r="M3551" s="76"/>
      <c r="N3551" s="71"/>
      <c r="O3551" s="87" t="s">
        <v>1839</v>
      </c>
      <c r="P3551" s="90">
        <v>45113.326481481483</v>
      </c>
      <c r="Q3551" s="87" t="s">
        <v>5224</v>
      </c>
      <c r="R3551" s="87">
        <v>0</v>
      </c>
      <c r="S3551" s="87">
        <v>1</v>
      </c>
      <c r="T3551" s="87">
        <v>0</v>
      </c>
      <c r="U3551" s="87">
        <v>0</v>
      </c>
      <c r="V3551" s="87">
        <v>103</v>
      </c>
      <c r="W3551" s="93" t="s">
        <v>7920</v>
      </c>
      <c r="X3551" s="92" t="str">
        <f>HYPERLINK("http://bitly.ws/KohV")</f>
        <v>http://bitly.ws/KohV</v>
      </c>
      <c r="Y3551" s="87" t="s">
        <v>8532</v>
      </c>
      <c r="Z3551" s="87" t="s">
        <v>8618</v>
      </c>
      <c r="AA3551" s="87" t="s">
        <v>11058</v>
      </c>
      <c r="AB3551" s="87" t="s">
        <v>11448</v>
      </c>
      <c r="AC3551" s="93" t="s">
        <v>11457</v>
      </c>
      <c r="AD3551" s="87" t="s">
        <v>11519</v>
      </c>
      <c r="AE3551" s="92" t="str">
        <f>HYPERLINK("https://twitter.com/smart_citiespt/status/1676861071351758850")</f>
        <v>https://twitter.com/smart_citiespt/status/1676861071351758850</v>
      </c>
      <c r="AF3551" s="90">
        <v>45113.326481481483</v>
      </c>
      <c r="AG3551" s="99">
        <v>45113</v>
      </c>
      <c r="AH3551" s="93" t="s">
        <v>14677</v>
      </c>
      <c r="AI3551" s="87" t="b">
        <v>0</v>
      </c>
      <c r="AJ3551" s="87"/>
      <c r="AK3551" s="87"/>
      <c r="AL3551" s="87"/>
      <c r="AM3551" s="87"/>
      <c r="AN3551" s="87"/>
      <c r="AO3551" s="87"/>
      <c r="AP3551" s="87"/>
      <c r="AQ3551" s="87" t="s">
        <v>17870</v>
      </c>
      <c r="AR3551" s="87"/>
      <c r="AS3551" s="87"/>
      <c r="AT3551" s="87"/>
      <c r="AU3551" s="87"/>
      <c r="AV3551" s="92" t="str">
        <f>HYPERLINK("https://pbs.twimg.com/media/F0VoDQjWYAAb2MS.jpg")</f>
        <v>https://pbs.twimg.com/media/F0VoDQjWYAAb2MS.jpg</v>
      </c>
      <c r="AW3551" s="93" t="s">
        <v>21676</v>
      </c>
      <c r="AX3551" s="93" t="s">
        <v>21676</v>
      </c>
      <c r="AY3551" s="87"/>
      <c r="AZ3551" s="93" t="s">
        <v>22668</v>
      </c>
      <c r="BA3551" s="93" t="s">
        <v>22668</v>
      </c>
      <c r="BB3551" s="93" t="s">
        <v>22668</v>
      </c>
      <c r="BC3551" s="93" t="s">
        <v>21676</v>
      </c>
      <c r="BD3551" s="87">
        <v>2546487510</v>
      </c>
      <c r="BE3551" s="87"/>
      <c r="BF3551" s="87"/>
      <c r="BG3551" s="87"/>
      <c r="BH3551" s="87"/>
      <c r="BI3551" s="87"/>
    </row>
    <row r="3552" spans="1:61" x14ac:dyDescent="0.25">
      <c r="A3552" s="63" t="s">
        <v>1352</v>
      </c>
      <c r="B3552" s="63" t="s">
        <v>1352</v>
      </c>
      <c r="C3552" s="64"/>
      <c r="D3552" s="65"/>
      <c r="E3552" s="66"/>
      <c r="F3552" s="67"/>
      <c r="G3552" s="64"/>
      <c r="H3552" s="68"/>
      <c r="I3552" s="69"/>
      <c r="J3552" s="69"/>
      <c r="K3552" s="32"/>
      <c r="L3552" s="76">
        <v>3552</v>
      </c>
      <c r="M3552" s="76"/>
      <c r="N3552" s="71"/>
      <c r="O3552" s="87" t="s">
        <v>179</v>
      </c>
      <c r="P3552" s="90">
        <v>45131.58388888889</v>
      </c>
      <c r="Q3552" s="87" t="s">
        <v>5225</v>
      </c>
      <c r="R3552" s="87">
        <v>1</v>
      </c>
      <c r="S3552" s="87">
        <v>1</v>
      </c>
      <c r="T3552" s="87">
        <v>0</v>
      </c>
      <c r="U3552" s="87">
        <v>0</v>
      </c>
      <c r="V3552" s="87">
        <v>113</v>
      </c>
      <c r="W3552" s="93" t="s">
        <v>7921</v>
      </c>
      <c r="X3552" s="87"/>
      <c r="Y3552" s="87"/>
      <c r="Z3552" s="87"/>
      <c r="AA3552" s="87" t="s">
        <v>11059</v>
      </c>
      <c r="AB3552" s="87" t="s">
        <v>11448</v>
      </c>
      <c r="AC3552" s="93" t="s">
        <v>11457</v>
      </c>
      <c r="AD3552" s="87" t="s">
        <v>11519</v>
      </c>
      <c r="AE3552" s="92" t="str">
        <f>HYPERLINK("https://twitter.com/dayanamazini/status/1683477335314509838")</f>
        <v>https://twitter.com/dayanamazini/status/1683477335314509838</v>
      </c>
      <c r="AF3552" s="90">
        <v>45131.58388888889</v>
      </c>
      <c r="AG3552" s="99">
        <v>45131</v>
      </c>
      <c r="AH3552" s="93" t="s">
        <v>14678</v>
      </c>
      <c r="AI3552" s="87" t="b">
        <v>0</v>
      </c>
      <c r="AJ3552" s="87"/>
      <c r="AK3552" s="87"/>
      <c r="AL3552" s="87"/>
      <c r="AM3552" s="87"/>
      <c r="AN3552" s="87"/>
      <c r="AO3552" s="87"/>
      <c r="AP3552" s="87"/>
      <c r="AQ3552" s="87" t="s">
        <v>17871</v>
      </c>
      <c r="AR3552" s="87"/>
      <c r="AS3552" s="87"/>
      <c r="AT3552" s="87"/>
      <c r="AU3552" s="87"/>
      <c r="AV3552" s="92" t="str">
        <f>HYPERLINK("https://pbs.twimg.com/media/F1zps1dXgAMAxAm.jpg")</f>
        <v>https://pbs.twimg.com/media/F1zps1dXgAMAxAm.jpg</v>
      </c>
      <c r="AW3552" s="93" t="s">
        <v>21677</v>
      </c>
      <c r="AX3552" s="93" t="s">
        <v>21677</v>
      </c>
      <c r="AY3552" s="87"/>
      <c r="AZ3552" s="93" t="s">
        <v>22668</v>
      </c>
      <c r="BA3552" s="93" t="s">
        <v>22668</v>
      </c>
      <c r="BB3552" s="93" t="s">
        <v>22668</v>
      </c>
      <c r="BC3552" s="93" t="s">
        <v>21677</v>
      </c>
      <c r="BD3552" s="93" t="s">
        <v>23448</v>
      </c>
      <c r="BE3552" s="87"/>
      <c r="BF3552" s="87"/>
      <c r="BG3552" s="87"/>
      <c r="BH3552" s="87"/>
      <c r="BI3552" s="87"/>
    </row>
    <row r="3553" spans="1:61" x14ac:dyDescent="0.25">
      <c r="A3553" s="63" t="s">
        <v>1353</v>
      </c>
      <c r="B3553" s="63" t="s">
        <v>1353</v>
      </c>
      <c r="C3553" s="64"/>
      <c r="D3553" s="65"/>
      <c r="E3553" s="66"/>
      <c r="F3553" s="67"/>
      <c r="G3553" s="64"/>
      <c r="H3553" s="68"/>
      <c r="I3553" s="69"/>
      <c r="J3553" s="69"/>
      <c r="K3553" s="32"/>
      <c r="L3553" s="76">
        <v>3553</v>
      </c>
      <c r="M3553" s="76"/>
      <c r="N3553" s="71"/>
      <c r="O3553" s="87" t="s">
        <v>179</v>
      </c>
      <c r="P3553" s="90">
        <v>45161.562916666669</v>
      </c>
      <c r="Q3553" s="87" t="s">
        <v>5226</v>
      </c>
      <c r="R3553" s="87">
        <v>0</v>
      </c>
      <c r="S3553" s="87">
        <v>0</v>
      </c>
      <c r="T3553" s="87">
        <v>1</v>
      </c>
      <c r="U3553" s="87">
        <v>0</v>
      </c>
      <c r="V3553" s="87">
        <v>14</v>
      </c>
      <c r="W3553" s="93" t="s">
        <v>7922</v>
      </c>
      <c r="X3553" s="87"/>
      <c r="Y3553" s="87"/>
      <c r="Z3553" s="87"/>
      <c r="AA3553" s="87"/>
      <c r="AB3553" s="87"/>
      <c r="AC3553" s="93" t="s">
        <v>11457</v>
      </c>
      <c r="AD3553" s="87" t="s">
        <v>11519</v>
      </c>
      <c r="AE3553" s="92" t="str">
        <f>HYPERLINK("https://twitter.com/rafaribeironet/status/1694341371484602370")</f>
        <v>https://twitter.com/rafaribeironet/status/1694341371484602370</v>
      </c>
      <c r="AF3553" s="90">
        <v>45161.562916666669</v>
      </c>
      <c r="AG3553" s="99">
        <v>45161</v>
      </c>
      <c r="AH3553" s="93" t="s">
        <v>14679</v>
      </c>
      <c r="AI3553" s="87"/>
      <c r="AJ3553" s="87"/>
      <c r="AK3553" s="87"/>
      <c r="AL3553" s="87"/>
      <c r="AM3553" s="87"/>
      <c r="AN3553" s="87"/>
      <c r="AO3553" s="87"/>
      <c r="AP3553" s="87"/>
      <c r="AQ3553" s="87"/>
      <c r="AR3553" s="87"/>
      <c r="AS3553" s="87"/>
      <c r="AT3553" s="87"/>
      <c r="AU3553" s="87"/>
      <c r="AV3553" s="92" t="str">
        <f>HYPERLINK("https://pbs.twimg.com/profile_images/1622228416786227201/DK_bFjQv_normal.jpg")</f>
        <v>https://pbs.twimg.com/profile_images/1622228416786227201/DK_bFjQv_normal.jpg</v>
      </c>
      <c r="AW3553" s="93" t="s">
        <v>21678</v>
      </c>
      <c r="AX3553" s="93" t="s">
        <v>21678</v>
      </c>
      <c r="AY3553" s="87"/>
      <c r="AZ3553" s="93" t="s">
        <v>22668</v>
      </c>
      <c r="BA3553" s="93" t="s">
        <v>22668</v>
      </c>
      <c r="BB3553" s="93" t="s">
        <v>22668</v>
      </c>
      <c r="BC3553" s="93" t="s">
        <v>21678</v>
      </c>
      <c r="BD3553" s="93" t="s">
        <v>23449</v>
      </c>
      <c r="BE3553" s="87"/>
      <c r="BF3553" s="87"/>
      <c r="BG3553" s="87"/>
      <c r="BH3553" s="87"/>
      <c r="BI3553" s="87"/>
    </row>
    <row r="3554" spans="1:61" x14ac:dyDescent="0.25">
      <c r="A3554" s="63" t="s">
        <v>1354</v>
      </c>
      <c r="B3554" s="63" t="s">
        <v>1354</v>
      </c>
      <c r="C3554" s="64"/>
      <c r="D3554" s="65"/>
      <c r="E3554" s="66"/>
      <c r="F3554" s="67"/>
      <c r="G3554" s="64"/>
      <c r="H3554" s="68"/>
      <c r="I3554" s="69"/>
      <c r="J3554" s="69"/>
      <c r="K3554" s="32"/>
      <c r="L3554" s="76">
        <v>3554</v>
      </c>
      <c r="M3554" s="76"/>
      <c r="N3554" s="71"/>
      <c r="O3554" s="87" t="s">
        <v>179</v>
      </c>
      <c r="P3554" s="90">
        <v>45167.573981481481</v>
      </c>
      <c r="Q3554" s="87" t="s">
        <v>5227</v>
      </c>
      <c r="R3554" s="87">
        <v>0</v>
      </c>
      <c r="S3554" s="87">
        <v>0</v>
      </c>
      <c r="T3554" s="87">
        <v>1</v>
      </c>
      <c r="U3554" s="87">
        <v>0</v>
      </c>
      <c r="V3554" s="87">
        <v>20</v>
      </c>
      <c r="W3554" s="93" t="s">
        <v>7923</v>
      </c>
      <c r="X3554" s="87"/>
      <c r="Y3554" s="87"/>
      <c r="Z3554" s="87"/>
      <c r="AA3554" s="87"/>
      <c r="AB3554" s="87"/>
      <c r="AC3554" s="93" t="s">
        <v>11457</v>
      </c>
      <c r="AD3554" s="87" t="s">
        <v>11519</v>
      </c>
      <c r="AE3554" s="92" t="str">
        <f>HYPERLINK("https://twitter.com/izisfilipaldi/status/1696519705362899192")</f>
        <v>https://twitter.com/izisfilipaldi/status/1696519705362899192</v>
      </c>
      <c r="AF3554" s="90">
        <v>45167.573981481481</v>
      </c>
      <c r="AG3554" s="99">
        <v>45167</v>
      </c>
      <c r="AH3554" s="93" t="s">
        <v>14680</v>
      </c>
      <c r="AI3554" s="87"/>
      <c r="AJ3554" s="87"/>
      <c r="AK3554" s="87"/>
      <c r="AL3554" s="87"/>
      <c r="AM3554" s="87"/>
      <c r="AN3554" s="87"/>
      <c r="AO3554" s="87"/>
      <c r="AP3554" s="87"/>
      <c r="AQ3554" s="87"/>
      <c r="AR3554" s="87"/>
      <c r="AS3554" s="87"/>
      <c r="AT3554" s="87"/>
      <c r="AU3554" s="87"/>
      <c r="AV3554" s="92" t="str">
        <f>HYPERLINK("https://pbs.twimg.com/profile_images/1696519918953676800/2fvKZfXJ_normal.png")</f>
        <v>https://pbs.twimg.com/profile_images/1696519918953676800/2fvKZfXJ_normal.png</v>
      </c>
      <c r="AW3554" s="93" t="s">
        <v>21679</v>
      </c>
      <c r="AX3554" s="93" t="s">
        <v>21679</v>
      </c>
      <c r="AY3554" s="87"/>
      <c r="AZ3554" s="93" t="s">
        <v>22668</v>
      </c>
      <c r="BA3554" s="93" t="s">
        <v>22668</v>
      </c>
      <c r="BB3554" s="93" t="s">
        <v>22668</v>
      </c>
      <c r="BC3554" s="93" t="s">
        <v>21679</v>
      </c>
      <c r="BD3554" s="87">
        <v>89221442</v>
      </c>
      <c r="BE3554" s="87"/>
      <c r="BF3554" s="87"/>
      <c r="BG3554" s="87"/>
      <c r="BH3554" s="87"/>
      <c r="BI3554" s="87"/>
    </row>
    <row r="3555" spans="1:61" x14ac:dyDescent="0.25">
      <c r="A3555" s="63" t="s">
        <v>1355</v>
      </c>
      <c r="B3555" s="63" t="s">
        <v>1355</v>
      </c>
      <c r="C3555" s="64"/>
      <c r="D3555" s="65"/>
      <c r="E3555" s="66"/>
      <c r="F3555" s="67"/>
      <c r="G3555" s="64"/>
      <c r="H3555" s="68"/>
      <c r="I3555" s="69"/>
      <c r="J3555" s="69"/>
      <c r="K3555" s="32"/>
      <c r="L3555" s="76">
        <v>3555</v>
      </c>
      <c r="M3555" s="76"/>
      <c r="N3555" s="71"/>
      <c r="O3555" s="87" t="s">
        <v>179</v>
      </c>
      <c r="P3555" s="90">
        <v>45114.730347222219</v>
      </c>
      <c r="Q3555" s="87" t="s">
        <v>5228</v>
      </c>
      <c r="R3555" s="87">
        <v>0</v>
      </c>
      <c r="S3555" s="87">
        <v>2</v>
      </c>
      <c r="T3555" s="87">
        <v>0</v>
      </c>
      <c r="U3555" s="87">
        <v>0</v>
      </c>
      <c r="V3555" s="87">
        <v>45</v>
      </c>
      <c r="W3555" s="93" t="s">
        <v>7924</v>
      </c>
      <c r="X3555" s="87"/>
      <c r="Y3555" s="87"/>
      <c r="Z3555" s="87"/>
      <c r="AA3555" s="87" t="s">
        <v>11060</v>
      </c>
      <c r="AB3555" s="87" t="s">
        <v>11448</v>
      </c>
      <c r="AC3555" s="93" t="s">
        <v>11459</v>
      </c>
      <c r="AD3555" s="87" t="s">
        <v>11519</v>
      </c>
      <c r="AE3555" s="92" t="str">
        <f>HYPERLINK("https://twitter.com/eunaedson/status/1677369812740104211")</f>
        <v>https://twitter.com/eunaedson/status/1677369812740104211</v>
      </c>
      <c r="AF3555" s="90">
        <v>45114.730347222219</v>
      </c>
      <c r="AG3555" s="99">
        <v>45114</v>
      </c>
      <c r="AH3555" s="93" t="s">
        <v>14681</v>
      </c>
      <c r="AI3555" s="87" t="b">
        <v>0</v>
      </c>
      <c r="AJ3555" s="87"/>
      <c r="AK3555" s="87"/>
      <c r="AL3555" s="87"/>
      <c r="AM3555" s="87"/>
      <c r="AN3555" s="87"/>
      <c r="AO3555" s="87"/>
      <c r="AP3555" s="87"/>
      <c r="AQ3555" s="87" t="s">
        <v>17872</v>
      </c>
      <c r="AR3555" s="87"/>
      <c r="AS3555" s="87"/>
      <c r="AT3555" s="87"/>
      <c r="AU3555" s="87"/>
      <c r="AV3555" s="92" t="str">
        <f>HYPERLINK("https://pbs.twimg.com/media/F0c29JIWYAoJN5H.jpg")</f>
        <v>https://pbs.twimg.com/media/F0c29JIWYAoJN5H.jpg</v>
      </c>
      <c r="AW3555" s="93" t="s">
        <v>21680</v>
      </c>
      <c r="AX3555" s="93" t="s">
        <v>21680</v>
      </c>
      <c r="AY3555" s="87"/>
      <c r="AZ3555" s="93" t="s">
        <v>22668</v>
      </c>
      <c r="BA3555" s="93" t="s">
        <v>22668</v>
      </c>
      <c r="BB3555" s="93" t="s">
        <v>22668</v>
      </c>
      <c r="BC3555" s="93" t="s">
        <v>21680</v>
      </c>
      <c r="BD3555" s="93" t="s">
        <v>23450</v>
      </c>
      <c r="BE3555" s="87"/>
      <c r="BF3555" s="87"/>
      <c r="BG3555" s="87"/>
      <c r="BH3555" s="87"/>
      <c r="BI3555" s="87"/>
    </row>
    <row r="3556" spans="1:61" x14ac:dyDescent="0.25">
      <c r="A3556" s="63" t="s">
        <v>1356</v>
      </c>
      <c r="B3556" s="63" t="s">
        <v>1356</v>
      </c>
      <c r="C3556" s="64"/>
      <c r="D3556" s="65"/>
      <c r="E3556" s="66"/>
      <c r="F3556" s="67"/>
      <c r="G3556" s="64"/>
      <c r="H3556" s="68"/>
      <c r="I3556" s="69"/>
      <c r="J3556" s="69"/>
      <c r="K3556" s="32"/>
      <c r="L3556" s="76">
        <v>3556</v>
      </c>
      <c r="M3556" s="76"/>
      <c r="N3556" s="71"/>
      <c r="O3556" s="87" t="s">
        <v>179</v>
      </c>
      <c r="P3556" s="90">
        <v>45140.868136574078</v>
      </c>
      <c r="Q3556" s="87" t="s">
        <v>5229</v>
      </c>
      <c r="R3556" s="87">
        <v>0</v>
      </c>
      <c r="S3556" s="87">
        <v>0</v>
      </c>
      <c r="T3556" s="87">
        <v>0</v>
      </c>
      <c r="U3556" s="87">
        <v>0</v>
      </c>
      <c r="V3556" s="87"/>
      <c r="W3556" s="93" t="s">
        <v>6555</v>
      </c>
      <c r="X3556" s="92" t="str">
        <f>HYPERLINK("https://radardigitalbrasilia.com.br/politica-nacional/comissao-aprova-projeto-que-incentiva-empreendedorismo-no-brasil/")</f>
        <v>https://radardigitalbrasilia.com.br/politica-nacional/comissao-aprova-projeto-que-incentiva-empreendedorismo-no-brasil/</v>
      </c>
      <c r="Y3556" s="87" t="s">
        <v>8373</v>
      </c>
      <c r="Z3556" s="87"/>
      <c r="AA3556" s="87"/>
      <c r="AB3556" s="87"/>
      <c r="AC3556" s="93" t="s">
        <v>11457</v>
      </c>
      <c r="AD3556" s="87" t="s">
        <v>11519</v>
      </c>
      <c r="AE3556" s="92" t="str">
        <f>HYPERLINK("https://twitter.com/brasilia_radar/status/1686841830682333185")</f>
        <v>https://twitter.com/brasilia_radar/status/1686841830682333185</v>
      </c>
      <c r="AF3556" s="90">
        <v>45140.868136574078</v>
      </c>
      <c r="AG3556" s="99">
        <v>45140</v>
      </c>
      <c r="AH3556" s="93" t="s">
        <v>14682</v>
      </c>
      <c r="AI3556" s="87" t="b">
        <v>0</v>
      </c>
      <c r="AJ3556" s="87"/>
      <c r="AK3556" s="87"/>
      <c r="AL3556" s="87"/>
      <c r="AM3556" s="87"/>
      <c r="AN3556" s="87"/>
      <c r="AO3556" s="87"/>
      <c r="AP3556" s="87"/>
      <c r="AQ3556" s="87"/>
      <c r="AR3556" s="87"/>
      <c r="AS3556" s="87"/>
      <c r="AT3556" s="87"/>
      <c r="AU3556" s="87"/>
      <c r="AV3556" s="92" t="str">
        <f>HYPERLINK("https://pbs.twimg.com/profile_images/1557452525816651776/yJqFQjZQ_normal.jpg")</f>
        <v>https://pbs.twimg.com/profile_images/1557452525816651776/yJqFQjZQ_normal.jpg</v>
      </c>
      <c r="AW3556" s="93" t="s">
        <v>21681</v>
      </c>
      <c r="AX3556" s="93" t="s">
        <v>21681</v>
      </c>
      <c r="AY3556" s="87"/>
      <c r="AZ3556" s="93" t="s">
        <v>22668</v>
      </c>
      <c r="BA3556" s="93" t="s">
        <v>22668</v>
      </c>
      <c r="BB3556" s="93" t="s">
        <v>22668</v>
      </c>
      <c r="BC3556" s="93" t="s">
        <v>21681</v>
      </c>
      <c r="BD3556" s="93" t="s">
        <v>23451</v>
      </c>
      <c r="BE3556" s="87"/>
      <c r="BF3556" s="87"/>
      <c r="BG3556" s="87"/>
      <c r="BH3556" s="87"/>
      <c r="BI3556" s="87"/>
    </row>
    <row r="3557" spans="1:61" x14ac:dyDescent="0.25">
      <c r="A3557" s="63" t="s">
        <v>1357</v>
      </c>
      <c r="B3557" s="63" t="s">
        <v>1357</v>
      </c>
      <c r="C3557" s="64"/>
      <c r="D3557" s="65"/>
      <c r="E3557" s="66"/>
      <c r="F3557" s="67"/>
      <c r="G3557" s="64"/>
      <c r="H3557" s="68"/>
      <c r="I3557" s="69"/>
      <c r="J3557" s="69"/>
      <c r="K3557" s="32"/>
      <c r="L3557" s="76">
        <v>3557</v>
      </c>
      <c r="M3557" s="76"/>
      <c r="N3557" s="71"/>
      <c r="O3557" s="87" t="s">
        <v>179</v>
      </c>
      <c r="P3557" s="90">
        <v>45155.72</v>
      </c>
      <c r="Q3557" s="87" t="s">
        <v>5230</v>
      </c>
      <c r="R3557" s="87">
        <v>1</v>
      </c>
      <c r="S3557" s="87">
        <v>2</v>
      </c>
      <c r="T3557" s="87">
        <v>0</v>
      </c>
      <c r="U3557" s="87">
        <v>0</v>
      </c>
      <c r="V3557" s="87">
        <v>29</v>
      </c>
      <c r="W3557" s="93" t="s">
        <v>7925</v>
      </c>
      <c r="X3557" s="87"/>
      <c r="Y3557" s="87"/>
      <c r="Z3557" s="87"/>
      <c r="AA3557" s="87" t="s">
        <v>11061</v>
      </c>
      <c r="AB3557" s="87" t="s">
        <v>11448</v>
      </c>
      <c r="AC3557" s="93" t="s">
        <v>11459</v>
      </c>
      <c r="AD3557" s="87" t="s">
        <v>11519</v>
      </c>
      <c r="AE3557" s="92" t="str">
        <f>HYPERLINK("https://twitter.com/contatosbera/status/1692223968768373251")</f>
        <v>https://twitter.com/contatosbera/status/1692223968768373251</v>
      </c>
      <c r="AF3557" s="90">
        <v>45155.72</v>
      </c>
      <c r="AG3557" s="99">
        <v>45155</v>
      </c>
      <c r="AH3557" s="93" t="s">
        <v>14683</v>
      </c>
      <c r="AI3557" s="87" t="b">
        <v>0</v>
      </c>
      <c r="AJ3557" s="87"/>
      <c r="AK3557" s="87"/>
      <c r="AL3557" s="87"/>
      <c r="AM3557" s="87"/>
      <c r="AN3557" s="87"/>
      <c r="AO3557" s="87"/>
      <c r="AP3557" s="87"/>
      <c r="AQ3557" s="87" t="s">
        <v>17873</v>
      </c>
      <c r="AR3557" s="87"/>
      <c r="AS3557" s="87"/>
      <c r="AT3557" s="87"/>
      <c r="AU3557" s="87"/>
      <c r="AV3557" s="92" t="str">
        <f>HYPERLINK("https://pbs.twimg.com/media/F3v8uxfXwAAvP2K.jpg")</f>
        <v>https://pbs.twimg.com/media/F3v8uxfXwAAvP2K.jpg</v>
      </c>
      <c r="AW3557" s="93" t="s">
        <v>21682</v>
      </c>
      <c r="AX3557" s="93" t="s">
        <v>21682</v>
      </c>
      <c r="AY3557" s="87"/>
      <c r="AZ3557" s="93" t="s">
        <v>22668</v>
      </c>
      <c r="BA3557" s="93" t="s">
        <v>22668</v>
      </c>
      <c r="BB3557" s="93" t="s">
        <v>22668</v>
      </c>
      <c r="BC3557" s="93" t="s">
        <v>21682</v>
      </c>
      <c r="BD3557" s="87">
        <v>2551402484</v>
      </c>
      <c r="BE3557" s="87"/>
      <c r="BF3557" s="87"/>
      <c r="BG3557" s="87"/>
      <c r="BH3557" s="87"/>
      <c r="BI3557" s="87"/>
    </row>
    <row r="3558" spans="1:61" x14ac:dyDescent="0.25">
      <c r="A3558" s="63" t="s">
        <v>1358</v>
      </c>
      <c r="B3558" s="63" t="s">
        <v>1358</v>
      </c>
      <c r="C3558" s="64"/>
      <c r="D3558" s="65"/>
      <c r="E3558" s="66"/>
      <c r="F3558" s="67"/>
      <c r="G3558" s="64"/>
      <c r="H3558" s="68"/>
      <c r="I3558" s="69"/>
      <c r="J3558" s="69"/>
      <c r="K3558" s="32"/>
      <c r="L3558" s="76">
        <v>3558</v>
      </c>
      <c r="M3558" s="76"/>
      <c r="N3558" s="71"/>
      <c r="O3558" s="87" t="s">
        <v>179</v>
      </c>
      <c r="P3558" s="90">
        <v>45120.564004629632</v>
      </c>
      <c r="Q3558" s="87" t="s">
        <v>5231</v>
      </c>
      <c r="R3558" s="87">
        <v>0</v>
      </c>
      <c r="S3558" s="87">
        <v>1</v>
      </c>
      <c r="T3558" s="87">
        <v>0</v>
      </c>
      <c r="U3558" s="87">
        <v>0</v>
      </c>
      <c r="V3558" s="87">
        <v>34</v>
      </c>
      <c r="W3558" s="93" t="s">
        <v>7926</v>
      </c>
      <c r="X3558" s="87"/>
      <c r="Y3558" s="87"/>
      <c r="Z3558" s="87"/>
      <c r="AA3558" s="87" t="s">
        <v>11062</v>
      </c>
      <c r="AB3558" s="87" t="s">
        <v>11448</v>
      </c>
      <c r="AC3558" s="93" t="s">
        <v>11459</v>
      </c>
      <c r="AD3558" s="87" t="s">
        <v>11519</v>
      </c>
      <c r="AE3558" s="92" t="str">
        <f>HYPERLINK("https://twitter.com/designergaby06/status/1679483859325317121")</f>
        <v>https://twitter.com/designergaby06/status/1679483859325317121</v>
      </c>
      <c r="AF3558" s="90">
        <v>45120.564004629632</v>
      </c>
      <c r="AG3558" s="99">
        <v>45120</v>
      </c>
      <c r="AH3558" s="93" t="s">
        <v>14684</v>
      </c>
      <c r="AI3558" s="87" t="b">
        <v>0</v>
      </c>
      <c r="AJ3558" s="87"/>
      <c r="AK3558" s="87"/>
      <c r="AL3558" s="87"/>
      <c r="AM3558" s="87"/>
      <c r="AN3558" s="87"/>
      <c r="AO3558" s="87"/>
      <c r="AP3558" s="87"/>
      <c r="AQ3558" s="87" t="s">
        <v>17874</v>
      </c>
      <c r="AR3558" s="87"/>
      <c r="AS3558" s="87"/>
      <c r="AT3558" s="87"/>
      <c r="AU3558" s="87"/>
      <c r="AV3558" s="92" t="str">
        <f>HYPERLINK("https://pbs.twimg.com/media/F065q1TXgAI_Zlo.jpg")</f>
        <v>https://pbs.twimg.com/media/F065q1TXgAI_Zlo.jpg</v>
      </c>
      <c r="AW3558" s="93" t="s">
        <v>21683</v>
      </c>
      <c r="AX3558" s="93" t="s">
        <v>21683</v>
      </c>
      <c r="AY3558" s="87"/>
      <c r="AZ3558" s="93" t="s">
        <v>22668</v>
      </c>
      <c r="BA3558" s="93" t="s">
        <v>22668</v>
      </c>
      <c r="BB3558" s="93" t="s">
        <v>22668</v>
      </c>
      <c r="BC3558" s="93" t="s">
        <v>21683</v>
      </c>
      <c r="BD3558" s="93" t="s">
        <v>23452</v>
      </c>
      <c r="BE3558" s="87"/>
      <c r="BF3558" s="87"/>
      <c r="BG3558" s="87"/>
      <c r="BH3558" s="87"/>
      <c r="BI3558" s="87"/>
    </row>
    <row r="3559" spans="1:61" x14ac:dyDescent="0.25">
      <c r="A3559" s="63" t="s">
        <v>1359</v>
      </c>
      <c r="B3559" s="63" t="s">
        <v>1359</v>
      </c>
      <c r="C3559" s="64"/>
      <c r="D3559" s="65"/>
      <c r="E3559" s="66"/>
      <c r="F3559" s="67"/>
      <c r="G3559" s="64"/>
      <c r="H3559" s="68"/>
      <c r="I3559" s="69"/>
      <c r="J3559" s="69"/>
      <c r="K3559" s="32"/>
      <c r="L3559" s="76">
        <v>3559</v>
      </c>
      <c r="M3559" s="76"/>
      <c r="N3559" s="71"/>
      <c r="O3559" s="87" t="s">
        <v>179</v>
      </c>
      <c r="P3559" s="90">
        <v>45125.208645833336</v>
      </c>
      <c r="Q3559" s="87" t="s">
        <v>5232</v>
      </c>
      <c r="R3559" s="87">
        <v>0</v>
      </c>
      <c r="S3559" s="87">
        <v>0</v>
      </c>
      <c r="T3559" s="87">
        <v>0</v>
      </c>
      <c r="U3559" s="87">
        <v>0</v>
      </c>
      <c r="V3559" s="87">
        <v>2</v>
      </c>
      <c r="W3559" s="93" t="s">
        <v>7927</v>
      </c>
      <c r="X3559" s="92" t="str">
        <f>HYPERLINK("https://aleatoriando.com.br/o-poder-do-empreendedorismo-na-economia-brasileira/")</f>
        <v>https://aleatoriando.com.br/o-poder-do-empreendedorismo-na-economia-brasileira/</v>
      </c>
      <c r="Y3559" s="87" t="s">
        <v>8373</v>
      </c>
      <c r="Z3559" s="87"/>
      <c r="AA3559" s="87"/>
      <c r="AB3559" s="87"/>
      <c r="AC3559" s="93" t="s">
        <v>11512</v>
      </c>
      <c r="AD3559" s="87" t="s">
        <v>11519</v>
      </c>
      <c r="AE3559" s="92" t="str">
        <f>HYPERLINK("https://twitter.com/aleatoriando_o/status/1681167021193527296")</f>
        <v>https://twitter.com/aleatoriando_o/status/1681167021193527296</v>
      </c>
      <c r="AF3559" s="90">
        <v>45125.208645833336</v>
      </c>
      <c r="AG3559" s="99">
        <v>45125</v>
      </c>
      <c r="AH3559" s="93" t="s">
        <v>14685</v>
      </c>
      <c r="AI3559" s="87" t="b">
        <v>0</v>
      </c>
      <c r="AJ3559" s="87"/>
      <c r="AK3559" s="87"/>
      <c r="AL3559" s="87"/>
      <c r="AM3559" s="87"/>
      <c r="AN3559" s="87"/>
      <c r="AO3559" s="87"/>
      <c r="AP3559" s="87"/>
      <c r="AQ3559" s="87"/>
      <c r="AR3559" s="87"/>
      <c r="AS3559" s="87"/>
      <c r="AT3559" s="87"/>
      <c r="AU3559" s="87"/>
      <c r="AV3559" s="92" t="str">
        <f>HYPERLINK("https://pbs.twimg.com/profile_images/1661790216250687500/purhJhH7_normal.jpg")</f>
        <v>https://pbs.twimg.com/profile_images/1661790216250687500/purhJhH7_normal.jpg</v>
      </c>
      <c r="AW3559" s="93" t="s">
        <v>21684</v>
      </c>
      <c r="AX3559" s="93" t="s">
        <v>21684</v>
      </c>
      <c r="AY3559" s="87"/>
      <c r="AZ3559" s="93" t="s">
        <v>22668</v>
      </c>
      <c r="BA3559" s="93" t="s">
        <v>22668</v>
      </c>
      <c r="BB3559" s="93" t="s">
        <v>22668</v>
      </c>
      <c r="BC3559" s="93" t="s">
        <v>21684</v>
      </c>
      <c r="BD3559" s="93" t="s">
        <v>23453</v>
      </c>
      <c r="BE3559" s="87"/>
      <c r="BF3559" s="87"/>
      <c r="BG3559" s="87"/>
      <c r="BH3559" s="87"/>
      <c r="BI3559" s="87"/>
    </row>
    <row r="3560" spans="1:61" x14ac:dyDescent="0.25">
      <c r="A3560" s="63" t="s">
        <v>1359</v>
      </c>
      <c r="B3560" s="63" t="s">
        <v>1359</v>
      </c>
      <c r="C3560" s="64"/>
      <c r="D3560" s="65"/>
      <c r="E3560" s="66"/>
      <c r="F3560" s="67"/>
      <c r="G3560" s="64"/>
      <c r="H3560" s="68"/>
      <c r="I3560" s="69"/>
      <c r="J3560" s="69"/>
      <c r="K3560" s="32"/>
      <c r="L3560" s="76">
        <v>3560</v>
      </c>
      <c r="M3560" s="76"/>
      <c r="N3560" s="71"/>
      <c r="O3560" s="87" t="s">
        <v>179</v>
      </c>
      <c r="P3560" s="90">
        <v>45119.208634259259</v>
      </c>
      <c r="Q3560" s="87" t="s">
        <v>5233</v>
      </c>
      <c r="R3560" s="87">
        <v>0</v>
      </c>
      <c r="S3560" s="87">
        <v>0</v>
      </c>
      <c r="T3560" s="87">
        <v>0</v>
      </c>
      <c r="U3560" s="87">
        <v>0</v>
      </c>
      <c r="V3560" s="87">
        <v>1</v>
      </c>
      <c r="W3560" s="93" t="s">
        <v>7928</v>
      </c>
      <c r="X3560" s="92" t="str">
        <f>HYPERLINK("https://aleatoriando.com.br/como-criar-um-plano-de-negocios-eficaz/")</f>
        <v>https://aleatoriando.com.br/como-criar-um-plano-de-negocios-eficaz/</v>
      </c>
      <c r="Y3560" s="87" t="s">
        <v>8373</v>
      </c>
      <c r="Z3560" s="87"/>
      <c r="AA3560" s="87"/>
      <c r="AB3560" s="87"/>
      <c r="AC3560" s="93" t="s">
        <v>11512</v>
      </c>
      <c r="AD3560" s="87" t="s">
        <v>11519</v>
      </c>
      <c r="AE3560" s="92" t="str">
        <f>HYPERLINK("https://twitter.com/aleatoriando_o/status/1678992693173657601")</f>
        <v>https://twitter.com/aleatoriando_o/status/1678992693173657601</v>
      </c>
      <c r="AF3560" s="90">
        <v>45119.208634259259</v>
      </c>
      <c r="AG3560" s="99">
        <v>45119</v>
      </c>
      <c r="AH3560" s="93" t="s">
        <v>14686</v>
      </c>
      <c r="AI3560" s="87" t="b">
        <v>0</v>
      </c>
      <c r="AJ3560" s="87"/>
      <c r="AK3560" s="87"/>
      <c r="AL3560" s="87"/>
      <c r="AM3560" s="87"/>
      <c r="AN3560" s="87"/>
      <c r="AO3560" s="87"/>
      <c r="AP3560" s="87"/>
      <c r="AQ3560" s="87"/>
      <c r="AR3560" s="87"/>
      <c r="AS3560" s="87"/>
      <c r="AT3560" s="87"/>
      <c r="AU3560" s="87"/>
      <c r="AV3560" s="92" t="str">
        <f>HYPERLINK("https://pbs.twimg.com/profile_images/1661790216250687500/purhJhH7_normal.jpg")</f>
        <v>https://pbs.twimg.com/profile_images/1661790216250687500/purhJhH7_normal.jpg</v>
      </c>
      <c r="AW3560" s="93" t="s">
        <v>21685</v>
      </c>
      <c r="AX3560" s="93" t="s">
        <v>21685</v>
      </c>
      <c r="AY3560" s="87"/>
      <c r="AZ3560" s="93" t="s">
        <v>22668</v>
      </c>
      <c r="BA3560" s="93" t="s">
        <v>22668</v>
      </c>
      <c r="BB3560" s="93" t="s">
        <v>22668</v>
      </c>
      <c r="BC3560" s="93" t="s">
        <v>21685</v>
      </c>
      <c r="BD3560" s="93" t="s">
        <v>23453</v>
      </c>
      <c r="BE3560" s="87"/>
      <c r="BF3560" s="87"/>
      <c r="BG3560" s="87"/>
      <c r="BH3560" s="87"/>
      <c r="BI3560" s="87"/>
    </row>
    <row r="3561" spans="1:61" x14ac:dyDescent="0.25">
      <c r="A3561" s="63" t="s">
        <v>1359</v>
      </c>
      <c r="B3561" s="63" t="s">
        <v>1359</v>
      </c>
      <c r="C3561" s="64"/>
      <c r="D3561" s="65"/>
      <c r="E3561" s="66"/>
      <c r="F3561" s="67"/>
      <c r="G3561" s="64"/>
      <c r="H3561" s="68"/>
      <c r="I3561" s="69"/>
      <c r="J3561" s="69"/>
      <c r="K3561" s="32"/>
      <c r="L3561" s="76">
        <v>3561</v>
      </c>
      <c r="M3561" s="76"/>
      <c r="N3561" s="71"/>
      <c r="O3561" s="87" t="s">
        <v>179</v>
      </c>
      <c r="P3561" s="90">
        <v>45112.208611111113</v>
      </c>
      <c r="Q3561" s="87" t="s">
        <v>5234</v>
      </c>
      <c r="R3561" s="87">
        <v>0</v>
      </c>
      <c r="S3561" s="87">
        <v>0</v>
      </c>
      <c r="T3561" s="87">
        <v>0</v>
      </c>
      <c r="U3561" s="87">
        <v>0</v>
      </c>
      <c r="V3561" s="87">
        <v>4</v>
      </c>
      <c r="W3561" s="93" t="s">
        <v>7929</v>
      </c>
      <c r="X3561" s="92" t="str">
        <f>HYPERLINK("https://aleatoriando.com.br/plano-de-negocios-a-chave-para-o-sucesso-empresarial/")</f>
        <v>https://aleatoriando.com.br/plano-de-negocios-a-chave-para-o-sucesso-empresarial/</v>
      </c>
      <c r="Y3561" s="87" t="s">
        <v>8373</v>
      </c>
      <c r="Z3561" s="87"/>
      <c r="AA3561" s="87"/>
      <c r="AB3561" s="87"/>
      <c r="AC3561" s="93" t="s">
        <v>11512</v>
      </c>
      <c r="AD3561" s="87" t="s">
        <v>11519</v>
      </c>
      <c r="AE3561" s="92" t="str">
        <f>HYPERLINK("https://twitter.com/aleatoriando_o/status/1676455968723329030")</f>
        <v>https://twitter.com/aleatoriando_o/status/1676455968723329030</v>
      </c>
      <c r="AF3561" s="90">
        <v>45112.208611111113</v>
      </c>
      <c r="AG3561" s="99">
        <v>45112</v>
      </c>
      <c r="AH3561" s="93" t="s">
        <v>14687</v>
      </c>
      <c r="AI3561" s="87" t="b">
        <v>0</v>
      </c>
      <c r="AJ3561" s="87"/>
      <c r="AK3561" s="87"/>
      <c r="AL3561" s="87"/>
      <c r="AM3561" s="87"/>
      <c r="AN3561" s="87"/>
      <c r="AO3561" s="87"/>
      <c r="AP3561" s="87"/>
      <c r="AQ3561" s="87"/>
      <c r="AR3561" s="87"/>
      <c r="AS3561" s="87"/>
      <c r="AT3561" s="87"/>
      <c r="AU3561" s="87"/>
      <c r="AV3561" s="92" t="str">
        <f>HYPERLINK("https://pbs.twimg.com/profile_images/1661790216250687500/purhJhH7_normal.jpg")</f>
        <v>https://pbs.twimg.com/profile_images/1661790216250687500/purhJhH7_normal.jpg</v>
      </c>
      <c r="AW3561" s="93" t="s">
        <v>21686</v>
      </c>
      <c r="AX3561" s="93" t="s">
        <v>21686</v>
      </c>
      <c r="AY3561" s="87"/>
      <c r="AZ3561" s="93" t="s">
        <v>22668</v>
      </c>
      <c r="BA3561" s="93" t="s">
        <v>22668</v>
      </c>
      <c r="BB3561" s="93" t="s">
        <v>22668</v>
      </c>
      <c r="BC3561" s="93" t="s">
        <v>21686</v>
      </c>
      <c r="BD3561" s="93" t="s">
        <v>23453</v>
      </c>
      <c r="BE3561" s="87"/>
      <c r="BF3561" s="87"/>
      <c r="BG3561" s="87"/>
      <c r="BH3561" s="87"/>
      <c r="BI3561" s="87"/>
    </row>
    <row r="3562" spans="1:61" x14ac:dyDescent="0.25">
      <c r="A3562" s="63" t="s">
        <v>1359</v>
      </c>
      <c r="B3562" s="63" t="s">
        <v>1359</v>
      </c>
      <c r="C3562" s="64"/>
      <c r="D3562" s="65"/>
      <c r="E3562" s="66"/>
      <c r="F3562" s="67"/>
      <c r="G3562" s="64"/>
      <c r="H3562" s="68"/>
      <c r="I3562" s="69"/>
      <c r="J3562" s="69"/>
      <c r="K3562" s="32"/>
      <c r="L3562" s="76">
        <v>3562</v>
      </c>
      <c r="M3562" s="76"/>
      <c r="N3562" s="71"/>
      <c r="O3562" s="87" t="s">
        <v>179</v>
      </c>
      <c r="P3562" s="90">
        <v>45136.217905092592</v>
      </c>
      <c r="Q3562" s="87" t="s">
        <v>5235</v>
      </c>
      <c r="R3562" s="87">
        <v>0</v>
      </c>
      <c r="S3562" s="87">
        <v>0</v>
      </c>
      <c r="T3562" s="87">
        <v>0</v>
      </c>
      <c r="U3562" s="87">
        <v>0</v>
      </c>
      <c r="V3562" s="87">
        <v>2</v>
      </c>
      <c r="W3562" s="93" t="s">
        <v>7930</v>
      </c>
      <c r="X3562" s="92" t="str">
        <f>HYPERLINK("https://aleatoriando.com.br/os-segredos-dos-empreendedores-de-sucesso/")</f>
        <v>https://aleatoriando.com.br/os-segredos-dos-empreendedores-de-sucesso/</v>
      </c>
      <c r="Y3562" s="87" t="s">
        <v>8373</v>
      </c>
      <c r="Z3562" s="87"/>
      <c r="AA3562" s="87"/>
      <c r="AB3562" s="87"/>
      <c r="AC3562" s="93" t="s">
        <v>11512</v>
      </c>
      <c r="AD3562" s="87" t="s">
        <v>11519</v>
      </c>
      <c r="AE3562" s="92" t="str">
        <f>HYPERLINK("https://twitter.com/aleatoriando_o/status/1685156645318397952")</f>
        <v>https://twitter.com/aleatoriando_o/status/1685156645318397952</v>
      </c>
      <c r="AF3562" s="90">
        <v>45136.217905092592</v>
      </c>
      <c r="AG3562" s="99">
        <v>45136</v>
      </c>
      <c r="AH3562" s="93" t="s">
        <v>14688</v>
      </c>
      <c r="AI3562" s="87" t="b">
        <v>0</v>
      </c>
      <c r="AJ3562" s="87"/>
      <c r="AK3562" s="87"/>
      <c r="AL3562" s="87"/>
      <c r="AM3562" s="87"/>
      <c r="AN3562" s="87"/>
      <c r="AO3562" s="87"/>
      <c r="AP3562" s="87"/>
      <c r="AQ3562" s="87"/>
      <c r="AR3562" s="87"/>
      <c r="AS3562" s="87"/>
      <c r="AT3562" s="87"/>
      <c r="AU3562" s="87"/>
      <c r="AV3562" s="92" t="str">
        <f>HYPERLINK("https://pbs.twimg.com/profile_images/1661790216250687500/purhJhH7_normal.jpg")</f>
        <v>https://pbs.twimg.com/profile_images/1661790216250687500/purhJhH7_normal.jpg</v>
      </c>
      <c r="AW3562" s="93" t="s">
        <v>21687</v>
      </c>
      <c r="AX3562" s="93" t="s">
        <v>21687</v>
      </c>
      <c r="AY3562" s="87"/>
      <c r="AZ3562" s="93" t="s">
        <v>22668</v>
      </c>
      <c r="BA3562" s="93" t="s">
        <v>22668</v>
      </c>
      <c r="BB3562" s="93" t="s">
        <v>22668</v>
      </c>
      <c r="BC3562" s="93" t="s">
        <v>21687</v>
      </c>
      <c r="BD3562" s="93" t="s">
        <v>23453</v>
      </c>
      <c r="BE3562" s="87"/>
      <c r="BF3562" s="87"/>
      <c r="BG3562" s="87"/>
      <c r="BH3562" s="87"/>
      <c r="BI3562" s="87"/>
    </row>
    <row r="3563" spans="1:61" x14ac:dyDescent="0.25">
      <c r="A3563" s="63" t="s">
        <v>1359</v>
      </c>
      <c r="B3563" s="63" t="s">
        <v>1359</v>
      </c>
      <c r="C3563" s="64"/>
      <c r="D3563" s="65"/>
      <c r="E3563" s="66"/>
      <c r="F3563" s="67"/>
      <c r="G3563" s="64"/>
      <c r="H3563" s="68"/>
      <c r="I3563" s="69"/>
      <c r="J3563" s="69"/>
      <c r="K3563" s="32"/>
      <c r="L3563" s="76">
        <v>3563</v>
      </c>
      <c r="M3563" s="76"/>
      <c r="N3563" s="71"/>
      <c r="O3563" s="87" t="s">
        <v>179</v>
      </c>
      <c r="P3563" s="90">
        <v>45120.208784722221</v>
      </c>
      <c r="Q3563" s="87" t="s">
        <v>5236</v>
      </c>
      <c r="R3563" s="87">
        <v>0</v>
      </c>
      <c r="S3563" s="87">
        <v>0</v>
      </c>
      <c r="T3563" s="87">
        <v>0</v>
      </c>
      <c r="U3563" s="87">
        <v>0</v>
      </c>
      <c r="V3563" s="87">
        <v>1</v>
      </c>
      <c r="W3563" s="93" t="s">
        <v>7931</v>
      </c>
      <c r="X3563" s="92" t="str">
        <f>HYPERLINK("https://aleatoriando.com.br/as-melhores-opcoes-de-investimentos-para-o-seu-negocio/")</f>
        <v>https://aleatoriando.com.br/as-melhores-opcoes-de-investimentos-para-o-seu-negocio/</v>
      </c>
      <c r="Y3563" s="87" t="s">
        <v>8373</v>
      </c>
      <c r="Z3563" s="87"/>
      <c r="AA3563" s="87"/>
      <c r="AB3563" s="87"/>
      <c r="AC3563" s="93" t="s">
        <v>11512</v>
      </c>
      <c r="AD3563" s="87" t="s">
        <v>11519</v>
      </c>
      <c r="AE3563" s="92" t="str">
        <f>HYPERLINK("https://twitter.com/aleatoriando_o/status/1679355133228924929")</f>
        <v>https://twitter.com/aleatoriando_o/status/1679355133228924929</v>
      </c>
      <c r="AF3563" s="90">
        <v>45120.208784722221</v>
      </c>
      <c r="AG3563" s="99">
        <v>45120</v>
      </c>
      <c r="AH3563" s="93" t="s">
        <v>14689</v>
      </c>
      <c r="AI3563" s="87" t="b">
        <v>0</v>
      </c>
      <c r="AJ3563" s="87"/>
      <c r="AK3563" s="87"/>
      <c r="AL3563" s="87"/>
      <c r="AM3563" s="87"/>
      <c r="AN3563" s="87"/>
      <c r="AO3563" s="87"/>
      <c r="AP3563" s="87"/>
      <c r="AQ3563" s="87"/>
      <c r="AR3563" s="87"/>
      <c r="AS3563" s="87"/>
      <c r="AT3563" s="87"/>
      <c r="AU3563" s="87"/>
      <c r="AV3563" s="92" t="str">
        <f>HYPERLINK("https://pbs.twimg.com/profile_images/1661790216250687500/purhJhH7_normal.jpg")</f>
        <v>https://pbs.twimg.com/profile_images/1661790216250687500/purhJhH7_normal.jpg</v>
      </c>
      <c r="AW3563" s="93" t="s">
        <v>21688</v>
      </c>
      <c r="AX3563" s="93" t="s">
        <v>21688</v>
      </c>
      <c r="AY3563" s="87"/>
      <c r="AZ3563" s="93" t="s">
        <v>22668</v>
      </c>
      <c r="BA3563" s="93" t="s">
        <v>22668</v>
      </c>
      <c r="BB3563" s="93" t="s">
        <v>22668</v>
      </c>
      <c r="BC3563" s="93" t="s">
        <v>21688</v>
      </c>
      <c r="BD3563" s="93" t="s">
        <v>23453</v>
      </c>
      <c r="BE3563" s="87"/>
      <c r="BF3563" s="87"/>
      <c r="BG3563" s="87"/>
      <c r="BH3563" s="87"/>
      <c r="BI3563" s="87"/>
    </row>
    <row r="3564" spans="1:61" x14ac:dyDescent="0.25">
      <c r="A3564" s="63" t="s">
        <v>1360</v>
      </c>
      <c r="B3564" s="63" t="s">
        <v>1360</v>
      </c>
      <c r="C3564" s="64"/>
      <c r="D3564" s="65"/>
      <c r="E3564" s="66"/>
      <c r="F3564" s="67"/>
      <c r="G3564" s="64"/>
      <c r="H3564" s="68"/>
      <c r="I3564" s="69"/>
      <c r="J3564" s="69"/>
      <c r="K3564" s="32"/>
      <c r="L3564" s="76">
        <v>3564</v>
      </c>
      <c r="M3564" s="76"/>
      <c r="N3564" s="71"/>
      <c r="O3564" s="87" t="s">
        <v>179</v>
      </c>
      <c r="P3564" s="90">
        <v>45162.851712962962</v>
      </c>
      <c r="Q3564" s="87" t="s">
        <v>5237</v>
      </c>
      <c r="R3564" s="87">
        <v>0</v>
      </c>
      <c r="S3564" s="87">
        <v>0</v>
      </c>
      <c r="T3564" s="87">
        <v>0</v>
      </c>
      <c r="U3564" s="87">
        <v>0</v>
      </c>
      <c r="V3564" s="87">
        <v>1</v>
      </c>
      <c r="W3564" s="93" t="s">
        <v>7932</v>
      </c>
      <c r="X3564" s="87"/>
      <c r="Y3564" s="87"/>
      <c r="Z3564" s="87"/>
      <c r="AA3564" s="87" t="s">
        <v>11063</v>
      </c>
      <c r="AB3564" s="87" t="s">
        <v>11448</v>
      </c>
      <c r="AC3564" s="93" t="s">
        <v>11458</v>
      </c>
      <c r="AD3564" s="87" t="s">
        <v>11519</v>
      </c>
      <c r="AE3564" s="92" t="str">
        <f>HYPERLINK("https://twitter.com/mindlabcast/status/1694808415120338949")</f>
        <v>https://twitter.com/mindlabcast/status/1694808415120338949</v>
      </c>
      <c r="AF3564" s="90">
        <v>45162.851712962962</v>
      </c>
      <c r="AG3564" s="99">
        <v>45162</v>
      </c>
      <c r="AH3564" s="93" t="s">
        <v>14690</v>
      </c>
      <c r="AI3564" s="87" t="b">
        <v>0</v>
      </c>
      <c r="AJ3564" s="87"/>
      <c r="AK3564" s="87"/>
      <c r="AL3564" s="87"/>
      <c r="AM3564" s="87"/>
      <c r="AN3564" s="87"/>
      <c r="AO3564" s="87"/>
      <c r="AP3564" s="87"/>
      <c r="AQ3564" s="87" t="s">
        <v>17875</v>
      </c>
      <c r="AR3564" s="87"/>
      <c r="AS3564" s="87"/>
      <c r="AT3564" s="87"/>
      <c r="AU3564" s="87"/>
      <c r="AV3564" s="92" t="str">
        <f>HYPERLINK("https://pbs.twimg.com/media/F4UrRKeX0AE6hiZ.jpg")</f>
        <v>https://pbs.twimg.com/media/F4UrRKeX0AE6hiZ.jpg</v>
      </c>
      <c r="AW3564" s="93" t="s">
        <v>21689</v>
      </c>
      <c r="AX3564" s="93" t="s">
        <v>21689</v>
      </c>
      <c r="AY3564" s="87"/>
      <c r="AZ3564" s="93" t="s">
        <v>22668</v>
      </c>
      <c r="BA3564" s="93" t="s">
        <v>22668</v>
      </c>
      <c r="BB3564" s="93" t="s">
        <v>22668</v>
      </c>
      <c r="BC3564" s="93" t="s">
        <v>21689</v>
      </c>
      <c r="BD3564" s="93" t="s">
        <v>23454</v>
      </c>
      <c r="BE3564" s="87"/>
      <c r="BF3564" s="87"/>
      <c r="BG3564" s="87"/>
      <c r="BH3564" s="87"/>
      <c r="BI3564" s="87"/>
    </row>
    <row r="3565" spans="1:61" x14ac:dyDescent="0.25">
      <c r="A3565" s="63" t="s">
        <v>1361</v>
      </c>
      <c r="B3565" s="63" t="s">
        <v>1361</v>
      </c>
      <c r="C3565" s="64"/>
      <c r="D3565" s="65"/>
      <c r="E3565" s="66"/>
      <c r="F3565" s="67"/>
      <c r="G3565" s="64"/>
      <c r="H3565" s="68"/>
      <c r="I3565" s="69"/>
      <c r="J3565" s="69"/>
      <c r="K3565" s="32"/>
      <c r="L3565" s="76">
        <v>3565</v>
      </c>
      <c r="M3565" s="76"/>
      <c r="N3565" s="71"/>
      <c r="O3565" s="87" t="s">
        <v>179</v>
      </c>
      <c r="P3565" s="90">
        <v>45126.50172453704</v>
      </c>
      <c r="Q3565" s="87" t="s">
        <v>5238</v>
      </c>
      <c r="R3565" s="87">
        <v>0</v>
      </c>
      <c r="S3565" s="87">
        <v>0</v>
      </c>
      <c r="T3565" s="87">
        <v>0</v>
      </c>
      <c r="U3565" s="87">
        <v>0</v>
      </c>
      <c r="V3565" s="87">
        <v>38</v>
      </c>
      <c r="W3565" s="93" t="s">
        <v>7933</v>
      </c>
      <c r="X3565" s="87"/>
      <c r="Y3565" s="87"/>
      <c r="Z3565" s="87"/>
      <c r="AA3565" s="87" t="s">
        <v>11064</v>
      </c>
      <c r="AB3565" s="87" t="s">
        <v>11448</v>
      </c>
      <c r="AC3565" s="93" t="s">
        <v>11462</v>
      </c>
      <c r="AD3565" s="87" t="s">
        <v>11519</v>
      </c>
      <c r="AE3565" s="92" t="str">
        <f>HYPERLINK("https://twitter.com/olavoauemidia/status/1681635617212440578")</f>
        <v>https://twitter.com/olavoauemidia/status/1681635617212440578</v>
      </c>
      <c r="AF3565" s="90">
        <v>45126.50172453704</v>
      </c>
      <c r="AG3565" s="99">
        <v>45126</v>
      </c>
      <c r="AH3565" s="93" t="s">
        <v>14691</v>
      </c>
      <c r="AI3565" s="87" t="b">
        <v>0</v>
      </c>
      <c r="AJ3565" s="87"/>
      <c r="AK3565" s="87"/>
      <c r="AL3565" s="87"/>
      <c r="AM3565" s="87"/>
      <c r="AN3565" s="87"/>
      <c r="AO3565" s="87"/>
      <c r="AP3565" s="87"/>
      <c r="AQ3565" s="87" t="s">
        <v>17876</v>
      </c>
      <c r="AR3565" s="87"/>
      <c r="AS3565" s="87"/>
      <c r="AT3565" s="87"/>
      <c r="AU3565" s="87"/>
      <c r="AV3565" s="92" t="str">
        <f>HYPERLINK("https://pbs.twimg.com/media/F1ZerrQWcAAi4KE.jpg")</f>
        <v>https://pbs.twimg.com/media/F1ZerrQWcAAi4KE.jpg</v>
      </c>
      <c r="AW3565" s="93" t="s">
        <v>21690</v>
      </c>
      <c r="AX3565" s="93" t="s">
        <v>21690</v>
      </c>
      <c r="AY3565" s="87"/>
      <c r="AZ3565" s="93" t="s">
        <v>22668</v>
      </c>
      <c r="BA3565" s="93" t="s">
        <v>22668</v>
      </c>
      <c r="BB3565" s="93" t="s">
        <v>22668</v>
      </c>
      <c r="BC3565" s="93" t="s">
        <v>21690</v>
      </c>
      <c r="BD3565" s="87">
        <v>3323390896</v>
      </c>
      <c r="BE3565" s="87"/>
      <c r="BF3565" s="87"/>
      <c r="BG3565" s="87"/>
      <c r="BH3565" s="87"/>
      <c r="BI3565" s="87"/>
    </row>
    <row r="3566" spans="1:61" x14ac:dyDescent="0.25">
      <c r="A3566" s="63" t="s">
        <v>1361</v>
      </c>
      <c r="B3566" s="63" t="s">
        <v>1361</v>
      </c>
      <c r="C3566" s="64"/>
      <c r="D3566" s="65"/>
      <c r="E3566" s="66"/>
      <c r="F3566" s="67"/>
      <c r="G3566" s="64"/>
      <c r="H3566" s="68"/>
      <c r="I3566" s="69"/>
      <c r="J3566" s="69"/>
      <c r="K3566" s="32"/>
      <c r="L3566" s="76">
        <v>3566</v>
      </c>
      <c r="M3566" s="76"/>
      <c r="N3566" s="71"/>
      <c r="O3566" s="87" t="s">
        <v>179</v>
      </c>
      <c r="P3566" s="90">
        <v>45147.503055555557</v>
      </c>
      <c r="Q3566" s="87" t="s">
        <v>5239</v>
      </c>
      <c r="R3566" s="87">
        <v>0</v>
      </c>
      <c r="S3566" s="87">
        <v>0</v>
      </c>
      <c r="T3566" s="87">
        <v>0</v>
      </c>
      <c r="U3566" s="87">
        <v>0</v>
      </c>
      <c r="V3566" s="87">
        <v>111</v>
      </c>
      <c r="W3566" s="93" t="s">
        <v>7933</v>
      </c>
      <c r="X3566" s="87"/>
      <c r="Y3566" s="87"/>
      <c r="Z3566" s="87"/>
      <c r="AA3566" s="87" t="s">
        <v>11065</v>
      </c>
      <c r="AB3566" s="87" t="s">
        <v>11448</v>
      </c>
      <c r="AC3566" s="93" t="s">
        <v>11462</v>
      </c>
      <c r="AD3566" s="87" t="s">
        <v>11519</v>
      </c>
      <c r="AE3566" s="92" t="str">
        <f>HYPERLINK("https://twitter.com/olavoauemidia/status/1689246246723039232")</f>
        <v>https://twitter.com/olavoauemidia/status/1689246246723039232</v>
      </c>
      <c r="AF3566" s="90">
        <v>45147.503055555557</v>
      </c>
      <c r="AG3566" s="99">
        <v>45147</v>
      </c>
      <c r="AH3566" s="93" t="s">
        <v>14692</v>
      </c>
      <c r="AI3566" s="87" t="b">
        <v>0</v>
      </c>
      <c r="AJ3566" s="87"/>
      <c r="AK3566" s="87"/>
      <c r="AL3566" s="87"/>
      <c r="AM3566" s="87"/>
      <c r="AN3566" s="87"/>
      <c r="AO3566" s="87"/>
      <c r="AP3566" s="87"/>
      <c r="AQ3566" s="87" t="s">
        <v>17877</v>
      </c>
      <c r="AR3566" s="87"/>
      <c r="AS3566" s="87"/>
      <c r="AT3566" s="87"/>
      <c r="AU3566" s="87"/>
      <c r="AV3566" s="92" t="str">
        <f>HYPERLINK("https://pbs.twimg.com/media/F3Fogk8XMAAOR0a.jpg")</f>
        <v>https://pbs.twimg.com/media/F3Fogk8XMAAOR0a.jpg</v>
      </c>
      <c r="AW3566" s="93" t="s">
        <v>21691</v>
      </c>
      <c r="AX3566" s="93" t="s">
        <v>21691</v>
      </c>
      <c r="AY3566" s="87"/>
      <c r="AZ3566" s="93" t="s">
        <v>22668</v>
      </c>
      <c r="BA3566" s="93" t="s">
        <v>22668</v>
      </c>
      <c r="BB3566" s="93" t="s">
        <v>22668</v>
      </c>
      <c r="BC3566" s="93" t="s">
        <v>21691</v>
      </c>
      <c r="BD3566" s="87">
        <v>3323390896</v>
      </c>
      <c r="BE3566" s="87"/>
      <c r="BF3566" s="87"/>
      <c r="BG3566" s="87"/>
      <c r="BH3566" s="87"/>
      <c r="BI3566" s="87"/>
    </row>
    <row r="3567" spans="1:61" x14ac:dyDescent="0.25">
      <c r="A3567" s="63" t="s">
        <v>1361</v>
      </c>
      <c r="B3567" s="63" t="s">
        <v>1361</v>
      </c>
      <c r="C3567" s="64"/>
      <c r="D3567" s="65"/>
      <c r="E3567" s="66"/>
      <c r="F3567" s="67"/>
      <c r="G3567" s="64"/>
      <c r="H3567" s="68"/>
      <c r="I3567" s="69"/>
      <c r="J3567" s="69"/>
      <c r="K3567" s="32"/>
      <c r="L3567" s="76">
        <v>3567</v>
      </c>
      <c r="M3567" s="76"/>
      <c r="N3567" s="71"/>
      <c r="O3567" s="87" t="s">
        <v>179</v>
      </c>
      <c r="P3567" s="90">
        <v>45161.502372685187</v>
      </c>
      <c r="Q3567" s="87" t="s">
        <v>5240</v>
      </c>
      <c r="R3567" s="87">
        <v>0</v>
      </c>
      <c r="S3567" s="87">
        <v>0</v>
      </c>
      <c r="T3567" s="87">
        <v>0</v>
      </c>
      <c r="U3567" s="87">
        <v>0</v>
      </c>
      <c r="V3567" s="87">
        <v>29</v>
      </c>
      <c r="W3567" s="93" t="s">
        <v>7933</v>
      </c>
      <c r="X3567" s="87"/>
      <c r="Y3567" s="87"/>
      <c r="Z3567" s="87"/>
      <c r="AA3567" s="87" t="s">
        <v>11066</v>
      </c>
      <c r="AB3567" s="87" t="s">
        <v>11448</v>
      </c>
      <c r="AC3567" s="93" t="s">
        <v>11462</v>
      </c>
      <c r="AD3567" s="87" t="s">
        <v>11519</v>
      </c>
      <c r="AE3567" s="92" t="str">
        <f>HYPERLINK("https://twitter.com/olavoauemidia/status/1694319427196539050")</f>
        <v>https://twitter.com/olavoauemidia/status/1694319427196539050</v>
      </c>
      <c r="AF3567" s="90">
        <v>45161.502372685187</v>
      </c>
      <c r="AG3567" s="99">
        <v>45161</v>
      </c>
      <c r="AH3567" s="93" t="s">
        <v>14693</v>
      </c>
      <c r="AI3567" s="87" t="b">
        <v>0</v>
      </c>
      <c r="AJ3567" s="87"/>
      <c r="AK3567" s="87"/>
      <c r="AL3567" s="87"/>
      <c r="AM3567" s="87"/>
      <c r="AN3567" s="87"/>
      <c r="AO3567" s="87"/>
      <c r="AP3567" s="87"/>
      <c r="AQ3567" s="87" t="s">
        <v>17878</v>
      </c>
      <c r="AR3567" s="87"/>
      <c r="AS3567" s="87"/>
      <c r="AT3567" s="87"/>
      <c r="AU3567" s="87"/>
      <c r="AV3567" s="92" t="str">
        <f>HYPERLINK("https://pbs.twimg.com/media/F4Nuij1XMAEsOC-.jpg")</f>
        <v>https://pbs.twimg.com/media/F4Nuij1XMAEsOC-.jpg</v>
      </c>
      <c r="AW3567" s="93" t="s">
        <v>21692</v>
      </c>
      <c r="AX3567" s="93" t="s">
        <v>21692</v>
      </c>
      <c r="AY3567" s="87"/>
      <c r="AZ3567" s="93" t="s">
        <v>22668</v>
      </c>
      <c r="BA3567" s="93" t="s">
        <v>22668</v>
      </c>
      <c r="BB3567" s="93" t="s">
        <v>22668</v>
      </c>
      <c r="BC3567" s="93" t="s">
        <v>21692</v>
      </c>
      <c r="BD3567" s="87">
        <v>3323390896</v>
      </c>
      <c r="BE3567" s="87"/>
      <c r="BF3567" s="87"/>
      <c r="BG3567" s="87"/>
      <c r="BH3567" s="87"/>
      <c r="BI3567" s="87"/>
    </row>
    <row r="3568" spans="1:61" x14ac:dyDescent="0.25">
      <c r="A3568" s="63" t="s">
        <v>1361</v>
      </c>
      <c r="B3568" s="63" t="s">
        <v>1361</v>
      </c>
      <c r="C3568" s="64"/>
      <c r="D3568" s="65"/>
      <c r="E3568" s="66"/>
      <c r="F3568" s="67"/>
      <c r="G3568" s="64"/>
      <c r="H3568" s="68"/>
      <c r="I3568" s="69"/>
      <c r="J3568" s="69"/>
      <c r="K3568" s="32"/>
      <c r="L3568" s="76">
        <v>3568</v>
      </c>
      <c r="M3568" s="76"/>
      <c r="N3568" s="71"/>
      <c r="O3568" s="87" t="s">
        <v>179</v>
      </c>
      <c r="P3568" s="90">
        <v>45119.501747685186</v>
      </c>
      <c r="Q3568" s="87" t="s">
        <v>5241</v>
      </c>
      <c r="R3568" s="87">
        <v>0</v>
      </c>
      <c r="S3568" s="87">
        <v>0</v>
      </c>
      <c r="T3568" s="87">
        <v>0</v>
      </c>
      <c r="U3568" s="87">
        <v>0</v>
      </c>
      <c r="V3568" s="87">
        <v>27</v>
      </c>
      <c r="W3568" s="93" t="s">
        <v>7933</v>
      </c>
      <c r="X3568" s="87"/>
      <c r="Y3568" s="87"/>
      <c r="Z3568" s="87"/>
      <c r="AA3568" s="87" t="s">
        <v>11067</v>
      </c>
      <c r="AB3568" s="87" t="s">
        <v>11448</v>
      </c>
      <c r="AC3568" s="93" t="s">
        <v>11462</v>
      </c>
      <c r="AD3568" s="87" t="s">
        <v>11519</v>
      </c>
      <c r="AE3568" s="92" t="str">
        <f>HYPERLINK("https://twitter.com/olavoauemidia/status/1679098911657451520")</f>
        <v>https://twitter.com/olavoauemidia/status/1679098911657451520</v>
      </c>
      <c r="AF3568" s="90">
        <v>45119.501747685186</v>
      </c>
      <c r="AG3568" s="99">
        <v>45119</v>
      </c>
      <c r="AH3568" s="93" t="s">
        <v>14694</v>
      </c>
      <c r="AI3568" s="87" t="b">
        <v>0</v>
      </c>
      <c r="AJ3568" s="87"/>
      <c r="AK3568" s="87"/>
      <c r="AL3568" s="87"/>
      <c r="AM3568" s="87"/>
      <c r="AN3568" s="87"/>
      <c r="AO3568" s="87"/>
      <c r="AP3568" s="87"/>
      <c r="AQ3568" s="87" t="s">
        <v>17879</v>
      </c>
      <c r="AR3568" s="87"/>
      <c r="AS3568" s="87"/>
      <c r="AT3568" s="87"/>
      <c r="AU3568" s="87"/>
      <c r="AV3568" s="92" t="str">
        <f>HYPERLINK("https://pbs.twimg.com/media/F01bj-cXsAAqP7K.jpg")</f>
        <v>https://pbs.twimg.com/media/F01bj-cXsAAqP7K.jpg</v>
      </c>
      <c r="AW3568" s="93" t="s">
        <v>21693</v>
      </c>
      <c r="AX3568" s="93" t="s">
        <v>21693</v>
      </c>
      <c r="AY3568" s="87"/>
      <c r="AZ3568" s="93" t="s">
        <v>22668</v>
      </c>
      <c r="BA3568" s="93" t="s">
        <v>22668</v>
      </c>
      <c r="BB3568" s="93" t="s">
        <v>22668</v>
      </c>
      <c r="BC3568" s="93" t="s">
        <v>21693</v>
      </c>
      <c r="BD3568" s="87">
        <v>3323390896</v>
      </c>
      <c r="BE3568" s="87"/>
      <c r="BF3568" s="87"/>
      <c r="BG3568" s="87"/>
      <c r="BH3568" s="87"/>
      <c r="BI3568" s="87"/>
    </row>
    <row r="3569" spans="1:61" x14ac:dyDescent="0.25">
      <c r="A3569" s="63" t="s">
        <v>1361</v>
      </c>
      <c r="B3569" s="63" t="s">
        <v>1361</v>
      </c>
      <c r="C3569" s="64"/>
      <c r="D3569" s="65"/>
      <c r="E3569" s="66"/>
      <c r="F3569" s="67"/>
      <c r="G3569" s="64"/>
      <c r="H3569" s="68"/>
      <c r="I3569" s="69"/>
      <c r="J3569" s="69"/>
      <c r="K3569" s="32"/>
      <c r="L3569" s="76">
        <v>3569</v>
      </c>
      <c r="M3569" s="76"/>
      <c r="N3569" s="71"/>
      <c r="O3569" s="87" t="s">
        <v>179</v>
      </c>
      <c r="P3569" s="90">
        <v>45112.501655092594</v>
      </c>
      <c r="Q3569" s="87" t="s">
        <v>5242</v>
      </c>
      <c r="R3569" s="87">
        <v>0</v>
      </c>
      <c r="S3569" s="87">
        <v>0</v>
      </c>
      <c r="T3569" s="87">
        <v>0</v>
      </c>
      <c r="U3569" s="87">
        <v>0</v>
      </c>
      <c r="V3569" s="87">
        <v>39</v>
      </c>
      <c r="W3569" s="93" t="s">
        <v>7933</v>
      </c>
      <c r="X3569" s="87"/>
      <c r="Y3569" s="87"/>
      <c r="Z3569" s="87"/>
      <c r="AA3569" s="87" t="s">
        <v>11068</v>
      </c>
      <c r="AB3569" s="87" t="s">
        <v>11448</v>
      </c>
      <c r="AC3569" s="93" t="s">
        <v>11462</v>
      </c>
      <c r="AD3569" s="87" t="s">
        <v>11519</v>
      </c>
      <c r="AE3569" s="92" t="str">
        <f>HYPERLINK("https://twitter.com/olavoauemidia/status/1676562164956516352")</f>
        <v>https://twitter.com/olavoauemidia/status/1676562164956516352</v>
      </c>
      <c r="AF3569" s="90">
        <v>45112.501655092594</v>
      </c>
      <c r="AG3569" s="99">
        <v>45112</v>
      </c>
      <c r="AH3569" s="93" t="s">
        <v>14695</v>
      </c>
      <c r="AI3569" s="87" t="b">
        <v>0</v>
      </c>
      <c r="AJ3569" s="87"/>
      <c r="AK3569" s="87"/>
      <c r="AL3569" s="87"/>
      <c r="AM3569" s="87"/>
      <c r="AN3569" s="87"/>
      <c r="AO3569" s="87"/>
      <c r="AP3569" s="87"/>
      <c r="AQ3569" s="87" t="s">
        <v>17880</v>
      </c>
      <c r="AR3569" s="87"/>
      <c r="AS3569" s="87"/>
      <c r="AT3569" s="87"/>
      <c r="AU3569" s="87"/>
      <c r="AV3569" s="92" t="str">
        <f>HYPERLINK("https://pbs.twimg.com/media/F0RYZ22WYAICd5c.jpg")</f>
        <v>https://pbs.twimg.com/media/F0RYZ22WYAICd5c.jpg</v>
      </c>
      <c r="AW3569" s="93" t="s">
        <v>21694</v>
      </c>
      <c r="AX3569" s="93" t="s">
        <v>21694</v>
      </c>
      <c r="AY3569" s="87"/>
      <c r="AZ3569" s="93" t="s">
        <v>22668</v>
      </c>
      <c r="BA3569" s="93" t="s">
        <v>22668</v>
      </c>
      <c r="BB3569" s="93" t="s">
        <v>22668</v>
      </c>
      <c r="BC3569" s="93" t="s">
        <v>21694</v>
      </c>
      <c r="BD3569" s="87">
        <v>3323390896</v>
      </c>
      <c r="BE3569" s="87"/>
      <c r="BF3569" s="87"/>
      <c r="BG3569" s="87"/>
      <c r="BH3569" s="87"/>
      <c r="BI3569" s="87"/>
    </row>
    <row r="3570" spans="1:61" x14ac:dyDescent="0.25">
      <c r="A3570" s="63" t="s">
        <v>1361</v>
      </c>
      <c r="B3570" s="63" t="s">
        <v>1361</v>
      </c>
      <c r="C3570" s="64"/>
      <c r="D3570" s="65"/>
      <c r="E3570" s="66"/>
      <c r="F3570" s="67"/>
      <c r="G3570" s="64"/>
      <c r="H3570" s="68"/>
      <c r="I3570" s="69"/>
      <c r="J3570" s="69"/>
      <c r="K3570" s="32"/>
      <c r="L3570" s="76">
        <v>3570</v>
      </c>
      <c r="M3570" s="76"/>
      <c r="N3570" s="71"/>
      <c r="O3570" s="87" t="s">
        <v>179</v>
      </c>
      <c r="P3570" s="90">
        <v>45176.493263888886</v>
      </c>
      <c r="Q3570" s="87" t="s">
        <v>5243</v>
      </c>
      <c r="R3570" s="87">
        <v>0</v>
      </c>
      <c r="S3570" s="87">
        <v>1</v>
      </c>
      <c r="T3570" s="87">
        <v>0</v>
      </c>
      <c r="U3570" s="87">
        <v>0</v>
      </c>
      <c r="V3570" s="87">
        <v>78</v>
      </c>
      <c r="W3570" s="93" t="s">
        <v>7933</v>
      </c>
      <c r="X3570" s="87"/>
      <c r="Y3570" s="87"/>
      <c r="Z3570" s="87"/>
      <c r="AA3570" s="87" t="s">
        <v>11069</v>
      </c>
      <c r="AB3570" s="87" t="s">
        <v>11448</v>
      </c>
      <c r="AC3570" s="93" t="s">
        <v>11462</v>
      </c>
      <c r="AD3570" s="87" t="s">
        <v>11519</v>
      </c>
      <c r="AE3570" s="92" t="str">
        <f>HYPERLINK("https://twitter.com/olavoauemidia/status/1699751944888140111")</f>
        <v>https://twitter.com/olavoauemidia/status/1699751944888140111</v>
      </c>
      <c r="AF3570" s="90">
        <v>45176.493263888886</v>
      </c>
      <c r="AG3570" s="99">
        <v>45176</v>
      </c>
      <c r="AH3570" s="93" t="s">
        <v>14696</v>
      </c>
      <c r="AI3570" s="87" t="b">
        <v>0</v>
      </c>
      <c r="AJ3570" s="87"/>
      <c r="AK3570" s="87"/>
      <c r="AL3570" s="87"/>
      <c r="AM3570" s="87"/>
      <c r="AN3570" s="87"/>
      <c r="AO3570" s="87"/>
      <c r="AP3570" s="87"/>
      <c r="AQ3570" s="87" t="s">
        <v>17881</v>
      </c>
      <c r="AR3570" s="87"/>
      <c r="AS3570" s="87"/>
      <c r="AT3570" s="87"/>
      <c r="AU3570" s="87"/>
      <c r="AV3570" s="92" t="str">
        <f>HYPERLINK("https://pbs.twimg.com/media/F5a7YvXXMAAA7HW.jpg")</f>
        <v>https://pbs.twimg.com/media/F5a7YvXXMAAA7HW.jpg</v>
      </c>
      <c r="AW3570" s="93" t="s">
        <v>21695</v>
      </c>
      <c r="AX3570" s="93" t="s">
        <v>21695</v>
      </c>
      <c r="AY3570" s="87"/>
      <c r="AZ3570" s="93" t="s">
        <v>22668</v>
      </c>
      <c r="BA3570" s="93" t="s">
        <v>22668</v>
      </c>
      <c r="BB3570" s="93" t="s">
        <v>22668</v>
      </c>
      <c r="BC3570" s="93" t="s">
        <v>21695</v>
      </c>
      <c r="BD3570" s="87">
        <v>3323390896</v>
      </c>
      <c r="BE3570" s="87"/>
      <c r="BF3570" s="87"/>
      <c r="BG3570" s="87"/>
      <c r="BH3570" s="87"/>
      <c r="BI3570" s="87"/>
    </row>
    <row r="3571" spans="1:61" x14ac:dyDescent="0.25">
      <c r="A3571" s="63" t="s">
        <v>1361</v>
      </c>
      <c r="B3571" s="63" t="s">
        <v>1361</v>
      </c>
      <c r="C3571" s="64"/>
      <c r="D3571" s="65"/>
      <c r="E3571" s="66"/>
      <c r="F3571" s="67"/>
      <c r="G3571" s="64"/>
      <c r="H3571" s="68"/>
      <c r="I3571" s="69"/>
      <c r="J3571" s="69"/>
      <c r="K3571" s="32"/>
      <c r="L3571" s="76">
        <v>3571</v>
      </c>
      <c r="M3571" s="76"/>
      <c r="N3571" s="71"/>
      <c r="O3571" s="87" t="s">
        <v>179</v>
      </c>
      <c r="P3571" s="90">
        <v>45182.503657407404</v>
      </c>
      <c r="Q3571" s="87" t="s">
        <v>5244</v>
      </c>
      <c r="R3571" s="87">
        <v>0</v>
      </c>
      <c r="S3571" s="87">
        <v>2</v>
      </c>
      <c r="T3571" s="87">
        <v>0</v>
      </c>
      <c r="U3571" s="87">
        <v>0</v>
      </c>
      <c r="V3571" s="87">
        <v>87</v>
      </c>
      <c r="W3571" s="93" t="s">
        <v>7933</v>
      </c>
      <c r="X3571" s="87"/>
      <c r="Y3571" s="87"/>
      <c r="Z3571" s="87"/>
      <c r="AA3571" s="87" t="s">
        <v>11070</v>
      </c>
      <c r="AB3571" s="87" t="s">
        <v>11448</v>
      </c>
      <c r="AC3571" s="93" t="s">
        <v>11462</v>
      </c>
      <c r="AD3571" s="87" t="s">
        <v>11519</v>
      </c>
      <c r="AE3571" s="92" t="str">
        <f>HYPERLINK("https://twitter.com/olavoauemidia/status/1701930039980204146")</f>
        <v>https://twitter.com/olavoauemidia/status/1701930039980204146</v>
      </c>
      <c r="AF3571" s="90">
        <v>45182.503657407404</v>
      </c>
      <c r="AG3571" s="99">
        <v>45182</v>
      </c>
      <c r="AH3571" s="93" t="s">
        <v>14697</v>
      </c>
      <c r="AI3571" s="87" t="b">
        <v>0</v>
      </c>
      <c r="AJ3571" s="87"/>
      <c r="AK3571" s="87"/>
      <c r="AL3571" s="87"/>
      <c r="AM3571" s="87"/>
      <c r="AN3571" s="87"/>
      <c r="AO3571" s="87"/>
      <c r="AP3571" s="87"/>
      <c r="AQ3571" s="87" t="s">
        <v>17882</v>
      </c>
      <c r="AR3571" s="87"/>
      <c r="AS3571" s="87"/>
      <c r="AT3571" s="87"/>
      <c r="AU3571" s="87"/>
      <c r="AV3571" s="92" t="str">
        <f>HYPERLINK("https://pbs.twimg.com/media/F554WjoXYAA_ovl.jpg")</f>
        <v>https://pbs.twimg.com/media/F554WjoXYAA_ovl.jpg</v>
      </c>
      <c r="AW3571" s="93" t="s">
        <v>21696</v>
      </c>
      <c r="AX3571" s="93" t="s">
        <v>21696</v>
      </c>
      <c r="AY3571" s="87"/>
      <c r="AZ3571" s="93" t="s">
        <v>22668</v>
      </c>
      <c r="BA3571" s="93" t="s">
        <v>22668</v>
      </c>
      <c r="BB3571" s="93" t="s">
        <v>22668</v>
      </c>
      <c r="BC3571" s="93" t="s">
        <v>21696</v>
      </c>
      <c r="BD3571" s="87">
        <v>3323390896</v>
      </c>
      <c r="BE3571" s="87"/>
      <c r="BF3571" s="87"/>
      <c r="BG3571" s="87"/>
      <c r="BH3571" s="87"/>
      <c r="BI3571" s="87"/>
    </row>
    <row r="3572" spans="1:61" x14ac:dyDescent="0.25">
      <c r="A3572" s="63" t="s">
        <v>1361</v>
      </c>
      <c r="B3572" s="63" t="s">
        <v>1361</v>
      </c>
      <c r="C3572" s="64"/>
      <c r="D3572" s="65"/>
      <c r="E3572" s="66"/>
      <c r="F3572" s="67"/>
      <c r="G3572" s="64"/>
      <c r="H3572" s="68"/>
      <c r="I3572" s="69"/>
      <c r="J3572" s="69"/>
      <c r="K3572" s="32"/>
      <c r="L3572" s="76">
        <v>3572</v>
      </c>
      <c r="M3572" s="76"/>
      <c r="N3572" s="71"/>
      <c r="O3572" s="87" t="s">
        <v>179</v>
      </c>
      <c r="P3572" s="90">
        <v>45154.502384259256</v>
      </c>
      <c r="Q3572" s="87" t="s">
        <v>5245</v>
      </c>
      <c r="R3572" s="87">
        <v>0</v>
      </c>
      <c r="S3572" s="87">
        <v>2</v>
      </c>
      <c r="T3572" s="87">
        <v>0</v>
      </c>
      <c r="U3572" s="87">
        <v>0</v>
      </c>
      <c r="V3572" s="87">
        <v>69</v>
      </c>
      <c r="W3572" s="93" t="s">
        <v>7933</v>
      </c>
      <c r="X3572" s="87"/>
      <c r="Y3572" s="87"/>
      <c r="Z3572" s="87"/>
      <c r="AA3572" s="87" t="s">
        <v>11071</v>
      </c>
      <c r="AB3572" s="87" t="s">
        <v>11448</v>
      </c>
      <c r="AC3572" s="93" t="s">
        <v>11462</v>
      </c>
      <c r="AD3572" s="87" t="s">
        <v>11519</v>
      </c>
      <c r="AE3572" s="92" t="str">
        <f>HYPERLINK("https://twitter.com/olavoauemidia/status/1691782717103337836")</f>
        <v>https://twitter.com/olavoauemidia/status/1691782717103337836</v>
      </c>
      <c r="AF3572" s="90">
        <v>45154.502384259256</v>
      </c>
      <c r="AG3572" s="99">
        <v>45154</v>
      </c>
      <c r="AH3572" s="93" t="s">
        <v>14698</v>
      </c>
      <c r="AI3572" s="87" t="b">
        <v>0</v>
      </c>
      <c r="AJ3572" s="87"/>
      <c r="AK3572" s="87"/>
      <c r="AL3572" s="87"/>
      <c r="AM3572" s="87"/>
      <c r="AN3572" s="87"/>
      <c r="AO3572" s="87"/>
      <c r="AP3572" s="87"/>
      <c r="AQ3572" s="87" t="s">
        <v>17883</v>
      </c>
      <c r="AR3572" s="87"/>
      <c r="AS3572" s="87"/>
      <c r="AT3572" s="87"/>
      <c r="AU3572" s="87"/>
      <c r="AV3572" s="92" t="str">
        <f>HYPERLINK("https://pbs.twimg.com/media/F3pranyXIAEu2Gu.jpg")</f>
        <v>https://pbs.twimg.com/media/F3pranyXIAEu2Gu.jpg</v>
      </c>
      <c r="AW3572" s="93" t="s">
        <v>21697</v>
      </c>
      <c r="AX3572" s="93" t="s">
        <v>21697</v>
      </c>
      <c r="AY3572" s="87"/>
      <c r="AZ3572" s="93" t="s">
        <v>22668</v>
      </c>
      <c r="BA3572" s="93" t="s">
        <v>22668</v>
      </c>
      <c r="BB3572" s="93" t="s">
        <v>22668</v>
      </c>
      <c r="BC3572" s="93" t="s">
        <v>21697</v>
      </c>
      <c r="BD3572" s="87">
        <v>3323390896</v>
      </c>
      <c r="BE3572" s="87"/>
      <c r="BF3572" s="87"/>
      <c r="BG3572" s="87"/>
      <c r="BH3572" s="87"/>
      <c r="BI3572" s="87"/>
    </row>
    <row r="3573" spans="1:61" x14ac:dyDescent="0.25">
      <c r="A3573" s="63" t="s">
        <v>1361</v>
      </c>
      <c r="B3573" s="63" t="s">
        <v>1361</v>
      </c>
      <c r="C3573" s="64"/>
      <c r="D3573" s="65"/>
      <c r="E3573" s="66"/>
      <c r="F3573" s="67"/>
      <c r="G3573" s="64"/>
      <c r="H3573" s="68"/>
      <c r="I3573" s="69"/>
      <c r="J3573" s="69"/>
      <c r="K3573" s="32"/>
      <c r="L3573" s="76">
        <v>3573</v>
      </c>
      <c r="M3573" s="76"/>
      <c r="N3573" s="71"/>
      <c r="O3573" s="87" t="s">
        <v>179</v>
      </c>
      <c r="P3573" s="90">
        <v>45190.479456018518</v>
      </c>
      <c r="Q3573" s="87" t="s">
        <v>5246</v>
      </c>
      <c r="R3573" s="87">
        <v>0</v>
      </c>
      <c r="S3573" s="87">
        <v>1</v>
      </c>
      <c r="T3573" s="87">
        <v>0</v>
      </c>
      <c r="U3573" s="87">
        <v>0</v>
      </c>
      <c r="V3573" s="87">
        <v>63</v>
      </c>
      <c r="W3573" s="93" t="s">
        <v>7933</v>
      </c>
      <c r="X3573" s="87"/>
      <c r="Y3573" s="87"/>
      <c r="Z3573" s="87"/>
      <c r="AA3573" s="87" t="s">
        <v>11072</v>
      </c>
      <c r="AB3573" s="87" t="s">
        <v>11448</v>
      </c>
      <c r="AC3573" s="93" t="s">
        <v>11462</v>
      </c>
      <c r="AD3573" s="87" t="s">
        <v>11519</v>
      </c>
      <c r="AE3573" s="92" t="str">
        <f>HYPERLINK("https://twitter.com/olavoauemidia/status/1704820371885838676")</f>
        <v>https://twitter.com/olavoauemidia/status/1704820371885838676</v>
      </c>
      <c r="AF3573" s="90">
        <v>45190.479456018518</v>
      </c>
      <c r="AG3573" s="99">
        <v>45190</v>
      </c>
      <c r="AH3573" s="93" t="s">
        <v>14699</v>
      </c>
      <c r="AI3573" s="87" t="b">
        <v>0</v>
      </c>
      <c r="AJ3573" s="87"/>
      <c r="AK3573" s="87"/>
      <c r="AL3573" s="87"/>
      <c r="AM3573" s="87"/>
      <c r="AN3573" s="87"/>
      <c r="AO3573" s="87"/>
      <c r="AP3573" s="87"/>
      <c r="AQ3573" s="87" t="s">
        <v>17884</v>
      </c>
      <c r="AR3573" s="87"/>
      <c r="AS3573" s="87"/>
      <c r="AT3573" s="87"/>
      <c r="AU3573" s="87"/>
      <c r="AV3573" s="92" t="str">
        <f>HYPERLINK("https://pbs.twimg.com/media/F6i9F-HWMAAajF8.jpg")</f>
        <v>https://pbs.twimg.com/media/F6i9F-HWMAAajF8.jpg</v>
      </c>
      <c r="AW3573" s="93" t="s">
        <v>21698</v>
      </c>
      <c r="AX3573" s="93" t="s">
        <v>21698</v>
      </c>
      <c r="AY3573" s="87"/>
      <c r="AZ3573" s="93" t="s">
        <v>22668</v>
      </c>
      <c r="BA3573" s="93" t="s">
        <v>22668</v>
      </c>
      <c r="BB3573" s="93" t="s">
        <v>22668</v>
      </c>
      <c r="BC3573" s="93" t="s">
        <v>21698</v>
      </c>
      <c r="BD3573" s="87">
        <v>3323390896</v>
      </c>
      <c r="BE3573" s="87"/>
      <c r="BF3573" s="87"/>
      <c r="BG3573" s="87"/>
      <c r="BH3573" s="87"/>
      <c r="BI3573" s="87"/>
    </row>
    <row r="3574" spans="1:61" x14ac:dyDescent="0.25">
      <c r="A3574" s="63" t="s">
        <v>1362</v>
      </c>
      <c r="B3574" s="63" t="s">
        <v>1362</v>
      </c>
      <c r="C3574" s="64"/>
      <c r="D3574" s="65"/>
      <c r="E3574" s="66"/>
      <c r="F3574" s="67"/>
      <c r="G3574" s="64"/>
      <c r="H3574" s="68"/>
      <c r="I3574" s="69"/>
      <c r="J3574" s="69"/>
      <c r="K3574" s="32"/>
      <c r="L3574" s="76">
        <v>3574</v>
      </c>
      <c r="M3574" s="76"/>
      <c r="N3574" s="71"/>
      <c r="O3574" s="87" t="s">
        <v>1840</v>
      </c>
      <c r="P3574" s="90">
        <v>45119.745613425926</v>
      </c>
      <c r="Q3574" s="87" t="s">
        <v>5247</v>
      </c>
      <c r="R3574" s="87">
        <v>0</v>
      </c>
      <c r="S3574" s="87">
        <v>0</v>
      </c>
      <c r="T3574" s="87">
        <v>0</v>
      </c>
      <c r="U3574" s="87">
        <v>0</v>
      </c>
      <c r="V3574" s="87">
        <v>158</v>
      </c>
      <c r="W3574" s="93" t="s">
        <v>7934</v>
      </c>
      <c r="X3574" s="92" t="str">
        <f>HYPERLINK("http://accmail.co/JeemTW")</f>
        <v>http://accmail.co/JeemTW</v>
      </c>
      <c r="Y3574" s="87" t="s">
        <v>8533</v>
      </c>
      <c r="Z3574" s="87"/>
      <c r="AA3574" s="87"/>
      <c r="AB3574" s="87"/>
      <c r="AC3574" s="93" t="s">
        <v>11457</v>
      </c>
      <c r="AD3574" s="87" t="s">
        <v>11519</v>
      </c>
      <c r="AE3574" s="92" t="str">
        <f>HYPERLINK("https://twitter.com/acccancercenter/status/1679187284220837907")</f>
        <v>https://twitter.com/acccancercenter/status/1679187284220837907</v>
      </c>
      <c r="AF3574" s="90">
        <v>45119.745613425926</v>
      </c>
      <c r="AG3574" s="99">
        <v>45119</v>
      </c>
      <c r="AH3574" s="93" t="s">
        <v>14700</v>
      </c>
      <c r="AI3574" s="87" t="b">
        <v>0</v>
      </c>
      <c r="AJ3574" s="87"/>
      <c r="AK3574" s="87"/>
      <c r="AL3574" s="87"/>
      <c r="AM3574" s="87"/>
      <c r="AN3574" s="87"/>
      <c r="AO3574" s="87"/>
      <c r="AP3574" s="87"/>
      <c r="AQ3574" s="87"/>
      <c r="AR3574" s="87"/>
      <c r="AS3574" s="87"/>
      <c r="AT3574" s="87"/>
      <c r="AU3574" s="87"/>
      <c r="AV3574" s="92" t="str">
        <f>HYPERLINK("https://pbs.twimg.com/profile_images/1697625748268253184/S-xNI1_f_normal.jpg")</f>
        <v>https://pbs.twimg.com/profile_images/1697625748268253184/S-xNI1_f_normal.jpg</v>
      </c>
      <c r="AW3574" s="93" t="s">
        <v>21699</v>
      </c>
      <c r="AX3574" s="93" t="s">
        <v>22473</v>
      </c>
      <c r="AY3574" s="93" t="s">
        <v>22638</v>
      </c>
      <c r="AZ3574" s="93" t="s">
        <v>22763</v>
      </c>
      <c r="BA3574" s="93" t="s">
        <v>22668</v>
      </c>
      <c r="BB3574" s="93" t="s">
        <v>22668</v>
      </c>
      <c r="BC3574" s="93" t="s">
        <v>22763</v>
      </c>
      <c r="BD3574" s="87">
        <v>71636822</v>
      </c>
      <c r="BE3574" s="87"/>
      <c r="BF3574" s="87"/>
      <c r="BG3574" s="87"/>
      <c r="BH3574" s="87"/>
      <c r="BI3574" s="87"/>
    </row>
    <row r="3575" spans="1:61" x14ac:dyDescent="0.25">
      <c r="A3575" s="63" t="s">
        <v>1362</v>
      </c>
      <c r="B3575" s="63" t="s">
        <v>1362</v>
      </c>
      <c r="C3575" s="64"/>
      <c r="D3575" s="65"/>
      <c r="E3575" s="66"/>
      <c r="F3575" s="67"/>
      <c r="G3575" s="64"/>
      <c r="H3575" s="68"/>
      <c r="I3575" s="69"/>
      <c r="J3575" s="69"/>
      <c r="K3575" s="32"/>
      <c r="L3575" s="76">
        <v>3575</v>
      </c>
      <c r="M3575" s="76"/>
      <c r="N3575" s="71"/>
      <c r="O3575" s="87" t="s">
        <v>1840</v>
      </c>
      <c r="P3575" s="90">
        <v>45126.831631944442</v>
      </c>
      <c r="Q3575" s="87" t="s">
        <v>5248</v>
      </c>
      <c r="R3575" s="87">
        <v>0</v>
      </c>
      <c r="S3575" s="87">
        <v>1</v>
      </c>
      <c r="T3575" s="87">
        <v>0</v>
      </c>
      <c r="U3575" s="87">
        <v>0</v>
      </c>
      <c r="V3575" s="87">
        <v>157</v>
      </c>
      <c r="W3575" s="93" t="s">
        <v>7935</v>
      </c>
      <c r="X3575" s="92" t="str">
        <f>HYPERLINK("https://accmail.co/JeemTw")</f>
        <v>https://accmail.co/JeemTw</v>
      </c>
      <c r="Y3575" s="87" t="s">
        <v>8533</v>
      </c>
      <c r="Z3575" s="87"/>
      <c r="AA3575" s="87"/>
      <c r="AB3575" s="87"/>
      <c r="AC3575" s="93" t="s">
        <v>11457</v>
      </c>
      <c r="AD3575" s="87" t="s">
        <v>11519</v>
      </c>
      <c r="AE3575" s="92" t="str">
        <f>HYPERLINK("https://twitter.com/acccancercenter/status/1681755174182723584")</f>
        <v>https://twitter.com/acccancercenter/status/1681755174182723584</v>
      </c>
      <c r="AF3575" s="90">
        <v>45126.831631944442</v>
      </c>
      <c r="AG3575" s="99">
        <v>45126</v>
      </c>
      <c r="AH3575" s="93" t="s">
        <v>14701</v>
      </c>
      <c r="AI3575" s="87" t="b">
        <v>0</v>
      </c>
      <c r="AJ3575" s="87"/>
      <c r="AK3575" s="87"/>
      <c r="AL3575" s="87"/>
      <c r="AM3575" s="87"/>
      <c r="AN3575" s="87"/>
      <c r="AO3575" s="87"/>
      <c r="AP3575" s="87"/>
      <c r="AQ3575" s="87"/>
      <c r="AR3575" s="87"/>
      <c r="AS3575" s="87"/>
      <c r="AT3575" s="87"/>
      <c r="AU3575" s="87"/>
      <c r="AV3575" s="92" t="str">
        <f>HYPERLINK("https://pbs.twimg.com/profile_images/1697625748268253184/S-xNI1_f_normal.jpg")</f>
        <v>https://pbs.twimg.com/profile_images/1697625748268253184/S-xNI1_f_normal.jpg</v>
      </c>
      <c r="AW3575" s="93" t="s">
        <v>21700</v>
      </c>
      <c r="AX3575" s="93" t="s">
        <v>22474</v>
      </c>
      <c r="AY3575" s="93" t="s">
        <v>22638</v>
      </c>
      <c r="AZ3575" s="93" t="s">
        <v>22764</v>
      </c>
      <c r="BA3575" s="93" t="s">
        <v>22668</v>
      </c>
      <c r="BB3575" s="93" t="s">
        <v>22668</v>
      </c>
      <c r="BC3575" s="93" t="s">
        <v>22764</v>
      </c>
      <c r="BD3575" s="87">
        <v>71636822</v>
      </c>
      <c r="BE3575" s="87"/>
      <c r="BF3575" s="87"/>
      <c r="BG3575" s="87"/>
      <c r="BH3575" s="87"/>
      <c r="BI3575" s="87"/>
    </row>
    <row r="3576" spans="1:61" x14ac:dyDescent="0.25">
      <c r="A3576" s="63" t="s">
        <v>1362</v>
      </c>
      <c r="B3576" s="63" t="s">
        <v>1362</v>
      </c>
      <c r="C3576" s="64"/>
      <c r="D3576" s="65"/>
      <c r="E3576" s="66"/>
      <c r="F3576" s="67"/>
      <c r="G3576" s="64"/>
      <c r="H3576" s="68"/>
      <c r="I3576" s="69"/>
      <c r="J3576" s="69"/>
      <c r="K3576" s="32"/>
      <c r="L3576" s="76">
        <v>3576</v>
      </c>
      <c r="M3576" s="76"/>
      <c r="N3576" s="71"/>
      <c r="O3576" s="87" t="s">
        <v>1840</v>
      </c>
      <c r="P3576" s="90">
        <v>45140.927719907406</v>
      </c>
      <c r="Q3576" s="87" t="s">
        <v>5249</v>
      </c>
      <c r="R3576" s="87">
        <v>0</v>
      </c>
      <c r="S3576" s="87">
        <v>0</v>
      </c>
      <c r="T3576" s="87">
        <v>0</v>
      </c>
      <c r="U3576" s="87">
        <v>0</v>
      </c>
      <c r="V3576" s="87">
        <v>161</v>
      </c>
      <c r="W3576" s="93" t="s">
        <v>7936</v>
      </c>
      <c r="X3576" s="92" t="str">
        <f>HYPERLINK("http://accmail.co/jeemfb")</f>
        <v>http://accmail.co/jeemfb</v>
      </c>
      <c r="Y3576" s="87" t="s">
        <v>8533</v>
      </c>
      <c r="Z3576" s="87"/>
      <c r="AA3576" s="87"/>
      <c r="AB3576" s="87"/>
      <c r="AC3576" s="93" t="s">
        <v>11457</v>
      </c>
      <c r="AD3576" s="87" t="s">
        <v>11519</v>
      </c>
      <c r="AE3576" s="92" t="str">
        <f>HYPERLINK("https://twitter.com/acccancercenter/status/1686863426037878784")</f>
        <v>https://twitter.com/acccancercenter/status/1686863426037878784</v>
      </c>
      <c r="AF3576" s="90">
        <v>45140.927719907406</v>
      </c>
      <c r="AG3576" s="99">
        <v>45140</v>
      </c>
      <c r="AH3576" s="93" t="s">
        <v>14702</v>
      </c>
      <c r="AI3576" s="87" t="b">
        <v>0</v>
      </c>
      <c r="AJ3576" s="87"/>
      <c r="AK3576" s="87"/>
      <c r="AL3576" s="87"/>
      <c r="AM3576" s="87"/>
      <c r="AN3576" s="87"/>
      <c r="AO3576" s="87"/>
      <c r="AP3576" s="87"/>
      <c r="AQ3576" s="87"/>
      <c r="AR3576" s="87"/>
      <c r="AS3576" s="87"/>
      <c r="AT3576" s="87"/>
      <c r="AU3576" s="87"/>
      <c r="AV3576" s="92" t="str">
        <f>HYPERLINK("https://pbs.twimg.com/profile_images/1697625748268253184/S-xNI1_f_normal.jpg")</f>
        <v>https://pbs.twimg.com/profile_images/1697625748268253184/S-xNI1_f_normal.jpg</v>
      </c>
      <c r="AW3576" s="93" t="s">
        <v>21701</v>
      </c>
      <c r="AX3576" s="93" t="s">
        <v>22475</v>
      </c>
      <c r="AY3576" s="93" t="s">
        <v>22638</v>
      </c>
      <c r="AZ3576" s="93" t="s">
        <v>22765</v>
      </c>
      <c r="BA3576" s="93" t="s">
        <v>22668</v>
      </c>
      <c r="BB3576" s="93" t="s">
        <v>22668</v>
      </c>
      <c r="BC3576" s="93" t="s">
        <v>22765</v>
      </c>
      <c r="BD3576" s="87">
        <v>71636822</v>
      </c>
      <c r="BE3576" s="87"/>
      <c r="BF3576" s="87"/>
      <c r="BG3576" s="87"/>
      <c r="BH3576" s="87"/>
      <c r="BI3576" s="87"/>
    </row>
    <row r="3577" spans="1:61" x14ac:dyDescent="0.25">
      <c r="A3577" s="63" t="s">
        <v>1363</v>
      </c>
      <c r="B3577" s="63" t="s">
        <v>1363</v>
      </c>
      <c r="C3577" s="64"/>
      <c r="D3577" s="65"/>
      <c r="E3577" s="66"/>
      <c r="F3577" s="67"/>
      <c r="G3577" s="64"/>
      <c r="H3577" s="68"/>
      <c r="I3577" s="69"/>
      <c r="J3577" s="69"/>
      <c r="K3577" s="32"/>
      <c r="L3577" s="76">
        <v>3577</v>
      </c>
      <c r="M3577" s="76"/>
      <c r="N3577" s="71"/>
      <c r="O3577" s="87" t="s">
        <v>179</v>
      </c>
      <c r="P3577" s="90">
        <v>45113.444548611114</v>
      </c>
      <c r="Q3577" s="87" t="s">
        <v>5250</v>
      </c>
      <c r="R3577" s="87">
        <v>0</v>
      </c>
      <c r="S3577" s="87">
        <v>0</v>
      </c>
      <c r="T3577" s="87">
        <v>0</v>
      </c>
      <c r="U3577" s="87">
        <v>0</v>
      </c>
      <c r="V3577" s="87">
        <v>11</v>
      </c>
      <c r="W3577" s="93" t="s">
        <v>7937</v>
      </c>
      <c r="X3577" s="92" t="str">
        <f>HYPERLINK("https://hss-consulting.com.br/curso-prospeccao-consultiva/")</f>
        <v>https://hss-consulting.com.br/curso-prospeccao-consultiva/</v>
      </c>
      <c r="Y3577" s="87" t="s">
        <v>8373</v>
      </c>
      <c r="Z3577" s="87"/>
      <c r="AA3577" s="87" t="s">
        <v>11073</v>
      </c>
      <c r="AB3577" s="87" t="s">
        <v>11448</v>
      </c>
      <c r="AC3577" s="93" t="s">
        <v>11460</v>
      </c>
      <c r="AD3577" s="87" t="s">
        <v>11520</v>
      </c>
      <c r="AE3577" s="92" t="str">
        <f>HYPERLINK("https://twitter.com/hss_vendamais/status/1676903856855470082")</f>
        <v>https://twitter.com/hss_vendamais/status/1676903856855470082</v>
      </c>
      <c r="AF3577" s="90">
        <v>45113.444548611114</v>
      </c>
      <c r="AG3577" s="99">
        <v>45113</v>
      </c>
      <c r="AH3577" s="93" t="s">
        <v>14703</v>
      </c>
      <c r="AI3577" s="87" t="b">
        <v>0</v>
      </c>
      <c r="AJ3577" s="87"/>
      <c r="AK3577" s="87"/>
      <c r="AL3577" s="87"/>
      <c r="AM3577" s="87"/>
      <c r="AN3577" s="87"/>
      <c r="AO3577" s="87"/>
      <c r="AP3577" s="87"/>
      <c r="AQ3577" s="87" t="s">
        <v>17885</v>
      </c>
      <c r="AR3577" s="87"/>
      <c r="AS3577" s="87"/>
      <c r="AT3577" s="87"/>
      <c r="AU3577" s="87"/>
      <c r="AV3577" s="92" t="str">
        <f>HYPERLINK("https://pbs.twimg.com/media/F0WPK98X0AEB3Ck.jpg")</f>
        <v>https://pbs.twimg.com/media/F0WPK98X0AEB3Ck.jpg</v>
      </c>
      <c r="AW3577" s="93" t="s">
        <v>21702</v>
      </c>
      <c r="AX3577" s="93" t="s">
        <v>21702</v>
      </c>
      <c r="AY3577" s="87"/>
      <c r="AZ3577" s="93" t="s">
        <v>22668</v>
      </c>
      <c r="BA3577" s="93" t="s">
        <v>22668</v>
      </c>
      <c r="BB3577" s="93" t="s">
        <v>22668</v>
      </c>
      <c r="BC3577" s="93" t="s">
        <v>21702</v>
      </c>
      <c r="BD3577" s="93" t="s">
        <v>23455</v>
      </c>
      <c r="BE3577" s="87"/>
      <c r="BF3577" s="87"/>
      <c r="BG3577" s="87"/>
      <c r="BH3577" s="87"/>
      <c r="BI3577" s="87"/>
    </row>
    <row r="3578" spans="1:61" x14ac:dyDescent="0.25">
      <c r="A3578" s="63" t="s">
        <v>1363</v>
      </c>
      <c r="B3578" s="63" t="s">
        <v>1363</v>
      </c>
      <c r="C3578" s="64"/>
      <c r="D3578" s="65"/>
      <c r="E3578" s="66"/>
      <c r="F3578" s="67"/>
      <c r="G3578" s="64"/>
      <c r="H3578" s="68"/>
      <c r="I3578" s="69"/>
      <c r="J3578" s="69"/>
      <c r="K3578" s="32"/>
      <c r="L3578" s="76">
        <v>3578</v>
      </c>
      <c r="M3578" s="76"/>
      <c r="N3578" s="71"/>
      <c r="O3578" s="87" t="s">
        <v>179</v>
      </c>
      <c r="P3578" s="90">
        <v>45125.444826388892</v>
      </c>
      <c r="Q3578" s="87" t="s">
        <v>5251</v>
      </c>
      <c r="R3578" s="87">
        <v>0</v>
      </c>
      <c r="S3578" s="87">
        <v>0</v>
      </c>
      <c r="T3578" s="87">
        <v>0</v>
      </c>
      <c r="U3578" s="87">
        <v>0</v>
      </c>
      <c r="V3578" s="87">
        <v>14</v>
      </c>
      <c r="W3578" s="93" t="s">
        <v>7937</v>
      </c>
      <c r="X3578" s="92" t="str">
        <f>HYPERLINK("https://hss-consulting.com.br/resiliencia/")</f>
        <v>https://hss-consulting.com.br/resiliencia/</v>
      </c>
      <c r="Y3578" s="87" t="s">
        <v>8373</v>
      </c>
      <c r="Z3578" s="87"/>
      <c r="AA3578" s="87" t="s">
        <v>11074</v>
      </c>
      <c r="AB3578" s="87" t="s">
        <v>11448</v>
      </c>
      <c r="AC3578" s="93" t="s">
        <v>11460</v>
      </c>
      <c r="AD3578" s="87" t="s">
        <v>11519</v>
      </c>
      <c r="AE3578" s="92" t="str">
        <f>HYPERLINK("https://twitter.com/hss_vendamais/status/1681252609955450881")</f>
        <v>https://twitter.com/hss_vendamais/status/1681252609955450881</v>
      </c>
      <c r="AF3578" s="90">
        <v>45125.444826388892</v>
      </c>
      <c r="AG3578" s="99">
        <v>45125</v>
      </c>
      <c r="AH3578" s="93" t="s">
        <v>14704</v>
      </c>
      <c r="AI3578" s="87" t="b">
        <v>0</v>
      </c>
      <c r="AJ3578" s="87"/>
      <c r="AK3578" s="87"/>
      <c r="AL3578" s="87"/>
      <c r="AM3578" s="87"/>
      <c r="AN3578" s="87"/>
      <c r="AO3578" s="87"/>
      <c r="AP3578" s="87"/>
      <c r="AQ3578" s="87" t="s">
        <v>17886</v>
      </c>
      <c r="AR3578" s="87"/>
      <c r="AS3578" s="87"/>
      <c r="AT3578" s="87"/>
      <c r="AU3578" s="87"/>
      <c r="AV3578" s="92" t="str">
        <f>HYPERLINK("https://pbs.twimg.com/media/F1UCVr3WYAAw3Tv.jpg")</f>
        <v>https://pbs.twimg.com/media/F1UCVr3WYAAw3Tv.jpg</v>
      </c>
      <c r="AW3578" s="93" t="s">
        <v>21703</v>
      </c>
      <c r="AX3578" s="93" t="s">
        <v>21703</v>
      </c>
      <c r="AY3578" s="87"/>
      <c r="AZ3578" s="93" t="s">
        <v>22668</v>
      </c>
      <c r="BA3578" s="93" t="s">
        <v>22668</v>
      </c>
      <c r="BB3578" s="93" t="s">
        <v>22668</v>
      </c>
      <c r="BC3578" s="93" t="s">
        <v>21703</v>
      </c>
      <c r="BD3578" s="93" t="s">
        <v>23455</v>
      </c>
      <c r="BE3578" s="87"/>
      <c r="BF3578" s="87"/>
      <c r="BG3578" s="87"/>
      <c r="BH3578" s="87"/>
      <c r="BI3578" s="87"/>
    </row>
    <row r="3579" spans="1:61" x14ac:dyDescent="0.25">
      <c r="A3579" s="63" t="s">
        <v>1363</v>
      </c>
      <c r="B3579" s="63" t="s">
        <v>1363</v>
      </c>
      <c r="C3579" s="64"/>
      <c r="D3579" s="65"/>
      <c r="E3579" s="66"/>
      <c r="F3579" s="67"/>
      <c r="G3579" s="64"/>
      <c r="H3579" s="68"/>
      <c r="I3579" s="69"/>
      <c r="J3579" s="69"/>
      <c r="K3579" s="32"/>
      <c r="L3579" s="76">
        <v>3579</v>
      </c>
      <c r="M3579" s="76"/>
      <c r="N3579" s="71"/>
      <c r="O3579" s="87" t="s">
        <v>179</v>
      </c>
      <c r="P3579" s="90">
        <v>45118.444513888891</v>
      </c>
      <c r="Q3579" s="87" t="s">
        <v>5252</v>
      </c>
      <c r="R3579" s="87">
        <v>0</v>
      </c>
      <c r="S3579" s="87">
        <v>0</v>
      </c>
      <c r="T3579" s="87">
        <v>0</v>
      </c>
      <c r="U3579" s="87">
        <v>0</v>
      </c>
      <c r="V3579" s="87">
        <v>11</v>
      </c>
      <c r="W3579" s="93" t="s">
        <v>7937</v>
      </c>
      <c r="X3579" s="92" t="str">
        <f>HYPERLINK("https://hss-consulting.com.br/inovacao-em-vendas/")</f>
        <v>https://hss-consulting.com.br/inovacao-em-vendas/</v>
      </c>
      <c r="Y3579" s="87" t="s">
        <v>8373</v>
      </c>
      <c r="Z3579" s="87"/>
      <c r="AA3579" s="87" t="s">
        <v>11075</v>
      </c>
      <c r="AB3579" s="87" t="s">
        <v>11448</v>
      </c>
      <c r="AC3579" s="93" t="s">
        <v>11460</v>
      </c>
      <c r="AD3579" s="87" t="s">
        <v>11519</v>
      </c>
      <c r="AE3579" s="92" t="str">
        <f>HYPERLINK("https://twitter.com/hss_vendamais/status/1678715782388236289")</f>
        <v>https://twitter.com/hss_vendamais/status/1678715782388236289</v>
      </c>
      <c r="AF3579" s="90">
        <v>45118.444513888891</v>
      </c>
      <c r="AG3579" s="99">
        <v>45118</v>
      </c>
      <c r="AH3579" s="93" t="s">
        <v>14705</v>
      </c>
      <c r="AI3579" s="87" t="b">
        <v>0</v>
      </c>
      <c r="AJ3579" s="87"/>
      <c r="AK3579" s="87"/>
      <c r="AL3579" s="87"/>
      <c r="AM3579" s="87"/>
      <c r="AN3579" s="87"/>
      <c r="AO3579" s="87"/>
      <c r="AP3579" s="87"/>
      <c r="AQ3579" s="87" t="s">
        <v>17887</v>
      </c>
      <c r="AR3579" s="87"/>
      <c r="AS3579" s="87"/>
      <c r="AT3579" s="87"/>
      <c r="AU3579" s="87"/>
      <c r="AV3579" s="92" t="str">
        <f>HYPERLINK("https://pbs.twimg.com/media/F0v_G5wWIAIIc0h.jpg")</f>
        <v>https://pbs.twimg.com/media/F0v_G5wWIAIIc0h.jpg</v>
      </c>
      <c r="AW3579" s="93" t="s">
        <v>21704</v>
      </c>
      <c r="AX3579" s="93" t="s">
        <v>21704</v>
      </c>
      <c r="AY3579" s="87"/>
      <c r="AZ3579" s="93" t="s">
        <v>22668</v>
      </c>
      <c r="BA3579" s="93" t="s">
        <v>22668</v>
      </c>
      <c r="BB3579" s="93" t="s">
        <v>22668</v>
      </c>
      <c r="BC3579" s="93" t="s">
        <v>21704</v>
      </c>
      <c r="BD3579" s="93" t="s">
        <v>23455</v>
      </c>
      <c r="BE3579" s="87"/>
      <c r="BF3579" s="87"/>
      <c r="BG3579" s="87"/>
      <c r="BH3579" s="87"/>
      <c r="BI3579" s="87"/>
    </row>
    <row r="3580" spans="1:61" x14ac:dyDescent="0.25">
      <c r="A3580" s="63" t="s">
        <v>1364</v>
      </c>
      <c r="B3580" s="63" t="s">
        <v>1364</v>
      </c>
      <c r="C3580" s="64"/>
      <c r="D3580" s="65"/>
      <c r="E3580" s="66"/>
      <c r="F3580" s="67"/>
      <c r="G3580" s="64"/>
      <c r="H3580" s="68"/>
      <c r="I3580" s="69"/>
      <c r="J3580" s="69"/>
      <c r="K3580" s="32"/>
      <c r="L3580" s="76">
        <v>3580</v>
      </c>
      <c r="M3580" s="76"/>
      <c r="N3580" s="71"/>
      <c r="O3580" s="87" t="s">
        <v>179</v>
      </c>
      <c r="P3580" s="90">
        <v>45114.084120370368</v>
      </c>
      <c r="Q3580" s="87" t="s">
        <v>5253</v>
      </c>
      <c r="R3580" s="87">
        <v>0</v>
      </c>
      <c r="S3580" s="87">
        <v>2</v>
      </c>
      <c r="T3580" s="87">
        <v>0</v>
      </c>
      <c r="U3580" s="87">
        <v>0</v>
      </c>
      <c r="V3580" s="87">
        <v>19</v>
      </c>
      <c r="W3580" s="93" t="s">
        <v>6467</v>
      </c>
      <c r="X3580" s="87"/>
      <c r="Y3580" s="87"/>
      <c r="Z3580" s="87"/>
      <c r="AA3580" s="87" t="s">
        <v>11076</v>
      </c>
      <c r="AB3580" s="87" t="s">
        <v>11447</v>
      </c>
      <c r="AC3580" s="93" t="s">
        <v>11459</v>
      </c>
      <c r="AD3580" s="87" t="s">
        <v>11518</v>
      </c>
      <c r="AE3580" s="92" t="str">
        <f>HYPERLINK("https://twitter.com/nelberezende/status/1677135628096483329")</f>
        <v>https://twitter.com/nelberezende/status/1677135628096483329</v>
      </c>
      <c r="AF3580" s="90">
        <v>45114.084120370368</v>
      </c>
      <c r="AG3580" s="99">
        <v>45114</v>
      </c>
      <c r="AH3580" s="93" t="s">
        <v>14706</v>
      </c>
      <c r="AI3580" s="87" t="b">
        <v>0</v>
      </c>
      <c r="AJ3580" s="87"/>
      <c r="AK3580" s="87"/>
      <c r="AL3580" s="87"/>
      <c r="AM3580" s="87"/>
      <c r="AN3580" s="87"/>
      <c r="AO3580" s="87"/>
      <c r="AP3580" s="87"/>
      <c r="AQ3580" s="87" t="s">
        <v>17888</v>
      </c>
      <c r="AR3580" s="87">
        <v>16033</v>
      </c>
      <c r="AS3580" s="87"/>
      <c r="AT3580" s="87"/>
      <c r="AU3580" s="87"/>
      <c r="AV3580" s="92" t="str">
        <f>HYPERLINK("https://pbs.twimg.com/ext_tw_video_thumb/1677135602712555521/pu/img/_ulbYmk5XhTfWlM7.jpg")</f>
        <v>https://pbs.twimg.com/ext_tw_video_thumb/1677135602712555521/pu/img/_ulbYmk5XhTfWlM7.jpg</v>
      </c>
      <c r="AW3580" s="93" t="s">
        <v>21705</v>
      </c>
      <c r="AX3580" s="93" t="s">
        <v>21705</v>
      </c>
      <c r="AY3580" s="87"/>
      <c r="AZ3580" s="93" t="s">
        <v>22668</v>
      </c>
      <c r="BA3580" s="93" t="s">
        <v>22668</v>
      </c>
      <c r="BB3580" s="93" t="s">
        <v>22668</v>
      </c>
      <c r="BC3580" s="93" t="s">
        <v>21705</v>
      </c>
      <c r="BD3580" s="93" t="s">
        <v>23456</v>
      </c>
      <c r="BE3580" s="87"/>
      <c r="BF3580" s="87"/>
      <c r="BG3580" s="87"/>
      <c r="BH3580" s="87"/>
      <c r="BI3580" s="87"/>
    </row>
    <row r="3581" spans="1:61" x14ac:dyDescent="0.25">
      <c r="A3581" s="63" t="s">
        <v>1364</v>
      </c>
      <c r="B3581" s="63" t="s">
        <v>1364</v>
      </c>
      <c r="C3581" s="64"/>
      <c r="D3581" s="65"/>
      <c r="E3581" s="66"/>
      <c r="F3581" s="67"/>
      <c r="G3581" s="64"/>
      <c r="H3581" s="68"/>
      <c r="I3581" s="69"/>
      <c r="J3581" s="69"/>
      <c r="K3581" s="32"/>
      <c r="L3581" s="76">
        <v>3581</v>
      </c>
      <c r="M3581" s="76"/>
      <c r="N3581" s="71"/>
      <c r="O3581" s="87" t="s">
        <v>179</v>
      </c>
      <c r="P3581" s="90">
        <v>45146.945439814815</v>
      </c>
      <c r="Q3581" s="87" t="s">
        <v>5254</v>
      </c>
      <c r="R3581" s="87">
        <v>0</v>
      </c>
      <c r="S3581" s="87">
        <v>2</v>
      </c>
      <c r="T3581" s="87">
        <v>0</v>
      </c>
      <c r="U3581" s="87">
        <v>0</v>
      </c>
      <c r="V3581" s="87">
        <v>15</v>
      </c>
      <c r="W3581" s="93" t="s">
        <v>7938</v>
      </c>
      <c r="X3581" s="87"/>
      <c r="Y3581" s="87"/>
      <c r="Z3581" s="87"/>
      <c r="AA3581" s="87" t="s">
        <v>11077</v>
      </c>
      <c r="AB3581" s="87" t="s">
        <v>11447</v>
      </c>
      <c r="AC3581" s="93" t="s">
        <v>11459</v>
      </c>
      <c r="AD3581" s="87" t="s">
        <v>11518</v>
      </c>
      <c r="AE3581" s="92" t="str">
        <f>HYPERLINK("https://twitter.com/nelberezende/status/1689044171682631680")</f>
        <v>https://twitter.com/nelberezende/status/1689044171682631680</v>
      </c>
      <c r="AF3581" s="90">
        <v>45146.945439814815</v>
      </c>
      <c r="AG3581" s="99">
        <v>45146</v>
      </c>
      <c r="AH3581" s="93" t="s">
        <v>14707</v>
      </c>
      <c r="AI3581" s="87" t="b">
        <v>0</v>
      </c>
      <c r="AJ3581" s="87"/>
      <c r="AK3581" s="87"/>
      <c r="AL3581" s="87"/>
      <c r="AM3581" s="87"/>
      <c r="AN3581" s="87"/>
      <c r="AO3581" s="87"/>
      <c r="AP3581" s="87"/>
      <c r="AQ3581" s="87" t="s">
        <v>17889</v>
      </c>
      <c r="AR3581" s="87">
        <v>45000</v>
      </c>
      <c r="AS3581" s="87"/>
      <c r="AT3581" s="87"/>
      <c r="AU3581" s="87"/>
      <c r="AV3581" s="92" t="str">
        <f>HYPERLINK("https://pbs.twimg.com/ext_tw_video_thumb/1689044131950055424/pu/img/haze_vIL_-cRhrb6.jpg")</f>
        <v>https://pbs.twimg.com/ext_tw_video_thumb/1689044131950055424/pu/img/haze_vIL_-cRhrb6.jpg</v>
      </c>
      <c r="AW3581" s="93" t="s">
        <v>21706</v>
      </c>
      <c r="AX3581" s="93" t="s">
        <v>21706</v>
      </c>
      <c r="AY3581" s="87"/>
      <c r="AZ3581" s="93" t="s">
        <v>22668</v>
      </c>
      <c r="BA3581" s="93" t="s">
        <v>22668</v>
      </c>
      <c r="BB3581" s="93" t="s">
        <v>22668</v>
      </c>
      <c r="BC3581" s="93" t="s">
        <v>21706</v>
      </c>
      <c r="BD3581" s="93" t="s">
        <v>23456</v>
      </c>
      <c r="BE3581" s="87"/>
      <c r="BF3581" s="87"/>
      <c r="BG3581" s="87"/>
      <c r="BH3581" s="87"/>
      <c r="BI3581" s="87"/>
    </row>
    <row r="3582" spans="1:61" x14ac:dyDescent="0.25">
      <c r="A3582" s="63" t="s">
        <v>1364</v>
      </c>
      <c r="B3582" s="63" t="s">
        <v>1364</v>
      </c>
      <c r="C3582" s="64"/>
      <c r="D3582" s="65"/>
      <c r="E3582" s="66"/>
      <c r="F3582" s="67"/>
      <c r="G3582" s="64"/>
      <c r="H3582" s="68"/>
      <c r="I3582" s="69"/>
      <c r="J3582" s="69"/>
      <c r="K3582" s="32"/>
      <c r="L3582" s="76">
        <v>3582</v>
      </c>
      <c r="M3582" s="76"/>
      <c r="N3582" s="71"/>
      <c r="O3582" s="87" t="s">
        <v>179</v>
      </c>
      <c r="P3582" s="90">
        <v>45160.929548611108</v>
      </c>
      <c r="Q3582" s="87" t="s">
        <v>5255</v>
      </c>
      <c r="R3582" s="87">
        <v>0</v>
      </c>
      <c r="S3582" s="87">
        <v>2</v>
      </c>
      <c r="T3582" s="87">
        <v>0</v>
      </c>
      <c r="U3582" s="87">
        <v>0</v>
      </c>
      <c r="V3582" s="87">
        <v>9</v>
      </c>
      <c r="W3582" s="93" t="s">
        <v>7939</v>
      </c>
      <c r="X3582" s="87"/>
      <c r="Y3582" s="87"/>
      <c r="Z3582" s="87"/>
      <c r="AA3582" s="87" t="s">
        <v>11078</v>
      </c>
      <c r="AB3582" s="87" t="s">
        <v>11447</v>
      </c>
      <c r="AC3582" s="93" t="s">
        <v>11459</v>
      </c>
      <c r="AD3582" s="87" t="s">
        <v>11519</v>
      </c>
      <c r="AE3582" s="92" t="str">
        <f>HYPERLINK("https://twitter.com/nelberezende/status/1694111845676724250")</f>
        <v>https://twitter.com/nelberezende/status/1694111845676724250</v>
      </c>
      <c r="AF3582" s="90">
        <v>45160.929548611108</v>
      </c>
      <c r="AG3582" s="99">
        <v>45160</v>
      </c>
      <c r="AH3582" s="93" t="s">
        <v>14708</v>
      </c>
      <c r="AI3582" s="87" t="b">
        <v>0</v>
      </c>
      <c r="AJ3582" s="87"/>
      <c r="AK3582" s="87"/>
      <c r="AL3582" s="87"/>
      <c r="AM3582" s="87"/>
      <c r="AN3582" s="87"/>
      <c r="AO3582" s="87"/>
      <c r="AP3582" s="87"/>
      <c r="AQ3582" s="87" t="s">
        <v>17890</v>
      </c>
      <c r="AR3582" s="87">
        <v>19066</v>
      </c>
      <c r="AS3582" s="87"/>
      <c r="AT3582" s="87"/>
      <c r="AU3582" s="87"/>
      <c r="AV3582" s="92" t="str">
        <f>HYPERLINK("https://pbs.twimg.com/ext_tw_video_thumb/1694111812524871680/pu/img/g-SPod-5xd_P69dU.jpg")</f>
        <v>https://pbs.twimg.com/ext_tw_video_thumb/1694111812524871680/pu/img/g-SPod-5xd_P69dU.jpg</v>
      </c>
      <c r="AW3582" s="93" t="s">
        <v>21707</v>
      </c>
      <c r="AX3582" s="93" t="s">
        <v>21707</v>
      </c>
      <c r="AY3582" s="87"/>
      <c r="AZ3582" s="93" t="s">
        <v>22668</v>
      </c>
      <c r="BA3582" s="93" t="s">
        <v>22668</v>
      </c>
      <c r="BB3582" s="93" t="s">
        <v>22668</v>
      </c>
      <c r="BC3582" s="93" t="s">
        <v>21707</v>
      </c>
      <c r="BD3582" s="93" t="s">
        <v>23456</v>
      </c>
      <c r="BE3582" s="87"/>
      <c r="BF3582" s="87"/>
      <c r="BG3582" s="87"/>
      <c r="BH3582" s="87"/>
      <c r="BI3582" s="87"/>
    </row>
    <row r="3583" spans="1:61" x14ac:dyDescent="0.25">
      <c r="A3583" s="63" t="s">
        <v>1364</v>
      </c>
      <c r="B3583" s="63" t="s">
        <v>1364</v>
      </c>
      <c r="C3583" s="64"/>
      <c r="D3583" s="65"/>
      <c r="E3583" s="66"/>
      <c r="F3583" s="67"/>
      <c r="G3583" s="64"/>
      <c r="H3583" s="68"/>
      <c r="I3583" s="69"/>
      <c r="J3583" s="69"/>
      <c r="K3583" s="32"/>
      <c r="L3583" s="76">
        <v>3583</v>
      </c>
      <c r="M3583" s="76"/>
      <c r="N3583" s="71"/>
      <c r="O3583" s="87" t="s">
        <v>179</v>
      </c>
      <c r="P3583" s="90">
        <v>45174.980879629627</v>
      </c>
      <c r="Q3583" s="87" t="s">
        <v>5256</v>
      </c>
      <c r="R3583" s="87">
        <v>0</v>
      </c>
      <c r="S3583" s="87">
        <v>2</v>
      </c>
      <c r="T3583" s="87">
        <v>0</v>
      </c>
      <c r="U3583" s="87">
        <v>0</v>
      </c>
      <c r="V3583" s="87">
        <v>9</v>
      </c>
      <c r="W3583" s="93" t="s">
        <v>6468</v>
      </c>
      <c r="X3583" s="87"/>
      <c r="Y3583" s="87"/>
      <c r="Z3583" s="87"/>
      <c r="AA3583" s="87" t="s">
        <v>11079</v>
      </c>
      <c r="AB3583" s="87" t="s">
        <v>11447</v>
      </c>
      <c r="AC3583" s="93" t="s">
        <v>11459</v>
      </c>
      <c r="AD3583" s="87" t="s">
        <v>11518</v>
      </c>
      <c r="AE3583" s="92" t="str">
        <f>HYPERLINK("https://twitter.com/nelberezende/status/1699203877411664004")</f>
        <v>https://twitter.com/nelberezende/status/1699203877411664004</v>
      </c>
      <c r="AF3583" s="90">
        <v>45174.980879629627</v>
      </c>
      <c r="AG3583" s="99">
        <v>45174</v>
      </c>
      <c r="AH3583" s="93" t="s">
        <v>14709</v>
      </c>
      <c r="AI3583" s="87" t="b">
        <v>0</v>
      </c>
      <c r="AJ3583" s="87"/>
      <c r="AK3583" s="87"/>
      <c r="AL3583" s="87"/>
      <c r="AM3583" s="87"/>
      <c r="AN3583" s="87"/>
      <c r="AO3583" s="87"/>
      <c r="AP3583" s="87"/>
      <c r="AQ3583" s="87" t="s">
        <v>17891</v>
      </c>
      <c r="AR3583" s="87">
        <v>45000</v>
      </c>
      <c r="AS3583" s="87"/>
      <c r="AT3583" s="87"/>
      <c r="AU3583" s="87"/>
      <c r="AV3583" s="92" t="str">
        <f>HYPERLINK("https://pbs.twimg.com/ext_tw_video_thumb/1699203821832966144/pu/img/cLKKIg9SsKoNswf3.jpg")</f>
        <v>https://pbs.twimg.com/ext_tw_video_thumb/1699203821832966144/pu/img/cLKKIg9SsKoNswf3.jpg</v>
      </c>
      <c r="AW3583" s="93" t="s">
        <v>21708</v>
      </c>
      <c r="AX3583" s="93" t="s">
        <v>21708</v>
      </c>
      <c r="AY3583" s="87"/>
      <c r="AZ3583" s="93" t="s">
        <v>22668</v>
      </c>
      <c r="BA3583" s="93" t="s">
        <v>22668</v>
      </c>
      <c r="BB3583" s="93" t="s">
        <v>22668</v>
      </c>
      <c r="BC3583" s="93" t="s">
        <v>21708</v>
      </c>
      <c r="BD3583" s="93" t="s">
        <v>23456</v>
      </c>
      <c r="BE3583" s="87"/>
      <c r="BF3583" s="87"/>
      <c r="BG3583" s="87"/>
      <c r="BH3583" s="87"/>
      <c r="BI3583" s="87"/>
    </row>
    <row r="3584" spans="1:61" x14ac:dyDescent="0.25">
      <c r="A3584" s="63" t="s">
        <v>1364</v>
      </c>
      <c r="B3584" s="63" t="s">
        <v>1364</v>
      </c>
      <c r="C3584" s="64"/>
      <c r="D3584" s="65"/>
      <c r="E3584" s="66"/>
      <c r="F3584" s="67"/>
      <c r="G3584" s="64"/>
      <c r="H3584" s="68"/>
      <c r="I3584" s="69"/>
      <c r="J3584" s="69"/>
      <c r="K3584" s="32"/>
      <c r="L3584" s="76">
        <v>3584</v>
      </c>
      <c r="M3584" s="76"/>
      <c r="N3584" s="71"/>
      <c r="O3584" s="87" t="s">
        <v>179</v>
      </c>
      <c r="P3584" s="90">
        <v>45169.024398148147</v>
      </c>
      <c r="Q3584" s="87" t="s">
        <v>5257</v>
      </c>
      <c r="R3584" s="87">
        <v>0</v>
      </c>
      <c r="S3584" s="87">
        <v>2</v>
      </c>
      <c r="T3584" s="87">
        <v>0</v>
      </c>
      <c r="U3584" s="87">
        <v>0</v>
      </c>
      <c r="V3584" s="87">
        <v>19</v>
      </c>
      <c r="W3584" s="93" t="s">
        <v>6469</v>
      </c>
      <c r="X3584" s="87"/>
      <c r="Y3584" s="87"/>
      <c r="Z3584" s="87"/>
      <c r="AA3584" s="87" t="s">
        <v>11080</v>
      </c>
      <c r="AB3584" s="87" t="s">
        <v>11448</v>
      </c>
      <c r="AC3584" s="93" t="s">
        <v>11459</v>
      </c>
      <c r="AD3584" s="87" t="s">
        <v>11519</v>
      </c>
      <c r="AE3584" s="92" t="str">
        <f>HYPERLINK("https://twitter.com/nelberezende/status/1697045320914370685")</f>
        <v>https://twitter.com/nelberezende/status/1697045320914370685</v>
      </c>
      <c r="AF3584" s="90">
        <v>45169.024398148147</v>
      </c>
      <c r="AG3584" s="99">
        <v>45169</v>
      </c>
      <c r="AH3584" s="93" t="s">
        <v>14710</v>
      </c>
      <c r="AI3584" s="87" t="b">
        <v>0</v>
      </c>
      <c r="AJ3584" s="87"/>
      <c r="AK3584" s="87"/>
      <c r="AL3584" s="87"/>
      <c r="AM3584" s="87"/>
      <c r="AN3584" s="87"/>
      <c r="AO3584" s="87"/>
      <c r="AP3584" s="87"/>
      <c r="AQ3584" s="87" t="s">
        <v>17892</v>
      </c>
      <c r="AR3584" s="87"/>
      <c r="AS3584" s="87"/>
      <c r="AT3584" s="87"/>
      <c r="AU3584" s="87"/>
      <c r="AV3584" s="92" t="str">
        <f>HYPERLINK("https://pbs.twimg.com/media/F40duckXAAAB9OR.jpg")</f>
        <v>https://pbs.twimg.com/media/F40duckXAAAB9OR.jpg</v>
      </c>
      <c r="AW3584" s="93" t="s">
        <v>21709</v>
      </c>
      <c r="AX3584" s="93" t="s">
        <v>21709</v>
      </c>
      <c r="AY3584" s="87"/>
      <c r="AZ3584" s="93" t="s">
        <v>22668</v>
      </c>
      <c r="BA3584" s="93" t="s">
        <v>22668</v>
      </c>
      <c r="BB3584" s="93" t="s">
        <v>22668</v>
      </c>
      <c r="BC3584" s="93" t="s">
        <v>21709</v>
      </c>
      <c r="BD3584" s="93" t="s">
        <v>23456</v>
      </c>
      <c r="BE3584" s="87"/>
      <c r="BF3584" s="87"/>
      <c r="BG3584" s="87"/>
      <c r="BH3584" s="87"/>
      <c r="BI3584" s="87"/>
    </row>
    <row r="3585" spans="1:61" x14ac:dyDescent="0.25">
      <c r="A3585" s="63" t="s">
        <v>1364</v>
      </c>
      <c r="B3585" s="63" t="s">
        <v>1364</v>
      </c>
      <c r="C3585" s="64"/>
      <c r="D3585" s="65"/>
      <c r="E3585" s="66"/>
      <c r="F3585" s="67"/>
      <c r="G3585" s="64"/>
      <c r="H3585" s="68"/>
      <c r="I3585" s="69"/>
      <c r="J3585" s="69"/>
      <c r="K3585" s="32"/>
      <c r="L3585" s="76">
        <v>3585</v>
      </c>
      <c r="M3585" s="76"/>
      <c r="N3585" s="71"/>
      <c r="O3585" s="87" t="s">
        <v>179</v>
      </c>
      <c r="P3585" s="90">
        <v>45154.010208333333</v>
      </c>
      <c r="Q3585" s="87" t="s">
        <v>5258</v>
      </c>
      <c r="R3585" s="87">
        <v>0</v>
      </c>
      <c r="S3585" s="87">
        <v>2</v>
      </c>
      <c r="T3585" s="87">
        <v>0</v>
      </c>
      <c r="U3585" s="87">
        <v>0</v>
      </c>
      <c r="V3585" s="87">
        <v>19</v>
      </c>
      <c r="W3585" s="93" t="s">
        <v>7940</v>
      </c>
      <c r="X3585" s="87"/>
      <c r="Y3585" s="87"/>
      <c r="Z3585" s="87"/>
      <c r="AA3585" s="87" t="s">
        <v>11081</v>
      </c>
      <c r="AB3585" s="87" t="s">
        <v>11448</v>
      </c>
      <c r="AC3585" s="93" t="s">
        <v>11459</v>
      </c>
      <c r="AD3585" s="87" t="s">
        <v>11519</v>
      </c>
      <c r="AE3585" s="92" t="str">
        <f>HYPERLINK("https://twitter.com/nelberezende/status/1691604358733922565")</f>
        <v>https://twitter.com/nelberezende/status/1691604358733922565</v>
      </c>
      <c r="AF3585" s="90">
        <v>45154.010208333333</v>
      </c>
      <c r="AG3585" s="99">
        <v>45154</v>
      </c>
      <c r="AH3585" s="93" t="s">
        <v>14711</v>
      </c>
      <c r="AI3585" s="87" t="b">
        <v>0</v>
      </c>
      <c r="AJ3585" s="87"/>
      <c r="AK3585" s="87"/>
      <c r="AL3585" s="87"/>
      <c r="AM3585" s="87"/>
      <c r="AN3585" s="87"/>
      <c r="AO3585" s="87"/>
      <c r="AP3585" s="87"/>
      <c r="AQ3585" s="87" t="s">
        <v>17893</v>
      </c>
      <c r="AR3585" s="87"/>
      <c r="AS3585" s="87"/>
      <c r="AT3585" s="87"/>
      <c r="AU3585" s="87"/>
      <c r="AV3585" s="92" t="str">
        <f>HYPERLINK("https://pbs.twimg.com/media/F3nJMy8WAAAs8Ce.jpg")</f>
        <v>https://pbs.twimg.com/media/F3nJMy8WAAAs8Ce.jpg</v>
      </c>
      <c r="AW3585" s="93" t="s">
        <v>21710</v>
      </c>
      <c r="AX3585" s="93" t="s">
        <v>21710</v>
      </c>
      <c r="AY3585" s="87"/>
      <c r="AZ3585" s="93" t="s">
        <v>22668</v>
      </c>
      <c r="BA3585" s="93" t="s">
        <v>22668</v>
      </c>
      <c r="BB3585" s="93" t="s">
        <v>22668</v>
      </c>
      <c r="BC3585" s="93" t="s">
        <v>21710</v>
      </c>
      <c r="BD3585" s="93" t="s">
        <v>23456</v>
      </c>
      <c r="BE3585" s="87"/>
      <c r="BF3585" s="87"/>
      <c r="BG3585" s="87"/>
      <c r="BH3585" s="87"/>
      <c r="BI3585" s="87"/>
    </row>
    <row r="3586" spans="1:61" x14ac:dyDescent="0.25">
      <c r="A3586" s="63" t="s">
        <v>1364</v>
      </c>
      <c r="B3586" s="63" t="s">
        <v>1364</v>
      </c>
      <c r="C3586" s="64"/>
      <c r="D3586" s="65"/>
      <c r="E3586" s="66"/>
      <c r="F3586" s="67"/>
      <c r="G3586" s="64"/>
      <c r="H3586" s="68"/>
      <c r="I3586" s="69"/>
      <c r="J3586" s="69"/>
      <c r="K3586" s="32"/>
      <c r="L3586" s="76">
        <v>3586</v>
      </c>
      <c r="M3586" s="76"/>
      <c r="N3586" s="71"/>
      <c r="O3586" s="87" t="s">
        <v>179</v>
      </c>
      <c r="P3586" s="90">
        <v>45127.160567129627</v>
      </c>
      <c r="Q3586" s="87" t="s">
        <v>5259</v>
      </c>
      <c r="R3586" s="87">
        <v>0</v>
      </c>
      <c r="S3586" s="87">
        <v>2</v>
      </c>
      <c r="T3586" s="87">
        <v>0</v>
      </c>
      <c r="U3586" s="87">
        <v>0</v>
      </c>
      <c r="V3586" s="87">
        <v>10</v>
      </c>
      <c r="W3586" s="93" t="s">
        <v>6470</v>
      </c>
      <c r="X3586" s="87"/>
      <c r="Y3586" s="87"/>
      <c r="Z3586" s="87"/>
      <c r="AA3586" s="87" t="s">
        <v>11082</v>
      </c>
      <c r="AB3586" s="87" t="s">
        <v>11448</v>
      </c>
      <c r="AC3586" s="93" t="s">
        <v>11459</v>
      </c>
      <c r="AD3586" s="87" t="s">
        <v>11519</v>
      </c>
      <c r="AE3586" s="92" t="str">
        <f>HYPERLINK("https://twitter.com/nelberezende/status/1681874377522966530")</f>
        <v>https://twitter.com/nelberezende/status/1681874377522966530</v>
      </c>
      <c r="AF3586" s="90">
        <v>45127.160567129627</v>
      </c>
      <c r="AG3586" s="99">
        <v>45127</v>
      </c>
      <c r="AH3586" s="93" t="s">
        <v>14712</v>
      </c>
      <c r="AI3586" s="87" t="b">
        <v>0</v>
      </c>
      <c r="AJ3586" s="87"/>
      <c r="AK3586" s="87"/>
      <c r="AL3586" s="87"/>
      <c r="AM3586" s="87"/>
      <c r="AN3586" s="87"/>
      <c r="AO3586" s="87"/>
      <c r="AP3586" s="87"/>
      <c r="AQ3586" s="87" t="s">
        <v>17894</v>
      </c>
      <c r="AR3586" s="87"/>
      <c r="AS3586" s="87"/>
      <c r="AT3586" s="87"/>
      <c r="AU3586" s="87"/>
      <c r="AV3586" s="92" t="str">
        <f>HYPERLINK("https://pbs.twimg.com/media/F1c31Q-WYAAVyf-.jpg")</f>
        <v>https://pbs.twimg.com/media/F1c31Q-WYAAVyf-.jpg</v>
      </c>
      <c r="AW3586" s="93" t="s">
        <v>21711</v>
      </c>
      <c r="AX3586" s="93" t="s">
        <v>21711</v>
      </c>
      <c r="AY3586" s="87"/>
      <c r="AZ3586" s="93" t="s">
        <v>22668</v>
      </c>
      <c r="BA3586" s="93" t="s">
        <v>22668</v>
      </c>
      <c r="BB3586" s="93" t="s">
        <v>22668</v>
      </c>
      <c r="BC3586" s="93" t="s">
        <v>21711</v>
      </c>
      <c r="BD3586" s="93" t="s">
        <v>23456</v>
      </c>
      <c r="BE3586" s="87"/>
      <c r="BF3586" s="87"/>
      <c r="BG3586" s="87"/>
      <c r="BH3586" s="87"/>
      <c r="BI3586" s="87"/>
    </row>
    <row r="3587" spans="1:61" x14ac:dyDescent="0.25">
      <c r="A3587" s="63" t="s">
        <v>1365</v>
      </c>
      <c r="B3587" s="63" t="s">
        <v>1806</v>
      </c>
      <c r="C3587" s="64"/>
      <c r="D3587" s="65"/>
      <c r="E3587" s="66"/>
      <c r="F3587" s="67"/>
      <c r="G3587" s="64"/>
      <c r="H3587" s="68"/>
      <c r="I3587" s="69"/>
      <c r="J3587" s="69"/>
      <c r="K3587" s="32"/>
      <c r="L3587" s="76">
        <v>3587</v>
      </c>
      <c r="M3587" s="76"/>
      <c r="N3587" s="71"/>
      <c r="O3587" s="87" t="s">
        <v>1839</v>
      </c>
      <c r="P3587" s="90">
        <v>45134.446099537039</v>
      </c>
      <c r="Q3587" s="87" t="s">
        <v>5260</v>
      </c>
      <c r="R3587" s="87">
        <v>0</v>
      </c>
      <c r="S3587" s="87">
        <v>2</v>
      </c>
      <c r="T3587" s="87">
        <v>0</v>
      </c>
      <c r="U3587" s="87">
        <v>0</v>
      </c>
      <c r="V3587" s="87">
        <v>254</v>
      </c>
      <c r="W3587" s="93" t="s">
        <v>7941</v>
      </c>
      <c r="X3587" s="87"/>
      <c r="Y3587" s="87"/>
      <c r="Z3587" s="87" t="s">
        <v>8619</v>
      </c>
      <c r="AA3587" s="87" t="s">
        <v>11083</v>
      </c>
      <c r="AB3587" s="87" t="s">
        <v>11449</v>
      </c>
      <c r="AC3587" s="93" t="s">
        <v>11457</v>
      </c>
      <c r="AD3587" s="87" t="s">
        <v>11519</v>
      </c>
      <c r="AE3587" s="92" t="str">
        <f>HYPERLINK("https://twitter.com/fc_ul/status/1684514562974908416")</f>
        <v>https://twitter.com/fc_ul/status/1684514562974908416</v>
      </c>
      <c r="AF3587" s="90">
        <v>45134.446099537039</v>
      </c>
      <c r="AG3587" s="99">
        <v>45134</v>
      </c>
      <c r="AH3587" s="93" t="s">
        <v>14713</v>
      </c>
      <c r="AI3587" s="87" t="b">
        <v>0</v>
      </c>
      <c r="AJ3587" s="87"/>
      <c r="AK3587" s="87"/>
      <c r="AL3587" s="87"/>
      <c r="AM3587" s="87"/>
      <c r="AN3587" s="87"/>
      <c r="AO3587" s="87"/>
      <c r="AP3587" s="87"/>
      <c r="AQ3587" s="87" t="s">
        <v>17895</v>
      </c>
      <c r="AR3587" s="87"/>
      <c r="AS3587" s="87"/>
      <c r="AT3587" s="87"/>
      <c r="AU3587" s="87"/>
      <c r="AV3587" s="92" t="str">
        <f>HYPERLINK("https://pbs.twimg.com/media/F2CXw2YX0AAmfpB.jpg")</f>
        <v>https://pbs.twimg.com/media/F2CXw2YX0AAmfpB.jpg</v>
      </c>
      <c r="AW3587" s="93" t="s">
        <v>21712</v>
      </c>
      <c r="AX3587" s="93" t="s">
        <v>21712</v>
      </c>
      <c r="AY3587" s="87"/>
      <c r="AZ3587" s="93" t="s">
        <v>22668</v>
      </c>
      <c r="BA3587" s="93" t="s">
        <v>22668</v>
      </c>
      <c r="BB3587" s="93" t="s">
        <v>22668</v>
      </c>
      <c r="BC3587" s="93" t="s">
        <v>21712</v>
      </c>
      <c r="BD3587" s="87">
        <v>169913717</v>
      </c>
      <c r="BE3587" s="87"/>
      <c r="BF3587" s="87"/>
      <c r="BG3587" s="87"/>
      <c r="BH3587" s="87"/>
      <c r="BI3587" s="87"/>
    </row>
    <row r="3588" spans="1:61" x14ac:dyDescent="0.25">
      <c r="A3588" s="63" t="s">
        <v>1365</v>
      </c>
      <c r="B3588" s="63" t="s">
        <v>1807</v>
      </c>
      <c r="C3588" s="64"/>
      <c r="D3588" s="65"/>
      <c r="E3588" s="66"/>
      <c r="F3588" s="67"/>
      <c r="G3588" s="64"/>
      <c r="H3588" s="68"/>
      <c r="I3588" s="69"/>
      <c r="J3588" s="69"/>
      <c r="K3588" s="32"/>
      <c r="L3588" s="76">
        <v>3588</v>
      </c>
      <c r="M3588" s="76"/>
      <c r="N3588" s="71"/>
      <c r="O3588" s="87" t="s">
        <v>1839</v>
      </c>
      <c r="P3588" s="90">
        <v>45134.446099537039</v>
      </c>
      <c r="Q3588" s="87" t="s">
        <v>5260</v>
      </c>
      <c r="R3588" s="87">
        <v>0</v>
      </c>
      <c r="S3588" s="87">
        <v>2</v>
      </c>
      <c r="T3588" s="87">
        <v>0</v>
      </c>
      <c r="U3588" s="87">
        <v>0</v>
      </c>
      <c r="V3588" s="87">
        <v>254</v>
      </c>
      <c r="W3588" s="93" t="s">
        <v>7941</v>
      </c>
      <c r="X3588" s="87"/>
      <c r="Y3588" s="87"/>
      <c r="Z3588" s="87" t="s">
        <v>8619</v>
      </c>
      <c r="AA3588" s="87" t="s">
        <v>11083</v>
      </c>
      <c r="AB3588" s="87" t="s">
        <v>11449</v>
      </c>
      <c r="AC3588" s="93" t="s">
        <v>11457</v>
      </c>
      <c r="AD3588" s="87" t="s">
        <v>11519</v>
      </c>
      <c r="AE3588" s="92" t="str">
        <f>HYPERLINK("https://twitter.com/fc_ul/status/1684514562974908416")</f>
        <v>https://twitter.com/fc_ul/status/1684514562974908416</v>
      </c>
      <c r="AF3588" s="90">
        <v>45134.446099537039</v>
      </c>
      <c r="AG3588" s="99">
        <v>45134</v>
      </c>
      <c r="AH3588" s="93" t="s">
        <v>14713</v>
      </c>
      <c r="AI3588" s="87" t="b">
        <v>0</v>
      </c>
      <c r="AJ3588" s="87"/>
      <c r="AK3588" s="87"/>
      <c r="AL3588" s="87"/>
      <c r="AM3588" s="87"/>
      <c r="AN3588" s="87"/>
      <c r="AO3588" s="87"/>
      <c r="AP3588" s="87"/>
      <c r="AQ3588" s="87" t="s">
        <v>17895</v>
      </c>
      <c r="AR3588" s="87"/>
      <c r="AS3588" s="87"/>
      <c r="AT3588" s="87"/>
      <c r="AU3588" s="87"/>
      <c r="AV3588" s="92" t="str">
        <f>HYPERLINK("https://pbs.twimg.com/media/F2CXw2YX0AAmfpB.jpg")</f>
        <v>https://pbs.twimg.com/media/F2CXw2YX0AAmfpB.jpg</v>
      </c>
      <c r="AW3588" s="93" t="s">
        <v>21712</v>
      </c>
      <c r="AX3588" s="93" t="s">
        <v>21712</v>
      </c>
      <c r="AY3588" s="87"/>
      <c r="AZ3588" s="93" t="s">
        <v>22668</v>
      </c>
      <c r="BA3588" s="93" t="s">
        <v>22668</v>
      </c>
      <c r="BB3588" s="93" t="s">
        <v>22668</v>
      </c>
      <c r="BC3588" s="93" t="s">
        <v>21712</v>
      </c>
      <c r="BD3588" s="87">
        <v>169913717</v>
      </c>
      <c r="BE3588" s="87"/>
      <c r="BF3588" s="87"/>
      <c r="BG3588" s="87"/>
      <c r="BH3588" s="87"/>
      <c r="BI3588" s="87"/>
    </row>
    <row r="3589" spans="1:61" x14ac:dyDescent="0.25">
      <c r="A3589" s="63" t="s">
        <v>1365</v>
      </c>
      <c r="B3589" s="63" t="s">
        <v>1808</v>
      </c>
      <c r="C3589" s="64"/>
      <c r="D3589" s="65"/>
      <c r="E3589" s="66"/>
      <c r="F3589" s="67"/>
      <c r="G3589" s="64"/>
      <c r="H3589" s="68"/>
      <c r="I3589" s="69"/>
      <c r="J3589" s="69"/>
      <c r="K3589" s="32"/>
      <c r="L3589" s="76">
        <v>3589</v>
      </c>
      <c r="M3589" s="76"/>
      <c r="N3589" s="71"/>
      <c r="O3589" s="87" t="s">
        <v>1839</v>
      </c>
      <c r="P3589" s="90">
        <v>45134.446099537039</v>
      </c>
      <c r="Q3589" s="87" t="s">
        <v>5260</v>
      </c>
      <c r="R3589" s="87">
        <v>0</v>
      </c>
      <c r="S3589" s="87">
        <v>2</v>
      </c>
      <c r="T3589" s="87">
        <v>0</v>
      </c>
      <c r="U3589" s="87">
        <v>0</v>
      </c>
      <c r="V3589" s="87">
        <v>254</v>
      </c>
      <c r="W3589" s="93" t="s">
        <v>7941</v>
      </c>
      <c r="X3589" s="87"/>
      <c r="Y3589" s="87"/>
      <c r="Z3589" s="87" t="s">
        <v>8619</v>
      </c>
      <c r="AA3589" s="87" t="s">
        <v>11083</v>
      </c>
      <c r="AB3589" s="87" t="s">
        <v>11449</v>
      </c>
      <c r="AC3589" s="93" t="s">
        <v>11457</v>
      </c>
      <c r="AD3589" s="87" t="s">
        <v>11519</v>
      </c>
      <c r="AE3589" s="92" t="str">
        <f>HYPERLINK("https://twitter.com/fc_ul/status/1684514562974908416")</f>
        <v>https://twitter.com/fc_ul/status/1684514562974908416</v>
      </c>
      <c r="AF3589" s="90">
        <v>45134.446099537039</v>
      </c>
      <c r="AG3589" s="99">
        <v>45134</v>
      </c>
      <c r="AH3589" s="93" t="s">
        <v>14713</v>
      </c>
      <c r="AI3589" s="87" t="b">
        <v>0</v>
      </c>
      <c r="AJ3589" s="87"/>
      <c r="AK3589" s="87"/>
      <c r="AL3589" s="87"/>
      <c r="AM3589" s="87"/>
      <c r="AN3589" s="87"/>
      <c r="AO3589" s="87"/>
      <c r="AP3589" s="87"/>
      <c r="AQ3589" s="87" t="s">
        <v>17895</v>
      </c>
      <c r="AR3589" s="87"/>
      <c r="AS3589" s="87"/>
      <c r="AT3589" s="87"/>
      <c r="AU3589" s="87"/>
      <c r="AV3589" s="92" t="str">
        <f>HYPERLINK("https://pbs.twimg.com/media/F2CXw2YX0AAmfpB.jpg")</f>
        <v>https://pbs.twimg.com/media/F2CXw2YX0AAmfpB.jpg</v>
      </c>
      <c r="AW3589" s="93" t="s">
        <v>21712</v>
      </c>
      <c r="AX3589" s="93" t="s">
        <v>21712</v>
      </c>
      <c r="AY3589" s="87"/>
      <c r="AZ3589" s="93" t="s">
        <v>22668</v>
      </c>
      <c r="BA3589" s="93" t="s">
        <v>22668</v>
      </c>
      <c r="BB3589" s="93" t="s">
        <v>22668</v>
      </c>
      <c r="BC3589" s="93" t="s">
        <v>21712</v>
      </c>
      <c r="BD3589" s="87">
        <v>169913717</v>
      </c>
      <c r="BE3589" s="87"/>
      <c r="BF3589" s="87"/>
      <c r="BG3589" s="87"/>
      <c r="BH3589" s="87"/>
      <c r="BI3589" s="87"/>
    </row>
    <row r="3590" spans="1:61" x14ac:dyDescent="0.25">
      <c r="A3590" s="63" t="s">
        <v>1366</v>
      </c>
      <c r="B3590" s="63" t="s">
        <v>1809</v>
      </c>
      <c r="C3590" s="64"/>
      <c r="D3590" s="65"/>
      <c r="E3590" s="66"/>
      <c r="F3590" s="67"/>
      <c r="G3590" s="64"/>
      <c r="H3590" s="68"/>
      <c r="I3590" s="69"/>
      <c r="J3590" s="69"/>
      <c r="K3590" s="32"/>
      <c r="L3590" s="76">
        <v>3590</v>
      </c>
      <c r="M3590" s="76"/>
      <c r="N3590" s="71"/>
      <c r="O3590" s="87" t="s">
        <v>1840</v>
      </c>
      <c r="P3590" s="90">
        <v>45157.027465277781</v>
      </c>
      <c r="Q3590" s="87" t="s">
        <v>5261</v>
      </c>
      <c r="R3590" s="87">
        <v>0</v>
      </c>
      <c r="S3590" s="87">
        <v>0</v>
      </c>
      <c r="T3590" s="87">
        <v>0</v>
      </c>
      <c r="U3590" s="87">
        <v>0</v>
      </c>
      <c r="V3590" s="87">
        <v>13</v>
      </c>
      <c r="W3590" s="93" t="s">
        <v>1737</v>
      </c>
      <c r="X3590" s="87"/>
      <c r="Y3590" s="87"/>
      <c r="Z3590" s="87" t="s">
        <v>1809</v>
      </c>
      <c r="AA3590" s="87"/>
      <c r="AB3590" s="87"/>
      <c r="AC3590" s="93" t="s">
        <v>11459</v>
      </c>
      <c r="AD3590" s="87" t="s">
        <v>11519</v>
      </c>
      <c r="AE3590" s="92" t="str">
        <f>HYPERLINK("https://twitter.com/wyzalecx/status/1692697778898587751")</f>
        <v>https://twitter.com/wyzalecx/status/1692697778898587751</v>
      </c>
      <c r="AF3590" s="90">
        <v>45157.027465277781</v>
      </c>
      <c r="AG3590" s="99">
        <v>45157</v>
      </c>
      <c r="AH3590" s="93" t="s">
        <v>14714</v>
      </c>
      <c r="AI3590" s="87"/>
      <c r="AJ3590" s="87"/>
      <c r="AK3590" s="87"/>
      <c r="AL3590" s="87"/>
      <c r="AM3590" s="87"/>
      <c r="AN3590" s="87"/>
      <c r="AO3590" s="87"/>
      <c r="AP3590" s="87"/>
      <c r="AQ3590" s="87"/>
      <c r="AR3590" s="87"/>
      <c r="AS3590" s="87"/>
      <c r="AT3590" s="87"/>
      <c r="AU3590" s="87"/>
      <c r="AV3590" s="92" t="str">
        <f>HYPERLINK("https://pbs.twimg.com/profile_images/1665217315330195457/RYmUipGt_normal.jpg")</f>
        <v>https://pbs.twimg.com/profile_images/1665217315330195457/RYmUipGt_normal.jpg</v>
      </c>
      <c r="AW3590" s="93" t="s">
        <v>21713</v>
      </c>
      <c r="AX3590" s="93" t="s">
        <v>22476</v>
      </c>
      <c r="AY3590" s="93" t="s">
        <v>22639</v>
      </c>
      <c r="AZ3590" s="93" t="s">
        <v>22476</v>
      </c>
      <c r="BA3590" s="93" t="s">
        <v>22668</v>
      </c>
      <c r="BB3590" s="93" t="s">
        <v>22668</v>
      </c>
      <c r="BC3590" s="93" t="s">
        <v>22476</v>
      </c>
      <c r="BD3590" s="93" t="s">
        <v>23457</v>
      </c>
      <c r="BE3590" s="87"/>
      <c r="BF3590" s="87"/>
      <c r="BG3590" s="87"/>
      <c r="BH3590" s="87"/>
      <c r="BI3590" s="87"/>
    </row>
    <row r="3591" spans="1:61" x14ac:dyDescent="0.25">
      <c r="A3591" s="63" t="s">
        <v>1367</v>
      </c>
      <c r="B3591" s="63" t="s">
        <v>1367</v>
      </c>
      <c r="C3591" s="64"/>
      <c r="D3591" s="65"/>
      <c r="E3591" s="66"/>
      <c r="F3591" s="67"/>
      <c r="G3591" s="64"/>
      <c r="H3591" s="68"/>
      <c r="I3591" s="69"/>
      <c r="J3591" s="69"/>
      <c r="K3591" s="32"/>
      <c r="L3591" s="76">
        <v>3591</v>
      </c>
      <c r="M3591" s="76"/>
      <c r="N3591" s="71"/>
      <c r="O3591" s="87" t="s">
        <v>179</v>
      </c>
      <c r="P3591" s="90">
        <v>45177.645844907405</v>
      </c>
      <c r="Q3591" s="87" t="s">
        <v>5262</v>
      </c>
      <c r="R3591" s="87">
        <v>2</v>
      </c>
      <c r="S3591" s="87">
        <v>3</v>
      </c>
      <c r="T3591" s="87">
        <v>0</v>
      </c>
      <c r="U3591" s="87">
        <v>0</v>
      </c>
      <c r="V3591" s="87">
        <v>919</v>
      </c>
      <c r="W3591" s="93" t="s">
        <v>7942</v>
      </c>
      <c r="X3591" s="92" t="str">
        <f>HYPERLINK("https://forbes.com.br/forbes-mulher/2023/09/transformei-minha-caracteristica-em-negocio-diz-fundadora-da-cross-networking/")</f>
        <v>https://forbes.com.br/forbes-mulher/2023/09/transformei-minha-caracteristica-em-negocio-diz-fundadora-da-cross-networking/</v>
      </c>
      <c r="Y3591" s="87" t="s">
        <v>8373</v>
      </c>
      <c r="Z3591" s="87"/>
      <c r="AA3591" s="87"/>
      <c r="AB3591" s="87"/>
      <c r="AC3591" s="93" t="s">
        <v>11457</v>
      </c>
      <c r="AD3591" s="87" t="s">
        <v>11519</v>
      </c>
      <c r="AE3591" s="92" t="str">
        <f>HYPERLINK("https://twitter.com/forbesbr/status/1700169625541943705")</f>
        <v>https://twitter.com/forbesbr/status/1700169625541943705</v>
      </c>
      <c r="AF3591" s="90">
        <v>45177.645844907405</v>
      </c>
      <c r="AG3591" s="99">
        <v>45177</v>
      </c>
      <c r="AH3591" s="93" t="s">
        <v>11804</v>
      </c>
      <c r="AI3591" s="87" t="b">
        <v>0</v>
      </c>
      <c r="AJ3591" s="87"/>
      <c r="AK3591" s="87"/>
      <c r="AL3591" s="87"/>
      <c r="AM3591" s="87"/>
      <c r="AN3591" s="87"/>
      <c r="AO3591" s="87"/>
      <c r="AP3591" s="87"/>
      <c r="AQ3591" s="87"/>
      <c r="AR3591" s="87"/>
      <c r="AS3591" s="87"/>
      <c r="AT3591" s="87"/>
      <c r="AU3591" s="87"/>
      <c r="AV3591" s="92" t="str">
        <f>HYPERLINK("https://pbs.twimg.com/profile_images/1334211682235768834/iQOE8aBe_normal.jpg")</f>
        <v>https://pbs.twimg.com/profile_images/1334211682235768834/iQOE8aBe_normal.jpg</v>
      </c>
      <c r="AW3591" s="93" t="s">
        <v>21714</v>
      </c>
      <c r="AX3591" s="93" t="s">
        <v>21714</v>
      </c>
      <c r="AY3591" s="87"/>
      <c r="AZ3591" s="93" t="s">
        <v>22668</v>
      </c>
      <c r="BA3591" s="93" t="s">
        <v>22668</v>
      </c>
      <c r="BB3591" s="93" t="s">
        <v>22668</v>
      </c>
      <c r="BC3591" s="93" t="s">
        <v>21714</v>
      </c>
      <c r="BD3591" s="87">
        <v>510272910</v>
      </c>
      <c r="BE3591" s="87"/>
      <c r="BF3591" s="87"/>
      <c r="BG3591" s="87"/>
      <c r="BH3591" s="87"/>
      <c r="BI3591" s="87"/>
    </row>
    <row r="3592" spans="1:61" x14ac:dyDescent="0.25">
      <c r="A3592" s="63" t="s">
        <v>1367</v>
      </c>
      <c r="B3592" s="63" t="s">
        <v>1367</v>
      </c>
      <c r="C3592" s="64"/>
      <c r="D3592" s="65"/>
      <c r="E3592" s="66"/>
      <c r="F3592" s="67"/>
      <c r="G3592" s="64"/>
      <c r="H3592" s="68"/>
      <c r="I3592" s="69"/>
      <c r="J3592" s="69"/>
      <c r="K3592" s="32"/>
      <c r="L3592" s="76">
        <v>3592</v>
      </c>
      <c r="M3592" s="76"/>
      <c r="N3592" s="71"/>
      <c r="O3592" s="87" t="s">
        <v>179</v>
      </c>
      <c r="P3592" s="90">
        <v>45183.642604166664</v>
      </c>
      <c r="Q3592" s="87" t="s">
        <v>5263</v>
      </c>
      <c r="R3592" s="87">
        <v>2</v>
      </c>
      <c r="S3592" s="87">
        <v>4</v>
      </c>
      <c r="T3592" s="87">
        <v>0</v>
      </c>
      <c r="U3592" s="87">
        <v>0</v>
      </c>
      <c r="V3592" s="87">
        <v>895</v>
      </c>
      <c r="W3592" s="93" t="s">
        <v>7943</v>
      </c>
      <c r="X3592" s="92" t="str">
        <f>HYPERLINK("https://forbes.com.br/forbes-tech/2023/09/muito-alem-do-uber-conheca-10-apps-que-levam-mobilidade-para-o-interior-do-brasil/")</f>
        <v>https://forbes.com.br/forbes-tech/2023/09/muito-alem-do-uber-conheca-10-apps-que-levam-mobilidade-para-o-interior-do-brasil/</v>
      </c>
      <c r="Y3592" s="87" t="s">
        <v>8373</v>
      </c>
      <c r="Z3592" s="87"/>
      <c r="AA3592" s="87"/>
      <c r="AB3592" s="87"/>
      <c r="AC3592" s="93" t="s">
        <v>11457</v>
      </c>
      <c r="AD3592" s="87" t="s">
        <v>11519</v>
      </c>
      <c r="AE3592" s="92" t="str">
        <f>HYPERLINK("https://twitter.com/forbesbr/status/1702342782063444094")</f>
        <v>https://twitter.com/forbesbr/status/1702342782063444094</v>
      </c>
      <c r="AF3592" s="90">
        <v>45183.642604166664</v>
      </c>
      <c r="AG3592" s="99">
        <v>45183</v>
      </c>
      <c r="AH3592" s="93" t="s">
        <v>14715</v>
      </c>
      <c r="AI3592" s="87" t="b">
        <v>0</v>
      </c>
      <c r="AJ3592" s="87"/>
      <c r="AK3592" s="87"/>
      <c r="AL3592" s="87"/>
      <c r="AM3592" s="87"/>
      <c r="AN3592" s="87"/>
      <c r="AO3592" s="87"/>
      <c r="AP3592" s="87"/>
      <c r="AQ3592" s="87"/>
      <c r="AR3592" s="87"/>
      <c r="AS3592" s="87"/>
      <c r="AT3592" s="87"/>
      <c r="AU3592" s="87"/>
      <c r="AV3592" s="92" t="str">
        <f>HYPERLINK("https://pbs.twimg.com/profile_images/1334211682235768834/iQOE8aBe_normal.jpg")</f>
        <v>https://pbs.twimg.com/profile_images/1334211682235768834/iQOE8aBe_normal.jpg</v>
      </c>
      <c r="AW3592" s="93" t="s">
        <v>21715</v>
      </c>
      <c r="AX3592" s="93" t="s">
        <v>21715</v>
      </c>
      <c r="AY3592" s="87"/>
      <c r="AZ3592" s="93" t="s">
        <v>22668</v>
      </c>
      <c r="BA3592" s="93" t="s">
        <v>22668</v>
      </c>
      <c r="BB3592" s="93" t="s">
        <v>22668</v>
      </c>
      <c r="BC3592" s="93" t="s">
        <v>21715</v>
      </c>
      <c r="BD3592" s="87">
        <v>510272910</v>
      </c>
      <c r="BE3592" s="87"/>
      <c r="BF3592" s="87"/>
      <c r="BG3592" s="87"/>
      <c r="BH3592" s="87"/>
      <c r="BI3592" s="87"/>
    </row>
    <row r="3593" spans="1:61" x14ac:dyDescent="0.25">
      <c r="A3593" s="63" t="s">
        <v>1367</v>
      </c>
      <c r="B3593" s="63" t="s">
        <v>1367</v>
      </c>
      <c r="C3593" s="64"/>
      <c r="D3593" s="65"/>
      <c r="E3593" s="66"/>
      <c r="F3593" s="67"/>
      <c r="G3593" s="64"/>
      <c r="H3593" s="68"/>
      <c r="I3593" s="69"/>
      <c r="J3593" s="69"/>
      <c r="K3593" s="32"/>
      <c r="L3593" s="76">
        <v>3593</v>
      </c>
      <c r="M3593" s="76"/>
      <c r="N3593" s="71"/>
      <c r="O3593" s="87" t="s">
        <v>179</v>
      </c>
      <c r="P3593" s="90">
        <v>45189.681944444441</v>
      </c>
      <c r="Q3593" s="87" t="s">
        <v>5264</v>
      </c>
      <c r="R3593" s="87">
        <v>1</v>
      </c>
      <c r="S3593" s="87">
        <v>9</v>
      </c>
      <c r="T3593" s="87">
        <v>0</v>
      </c>
      <c r="U3593" s="87">
        <v>0</v>
      </c>
      <c r="V3593" s="87">
        <v>1248</v>
      </c>
      <c r="W3593" s="93" t="s">
        <v>7944</v>
      </c>
      <c r="X3593" s="92" t="str">
        <f>HYPERLINK("https://forbes.com.br/forbesagro/2023/09/de-nova-york-a-california-produtor-ganha-fama-com-vinhos-biodinamicos/")</f>
        <v>https://forbes.com.br/forbesagro/2023/09/de-nova-york-a-california-produtor-ganha-fama-com-vinhos-biodinamicos/</v>
      </c>
      <c r="Y3593" s="87" t="s">
        <v>8373</v>
      </c>
      <c r="Z3593" s="87"/>
      <c r="AA3593" s="87"/>
      <c r="AB3593" s="87"/>
      <c r="AC3593" s="93" t="s">
        <v>11457</v>
      </c>
      <c r="AD3593" s="87" t="s">
        <v>11519</v>
      </c>
      <c r="AE3593" s="92" t="str">
        <f>HYPERLINK("https://twitter.com/forbesbr/status/1704531362936733804")</f>
        <v>https://twitter.com/forbesbr/status/1704531362936733804</v>
      </c>
      <c r="AF3593" s="90">
        <v>45189.681944444441</v>
      </c>
      <c r="AG3593" s="99">
        <v>45189</v>
      </c>
      <c r="AH3593" s="93" t="s">
        <v>14716</v>
      </c>
      <c r="AI3593" s="87" t="b">
        <v>0</v>
      </c>
      <c r="AJ3593" s="87"/>
      <c r="AK3593" s="87"/>
      <c r="AL3593" s="87"/>
      <c r="AM3593" s="87"/>
      <c r="AN3593" s="87"/>
      <c r="AO3593" s="87"/>
      <c r="AP3593" s="87"/>
      <c r="AQ3593" s="87"/>
      <c r="AR3593" s="87"/>
      <c r="AS3593" s="87"/>
      <c r="AT3593" s="87"/>
      <c r="AU3593" s="87"/>
      <c r="AV3593" s="92" t="str">
        <f>HYPERLINK("https://pbs.twimg.com/profile_images/1334211682235768834/iQOE8aBe_normal.jpg")</f>
        <v>https://pbs.twimg.com/profile_images/1334211682235768834/iQOE8aBe_normal.jpg</v>
      </c>
      <c r="AW3593" s="93" t="s">
        <v>21716</v>
      </c>
      <c r="AX3593" s="93" t="s">
        <v>21716</v>
      </c>
      <c r="AY3593" s="87"/>
      <c r="AZ3593" s="93" t="s">
        <v>22668</v>
      </c>
      <c r="BA3593" s="93" t="s">
        <v>22668</v>
      </c>
      <c r="BB3593" s="93" t="s">
        <v>22668</v>
      </c>
      <c r="BC3593" s="93" t="s">
        <v>21716</v>
      </c>
      <c r="BD3593" s="87">
        <v>510272910</v>
      </c>
      <c r="BE3593" s="87"/>
      <c r="BF3593" s="87"/>
      <c r="BG3593" s="87"/>
      <c r="BH3593" s="87"/>
      <c r="BI3593" s="87"/>
    </row>
    <row r="3594" spans="1:61" x14ac:dyDescent="0.25">
      <c r="A3594" s="63" t="s">
        <v>1367</v>
      </c>
      <c r="B3594" s="63" t="s">
        <v>1367</v>
      </c>
      <c r="C3594" s="64"/>
      <c r="D3594" s="65"/>
      <c r="E3594" s="66"/>
      <c r="F3594" s="67"/>
      <c r="G3594" s="64"/>
      <c r="H3594" s="68"/>
      <c r="I3594" s="69"/>
      <c r="J3594" s="69"/>
      <c r="K3594" s="32"/>
      <c r="L3594" s="76">
        <v>3594</v>
      </c>
      <c r="M3594" s="76"/>
      <c r="N3594" s="71"/>
      <c r="O3594" s="87" t="s">
        <v>179</v>
      </c>
      <c r="P3594" s="90">
        <v>45190.375</v>
      </c>
      <c r="Q3594" s="87" t="s">
        <v>5265</v>
      </c>
      <c r="R3594" s="87">
        <v>14</v>
      </c>
      <c r="S3594" s="87">
        <v>157</v>
      </c>
      <c r="T3594" s="87">
        <v>0</v>
      </c>
      <c r="U3594" s="87">
        <v>0</v>
      </c>
      <c r="V3594" s="87">
        <v>4490</v>
      </c>
      <c r="W3594" s="93" t="s">
        <v>7945</v>
      </c>
      <c r="X3594" s="87"/>
      <c r="Y3594" s="87"/>
      <c r="Z3594" s="87"/>
      <c r="AA3594" s="87" t="s">
        <v>11084</v>
      </c>
      <c r="AB3594" s="87" t="s">
        <v>11448</v>
      </c>
      <c r="AC3594" s="93" t="s">
        <v>11457</v>
      </c>
      <c r="AD3594" s="87" t="s">
        <v>11519</v>
      </c>
      <c r="AE3594" s="92" t="str">
        <f>HYPERLINK("https://twitter.com/forbesbr/status/1704782520217456734")</f>
        <v>https://twitter.com/forbesbr/status/1704782520217456734</v>
      </c>
      <c r="AF3594" s="90">
        <v>45190.375</v>
      </c>
      <c r="AG3594" s="99">
        <v>45190</v>
      </c>
      <c r="AH3594" s="93" t="s">
        <v>12447</v>
      </c>
      <c r="AI3594" s="87" t="b">
        <v>0</v>
      </c>
      <c r="AJ3594" s="87"/>
      <c r="AK3594" s="87"/>
      <c r="AL3594" s="87"/>
      <c r="AM3594" s="87"/>
      <c r="AN3594" s="87"/>
      <c r="AO3594" s="87"/>
      <c r="AP3594" s="87"/>
      <c r="AQ3594" s="87" t="s">
        <v>17896</v>
      </c>
      <c r="AR3594" s="87"/>
      <c r="AS3594" s="87"/>
      <c r="AT3594" s="87"/>
      <c r="AU3594" s="87"/>
      <c r="AV3594" s="92" t="str">
        <f>HYPERLINK("https://pbs.twimg.com/media/F6VUGxoXMAEd-DU.jpg")</f>
        <v>https://pbs.twimg.com/media/F6VUGxoXMAEd-DU.jpg</v>
      </c>
      <c r="AW3594" s="93" t="s">
        <v>21717</v>
      </c>
      <c r="AX3594" s="93" t="s">
        <v>21717</v>
      </c>
      <c r="AY3594" s="87"/>
      <c r="AZ3594" s="93" t="s">
        <v>22668</v>
      </c>
      <c r="BA3594" s="93" t="s">
        <v>22668</v>
      </c>
      <c r="BB3594" s="93" t="s">
        <v>22668</v>
      </c>
      <c r="BC3594" s="93" t="s">
        <v>21717</v>
      </c>
      <c r="BD3594" s="87">
        <v>510272910</v>
      </c>
      <c r="BE3594" s="87"/>
      <c r="BF3594" s="87"/>
      <c r="BG3594" s="87"/>
      <c r="BH3594" s="87"/>
      <c r="BI3594" s="87"/>
    </row>
    <row r="3595" spans="1:61" x14ac:dyDescent="0.25">
      <c r="A3595" s="63" t="s">
        <v>1368</v>
      </c>
      <c r="B3595" s="63" t="s">
        <v>1367</v>
      </c>
      <c r="C3595" s="64"/>
      <c r="D3595" s="65"/>
      <c r="E3595" s="66"/>
      <c r="F3595" s="67"/>
      <c r="G3595" s="64"/>
      <c r="H3595" s="68"/>
      <c r="I3595" s="69"/>
      <c r="J3595" s="69"/>
      <c r="K3595" s="32"/>
      <c r="L3595" s="76">
        <v>3595</v>
      </c>
      <c r="M3595" s="76"/>
      <c r="N3595" s="71"/>
      <c r="O3595" s="87" t="s">
        <v>1841</v>
      </c>
      <c r="P3595" s="90">
        <v>45190.463333333333</v>
      </c>
      <c r="Q3595" s="87" t="s">
        <v>2090</v>
      </c>
      <c r="R3595" s="87">
        <v>14</v>
      </c>
      <c r="S3595" s="87">
        <v>0</v>
      </c>
      <c r="T3595" s="87">
        <v>0</v>
      </c>
      <c r="U3595" s="87">
        <v>0</v>
      </c>
      <c r="V3595" s="87"/>
      <c r="W3595" s="93" t="s">
        <v>6034</v>
      </c>
      <c r="X3595" s="87"/>
      <c r="Y3595" s="87"/>
      <c r="Z3595" s="87" t="s">
        <v>1367</v>
      </c>
      <c r="AA3595" s="87"/>
      <c r="AB3595" s="87"/>
      <c r="AC3595" s="93" t="s">
        <v>11459</v>
      </c>
      <c r="AD3595" s="87" t="s">
        <v>11519</v>
      </c>
      <c r="AE3595" s="92" t="str">
        <f>HYPERLINK("https://twitter.com/eufelipeacosta/status/1704814531778596915")</f>
        <v>https://twitter.com/eufelipeacosta/status/1704814531778596915</v>
      </c>
      <c r="AF3595" s="90">
        <v>45190.463333333333</v>
      </c>
      <c r="AG3595" s="99">
        <v>45190</v>
      </c>
      <c r="AH3595" s="93" t="s">
        <v>14717</v>
      </c>
      <c r="AI3595" s="87"/>
      <c r="AJ3595" s="87"/>
      <c r="AK3595" s="87"/>
      <c r="AL3595" s="87"/>
      <c r="AM3595" s="87"/>
      <c r="AN3595" s="87"/>
      <c r="AO3595" s="87"/>
      <c r="AP3595" s="87"/>
      <c r="AQ3595" s="87"/>
      <c r="AR3595" s="87"/>
      <c r="AS3595" s="87"/>
      <c r="AT3595" s="87"/>
      <c r="AU3595" s="87"/>
      <c r="AV3595" s="92" t="str">
        <f>HYPERLINK("https://pbs.twimg.com/profile_images/1702927511477276672/uNw1Ft75_normal.jpg")</f>
        <v>https://pbs.twimg.com/profile_images/1702927511477276672/uNw1Ft75_normal.jpg</v>
      </c>
      <c r="AW3595" s="93" t="s">
        <v>21718</v>
      </c>
      <c r="AX3595" s="93" t="s">
        <v>21718</v>
      </c>
      <c r="AY3595" s="87"/>
      <c r="AZ3595" s="93" t="s">
        <v>22668</v>
      </c>
      <c r="BA3595" s="93" t="s">
        <v>22668</v>
      </c>
      <c r="BB3595" s="93" t="s">
        <v>21717</v>
      </c>
      <c r="BC3595" s="93" t="s">
        <v>21717</v>
      </c>
      <c r="BD3595" s="93" t="s">
        <v>23458</v>
      </c>
      <c r="BE3595" s="87"/>
      <c r="BF3595" s="87"/>
      <c r="BG3595" s="87"/>
      <c r="BH3595" s="87"/>
      <c r="BI3595" s="87"/>
    </row>
    <row r="3596" spans="1:61" x14ac:dyDescent="0.25">
      <c r="A3596" s="63" t="s">
        <v>1369</v>
      </c>
      <c r="B3596" s="63" t="s">
        <v>1369</v>
      </c>
      <c r="C3596" s="64"/>
      <c r="D3596" s="65"/>
      <c r="E3596" s="66"/>
      <c r="F3596" s="67"/>
      <c r="G3596" s="64"/>
      <c r="H3596" s="68"/>
      <c r="I3596" s="69"/>
      <c r="J3596" s="69"/>
      <c r="K3596" s="32"/>
      <c r="L3596" s="76">
        <v>3596</v>
      </c>
      <c r="M3596" s="76"/>
      <c r="N3596" s="71"/>
      <c r="O3596" s="87" t="s">
        <v>1840</v>
      </c>
      <c r="P3596" s="90">
        <v>45149.59646990741</v>
      </c>
      <c r="Q3596" s="87" t="s">
        <v>5266</v>
      </c>
      <c r="R3596" s="87">
        <v>0</v>
      </c>
      <c r="S3596" s="87">
        <v>0</v>
      </c>
      <c r="T3596" s="87">
        <v>0</v>
      </c>
      <c r="U3596" s="87">
        <v>0</v>
      </c>
      <c r="V3596" s="87">
        <v>35</v>
      </c>
      <c r="W3596" s="93" t="s">
        <v>7946</v>
      </c>
      <c r="X3596" s="87"/>
      <c r="Y3596" s="87"/>
      <c r="Z3596" s="87"/>
      <c r="AA3596" s="87"/>
      <c r="AB3596" s="87"/>
      <c r="AC3596" s="93" t="s">
        <v>11459</v>
      </c>
      <c r="AD3596" s="87" t="s">
        <v>11524</v>
      </c>
      <c r="AE3596" s="92" t="str">
        <f>HYPERLINK("https://twitter.com/ipforce_telecom/status/1690004872765100032")</f>
        <v>https://twitter.com/ipforce_telecom/status/1690004872765100032</v>
      </c>
      <c r="AF3596" s="90">
        <v>45149.59646990741</v>
      </c>
      <c r="AG3596" s="99">
        <v>45149</v>
      </c>
      <c r="AH3596" s="93" t="s">
        <v>14718</v>
      </c>
      <c r="AI3596" s="87"/>
      <c r="AJ3596" s="87"/>
      <c r="AK3596" s="87"/>
      <c r="AL3596" s="87"/>
      <c r="AM3596" s="87"/>
      <c r="AN3596" s="87"/>
      <c r="AO3596" s="87"/>
      <c r="AP3596" s="87"/>
      <c r="AQ3596" s="87"/>
      <c r="AR3596" s="87"/>
      <c r="AS3596" s="87"/>
      <c r="AT3596" s="87"/>
      <c r="AU3596" s="87"/>
      <c r="AV3596" s="92" t="str">
        <f>HYPERLINK("https://pbs.twimg.com/profile_images/1543952802455719937/fevrhC1c_normal.jpg")</f>
        <v>https://pbs.twimg.com/profile_images/1543952802455719937/fevrhC1c_normal.jpg</v>
      </c>
      <c r="AW3596" s="93" t="s">
        <v>21719</v>
      </c>
      <c r="AX3596" s="93" t="s">
        <v>22477</v>
      </c>
      <c r="AY3596" s="93" t="s">
        <v>22640</v>
      </c>
      <c r="AZ3596" s="93" t="s">
        <v>22477</v>
      </c>
      <c r="BA3596" s="93" t="s">
        <v>22668</v>
      </c>
      <c r="BB3596" s="93" t="s">
        <v>22668</v>
      </c>
      <c r="BC3596" s="93" t="s">
        <v>22477</v>
      </c>
      <c r="BD3596" s="87">
        <v>3588952461</v>
      </c>
      <c r="BE3596" s="87"/>
      <c r="BF3596" s="87"/>
      <c r="BG3596" s="87"/>
      <c r="BH3596" s="87"/>
      <c r="BI3596" s="87"/>
    </row>
    <row r="3597" spans="1:61" x14ac:dyDescent="0.25">
      <c r="A3597" s="63" t="s">
        <v>1370</v>
      </c>
      <c r="B3597" s="63" t="s">
        <v>1370</v>
      </c>
      <c r="C3597" s="64"/>
      <c r="D3597" s="65"/>
      <c r="E3597" s="66"/>
      <c r="F3597" s="67"/>
      <c r="G3597" s="64"/>
      <c r="H3597" s="68"/>
      <c r="I3597" s="69"/>
      <c r="J3597" s="69"/>
      <c r="K3597" s="32"/>
      <c r="L3597" s="76">
        <v>3597</v>
      </c>
      <c r="M3597" s="76"/>
      <c r="N3597" s="71"/>
      <c r="O3597" s="87" t="s">
        <v>179</v>
      </c>
      <c r="P3597" s="90">
        <v>45121.959016203706</v>
      </c>
      <c r="Q3597" s="87" t="s">
        <v>5267</v>
      </c>
      <c r="R3597" s="87">
        <v>0</v>
      </c>
      <c r="S3597" s="87">
        <v>1</v>
      </c>
      <c r="T3597" s="87">
        <v>0</v>
      </c>
      <c r="U3597" s="87">
        <v>0</v>
      </c>
      <c r="V3597" s="87">
        <v>65</v>
      </c>
      <c r="W3597" s="93" t="s">
        <v>5897</v>
      </c>
      <c r="X3597" s="92" t="str">
        <f>HYPERLINK("https://bit.ly/3NOKRQ9")</f>
        <v>https://bit.ly/3NOKRQ9</v>
      </c>
      <c r="Y3597" s="87" t="s">
        <v>8374</v>
      </c>
      <c r="Z3597" s="87"/>
      <c r="AA3597" s="87" t="s">
        <v>11085</v>
      </c>
      <c r="AB3597" s="87" t="s">
        <v>11448</v>
      </c>
      <c r="AC3597" s="93" t="s">
        <v>11457</v>
      </c>
      <c r="AD3597" s="87" t="s">
        <v>11519</v>
      </c>
      <c r="AE3597" s="92" t="str">
        <f>HYPERLINK("https://twitter.com/leopuglia/status/1679989398346104832")</f>
        <v>https://twitter.com/leopuglia/status/1679989398346104832</v>
      </c>
      <c r="AF3597" s="90">
        <v>45121.959016203706</v>
      </c>
      <c r="AG3597" s="99">
        <v>45121</v>
      </c>
      <c r="AH3597" s="93" t="s">
        <v>14719</v>
      </c>
      <c r="AI3597" s="87" t="b">
        <v>0</v>
      </c>
      <c r="AJ3597" s="87" t="s">
        <v>15225</v>
      </c>
      <c r="AK3597" s="87" t="s">
        <v>15234</v>
      </c>
      <c r="AL3597" s="87" t="s">
        <v>15237</v>
      </c>
      <c r="AM3597" s="87" t="s">
        <v>15296</v>
      </c>
      <c r="AN3597" s="87" t="s">
        <v>15363</v>
      </c>
      <c r="AO3597" s="87" t="s">
        <v>15428</v>
      </c>
      <c r="AP3597" s="87" t="s">
        <v>15438</v>
      </c>
      <c r="AQ3597" s="87" t="s">
        <v>17897</v>
      </c>
      <c r="AR3597" s="87"/>
      <c r="AS3597" s="87"/>
      <c r="AT3597" s="87"/>
      <c r="AU3597" s="87"/>
      <c r="AV3597" s="92" t="str">
        <f>HYPERLINK("https://pbs.twimg.com/media/F1CFRlOWYAEjwjp.jpg")</f>
        <v>https://pbs.twimg.com/media/F1CFRlOWYAEjwjp.jpg</v>
      </c>
      <c r="AW3597" s="93" t="s">
        <v>21720</v>
      </c>
      <c r="AX3597" s="93" t="s">
        <v>21720</v>
      </c>
      <c r="AY3597" s="87"/>
      <c r="AZ3597" s="93" t="s">
        <v>22668</v>
      </c>
      <c r="BA3597" s="93" t="s">
        <v>22668</v>
      </c>
      <c r="BB3597" s="93" t="s">
        <v>22668</v>
      </c>
      <c r="BC3597" s="93" t="s">
        <v>21720</v>
      </c>
      <c r="BD3597" s="87">
        <v>51436322</v>
      </c>
      <c r="BE3597" s="87"/>
      <c r="BF3597" s="87"/>
      <c r="BG3597" s="87"/>
      <c r="BH3597" s="87"/>
      <c r="BI3597" s="87"/>
    </row>
    <row r="3598" spans="1:61" x14ac:dyDescent="0.25">
      <c r="A3598" s="63" t="s">
        <v>1371</v>
      </c>
      <c r="B3598" s="63" t="s">
        <v>1371</v>
      </c>
      <c r="C3598" s="64"/>
      <c r="D3598" s="65"/>
      <c r="E3598" s="66"/>
      <c r="F3598" s="67"/>
      <c r="G3598" s="64"/>
      <c r="H3598" s="68"/>
      <c r="I3598" s="69"/>
      <c r="J3598" s="69"/>
      <c r="K3598" s="32"/>
      <c r="L3598" s="76">
        <v>3598</v>
      </c>
      <c r="M3598" s="76"/>
      <c r="N3598" s="71"/>
      <c r="O3598" s="87" t="s">
        <v>179</v>
      </c>
      <c r="P3598" s="90">
        <v>45159.511759259258</v>
      </c>
      <c r="Q3598" s="87" t="s">
        <v>5268</v>
      </c>
      <c r="R3598" s="87">
        <v>0</v>
      </c>
      <c r="S3598" s="87">
        <v>0</v>
      </c>
      <c r="T3598" s="87">
        <v>0</v>
      </c>
      <c r="U3598" s="87">
        <v>0</v>
      </c>
      <c r="V3598" s="87">
        <v>38</v>
      </c>
      <c r="W3598" s="93" t="s">
        <v>7947</v>
      </c>
      <c r="X3598" s="92" t="str">
        <f>HYPERLINK("https://www.visaooeste.com.br/prefeitura-de-osasco-realiza-edicao-do-oz-valley-direcionado-as-empreededoras/")</f>
        <v>https://www.visaooeste.com.br/prefeitura-de-osasco-realiza-edicao-do-oz-valley-direcionado-as-empreededoras/</v>
      </c>
      <c r="Y3598" s="87" t="s">
        <v>8373</v>
      </c>
      <c r="Z3598" s="87"/>
      <c r="AA3598" s="87"/>
      <c r="AB3598" s="87"/>
      <c r="AC3598" s="93" t="s">
        <v>11513</v>
      </c>
      <c r="AD3598" s="87" t="s">
        <v>11519</v>
      </c>
      <c r="AE3598" s="92" t="str">
        <f>HYPERLINK("https://twitter.com/visaooeste/status/1693598053792440458")</f>
        <v>https://twitter.com/visaooeste/status/1693598053792440458</v>
      </c>
      <c r="AF3598" s="90">
        <v>45159.511759259258</v>
      </c>
      <c r="AG3598" s="99">
        <v>45159</v>
      </c>
      <c r="AH3598" s="93" t="s">
        <v>14720</v>
      </c>
      <c r="AI3598" s="87" t="b">
        <v>0</v>
      </c>
      <c r="AJ3598" s="87"/>
      <c r="AK3598" s="87"/>
      <c r="AL3598" s="87"/>
      <c r="AM3598" s="87"/>
      <c r="AN3598" s="87"/>
      <c r="AO3598" s="87"/>
      <c r="AP3598" s="87"/>
      <c r="AQ3598" s="87"/>
      <c r="AR3598" s="87"/>
      <c r="AS3598" s="87"/>
      <c r="AT3598" s="87"/>
      <c r="AU3598" s="87"/>
      <c r="AV3598" s="92" t="str">
        <f>HYPERLINK("https://pbs.twimg.com/profile_images/1274497370768781312/_rUvEX6j_normal.png")</f>
        <v>https://pbs.twimg.com/profile_images/1274497370768781312/_rUvEX6j_normal.png</v>
      </c>
      <c r="AW3598" s="93" t="s">
        <v>21721</v>
      </c>
      <c r="AX3598" s="93" t="s">
        <v>21721</v>
      </c>
      <c r="AY3598" s="87"/>
      <c r="AZ3598" s="93" t="s">
        <v>22668</v>
      </c>
      <c r="BA3598" s="93" t="s">
        <v>22668</v>
      </c>
      <c r="BB3598" s="93" t="s">
        <v>22668</v>
      </c>
      <c r="BC3598" s="93" t="s">
        <v>21721</v>
      </c>
      <c r="BD3598" s="87">
        <v>39816068</v>
      </c>
      <c r="BE3598" s="87"/>
      <c r="BF3598" s="87"/>
      <c r="BG3598" s="87"/>
      <c r="BH3598" s="87"/>
      <c r="BI3598" s="87"/>
    </row>
    <row r="3599" spans="1:61" x14ac:dyDescent="0.25">
      <c r="A3599" s="63" t="s">
        <v>1372</v>
      </c>
      <c r="B3599" s="63" t="s">
        <v>1372</v>
      </c>
      <c r="C3599" s="64"/>
      <c r="D3599" s="65"/>
      <c r="E3599" s="66"/>
      <c r="F3599" s="67"/>
      <c r="G3599" s="64"/>
      <c r="H3599" s="68"/>
      <c r="I3599" s="69"/>
      <c r="J3599" s="69"/>
      <c r="K3599" s="32"/>
      <c r="L3599" s="76">
        <v>3599</v>
      </c>
      <c r="M3599" s="76"/>
      <c r="N3599" s="71"/>
      <c r="O3599" s="87" t="s">
        <v>1840</v>
      </c>
      <c r="P3599" s="90">
        <v>45135.042500000003</v>
      </c>
      <c r="Q3599" s="87" t="s">
        <v>5269</v>
      </c>
      <c r="R3599" s="87">
        <v>0</v>
      </c>
      <c r="S3599" s="87">
        <v>0</v>
      </c>
      <c r="T3599" s="87">
        <v>0</v>
      </c>
      <c r="U3599" s="87">
        <v>0</v>
      </c>
      <c r="V3599" s="87">
        <v>70</v>
      </c>
      <c r="W3599" s="93" t="s">
        <v>7948</v>
      </c>
      <c r="X3599" s="92" t="str">
        <f>HYPERLINK("https://www.em.com.br/app/colunistas/mundo-startup/2023/07/24/noticia-mundo-startup,1524494/universidades-mineiras-apostam-no-empreendedorismo-cientifico.shtml")</f>
        <v>https://www.em.com.br/app/colunistas/mundo-startup/2023/07/24/noticia-mundo-startup,1524494/universidades-mineiras-apostam-no-empreendedorismo-cientifico.shtml</v>
      </c>
      <c r="Y3599" s="87" t="s">
        <v>8373</v>
      </c>
      <c r="Z3599" s="87"/>
      <c r="AA3599" s="87"/>
      <c r="AB3599" s="87"/>
      <c r="AC3599" s="93" t="s">
        <v>11459</v>
      </c>
      <c r="AD3599" s="87" t="s">
        <v>11519</v>
      </c>
      <c r="AE3599" s="92" t="str">
        <f>HYPERLINK("https://twitter.com/tiagotmr_7/status/1684730693740376064")</f>
        <v>https://twitter.com/tiagotmr_7/status/1684730693740376064</v>
      </c>
      <c r="AF3599" s="90">
        <v>45135.042500000003</v>
      </c>
      <c r="AG3599" s="99">
        <v>45135</v>
      </c>
      <c r="AH3599" s="93" t="s">
        <v>14721</v>
      </c>
      <c r="AI3599" s="87" t="b">
        <v>0</v>
      </c>
      <c r="AJ3599" s="87"/>
      <c r="AK3599" s="87"/>
      <c r="AL3599" s="87"/>
      <c r="AM3599" s="87"/>
      <c r="AN3599" s="87"/>
      <c r="AO3599" s="87"/>
      <c r="AP3599" s="87"/>
      <c r="AQ3599" s="87"/>
      <c r="AR3599" s="87"/>
      <c r="AS3599" s="87"/>
      <c r="AT3599" s="87"/>
      <c r="AU3599" s="87"/>
      <c r="AV3599" s="92" t="str">
        <f>HYPERLINK("https://pbs.twimg.com/profile_images/1676271180439855117/_kc1Ogjl_normal.jpg")</f>
        <v>https://pbs.twimg.com/profile_images/1676271180439855117/_kc1Ogjl_normal.jpg</v>
      </c>
      <c r="AW3599" s="93" t="s">
        <v>21722</v>
      </c>
      <c r="AX3599" s="93" t="s">
        <v>22478</v>
      </c>
      <c r="AY3599" s="93" t="s">
        <v>22641</v>
      </c>
      <c r="AZ3599" s="93" t="s">
        <v>22478</v>
      </c>
      <c r="BA3599" s="93" t="s">
        <v>22668</v>
      </c>
      <c r="BB3599" s="93" t="s">
        <v>22668</v>
      </c>
      <c r="BC3599" s="93" t="s">
        <v>22478</v>
      </c>
      <c r="BD3599" s="93" t="s">
        <v>22641</v>
      </c>
      <c r="BE3599" s="87"/>
      <c r="BF3599" s="87"/>
      <c r="BG3599" s="87"/>
      <c r="BH3599" s="87"/>
      <c r="BI3599" s="87"/>
    </row>
    <row r="3600" spans="1:61" x14ac:dyDescent="0.25">
      <c r="A3600" s="63" t="s">
        <v>1373</v>
      </c>
      <c r="B3600" s="63" t="s">
        <v>1810</v>
      </c>
      <c r="C3600" s="64"/>
      <c r="D3600" s="65"/>
      <c r="E3600" s="66"/>
      <c r="F3600" s="67"/>
      <c r="G3600" s="64"/>
      <c r="H3600" s="68"/>
      <c r="I3600" s="69"/>
      <c r="J3600" s="69"/>
      <c r="K3600" s="32"/>
      <c r="L3600" s="76">
        <v>3600</v>
      </c>
      <c r="M3600" s="76"/>
      <c r="N3600" s="71"/>
      <c r="O3600" s="87" t="s">
        <v>1839</v>
      </c>
      <c r="P3600" s="90">
        <v>45150.960347222222</v>
      </c>
      <c r="Q3600" s="87" t="s">
        <v>5270</v>
      </c>
      <c r="R3600" s="87">
        <v>0</v>
      </c>
      <c r="S3600" s="87">
        <v>1</v>
      </c>
      <c r="T3600" s="87">
        <v>0</v>
      </c>
      <c r="U3600" s="87">
        <v>0</v>
      </c>
      <c r="V3600" s="87">
        <v>20</v>
      </c>
      <c r="W3600" s="93" t="s">
        <v>7949</v>
      </c>
      <c r="X3600" s="92" t="str">
        <f>HYPERLINK("https://www.instagram.com/p/CoxTC9FLXIy/?igshid=MTVlNTYxMjY2ZQ==")</f>
        <v>https://www.instagram.com/p/CoxTC9FLXIy/?igshid=MTVlNTYxMjY2ZQ==</v>
      </c>
      <c r="Y3600" s="87" t="s">
        <v>8383</v>
      </c>
      <c r="Z3600" s="87" t="s">
        <v>1810</v>
      </c>
      <c r="AA3600" s="87"/>
      <c r="AB3600" s="87"/>
      <c r="AC3600" s="93" t="s">
        <v>11459</v>
      </c>
      <c r="AD3600" s="87" t="s">
        <v>11519</v>
      </c>
      <c r="AE3600" s="92" t="str">
        <f>HYPERLINK("https://twitter.com/rfmh_design/status/1690499127069511680")</f>
        <v>https://twitter.com/rfmh_design/status/1690499127069511680</v>
      </c>
      <c r="AF3600" s="90">
        <v>45150.960347222222</v>
      </c>
      <c r="AG3600" s="99">
        <v>45150</v>
      </c>
      <c r="AH3600" s="93" t="s">
        <v>14722</v>
      </c>
      <c r="AI3600" s="87" t="b">
        <v>1</v>
      </c>
      <c r="AJ3600" s="87"/>
      <c r="AK3600" s="87"/>
      <c r="AL3600" s="87"/>
      <c r="AM3600" s="87"/>
      <c r="AN3600" s="87"/>
      <c r="AO3600" s="87"/>
      <c r="AP3600" s="87"/>
      <c r="AQ3600" s="87"/>
      <c r="AR3600" s="87"/>
      <c r="AS3600" s="87"/>
      <c r="AT3600" s="87"/>
      <c r="AU3600" s="87"/>
      <c r="AV3600" s="92" t="str">
        <f>HYPERLINK("https://pbs.twimg.com/profile_images/1704469566460395520/bQczX6Hv_normal.jpg")</f>
        <v>https://pbs.twimg.com/profile_images/1704469566460395520/bQczX6Hv_normal.jpg</v>
      </c>
      <c r="AW3600" s="93" t="s">
        <v>21723</v>
      </c>
      <c r="AX3600" s="93" t="s">
        <v>21723</v>
      </c>
      <c r="AY3600" s="87"/>
      <c r="AZ3600" s="93" t="s">
        <v>22668</v>
      </c>
      <c r="BA3600" s="93" t="s">
        <v>22668</v>
      </c>
      <c r="BB3600" s="93" t="s">
        <v>22668</v>
      </c>
      <c r="BC3600" s="93" t="s">
        <v>21723</v>
      </c>
      <c r="BD3600" s="93" t="s">
        <v>23459</v>
      </c>
      <c r="BE3600" s="87"/>
      <c r="BF3600" s="87"/>
      <c r="BG3600" s="87"/>
      <c r="BH3600" s="87"/>
      <c r="BI3600" s="87"/>
    </row>
    <row r="3601" spans="1:61" x14ac:dyDescent="0.25">
      <c r="A3601" s="63" t="s">
        <v>1373</v>
      </c>
      <c r="B3601" s="63" t="s">
        <v>1373</v>
      </c>
      <c r="C3601" s="64"/>
      <c r="D3601" s="65"/>
      <c r="E3601" s="66"/>
      <c r="F3601" s="67"/>
      <c r="G3601" s="64"/>
      <c r="H3601" s="68"/>
      <c r="I3601" s="69"/>
      <c r="J3601" s="69"/>
      <c r="K3601" s="32"/>
      <c r="L3601" s="76">
        <v>3601</v>
      </c>
      <c r="M3601" s="76"/>
      <c r="N3601" s="71"/>
      <c r="O3601" s="87" t="s">
        <v>179</v>
      </c>
      <c r="P3601" s="90">
        <v>45114.761608796296</v>
      </c>
      <c r="Q3601" s="87" t="s">
        <v>5271</v>
      </c>
      <c r="R3601" s="87">
        <v>0</v>
      </c>
      <c r="S3601" s="87">
        <v>1</v>
      </c>
      <c r="T3601" s="87">
        <v>0</v>
      </c>
      <c r="U3601" s="87">
        <v>0</v>
      </c>
      <c r="V3601" s="87">
        <v>14</v>
      </c>
      <c r="W3601" s="93" t="s">
        <v>7950</v>
      </c>
      <c r="X3601" s="92" t="str">
        <f>HYPERLINK("https://www.instagram.com/p/CMXWxeggNaw/?igshid=MTVlNTYxMjY2ZQ==")</f>
        <v>https://www.instagram.com/p/CMXWxeggNaw/?igshid=MTVlNTYxMjY2ZQ==</v>
      </c>
      <c r="Y3601" s="87" t="s">
        <v>8383</v>
      </c>
      <c r="Z3601" s="87"/>
      <c r="AA3601" s="87"/>
      <c r="AB3601" s="87"/>
      <c r="AC3601" s="93" t="s">
        <v>11459</v>
      </c>
      <c r="AD3601" s="87" t="s">
        <v>11519</v>
      </c>
      <c r="AE3601" s="92" t="str">
        <f>HYPERLINK("https://twitter.com/rfmh_design/status/1677381145128996865")</f>
        <v>https://twitter.com/rfmh_design/status/1677381145128996865</v>
      </c>
      <c r="AF3601" s="90">
        <v>45114.761608796296</v>
      </c>
      <c r="AG3601" s="99">
        <v>45114</v>
      </c>
      <c r="AH3601" s="93" t="s">
        <v>14723</v>
      </c>
      <c r="AI3601" s="87" t="b">
        <v>1</v>
      </c>
      <c r="AJ3601" s="87" t="s">
        <v>15177</v>
      </c>
      <c r="AK3601" s="87" t="s">
        <v>15234</v>
      </c>
      <c r="AL3601" s="87" t="s">
        <v>15237</v>
      </c>
      <c r="AM3601" s="87" t="s">
        <v>15249</v>
      </c>
      <c r="AN3601" s="87" t="s">
        <v>15314</v>
      </c>
      <c r="AO3601" s="87" t="s">
        <v>15381</v>
      </c>
      <c r="AP3601" s="87" t="s">
        <v>15438</v>
      </c>
      <c r="AQ3601" s="87"/>
      <c r="AR3601" s="87"/>
      <c r="AS3601" s="87"/>
      <c r="AT3601" s="87"/>
      <c r="AU3601" s="87"/>
      <c r="AV3601" s="92" t="str">
        <f>HYPERLINK("https://pbs.twimg.com/profile_images/1704469566460395520/bQczX6Hv_normal.jpg")</f>
        <v>https://pbs.twimg.com/profile_images/1704469566460395520/bQczX6Hv_normal.jpg</v>
      </c>
      <c r="AW3601" s="93" t="s">
        <v>21724</v>
      </c>
      <c r="AX3601" s="93" t="s">
        <v>21724</v>
      </c>
      <c r="AY3601" s="87"/>
      <c r="AZ3601" s="93" t="s">
        <v>22668</v>
      </c>
      <c r="BA3601" s="93" t="s">
        <v>22668</v>
      </c>
      <c r="BB3601" s="93" t="s">
        <v>22668</v>
      </c>
      <c r="BC3601" s="93" t="s">
        <v>21724</v>
      </c>
      <c r="BD3601" s="93" t="s">
        <v>23459</v>
      </c>
      <c r="BE3601" s="87"/>
      <c r="BF3601" s="87"/>
      <c r="BG3601" s="87"/>
      <c r="BH3601" s="87"/>
      <c r="BI3601" s="87"/>
    </row>
    <row r="3602" spans="1:61" x14ac:dyDescent="0.25">
      <c r="A3602" s="63" t="s">
        <v>1373</v>
      </c>
      <c r="B3602" s="63" t="s">
        <v>1373</v>
      </c>
      <c r="C3602" s="64"/>
      <c r="D3602" s="65"/>
      <c r="E3602" s="66"/>
      <c r="F3602" s="67"/>
      <c r="G3602" s="64"/>
      <c r="H3602" s="68"/>
      <c r="I3602" s="69"/>
      <c r="J3602" s="69"/>
      <c r="K3602" s="32"/>
      <c r="L3602" s="76">
        <v>3602</v>
      </c>
      <c r="M3602" s="76"/>
      <c r="N3602" s="71"/>
      <c r="O3602" s="87" t="s">
        <v>179</v>
      </c>
      <c r="P3602" s="90">
        <v>45136.5</v>
      </c>
      <c r="Q3602" s="87" t="s">
        <v>5272</v>
      </c>
      <c r="R3602" s="87">
        <v>0</v>
      </c>
      <c r="S3602" s="87">
        <v>2</v>
      </c>
      <c r="T3602" s="87">
        <v>0</v>
      </c>
      <c r="U3602" s="87">
        <v>0</v>
      </c>
      <c r="V3602" s="87">
        <v>15</v>
      </c>
      <c r="W3602" s="93" t="s">
        <v>7951</v>
      </c>
      <c r="X3602" s="92" t="str">
        <f>HYPERLINK("https://www.instagram.com/p/CopOFrLOtBV/?igshid=MTVlNTYxMjY2ZQ==")</f>
        <v>https://www.instagram.com/p/CopOFrLOtBV/?igshid=MTVlNTYxMjY2ZQ==</v>
      </c>
      <c r="Y3602" s="87" t="s">
        <v>8383</v>
      </c>
      <c r="Z3602" s="87"/>
      <c r="AA3602" s="87"/>
      <c r="AB3602" s="87"/>
      <c r="AC3602" s="93" t="s">
        <v>11459</v>
      </c>
      <c r="AD3602" s="87" t="s">
        <v>11519</v>
      </c>
      <c r="AE3602" s="92" t="str">
        <f>HYPERLINK("https://twitter.com/rfmh_design/status/1685258874633302016")</f>
        <v>https://twitter.com/rfmh_design/status/1685258874633302016</v>
      </c>
      <c r="AF3602" s="90">
        <v>45136.5</v>
      </c>
      <c r="AG3602" s="99">
        <v>45136</v>
      </c>
      <c r="AH3602" s="93" t="s">
        <v>12089</v>
      </c>
      <c r="AI3602" s="87" t="b">
        <v>1</v>
      </c>
      <c r="AJ3602" s="87" t="s">
        <v>15177</v>
      </c>
      <c r="AK3602" s="87" t="s">
        <v>15234</v>
      </c>
      <c r="AL3602" s="87" t="s">
        <v>15237</v>
      </c>
      <c r="AM3602" s="87" t="s">
        <v>15249</v>
      </c>
      <c r="AN3602" s="87" t="s">
        <v>15314</v>
      </c>
      <c r="AO3602" s="87" t="s">
        <v>15381</v>
      </c>
      <c r="AP3602" s="87" t="s">
        <v>15438</v>
      </c>
      <c r="AQ3602" s="87"/>
      <c r="AR3602" s="87"/>
      <c r="AS3602" s="87"/>
      <c r="AT3602" s="87"/>
      <c r="AU3602" s="87"/>
      <c r="AV3602" s="92" t="str">
        <f>HYPERLINK("https://pbs.twimg.com/profile_images/1704469566460395520/bQczX6Hv_normal.jpg")</f>
        <v>https://pbs.twimg.com/profile_images/1704469566460395520/bQczX6Hv_normal.jpg</v>
      </c>
      <c r="AW3602" s="93" t="s">
        <v>21725</v>
      </c>
      <c r="AX3602" s="93" t="s">
        <v>21725</v>
      </c>
      <c r="AY3602" s="87"/>
      <c r="AZ3602" s="93" t="s">
        <v>22668</v>
      </c>
      <c r="BA3602" s="93" t="s">
        <v>22668</v>
      </c>
      <c r="BB3602" s="93" t="s">
        <v>22668</v>
      </c>
      <c r="BC3602" s="93" t="s">
        <v>21725</v>
      </c>
      <c r="BD3602" s="93" t="s">
        <v>23459</v>
      </c>
      <c r="BE3602" s="87"/>
      <c r="BF3602" s="87"/>
      <c r="BG3602" s="87"/>
      <c r="BH3602" s="87"/>
      <c r="BI3602" s="87"/>
    </row>
    <row r="3603" spans="1:61" x14ac:dyDescent="0.25">
      <c r="A3603" s="63" t="s">
        <v>1374</v>
      </c>
      <c r="B3603" s="63" t="s">
        <v>1374</v>
      </c>
      <c r="C3603" s="64"/>
      <c r="D3603" s="65"/>
      <c r="E3603" s="66"/>
      <c r="F3603" s="67"/>
      <c r="G3603" s="64"/>
      <c r="H3603" s="68"/>
      <c r="I3603" s="69"/>
      <c r="J3603" s="69"/>
      <c r="K3603" s="32"/>
      <c r="L3603" s="76">
        <v>3603</v>
      </c>
      <c r="M3603" s="76"/>
      <c r="N3603" s="71"/>
      <c r="O3603" s="87" t="s">
        <v>179</v>
      </c>
      <c r="P3603" s="90">
        <v>45156.992731481485</v>
      </c>
      <c r="Q3603" s="87" t="s">
        <v>5273</v>
      </c>
      <c r="R3603" s="87">
        <v>0</v>
      </c>
      <c r="S3603" s="87">
        <v>0</v>
      </c>
      <c r="T3603" s="87">
        <v>0</v>
      </c>
      <c r="U3603" s="87">
        <v>0</v>
      </c>
      <c r="V3603" s="87">
        <v>5</v>
      </c>
      <c r="W3603" s="93" t="s">
        <v>5954</v>
      </c>
      <c r="X3603" s="92" t="str">
        <f>HYPERLINK("https://www.sympla.com.br/evento/maturifest-2023/2039470")</f>
        <v>https://www.sympla.com.br/evento/maturifest-2023/2039470</v>
      </c>
      <c r="Y3603" s="87" t="s">
        <v>8373</v>
      </c>
      <c r="Z3603" s="87"/>
      <c r="AA3603" s="87" t="s">
        <v>11086</v>
      </c>
      <c r="AB3603" s="87" t="s">
        <v>11448</v>
      </c>
      <c r="AC3603" s="93" t="s">
        <v>11459</v>
      </c>
      <c r="AD3603" s="87" t="s">
        <v>11520</v>
      </c>
      <c r="AE3603" s="92" t="str">
        <f>HYPERLINK("https://twitter.com/rferreirasbc/status/1692685191704199411")</f>
        <v>https://twitter.com/rferreirasbc/status/1692685191704199411</v>
      </c>
      <c r="AF3603" s="90">
        <v>45156.992731481485</v>
      </c>
      <c r="AG3603" s="99">
        <v>45156</v>
      </c>
      <c r="AH3603" s="93" t="s">
        <v>14724</v>
      </c>
      <c r="AI3603" s="87" t="b">
        <v>0</v>
      </c>
      <c r="AJ3603" s="87"/>
      <c r="AK3603" s="87"/>
      <c r="AL3603" s="87"/>
      <c r="AM3603" s="87"/>
      <c r="AN3603" s="87"/>
      <c r="AO3603" s="87"/>
      <c r="AP3603" s="87"/>
      <c r="AQ3603" s="87" t="s">
        <v>17898</v>
      </c>
      <c r="AR3603" s="87"/>
      <c r="AS3603" s="87"/>
      <c r="AT3603" s="87"/>
      <c r="AU3603" s="87"/>
      <c r="AV3603" s="92" t="str">
        <f>HYPERLINK("https://pbs.twimg.com/media/F32gNirWoAABJSW.jpg")</f>
        <v>https://pbs.twimg.com/media/F32gNirWoAABJSW.jpg</v>
      </c>
      <c r="AW3603" s="93" t="s">
        <v>21726</v>
      </c>
      <c r="AX3603" s="93" t="s">
        <v>21726</v>
      </c>
      <c r="AY3603" s="87"/>
      <c r="AZ3603" s="93" t="s">
        <v>22668</v>
      </c>
      <c r="BA3603" s="93" t="s">
        <v>22668</v>
      </c>
      <c r="BB3603" s="93" t="s">
        <v>22668</v>
      </c>
      <c r="BC3603" s="93" t="s">
        <v>21726</v>
      </c>
      <c r="BD3603" s="87">
        <v>17863805</v>
      </c>
      <c r="BE3603" s="87"/>
      <c r="BF3603" s="87"/>
      <c r="BG3603" s="87"/>
      <c r="BH3603" s="87"/>
      <c r="BI3603" s="87"/>
    </row>
    <row r="3604" spans="1:61" x14ac:dyDescent="0.25">
      <c r="A3604" s="63" t="s">
        <v>1375</v>
      </c>
      <c r="B3604" s="63" t="s">
        <v>1624</v>
      </c>
      <c r="C3604" s="64"/>
      <c r="D3604" s="65"/>
      <c r="E3604" s="66"/>
      <c r="F3604" s="67"/>
      <c r="G3604" s="64"/>
      <c r="H3604" s="68"/>
      <c r="I3604" s="69"/>
      <c r="J3604" s="69"/>
      <c r="K3604" s="32"/>
      <c r="L3604" s="76">
        <v>3604</v>
      </c>
      <c r="M3604" s="76"/>
      <c r="N3604" s="71"/>
      <c r="O3604" s="87" t="s">
        <v>1839</v>
      </c>
      <c r="P3604" s="90">
        <v>45136.811724537038</v>
      </c>
      <c r="Q3604" s="87" t="s">
        <v>5274</v>
      </c>
      <c r="R3604" s="87">
        <v>0</v>
      </c>
      <c r="S3604" s="87">
        <v>0</v>
      </c>
      <c r="T3604" s="87">
        <v>0</v>
      </c>
      <c r="U3604" s="87">
        <v>0</v>
      </c>
      <c r="V3604" s="87">
        <v>29</v>
      </c>
      <c r="W3604" s="93" t="s">
        <v>7952</v>
      </c>
      <c r="X3604" s="92" t="str">
        <f>HYPERLINK("https://youtu.be/2e3OXrTGXsM")</f>
        <v>https://youtu.be/2e3OXrTGXsM</v>
      </c>
      <c r="Y3604" s="87" t="s">
        <v>8372</v>
      </c>
      <c r="Z3604" s="87" t="s">
        <v>1624</v>
      </c>
      <c r="AA3604" s="87"/>
      <c r="AB3604" s="87"/>
      <c r="AC3604" s="93" t="s">
        <v>11457</v>
      </c>
      <c r="AD3604" s="87" t="s">
        <v>11519</v>
      </c>
      <c r="AE3604" s="92" t="str">
        <f>HYPERLINK("https://twitter.com/mvpd14/status/1685371838447210496")</f>
        <v>https://twitter.com/mvpd14/status/1685371838447210496</v>
      </c>
      <c r="AF3604" s="90">
        <v>45136.811724537038</v>
      </c>
      <c r="AG3604" s="99">
        <v>45136</v>
      </c>
      <c r="AH3604" s="93" t="s">
        <v>14725</v>
      </c>
      <c r="AI3604" s="87" t="b">
        <v>0</v>
      </c>
      <c r="AJ3604" s="87"/>
      <c r="AK3604" s="87"/>
      <c r="AL3604" s="87"/>
      <c r="AM3604" s="87"/>
      <c r="AN3604" s="87"/>
      <c r="AO3604" s="87"/>
      <c r="AP3604" s="87"/>
      <c r="AQ3604" s="87"/>
      <c r="AR3604" s="87"/>
      <c r="AS3604" s="87"/>
      <c r="AT3604" s="87"/>
      <c r="AU3604" s="87"/>
      <c r="AV3604" s="92" t="str">
        <f>HYPERLINK("https://pbs.twimg.com/profile_images/746770650937819136/NOdxSxS2_normal.jpg")</f>
        <v>https://pbs.twimg.com/profile_images/746770650937819136/NOdxSxS2_normal.jpg</v>
      </c>
      <c r="AW3604" s="93" t="s">
        <v>21727</v>
      </c>
      <c r="AX3604" s="93" t="s">
        <v>21727</v>
      </c>
      <c r="AY3604" s="87"/>
      <c r="AZ3604" s="93" t="s">
        <v>22668</v>
      </c>
      <c r="BA3604" s="93" t="s">
        <v>22668</v>
      </c>
      <c r="BB3604" s="93" t="s">
        <v>22668</v>
      </c>
      <c r="BC3604" s="93" t="s">
        <v>21727</v>
      </c>
      <c r="BD3604" s="93" t="s">
        <v>23460</v>
      </c>
      <c r="BE3604" s="87"/>
      <c r="BF3604" s="87"/>
      <c r="BG3604" s="87"/>
      <c r="BH3604" s="87"/>
      <c r="BI3604" s="87"/>
    </row>
    <row r="3605" spans="1:61" x14ac:dyDescent="0.25">
      <c r="A3605" s="63" t="s">
        <v>1376</v>
      </c>
      <c r="B3605" s="63" t="s">
        <v>1376</v>
      </c>
      <c r="C3605" s="64"/>
      <c r="D3605" s="65"/>
      <c r="E3605" s="66"/>
      <c r="F3605" s="67"/>
      <c r="G3605" s="64"/>
      <c r="H3605" s="68"/>
      <c r="I3605" s="69"/>
      <c r="J3605" s="69"/>
      <c r="K3605" s="32"/>
      <c r="L3605" s="76">
        <v>3605</v>
      </c>
      <c r="M3605" s="76"/>
      <c r="N3605" s="71"/>
      <c r="O3605" s="87" t="s">
        <v>179</v>
      </c>
      <c r="P3605" s="90">
        <v>45112.773217592592</v>
      </c>
      <c r="Q3605" s="87" t="s">
        <v>5275</v>
      </c>
      <c r="R3605" s="87">
        <v>0</v>
      </c>
      <c r="S3605" s="87">
        <v>0</v>
      </c>
      <c r="T3605" s="87">
        <v>0</v>
      </c>
      <c r="U3605" s="87">
        <v>0</v>
      </c>
      <c r="V3605" s="87">
        <v>14</v>
      </c>
      <c r="W3605" s="93" t="s">
        <v>7953</v>
      </c>
      <c r="X3605" s="92" t="str">
        <f>HYPERLINK("https://www.instagram.com/reel/CuUMSjyNwbT/?igshid=MTc4MmM1YmI2Ng==")</f>
        <v>https://www.instagram.com/reel/CuUMSjyNwbT/?igshid=MTc4MmM1YmI2Ng==</v>
      </c>
      <c r="Y3605" s="87" t="s">
        <v>8383</v>
      </c>
      <c r="Z3605" s="87"/>
      <c r="AA3605" s="87"/>
      <c r="AB3605" s="87"/>
      <c r="AC3605" s="93" t="s">
        <v>11459</v>
      </c>
      <c r="AD3605" s="87" t="s">
        <v>11519</v>
      </c>
      <c r="AE3605" s="92" t="str">
        <f>HYPERLINK("https://twitter.com/bemmercearia19/status/1676660574476705792")</f>
        <v>https://twitter.com/bemmercearia19/status/1676660574476705792</v>
      </c>
      <c r="AF3605" s="90">
        <v>45112.773217592592</v>
      </c>
      <c r="AG3605" s="99">
        <v>45112</v>
      </c>
      <c r="AH3605" s="93" t="s">
        <v>14726</v>
      </c>
      <c r="AI3605" s="87" t="b">
        <v>0</v>
      </c>
      <c r="AJ3605" s="87"/>
      <c r="AK3605" s="87"/>
      <c r="AL3605" s="87"/>
      <c r="AM3605" s="87"/>
      <c r="AN3605" s="87"/>
      <c r="AO3605" s="87"/>
      <c r="AP3605" s="87"/>
      <c r="AQ3605" s="87"/>
      <c r="AR3605" s="87"/>
      <c r="AS3605" s="87"/>
      <c r="AT3605" s="87"/>
      <c r="AU3605" s="87"/>
      <c r="AV3605" s="92" t="str">
        <f>HYPERLINK("https://pbs.twimg.com/profile_images/1700704107546267648/snsIh7Zz_normal.jpg")</f>
        <v>https://pbs.twimg.com/profile_images/1700704107546267648/snsIh7Zz_normal.jpg</v>
      </c>
      <c r="AW3605" s="93" t="s">
        <v>21728</v>
      </c>
      <c r="AX3605" s="93" t="s">
        <v>21728</v>
      </c>
      <c r="AY3605" s="87"/>
      <c r="AZ3605" s="93" t="s">
        <v>22668</v>
      </c>
      <c r="BA3605" s="93" t="s">
        <v>22668</v>
      </c>
      <c r="BB3605" s="93" t="s">
        <v>22668</v>
      </c>
      <c r="BC3605" s="93" t="s">
        <v>21728</v>
      </c>
      <c r="BD3605" s="93" t="s">
        <v>23461</v>
      </c>
      <c r="BE3605" s="87"/>
      <c r="BF3605" s="87"/>
      <c r="BG3605" s="87"/>
      <c r="BH3605" s="87"/>
      <c r="BI3605" s="87"/>
    </row>
    <row r="3606" spans="1:61" x14ac:dyDescent="0.25">
      <c r="A3606" s="63" t="s">
        <v>1377</v>
      </c>
      <c r="B3606" s="63" t="s">
        <v>1377</v>
      </c>
      <c r="C3606" s="64"/>
      <c r="D3606" s="65"/>
      <c r="E3606" s="66"/>
      <c r="F3606" s="67"/>
      <c r="G3606" s="64"/>
      <c r="H3606" s="68"/>
      <c r="I3606" s="69"/>
      <c r="J3606" s="69"/>
      <c r="K3606" s="32"/>
      <c r="L3606" s="76">
        <v>3606</v>
      </c>
      <c r="M3606" s="76"/>
      <c r="N3606" s="71"/>
      <c r="O3606" s="87" t="s">
        <v>179</v>
      </c>
      <c r="P3606" s="90">
        <v>45134.731493055559</v>
      </c>
      <c r="Q3606" s="87" t="s">
        <v>5276</v>
      </c>
      <c r="R3606" s="87">
        <v>0</v>
      </c>
      <c r="S3606" s="87">
        <v>0</v>
      </c>
      <c r="T3606" s="87">
        <v>0</v>
      </c>
      <c r="U3606" s="87">
        <v>0</v>
      </c>
      <c r="V3606" s="87">
        <v>34</v>
      </c>
      <c r="W3606" s="93" t="s">
        <v>7954</v>
      </c>
      <c r="X3606" s="92" t="str">
        <f>HYPERLINK("https://linklist.bio/inovahcfmusp")</f>
        <v>https://linklist.bio/inovahcfmusp</v>
      </c>
      <c r="Y3606" s="87" t="s">
        <v>8534</v>
      </c>
      <c r="Z3606" s="87"/>
      <c r="AA3606" s="87" t="s">
        <v>11087</v>
      </c>
      <c r="AB3606" s="87" t="s">
        <v>11447</v>
      </c>
      <c r="AC3606" s="93" t="s">
        <v>11457</v>
      </c>
      <c r="AD3606" s="87" t="s">
        <v>11519</v>
      </c>
      <c r="AE3606" s="92" t="str">
        <f>HYPERLINK("https://twitter.com/inovahcfmusp/status/1684617988597530624")</f>
        <v>https://twitter.com/inovahcfmusp/status/1684617988597530624</v>
      </c>
      <c r="AF3606" s="90">
        <v>45134.731493055559</v>
      </c>
      <c r="AG3606" s="99">
        <v>45134</v>
      </c>
      <c r="AH3606" s="93" t="s">
        <v>14727</v>
      </c>
      <c r="AI3606" s="87" t="b">
        <v>0</v>
      </c>
      <c r="AJ3606" s="87"/>
      <c r="AK3606" s="87"/>
      <c r="AL3606" s="87"/>
      <c r="AM3606" s="87"/>
      <c r="AN3606" s="87"/>
      <c r="AO3606" s="87"/>
      <c r="AP3606" s="87"/>
      <c r="AQ3606" s="87" t="s">
        <v>17899</v>
      </c>
      <c r="AR3606" s="87">
        <v>64819</v>
      </c>
      <c r="AS3606" s="87"/>
      <c r="AT3606" s="87"/>
      <c r="AU3606" s="87"/>
      <c r="AV3606" s="92" t="str">
        <f>HYPERLINK("https://pbs.twimg.com/ext_tw_video_thumb/1684616166751313943/pu/img/ezxdYyzsjKnZZimB.jpg")</f>
        <v>https://pbs.twimg.com/ext_tw_video_thumb/1684616166751313943/pu/img/ezxdYyzsjKnZZimB.jpg</v>
      </c>
      <c r="AW3606" s="93" t="s">
        <v>21729</v>
      </c>
      <c r="AX3606" s="93" t="s">
        <v>21729</v>
      </c>
      <c r="AY3606" s="87"/>
      <c r="AZ3606" s="93" t="s">
        <v>22668</v>
      </c>
      <c r="BA3606" s="93" t="s">
        <v>22668</v>
      </c>
      <c r="BB3606" s="93" t="s">
        <v>22668</v>
      </c>
      <c r="BC3606" s="93" t="s">
        <v>21729</v>
      </c>
      <c r="BD3606" s="93" t="s">
        <v>23462</v>
      </c>
      <c r="BE3606" s="87"/>
      <c r="BF3606" s="87"/>
      <c r="BG3606" s="87"/>
      <c r="BH3606" s="87"/>
      <c r="BI3606" s="87"/>
    </row>
    <row r="3607" spans="1:61" x14ac:dyDescent="0.25">
      <c r="A3607" s="63" t="s">
        <v>1377</v>
      </c>
      <c r="B3607" s="63" t="s">
        <v>1377</v>
      </c>
      <c r="C3607" s="64"/>
      <c r="D3607" s="65"/>
      <c r="E3607" s="66"/>
      <c r="F3607" s="67"/>
      <c r="G3607" s="64"/>
      <c r="H3607" s="68"/>
      <c r="I3607" s="69"/>
      <c r="J3607" s="69"/>
      <c r="K3607" s="32"/>
      <c r="L3607" s="76">
        <v>3607</v>
      </c>
      <c r="M3607" s="76"/>
      <c r="N3607" s="71"/>
      <c r="O3607" s="87" t="s">
        <v>179</v>
      </c>
      <c r="P3607" s="90">
        <v>45152.604814814818</v>
      </c>
      <c r="Q3607" s="87" t="s">
        <v>5277</v>
      </c>
      <c r="R3607" s="87">
        <v>1</v>
      </c>
      <c r="S3607" s="87">
        <v>2</v>
      </c>
      <c r="T3607" s="87">
        <v>0</v>
      </c>
      <c r="U3607" s="87">
        <v>0</v>
      </c>
      <c r="V3607" s="87">
        <v>50</v>
      </c>
      <c r="W3607" s="93" t="s">
        <v>7955</v>
      </c>
      <c r="X3607" s="92" t="str">
        <f>HYPERLINK("https://bit.ly/inscriçõesincube")</f>
        <v>https://bit.ly/inscriçõesincube</v>
      </c>
      <c r="Y3607" s="87" t="s">
        <v>8374</v>
      </c>
      <c r="Z3607" s="87"/>
      <c r="AA3607" s="87" t="s">
        <v>11088</v>
      </c>
      <c r="AB3607" s="87" t="s">
        <v>11448</v>
      </c>
      <c r="AC3607" s="93" t="s">
        <v>11457</v>
      </c>
      <c r="AD3607" s="87" t="s">
        <v>11519</v>
      </c>
      <c r="AE3607" s="92" t="str">
        <f>HYPERLINK("https://twitter.com/inovahcfmusp/status/1691095062128869376")</f>
        <v>https://twitter.com/inovahcfmusp/status/1691095062128869376</v>
      </c>
      <c r="AF3607" s="90">
        <v>45152.604814814818</v>
      </c>
      <c r="AG3607" s="99">
        <v>45152</v>
      </c>
      <c r="AH3607" s="93" t="s">
        <v>14728</v>
      </c>
      <c r="AI3607" s="87" t="b">
        <v>0</v>
      </c>
      <c r="AJ3607" s="87"/>
      <c r="AK3607" s="87"/>
      <c r="AL3607" s="87"/>
      <c r="AM3607" s="87"/>
      <c r="AN3607" s="87"/>
      <c r="AO3607" s="87"/>
      <c r="AP3607" s="87"/>
      <c r="AQ3607" s="87" t="s">
        <v>17900</v>
      </c>
      <c r="AR3607" s="87"/>
      <c r="AS3607" s="87"/>
      <c r="AT3607" s="87"/>
      <c r="AU3607" s="87"/>
      <c r="AV3607" s="92" t="str">
        <f>HYPERLINK("https://pbs.twimg.com/media/F3f5_HaW4AANqyo.jpg")</f>
        <v>https://pbs.twimg.com/media/F3f5_HaW4AANqyo.jpg</v>
      </c>
      <c r="AW3607" s="93" t="s">
        <v>21730</v>
      </c>
      <c r="AX3607" s="93" t="s">
        <v>21730</v>
      </c>
      <c r="AY3607" s="87"/>
      <c r="AZ3607" s="93" t="s">
        <v>22668</v>
      </c>
      <c r="BA3607" s="93" t="s">
        <v>22668</v>
      </c>
      <c r="BB3607" s="93" t="s">
        <v>22668</v>
      </c>
      <c r="BC3607" s="93" t="s">
        <v>21730</v>
      </c>
      <c r="BD3607" s="93" t="s">
        <v>23462</v>
      </c>
      <c r="BE3607" s="87"/>
      <c r="BF3607" s="87"/>
      <c r="BG3607" s="87"/>
      <c r="BH3607" s="87"/>
      <c r="BI3607" s="87"/>
    </row>
    <row r="3608" spans="1:61" x14ac:dyDescent="0.25">
      <c r="A3608" s="63" t="s">
        <v>1377</v>
      </c>
      <c r="B3608" s="63" t="s">
        <v>1377</v>
      </c>
      <c r="C3608" s="64"/>
      <c r="D3608" s="65"/>
      <c r="E3608" s="66"/>
      <c r="F3608" s="67"/>
      <c r="G3608" s="64"/>
      <c r="H3608" s="68"/>
      <c r="I3608" s="69"/>
      <c r="J3608" s="69"/>
      <c r="K3608" s="32"/>
      <c r="L3608" s="76">
        <v>3608</v>
      </c>
      <c r="M3608" s="76"/>
      <c r="N3608" s="71"/>
      <c r="O3608" s="87" t="s">
        <v>179</v>
      </c>
      <c r="P3608" s="90">
        <v>45139.651990740742</v>
      </c>
      <c r="Q3608" s="87" t="s">
        <v>5278</v>
      </c>
      <c r="R3608" s="87">
        <v>0</v>
      </c>
      <c r="S3608" s="87">
        <v>0</v>
      </c>
      <c r="T3608" s="87">
        <v>0</v>
      </c>
      <c r="U3608" s="87">
        <v>0</v>
      </c>
      <c r="V3608" s="87">
        <v>26</v>
      </c>
      <c r="W3608" s="93" t="s">
        <v>7956</v>
      </c>
      <c r="X3608" s="92" t="str">
        <f>HYPERLINK("https://bit.ly/inscriçõesincube")</f>
        <v>https://bit.ly/inscriçõesincube</v>
      </c>
      <c r="Y3608" s="87" t="s">
        <v>8374</v>
      </c>
      <c r="Z3608" s="87"/>
      <c r="AA3608" s="87" t="s">
        <v>11089</v>
      </c>
      <c r="AB3608" s="87" t="s">
        <v>11448</v>
      </c>
      <c r="AC3608" s="93" t="s">
        <v>11457</v>
      </c>
      <c r="AD3608" s="87" t="s">
        <v>11519</v>
      </c>
      <c r="AE3608" s="92" t="str">
        <f>HYPERLINK("https://twitter.com/inovahcfmusp/status/1686401115078701056")</f>
        <v>https://twitter.com/inovahcfmusp/status/1686401115078701056</v>
      </c>
      <c r="AF3608" s="90">
        <v>45139.651990740742</v>
      </c>
      <c r="AG3608" s="99">
        <v>45139</v>
      </c>
      <c r="AH3608" s="93" t="s">
        <v>14729</v>
      </c>
      <c r="AI3608" s="87" t="b">
        <v>0</v>
      </c>
      <c r="AJ3608" s="87"/>
      <c r="AK3608" s="87"/>
      <c r="AL3608" s="87"/>
      <c r="AM3608" s="87"/>
      <c r="AN3608" s="87"/>
      <c r="AO3608" s="87"/>
      <c r="AP3608" s="87"/>
      <c r="AQ3608" s="87" t="s">
        <v>17901</v>
      </c>
      <c r="AR3608" s="87"/>
      <c r="AS3608" s="87"/>
      <c r="AT3608" s="87"/>
      <c r="AU3608" s="87"/>
      <c r="AV3608" s="92" t="str">
        <f>HYPERLINK("https://pbs.twimg.com/media/F2dM34OWoAAzQE6.jpg")</f>
        <v>https://pbs.twimg.com/media/F2dM34OWoAAzQE6.jpg</v>
      </c>
      <c r="AW3608" s="93" t="s">
        <v>21731</v>
      </c>
      <c r="AX3608" s="93" t="s">
        <v>21731</v>
      </c>
      <c r="AY3608" s="87"/>
      <c r="AZ3608" s="93" t="s">
        <v>22668</v>
      </c>
      <c r="BA3608" s="93" t="s">
        <v>22668</v>
      </c>
      <c r="BB3608" s="93" t="s">
        <v>22668</v>
      </c>
      <c r="BC3608" s="93" t="s">
        <v>21731</v>
      </c>
      <c r="BD3608" s="93" t="s">
        <v>23462</v>
      </c>
      <c r="BE3608" s="87"/>
      <c r="BF3608" s="87"/>
      <c r="BG3608" s="87"/>
      <c r="BH3608" s="87"/>
      <c r="BI3608" s="87"/>
    </row>
    <row r="3609" spans="1:61" x14ac:dyDescent="0.25">
      <c r="A3609" s="63" t="s">
        <v>1377</v>
      </c>
      <c r="B3609" s="63" t="s">
        <v>1377</v>
      </c>
      <c r="C3609" s="64"/>
      <c r="D3609" s="65"/>
      <c r="E3609" s="66"/>
      <c r="F3609" s="67"/>
      <c r="G3609" s="64"/>
      <c r="H3609" s="68"/>
      <c r="I3609" s="69"/>
      <c r="J3609" s="69"/>
      <c r="K3609" s="32"/>
      <c r="L3609" s="76">
        <v>3609</v>
      </c>
      <c r="M3609" s="76"/>
      <c r="N3609" s="71"/>
      <c r="O3609" s="87" t="s">
        <v>179</v>
      </c>
      <c r="P3609" s="90">
        <v>45125.666689814818</v>
      </c>
      <c r="Q3609" s="87" t="s">
        <v>5279</v>
      </c>
      <c r="R3609" s="87">
        <v>0</v>
      </c>
      <c r="S3609" s="87">
        <v>1</v>
      </c>
      <c r="T3609" s="87">
        <v>0</v>
      </c>
      <c r="U3609" s="87">
        <v>0</v>
      </c>
      <c r="V3609" s="87">
        <v>16</v>
      </c>
      <c r="W3609" s="93" t="s">
        <v>7957</v>
      </c>
      <c r="X3609" s="92" t="str">
        <f>HYPERLINK("https://bit.ly/inscriçõesincube")</f>
        <v>https://bit.ly/inscriçõesincube</v>
      </c>
      <c r="Y3609" s="87" t="s">
        <v>8374</v>
      </c>
      <c r="Z3609" s="87"/>
      <c r="AA3609" s="87" t="s">
        <v>11090</v>
      </c>
      <c r="AB3609" s="87" t="s">
        <v>11447</v>
      </c>
      <c r="AC3609" s="93" t="s">
        <v>11457</v>
      </c>
      <c r="AD3609" s="87" t="s">
        <v>11519</v>
      </c>
      <c r="AE3609" s="92" t="str">
        <f>HYPERLINK("https://twitter.com/inovahcfmusp/status/1681333013471195137")</f>
        <v>https://twitter.com/inovahcfmusp/status/1681333013471195137</v>
      </c>
      <c r="AF3609" s="90">
        <v>45125.666689814818</v>
      </c>
      <c r="AG3609" s="99">
        <v>45125</v>
      </c>
      <c r="AH3609" s="93" t="s">
        <v>11678</v>
      </c>
      <c r="AI3609" s="87" t="b">
        <v>0</v>
      </c>
      <c r="AJ3609" s="87"/>
      <c r="AK3609" s="87"/>
      <c r="AL3609" s="87"/>
      <c r="AM3609" s="87"/>
      <c r="AN3609" s="87"/>
      <c r="AO3609" s="87"/>
      <c r="AP3609" s="87"/>
      <c r="AQ3609" s="87" t="s">
        <v>17902</v>
      </c>
      <c r="AR3609" s="87">
        <v>46964</v>
      </c>
      <c r="AS3609" s="87"/>
      <c r="AT3609" s="87"/>
      <c r="AU3609" s="87"/>
      <c r="AV3609" s="92" t="str">
        <f>HYPERLINK("https://pbs.twimg.com/ext_tw_video_thumb/1681289541607469057/pu/img/yja4yC6llTR3sx7t.jpg")</f>
        <v>https://pbs.twimg.com/ext_tw_video_thumb/1681289541607469057/pu/img/yja4yC6llTR3sx7t.jpg</v>
      </c>
      <c r="AW3609" s="93" t="s">
        <v>21732</v>
      </c>
      <c r="AX3609" s="93" t="s">
        <v>21732</v>
      </c>
      <c r="AY3609" s="87"/>
      <c r="AZ3609" s="93" t="s">
        <v>22668</v>
      </c>
      <c r="BA3609" s="93" t="s">
        <v>22668</v>
      </c>
      <c r="BB3609" s="93" t="s">
        <v>22668</v>
      </c>
      <c r="BC3609" s="93" t="s">
        <v>21732</v>
      </c>
      <c r="BD3609" s="93" t="s">
        <v>23462</v>
      </c>
      <c r="BE3609" s="87"/>
      <c r="BF3609" s="87"/>
      <c r="BG3609" s="87"/>
      <c r="BH3609" s="87"/>
      <c r="BI3609" s="87"/>
    </row>
    <row r="3610" spans="1:61" x14ac:dyDescent="0.25">
      <c r="A3610" s="63" t="s">
        <v>1377</v>
      </c>
      <c r="B3610" s="63" t="s">
        <v>1377</v>
      </c>
      <c r="C3610" s="64"/>
      <c r="D3610" s="65"/>
      <c r="E3610" s="66"/>
      <c r="F3610" s="67"/>
      <c r="G3610" s="64"/>
      <c r="H3610" s="68"/>
      <c r="I3610" s="69"/>
      <c r="J3610" s="69"/>
      <c r="K3610" s="32"/>
      <c r="L3610" s="76">
        <v>3610</v>
      </c>
      <c r="M3610" s="76"/>
      <c r="N3610" s="71"/>
      <c r="O3610" s="87" t="s">
        <v>179</v>
      </c>
      <c r="P3610" s="90">
        <v>45155.837997685187</v>
      </c>
      <c r="Q3610" s="87" t="s">
        <v>5280</v>
      </c>
      <c r="R3610" s="87">
        <v>0</v>
      </c>
      <c r="S3610" s="87">
        <v>0</v>
      </c>
      <c r="T3610" s="87">
        <v>0</v>
      </c>
      <c r="U3610" s="87">
        <v>0</v>
      </c>
      <c r="V3610" s="87">
        <v>26</v>
      </c>
      <c r="W3610" s="93" t="s">
        <v>7958</v>
      </c>
      <c r="X3610" s="92" t="str">
        <f>HYPERLINK("https://linklist.bio/inovahcfmusp")</f>
        <v>https://linklist.bio/inovahcfmusp</v>
      </c>
      <c r="Y3610" s="87" t="s">
        <v>8534</v>
      </c>
      <c r="Z3610" s="87"/>
      <c r="AA3610" s="87" t="s">
        <v>11091</v>
      </c>
      <c r="AB3610" s="87" t="s">
        <v>11447</v>
      </c>
      <c r="AC3610" s="93" t="s">
        <v>11457</v>
      </c>
      <c r="AD3610" s="87" t="s">
        <v>11519</v>
      </c>
      <c r="AE3610" s="92" t="str">
        <f>HYPERLINK("https://twitter.com/inovahcfmusp/status/1692266730305802599")</f>
        <v>https://twitter.com/inovahcfmusp/status/1692266730305802599</v>
      </c>
      <c r="AF3610" s="90">
        <v>45155.837997685187</v>
      </c>
      <c r="AG3610" s="99">
        <v>45155</v>
      </c>
      <c r="AH3610" s="93" t="s">
        <v>13661</v>
      </c>
      <c r="AI3610" s="87" t="b">
        <v>0</v>
      </c>
      <c r="AJ3610" s="87"/>
      <c r="AK3610" s="87"/>
      <c r="AL3610" s="87"/>
      <c r="AM3610" s="87"/>
      <c r="AN3610" s="87"/>
      <c r="AO3610" s="87"/>
      <c r="AP3610" s="87"/>
      <c r="AQ3610" s="87" t="s">
        <v>17903</v>
      </c>
      <c r="AR3610" s="87">
        <v>34110</v>
      </c>
      <c r="AS3610" s="87"/>
      <c r="AT3610" s="87"/>
      <c r="AU3610" s="87"/>
      <c r="AV3610" s="92" t="str">
        <f>HYPERLINK("https://pbs.twimg.com/ext_tw_video_thumb/1692266301366878209/pu/img/6l4XCwNUbNeZG79Z.jpg")</f>
        <v>https://pbs.twimg.com/ext_tw_video_thumb/1692266301366878209/pu/img/6l4XCwNUbNeZG79Z.jpg</v>
      </c>
      <c r="AW3610" s="93" t="s">
        <v>21733</v>
      </c>
      <c r="AX3610" s="93" t="s">
        <v>21733</v>
      </c>
      <c r="AY3610" s="87"/>
      <c r="AZ3610" s="93" t="s">
        <v>22668</v>
      </c>
      <c r="BA3610" s="93" t="s">
        <v>22668</v>
      </c>
      <c r="BB3610" s="93" t="s">
        <v>22668</v>
      </c>
      <c r="BC3610" s="93" t="s">
        <v>21733</v>
      </c>
      <c r="BD3610" s="93" t="s">
        <v>23462</v>
      </c>
      <c r="BE3610" s="87"/>
      <c r="BF3610" s="87"/>
      <c r="BG3610" s="87"/>
      <c r="BH3610" s="87"/>
      <c r="BI3610" s="87"/>
    </row>
    <row r="3611" spans="1:61" x14ac:dyDescent="0.25">
      <c r="A3611" s="63" t="s">
        <v>1377</v>
      </c>
      <c r="B3611" s="63" t="s">
        <v>1377</v>
      </c>
      <c r="C3611" s="64"/>
      <c r="D3611" s="65"/>
      <c r="E3611" s="66"/>
      <c r="F3611" s="67"/>
      <c r="G3611" s="64"/>
      <c r="H3611" s="68"/>
      <c r="I3611" s="69"/>
      <c r="J3611" s="69"/>
      <c r="K3611" s="32"/>
      <c r="L3611" s="76">
        <v>3611</v>
      </c>
      <c r="M3611" s="76"/>
      <c r="N3611" s="71"/>
      <c r="O3611" s="87" t="s">
        <v>179</v>
      </c>
      <c r="P3611" s="90">
        <v>45113.666666666664</v>
      </c>
      <c r="Q3611" s="87" t="s">
        <v>5281</v>
      </c>
      <c r="R3611" s="87">
        <v>0</v>
      </c>
      <c r="S3611" s="87">
        <v>4</v>
      </c>
      <c r="T3611" s="87">
        <v>1</v>
      </c>
      <c r="U3611" s="87">
        <v>0</v>
      </c>
      <c r="V3611" s="87">
        <v>46</v>
      </c>
      <c r="W3611" s="93" t="s">
        <v>7959</v>
      </c>
      <c r="X3611" s="92" t="str">
        <f>HYPERLINK("https://bit.ly/inscriçõesincube")</f>
        <v>https://bit.ly/inscriçõesincube</v>
      </c>
      <c r="Y3611" s="87" t="s">
        <v>8374</v>
      </c>
      <c r="Z3611" s="87"/>
      <c r="AA3611" s="87" t="s">
        <v>11092</v>
      </c>
      <c r="AB3611" s="87" t="s">
        <v>11447</v>
      </c>
      <c r="AC3611" s="93" t="s">
        <v>11457</v>
      </c>
      <c r="AD3611" s="87" t="s">
        <v>11519</v>
      </c>
      <c r="AE3611" s="92" t="str">
        <f>HYPERLINK("https://twitter.com/inovahcfmusp/status/1676984349541974018")</f>
        <v>https://twitter.com/inovahcfmusp/status/1676984349541974018</v>
      </c>
      <c r="AF3611" s="90">
        <v>45113.666666666664</v>
      </c>
      <c r="AG3611" s="99">
        <v>45113</v>
      </c>
      <c r="AH3611" s="93" t="s">
        <v>11676</v>
      </c>
      <c r="AI3611" s="87" t="b">
        <v>0</v>
      </c>
      <c r="AJ3611" s="87"/>
      <c r="AK3611" s="87"/>
      <c r="AL3611" s="87"/>
      <c r="AM3611" s="87"/>
      <c r="AN3611" s="87"/>
      <c r="AO3611" s="87"/>
      <c r="AP3611" s="87"/>
      <c r="AQ3611" s="87" t="s">
        <v>17904</v>
      </c>
      <c r="AR3611" s="87">
        <v>113033</v>
      </c>
      <c r="AS3611" s="87"/>
      <c r="AT3611" s="87"/>
      <c r="AU3611" s="87"/>
      <c r="AV3611" s="92" t="str">
        <f>HYPERLINK("https://pbs.twimg.com/ext_tw_video_thumb/1676947968191250435/pu/img/WY49PcfkGG4LeDnN.jpg")</f>
        <v>https://pbs.twimg.com/ext_tw_video_thumb/1676947968191250435/pu/img/WY49PcfkGG4LeDnN.jpg</v>
      </c>
      <c r="AW3611" s="93" t="s">
        <v>21734</v>
      </c>
      <c r="AX3611" s="93" t="s">
        <v>21734</v>
      </c>
      <c r="AY3611" s="87"/>
      <c r="AZ3611" s="93" t="s">
        <v>22668</v>
      </c>
      <c r="BA3611" s="93" t="s">
        <v>22668</v>
      </c>
      <c r="BB3611" s="93" t="s">
        <v>22668</v>
      </c>
      <c r="BC3611" s="93" t="s">
        <v>21734</v>
      </c>
      <c r="BD3611" s="93" t="s">
        <v>23462</v>
      </c>
      <c r="BE3611" s="87"/>
      <c r="BF3611" s="87"/>
      <c r="BG3611" s="87"/>
      <c r="BH3611" s="87"/>
      <c r="BI3611" s="87"/>
    </row>
    <row r="3612" spans="1:61" x14ac:dyDescent="0.25">
      <c r="A3612" s="63" t="s">
        <v>1377</v>
      </c>
      <c r="B3612" s="63" t="s">
        <v>1377</v>
      </c>
      <c r="C3612" s="64"/>
      <c r="D3612" s="65"/>
      <c r="E3612" s="66"/>
      <c r="F3612" s="67"/>
      <c r="G3612" s="64"/>
      <c r="H3612" s="68"/>
      <c r="I3612" s="69"/>
      <c r="J3612" s="69"/>
      <c r="K3612" s="32"/>
      <c r="L3612" s="76">
        <v>3612</v>
      </c>
      <c r="M3612" s="76"/>
      <c r="N3612" s="71"/>
      <c r="O3612" s="87" t="s">
        <v>179</v>
      </c>
      <c r="P3612" s="90">
        <v>45161.487638888888</v>
      </c>
      <c r="Q3612" s="87" t="s">
        <v>5282</v>
      </c>
      <c r="R3612" s="87">
        <v>0</v>
      </c>
      <c r="S3612" s="87">
        <v>0</v>
      </c>
      <c r="T3612" s="87">
        <v>0</v>
      </c>
      <c r="U3612" s="87">
        <v>0</v>
      </c>
      <c r="V3612" s="87">
        <v>30</v>
      </c>
      <c r="W3612" s="93" t="s">
        <v>7960</v>
      </c>
      <c r="X3612" s="92" t="str">
        <f>HYPERLINK("https://bit.ly/inscriçõesincube")</f>
        <v>https://bit.ly/inscriçõesincube</v>
      </c>
      <c r="Y3612" s="87" t="s">
        <v>8374</v>
      </c>
      <c r="Z3612" s="87"/>
      <c r="AA3612" s="87" t="s">
        <v>11093</v>
      </c>
      <c r="AB3612" s="87" t="s">
        <v>11448</v>
      </c>
      <c r="AC3612" s="93" t="s">
        <v>11457</v>
      </c>
      <c r="AD3612" s="87" t="s">
        <v>11519</v>
      </c>
      <c r="AE3612" s="92" t="str">
        <f>HYPERLINK("https://twitter.com/inovahcfmusp/status/1694314091760820728")</f>
        <v>https://twitter.com/inovahcfmusp/status/1694314091760820728</v>
      </c>
      <c r="AF3612" s="90">
        <v>45161.487638888888</v>
      </c>
      <c r="AG3612" s="99">
        <v>45161</v>
      </c>
      <c r="AH3612" s="93" t="s">
        <v>14062</v>
      </c>
      <c r="AI3612" s="87" t="b">
        <v>0</v>
      </c>
      <c r="AJ3612" s="87"/>
      <c r="AK3612" s="87"/>
      <c r="AL3612" s="87"/>
      <c r="AM3612" s="87"/>
      <c r="AN3612" s="87"/>
      <c r="AO3612" s="87"/>
      <c r="AP3612" s="87"/>
      <c r="AQ3612" s="87" t="s">
        <v>17905</v>
      </c>
      <c r="AR3612" s="87"/>
      <c r="AS3612" s="87"/>
      <c r="AT3612" s="87"/>
      <c r="AU3612" s="87"/>
      <c r="AV3612" s="92" t="str">
        <f>HYPERLINK("https://pbs.twimg.com/media/F4NpBrzXMAE2sLg.jpg")</f>
        <v>https://pbs.twimg.com/media/F4NpBrzXMAE2sLg.jpg</v>
      </c>
      <c r="AW3612" s="93" t="s">
        <v>21735</v>
      </c>
      <c r="AX3612" s="93" t="s">
        <v>21735</v>
      </c>
      <c r="AY3612" s="87"/>
      <c r="AZ3612" s="93" t="s">
        <v>22668</v>
      </c>
      <c r="BA3612" s="93" t="s">
        <v>22668</v>
      </c>
      <c r="BB3612" s="93" t="s">
        <v>22668</v>
      </c>
      <c r="BC3612" s="93" t="s">
        <v>21735</v>
      </c>
      <c r="BD3612" s="93" t="s">
        <v>23462</v>
      </c>
      <c r="BE3612" s="87"/>
      <c r="BF3612" s="87"/>
      <c r="BG3612" s="87"/>
      <c r="BH3612" s="87"/>
      <c r="BI3612" s="87"/>
    </row>
    <row r="3613" spans="1:61" x14ac:dyDescent="0.25">
      <c r="A3613" s="63" t="s">
        <v>1377</v>
      </c>
      <c r="B3613" s="63" t="s">
        <v>1377</v>
      </c>
      <c r="C3613" s="64"/>
      <c r="D3613" s="65"/>
      <c r="E3613" s="66"/>
      <c r="F3613" s="67"/>
      <c r="G3613" s="64"/>
      <c r="H3613" s="68"/>
      <c r="I3613" s="69"/>
      <c r="J3613" s="69"/>
      <c r="K3613" s="32"/>
      <c r="L3613" s="76">
        <v>3613</v>
      </c>
      <c r="M3613" s="76"/>
      <c r="N3613" s="71"/>
      <c r="O3613" s="87" t="s">
        <v>179</v>
      </c>
      <c r="P3613" s="90">
        <v>45133.708935185183</v>
      </c>
      <c r="Q3613" s="87" t="s">
        <v>5283</v>
      </c>
      <c r="R3613" s="87">
        <v>0</v>
      </c>
      <c r="S3613" s="87">
        <v>0</v>
      </c>
      <c r="T3613" s="87">
        <v>0</v>
      </c>
      <c r="U3613" s="87">
        <v>0</v>
      </c>
      <c r="V3613" s="87">
        <v>25</v>
      </c>
      <c r="W3613" s="93" t="s">
        <v>7959</v>
      </c>
      <c r="X3613" s="92" t="str">
        <f>HYPERLINK("https://bit.ly/inscriçõesincube")</f>
        <v>https://bit.ly/inscriçõesincube</v>
      </c>
      <c r="Y3613" s="87" t="s">
        <v>8374</v>
      </c>
      <c r="Z3613" s="87"/>
      <c r="AA3613" s="87" t="s">
        <v>11094</v>
      </c>
      <c r="AB3613" s="87" t="s">
        <v>11447</v>
      </c>
      <c r="AC3613" s="93" t="s">
        <v>11457</v>
      </c>
      <c r="AD3613" s="87" t="s">
        <v>11519</v>
      </c>
      <c r="AE3613" s="92" t="str">
        <f>HYPERLINK("https://twitter.com/inovahcfmusp/status/1684247424460521474")</f>
        <v>https://twitter.com/inovahcfmusp/status/1684247424460521474</v>
      </c>
      <c r="AF3613" s="90">
        <v>45133.708935185183</v>
      </c>
      <c r="AG3613" s="99">
        <v>45133</v>
      </c>
      <c r="AH3613" s="93" t="s">
        <v>14730</v>
      </c>
      <c r="AI3613" s="87" t="b">
        <v>0</v>
      </c>
      <c r="AJ3613" s="87"/>
      <c r="AK3613" s="87"/>
      <c r="AL3613" s="87"/>
      <c r="AM3613" s="87"/>
      <c r="AN3613" s="87"/>
      <c r="AO3613" s="87"/>
      <c r="AP3613" s="87"/>
      <c r="AQ3613" s="87" t="s">
        <v>17906</v>
      </c>
      <c r="AR3613" s="87">
        <v>48800</v>
      </c>
      <c r="AS3613" s="87"/>
      <c r="AT3613" s="87"/>
      <c r="AU3613" s="87"/>
      <c r="AV3613" s="92" t="str">
        <f>HYPERLINK("https://pbs.twimg.com/ext_tw_video_thumb/1684246670031159296/pu/img/PMhTHXcheBAHmQ7W.jpg")</f>
        <v>https://pbs.twimg.com/ext_tw_video_thumb/1684246670031159296/pu/img/PMhTHXcheBAHmQ7W.jpg</v>
      </c>
      <c r="AW3613" s="93" t="s">
        <v>21736</v>
      </c>
      <c r="AX3613" s="93" t="s">
        <v>21736</v>
      </c>
      <c r="AY3613" s="87"/>
      <c r="AZ3613" s="93" t="s">
        <v>22668</v>
      </c>
      <c r="BA3613" s="93" t="s">
        <v>22668</v>
      </c>
      <c r="BB3613" s="93" t="s">
        <v>22668</v>
      </c>
      <c r="BC3613" s="93" t="s">
        <v>21736</v>
      </c>
      <c r="BD3613" s="93" t="s">
        <v>23462</v>
      </c>
      <c r="BE3613" s="87"/>
      <c r="BF3613" s="87"/>
      <c r="BG3613" s="87"/>
      <c r="BH3613" s="87"/>
      <c r="BI3613" s="87"/>
    </row>
    <row r="3614" spans="1:61" x14ac:dyDescent="0.25">
      <c r="A3614" s="63" t="s">
        <v>1377</v>
      </c>
      <c r="B3614" s="63" t="s">
        <v>1377</v>
      </c>
      <c r="C3614" s="64"/>
      <c r="D3614" s="65"/>
      <c r="E3614" s="66"/>
      <c r="F3614" s="67"/>
      <c r="G3614" s="64"/>
      <c r="H3614" s="68"/>
      <c r="I3614" s="69"/>
      <c r="J3614" s="69"/>
      <c r="K3614" s="32"/>
      <c r="L3614" s="76">
        <v>3614</v>
      </c>
      <c r="M3614" s="76"/>
      <c r="N3614" s="71"/>
      <c r="O3614" s="87" t="s">
        <v>179</v>
      </c>
      <c r="P3614" s="90">
        <v>45119.533668981479</v>
      </c>
      <c r="Q3614" s="87" t="s">
        <v>5284</v>
      </c>
      <c r="R3614" s="87">
        <v>0</v>
      </c>
      <c r="S3614" s="87">
        <v>1</v>
      </c>
      <c r="T3614" s="87">
        <v>0</v>
      </c>
      <c r="U3614" s="87">
        <v>0</v>
      </c>
      <c r="V3614" s="87">
        <v>21</v>
      </c>
      <c r="W3614" s="93" t="s">
        <v>7961</v>
      </c>
      <c r="X3614" s="92" t="str">
        <f>HYPERLINK("https://bit.ly/artigocasosincube")</f>
        <v>https://bit.ly/artigocasosincube</v>
      </c>
      <c r="Y3614" s="87" t="s">
        <v>8374</v>
      </c>
      <c r="Z3614" s="87"/>
      <c r="AA3614" s="87" t="s">
        <v>11095</v>
      </c>
      <c r="AB3614" s="87" t="s">
        <v>11448</v>
      </c>
      <c r="AC3614" s="93" t="s">
        <v>11457</v>
      </c>
      <c r="AD3614" s="87" t="s">
        <v>11519</v>
      </c>
      <c r="AE3614" s="92" t="str">
        <f>HYPERLINK("https://twitter.com/inovahcfmusp/status/1679110478348296192")</f>
        <v>https://twitter.com/inovahcfmusp/status/1679110478348296192</v>
      </c>
      <c r="AF3614" s="90">
        <v>45119.533668981479</v>
      </c>
      <c r="AG3614" s="99">
        <v>45119</v>
      </c>
      <c r="AH3614" s="93" t="s">
        <v>14731</v>
      </c>
      <c r="AI3614" s="87" t="b">
        <v>0</v>
      </c>
      <c r="AJ3614" s="87"/>
      <c r="AK3614" s="87"/>
      <c r="AL3614" s="87"/>
      <c r="AM3614" s="87"/>
      <c r="AN3614" s="87"/>
      <c r="AO3614" s="87"/>
      <c r="AP3614" s="87"/>
      <c r="AQ3614" s="87" t="s">
        <v>17907</v>
      </c>
      <c r="AR3614" s="87"/>
      <c r="AS3614" s="87"/>
      <c r="AT3614" s="87"/>
      <c r="AU3614" s="87"/>
      <c r="AV3614" s="92" t="str">
        <f>HYPERLINK("https://pbs.twimg.com/media/F01mEwoWcAECBp_.jpg")</f>
        <v>https://pbs.twimg.com/media/F01mEwoWcAECBp_.jpg</v>
      </c>
      <c r="AW3614" s="93" t="s">
        <v>21737</v>
      </c>
      <c r="AX3614" s="93" t="s">
        <v>21737</v>
      </c>
      <c r="AY3614" s="87"/>
      <c r="AZ3614" s="93" t="s">
        <v>22668</v>
      </c>
      <c r="BA3614" s="93" t="s">
        <v>22668</v>
      </c>
      <c r="BB3614" s="93" t="s">
        <v>22668</v>
      </c>
      <c r="BC3614" s="93" t="s">
        <v>21737</v>
      </c>
      <c r="BD3614" s="93" t="s">
        <v>23462</v>
      </c>
      <c r="BE3614" s="87"/>
      <c r="BF3614" s="87"/>
      <c r="BG3614" s="87"/>
      <c r="BH3614" s="87"/>
      <c r="BI3614" s="87"/>
    </row>
    <row r="3615" spans="1:61" x14ac:dyDescent="0.25">
      <c r="A3615" s="63" t="s">
        <v>1377</v>
      </c>
      <c r="B3615" s="63" t="s">
        <v>1377</v>
      </c>
      <c r="C3615" s="64"/>
      <c r="D3615" s="65"/>
      <c r="E3615" s="66"/>
      <c r="F3615" s="67"/>
      <c r="G3615" s="64"/>
      <c r="H3615" s="68"/>
      <c r="I3615" s="69"/>
      <c r="J3615" s="69"/>
      <c r="K3615" s="32"/>
      <c r="L3615" s="76">
        <v>3615</v>
      </c>
      <c r="M3615" s="76"/>
      <c r="N3615" s="71"/>
      <c r="O3615" s="87" t="s">
        <v>179</v>
      </c>
      <c r="P3615" s="90">
        <v>45182.562094907407</v>
      </c>
      <c r="Q3615" s="87" t="s">
        <v>5285</v>
      </c>
      <c r="R3615" s="87">
        <v>0</v>
      </c>
      <c r="S3615" s="87">
        <v>1</v>
      </c>
      <c r="T3615" s="87">
        <v>0</v>
      </c>
      <c r="U3615" s="87">
        <v>0</v>
      </c>
      <c r="V3615" s="87">
        <v>25</v>
      </c>
      <c r="W3615" s="93" t="s">
        <v>7962</v>
      </c>
      <c r="X3615" s="92" t="str">
        <f>HYPERLINK("https://bit.ly/resultadosdoincube")</f>
        <v>https://bit.ly/resultadosdoincube</v>
      </c>
      <c r="Y3615" s="87" t="s">
        <v>8374</v>
      </c>
      <c r="Z3615" s="87"/>
      <c r="AA3615" s="87" t="s">
        <v>11096</v>
      </c>
      <c r="AB3615" s="87" t="s">
        <v>11448</v>
      </c>
      <c r="AC3615" s="93" t="s">
        <v>11457</v>
      </c>
      <c r="AD3615" s="87" t="s">
        <v>11519</v>
      </c>
      <c r="AE3615" s="92" t="str">
        <f>HYPERLINK("https://twitter.com/inovahcfmusp/status/1701951218405331047")</f>
        <v>https://twitter.com/inovahcfmusp/status/1701951218405331047</v>
      </c>
      <c r="AF3615" s="90">
        <v>45182.562094907407</v>
      </c>
      <c r="AG3615" s="99">
        <v>45182</v>
      </c>
      <c r="AH3615" s="93" t="s">
        <v>14732</v>
      </c>
      <c r="AI3615" s="87" t="b">
        <v>0</v>
      </c>
      <c r="AJ3615" s="87"/>
      <c r="AK3615" s="87"/>
      <c r="AL3615" s="87"/>
      <c r="AM3615" s="87"/>
      <c r="AN3615" s="87"/>
      <c r="AO3615" s="87"/>
      <c r="AP3615" s="87"/>
      <c r="AQ3615" s="87" t="s">
        <v>17908</v>
      </c>
      <c r="AR3615" s="87"/>
      <c r="AS3615" s="87"/>
      <c r="AT3615" s="87"/>
      <c r="AU3615" s="87"/>
      <c r="AV3615" s="92" t="str">
        <f>HYPERLINK("https://pbs.twimg.com/media/F56LjnWXcAAWwlg.jpg")</f>
        <v>https://pbs.twimg.com/media/F56LjnWXcAAWwlg.jpg</v>
      </c>
      <c r="AW3615" s="93" t="s">
        <v>21738</v>
      </c>
      <c r="AX3615" s="93" t="s">
        <v>21738</v>
      </c>
      <c r="AY3615" s="87"/>
      <c r="AZ3615" s="93" t="s">
        <v>22668</v>
      </c>
      <c r="BA3615" s="93" t="s">
        <v>22668</v>
      </c>
      <c r="BB3615" s="93" t="s">
        <v>22668</v>
      </c>
      <c r="BC3615" s="93" t="s">
        <v>21738</v>
      </c>
      <c r="BD3615" s="93" t="s">
        <v>23462</v>
      </c>
      <c r="BE3615" s="87"/>
      <c r="BF3615" s="87"/>
      <c r="BG3615" s="87"/>
      <c r="BH3615" s="87"/>
      <c r="BI3615" s="87"/>
    </row>
    <row r="3616" spans="1:61" x14ac:dyDescent="0.25">
      <c r="A3616" s="63" t="s">
        <v>1378</v>
      </c>
      <c r="B3616" s="63" t="s">
        <v>1378</v>
      </c>
      <c r="C3616" s="64"/>
      <c r="D3616" s="65"/>
      <c r="E3616" s="66"/>
      <c r="F3616" s="67"/>
      <c r="G3616" s="64"/>
      <c r="H3616" s="68"/>
      <c r="I3616" s="69"/>
      <c r="J3616" s="69"/>
      <c r="K3616" s="32"/>
      <c r="L3616" s="76">
        <v>3616</v>
      </c>
      <c r="M3616" s="76"/>
      <c r="N3616" s="71"/>
      <c r="O3616" s="87" t="s">
        <v>179</v>
      </c>
      <c r="P3616" s="90">
        <v>45143.09479166667</v>
      </c>
      <c r="Q3616" s="87" t="s">
        <v>5286</v>
      </c>
      <c r="R3616" s="87">
        <v>0</v>
      </c>
      <c r="S3616" s="87">
        <v>1</v>
      </c>
      <c r="T3616" s="87">
        <v>0</v>
      </c>
      <c r="U3616" s="87">
        <v>0</v>
      </c>
      <c r="V3616" s="87">
        <v>95</v>
      </c>
      <c r="W3616" s="93" t="s">
        <v>7963</v>
      </c>
      <c r="X3616" s="87"/>
      <c r="Y3616" s="87"/>
      <c r="Z3616" s="87"/>
      <c r="AA3616" s="87" t="s">
        <v>11097</v>
      </c>
      <c r="AB3616" s="87" t="s">
        <v>11447</v>
      </c>
      <c r="AC3616" s="93" t="s">
        <v>11459</v>
      </c>
      <c r="AD3616" s="87" t="s">
        <v>11519</v>
      </c>
      <c r="AE3616" s="92" t="str">
        <f>HYPERLINK("https://twitter.com/starbetsrj/status/1687648744584482816")</f>
        <v>https://twitter.com/starbetsrj/status/1687648744584482816</v>
      </c>
      <c r="AF3616" s="90">
        <v>45143.09479166667</v>
      </c>
      <c r="AG3616" s="99">
        <v>45143</v>
      </c>
      <c r="AH3616" s="93" t="s">
        <v>14733</v>
      </c>
      <c r="AI3616" s="87" t="b">
        <v>0</v>
      </c>
      <c r="AJ3616" s="87"/>
      <c r="AK3616" s="87"/>
      <c r="AL3616" s="87"/>
      <c r="AM3616" s="87"/>
      <c r="AN3616" s="87"/>
      <c r="AO3616" s="87"/>
      <c r="AP3616" s="87"/>
      <c r="AQ3616" s="87" t="s">
        <v>17909</v>
      </c>
      <c r="AR3616" s="87">
        <v>32135</v>
      </c>
      <c r="AS3616" s="87"/>
      <c r="AT3616" s="87"/>
      <c r="AU3616" s="87"/>
      <c r="AV3616" s="92" t="str">
        <f>HYPERLINK("https://pbs.twimg.com/ext_tw_video_thumb/1687648661080047618/pu/img/xU6ksynPbGa_-wwE.jpg")</f>
        <v>https://pbs.twimg.com/ext_tw_video_thumb/1687648661080047618/pu/img/xU6ksynPbGa_-wwE.jpg</v>
      </c>
      <c r="AW3616" s="93" t="s">
        <v>21739</v>
      </c>
      <c r="AX3616" s="93" t="s">
        <v>21739</v>
      </c>
      <c r="AY3616" s="87"/>
      <c r="AZ3616" s="93" t="s">
        <v>22668</v>
      </c>
      <c r="BA3616" s="93" t="s">
        <v>22668</v>
      </c>
      <c r="BB3616" s="93" t="s">
        <v>22668</v>
      </c>
      <c r="BC3616" s="93" t="s">
        <v>21739</v>
      </c>
      <c r="BD3616" s="93" t="s">
        <v>23463</v>
      </c>
      <c r="BE3616" s="87"/>
      <c r="BF3616" s="87"/>
      <c r="BG3616" s="87"/>
      <c r="BH3616" s="87"/>
      <c r="BI3616" s="87"/>
    </row>
    <row r="3617" spans="1:61" x14ac:dyDescent="0.25">
      <c r="A3617" s="63" t="s">
        <v>1379</v>
      </c>
      <c r="B3617" s="63" t="s">
        <v>1379</v>
      </c>
      <c r="C3617" s="64"/>
      <c r="D3617" s="65"/>
      <c r="E3617" s="66"/>
      <c r="F3617" s="67"/>
      <c r="G3617" s="64"/>
      <c r="H3617" s="68"/>
      <c r="I3617" s="69"/>
      <c r="J3617" s="69"/>
      <c r="K3617" s="32"/>
      <c r="L3617" s="76">
        <v>3617</v>
      </c>
      <c r="M3617" s="76"/>
      <c r="N3617" s="71"/>
      <c r="O3617" s="87" t="s">
        <v>1840</v>
      </c>
      <c r="P3617" s="90">
        <v>45113.130833333336</v>
      </c>
      <c r="Q3617" s="87" t="s">
        <v>5287</v>
      </c>
      <c r="R3617" s="87">
        <v>0</v>
      </c>
      <c r="S3617" s="87">
        <v>1</v>
      </c>
      <c r="T3617" s="87">
        <v>0</v>
      </c>
      <c r="U3617" s="87">
        <v>0</v>
      </c>
      <c r="V3617" s="87">
        <v>12</v>
      </c>
      <c r="W3617" s="93" t="s">
        <v>7964</v>
      </c>
      <c r="X3617" s="92" t="str">
        <f>HYPERLINK("http://www.sellab.com.br")</f>
        <v>http://www.sellab.com.br</v>
      </c>
      <c r="Y3617" s="87" t="s">
        <v>8373</v>
      </c>
      <c r="Z3617" s="87"/>
      <c r="AA3617" s="87" t="s">
        <v>11098</v>
      </c>
      <c r="AB3617" s="87" t="s">
        <v>11448</v>
      </c>
      <c r="AC3617" s="93" t="s">
        <v>11459</v>
      </c>
      <c r="AD3617" s="87" t="s">
        <v>11519</v>
      </c>
      <c r="AE3617" s="92" t="str">
        <f>HYPERLINK("https://twitter.com/sellabvarejo/status/1676790171268792320")</f>
        <v>https://twitter.com/sellabvarejo/status/1676790171268792320</v>
      </c>
      <c r="AF3617" s="90">
        <v>45113.130833333336</v>
      </c>
      <c r="AG3617" s="99">
        <v>45113</v>
      </c>
      <c r="AH3617" s="93" t="s">
        <v>14734</v>
      </c>
      <c r="AI3617" s="87" t="b">
        <v>0</v>
      </c>
      <c r="AJ3617" s="87"/>
      <c r="AK3617" s="87"/>
      <c r="AL3617" s="87"/>
      <c r="AM3617" s="87"/>
      <c r="AN3617" s="87"/>
      <c r="AO3617" s="87"/>
      <c r="AP3617" s="87"/>
      <c r="AQ3617" s="87" t="s">
        <v>17910</v>
      </c>
      <c r="AR3617" s="87"/>
      <c r="AS3617" s="87"/>
      <c r="AT3617" s="87"/>
      <c r="AU3617" s="87"/>
      <c r="AV3617" s="92" t="str">
        <f>HYPERLINK("https://pbs.twimg.com/media/F0UnxfqWAAAfRyK.jpg")</f>
        <v>https://pbs.twimg.com/media/F0UnxfqWAAAfRyK.jpg</v>
      </c>
      <c r="AW3617" s="93" t="s">
        <v>21740</v>
      </c>
      <c r="AX3617" s="93" t="s">
        <v>22479</v>
      </c>
      <c r="AY3617" s="93" t="s">
        <v>22642</v>
      </c>
      <c r="AZ3617" s="93" t="s">
        <v>22479</v>
      </c>
      <c r="BA3617" s="93" t="s">
        <v>22668</v>
      </c>
      <c r="BB3617" s="93" t="s">
        <v>22668</v>
      </c>
      <c r="BC3617" s="93" t="s">
        <v>22479</v>
      </c>
      <c r="BD3617" s="93" t="s">
        <v>22642</v>
      </c>
      <c r="BE3617" s="87"/>
      <c r="BF3617" s="87"/>
      <c r="BG3617" s="87"/>
      <c r="BH3617" s="87"/>
      <c r="BI3617" s="87"/>
    </row>
    <row r="3618" spans="1:61" x14ac:dyDescent="0.25">
      <c r="A3618" s="63" t="s">
        <v>1380</v>
      </c>
      <c r="B3618" s="63" t="s">
        <v>1380</v>
      </c>
      <c r="C3618" s="64"/>
      <c r="D3618" s="65"/>
      <c r="E3618" s="66"/>
      <c r="F3618" s="67"/>
      <c r="G3618" s="64"/>
      <c r="H3618" s="68"/>
      <c r="I3618" s="69"/>
      <c r="J3618" s="69"/>
      <c r="K3618" s="32"/>
      <c r="L3618" s="76">
        <v>3618</v>
      </c>
      <c r="M3618" s="76"/>
      <c r="N3618" s="71"/>
      <c r="O3618" s="87" t="s">
        <v>179</v>
      </c>
      <c r="P3618" s="90">
        <v>45145.335659722223</v>
      </c>
      <c r="Q3618" s="87" t="s">
        <v>5288</v>
      </c>
      <c r="R3618" s="87">
        <v>0</v>
      </c>
      <c r="S3618" s="87">
        <v>2</v>
      </c>
      <c r="T3618" s="87">
        <v>0</v>
      </c>
      <c r="U3618" s="87">
        <v>0</v>
      </c>
      <c r="V3618" s="87">
        <v>49</v>
      </c>
      <c r="W3618" s="93" t="s">
        <v>5897</v>
      </c>
      <c r="X3618" s="92" t="str">
        <f>HYPERLINK("https://kambarico.com/abertas-candidaturas-para-o-programa-restart-da-unitel/")</f>
        <v>https://kambarico.com/abertas-candidaturas-para-o-programa-restart-da-unitel/</v>
      </c>
      <c r="Y3618" s="87" t="s">
        <v>8535</v>
      </c>
      <c r="Z3618" s="87"/>
      <c r="AA3618" s="87"/>
      <c r="AB3618" s="87"/>
      <c r="AC3618" s="93" t="s">
        <v>11457</v>
      </c>
      <c r="AD3618" s="87" t="s">
        <v>11519</v>
      </c>
      <c r="AE3618" s="92" t="str">
        <f>HYPERLINK("https://twitter.com/kamba_rico/status/1688460809029238784")</f>
        <v>https://twitter.com/kamba_rico/status/1688460809029238784</v>
      </c>
      <c r="AF3618" s="90">
        <v>45145.335659722223</v>
      </c>
      <c r="AG3618" s="99">
        <v>45145</v>
      </c>
      <c r="AH3618" s="93" t="s">
        <v>14735</v>
      </c>
      <c r="AI3618" s="87" t="b">
        <v>0</v>
      </c>
      <c r="AJ3618" s="87"/>
      <c r="AK3618" s="87"/>
      <c r="AL3618" s="87"/>
      <c r="AM3618" s="87"/>
      <c r="AN3618" s="87"/>
      <c r="AO3618" s="87"/>
      <c r="AP3618" s="87"/>
      <c r="AQ3618" s="87"/>
      <c r="AR3618" s="87"/>
      <c r="AS3618" s="87"/>
      <c r="AT3618" s="87"/>
      <c r="AU3618" s="87"/>
      <c r="AV3618" s="92" t="str">
        <f>HYPERLINK("https://pbs.twimg.com/profile_images/995647405713510400/IrAKVrWf_normal.jpg")</f>
        <v>https://pbs.twimg.com/profile_images/995647405713510400/IrAKVrWf_normal.jpg</v>
      </c>
      <c r="AW3618" s="93" t="s">
        <v>21741</v>
      </c>
      <c r="AX3618" s="93" t="s">
        <v>21741</v>
      </c>
      <c r="AY3618" s="87"/>
      <c r="AZ3618" s="93" t="s">
        <v>22668</v>
      </c>
      <c r="BA3618" s="93" t="s">
        <v>22668</v>
      </c>
      <c r="BB3618" s="93" t="s">
        <v>22668</v>
      </c>
      <c r="BC3618" s="93" t="s">
        <v>21741</v>
      </c>
      <c r="BD3618" s="93" t="s">
        <v>23464</v>
      </c>
      <c r="BE3618" s="87"/>
      <c r="BF3618" s="87"/>
      <c r="BG3618" s="87"/>
      <c r="BH3618" s="87"/>
      <c r="BI3618" s="87"/>
    </row>
    <row r="3619" spans="1:61" x14ac:dyDescent="0.25">
      <c r="A3619" s="63" t="s">
        <v>1381</v>
      </c>
      <c r="B3619" s="63" t="s">
        <v>1381</v>
      </c>
      <c r="C3619" s="64"/>
      <c r="D3619" s="65"/>
      <c r="E3619" s="66"/>
      <c r="F3619" s="67"/>
      <c r="G3619" s="64"/>
      <c r="H3619" s="68"/>
      <c r="I3619" s="69"/>
      <c r="J3619" s="69"/>
      <c r="K3619" s="32"/>
      <c r="L3619" s="76">
        <v>3619</v>
      </c>
      <c r="M3619" s="76"/>
      <c r="N3619" s="71"/>
      <c r="O3619" s="87" t="s">
        <v>179</v>
      </c>
      <c r="P3619" s="90">
        <v>45121.081053240741</v>
      </c>
      <c r="Q3619" s="87" t="s">
        <v>5289</v>
      </c>
      <c r="R3619" s="87">
        <v>0</v>
      </c>
      <c r="S3619" s="87">
        <v>0</v>
      </c>
      <c r="T3619" s="87">
        <v>0</v>
      </c>
      <c r="U3619" s="87">
        <v>0</v>
      </c>
      <c r="V3619" s="87">
        <v>9</v>
      </c>
      <c r="W3619" s="93" t="s">
        <v>7965</v>
      </c>
      <c r="X3619" s="87"/>
      <c r="Y3619" s="87"/>
      <c r="Z3619" s="87"/>
      <c r="AA3619" s="87"/>
      <c r="AB3619" s="87"/>
      <c r="AC3619" s="93" t="s">
        <v>11459</v>
      </c>
      <c r="AD3619" s="87" t="s">
        <v>11519</v>
      </c>
      <c r="AE3619" s="92" t="str">
        <f>HYPERLINK("https://twitter.com/pedrocontreira5/status/1679671234487828488")</f>
        <v>https://twitter.com/pedrocontreira5/status/1679671234487828488</v>
      </c>
      <c r="AF3619" s="90">
        <v>45121.081053240741</v>
      </c>
      <c r="AG3619" s="99">
        <v>45121</v>
      </c>
      <c r="AH3619" s="93" t="s">
        <v>14736</v>
      </c>
      <c r="AI3619" s="87"/>
      <c r="AJ3619" s="87"/>
      <c r="AK3619" s="87"/>
      <c r="AL3619" s="87"/>
      <c r="AM3619" s="87"/>
      <c r="AN3619" s="87"/>
      <c r="AO3619" s="87"/>
      <c r="AP3619" s="87"/>
      <c r="AQ3619" s="87"/>
      <c r="AR3619" s="87"/>
      <c r="AS3619" s="87"/>
      <c r="AT3619" s="87"/>
      <c r="AU3619" s="87"/>
      <c r="AV3619" s="92" t="str">
        <f>HYPERLINK("https://pbs.twimg.com/profile_images/1704082899350216704/u_U_luMm_normal.jpg")</f>
        <v>https://pbs.twimg.com/profile_images/1704082899350216704/u_U_luMm_normal.jpg</v>
      </c>
      <c r="AW3619" s="93" t="s">
        <v>21742</v>
      </c>
      <c r="AX3619" s="93" t="s">
        <v>21742</v>
      </c>
      <c r="AY3619" s="87"/>
      <c r="AZ3619" s="93" t="s">
        <v>22668</v>
      </c>
      <c r="BA3619" s="93" t="s">
        <v>22668</v>
      </c>
      <c r="BB3619" s="93" t="s">
        <v>22668</v>
      </c>
      <c r="BC3619" s="93" t="s">
        <v>21742</v>
      </c>
      <c r="BD3619" s="93" t="s">
        <v>23465</v>
      </c>
      <c r="BE3619" s="87"/>
      <c r="BF3619" s="87"/>
      <c r="BG3619" s="87"/>
      <c r="BH3619" s="87"/>
      <c r="BI3619" s="87"/>
    </row>
    <row r="3620" spans="1:61" x14ac:dyDescent="0.25">
      <c r="A3620" s="63" t="s">
        <v>1381</v>
      </c>
      <c r="B3620" s="63" t="s">
        <v>1381</v>
      </c>
      <c r="C3620" s="64"/>
      <c r="D3620" s="65"/>
      <c r="E3620" s="66"/>
      <c r="F3620" s="67"/>
      <c r="G3620" s="64"/>
      <c r="H3620" s="68"/>
      <c r="I3620" s="69"/>
      <c r="J3620" s="69"/>
      <c r="K3620" s="32"/>
      <c r="L3620" s="76">
        <v>3620</v>
      </c>
      <c r="M3620" s="76"/>
      <c r="N3620" s="71"/>
      <c r="O3620" s="87" t="s">
        <v>179</v>
      </c>
      <c r="P3620" s="90">
        <v>45180.909328703703</v>
      </c>
      <c r="Q3620" s="87" t="s">
        <v>5290</v>
      </c>
      <c r="R3620" s="87">
        <v>0</v>
      </c>
      <c r="S3620" s="87">
        <v>0</v>
      </c>
      <c r="T3620" s="87">
        <v>0</v>
      </c>
      <c r="U3620" s="87">
        <v>0</v>
      </c>
      <c r="V3620" s="87">
        <v>10</v>
      </c>
      <c r="W3620" s="93" t="s">
        <v>7966</v>
      </c>
      <c r="X3620" s="87"/>
      <c r="Y3620" s="87"/>
      <c r="Z3620" s="87"/>
      <c r="AA3620" s="87"/>
      <c r="AB3620" s="87"/>
      <c r="AC3620" s="93" t="s">
        <v>11459</v>
      </c>
      <c r="AD3620" s="87" t="s">
        <v>11519</v>
      </c>
      <c r="AE3620" s="92" t="str">
        <f>HYPERLINK("https://twitter.com/pedrocontreira5/status/1701352275216589071")</f>
        <v>https://twitter.com/pedrocontreira5/status/1701352275216589071</v>
      </c>
      <c r="AF3620" s="90">
        <v>45180.909328703703</v>
      </c>
      <c r="AG3620" s="99">
        <v>45180</v>
      </c>
      <c r="AH3620" s="93" t="s">
        <v>14737</v>
      </c>
      <c r="AI3620" s="87"/>
      <c r="AJ3620" s="87"/>
      <c r="AK3620" s="87"/>
      <c r="AL3620" s="87"/>
      <c r="AM3620" s="87"/>
      <c r="AN3620" s="87"/>
      <c r="AO3620" s="87"/>
      <c r="AP3620" s="87"/>
      <c r="AQ3620" s="87"/>
      <c r="AR3620" s="87"/>
      <c r="AS3620" s="87"/>
      <c r="AT3620" s="87"/>
      <c r="AU3620" s="87"/>
      <c r="AV3620" s="92" t="str">
        <f>HYPERLINK("https://pbs.twimg.com/profile_images/1704082899350216704/u_U_luMm_normal.jpg")</f>
        <v>https://pbs.twimg.com/profile_images/1704082899350216704/u_U_luMm_normal.jpg</v>
      </c>
      <c r="AW3620" s="93" t="s">
        <v>21743</v>
      </c>
      <c r="AX3620" s="93" t="s">
        <v>21743</v>
      </c>
      <c r="AY3620" s="87"/>
      <c r="AZ3620" s="93" t="s">
        <v>22668</v>
      </c>
      <c r="BA3620" s="93" t="s">
        <v>22668</v>
      </c>
      <c r="BB3620" s="93" t="s">
        <v>22668</v>
      </c>
      <c r="BC3620" s="93" t="s">
        <v>21743</v>
      </c>
      <c r="BD3620" s="93" t="s">
        <v>23465</v>
      </c>
      <c r="BE3620" s="87"/>
      <c r="BF3620" s="87"/>
      <c r="BG3620" s="87"/>
      <c r="BH3620" s="87"/>
      <c r="BI3620" s="87"/>
    </row>
    <row r="3621" spans="1:61" x14ac:dyDescent="0.25">
      <c r="A3621" s="63" t="s">
        <v>1382</v>
      </c>
      <c r="B3621" s="63" t="s">
        <v>1382</v>
      </c>
      <c r="C3621" s="64"/>
      <c r="D3621" s="65"/>
      <c r="E3621" s="66"/>
      <c r="F3621" s="67"/>
      <c r="G3621" s="64"/>
      <c r="H3621" s="68"/>
      <c r="I3621" s="69"/>
      <c r="J3621" s="69"/>
      <c r="K3621" s="32"/>
      <c r="L3621" s="76">
        <v>3621</v>
      </c>
      <c r="M3621" s="76"/>
      <c r="N3621" s="71"/>
      <c r="O3621" s="87" t="s">
        <v>179</v>
      </c>
      <c r="P3621" s="90">
        <v>45175.381504629629</v>
      </c>
      <c r="Q3621" s="87" t="s">
        <v>5291</v>
      </c>
      <c r="R3621" s="87">
        <v>0</v>
      </c>
      <c r="S3621" s="87">
        <v>0</v>
      </c>
      <c r="T3621" s="87">
        <v>0</v>
      </c>
      <c r="U3621" s="87">
        <v>0</v>
      </c>
      <c r="V3621" s="87">
        <v>37</v>
      </c>
      <c r="W3621" s="93" t="s">
        <v>7967</v>
      </c>
      <c r="X3621" s="87"/>
      <c r="Y3621" s="87"/>
      <c r="Z3621" s="87"/>
      <c r="AA3621" s="87" t="s">
        <v>11099</v>
      </c>
      <c r="AB3621" s="87" t="s">
        <v>11448</v>
      </c>
      <c r="AC3621" s="93" t="s">
        <v>11458</v>
      </c>
      <c r="AD3621" s="87" t="s">
        <v>11519</v>
      </c>
      <c r="AE3621" s="92" t="str">
        <f>HYPERLINK("https://twitter.com/suzanavalerios/status/1699349059390046664")</f>
        <v>https://twitter.com/suzanavalerios/status/1699349059390046664</v>
      </c>
      <c r="AF3621" s="90">
        <v>45175.381504629629</v>
      </c>
      <c r="AG3621" s="99">
        <v>45175</v>
      </c>
      <c r="AH3621" s="93" t="s">
        <v>14738</v>
      </c>
      <c r="AI3621" s="87" t="b">
        <v>0</v>
      </c>
      <c r="AJ3621" s="87"/>
      <c r="AK3621" s="87"/>
      <c r="AL3621" s="87"/>
      <c r="AM3621" s="87"/>
      <c r="AN3621" s="87"/>
      <c r="AO3621" s="87"/>
      <c r="AP3621" s="87"/>
      <c r="AQ3621" s="87" t="s">
        <v>17911</v>
      </c>
      <c r="AR3621" s="87"/>
      <c r="AS3621" s="87"/>
      <c r="AT3621" s="87"/>
      <c r="AU3621" s="87"/>
      <c r="AV3621" s="92" t="str">
        <f>HYPERLINK("https://pbs.twimg.com/media/F5VM9Z3XQAA-Web.jpg")</f>
        <v>https://pbs.twimg.com/media/F5VM9Z3XQAA-Web.jpg</v>
      </c>
      <c r="AW3621" s="93" t="s">
        <v>21744</v>
      </c>
      <c r="AX3621" s="93" t="s">
        <v>21744</v>
      </c>
      <c r="AY3621" s="87"/>
      <c r="AZ3621" s="93" t="s">
        <v>22668</v>
      </c>
      <c r="BA3621" s="93" t="s">
        <v>22668</v>
      </c>
      <c r="BB3621" s="93" t="s">
        <v>22668</v>
      </c>
      <c r="BC3621" s="93" t="s">
        <v>21744</v>
      </c>
      <c r="BD3621" s="87">
        <v>2924535836</v>
      </c>
      <c r="BE3621" s="87"/>
      <c r="BF3621" s="87"/>
      <c r="BG3621" s="87"/>
      <c r="BH3621" s="87"/>
      <c r="BI3621" s="87"/>
    </row>
    <row r="3622" spans="1:61" x14ac:dyDescent="0.25">
      <c r="A3622" s="63" t="s">
        <v>1383</v>
      </c>
      <c r="B3622" s="63" t="s">
        <v>1383</v>
      </c>
      <c r="C3622" s="64"/>
      <c r="D3622" s="65"/>
      <c r="E3622" s="66"/>
      <c r="F3622" s="67"/>
      <c r="G3622" s="64"/>
      <c r="H3622" s="68"/>
      <c r="I3622" s="69"/>
      <c r="J3622" s="69"/>
      <c r="K3622" s="32"/>
      <c r="L3622" s="76">
        <v>3622</v>
      </c>
      <c r="M3622" s="76"/>
      <c r="N3622" s="71"/>
      <c r="O3622" s="87" t="s">
        <v>179</v>
      </c>
      <c r="P3622" s="90">
        <v>45154.303136574075</v>
      </c>
      <c r="Q3622" s="92" t="str">
        <f>HYPERLINK("https://t.co/psa688UoYa")</f>
        <v>https://t.co/psa688UoYa</v>
      </c>
      <c r="R3622" s="87">
        <v>8</v>
      </c>
      <c r="S3622" s="87">
        <v>8</v>
      </c>
      <c r="T3622" s="87">
        <v>27</v>
      </c>
      <c r="U3622" s="87">
        <v>2</v>
      </c>
      <c r="V3622" s="87">
        <v>746</v>
      </c>
      <c r="W3622" s="87"/>
      <c r="X3622" s="92" t="str">
        <f>HYPERLINK("https://twitter.com/i/spaces/1YqxoAvyrgNGv")</f>
        <v>https://twitter.com/i/spaces/1YqxoAvyrgNGv</v>
      </c>
      <c r="Y3622" s="87" t="s">
        <v>8469</v>
      </c>
      <c r="Z3622" s="87"/>
      <c r="AA3622" s="87"/>
      <c r="AB3622" s="87"/>
      <c r="AC3622" s="93" t="s">
        <v>11458</v>
      </c>
      <c r="AD3622" s="87" t="s">
        <v>11531</v>
      </c>
      <c r="AE3622" s="92" t="str">
        <f>HYPERLINK("https://twitter.com/charlesdematos5/status/1691710513514971188")</f>
        <v>https://twitter.com/charlesdematos5/status/1691710513514971188</v>
      </c>
      <c r="AF3622" s="90">
        <v>45154.303136574075</v>
      </c>
      <c r="AG3622" s="99">
        <v>45154</v>
      </c>
      <c r="AH3622" s="93" t="s">
        <v>14739</v>
      </c>
      <c r="AI3622" s="87" t="b">
        <v>0</v>
      </c>
      <c r="AJ3622" s="87"/>
      <c r="AK3622" s="87"/>
      <c r="AL3622" s="87"/>
      <c r="AM3622" s="87"/>
      <c r="AN3622" s="87"/>
      <c r="AO3622" s="87"/>
      <c r="AP3622" s="87"/>
      <c r="AQ3622" s="87"/>
      <c r="AR3622" s="87"/>
      <c r="AS3622" s="87"/>
      <c r="AT3622" s="87"/>
      <c r="AU3622" s="87"/>
      <c r="AV3622" s="92" t="str">
        <f>HYPERLINK("https://pbs.twimg.com/profile_images/1676667847001653248/FuLyHAok_normal.jpg")</f>
        <v>https://pbs.twimg.com/profile_images/1676667847001653248/FuLyHAok_normal.jpg</v>
      </c>
      <c r="AW3622" s="93" t="s">
        <v>21745</v>
      </c>
      <c r="AX3622" s="93" t="s">
        <v>21745</v>
      </c>
      <c r="AY3622" s="87"/>
      <c r="AZ3622" s="93" t="s">
        <v>22668</v>
      </c>
      <c r="BA3622" s="93" t="s">
        <v>22668</v>
      </c>
      <c r="BB3622" s="93" t="s">
        <v>22668</v>
      </c>
      <c r="BC3622" s="93" t="s">
        <v>21745</v>
      </c>
      <c r="BD3622" s="93" t="s">
        <v>23466</v>
      </c>
      <c r="BE3622" s="87"/>
      <c r="BF3622" s="87"/>
      <c r="BG3622" s="87"/>
      <c r="BH3622" s="87"/>
      <c r="BI3622" s="87"/>
    </row>
    <row r="3623" spans="1:61" x14ac:dyDescent="0.25">
      <c r="A3623" s="63" t="s">
        <v>1384</v>
      </c>
      <c r="B3623" s="63" t="s">
        <v>1384</v>
      </c>
      <c r="C3623" s="64"/>
      <c r="D3623" s="65"/>
      <c r="E3623" s="66"/>
      <c r="F3623" s="67"/>
      <c r="G3623" s="64"/>
      <c r="H3623" s="68"/>
      <c r="I3623" s="69"/>
      <c r="J3623" s="69"/>
      <c r="K3623" s="32"/>
      <c r="L3623" s="76">
        <v>3623</v>
      </c>
      <c r="M3623" s="76"/>
      <c r="N3623" s="71"/>
      <c r="O3623" s="87" t="s">
        <v>179</v>
      </c>
      <c r="P3623" s="90">
        <v>45153.964467592596</v>
      </c>
      <c r="Q3623" s="87" t="s">
        <v>5292</v>
      </c>
      <c r="R3623" s="87">
        <v>0</v>
      </c>
      <c r="S3623" s="87">
        <v>0</v>
      </c>
      <c r="T3623" s="87">
        <v>0</v>
      </c>
      <c r="U3623" s="87">
        <v>0</v>
      </c>
      <c r="V3623" s="87">
        <v>4</v>
      </c>
      <c r="W3623" s="93" t="s">
        <v>7968</v>
      </c>
      <c r="X3623" s="87"/>
      <c r="Y3623" s="87"/>
      <c r="Z3623" s="87"/>
      <c r="AA3623" s="87" t="s">
        <v>11100</v>
      </c>
      <c r="AB3623" s="87" t="s">
        <v>11448</v>
      </c>
      <c r="AC3623" s="93" t="s">
        <v>11459</v>
      </c>
      <c r="AD3623" s="87" t="s">
        <v>11519</v>
      </c>
      <c r="AE3623" s="92" t="str">
        <f>HYPERLINK("https://twitter.com/prospeconomica/status/1691587783163252745")</f>
        <v>https://twitter.com/prospeconomica/status/1691587783163252745</v>
      </c>
      <c r="AF3623" s="90">
        <v>45153.964467592596</v>
      </c>
      <c r="AG3623" s="99">
        <v>45153</v>
      </c>
      <c r="AH3623" s="93" t="s">
        <v>14740</v>
      </c>
      <c r="AI3623" s="87" t="b">
        <v>0</v>
      </c>
      <c r="AJ3623" s="87"/>
      <c r="AK3623" s="87"/>
      <c r="AL3623" s="87"/>
      <c r="AM3623" s="87"/>
      <c r="AN3623" s="87"/>
      <c r="AO3623" s="87"/>
      <c r="AP3623" s="87"/>
      <c r="AQ3623" s="87" t="s">
        <v>17912</v>
      </c>
      <c r="AR3623" s="87"/>
      <c r="AS3623" s="87"/>
      <c r="AT3623" s="87"/>
      <c r="AU3623" s="87"/>
      <c r="AV3623" s="92" t="str">
        <f>HYPERLINK("https://pbs.twimg.com/media/F3m6HzEXUAEi7Sf.jpg")</f>
        <v>https://pbs.twimg.com/media/F3m6HzEXUAEi7Sf.jpg</v>
      </c>
      <c r="AW3623" s="93" t="s">
        <v>21746</v>
      </c>
      <c r="AX3623" s="93" t="s">
        <v>21746</v>
      </c>
      <c r="AY3623" s="87"/>
      <c r="AZ3623" s="93" t="s">
        <v>22668</v>
      </c>
      <c r="BA3623" s="93" t="s">
        <v>22668</v>
      </c>
      <c r="BB3623" s="93" t="s">
        <v>22668</v>
      </c>
      <c r="BC3623" s="93" t="s">
        <v>21746</v>
      </c>
      <c r="BD3623" s="93" t="s">
        <v>23467</v>
      </c>
      <c r="BE3623" s="87"/>
      <c r="BF3623" s="87"/>
      <c r="BG3623" s="87"/>
      <c r="BH3623" s="87"/>
      <c r="BI3623" s="87"/>
    </row>
    <row r="3624" spans="1:61" x14ac:dyDescent="0.25">
      <c r="A3624" s="63" t="s">
        <v>1385</v>
      </c>
      <c r="B3624" s="63" t="s">
        <v>1385</v>
      </c>
      <c r="C3624" s="64"/>
      <c r="D3624" s="65"/>
      <c r="E3624" s="66"/>
      <c r="F3624" s="67"/>
      <c r="G3624" s="64"/>
      <c r="H3624" s="68"/>
      <c r="I3624" s="69"/>
      <c r="J3624" s="69"/>
      <c r="K3624" s="32"/>
      <c r="L3624" s="76">
        <v>3624</v>
      </c>
      <c r="M3624" s="76"/>
      <c r="N3624" s="71"/>
      <c r="O3624" s="87" t="s">
        <v>179</v>
      </c>
      <c r="P3624" s="90">
        <v>45183.147557870368</v>
      </c>
      <c r="Q3624" s="87" t="s">
        <v>5293</v>
      </c>
      <c r="R3624" s="87">
        <v>1</v>
      </c>
      <c r="S3624" s="87">
        <v>4</v>
      </c>
      <c r="T3624" s="87">
        <v>1</v>
      </c>
      <c r="U3624" s="87">
        <v>1</v>
      </c>
      <c r="V3624" s="87">
        <v>533</v>
      </c>
      <c r="W3624" s="93" t="s">
        <v>7969</v>
      </c>
      <c r="X3624" s="87"/>
      <c r="Y3624" s="87"/>
      <c r="Z3624" s="87"/>
      <c r="AA3624" s="87" t="s">
        <v>11101</v>
      </c>
      <c r="AB3624" s="87" t="s">
        <v>11448</v>
      </c>
      <c r="AC3624" s="93" t="s">
        <v>11459</v>
      </c>
      <c r="AD3624" s="87" t="s">
        <v>11523</v>
      </c>
      <c r="AE3624" s="92" t="str">
        <f>HYPERLINK("https://twitter.com/jubslingeries/status/1702163383221457363")</f>
        <v>https://twitter.com/jubslingeries/status/1702163383221457363</v>
      </c>
      <c r="AF3624" s="90">
        <v>45183.147557870368</v>
      </c>
      <c r="AG3624" s="99">
        <v>45183</v>
      </c>
      <c r="AH3624" s="93" t="s">
        <v>14741</v>
      </c>
      <c r="AI3624" s="87" t="b">
        <v>0</v>
      </c>
      <c r="AJ3624" s="87"/>
      <c r="AK3624" s="87"/>
      <c r="AL3624" s="87"/>
      <c r="AM3624" s="87"/>
      <c r="AN3624" s="87"/>
      <c r="AO3624" s="87"/>
      <c r="AP3624" s="87"/>
      <c r="AQ3624" s="87" t="s">
        <v>17913</v>
      </c>
      <c r="AR3624" s="87"/>
      <c r="AS3624" s="87"/>
      <c r="AT3624" s="87"/>
      <c r="AU3624" s="87"/>
      <c r="AV3624" s="92" t="str">
        <f>HYPERLINK("https://pbs.twimg.com/media/F59Mk19WEAAH3pV.jpg")</f>
        <v>https://pbs.twimg.com/media/F59Mk19WEAAH3pV.jpg</v>
      </c>
      <c r="AW3624" s="93" t="s">
        <v>21747</v>
      </c>
      <c r="AX3624" s="93" t="s">
        <v>21747</v>
      </c>
      <c r="AY3624" s="87"/>
      <c r="AZ3624" s="93" t="s">
        <v>22668</v>
      </c>
      <c r="BA3624" s="93" t="s">
        <v>22668</v>
      </c>
      <c r="BB3624" s="93" t="s">
        <v>22668</v>
      </c>
      <c r="BC3624" s="93" t="s">
        <v>21747</v>
      </c>
      <c r="BD3624" s="93" t="s">
        <v>23468</v>
      </c>
      <c r="BE3624" s="87"/>
      <c r="BF3624" s="87"/>
      <c r="BG3624" s="87"/>
      <c r="BH3624" s="87"/>
      <c r="BI3624" s="87"/>
    </row>
    <row r="3625" spans="1:61" x14ac:dyDescent="0.25">
      <c r="A3625" s="63" t="s">
        <v>1386</v>
      </c>
      <c r="B3625" s="63" t="s">
        <v>1386</v>
      </c>
      <c r="C3625" s="64"/>
      <c r="D3625" s="65"/>
      <c r="E3625" s="66"/>
      <c r="F3625" s="67"/>
      <c r="G3625" s="64"/>
      <c r="H3625" s="68"/>
      <c r="I3625" s="69"/>
      <c r="J3625" s="69"/>
      <c r="K3625" s="32"/>
      <c r="L3625" s="76">
        <v>3625</v>
      </c>
      <c r="M3625" s="76"/>
      <c r="N3625" s="71"/>
      <c r="O3625" s="87" t="s">
        <v>179</v>
      </c>
      <c r="P3625" s="90">
        <v>45149.576770833337</v>
      </c>
      <c r="Q3625" s="87" t="s">
        <v>5294</v>
      </c>
      <c r="R3625" s="87">
        <v>0</v>
      </c>
      <c r="S3625" s="87">
        <v>0</v>
      </c>
      <c r="T3625" s="87">
        <v>0</v>
      </c>
      <c r="U3625" s="87">
        <v>0</v>
      </c>
      <c r="V3625" s="87">
        <v>31</v>
      </c>
      <c r="W3625" s="93" t="s">
        <v>7970</v>
      </c>
      <c r="X3625" s="87"/>
      <c r="Y3625" s="87"/>
      <c r="Z3625" s="87"/>
      <c r="AA3625" s="87" t="s">
        <v>11102</v>
      </c>
      <c r="AB3625" s="87" t="s">
        <v>11448</v>
      </c>
      <c r="AC3625" s="93" t="s">
        <v>11459</v>
      </c>
      <c r="AD3625" s="87" t="s">
        <v>11519</v>
      </c>
      <c r="AE3625" s="92" t="str">
        <f>HYPERLINK("https://twitter.com/imovinvestbr/status/1689997734835556352")</f>
        <v>https://twitter.com/imovinvestbr/status/1689997734835556352</v>
      </c>
      <c r="AF3625" s="90">
        <v>45149.576770833337</v>
      </c>
      <c r="AG3625" s="99">
        <v>45149</v>
      </c>
      <c r="AH3625" s="93" t="s">
        <v>14742</v>
      </c>
      <c r="AI3625" s="87" t="b">
        <v>0</v>
      </c>
      <c r="AJ3625" s="87"/>
      <c r="AK3625" s="87"/>
      <c r="AL3625" s="87"/>
      <c r="AM3625" s="87"/>
      <c r="AN3625" s="87"/>
      <c r="AO3625" s="87"/>
      <c r="AP3625" s="87"/>
      <c r="AQ3625" s="87" t="s">
        <v>17914</v>
      </c>
      <c r="AR3625" s="87"/>
      <c r="AS3625" s="87"/>
      <c r="AT3625" s="87"/>
      <c r="AU3625" s="87"/>
      <c r="AV3625" s="92" t="str">
        <f>HYPERLINK("https://pbs.twimg.com/media/F3QT-ujWQAARWBm.jpg")</f>
        <v>https://pbs.twimg.com/media/F3QT-ujWQAARWBm.jpg</v>
      </c>
      <c r="AW3625" s="93" t="s">
        <v>21748</v>
      </c>
      <c r="AX3625" s="93" t="s">
        <v>21748</v>
      </c>
      <c r="AY3625" s="87"/>
      <c r="AZ3625" s="93" t="s">
        <v>22668</v>
      </c>
      <c r="BA3625" s="93" t="s">
        <v>22668</v>
      </c>
      <c r="BB3625" s="93" t="s">
        <v>22668</v>
      </c>
      <c r="BC3625" s="93" t="s">
        <v>21748</v>
      </c>
      <c r="BD3625" s="93" t="s">
        <v>23469</v>
      </c>
      <c r="BE3625" s="87"/>
      <c r="BF3625" s="87"/>
      <c r="BG3625" s="87"/>
      <c r="BH3625" s="87"/>
      <c r="BI3625" s="87"/>
    </row>
    <row r="3626" spans="1:61" x14ac:dyDescent="0.25">
      <c r="A3626" s="63" t="s">
        <v>1386</v>
      </c>
      <c r="B3626" s="63" t="s">
        <v>1386</v>
      </c>
      <c r="C3626" s="64"/>
      <c r="D3626" s="65"/>
      <c r="E3626" s="66"/>
      <c r="F3626" s="67"/>
      <c r="G3626" s="64"/>
      <c r="H3626" s="68"/>
      <c r="I3626" s="69"/>
      <c r="J3626" s="69"/>
      <c r="K3626" s="32"/>
      <c r="L3626" s="76">
        <v>3626</v>
      </c>
      <c r="M3626" s="76"/>
      <c r="N3626" s="71"/>
      <c r="O3626" s="87" t="s">
        <v>179</v>
      </c>
      <c r="P3626" s="90">
        <v>45167.546516203707</v>
      </c>
      <c r="Q3626" s="87" t="s">
        <v>5295</v>
      </c>
      <c r="R3626" s="87">
        <v>0</v>
      </c>
      <c r="S3626" s="87">
        <v>0</v>
      </c>
      <c r="T3626" s="87">
        <v>0</v>
      </c>
      <c r="U3626" s="87">
        <v>0</v>
      </c>
      <c r="V3626" s="87">
        <v>115</v>
      </c>
      <c r="W3626" s="93" t="s">
        <v>7971</v>
      </c>
      <c r="X3626" s="87"/>
      <c r="Y3626" s="87"/>
      <c r="Z3626" s="87"/>
      <c r="AA3626" s="87" t="s">
        <v>11103</v>
      </c>
      <c r="AB3626" s="87" t="s">
        <v>11448</v>
      </c>
      <c r="AC3626" s="93" t="s">
        <v>11459</v>
      </c>
      <c r="AD3626" s="87" t="s">
        <v>11519</v>
      </c>
      <c r="AE3626" s="92" t="str">
        <f>HYPERLINK("https://twitter.com/imovinvestbr/status/1696509755198488943")</f>
        <v>https://twitter.com/imovinvestbr/status/1696509755198488943</v>
      </c>
      <c r="AF3626" s="90">
        <v>45167.546516203707</v>
      </c>
      <c r="AG3626" s="99">
        <v>45167</v>
      </c>
      <c r="AH3626" s="93" t="s">
        <v>14743</v>
      </c>
      <c r="AI3626" s="87" t="b">
        <v>0</v>
      </c>
      <c r="AJ3626" s="87"/>
      <c r="AK3626" s="87"/>
      <c r="AL3626" s="87"/>
      <c r="AM3626" s="87"/>
      <c r="AN3626" s="87"/>
      <c r="AO3626" s="87"/>
      <c r="AP3626" s="87"/>
      <c r="AQ3626" s="87" t="s">
        <v>17915</v>
      </c>
      <c r="AR3626" s="87"/>
      <c r="AS3626" s="87"/>
      <c r="AT3626" s="87"/>
      <c r="AU3626" s="87"/>
      <c r="AV3626" s="92" t="str">
        <f>HYPERLINK("https://pbs.twimg.com/media/F4s2ocAWcAA2y4y.jpg")</f>
        <v>https://pbs.twimg.com/media/F4s2ocAWcAA2y4y.jpg</v>
      </c>
      <c r="AW3626" s="93" t="s">
        <v>21749</v>
      </c>
      <c r="AX3626" s="93" t="s">
        <v>21749</v>
      </c>
      <c r="AY3626" s="87"/>
      <c r="AZ3626" s="93" t="s">
        <v>22668</v>
      </c>
      <c r="BA3626" s="93" t="s">
        <v>22668</v>
      </c>
      <c r="BB3626" s="93" t="s">
        <v>22668</v>
      </c>
      <c r="BC3626" s="93" t="s">
        <v>21749</v>
      </c>
      <c r="BD3626" s="93" t="s">
        <v>23469</v>
      </c>
      <c r="BE3626" s="87"/>
      <c r="BF3626" s="87"/>
      <c r="BG3626" s="87"/>
      <c r="BH3626" s="87"/>
      <c r="BI3626" s="87"/>
    </row>
    <row r="3627" spans="1:61" x14ac:dyDescent="0.25">
      <c r="A3627" s="63" t="s">
        <v>1387</v>
      </c>
      <c r="B3627" s="63" t="s">
        <v>1387</v>
      </c>
      <c r="C3627" s="64"/>
      <c r="D3627" s="65"/>
      <c r="E3627" s="66"/>
      <c r="F3627" s="67"/>
      <c r="G3627" s="64"/>
      <c r="H3627" s="68"/>
      <c r="I3627" s="69"/>
      <c r="J3627" s="69"/>
      <c r="K3627" s="32"/>
      <c r="L3627" s="76">
        <v>3627</v>
      </c>
      <c r="M3627" s="76"/>
      <c r="N3627" s="71"/>
      <c r="O3627" s="87" t="s">
        <v>179</v>
      </c>
      <c r="P3627" s="90">
        <v>45130.572997685187</v>
      </c>
      <c r="Q3627" s="87" t="s">
        <v>5296</v>
      </c>
      <c r="R3627" s="87">
        <v>0</v>
      </c>
      <c r="S3627" s="87">
        <v>0</v>
      </c>
      <c r="T3627" s="87">
        <v>0</v>
      </c>
      <c r="U3627" s="87">
        <v>0</v>
      </c>
      <c r="V3627" s="87">
        <v>13</v>
      </c>
      <c r="W3627" s="93" t="s">
        <v>7972</v>
      </c>
      <c r="X3627" s="87"/>
      <c r="Y3627" s="87"/>
      <c r="Z3627" s="87"/>
      <c r="AA3627" s="87" t="s">
        <v>11104</v>
      </c>
      <c r="AB3627" s="87" t="s">
        <v>11448</v>
      </c>
      <c r="AC3627" s="93" t="s">
        <v>11460</v>
      </c>
      <c r="AD3627" s="87" t="s">
        <v>11519</v>
      </c>
      <c r="AE3627" s="92" t="str">
        <f>HYPERLINK("https://twitter.com/claudiasouzaad/status/1683111000944390144")</f>
        <v>https://twitter.com/claudiasouzaad/status/1683111000944390144</v>
      </c>
      <c r="AF3627" s="90">
        <v>45130.572997685187</v>
      </c>
      <c r="AG3627" s="99">
        <v>45130</v>
      </c>
      <c r="AH3627" s="93" t="s">
        <v>14744</v>
      </c>
      <c r="AI3627" s="87" t="b">
        <v>0</v>
      </c>
      <c r="AJ3627" s="87"/>
      <c r="AK3627" s="87"/>
      <c r="AL3627" s="87"/>
      <c r="AM3627" s="87"/>
      <c r="AN3627" s="87"/>
      <c r="AO3627" s="87"/>
      <c r="AP3627" s="87"/>
      <c r="AQ3627" s="87" t="s">
        <v>17916</v>
      </c>
      <c r="AR3627" s="87"/>
      <c r="AS3627" s="87"/>
      <c r="AT3627" s="87"/>
      <c r="AU3627" s="87"/>
      <c r="AV3627" s="92" t="str">
        <f>HYPERLINK("https://pbs.twimg.com/media/F1uciR1WwAAGqmP.jpg")</f>
        <v>https://pbs.twimg.com/media/F1uciR1WwAAGqmP.jpg</v>
      </c>
      <c r="AW3627" s="93" t="s">
        <v>21750</v>
      </c>
      <c r="AX3627" s="93" t="s">
        <v>21750</v>
      </c>
      <c r="AY3627" s="87"/>
      <c r="AZ3627" s="93" t="s">
        <v>22668</v>
      </c>
      <c r="BA3627" s="93" t="s">
        <v>22668</v>
      </c>
      <c r="BB3627" s="93" t="s">
        <v>22668</v>
      </c>
      <c r="BC3627" s="93" t="s">
        <v>21750</v>
      </c>
      <c r="BD3627" s="93" t="s">
        <v>23470</v>
      </c>
      <c r="BE3627" s="87"/>
      <c r="BF3627" s="87"/>
      <c r="BG3627" s="87"/>
      <c r="BH3627" s="87"/>
      <c r="BI3627" s="87"/>
    </row>
    <row r="3628" spans="1:61" x14ac:dyDescent="0.25">
      <c r="A3628" s="63" t="s">
        <v>1388</v>
      </c>
      <c r="B3628" s="63" t="s">
        <v>1388</v>
      </c>
      <c r="C3628" s="64"/>
      <c r="D3628" s="65"/>
      <c r="E3628" s="66"/>
      <c r="F3628" s="67"/>
      <c r="G3628" s="64"/>
      <c r="H3628" s="68"/>
      <c r="I3628" s="69"/>
      <c r="J3628" s="69"/>
      <c r="K3628" s="32"/>
      <c r="L3628" s="76">
        <v>3628</v>
      </c>
      <c r="M3628" s="76"/>
      <c r="N3628" s="71"/>
      <c r="O3628" s="87" t="s">
        <v>179</v>
      </c>
      <c r="P3628" s="90">
        <v>45113.524444444447</v>
      </c>
      <c r="Q3628" s="87" t="s">
        <v>5297</v>
      </c>
      <c r="R3628" s="87">
        <v>0</v>
      </c>
      <c r="S3628" s="87">
        <v>0</v>
      </c>
      <c r="T3628" s="87">
        <v>0</v>
      </c>
      <c r="U3628" s="87">
        <v>0</v>
      </c>
      <c r="V3628" s="87">
        <v>7</v>
      </c>
      <c r="W3628" s="93" t="s">
        <v>7973</v>
      </c>
      <c r="X3628" s="87"/>
      <c r="Y3628" s="87"/>
      <c r="Z3628" s="87"/>
      <c r="AA3628" s="87"/>
      <c r="AB3628" s="87"/>
      <c r="AC3628" s="93" t="s">
        <v>11458</v>
      </c>
      <c r="AD3628" s="87" t="s">
        <v>11519</v>
      </c>
      <c r="AE3628" s="92" t="str">
        <f>HYPERLINK("https://twitter.com/daniel_consig/status/1676932811205296129")</f>
        <v>https://twitter.com/daniel_consig/status/1676932811205296129</v>
      </c>
      <c r="AF3628" s="90">
        <v>45113.524444444447</v>
      </c>
      <c r="AG3628" s="99">
        <v>45113</v>
      </c>
      <c r="AH3628" s="93" t="s">
        <v>14745</v>
      </c>
      <c r="AI3628" s="87"/>
      <c r="AJ3628" s="87"/>
      <c r="AK3628" s="87"/>
      <c r="AL3628" s="87"/>
      <c r="AM3628" s="87"/>
      <c r="AN3628" s="87"/>
      <c r="AO3628" s="87"/>
      <c r="AP3628" s="87"/>
      <c r="AQ3628" s="87"/>
      <c r="AR3628" s="87"/>
      <c r="AS3628" s="87"/>
      <c r="AT3628" s="87"/>
      <c r="AU3628" s="87"/>
      <c r="AV3628" s="92" t="str">
        <f>HYPERLINK("https://pbs.twimg.com/profile_images/1375852768523616258/00Ngr3RZ_normal.jpg")</f>
        <v>https://pbs.twimg.com/profile_images/1375852768523616258/00Ngr3RZ_normal.jpg</v>
      </c>
      <c r="AW3628" s="93" t="s">
        <v>21751</v>
      </c>
      <c r="AX3628" s="93" t="s">
        <v>21751</v>
      </c>
      <c r="AY3628" s="87"/>
      <c r="AZ3628" s="93" t="s">
        <v>22668</v>
      </c>
      <c r="BA3628" s="93" t="s">
        <v>22668</v>
      </c>
      <c r="BB3628" s="93" t="s">
        <v>22668</v>
      </c>
      <c r="BC3628" s="93" t="s">
        <v>21751</v>
      </c>
      <c r="BD3628" s="87">
        <v>78655984</v>
      </c>
      <c r="BE3628" s="87"/>
      <c r="BF3628" s="87"/>
      <c r="BG3628" s="87"/>
      <c r="BH3628" s="87"/>
      <c r="BI3628" s="87"/>
    </row>
    <row r="3629" spans="1:61" x14ac:dyDescent="0.25">
      <c r="A3629" s="63" t="s">
        <v>1389</v>
      </c>
      <c r="B3629" s="63" t="s">
        <v>1389</v>
      </c>
      <c r="C3629" s="64"/>
      <c r="D3629" s="65"/>
      <c r="E3629" s="66"/>
      <c r="F3629" s="67"/>
      <c r="G3629" s="64"/>
      <c r="H3629" s="68"/>
      <c r="I3629" s="69"/>
      <c r="J3629" s="69"/>
      <c r="K3629" s="32"/>
      <c r="L3629" s="76">
        <v>3629</v>
      </c>
      <c r="M3629" s="76"/>
      <c r="N3629" s="71"/>
      <c r="O3629" s="87" t="s">
        <v>179</v>
      </c>
      <c r="P3629" s="90">
        <v>45126.572916666664</v>
      </c>
      <c r="Q3629" s="87" t="s">
        <v>5298</v>
      </c>
      <c r="R3629" s="87">
        <v>1</v>
      </c>
      <c r="S3629" s="87">
        <v>2</v>
      </c>
      <c r="T3629" s="87">
        <v>0</v>
      </c>
      <c r="U3629" s="87">
        <v>0</v>
      </c>
      <c r="V3629" s="87">
        <v>9</v>
      </c>
      <c r="W3629" s="93" t="s">
        <v>7974</v>
      </c>
      <c r="X3629" s="87"/>
      <c r="Y3629" s="87"/>
      <c r="Z3629" s="87"/>
      <c r="AA3629" s="87" t="s">
        <v>11105</v>
      </c>
      <c r="AB3629" s="87" t="s">
        <v>11448</v>
      </c>
      <c r="AC3629" s="93" t="s">
        <v>11485</v>
      </c>
      <c r="AD3629" s="87" t="s">
        <v>11519</v>
      </c>
      <c r="AE3629" s="92" t="str">
        <f>HYPERLINK("https://twitter.com/douglaswebp/status/1681661417076785152")</f>
        <v>https://twitter.com/douglaswebp/status/1681661417076785152</v>
      </c>
      <c r="AF3629" s="90">
        <v>45126.572916666664</v>
      </c>
      <c r="AG3629" s="99">
        <v>45126</v>
      </c>
      <c r="AH3629" s="93" t="s">
        <v>14746</v>
      </c>
      <c r="AI3629" s="87" t="b">
        <v>0</v>
      </c>
      <c r="AJ3629" s="87"/>
      <c r="AK3629" s="87"/>
      <c r="AL3629" s="87"/>
      <c r="AM3629" s="87"/>
      <c r="AN3629" s="87"/>
      <c r="AO3629" s="87"/>
      <c r="AP3629" s="87"/>
      <c r="AQ3629" s="87" t="s">
        <v>17917</v>
      </c>
      <c r="AR3629" s="87"/>
      <c r="AS3629" s="87"/>
      <c r="AT3629" s="87"/>
      <c r="AU3629" s="87"/>
      <c r="AV3629" s="92" t="str">
        <f>HYPERLINK("https://pbs.twimg.com/media/F1Z2JWoWAAAmlHE.jpg")</f>
        <v>https://pbs.twimg.com/media/F1Z2JWoWAAAmlHE.jpg</v>
      </c>
      <c r="AW3629" s="93" t="s">
        <v>21752</v>
      </c>
      <c r="AX3629" s="93" t="s">
        <v>21752</v>
      </c>
      <c r="AY3629" s="87"/>
      <c r="AZ3629" s="93" t="s">
        <v>22668</v>
      </c>
      <c r="BA3629" s="93" t="s">
        <v>22668</v>
      </c>
      <c r="BB3629" s="93" t="s">
        <v>22668</v>
      </c>
      <c r="BC3629" s="93" t="s">
        <v>21752</v>
      </c>
      <c r="BD3629" s="93" t="s">
        <v>23471</v>
      </c>
      <c r="BE3629" s="87"/>
      <c r="BF3629" s="87"/>
      <c r="BG3629" s="87"/>
      <c r="BH3629" s="87"/>
      <c r="BI3629" s="87"/>
    </row>
    <row r="3630" spans="1:61" x14ac:dyDescent="0.25">
      <c r="A3630" s="63" t="s">
        <v>1390</v>
      </c>
      <c r="B3630" s="63" t="s">
        <v>1390</v>
      </c>
      <c r="C3630" s="64"/>
      <c r="D3630" s="65"/>
      <c r="E3630" s="66"/>
      <c r="F3630" s="67"/>
      <c r="G3630" s="64"/>
      <c r="H3630" s="68"/>
      <c r="I3630" s="69"/>
      <c r="J3630" s="69"/>
      <c r="K3630" s="32"/>
      <c r="L3630" s="76">
        <v>3630</v>
      </c>
      <c r="M3630" s="76"/>
      <c r="N3630" s="71"/>
      <c r="O3630" s="87" t="s">
        <v>179</v>
      </c>
      <c r="P3630" s="90">
        <v>45123.500486111108</v>
      </c>
      <c r="Q3630" s="87" t="s">
        <v>5299</v>
      </c>
      <c r="R3630" s="87">
        <v>0</v>
      </c>
      <c r="S3630" s="87">
        <v>0</v>
      </c>
      <c r="T3630" s="87">
        <v>0</v>
      </c>
      <c r="U3630" s="87">
        <v>0</v>
      </c>
      <c r="V3630" s="87">
        <v>8</v>
      </c>
      <c r="W3630" s="93" t="s">
        <v>7975</v>
      </c>
      <c r="X3630" s="87"/>
      <c r="Y3630" s="87"/>
      <c r="Z3630" s="87"/>
      <c r="AA3630" s="87" t="s">
        <v>11106</v>
      </c>
      <c r="AB3630" s="87" t="s">
        <v>11448</v>
      </c>
      <c r="AC3630" s="93" t="s">
        <v>11460</v>
      </c>
      <c r="AD3630" s="87" t="s">
        <v>11519</v>
      </c>
      <c r="AE3630" s="92" t="str">
        <f>HYPERLINK("https://twitter.com/cdlsaocaetano/status/1680548008138620928")</f>
        <v>https://twitter.com/cdlsaocaetano/status/1680548008138620928</v>
      </c>
      <c r="AF3630" s="90">
        <v>45123.500486111108</v>
      </c>
      <c r="AG3630" s="99">
        <v>45123</v>
      </c>
      <c r="AH3630" s="93" t="s">
        <v>14747</v>
      </c>
      <c r="AI3630" s="87" t="b">
        <v>0</v>
      </c>
      <c r="AJ3630" s="87"/>
      <c r="AK3630" s="87"/>
      <c r="AL3630" s="87"/>
      <c r="AM3630" s="87"/>
      <c r="AN3630" s="87"/>
      <c r="AO3630" s="87"/>
      <c r="AP3630" s="87"/>
      <c r="AQ3630" s="87" t="s">
        <v>17918</v>
      </c>
      <c r="AR3630" s="87"/>
      <c r="AS3630" s="87"/>
      <c r="AT3630" s="87"/>
      <c r="AU3630" s="87"/>
      <c r="AV3630" s="92" t="str">
        <f>HYPERLINK("https://pbs.twimg.com/media/F1KBgdtWYAMvvj9.jpg")</f>
        <v>https://pbs.twimg.com/media/F1KBgdtWYAMvvj9.jpg</v>
      </c>
      <c r="AW3630" s="93" t="s">
        <v>21753</v>
      </c>
      <c r="AX3630" s="93" t="s">
        <v>21753</v>
      </c>
      <c r="AY3630" s="87"/>
      <c r="AZ3630" s="93" t="s">
        <v>22668</v>
      </c>
      <c r="BA3630" s="93" t="s">
        <v>22668</v>
      </c>
      <c r="BB3630" s="93" t="s">
        <v>22668</v>
      </c>
      <c r="BC3630" s="93" t="s">
        <v>21753</v>
      </c>
      <c r="BD3630" s="93" t="s">
        <v>23472</v>
      </c>
      <c r="BE3630" s="87"/>
      <c r="BF3630" s="87"/>
      <c r="BG3630" s="87"/>
      <c r="BH3630" s="87"/>
      <c r="BI3630" s="87"/>
    </row>
    <row r="3631" spans="1:61" x14ac:dyDescent="0.25">
      <c r="A3631" s="63" t="s">
        <v>1391</v>
      </c>
      <c r="B3631" s="63" t="s">
        <v>1391</v>
      </c>
      <c r="C3631" s="64"/>
      <c r="D3631" s="65"/>
      <c r="E3631" s="66"/>
      <c r="F3631" s="67"/>
      <c r="G3631" s="64"/>
      <c r="H3631" s="68"/>
      <c r="I3631" s="69"/>
      <c r="J3631" s="69"/>
      <c r="K3631" s="32"/>
      <c r="L3631" s="76">
        <v>3631</v>
      </c>
      <c r="M3631" s="76"/>
      <c r="N3631" s="71"/>
      <c r="O3631" s="87" t="s">
        <v>179</v>
      </c>
      <c r="P3631" s="90">
        <v>45135.914120370369</v>
      </c>
      <c r="Q3631" s="87" t="s">
        <v>5300</v>
      </c>
      <c r="R3631" s="87">
        <v>0</v>
      </c>
      <c r="S3631" s="87">
        <v>1</v>
      </c>
      <c r="T3631" s="87">
        <v>0</v>
      </c>
      <c r="U3631" s="87">
        <v>0</v>
      </c>
      <c r="V3631" s="87">
        <v>19</v>
      </c>
      <c r="W3631" s="93" t="s">
        <v>7976</v>
      </c>
      <c r="X3631" s="92" t="str">
        <f>HYPERLINK("https://amzn.to/3QhJCM1")</f>
        <v>https://amzn.to/3QhJCM1</v>
      </c>
      <c r="Y3631" s="87" t="s">
        <v>8415</v>
      </c>
      <c r="Z3631" s="87"/>
      <c r="AA3631" s="87"/>
      <c r="AB3631" s="87"/>
      <c r="AC3631" s="93" t="s">
        <v>11459</v>
      </c>
      <c r="AD3631" s="87" t="s">
        <v>11519</v>
      </c>
      <c r="AE3631" s="92" t="str">
        <f>HYPERLINK("https://twitter.com/ogabrielaugust/status/1685046558058819584")</f>
        <v>https://twitter.com/ogabrielaugust/status/1685046558058819584</v>
      </c>
      <c r="AF3631" s="90">
        <v>45135.914120370369</v>
      </c>
      <c r="AG3631" s="99">
        <v>45135</v>
      </c>
      <c r="AH3631" s="93" t="s">
        <v>14748</v>
      </c>
      <c r="AI3631" s="87" t="b">
        <v>0</v>
      </c>
      <c r="AJ3631" s="87"/>
      <c r="AK3631" s="87"/>
      <c r="AL3631" s="87"/>
      <c r="AM3631" s="87"/>
      <c r="AN3631" s="87"/>
      <c r="AO3631" s="87"/>
      <c r="AP3631" s="87"/>
      <c r="AQ3631" s="87"/>
      <c r="AR3631" s="87"/>
      <c r="AS3631" s="87"/>
      <c r="AT3631" s="87"/>
      <c r="AU3631" s="87"/>
      <c r="AV3631" s="92" t="str">
        <f>HYPERLINK("https://pbs.twimg.com/profile_images/1652299964486172678/6ezKGsYa_normal.jpg")</f>
        <v>https://pbs.twimg.com/profile_images/1652299964486172678/6ezKGsYa_normal.jpg</v>
      </c>
      <c r="AW3631" s="93" t="s">
        <v>21754</v>
      </c>
      <c r="AX3631" s="93" t="s">
        <v>21754</v>
      </c>
      <c r="AY3631" s="87"/>
      <c r="AZ3631" s="93" t="s">
        <v>22668</v>
      </c>
      <c r="BA3631" s="93" t="s">
        <v>22668</v>
      </c>
      <c r="BB3631" s="93" t="s">
        <v>22668</v>
      </c>
      <c r="BC3631" s="93" t="s">
        <v>21754</v>
      </c>
      <c r="BD3631" s="93" t="s">
        <v>23473</v>
      </c>
      <c r="BE3631" s="87"/>
      <c r="BF3631" s="87"/>
      <c r="BG3631" s="87"/>
      <c r="BH3631" s="87"/>
      <c r="BI3631" s="87"/>
    </row>
    <row r="3632" spans="1:61" x14ac:dyDescent="0.25">
      <c r="A3632" s="63" t="s">
        <v>1392</v>
      </c>
      <c r="B3632" s="63" t="s">
        <v>1392</v>
      </c>
      <c r="C3632" s="64"/>
      <c r="D3632" s="65"/>
      <c r="E3632" s="66"/>
      <c r="F3632" s="67"/>
      <c r="G3632" s="64"/>
      <c r="H3632" s="68"/>
      <c r="I3632" s="69"/>
      <c r="J3632" s="69"/>
      <c r="K3632" s="32"/>
      <c r="L3632" s="76">
        <v>3632</v>
      </c>
      <c r="M3632" s="76"/>
      <c r="N3632" s="71"/>
      <c r="O3632" s="87" t="s">
        <v>179</v>
      </c>
      <c r="P3632" s="90">
        <v>45185.10460648148</v>
      </c>
      <c r="Q3632" s="87" t="s">
        <v>5301</v>
      </c>
      <c r="R3632" s="87">
        <v>0</v>
      </c>
      <c r="S3632" s="87">
        <v>0</v>
      </c>
      <c r="T3632" s="87">
        <v>1</v>
      </c>
      <c r="U3632" s="87">
        <v>0</v>
      </c>
      <c r="V3632" s="87">
        <v>43</v>
      </c>
      <c r="W3632" s="93" t="s">
        <v>7977</v>
      </c>
      <c r="X3632" s="87"/>
      <c r="Y3632" s="87"/>
      <c r="Z3632" s="87"/>
      <c r="AA3632" s="87" t="s">
        <v>11107</v>
      </c>
      <c r="AB3632" s="87" t="s">
        <v>11447</v>
      </c>
      <c r="AC3632" s="93" t="s">
        <v>11458</v>
      </c>
      <c r="AD3632" s="87" t="s">
        <v>11519</v>
      </c>
      <c r="AE3632" s="92" t="str">
        <f>HYPERLINK("https://twitter.com/conceitoking/status/1702872593244594351")</f>
        <v>https://twitter.com/conceitoking/status/1702872593244594351</v>
      </c>
      <c r="AF3632" s="90">
        <v>45185.10460648148</v>
      </c>
      <c r="AG3632" s="99">
        <v>45185</v>
      </c>
      <c r="AH3632" s="93" t="s">
        <v>12171</v>
      </c>
      <c r="AI3632" s="87" t="b">
        <v>0</v>
      </c>
      <c r="AJ3632" s="87"/>
      <c r="AK3632" s="87"/>
      <c r="AL3632" s="87"/>
      <c r="AM3632" s="87"/>
      <c r="AN3632" s="87"/>
      <c r="AO3632" s="87"/>
      <c r="AP3632" s="87"/>
      <c r="AQ3632" s="87" t="s">
        <v>17919</v>
      </c>
      <c r="AR3632" s="87">
        <v>14440</v>
      </c>
      <c r="AS3632" s="87"/>
      <c r="AT3632" s="87"/>
      <c r="AU3632" s="87"/>
      <c r="AV3632" s="92" t="str">
        <f>HYPERLINK("https://pbs.twimg.com/ext_tw_video_thumb/1702872566304563200/pu/img/0XWRgty4es-8G2wS.jpg")</f>
        <v>https://pbs.twimg.com/ext_tw_video_thumb/1702872566304563200/pu/img/0XWRgty4es-8G2wS.jpg</v>
      </c>
      <c r="AW3632" s="93" t="s">
        <v>21755</v>
      </c>
      <c r="AX3632" s="93" t="s">
        <v>21755</v>
      </c>
      <c r="AY3632" s="87"/>
      <c r="AZ3632" s="93" t="s">
        <v>22668</v>
      </c>
      <c r="BA3632" s="93" t="s">
        <v>22668</v>
      </c>
      <c r="BB3632" s="93" t="s">
        <v>22668</v>
      </c>
      <c r="BC3632" s="93" t="s">
        <v>21755</v>
      </c>
      <c r="BD3632" s="93" t="s">
        <v>23474</v>
      </c>
      <c r="BE3632" s="87"/>
      <c r="BF3632" s="87"/>
      <c r="BG3632" s="87"/>
      <c r="BH3632" s="87"/>
      <c r="BI3632" s="87"/>
    </row>
    <row r="3633" spans="1:61" x14ac:dyDescent="0.25">
      <c r="A3633" s="63" t="s">
        <v>1393</v>
      </c>
      <c r="B3633" s="63" t="s">
        <v>1393</v>
      </c>
      <c r="C3633" s="64"/>
      <c r="D3633" s="65"/>
      <c r="E3633" s="66"/>
      <c r="F3633" s="67"/>
      <c r="G3633" s="64"/>
      <c r="H3633" s="68"/>
      <c r="I3633" s="69"/>
      <c r="J3633" s="69"/>
      <c r="K3633" s="32"/>
      <c r="L3633" s="76">
        <v>3633</v>
      </c>
      <c r="M3633" s="76"/>
      <c r="N3633" s="71"/>
      <c r="O3633" s="87" t="s">
        <v>179</v>
      </c>
      <c r="P3633" s="90">
        <v>45111.709247685183</v>
      </c>
      <c r="Q3633" s="87" t="s">
        <v>5302</v>
      </c>
      <c r="R3633" s="87">
        <v>0</v>
      </c>
      <c r="S3633" s="87">
        <v>0</v>
      </c>
      <c r="T3633" s="87">
        <v>0</v>
      </c>
      <c r="U3633" s="87">
        <v>0</v>
      </c>
      <c r="V3633" s="87">
        <v>16</v>
      </c>
      <c r="W3633" s="93" t="s">
        <v>7978</v>
      </c>
      <c r="X3633" s="87"/>
      <c r="Y3633" s="87"/>
      <c r="Z3633" s="87"/>
      <c r="AA3633" s="87" t="s">
        <v>11108</v>
      </c>
      <c r="AB3633" s="87" t="s">
        <v>11449</v>
      </c>
      <c r="AC3633" s="93" t="s">
        <v>11457</v>
      </c>
      <c r="AD3633" s="87" t="s">
        <v>11519</v>
      </c>
      <c r="AE3633" s="92" t="str">
        <f>HYPERLINK("https://twitter.com/tagusvalley_pt/status/1676275006672707614")</f>
        <v>https://twitter.com/tagusvalley_pt/status/1676275006672707614</v>
      </c>
      <c r="AF3633" s="90">
        <v>45111.709247685183</v>
      </c>
      <c r="AG3633" s="99">
        <v>45111</v>
      </c>
      <c r="AH3633" s="93" t="s">
        <v>14749</v>
      </c>
      <c r="AI3633" s="87" t="b">
        <v>0</v>
      </c>
      <c r="AJ3633" s="87"/>
      <c r="AK3633" s="87"/>
      <c r="AL3633" s="87"/>
      <c r="AM3633" s="87"/>
      <c r="AN3633" s="87"/>
      <c r="AO3633" s="87"/>
      <c r="AP3633" s="87"/>
      <c r="AQ3633" s="87" t="s">
        <v>17920</v>
      </c>
      <c r="AR3633" s="87"/>
      <c r="AS3633" s="87"/>
      <c r="AT3633" s="87"/>
      <c r="AU3633" s="87"/>
      <c r="AV3633" s="92" t="str">
        <f>HYPERLINK("https://pbs.twimg.com/media/F0NTOgoXoBgs0lb.jpg")</f>
        <v>https://pbs.twimg.com/media/F0NTOgoXoBgs0lb.jpg</v>
      </c>
      <c r="AW3633" s="93" t="s">
        <v>21756</v>
      </c>
      <c r="AX3633" s="93" t="s">
        <v>21756</v>
      </c>
      <c r="AY3633" s="87"/>
      <c r="AZ3633" s="93" t="s">
        <v>22668</v>
      </c>
      <c r="BA3633" s="93" t="s">
        <v>22668</v>
      </c>
      <c r="BB3633" s="93" t="s">
        <v>22668</v>
      </c>
      <c r="BC3633" s="93" t="s">
        <v>21756</v>
      </c>
      <c r="BD3633" s="93" t="s">
        <v>23475</v>
      </c>
      <c r="BE3633" s="87"/>
      <c r="BF3633" s="87"/>
      <c r="BG3633" s="87"/>
      <c r="BH3633" s="87"/>
      <c r="BI3633" s="87"/>
    </row>
    <row r="3634" spans="1:61" x14ac:dyDescent="0.25">
      <c r="A3634" s="63" t="s">
        <v>1393</v>
      </c>
      <c r="B3634" s="63" t="s">
        <v>1393</v>
      </c>
      <c r="C3634" s="64"/>
      <c r="D3634" s="65"/>
      <c r="E3634" s="66"/>
      <c r="F3634" s="67"/>
      <c r="G3634" s="64"/>
      <c r="H3634" s="68"/>
      <c r="I3634" s="69"/>
      <c r="J3634" s="69"/>
      <c r="K3634" s="32"/>
      <c r="L3634" s="76">
        <v>3634</v>
      </c>
      <c r="M3634" s="76"/>
      <c r="N3634" s="71"/>
      <c r="O3634" s="87" t="s">
        <v>179</v>
      </c>
      <c r="P3634" s="90">
        <v>45156.583587962959</v>
      </c>
      <c r="Q3634" s="87" t="s">
        <v>5303</v>
      </c>
      <c r="R3634" s="87">
        <v>0</v>
      </c>
      <c r="S3634" s="87">
        <v>0</v>
      </c>
      <c r="T3634" s="87">
        <v>0</v>
      </c>
      <c r="U3634" s="87">
        <v>0</v>
      </c>
      <c r="V3634" s="87">
        <v>15</v>
      </c>
      <c r="W3634" s="93" t="s">
        <v>7979</v>
      </c>
      <c r="X3634" s="87"/>
      <c r="Y3634" s="87"/>
      <c r="Z3634" s="87"/>
      <c r="AA3634" s="87" t="s">
        <v>11109</v>
      </c>
      <c r="AB3634" s="87" t="s">
        <v>11448</v>
      </c>
      <c r="AC3634" s="93" t="s">
        <v>11477</v>
      </c>
      <c r="AD3634" s="87" t="s">
        <v>11519</v>
      </c>
      <c r="AE3634" s="92" t="str">
        <f>HYPERLINK("https://twitter.com/tagusvalley_pt/status/1692536922718011802")</f>
        <v>https://twitter.com/tagusvalley_pt/status/1692536922718011802</v>
      </c>
      <c r="AF3634" s="90">
        <v>45156.583587962959</v>
      </c>
      <c r="AG3634" s="99">
        <v>45156</v>
      </c>
      <c r="AH3634" s="93" t="s">
        <v>14750</v>
      </c>
      <c r="AI3634" s="87" t="b">
        <v>0</v>
      </c>
      <c r="AJ3634" s="87"/>
      <c r="AK3634" s="87"/>
      <c r="AL3634" s="87"/>
      <c r="AM3634" s="87"/>
      <c r="AN3634" s="87"/>
      <c r="AO3634" s="87"/>
      <c r="AP3634" s="87"/>
      <c r="AQ3634" s="87" t="s">
        <v>17921</v>
      </c>
      <c r="AR3634" s="87"/>
      <c r="AS3634" s="87"/>
      <c r="AT3634" s="87"/>
      <c r="AU3634" s="87"/>
      <c r="AV3634" s="92" t="str">
        <f>HYPERLINK("https://pbs.twimg.com/media/F30ZXBYWMAAOhe_.jpg")</f>
        <v>https://pbs.twimg.com/media/F30ZXBYWMAAOhe_.jpg</v>
      </c>
      <c r="AW3634" s="93" t="s">
        <v>21757</v>
      </c>
      <c r="AX3634" s="93" t="s">
        <v>21757</v>
      </c>
      <c r="AY3634" s="87"/>
      <c r="AZ3634" s="93" t="s">
        <v>22668</v>
      </c>
      <c r="BA3634" s="93" t="s">
        <v>22668</v>
      </c>
      <c r="BB3634" s="93" t="s">
        <v>22668</v>
      </c>
      <c r="BC3634" s="93" t="s">
        <v>21757</v>
      </c>
      <c r="BD3634" s="93" t="s">
        <v>23475</v>
      </c>
      <c r="BE3634" s="87"/>
      <c r="BF3634" s="87"/>
      <c r="BG3634" s="87"/>
      <c r="BH3634" s="87"/>
      <c r="BI3634" s="87"/>
    </row>
    <row r="3635" spans="1:61" x14ac:dyDescent="0.25">
      <c r="A3635" s="63" t="s">
        <v>1393</v>
      </c>
      <c r="B3635" s="63" t="s">
        <v>1393</v>
      </c>
      <c r="C3635" s="64"/>
      <c r="D3635" s="65"/>
      <c r="E3635" s="66"/>
      <c r="F3635" s="67"/>
      <c r="G3635" s="64"/>
      <c r="H3635" s="68"/>
      <c r="I3635" s="69"/>
      <c r="J3635" s="69"/>
      <c r="K3635" s="32"/>
      <c r="L3635" s="76">
        <v>3635</v>
      </c>
      <c r="M3635" s="76"/>
      <c r="N3635" s="71"/>
      <c r="O3635" s="87" t="s">
        <v>179</v>
      </c>
      <c r="P3635" s="90">
        <v>45192.625115740739</v>
      </c>
      <c r="Q3635" s="87" t="s">
        <v>5304</v>
      </c>
      <c r="R3635" s="87">
        <v>0</v>
      </c>
      <c r="S3635" s="87">
        <v>1</v>
      </c>
      <c r="T3635" s="87">
        <v>0</v>
      </c>
      <c r="U3635" s="87">
        <v>0</v>
      </c>
      <c r="V3635" s="87">
        <v>18</v>
      </c>
      <c r="W3635" s="93" t="s">
        <v>7980</v>
      </c>
      <c r="X3635" s="87"/>
      <c r="Y3635" s="87"/>
      <c r="Z3635" s="87"/>
      <c r="AA3635" s="87" t="s">
        <v>11110</v>
      </c>
      <c r="AB3635" s="87" t="s">
        <v>11448</v>
      </c>
      <c r="AC3635" s="93" t="s">
        <v>11477</v>
      </c>
      <c r="AD3635" s="87" t="s">
        <v>11519</v>
      </c>
      <c r="AE3635" s="92" t="str">
        <f>HYPERLINK("https://twitter.com/tagusvalley_pt/status/1705597932257370475")</f>
        <v>https://twitter.com/tagusvalley_pt/status/1705597932257370475</v>
      </c>
      <c r="AF3635" s="90">
        <v>45192.625115740739</v>
      </c>
      <c r="AG3635" s="99">
        <v>45192</v>
      </c>
      <c r="AH3635" s="93" t="s">
        <v>14751</v>
      </c>
      <c r="AI3635" s="87" t="b">
        <v>0</v>
      </c>
      <c r="AJ3635" s="87"/>
      <c r="AK3635" s="87"/>
      <c r="AL3635" s="87"/>
      <c r="AM3635" s="87"/>
      <c r="AN3635" s="87"/>
      <c r="AO3635" s="87"/>
      <c r="AP3635" s="87"/>
      <c r="AQ3635" s="87" t="s">
        <v>17922</v>
      </c>
      <c r="AR3635" s="87"/>
      <c r="AS3635" s="87"/>
      <c r="AT3635" s="87"/>
      <c r="AU3635" s="87"/>
      <c r="AV3635" s="92" t="str">
        <f>HYPERLINK("https://pbs.twimg.com/media/F6uAR-QWsAAJs8r.jpg")</f>
        <v>https://pbs.twimg.com/media/F6uAR-QWsAAJs8r.jpg</v>
      </c>
      <c r="AW3635" s="93" t="s">
        <v>21758</v>
      </c>
      <c r="AX3635" s="93" t="s">
        <v>21758</v>
      </c>
      <c r="AY3635" s="87"/>
      <c r="AZ3635" s="93" t="s">
        <v>22668</v>
      </c>
      <c r="BA3635" s="93" t="s">
        <v>22668</v>
      </c>
      <c r="BB3635" s="93" t="s">
        <v>22668</v>
      </c>
      <c r="BC3635" s="93" t="s">
        <v>21758</v>
      </c>
      <c r="BD3635" s="93" t="s">
        <v>23475</v>
      </c>
      <c r="BE3635" s="87"/>
      <c r="BF3635" s="87"/>
      <c r="BG3635" s="87"/>
      <c r="BH3635" s="87"/>
      <c r="BI3635" s="87"/>
    </row>
    <row r="3636" spans="1:61" x14ac:dyDescent="0.25">
      <c r="A3636" s="63" t="s">
        <v>1394</v>
      </c>
      <c r="B3636" s="63" t="s">
        <v>1407</v>
      </c>
      <c r="C3636" s="64"/>
      <c r="D3636" s="65"/>
      <c r="E3636" s="66"/>
      <c r="F3636" s="67"/>
      <c r="G3636" s="64"/>
      <c r="H3636" s="68"/>
      <c r="I3636" s="69"/>
      <c r="J3636" s="69"/>
      <c r="K3636" s="32"/>
      <c r="L3636" s="76">
        <v>3636</v>
      </c>
      <c r="M3636" s="76"/>
      <c r="N3636" s="71"/>
      <c r="O3636" s="87" t="s">
        <v>1842</v>
      </c>
      <c r="P3636" s="90">
        <v>45110.709189814814</v>
      </c>
      <c r="Q3636" s="87" t="s">
        <v>5305</v>
      </c>
      <c r="R3636" s="87">
        <v>0</v>
      </c>
      <c r="S3636" s="87">
        <v>3</v>
      </c>
      <c r="T3636" s="87">
        <v>0</v>
      </c>
      <c r="U3636" s="87">
        <v>0</v>
      </c>
      <c r="V3636" s="87">
        <v>14</v>
      </c>
      <c r="W3636" s="93" t="s">
        <v>5897</v>
      </c>
      <c r="X3636" s="87"/>
      <c r="Y3636" s="87"/>
      <c r="Z3636" s="87"/>
      <c r="AA3636" s="87"/>
      <c r="AB3636" s="87"/>
      <c r="AC3636" s="93" t="s">
        <v>11457</v>
      </c>
      <c r="AD3636" s="87" t="s">
        <v>11519</v>
      </c>
      <c r="AE3636" s="92" t="str">
        <f>HYPERLINK("https://twitter.com/rodrigoklyngerr/status/1675912597843980293")</f>
        <v>https://twitter.com/rodrigoklyngerr/status/1675912597843980293</v>
      </c>
      <c r="AF3636" s="90">
        <v>45110.709189814814</v>
      </c>
      <c r="AG3636" s="99">
        <v>45110</v>
      </c>
      <c r="AH3636" s="93" t="s">
        <v>14752</v>
      </c>
      <c r="AI3636" s="87"/>
      <c r="AJ3636" s="87"/>
      <c r="AK3636" s="87"/>
      <c r="AL3636" s="87"/>
      <c r="AM3636" s="87"/>
      <c r="AN3636" s="87"/>
      <c r="AO3636" s="87"/>
      <c r="AP3636" s="87"/>
      <c r="AQ3636" s="87"/>
      <c r="AR3636" s="87"/>
      <c r="AS3636" s="87"/>
      <c r="AT3636" s="87"/>
      <c r="AU3636" s="87"/>
      <c r="AV3636" s="92" t="str">
        <f>HYPERLINK("https://pbs.twimg.com/profile_images/994344593423585280/8VUHnKRC_normal.jpg")</f>
        <v>https://pbs.twimg.com/profile_images/994344593423585280/8VUHnKRC_normal.jpg</v>
      </c>
      <c r="AW3636" s="93" t="s">
        <v>21759</v>
      </c>
      <c r="AX3636" s="93" t="s">
        <v>21759</v>
      </c>
      <c r="AY3636" s="87"/>
      <c r="AZ3636" s="93" t="s">
        <v>22668</v>
      </c>
      <c r="BA3636" s="93" t="s">
        <v>21817</v>
      </c>
      <c r="BB3636" s="93" t="s">
        <v>22668</v>
      </c>
      <c r="BC3636" s="93" t="s">
        <v>21817</v>
      </c>
      <c r="BD3636" s="87">
        <v>62780144</v>
      </c>
      <c r="BE3636" s="87"/>
      <c r="BF3636" s="87"/>
      <c r="BG3636" s="87"/>
      <c r="BH3636" s="87"/>
      <c r="BI3636" s="87"/>
    </row>
    <row r="3637" spans="1:61" x14ac:dyDescent="0.25">
      <c r="A3637" s="63" t="s">
        <v>1395</v>
      </c>
      <c r="B3637" s="63" t="s">
        <v>1395</v>
      </c>
      <c r="C3637" s="64"/>
      <c r="D3637" s="65"/>
      <c r="E3637" s="66"/>
      <c r="F3637" s="67"/>
      <c r="G3637" s="64"/>
      <c r="H3637" s="68"/>
      <c r="I3637" s="69"/>
      <c r="J3637" s="69"/>
      <c r="K3637" s="32"/>
      <c r="L3637" s="76">
        <v>3637</v>
      </c>
      <c r="M3637" s="76"/>
      <c r="N3637" s="71"/>
      <c r="O3637" s="87" t="s">
        <v>179</v>
      </c>
      <c r="P3637" s="90">
        <v>45161.808472222219</v>
      </c>
      <c r="Q3637" s="87" t="s">
        <v>5306</v>
      </c>
      <c r="R3637" s="87">
        <v>2</v>
      </c>
      <c r="S3637" s="87">
        <v>3</v>
      </c>
      <c r="T3637" s="87">
        <v>0</v>
      </c>
      <c r="U3637" s="87">
        <v>0</v>
      </c>
      <c r="V3637" s="87">
        <v>175</v>
      </c>
      <c r="W3637" s="93" t="s">
        <v>6795</v>
      </c>
      <c r="X3637" s="92" t="str">
        <f>HYPERLINK("https://marketingnew.com.br/curso-design-canvas-profissional/")</f>
        <v>https://marketingnew.com.br/curso-design-canvas-profissional/</v>
      </c>
      <c r="Y3637" s="87" t="s">
        <v>8373</v>
      </c>
      <c r="Z3637" s="87"/>
      <c r="AA3637" s="87"/>
      <c r="AB3637" s="87"/>
      <c r="AC3637" s="93" t="s">
        <v>11457</v>
      </c>
      <c r="AD3637" s="87" t="s">
        <v>11520</v>
      </c>
      <c r="AE3637" s="92" t="str">
        <f>HYPERLINK("https://twitter.com/viniciu80206889/status/1694430357389541504")</f>
        <v>https://twitter.com/viniciu80206889/status/1694430357389541504</v>
      </c>
      <c r="AF3637" s="90">
        <v>45161.808472222219</v>
      </c>
      <c r="AG3637" s="99">
        <v>45161</v>
      </c>
      <c r="AH3637" s="93" t="s">
        <v>14753</v>
      </c>
      <c r="AI3637" s="87" t="b">
        <v>0</v>
      </c>
      <c r="AJ3637" s="87"/>
      <c r="AK3637" s="87"/>
      <c r="AL3637" s="87"/>
      <c r="AM3637" s="87"/>
      <c r="AN3637" s="87"/>
      <c r="AO3637" s="87"/>
      <c r="AP3637" s="87"/>
      <c r="AQ3637" s="87"/>
      <c r="AR3637" s="87"/>
      <c r="AS3637" s="87"/>
      <c r="AT3637" s="87"/>
      <c r="AU3637" s="87"/>
      <c r="AV3637" s="92" t="str">
        <f>HYPERLINK("https://pbs.twimg.com/profile_images/1678861109263048707/aWzd1JD-_normal.jpg")</f>
        <v>https://pbs.twimg.com/profile_images/1678861109263048707/aWzd1JD-_normal.jpg</v>
      </c>
      <c r="AW3637" s="93" t="s">
        <v>21760</v>
      </c>
      <c r="AX3637" s="93" t="s">
        <v>21760</v>
      </c>
      <c r="AY3637" s="87"/>
      <c r="AZ3637" s="93" t="s">
        <v>22668</v>
      </c>
      <c r="BA3637" s="93" t="s">
        <v>22668</v>
      </c>
      <c r="BB3637" s="93" t="s">
        <v>22668</v>
      </c>
      <c r="BC3637" s="93" t="s">
        <v>21760</v>
      </c>
      <c r="BD3637" s="93" t="s">
        <v>23476</v>
      </c>
      <c r="BE3637" s="87"/>
      <c r="BF3637" s="87"/>
      <c r="BG3637" s="87"/>
      <c r="BH3637" s="87"/>
      <c r="BI3637" s="87"/>
    </row>
    <row r="3638" spans="1:61" x14ac:dyDescent="0.25">
      <c r="A3638" s="63" t="s">
        <v>1395</v>
      </c>
      <c r="B3638" s="63" t="s">
        <v>1395</v>
      </c>
      <c r="C3638" s="64"/>
      <c r="D3638" s="65"/>
      <c r="E3638" s="66"/>
      <c r="F3638" s="67"/>
      <c r="G3638" s="64"/>
      <c r="H3638" s="68"/>
      <c r="I3638" s="69"/>
      <c r="J3638" s="69"/>
      <c r="K3638" s="32"/>
      <c r="L3638" s="76">
        <v>3638</v>
      </c>
      <c r="M3638" s="76"/>
      <c r="N3638" s="71"/>
      <c r="O3638" s="87" t="s">
        <v>179</v>
      </c>
      <c r="P3638" s="90">
        <v>45159.700694444444</v>
      </c>
      <c r="Q3638" s="87" t="s">
        <v>5307</v>
      </c>
      <c r="R3638" s="87">
        <v>0</v>
      </c>
      <c r="S3638" s="87">
        <v>2</v>
      </c>
      <c r="T3638" s="87">
        <v>0</v>
      </c>
      <c r="U3638" s="87">
        <v>0</v>
      </c>
      <c r="V3638" s="87">
        <v>109</v>
      </c>
      <c r="W3638" s="93" t="s">
        <v>6797</v>
      </c>
      <c r="X3638" s="92" t="str">
        <f>HYPERLINK("https://marketingnew.com.br/curso-saboaria-artesanal/")</f>
        <v>https://marketingnew.com.br/curso-saboaria-artesanal/</v>
      </c>
      <c r="Y3638" s="87" t="s">
        <v>8373</v>
      </c>
      <c r="Z3638" s="87"/>
      <c r="AA3638" s="87"/>
      <c r="AB3638" s="87"/>
      <c r="AC3638" s="93" t="s">
        <v>11457</v>
      </c>
      <c r="AD3638" s="87" t="s">
        <v>11520</v>
      </c>
      <c r="AE3638" s="92" t="str">
        <f>HYPERLINK("https://twitter.com/viniciu80206889/status/1693666521803784558")</f>
        <v>https://twitter.com/viniciu80206889/status/1693666521803784558</v>
      </c>
      <c r="AF3638" s="90">
        <v>45159.700694444444</v>
      </c>
      <c r="AG3638" s="99">
        <v>45159</v>
      </c>
      <c r="AH3638" s="93" t="s">
        <v>14754</v>
      </c>
      <c r="AI3638" s="87" t="b">
        <v>0</v>
      </c>
      <c r="AJ3638" s="87"/>
      <c r="AK3638" s="87"/>
      <c r="AL3638" s="87"/>
      <c r="AM3638" s="87"/>
      <c r="AN3638" s="87"/>
      <c r="AO3638" s="87"/>
      <c r="AP3638" s="87"/>
      <c r="AQ3638" s="87"/>
      <c r="AR3638" s="87"/>
      <c r="AS3638" s="87"/>
      <c r="AT3638" s="87"/>
      <c r="AU3638" s="87"/>
      <c r="AV3638" s="92" t="str">
        <f>HYPERLINK("https://pbs.twimg.com/profile_images/1678861109263048707/aWzd1JD-_normal.jpg")</f>
        <v>https://pbs.twimg.com/profile_images/1678861109263048707/aWzd1JD-_normal.jpg</v>
      </c>
      <c r="AW3638" s="93" t="s">
        <v>21761</v>
      </c>
      <c r="AX3638" s="93" t="s">
        <v>21761</v>
      </c>
      <c r="AY3638" s="87"/>
      <c r="AZ3638" s="93" t="s">
        <v>22668</v>
      </c>
      <c r="BA3638" s="93" t="s">
        <v>22668</v>
      </c>
      <c r="BB3638" s="93" t="s">
        <v>22668</v>
      </c>
      <c r="BC3638" s="93" t="s">
        <v>21761</v>
      </c>
      <c r="BD3638" s="93" t="s">
        <v>23476</v>
      </c>
      <c r="BE3638" s="87"/>
      <c r="BF3638" s="87"/>
      <c r="BG3638" s="87"/>
      <c r="BH3638" s="87"/>
      <c r="BI3638" s="87"/>
    </row>
    <row r="3639" spans="1:61" x14ac:dyDescent="0.25">
      <c r="A3639" s="63" t="s">
        <v>1395</v>
      </c>
      <c r="B3639" s="63" t="s">
        <v>1395</v>
      </c>
      <c r="C3639" s="64"/>
      <c r="D3639" s="65"/>
      <c r="E3639" s="66"/>
      <c r="F3639" s="67"/>
      <c r="G3639" s="64"/>
      <c r="H3639" s="68"/>
      <c r="I3639" s="69"/>
      <c r="J3639" s="69"/>
      <c r="K3639" s="32"/>
      <c r="L3639" s="76">
        <v>3639</v>
      </c>
      <c r="M3639" s="76"/>
      <c r="N3639" s="71"/>
      <c r="O3639" s="87" t="s">
        <v>179</v>
      </c>
      <c r="P3639" s="90">
        <v>45148.686805555553</v>
      </c>
      <c r="Q3639" s="87" t="s">
        <v>5308</v>
      </c>
      <c r="R3639" s="87">
        <v>0</v>
      </c>
      <c r="S3639" s="87">
        <v>0</v>
      </c>
      <c r="T3639" s="87">
        <v>0</v>
      </c>
      <c r="U3639" s="87">
        <v>0</v>
      </c>
      <c r="V3639" s="87">
        <v>62</v>
      </c>
      <c r="W3639" s="93" t="s">
        <v>6797</v>
      </c>
      <c r="X3639" s="92" t="str">
        <f>HYPERLINK("https://marketingnew.com.br/curso-de-drenagem-linfatica/")</f>
        <v>https://marketingnew.com.br/curso-de-drenagem-linfatica/</v>
      </c>
      <c r="Y3639" s="87" t="s">
        <v>8373</v>
      </c>
      <c r="Z3639" s="87"/>
      <c r="AA3639" s="87"/>
      <c r="AB3639" s="87"/>
      <c r="AC3639" s="93" t="s">
        <v>11457</v>
      </c>
      <c r="AD3639" s="87" t="s">
        <v>11520</v>
      </c>
      <c r="AE3639" s="92" t="str">
        <f>HYPERLINK("https://twitter.com/viniciu80206889/status/1689675221828268032")</f>
        <v>https://twitter.com/viniciu80206889/status/1689675221828268032</v>
      </c>
      <c r="AF3639" s="90">
        <v>45148.686805555553</v>
      </c>
      <c r="AG3639" s="99">
        <v>45148</v>
      </c>
      <c r="AH3639" s="93" t="s">
        <v>14755</v>
      </c>
      <c r="AI3639" s="87" t="b">
        <v>0</v>
      </c>
      <c r="AJ3639" s="87"/>
      <c r="AK3639" s="87"/>
      <c r="AL3639" s="87"/>
      <c r="AM3639" s="87"/>
      <c r="AN3639" s="87"/>
      <c r="AO3639" s="87"/>
      <c r="AP3639" s="87"/>
      <c r="AQ3639" s="87"/>
      <c r="AR3639" s="87"/>
      <c r="AS3639" s="87"/>
      <c r="AT3639" s="87"/>
      <c r="AU3639" s="87"/>
      <c r="AV3639" s="92" t="str">
        <f>HYPERLINK("https://pbs.twimg.com/profile_images/1678861109263048707/aWzd1JD-_normal.jpg")</f>
        <v>https://pbs.twimg.com/profile_images/1678861109263048707/aWzd1JD-_normal.jpg</v>
      </c>
      <c r="AW3639" s="93" t="s">
        <v>21762</v>
      </c>
      <c r="AX3639" s="93" t="s">
        <v>21762</v>
      </c>
      <c r="AY3639" s="87"/>
      <c r="AZ3639" s="93" t="s">
        <v>22668</v>
      </c>
      <c r="BA3639" s="93" t="s">
        <v>22668</v>
      </c>
      <c r="BB3639" s="93" t="s">
        <v>22668</v>
      </c>
      <c r="BC3639" s="93" t="s">
        <v>21762</v>
      </c>
      <c r="BD3639" s="93" t="s">
        <v>23476</v>
      </c>
      <c r="BE3639" s="87"/>
      <c r="BF3639" s="87"/>
      <c r="BG3639" s="87"/>
      <c r="BH3639" s="87"/>
      <c r="BI3639" s="87"/>
    </row>
    <row r="3640" spans="1:61" x14ac:dyDescent="0.25">
      <c r="A3640" s="63" t="s">
        <v>1395</v>
      </c>
      <c r="B3640" s="63" t="s">
        <v>1395</v>
      </c>
      <c r="C3640" s="64"/>
      <c r="D3640" s="65"/>
      <c r="E3640" s="66"/>
      <c r="F3640" s="67"/>
      <c r="G3640" s="64"/>
      <c r="H3640" s="68"/>
      <c r="I3640" s="69"/>
      <c r="J3640" s="69"/>
      <c r="K3640" s="32"/>
      <c r="L3640" s="76">
        <v>3640</v>
      </c>
      <c r="M3640" s="76"/>
      <c r="N3640" s="71"/>
      <c r="O3640" s="87" t="s">
        <v>179</v>
      </c>
      <c r="P3640" s="90">
        <v>45166.707638888889</v>
      </c>
      <c r="Q3640" s="87" t="s">
        <v>5309</v>
      </c>
      <c r="R3640" s="87">
        <v>0</v>
      </c>
      <c r="S3640" s="87">
        <v>1</v>
      </c>
      <c r="T3640" s="87">
        <v>0</v>
      </c>
      <c r="U3640" s="87">
        <v>0</v>
      </c>
      <c r="V3640" s="87">
        <v>38</v>
      </c>
      <c r="W3640" s="93" t="s">
        <v>6797</v>
      </c>
      <c r="X3640" s="92" t="str">
        <f>HYPERLINK("https://marketingnew.com.br/curso-limpeza-de-pele/")</f>
        <v>https://marketingnew.com.br/curso-limpeza-de-pele/</v>
      </c>
      <c r="Y3640" s="87" t="s">
        <v>8373</v>
      </c>
      <c r="Z3640" s="87"/>
      <c r="AA3640" s="87"/>
      <c r="AB3640" s="87"/>
      <c r="AC3640" s="93" t="s">
        <v>11457</v>
      </c>
      <c r="AD3640" s="87" t="s">
        <v>11520</v>
      </c>
      <c r="AE3640" s="92" t="str">
        <f>HYPERLINK("https://twitter.com/viniciu80206889/status/1696205753298661419")</f>
        <v>https://twitter.com/viniciu80206889/status/1696205753298661419</v>
      </c>
      <c r="AF3640" s="90">
        <v>45166.707638888889</v>
      </c>
      <c r="AG3640" s="99">
        <v>45166</v>
      </c>
      <c r="AH3640" s="93" t="s">
        <v>14756</v>
      </c>
      <c r="AI3640" s="87" t="b">
        <v>0</v>
      </c>
      <c r="AJ3640" s="87"/>
      <c r="AK3640" s="87"/>
      <c r="AL3640" s="87"/>
      <c r="AM3640" s="87"/>
      <c r="AN3640" s="87"/>
      <c r="AO3640" s="87"/>
      <c r="AP3640" s="87"/>
      <c r="AQ3640" s="87"/>
      <c r="AR3640" s="87"/>
      <c r="AS3640" s="87"/>
      <c r="AT3640" s="87"/>
      <c r="AU3640" s="87"/>
      <c r="AV3640" s="92" t="str">
        <f>HYPERLINK("https://pbs.twimg.com/profile_images/1678861109263048707/aWzd1JD-_normal.jpg")</f>
        <v>https://pbs.twimg.com/profile_images/1678861109263048707/aWzd1JD-_normal.jpg</v>
      </c>
      <c r="AW3640" s="93" t="s">
        <v>21763</v>
      </c>
      <c r="AX3640" s="93" t="s">
        <v>21763</v>
      </c>
      <c r="AY3640" s="87"/>
      <c r="AZ3640" s="93" t="s">
        <v>22668</v>
      </c>
      <c r="BA3640" s="93" t="s">
        <v>22668</v>
      </c>
      <c r="BB3640" s="93" t="s">
        <v>22668</v>
      </c>
      <c r="BC3640" s="93" t="s">
        <v>21763</v>
      </c>
      <c r="BD3640" s="93" t="s">
        <v>23476</v>
      </c>
      <c r="BE3640" s="87"/>
      <c r="BF3640" s="87"/>
      <c r="BG3640" s="87"/>
      <c r="BH3640" s="87"/>
      <c r="BI3640" s="87"/>
    </row>
    <row r="3641" spans="1:61" x14ac:dyDescent="0.25">
      <c r="A3641" s="63" t="s">
        <v>1395</v>
      </c>
      <c r="B3641" s="63" t="s">
        <v>1395</v>
      </c>
      <c r="C3641" s="64"/>
      <c r="D3641" s="65"/>
      <c r="E3641" s="66"/>
      <c r="F3641" s="67"/>
      <c r="G3641" s="64"/>
      <c r="H3641" s="68"/>
      <c r="I3641" s="69"/>
      <c r="J3641" s="69"/>
      <c r="K3641" s="32"/>
      <c r="L3641" s="76">
        <v>3641</v>
      </c>
      <c r="M3641" s="76"/>
      <c r="N3641" s="71"/>
      <c r="O3641" s="87" t="s">
        <v>179</v>
      </c>
      <c r="P3641" s="90">
        <v>45166.645138888889</v>
      </c>
      <c r="Q3641" s="87" t="s">
        <v>5310</v>
      </c>
      <c r="R3641" s="87">
        <v>0</v>
      </c>
      <c r="S3641" s="87">
        <v>0</v>
      </c>
      <c r="T3641" s="87">
        <v>0</v>
      </c>
      <c r="U3641" s="87">
        <v>0</v>
      </c>
      <c r="V3641" s="87">
        <v>24</v>
      </c>
      <c r="W3641" s="93" t="s">
        <v>6798</v>
      </c>
      <c r="X3641" s="92" t="str">
        <f>HYPERLINK("https://marketingnew.com.br/pack-artes-editaveis-para-instagram/")</f>
        <v>https://marketingnew.com.br/pack-artes-editaveis-para-instagram/</v>
      </c>
      <c r="Y3641" s="87" t="s">
        <v>8373</v>
      </c>
      <c r="Z3641" s="87"/>
      <c r="AA3641" s="87"/>
      <c r="AB3641" s="87"/>
      <c r="AC3641" s="93" t="s">
        <v>11457</v>
      </c>
      <c r="AD3641" s="87" t="s">
        <v>11520</v>
      </c>
      <c r="AE3641" s="92" t="str">
        <f>HYPERLINK("https://twitter.com/viniciu80206889/status/1696183104086417745")</f>
        <v>https://twitter.com/viniciu80206889/status/1696183104086417745</v>
      </c>
      <c r="AF3641" s="90">
        <v>45166.645138888889</v>
      </c>
      <c r="AG3641" s="99">
        <v>45166</v>
      </c>
      <c r="AH3641" s="93" t="s">
        <v>14757</v>
      </c>
      <c r="AI3641" s="87" t="b">
        <v>0</v>
      </c>
      <c r="AJ3641" s="87"/>
      <c r="AK3641" s="87"/>
      <c r="AL3641" s="87"/>
      <c r="AM3641" s="87"/>
      <c r="AN3641" s="87"/>
      <c r="AO3641" s="87"/>
      <c r="AP3641" s="87"/>
      <c r="AQ3641" s="87"/>
      <c r="AR3641" s="87"/>
      <c r="AS3641" s="87"/>
      <c r="AT3641" s="87"/>
      <c r="AU3641" s="87"/>
      <c r="AV3641" s="92" t="str">
        <f>HYPERLINK("https://pbs.twimg.com/profile_images/1678861109263048707/aWzd1JD-_normal.jpg")</f>
        <v>https://pbs.twimg.com/profile_images/1678861109263048707/aWzd1JD-_normal.jpg</v>
      </c>
      <c r="AW3641" s="93" t="s">
        <v>21764</v>
      </c>
      <c r="AX3641" s="93" t="s">
        <v>21764</v>
      </c>
      <c r="AY3641" s="87"/>
      <c r="AZ3641" s="93" t="s">
        <v>22668</v>
      </c>
      <c r="BA3641" s="93" t="s">
        <v>22668</v>
      </c>
      <c r="BB3641" s="93" t="s">
        <v>22668</v>
      </c>
      <c r="BC3641" s="93" t="s">
        <v>21764</v>
      </c>
      <c r="BD3641" s="93" t="s">
        <v>23476</v>
      </c>
      <c r="BE3641" s="87"/>
      <c r="BF3641" s="87"/>
      <c r="BG3641" s="87"/>
      <c r="BH3641" s="87"/>
      <c r="BI3641" s="87"/>
    </row>
    <row r="3642" spans="1:61" x14ac:dyDescent="0.25">
      <c r="A3642" s="63" t="s">
        <v>1395</v>
      </c>
      <c r="B3642" s="63" t="s">
        <v>1395</v>
      </c>
      <c r="C3642" s="64"/>
      <c r="D3642" s="65"/>
      <c r="E3642" s="66"/>
      <c r="F3642" s="67"/>
      <c r="G3642" s="64"/>
      <c r="H3642" s="68"/>
      <c r="I3642" s="69"/>
      <c r="J3642" s="69"/>
      <c r="K3642" s="32"/>
      <c r="L3642" s="76">
        <v>3642</v>
      </c>
      <c r="M3642" s="76"/>
      <c r="N3642" s="71"/>
      <c r="O3642" s="87" t="s">
        <v>179</v>
      </c>
      <c r="P3642" s="90">
        <v>45152.69027777778</v>
      </c>
      <c r="Q3642" s="87" t="s">
        <v>5311</v>
      </c>
      <c r="R3642" s="87">
        <v>0</v>
      </c>
      <c r="S3642" s="87">
        <v>1</v>
      </c>
      <c r="T3642" s="87">
        <v>0</v>
      </c>
      <c r="U3642" s="87">
        <v>0</v>
      </c>
      <c r="V3642" s="87">
        <v>87</v>
      </c>
      <c r="W3642" s="93" t="s">
        <v>6797</v>
      </c>
      <c r="X3642" s="92" t="str">
        <f>HYPERLINK("https://marketingnew.com.br/curso-instagram-para-iniciantes/")</f>
        <v>https://marketingnew.com.br/curso-instagram-para-iniciantes/</v>
      </c>
      <c r="Y3642" s="87" t="s">
        <v>8373</v>
      </c>
      <c r="Z3642" s="87"/>
      <c r="AA3642" s="87"/>
      <c r="AB3642" s="87"/>
      <c r="AC3642" s="93" t="s">
        <v>11457</v>
      </c>
      <c r="AD3642" s="87" t="s">
        <v>11520</v>
      </c>
      <c r="AE3642" s="92" t="str">
        <f>HYPERLINK("https://twitter.com/viniciu80206889/status/1691126031837548561")</f>
        <v>https://twitter.com/viniciu80206889/status/1691126031837548561</v>
      </c>
      <c r="AF3642" s="90">
        <v>45152.69027777778</v>
      </c>
      <c r="AG3642" s="99">
        <v>45152</v>
      </c>
      <c r="AH3642" s="93" t="s">
        <v>14758</v>
      </c>
      <c r="AI3642" s="87" t="b">
        <v>0</v>
      </c>
      <c r="AJ3642" s="87"/>
      <c r="AK3642" s="87"/>
      <c r="AL3642" s="87"/>
      <c r="AM3642" s="87"/>
      <c r="AN3642" s="87"/>
      <c r="AO3642" s="87"/>
      <c r="AP3642" s="87"/>
      <c r="AQ3642" s="87"/>
      <c r="AR3642" s="87"/>
      <c r="AS3642" s="87"/>
      <c r="AT3642" s="87"/>
      <c r="AU3642" s="87"/>
      <c r="AV3642" s="92" t="str">
        <f>HYPERLINK("https://pbs.twimg.com/profile_images/1678861109263048707/aWzd1JD-_normal.jpg")</f>
        <v>https://pbs.twimg.com/profile_images/1678861109263048707/aWzd1JD-_normal.jpg</v>
      </c>
      <c r="AW3642" s="93" t="s">
        <v>21765</v>
      </c>
      <c r="AX3642" s="93" t="s">
        <v>21765</v>
      </c>
      <c r="AY3642" s="87"/>
      <c r="AZ3642" s="93" t="s">
        <v>22668</v>
      </c>
      <c r="BA3642" s="93" t="s">
        <v>22668</v>
      </c>
      <c r="BB3642" s="93" t="s">
        <v>22668</v>
      </c>
      <c r="BC3642" s="93" t="s">
        <v>21765</v>
      </c>
      <c r="BD3642" s="93" t="s">
        <v>23476</v>
      </c>
      <c r="BE3642" s="87"/>
      <c r="BF3642" s="87"/>
      <c r="BG3642" s="87"/>
      <c r="BH3642" s="87"/>
      <c r="BI3642" s="87"/>
    </row>
    <row r="3643" spans="1:61" x14ac:dyDescent="0.25">
      <c r="A3643" s="63" t="s">
        <v>1395</v>
      </c>
      <c r="B3643" s="63" t="s">
        <v>1395</v>
      </c>
      <c r="C3643" s="64"/>
      <c r="D3643" s="65"/>
      <c r="E3643" s="66"/>
      <c r="F3643" s="67"/>
      <c r="G3643" s="64"/>
      <c r="H3643" s="68"/>
      <c r="I3643" s="69"/>
      <c r="J3643" s="69"/>
      <c r="K3643" s="32"/>
      <c r="L3643" s="76">
        <v>3643</v>
      </c>
      <c r="M3643" s="76"/>
      <c r="N3643" s="71"/>
      <c r="O3643" s="87" t="s">
        <v>179</v>
      </c>
      <c r="P3643" s="90">
        <v>45165.643750000003</v>
      </c>
      <c r="Q3643" s="87" t="s">
        <v>5312</v>
      </c>
      <c r="R3643" s="87">
        <v>0</v>
      </c>
      <c r="S3643" s="87">
        <v>0</v>
      </c>
      <c r="T3643" s="87">
        <v>0</v>
      </c>
      <c r="U3643" s="87">
        <v>0</v>
      </c>
      <c r="V3643" s="87">
        <v>25</v>
      </c>
      <c r="W3643" s="93" t="s">
        <v>7981</v>
      </c>
      <c r="X3643" s="92" t="str">
        <f>HYPERLINK("https://marketingnew.com.br/curso-instagram-para-iniciantes/")</f>
        <v>https://marketingnew.com.br/curso-instagram-para-iniciantes/</v>
      </c>
      <c r="Y3643" s="87" t="s">
        <v>8373</v>
      </c>
      <c r="Z3643" s="87"/>
      <c r="AA3643" s="87"/>
      <c r="AB3643" s="87"/>
      <c r="AC3643" s="93" t="s">
        <v>11457</v>
      </c>
      <c r="AD3643" s="87" t="s">
        <v>11520</v>
      </c>
      <c r="AE3643" s="92" t="str">
        <f>HYPERLINK("https://twitter.com/viniciu80206889/status/1695820212959133966")</f>
        <v>https://twitter.com/viniciu80206889/status/1695820212959133966</v>
      </c>
      <c r="AF3643" s="90">
        <v>45165.643750000003</v>
      </c>
      <c r="AG3643" s="99">
        <v>45165</v>
      </c>
      <c r="AH3643" s="93" t="s">
        <v>14759</v>
      </c>
      <c r="AI3643" s="87" t="b">
        <v>0</v>
      </c>
      <c r="AJ3643" s="87"/>
      <c r="AK3643" s="87"/>
      <c r="AL3643" s="87"/>
      <c r="AM3643" s="87"/>
      <c r="AN3643" s="87"/>
      <c r="AO3643" s="87"/>
      <c r="AP3643" s="87"/>
      <c r="AQ3643" s="87"/>
      <c r="AR3643" s="87"/>
      <c r="AS3643" s="87"/>
      <c r="AT3643" s="87"/>
      <c r="AU3643" s="87"/>
      <c r="AV3643" s="92" t="str">
        <f>HYPERLINK("https://pbs.twimg.com/profile_images/1678861109263048707/aWzd1JD-_normal.jpg")</f>
        <v>https://pbs.twimg.com/profile_images/1678861109263048707/aWzd1JD-_normal.jpg</v>
      </c>
      <c r="AW3643" s="93" t="s">
        <v>21766</v>
      </c>
      <c r="AX3643" s="93" t="s">
        <v>21766</v>
      </c>
      <c r="AY3643" s="87"/>
      <c r="AZ3643" s="93" t="s">
        <v>22668</v>
      </c>
      <c r="BA3643" s="93" t="s">
        <v>22668</v>
      </c>
      <c r="BB3643" s="93" t="s">
        <v>22668</v>
      </c>
      <c r="BC3643" s="93" t="s">
        <v>21766</v>
      </c>
      <c r="BD3643" s="93" t="s">
        <v>23476</v>
      </c>
      <c r="BE3643" s="87"/>
      <c r="BF3643" s="87"/>
      <c r="BG3643" s="87"/>
      <c r="BH3643" s="87"/>
      <c r="BI3643" s="87"/>
    </row>
    <row r="3644" spans="1:61" x14ac:dyDescent="0.25">
      <c r="A3644" s="63" t="s">
        <v>1395</v>
      </c>
      <c r="B3644" s="63" t="s">
        <v>1395</v>
      </c>
      <c r="C3644" s="64"/>
      <c r="D3644" s="65"/>
      <c r="E3644" s="66"/>
      <c r="F3644" s="67"/>
      <c r="G3644" s="64"/>
      <c r="H3644" s="68"/>
      <c r="I3644" s="69"/>
      <c r="J3644" s="69"/>
      <c r="K3644" s="32"/>
      <c r="L3644" s="76">
        <v>3644</v>
      </c>
      <c r="M3644" s="76"/>
      <c r="N3644" s="71"/>
      <c r="O3644" s="87" t="s">
        <v>179</v>
      </c>
      <c r="P3644" s="90">
        <v>45164.706250000003</v>
      </c>
      <c r="Q3644" s="87" t="s">
        <v>5313</v>
      </c>
      <c r="R3644" s="87">
        <v>0</v>
      </c>
      <c r="S3644" s="87">
        <v>0</v>
      </c>
      <c r="T3644" s="87">
        <v>0</v>
      </c>
      <c r="U3644" s="87">
        <v>0</v>
      </c>
      <c r="V3644" s="87">
        <v>48</v>
      </c>
      <c r="W3644" s="93" t="s">
        <v>6797</v>
      </c>
      <c r="X3644" s="92" t="str">
        <f>HYPERLINK("https://marketingnew.com.br/curso-de-microagulhamento/")</f>
        <v>https://marketingnew.com.br/curso-de-microagulhamento/</v>
      </c>
      <c r="Y3644" s="87" t="s">
        <v>8373</v>
      </c>
      <c r="Z3644" s="87"/>
      <c r="AA3644" s="87"/>
      <c r="AB3644" s="87"/>
      <c r="AC3644" s="93" t="s">
        <v>11457</v>
      </c>
      <c r="AD3644" s="87" t="s">
        <v>11520</v>
      </c>
      <c r="AE3644" s="92" t="str">
        <f>HYPERLINK("https://twitter.com/viniciu80206889/status/1695480474095730964")</f>
        <v>https://twitter.com/viniciu80206889/status/1695480474095730964</v>
      </c>
      <c r="AF3644" s="90">
        <v>45164.706250000003</v>
      </c>
      <c r="AG3644" s="99">
        <v>45164</v>
      </c>
      <c r="AH3644" s="93" t="s">
        <v>14760</v>
      </c>
      <c r="AI3644" s="87" t="b">
        <v>0</v>
      </c>
      <c r="AJ3644" s="87"/>
      <c r="AK3644" s="87"/>
      <c r="AL3644" s="87"/>
      <c r="AM3644" s="87"/>
      <c r="AN3644" s="87"/>
      <c r="AO3644" s="87"/>
      <c r="AP3644" s="87"/>
      <c r="AQ3644" s="87"/>
      <c r="AR3644" s="87"/>
      <c r="AS3644" s="87"/>
      <c r="AT3644" s="87"/>
      <c r="AU3644" s="87"/>
      <c r="AV3644" s="92" t="str">
        <f>HYPERLINK("https://pbs.twimg.com/profile_images/1678861109263048707/aWzd1JD-_normal.jpg")</f>
        <v>https://pbs.twimg.com/profile_images/1678861109263048707/aWzd1JD-_normal.jpg</v>
      </c>
      <c r="AW3644" s="93" t="s">
        <v>21767</v>
      </c>
      <c r="AX3644" s="93" t="s">
        <v>21767</v>
      </c>
      <c r="AY3644" s="87"/>
      <c r="AZ3644" s="93" t="s">
        <v>22668</v>
      </c>
      <c r="BA3644" s="93" t="s">
        <v>22668</v>
      </c>
      <c r="BB3644" s="93" t="s">
        <v>22668</v>
      </c>
      <c r="BC3644" s="93" t="s">
        <v>21767</v>
      </c>
      <c r="BD3644" s="93" t="s">
        <v>23476</v>
      </c>
      <c r="BE3644" s="87"/>
      <c r="BF3644" s="87"/>
      <c r="BG3644" s="87"/>
      <c r="BH3644" s="87"/>
      <c r="BI3644" s="87"/>
    </row>
    <row r="3645" spans="1:61" x14ac:dyDescent="0.25">
      <c r="A3645" s="63" t="s">
        <v>1395</v>
      </c>
      <c r="B3645" s="63" t="s">
        <v>1395</v>
      </c>
      <c r="C3645" s="64"/>
      <c r="D3645" s="65"/>
      <c r="E3645" s="66"/>
      <c r="F3645" s="67"/>
      <c r="G3645" s="64"/>
      <c r="H3645" s="68"/>
      <c r="I3645" s="69"/>
      <c r="J3645" s="69"/>
      <c r="K3645" s="32"/>
      <c r="L3645" s="76">
        <v>3645</v>
      </c>
      <c r="M3645" s="76"/>
      <c r="N3645" s="71"/>
      <c r="O3645" s="87" t="s">
        <v>179</v>
      </c>
      <c r="P3645" s="90">
        <v>45164.642361111109</v>
      </c>
      <c r="Q3645" s="87" t="s">
        <v>5314</v>
      </c>
      <c r="R3645" s="87">
        <v>0</v>
      </c>
      <c r="S3645" s="87">
        <v>0</v>
      </c>
      <c r="T3645" s="87">
        <v>0</v>
      </c>
      <c r="U3645" s="87">
        <v>0</v>
      </c>
      <c r="V3645" s="87">
        <v>29</v>
      </c>
      <c r="W3645" s="93" t="s">
        <v>6798</v>
      </c>
      <c r="X3645" s="92" t="str">
        <f>HYPERLINK("https://marketingnew.com.br/curso-de-bronzeamento-natural")</f>
        <v>https://marketingnew.com.br/curso-de-bronzeamento-natural</v>
      </c>
      <c r="Y3645" s="87" t="s">
        <v>8373</v>
      </c>
      <c r="Z3645" s="87"/>
      <c r="AA3645" s="87"/>
      <c r="AB3645" s="87"/>
      <c r="AC3645" s="93" t="s">
        <v>11457</v>
      </c>
      <c r="AD3645" s="87" t="s">
        <v>11520</v>
      </c>
      <c r="AE3645" s="92" t="str">
        <f>HYPERLINK("https://twitter.com/viniciu80206889/status/1695457321860866053")</f>
        <v>https://twitter.com/viniciu80206889/status/1695457321860866053</v>
      </c>
      <c r="AF3645" s="90">
        <v>45164.642361111109</v>
      </c>
      <c r="AG3645" s="99">
        <v>45164</v>
      </c>
      <c r="AH3645" s="93" t="s">
        <v>12809</v>
      </c>
      <c r="AI3645" s="87" t="b">
        <v>0</v>
      </c>
      <c r="AJ3645" s="87"/>
      <c r="AK3645" s="87"/>
      <c r="AL3645" s="87"/>
      <c r="AM3645" s="87"/>
      <c r="AN3645" s="87"/>
      <c r="AO3645" s="87"/>
      <c r="AP3645" s="87"/>
      <c r="AQ3645" s="87"/>
      <c r="AR3645" s="87"/>
      <c r="AS3645" s="87"/>
      <c r="AT3645" s="87"/>
      <c r="AU3645" s="87"/>
      <c r="AV3645" s="92" t="str">
        <f>HYPERLINK("https://pbs.twimg.com/profile_images/1678861109263048707/aWzd1JD-_normal.jpg")</f>
        <v>https://pbs.twimg.com/profile_images/1678861109263048707/aWzd1JD-_normal.jpg</v>
      </c>
      <c r="AW3645" s="93" t="s">
        <v>21768</v>
      </c>
      <c r="AX3645" s="93" t="s">
        <v>21768</v>
      </c>
      <c r="AY3645" s="87"/>
      <c r="AZ3645" s="93" t="s">
        <v>22668</v>
      </c>
      <c r="BA3645" s="93" t="s">
        <v>22668</v>
      </c>
      <c r="BB3645" s="93" t="s">
        <v>22668</v>
      </c>
      <c r="BC3645" s="93" t="s">
        <v>21768</v>
      </c>
      <c r="BD3645" s="93" t="s">
        <v>23476</v>
      </c>
      <c r="BE3645" s="87"/>
      <c r="BF3645" s="87"/>
      <c r="BG3645" s="87"/>
      <c r="BH3645" s="87"/>
      <c r="BI3645" s="87"/>
    </row>
    <row r="3646" spans="1:61" x14ac:dyDescent="0.25">
      <c r="A3646" s="63" t="s">
        <v>1395</v>
      </c>
      <c r="B3646" s="63" t="s">
        <v>1395</v>
      </c>
      <c r="C3646" s="64"/>
      <c r="D3646" s="65"/>
      <c r="E3646" s="66"/>
      <c r="F3646" s="67"/>
      <c r="G3646" s="64"/>
      <c r="H3646" s="68"/>
      <c r="I3646" s="69"/>
      <c r="J3646" s="69"/>
      <c r="K3646" s="32"/>
      <c r="L3646" s="76">
        <v>3646</v>
      </c>
      <c r="M3646" s="76"/>
      <c r="N3646" s="71"/>
      <c r="O3646" s="87" t="s">
        <v>179</v>
      </c>
      <c r="P3646" s="90">
        <v>45163.705555555556</v>
      </c>
      <c r="Q3646" s="87" t="s">
        <v>5315</v>
      </c>
      <c r="R3646" s="87">
        <v>0</v>
      </c>
      <c r="S3646" s="87">
        <v>0</v>
      </c>
      <c r="T3646" s="87">
        <v>0</v>
      </c>
      <c r="U3646" s="87">
        <v>0</v>
      </c>
      <c r="V3646" s="87">
        <v>49</v>
      </c>
      <c r="W3646" s="93" t="s">
        <v>6797</v>
      </c>
      <c r="X3646" s="92" t="str">
        <f>HYPERLINK("https://marketingnew.com.br/curso-de-mandala/")</f>
        <v>https://marketingnew.com.br/curso-de-mandala/</v>
      </c>
      <c r="Y3646" s="87" t="s">
        <v>8373</v>
      </c>
      <c r="Z3646" s="87"/>
      <c r="AA3646" s="87"/>
      <c r="AB3646" s="87"/>
      <c r="AC3646" s="93" t="s">
        <v>11457</v>
      </c>
      <c r="AD3646" s="87" t="s">
        <v>11520</v>
      </c>
      <c r="AE3646" s="92" t="str">
        <f>HYPERLINK("https://twitter.com/viniciu80206889/status/1695117834685477289")</f>
        <v>https://twitter.com/viniciu80206889/status/1695117834685477289</v>
      </c>
      <c r="AF3646" s="90">
        <v>45163.705555555556</v>
      </c>
      <c r="AG3646" s="99">
        <v>45163</v>
      </c>
      <c r="AH3646" s="93" t="s">
        <v>14761</v>
      </c>
      <c r="AI3646" s="87" t="b">
        <v>0</v>
      </c>
      <c r="AJ3646" s="87"/>
      <c r="AK3646" s="87"/>
      <c r="AL3646" s="87"/>
      <c r="AM3646" s="87"/>
      <c r="AN3646" s="87"/>
      <c r="AO3646" s="87"/>
      <c r="AP3646" s="87"/>
      <c r="AQ3646" s="87"/>
      <c r="AR3646" s="87"/>
      <c r="AS3646" s="87"/>
      <c r="AT3646" s="87"/>
      <c r="AU3646" s="87"/>
      <c r="AV3646" s="92" t="str">
        <f>HYPERLINK("https://pbs.twimg.com/profile_images/1678861109263048707/aWzd1JD-_normal.jpg")</f>
        <v>https://pbs.twimg.com/profile_images/1678861109263048707/aWzd1JD-_normal.jpg</v>
      </c>
      <c r="AW3646" s="93" t="s">
        <v>21769</v>
      </c>
      <c r="AX3646" s="93" t="s">
        <v>21769</v>
      </c>
      <c r="AY3646" s="87"/>
      <c r="AZ3646" s="93" t="s">
        <v>22668</v>
      </c>
      <c r="BA3646" s="93" t="s">
        <v>22668</v>
      </c>
      <c r="BB3646" s="93" t="s">
        <v>22668</v>
      </c>
      <c r="BC3646" s="93" t="s">
        <v>21769</v>
      </c>
      <c r="BD3646" s="93" t="s">
        <v>23476</v>
      </c>
      <c r="BE3646" s="87"/>
      <c r="BF3646" s="87"/>
      <c r="BG3646" s="87"/>
      <c r="BH3646" s="87"/>
      <c r="BI3646" s="87"/>
    </row>
    <row r="3647" spans="1:61" x14ac:dyDescent="0.25">
      <c r="A3647" s="63" t="s">
        <v>1395</v>
      </c>
      <c r="B3647" s="63" t="s">
        <v>1395</v>
      </c>
      <c r="C3647" s="64"/>
      <c r="D3647" s="65"/>
      <c r="E3647" s="66"/>
      <c r="F3647" s="67"/>
      <c r="G3647" s="64"/>
      <c r="H3647" s="68"/>
      <c r="I3647" s="69"/>
      <c r="J3647" s="69"/>
      <c r="K3647" s="32"/>
      <c r="L3647" s="76">
        <v>3647</v>
      </c>
      <c r="M3647" s="76"/>
      <c r="N3647" s="71"/>
      <c r="O3647" s="87" t="s">
        <v>179</v>
      </c>
      <c r="P3647" s="90">
        <v>45151.689583333333</v>
      </c>
      <c r="Q3647" s="87" t="s">
        <v>5316</v>
      </c>
      <c r="R3647" s="87">
        <v>0</v>
      </c>
      <c r="S3647" s="87">
        <v>1</v>
      </c>
      <c r="T3647" s="87">
        <v>0</v>
      </c>
      <c r="U3647" s="87">
        <v>0</v>
      </c>
      <c r="V3647" s="87">
        <v>55</v>
      </c>
      <c r="W3647" s="93" t="s">
        <v>6797</v>
      </c>
      <c r="X3647" s="92" t="str">
        <f>HYPERLINK("https://marketingnew.com.br/curso-de-bronzeamento-natural/")</f>
        <v>https://marketingnew.com.br/curso-de-bronzeamento-natural/</v>
      </c>
      <c r="Y3647" s="87" t="s">
        <v>8373</v>
      </c>
      <c r="Z3647" s="87"/>
      <c r="AA3647" s="87"/>
      <c r="AB3647" s="87"/>
      <c r="AC3647" s="93" t="s">
        <v>11457</v>
      </c>
      <c r="AD3647" s="87" t="s">
        <v>11520</v>
      </c>
      <c r="AE3647" s="92" t="str">
        <f>HYPERLINK("https://twitter.com/viniciu80206889/status/1690763392133558272")</f>
        <v>https://twitter.com/viniciu80206889/status/1690763392133558272</v>
      </c>
      <c r="AF3647" s="90">
        <v>45151.689583333333</v>
      </c>
      <c r="AG3647" s="99">
        <v>45151</v>
      </c>
      <c r="AH3647" s="93" t="s">
        <v>14762</v>
      </c>
      <c r="AI3647" s="87" t="b">
        <v>0</v>
      </c>
      <c r="AJ3647" s="87"/>
      <c r="AK3647" s="87"/>
      <c r="AL3647" s="87"/>
      <c r="AM3647" s="87"/>
      <c r="AN3647" s="87"/>
      <c r="AO3647" s="87"/>
      <c r="AP3647" s="87"/>
      <c r="AQ3647" s="87"/>
      <c r="AR3647" s="87"/>
      <c r="AS3647" s="87"/>
      <c r="AT3647" s="87"/>
      <c r="AU3647" s="87"/>
      <c r="AV3647" s="92" t="str">
        <f>HYPERLINK("https://pbs.twimg.com/profile_images/1678861109263048707/aWzd1JD-_normal.jpg")</f>
        <v>https://pbs.twimg.com/profile_images/1678861109263048707/aWzd1JD-_normal.jpg</v>
      </c>
      <c r="AW3647" s="93" t="s">
        <v>21770</v>
      </c>
      <c r="AX3647" s="93" t="s">
        <v>21770</v>
      </c>
      <c r="AY3647" s="87"/>
      <c r="AZ3647" s="93" t="s">
        <v>22668</v>
      </c>
      <c r="BA3647" s="93" t="s">
        <v>22668</v>
      </c>
      <c r="BB3647" s="93" t="s">
        <v>22668</v>
      </c>
      <c r="BC3647" s="93" t="s">
        <v>21770</v>
      </c>
      <c r="BD3647" s="93" t="s">
        <v>23476</v>
      </c>
      <c r="BE3647" s="87"/>
      <c r="BF3647" s="87"/>
      <c r="BG3647" s="87"/>
      <c r="BH3647" s="87"/>
      <c r="BI3647" s="87"/>
    </row>
    <row r="3648" spans="1:61" x14ac:dyDescent="0.25">
      <c r="A3648" s="63" t="s">
        <v>1395</v>
      </c>
      <c r="B3648" s="63" t="s">
        <v>1395</v>
      </c>
      <c r="C3648" s="64"/>
      <c r="D3648" s="65"/>
      <c r="E3648" s="66"/>
      <c r="F3648" s="67"/>
      <c r="G3648" s="64"/>
      <c r="H3648" s="68"/>
      <c r="I3648" s="69"/>
      <c r="J3648" s="69"/>
      <c r="K3648" s="32"/>
      <c r="L3648" s="76">
        <v>3648</v>
      </c>
      <c r="M3648" s="76"/>
      <c r="N3648" s="71"/>
      <c r="O3648" s="87" t="s">
        <v>179</v>
      </c>
      <c r="P3648" s="90">
        <v>45150.688888888886</v>
      </c>
      <c r="Q3648" s="87" t="s">
        <v>5317</v>
      </c>
      <c r="R3648" s="87">
        <v>0</v>
      </c>
      <c r="S3648" s="87">
        <v>1</v>
      </c>
      <c r="T3648" s="87">
        <v>0</v>
      </c>
      <c r="U3648" s="87">
        <v>0</v>
      </c>
      <c r="V3648" s="87">
        <v>61</v>
      </c>
      <c r="W3648" s="93" t="s">
        <v>6797</v>
      </c>
      <c r="X3648" s="92" t="str">
        <f>HYPERLINK("https://marketingnew.com.br/curso-mago-cervejeiro/")</f>
        <v>https://marketingnew.com.br/curso-mago-cervejeiro/</v>
      </c>
      <c r="Y3648" s="87" t="s">
        <v>8373</v>
      </c>
      <c r="Z3648" s="87"/>
      <c r="AA3648" s="87"/>
      <c r="AB3648" s="87"/>
      <c r="AC3648" s="93" t="s">
        <v>11457</v>
      </c>
      <c r="AD3648" s="87" t="s">
        <v>11520</v>
      </c>
      <c r="AE3648" s="92" t="str">
        <f>HYPERLINK("https://twitter.com/viniciu80206889/status/1690400752727105536")</f>
        <v>https://twitter.com/viniciu80206889/status/1690400752727105536</v>
      </c>
      <c r="AF3648" s="90">
        <v>45150.688888888886</v>
      </c>
      <c r="AG3648" s="99">
        <v>45150</v>
      </c>
      <c r="AH3648" s="93" t="s">
        <v>14763</v>
      </c>
      <c r="AI3648" s="87" t="b">
        <v>0</v>
      </c>
      <c r="AJ3648" s="87"/>
      <c r="AK3648" s="87"/>
      <c r="AL3648" s="87"/>
      <c r="AM3648" s="87"/>
      <c r="AN3648" s="87"/>
      <c r="AO3648" s="87"/>
      <c r="AP3648" s="87"/>
      <c r="AQ3648" s="87"/>
      <c r="AR3648" s="87"/>
      <c r="AS3648" s="87"/>
      <c r="AT3648" s="87"/>
      <c r="AU3648" s="87"/>
      <c r="AV3648" s="92" t="str">
        <f>HYPERLINK("https://pbs.twimg.com/profile_images/1678861109263048707/aWzd1JD-_normal.jpg")</f>
        <v>https://pbs.twimg.com/profile_images/1678861109263048707/aWzd1JD-_normal.jpg</v>
      </c>
      <c r="AW3648" s="93" t="s">
        <v>21771</v>
      </c>
      <c r="AX3648" s="93" t="s">
        <v>21771</v>
      </c>
      <c r="AY3648" s="87"/>
      <c r="AZ3648" s="93" t="s">
        <v>22668</v>
      </c>
      <c r="BA3648" s="93" t="s">
        <v>22668</v>
      </c>
      <c r="BB3648" s="93" t="s">
        <v>22668</v>
      </c>
      <c r="BC3648" s="93" t="s">
        <v>21771</v>
      </c>
      <c r="BD3648" s="93" t="s">
        <v>23476</v>
      </c>
      <c r="BE3648" s="87"/>
      <c r="BF3648" s="87"/>
      <c r="BG3648" s="87"/>
      <c r="BH3648" s="87"/>
      <c r="BI3648" s="87"/>
    </row>
    <row r="3649" spans="1:61" x14ac:dyDescent="0.25">
      <c r="A3649" s="63" t="s">
        <v>1395</v>
      </c>
      <c r="B3649" s="63" t="s">
        <v>1395</v>
      </c>
      <c r="C3649" s="64"/>
      <c r="D3649" s="65"/>
      <c r="E3649" s="66"/>
      <c r="F3649" s="67"/>
      <c r="G3649" s="64"/>
      <c r="H3649" s="68"/>
      <c r="I3649" s="69"/>
      <c r="J3649" s="69"/>
      <c r="K3649" s="32"/>
      <c r="L3649" s="76">
        <v>3649</v>
      </c>
      <c r="M3649" s="76"/>
      <c r="N3649" s="71"/>
      <c r="O3649" s="87" t="s">
        <v>179</v>
      </c>
      <c r="P3649" s="90">
        <v>45170.710416666669</v>
      </c>
      <c r="Q3649" s="87" t="s">
        <v>5318</v>
      </c>
      <c r="R3649" s="87">
        <v>0</v>
      </c>
      <c r="S3649" s="87">
        <v>0</v>
      </c>
      <c r="T3649" s="87">
        <v>0</v>
      </c>
      <c r="U3649" s="87">
        <v>0</v>
      </c>
      <c r="V3649" s="87">
        <v>27</v>
      </c>
      <c r="W3649" s="93" t="s">
        <v>6797</v>
      </c>
      <c r="X3649" s="92" t="str">
        <f>HYPERLINK("https://marketingnew.com.br/curso-banho-de-lua/")</f>
        <v>https://marketingnew.com.br/curso-banho-de-lua/</v>
      </c>
      <c r="Y3649" s="87" t="s">
        <v>8373</v>
      </c>
      <c r="Z3649" s="87"/>
      <c r="AA3649" s="87"/>
      <c r="AB3649" s="87"/>
      <c r="AC3649" s="93" t="s">
        <v>11457</v>
      </c>
      <c r="AD3649" s="87" t="s">
        <v>11520</v>
      </c>
      <c r="AE3649" s="92" t="str">
        <f>HYPERLINK("https://twitter.com/viniciu80206889/status/1697656311679525267")</f>
        <v>https://twitter.com/viniciu80206889/status/1697656311679525267</v>
      </c>
      <c r="AF3649" s="90">
        <v>45170.710416666669</v>
      </c>
      <c r="AG3649" s="99">
        <v>45170</v>
      </c>
      <c r="AH3649" s="93" t="s">
        <v>14764</v>
      </c>
      <c r="AI3649" s="87" t="b">
        <v>0</v>
      </c>
      <c r="AJ3649" s="87"/>
      <c r="AK3649" s="87"/>
      <c r="AL3649" s="87"/>
      <c r="AM3649" s="87"/>
      <c r="AN3649" s="87"/>
      <c r="AO3649" s="87"/>
      <c r="AP3649" s="87"/>
      <c r="AQ3649" s="87"/>
      <c r="AR3649" s="87"/>
      <c r="AS3649" s="87"/>
      <c r="AT3649" s="87"/>
      <c r="AU3649" s="87"/>
      <c r="AV3649" s="92" t="str">
        <f>HYPERLINK("https://pbs.twimg.com/profile_images/1678861109263048707/aWzd1JD-_normal.jpg")</f>
        <v>https://pbs.twimg.com/profile_images/1678861109263048707/aWzd1JD-_normal.jpg</v>
      </c>
      <c r="AW3649" s="93" t="s">
        <v>21772</v>
      </c>
      <c r="AX3649" s="93" t="s">
        <v>21772</v>
      </c>
      <c r="AY3649" s="87"/>
      <c r="AZ3649" s="93" t="s">
        <v>22668</v>
      </c>
      <c r="BA3649" s="93" t="s">
        <v>22668</v>
      </c>
      <c r="BB3649" s="93" t="s">
        <v>22668</v>
      </c>
      <c r="BC3649" s="93" t="s">
        <v>21772</v>
      </c>
      <c r="BD3649" s="93" t="s">
        <v>23476</v>
      </c>
      <c r="BE3649" s="87"/>
      <c r="BF3649" s="87"/>
      <c r="BG3649" s="87"/>
      <c r="BH3649" s="87"/>
      <c r="BI3649" s="87"/>
    </row>
    <row r="3650" spans="1:61" x14ac:dyDescent="0.25">
      <c r="A3650" s="63" t="s">
        <v>1395</v>
      </c>
      <c r="B3650" s="63" t="s">
        <v>1395</v>
      </c>
      <c r="C3650" s="64"/>
      <c r="D3650" s="65"/>
      <c r="E3650" s="66"/>
      <c r="F3650" s="67"/>
      <c r="G3650" s="64"/>
      <c r="H3650" s="68"/>
      <c r="I3650" s="69"/>
      <c r="J3650" s="69"/>
      <c r="K3650" s="32"/>
      <c r="L3650" s="76">
        <v>3650</v>
      </c>
      <c r="M3650" s="76"/>
      <c r="N3650" s="71"/>
      <c r="O3650" s="87" t="s">
        <v>179</v>
      </c>
      <c r="P3650" s="90">
        <v>45165.706944444442</v>
      </c>
      <c r="Q3650" s="87" t="s">
        <v>5319</v>
      </c>
      <c r="R3650" s="87">
        <v>0</v>
      </c>
      <c r="S3650" s="87">
        <v>1</v>
      </c>
      <c r="T3650" s="87">
        <v>0</v>
      </c>
      <c r="U3650" s="87">
        <v>0</v>
      </c>
      <c r="V3650" s="87">
        <v>35</v>
      </c>
      <c r="W3650" s="93" t="s">
        <v>6797</v>
      </c>
      <c r="X3650" s="92" t="str">
        <f>HYPERLINK("https://marketingnew.com.br/curso-barbeiro-online/")</f>
        <v>https://marketingnew.com.br/curso-barbeiro-online/</v>
      </c>
      <c r="Y3650" s="87" t="s">
        <v>8373</v>
      </c>
      <c r="Z3650" s="87"/>
      <c r="AA3650" s="87"/>
      <c r="AB3650" s="87"/>
      <c r="AC3650" s="93" t="s">
        <v>11457</v>
      </c>
      <c r="AD3650" s="87" t="s">
        <v>11520</v>
      </c>
      <c r="AE3650" s="92" t="str">
        <f>HYPERLINK("https://twitter.com/viniciu80206889/status/1695843113737011398")</f>
        <v>https://twitter.com/viniciu80206889/status/1695843113737011398</v>
      </c>
      <c r="AF3650" s="90">
        <v>45165.706944444442</v>
      </c>
      <c r="AG3650" s="99">
        <v>45165</v>
      </c>
      <c r="AH3650" s="93" t="s">
        <v>14765</v>
      </c>
      <c r="AI3650" s="87" t="b">
        <v>0</v>
      </c>
      <c r="AJ3650" s="87"/>
      <c r="AK3650" s="87"/>
      <c r="AL3650" s="87"/>
      <c r="AM3650" s="87"/>
      <c r="AN3650" s="87"/>
      <c r="AO3650" s="87"/>
      <c r="AP3650" s="87"/>
      <c r="AQ3650" s="87"/>
      <c r="AR3650" s="87"/>
      <c r="AS3650" s="87"/>
      <c r="AT3650" s="87"/>
      <c r="AU3650" s="87"/>
      <c r="AV3650" s="92" t="str">
        <f>HYPERLINK("https://pbs.twimg.com/profile_images/1678861109263048707/aWzd1JD-_normal.jpg")</f>
        <v>https://pbs.twimg.com/profile_images/1678861109263048707/aWzd1JD-_normal.jpg</v>
      </c>
      <c r="AW3650" s="93" t="s">
        <v>21773</v>
      </c>
      <c r="AX3650" s="93" t="s">
        <v>21773</v>
      </c>
      <c r="AY3650" s="87"/>
      <c r="AZ3650" s="93" t="s">
        <v>22668</v>
      </c>
      <c r="BA3650" s="93" t="s">
        <v>22668</v>
      </c>
      <c r="BB3650" s="93" t="s">
        <v>22668</v>
      </c>
      <c r="BC3650" s="93" t="s">
        <v>21773</v>
      </c>
      <c r="BD3650" s="93" t="s">
        <v>23476</v>
      </c>
      <c r="BE3650" s="87"/>
      <c r="BF3650" s="87"/>
      <c r="BG3650" s="87"/>
      <c r="BH3650" s="87"/>
      <c r="BI3650" s="87"/>
    </row>
    <row r="3651" spans="1:61" x14ac:dyDescent="0.25">
      <c r="A3651" s="63" t="s">
        <v>1395</v>
      </c>
      <c r="B3651" s="63" t="s">
        <v>1395</v>
      </c>
      <c r="C3651" s="64"/>
      <c r="D3651" s="65"/>
      <c r="E3651" s="66"/>
      <c r="F3651" s="67"/>
      <c r="G3651" s="64"/>
      <c r="H3651" s="68"/>
      <c r="I3651" s="69"/>
      <c r="J3651" s="69"/>
      <c r="K3651" s="32"/>
      <c r="L3651" s="76">
        <v>3651</v>
      </c>
      <c r="M3651" s="76"/>
      <c r="N3651" s="71"/>
      <c r="O3651" s="87" t="s">
        <v>179</v>
      </c>
      <c r="P3651" s="90">
        <v>45161.70416666667</v>
      </c>
      <c r="Q3651" s="87" t="s">
        <v>5320</v>
      </c>
      <c r="R3651" s="87">
        <v>0</v>
      </c>
      <c r="S3651" s="87">
        <v>0</v>
      </c>
      <c r="T3651" s="87">
        <v>0</v>
      </c>
      <c r="U3651" s="87">
        <v>0</v>
      </c>
      <c r="V3651" s="87">
        <v>47</v>
      </c>
      <c r="W3651" s="93" t="s">
        <v>6797</v>
      </c>
      <c r="X3651" s="92" t="str">
        <f>HYPERLINK("https://marketingnew.com.br/curso-conserto-de-iphone/")</f>
        <v>https://marketingnew.com.br/curso-conserto-de-iphone/</v>
      </c>
      <c r="Y3651" s="87" t="s">
        <v>8373</v>
      </c>
      <c r="Z3651" s="87"/>
      <c r="AA3651" s="87"/>
      <c r="AB3651" s="87"/>
      <c r="AC3651" s="93" t="s">
        <v>11457</v>
      </c>
      <c r="AD3651" s="87" t="s">
        <v>11520</v>
      </c>
      <c r="AE3651" s="92" t="str">
        <f>HYPERLINK("https://twitter.com/viniciu80206889/status/1694392555637469482")</f>
        <v>https://twitter.com/viniciu80206889/status/1694392555637469482</v>
      </c>
      <c r="AF3651" s="90">
        <v>45161.70416666667</v>
      </c>
      <c r="AG3651" s="99">
        <v>45161</v>
      </c>
      <c r="AH3651" s="93" t="s">
        <v>14766</v>
      </c>
      <c r="AI3651" s="87" t="b">
        <v>0</v>
      </c>
      <c r="AJ3651" s="87"/>
      <c r="AK3651" s="87"/>
      <c r="AL3651" s="87"/>
      <c r="AM3651" s="87"/>
      <c r="AN3651" s="87"/>
      <c r="AO3651" s="87"/>
      <c r="AP3651" s="87"/>
      <c r="AQ3651" s="87"/>
      <c r="AR3651" s="87"/>
      <c r="AS3651" s="87"/>
      <c r="AT3651" s="87"/>
      <c r="AU3651" s="87"/>
      <c r="AV3651" s="92" t="str">
        <f>HYPERLINK("https://pbs.twimg.com/profile_images/1678861109263048707/aWzd1JD-_normal.jpg")</f>
        <v>https://pbs.twimg.com/profile_images/1678861109263048707/aWzd1JD-_normal.jpg</v>
      </c>
      <c r="AW3651" s="93" t="s">
        <v>21774</v>
      </c>
      <c r="AX3651" s="93" t="s">
        <v>21774</v>
      </c>
      <c r="AY3651" s="87"/>
      <c r="AZ3651" s="93" t="s">
        <v>22668</v>
      </c>
      <c r="BA3651" s="93" t="s">
        <v>22668</v>
      </c>
      <c r="BB3651" s="93" t="s">
        <v>22668</v>
      </c>
      <c r="BC3651" s="93" t="s">
        <v>21774</v>
      </c>
      <c r="BD3651" s="93" t="s">
        <v>23476</v>
      </c>
      <c r="BE3651" s="87"/>
      <c r="BF3651" s="87"/>
      <c r="BG3651" s="87"/>
      <c r="BH3651" s="87"/>
      <c r="BI3651" s="87"/>
    </row>
    <row r="3652" spans="1:61" x14ac:dyDescent="0.25">
      <c r="A3652" s="63" t="s">
        <v>1395</v>
      </c>
      <c r="B3652" s="63" t="s">
        <v>1395</v>
      </c>
      <c r="C3652" s="64"/>
      <c r="D3652" s="65"/>
      <c r="E3652" s="66"/>
      <c r="F3652" s="67"/>
      <c r="G3652" s="64"/>
      <c r="H3652" s="68"/>
      <c r="I3652" s="69"/>
      <c r="J3652" s="69"/>
      <c r="K3652" s="32"/>
      <c r="L3652" s="76">
        <v>3652</v>
      </c>
      <c r="M3652" s="76"/>
      <c r="N3652" s="71"/>
      <c r="O3652" s="87" t="s">
        <v>179</v>
      </c>
      <c r="P3652" s="90">
        <v>45161.624930555554</v>
      </c>
      <c r="Q3652" s="87" t="s">
        <v>5321</v>
      </c>
      <c r="R3652" s="87">
        <v>0</v>
      </c>
      <c r="S3652" s="87">
        <v>0</v>
      </c>
      <c r="T3652" s="87">
        <v>0</v>
      </c>
      <c r="U3652" s="87">
        <v>0</v>
      </c>
      <c r="V3652" s="87">
        <v>40</v>
      </c>
      <c r="W3652" s="93" t="s">
        <v>7982</v>
      </c>
      <c r="X3652" s="92" t="str">
        <f>HYPERLINK("https://marketingnew.com.br/curso-de-drenagem-linfatica/")</f>
        <v>https://marketingnew.com.br/curso-de-drenagem-linfatica/</v>
      </c>
      <c r="Y3652" s="87" t="s">
        <v>8373</v>
      </c>
      <c r="Z3652" s="87"/>
      <c r="AA3652" s="87"/>
      <c r="AB3652" s="87"/>
      <c r="AC3652" s="93" t="s">
        <v>11457</v>
      </c>
      <c r="AD3652" s="87" t="s">
        <v>11520</v>
      </c>
      <c r="AE3652" s="92" t="str">
        <f>HYPERLINK("https://twitter.com/viniciu80206889/status/1694363842938077635")</f>
        <v>https://twitter.com/viniciu80206889/status/1694363842938077635</v>
      </c>
      <c r="AF3652" s="90">
        <v>45161.624930555554</v>
      </c>
      <c r="AG3652" s="99">
        <v>45161</v>
      </c>
      <c r="AH3652" s="93" t="s">
        <v>14767</v>
      </c>
      <c r="AI3652" s="87" t="b">
        <v>0</v>
      </c>
      <c r="AJ3652" s="87"/>
      <c r="AK3652" s="87"/>
      <c r="AL3652" s="87"/>
      <c r="AM3652" s="87"/>
      <c r="AN3652" s="87"/>
      <c r="AO3652" s="87"/>
      <c r="AP3652" s="87"/>
      <c r="AQ3652" s="87"/>
      <c r="AR3652" s="87"/>
      <c r="AS3652" s="87"/>
      <c r="AT3652" s="87"/>
      <c r="AU3652" s="87"/>
      <c r="AV3652" s="92" t="str">
        <f>HYPERLINK("https://pbs.twimg.com/profile_images/1678861109263048707/aWzd1JD-_normal.jpg")</f>
        <v>https://pbs.twimg.com/profile_images/1678861109263048707/aWzd1JD-_normal.jpg</v>
      </c>
      <c r="AW3652" s="93" t="s">
        <v>21775</v>
      </c>
      <c r="AX3652" s="93" t="s">
        <v>21775</v>
      </c>
      <c r="AY3652" s="87"/>
      <c r="AZ3652" s="93" t="s">
        <v>22668</v>
      </c>
      <c r="BA3652" s="93" t="s">
        <v>22668</v>
      </c>
      <c r="BB3652" s="93" t="s">
        <v>22668</v>
      </c>
      <c r="BC3652" s="93" t="s">
        <v>21775</v>
      </c>
      <c r="BD3652" s="93" t="s">
        <v>23476</v>
      </c>
      <c r="BE3652" s="87"/>
      <c r="BF3652" s="87"/>
      <c r="BG3652" s="87"/>
      <c r="BH3652" s="87"/>
      <c r="BI3652" s="87"/>
    </row>
    <row r="3653" spans="1:61" x14ac:dyDescent="0.25">
      <c r="A3653" s="63" t="s">
        <v>1395</v>
      </c>
      <c r="B3653" s="63" t="s">
        <v>1395</v>
      </c>
      <c r="C3653" s="64"/>
      <c r="D3653" s="65"/>
      <c r="E3653" s="66"/>
      <c r="F3653" s="67"/>
      <c r="G3653" s="64"/>
      <c r="H3653" s="68"/>
      <c r="I3653" s="69"/>
      <c r="J3653" s="69"/>
      <c r="K3653" s="32"/>
      <c r="L3653" s="76">
        <v>3653</v>
      </c>
      <c r="M3653" s="76"/>
      <c r="N3653" s="71"/>
      <c r="O3653" s="87" t="s">
        <v>179</v>
      </c>
      <c r="P3653" s="90">
        <v>45147.685914351852</v>
      </c>
      <c r="Q3653" s="87" t="s">
        <v>5322</v>
      </c>
      <c r="R3653" s="87">
        <v>0</v>
      </c>
      <c r="S3653" s="87">
        <v>0</v>
      </c>
      <c r="T3653" s="87">
        <v>0</v>
      </c>
      <c r="U3653" s="87">
        <v>0</v>
      </c>
      <c r="V3653" s="87">
        <v>86</v>
      </c>
      <c r="W3653" s="93" t="s">
        <v>6321</v>
      </c>
      <c r="X3653" s="92" t="str">
        <f>HYPERLINK("https://marketingnew.com.br/realizando-pesquisas-de-mercado-e-analise-competitiva-para-estrategia-de-marketing-digital")</f>
        <v>https://marketingnew.com.br/realizando-pesquisas-de-mercado-e-analise-competitiva-para-estrategia-de-marketing-digital</v>
      </c>
      <c r="Y3653" s="87" t="s">
        <v>8373</v>
      </c>
      <c r="Z3653" s="87"/>
      <c r="AA3653" s="87"/>
      <c r="AB3653" s="87"/>
      <c r="AC3653" s="93" t="s">
        <v>11457</v>
      </c>
      <c r="AD3653" s="87" t="s">
        <v>11520</v>
      </c>
      <c r="AE3653" s="92" t="str">
        <f>HYPERLINK("https://twitter.com/viniciu80206889/status/1689312512997490688")</f>
        <v>https://twitter.com/viniciu80206889/status/1689312512997490688</v>
      </c>
      <c r="AF3653" s="90">
        <v>45147.685914351852</v>
      </c>
      <c r="AG3653" s="99">
        <v>45147</v>
      </c>
      <c r="AH3653" s="93" t="s">
        <v>14768</v>
      </c>
      <c r="AI3653" s="87" t="b">
        <v>0</v>
      </c>
      <c r="AJ3653" s="87"/>
      <c r="AK3653" s="87"/>
      <c r="AL3653" s="87"/>
      <c r="AM3653" s="87"/>
      <c r="AN3653" s="87"/>
      <c r="AO3653" s="87"/>
      <c r="AP3653" s="87"/>
      <c r="AQ3653" s="87"/>
      <c r="AR3653" s="87"/>
      <c r="AS3653" s="87"/>
      <c r="AT3653" s="87"/>
      <c r="AU3653" s="87"/>
      <c r="AV3653" s="92" t="str">
        <f>HYPERLINK("https://pbs.twimg.com/profile_images/1678861109263048707/aWzd1JD-_normal.jpg")</f>
        <v>https://pbs.twimg.com/profile_images/1678861109263048707/aWzd1JD-_normal.jpg</v>
      </c>
      <c r="AW3653" s="93" t="s">
        <v>21776</v>
      </c>
      <c r="AX3653" s="93" t="s">
        <v>21776</v>
      </c>
      <c r="AY3653" s="87"/>
      <c r="AZ3653" s="93" t="s">
        <v>22668</v>
      </c>
      <c r="BA3653" s="93" t="s">
        <v>22668</v>
      </c>
      <c r="BB3653" s="93" t="s">
        <v>22668</v>
      </c>
      <c r="BC3653" s="93" t="s">
        <v>21776</v>
      </c>
      <c r="BD3653" s="93" t="s">
        <v>23476</v>
      </c>
      <c r="BE3653" s="87"/>
      <c r="BF3653" s="87"/>
      <c r="BG3653" s="87"/>
      <c r="BH3653" s="87"/>
      <c r="BI3653" s="87"/>
    </row>
    <row r="3654" spans="1:61" x14ac:dyDescent="0.25">
      <c r="A3654" s="63" t="s">
        <v>1395</v>
      </c>
      <c r="B3654" s="63" t="s">
        <v>1395</v>
      </c>
      <c r="C3654" s="64"/>
      <c r="D3654" s="65"/>
      <c r="E3654" s="66"/>
      <c r="F3654" s="67"/>
      <c r="G3654" s="64"/>
      <c r="H3654" s="68"/>
      <c r="I3654" s="69"/>
      <c r="J3654" s="69"/>
      <c r="K3654" s="32"/>
      <c r="L3654" s="76">
        <v>3654</v>
      </c>
      <c r="M3654" s="76"/>
      <c r="N3654" s="71"/>
      <c r="O3654" s="87" t="s">
        <v>179</v>
      </c>
      <c r="P3654" s="90">
        <v>45147.684467592589</v>
      </c>
      <c r="Q3654" s="87" t="s">
        <v>5323</v>
      </c>
      <c r="R3654" s="87">
        <v>0</v>
      </c>
      <c r="S3654" s="87">
        <v>0</v>
      </c>
      <c r="T3654" s="87">
        <v>0</v>
      </c>
      <c r="U3654" s="87">
        <v>0</v>
      </c>
      <c r="V3654" s="87">
        <v>74</v>
      </c>
      <c r="W3654" s="93" t="s">
        <v>6321</v>
      </c>
      <c r="X3654" s="92" t="str">
        <f>HYPERLINK("https://marketingnew.com.br/como-as-redes-sociais-podem-ajudar-a-atrair-trafego-organico-para-o-seu-site/")</f>
        <v>https://marketingnew.com.br/como-as-redes-sociais-podem-ajudar-a-atrair-trafego-organico-para-o-seu-site/</v>
      </c>
      <c r="Y3654" s="87" t="s">
        <v>8373</v>
      </c>
      <c r="Z3654" s="87"/>
      <c r="AA3654" s="87"/>
      <c r="AB3654" s="87"/>
      <c r="AC3654" s="93" t="s">
        <v>11457</v>
      </c>
      <c r="AD3654" s="87" t="s">
        <v>11520</v>
      </c>
      <c r="AE3654" s="92" t="str">
        <f>HYPERLINK("https://twitter.com/viniciu80206889/status/1689311985953906709")</f>
        <v>https://twitter.com/viniciu80206889/status/1689311985953906709</v>
      </c>
      <c r="AF3654" s="90">
        <v>45147.684467592589</v>
      </c>
      <c r="AG3654" s="99">
        <v>45147</v>
      </c>
      <c r="AH3654" s="93" t="s">
        <v>14769</v>
      </c>
      <c r="AI3654" s="87" t="b">
        <v>0</v>
      </c>
      <c r="AJ3654" s="87"/>
      <c r="AK3654" s="87"/>
      <c r="AL3654" s="87"/>
      <c r="AM3654" s="87"/>
      <c r="AN3654" s="87"/>
      <c r="AO3654" s="87"/>
      <c r="AP3654" s="87"/>
      <c r="AQ3654" s="87"/>
      <c r="AR3654" s="87"/>
      <c r="AS3654" s="87"/>
      <c r="AT3654" s="87"/>
      <c r="AU3654" s="87"/>
      <c r="AV3654" s="92" t="str">
        <f>HYPERLINK("https://pbs.twimg.com/profile_images/1678861109263048707/aWzd1JD-_normal.jpg")</f>
        <v>https://pbs.twimg.com/profile_images/1678861109263048707/aWzd1JD-_normal.jpg</v>
      </c>
      <c r="AW3654" s="93" t="s">
        <v>21777</v>
      </c>
      <c r="AX3654" s="93" t="s">
        <v>21777</v>
      </c>
      <c r="AY3654" s="87"/>
      <c r="AZ3654" s="93" t="s">
        <v>22668</v>
      </c>
      <c r="BA3654" s="93" t="s">
        <v>22668</v>
      </c>
      <c r="BB3654" s="93" t="s">
        <v>22668</v>
      </c>
      <c r="BC3654" s="93" t="s">
        <v>21777</v>
      </c>
      <c r="BD3654" s="93" t="s">
        <v>23476</v>
      </c>
      <c r="BE3654" s="87"/>
      <c r="BF3654" s="87"/>
      <c r="BG3654" s="87"/>
      <c r="BH3654" s="87"/>
      <c r="BI3654" s="87"/>
    </row>
    <row r="3655" spans="1:61" x14ac:dyDescent="0.25">
      <c r="A3655" s="63" t="s">
        <v>1395</v>
      </c>
      <c r="B3655" s="63" t="s">
        <v>1395</v>
      </c>
      <c r="C3655" s="64"/>
      <c r="D3655" s="65"/>
      <c r="E3655" s="66"/>
      <c r="F3655" s="67"/>
      <c r="G3655" s="64"/>
      <c r="H3655" s="68"/>
      <c r="I3655" s="69"/>
      <c r="J3655" s="69"/>
      <c r="K3655" s="32"/>
      <c r="L3655" s="76">
        <v>3655</v>
      </c>
      <c r="M3655" s="76"/>
      <c r="N3655" s="71"/>
      <c r="O3655" s="87" t="s">
        <v>179</v>
      </c>
      <c r="P3655" s="90">
        <v>45147.683425925927</v>
      </c>
      <c r="Q3655" s="87" t="s">
        <v>5324</v>
      </c>
      <c r="R3655" s="87">
        <v>0</v>
      </c>
      <c r="S3655" s="87">
        <v>0</v>
      </c>
      <c r="T3655" s="87">
        <v>0</v>
      </c>
      <c r="U3655" s="87">
        <v>0</v>
      </c>
      <c r="V3655" s="87">
        <v>67</v>
      </c>
      <c r="W3655" s="93" t="s">
        <v>6801</v>
      </c>
      <c r="X3655" s="92" t="str">
        <f>HYPERLINK("https://marketingnew.com.br/a-importancia-do-seo-para-atrair-trafego-organico-para-o-seu-site")</f>
        <v>https://marketingnew.com.br/a-importancia-do-seo-para-atrair-trafego-organico-para-o-seu-site</v>
      </c>
      <c r="Y3655" s="87" t="s">
        <v>8373</v>
      </c>
      <c r="Z3655" s="87"/>
      <c r="AA3655" s="87"/>
      <c r="AB3655" s="87"/>
      <c r="AC3655" s="93" t="s">
        <v>11457</v>
      </c>
      <c r="AD3655" s="87" t="s">
        <v>11520</v>
      </c>
      <c r="AE3655" s="92" t="str">
        <f>HYPERLINK("https://twitter.com/viniciu80206889/status/1689311609166995468")</f>
        <v>https://twitter.com/viniciu80206889/status/1689311609166995468</v>
      </c>
      <c r="AF3655" s="90">
        <v>45147.683425925927</v>
      </c>
      <c r="AG3655" s="99">
        <v>45147</v>
      </c>
      <c r="AH3655" s="93" t="s">
        <v>14770</v>
      </c>
      <c r="AI3655" s="87" t="b">
        <v>0</v>
      </c>
      <c r="AJ3655" s="87"/>
      <c r="AK3655" s="87"/>
      <c r="AL3655" s="87"/>
      <c r="AM3655" s="87"/>
      <c r="AN3655" s="87"/>
      <c r="AO3655" s="87"/>
      <c r="AP3655" s="87"/>
      <c r="AQ3655" s="87"/>
      <c r="AR3655" s="87"/>
      <c r="AS3655" s="87"/>
      <c r="AT3655" s="87"/>
      <c r="AU3655" s="87"/>
      <c r="AV3655" s="92" t="str">
        <f>HYPERLINK("https://pbs.twimg.com/profile_images/1678861109263048707/aWzd1JD-_normal.jpg")</f>
        <v>https://pbs.twimg.com/profile_images/1678861109263048707/aWzd1JD-_normal.jpg</v>
      </c>
      <c r="AW3655" s="93" t="s">
        <v>21778</v>
      </c>
      <c r="AX3655" s="93" t="s">
        <v>21778</v>
      </c>
      <c r="AY3655" s="87"/>
      <c r="AZ3655" s="93" t="s">
        <v>22668</v>
      </c>
      <c r="BA3655" s="93" t="s">
        <v>22668</v>
      </c>
      <c r="BB3655" s="93" t="s">
        <v>22668</v>
      </c>
      <c r="BC3655" s="93" t="s">
        <v>21778</v>
      </c>
      <c r="BD3655" s="93" t="s">
        <v>23476</v>
      </c>
      <c r="BE3655" s="87"/>
      <c r="BF3655" s="87"/>
      <c r="BG3655" s="87"/>
      <c r="BH3655" s="87"/>
      <c r="BI3655" s="87"/>
    </row>
    <row r="3656" spans="1:61" x14ac:dyDescent="0.25">
      <c r="A3656" s="63" t="s">
        <v>1395</v>
      </c>
      <c r="B3656" s="63" t="s">
        <v>1395</v>
      </c>
      <c r="C3656" s="64"/>
      <c r="D3656" s="65"/>
      <c r="E3656" s="66"/>
      <c r="F3656" s="67"/>
      <c r="G3656" s="64"/>
      <c r="H3656" s="68"/>
      <c r="I3656" s="69"/>
      <c r="J3656" s="69"/>
      <c r="K3656" s="32"/>
      <c r="L3656" s="76">
        <v>3656</v>
      </c>
      <c r="M3656" s="76"/>
      <c r="N3656" s="71"/>
      <c r="O3656" s="87" t="s">
        <v>179</v>
      </c>
      <c r="P3656" s="90">
        <v>45191.631736111114</v>
      </c>
      <c r="Q3656" s="87" t="s">
        <v>5325</v>
      </c>
      <c r="R3656" s="87">
        <v>0</v>
      </c>
      <c r="S3656" s="87">
        <v>0</v>
      </c>
      <c r="T3656" s="87">
        <v>0</v>
      </c>
      <c r="U3656" s="87">
        <v>0</v>
      </c>
      <c r="V3656" s="87">
        <v>26</v>
      </c>
      <c r="W3656" s="93" t="s">
        <v>7983</v>
      </c>
      <c r="X3656" s="87"/>
      <c r="Y3656" s="87"/>
      <c r="Z3656" s="87"/>
      <c r="AA3656" s="87" t="s">
        <v>11111</v>
      </c>
      <c r="AB3656" s="87" t="s">
        <v>11447</v>
      </c>
      <c r="AC3656" s="93" t="s">
        <v>11457</v>
      </c>
      <c r="AD3656" s="87" t="s">
        <v>11520</v>
      </c>
      <c r="AE3656" s="92" t="str">
        <f>HYPERLINK("https://twitter.com/viniciu80206889/status/1705237945895002416")</f>
        <v>https://twitter.com/viniciu80206889/status/1705237945895002416</v>
      </c>
      <c r="AF3656" s="90">
        <v>45191.631736111114</v>
      </c>
      <c r="AG3656" s="99">
        <v>45191</v>
      </c>
      <c r="AH3656" s="93" t="s">
        <v>12715</v>
      </c>
      <c r="AI3656" s="87" t="b">
        <v>0</v>
      </c>
      <c r="AJ3656" s="87"/>
      <c r="AK3656" s="87"/>
      <c r="AL3656" s="87"/>
      <c r="AM3656" s="87"/>
      <c r="AN3656" s="87"/>
      <c r="AO3656" s="87"/>
      <c r="AP3656" s="87"/>
      <c r="AQ3656" s="87" t="s">
        <v>17923</v>
      </c>
      <c r="AR3656" s="87">
        <v>35566</v>
      </c>
      <c r="AS3656" s="87"/>
      <c r="AT3656" s="87"/>
      <c r="AU3656" s="87"/>
      <c r="AV3656" s="92" t="str">
        <f>HYPERLINK("https://pbs.twimg.com/ext_tw_video_thumb/1705237887413841920/pu/img/M4Z5YN8ZoVxPfU91.jpg")</f>
        <v>https://pbs.twimg.com/ext_tw_video_thumb/1705237887413841920/pu/img/M4Z5YN8ZoVxPfU91.jpg</v>
      </c>
      <c r="AW3656" s="93" t="s">
        <v>21779</v>
      </c>
      <c r="AX3656" s="93" t="s">
        <v>21779</v>
      </c>
      <c r="AY3656" s="87"/>
      <c r="AZ3656" s="93" t="s">
        <v>22668</v>
      </c>
      <c r="BA3656" s="93" t="s">
        <v>22668</v>
      </c>
      <c r="BB3656" s="93" t="s">
        <v>22668</v>
      </c>
      <c r="BC3656" s="93" t="s">
        <v>21779</v>
      </c>
      <c r="BD3656" s="93" t="s">
        <v>23476</v>
      </c>
      <c r="BE3656" s="87"/>
      <c r="BF3656" s="87"/>
      <c r="BG3656" s="87"/>
      <c r="BH3656" s="87"/>
      <c r="BI3656" s="87"/>
    </row>
    <row r="3657" spans="1:61" x14ac:dyDescent="0.25">
      <c r="A3657" s="63" t="s">
        <v>1395</v>
      </c>
      <c r="B3657" s="63" t="s">
        <v>1395</v>
      </c>
      <c r="C3657" s="64"/>
      <c r="D3657" s="65"/>
      <c r="E3657" s="66"/>
      <c r="F3657" s="67"/>
      <c r="G3657" s="64"/>
      <c r="H3657" s="68"/>
      <c r="I3657" s="69"/>
      <c r="J3657" s="69"/>
      <c r="K3657" s="32"/>
      <c r="L3657" s="76">
        <v>3657</v>
      </c>
      <c r="M3657" s="76"/>
      <c r="N3657" s="71"/>
      <c r="O3657" s="87" t="s">
        <v>179</v>
      </c>
      <c r="P3657" s="90">
        <v>45191.631157407406</v>
      </c>
      <c r="Q3657" s="87" t="s">
        <v>5326</v>
      </c>
      <c r="R3657" s="87">
        <v>0</v>
      </c>
      <c r="S3657" s="87">
        <v>0</v>
      </c>
      <c r="T3657" s="87">
        <v>0</v>
      </c>
      <c r="U3657" s="87">
        <v>0</v>
      </c>
      <c r="V3657" s="87">
        <v>26</v>
      </c>
      <c r="W3657" s="93" t="s">
        <v>7983</v>
      </c>
      <c r="X3657" s="87"/>
      <c r="Y3657" s="87"/>
      <c r="Z3657" s="87"/>
      <c r="AA3657" s="87" t="s">
        <v>11112</v>
      </c>
      <c r="AB3657" s="87" t="s">
        <v>11447</v>
      </c>
      <c r="AC3657" s="93" t="s">
        <v>11457</v>
      </c>
      <c r="AD3657" s="87" t="s">
        <v>11520</v>
      </c>
      <c r="AE3657" s="92" t="str">
        <f>HYPERLINK("https://twitter.com/viniciu80206889/status/1705237736339177818")</f>
        <v>https://twitter.com/viniciu80206889/status/1705237736339177818</v>
      </c>
      <c r="AF3657" s="90">
        <v>45191.631157407406</v>
      </c>
      <c r="AG3657" s="99">
        <v>45191</v>
      </c>
      <c r="AH3657" s="93" t="s">
        <v>14771</v>
      </c>
      <c r="AI3657" s="87" t="b">
        <v>0</v>
      </c>
      <c r="AJ3657" s="87"/>
      <c r="AK3657" s="87"/>
      <c r="AL3657" s="87"/>
      <c r="AM3657" s="87"/>
      <c r="AN3657" s="87"/>
      <c r="AO3657" s="87"/>
      <c r="AP3657" s="87"/>
      <c r="AQ3657" s="87" t="s">
        <v>17924</v>
      </c>
      <c r="AR3657" s="87">
        <v>28582</v>
      </c>
      <c r="AS3657" s="87"/>
      <c r="AT3657" s="87"/>
      <c r="AU3657" s="87"/>
      <c r="AV3657" s="92" t="str">
        <f>HYPERLINK("https://pbs.twimg.com/ext_tw_video_thumb/1705237658996260864/pu/img/gGj9gmZHDY-IwL0r.jpg")</f>
        <v>https://pbs.twimg.com/ext_tw_video_thumb/1705237658996260864/pu/img/gGj9gmZHDY-IwL0r.jpg</v>
      </c>
      <c r="AW3657" s="93" t="s">
        <v>21780</v>
      </c>
      <c r="AX3657" s="93" t="s">
        <v>21780</v>
      </c>
      <c r="AY3657" s="87"/>
      <c r="AZ3657" s="93" t="s">
        <v>22668</v>
      </c>
      <c r="BA3657" s="93" t="s">
        <v>22668</v>
      </c>
      <c r="BB3657" s="93" t="s">
        <v>22668</v>
      </c>
      <c r="BC3657" s="93" t="s">
        <v>21780</v>
      </c>
      <c r="BD3657" s="93" t="s">
        <v>23476</v>
      </c>
      <c r="BE3657" s="87"/>
      <c r="BF3657" s="87"/>
      <c r="BG3657" s="87"/>
      <c r="BH3657" s="87"/>
      <c r="BI3657" s="87"/>
    </row>
    <row r="3658" spans="1:61" x14ac:dyDescent="0.25">
      <c r="A3658" s="63" t="s">
        <v>1395</v>
      </c>
      <c r="B3658" s="63" t="s">
        <v>1395</v>
      </c>
      <c r="C3658" s="64"/>
      <c r="D3658" s="65"/>
      <c r="E3658" s="66"/>
      <c r="F3658" s="67"/>
      <c r="G3658" s="64"/>
      <c r="H3658" s="68"/>
      <c r="I3658" s="69"/>
      <c r="J3658" s="69"/>
      <c r="K3658" s="32"/>
      <c r="L3658" s="76">
        <v>3658</v>
      </c>
      <c r="M3658" s="76"/>
      <c r="N3658" s="71"/>
      <c r="O3658" s="87" t="s">
        <v>179</v>
      </c>
      <c r="P3658" s="90">
        <v>45191.630208333336</v>
      </c>
      <c r="Q3658" s="87" t="s">
        <v>5327</v>
      </c>
      <c r="R3658" s="87">
        <v>0</v>
      </c>
      <c r="S3658" s="87">
        <v>0</v>
      </c>
      <c r="T3658" s="87">
        <v>0</v>
      </c>
      <c r="U3658" s="87">
        <v>0</v>
      </c>
      <c r="V3658" s="87">
        <v>19</v>
      </c>
      <c r="W3658" s="93" t="s">
        <v>7983</v>
      </c>
      <c r="X3658" s="87"/>
      <c r="Y3658" s="87"/>
      <c r="Z3658" s="87"/>
      <c r="AA3658" s="87" t="s">
        <v>11113</v>
      </c>
      <c r="AB3658" s="87" t="s">
        <v>11447</v>
      </c>
      <c r="AC3658" s="93" t="s">
        <v>11457</v>
      </c>
      <c r="AD3658" s="87" t="s">
        <v>11520</v>
      </c>
      <c r="AE3658" s="92" t="str">
        <f>HYPERLINK("https://twitter.com/viniciu80206889/status/1705237390854390146")</f>
        <v>https://twitter.com/viniciu80206889/status/1705237390854390146</v>
      </c>
      <c r="AF3658" s="90">
        <v>45191.630208333336</v>
      </c>
      <c r="AG3658" s="99">
        <v>45191</v>
      </c>
      <c r="AH3658" s="93" t="s">
        <v>14772</v>
      </c>
      <c r="AI3658" s="87" t="b">
        <v>0</v>
      </c>
      <c r="AJ3658" s="87"/>
      <c r="AK3658" s="87"/>
      <c r="AL3658" s="87"/>
      <c r="AM3658" s="87"/>
      <c r="AN3658" s="87"/>
      <c r="AO3658" s="87"/>
      <c r="AP3658" s="87"/>
      <c r="AQ3658" s="87" t="s">
        <v>17925</v>
      </c>
      <c r="AR3658" s="87">
        <v>26232</v>
      </c>
      <c r="AS3658" s="87"/>
      <c r="AT3658" s="87"/>
      <c r="AU3658" s="87"/>
      <c r="AV3658" s="92" t="str">
        <f>HYPERLINK("https://pbs.twimg.com/ext_tw_video_thumb/1705237340573114368/pu/img/PDydKjrGZoS6ojJ8.jpg")</f>
        <v>https://pbs.twimg.com/ext_tw_video_thumb/1705237340573114368/pu/img/PDydKjrGZoS6ojJ8.jpg</v>
      </c>
      <c r="AW3658" s="93" t="s">
        <v>21781</v>
      </c>
      <c r="AX3658" s="93" t="s">
        <v>21781</v>
      </c>
      <c r="AY3658" s="87"/>
      <c r="AZ3658" s="93" t="s">
        <v>22668</v>
      </c>
      <c r="BA3658" s="93" t="s">
        <v>22668</v>
      </c>
      <c r="BB3658" s="93" t="s">
        <v>22668</v>
      </c>
      <c r="BC3658" s="93" t="s">
        <v>21781</v>
      </c>
      <c r="BD3658" s="93" t="s">
        <v>23476</v>
      </c>
      <c r="BE3658" s="87"/>
      <c r="BF3658" s="87"/>
      <c r="BG3658" s="87"/>
      <c r="BH3658" s="87"/>
      <c r="BI3658" s="87"/>
    </row>
    <row r="3659" spans="1:61" x14ac:dyDescent="0.25">
      <c r="A3659" s="63" t="s">
        <v>1395</v>
      </c>
      <c r="B3659" s="63" t="s">
        <v>1395</v>
      </c>
      <c r="C3659" s="64"/>
      <c r="D3659" s="65"/>
      <c r="E3659" s="66"/>
      <c r="F3659" s="67"/>
      <c r="G3659" s="64"/>
      <c r="H3659" s="68"/>
      <c r="I3659" s="69"/>
      <c r="J3659" s="69"/>
      <c r="K3659" s="32"/>
      <c r="L3659" s="76">
        <v>3659</v>
      </c>
      <c r="M3659" s="76"/>
      <c r="N3659" s="71"/>
      <c r="O3659" s="87" t="s">
        <v>179</v>
      </c>
      <c r="P3659" s="90">
        <v>45191.627939814818</v>
      </c>
      <c r="Q3659" s="87" t="s">
        <v>5328</v>
      </c>
      <c r="R3659" s="87">
        <v>0</v>
      </c>
      <c r="S3659" s="87">
        <v>0</v>
      </c>
      <c r="T3659" s="87">
        <v>0</v>
      </c>
      <c r="U3659" s="87">
        <v>0</v>
      </c>
      <c r="V3659" s="87">
        <v>19</v>
      </c>
      <c r="W3659" s="93" t="s">
        <v>7983</v>
      </c>
      <c r="X3659" s="87"/>
      <c r="Y3659" s="87"/>
      <c r="Z3659" s="87"/>
      <c r="AA3659" s="87" t="s">
        <v>11114</v>
      </c>
      <c r="AB3659" s="87" t="s">
        <v>11447</v>
      </c>
      <c r="AC3659" s="93" t="s">
        <v>11457</v>
      </c>
      <c r="AD3659" s="87" t="s">
        <v>11520</v>
      </c>
      <c r="AE3659" s="92" t="str">
        <f>HYPERLINK("https://twitter.com/viniciu80206889/status/1705236568405885089")</f>
        <v>https://twitter.com/viniciu80206889/status/1705236568405885089</v>
      </c>
      <c r="AF3659" s="90">
        <v>45191.627939814818</v>
      </c>
      <c r="AG3659" s="99">
        <v>45191</v>
      </c>
      <c r="AH3659" s="93" t="s">
        <v>14773</v>
      </c>
      <c r="AI3659" s="87" t="b">
        <v>0</v>
      </c>
      <c r="AJ3659" s="87"/>
      <c r="AK3659" s="87"/>
      <c r="AL3659" s="87"/>
      <c r="AM3659" s="87"/>
      <c r="AN3659" s="87"/>
      <c r="AO3659" s="87"/>
      <c r="AP3659" s="87"/>
      <c r="AQ3659" s="87" t="s">
        <v>17926</v>
      </c>
      <c r="AR3659" s="87">
        <v>24032</v>
      </c>
      <c r="AS3659" s="87"/>
      <c r="AT3659" s="87"/>
      <c r="AU3659" s="87"/>
      <c r="AV3659" s="92" t="str">
        <f>HYPERLINK("https://pbs.twimg.com/ext_tw_video_thumb/1705236503171895297/pu/img/X6BmRLBn-I8NnYxf.jpg")</f>
        <v>https://pbs.twimg.com/ext_tw_video_thumb/1705236503171895297/pu/img/X6BmRLBn-I8NnYxf.jpg</v>
      </c>
      <c r="AW3659" s="93" t="s">
        <v>21782</v>
      </c>
      <c r="AX3659" s="93" t="s">
        <v>21782</v>
      </c>
      <c r="AY3659" s="87"/>
      <c r="AZ3659" s="93" t="s">
        <v>22668</v>
      </c>
      <c r="BA3659" s="93" t="s">
        <v>22668</v>
      </c>
      <c r="BB3659" s="93" t="s">
        <v>22668</v>
      </c>
      <c r="BC3659" s="93" t="s">
        <v>21782</v>
      </c>
      <c r="BD3659" s="93" t="s">
        <v>23476</v>
      </c>
      <c r="BE3659" s="87"/>
      <c r="BF3659" s="87"/>
      <c r="BG3659" s="87"/>
      <c r="BH3659" s="87"/>
      <c r="BI3659" s="87"/>
    </row>
    <row r="3660" spans="1:61" x14ac:dyDescent="0.25">
      <c r="A3660" s="63" t="s">
        <v>1395</v>
      </c>
      <c r="B3660" s="63" t="s">
        <v>1395</v>
      </c>
      <c r="C3660" s="64"/>
      <c r="D3660" s="65"/>
      <c r="E3660" s="66"/>
      <c r="F3660" s="67"/>
      <c r="G3660" s="64"/>
      <c r="H3660" s="68"/>
      <c r="I3660" s="69"/>
      <c r="J3660" s="69"/>
      <c r="K3660" s="32"/>
      <c r="L3660" s="76">
        <v>3660</v>
      </c>
      <c r="M3660" s="76"/>
      <c r="N3660" s="71"/>
      <c r="O3660" s="87" t="s">
        <v>179</v>
      </c>
      <c r="P3660" s="90">
        <v>45191.626956018517</v>
      </c>
      <c r="Q3660" s="87" t="s">
        <v>5329</v>
      </c>
      <c r="R3660" s="87">
        <v>0</v>
      </c>
      <c r="S3660" s="87">
        <v>0</v>
      </c>
      <c r="T3660" s="87">
        <v>0</v>
      </c>
      <c r="U3660" s="87">
        <v>0</v>
      </c>
      <c r="V3660" s="87">
        <v>17</v>
      </c>
      <c r="W3660" s="93" t="s">
        <v>7983</v>
      </c>
      <c r="X3660" s="87"/>
      <c r="Y3660" s="87"/>
      <c r="Z3660" s="87"/>
      <c r="AA3660" s="87" t="s">
        <v>11115</v>
      </c>
      <c r="AB3660" s="87" t="s">
        <v>11447</v>
      </c>
      <c r="AC3660" s="93" t="s">
        <v>11457</v>
      </c>
      <c r="AD3660" s="87" t="s">
        <v>11520</v>
      </c>
      <c r="AE3660" s="92" t="str">
        <f>HYPERLINK("https://twitter.com/viniciu80206889/status/1705236212045230379")</f>
        <v>https://twitter.com/viniciu80206889/status/1705236212045230379</v>
      </c>
      <c r="AF3660" s="90">
        <v>45191.626956018517</v>
      </c>
      <c r="AG3660" s="99">
        <v>45191</v>
      </c>
      <c r="AH3660" s="93" t="s">
        <v>14774</v>
      </c>
      <c r="AI3660" s="87" t="b">
        <v>0</v>
      </c>
      <c r="AJ3660" s="87"/>
      <c r="AK3660" s="87"/>
      <c r="AL3660" s="87"/>
      <c r="AM3660" s="87"/>
      <c r="AN3660" s="87"/>
      <c r="AO3660" s="87"/>
      <c r="AP3660" s="87"/>
      <c r="AQ3660" s="87" t="s">
        <v>17927</v>
      </c>
      <c r="AR3660" s="87">
        <v>17066</v>
      </c>
      <c r="AS3660" s="87"/>
      <c r="AT3660" s="87"/>
      <c r="AU3660" s="87"/>
      <c r="AV3660" s="92" t="str">
        <f>HYPERLINK("https://pbs.twimg.com/ext_tw_video_thumb/1705236154491047936/pu/img/3oTZ0T2vhZTNfxp-.jpg")</f>
        <v>https://pbs.twimg.com/ext_tw_video_thumb/1705236154491047936/pu/img/3oTZ0T2vhZTNfxp-.jpg</v>
      </c>
      <c r="AW3660" s="93" t="s">
        <v>21783</v>
      </c>
      <c r="AX3660" s="93" t="s">
        <v>21783</v>
      </c>
      <c r="AY3660" s="87"/>
      <c r="AZ3660" s="93" t="s">
        <v>22668</v>
      </c>
      <c r="BA3660" s="93" t="s">
        <v>22668</v>
      </c>
      <c r="BB3660" s="93" t="s">
        <v>22668</v>
      </c>
      <c r="BC3660" s="93" t="s">
        <v>21783</v>
      </c>
      <c r="BD3660" s="93" t="s">
        <v>23476</v>
      </c>
      <c r="BE3660" s="87"/>
      <c r="BF3660" s="87"/>
      <c r="BG3660" s="87"/>
      <c r="BH3660" s="87"/>
      <c r="BI3660" s="87"/>
    </row>
    <row r="3661" spans="1:61" x14ac:dyDescent="0.25">
      <c r="A3661" s="63" t="s">
        <v>1395</v>
      </c>
      <c r="B3661" s="63" t="s">
        <v>1395</v>
      </c>
      <c r="C3661" s="64"/>
      <c r="D3661" s="65"/>
      <c r="E3661" s="66"/>
      <c r="F3661" s="67"/>
      <c r="G3661" s="64"/>
      <c r="H3661" s="68"/>
      <c r="I3661" s="69"/>
      <c r="J3661" s="69"/>
      <c r="K3661" s="32"/>
      <c r="L3661" s="76">
        <v>3661</v>
      </c>
      <c r="M3661" s="76"/>
      <c r="N3661" s="71"/>
      <c r="O3661" s="87" t="s">
        <v>179</v>
      </c>
      <c r="P3661" s="90">
        <v>45171.698854166665</v>
      </c>
      <c r="Q3661" s="87" t="s">
        <v>5330</v>
      </c>
      <c r="R3661" s="87">
        <v>0</v>
      </c>
      <c r="S3661" s="87">
        <v>0</v>
      </c>
      <c r="T3661" s="87">
        <v>1</v>
      </c>
      <c r="U3661" s="87">
        <v>0</v>
      </c>
      <c r="V3661" s="87">
        <v>74</v>
      </c>
      <c r="W3661" s="93" t="s">
        <v>6806</v>
      </c>
      <c r="X3661" s="92" t="str">
        <f>HYPERLINK("https://go.hotmart.com/N84580367L")</f>
        <v>https://go.hotmart.com/N84580367L</v>
      </c>
      <c r="Y3661" s="87" t="s">
        <v>8390</v>
      </c>
      <c r="Z3661" s="87"/>
      <c r="AA3661" s="87" t="s">
        <v>11116</v>
      </c>
      <c r="AB3661" s="87" t="s">
        <v>11447</v>
      </c>
      <c r="AC3661" s="93" t="s">
        <v>11457</v>
      </c>
      <c r="AD3661" s="87" t="s">
        <v>11519</v>
      </c>
      <c r="AE3661" s="92" t="str">
        <f>HYPERLINK("https://twitter.com/viniciu80206889/status/1698014510932468206")</f>
        <v>https://twitter.com/viniciu80206889/status/1698014510932468206</v>
      </c>
      <c r="AF3661" s="90">
        <v>45171.698854166665</v>
      </c>
      <c r="AG3661" s="99">
        <v>45171</v>
      </c>
      <c r="AH3661" s="93" t="s">
        <v>14775</v>
      </c>
      <c r="AI3661" s="87" t="b">
        <v>0</v>
      </c>
      <c r="AJ3661" s="87"/>
      <c r="AK3661" s="87"/>
      <c r="AL3661" s="87"/>
      <c r="AM3661" s="87"/>
      <c r="AN3661" s="87"/>
      <c r="AO3661" s="87"/>
      <c r="AP3661" s="87"/>
      <c r="AQ3661" s="87" t="s">
        <v>17928</v>
      </c>
      <c r="AR3661" s="87">
        <v>38127</v>
      </c>
      <c r="AS3661" s="87"/>
      <c r="AT3661" s="87"/>
      <c r="AU3661" s="87"/>
      <c r="AV3661" s="92" t="str">
        <f>HYPERLINK("https://pbs.twimg.com/ext_tw_video_thumb/1698013865928232960/pu/img/QkeK_8hcgUqhUyeA.jpg")</f>
        <v>https://pbs.twimg.com/ext_tw_video_thumb/1698013865928232960/pu/img/QkeK_8hcgUqhUyeA.jpg</v>
      </c>
      <c r="AW3661" s="93" t="s">
        <v>21784</v>
      </c>
      <c r="AX3661" s="93" t="s">
        <v>21784</v>
      </c>
      <c r="AY3661" s="87"/>
      <c r="AZ3661" s="93" t="s">
        <v>22668</v>
      </c>
      <c r="BA3661" s="93" t="s">
        <v>22668</v>
      </c>
      <c r="BB3661" s="93" t="s">
        <v>22668</v>
      </c>
      <c r="BC3661" s="93" t="s">
        <v>21784</v>
      </c>
      <c r="BD3661" s="93" t="s">
        <v>23476</v>
      </c>
      <c r="BE3661" s="87"/>
      <c r="BF3661" s="87"/>
      <c r="BG3661" s="87"/>
      <c r="BH3661" s="87"/>
      <c r="BI3661" s="87"/>
    </row>
    <row r="3662" spans="1:61" x14ac:dyDescent="0.25">
      <c r="A3662" s="63" t="s">
        <v>1395</v>
      </c>
      <c r="B3662" s="63" t="s">
        <v>1395</v>
      </c>
      <c r="C3662" s="64"/>
      <c r="D3662" s="65"/>
      <c r="E3662" s="66"/>
      <c r="F3662" s="67"/>
      <c r="G3662" s="64"/>
      <c r="H3662" s="68"/>
      <c r="I3662" s="69"/>
      <c r="J3662" s="69"/>
      <c r="K3662" s="32"/>
      <c r="L3662" s="76">
        <v>3662</v>
      </c>
      <c r="M3662" s="76"/>
      <c r="N3662" s="71"/>
      <c r="O3662" s="87" t="s">
        <v>179</v>
      </c>
      <c r="P3662" s="90">
        <v>45163.633333333331</v>
      </c>
      <c r="Q3662" s="87" t="s">
        <v>5331</v>
      </c>
      <c r="R3662" s="87">
        <v>0</v>
      </c>
      <c r="S3662" s="87">
        <v>0</v>
      </c>
      <c r="T3662" s="87">
        <v>0</v>
      </c>
      <c r="U3662" s="87">
        <v>0</v>
      </c>
      <c r="V3662" s="87">
        <v>34</v>
      </c>
      <c r="W3662" s="93" t="s">
        <v>6798</v>
      </c>
      <c r="X3662" s="92" t="str">
        <f>HYPERLINK("https://marketingnew.com.br/curso-mago-cervejeiro/")</f>
        <v>https://marketingnew.com.br/curso-mago-cervejeiro/</v>
      </c>
      <c r="Y3662" s="87" t="s">
        <v>8373</v>
      </c>
      <c r="Z3662" s="87"/>
      <c r="AA3662" s="87"/>
      <c r="AB3662" s="87"/>
      <c r="AC3662" s="93" t="s">
        <v>11457</v>
      </c>
      <c r="AD3662" s="87" t="s">
        <v>11520</v>
      </c>
      <c r="AE3662" s="92" t="str">
        <f>HYPERLINK("https://twitter.com/viniciu80206889/status/1695091662341714035")</f>
        <v>https://twitter.com/viniciu80206889/status/1695091662341714035</v>
      </c>
      <c r="AF3662" s="90">
        <v>45163.633333333331</v>
      </c>
      <c r="AG3662" s="99">
        <v>45163</v>
      </c>
      <c r="AH3662" s="93" t="s">
        <v>14643</v>
      </c>
      <c r="AI3662" s="87" t="b">
        <v>0</v>
      </c>
      <c r="AJ3662" s="87"/>
      <c r="AK3662" s="87"/>
      <c r="AL3662" s="87"/>
      <c r="AM3662" s="87"/>
      <c r="AN3662" s="87"/>
      <c r="AO3662" s="87"/>
      <c r="AP3662" s="87"/>
      <c r="AQ3662" s="87"/>
      <c r="AR3662" s="87"/>
      <c r="AS3662" s="87"/>
      <c r="AT3662" s="87"/>
      <c r="AU3662" s="87"/>
      <c r="AV3662" s="92" t="str">
        <f>HYPERLINK("https://pbs.twimg.com/profile_images/1678861109263048707/aWzd1JD-_normal.jpg")</f>
        <v>https://pbs.twimg.com/profile_images/1678861109263048707/aWzd1JD-_normal.jpg</v>
      </c>
      <c r="AW3662" s="93" t="s">
        <v>21785</v>
      </c>
      <c r="AX3662" s="93" t="s">
        <v>21785</v>
      </c>
      <c r="AY3662" s="87"/>
      <c r="AZ3662" s="93" t="s">
        <v>22668</v>
      </c>
      <c r="BA3662" s="93" t="s">
        <v>22668</v>
      </c>
      <c r="BB3662" s="93" t="s">
        <v>22668</v>
      </c>
      <c r="BC3662" s="93" t="s">
        <v>21785</v>
      </c>
      <c r="BD3662" s="93" t="s">
        <v>23476</v>
      </c>
      <c r="BE3662" s="87"/>
      <c r="BF3662" s="87"/>
      <c r="BG3662" s="87"/>
      <c r="BH3662" s="87"/>
      <c r="BI3662" s="87"/>
    </row>
    <row r="3663" spans="1:61" x14ac:dyDescent="0.25">
      <c r="A3663" s="63" t="s">
        <v>1395</v>
      </c>
      <c r="B3663" s="63" t="s">
        <v>1395</v>
      </c>
      <c r="C3663" s="64"/>
      <c r="D3663" s="65"/>
      <c r="E3663" s="66"/>
      <c r="F3663" s="67"/>
      <c r="G3663" s="64"/>
      <c r="H3663" s="68"/>
      <c r="I3663" s="69"/>
      <c r="J3663" s="69"/>
      <c r="K3663" s="32"/>
      <c r="L3663" s="76">
        <v>3663</v>
      </c>
      <c r="M3663" s="76"/>
      <c r="N3663" s="71"/>
      <c r="O3663" s="87" t="s">
        <v>179</v>
      </c>
      <c r="P3663" s="90">
        <v>45162.704861111109</v>
      </c>
      <c r="Q3663" s="87" t="s">
        <v>5315</v>
      </c>
      <c r="R3663" s="87">
        <v>0</v>
      </c>
      <c r="S3663" s="87">
        <v>0</v>
      </c>
      <c r="T3663" s="87">
        <v>0</v>
      </c>
      <c r="U3663" s="87">
        <v>0</v>
      </c>
      <c r="V3663" s="87">
        <v>45</v>
      </c>
      <c r="W3663" s="93" t="s">
        <v>6797</v>
      </c>
      <c r="X3663" s="92" t="str">
        <f>HYPERLINK("https://marketingnew.com.br/curso-de-mandala/")</f>
        <v>https://marketingnew.com.br/curso-de-mandala/</v>
      </c>
      <c r="Y3663" s="87" t="s">
        <v>8373</v>
      </c>
      <c r="Z3663" s="87"/>
      <c r="AA3663" s="87"/>
      <c r="AB3663" s="87"/>
      <c r="AC3663" s="93" t="s">
        <v>11457</v>
      </c>
      <c r="AD3663" s="87" t="s">
        <v>11520</v>
      </c>
      <c r="AE3663" s="92" t="str">
        <f>HYPERLINK("https://twitter.com/viniciu80206889/status/1694755195232927978")</f>
        <v>https://twitter.com/viniciu80206889/status/1694755195232927978</v>
      </c>
      <c r="AF3663" s="90">
        <v>45162.704861111109</v>
      </c>
      <c r="AG3663" s="99">
        <v>45162</v>
      </c>
      <c r="AH3663" s="93" t="s">
        <v>14776</v>
      </c>
      <c r="AI3663" s="87" t="b">
        <v>0</v>
      </c>
      <c r="AJ3663" s="87"/>
      <c r="AK3663" s="87"/>
      <c r="AL3663" s="87"/>
      <c r="AM3663" s="87"/>
      <c r="AN3663" s="87"/>
      <c r="AO3663" s="87"/>
      <c r="AP3663" s="87"/>
      <c r="AQ3663" s="87"/>
      <c r="AR3663" s="87"/>
      <c r="AS3663" s="87"/>
      <c r="AT3663" s="87"/>
      <c r="AU3663" s="87"/>
      <c r="AV3663" s="92" t="str">
        <f>HYPERLINK("https://pbs.twimg.com/profile_images/1678861109263048707/aWzd1JD-_normal.jpg")</f>
        <v>https://pbs.twimg.com/profile_images/1678861109263048707/aWzd1JD-_normal.jpg</v>
      </c>
      <c r="AW3663" s="93" t="s">
        <v>21786</v>
      </c>
      <c r="AX3663" s="93" t="s">
        <v>21786</v>
      </c>
      <c r="AY3663" s="87"/>
      <c r="AZ3663" s="93" t="s">
        <v>22668</v>
      </c>
      <c r="BA3663" s="93" t="s">
        <v>22668</v>
      </c>
      <c r="BB3663" s="93" t="s">
        <v>22668</v>
      </c>
      <c r="BC3663" s="93" t="s">
        <v>21786</v>
      </c>
      <c r="BD3663" s="93" t="s">
        <v>23476</v>
      </c>
      <c r="BE3663" s="87"/>
      <c r="BF3663" s="87"/>
      <c r="BG3663" s="87"/>
      <c r="BH3663" s="87"/>
      <c r="BI3663" s="87"/>
    </row>
    <row r="3664" spans="1:61" x14ac:dyDescent="0.25">
      <c r="A3664" s="63" t="s">
        <v>1395</v>
      </c>
      <c r="B3664" s="63" t="s">
        <v>1395</v>
      </c>
      <c r="C3664" s="64"/>
      <c r="D3664" s="65"/>
      <c r="E3664" s="66"/>
      <c r="F3664" s="67"/>
      <c r="G3664" s="64"/>
      <c r="H3664" s="68"/>
      <c r="I3664" s="69"/>
      <c r="J3664" s="69"/>
      <c r="K3664" s="32"/>
      <c r="L3664" s="76">
        <v>3664</v>
      </c>
      <c r="M3664" s="76"/>
      <c r="N3664" s="71"/>
      <c r="O3664" s="87" t="s">
        <v>179</v>
      </c>
      <c r="P3664" s="90">
        <v>45162.628472222219</v>
      </c>
      <c r="Q3664" s="87" t="s">
        <v>5332</v>
      </c>
      <c r="R3664" s="87">
        <v>0</v>
      </c>
      <c r="S3664" s="87">
        <v>0</v>
      </c>
      <c r="T3664" s="87">
        <v>0</v>
      </c>
      <c r="U3664" s="87">
        <v>0</v>
      </c>
      <c r="V3664" s="87">
        <v>37</v>
      </c>
      <c r="W3664" s="93" t="s">
        <v>6807</v>
      </c>
      <c r="X3664" s="92" t="str">
        <f>HYPERLINK("https://marketingnew.com.br/curso-de-massagem-redutora/")</f>
        <v>https://marketingnew.com.br/curso-de-massagem-redutora/</v>
      </c>
      <c r="Y3664" s="87" t="s">
        <v>8373</v>
      </c>
      <c r="Z3664" s="87"/>
      <c r="AA3664" s="87"/>
      <c r="AB3664" s="87"/>
      <c r="AC3664" s="93" t="s">
        <v>11457</v>
      </c>
      <c r="AD3664" s="87" t="s">
        <v>11520</v>
      </c>
      <c r="AE3664" s="92" t="str">
        <f>HYPERLINK("https://twitter.com/viniciu80206889/status/1694727513132441611")</f>
        <v>https://twitter.com/viniciu80206889/status/1694727513132441611</v>
      </c>
      <c r="AF3664" s="90">
        <v>45162.628472222219</v>
      </c>
      <c r="AG3664" s="99">
        <v>45162</v>
      </c>
      <c r="AH3664" s="93" t="s">
        <v>14777</v>
      </c>
      <c r="AI3664" s="87" t="b">
        <v>0</v>
      </c>
      <c r="AJ3664" s="87"/>
      <c r="AK3664" s="87"/>
      <c r="AL3664" s="87"/>
      <c r="AM3664" s="87"/>
      <c r="AN3664" s="87"/>
      <c r="AO3664" s="87"/>
      <c r="AP3664" s="87"/>
      <c r="AQ3664" s="87"/>
      <c r="AR3664" s="87"/>
      <c r="AS3664" s="87"/>
      <c r="AT3664" s="87"/>
      <c r="AU3664" s="87"/>
      <c r="AV3664" s="92" t="str">
        <f>HYPERLINK("https://pbs.twimg.com/profile_images/1678861109263048707/aWzd1JD-_normal.jpg")</f>
        <v>https://pbs.twimg.com/profile_images/1678861109263048707/aWzd1JD-_normal.jpg</v>
      </c>
      <c r="AW3664" s="93" t="s">
        <v>21787</v>
      </c>
      <c r="AX3664" s="93" t="s">
        <v>21787</v>
      </c>
      <c r="AY3664" s="87"/>
      <c r="AZ3664" s="93" t="s">
        <v>22668</v>
      </c>
      <c r="BA3664" s="93" t="s">
        <v>22668</v>
      </c>
      <c r="BB3664" s="93" t="s">
        <v>22668</v>
      </c>
      <c r="BC3664" s="93" t="s">
        <v>21787</v>
      </c>
      <c r="BD3664" s="93" t="s">
        <v>23476</v>
      </c>
      <c r="BE3664" s="87"/>
      <c r="BF3664" s="87"/>
      <c r="BG3664" s="87"/>
      <c r="BH3664" s="87"/>
      <c r="BI3664" s="87"/>
    </row>
    <row r="3665" spans="1:61" x14ac:dyDescent="0.25">
      <c r="A3665" s="63" t="s">
        <v>1395</v>
      </c>
      <c r="B3665" s="63" t="s">
        <v>1395</v>
      </c>
      <c r="C3665" s="64"/>
      <c r="D3665" s="65"/>
      <c r="E3665" s="66"/>
      <c r="F3665" s="67"/>
      <c r="G3665" s="64"/>
      <c r="H3665" s="68"/>
      <c r="I3665" s="69"/>
      <c r="J3665" s="69"/>
      <c r="K3665" s="32"/>
      <c r="L3665" s="76">
        <v>3665</v>
      </c>
      <c r="M3665" s="76"/>
      <c r="N3665" s="71"/>
      <c r="O3665" s="87" t="s">
        <v>179</v>
      </c>
      <c r="P3665" s="90">
        <v>45149.688194444447</v>
      </c>
      <c r="Q3665" s="87" t="s">
        <v>5333</v>
      </c>
      <c r="R3665" s="87">
        <v>0</v>
      </c>
      <c r="S3665" s="87">
        <v>1</v>
      </c>
      <c r="T3665" s="87">
        <v>0</v>
      </c>
      <c r="U3665" s="87">
        <v>0</v>
      </c>
      <c r="V3665" s="87">
        <v>67</v>
      </c>
      <c r="W3665" s="93" t="s">
        <v>6797</v>
      </c>
      <c r="X3665" s="92" t="str">
        <f>HYPERLINK("https://marketingnew.com.br/curso-de-massagem-redutora/")</f>
        <v>https://marketingnew.com.br/curso-de-massagem-redutora/</v>
      </c>
      <c r="Y3665" s="87" t="s">
        <v>8373</v>
      </c>
      <c r="Z3665" s="87"/>
      <c r="AA3665" s="87"/>
      <c r="AB3665" s="87"/>
      <c r="AC3665" s="93" t="s">
        <v>11457</v>
      </c>
      <c r="AD3665" s="87" t="s">
        <v>11520</v>
      </c>
      <c r="AE3665" s="92" t="str">
        <f>HYPERLINK("https://twitter.com/viniciu80206889/status/1690038113375232001")</f>
        <v>https://twitter.com/viniciu80206889/status/1690038113375232001</v>
      </c>
      <c r="AF3665" s="90">
        <v>45149.688194444447</v>
      </c>
      <c r="AG3665" s="99">
        <v>45149</v>
      </c>
      <c r="AH3665" s="93" t="s">
        <v>14778</v>
      </c>
      <c r="AI3665" s="87" t="b">
        <v>0</v>
      </c>
      <c r="AJ3665" s="87"/>
      <c r="AK3665" s="87"/>
      <c r="AL3665" s="87"/>
      <c r="AM3665" s="87"/>
      <c r="AN3665" s="87"/>
      <c r="AO3665" s="87"/>
      <c r="AP3665" s="87"/>
      <c r="AQ3665" s="87"/>
      <c r="AR3665" s="87"/>
      <c r="AS3665" s="87"/>
      <c r="AT3665" s="87"/>
      <c r="AU3665" s="87"/>
      <c r="AV3665" s="92" t="str">
        <f>HYPERLINK("https://pbs.twimg.com/profile_images/1678861109263048707/aWzd1JD-_normal.jpg")</f>
        <v>https://pbs.twimg.com/profile_images/1678861109263048707/aWzd1JD-_normal.jpg</v>
      </c>
      <c r="AW3665" s="93" t="s">
        <v>21788</v>
      </c>
      <c r="AX3665" s="93" t="s">
        <v>21788</v>
      </c>
      <c r="AY3665" s="87"/>
      <c r="AZ3665" s="93" t="s">
        <v>22668</v>
      </c>
      <c r="BA3665" s="93" t="s">
        <v>22668</v>
      </c>
      <c r="BB3665" s="93" t="s">
        <v>22668</v>
      </c>
      <c r="BC3665" s="93" t="s">
        <v>21788</v>
      </c>
      <c r="BD3665" s="93" t="s">
        <v>23476</v>
      </c>
      <c r="BE3665" s="87"/>
      <c r="BF3665" s="87"/>
      <c r="BG3665" s="87"/>
      <c r="BH3665" s="87"/>
      <c r="BI3665" s="87"/>
    </row>
    <row r="3666" spans="1:61" x14ac:dyDescent="0.25">
      <c r="A3666" s="63" t="s">
        <v>1395</v>
      </c>
      <c r="B3666" s="63" t="s">
        <v>1395</v>
      </c>
      <c r="C3666" s="64"/>
      <c r="D3666" s="65"/>
      <c r="E3666" s="66"/>
      <c r="F3666" s="67"/>
      <c r="G3666" s="64"/>
      <c r="H3666" s="68"/>
      <c r="I3666" s="69"/>
      <c r="J3666" s="69"/>
      <c r="K3666" s="32"/>
      <c r="L3666" s="76">
        <v>3666</v>
      </c>
      <c r="M3666" s="76"/>
      <c r="N3666" s="71"/>
      <c r="O3666" s="87" t="s">
        <v>179</v>
      </c>
      <c r="P3666" s="90">
        <v>45191.625543981485</v>
      </c>
      <c r="Q3666" s="87" t="s">
        <v>5334</v>
      </c>
      <c r="R3666" s="87">
        <v>0</v>
      </c>
      <c r="S3666" s="87">
        <v>0</v>
      </c>
      <c r="T3666" s="87">
        <v>0</v>
      </c>
      <c r="U3666" s="87">
        <v>0</v>
      </c>
      <c r="V3666" s="87">
        <v>20</v>
      </c>
      <c r="W3666" s="93" t="s">
        <v>7983</v>
      </c>
      <c r="X3666" s="87"/>
      <c r="Y3666" s="87"/>
      <c r="Z3666" s="87"/>
      <c r="AA3666" s="87" t="s">
        <v>11117</v>
      </c>
      <c r="AB3666" s="87" t="s">
        <v>11447</v>
      </c>
      <c r="AC3666" s="93" t="s">
        <v>11457</v>
      </c>
      <c r="AD3666" s="87" t="s">
        <v>11520</v>
      </c>
      <c r="AE3666" s="92" t="str">
        <f>HYPERLINK("https://twitter.com/viniciu80206889/status/1705235701258674387")</f>
        <v>https://twitter.com/viniciu80206889/status/1705235701258674387</v>
      </c>
      <c r="AF3666" s="90">
        <v>45191.625543981485</v>
      </c>
      <c r="AG3666" s="99">
        <v>45191</v>
      </c>
      <c r="AH3666" s="93" t="s">
        <v>11598</v>
      </c>
      <c r="AI3666" s="87" t="b">
        <v>0</v>
      </c>
      <c r="AJ3666" s="87"/>
      <c r="AK3666" s="87"/>
      <c r="AL3666" s="87"/>
      <c r="AM3666" s="87"/>
      <c r="AN3666" s="87"/>
      <c r="AO3666" s="87"/>
      <c r="AP3666" s="87"/>
      <c r="AQ3666" s="87" t="s">
        <v>17929</v>
      </c>
      <c r="AR3666" s="87">
        <v>60666</v>
      </c>
      <c r="AS3666" s="87"/>
      <c r="AT3666" s="87"/>
      <c r="AU3666" s="87"/>
      <c r="AV3666" s="92" t="str">
        <f>HYPERLINK("https://pbs.twimg.com/ext_tw_video_thumb/1705235613157322752/pu/img/-Z6o_yzCWD2ExWqo.jpg")</f>
        <v>https://pbs.twimg.com/ext_tw_video_thumb/1705235613157322752/pu/img/-Z6o_yzCWD2ExWqo.jpg</v>
      </c>
      <c r="AW3666" s="93" t="s">
        <v>21789</v>
      </c>
      <c r="AX3666" s="93" t="s">
        <v>21789</v>
      </c>
      <c r="AY3666" s="87"/>
      <c r="AZ3666" s="93" t="s">
        <v>22668</v>
      </c>
      <c r="BA3666" s="93" t="s">
        <v>22668</v>
      </c>
      <c r="BB3666" s="93" t="s">
        <v>22668</v>
      </c>
      <c r="BC3666" s="93" t="s">
        <v>21789</v>
      </c>
      <c r="BD3666" s="93" t="s">
        <v>23476</v>
      </c>
      <c r="BE3666" s="87"/>
      <c r="BF3666" s="87"/>
      <c r="BG3666" s="87"/>
      <c r="BH3666" s="87"/>
      <c r="BI3666" s="87"/>
    </row>
    <row r="3667" spans="1:61" x14ac:dyDescent="0.25">
      <c r="A3667" s="63" t="s">
        <v>1395</v>
      </c>
      <c r="B3667" s="63" t="s">
        <v>1395</v>
      </c>
      <c r="C3667" s="64"/>
      <c r="D3667" s="65"/>
      <c r="E3667" s="66"/>
      <c r="F3667" s="67"/>
      <c r="G3667" s="64"/>
      <c r="H3667" s="68"/>
      <c r="I3667" s="69"/>
      <c r="J3667" s="69"/>
      <c r="K3667" s="32"/>
      <c r="L3667" s="76">
        <v>3667</v>
      </c>
      <c r="M3667" s="76"/>
      <c r="N3667" s="71"/>
      <c r="O3667" s="87" t="s">
        <v>179</v>
      </c>
      <c r="P3667" s="90">
        <v>45169.709027777775</v>
      </c>
      <c r="Q3667" s="87" t="s">
        <v>5335</v>
      </c>
      <c r="R3667" s="87">
        <v>0</v>
      </c>
      <c r="S3667" s="87">
        <v>0</v>
      </c>
      <c r="T3667" s="87">
        <v>0</v>
      </c>
      <c r="U3667" s="87">
        <v>0</v>
      </c>
      <c r="V3667" s="87">
        <v>42</v>
      </c>
      <c r="W3667" s="93" t="s">
        <v>6797</v>
      </c>
      <c r="X3667" s="92" t="str">
        <f>HYPERLINK("https://marketingnew.com.br/curso-online-combo-spa-academy/")</f>
        <v>https://marketingnew.com.br/curso-online-combo-spa-academy/</v>
      </c>
      <c r="Y3667" s="87" t="s">
        <v>8373</v>
      </c>
      <c r="Z3667" s="87"/>
      <c r="AA3667" s="87"/>
      <c r="AB3667" s="87"/>
      <c r="AC3667" s="93" t="s">
        <v>11457</v>
      </c>
      <c r="AD3667" s="87" t="s">
        <v>11520</v>
      </c>
      <c r="AE3667" s="92" t="str">
        <f>HYPERLINK("https://twitter.com/viniciu80206889/status/1697293420639703263")</f>
        <v>https://twitter.com/viniciu80206889/status/1697293420639703263</v>
      </c>
      <c r="AF3667" s="90">
        <v>45169.709027777775</v>
      </c>
      <c r="AG3667" s="99">
        <v>45169</v>
      </c>
      <c r="AH3667" s="93" t="s">
        <v>12324</v>
      </c>
      <c r="AI3667" s="87" t="b">
        <v>0</v>
      </c>
      <c r="AJ3667" s="87"/>
      <c r="AK3667" s="87"/>
      <c r="AL3667" s="87"/>
      <c r="AM3667" s="87"/>
      <c r="AN3667" s="87"/>
      <c r="AO3667" s="87"/>
      <c r="AP3667" s="87"/>
      <c r="AQ3667" s="87"/>
      <c r="AR3667" s="87"/>
      <c r="AS3667" s="87"/>
      <c r="AT3667" s="87"/>
      <c r="AU3667" s="87"/>
      <c r="AV3667" s="92" t="str">
        <f>HYPERLINK("https://pbs.twimg.com/profile_images/1678861109263048707/aWzd1JD-_normal.jpg")</f>
        <v>https://pbs.twimg.com/profile_images/1678861109263048707/aWzd1JD-_normal.jpg</v>
      </c>
      <c r="AW3667" s="93" t="s">
        <v>21790</v>
      </c>
      <c r="AX3667" s="93" t="s">
        <v>21790</v>
      </c>
      <c r="AY3667" s="87"/>
      <c r="AZ3667" s="93" t="s">
        <v>22668</v>
      </c>
      <c r="BA3667" s="93" t="s">
        <v>22668</v>
      </c>
      <c r="BB3667" s="93" t="s">
        <v>22668</v>
      </c>
      <c r="BC3667" s="93" t="s">
        <v>21790</v>
      </c>
      <c r="BD3667" s="93" t="s">
        <v>23476</v>
      </c>
      <c r="BE3667" s="87"/>
      <c r="BF3667" s="87"/>
      <c r="BG3667" s="87"/>
      <c r="BH3667" s="87"/>
      <c r="BI3667" s="87"/>
    </row>
    <row r="3668" spans="1:61" x14ac:dyDescent="0.25">
      <c r="A3668" s="63" t="s">
        <v>1395</v>
      </c>
      <c r="B3668" s="63" t="s">
        <v>1395</v>
      </c>
      <c r="C3668" s="64"/>
      <c r="D3668" s="65"/>
      <c r="E3668" s="66"/>
      <c r="F3668" s="67"/>
      <c r="G3668" s="64"/>
      <c r="H3668" s="68"/>
      <c r="I3668" s="69"/>
      <c r="J3668" s="69"/>
      <c r="K3668" s="32"/>
      <c r="L3668" s="76">
        <v>3668</v>
      </c>
      <c r="M3668" s="76"/>
      <c r="N3668" s="71"/>
      <c r="O3668" s="87" t="s">
        <v>179</v>
      </c>
      <c r="P3668" s="90">
        <v>45160.70208333333</v>
      </c>
      <c r="Q3668" s="87" t="s">
        <v>5336</v>
      </c>
      <c r="R3668" s="87">
        <v>0</v>
      </c>
      <c r="S3668" s="87">
        <v>1</v>
      </c>
      <c r="T3668" s="87">
        <v>0</v>
      </c>
      <c r="U3668" s="87">
        <v>0</v>
      </c>
      <c r="V3668" s="87">
        <v>47</v>
      </c>
      <c r="W3668" s="93" t="s">
        <v>6797</v>
      </c>
      <c r="X3668" s="92" t="str">
        <f>HYPERLINK("https://marketingnew.com.br/curso-manutencao-de-notebook/")</f>
        <v>https://marketingnew.com.br/curso-manutencao-de-notebook/</v>
      </c>
      <c r="Y3668" s="87" t="s">
        <v>8373</v>
      </c>
      <c r="Z3668" s="87"/>
      <c r="AA3668" s="87"/>
      <c r="AB3668" s="87"/>
      <c r="AC3668" s="93" t="s">
        <v>11457</v>
      </c>
      <c r="AD3668" s="87" t="s">
        <v>11520</v>
      </c>
      <c r="AE3668" s="92" t="str">
        <f>HYPERLINK("https://twitter.com/viniciu80206889/status/1694029412734214482")</f>
        <v>https://twitter.com/viniciu80206889/status/1694029412734214482</v>
      </c>
      <c r="AF3668" s="90">
        <v>45160.70208333333</v>
      </c>
      <c r="AG3668" s="99">
        <v>45160</v>
      </c>
      <c r="AH3668" s="93" t="s">
        <v>14779</v>
      </c>
      <c r="AI3668" s="87" t="b">
        <v>0</v>
      </c>
      <c r="AJ3668" s="87"/>
      <c r="AK3668" s="87"/>
      <c r="AL3668" s="87"/>
      <c r="AM3668" s="87"/>
      <c r="AN3668" s="87"/>
      <c r="AO3668" s="87"/>
      <c r="AP3668" s="87"/>
      <c r="AQ3668" s="87"/>
      <c r="AR3668" s="87"/>
      <c r="AS3668" s="87"/>
      <c r="AT3668" s="87"/>
      <c r="AU3668" s="87"/>
      <c r="AV3668" s="92" t="str">
        <f>HYPERLINK("https://pbs.twimg.com/profile_images/1678861109263048707/aWzd1JD-_normal.jpg")</f>
        <v>https://pbs.twimg.com/profile_images/1678861109263048707/aWzd1JD-_normal.jpg</v>
      </c>
      <c r="AW3668" s="93" t="s">
        <v>21791</v>
      </c>
      <c r="AX3668" s="93" t="s">
        <v>21791</v>
      </c>
      <c r="AY3668" s="87"/>
      <c r="AZ3668" s="93" t="s">
        <v>22668</v>
      </c>
      <c r="BA3668" s="93" t="s">
        <v>22668</v>
      </c>
      <c r="BB3668" s="93" t="s">
        <v>22668</v>
      </c>
      <c r="BC3668" s="93" t="s">
        <v>21791</v>
      </c>
      <c r="BD3668" s="93" t="s">
        <v>23476</v>
      </c>
      <c r="BE3668" s="87"/>
      <c r="BF3668" s="87"/>
      <c r="BG3668" s="87"/>
      <c r="BH3668" s="87"/>
      <c r="BI3668" s="87"/>
    </row>
    <row r="3669" spans="1:61" x14ac:dyDescent="0.25">
      <c r="A3669" s="63" t="s">
        <v>1395</v>
      </c>
      <c r="B3669" s="63" t="s">
        <v>1395</v>
      </c>
      <c r="C3669" s="64"/>
      <c r="D3669" s="65"/>
      <c r="E3669" s="66"/>
      <c r="F3669" s="67"/>
      <c r="G3669" s="64"/>
      <c r="H3669" s="68"/>
      <c r="I3669" s="69"/>
      <c r="J3669" s="69"/>
      <c r="K3669" s="32"/>
      <c r="L3669" s="76">
        <v>3669</v>
      </c>
      <c r="M3669" s="76"/>
      <c r="N3669" s="71"/>
      <c r="O3669" s="87" t="s">
        <v>179</v>
      </c>
      <c r="P3669" s="90">
        <v>45157.699305555558</v>
      </c>
      <c r="Q3669" s="87" t="s">
        <v>5337</v>
      </c>
      <c r="R3669" s="87">
        <v>0</v>
      </c>
      <c r="S3669" s="87">
        <v>2</v>
      </c>
      <c r="T3669" s="87">
        <v>0</v>
      </c>
      <c r="U3669" s="87">
        <v>0</v>
      </c>
      <c r="V3669" s="87">
        <v>128</v>
      </c>
      <c r="W3669" s="93" t="s">
        <v>6797</v>
      </c>
      <c r="X3669" s="92" t="str">
        <f>HYPERLINK("https://marketingnew.com.br/concursos-publicos/")</f>
        <v>https://marketingnew.com.br/concursos-publicos/</v>
      </c>
      <c r="Y3669" s="87" t="s">
        <v>8373</v>
      </c>
      <c r="Z3669" s="87"/>
      <c r="AA3669" s="87"/>
      <c r="AB3669" s="87"/>
      <c r="AC3669" s="93" t="s">
        <v>11457</v>
      </c>
      <c r="AD3669" s="87" t="s">
        <v>11520</v>
      </c>
      <c r="AE3669" s="92" t="str">
        <f>HYPERLINK("https://twitter.com/viniciu80206889/status/1692941242500620296")</f>
        <v>https://twitter.com/viniciu80206889/status/1692941242500620296</v>
      </c>
      <c r="AF3669" s="90">
        <v>45157.699305555558</v>
      </c>
      <c r="AG3669" s="99">
        <v>45157</v>
      </c>
      <c r="AH3669" s="93" t="s">
        <v>14780</v>
      </c>
      <c r="AI3669" s="87" t="b">
        <v>0</v>
      </c>
      <c r="AJ3669" s="87"/>
      <c r="AK3669" s="87"/>
      <c r="AL3669" s="87"/>
      <c r="AM3669" s="87"/>
      <c r="AN3669" s="87"/>
      <c r="AO3669" s="87"/>
      <c r="AP3669" s="87"/>
      <c r="AQ3669" s="87"/>
      <c r="AR3669" s="87"/>
      <c r="AS3669" s="87"/>
      <c r="AT3669" s="87"/>
      <c r="AU3669" s="87"/>
      <c r="AV3669" s="92" t="str">
        <f>HYPERLINK("https://pbs.twimg.com/profile_images/1678861109263048707/aWzd1JD-_normal.jpg")</f>
        <v>https://pbs.twimg.com/profile_images/1678861109263048707/aWzd1JD-_normal.jpg</v>
      </c>
      <c r="AW3669" s="93" t="s">
        <v>21792</v>
      </c>
      <c r="AX3669" s="93" t="s">
        <v>21792</v>
      </c>
      <c r="AY3669" s="87"/>
      <c r="AZ3669" s="93" t="s">
        <v>22668</v>
      </c>
      <c r="BA3669" s="93" t="s">
        <v>22668</v>
      </c>
      <c r="BB3669" s="93" t="s">
        <v>22668</v>
      </c>
      <c r="BC3669" s="93" t="s">
        <v>21792</v>
      </c>
      <c r="BD3669" s="93" t="s">
        <v>23476</v>
      </c>
      <c r="BE3669" s="87"/>
      <c r="BF3669" s="87"/>
      <c r="BG3669" s="87"/>
      <c r="BH3669" s="87"/>
      <c r="BI3669" s="87"/>
    </row>
    <row r="3670" spans="1:61" x14ac:dyDescent="0.25">
      <c r="A3670" s="63" t="s">
        <v>1395</v>
      </c>
      <c r="B3670" s="63" t="s">
        <v>1395</v>
      </c>
      <c r="C3670" s="64"/>
      <c r="D3670" s="65"/>
      <c r="E3670" s="66"/>
      <c r="F3670" s="67"/>
      <c r="G3670" s="64"/>
      <c r="H3670" s="68"/>
      <c r="I3670" s="69"/>
      <c r="J3670" s="69"/>
      <c r="K3670" s="32"/>
      <c r="L3670" s="76">
        <v>3670</v>
      </c>
      <c r="M3670" s="76"/>
      <c r="N3670" s="71"/>
      <c r="O3670" s="87" t="s">
        <v>179</v>
      </c>
      <c r="P3670" s="90">
        <v>45156.697916666664</v>
      </c>
      <c r="Q3670" s="87" t="s">
        <v>5338</v>
      </c>
      <c r="R3670" s="87">
        <v>0</v>
      </c>
      <c r="S3670" s="87">
        <v>3</v>
      </c>
      <c r="T3670" s="87">
        <v>0</v>
      </c>
      <c r="U3670" s="87">
        <v>0</v>
      </c>
      <c r="V3670" s="87">
        <v>140</v>
      </c>
      <c r="W3670" s="93" t="s">
        <v>6797</v>
      </c>
      <c r="X3670" s="92" t="str">
        <f>HYPERLINK("https://marketingnew.com.br/escola-de-necropsia/")</f>
        <v>https://marketingnew.com.br/escola-de-necropsia/</v>
      </c>
      <c r="Y3670" s="87" t="s">
        <v>8373</v>
      </c>
      <c r="Z3670" s="87"/>
      <c r="AA3670" s="87"/>
      <c r="AB3670" s="87"/>
      <c r="AC3670" s="93" t="s">
        <v>11457</v>
      </c>
      <c r="AD3670" s="87" t="s">
        <v>11520</v>
      </c>
      <c r="AE3670" s="92" t="str">
        <f>HYPERLINK("https://twitter.com/viniciu80206889/status/1692578351796437205")</f>
        <v>https://twitter.com/viniciu80206889/status/1692578351796437205</v>
      </c>
      <c r="AF3670" s="90">
        <v>45156.697916666664</v>
      </c>
      <c r="AG3670" s="99">
        <v>45156</v>
      </c>
      <c r="AH3670" s="93" t="s">
        <v>14781</v>
      </c>
      <c r="AI3670" s="87" t="b">
        <v>0</v>
      </c>
      <c r="AJ3670" s="87"/>
      <c r="AK3670" s="87"/>
      <c r="AL3670" s="87"/>
      <c r="AM3670" s="87"/>
      <c r="AN3670" s="87"/>
      <c r="AO3670" s="87"/>
      <c r="AP3670" s="87"/>
      <c r="AQ3670" s="87"/>
      <c r="AR3670" s="87"/>
      <c r="AS3670" s="87"/>
      <c r="AT3670" s="87"/>
      <c r="AU3670" s="87"/>
      <c r="AV3670" s="92" t="str">
        <f>HYPERLINK("https://pbs.twimg.com/profile_images/1678861109263048707/aWzd1JD-_normal.jpg")</f>
        <v>https://pbs.twimg.com/profile_images/1678861109263048707/aWzd1JD-_normal.jpg</v>
      </c>
      <c r="AW3670" s="93" t="s">
        <v>21793</v>
      </c>
      <c r="AX3670" s="93" t="s">
        <v>21793</v>
      </c>
      <c r="AY3670" s="87"/>
      <c r="AZ3670" s="93" t="s">
        <v>22668</v>
      </c>
      <c r="BA3670" s="93" t="s">
        <v>22668</v>
      </c>
      <c r="BB3670" s="93" t="s">
        <v>22668</v>
      </c>
      <c r="BC3670" s="93" t="s">
        <v>21793</v>
      </c>
      <c r="BD3670" s="93" t="s">
        <v>23476</v>
      </c>
      <c r="BE3670" s="87"/>
      <c r="BF3670" s="87"/>
      <c r="BG3670" s="87"/>
      <c r="BH3670" s="87"/>
      <c r="BI3670" s="87"/>
    </row>
    <row r="3671" spans="1:61" x14ac:dyDescent="0.25">
      <c r="A3671" s="63" t="s">
        <v>1395</v>
      </c>
      <c r="B3671" s="63" t="s">
        <v>1395</v>
      </c>
      <c r="C3671" s="64"/>
      <c r="D3671" s="65"/>
      <c r="E3671" s="66"/>
      <c r="F3671" s="67"/>
      <c r="G3671" s="64"/>
      <c r="H3671" s="68"/>
      <c r="I3671" s="69"/>
      <c r="J3671" s="69"/>
      <c r="K3671" s="32"/>
      <c r="L3671" s="76">
        <v>3671</v>
      </c>
      <c r="M3671" s="76"/>
      <c r="N3671" s="71"/>
      <c r="O3671" s="87" t="s">
        <v>179</v>
      </c>
      <c r="P3671" s="90">
        <v>45191.624398148146</v>
      </c>
      <c r="Q3671" s="87" t="s">
        <v>5339</v>
      </c>
      <c r="R3671" s="87">
        <v>0</v>
      </c>
      <c r="S3671" s="87">
        <v>0</v>
      </c>
      <c r="T3671" s="87">
        <v>0</v>
      </c>
      <c r="U3671" s="87">
        <v>0</v>
      </c>
      <c r="V3671" s="87">
        <v>18</v>
      </c>
      <c r="W3671" s="93" t="s">
        <v>7983</v>
      </c>
      <c r="X3671" s="87"/>
      <c r="Y3671" s="87"/>
      <c r="Z3671" s="87"/>
      <c r="AA3671" s="87" t="s">
        <v>11118</v>
      </c>
      <c r="AB3671" s="87" t="s">
        <v>11447</v>
      </c>
      <c r="AC3671" s="93" t="s">
        <v>11457</v>
      </c>
      <c r="AD3671" s="87" t="s">
        <v>11520</v>
      </c>
      <c r="AE3671" s="92" t="str">
        <f>HYPERLINK("https://twitter.com/viniciu80206889/status/1705235284986634729")</f>
        <v>https://twitter.com/viniciu80206889/status/1705235284986634729</v>
      </c>
      <c r="AF3671" s="90">
        <v>45191.624398148146</v>
      </c>
      <c r="AG3671" s="99">
        <v>45191</v>
      </c>
      <c r="AH3671" s="93" t="s">
        <v>14782</v>
      </c>
      <c r="AI3671" s="87" t="b">
        <v>0</v>
      </c>
      <c r="AJ3671" s="87"/>
      <c r="AK3671" s="87"/>
      <c r="AL3671" s="87"/>
      <c r="AM3671" s="87"/>
      <c r="AN3671" s="87"/>
      <c r="AO3671" s="87"/>
      <c r="AP3671" s="87"/>
      <c r="AQ3671" s="87" t="s">
        <v>17930</v>
      </c>
      <c r="AR3671" s="87">
        <v>64099</v>
      </c>
      <c r="AS3671" s="87"/>
      <c r="AT3671" s="87"/>
      <c r="AU3671" s="87"/>
      <c r="AV3671" s="92" t="str">
        <f>HYPERLINK("https://pbs.twimg.com/ext_tw_video_thumb/1705235196558086144/pu/img/SeOrcXAobRvfSwtN.jpg")</f>
        <v>https://pbs.twimg.com/ext_tw_video_thumb/1705235196558086144/pu/img/SeOrcXAobRvfSwtN.jpg</v>
      </c>
      <c r="AW3671" s="93" t="s">
        <v>21794</v>
      </c>
      <c r="AX3671" s="93" t="s">
        <v>21794</v>
      </c>
      <c r="AY3671" s="87"/>
      <c r="AZ3671" s="93" t="s">
        <v>22668</v>
      </c>
      <c r="BA3671" s="93" t="s">
        <v>22668</v>
      </c>
      <c r="BB3671" s="93" t="s">
        <v>22668</v>
      </c>
      <c r="BC3671" s="93" t="s">
        <v>21794</v>
      </c>
      <c r="BD3671" s="93" t="s">
        <v>23476</v>
      </c>
      <c r="BE3671" s="87"/>
      <c r="BF3671" s="87"/>
      <c r="BG3671" s="87"/>
      <c r="BH3671" s="87"/>
      <c r="BI3671" s="87"/>
    </row>
    <row r="3672" spans="1:61" x14ac:dyDescent="0.25">
      <c r="A3672" s="63" t="s">
        <v>1395</v>
      </c>
      <c r="B3672" s="63" t="s">
        <v>1395</v>
      </c>
      <c r="C3672" s="64"/>
      <c r="D3672" s="65"/>
      <c r="E3672" s="66"/>
      <c r="F3672" s="67"/>
      <c r="G3672" s="64"/>
      <c r="H3672" s="68"/>
      <c r="I3672" s="69"/>
      <c r="J3672" s="69"/>
      <c r="K3672" s="32"/>
      <c r="L3672" s="76">
        <v>3672</v>
      </c>
      <c r="M3672" s="76"/>
      <c r="N3672" s="71"/>
      <c r="O3672" s="87" t="s">
        <v>179</v>
      </c>
      <c r="P3672" s="90">
        <v>45155.696527777778</v>
      </c>
      <c r="Q3672" s="87" t="s">
        <v>5340</v>
      </c>
      <c r="R3672" s="87">
        <v>0</v>
      </c>
      <c r="S3672" s="87">
        <v>3</v>
      </c>
      <c r="T3672" s="87">
        <v>0</v>
      </c>
      <c r="U3672" s="87">
        <v>0</v>
      </c>
      <c r="V3672" s="87">
        <v>132</v>
      </c>
      <c r="W3672" s="93" t="s">
        <v>6797</v>
      </c>
      <c r="X3672" s="92" t="str">
        <f>HYPERLINK("https://marketingnew.com.br/curso-passando-na-oab/")</f>
        <v>https://marketingnew.com.br/curso-passando-na-oab/</v>
      </c>
      <c r="Y3672" s="87" t="s">
        <v>8373</v>
      </c>
      <c r="Z3672" s="87"/>
      <c r="AA3672" s="87"/>
      <c r="AB3672" s="87"/>
      <c r="AC3672" s="93" t="s">
        <v>11457</v>
      </c>
      <c r="AD3672" s="87" t="s">
        <v>11520</v>
      </c>
      <c r="AE3672" s="92" t="str">
        <f>HYPERLINK("https://twitter.com/viniciu80206889/status/1692215460157358315")</f>
        <v>https://twitter.com/viniciu80206889/status/1692215460157358315</v>
      </c>
      <c r="AF3672" s="90">
        <v>45155.696527777778</v>
      </c>
      <c r="AG3672" s="99">
        <v>45155</v>
      </c>
      <c r="AH3672" s="93" t="s">
        <v>14783</v>
      </c>
      <c r="AI3672" s="87" t="b">
        <v>0</v>
      </c>
      <c r="AJ3672" s="87"/>
      <c r="AK3672" s="87"/>
      <c r="AL3672" s="87"/>
      <c r="AM3672" s="87"/>
      <c r="AN3672" s="87"/>
      <c r="AO3672" s="87"/>
      <c r="AP3672" s="87"/>
      <c r="AQ3672" s="87"/>
      <c r="AR3672" s="87"/>
      <c r="AS3672" s="87"/>
      <c r="AT3672" s="87"/>
      <c r="AU3672" s="87"/>
      <c r="AV3672" s="92" t="str">
        <f>HYPERLINK("https://pbs.twimg.com/profile_images/1678861109263048707/aWzd1JD-_normal.jpg")</f>
        <v>https://pbs.twimg.com/profile_images/1678861109263048707/aWzd1JD-_normal.jpg</v>
      </c>
      <c r="AW3672" s="93" t="s">
        <v>21795</v>
      </c>
      <c r="AX3672" s="93" t="s">
        <v>21795</v>
      </c>
      <c r="AY3672" s="87"/>
      <c r="AZ3672" s="93" t="s">
        <v>22668</v>
      </c>
      <c r="BA3672" s="93" t="s">
        <v>22668</v>
      </c>
      <c r="BB3672" s="93" t="s">
        <v>22668</v>
      </c>
      <c r="BC3672" s="93" t="s">
        <v>21795</v>
      </c>
      <c r="BD3672" s="93" t="s">
        <v>23476</v>
      </c>
      <c r="BE3672" s="87"/>
      <c r="BF3672" s="87"/>
      <c r="BG3672" s="87"/>
      <c r="BH3672" s="87"/>
      <c r="BI3672" s="87"/>
    </row>
    <row r="3673" spans="1:61" x14ac:dyDescent="0.25">
      <c r="A3673" s="63" t="s">
        <v>1395</v>
      </c>
      <c r="B3673" s="63" t="s">
        <v>1395</v>
      </c>
      <c r="C3673" s="64"/>
      <c r="D3673" s="65"/>
      <c r="E3673" s="66"/>
      <c r="F3673" s="67"/>
      <c r="G3673" s="64"/>
      <c r="H3673" s="68"/>
      <c r="I3673" s="69"/>
      <c r="J3673" s="69"/>
      <c r="K3673" s="32"/>
      <c r="L3673" s="76">
        <v>3673</v>
      </c>
      <c r="M3673" s="76"/>
      <c r="N3673" s="71"/>
      <c r="O3673" s="87" t="s">
        <v>179</v>
      </c>
      <c r="P3673" s="90">
        <v>45192.671365740738</v>
      </c>
      <c r="Q3673" s="87" t="s">
        <v>5341</v>
      </c>
      <c r="R3673" s="87">
        <v>0</v>
      </c>
      <c r="S3673" s="87">
        <v>0</v>
      </c>
      <c r="T3673" s="87">
        <v>0</v>
      </c>
      <c r="U3673" s="87">
        <v>0</v>
      </c>
      <c r="V3673" s="87">
        <v>37</v>
      </c>
      <c r="W3673" s="93" t="s">
        <v>6802</v>
      </c>
      <c r="X3673" s="87"/>
      <c r="Y3673" s="87"/>
      <c r="Z3673" s="87"/>
      <c r="AA3673" s="87" t="s">
        <v>11119</v>
      </c>
      <c r="AB3673" s="87" t="s">
        <v>11447</v>
      </c>
      <c r="AC3673" s="93" t="s">
        <v>11457</v>
      </c>
      <c r="AD3673" s="87" t="s">
        <v>11520</v>
      </c>
      <c r="AE3673" s="92" t="str">
        <f>HYPERLINK("https://twitter.com/viniciu80206889/status/1705614694180892804")</f>
        <v>https://twitter.com/viniciu80206889/status/1705614694180892804</v>
      </c>
      <c r="AF3673" s="90">
        <v>45192.671365740738</v>
      </c>
      <c r="AG3673" s="99">
        <v>45192</v>
      </c>
      <c r="AH3673" s="93" t="s">
        <v>12036</v>
      </c>
      <c r="AI3673" s="87" t="b">
        <v>0</v>
      </c>
      <c r="AJ3673" s="87"/>
      <c r="AK3673" s="87"/>
      <c r="AL3673" s="87"/>
      <c r="AM3673" s="87"/>
      <c r="AN3673" s="87"/>
      <c r="AO3673" s="87"/>
      <c r="AP3673" s="87"/>
      <c r="AQ3673" s="87" t="s">
        <v>17931</v>
      </c>
      <c r="AR3673" s="87">
        <v>33080</v>
      </c>
      <c r="AS3673" s="87"/>
      <c r="AT3673" s="87"/>
      <c r="AU3673" s="87"/>
      <c r="AV3673" s="92" t="str">
        <f>HYPERLINK("https://pbs.twimg.com/ext_tw_video_thumb/1705614591961501697/pu/img/tlFMAXI0MZpCaKG7.jpg")</f>
        <v>https://pbs.twimg.com/ext_tw_video_thumb/1705614591961501697/pu/img/tlFMAXI0MZpCaKG7.jpg</v>
      </c>
      <c r="AW3673" s="93" t="s">
        <v>21796</v>
      </c>
      <c r="AX3673" s="93" t="s">
        <v>21796</v>
      </c>
      <c r="AY3673" s="87"/>
      <c r="AZ3673" s="93" t="s">
        <v>22668</v>
      </c>
      <c r="BA3673" s="93" t="s">
        <v>22668</v>
      </c>
      <c r="BB3673" s="93" t="s">
        <v>22668</v>
      </c>
      <c r="BC3673" s="93" t="s">
        <v>21796</v>
      </c>
      <c r="BD3673" s="93" t="s">
        <v>23476</v>
      </c>
      <c r="BE3673" s="87"/>
      <c r="BF3673" s="87"/>
      <c r="BG3673" s="87"/>
      <c r="BH3673" s="87"/>
      <c r="BI3673" s="87"/>
    </row>
    <row r="3674" spans="1:61" x14ac:dyDescent="0.25">
      <c r="A3674" s="63" t="s">
        <v>1395</v>
      </c>
      <c r="B3674" s="63" t="s">
        <v>1395</v>
      </c>
      <c r="C3674" s="64"/>
      <c r="D3674" s="65"/>
      <c r="E3674" s="66"/>
      <c r="F3674" s="67"/>
      <c r="G3674" s="64"/>
      <c r="H3674" s="68"/>
      <c r="I3674" s="69"/>
      <c r="J3674" s="69"/>
      <c r="K3674" s="32"/>
      <c r="L3674" s="76">
        <v>3674</v>
      </c>
      <c r="M3674" s="76"/>
      <c r="N3674" s="71"/>
      <c r="O3674" s="87" t="s">
        <v>179</v>
      </c>
      <c r="P3674" s="90">
        <v>45168.708356481482</v>
      </c>
      <c r="Q3674" s="87" t="s">
        <v>5342</v>
      </c>
      <c r="R3674" s="87">
        <v>0</v>
      </c>
      <c r="S3674" s="87">
        <v>1</v>
      </c>
      <c r="T3674" s="87">
        <v>0</v>
      </c>
      <c r="U3674" s="87">
        <v>0</v>
      </c>
      <c r="V3674" s="87">
        <v>29</v>
      </c>
      <c r="W3674" s="93" t="s">
        <v>6797</v>
      </c>
      <c r="X3674" s="92" t="str">
        <f>HYPERLINK("https://marketingnew.com.br/curso-cabeleireira-basica-online/")</f>
        <v>https://marketingnew.com.br/curso-cabeleireira-basica-online/</v>
      </c>
      <c r="Y3674" s="87" t="s">
        <v>8373</v>
      </c>
      <c r="Z3674" s="87"/>
      <c r="AA3674" s="87"/>
      <c r="AB3674" s="87"/>
      <c r="AC3674" s="93" t="s">
        <v>11457</v>
      </c>
      <c r="AD3674" s="87" t="s">
        <v>11520</v>
      </c>
      <c r="AE3674" s="92" t="str">
        <f>HYPERLINK("https://twitter.com/viniciu80206889/status/1696930788711797064")</f>
        <v>https://twitter.com/viniciu80206889/status/1696930788711797064</v>
      </c>
      <c r="AF3674" s="90">
        <v>45168.708356481482</v>
      </c>
      <c r="AG3674" s="99">
        <v>45168</v>
      </c>
      <c r="AH3674" s="93" t="s">
        <v>12877</v>
      </c>
      <c r="AI3674" s="87" t="b">
        <v>0</v>
      </c>
      <c r="AJ3674" s="87"/>
      <c r="AK3674" s="87"/>
      <c r="AL3674" s="87"/>
      <c r="AM3674" s="87"/>
      <c r="AN3674" s="87"/>
      <c r="AO3674" s="87"/>
      <c r="AP3674" s="87"/>
      <c r="AQ3674" s="87"/>
      <c r="AR3674" s="87"/>
      <c r="AS3674" s="87"/>
      <c r="AT3674" s="87"/>
      <c r="AU3674" s="87"/>
      <c r="AV3674" s="92" t="str">
        <f>HYPERLINK("https://pbs.twimg.com/profile_images/1678861109263048707/aWzd1JD-_normal.jpg")</f>
        <v>https://pbs.twimg.com/profile_images/1678861109263048707/aWzd1JD-_normal.jpg</v>
      </c>
      <c r="AW3674" s="93" t="s">
        <v>21797</v>
      </c>
      <c r="AX3674" s="93" t="s">
        <v>21797</v>
      </c>
      <c r="AY3674" s="87"/>
      <c r="AZ3674" s="93" t="s">
        <v>22668</v>
      </c>
      <c r="BA3674" s="93" t="s">
        <v>22668</v>
      </c>
      <c r="BB3674" s="93" t="s">
        <v>22668</v>
      </c>
      <c r="BC3674" s="93" t="s">
        <v>21797</v>
      </c>
      <c r="BD3674" s="93" t="s">
        <v>23476</v>
      </c>
      <c r="BE3674" s="87"/>
      <c r="BF3674" s="87"/>
      <c r="BG3674" s="87"/>
      <c r="BH3674" s="87"/>
      <c r="BI3674" s="87"/>
    </row>
    <row r="3675" spans="1:61" x14ac:dyDescent="0.25">
      <c r="A3675" s="63" t="s">
        <v>1395</v>
      </c>
      <c r="B3675" s="63" t="s">
        <v>1395</v>
      </c>
      <c r="C3675" s="64"/>
      <c r="D3675" s="65"/>
      <c r="E3675" s="66"/>
      <c r="F3675" s="67"/>
      <c r="G3675" s="64"/>
      <c r="H3675" s="68"/>
      <c r="I3675" s="69"/>
      <c r="J3675" s="69"/>
      <c r="K3675" s="32"/>
      <c r="L3675" s="76">
        <v>3675</v>
      </c>
      <c r="M3675" s="76"/>
      <c r="N3675" s="71"/>
      <c r="O3675" s="87" t="s">
        <v>179</v>
      </c>
      <c r="P3675" s="90">
        <v>45154.694444444445</v>
      </c>
      <c r="Q3675" s="87" t="s">
        <v>5343</v>
      </c>
      <c r="R3675" s="87">
        <v>1</v>
      </c>
      <c r="S3675" s="87">
        <v>3</v>
      </c>
      <c r="T3675" s="87">
        <v>0</v>
      </c>
      <c r="U3675" s="87">
        <v>0</v>
      </c>
      <c r="V3675" s="87">
        <v>109</v>
      </c>
      <c r="W3675" s="93" t="s">
        <v>6797</v>
      </c>
      <c r="X3675" s="92" t="str">
        <f>HYPERLINK("https://marketingnew.com.br/curso-design-canvas-profissional/")</f>
        <v>https://marketingnew.com.br/curso-design-canvas-profissional/</v>
      </c>
      <c r="Y3675" s="87" t="s">
        <v>8373</v>
      </c>
      <c r="Z3675" s="87"/>
      <c r="AA3675" s="87"/>
      <c r="AB3675" s="87"/>
      <c r="AC3675" s="93" t="s">
        <v>11457</v>
      </c>
      <c r="AD3675" s="87" t="s">
        <v>11520</v>
      </c>
      <c r="AE3675" s="92" t="str">
        <f>HYPERLINK("https://twitter.com/viniciu80206889/status/1691852317472043343")</f>
        <v>https://twitter.com/viniciu80206889/status/1691852317472043343</v>
      </c>
      <c r="AF3675" s="90">
        <v>45154.694444444445</v>
      </c>
      <c r="AG3675" s="99">
        <v>45154</v>
      </c>
      <c r="AH3675" s="93" t="s">
        <v>12425</v>
      </c>
      <c r="AI3675" s="87" t="b">
        <v>0</v>
      </c>
      <c r="AJ3675" s="87"/>
      <c r="AK3675" s="87"/>
      <c r="AL3675" s="87"/>
      <c r="AM3675" s="87"/>
      <c r="AN3675" s="87"/>
      <c r="AO3675" s="87"/>
      <c r="AP3675" s="87"/>
      <c r="AQ3675" s="87"/>
      <c r="AR3675" s="87"/>
      <c r="AS3675" s="87"/>
      <c r="AT3675" s="87"/>
      <c r="AU3675" s="87"/>
      <c r="AV3675" s="92" t="str">
        <f>HYPERLINK("https://pbs.twimg.com/profile_images/1678861109263048707/aWzd1JD-_normal.jpg")</f>
        <v>https://pbs.twimg.com/profile_images/1678861109263048707/aWzd1JD-_normal.jpg</v>
      </c>
      <c r="AW3675" s="93" t="s">
        <v>21798</v>
      </c>
      <c r="AX3675" s="93" t="s">
        <v>21798</v>
      </c>
      <c r="AY3675" s="87"/>
      <c r="AZ3675" s="93" t="s">
        <v>22668</v>
      </c>
      <c r="BA3675" s="93" t="s">
        <v>22668</v>
      </c>
      <c r="BB3675" s="93" t="s">
        <v>22668</v>
      </c>
      <c r="BC3675" s="93" t="s">
        <v>21798</v>
      </c>
      <c r="BD3675" s="93" t="s">
        <v>23476</v>
      </c>
      <c r="BE3675" s="87"/>
      <c r="BF3675" s="87"/>
      <c r="BG3675" s="87"/>
      <c r="BH3675" s="87"/>
      <c r="BI3675" s="87"/>
    </row>
    <row r="3676" spans="1:61" x14ac:dyDescent="0.25">
      <c r="A3676" s="63" t="s">
        <v>1395</v>
      </c>
      <c r="B3676" s="63" t="s">
        <v>1395</v>
      </c>
      <c r="C3676" s="64"/>
      <c r="D3676" s="65"/>
      <c r="E3676" s="66"/>
      <c r="F3676" s="67"/>
      <c r="G3676" s="64"/>
      <c r="H3676" s="68"/>
      <c r="I3676" s="69"/>
      <c r="J3676" s="69"/>
      <c r="K3676" s="32"/>
      <c r="L3676" s="76">
        <v>3676</v>
      </c>
      <c r="M3676" s="76"/>
      <c r="N3676" s="71"/>
      <c r="O3676" s="87" t="s">
        <v>179</v>
      </c>
      <c r="P3676" s="90">
        <v>45153.693055555559</v>
      </c>
      <c r="Q3676" s="87" t="s">
        <v>5344</v>
      </c>
      <c r="R3676" s="87">
        <v>0</v>
      </c>
      <c r="S3676" s="87">
        <v>3</v>
      </c>
      <c r="T3676" s="87">
        <v>0</v>
      </c>
      <c r="U3676" s="87">
        <v>0</v>
      </c>
      <c r="V3676" s="87">
        <v>102</v>
      </c>
      <c r="W3676" s="93" t="s">
        <v>6797</v>
      </c>
      <c r="X3676" s="92" t="str">
        <f>HYPERLINK("https://marketingnew.com.br/pack-artes-editaveis-para-instagram/")</f>
        <v>https://marketingnew.com.br/pack-artes-editaveis-para-instagram/</v>
      </c>
      <c r="Y3676" s="87" t="s">
        <v>8373</v>
      </c>
      <c r="Z3676" s="87"/>
      <c r="AA3676" s="87"/>
      <c r="AB3676" s="87"/>
      <c r="AC3676" s="93" t="s">
        <v>11457</v>
      </c>
      <c r="AD3676" s="87" t="s">
        <v>11520</v>
      </c>
      <c r="AE3676" s="92" t="str">
        <f>HYPERLINK("https://twitter.com/viniciu80206889/status/1691489426206322688")</f>
        <v>https://twitter.com/viniciu80206889/status/1691489426206322688</v>
      </c>
      <c r="AF3676" s="90">
        <v>45153.693055555559</v>
      </c>
      <c r="AG3676" s="99">
        <v>45153</v>
      </c>
      <c r="AH3676" s="93" t="s">
        <v>12442</v>
      </c>
      <c r="AI3676" s="87" t="b">
        <v>0</v>
      </c>
      <c r="AJ3676" s="87"/>
      <c r="AK3676" s="87"/>
      <c r="AL3676" s="87"/>
      <c r="AM3676" s="87"/>
      <c r="AN3676" s="87"/>
      <c r="AO3676" s="87"/>
      <c r="AP3676" s="87"/>
      <c r="AQ3676" s="87"/>
      <c r="AR3676" s="87"/>
      <c r="AS3676" s="87"/>
      <c r="AT3676" s="87"/>
      <c r="AU3676" s="87"/>
      <c r="AV3676" s="92" t="str">
        <f>HYPERLINK("https://pbs.twimg.com/profile_images/1678861109263048707/aWzd1JD-_normal.jpg")</f>
        <v>https://pbs.twimg.com/profile_images/1678861109263048707/aWzd1JD-_normal.jpg</v>
      </c>
      <c r="AW3676" s="93" t="s">
        <v>21799</v>
      </c>
      <c r="AX3676" s="93" t="s">
        <v>21799</v>
      </c>
      <c r="AY3676" s="87"/>
      <c r="AZ3676" s="93" t="s">
        <v>22668</v>
      </c>
      <c r="BA3676" s="93" t="s">
        <v>22668</v>
      </c>
      <c r="BB3676" s="93" t="s">
        <v>22668</v>
      </c>
      <c r="BC3676" s="93" t="s">
        <v>21799</v>
      </c>
      <c r="BD3676" s="93" t="s">
        <v>23476</v>
      </c>
      <c r="BE3676" s="87"/>
      <c r="BF3676" s="87"/>
      <c r="BG3676" s="87"/>
      <c r="BH3676" s="87"/>
      <c r="BI3676" s="87"/>
    </row>
    <row r="3677" spans="1:61" x14ac:dyDescent="0.25">
      <c r="A3677" s="63" t="s">
        <v>1396</v>
      </c>
      <c r="B3677" s="63" t="s">
        <v>1396</v>
      </c>
      <c r="C3677" s="64"/>
      <c r="D3677" s="65"/>
      <c r="E3677" s="66"/>
      <c r="F3677" s="67"/>
      <c r="G3677" s="64"/>
      <c r="H3677" s="68"/>
      <c r="I3677" s="69"/>
      <c r="J3677" s="69"/>
      <c r="K3677" s="32"/>
      <c r="L3677" s="76">
        <v>3677</v>
      </c>
      <c r="M3677" s="76"/>
      <c r="N3677" s="71"/>
      <c r="O3677" s="87" t="s">
        <v>179</v>
      </c>
      <c r="P3677" s="90">
        <v>45117.640949074077</v>
      </c>
      <c r="Q3677" s="87" t="s">
        <v>5345</v>
      </c>
      <c r="R3677" s="87">
        <v>0</v>
      </c>
      <c r="S3677" s="87">
        <v>0</v>
      </c>
      <c r="T3677" s="87">
        <v>0</v>
      </c>
      <c r="U3677" s="87">
        <v>0</v>
      </c>
      <c r="V3677" s="87">
        <v>1</v>
      </c>
      <c r="W3677" s="93" t="s">
        <v>5897</v>
      </c>
      <c r="X3677" s="92" t="str">
        <f>HYPERLINK("https://www.portalcbn.com.br/cache/10-tecnicas-para-tornar-o-ambiente-empresarial-mais-produtivo-segundo-especialista.html")</f>
        <v>https://www.portalcbn.com.br/cache/10-tecnicas-para-tornar-o-ambiente-empresarial-mais-produtivo-segundo-especialista.html</v>
      </c>
      <c r="Y3677" s="87" t="s">
        <v>8373</v>
      </c>
      <c r="Z3677" s="87"/>
      <c r="AA3677" s="87"/>
      <c r="AB3677" s="87"/>
      <c r="AC3677" s="93" t="s">
        <v>11514</v>
      </c>
      <c r="AD3677" s="87" t="s">
        <v>11519</v>
      </c>
      <c r="AE3677" s="92" t="str">
        <f>HYPERLINK("https://twitter.com/portalsbn/status/1678424582049648640")</f>
        <v>https://twitter.com/portalsbn/status/1678424582049648640</v>
      </c>
      <c r="AF3677" s="90">
        <v>45117.640949074077</v>
      </c>
      <c r="AG3677" s="99">
        <v>45117</v>
      </c>
      <c r="AH3677" s="93" t="s">
        <v>14784</v>
      </c>
      <c r="AI3677" s="87" t="b">
        <v>0</v>
      </c>
      <c r="AJ3677" s="87"/>
      <c r="AK3677" s="87"/>
      <c r="AL3677" s="87"/>
      <c r="AM3677" s="87"/>
      <c r="AN3677" s="87"/>
      <c r="AO3677" s="87"/>
      <c r="AP3677" s="87"/>
      <c r="AQ3677" s="87"/>
      <c r="AR3677" s="87"/>
      <c r="AS3677" s="87"/>
      <c r="AT3677" s="87"/>
      <c r="AU3677" s="87"/>
      <c r="AV3677" s="92" t="str">
        <f>HYPERLINK("https://pbs.twimg.com/profile_images/751772701942054912/lLajGipZ_normal.jpg")</f>
        <v>https://pbs.twimg.com/profile_images/751772701942054912/lLajGipZ_normal.jpg</v>
      </c>
      <c r="AW3677" s="93" t="s">
        <v>21800</v>
      </c>
      <c r="AX3677" s="93" t="s">
        <v>21800</v>
      </c>
      <c r="AY3677" s="87"/>
      <c r="AZ3677" s="93" t="s">
        <v>22668</v>
      </c>
      <c r="BA3677" s="93" t="s">
        <v>22668</v>
      </c>
      <c r="BB3677" s="93" t="s">
        <v>22668</v>
      </c>
      <c r="BC3677" s="93" t="s">
        <v>21800</v>
      </c>
      <c r="BD3677" s="87">
        <v>339352805</v>
      </c>
      <c r="BE3677" s="87"/>
      <c r="BF3677" s="87"/>
      <c r="BG3677" s="87"/>
      <c r="BH3677" s="87"/>
      <c r="BI3677" s="87"/>
    </row>
    <row r="3678" spans="1:61" x14ac:dyDescent="0.25">
      <c r="A3678" s="63" t="s">
        <v>1397</v>
      </c>
      <c r="B3678" s="63" t="s">
        <v>1397</v>
      </c>
      <c r="C3678" s="64"/>
      <c r="D3678" s="65"/>
      <c r="E3678" s="66"/>
      <c r="F3678" s="67"/>
      <c r="G3678" s="64"/>
      <c r="H3678" s="68"/>
      <c r="I3678" s="69"/>
      <c r="J3678" s="69"/>
      <c r="K3678" s="32"/>
      <c r="L3678" s="76">
        <v>3678</v>
      </c>
      <c r="M3678" s="76"/>
      <c r="N3678" s="71"/>
      <c r="O3678" s="87" t="s">
        <v>179</v>
      </c>
      <c r="P3678" s="90">
        <v>45143.9059837963</v>
      </c>
      <c r="Q3678" s="87" t="s">
        <v>5346</v>
      </c>
      <c r="R3678" s="87">
        <v>0</v>
      </c>
      <c r="S3678" s="87">
        <v>1</v>
      </c>
      <c r="T3678" s="87">
        <v>0</v>
      </c>
      <c r="U3678" s="87">
        <v>0</v>
      </c>
      <c r="V3678" s="87">
        <v>42</v>
      </c>
      <c r="W3678" s="93" t="s">
        <v>7984</v>
      </c>
      <c r="X3678" s="87"/>
      <c r="Y3678" s="87"/>
      <c r="Z3678" s="87"/>
      <c r="AA3678" s="87" t="s">
        <v>11120</v>
      </c>
      <c r="AB3678" s="87" t="s">
        <v>11448</v>
      </c>
      <c r="AC3678" s="93" t="s">
        <v>11459</v>
      </c>
      <c r="AD3678" s="87" t="s">
        <v>11519</v>
      </c>
      <c r="AE3678" s="92" t="str">
        <f>HYPERLINK("https://twitter.com/anabrazilkorea/status/1687942709258948608")</f>
        <v>https://twitter.com/anabrazilkorea/status/1687942709258948608</v>
      </c>
      <c r="AF3678" s="90">
        <v>45143.9059837963</v>
      </c>
      <c r="AG3678" s="99">
        <v>45143</v>
      </c>
      <c r="AH3678" s="93" t="s">
        <v>14785</v>
      </c>
      <c r="AI3678" s="87" t="b">
        <v>0</v>
      </c>
      <c r="AJ3678" s="87"/>
      <c r="AK3678" s="87"/>
      <c r="AL3678" s="87"/>
      <c r="AM3678" s="87"/>
      <c r="AN3678" s="87"/>
      <c r="AO3678" s="87"/>
      <c r="AP3678" s="87"/>
      <c r="AQ3678" s="87" t="s">
        <v>17932</v>
      </c>
      <c r="AR3678" s="87"/>
      <c r="AS3678" s="87"/>
      <c r="AT3678" s="87"/>
      <c r="AU3678" s="87"/>
      <c r="AV3678" s="92" t="str">
        <f>HYPERLINK("https://pbs.twimg.com/media/F2zG8qnWAAEMfIE.jpg")</f>
        <v>https://pbs.twimg.com/media/F2zG8qnWAAEMfIE.jpg</v>
      </c>
      <c r="AW3678" s="93" t="s">
        <v>21801</v>
      </c>
      <c r="AX3678" s="93" t="s">
        <v>21801</v>
      </c>
      <c r="AY3678" s="87"/>
      <c r="AZ3678" s="93" t="s">
        <v>22668</v>
      </c>
      <c r="BA3678" s="93" t="s">
        <v>22668</v>
      </c>
      <c r="BB3678" s="93" t="s">
        <v>22668</v>
      </c>
      <c r="BC3678" s="93" t="s">
        <v>21801</v>
      </c>
      <c r="BD3678" s="93" t="s">
        <v>23477</v>
      </c>
      <c r="BE3678" s="87"/>
      <c r="BF3678" s="87"/>
      <c r="BG3678" s="87"/>
      <c r="BH3678" s="87"/>
      <c r="BI3678" s="87"/>
    </row>
    <row r="3679" spans="1:61" x14ac:dyDescent="0.25">
      <c r="A3679" s="63" t="s">
        <v>1398</v>
      </c>
      <c r="B3679" s="63" t="s">
        <v>1398</v>
      </c>
      <c r="C3679" s="64"/>
      <c r="D3679" s="65"/>
      <c r="E3679" s="66"/>
      <c r="F3679" s="67"/>
      <c r="G3679" s="64"/>
      <c r="H3679" s="68"/>
      <c r="I3679" s="69"/>
      <c r="J3679" s="69"/>
      <c r="K3679" s="32"/>
      <c r="L3679" s="76">
        <v>3679</v>
      </c>
      <c r="M3679" s="76"/>
      <c r="N3679" s="71"/>
      <c r="O3679" s="87" t="s">
        <v>179</v>
      </c>
      <c r="P3679" s="90">
        <v>45134.525196759256</v>
      </c>
      <c r="Q3679" s="87" t="s">
        <v>5347</v>
      </c>
      <c r="R3679" s="87">
        <v>0</v>
      </c>
      <c r="S3679" s="87">
        <v>0</v>
      </c>
      <c r="T3679" s="87">
        <v>0</v>
      </c>
      <c r="U3679" s="87">
        <v>0</v>
      </c>
      <c r="V3679" s="87">
        <v>125</v>
      </c>
      <c r="W3679" s="93" t="s">
        <v>7985</v>
      </c>
      <c r="X3679" s="92" t="str">
        <f>HYPERLINK("https://carreira.eseg.edu.br/evento-grupo-sales")</f>
        <v>https://carreira.eseg.edu.br/evento-grupo-sales</v>
      </c>
      <c r="Y3679" s="87" t="s">
        <v>8419</v>
      </c>
      <c r="Z3679" s="87"/>
      <c r="AA3679" s="87" t="s">
        <v>11121</v>
      </c>
      <c r="AB3679" s="87" t="s">
        <v>11448</v>
      </c>
      <c r="AC3679" s="93" t="s">
        <v>11457</v>
      </c>
      <c r="AD3679" s="87" t="s">
        <v>11519</v>
      </c>
      <c r="AE3679" s="92" t="str">
        <f>HYPERLINK("https://twitter.com/eseg_oficial/status/1684543227632787457")</f>
        <v>https://twitter.com/eseg_oficial/status/1684543227632787457</v>
      </c>
      <c r="AF3679" s="90">
        <v>45134.525196759256</v>
      </c>
      <c r="AG3679" s="99">
        <v>45134</v>
      </c>
      <c r="AH3679" s="93" t="s">
        <v>14786</v>
      </c>
      <c r="AI3679" s="87" t="b">
        <v>0</v>
      </c>
      <c r="AJ3679" s="87"/>
      <c r="AK3679" s="87"/>
      <c r="AL3679" s="87"/>
      <c r="AM3679" s="87"/>
      <c r="AN3679" s="87"/>
      <c r="AO3679" s="87"/>
      <c r="AP3679" s="87"/>
      <c r="AQ3679" s="87" t="s">
        <v>17933</v>
      </c>
      <c r="AR3679" s="87"/>
      <c r="AS3679" s="87"/>
      <c r="AT3679" s="87"/>
      <c r="AU3679" s="87"/>
      <c r="AV3679" s="92" t="str">
        <f>HYPERLINK("https://pbs.twimg.com/media/F2CzDKEWcAEFJRu.jpg")</f>
        <v>https://pbs.twimg.com/media/F2CzDKEWcAEFJRu.jpg</v>
      </c>
      <c r="AW3679" s="93" t="s">
        <v>21802</v>
      </c>
      <c r="AX3679" s="93" t="s">
        <v>21802</v>
      </c>
      <c r="AY3679" s="87"/>
      <c r="AZ3679" s="93" t="s">
        <v>22668</v>
      </c>
      <c r="BA3679" s="93" t="s">
        <v>22668</v>
      </c>
      <c r="BB3679" s="93" t="s">
        <v>22668</v>
      </c>
      <c r="BC3679" s="93" t="s">
        <v>21802</v>
      </c>
      <c r="BD3679" s="93" t="s">
        <v>23478</v>
      </c>
      <c r="BE3679" s="87"/>
      <c r="BF3679" s="87"/>
      <c r="BG3679" s="87"/>
      <c r="BH3679" s="87"/>
      <c r="BI3679" s="87"/>
    </row>
    <row r="3680" spans="1:61" x14ac:dyDescent="0.25">
      <c r="A3680" s="63" t="s">
        <v>1399</v>
      </c>
      <c r="B3680" s="63" t="s">
        <v>1399</v>
      </c>
      <c r="C3680" s="64"/>
      <c r="D3680" s="65"/>
      <c r="E3680" s="66"/>
      <c r="F3680" s="67"/>
      <c r="G3680" s="64"/>
      <c r="H3680" s="68"/>
      <c r="I3680" s="69"/>
      <c r="J3680" s="69"/>
      <c r="K3680" s="32"/>
      <c r="L3680" s="76">
        <v>3680</v>
      </c>
      <c r="M3680" s="76"/>
      <c r="N3680" s="71"/>
      <c r="O3680" s="87" t="s">
        <v>179</v>
      </c>
      <c r="P3680" s="90">
        <v>45119.973715277774</v>
      </c>
      <c r="Q3680" s="87" t="s">
        <v>5348</v>
      </c>
      <c r="R3680" s="87">
        <v>0</v>
      </c>
      <c r="S3680" s="87">
        <v>0</v>
      </c>
      <c r="T3680" s="87">
        <v>0</v>
      </c>
      <c r="U3680" s="87">
        <v>0</v>
      </c>
      <c r="V3680" s="87">
        <v>15</v>
      </c>
      <c r="W3680" s="93" t="s">
        <v>7986</v>
      </c>
      <c r="X3680" s="87"/>
      <c r="Y3680" s="87"/>
      <c r="Z3680" s="87"/>
      <c r="AA3680" s="87" t="s">
        <v>11122</v>
      </c>
      <c r="AB3680" s="87" t="s">
        <v>11448</v>
      </c>
      <c r="AC3680" s="93" t="s">
        <v>11457</v>
      </c>
      <c r="AD3680" s="87" t="s">
        <v>11519</v>
      </c>
      <c r="AE3680" s="92" t="str">
        <f>HYPERLINK("https://twitter.com/mpsrobotica/status/1679269945836724224")</f>
        <v>https://twitter.com/mpsrobotica/status/1679269945836724224</v>
      </c>
      <c r="AF3680" s="90">
        <v>45119.973715277774</v>
      </c>
      <c r="AG3680" s="99">
        <v>45119</v>
      </c>
      <c r="AH3680" s="93" t="s">
        <v>14787</v>
      </c>
      <c r="AI3680" s="87" t="b">
        <v>0</v>
      </c>
      <c r="AJ3680" s="87"/>
      <c r="AK3680" s="87"/>
      <c r="AL3680" s="87"/>
      <c r="AM3680" s="87"/>
      <c r="AN3680" s="87"/>
      <c r="AO3680" s="87"/>
      <c r="AP3680" s="87"/>
      <c r="AQ3680" s="87" t="s">
        <v>17934</v>
      </c>
      <c r="AR3680" s="87"/>
      <c r="AS3680" s="87"/>
      <c r="AT3680" s="87"/>
      <c r="AU3680" s="87"/>
      <c r="AV3680" s="92" t="str">
        <f>HYPERLINK("https://pbs.twimg.com/media/F03248CXwAIMNFp.jpg")</f>
        <v>https://pbs.twimg.com/media/F03248CXwAIMNFp.jpg</v>
      </c>
      <c r="AW3680" s="93" t="s">
        <v>21803</v>
      </c>
      <c r="AX3680" s="93" t="s">
        <v>21803</v>
      </c>
      <c r="AY3680" s="87"/>
      <c r="AZ3680" s="93" t="s">
        <v>22668</v>
      </c>
      <c r="BA3680" s="93" t="s">
        <v>22668</v>
      </c>
      <c r="BB3680" s="93" t="s">
        <v>22668</v>
      </c>
      <c r="BC3680" s="93" t="s">
        <v>21803</v>
      </c>
      <c r="BD3680" s="93" t="s">
        <v>23479</v>
      </c>
      <c r="BE3680" s="87"/>
      <c r="BF3680" s="87"/>
      <c r="BG3680" s="87"/>
      <c r="BH3680" s="87"/>
      <c r="BI3680" s="87"/>
    </row>
    <row r="3681" spans="1:61" x14ac:dyDescent="0.25">
      <c r="A3681" s="63" t="s">
        <v>1400</v>
      </c>
      <c r="B3681" s="63" t="s">
        <v>1400</v>
      </c>
      <c r="C3681" s="64"/>
      <c r="D3681" s="65"/>
      <c r="E3681" s="66"/>
      <c r="F3681" s="67"/>
      <c r="G3681" s="64"/>
      <c r="H3681" s="68"/>
      <c r="I3681" s="69"/>
      <c r="J3681" s="69"/>
      <c r="K3681" s="32"/>
      <c r="L3681" s="76">
        <v>3681</v>
      </c>
      <c r="M3681" s="76"/>
      <c r="N3681" s="71"/>
      <c r="O3681" s="87" t="s">
        <v>179</v>
      </c>
      <c r="P3681" s="90">
        <v>45111.567824074074</v>
      </c>
      <c r="Q3681" s="87" t="s">
        <v>5349</v>
      </c>
      <c r="R3681" s="87">
        <v>0</v>
      </c>
      <c r="S3681" s="87">
        <v>0</v>
      </c>
      <c r="T3681" s="87">
        <v>0</v>
      </c>
      <c r="U3681" s="87">
        <v>0</v>
      </c>
      <c r="V3681" s="87">
        <v>18</v>
      </c>
      <c r="W3681" s="93" t="s">
        <v>7987</v>
      </c>
      <c r="X3681" s="87"/>
      <c r="Y3681" s="87"/>
      <c r="Z3681" s="87"/>
      <c r="AA3681" s="87" t="s">
        <v>11123</v>
      </c>
      <c r="AB3681" s="87" t="s">
        <v>11448</v>
      </c>
      <c r="AC3681" s="93" t="s">
        <v>11457</v>
      </c>
      <c r="AD3681" s="87" t="s">
        <v>11519</v>
      </c>
      <c r="AE3681" s="92" t="str">
        <f>HYPERLINK("https://twitter.com/grupoadvanced/status/1676223752646844416")</f>
        <v>https://twitter.com/grupoadvanced/status/1676223752646844416</v>
      </c>
      <c r="AF3681" s="90">
        <v>45111.567824074074</v>
      </c>
      <c r="AG3681" s="99">
        <v>45111</v>
      </c>
      <c r="AH3681" s="93" t="s">
        <v>14788</v>
      </c>
      <c r="AI3681" s="87" t="b">
        <v>0</v>
      </c>
      <c r="AJ3681" s="87"/>
      <c r="AK3681" s="87"/>
      <c r="AL3681" s="87"/>
      <c r="AM3681" s="87"/>
      <c r="AN3681" s="87"/>
      <c r="AO3681" s="87"/>
      <c r="AP3681" s="87"/>
      <c r="AQ3681" s="87" t="s">
        <v>17935</v>
      </c>
      <c r="AR3681" s="87"/>
      <c r="AS3681" s="87"/>
      <c r="AT3681" s="87"/>
      <c r="AU3681" s="87"/>
      <c r="AV3681" s="92" t="str">
        <f>HYPERLINK("https://pbs.twimg.com/media/F0MkSfWWAAIE0Nv.jpg")</f>
        <v>https://pbs.twimg.com/media/F0MkSfWWAAIE0Nv.jpg</v>
      </c>
      <c r="AW3681" s="93" t="s">
        <v>21804</v>
      </c>
      <c r="AX3681" s="93" t="s">
        <v>21804</v>
      </c>
      <c r="AY3681" s="87"/>
      <c r="AZ3681" s="93" t="s">
        <v>22668</v>
      </c>
      <c r="BA3681" s="93" t="s">
        <v>22668</v>
      </c>
      <c r="BB3681" s="93" t="s">
        <v>22668</v>
      </c>
      <c r="BC3681" s="93" t="s">
        <v>21804</v>
      </c>
      <c r="BD3681" s="93" t="s">
        <v>23480</v>
      </c>
      <c r="BE3681" s="87"/>
      <c r="BF3681" s="87"/>
      <c r="BG3681" s="87"/>
      <c r="BH3681" s="87"/>
      <c r="BI3681" s="87"/>
    </row>
    <row r="3682" spans="1:61" x14ac:dyDescent="0.25">
      <c r="A3682" s="63" t="s">
        <v>1401</v>
      </c>
      <c r="B3682" s="63" t="s">
        <v>1401</v>
      </c>
      <c r="C3682" s="64"/>
      <c r="D3682" s="65"/>
      <c r="E3682" s="66"/>
      <c r="F3682" s="67"/>
      <c r="G3682" s="64"/>
      <c r="H3682" s="68"/>
      <c r="I3682" s="69"/>
      <c r="J3682" s="69"/>
      <c r="K3682" s="32"/>
      <c r="L3682" s="76">
        <v>3682</v>
      </c>
      <c r="M3682" s="76"/>
      <c r="N3682" s="71"/>
      <c r="O3682" s="87" t="s">
        <v>179</v>
      </c>
      <c r="P3682" s="90">
        <v>45131.745833333334</v>
      </c>
      <c r="Q3682" s="87" t="s">
        <v>5350</v>
      </c>
      <c r="R3682" s="87">
        <v>0</v>
      </c>
      <c r="S3682" s="87">
        <v>0</v>
      </c>
      <c r="T3682" s="87">
        <v>0</v>
      </c>
      <c r="U3682" s="87">
        <v>0</v>
      </c>
      <c r="V3682" s="87">
        <v>1</v>
      </c>
      <c r="W3682" s="93" t="s">
        <v>7988</v>
      </c>
      <c r="X3682" s="87"/>
      <c r="Y3682" s="87"/>
      <c r="Z3682" s="87"/>
      <c r="AA3682" s="87"/>
      <c r="AB3682" s="87"/>
      <c r="AC3682" s="93" t="s">
        <v>11457</v>
      </c>
      <c r="AD3682" s="87" t="s">
        <v>11519</v>
      </c>
      <c r="AE3682" s="92" t="str">
        <f>HYPERLINK("https://twitter.com/lojazerodoze/status/1683536019151556608")</f>
        <v>https://twitter.com/lojazerodoze/status/1683536019151556608</v>
      </c>
      <c r="AF3682" s="90">
        <v>45131.745833333334</v>
      </c>
      <c r="AG3682" s="99">
        <v>45131</v>
      </c>
      <c r="AH3682" s="93" t="s">
        <v>12295</v>
      </c>
      <c r="AI3682" s="87"/>
      <c r="AJ3682" s="87"/>
      <c r="AK3682" s="87"/>
      <c r="AL3682" s="87"/>
      <c r="AM3682" s="87"/>
      <c r="AN3682" s="87"/>
      <c r="AO3682" s="87"/>
      <c r="AP3682" s="87"/>
      <c r="AQ3682" s="87"/>
      <c r="AR3682" s="87"/>
      <c r="AS3682" s="87"/>
      <c r="AT3682" s="87"/>
      <c r="AU3682" s="87"/>
      <c r="AV3682" s="92" t="str">
        <f>HYPERLINK("https://pbs.twimg.com/profile_images/1682161158751502338/pZr_gGin_normal.jpg")</f>
        <v>https://pbs.twimg.com/profile_images/1682161158751502338/pZr_gGin_normal.jpg</v>
      </c>
      <c r="AW3682" s="93" t="s">
        <v>21805</v>
      </c>
      <c r="AX3682" s="93" t="s">
        <v>21805</v>
      </c>
      <c r="AY3682" s="87"/>
      <c r="AZ3682" s="93" t="s">
        <v>22668</v>
      </c>
      <c r="BA3682" s="93" t="s">
        <v>22668</v>
      </c>
      <c r="BB3682" s="93" t="s">
        <v>22668</v>
      </c>
      <c r="BC3682" s="93" t="s">
        <v>21805</v>
      </c>
      <c r="BD3682" s="93" t="s">
        <v>23481</v>
      </c>
      <c r="BE3682" s="87"/>
      <c r="BF3682" s="87"/>
      <c r="BG3682" s="87"/>
      <c r="BH3682" s="87"/>
      <c r="BI3682" s="87"/>
    </row>
    <row r="3683" spans="1:61" x14ac:dyDescent="0.25">
      <c r="A3683" s="63" t="s">
        <v>1401</v>
      </c>
      <c r="B3683" s="63" t="s">
        <v>1401</v>
      </c>
      <c r="C3683" s="64"/>
      <c r="D3683" s="65"/>
      <c r="E3683" s="66"/>
      <c r="F3683" s="67"/>
      <c r="G3683" s="64"/>
      <c r="H3683" s="68"/>
      <c r="I3683" s="69"/>
      <c r="J3683" s="69"/>
      <c r="K3683" s="32"/>
      <c r="L3683" s="76">
        <v>3683</v>
      </c>
      <c r="M3683" s="76"/>
      <c r="N3683" s="71"/>
      <c r="O3683" s="87" t="s">
        <v>179</v>
      </c>
      <c r="P3683" s="90">
        <v>45132.831944444442</v>
      </c>
      <c r="Q3683" s="87" t="s">
        <v>5351</v>
      </c>
      <c r="R3683" s="87">
        <v>0</v>
      </c>
      <c r="S3683" s="87">
        <v>0</v>
      </c>
      <c r="T3683" s="87">
        <v>0</v>
      </c>
      <c r="U3683" s="87">
        <v>0</v>
      </c>
      <c r="V3683" s="87">
        <v>2</v>
      </c>
      <c r="W3683" s="93" t="s">
        <v>7989</v>
      </c>
      <c r="X3683" s="87"/>
      <c r="Y3683" s="87"/>
      <c r="Z3683" s="87"/>
      <c r="AA3683" s="87"/>
      <c r="AB3683" s="87"/>
      <c r="AC3683" s="93" t="s">
        <v>11457</v>
      </c>
      <c r="AD3683" s="87" t="s">
        <v>11519</v>
      </c>
      <c r="AE3683" s="92" t="str">
        <f>HYPERLINK("https://twitter.com/lojazerodoze/status/1683929612529573888")</f>
        <v>https://twitter.com/lojazerodoze/status/1683929612529573888</v>
      </c>
      <c r="AF3683" s="90">
        <v>45132.831944444442</v>
      </c>
      <c r="AG3683" s="99">
        <v>45132</v>
      </c>
      <c r="AH3683" s="93" t="s">
        <v>14789</v>
      </c>
      <c r="AI3683" s="87"/>
      <c r="AJ3683" s="87"/>
      <c r="AK3683" s="87"/>
      <c r="AL3683" s="87"/>
      <c r="AM3683" s="87"/>
      <c r="AN3683" s="87"/>
      <c r="AO3683" s="87"/>
      <c r="AP3683" s="87"/>
      <c r="AQ3683" s="87"/>
      <c r="AR3683" s="87"/>
      <c r="AS3683" s="87"/>
      <c r="AT3683" s="87"/>
      <c r="AU3683" s="87"/>
      <c r="AV3683" s="92" t="str">
        <f>HYPERLINK("https://pbs.twimg.com/profile_images/1682161158751502338/pZr_gGin_normal.jpg")</f>
        <v>https://pbs.twimg.com/profile_images/1682161158751502338/pZr_gGin_normal.jpg</v>
      </c>
      <c r="AW3683" s="93" t="s">
        <v>21806</v>
      </c>
      <c r="AX3683" s="93" t="s">
        <v>21806</v>
      </c>
      <c r="AY3683" s="87"/>
      <c r="AZ3683" s="93" t="s">
        <v>22668</v>
      </c>
      <c r="BA3683" s="93" t="s">
        <v>22668</v>
      </c>
      <c r="BB3683" s="93" t="s">
        <v>22668</v>
      </c>
      <c r="BC3683" s="93" t="s">
        <v>21806</v>
      </c>
      <c r="BD3683" s="93" t="s">
        <v>23481</v>
      </c>
      <c r="BE3683" s="87"/>
      <c r="BF3683" s="87"/>
      <c r="BG3683" s="87"/>
      <c r="BH3683" s="87"/>
      <c r="BI3683" s="87"/>
    </row>
    <row r="3684" spans="1:61" x14ac:dyDescent="0.25">
      <c r="A3684" s="63" t="s">
        <v>1402</v>
      </c>
      <c r="B3684" s="63" t="s">
        <v>1402</v>
      </c>
      <c r="C3684" s="64"/>
      <c r="D3684" s="65"/>
      <c r="E3684" s="66"/>
      <c r="F3684" s="67"/>
      <c r="G3684" s="64"/>
      <c r="H3684" s="68"/>
      <c r="I3684" s="69"/>
      <c r="J3684" s="69"/>
      <c r="K3684" s="32"/>
      <c r="L3684" s="76">
        <v>3684</v>
      </c>
      <c r="M3684" s="76"/>
      <c r="N3684" s="71"/>
      <c r="O3684" s="87" t="s">
        <v>1840</v>
      </c>
      <c r="P3684" s="90">
        <v>45113.569965277777</v>
      </c>
      <c r="Q3684" s="87" t="s">
        <v>5352</v>
      </c>
      <c r="R3684" s="87">
        <v>0</v>
      </c>
      <c r="S3684" s="87">
        <v>0</v>
      </c>
      <c r="T3684" s="87">
        <v>0</v>
      </c>
      <c r="U3684" s="87">
        <v>0</v>
      </c>
      <c r="V3684" s="87"/>
      <c r="W3684" s="93" t="s">
        <v>7990</v>
      </c>
      <c r="X3684" s="87"/>
      <c r="Y3684" s="87"/>
      <c r="Z3684" s="87"/>
      <c r="AA3684" s="87"/>
      <c r="AB3684" s="87"/>
      <c r="AC3684" s="93" t="s">
        <v>11457</v>
      </c>
      <c r="AD3684" s="87" t="s">
        <v>11524</v>
      </c>
      <c r="AE3684" s="92" t="str">
        <f>HYPERLINK("https://twitter.com/andersonexpo5/status/1676949308132712450")</f>
        <v>https://twitter.com/andersonexpo5/status/1676949308132712450</v>
      </c>
      <c r="AF3684" s="90">
        <v>45113.569965277777</v>
      </c>
      <c r="AG3684" s="99">
        <v>45113</v>
      </c>
      <c r="AH3684" s="93" t="s">
        <v>14790</v>
      </c>
      <c r="AI3684" s="87"/>
      <c r="AJ3684" s="87"/>
      <c r="AK3684" s="87"/>
      <c r="AL3684" s="87"/>
      <c r="AM3684" s="87"/>
      <c r="AN3684" s="87"/>
      <c r="AO3684" s="87"/>
      <c r="AP3684" s="87"/>
      <c r="AQ3684" s="87"/>
      <c r="AR3684" s="87"/>
      <c r="AS3684" s="87"/>
      <c r="AT3684" s="87"/>
      <c r="AU3684" s="87"/>
      <c r="AV3684" s="92" t="str">
        <f>HYPERLINK("https://pbs.twimg.com/profile_images/1629967676691865600/X3kQtdHz_normal.jpg")</f>
        <v>https://pbs.twimg.com/profile_images/1629967676691865600/X3kQtdHz_normal.jpg</v>
      </c>
      <c r="AW3684" s="93" t="s">
        <v>21807</v>
      </c>
      <c r="AX3684" s="93" t="s">
        <v>22480</v>
      </c>
      <c r="AY3684" s="93" t="s">
        <v>22643</v>
      </c>
      <c r="AZ3684" s="93" t="s">
        <v>22766</v>
      </c>
      <c r="BA3684" s="93" t="s">
        <v>22668</v>
      </c>
      <c r="BB3684" s="93" t="s">
        <v>22668</v>
      </c>
      <c r="BC3684" s="93" t="s">
        <v>22766</v>
      </c>
      <c r="BD3684" s="93" t="s">
        <v>22643</v>
      </c>
      <c r="BE3684" s="87"/>
      <c r="BF3684" s="87"/>
      <c r="BG3684" s="87"/>
      <c r="BH3684" s="87"/>
      <c r="BI3684" s="87"/>
    </row>
    <row r="3685" spans="1:61" x14ac:dyDescent="0.25">
      <c r="A3685" s="63" t="s">
        <v>1403</v>
      </c>
      <c r="B3685" s="63" t="s">
        <v>1403</v>
      </c>
      <c r="C3685" s="64"/>
      <c r="D3685" s="65"/>
      <c r="E3685" s="66"/>
      <c r="F3685" s="67"/>
      <c r="G3685" s="64"/>
      <c r="H3685" s="68"/>
      <c r="I3685" s="69"/>
      <c r="J3685" s="69"/>
      <c r="K3685" s="32"/>
      <c r="L3685" s="76">
        <v>3685</v>
      </c>
      <c r="M3685" s="76"/>
      <c r="N3685" s="71"/>
      <c r="O3685" s="87" t="s">
        <v>179</v>
      </c>
      <c r="P3685" s="90">
        <v>45046.916678240741</v>
      </c>
      <c r="Q3685" s="87" t="s">
        <v>5353</v>
      </c>
      <c r="R3685" s="87">
        <v>1</v>
      </c>
      <c r="S3685" s="87">
        <v>1</v>
      </c>
      <c r="T3685" s="87">
        <v>0</v>
      </c>
      <c r="U3685" s="87">
        <v>0</v>
      </c>
      <c r="V3685" s="87">
        <v>13</v>
      </c>
      <c r="W3685" s="93" t="s">
        <v>7991</v>
      </c>
      <c r="X3685" s="87"/>
      <c r="Y3685" s="87"/>
      <c r="Z3685" s="87"/>
      <c r="AA3685" s="87" t="s">
        <v>11124</v>
      </c>
      <c r="AB3685" s="87" t="s">
        <v>11448</v>
      </c>
      <c r="AC3685" s="93" t="s">
        <v>11457</v>
      </c>
      <c r="AD3685" s="87" t="s">
        <v>11519</v>
      </c>
      <c r="AE3685" s="92" t="str">
        <f>HYPERLINK("https://twitter.com/gustavo25867079/status/1652794962088546311")</f>
        <v>https://twitter.com/gustavo25867079/status/1652794962088546311</v>
      </c>
      <c r="AF3685" s="90">
        <v>45046.916678240741</v>
      </c>
      <c r="AG3685" s="99">
        <v>45046</v>
      </c>
      <c r="AH3685" s="93" t="s">
        <v>12143</v>
      </c>
      <c r="AI3685" s="87" t="b">
        <v>0</v>
      </c>
      <c r="AJ3685" s="87"/>
      <c r="AK3685" s="87"/>
      <c r="AL3685" s="87"/>
      <c r="AM3685" s="87"/>
      <c r="AN3685" s="87"/>
      <c r="AO3685" s="87"/>
      <c r="AP3685" s="87"/>
      <c r="AQ3685" s="87" t="s">
        <v>17936</v>
      </c>
      <c r="AR3685" s="87"/>
      <c r="AS3685" s="87"/>
      <c r="AT3685" s="87"/>
      <c r="AU3685" s="87"/>
      <c r="AV3685" s="92" t="str">
        <f>HYPERLINK("https://pbs.twimg.com/media/FuWhlqxWcAYEkGi.jpg")</f>
        <v>https://pbs.twimg.com/media/FuWhlqxWcAYEkGi.jpg</v>
      </c>
      <c r="AW3685" s="93" t="s">
        <v>21808</v>
      </c>
      <c r="AX3685" s="93" t="s">
        <v>21808</v>
      </c>
      <c r="AY3685" s="87"/>
      <c r="AZ3685" s="93" t="s">
        <v>22668</v>
      </c>
      <c r="BA3685" s="93" t="s">
        <v>22668</v>
      </c>
      <c r="BB3685" s="93" t="s">
        <v>22668</v>
      </c>
      <c r="BC3685" s="93" t="s">
        <v>21808</v>
      </c>
      <c r="BD3685" s="93" t="s">
        <v>23482</v>
      </c>
      <c r="BE3685" s="87"/>
      <c r="BF3685" s="87"/>
      <c r="BG3685" s="87"/>
      <c r="BH3685" s="87"/>
      <c r="BI3685" s="87"/>
    </row>
    <row r="3686" spans="1:61" x14ac:dyDescent="0.25">
      <c r="A3686" s="63" t="s">
        <v>1404</v>
      </c>
      <c r="B3686" s="63" t="s">
        <v>1403</v>
      </c>
      <c r="C3686" s="64"/>
      <c r="D3686" s="65"/>
      <c r="E3686" s="66"/>
      <c r="F3686" s="67"/>
      <c r="G3686" s="64"/>
      <c r="H3686" s="68"/>
      <c r="I3686" s="69"/>
      <c r="J3686" s="69"/>
      <c r="K3686" s="32"/>
      <c r="L3686" s="76">
        <v>3686</v>
      </c>
      <c r="M3686" s="76"/>
      <c r="N3686" s="71"/>
      <c r="O3686" s="87" t="s">
        <v>1841</v>
      </c>
      <c r="P3686" s="90">
        <v>45190.657118055555</v>
      </c>
      <c r="Q3686" s="87" t="s">
        <v>5354</v>
      </c>
      <c r="R3686" s="87">
        <v>1</v>
      </c>
      <c r="S3686" s="87">
        <v>0</v>
      </c>
      <c r="T3686" s="87">
        <v>0</v>
      </c>
      <c r="U3686" s="87">
        <v>0</v>
      </c>
      <c r="V3686" s="87"/>
      <c r="W3686" s="87"/>
      <c r="X3686" s="87"/>
      <c r="Y3686" s="87"/>
      <c r="Z3686" s="87" t="s">
        <v>1403</v>
      </c>
      <c r="AA3686" s="87"/>
      <c r="AB3686" s="87"/>
      <c r="AC3686" s="93" t="s">
        <v>11457</v>
      </c>
      <c r="AD3686" s="87" t="s">
        <v>11519</v>
      </c>
      <c r="AE3686" s="92" t="str">
        <f>HYPERLINK("https://twitter.com/turankurnaz/status/1704884754829484445")</f>
        <v>https://twitter.com/turankurnaz/status/1704884754829484445</v>
      </c>
      <c r="AF3686" s="90">
        <v>45190.657118055555</v>
      </c>
      <c r="AG3686" s="99">
        <v>45190</v>
      </c>
      <c r="AH3686" s="93" t="s">
        <v>14791</v>
      </c>
      <c r="AI3686" s="87"/>
      <c r="AJ3686" s="87"/>
      <c r="AK3686" s="87"/>
      <c r="AL3686" s="87"/>
      <c r="AM3686" s="87"/>
      <c r="AN3686" s="87"/>
      <c r="AO3686" s="87"/>
      <c r="AP3686" s="87"/>
      <c r="AQ3686" s="87"/>
      <c r="AR3686" s="87"/>
      <c r="AS3686" s="87"/>
      <c r="AT3686" s="87"/>
      <c r="AU3686" s="87"/>
      <c r="AV3686" s="92" t="str">
        <f>HYPERLINK("https://pbs.twimg.com/profile_images/1703470112093749248/bgtvgRO3_normal.jpg")</f>
        <v>https://pbs.twimg.com/profile_images/1703470112093749248/bgtvgRO3_normal.jpg</v>
      </c>
      <c r="AW3686" s="93" t="s">
        <v>21809</v>
      </c>
      <c r="AX3686" s="93" t="s">
        <v>21809</v>
      </c>
      <c r="AY3686" s="87"/>
      <c r="AZ3686" s="93" t="s">
        <v>22668</v>
      </c>
      <c r="BA3686" s="93" t="s">
        <v>22668</v>
      </c>
      <c r="BB3686" s="93" t="s">
        <v>21808</v>
      </c>
      <c r="BC3686" s="93" t="s">
        <v>21808</v>
      </c>
      <c r="BD3686" s="87">
        <v>399265512</v>
      </c>
      <c r="BE3686" s="87"/>
      <c r="BF3686" s="87"/>
      <c r="BG3686" s="87"/>
      <c r="BH3686" s="87"/>
      <c r="BI3686" s="87"/>
    </row>
    <row r="3687" spans="1:61" x14ac:dyDescent="0.25">
      <c r="A3687" s="63" t="s">
        <v>1405</v>
      </c>
      <c r="B3687" s="63" t="s">
        <v>1405</v>
      </c>
      <c r="C3687" s="64"/>
      <c r="D3687" s="65"/>
      <c r="E3687" s="66"/>
      <c r="F3687" s="67"/>
      <c r="G3687" s="64"/>
      <c r="H3687" s="68"/>
      <c r="I3687" s="69"/>
      <c r="J3687" s="69"/>
      <c r="K3687" s="32"/>
      <c r="L3687" s="76">
        <v>3687</v>
      </c>
      <c r="M3687" s="76"/>
      <c r="N3687" s="71"/>
      <c r="O3687" s="87" t="s">
        <v>179</v>
      </c>
      <c r="P3687" s="90">
        <v>45146.860462962963</v>
      </c>
      <c r="Q3687" s="87" t="s">
        <v>5355</v>
      </c>
      <c r="R3687" s="87">
        <v>0</v>
      </c>
      <c r="S3687" s="87">
        <v>0</v>
      </c>
      <c r="T3687" s="87">
        <v>0</v>
      </c>
      <c r="U3687" s="87">
        <v>0</v>
      </c>
      <c r="V3687" s="87">
        <v>36</v>
      </c>
      <c r="W3687" s="93" t="s">
        <v>7992</v>
      </c>
      <c r="X3687" s="92" t="str">
        <f>HYPERLINK("https://siteinterativo.com.br/falecomigopelowhatsapp")</f>
        <v>https://siteinterativo.com.br/falecomigopelowhatsapp</v>
      </c>
      <c r="Y3687" s="87" t="s">
        <v>8373</v>
      </c>
      <c r="Z3687" s="87"/>
      <c r="AA3687" s="87" t="s">
        <v>11125</v>
      </c>
      <c r="AB3687" s="87" t="s">
        <v>11448</v>
      </c>
      <c r="AC3687" s="93" t="s">
        <v>11457</v>
      </c>
      <c r="AD3687" s="87" t="s">
        <v>11519</v>
      </c>
      <c r="AE3687" s="92" t="str">
        <f>HYPERLINK("https://twitter.com/maiconalberttt/status/1689013379497648128")</f>
        <v>https://twitter.com/maiconalberttt/status/1689013379497648128</v>
      </c>
      <c r="AF3687" s="90">
        <v>45146.860462962963</v>
      </c>
      <c r="AG3687" s="99">
        <v>45146</v>
      </c>
      <c r="AH3687" s="93" t="s">
        <v>14792</v>
      </c>
      <c r="AI3687" s="87" t="b">
        <v>0</v>
      </c>
      <c r="AJ3687" s="87"/>
      <c r="AK3687" s="87"/>
      <c r="AL3687" s="87"/>
      <c r="AM3687" s="87"/>
      <c r="AN3687" s="87"/>
      <c r="AO3687" s="87"/>
      <c r="AP3687" s="87"/>
      <c r="AQ3687" s="87" t="s">
        <v>17937</v>
      </c>
      <c r="AR3687" s="87"/>
      <c r="AS3687" s="87"/>
      <c r="AT3687" s="87"/>
      <c r="AU3687" s="87"/>
      <c r="AV3687" s="92" t="str">
        <f>HYPERLINK("https://pbs.twimg.com/media/F3CUnr9XUAAsVUA.png")</f>
        <v>https://pbs.twimg.com/media/F3CUnr9XUAAsVUA.png</v>
      </c>
      <c r="AW3687" s="93" t="s">
        <v>21810</v>
      </c>
      <c r="AX3687" s="93" t="s">
        <v>21810</v>
      </c>
      <c r="AY3687" s="87"/>
      <c r="AZ3687" s="93" t="s">
        <v>22668</v>
      </c>
      <c r="BA3687" s="93" t="s">
        <v>22668</v>
      </c>
      <c r="BB3687" s="93" t="s">
        <v>22668</v>
      </c>
      <c r="BC3687" s="93" t="s">
        <v>21810</v>
      </c>
      <c r="BD3687" s="93" t="s">
        <v>23483</v>
      </c>
      <c r="BE3687" s="87"/>
      <c r="BF3687" s="87"/>
      <c r="BG3687" s="87"/>
      <c r="BH3687" s="87"/>
      <c r="BI3687" s="87"/>
    </row>
    <row r="3688" spans="1:61" x14ac:dyDescent="0.25">
      <c r="A3688" s="63" t="s">
        <v>1406</v>
      </c>
      <c r="B3688" s="63" t="s">
        <v>1811</v>
      </c>
      <c r="C3688" s="64"/>
      <c r="D3688" s="65"/>
      <c r="E3688" s="66"/>
      <c r="F3688" s="67"/>
      <c r="G3688" s="64"/>
      <c r="H3688" s="68"/>
      <c r="I3688" s="69"/>
      <c r="J3688" s="69"/>
      <c r="K3688" s="32"/>
      <c r="L3688" s="76">
        <v>3688</v>
      </c>
      <c r="M3688" s="76"/>
      <c r="N3688" s="71"/>
      <c r="O3688" s="87" t="s">
        <v>1839</v>
      </c>
      <c r="P3688" s="90">
        <v>45152.579027777778</v>
      </c>
      <c r="Q3688" s="87" t="s">
        <v>5356</v>
      </c>
      <c r="R3688" s="87">
        <v>0</v>
      </c>
      <c r="S3688" s="87">
        <v>0</v>
      </c>
      <c r="T3688" s="87">
        <v>0</v>
      </c>
      <c r="U3688" s="87">
        <v>0</v>
      </c>
      <c r="V3688" s="87">
        <v>61</v>
      </c>
      <c r="W3688" s="93" t="s">
        <v>7993</v>
      </c>
      <c r="X3688" s="92" t="str">
        <f>HYPERLINK("https://sebrae.rs/3EaiWG1")</f>
        <v>https://sebrae.rs/3EaiWG1</v>
      </c>
      <c r="Y3688" s="87" t="s">
        <v>8536</v>
      </c>
      <c r="Z3688" s="87" t="s">
        <v>1811</v>
      </c>
      <c r="AA3688" s="87" t="s">
        <v>11126</v>
      </c>
      <c r="AB3688" s="87" t="s">
        <v>11447</v>
      </c>
      <c r="AC3688" s="93" t="s">
        <v>11457</v>
      </c>
      <c r="AD3688" s="87" t="s">
        <v>11519</v>
      </c>
      <c r="AE3688" s="92" t="str">
        <f>HYPERLINK("https://twitter.com/sebraers/status/1691085717881888769")</f>
        <v>https://twitter.com/sebraers/status/1691085717881888769</v>
      </c>
      <c r="AF3688" s="90">
        <v>45152.579027777778</v>
      </c>
      <c r="AG3688" s="99">
        <v>45152</v>
      </c>
      <c r="AH3688" s="93" t="s">
        <v>14793</v>
      </c>
      <c r="AI3688" s="87" t="b">
        <v>0</v>
      </c>
      <c r="AJ3688" s="87"/>
      <c r="AK3688" s="87"/>
      <c r="AL3688" s="87"/>
      <c r="AM3688" s="87"/>
      <c r="AN3688" s="87"/>
      <c r="AO3688" s="87"/>
      <c r="AP3688" s="87"/>
      <c r="AQ3688" s="87" t="s">
        <v>17938</v>
      </c>
      <c r="AR3688" s="87">
        <v>57015</v>
      </c>
      <c r="AS3688" s="87"/>
      <c r="AT3688" s="87"/>
      <c r="AU3688" s="87"/>
      <c r="AV3688" s="92" t="str">
        <f>HYPERLINK("https://pbs.twimg.com/ext_tw_video_thumb/1691062612262330368/pu/img/I8d9MMvlPoZSHm3u.jpg")</f>
        <v>https://pbs.twimg.com/ext_tw_video_thumb/1691062612262330368/pu/img/I8d9MMvlPoZSHm3u.jpg</v>
      </c>
      <c r="AW3688" s="93" t="s">
        <v>21811</v>
      </c>
      <c r="AX3688" s="93" t="s">
        <v>21811</v>
      </c>
      <c r="AY3688" s="87"/>
      <c r="AZ3688" s="93" t="s">
        <v>22668</v>
      </c>
      <c r="BA3688" s="93" t="s">
        <v>22668</v>
      </c>
      <c r="BB3688" s="93" t="s">
        <v>22668</v>
      </c>
      <c r="BC3688" s="93" t="s">
        <v>21811</v>
      </c>
      <c r="BD3688" s="87">
        <v>435089518</v>
      </c>
      <c r="BE3688" s="87"/>
      <c r="BF3688" s="87"/>
      <c r="BG3688" s="87"/>
      <c r="BH3688" s="87"/>
      <c r="BI3688" s="87"/>
    </row>
    <row r="3689" spans="1:61" x14ac:dyDescent="0.25">
      <c r="A3689" s="63" t="s">
        <v>1406</v>
      </c>
      <c r="B3689" s="63" t="s">
        <v>1406</v>
      </c>
      <c r="C3689" s="64"/>
      <c r="D3689" s="65"/>
      <c r="E3689" s="66"/>
      <c r="F3689" s="67"/>
      <c r="G3689" s="64"/>
      <c r="H3689" s="68"/>
      <c r="I3689" s="69"/>
      <c r="J3689" s="69"/>
      <c r="K3689" s="32"/>
      <c r="L3689" s="76">
        <v>3689</v>
      </c>
      <c r="M3689" s="76"/>
      <c r="N3689" s="71"/>
      <c r="O3689" s="87" t="s">
        <v>179</v>
      </c>
      <c r="P3689" s="90">
        <v>45158.838888888888</v>
      </c>
      <c r="Q3689" s="87" t="s">
        <v>5357</v>
      </c>
      <c r="R3689" s="87">
        <v>0</v>
      </c>
      <c r="S3689" s="87">
        <v>0</v>
      </c>
      <c r="T3689" s="87">
        <v>0</v>
      </c>
      <c r="U3689" s="87">
        <v>0</v>
      </c>
      <c r="V3689" s="87">
        <v>53</v>
      </c>
      <c r="W3689" s="93" t="s">
        <v>7994</v>
      </c>
      <c r="X3689" s="92" t="str">
        <f>HYPERLINK("https://sebrae.rs/46Ew6rE")</f>
        <v>https://sebrae.rs/46Ew6rE</v>
      </c>
      <c r="Y3689" s="87" t="s">
        <v>8536</v>
      </c>
      <c r="Z3689" s="87"/>
      <c r="AA3689" s="87" t="s">
        <v>11127</v>
      </c>
      <c r="AB3689" s="87" t="s">
        <v>11448</v>
      </c>
      <c r="AC3689" s="93" t="s">
        <v>11457</v>
      </c>
      <c r="AD3689" s="87" t="s">
        <v>11519</v>
      </c>
      <c r="AE3689" s="92" t="str">
        <f>HYPERLINK("https://twitter.com/sebraers/status/1693354213676663281")</f>
        <v>https://twitter.com/sebraers/status/1693354213676663281</v>
      </c>
      <c r="AF3689" s="90">
        <v>45158.838888888888</v>
      </c>
      <c r="AG3689" s="99">
        <v>45158</v>
      </c>
      <c r="AH3689" s="93" t="s">
        <v>14794</v>
      </c>
      <c r="AI3689" s="87" t="b">
        <v>0</v>
      </c>
      <c r="AJ3689" s="87"/>
      <c r="AK3689" s="87"/>
      <c r="AL3689" s="87"/>
      <c r="AM3689" s="87"/>
      <c r="AN3689" s="87"/>
      <c r="AO3689" s="87"/>
      <c r="AP3689" s="87"/>
      <c r="AQ3689" s="87" t="s">
        <v>17939</v>
      </c>
      <c r="AR3689" s="87"/>
      <c r="AS3689" s="87"/>
      <c r="AT3689" s="87"/>
      <c r="AU3689" s="87"/>
      <c r="AV3689" s="92" t="str">
        <f>HYPERLINK("https://pbs.twimg.com/media/F3lLogPawAA6Gl3.jpg")</f>
        <v>https://pbs.twimg.com/media/F3lLogPawAA6Gl3.jpg</v>
      </c>
      <c r="AW3689" s="93" t="s">
        <v>21812</v>
      </c>
      <c r="AX3689" s="93" t="s">
        <v>21812</v>
      </c>
      <c r="AY3689" s="87"/>
      <c r="AZ3689" s="93" t="s">
        <v>22668</v>
      </c>
      <c r="BA3689" s="93" t="s">
        <v>22668</v>
      </c>
      <c r="BB3689" s="93" t="s">
        <v>22668</v>
      </c>
      <c r="BC3689" s="93" t="s">
        <v>21812</v>
      </c>
      <c r="BD3689" s="87">
        <v>435089518</v>
      </c>
      <c r="BE3689" s="87"/>
      <c r="BF3689" s="87"/>
      <c r="BG3689" s="87"/>
      <c r="BH3689" s="87"/>
      <c r="BI3689" s="87"/>
    </row>
    <row r="3690" spans="1:61" x14ac:dyDescent="0.25">
      <c r="A3690" s="63" t="s">
        <v>1406</v>
      </c>
      <c r="B3690" s="63" t="s">
        <v>1406</v>
      </c>
      <c r="C3690" s="64"/>
      <c r="D3690" s="65"/>
      <c r="E3690" s="66"/>
      <c r="F3690" s="67"/>
      <c r="G3690" s="64"/>
      <c r="H3690" s="68"/>
      <c r="I3690" s="69"/>
      <c r="J3690" s="69"/>
      <c r="K3690" s="32"/>
      <c r="L3690" s="76">
        <v>3690</v>
      </c>
      <c r="M3690" s="76"/>
      <c r="N3690" s="71"/>
      <c r="O3690" s="87" t="s">
        <v>1840</v>
      </c>
      <c r="P3690" s="90">
        <v>45119.833275462966</v>
      </c>
      <c r="Q3690" s="87" t="s">
        <v>5358</v>
      </c>
      <c r="R3690" s="87">
        <v>0</v>
      </c>
      <c r="S3690" s="87">
        <v>0</v>
      </c>
      <c r="T3690" s="87">
        <v>0</v>
      </c>
      <c r="U3690" s="87">
        <v>0</v>
      </c>
      <c r="V3690" s="87">
        <v>24</v>
      </c>
      <c r="W3690" s="93" t="s">
        <v>7995</v>
      </c>
      <c r="X3690" s="87"/>
      <c r="Y3690" s="87"/>
      <c r="Z3690" s="87"/>
      <c r="AA3690" s="87"/>
      <c r="AB3690" s="87"/>
      <c r="AC3690" s="93" t="s">
        <v>11457</v>
      </c>
      <c r="AD3690" s="87" t="s">
        <v>11524</v>
      </c>
      <c r="AE3690" s="92" t="str">
        <f>HYPERLINK("https://twitter.com/sebraers/status/1679219053557104641")</f>
        <v>https://twitter.com/sebraers/status/1679219053557104641</v>
      </c>
      <c r="AF3690" s="90">
        <v>45119.833275462966</v>
      </c>
      <c r="AG3690" s="99">
        <v>45119</v>
      </c>
      <c r="AH3690" s="93" t="s">
        <v>14795</v>
      </c>
      <c r="AI3690" s="87"/>
      <c r="AJ3690" s="87"/>
      <c r="AK3690" s="87"/>
      <c r="AL3690" s="87"/>
      <c r="AM3690" s="87"/>
      <c r="AN3690" s="87"/>
      <c r="AO3690" s="87"/>
      <c r="AP3690" s="87"/>
      <c r="AQ3690" s="87"/>
      <c r="AR3690" s="87"/>
      <c r="AS3690" s="87"/>
      <c r="AT3690" s="87"/>
      <c r="AU3690" s="87"/>
      <c r="AV3690" s="92" t="str">
        <f>HYPERLINK("https://pbs.twimg.com/profile_images/1201605603455651841/XlBMt0o4_normal.jpg")</f>
        <v>https://pbs.twimg.com/profile_images/1201605603455651841/XlBMt0o4_normal.jpg</v>
      </c>
      <c r="AW3690" s="93" t="s">
        <v>21813</v>
      </c>
      <c r="AX3690" s="93" t="s">
        <v>22481</v>
      </c>
      <c r="AY3690" s="93" t="s">
        <v>22644</v>
      </c>
      <c r="AZ3690" s="93" t="s">
        <v>22481</v>
      </c>
      <c r="BA3690" s="93" t="s">
        <v>22668</v>
      </c>
      <c r="BB3690" s="93" t="s">
        <v>22668</v>
      </c>
      <c r="BC3690" s="93" t="s">
        <v>22481</v>
      </c>
      <c r="BD3690" s="87">
        <v>435089518</v>
      </c>
      <c r="BE3690" s="87"/>
      <c r="BF3690" s="87"/>
      <c r="BG3690" s="87"/>
      <c r="BH3690" s="87"/>
      <c r="BI3690" s="87"/>
    </row>
    <row r="3691" spans="1:61" x14ac:dyDescent="0.25">
      <c r="A3691" s="63" t="s">
        <v>1406</v>
      </c>
      <c r="B3691" s="63" t="s">
        <v>1406</v>
      </c>
      <c r="C3691" s="64"/>
      <c r="D3691" s="65"/>
      <c r="E3691" s="66"/>
      <c r="F3691" s="67"/>
      <c r="G3691" s="64"/>
      <c r="H3691" s="68"/>
      <c r="I3691" s="69"/>
      <c r="J3691" s="69"/>
      <c r="K3691" s="32"/>
      <c r="L3691" s="76">
        <v>3691</v>
      </c>
      <c r="M3691" s="76"/>
      <c r="N3691" s="71"/>
      <c r="O3691" s="87" t="s">
        <v>179</v>
      </c>
      <c r="P3691" s="90">
        <v>45112.676481481481</v>
      </c>
      <c r="Q3691" s="87" t="s">
        <v>5359</v>
      </c>
      <c r="R3691" s="87">
        <v>0</v>
      </c>
      <c r="S3691" s="87">
        <v>2</v>
      </c>
      <c r="T3691" s="87">
        <v>0</v>
      </c>
      <c r="U3691" s="87">
        <v>0</v>
      </c>
      <c r="V3691" s="87">
        <v>99</v>
      </c>
      <c r="W3691" s="93" t="s">
        <v>7996</v>
      </c>
      <c r="X3691" s="87"/>
      <c r="Y3691" s="87"/>
      <c r="Z3691" s="87"/>
      <c r="AA3691" s="87" t="s">
        <v>11128</v>
      </c>
      <c r="AB3691" s="87" t="s">
        <v>11447</v>
      </c>
      <c r="AC3691" s="93" t="s">
        <v>11457</v>
      </c>
      <c r="AD3691" s="87" t="s">
        <v>11519</v>
      </c>
      <c r="AE3691" s="92" t="str">
        <f>HYPERLINK("https://twitter.com/sebraers/status/1676625517057851392")</f>
        <v>https://twitter.com/sebraers/status/1676625517057851392</v>
      </c>
      <c r="AF3691" s="90">
        <v>45112.676481481481</v>
      </c>
      <c r="AG3691" s="99">
        <v>45112</v>
      </c>
      <c r="AH3691" s="93" t="s">
        <v>14796</v>
      </c>
      <c r="AI3691" s="87" t="b">
        <v>0</v>
      </c>
      <c r="AJ3691" s="87"/>
      <c r="AK3691" s="87"/>
      <c r="AL3691" s="87"/>
      <c r="AM3691" s="87"/>
      <c r="AN3691" s="87"/>
      <c r="AO3691" s="87"/>
      <c r="AP3691" s="87"/>
      <c r="AQ3691" s="87" t="s">
        <v>17940</v>
      </c>
      <c r="AR3691" s="87">
        <v>94656</v>
      </c>
      <c r="AS3691" s="87"/>
      <c r="AT3691" s="87"/>
      <c r="AU3691" s="87"/>
      <c r="AV3691" s="92" t="str">
        <f>HYPERLINK("https://pbs.twimg.com/ext_tw_video_thumb/1676625074915344386/pu/img/wMmzWt68s-VS7QxL.jpg")</f>
        <v>https://pbs.twimg.com/ext_tw_video_thumb/1676625074915344386/pu/img/wMmzWt68s-VS7QxL.jpg</v>
      </c>
      <c r="AW3691" s="93" t="s">
        <v>21814</v>
      </c>
      <c r="AX3691" s="93" t="s">
        <v>21814</v>
      </c>
      <c r="AY3691" s="87"/>
      <c r="AZ3691" s="93" t="s">
        <v>22668</v>
      </c>
      <c r="BA3691" s="93" t="s">
        <v>22668</v>
      </c>
      <c r="BB3691" s="93" t="s">
        <v>22668</v>
      </c>
      <c r="BC3691" s="93" t="s">
        <v>21814</v>
      </c>
      <c r="BD3691" s="87">
        <v>435089518</v>
      </c>
      <c r="BE3691" s="87"/>
      <c r="BF3691" s="87"/>
      <c r="BG3691" s="87"/>
      <c r="BH3691" s="87"/>
      <c r="BI3691" s="87"/>
    </row>
    <row r="3692" spans="1:61" x14ac:dyDescent="0.25">
      <c r="A3692" s="63" t="s">
        <v>1406</v>
      </c>
      <c r="B3692" s="63" t="s">
        <v>1406</v>
      </c>
      <c r="C3692" s="64"/>
      <c r="D3692" s="65"/>
      <c r="E3692" s="66"/>
      <c r="F3692" s="67"/>
      <c r="G3692" s="64"/>
      <c r="H3692" s="68"/>
      <c r="I3692" s="69"/>
      <c r="J3692" s="69"/>
      <c r="K3692" s="32"/>
      <c r="L3692" s="76">
        <v>3692</v>
      </c>
      <c r="M3692" s="76"/>
      <c r="N3692" s="71"/>
      <c r="O3692" s="87" t="s">
        <v>179</v>
      </c>
      <c r="P3692" s="90">
        <v>45162.711562500001</v>
      </c>
      <c r="Q3692" s="87" t="s">
        <v>5360</v>
      </c>
      <c r="R3692" s="87">
        <v>0</v>
      </c>
      <c r="S3692" s="87">
        <v>0</v>
      </c>
      <c r="T3692" s="87">
        <v>0</v>
      </c>
      <c r="U3692" s="87">
        <v>1</v>
      </c>
      <c r="V3692" s="87">
        <v>968</v>
      </c>
      <c r="W3692" s="93" t="s">
        <v>7997</v>
      </c>
      <c r="X3692" s="92" t="str">
        <f>HYPERLINK("https://sebrae.rs/3YN2uVs")</f>
        <v>https://sebrae.rs/3YN2uVs</v>
      </c>
      <c r="Y3692" s="87" t="s">
        <v>8536</v>
      </c>
      <c r="Z3692" s="87"/>
      <c r="AA3692" s="87" t="s">
        <v>11129</v>
      </c>
      <c r="AB3692" s="87" t="s">
        <v>11448</v>
      </c>
      <c r="AC3692" s="93" t="s">
        <v>11457</v>
      </c>
      <c r="AD3692" s="87" t="s">
        <v>11519</v>
      </c>
      <c r="AE3692" s="92" t="str">
        <f>HYPERLINK("https://twitter.com/sebraers/status/1694757623227101675")</f>
        <v>https://twitter.com/sebraers/status/1694757623227101675</v>
      </c>
      <c r="AF3692" s="90">
        <v>45162.711562500001</v>
      </c>
      <c r="AG3692" s="99">
        <v>45162</v>
      </c>
      <c r="AH3692" s="93" t="s">
        <v>14797</v>
      </c>
      <c r="AI3692" s="87" t="b">
        <v>0</v>
      </c>
      <c r="AJ3692" s="87"/>
      <c r="AK3692" s="87"/>
      <c r="AL3692" s="87"/>
      <c r="AM3692" s="87"/>
      <c r="AN3692" s="87"/>
      <c r="AO3692" s="87"/>
      <c r="AP3692" s="87"/>
      <c r="AQ3692" s="87" t="s">
        <v>17941</v>
      </c>
      <c r="AR3692" s="87"/>
      <c r="AS3692" s="87"/>
      <c r="AT3692" s="87"/>
      <c r="AU3692" s="87"/>
      <c r="AV3692" s="92" t="str">
        <f>HYPERLINK("https://pbs.twimg.com/media/F4T8z8uWQAEkj_l.jpg")</f>
        <v>https://pbs.twimg.com/media/F4T8z8uWQAEkj_l.jpg</v>
      </c>
      <c r="AW3692" s="93" t="s">
        <v>21815</v>
      </c>
      <c r="AX3692" s="93" t="s">
        <v>21815</v>
      </c>
      <c r="AY3692" s="87"/>
      <c r="AZ3692" s="93" t="s">
        <v>22668</v>
      </c>
      <c r="BA3692" s="93" t="s">
        <v>22668</v>
      </c>
      <c r="BB3692" s="93" t="s">
        <v>22668</v>
      </c>
      <c r="BC3692" s="93" t="s">
        <v>21815</v>
      </c>
      <c r="BD3692" s="87">
        <v>435089518</v>
      </c>
      <c r="BE3692" s="87"/>
      <c r="BF3692" s="87"/>
      <c r="BG3692" s="87"/>
      <c r="BH3692" s="87"/>
      <c r="BI3692" s="87"/>
    </row>
    <row r="3693" spans="1:61" x14ac:dyDescent="0.25">
      <c r="A3693" s="63" t="s">
        <v>1406</v>
      </c>
      <c r="B3693" s="63" t="s">
        <v>1406</v>
      </c>
      <c r="C3693" s="64"/>
      <c r="D3693" s="65"/>
      <c r="E3693" s="66"/>
      <c r="F3693" s="67"/>
      <c r="G3693" s="64"/>
      <c r="H3693" s="68"/>
      <c r="I3693" s="69"/>
      <c r="J3693" s="69"/>
      <c r="K3693" s="32"/>
      <c r="L3693" s="76">
        <v>3693</v>
      </c>
      <c r="M3693" s="76"/>
      <c r="N3693" s="71"/>
      <c r="O3693" s="87" t="s">
        <v>179</v>
      </c>
      <c r="P3693" s="90">
        <v>45173.721597222226</v>
      </c>
      <c r="Q3693" s="87" t="s">
        <v>5361</v>
      </c>
      <c r="R3693" s="87">
        <v>0</v>
      </c>
      <c r="S3693" s="87">
        <v>0</v>
      </c>
      <c r="T3693" s="87">
        <v>0</v>
      </c>
      <c r="U3693" s="87">
        <v>0</v>
      </c>
      <c r="V3693" s="87">
        <v>35</v>
      </c>
      <c r="W3693" s="93" t="s">
        <v>7998</v>
      </c>
      <c r="X3693" s="92" t="str">
        <f>HYPERLINK("https://sebrae.rs/3L8asmq")</f>
        <v>https://sebrae.rs/3L8asmq</v>
      </c>
      <c r="Y3693" s="87" t="s">
        <v>8536</v>
      </c>
      <c r="Z3693" s="87"/>
      <c r="AA3693" s="87" t="s">
        <v>11130</v>
      </c>
      <c r="AB3693" s="87" t="s">
        <v>11448</v>
      </c>
      <c r="AC3693" s="93" t="s">
        <v>11457</v>
      </c>
      <c r="AD3693" s="87" t="s">
        <v>11519</v>
      </c>
      <c r="AE3693" s="92" t="str">
        <f>HYPERLINK("https://twitter.com/sebraers/status/1698747526566879532")</f>
        <v>https://twitter.com/sebraers/status/1698747526566879532</v>
      </c>
      <c r="AF3693" s="90">
        <v>45173.721597222226</v>
      </c>
      <c r="AG3693" s="99">
        <v>45173</v>
      </c>
      <c r="AH3693" s="93" t="s">
        <v>14798</v>
      </c>
      <c r="AI3693" s="87" t="b">
        <v>0</v>
      </c>
      <c r="AJ3693" s="87"/>
      <c r="AK3693" s="87"/>
      <c r="AL3693" s="87"/>
      <c r="AM3693" s="87"/>
      <c r="AN3693" s="87"/>
      <c r="AO3693" s="87"/>
      <c r="AP3693" s="87"/>
      <c r="AQ3693" s="87" t="s">
        <v>17942</v>
      </c>
      <c r="AR3693" s="87"/>
      <c r="AS3693" s="87"/>
      <c r="AT3693" s="87"/>
      <c r="AU3693" s="87"/>
      <c r="AV3693" s="92" t="str">
        <f>HYPERLINK("https://pbs.twimg.com/media/F5Mpd5vWwAA2Brn.jpg")</f>
        <v>https://pbs.twimg.com/media/F5Mpd5vWwAA2Brn.jpg</v>
      </c>
      <c r="AW3693" s="93" t="s">
        <v>21816</v>
      </c>
      <c r="AX3693" s="93" t="s">
        <v>21816</v>
      </c>
      <c r="AY3693" s="87"/>
      <c r="AZ3693" s="93" t="s">
        <v>22668</v>
      </c>
      <c r="BA3693" s="93" t="s">
        <v>22668</v>
      </c>
      <c r="BB3693" s="93" t="s">
        <v>22668</v>
      </c>
      <c r="BC3693" s="93" t="s">
        <v>21816</v>
      </c>
      <c r="BD3693" s="87">
        <v>435089518</v>
      </c>
      <c r="BE3693" s="87"/>
      <c r="BF3693" s="87"/>
      <c r="BG3693" s="87"/>
      <c r="BH3693" s="87"/>
      <c r="BI3693" s="87"/>
    </row>
    <row r="3694" spans="1:61" x14ac:dyDescent="0.25">
      <c r="A3694" s="63" t="s">
        <v>1407</v>
      </c>
      <c r="B3694" s="63" t="s">
        <v>1407</v>
      </c>
      <c r="C3694" s="64"/>
      <c r="D3694" s="65"/>
      <c r="E3694" s="66"/>
      <c r="F3694" s="67"/>
      <c r="G3694" s="64"/>
      <c r="H3694" s="68"/>
      <c r="I3694" s="69"/>
      <c r="J3694" s="69"/>
      <c r="K3694" s="32"/>
      <c r="L3694" s="76">
        <v>3694</v>
      </c>
      <c r="M3694" s="76"/>
      <c r="N3694" s="71"/>
      <c r="O3694" s="87" t="s">
        <v>179</v>
      </c>
      <c r="P3694" s="90">
        <v>45110.701736111114</v>
      </c>
      <c r="Q3694" s="87" t="s">
        <v>5362</v>
      </c>
      <c r="R3694" s="87">
        <v>0</v>
      </c>
      <c r="S3694" s="87">
        <v>3</v>
      </c>
      <c r="T3694" s="87">
        <v>0</v>
      </c>
      <c r="U3694" s="87">
        <v>1</v>
      </c>
      <c r="V3694" s="87">
        <v>28</v>
      </c>
      <c r="W3694" s="93" t="s">
        <v>7999</v>
      </c>
      <c r="X3694" s="92" t="str">
        <f>HYPERLINK("https://www.rodrigoklyngerr.com.br/2023/07/empresas-de-pequeno-porte-ja-podem-usar.html")</f>
        <v>https://www.rodrigoklyngerr.com.br/2023/07/empresas-de-pequeno-porte-ja-podem-usar.html</v>
      </c>
      <c r="Y3694" s="87" t="s">
        <v>8373</v>
      </c>
      <c r="Z3694" s="87"/>
      <c r="AA3694" s="87"/>
      <c r="AB3694" s="87"/>
      <c r="AC3694" s="93" t="s">
        <v>11457</v>
      </c>
      <c r="AD3694" s="87" t="s">
        <v>11519</v>
      </c>
      <c r="AE3694" s="92" t="str">
        <f>HYPERLINK("https://twitter.com/blogdoklyngerr/status/1675909893457424395")</f>
        <v>https://twitter.com/blogdoklyngerr/status/1675909893457424395</v>
      </c>
      <c r="AF3694" s="90">
        <v>45110.701736111114</v>
      </c>
      <c r="AG3694" s="99">
        <v>45110</v>
      </c>
      <c r="AH3694" s="93" t="s">
        <v>14799</v>
      </c>
      <c r="AI3694" s="87" t="b">
        <v>0</v>
      </c>
      <c r="AJ3694" s="87"/>
      <c r="AK3694" s="87"/>
      <c r="AL3694" s="87"/>
      <c r="AM3694" s="87"/>
      <c r="AN3694" s="87"/>
      <c r="AO3694" s="87"/>
      <c r="AP3694" s="87"/>
      <c r="AQ3694" s="87"/>
      <c r="AR3694" s="87"/>
      <c r="AS3694" s="87"/>
      <c r="AT3694" s="87"/>
      <c r="AU3694" s="87"/>
      <c r="AV3694" s="92" t="str">
        <f>HYPERLINK("https://pbs.twimg.com/profile_images/1611106186140569617/lmTEBtoX_normal.jpg")</f>
        <v>https://pbs.twimg.com/profile_images/1611106186140569617/lmTEBtoX_normal.jpg</v>
      </c>
      <c r="AW3694" s="93" t="s">
        <v>21817</v>
      </c>
      <c r="AX3694" s="93" t="s">
        <v>21817</v>
      </c>
      <c r="AY3694" s="87"/>
      <c r="AZ3694" s="93" t="s">
        <v>22668</v>
      </c>
      <c r="BA3694" s="93" t="s">
        <v>22668</v>
      </c>
      <c r="BB3694" s="93" t="s">
        <v>22668</v>
      </c>
      <c r="BC3694" s="93" t="s">
        <v>21817</v>
      </c>
      <c r="BD3694" s="87">
        <v>237070073</v>
      </c>
      <c r="BE3694" s="87"/>
      <c r="BF3694" s="87"/>
      <c r="BG3694" s="87"/>
      <c r="BH3694" s="87"/>
      <c r="BI3694" s="87"/>
    </row>
    <row r="3695" spans="1:61" x14ac:dyDescent="0.25">
      <c r="A3695" s="63" t="s">
        <v>1408</v>
      </c>
      <c r="B3695" s="63" t="s">
        <v>1408</v>
      </c>
      <c r="C3695" s="64"/>
      <c r="D3695" s="65"/>
      <c r="E3695" s="66"/>
      <c r="F3695" s="67"/>
      <c r="G3695" s="64"/>
      <c r="H3695" s="68"/>
      <c r="I3695" s="69"/>
      <c r="J3695" s="69"/>
      <c r="K3695" s="32"/>
      <c r="L3695" s="76">
        <v>3695</v>
      </c>
      <c r="M3695" s="76"/>
      <c r="N3695" s="71"/>
      <c r="O3695" s="87" t="s">
        <v>179</v>
      </c>
      <c r="P3695" s="90">
        <v>45182.881608796299</v>
      </c>
      <c r="Q3695" s="87" t="s">
        <v>5363</v>
      </c>
      <c r="R3695" s="87">
        <v>0</v>
      </c>
      <c r="S3695" s="87">
        <v>0</v>
      </c>
      <c r="T3695" s="87">
        <v>0</v>
      </c>
      <c r="U3695" s="87">
        <v>0</v>
      </c>
      <c r="V3695" s="87">
        <v>22</v>
      </c>
      <c r="W3695" s="93" t="s">
        <v>8000</v>
      </c>
      <c r="X3695" s="87"/>
      <c r="Y3695" s="87"/>
      <c r="Z3695" s="87"/>
      <c r="AA3695" s="87"/>
      <c r="AB3695" s="87"/>
      <c r="AC3695" s="93" t="s">
        <v>11457</v>
      </c>
      <c r="AD3695" s="87" t="s">
        <v>11519</v>
      </c>
      <c r="AE3695" s="92" t="str">
        <f>HYPERLINK("https://twitter.com/thalesbrandao/status/1702067006264983824")</f>
        <v>https://twitter.com/thalesbrandao/status/1702067006264983824</v>
      </c>
      <c r="AF3695" s="90">
        <v>45182.881608796299</v>
      </c>
      <c r="AG3695" s="99">
        <v>45182</v>
      </c>
      <c r="AH3695" s="93" t="s">
        <v>14800</v>
      </c>
      <c r="AI3695" s="87"/>
      <c r="AJ3695" s="87"/>
      <c r="AK3695" s="87"/>
      <c r="AL3695" s="87"/>
      <c r="AM3695" s="87"/>
      <c r="AN3695" s="87"/>
      <c r="AO3695" s="87"/>
      <c r="AP3695" s="87"/>
      <c r="AQ3695" s="87"/>
      <c r="AR3695" s="87"/>
      <c r="AS3695" s="87"/>
      <c r="AT3695" s="87"/>
      <c r="AU3695" s="87"/>
      <c r="AV3695" s="92" t="str">
        <f>HYPERLINK("https://pbs.twimg.com/profile_images/846178730766749698/oSUp1mA8_normal.jpg")</f>
        <v>https://pbs.twimg.com/profile_images/846178730766749698/oSUp1mA8_normal.jpg</v>
      </c>
      <c r="AW3695" s="93" t="s">
        <v>21818</v>
      </c>
      <c r="AX3695" s="93" t="s">
        <v>21818</v>
      </c>
      <c r="AY3695" s="87"/>
      <c r="AZ3695" s="93" t="s">
        <v>22668</v>
      </c>
      <c r="BA3695" s="93" t="s">
        <v>22668</v>
      </c>
      <c r="BB3695" s="93" t="s">
        <v>22668</v>
      </c>
      <c r="BC3695" s="93" t="s">
        <v>21818</v>
      </c>
      <c r="BD3695" s="87">
        <v>22129996</v>
      </c>
      <c r="BE3695" s="87"/>
      <c r="BF3695" s="87"/>
      <c r="BG3695" s="87"/>
      <c r="BH3695" s="87"/>
      <c r="BI3695" s="87"/>
    </row>
    <row r="3696" spans="1:61" x14ac:dyDescent="0.25">
      <c r="A3696" s="63" t="s">
        <v>1409</v>
      </c>
      <c r="B3696" s="63" t="s">
        <v>1409</v>
      </c>
      <c r="C3696" s="64"/>
      <c r="D3696" s="65"/>
      <c r="E3696" s="66"/>
      <c r="F3696" s="67"/>
      <c r="G3696" s="64"/>
      <c r="H3696" s="68"/>
      <c r="I3696" s="69"/>
      <c r="J3696" s="69"/>
      <c r="K3696" s="32"/>
      <c r="L3696" s="76">
        <v>3696</v>
      </c>
      <c r="M3696" s="76"/>
      <c r="N3696" s="71"/>
      <c r="O3696" s="87" t="s">
        <v>1840</v>
      </c>
      <c r="P3696" s="90">
        <v>45189.467523148145</v>
      </c>
      <c r="Q3696" s="87" t="s">
        <v>5364</v>
      </c>
      <c r="R3696" s="87">
        <v>0</v>
      </c>
      <c r="S3696" s="87">
        <v>0</v>
      </c>
      <c r="T3696" s="87">
        <v>1</v>
      </c>
      <c r="U3696" s="87">
        <v>0</v>
      </c>
      <c r="V3696" s="87">
        <v>4</v>
      </c>
      <c r="W3696" s="93" t="s">
        <v>8001</v>
      </c>
      <c r="X3696" s="87"/>
      <c r="Y3696" s="87"/>
      <c r="Z3696" s="87"/>
      <c r="AA3696" s="87"/>
      <c r="AB3696" s="87"/>
      <c r="AC3696" s="93" t="s">
        <v>11457</v>
      </c>
      <c r="AD3696" s="87" t="s">
        <v>11519</v>
      </c>
      <c r="AE3696" s="92" t="str">
        <f>HYPERLINK("https://twitter.com/fgaugustus/status/1704453661898797410")</f>
        <v>https://twitter.com/fgaugustus/status/1704453661898797410</v>
      </c>
      <c r="AF3696" s="90">
        <v>45189.467523148145</v>
      </c>
      <c r="AG3696" s="99">
        <v>45189</v>
      </c>
      <c r="AH3696" s="93" t="s">
        <v>14801</v>
      </c>
      <c r="AI3696" s="87"/>
      <c r="AJ3696" s="87"/>
      <c r="AK3696" s="87"/>
      <c r="AL3696" s="87"/>
      <c r="AM3696" s="87"/>
      <c r="AN3696" s="87"/>
      <c r="AO3696" s="87"/>
      <c r="AP3696" s="87"/>
      <c r="AQ3696" s="87"/>
      <c r="AR3696" s="87"/>
      <c r="AS3696" s="87"/>
      <c r="AT3696" s="87"/>
      <c r="AU3696" s="87"/>
      <c r="AV3696" s="92" t="str">
        <f>HYPERLINK("https://pbs.twimg.com/profile_images/1561516721835577352/FYTrPwEo_normal.jpg")</f>
        <v>https://pbs.twimg.com/profile_images/1561516721835577352/FYTrPwEo_normal.jpg</v>
      </c>
      <c r="AW3696" s="93" t="s">
        <v>21819</v>
      </c>
      <c r="AX3696" s="93" t="s">
        <v>22482</v>
      </c>
      <c r="AY3696" s="93" t="s">
        <v>22645</v>
      </c>
      <c r="AZ3696" s="93" t="s">
        <v>21820</v>
      </c>
      <c r="BA3696" s="93" t="s">
        <v>22668</v>
      </c>
      <c r="BB3696" s="93" t="s">
        <v>22668</v>
      </c>
      <c r="BC3696" s="93" t="s">
        <v>21820</v>
      </c>
      <c r="BD3696" s="87">
        <v>3507344897</v>
      </c>
      <c r="BE3696" s="87"/>
      <c r="BF3696" s="87"/>
      <c r="BG3696" s="87"/>
      <c r="BH3696" s="87"/>
      <c r="BI3696" s="87"/>
    </row>
    <row r="3697" spans="1:61" x14ac:dyDescent="0.25">
      <c r="A3697" s="63" t="s">
        <v>1409</v>
      </c>
      <c r="B3697" s="63" t="s">
        <v>1409</v>
      </c>
      <c r="C3697" s="64"/>
      <c r="D3697" s="65"/>
      <c r="E3697" s="66"/>
      <c r="F3697" s="67"/>
      <c r="G3697" s="64"/>
      <c r="H3697" s="68"/>
      <c r="I3697" s="69"/>
      <c r="J3697" s="69"/>
      <c r="K3697" s="32"/>
      <c r="L3697" s="76">
        <v>3697</v>
      </c>
      <c r="M3697" s="76"/>
      <c r="N3697" s="71"/>
      <c r="O3697" s="87" t="s">
        <v>1840</v>
      </c>
      <c r="P3697" s="90">
        <v>45189.466979166667</v>
      </c>
      <c r="Q3697" s="87" t="s">
        <v>5365</v>
      </c>
      <c r="R3697" s="87">
        <v>0</v>
      </c>
      <c r="S3697" s="87">
        <v>0</v>
      </c>
      <c r="T3697" s="87">
        <v>1</v>
      </c>
      <c r="U3697" s="87">
        <v>0</v>
      </c>
      <c r="V3697" s="87">
        <v>8</v>
      </c>
      <c r="W3697" s="93" t="s">
        <v>8002</v>
      </c>
      <c r="X3697" s="87"/>
      <c r="Y3697" s="87"/>
      <c r="Z3697" s="87"/>
      <c r="AA3697" s="87"/>
      <c r="AB3697" s="87"/>
      <c r="AC3697" s="93" t="s">
        <v>11457</v>
      </c>
      <c r="AD3697" s="87" t="s">
        <v>11519</v>
      </c>
      <c r="AE3697" s="92" t="str">
        <f>HYPERLINK("https://twitter.com/fgaugustus/status/1704453462069588263")</f>
        <v>https://twitter.com/fgaugustus/status/1704453462069588263</v>
      </c>
      <c r="AF3697" s="90">
        <v>45189.466979166667</v>
      </c>
      <c r="AG3697" s="99">
        <v>45189</v>
      </c>
      <c r="AH3697" s="93" t="s">
        <v>13818</v>
      </c>
      <c r="AI3697" s="87"/>
      <c r="AJ3697" s="87"/>
      <c r="AK3697" s="87"/>
      <c r="AL3697" s="87"/>
      <c r="AM3697" s="87"/>
      <c r="AN3697" s="87"/>
      <c r="AO3697" s="87"/>
      <c r="AP3697" s="87"/>
      <c r="AQ3697" s="87"/>
      <c r="AR3697" s="87"/>
      <c r="AS3697" s="87"/>
      <c r="AT3697" s="87"/>
      <c r="AU3697" s="87"/>
      <c r="AV3697" s="92" t="str">
        <f>HYPERLINK("https://pbs.twimg.com/profile_images/1561516721835577352/FYTrPwEo_normal.jpg")</f>
        <v>https://pbs.twimg.com/profile_images/1561516721835577352/FYTrPwEo_normal.jpg</v>
      </c>
      <c r="AW3697" s="93" t="s">
        <v>21820</v>
      </c>
      <c r="AX3697" s="93" t="s">
        <v>22482</v>
      </c>
      <c r="AY3697" s="93" t="s">
        <v>22645</v>
      </c>
      <c r="AZ3697" s="93" t="s">
        <v>22767</v>
      </c>
      <c r="BA3697" s="93" t="s">
        <v>22668</v>
      </c>
      <c r="BB3697" s="93" t="s">
        <v>22668</v>
      </c>
      <c r="BC3697" s="93" t="s">
        <v>22767</v>
      </c>
      <c r="BD3697" s="87">
        <v>3507344897</v>
      </c>
      <c r="BE3697" s="87"/>
      <c r="BF3697" s="87"/>
      <c r="BG3697" s="87"/>
      <c r="BH3697" s="87"/>
      <c r="BI3697" s="87"/>
    </row>
    <row r="3698" spans="1:61" x14ac:dyDescent="0.25">
      <c r="A3698" s="63" t="s">
        <v>1409</v>
      </c>
      <c r="B3698" s="63" t="s">
        <v>1409</v>
      </c>
      <c r="C3698" s="64"/>
      <c r="D3698" s="65"/>
      <c r="E3698" s="66"/>
      <c r="F3698" s="67"/>
      <c r="G3698" s="64"/>
      <c r="H3698" s="68"/>
      <c r="I3698" s="69"/>
      <c r="J3698" s="69"/>
      <c r="K3698" s="32"/>
      <c r="L3698" s="76">
        <v>3698</v>
      </c>
      <c r="M3698" s="76"/>
      <c r="N3698" s="71"/>
      <c r="O3698" s="87" t="s">
        <v>1840</v>
      </c>
      <c r="P3698" s="90">
        <v>45189.465729166666</v>
      </c>
      <c r="Q3698" s="87" t="s">
        <v>5366</v>
      </c>
      <c r="R3698" s="87">
        <v>0</v>
      </c>
      <c r="S3698" s="87">
        <v>0</v>
      </c>
      <c r="T3698" s="87">
        <v>1</v>
      </c>
      <c r="U3698" s="87">
        <v>0</v>
      </c>
      <c r="V3698" s="87">
        <v>8</v>
      </c>
      <c r="W3698" s="93" t="s">
        <v>8003</v>
      </c>
      <c r="X3698" s="87"/>
      <c r="Y3698" s="87"/>
      <c r="Z3698" s="87"/>
      <c r="AA3698" s="87"/>
      <c r="AB3698" s="87"/>
      <c r="AC3698" s="93" t="s">
        <v>11457</v>
      </c>
      <c r="AD3698" s="87" t="s">
        <v>11519</v>
      </c>
      <c r="AE3698" s="92" t="str">
        <f>HYPERLINK("https://twitter.com/fgaugustus/status/1704453008556253285")</f>
        <v>https://twitter.com/fgaugustus/status/1704453008556253285</v>
      </c>
      <c r="AF3698" s="90">
        <v>45189.465729166666</v>
      </c>
      <c r="AG3698" s="99">
        <v>45189</v>
      </c>
      <c r="AH3698" s="93" t="s">
        <v>14192</v>
      </c>
      <c r="AI3698" s="87"/>
      <c r="AJ3698" s="87"/>
      <c r="AK3698" s="87"/>
      <c r="AL3698" s="87"/>
      <c r="AM3698" s="87"/>
      <c r="AN3698" s="87"/>
      <c r="AO3698" s="87"/>
      <c r="AP3698" s="87"/>
      <c r="AQ3698" s="87"/>
      <c r="AR3698" s="87"/>
      <c r="AS3698" s="87"/>
      <c r="AT3698" s="87"/>
      <c r="AU3698" s="87"/>
      <c r="AV3698" s="92" t="str">
        <f>HYPERLINK("https://pbs.twimg.com/profile_images/1561516721835577352/FYTrPwEo_normal.jpg")</f>
        <v>https://pbs.twimg.com/profile_images/1561516721835577352/FYTrPwEo_normal.jpg</v>
      </c>
      <c r="AW3698" s="93" t="s">
        <v>21821</v>
      </c>
      <c r="AX3698" s="93" t="s">
        <v>22482</v>
      </c>
      <c r="AY3698" s="93" t="s">
        <v>22645</v>
      </c>
      <c r="AZ3698" s="93" t="s">
        <v>22768</v>
      </c>
      <c r="BA3698" s="93" t="s">
        <v>22668</v>
      </c>
      <c r="BB3698" s="93" t="s">
        <v>22668</v>
      </c>
      <c r="BC3698" s="93" t="s">
        <v>22768</v>
      </c>
      <c r="BD3698" s="87">
        <v>3507344897</v>
      </c>
      <c r="BE3698" s="87"/>
      <c r="BF3698" s="87"/>
      <c r="BG3698" s="87"/>
      <c r="BH3698" s="87"/>
      <c r="BI3698" s="87"/>
    </row>
    <row r="3699" spans="1:61" x14ac:dyDescent="0.25">
      <c r="A3699" s="63" t="s">
        <v>1410</v>
      </c>
      <c r="B3699" s="63" t="s">
        <v>1410</v>
      </c>
      <c r="C3699" s="64"/>
      <c r="D3699" s="65"/>
      <c r="E3699" s="66"/>
      <c r="F3699" s="67"/>
      <c r="G3699" s="64"/>
      <c r="H3699" s="68"/>
      <c r="I3699" s="69"/>
      <c r="J3699" s="69"/>
      <c r="K3699" s="32"/>
      <c r="L3699" s="76">
        <v>3699</v>
      </c>
      <c r="M3699" s="76"/>
      <c r="N3699" s="71"/>
      <c r="O3699" s="87" t="s">
        <v>1840</v>
      </c>
      <c r="P3699" s="90">
        <v>45187.639687499999</v>
      </c>
      <c r="Q3699" s="87" t="s">
        <v>5367</v>
      </c>
      <c r="R3699" s="87">
        <v>0</v>
      </c>
      <c r="S3699" s="87">
        <v>1</v>
      </c>
      <c r="T3699" s="87">
        <v>0</v>
      </c>
      <c r="U3699" s="87">
        <v>0</v>
      </c>
      <c r="V3699" s="87">
        <v>112</v>
      </c>
      <c r="W3699" s="93" t="s">
        <v>8004</v>
      </c>
      <c r="X3699" s="87"/>
      <c r="Y3699" s="87"/>
      <c r="Z3699" s="87"/>
      <c r="AA3699" s="87"/>
      <c r="AB3699" s="87"/>
      <c r="AC3699" s="93" t="s">
        <v>11457</v>
      </c>
      <c r="AD3699" s="87" t="s">
        <v>11519</v>
      </c>
      <c r="AE3699" s="92" t="str">
        <f>HYPERLINK("https://twitter.com/afropython/status/1703791274849948104")</f>
        <v>https://twitter.com/afropython/status/1703791274849948104</v>
      </c>
      <c r="AF3699" s="90">
        <v>45187.639687499999</v>
      </c>
      <c r="AG3699" s="99">
        <v>45187</v>
      </c>
      <c r="AH3699" s="93" t="s">
        <v>14802</v>
      </c>
      <c r="AI3699" s="87"/>
      <c r="AJ3699" s="87"/>
      <c r="AK3699" s="87"/>
      <c r="AL3699" s="87"/>
      <c r="AM3699" s="87"/>
      <c r="AN3699" s="87"/>
      <c r="AO3699" s="87"/>
      <c r="AP3699" s="87"/>
      <c r="AQ3699" s="87"/>
      <c r="AR3699" s="87"/>
      <c r="AS3699" s="87"/>
      <c r="AT3699" s="87"/>
      <c r="AU3699" s="87"/>
      <c r="AV3699" s="92" t="str">
        <f>HYPERLINK("https://pbs.twimg.com/profile_images/992912888359784450/3Z2cTm4z_normal.jpg")</f>
        <v>https://pbs.twimg.com/profile_images/992912888359784450/3Z2cTm4z_normal.jpg</v>
      </c>
      <c r="AW3699" s="93" t="s">
        <v>21822</v>
      </c>
      <c r="AX3699" s="93" t="s">
        <v>22483</v>
      </c>
      <c r="AY3699" s="93" t="s">
        <v>22646</v>
      </c>
      <c r="AZ3699" s="93" t="s">
        <v>22769</v>
      </c>
      <c r="BA3699" s="93" t="s">
        <v>22668</v>
      </c>
      <c r="BB3699" s="93" t="s">
        <v>22668</v>
      </c>
      <c r="BC3699" s="93" t="s">
        <v>22769</v>
      </c>
      <c r="BD3699" s="93" t="s">
        <v>22646</v>
      </c>
      <c r="BE3699" s="87"/>
      <c r="BF3699" s="87"/>
      <c r="BG3699" s="87"/>
      <c r="BH3699" s="87"/>
      <c r="BI3699" s="87"/>
    </row>
    <row r="3700" spans="1:61" x14ac:dyDescent="0.25">
      <c r="A3700" s="63" t="s">
        <v>1410</v>
      </c>
      <c r="B3700" s="63" t="s">
        <v>1410</v>
      </c>
      <c r="C3700" s="64"/>
      <c r="D3700" s="65"/>
      <c r="E3700" s="66"/>
      <c r="F3700" s="67"/>
      <c r="G3700" s="64"/>
      <c r="H3700" s="68"/>
      <c r="I3700" s="69"/>
      <c r="J3700" s="69"/>
      <c r="K3700" s="32"/>
      <c r="L3700" s="76">
        <v>3700</v>
      </c>
      <c r="M3700" s="76"/>
      <c r="N3700" s="71"/>
      <c r="O3700" s="87" t="s">
        <v>1840</v>
      </c>
      <c r="P3700" s="90">
        <v>45187.637002314812</v>
      </c>
      <c r="Q3700" s="87" t="s">
        <v>5368</v>
      </c>
      <c r="R3700" s="87">
        <v>0</v>
      </c>
      <c r="S3700" s="87">
        <v>1</v>
      </c>
      <c r="T3700" s="87">
        <v>1</v>
      </c>
      <c r="U3700" s="87">
        <v>0</v>
      </c>
      <c r="V3700" s="87">
        <v>69</v>
      </c>
      <c r="W3700" s="93" t="s">
        <v>8005</v>
      </c>
      <c r="X3700" s="87"/>
      <c r="Y3700" s="87"/>
      <c r="Z3700" s="87"/>
      <c r="AA3700" s="87"/>
      <c r="AB3700" s="87"/>
      <c r="AC3700" s="93" t="s">
        <v>11457</v>
      </c>
      <c r="AD3700" s="87" t="s">
        <v>11519</v>
      </c>
      <c r="AE3700" s="92" t="str">
        <f>HYPERLINK("https://twitter.com/afropython/status/1703790300517302723")</f>
        <v>https://twitter.com/afropython/status/1703790300517302723</v>
      </c>
      <c r="AF3700" s="90">
        <v>45187.637002314812</v>
      </c>
      <c r="AG3700" s="99">
        <v>45187</v>
      </c>
      <c r="AH3700" s="93" t="s">
        <v>14803</v>
      </c>
      <c r="AI3700" s="87"/>
      <c r="AJ3700" s="87"/>
      <c r="AK3700" s="87"/>
      <c r="AL3700" s="87"/>
      <c r="AM3700" s="87"/>
      <c r="AN3700" s="87"/>
      <c r="AO3700" s="87"/>
      <c r="AP3700" s="87"/>
      <c r="AQ3700" s="87"/>
      <c r="AR3700" s="87"/>
      <c r="AS3700" s="87"/>
      <c r="AT3700" s="87"/>
      <c r="AU3700" s="87"/>
      <c r="AV3700" s="92" t="str">
        <f>HYPERLINK("https://pbs.twimg.com/profile_images/992912888359784450/3Z2cTm4z_normal.jpg")</f>
        <v>https://pbs.twimg.com/profile_images/992912888359784450/3Z2cTm4z_normal.jpg</v>
      </c>
      <c r="AW3700" s="93" t="s">
        <v>21823</v>
      </c>
      <c r="AX3700" s="93" t="s">
        <v>22483</v>
      </c>
      <c r="AY3700" s="93" t="s">
        <v>22646</v>
      </c>
      <c r="AZ3700" s="93" t="s">
        <v>22483</v>
      </c>
      <c r="BA3700" s="93" t="s">
        <v>22668</v>
      </c>
      <c r="BB3700" s="93" t="s">
        <v>22668</v>
      </c>
      <c r="BC3700" s="93" t="s">
        <v>22483</v>
      </c>
      <c r="BD3700" s="93" t="s">
        <v>22646</v>
      </c>
      <c r="BE3700" s="87"/>
      <c r="BF3700" s="87"/>
      <c r="BG3700" s="87"/>
      <c r="BH3700" s="87"/>
      <c r="BI3700" s="87"/>
    </row>
    <row r="3701" spans="1:61" x14ac:dyDescent="0.25">
      <c r="A3701" s="63" t="s">
        <v>1410</v>
      </c>
      <c r="B3701" s="63" t="s">
        <v>1410</v>
      </c>
      <c r="C3701" s="64"/>
      <c r="D3701" s="65"/>
      <c r="E3701" s="66"/>
      <c r="F3701" s="67"/>
      <c r="G3701" s="64"/>
      <c r="H3701" s="68"/>
      <c r="I3701" s="69"/>
      <c r="J3701" s="69"/>
      <c r="K3701" s="32"/>
      <c r="L3701" s="76">
        <v>3701</v>
      </c>
      <c r="M3701" s="76"/>
      <c r="N3701" s="71"/>
      <c r="O3701" s="87" t="s">
        <v>1840</v>
      </c>
      <c r="P3701" s="90">
        <v>45193.857071759259</v>
      </c>
      <c r="Q3701" s="87" t="s">
        <v>5369</v>
      </c>
      <c r="R3701" s="87">
        <v>0</v>
      </c>
      <c r="S3701" s="87">
        <v>3</v>
      </c>
      <c r="T3701" s="87">
        <v>0</v>
      </c>
      <c r="U3701" s="87">
        <v>0</v>
      </c>
      <c r="V3701" s="87">
        <v>200</v>
      </c>
      <c r="W3701" s="93" t="s">
        <v>8006</v>
      </c>
      <c r="X3701" s="87"/>
      <c r="Y3701" s="87"/>
      <c r="Z3701" s="87"/>
      <c r="AA3701" s="87" t="s">
        <v>11131</v>
      </c>
      <c r="AB3701" s="87" t="s">
        <v>11451</v>
      </c>
      <c r="AC3701" s="93" t="s">
        <v>11457</v>
      </c>
      <c r="AD3701" s="87" t="s">
        <v>11519</v>
      </c>
      <c r="AE3701" s="92" t="str">
        <f>HYPERLINK("https://twitter.com/afropython/status/1706044377494147225")</f>
        <v>https://twitter.com/afropython/status/1706044377494147225</v>
      </c>
      <c r="AF3701" s="90">
        <v>45193.857071759259</v>
      </c>
      <c r="AG3701" s="99">
        <v>45193</v>
      </c>
      <c r="AH3701" s="93" t="s">
        <v>14804</v>
      </c>
      <c r="AI3701" s="87" t="b">
        <v>0</v>
      </c>
      <c r="AJ3701" s="87"/>
      <c r="AK3701" s="87"/>
      <c r="AL3701" s="87"/>
      <c r="AM3701" s="87"/>
      <c r="AN3701" s="87"/>
      <c r="AO3701" s="87"/>
      <c r="AP3701" s="87"/>
      <c r="AQ3701" s="87" t="s">
        <v>17943</v>
      </c>
      <c r="AR3701" s="87"/>
      <c r="AS3701" s="87"/>
      <c r="AT3701" s="87"/>
      <c r="AU3701" s="87"/>
      <c r="AV3701" s="92" t="str">
        <f>HYPERLINK("https://pbs.twimg.com/media/F60WRyHXwAAaODg.jpg")</f>
        <v>https://pbs.twimg.com/media/F60WRyHXwAAaODg.jpg</v>
      </c>
      <c r="AW3701" s="93" t="s">
        <v>21824</v>
      </c>
      <c r="AX3701" s="93" t="s">
        <v>22484</v>
      </c>
      <c r="AY3701" s="93" t="s">
        <v>22646</v>
      </c>
      <c r="AZ3701" s="93" t="s">
        <v>22484</v>
      </c>
      <c r="BA3701" s="93" t="s">
        <v>22668</v>
      </c>
      <c r="BB3701" s="93" t="s">
        <v>22668</v>
      </c>
      <c r="BC3701" s="93" t="s">
        <v>22484</v>
      </c>
      <c r="BD3701" s="93" t="s">
        <v>22646</v>
      </c>
      <c r="BE3701" s="87"/>
      <c r="BF3701" s="87"/>
      <c r="BG3701" s="87"/>
      <c r="BH3701" s="87"/>
      <c r="BI3701" s="87"/>
    </row>
    <row r="3702" spans="1:61" x14ac:dyDescent="0.25">
      <c r="A3702" s="63" t="s">
        <v>1411</v>
      </c>
      <c r="B3702" s="63" t="s">
        <v>1749</v>
      </c>
      <c r="C3702" s="64"/>
      <c r="D3702" s="65"/>
      <c r="E3702" s="66"/>
      <c r="F3702" s="67"/>
      <c r="G3702" s="64"/>
      <c r="H3702" s="68"/>
      <c r="I3702" s="69"/>
      <c r="J3702" s="69"/>
      <c r="K3702" s="32"/>
      <c r="L3702" s="76">
        <v>3702</v>
      </c>
      <c r="M3702" s="76"/>
      <c r="N3702" s="71"/>
      <c r="O3702" s="87" t="s">
        <v>1839</v>
      </c>
      <c r="P3702" s="90">
        <v>45126.588402777779</v>
      </c>
      <c r="Q3702" s="87" t="s">
        <v>5370</v>
      </c>
      <c r="R3702" s="87">
        <v>0</v>
      </c>
      <c r="S3702" s="87">
        <v>0</v>
      </c>
      <c r="T3702" s="87">
        <v>0</v>
      </c>
      <c r="U3702" s="87">
        <v>0</v>
      </c>
      <c r="V3702" s="87">
        <v>122</v>
      </c>
      <c r="W3702" s="93" t="s">
        <v>8007</v>
      </c>
      <c r="X3702" s="92" t="str">
        <f>HYPERLINK("https://sites.rj.sebrae.com.br/inscricao/projeto-top-empreendedor?utm_source=facebook&amp;utm_medium=BASE+%5B18-65+ANOS%5D&amp;utm_campaign=CSO%7CARTPLAN%7CCONVERSAO%7CTOP-EMPREENDEDOR%7CMEI_17_A_17-08&amp;utm_content=CARD+02+%5BA%5D")</f>
        <v>https://sites.rj.sebrae.com.br/inscricao/projeto-top-empreendedor?utm_source=facebook&amp;utm_medium=BASE+%5B18-65+ANOS%5D&amp;utm_campaign=CSO%7CARTPLAN%7CCONVERSAO%7CTOP-EMPREENDEDOR%7CMEI_17_A_17-08&amp;utm_content=CARD+02+%5BA%5D</v>
      </c>
      <c r="Y3702" s="87" t="s">
        <v>8373</v>
      </c>
      <c r="Z3702" s="87" t="s">
        <v>1749</v>
      </c>
      <c r="AA3702" s="87" t="s">
        <v>11132</v>
      </c>
      <c r="AB3702" s="87" t="s">
        <v>11448</v>
      </c>
      <c r="AC3702" s="93" t="s">
        <v>11459</v>
      </c>
      <c r="AD3702" s="87" t="s">
        <v>11519</v>
      </c>
      <c r="AE3702" s="92" t="str">
        <f>HYPERLINK("https://twitter.com/juliomj85/status/1681667030695460865")</f>
        <v>https://twitter.com/juliomj85/status/1681667030695460865</v>
      </c>
      <c r="AF3702" s="90">
        <v>45126.588402777779</v>
      </c>
      <c r="AG3702" s="99">
        <v>45126</v>
      </c>
      <c r="AH3702" s="93" t="s">
        <v>14805</v>
      </c>
      <c r="AI3702" s="87" t="b">
        <v>0</v>
      </c>
      <c r="AJ3702" s="87" t="s">
        <v>15179</v>
      </c>
      <c r="AK3702" s="87" t="s">
        <v>15234</v>
      </c>
      <c r="AL3702" s="87" t="s">
        <v>15237</v>
      </c>
      <c r="AM3702" s="87" t="s">
        <v>15240</v>
      </c>
      <c r="AN3702" s="87" t="s">
        <v>15316</v>
      </c>
      <c r="AO3702" s="87" t="s">
        <v>15372</v>
      </c>
      <c r="AP3702" s="87" t="s">
        <v>15438</v>
      </c>
      <c r="AQ3702" s="87" t="s">
        <v>17944</v>
      </c>
      <c r="AR3702" s="87"/>
      <c r="AS3702" s="87"/>
      <c r="AT3702" s="87"/>
      <c r="AU3702" s="87"/>
      <c r="AV3702" s="92" t="str">
        <f>HYPERLINK("https://pbs.twimg.com/media/F1Z7QJAXgAAVm3o.jpg")</f>
        <v>https://pbs.twimg.com/media/F1Z7QJAXgAAVm3o.jpg</v>
      </c>
      <c r="AW3702" s="93" t="s">
        <v>21825</v>
      </c>
      <c r="AX3702" s="93" t="s">
        <v>21825</v>
      </c>
      <c r="AY3702" s="87"/>
      <c r="AZ3702" s="93" t="s">
        <v>22668</v>
      </c>
      <c r="BA3702" s="93" t="s">
        <v>22668</v>
      </c>
      <c r="BB3702" s="93" t="s">
        <v>22668</v>
      </c>
      <c r="BC3702" s="93" t="s">
        <v>21825</v>
      </c>
      <c r="BD3702" s="93" t="s">
        <v>23484</v>
      </c>
      <c r="BE3702" s="87"/>
      <c r="BF3702" s="87"/>
      <c r="BG3702" s="87"/>
      <c r="BH3702" s="87"/>
      <c r="BI3702" s="87"/>
    </row>
    <row r="3703" spans="1:61" x14ac:dyDescent="0.25">
      <c r="A3703" s="63" t="s">
        <v>1412</v>
      </c>
      <c r="B3703" s="63" t="s">
        <v>1412</v>
      </c>
      <c r="C3703" s="64"/>
      <c r="D3703" s="65"/>
      <c r="E3703" s="66"/>
      <c r="F3703" s="67"/>
      <c r="G3703" s="64"/>
      <c r="H3703" s="68"/>
      <c r="I3703" s="69"/>
      <c r="J3703" s="69"/>
      <c r="K3703" s="32"/>
      <c r="L3703" s="76">
        <v>3703</v>
      </c>
      <c r="M3703" s="76"/>
      <c r="N3703" s="71"/>
      <c r="O3703" s="87" t="s">
        <v>179</v>
      </c>
      <c r="P3703" s="90">
        <v>45115.523125</v>
      </c>
      <c r="Q3703" s="87" t="s">
        <v>5371</v>
      </c>
      <c r="R3703" s="87">
        <v>0</v>
      </c>
      <c r="S3703" s="87">
        <v>0</v>
      </c>
      <c r="T3703" s="87">
        <v>0</v>
      </c>
      <c r="U3703" s="87">
        <v>0</v>
      </c>
      <c r="V3703" s="87">
        <v>11</v>
      </c>
      <c r="W3703" s="93" t="s">
        <v>8008</v>
      </c>
      <c r="X3703" s="87"/>
      <c r="Y3703" s="87"/>
      <c r="Z3703" s="87"/>
      <c r="AA3703" s="87"/>
      <c r="AB3703" s="87"/>
      <c r="AC3703" s="93" t="s">
        <v>11459</v>
      </c>
      <c r="AD3703" s="87" t="s">
        <v>11519</v>
      </c>
      <c r="AE3703" s="92" t="str">
        <f>HYPERLINK("https://twitter.com/regivnia4/status/1677657107632467969")</f>
        <v>https://twitter.com/regivnia4/status/1677657107632467969</v>
      </c>
      <c r="AF3703" s="90">
        <v>45115.523125</v>
      </c>
      <c r="AG3703" s="99">
        <v>45115</v>
      </c>
      <c r="AH3703" s="93" t="s">
        <v>12856</v>
      </c>
      <c r="AI3703" s="87"/>
      <c r="AJ3703" s="87"/>
      <c r="AK3703" s="87"/>
      <c r="AL3703" s="87"/>
      <c r="AM3703" s="87"/>
      <c r="AN3703" s="87"/>
      <c r="AO3703" s="87"/>
      <c r="AP3703" s="87"/>
      <c r="AQ3703" s="87"/>
      <c r="AR3703" s="87"/>
      <c r="AS3703" s="87"/>
      <c r="AT3703" s="87"/>
      <c r="AU3703" s="87"/>
      <c r="AV3703" s="92" t="str">
        <f>HYPERLINK("https://pbs.twimg.com/profile_images/1705428582267232256/AJC3UrGK_normal.jpg")</f>
        <v>https://pbs.twimg.com/profile_images/1705428582267232256/AJC3UrGK_normal.jpg</v>
      </c>
      <c r="AW3703" s="93" t="s">
        <v>21826</v>
      </c>
      <c r="AX3703" s="93" t="s">
        <v>21826</v>
      </c>
      <c r="AY3703" s="87"/>
      <c r="AZ3703" s="93" t="s">
        <v>22668</v>
      </c>
      <c r="BA3703" s="93" t="s">
        <v>22668</v>
      </c>
      <c r="BB3703" s="93" t="s">
        <v>22668</v>
      </c>
      <c r="BC3703" s="93" t="s">
        <v>21826</v>
      </c>
      <c r="BD3703" s="93" t="s">
        <v>23485</v>
      </c>
      <c r="BE3703" s="87"/>
      <c r="BF3703" s="87"/>
      <c r="BG3703" s="87"/>
      <c r="BH3703" s="87"/>
      <c r="BI3703" s="87"/>
    </row>
    <row r="3704" spans="1:61" x14ac:dyDescent="0.25">
      <c r="A3704" s="63" t="s">
        <v>1413</v>
      </c>
      <c r="B3704" s="63" t="s">
        <v>1413</v>
      </c>
      <c r="C3704" s="64"/>
      <c r="D3704" s="65"/>
      <c r="E3704" s="66"/>
      <c r="F3704" s="67"/>
      <c r="G3704" s="64"/>
      <c r="H3704" s="68"/>
      <c r="I3704" s="69"/>
      <c r="J3704" s="69"/>
      <c r="K3704" s="32"/>
      <c r="L3704" s="76">
        <v>3704</v>
      </c>
      <c r="M3704" s="76"/>
      <c r="N3704" s="71"/>
      <c r="O3704" s="87" t="s">
        <v>179</v>
      </c>
      <c r="P3704" s="90">
        <v>45134.487916666665</v>
      </c>
      <c r="Q3704" s="87" t="s">
        <v>5372</v>
      </c>
      <c r="R3704" s="87">
        <v>0</v>
      </c>
      <c r="S3704" s="87">
        <v>0</v>
      </c>
      <c r="T3704" s="87">
        <v>0</v>
      </c>
      <c r="U3704" s="87">
        <v>0</v>
      </c>
      <c r="V3704" s="87">
        <v>11</v>
      </c>
      <c r="W3704" s="93" t="s">
        <v>6051</v>
      </c>
      <c r="X3704" s="87"/>
      <c r="Y3704" s="87"/>
      <c r="Z3704" s="87"/>
      <c r="AA3704" s="87" t="s">
        <v>11133</v>
      </c>
      <c r="AB3704" s="87" t="s">
        <v>11447</v>
      </c>
      <c r="AC3704" s="93" t="s">
        <v>11459</v>
      </c>
      <c r="AD3704" s="87" t="s">
        <v>11519</v>
      </c>
      <c r="AE3704" s="92" t="str">
        <f>HYPERLINK("https://twitter.com/lucianojap77/status/1684529719482499073")</f>
        <v>https://twitter.com/lucianojap77/status/1684529719482499073</v>
      </c>
      <c r="AF3704" s="90">
        <v>45134.487916666665</v>
      </c>
      <c r="AG3704" s="99">
        <v>45134</v>
      </c>
      <c r="AH3704" s="93" t="s">
        <v>14806</v>
      </c>
      <c r="AI3704" s="87" t="b">
        <v>0</v>
      </c>
      <c r="AJ3704" s="87"/>
      <c r="AK3704" s="87"/>
      <c r="AL3704" s="87"/>
      <c r="AM3704" s="87"/>
      <c r="AN3704" s="87"/>
      <c r="AO3704" s="87"/>
      <c r="AP3704" s="87"/>
      <c r="AQ3704" s="87" t="s">
        <v>17945</v>
      </c>
      <c r="AR3704" s="87">
        <v>57536</v>
      </c>
      <c r="AS3704" s="87"/>
      <c r="AT3704" s="87"/>
      <c r="AU3704" s="87"/>
      <c r="AV3704" s="92" t="str">
        <f>HYPERLINK("https://pbs.twimg.com/ext_tw_video_thumb/1684529639023079425/pu/img/V60LZZWLo-RRN7eI.jpg")</f>
        <v>https://pbs.twimg.com/ext_tw_video_thumb/1684529639023079425/pu/img/V60LZZWLo-RRN7eI.jpg</v>
      </c>
      <c r="AW3704" s="93" t="s">
        <v>21827</v>
      </c>
      <c r="AX3704" s="93" t="s">
        <v>21827</v>
      </c>
      <c r="AY3704" s="87"/>
      <c r="AZ3704" s="93" t="s">
        <v>22668</v>
      </c>
      <c r="BA3704" s="93" t="s">
        <v>22668</v>
      </c>
      <c r="BB3704" s="93" t="s">
        <v>22668</v>
      </c>
      <c r="BC3704" s="93" t="s">
        <v>21827</v>
      </c>
      <c r="BD3704" s="93" t="s">
        <v>23486</v>
      </c>
      <c r="BE3704" s="87"/>
      <c r="BF3704" s="87"/>
      <c r="BG3704" s="87"/>
      <c r="BH3704" s="87"/>
      <c r="BI3704" s="87"/>
    </row>
    <row r="3705" spans="1:61" x14ac:dyDescent="0.25">
      <c r="A3705" s="63" t="s">
        <v>1414</v>
      </c>
      <c r="B3705" s="63" t="s">
        <v>1414</v>
      </c>
      <c r="C3705" s="64"/>
      <c r="D3705" s="65"/>
      <c r="E3705" s="66"/>
      <c r="F3705" s="67"/>
      <c r="G3705" s="64"/>
      <c r="H3705" s="68"/>
      <c r="I3705" s="69"/>
      <c r="J3705" s="69"/>
      <c r="K3705" s="32"/>
      <c r="L3705" s="76">
        <v>3705</v>
      </c>
      <c r="M3705" s="76"/>
      <c r="N3705" s="71"/>
      <c r="O3705" s="87" t="s">
        <v>179</v>
      </c>
      <c r="P3705" s="90">
        <v>45117.813159722224</v>
      </c>
      <c r="Q3705" s="87" t="s">
        <v>5373</v>
      </c>
      <c r="R3705" s="87">
        <v>0</v>
      </c>
      <c r="S3705" s="87">
        <v>0</v>
      </c>
      <c r="T3705" s="87">
        <v>0</v>
      </c>
      <c r="U3705" s="87">
        <v>0</v>
      </c>
      <c r="V3705" s="87">
        <v>7</v>
      </c>
      <c r="W3705" s="93" t="s">
        <v>8009</v>
      </c>
      <c r="X3705" s="87"/>
      <c r="Y3705" s="87"/>
      <c r="Z3705" s="87"/>
      <c r="AA3705" s="87" t="s">
        <v>11134</v>
      </c>
      <c r="AB3705" s="87" t="s">
        <v>11448</v>
      </c>
      <c r="AC3705" s="93" t="s">
        <v>11460</v>
      </c>
      <c r="AD3705" s="87" t="s">
        <v>11519</v>
      </c>
      <c r="AE3705" s="92" t="str">
        <f>HYPERLINK("https://twitter.com/q_assist/status/1678486986770849792")</f>
        <v>https://twitter.com/q_assist/status/1678486986770849792</v>
      </c>
      <c r="AF3705" s="90">
        <v>45117.813159722224</v>
      </c>
      <c r="AG3705" s="99">
        <v>45117</v>
      </c>
      <c r="AH3705" s="93" t="s">
        <v>14807</v>
      </c>
      <c r="AI3705" s="87" t="b">
        <v>0</v>
      </c>
      <c r="AJ3705" s="87"/>
      <c r="AK3705" s="87"/>
      <c r="AL3705" s="87"/>
      <c r="AM3705" s="87"/>
      <c r="AN3705" s="87"/>
      <c r="AO3705" s="87"/>
      <c r="AP3705" s="87"/>
      <c r="AQ3705" s="87" t="s">
        <v>17946</v>
      </c>
      <c r="AR3705" s="87"/>
      <c r="AS3705" s="87"/>
      <c r="AT3705" s="87"/>
      <c r="AU3705" s="87"/>
      <c r="AV3705" s="92" t="str">
        <f>HYPERLINK("https://pbs.twimg.com/media/F0svBO_WcA0IA8O.jpg")</f>
        <v>https://pbs.twimg.com/media/F0svBO_WcA0IA8O.jpg</v>
      </c>
      <c r="AW3705" s="93" t="s">
        <v>21828</v>
      </c>
      <c r="AX3705" s="93" t="s">
        <v>21828</v>
      </c>
      <c r="AY3705" s="87"/>
      <c r="AZ3705" s="93" t="s">
        <v>22668</v>
      </c>
      <c r="BA3705" s="93" t="s">
        <v>22668</v>
      </c>
      <c r="BB3705" s="93" t="s">
        <v>22668</v>
      </c>
      <c r="BC3705" s="93" t="s">
        <v>21828</v>
      </c>
      <c r="BD3705" s="87">
        <v>3843888556</v>
      </c>
      <c r="BE3705" s="87"/>
      <c r="BF3705" s="87"/>
      <c r="BG3705" s="87"/>
      <c r="BH3705" s="87"/>
      <c r="BI3705" s="87"/>
    </row>
    <row r="3706" spans="1:61" x14ac:dyDescent="0.25">
      <c r="A3706" s="63" t="s">
        <v>1415</v>
      </c>
      <c r="B3706" s="63" t="s">
        <v>1415</v>
      </c>
      <c r="C3706" s="64"/>
      <c r="D3706" s="65"/>
      <c r="E3706" s="66"/>
      <c r="F3706" s="67"/>
      <c r="G3706" s="64"/>
      <c r="H3706" s="68"/>
      <c r="I3706" s="69"/>
      <c r="J3706" s="69"/>
      <c r="K3706" s="32"/>
      <c r="L3706" s="76">
        <v>3706</v>
      </c>
      <c r="M3706" s="76"/>
      <c r="N3706" s="71"/>
      <c r="O3706" s="87" t="s">
        <v>179</v>
      </c>
      <c r="P3706" s="90">
        <v>45167.82104166667</v>
      </c>
      <c r="Q3706" s="87" t="s">
        <v>5374</v>
      </c>
      <c r="R3706" s="87">
        <v>0</v>
      </c>
      <c r="S3706" s="87">
        <v>0</v>
      </c>
      <c r="T3706" s="87">
        <v>0</v>
      </c>
      <c r="U3706" s="87">
        <v>0</v>
      </c>
      <c r="V3706" s="87">
        <v>2</v>
      </c>
      <c r="W3706" s="93" t="s">
        <v>8010</v>
      </c>
      <c r="X3706" s="92" t="str">
        <f>HYPERLINK("http://wix.to/4QF3Kj4")</f>
        <v>http://wix.to/4QF3Kj4</v>
      </c>
      <c r="Y3706" s="87" t="s">
        <v>8382</v>
      </c>
      <c r="Z3706" s="87"/>
      <c r="AA3706" s="87"/>
      <c r="AB3706" s="87"/>
      <c r="AC3706" s="93" t="s">
        <v>11466</v>
      </c>
      <c r="AD3706" s="87" t="s">
        <v>11519</v>
      </c>
      <c r="AE3706" s="92" t="str">
        <f>HYPERLINK("https://twitter.com/elianenramin/status/1696609237986611706")</f>
        <v>https://twitter.com/elianenramin/status/1696609237986611706</v>
      </c>
      <c r="AF3706" s="90">
        <v>45167.82104166667</v>
      </c>
      <c r="AG3706" s="99">
        <v>45167</v>
      </c>
      <c r="AH3706" s="93" t="s">
        <v>14808</v>
      </c>
      <c r="AI3706" s="87" t="b">
        <v>1</v>
      </c>
      <c r="AJ3706" s="87"/>
      <c r="AK3706" s="87"/>
      <c r="AL3706" s="87"/>
      <c r="AM3706" s="87"/>
      <c r="AN3706" s="87"/>
      <c r="AO3706" s="87"/>
      <c r="AP3706" s="87"/>
      <c r="AQ3706" s="87"/>
      <c r="AR3706" s="87"/>
      <c r="AS3706" s="87"/>
      <c r="AT3706" s="87"/>
      <c r="AU3706" s="87"/>
      <c r="AV3706" s="92" t="str">
        <f>HYPERLINK("https://pbs.twimg.com/profile_images/1682523194870099970/TAmI4sOd_normal.jpg")</f>
        <v>https://pbs.twimg.com/profile_images/1682523194870099970/TAmI4sOd_normal.jpg</v>
      </c>
      <c r="AW3706" s="93" t="s">
        <v>21829</v>
      </c>
      <c r="AX3706" s="93" t="s">
        <v>21829</v>
      </c>
      <c r="AY3706" s="87"/>
      <c r="AZ3706" s="93" t="s">
        <v>22668</v>
      </c>
      <c r="BA3706" s="93" t="s">
        <v>22668</v>
      </c>
      <c r="BB3706" s="93" t="s">
        <v>22668</v>
      </c>
      <c r="BC3706" s="93" t="s">
        <v>21829</v>
      </c>
      <c r="BD3706" s="87">
        <v>174906759</v>
      </c>
      <c r="BE3706" s="87"/>
      <c r="BF3706" s="87"/>
      <c r="BG3706" s="87"/>
      <c r="BH3706" s="87"/>
      <c r="BI3706" s="87"/>
    </row>
    <row r="3707" spans="1:61" x14ac:dyDescent="0.25">
      <c r="A3707" s="63" t="s">
        <v>1415</v>
      </c>
      <c r="B3707" s="63" t="s">
        <v>1415</v>
      </c>
      <c r="C3707" s="64"/>
      <c r="D3707" s="65"/>
      <c r="E3707" s="66"/>
      <c r="F3707" s="67"/>
      <c r="G3707" s="64"/>
      <c r="H3707" s="68"/>
      <c r="I3707" s="69"/>
      <c r="J3707" s="69"/>
      <c r="K3707" s="32"/>
      <c r="L3707" s="76">
        <v>3707</v>
      </c>
      <c r="M3707" s="76"/>
      <c r="N3707" s="71"/>
      <c r="O3707" s="87" t="s">
        <v>179</v>
      </c>
      <c r="P3707" s="90">
        <v>45167.482974537037</v>
      </c>
      <c r="Q3707" s="87" t="s">
        <v>5375</v>
      </c>
      <c r="R3707" s="87">
        <v>0</v>
      </c>
      <c r="S3707" s="87">
        <v>0</v>
      </c>
      <c r="T3707" s="87">
        <v>0</v>
      </c>
      <c r="U3707" s="87">
        <v>0</v>
      </c>
      <c r="V3707" s="87"/>
      <c r="W3707" s="93" t="s">
        <v>8011</v>
      </c>
      <c r="X3707" s="92" t="str">
        <f>HYPERLINK("http://wix.to/z9EjQtO")</f>
        <v>http://wix.to/z9EjQtO</v>
      </c>
      <c r="Y3707" s="87" t="s">
        <v>8382</v>
      </c>
      <c r="Z3707" s="87"/>
      <c r="AA3707" s="87"/>
      <c r="AB3707" s="87"/>
      <c r="AC3707" s="93" t="s">
        <v>11466</v>
      </c>
      <c r="AD3707" s="87" t="s">
        <v>11519</v>
      </c>
      <c r="AE3707" s="92" t="str">
        <f>HYPERLINK("https://twitter.com/elianenramin/status/1696486725177188839")</f>
        <v>https://twitter.com/elianenramin/status/1696486725177188839</v>
      </c>
      <c r="AF3707" s="90">
        <v>45167.482974537037</v>
      </c>
      <c r="AG3707" s="99">
        <v>45167</v>
      </c>
      <c r="AH3707" s="93" t="s">
        <v>14809</v>
      </c>
      <c r="AI3707" s="87" t="b">
        <v>1</v>
      </c>
      <c r="AJ3707" s="87"/>
      <c r="AK3707" s="87"/>
      <c r="AL3707" s="87"/>
      <c r="AM3707" s="87"/>
      <c r="AN3707" s="87"/>
      <c r="AO3707" s="87"/>
      <c r="AP3707" s="87"/>
      <c r="AQ3707" s="87"/>
      <c r="AR3707" s="87"/>
      <c r="AS3707" s="87"/>
      <c r="AT3707" s="87"/>
      <c r="AU3707" s="87"/>
      <c r="AV3707" s="92" t="str">
        <f>HYPERLINK("https://pbs.twimg.com/profile_images/1682523194870099970/TAmI4sOd_normal.jpg")</f>
        <v>https://pbs.twimg.com/profile_images/1682523194870099970/TAmI4sOd_normal.jpg</v>
      </c>
      <c r="AW3707" s="93" t="s">
        <v>21830</v>
      </c>
      <c r="AX3707" s="93" t="s">
        <v>21830</v>
      </c>
      <c r="AY3707" s="87"/>
      <c r="AZ3707" s="93" t="s">
        <v>22668</v>
      </c>
      <c r="BA3707" s="93" t="s">
        <v>22668</v>
      </c>
      <c r="BB3707" s="93" t="s">
        <v>22668</v>
      </c>
      <c r="BC3707" s="93" t="s">
        <v>21830</v>
      </c>
      <c r="BD3707" s="87">
        <v>174906759</v>
      </c>
      <c r="BE3707" s="87"/>
      <c r="BF3707" s="87"/>
      <c r="BG3707" s="87"/>
      <c r="BH3707" s="87"/>
      <c r="BI3707" s="87"/>
    </row>
    <row r="3708" spans="1:61" x14ac:dyDescent="0.25">
      <c r="A3708" s="63" t="s">
        <v>1416</v>
      </c>
      <c r="B3708" s="63" t="s">
        <v>1416</v>
      </c>
      <c r="C3708" s="64"/>
      <c r="D3708" s="65"/>
      <c r="E3708" s="66"/>
      <c r="F3708" s="67"/>
      <c r="G3708" s="64"/>
      <c r="H3708" s="68"/>
      <c r="I3708" s="69"/>
      <c r="J3708" s="69"/>
      <c r="K3708" s="32"/>
      <c r="L3708" s="76">
        <v>3708</v>
      </c>
      <c r="M3708" s="76"/>
      <c r="N3708" s="71"/>
      <c r="O3708" s="87" t="s">
        <v>179</v>
      </c>
      <c r="P3708" s="90">
        <v>45159.599340277775</v>
      </c>
      <c r="Q3708" s="87" t="s">
        <v>5376</v>
      </c>
      <c r="R3708" s="87">
        <v>0</v>
      </c>
      <c r="S3708" s="87">
        <v>1</v>
      </c>
      <c r="T3708" s="87">
        <v>0</v>
      </c>
      <c r="U3708" s="87">
        <v>0</v>
      </c>
      <c r="V3708" s="87">
        <v>17</v>
      </c>
      <c r="W3708" s="93" t="s">
        <v>8012</v>
      </c>
      <c r="X3708" s="87"/>
      <c r="Y3708" s="87"/>
      <c r="Z3708" s="87"/>
      <c r="AA3708" s="87" t="s">
        <v>11135</v>
      </c>
      <c r="AB3708" s="87" t="s">
        <v>11448</v>
      </c>
      <c r="AC3708" s="93" t="s">
        <v>11459</v>
      </c>
      <c r="AD3708" s="87" t="s">
        <v>11519</v>
      </c>
      <c r="AE3708" s="92" t="str">
        <f>HYPERLINK("https://twitter.com/acese_/status/1693629791566500055")</f>
        <v>https://twitter.com/acese_/status/1693629791566500055</v>
      </c>
      <c r="AF3708" s="90">
        <v>45159.599340277775</v>
      </c>
      <c r="AG3708" s="99">
        <v>45159</v>
      </c>
      <c r="AH3708" s="93" t="s">
        <v>14810</v>
      </c>
      <c r="AI3708" s="87" t="b">
        <v>0</v>
      </c>
      <c r="AJ3708" s="87"/>
      <c r="AK3708" s="87"/>
      <c r="AL3708" s="87"/>
      <c r="AM3708" s="87"/>
      <c r="AN3708" s="87"/>
      <c r="AO3708" s="87"/>
      <c r="AP3708" s="87"/>
      <c r="AQ3708" s="87" t="s">
        <v>17947</v>
      </c>
      <c r="AR3708" s="87"/>
      <c r="AS3708" s="87"/>
      <c r="AT3708" s="87"/>
      <c r="AU3708" s="87"/>
      <c r="AV3708" s="92" t="str">
        <f>HYPERLINK("https://pbs.twimg.com/media/F4D7UNgW4AAUHyD.jpg")</f>
        <v>https://pbs.twimg.com/media/F4D7UNgW4AAUHyD.jpg</v>
      </c>
      <c r="AW3708" s="93" t="s">
        <v>21831</v>
      </c>
      <c r="AX3708" s="93" t="s">
        <v>21831</v>
      </c>
      <c r="AY3708" s="87"/>
      <c r="AZ3708" s="93" t="s">
        <v>22668</v>
      </c>
      <c r="BA3708" s="93" t="s">
        <v>22668</v>
      </c>
      <c r="BB3708" s="93" t="s">
        <v>22668</v>
      </c>
      <c r="BC3708" s="93" t="s">
        <v>21831</v>
      </c>
      <c r="BD3708" s="87">
        <v>284061709</v>
      </c>
      <c r="BE3708" s="87"/>
      <c r="BF3708" s="87"/>
      <c r="BG3708" s="87"/>
      <c r="BH3708" s="87"/>
      <c r="BI3708" s="87"/>
    </row>
    <row r="3709" spans="1:61" x14ac:dyDescent="0.25">
      <c r="A3709" s="63" t="s">
        <v>1417</v>
      </c>
      <c r="B3709" s="63" t="s">
        <v>1417</v>
      </c>
      <c r="C3709" s="64"/>
      <c r="D3709" s="65"/>
      <c r="E3709" s="66"/>
      <c r="F3709" s="67"/>
      <c r="G3709" s="64"/>
      <c r="H3709" s="68"/>
      <c r="I3709" s="69"/>
      <c r="J3709" s="69"/>
      <c r="K3709" s="32"/>
      <c r="L3709" s="76">
        <v>3709</v>
      </c>
      <c r="M3709" s="76"/>
      <c r="N3709" s="71"/>
      <c r="O3709" s="87" t="s">
        <v>179</v>
      </c>
      <c r="P3709" s="90">
        <v>45133.556956018518</v>
      </c>
      <c r="Q3709" s="87" t="s">
        <v>5377</v>
      </c>
      <c r="R3709" s="87">
        <v>0</v>
      </c>
      <c r="S3709" s="87">
        <v>0</v>
      </c>
      <c r="T3709" s="87">
        <v>1</v>
      </c>
      <c r="U3709" s="87">
        <v>0</v>
      </c>
      <c r="V3709" s="87">
        <v>2</v>
      </c>
      <c r="W3709" s="93" t="s">
        <v>8013</v>
      </c>
      <c r="X3709" s="87"/>
      <c r="Y3709" s="87"/>
      <c r="Z3709" s="87"/>
      <c r="AA3709" s="87" t="s">
        <v>11136</v>
      </c>
      <c r="AB3709" s="87" t="s">
        <v>11448</v>
      </c>
      <c r="AC3709" s="93" t="s">
        <v>11457</v>
      </c>
      <c r="AD3709" s="87" t="s">
        <v>11519</v>
      </c>
      <c r="AE3709" s="92" t="str">
        <f>HYPERLINK("https://twitter.com/gabriel87737044/status/1684192347930742785")</f>
        <v>https://twitter.com/gabriel87737044/status/1684192347930742785</v>
      </c>
      <c r="AF3709" s="90">
        <v>45133.556956018518</v>
      </c>
      <c r="AG3709" s="99">
        <v>45133</v>
      </c>
      <c r="AH3709" s="93" t="s">
        <v>14811</v>
      </c>
      <c r="AI3709" s="87" t="b">
        <v>0</v>
      </c>
      <c r="AJ3709" s="87"/>
      <c r="AK3709" s="87"/>
      <c r="AL3709" s="87"/>
      <c r="AM3709" s="87"/>
      <c r="AN3709" s="87"/>
      <c r="AO3709" s="87"/>
      <c r="AP3709" s="87"/>
      <c r="AQ3709" s="87" t="s">
        <v>17948</v>
      </c>
      <c r="AR3709" s="87"/>
      <c r="AS3709" s="87"/>
      <c r="AT3709" s="87"/>
      <c r="AU3709" s="87"/>
      <c r="AV3709" s="92" t="str">
        <f>HYPERLINK("https://pbs.twimg.com/media/F19zZIBWIAAgHEW.jpg")</f>
        <v>https://pbs.twimg.com/media/F19zZIBWIAAgHEW.jpg</v>
      </c>
      <c r="AW3709" s="93" t="s">
        <v>21832</v>
      </c>
      <c r="AX3709" s="93" t="s">
        <v>21832</v>
      </c>
      <c r="AY3709" s="87"/>
      <c r="AZ3709" s="93" t="s">
        <v>22668</v>
      </c>
      <c r="BA3709" s="93" t="s">
        <v>22668</v>
      </c>
      <c r="BB3709" s="93" t="s">
        <v>22668</v>
      </c>
      <c r="BC3709" s="93" t="s">
        <v>21832</v>
      </c>
      <c r="BD3709" s="93" t="s">
        <v>23487</v>
      </c>
      <c r="BE3709" s="87"/>
      <c r="BF3709" s="87"/>
      <c r="BG3709" s="87"/>
      <c r="BH3709" s="87"/>
      <c r="BI3709" s="87"/>
    </row>
    <row r="3710" spans="1:61" x14ac:dyDescent="0.25">
      <c r="A3710" s="63" t="s">
        <v>1418</v>
      </c>
      <c r="B3710" s="63" t="s">
        <v>1418</v>
      </c>
      <c r="C3710" s="64"/>
      <c r="D3710" s="65"/>
      <c r="E3710" s="66"/>
      <c r="F3710" s="67"/>
      <c r="G3710" s="64"/>
      <c r="H3710" s="68"/>
      <c r="I3710" s="69"/>
      <c r="J3710" s="69"/>
      <c r="K3710" s="32"/>
      <c r="L3710" s="76">
        <v>3710</v>
      </c>
      <c r="M3710" s="76"/>
      <c r="N3710" s="71"/>
      <c r="O3710" s="87" t="s">
        <v>179</v>
      </c>
      <c r="P3710" s="90">
        <v>45121.777638888889</v>
      </c>
      <c r="Q3710" s="87" t="s">
        <v>5378</v>
      </c>
      <c r="R3710" s="87">
        <v>0</v>
      </c>
      <c r="S3710" s="87">
        <v>0</v>
      </c>
      <c r="T3710" s="87">
        <v>0</v>
      </c>
      <c r="U3710" s="87">
        <v>0</v>
      </c>
      <c r="V3710" s="87">
        <v>21</v>
      </c>
      <c r="W3710" s="93" t="s">
        <v>8014</v>
      </c>
      <c r="X3710" s="92" t="str">
        <f>HYPERLINK("https://www.noticenter.com.br/n.php?ID=34566&amp;T=trilha-do-sebrae-delas-tem-foco-na-capacitacao-de-empresarias")</f>
        <v>https://www.noticenter.com.br/n.php?ID=34566&amp;T=trilha-do-sebrae-delas-tem-foco-na-capacitacao-de-empresarias</v>
      </c>
      <c r="Y3710" s="87" t="s">
        <v>8373</v>
      </c>
      <c r="Z3710" s="87"/>
      <c r="AA3710" s="87" t="s">
        <v>11137</v>
      </c>
      <c r="AB3710" s="87" t="s">
        <v>11448</v>
      </c>
      <c r="AC3710" s="93" t="s">
        <v>11457</v>
      </c>
      <c r="AD3710" s="87" t="s">
        <v>11519</v>
      </c>
      <c r="AE3710" s="92" t="str">
        <f>HYPERLINK("https://twitter.com/noticenter/status/1679923668716011533")</f>
        <v>https://twitter.com/noticenter/status/1679923668716011533</v>
      </c>
      <c r="AF3710" s="90">
        <v>45121.777638888889</v>
      </c>
      <c r="AG3710" s="99">
        <v>45121</v>
      </c>
      <c r="AH3710" s="93" t="s">
        <v>14812</v>
      </c>
      <c r="AI3710" s="87" t="b">
        <v>0</v>
      </c>
      <c r="AJ3710" s="87"/>
      <c r="AK3710" s="87"/>
      <c r="AL3710" s="87"/>
      <c r="AM3710" s="87"/>
      <c r="AN3710" s="87"/>
      <c r="AO3710" s="87"/>
      <c r="AP3710" s="87"/>
      <c r="AQ3710" s="87" t="s">
        <v>17949</v>
      </c>
      <c r="AR3710" s="87"/>
      <c r="AS3710" s="87"/>
      <c r="AT3710" s="87"/>
      <c r="AU3710" s="87"/>
      <c r="AV3710" s="92" t="str">
        <f>HYPERLINK("https://pbs.twimg.com/media/F1BJqEjWwA0rObI.jpg")</f>
        <v>https://pbs.twimg.com/media/F1BJqEjWwA0rObI.jpg</v>
      </c>
      <c r="AW3710" s="93" t="s">
        <v>21833</v>
      </c>
      <c r="AX3710" s="93" t="s">
        <v>21833</v>
      </c>
      <c r="AY3710" s="87"/>
      <c r="AZ3710" s="93" t="s">
        <v>22668</v>
      </c>
      <c r="BA3710" s="93" t="s">
        <v>22668</v>
      </c>
      <c r="BB3710" s="93" t="s">
        <v>22668</v>
      </c>
      <c r="BC3710" s="93" t="s">
        <v>21833</v>
      </c>
      <c r="BD3710" s="87">
        <v>47322942</v>
      </c>
      <c r="BE3710" s="87"/>
      <c r="BF3710" s="87"/>
      <c r="BG3710" s="87"/>
      <c r="BH3710" s="87"/>
      <c r="BI3710" s="87"/>
    </row>
    <row r="3711" spans="1:61" x14ac:dyDescent="0.25">
      <c r="A3711" s="63" t="s">
        <v>1418</v>
      </c>
      <c r="B3711" s="63" t="s">
        <v>1418</v>
      </c>
      <c r="C3711" s="64"/>
      <c r="D3711" s="65"/>
      <c r="E3711" s="66"/>
      <c r="F3711" s="67"/>
      <c r="G3711" s="64"/>
      <c r="H3711" s="68"/>
      <c r="I3711" s="69"/>
      <c r="J3711" s="69"/>
      <c r="K3711" s="32"/>
      <c r="L3711" s="76">
        <v>3711</v>
      </c>
      <c r="M3711" s="76"/>
      <c r="N3711" s="71"/>
      <c r="O3711" s="87" t="s">
        <v>179</v>
      </c>
      <c r="P3711" s="90">
        <v>45154.595046296294</v>
      </c>
      <c r="Q3711" s="87" t="s">
        <v>5379</v>
      </c>
      <c r="R3711" s="87">
        <v>0</v>
      </c>
      <c r="S3711" s="87">
        <v>0</v>
      </c>
      <c r="T3711" s="87">
        <v>0</v>
      </c>
      <c r="U3711" s="87">
        <v>0</v>
      </c>
      <c r="V3711" s="87">
        <v>24</v>
      </c>
      <c r="W3711" s="93" t="s">
        <v>8015</v>
      </c>
      <c r="X3711" s="92" t="str">
        <f>HYPERLINK("https://www.noticenter.com.br/n.php?ID=34928&amp;T=o-que-aprendi-em-15-anos-de-empreendedorismo-erros-e-acertos-da-jornada")</f>
        <v>https://www.noticenter.com.br/n.php?ID=34928&amp;T=o-que-aprendi-em-15-anos-de-empreendedorismo-erros-e-acertos-da-jornada</v>
      </c>
      <c r="Y3711" s="87" t="s">
        <v>8373</v>
      </c>
      <c r="Z3711" s="87"/>
      <c r="AA3711" s="87" t="s">
        <v>11138</v>
      </c>
      <c r="AB3711" s="87" t="s">
        <v>11448</v>
      </c>
      <c r="AC3711" s="93" t="s">
        <v>11457</v>
      </c>
      <c r="AD3711" s="87" t="s">
        <v>11519</v>
      </c>
      <c r="AE3711" s="92" t="str">
        <f>HYPERLINK("https://twitter.com/noticenter/status/1691816299221925994")</f>
        <v>https://twitter.com/noticenter/status/1691816299221925994</v>
      </c>
      <c r="AF3711" s="90">
        <v>45154.595046296294</v>
      </c>
      <c r="AG3711" s="99">
        <v>45154</v>
      </c>
      <c r="AH3711" s="93" t="s">
        <v>14813</v>
      </c>
      <c r="AI3711" s="87" t="b">
        <v>0</v>
      </c>
      <c r="AJ3711" s="87"/>
      <c r="AK3711" s="87"/>
      <c r="AL3711" s="87"/>
      <c r="AM3711" s="87"/>
      <c r="AN3711" s="87"/>
      <c r="AO3711" s="87"/>
      <c r="AP3711" s="87"/>
      <c r="AQ3711" s="87" t="s">
        <v>17950</v>
      </c>
      <c r="AR3711" s="87"/>
      <c r="AS3711" s="87"/>
      <c r="AT3711" s="87"/>
      <c r="AU3711" s="87"/>
      <c r="AV3711" s="92" t="str">
        <f>HYPERLINK("https://pbs.twimg.com/media/F3qJ8a-X0AAtXHa.jpg")</f>
        <v>https://pbs.twimg.com/media/F3qJ8a-X0AAtXHa.jpg</v>
      </c>
      <c r="AW3711" s="93" t="s">
        <v>21834</v>
      </c>
      <c r="AX3711" s="93" t="s">
        <v>21834</v>
      </c>
      <c r="AY3711" s="87"/>
      <c r="AZ3711" s="93" t="s">
        <v>22668</v>
      </c>
      <c r="BA3711" s="93" t="s">
        <v>22668</v>
      </c>
      <c r="BB3711" s="93" t="s">
        <v>22668</v>
      </c>
      <c r="BC3711" s="93" t="s">
        <v>21834</v>
      </c>
      <c r="BD3711" s="87">
        <v>47322942</v>
      </c>
      <c r="BE3711" s="87"/>
      <c r="BF3711" s="87"/>
      <c r="BG3711" s="87"/>
      <c r="BH3711" s="87"/>
      <c r="BI3711" s="87"/>
    </row>
    <row r="3712" spans="1:61" x14ac:dyDescent="0.25">
      <c r="A3712" s="63" t="s">
        <v>1418</v>
      </c>
      <c r="B3712" s="63" t="s">
        <v>1418</v>
      </c>
      <c r="C3712" s="64"/>
      <c r="D3712" s="65"/>
      <c r="E3712" s="66"/>
      <c r="F3712" s="67"/>
      <c r="G3712" s="64"/>
      <c r="H3712" s="68"/>
      <c r="I3712" s="69"/>
      <c r="J3712" s="69"/>
      <c r="K3712" s="32"/>
      <c r="L3712" s="76">
        <v>3712</v>
      </c>
      <c r="M3712" s="76"/>
      <c r="N3712" s="71"/>
      <c r="O3712" s="87" t="s">
        <v>179</v>
      </c>
      <c r="P3712" s="90">
        <v>45160.728368055556</v>
      </c>
      <c r="Q3712" s="87" t="s">
        <v>5380</v>
      </c>
      <c r="R3712" s="87">
        <v>0</v>
      </c>
      <c r="S3712" s="87">
        <v>0</v>
      </c>
      <c r="T3712" s="87">
        <v>0</v>
      </c>
      <c r="U3712" s="87">
        <v>0</v>
      </c>
      <c r="V3712" s="87">
        <v>65</v>
      </c>
      <c r="W3712" s="93" t="s">
        <v>8016</v>
      </c>
      <c r="X3712" s="92" t="str">
        <f>HYPERLINK("https://www.noticenter.com.br/n.php?ID=35000&amp;T=sebrae-sc-lanca-programa-cidade-empreendedora-em-irani")</f>
        <v>https://www.noticenter.com.br/n.php?ID=35000&amp;T=sebrae-sc-lanca-programa-cidade-empreendedora-em-irani</v>
      </c>
      <c r="Y3712" s="87" t="s">
        <v>8373</v>
      </c>
      <c r="Z3712" s="87"/>
      <c r="AA3712" s="87" t="s">
        <v>11139</v>
      </c>
      <c r="AB3712" s="87" t="s">
        <v>11448</v>
      </c>
      <c r="AC3712" s="93" t="s">
        <v>11457</v>
      </c>
      <c r="AD3712" s="87" t="s">
        <v>11519</v>
      </c>
      <c r="AE3712" s="92" t="str">
        <f>HYPERLINK("https://twitter.com/noticenter/status/1694038939240149163")</f>
        <v>https://twitter.com/noticenter/status/1694038939240149163</v>
      </c>
      <c r="AF3712" s="90">
        <v>45160.728368055556</v>
      </c>
      <c r="AG3712" s="99">
        <v>45160</v>
      </c>
      <c r="AH3712" s="93" t="s">
        <v>14814</v>
      </c>
      <c r="AI3712" s="87" t="b">
        <v>0</v>
      </c>
      <c r="AJ3712" s="87"/>
      <c r="AK3712" s="87"/>
      <c r="AL3712" s="87"/>
      <c r="AM3712" s="87"/>
      <c r="AN3712" s="87"/>
      <c r="AO3712" s="87"/>
      <c r="AP3712" s="87"/>
      <c r="AQ3712" s="87" t="s">
        <v>17951</v>
      </c>
      <c r="AR3712" s="87"/>
      <c r="AS3712" s="87"/>
      <c r="AT3712" s="87"/>
      <c r="AU3712" s="87"/>
      <c r="AV3712" s="92" t="str">
        <f>HYPERLINK("https://pbs.twimg.com/media/F4JvaduW0AAlwXW.jpg")</f>
        <v>https://pbs.twimg.com/media/F4JvaduW0AAlwXW.jpg</v>
      </c>
      <c r="AW3712" s="93" t="s">
        <v>21835</v>
      </c>
      <c r="AX3712" s="93" t="s">
        <v>21835</v>
      </c>
      <c r="AY3712" s="87"/>
      <c r="AZ3712" s="93" t="s">
        <v>22668</v>
      </c>
      <c r="BA3712" s="93" t="s">
        <v>22668</v>
      </c>
      <c r="BB3712" s="93" t="s">
        <v>22668</v>
      </c>
      <c r="BC3712" s="93" t="s">
        <v>21835</v>
      </c>
      <c r="BD3712" s="87">
        <v>47322942</v>
      </c>
      <c r="BE3712" s="87"/>
      <c r="BF3712" s="87"/>
      <c r="BG3712" s="87"/>
      <c r="BH3712" s="87"/>
      <c r="BI3712" s="87"/>
    </row>
    <row r="3713" spans="1:61" x14ac:dyDescent="0.25">
      <c r="A3713" s="63" t="s">
        <v>1419</v>
      </c>
      <c r="B3713" s="63" t="s">
        <v>1419</v>
      </c>
      <c r="C3713" s="64"/>
      <c r="D3713" s="65"/>
      <c r="E3713" s="66"/>
      <c r="F3713" s="67"/>
      <c r="G3713" s="64"/>
      <c r="H3713" s="68"/>
      <c r="I3713" s="69"/>
      <c r="J3713" s="69"/>
      <c r="K3713" s="32"/>
      <c r="L3713" s="76">
        <v>3713</v>
      </c>
      <c r="M3713" s="76"/>
      <c r="N3713" s="71"/>
      <c r="O3713" s="87" t="s">
        <v>179</v>
      </c>
      <c r="P3713" s="90">
        <v>45146.273009259261</v>
      </c>
      <c r="Q3713" s="87" t="s">
        <v>5381</v>
      </c>
      <c r="R3713" s="87">
        <v>4</v>
      </c>
      <c r="S3713" s="87">
        <v>0</v>
      </c>
      <c r="T3713" s="87">
        <v>0</v>
      </c>
      <c r="U3713" s="87">
        <v>0</v>
      </c>
      <c r="V3713" s="87">
        <v>9</v>
      </c>
      <c r="W3713" s="93" t="s">
        <v>8017</v>
      </c>
      <c r="X3713" s="92" t="str">
        <f>HYPERLINK("http://dlvr.it/StLY6N")</f>
        <v>http://dlvr.it/StLY6N</v>
      </c>
      <c r="Y3713" s="87" t="s">
        <v>8436</v>
      </c>
      <c r="Z3713" s="87"/>
      <c r="AA3713" s="87"/>
      <c r="AB3713" s="87"/>
      <c r="AC3713" s="93" t="s">
        <v>8436</v>
      </c>
      <c r="AD3713" s="87" t="s">
        <v>11519</v>
      </c>
      <c r="AE3713" s="92" t="str">
        <f>HYPERLINK("https://twitter.com/androidfinal/status/1688800492426768384")</f>
        <v>https://twitter.com/androidfinal/status/1688800492426768384</v>
      </c>
      <c r="AF3713" s="90">
        <v>45146.273009259261</v>
      </c>
      <c r="AG3713" s="99">
        <v>45146</v>
      </c>
      <c r="AH3713" s="93" t="s">
        <v>14815</v>
      </c>
      <c r="AI3713" s="87" t="b">
        <v>0</v>
      </c>
      <c r="AJ3713" s="87"/>
      <c r="AK3713" s="87"/>
      <c r="AL3713" s="87"/>
      <c r="AM3713" s="87"/>
      <c r="AN3713" s="87"/>
      <c r="AO3713" s="87"/>
      <c r="AP3713" s="87"/>
      <c r="AQ3713" s="87"/>
      <c r="AR3713" s="87"/>
      <c r="AS3713" s="87"/>
      <c r="AT3713" s="87"/>
      <c r="AU3713" s="87"/>
      <c r="AV3713" s="92" t="str">
        <f>HYPERLINK("https://pbs.twimg.com/profile_images/1063667496446816256/UrRCc-Eg_normal.jpg")</f>
        <v>https://pbs.twimg.com/profile_images/1063667496446816256/UrRCc-Eg_normal.jpg</v>
      </c>
      <c r="AW3713" s="93" t="s">
        <v>21836</v>
      </c>
      <c r="AX3713" s="93" t="s">
        <v>21836</v>
      </c>
      <c r="AY3713" s="87"/>
      <c r="AZ3713" s="93" t="s">
        <v>22668</v>
      </c>
      <c r="BA3713" s="93" t="s">
        <v>22668</v>
      </c>
      <c r="BB3713" s="93" t="s">
        <v>22668</v>
      </c>
      <c r="BC3713" s="93" t="s">
        <v>21836</v>
      </c>
      <c r="BD3713" s="93" t="s">
        <v>23488</v>
      </c>
      <c r="BE3713" s="87"/>
      <c r="BF3713" s="87"/>
      <c r="BG3713" s="87"/>
      <c r="BH3713" s="87"/>
      <c r="BI3713" s="87"/>
    </row>
    <row r="3714" spans="1:61" x14ac:dyDescent="0.25">
      <c r="A3714" s="63" t="s">
        <v>1420</v>
      </c>
      <c r="B3714" s="63" t="s">
        <v>1420</v>
      </c>
      <c r="C3714" s="64"/>
      <c r="D3714" s="65"/>
      <c r="E3714" s="66"/>
      <c r="F3714" s="67"/>
      <c r="G3714" s="64"/>
      <c r="H3714" s="68"/>
      <c r="I3714" s="69"/>
      <c r="J3714" s="69"/>
      <c r="K3714" s="32"/>
      <c r="L3714" s="76">
        <v>3714</v>
      </c>
      <c r="M3714" s="76"/>
      <c r="N3714" s="71"/>
      <c r="O3714" s="87" t="s">
        <v>179</v>
      </c>
      <c r="P3714" s="90">
        <v>45162.884027777778</v>
      </c>
      <c r="Q3714" s="87" t="s">
        <v>5382</v>
      </c>
      <c r="R3714" s="87">
        <v>0</v>
      </c>
      <c r="S3714" s="87">
        <v>4</v>
      </c>
      <c r="T3714" s="87">
        <v>0</v>
      </c>
      <c r="U3714" s="87">
        <v>1</v>
      </c>
      <c r="V3714" s="87">
        <v>124</v>
      </c>
      <c r="W3714" s="93" t="s">
        <v>6801</v>
      </c>
      <c r="X3714" s="92" t="str">
        <f>HYPERLINK("https://youtu.be/4dXnNLkwmkY")</f>
        <v>https://youtu.be/4dXnNLkwmkY</v>
      </c>
      <c r="Y3714" s="87" t="s">
        <v>8372</v>
      </c>
      <c r="Z3714" s="87"/>
      <c r="AA3714" s="87" t="s">
        <v>11140</v>
      </c>
      <c r="AB3714" s="87" t="s">
        <v>11447</v>
      </c>
      <c r="AC3714" s="93" t="s">
        <v>11457</v>
      </c>
      <c r="AD3714" s="87" t="s">
        <v>11519</v>
      </c>
      <c r="AE3714" s="92" t="str">
        <f>HYPERLINK("https://twitter.com/instpropague/status/1694820123121418437")</f>
        <v>https://twitter.com/instpropague/status/1694820123121418437</v>
      </c>
      <c r="AF3714" s="90">
        <v>45162.884027777778</v>
      </c>
      <c r="AG3714" s="99">
        <v>45162</v>
      </c>
      <c r="AH3714" s="93" t="s">
        <v>14816</v>
      </c>
      <c r="AI3714" s="87" t="b">
        <v>0</v>
      </c>
      <c r="AJ3714" s="87"/>
      <c r="AK3714" s="87"/>
      <c r="AL3714" s="87"/>
      <c r="AM3714" s="87"/>
      <c r="AN3714" s="87"/>
      <c r="AO3714" s="87"/>
      <c r="AP3714" s="87"/>
      <c r="AQ3714" s="87" t="s">
        <v>17952</v>
      </c>
      <c r="AR3714" s="87">
        <v>41667</v>
      </c>
      <c r="AS3714" s="87"/>
      <c r="AT3714" s="87"/>
      <c r="AU3714" s="87"/>
      <c r="AV3714" s="92" t="str">
        <f>HYPERLINK("https://pbs.twimg.com/ext_tw_video_thumb/1694435990528528385/pu/img/sNoRHEA9kFGVpIAh.jpg")</f>
        <v>https://pbs.twimg.com/ext_tw_video_thumb/1694435990528528385/pu/img/sNoRHEA9kFGVpIAh.jpg</v>
      </c>
      <c r="AW3714" s="93" t="s">
        <v>21837</v>
      </c>
      <c r="AX3714" s="93" t="s">
        <v>21837</v>
      </c>
      <c r="AY3714" s="87"/>
      <c r="AZ3714" s="93" t="s">
        <v>22668</v>
      </c>
      <c r="BA3714" s="93" t="s">
        <v>22668</v>
      </c>
      <c r="BB3714" s="93" t="s">
        <v>22668</v>
      </c>
      <c r="BC3714" s="93" t="s">
        <v>21837</v>
      </c>
      <c r="BD3714" s="93" t="s">
        <v>23489</v>
      </c>
      <c r="BE3714" s="87"/>
      <c r="BF3714" s="87"/>
      <c r="BG3714" s="87"/>
      <c r="BH3714" s="87"/>
      <c r="BI3714" s="87"/>
    </row>
    <row r="3715" spans="1:61" x14ac:dyDescent="0.25">
      <c r="A3715" s="63" t="s">
        <v>1420</v>
      </c>
      <c r="B3715" s="63" t="s">
        <v>1420</v>
      </c>
      <c r="C3715" s="64"/>
      <c r="D3715" s="65"/>
      <c r="E3715" s="66"/>
      <c r="F3715" s="67"/>
      <c r="G3715" s="64"/>
      <c r="H3715" s="68"/>
      <c r="I3715" s="69"/>
      <c r="J3715" s="69"/>
      <c r="K3715" s="32"/>
      <c r="L3715" s="76">
        <v>3715</v>
      </c>
      <c r="M3715" s="76"/>
      <c r="N3715" s="71"/>
      <c r="O3715" s="87" t="s">
        <v>179</v>
      </c>
      <c r="P3715" s="90">
        <v>45169.879166666666</v>
      </c>
      <c r="Q3715" s="87" t="s">
        <v>5383</v>
      </c>
      <c r="R3715" s="87">
        <v>0</v>
      </c>
      <c r="S3715" s="87">
        <v>2</v>
      </c>
      <c r="T3715" s="87">
        <v>0</v>
      </c>
      <c r="U3715" s="87">
        <v>0</v>
      </c>
      <c r="V3715" s="87">
        <v>81</v>
      </c>
      <c r="W3715" s="93" t="s">
        <v>8018</v>
      </c>
      <c r="X3715" s="92" t="str">
        <f>HYPERLINK("https://youtu.be/0IhCK7XlM8A")</f>
        <v>https://youtu.be/0IhCK7XlM8A</v>
      </c>
      <c r="Y3715" s="87" t="s">
        <v>8372</v>
      </c>
      <c r="Z3715" s="87"/>
      <c r="AA3715" s="87" t="s">
        <v>11141</v>
      </c>
      <c r="AB3715" s="87" t="s">
        <v>11447</v>
      </c>
      <c r="AC3715" s="93" t="s">
        <v>11457</v>
      </c>
      <c r="AD3715" s="87" t="s">
        <v>11519</v>
      </c>
      <c r="AE3715" s="92" t="str">
        <f>HYPERLINK("https://twitter.com/instpropague/status/1697355076606496892")</f>
        <v>https://twitter.com/instpropague/status/1697355076606496892</v>
      </c>
      <c r="AF3715" s="90">
        <v>45169.879166666666</v>
      </c>
      <c r="AG3715" s="99">
        <v>45169</v>
      </c>
      <c r="AH3715" s="93" t="s">
        <v>14817</v>
      </c>
      <c r="AI3715" s="87" t="b">
        <v>0</v>
      </c>
      <c r="AJ3715" s="87"/>
      <c r="AK3715" s="87"/>
      <c r="AL3715" s="87"/>
      <c r="AM3715" s="87"/>
      <c r="AN3715" s="87"/>
      <c r="AO3715" s="87"/>
      <c r="AP3715" s="87"/>
      <c r="AQ3715" s="87" t="s">
        <v>17953</v>
      </c>
      <c r="AR3715" s="87">
        <v>35792</v>
      </c>
      <c r="AS3715" s="87"/>
      <c r="AT3715" s="87"/>
      <c r="AU3715" s="87"/>
      <c r="AV3715" s="92" t="str">
        <f>HYPERLINK("https://pbs.twimg.com/ext_tw_video_thumb/1696973556012216320/pu/img/8PpTLA-xPu6Eq6FF.jpg")</f>
        <v>https://pbs.twimg.com/ext_tw_video_thumb/1696973556012216320/pu/img/8PpTLA-xPu6Eq6FF.jpg</v>
      </c>
      <c r="AW3715" s="93" t="s">
        <v>21838</v>
      </c>
      <c r="AX3715" s="93" t="s">
        <v>21838</v>
      </c>
      <c r="AY3715" s="87"/>
      <c r="AZ3715" s="93" t="s">
        <v>22668</v>
      </c>
      <c r="BA3715" s="93" t="s">
        <v>22668</v>
      </c>
      <c r="BB3715" s="93" t="s">
        <v>22668</v>
      </c>
      <c r="BC3715" s="93" t="s">
        <v>21838</v>
      </c>
      <c r="BD3715" s="93" t="s">
        <v>23489</v>
      </c>
      <c r="BE3715" s="87"/>
      <c r="BF3715" s="87"/>
      <c r="BG3715" s="87"/>
      <c r="BH3715" s="87"/>
      <c r="BI3715" s="87"/>
    </row>
    <row r="3716" spans="1:61" x14ac:dyDescent="0.25">
      <c r="A3716" s="63" t="s">
        <v>1421</v>
      </c>
      <c r="B3716" s="63" t="s">
        <v>1421</v>
      </c>
      <c r="C3716" s="64"/>
      <c r="D3716" s="65"/>
      <c r="E3716" s="66"/>
      <c r="F3716" s="67"/>
      <c r="G3716" s="64"/>
      <c r="H3716" s="68"/>
      <c r="I3716" s="69"/>
      <c r="J3716" s="69"/>
      <c r="K3716" s="32"/>
      <c r="L3716" s="76">
        <v>3716</v>
      </c>
      <c r="M3716" s="76"/>
      <c r="N3716" s="71"/>
      <c r="O3716" s="87" t="s">
        <v>179</v>
      </c>
      <c r="P3716" s="90">
        <v>45128.916967592595</v>
      </c>
      <c r="Q3716" s="87" t="s">
        <v>5384</v>
      </c>
      <c r="R3716" s="87">
        <v>0</v>
      </c>
      <c r="S3716" s="87">
        <v>0</v>
      </c>
      <c r="T3716" s="87">
        <v>0</v>
      </c>
      <c r="U3716" s="87">
        <v>0</v>
      </c>
      <c r="V3716" s="87">
        <v>16</v>
      </c>
      <c r="W3716" s="93" t="s">
        <v>8019</v>
      </c>
      <c r="X3716" s="87"/>
      <c r="Y3716" s="87"/>
      <c r="Z3716" s="87"/>
      <c r="AA3716" s="87"/>
      <c r="AB3716" s="87"/>
      <c r="AC3716" s="93" t="s">
        <v>11515</v>
      </c>
      <c r="AD3716" s="87" t="s">
        <v>11519</v>
      </c>
      <c r="AE3716" s="92" t="str">
        <f>HYPERLINK("https://twitter.com/giovaniaandre/status/1682510873510785026")</f>
        <v>https://twitter.com/giovaniaandre/status/1682510873510785026</v>
      </c>
      <c r="AF3716" s="90">
        <v>45128.916967592595</v>
      </c>
      <c r="AG3716" s="99">
        <v>45128</v>
      </c>
      <c r="AH3716" s="93" t="s">
        <v>14818</v>
      </c>
      <c r="AI3716" s="87"/>
      <c r="AJ3716" s="87"/>
      <c r="AK3716" s="87"/>
      <c r="AL3716" s="87"/>
      <c r="AM3716" s="87"/>
      <c r="AN3716" s="87"/>
      <c r="AO3716" s="87"/>
      <c r="AP3716" s="87"/>
      <c r="AQ3716" s="87"/>
      <c r="AR3716" s="87"/>
      <c r="AS3716" s="87"/>
      <c r="AT3716" s="87"/>
      <c r="AU3716" s="87"/>
      <c r="AV3716" s="92" t="str">
        <f>HYPERLINK("https://pbs.twimg.com/profile_images/1599968473505038339/Tlfu66HJ_normal.jpg")</f>
        <v>https://pbs.twimg.com/profile_images/1599968473505038339/Tlfu66HJ_normal.jpg</v>
      </c>
      <c r="AW3716" s="93" t="s">
        <v>21839</v>
      </c>
      <c r="AX3716" s="93" t="s">
        <v>21839</v>
      </c>
      <c r="AY3716" s="87"/>
      <c r="AZ3716" s="93" t="s">
        <v>22668</v>
      </c>
      <c r="BA3716" s="93" t="s">
        <v>22668</v>
      </c>
      <c r="BB3716" s="93" t="s">
        <v>22668</v>
      </c>
      <c r="BC3716" s="93" t="s">
        <v>21839</v>
      </c>
      <c r="BD3716" s="93" t="s">
        <v>23490</v>
      </c>
      <c r="BE3716" s="87"/>
      <c r="BF3716" s="87"/>
      <c r="BG3716" s="87"/>
      <c r="BH3716" s="87"/>
      <c r="BI3716" s="87"/>
    </row>
    <row r="3717" spans="1:61" x14ac:dyDescent="0.25">
      <c r="A3717" s="63" t="s">
        <v>1422</v>
      </c>
      <c r="B3717" s="63" t="s">
        <v>1422</v>
      </c>
      <c r="C3717" s="64"/>
      <c r="D3717" s="65"/>
      <c r="E3717" s="66"/>
      <c r="F3717" s="67"/>
      <c r="G3717" s="64"/>
      <c r="H3717" s="68"/>
      <c r="I3717" s="69"/>
      <c r="J3717" s="69"/>
      <c r="K3717" s="32"/>
      <c r="L3717" s="76">
        <v>3717</v>
      </c>
      <c r="M3717" s="76"/>
      <c r="N3717" s="71"/>
      <c r="O3717" s="87" t="s">
        <v>179</v>
      </c>
      <c r="P3717" s="90">
        <v>45120.123912037037</v>
      </c>
      <c r="Q3717" s="87" t="s">
        <v>5385</v>
      </c>
      <c r="R3717" s="87">
        <v>0</v>
      </c>
      <c r="S3717" s="87">
        <v>0</v>
      </c>
      <c r="T3717" s="87">
        <v>0</v>
      </c>
      <c r="U3717" s="87">
        <v>0</v>
      </c>
      <c r="V3717" s="87">
        <v>3</v>
      </c>
      <c r="W3717" s="93" t="s">
        <v>5897</v>
      </c>
      <c r="X3717" s="92" t="str">
        <f>HYPERLINK("https://anchor.fm/marlussantos")</f>
        <v>https://anchor.fm/marlussantos</v>
      </c>
      <c r="Y3717" s="87" t="s">
        <v>8537</v>
      </c>
      <c r="Z3717" s="87"/>
      <c r="AA3717" s="87" t="s">
        <v>11142</v>
      </c>
      <c r="AB3717" s="87" t="s">
        <v>11448</v>
      </c>
      <c r="AC3717" s="93" t="s">
        <v>11459</v>
      </c>
      <c r="AD3717" s="87" t="s">
        <v>11519</v>
      </c>
      <c r="AE3717" s="92" t="str">
        <f>HYPERLINK("https://twitter.com/eumarlussantos/status/1679324379203731457")</f>
        <v>https://twitter.com/eumarlussantos/status/1679324379203731457</v>
      </c>
      <c r="AF3717" s="90">
        <v>45120.123912037037</v>
      </c>
      <c r="AG3717" s="99">
        <v>45120</v>
      </c>
      <c r="AH3717" s="93" t="s">
        <v>14819</v>
      </c>
      <c r="AI3717" s="87" t="b">
        <v>0</v>
      </c>
      <c r="AJ3717" s="87"/>
      <c r="AK3717" s="87"/>
      <c r="AL3717" s="87"/>
      <c r="AM3717" s="87"/>
      <c r="AN3717" s="87"/>
      <c r="AO3717" s="87"/>
      <c r="AP3717" s="87"/>
      <c r="AQ3717" s="87" t="s">
        <v>17954</v>
      </c>
      <c r="AR3717" s="87"/>
      <c r="AS3717" s="87"/>
      <c r="AT3717" s="87"/>
      <c r="AU3717" s="87"/>
      <c r="AV3717" s="92" t="str">
        <f>HYPERLINK("https://pbs.twimg.com/media/F04on29WcAgu0pt.jpg")</f>
        <v>https://pbs.twimg.com/media/F04on29WcAgu0pt.jpg</v>
      </c>
      <c r="AW3717" s="93" t="s">
        <v>21840</v>
      </c>
      <c r="AX3717" s="93" t="s">
        <v>21840</v>
      </c>
      <c r="AY3717" s="87"/>
      <c r="AZ3717" s="93" t="s">
        <v>22668</v>
      </c>
      <c r="BA3717" s="93" t="s">
        <v>22668</v>
      </c>
      <c r="BB3717" s="93" t="s">
        <v>22668</v>
      </c>
      <c r="BC3717" s="93" t="s">
        <v>21840</v>
      </c>
      <c r="BD3717" s="93" t="s">
        <v>23491</v>
      </c>
      <c r="BE3717" s="87"/>
      <c r="BF3717" s="87"/>
      <c r="BG3717" s="87"/>
      <c r="BH3717" s="87"/>
      <c r="BI3717" s="87"/>
    </row>
    <row r="3718" spans="1:61" x14ac:dyDescent="0.25">
      <c r="A3718" s="63" t="s">
        <v>1423</v>
      </c>
      <c r="B3718" s="63" t="s">
        <v>1423</v>
      </c>
      <c r="C3718" s="64"/>
      <c r="D3718" s="65"/>
      <c r="E3718" s="66"/>
      <c r="F3718" s="67"/>
      <c r="G3718" s="64"/>
      <c r="H3718" s="68"/>
      <c r="I3718" s="69"/>
      <c r="J3718" s="69"/>
      <c r="K3718" s="32"/>
      <c r="L3718" s="76">
        <v>3718</v>
      </c>
      <c r="M3718" s="76"/>
      <c r="N3718" s="71"/>
      <c r="O3718" s="87" t="s">
        <v>179</v>
      </c>
      <c r="P3718" s="90">
        <v>45139.102858796294</v>
      </c>
      <c r="Q3718" s="87" t="s">
        <v>5386</v>
      </c>
      <c r="R3718" s="87">
        <v>0</v>
      </c>
      <c r="S3718" s="87">
        <v>0</v>
      </c>
      <c r="T3718" s="87">
        <v>0</v>
      </c>
      <c r="U3718" s="87">
        <v>0</v>
      </c>
      <c r="V3718" s="87">
        <v>40</v>
      </c>
      <c r="W3718" s="93" t="s">
        <v>8020</v>
      </c>
      <c r="X3718" s="92" t="str">
        <f>HYPERLINK("https://checkout.mycheckout.com.br/checkout/64c6608927449f16bb4b197b")</f>
        <v>https://checkout.mycheckout.com.br/checkout/64c6608927449f16bb4b197b</v>
      </c>
      <c r="Y3718" s="87" t="s">
        <v>8373</v>
      </c>
      <c r="Z3718" s="87"/>
      <c r="AA3718" s="87" t="s">
        <v>11143</v>
      </c>
      <c r="AB3718" s="87" t="s">
        <v>11448</v>
      </c>
      <c r="AC3718" s="93" t="s">
        <v>11459</v>
      </c>
      <c r="AD3718" s="87" t="s">
        <v>11519</v>
      </c>
      <c r="AE3718" s="92" t="str">
        <f>HYPERLINK("https://twitter.com/sandriellysan20/status/1686202117185302528")</f>
        <v>https://twitter.com/sandriellysan20/status/1686202117185302528</v>
      </c>
      <c r="AF3718" s="90">
        <v>45139.102858796294</v>
      </c>
      <c r="AG3718" s="99">
        <v>45139</v>
      </c>
      <c r="AH3718" s="93" t="s">
        <v>14820</v>
      </c>
      <c r="AI3718" s="87" t="b">
        <v>0</v>
      </c>
      <c r="AJ3718" s="87"/>
      <c r="AK3718" s="87"/>
      <c r="AL3718" s="87"/>
      <c r="AM3718" s="87"/>
      <c r="AN3718" s="87"/>
      <c r="AO3718" s="87"/>
      <c r="AP3718" s="87"/>
      <c r="AQ3718" s="87" t="s">
        <v>17955</v>
      </c>
      <c r="AR3718" s="87"/>
      <c r="AS3718" s="87"/>
      <c r="AT3718" s="87"/>
      <c r="AU3718" s="87"/>
      <c r="AV3718" s="92" t="str">
        <f>HYPERLINK("https://pbs.twimg.com/media/F2aX47uWUAA-t6P.jpg")</f>
        <v>https://pbs.twimg.com/media/F2aX47uWUAA-t6P.jpg</v>
      </c>
      <c r="AW3718" s="93" t="s">
        <v>21841</v>
      </c>
      <c r="AX3718" s="93" t="s">
        <v>21841</v>
      </c>
      <c r="AY3718" s="87"/>
      <c r="AZ3718" s="93" t="s">
        <v>22668</v>
      </c>
      <c r="BA3718" s="93" t="s">
        <v>22668</v>
      </c>
      <c r="BB3718" s="93" t="s">
        <v>22668</v>
      </c>
      <c r="BC3718" s="93" t="s">
        <v>21841</v>
      </c>
      <c r="BD3718" s="93" t="s">
        <v>23492</v>
      </c>
      <c r="BE3718" s="87"/>
      <c r="BF3718" s="87"/>
      <c r="BG3718" s="87"/>
      <c r="BH3718" s="87"/>
      <c r="BI3718" s="87"/>
    </row>
    <row r="3719" spans="1:61" x14ac:dyDescent="0.25">
      <c r="A3719" s="63" t="s">
        <v>1424</v>
      </c>
      <c r="B3719" s="63" t="s">
        <v>1424</v>
      </c>
      <c r="C3719" s="64"/>
      <c r="D3719" s="65"/>
      <c r="E3719" s="66"/>
      <c r="F3719" s="67"/>
      <c r="G3719" s="64"/>
      <c r="H3719" s="68"/>
      <c r="I3719" s="69"/>
      <c r="J3719" s="69"/>
      <c r="K3719" s="32"/>
      <c r="L3719" s="76">
        <v>3719</v>
      </c>
      <c r="M3719" s="76"/>
      <c r="N3719" s="71"/>
      <c r="O3719" s="87" t="s">
        <v>179</v>
      </c>
      <c r="P3719" s="90">
        <v>45147.682986111111</v>
      </c>
      <c r="Q3719" s="87" t="s">
        <v>5387</v>
      </c>
      <c r="R3719" s="87">
        <v>0</v>
      </c>
      <c r="S3719" s="87">
        <v>2</v>
      </c>
      <c r="T3719" s="87">
        <v>0</v>
      </c>
      <c r="U3719" s="87">
        <v>0</v>
      </c>
      <c r="V3719" s="87">
        <v>397</v>
      </c>
      <c r="W3719" s="93" t="s">
        <v>8021</v>
      </c>
      <c r="X3719" s="87"/>
      <c r="Y3719" s="87"/>
      <c r="Z3719" s="87"/>
      <c r="AA3719" s="87" t="s">
        <v>11144</v>
      </c>
      <c r="AB3719" s="87" t="s">
        <v>11448</v>
      </c>
      <c r="AC3719" s="93" t="s">
        <v>11457</v>
      </c>
      <c r="AD3719" s="87" t="s">
        <v>11518</v>
      </c>
      <c r="AE3719" s="92" t="str">
        <f>HYPERLINK("https://twitter.com/ashentharakag/status/1689311449737306121")</f>
        <v>https://twitter.com/ashentharakag/status/1689311449737306121</v>
      </c>
      <c r="AF3719" s="90">
        <v>45147.682986111111</v>
      </c>
      <c r="AG3719" s="99">
        <v>45147</v>
      </c>
      <c r="AH3719" s="93" t="s">
        <v>14821</v>
      </c>
      <c r="AI3719" s="87" t="b">
        <v>0</v>
      </c>
      <c r="AJ3719" s="87"/>
      <c r="AK3719" s="87"/>
      <c r="AL3719" s="87"/>
      <c r="AM3719" s="87"/>
      <c r="AN3719" s="87"/>
      <c r="AO3719" s="87"/>
      <c r="AP3719" s="87"/>
      <c r="AQ3719" s="87" t="s">
        <v>17956</v>
      </c>
      <c r="AR3719" s="87"/>
      <c r="AS3719" s="87"/>
      <c r="AT3719" s="87"/>
      <c r="AU3719" s="87"/>
      <c r="AV3719" s="92" t="str">
        <f>HYPERLINK("https://pbs.twimg.com/media/F3GjzslXAAAFwI5.jpg")</f>
        <v>https://pbs.twimg.com/media/F3GjzslXAAAFwI5.jpg</v>
      </c>
      <c r="AW3719" s="93" t="s">
        <v>21842</v>
      </c>
      <c r="AX3719" s="93" t="s">
        <v>21842</v>
      </c>
      <c r="AY3719" s="87"/>
      <c r="AZ3719" s="93" t="s">
        <v>22668</v>
      </c>
      <c r="BA3719" s="93" t="s">
        <v>22668</v>
      </c>
      <c r="BB3719" s="93" t="s">
        <v>22668</v>
      </c>
      <c r="BC3719" s="93" t="s">
        <v>21842</v>
      </c>
      <c r="BD3719" s="93" t="s">
        <v>23493</v>
      </c>
      <c r="BE3719" s="87"/>
      <c r="BF3719" s="87"/>
      <c r="BG3719" s="87"/>
      <c r="BH3719" s="87"/>
      <c r="BI3719" s="87"/>
    </row>
    <row r="3720" spans="1:61" x14ac:dyDescent="0.25">
      <c r="A3720" s="63" t="s">
        <v>1425</v>
      </c>
      <c r="B3720" s="63" t="s">
        <v>1425</v>
      </c>
      <c r="C3720" s="64"/>
      <c r="D3720" s="65"/>
      <c r="E3720" s="66"/>
      <c r="F3720" s="67"/>
      <c r="G3720" s="64"/>
      <c r="H3720" s="68"/>
      <c r="I3720" s="69"/>
      <c r="J3720" s="69"/>
      <c r="K3720" s="32"/>
      <c r="L3720" s="76">
        <v>3720</v>
      </c>
      <c r="M3720" s="76"/>
      <c r="N3720" s="71"/>
      <c r="O3720" s="87" t="s">
        <v>179</v>
      </c>
      <c r="P3720" s="90">
        <v>45180.930810185186</v>
      </c>
      <c r="Q3720" s="87" t="s">
        <v>5388</v>
      </c>
      <c r="R3720" s="87">
        <v>0</v>
      </c>
      <c r="S3720" s="87">
        <v>0</v>
      </c>
      <c r="T3720" s="87">
        <v>0</v>
      </c>
      <c r="U3720" s="87">
        <v>0</v>
      </c>
      <c r="V3720" s="87">
        <v>5</v>
      </c>
      <c r="W3720" s="93" t="s">
        <v>8022</v>
      </c>
      <c r="X3720" s="87"/>
      <c r="Y3720" s="87"/>
      <c r="Z3720" s="87"/>
      <c r="AA3720" s="87" t="s">
        <v>11145</v>
      </c>
      <c r="AB3720" s="87" t="s">
        <v>11448</v>
      </c>
      <c r="AC3720" s="93" t="s">
        <v>11458</v>
      </c>
      <c r="AD3720" s="87" t="s">
        <v>11519</v>
      </c>
      <c r="AE3720" s="92" t="str">
        <f>HYPERLINK("https://twitter.com/henrikubota/status/1701360059123392951")</f>
        <v>https://twitter.com/henrikubota/status/1701360059123392951</v>
      </c>
      <c r="AF3720" s="90">
        <v>45180.930810185186</v>
      </c>
      <c r="AG3720" s="99">
        <v>45180</v>
      </c>
      <c r="AH3720" s="93" t="s">
        <v>14822</v>
      </c>
      <c r="AI3720" s="87" t="b">
        <v>0</v>
      </c>
      <c r="AJ3720" s="87"/>
      <c r="AK3720" s="87"/>
      <c r="AL3720" s="87"/>
      <c r="AM3720" s="87"/>
      <c r="AN3720" s="87"/>
      <c r="AO3720" s="87"/>
      <c r="AP3720" s="87"/>
      <c r="AQ3720" s="87" t="s">
        <v>17957</v>
      </c>
      <c r="AR3720" s="87"/>
      <c r="AS3720" s="87"/>
      <c r="AT3720" s="87"/>
      <c r="AU3720" s="87"/>
      <c r="AV3720" s="92" t="str">
        <f>HYPERLINK("https://pbs.twimg.com/media/F5xx9LTW8AABukQ.jpg")</f>
        <v>https://pbs.twimg.com/media/F5xx9LTW8AABukQ.jpg</v>
      </c>
      <c r="AW3720" s="93" t="s">
        <v>21843</v>
      </c>
      <c r="AX3720" s="93" t="s">
        <v>21843</v>
      </c>
      <c r="AY3720" s="87"/>
      <c r="AZ3720" s="93" t="s">
        <v>22668</v>
      </c>
      <c r="BA3720" s="93" t="s">
        <v>22668</v>
      </c>
      <c r="BB3720" s="93" t="s">
        <v>22668</v>
      </c>
      <c r="BC3720" s="93" t="s">
        <v>21843</v>
      </c>
      <c r="BD3720" s="87">
        <v>28353441</v>
      </c>
      <c r="BE3720" s="87"/>
      <c r="BF3720" s="87"/>
      <c r="BG3720" s="87"/>
      <c r="BH3720" s="87"/>
      <c r="BI3720" s="87"/>
    </row>
    <row r="3721" spans="1:61" x14ac:dyDescent="0.25">
      <c r="A3721" s="63" t="s">
        <v>1426</v>
      </c>
      <c r="B3721" s="63" t="s">
        <v>1426</v>
      </c>
      <c r="C3721" s="64"/>
      <c r="D3721" s="65"/>
      <c r="E3721" s="66"/>
      <c r="F3721" s="67"/>
      <c r="G3721" s="64"/>
      <c r="H3721" s="68"/>
      <c r="I3721" s="69"/>
      <c r="J3721" s="69"/>
      <c r="K3721" s="32"/>
      <c r="L3721" s="76">
        <v>3721</v>
      </c>
      <c r="M3721" s="76"/>
      <c r="N3721" s="71"/>
      <c r="O3721" s="87" t="s">
        <v>179</v>
      </c>
      <c r="P3721" s="90">
        <v>45155.799074074072</v>
      </c>
      <c r="Q3721" s="87" t="s">
        <v>5389</v>
      </c>
      <c r="R3721" s="87">
        <v>0</v>
      </c>
      <c r="S3721" s="87">
        <v>0</v>
      </c>
      <c r="T3721" s="87">
        <v>0</v>
      </c>
      <c r="U3721" s="87">
        <v>0</v>
      </c>
      <c r="V3721" s="87">
        <v>12</v>
      </c>
      <c r="W3721" s="93" t="s">
        <v>8023</v>
      </c>
      <c r="X3721" s="87"/>
      <c r="Y3721" s="87"/>
      <c r="Z3721" s="87"/>
      <c r="AA3721" s="87"/>
      <c r="AB3721" s="87"/>
      <c r="AC3721" s="93" t="s">
        <v>11458</v>
      </c>
      <c r="AD3721" s="87" t="s">
        <v>11519</v>
      </c>
      <c r="AE3721" s="92" t="str">
        <f>HYPERLINK("https://twitter.com/eupaulateles/status/1692252623200469149")</f>
        <v>https://twitter.com/eupaulateles/status/1692252623200469149</v>
      </c>
      <c r="AF3721" s="90">
        <v>45155.799074074072</v>
      </c>
      <c r="AG3721" s="99">
        <v>45155</v>
      </c>
      <c r="AH3721" s="93" t="s">
        <v>14823</v>
      </c>
      <c r="AI3721" s="87"/>
      <c r="AJ3721" s="87"/>
      <c r="AK3721" s="87"/>
      <c r="AL3721" s="87"/>
      <c r="AM3721" s="87"/>
      <c r="AN3721" s="87"/>
      <c r="AO3721" s="87"/>
      <c r="AP3721" s="87"/>
      <c r="AQ3721" s="87"/>
      <c r="AR3721" s="87"/>
      <c r="AS3721" s="87"/>
      <c r="AT3721" s="87"/>
      <c r="AU3721" s="87"/>
      <c r="AV3721" s="92" t="str">
        <f>HYPERLINK("https://pbs.twimg.com/profile_images/1640995716775460865/jiKMJXNt_normal.jpg")</f>
        <v>https://pbs.twimg.com/profile_images/1640995716775460865/jiKMJXNt_normal.jpg</v>
      </c>
      <c r="AW3721" s="93" t="s">
        <v>21844</v>
      </c>
      <c r="AX3721" s="93" t="s">
        <v>21844</v>
      </c>
      <c r="AY3721" s="87"/>
      <c r="AZ3721" s="93" t="s">
        <v>22668</v>
      </c>
      <c r="BA3721" s="93" t="s">
        <v>22668</v>
      </c>
      <c r="BB3721" s="93" t="s">
        <v>22668</v>
      </c>
      <c r="BC3721" s="93" t="s">
        <v>21844</v>
      </c>
      <c r="BD3721" s="93" t="s">
        <v>23494</v>
      </c>
      <c r="BE3721" s="87"/>
      <c r="BF3721" s="87"/>
      <c r="BG3721" s="87"/>
      <c r="BH3721" s="87"/>
      <c r="BI3721" s="87"/>
    </row>
    <row r="3722" spans="1:61" x14ac:dyDescent="0.25">
      <c r="A3722" s="63" t="s">
        <v>1427</v>
      </c>
      <c r="B3722" s="63" t="s">
        <v>1427</v>
      </c>
      <c r="C3722" s="64"/>
      <c r="D3722" s="65"/>
      <c r="E3722" s="66"/>
      <c r="F3722" s="67"/>
      <c r="G3722" s="64"/>
      <c r="H3722" s="68"/>
      <c r="I3722" s="69"/>
      <c r="J3722" s="69"/>
      <c r="K3722" s="32"/>
      <c r="L3722" s="76">
        <v>3722</v>
      </c>
      <c r="M3722" s="76"/>
      <c r="N3722" s="71"/>
      <c r="O3722" s="87" t="s">
        <v>179</v>
      </c>
      <c r="P3722" s="90">
        <v>45119.631655092591</v>
      </c>
      <c r="Q3722" s="87" t="s">
        <v>5390</v>
      </c>
      <c r="R3722" s="87">
        <v>2</v>
      </c>
      <c r="S3722" s="87">
        <v>4</v>
      </c>
      <c r="T3722" s="87">
        <v>0</v>
      </c>
      <c r="U3722" s="87">
        <v>0</v>
      </c>
      <c r="V3722" s="87">
        <v>34</v>
      </c>
      <c r="W3722" s="93" t="s">
        <v>8024</v>
      </c>
      <c r="X3722" s="87"/>
      <c r="Y3722" s="87"/>
      <c r="Z3722" s="87"/>
      <c r="AA3722" s="87" t="s">
        <v>11146</v>
      </c>
      <c r="AB3722" s="87" t="s">
        <v>11448</v>
      </c>
      <c r="AC3722" s="93" t="s">
        <v>11458</v>
      </c>
      <c r="AD3722" s="87" t="s">
        <v>11520</v>
      </c>
      <c r="AE3722" s="92" t="str">
        <f>HYPERLINK("https://twitter.com/newsfranchising/status/1679145990454951936")</f>
        <v>https://twitter.com/newsfranchising/status/1679145990454951936</v>
      </c>
      <c r="AF3722" s="90">
        <v>45119.631655092591</v>
      </c>
      <c r="AG3722" s="99">
        <v>45119</v>
      </c>
      <c r="AH3722" s="93" t="s">
        <v>14824</v>
      </c>
      <c r="AI3722" s="87" t="b">
        <v>0</v>
      </c>
      <c r="AJ3722" s="87"/>
      <c r="AK3722" s="87"/>
      <c r="AL3722" s="87"/>
      <c r="AM3722" s="87"/>
      <c r="AN3722" s="87"/>
      <c r="AO3722" s="87"/>
      <c r="AP3722" s="87"/>
      <c r="AQ3722" s="87" t="s">
        <v>17958</v>
      </c>
      <c r="AR3722" s="87"/>
      <c r="AS3722" s="87"/>
      <c r="AT3722" s="87"/>
      <c r="AU3722" s="87"/>
      <c r="AV3722" s="92" t="str">
        <f>HYPERLINK("https://pbs.twimg.com/media/F02GYEDX0AIsKah.jpg")</f>
        <v>https://pbs.twimg.com/media/F02GYEDX0AIsKah.jpg</v>
      </c>
      <c r="AW3722" s="93" t="s">
        <v>21845</v>
      </c>
      <c r="AX3722" s="93" t="s">
        <v>21845</v>
      </c>
      <c r="AY3722" s="87"/>
      <c r="AZ3722" s="93" t="s">
        <v>22668</v>
      </c>
      <c r="BA3722" s="93" t="s">
        <v>22668</v>
      </c>
      <c r="BB3722" s="93" t="s">
        <v>22668</v>
      </c>
      <c r="BC3722" s="93" t="s">
        <v>21845</v>
      </c>
      <c r="BD3722" s="87">
        <v>2670811062</v>
      </c>
      <c r="BE3722" s="87"/>
      <c r="BF3722" s="87"/>
      <c r="BG3722" s="87"/>
      <c r="BH3722" s="87"/>
      <c r="BI3722" s="87"/>
    </row>
    <row r="3723" spans="1:61" x14ac:dyDescent="0.25">
      <c r="A3723" s="63" t="s">
        <v>1428</v>
      </c>
      <c r="B3723" s="63" t="s">
        <v>1428</v>
      </c>
      <c r="C3723" s="64"/>
      <c r="D3723" s="65"/>
      <c r="E3723" s="66"/>
      <c r="F3723" s="67"/>
      <c r="G3723" s="64"/>
      <c r="H3723" s="68"/>
      <c r="I3723" s="69"/>
      <c r="J3723" s="69"/>
      <c r="K3723" s="32"/>
      <c r="L3723" s="76">
        <v>3723</v>
      </c>
      <c r="M3723" s="76"/>
      <c r="N3723" s="71"/>
      <c r="O3723" s="87" t="s">
        <v>179</v>
      </c>
      <c r="P3723" s="90">
        <v>45121.125150462962</v>
      </c>
      <c r="Q3723" s="92" t="str">
        <f>HYPERLINK("https://t.co/8cMpNX8cVr")</f>
        <v>https://t.co/8cMpNX8cVr</v>
      </c>
      <c r="R3723" s="87">
        <v>30790</v>
      </c>
      <c r="S3723" s="87">
        <v>270040</v>
      </c>
      <c r="T3723" s="87">
        <v>1446</v>
      </c>
      <c r="U3723" s="87">
        <v>2106</v>
      </c>
      <c r="V3723" s="87">
        <v>16852340</v>
      </c>
      <c r="W3723" s="87"/>
      <c r="X3723" s="87"/>
      <c r="Y3723" s="87"/>
      <c r="Z3723" s="87"/>
      <c r="AA3723" s="87" t="s">
        <v>11147</v>
      </c>
      <c r="AB3723" s="87" t="s">
        <v>11447</v>
      </c>
      <c r="AC3723" s="93" t="s">
        <v>11467</v>
      </c>
      <c r="AD3723" s="87" t="s">
        <v>11531</v>
      </c>
      <c r="AE3723" s="92" t="str">
        <f>HYPERLINK("https://twitter.com/humansnocontext/status/1679687212151996420")</f>
        <v>https://twitter.com/humansnocontext/status/1679687212151996420</v>
      </c>
      <c r="AF3723" s="90">
        <v>45121.125150462962</v>
      </c>
      <c r="AG3723" s="99">
        <v>45121</v>
      </c>
      <c r="AH3723" s="93" t="s">
        <v>14825</v>
      </c>
      <c r="AI3723" s="87" t="b">
        <v>0</v>
      </c>
      <c r="AJ3723" s="87"/>
      <c r="AK3723" s="87"/>
      <c r="AL3723" s="87"/>
      <c r="AM3723" s="87"/>
      <c r="AN3723" s="87"/>
      <c r="AO3723" s="87"/>
      <c r="AP3723" s="87"/>
      <c r="AQ3723" s="87" t="s">
        <v>17959</v>
      </c>
      <c r="AR3723" s="87">
        <v>21481</v>
      </c>
      <c r="AS3723" s="87"/>
      <c r="AT3723" s="87"/>
      <c r="AU3723" s="87"/>
      <c r="AV3723" s="92" t="str">
        <f>HYPERLINK("https://pbs.twimg.com/ext_tw_video_thumb/1679687159534567426/pu/img/DigWhbrN_1i27PLq.jpg")</f>
        <v>https://pbs.twimg.com/ext_tw_video_thumb/1679687159534567426/pu/img/DigWhbrN_1i27PLq.jpg</v>
      </c>
      <c r="AW3723" s="93" t="s">
        <v>21846</v>
      </c>
      <c r="AX3723" s="93" t="s">
        <v>21846</v>
      </c>
      <c r="AY3723" s="87"/>
      <c r="AZ3723" s="93" t="s">
        <v>22668</v>
      </c>
      <c r="BA3723" s="93" t="s">
        <v>22668</v>
      </c>
      <c r="BB3723" s="93" t="s">
        <v>22668</v>
      </c>
      <c r="BC3723" s="93" t="s">
        <v>21846</v>
      </c>
      <c r="BD3723" s="93" t="s">
        <v>23495</v>
      </c>
      <c r="BE3723" s="87"/>
      <c r="BF3723" s="87"/>
      <c r="BG3723" s="87"/>
      <c r="BH3723" s="87"/>
      <c r="BI3723" s="87"/>
    </row>
    <row r="3724" spans="1:61" x14ac:dyDescent="0.25">
      <c r="A3724" s="63" t="s">
        <v>1429</v>
      </c>
      <c r="B3724" s="63" t="s">
        <v>1428</v>
      </c>
      <c r="C3724" s="64"/>
      <c r="D3724" s="65"/>
      <c r="E3724" s="66"/>
      <c r="F3724" s="67"/>
      <c r="G3724" s="64"/>
      <c r="H3724" s="68"/>
      <c r="I3724" s="69"/>
      <c r="J3724" s="69"/>
      <c r="K3724" s="32"/>
      <c r="L3724" s="76">
        <v>3724</v>
      </c>
      <c r="M3724" s="76"/>
      <c r="N3724" s="71"/>
      <c r="O3724" s="87" t="s">
        <v>1842</v>
      </c>
      <c r="P3724" s="90">
        <v>45121.830729166664</v>
      </c>
      <c r="Q3724" s="87" t="s">
        <v>5391</v>
      </c>
      <c r="R3724" s="87">
        <v>0</v>
      </c>
      <c r="S3724" s="87">
        <v>0</v>
      </c>
      <c r="T3724" s="87">
        <v>0</v>
      </c>
      <c r="U3724" s="87">
        <v>0</v>
      </c>
      <c r="V3724" s="87">
        <v>10</v>
      </c>
      <c r="W3724" s="93" t="s">
        <v>5897</v>
      </c>
      <c r="X3724" s="87"/>
      <c r="Y3724" s="87"/>
      <c r="Z3724" s="87"/>
      <c r="AA3724" s="87"/>
      <c r="AB3724" s="87"/>
      <c r="AC3724" s="93" t="s">
        <v>11459</v>
      </c>
      <c r="AD3724" s="87" t="s">
        <v>11524</v>
      </c>
      <c r="AE3724" s="92" t="str">
        <f>HYPERLINK("https://twitter.com/tottysouza/status/1679942907896233984")</f>
        <v>https://twitter.com/tottysouza/status/1679942907896233984</v>
      </c>
      <c r="AF3724" s="90">
        <v>45121.830729166664</v>
      </c>
      <c r="AG3724" s="99">
        <v>45121</v>
      </c>
      <c r="AH3724" s="93" t="s">
        <v>14826</v>
      </c>
      <c r="AI3724" s="87"/>
      <c r="AJ3724" s="87"/>
      <c r="AK3724" s="87"/>
      <c r="AL3724" s="87"/>
      <c r="AM3724" s="87"/>
      <c r="AN3724" s="87"/>
      <c r="AO3724" s="87"/>
      <c r="AP3724" s="87"/>
      <c r="AQ3724" s="87"/>
      <c r="AR3724" s="87"/>
      <c r="AS3724" s="87"/>
      <c r="AT3724" s="87"/>
      <c r="AU3724" s="87"/>
      <c r="AV3724" s="92" t="str">
        <f>HYPERLINK("https://pbs.twimg.com/profile_images/1547260353242927104/BDSDjrb0_normal.jpg")</f>
        <v>https://pbs.twimg.com/profile_images/1547260353242927104/BDSDjrb0_normal.jpg</v>
      </c>
      <c r="AW3724" s="93" t="s">
        <v>21847</v>
      </c>
      <c r="AX3724" s="93" t="s">
        <v>21847</v>
      </c>
      <c r="AY3724" s="87"/>
      <c r="AZ3724" s="93" t="s">
        <v>22668</v>
      </c>
      <c r="BA3724" s="93" t="s">
        <v>21846</v>
      </c>
      <c r="BB3724" s="93" t="s">
        <v>22668</v>
      </c>
      <c r="BC3724" s="93" t="s">
        <v>21846</v>
      </c>
      <c r="BD3724" s="87">
        <v>67131467</v>
      </c>
      <c r="BE3724" s="87"/>
      <c r="BF3724" s="87"/>
      <c r="BG3724" s="87"/>
      <c r="BH3724" s="87"/>
      <c r="BI3724" s="87"/>
    </row>
    <row r="3725" spans="1:61" x14ac:dyDescent="0.25">
      <c r="A3725" s="63" t="s">
        <v>1430</v>
      </c>
      <c r="B3725" s="63" t="s">
        <v>1430</v>
      </c>
      <c r="C3725" s="64"/>
      <c r="D3725" s="65"/>
      <c r="E3725" s="66"/>
      <c r="F3725" s="67"/>
      <c r="G3725" s="64"/>
      <c r="H3725" s="68"/>
      <c r="I3725" s="69"/>
      <c r="J3725" s="69"/>
      <c r="K3725" s="32"/>
      <c r="L3725" s="76">
        <v>3725</v>
      </c>
      <c r="M3725" s="76"/>
      <c r="N3725" s="71"/>
      <c r="O3725" s="87" t="s">
        <v>179</v>
      </c>
      <c r="P3725" s="90">
        <v>45163.733495370368</v>
      </c>
      <c r="Q3725" s="87" t="s">
        <v>5392</v>
      </c>
      <c r="R3725" s="87">
        <v>0</v>
      </c>
      <c r="S3725" s="87">
        <v>0</v>
      </c>
      <c r="T3725" s="87">
        <v>0</v>
      </c>
      <c r="U3725" s="87">
        <v>0</v>
      </c>
      <c r="V3725" s="87">
        <v>28</v>
      </c>
      <c r="W3725" s="93" t="s">
        <v>8025</v>
      </c>
      <c r="X3725" s="92" t="str">
        <f>HYPERLINK("https://www.sigamais.com/noticias/geral/governo-propoe-elevacao-de-limite-anual-do-mei-para-r-1449-mil/")</f>
        <v>https://www.sigamais.com/noticias/geral/governo-propoe-elevacao-de-limite-anual-do-mei-para-r-1449-mil/</v>
      </c>
      <c r="Y3725" s="87" t="s">
        <v>8538</v>
      </c>
      <c r="Z3725" s="87"/>
      <c r="AA3725" s="87"/>
      <c r="AB3725" s="87"/>
      <c r="AC3725" s="93" t="s">
        <v>11457</v>
      </c>
      <c r="AD3725" s="87" t="s">
        <v>11519</v>
      </c>
      <c r="AE3725" s="92" t="str">
        <f>HYPERLINK("https://twitter.com/portalsigamais/status/1695127962373312602")</f>
        <v>https://twitter.com/portalsigamais/status/1695127962373312602</v>
      </c>
      <c r="AF3725" s="90">
        <v>45163.733495370368</v>
      </c>
      <c r="AG3725" s="99">
        <v>45163</v>
      </c>
      <c r="AH3725" s="93" t="s">
        <v>14827</v>
      </c>
      <c r="AI3725" s="87" t="b">
        <v>0</v>
      </c>
      <c r="AJ3725" s="87"/>
      <c r="AK3725" s="87"/>
      <c r="AL3725" s="87"/>
      <c r="AM3725" s="87"/>
      <c r="AN3725" s="87"/>
      <c r="AO3725" s="87"/>
      <c r="AP3725" s="87"/>
      <c r="AQ3725" s="87"/>
      <c r="AR3725" s="87"/>
      <c r="AS3725" s="87"/>
      <c r="AT3725" s="87"/>
      <c r="AU3725" s="87"/>
      <c r="AV3725" s="92" t="str">
        <f>HYPERLINK("https://pbs.twimg.com/profile_images/1064147746238709760/zwTuvIdq_normal.jpg")</f>
        <v>https://pbs.twimg.com/profile_images/1064147746238709760/zwTuvIdq_normal.jpg</v>
      </c>
      <c r="AW3725" s="93" t="s">
        <v>21848</v>
      </c>
      <c r="AX3725" s="93" t="s">
        <v>21848</v>
      </c>
      <c r="AY3725" s="87"/>
      <c r="AZ3725" s="93" t="s">
        <v>22668</v>
      </c>
      <c r="BA3725" s="93" t="s">
        <v>22668</v>
      </c>
      <c r="BB3725" s="93" t="s">
        <v>22668</v>
      </c>
      <c r="BC3725" s="93" t="s">
        <v>21848</v>
      </c>
      <c r="BD3725" s="87">
        <v>35604602</v>
      </c>
      <c r="BE3725" s="87"/>
      <c r="BF3725" s="87"/>
      <c r="BG3725" s="87"/>
      <c r="BH3725" s="87"/>
      <c r="BI3725" s="87"/>
    </row>
    <row r="3726" spans="1:61" x14ac:dyDescent="0.25">
      <c r="A3726" s="63" t="s">
        <v>1431</v>
      </c>
      <c r="B3726" s="63" t="s">
        <v>1431</v>
      </c>
      <c r="C3726" s="64"/>
      <c r="D3726" s="65"/>
      <c r="E3726" s="66"/>
      <c r="F3726" s="67"/>
      <c r="G3726" s="64"/>
      <c r="H3726" s="68"/>
      <c r="I3726" s="69"/>
      <c r="J3726" s="69"/>
      <c r="K3726" s="32"/>
      <c r="L3726" s="76">
        <v>3726</v>
      </c>
      <c r="M3726" s="76"/>
      <c r="N3726" s="71"/>
      <c r="O3726" s="87" t="s">
        <v>179</v>
      </c>
      <c r="P3726" s="90">
        <v>45130.614212962966</v>
      </c>
      <c r="Q3726" s="87" t="s">
        <v>5393</v>
      </c>
      <c r="R3726" s="87">
        <v>1</v>
      </c>
      <c r="S3726" s="87">
        <v>1</v>
      </c>
      <c r="T3726" s="87">
        <v>0</v>
      </c>
      <c r="U3726" s="87">
        <v>0</v>
      </c>
      <c r="V3726" s="87">
        <v>43</v>
      </c>
      <c r="W3726" s="93" t="s">
        <v>8026</v>
      </c>
      <c r="X3726" s="92" t="str">
        <f>HYPERLINK("https://jlucastz.blogspot.com/2022/09/a-quarta-revolucao-industrial-e-o.html")</f>
        <v>https://jlucastz.blogspot.com/2022/09/a-quarta-revolucao-industrial-e-o.html</v>
      </c>
      <c r="Y3726" s="87" t="s">
        <v>8394</v>
      </c>
      <c r="Z3726" s="87"/>
      <c r="AA3726" s="87" t="s">
        <v>11148</v>
      </c>
      <c r="AB3726" s="87" t="s">
        <v>11448</v>
      </c>
      <c r="AC3726" s="93" t="s">
        <v>11457</v>
      </c>
      <c r="AD3726" s="87" t="s">
        <v>11519</v>
      </c>
      <c r="AE3726" s="92" t="str">
        <f>HYPERLINK("https://twitter.com/joselucasstz/status/1683125933383856128")</f>
        <v>https://twitter.com/joselucasstz/status/1683125933383856128</v>
      </c>
      <c r="AF3726" s="90">
        <v>45130.614212962966</v>
      </c>
      <c r="AG3726" s="99">
        <v>45130</v>
      </c>
      <c r="AH3726" s="93" t="s">
        <v>14828</v>
      </c>
      <c r="AI3726" s="87" t="b">
        <v>0</v>
      </c>
      <c r="AJ3726" s="87"/>
      <c r="AK3726" s="87"/>
      <c r="AL3726" s="87"/>
      <c r="AM3726" s="87"/>
      <c r="AN3726" s="87"/>
      <c r="AO3726" s="87"/>
      <c r="AP3726" s="87"/>
      <c r="AQ3726" s="87" t="s">
        <v>17960</v>
      </c>
      <c r="AR3726" s="87"/>
      <c r="AS3726" s="87"/>
      <c r="AT3726" s="87"/>
      <c r="AU3726" s="87"/>
      <c r="AV3726" s="92" t="str">
        <f>HYPERLINK("https://pbs.twimg.com/media/F1upolHWAAAM4jZ.png")</f>
        <v>https://pbs.twimg.com/media/F1upolHWAAAM4jZ.png</v>
      </c>
      <c r="AW3726" s="93" t="s">
        <v>21849</v>
      </c>
      <c r="AX3726" s="93" t="s">
        <v>21849</v>
      </c>
      <c r="AY3726" s="87"/>
      <c r="AZ3726" s="93" t="s">
        <v>22668</v>
      </c>
      <c r="BA3726" s="93" t="s">
        <v>22668</v>
      </c>
      <c r="BB3726" s="93" t="s">
        <v>22668</v>
      </c>
      <c r="BC3726" s="93" t="s">
        <v>21849</v>
      </c>
      <c r="BD3726" s="93" t="s">
        <v>23496</v>
      </c>
      <c r="BE3726" s="87"/>
      <c r="BF3726" s="87"/>
      <c r="BG3726" s="87"/>
      <c r="BH3726" s="87"/>
      <c r="BI3726" s="87"/>
    </row>
    <row r="3727" spans="1:61" x14ac:dyDescent="0.25">
      <c r="A3727" s="63" t="s">
        <v>1432</v>
      </c>
      <c r="B3727" s="63" t="s">
        <v>1432</v>
      </c>
      <c r="C3727" s="64"/>
      <c r="D3727" s="65"/>
      <c r="E3727" s="66"/>
      <c r="F3727" s="67"/>
      <c r="G3727" s="64"/>
      <c r="H3727" s="68"/>
      <c r="I3727" s="69"/>
      <c r="J3727" s="69"/>
      <c r="K3727" s="32"/>
      <c r="L3727" s="76">
        <v>3727</v>
      </c>
      <c r="M3727" s="76"/>
      <c r="N3727" s="71"/>
      <c r="O3727" s="87" t="s">
        <v>179</v>
      </c>
      <c r="P3727" s="90">
        <v>44943.4375</v>
      </c>
      <c r="Q3727" s="87" t="s">
        <v>5394</v>
      </c>
      <c r="R3727" s="87">
        <v>4</v>
      </c>
      <c r="S3727" s="87">
        <v>48</v>
      </c>
      <c r="T3727" s="87">
        <v>3</v>
      </c>
      <c r="U3727" s="87">
        <v>2</v>
      </c>
      <c r="V3727" s="87">
        <v>2129</v>
      </c>
      <c r="W3727" s="93" t="s">
        <v>8027</v>
      </c>
      <c r="X3727" s="87"/>
      <c r="Y3727" s="87"/>
      <c r="Z3727" s="87"/>
      <c r="AA3727" s="87" t="s">
        <v>11149</v>
      </c>
      <c r="AB3727" s="87" t="s">
        <v>11449</v>
      </c>
      <c r="AC3727" s="93" t="s">
        <v>11458</v>
      </c>
      <c r="AD3727" s="87" t="s">
        <v>11519</v>
      </c>
      <c r="AE3727" s="92" t="str">
        <f>HYPERLINK("https://twitter.com/ossandaliber/status/1615295363514089476")</f>
        <v>https://twitter.com/ossandaliber/status/1615295363514089476</v>
      </c>
      <c r="AF3727" s="90">
        <v>44943.4375</v>
      </c>
      <c r="AG3727" s="99">
        <v>44943</v>
      </c>
      <c r="AH3727" s="93" t="s">
        <v>14404</v>
      </c>
      <c r="AI3727" s="87" t="b">
        <v>0</v>
      </c>
      <c r="AJ3727" s="87"/>
      <c r="AK3727" s="87"/>
      <c r="AL3727" s="87"/>
      <c r="AM3727" s="87"/>
      <c r="AN3727" s="87"/>
      <c r="AO3727" s="87"/>
      <c r="AP3727" s="87"/>
      <c r="AQ3727" s="87" t="s">
        <v>17961</v>
      </c>
      <c r="AR3727" s="87"/>
      <c r="AS3727" s="87"/>
      <c r="AT3727" s="87"/>
      <c r="AU3727" s="87"/>
      <c r="AV3727" s="92" t="str">
        <f>HYPERLINK("https://pbs.twimg.com/media/FmqukWHXgAEzLnd.jpg")</f>
        <v>https://pbs.twimg.com/media/FmqukWHXgAEzLnd.jpg</v>
      </c>
      <c r="AW3727" s="93" t="s">
        <v>21850</v>
      </c>
      <c r="AX3727" s="93" t="s">
        <v>21850</v>
      </c>
      <c r="AY3727" s="87"/>
      <c r="AZ3727" s="93" t="s">
        <v>22668</v>
      </c>
      <c r="BA3727" s="93" t="s">
        <v>22668</v>
      </c>
      <c r="BB3727" s="93" t="s">
        <v>22668</v>
      </c>
      <c r="BC3727" s="93" t="s">
        <v>21850</v>
      </c>
      <c r="BD3727" s="87">
        <v>2809706668</v>
      </c>
      <c r="BE3727" s="87"/>
      <c r="BF3727" s="87"/>
      <c r="BG3727" s="87"/>
      <c r="BH3727" s="87"/>
      <c r="BI3727" s="87"/>
    </row>
    <row r="3728" spans="1:61" x14ac:dyDescent="0.25">
      <c r="A3728" s="63" t="s">
        <v>1433</v>
      </c>
      <c r="B3728" s="63" t="s">
        <v>1433</v>
      </c>
      <c r="C3728" s="64"/>
      <c r="D3728" s="65"/>
      <c r="E3728" s="66"/>
      <c r="F3728" s="67"/>
      <c r="G3728" s="64"/>
      <c r="H3728" s="68"/>
      <c r="I3728" s="69"/>
      <c r="J3728" s="69"/>
      <c r="K3728" s="32"/>
      <c r="L3728" s="76">
        <v>3728</v>
      </c>
      <c r="M3728" s="76"/>
      <c r="N3728" s="71"/>
      <c r="O3728" s="87" t="s">
        <v>179</v>
      </c>
      <c r="P3728" s="90">
        <v>45125.695729166669</v>
      </c>
      <c r="Q3728" s="87" t="s">
        <v>5395</v>
      </c>
      <c r="R3728" s="87">
        <v>0</v>
      </c>
      <c r="S3728" s="87">
        <v>1</v>
      </c>
      <c r="T3728" s="87">
        <v>2</v>
      </c>
      <c r="U3728" s="87">
        <v>0</v>
      </c>
      <c r="V3728" s="87">
        <v>274</v>
      </c>
      <c r="W3728" s="93" t="s">
        <v>8028</v>
      </c>
      <c r="X3728" s="87"/>
      <c r="Y3728" s="87"/>
      <c r="Z3728" s="87"/>
      <c r="AA3728" s="87" t="s">
        <v>11150</v>
      </c>
      <c r="AB3728" s="87" t="s">
        <v>11448</v>
      </c>
      <c r="AC3728" s="93" t="s">
        <v>11458</v>
      </c>
      <c r="AD3728" s="87" t="s">
        <v>11519</v>
      </c>
      <c r="AE3728" s="92" t="str">
        <f>HYPERLINK("https://twitter.com/kleysller/status/1681343537500110850")</f>
        <v>https://twitter.com/kleysller/status/1681343537500110850</v>
      </c>
      <c r="AF3728" s="90">
        <v>45125.695729166669</v>
      </c>
      <c r="AG3728" s="99">
        <v>45125</v>
      </c>
      <c r="AH3728" s="93" t="s">
        <v>14829</v>
      </c>
      <c r="AI3728" s="87" t="b">
        <v>0</v>
      </c>
      <c r="AJ3728" s="87"/>
      <c r="AK3728" s="87"/>
      <c r="AL3728" s="87"/>
      <c r="AM3728" s="87"/>
      <c r="AN3728" s="87"/>
      <c r="AO3728" s="87"/>
      <c r="AP3728" s="87"/>
      <c r="AQ3728" s="87" t="s">
        <v>17962</v>
      </c>
      <c r="AR3728" s="87"/>
      <c r="AS3728" s="87"/>
      <c r="AT3728" s="87"/>
      <c r="AU3728" s="87"/>
      <c r="AV3728" s="92" t="str">
        <f>HYPERLINK("https://pbs.twimg.com/media/F1VVCCaXwAQVtNu.jpg")</f>
        <v>https://pbs.twimg.com/media/F1VVCCaXwAQVtNu.jpg</v>
      </c>
      <c r="AW3728" s="93" t="s">
        <v>21851</v>
      </c>
      <c r="AX3728" s="93" t="s">
        <v>21851</v>
      </c>
      <c r="AY3728" s="87"/>
      <c r="AZ3728" s="93" t="s">
        <v>22668</v>
      </c>
      <c r="BA3728" s="93" t="s">
        <v>22668</v>
      </c>
      <c r="BB3728" s="93" t="s">
        <v>22668</v>
      </c>
      <c r="BC3728" s="93" t="s">
        <v>21851</v>
      </c>
      <c r="BD3728" s="87">
        <v>40312986</v>
      </c>
      <c r="BE3728" s="87"/>
      <c r="BF3728" s="87"/>
      <c r="BG3728" s="87"/>
      <c r="BH3728" s="87"/>
      <c r="BI3728" s="87"/>
    </row>
    <row r="3729" spans="1:61" x14ac:dyDescent="0.25">
      <c r="A3729" s="63" t="s">
        <v>1434</v>
      </c>
      <c r="B3729" s="63" t="s">
        <v>1434</v>
      </c>
      <c r="C3729" s="64"/>
      <c r="D3729" s="65"/>
      <c r="E3729" s="66"/>
      <c r="F3729" s="67"/>
      <c r="G3729" s="64"/>
      <c r="H3729" s="68"/>
      <c r="I3729" s="69"/>
      <c r="J3729" s="69"/>
      <c r="K3729" s="32"/>
      <c r="L3729" s="76">
        <v>3729</v>
      </c>
      <c r="M3729" s="76"/>
      <c r="N3729" s="71"/>
      <c r="O3729" s="87" t="s">
        <v>179</v>
      </c>
      <c r="P3729" s="90">
        <v>45116.953668981485</v>
      </c>
      <c r="Q3729" s="87" t="s">
        <v>5396</v>
      </c>
      <c r="R3729" s="87">
        <v>0</v>
      </c>
      <c r="S3729" s="87">
        <v>0</v>
      </c>
      <c r="T3729" s="87">
        <v>0</v>
      </c>
      <c r="U3729" s="87">
        <v>0</v>
      </c>
      <c r="V3729" s="87">
        <v>37</v>
      </c>
      <c r="W3729" s="93" t="s">
        <v>8029</v>
      </c>
      <c r="X3729" s="92" t="str">
        <f>HYPERLINK("https://youtu.be/o4DcIMkW2Pc")</f>
        <v>https://youtu.be/o4DcIMkW2Pc</v>
      </c>
      <c r="Y3729" s="87" t="s">
        <v>8372</v>
      </c>
      <c r="Z3729" s="87"/>
      <c r="AA3729" s="87" t="s">
        <v>11151</v>
      </c>
      <c r="AB3729" s="87" t="s">
        <v>11448</v>
      </c>
      <c r="AC3729" s="93" t="s">
        <v>11511</v>
      </c>
      <c r="AD3729" s="87" t="s">
        <v>11519</v>
      </c>
      <c r="AE3729" s="92" t="str">
        <f>HYPERLINK("https://twitter.com/oelberdomingos/status/1678175518150074368")</f>
        <v>https://twitter.com/oelberdomingos/status/1678175518150074368</v>
      </c>
      <c r="AF3729" s="90">
        <v>45116.953668981485</v>
      </c>
      <c r="AG3729" s="99">
        <v>45116</v>
      </c>
      <c r="AH3729" s="93" t="s">
        <v>14830</v>
      </c>
      <c r="AI3729" s="87" t="b">
        <v>0</v>
      </c>
      <c r="AJ3729" s="87"/>
      <c r="AK3729" s="87"/>
      <c r="AL3729" s="87"/>
      <c r="AM3729" s="87"/>
      <c r="AN3729" s="87"/>
      <c r="AO3729" s="87"/>
      <c r="AP3729" s="87"/>
      <c r="AQ3729" s="87" t="s">
        <v>17963</v>
      </c>
      <c r="AR3729" s="87"/>
      <c r="AS3729" s="87"/>
      <c r="AT3729" s="87"/>
      <c r="AU3729" s="87"/>
      <c r="AV3729" s="92" t="str">
        <f>HYPERLINK("https://pbs.twimg.com/media/F0oTvObXsAECpaR.jpg")</f>
        <v>https://pbs.twimg.com/media/F0oTvObXsAECpaR.jpg</v>
      </c>
      <c r="AW3729" s="93" t="s">
        <v>21852</v>
      </c>
      <c r="AX3729" s="93" t="s">
        <v>21852</v>
      </c>
      <c r="AY3729" s="87"/>
      <c r="AZ3729" s="93" t="s">
        <v>22668</v>
      </c>
      <c r="BA3729" s="93" t="s">
        <v>22668</v>
      </c>
      <c r="BB3729" s="93" t="s">
        <v>22668</v>
      </c>
      <c r="BC3729" s="93" t="s">
        <v>21852</v>
      </c>
      <c r="BD3729" s="87">
        <v>130999630</v>
      </c>
      <c r="BE3729" s="87"/>
      <c r="BF3729" s="87"/>
      <c r="BG3729" s="87"/>
      <c r="BH3729" s="87"/>
      <c r="BI3729" s="87"/>
    </row>
    <row r="3730" spans="1:61" x14ac:dyDescent="0.25">
      <c r="A3730" s="63" t="s">
        <v>1435</v>
      </c>
      <c r="B3730" s="63" t="s">
        <v>1812</v>
      </c>
      <c r="C3730" s="64"/>
      <c r="D3730" s="65"/>
      <c r="E3730" s="66"/>
      <c r="F3730" s="67"/>
      <c r="G3730" s="64"/>
      <c r="H3730" s="68"/>
      <c r="I3730" s="69"/>
      <c r="J3730" s="69"/>
      <c r="K3730" s="32"/>
      <c r="L3730" s="76">
        <v>3730</v>
      </c>
      <c r="M3730" s="76"/>
      <c r="N3730" s="71"/>
      <c r="O3730" s="87" t="s">
        <v>1839</v>
      </c>
      <c r="P3730" s="90">
        <v>45112.786087962966</v>
      </c>
      <c r="Q3730" s="87" t="s">
        <v>5397</v>
      </c>
      <c r="R3730" s="87">
        <v>0</v>
      </c>
      <c r="S3730" s="87">
        <v>6</v>
      </c>
      <c r="T3730" s="87">
        <v>0</v>
      </c>
      <c r="U3730" s="87">
        <v>3</v>
      </c>
      <c r="V3730" s="87">
        <v>2177</v>
      </c>
      <c r="W3730" s="93" t="s">
        <v>5897</v>
      </c>
      <c r="X3730" s="87"/>
      <c r="Y3730" s="87"/>
      <c r="Z3730" s="87" t="s">
        <v>8620</v>
      </c>
      <c r="AA3730" s="87" t="s">
        <v>11152</v>
      </c>
      <c r="AB3730" s="87" t="s">
        <v>11447</v>
      </c>
      <c r="AC3730" s="93" t="s">
        <v>11457</v>
      </c>
      <c r="AD3730" s="87" t="s">
        <v>11519</v>
      </c>
      <c r="AE3730" s="92" t="str">
        <f>HYPERLINK("https://twitter.com/finep/status/1676665236718272513")</f>
        <v>https://twitter.com/finep/status/1676665236718272513</v>
      </c>
      <c r="AF3730" s="90">
        <v>45112.786087962966</v>
      </c>
      <c r="AG3730" s="99">
        <v>45112</v>
      </c>
      <c r="AH3730" s="93" t="s">
        <v>14831</v>
      </c>
      <c r="AI3730" s="87" t="b">
        <v>0</v>
      </c>
      <c r="AJ3730" s="87"/>
      <c r="AK3730" s="87"/>
      <c r="AL3730" s="87"/>
      <c r="AM3730" s="87"/>
      <c r="AN3730" s="87"/>
      <c r="AO3730" s="87"/>
      <c r="AP3730" s="87"/>
      <c r="AQ3730" s="87" t="s">
        <v>17964</v>
      </c>
      <c r="AR3730" s="87">
        <v>59880</v>
      </c>
      <c r="AS3730" s="87"/>
      <c r="AT3730" s="87"/>
      <c r="AU3730" s="87"/>
      <c r="AV3730" s="92" t="str">
        <f>HYPERLINK("https://pbs.twimg.com/ext_tw_video_thumb/1676663089301803009/pu/img/A72YEdGN6ELFyg0M.jpg")</f>
        <v>https://pbs.twimg.com/ext_tw_video_thumb/1676663089301803009/pu/img/A72YEdGN6ELFyg0M.jpg</v>
      </c>
      <c r="AW3730" s="93" t="s">
        <v>21853</v>
      </c>
      <c r="AX3730" s="93" t="s">
        <v>21853</v>
      </c>
      <c r="AY3730" s="87"/>
      <c r="AZ3730" s="93" t="s">
        <v>22668</v>
      </c>
      <c r="BA3730" s="93" t="s">
        <v>22668</v>
      </c>
      <c r="BB3730" s="93" t="s">
        <v>22668</v>
      </c>
      <c r="BC3730" s="93" t="s">
        <v>21853</v>
      </c>
      <c r="BD3730" s="87">
        <v>16885359</v>
      </c>
      <c r="BE3730" s="87"/>
      <c r="BF3730" s="87"/>
      <c r="BG3730" s="87"/>
      <c r="BH3730" s="87"/>
      <c r="BI3730" s="87"/>
    </row>
    <row r="3731" spans="1:61" x14ac:dyDescent="0.25">
      <c r="A3731" s="63" t="s">
        <v>1435</v>
      </c>
      <c r="B3731" s="63" t="s">
        <v>1813</v>
      </c>
      <c r="C3731" s="64"/>
      <c r="D3731" s="65"/>
      <c r="E3731" s="66"/>
      <c r="F3731" s="67"/>
      <c r="G3731" s="64"/>
      <c r="H3731" s="68"/>
      <c r="I3731" s="69"/>
      <c r="J3731" s="69"/>
      <c r="K3731" s="32"/>
      <c r="L3731" s="76">
        <v>3731</v>
      </c>
      <c r="M3731" s="76"/>
      <c r="N3731" s="71"/>
      <c r="O3731" s="87" t="s">
        <v>1839</v>
      </c>
      <c r="P3731" s="90">
        <v>45112.786087962966</v>
      </c>
      <c r="Q3731" s="87" t="s">
        <v>5397</v>
      </c>
      <c r="R3731" s="87">
        <v>0</v>
      </c>
      <c r="S3731" s="87">
        <v>6</v>
      </c>
      <c r="T3731" s="87">
        <v>0</v>
      </c>
      <c r="U3731" s="87">
        <v>3</v>
      </c>
      <c r="V3731" s="87">
        <v>2177</v>
      </c>
      <c r="W3731" s="93" t="s">
        <v>5897</v>
      </c>
      <c r="X3731" s="87"/>
      <c r="Y3731" s="87"/>
      <c r="Z3731" s="87" t="s">
        <v>8620</v>
      </c>
      <c r="AA3731" s="87" t="s">
        <v>11152</v>
      </c>
      <c r="AB3731" s="87" t="s">
        <v>11447</v>
      </c>
      <c r="AC3731" s="93" t="s">
        <v>11457</v>
      </c>
      <c r="AD3731" s="87" t="s">
        <v>11519</v>
      </c>
      <c r="AE3731" s="92" t="str">
        <f>HYPERLINK("https://twitter.com/finep/status/1676665236718272513")</f>
        <v>https://twitter.com/finep/status/1676665236718272513</v>
      </c>
      <c r="AF3731" s="90">
        <v>45112.786087962966</v>
      </c>
      <c r="AG3731" s="99">
        <v>45112</v>
      </c>
      <c r="AH3731" s="93" t="s">
        <v>14831</v>
      </c>
      <c r="AI3731" s="87" t="b">
        <v>0</v>
      </c>
      <c r="AJ3731" s="87"/>
      <c r="AK3731" s="87"/>
      <c r="AL3731" s="87"/>
      <c r="AM3731" s="87"/>
      <c r="AN3731" s="87"/>
      <c r="AO3731" s="87"/>
      <c r="AP3731" s="87"/>
      <c r="AQ3731" s="87" t="s">
        <v>17964</v>
      </c>
      <c r="AR3731" s="87">
        <v>59880</v>
      </c>
      <c r="AS3731" s="87"/>
      <c r="AT3731" s="87"/>
      <c r="AU3731" s="87"/>
      <c r="AV3731" s="92" t="str">
        <f>HYPERLINK("https://pbs.twimg.com/ext_tw_video_thumb/1676663089301803009/pu/img/A72YEdGN6ELFyg0M.jpg")</f>
        <v>https://pbs.twimg.com/ext_tw_video_thumb/1676663089301803009/pu/img/A72YEdGN6ELFyg0M.jpg</v>
      </c>
      <c r="AW3731" s="93" t="s">
        <v>21853</v>
      </c>
      <c r="AX3731" s="93" t="s">
        <v>21853</v>
      </c>
      <c r="AY3731" s="87"/>
      <c r="AZ3731" s="93" t="s">
        <v>22668</v>
      </c>
      <c r="BA3731" s="93" t="s">
        <v>22668</v>
      </c>
      <c r="BB3731" s="93" t="s">
        <v>22668</v>
      </c>
      <c r="BC3731" s="93" t="s">
        <v>21853</v>
      </c>
      <c r="BD3731" s="87">
        <v>16885359</v>
      </c>
      <c r="BE3731" s="87"/>
      <c r="BF3731" s="87"/>
      <c r="BG3731" s="87"/>
      <c r="BH3731" s="87"/>
      <c r="BI3731" s="87"/>
    </row>
    <row r="3732" spans="1:61" x14ac:dyDescent="0.25">
      <c r="A3732" s="63" t="s">
        <v>1435</v>
      </c>
      <c r="B3732" s="63" t="s">
        <v>1814</v>
      </c>
      <c r="C3732" s="64"/>
      <c r="D3732" s="65"/>
      <c r="E3732" s="66"/>
      <c r="F3732" s="67"/>
      <c r="G3732" s="64"/>
      <c r="H3732" s="68"/>
      <c r="I3732" s="69"/>
      <c r="J3732" s="69"/>
      <c r="K3732" s="32"/>
      <c r="L3732" s="76">
        <v>3732</v>
      </c>
      <c r="M3732" s="76"/>
      <c r="N3732" s="71"/>
      <c r="O3732" s="87" t="s">
        <v>1839</v>
      </c>
      <c r="P3732" s="90">
        <v>45112.786087962966</v>
      </c>
      <c r="Q3732" s="87" t="s">
        <v>5397</v>
      </c>
      <c r="R3732" s="87">
        <v>0</v>
      </c>
      <c r="S3732" s="87">
        <v>6</v>
      </c>
      <c r="T3732" s="87">
        <v>0</v>
      </c>
      <c r="U3732" s="87">
        <v>3</v>
      </c>
      <c r="V3732" s="87">
        <v>2177</v>
      </c>
      <c r="W3732" s="93" t="s">
        <v>5897</v>
      </c>
      <c r="X3732" s="87"/>
      <c r="Y3732" s="87"/>
      <c r="Z3732" s="87" t="s">
        <v>8620</v>
      </c>
      <c r="AA3732" s="87" t="s">
        <v>11152</v>
      </c>
      <c r="AB3732" s="87" t="s">
        <v>11447</v>
      </c>
      <c r="AC3732" s="93" t="s">
        <v>11457</v>
      </c>
      <c r="AD3732" s="87" t="s">
        <v>11519</v>
      </c>
      <c r="AE3732" s="92" t="str">
        <f>HYPERLINK("https://twitter.com/finep/status/1676665236718272513")</f>
        <v>https://twitter.com/finep/status/1676665236718272513</v>
      </c>
      <c r="AF3732" s="90">
        <v>45112.786087962966</v>
      </c>
      <c r="AG3732" s="99">
        <v>45112</v>
      </c>
      <c r="AH3732" s="93" t="s">
        <v>14831</v>
      </c>
      <c r="AI3732" s="87" t="b">
        <v>0</v>
      </c>
      <c r="AJ3732" s="87"/>
      <c r="AK3732" s="87"/>
      <c r="AL3732" s="87"/>
      <c r="AM3732" s="87"/>
      <c r="AN3732" s="87"/>
      <c r="AO3732" s="87"/>
      <c r="AP3732" s="87"/>
      <c r="AQ3732" s="87" t="s">
        <v>17964</v>
      </c>
      <c r="AR3732" s="87">
        <v>59880</v>
      </c>
      <c r="AS3732" s="87"/>
      <c r="AT3732" s="87"/>
      <c r="AU3732" s="87"/>
      <c r="AV3732" s="92" t="str">
        <f>HYPERLINK("https://pbs.twimg.com/ext_tw_video_thumb/1676663089301803009/pu/img/A72YEdGN6ELFyg0M.jpg")</f>
        <v>https://pbs.twimg.com/ext_tw_video_thumb/1676663089301803009/pu/img/A72YEdGN6ELFyg0M.jpg</v>
      </c>
      <c r="AW3732" s="93" t="s">
        <v>21853</v>
      </c>
      <c r="AX3732" s="93" t="s">
        <v>21853</v>
      </c>
      <c r="AY3732" s="87"/>
      <c r="AZ3732" s="93" t="s">
        <v>22668</v>
      </c>
      <c r="BA3732" s="93" t="s">
        <v>22668</v>
      </c>
      <c r="BB3732" s="93" t="s">
        <v>22668</v>
      </c>
      <c r="BC3732" s="93" t="s">
        <v>21853</v>
      </c>
      <c r="BD3732" s="87">
        <v>16885359</v>
      </c>
      <c r="BE3732" s="87"/>
      <c r="BF3732" s="87"/>
      <c r="BG3732" s="87"/>
      <c r="BH3732" s="87"/>
      <c r="BI3732" s="87"/>
    </row>
    <row r="3733" spans="1:61" x14ac:dyDescent="0.25">
      <c r="A3733" s="63" t="s">
        <v>1435</v>
      </c>
      <c r="B3733" s="63" t="s">
        <v>1815</v>
      </c>
      <c r="C3733" s="64"/>
      <c r="D3733" s="65"/>
      <c r="E3733" s="66"/>
      <c r="F3733" s="67"/>
      <c r="G3733" s="64"/>
      <c r="H3733" s="68"/>
      <c r="I3733" s="69"/>
      <c r="J3733" s="69"/>
      <c r="K3733" s="32"/>
      <c r="L3733" s="76">
        <v>3733</v>
      </c>
      <c r="M3733" s="76"/>
      <c r="N3733" s="71"/>
      <c r="O3733" s="87" t="s">
        <v>1839</v>
      </c>
      <c r="P3733" s="90">
        <v>45124.858796296299</v>
      </c>
      <c r="Q3733" s="87" t="s">
        <v>5398</v>
      </c>
      <c r="R3733" s="87">
        <v>0</v>
      </c>
      <c r="S3733" s="87">
        <v>2</v>
      </c>
      <c r="T3733" s="87">
        <v>0</v>
      </c>
      <c r="U3733" s="87">
        <v>0</v>
      </c>
      <c r="V3733" s="87">
        <v>438</v>
      </c>
      <c r="W3733" s="93" t="s">
        <v>8030</v>
      </c>
      <c r="X3733" s="92" t="str">
        <f>HYPERLINK("https://forms.office.com/r/Ehj4QGshsC")</f>
        <v>https://forms.office.com/r/Ehj4QGshsC</v>
      </c>
      <c r="Y3733" s="87" t="s">
        <v>8539</v>
      </c>
      <c r="Z3733" s="87" t="s">
        <v>8621</v>
      </c>
      <c r="AA3733" s="87" t="s">
        <v>11153</v>
      </c>
      <c r="AB3733" s="87" t="s">
        <v>11448</v>
      </c>
      <c r="AC3733" s="93" t="s">
        <v>11457</v>
      </c>
      <c r="AD3733" s="87" t="s">
        <v>11519</v>
      </c>
      <c r="AE3733" s="92" t="str">
        <f>HYPERLINK("https://twitter.com/finep/status/1681040242910937088")</f>
        <v>https://twitter.com/finep/status/1681040242910937088</v>
      </c>
      <c r="AF3733" s="90">
        <v>45124.858796296299</v>
      </c>
      <c r="AG3733" s="99">
        <v>45124</v>
      </c>
      <c r="AH3733" s="93" t="s">
        <v>14832</v>
      </c>
      <c r="AI3733" s="87" t="b">
        <v>0</v>
      </c>
      <c r="AJ3733" s="87"/>
      <c r="AK3733" s="87"/>
      <c r="AL3733" s="87"/>
      <c r="AM3733" s="87"/>
      <c r="AN3733" s="87"/>
      <c r="AO3733" s="87"/>
      <c r="AP3733" s="87"/>
      <c r="AQ3733" s="87" t="s">
        <v>17965</v>
      </c>
      <c r="AR3733" s="87"/>
      <c r="AS3733" s="87"/>
      <c r="AT3733" s="87"/>
      <c r="AU3733" s="87"/>
      <c r="AV3733" s="92" t="str">
        <f>HYPERLINK("https://pbs.twimg.com/media/F1RAXWdX0AAW7Vw.jpg")</f>
        <v>https://pbs.twimg.com/media/F1RAXWdX0AAW7Vw.jpg</v>
      </c>
      <c r="AW3733" s="93" t="s">
        <v>21854</v>
      </c>
      <c r="AX3733" s="93" t="s">
        <v>21854</v>
      </c>
      <c r="AY3733" s="87"/>
      <c r="AZ3733" s="93" t="s">
        <v>22668</v>
      </c>
      <c r="BA3733" s="93" t="s">
        <v>22668</v>
      </c>
      <c r="BB3733" s="93" t="s">
        <v>22668</v>
      </c>
      <c r="BC3733" s="93" t="s">
        <v>21854</v>
      </c>
      <c r="BD3733" s="87">
        <v>16885359</v>
      </c>
      <c r="BE3733" s="87"/>
      <c r="BF3733" s="87"/>
      <c r="BG3733" s="87"/>
      <c r="BH3733" s="87"/>
      <c r="BI3733" s="87"/>
    </row>
    <row r="3734" spans="1:61" x14ac:dyDescent="0.25">
      <c r="A3734" s="63" t="s">
        <v>1435</v>
      </c>
      <c r="B3734" s="63" t="s">
        <v>1816</v>
      </c>
      <c r="C3734" s="64"/>
      <c r="D3734" s="65"/>
      <c r="E3734" s="66"/>
      <c r="F3734" s="67"/>
      <c r="G3734" s="64"/>
      <c r="H3734" s="68"/>
      <c r="I3734" s="69"/>
      <c r="J3734" s="69"/>
      <c r="K3734" s="32"/>
      <c r="L3734" s="76">
        <v>3734</v>
      </c>
      <c r="M3734" s="76"/>
      <c r="N3734" s="71"/>
      <c r="O3734" s="87" t="s">
        <v>1839</v>
      </c>
      <c r="P3734" s="90">
        <v>45124.858796296299</v>
      </c>
      <c r="Q3734" s="87" t="s">
        <v>5398</v>
      </c>
      <c r="R3734" s="87">
        <v>0</v>
      </c>
      <c r="S3734" s="87">
        <v>2</v>
      </c>
      <c r="T3734" s="87">
        <v>0</v>
      </c>
      <c r="U3734" s="87">
        <v>0</v>
      </c>
      <c r="V3734" s="87">
        <v>438</v>
      </c>
      <c r="W3734" s="93" t="s">
        <v>8030</v>
      </c>
      <c r="X3734" s="92" t="str">
        <f>HYPERLINK("https://forms.office.com/r/Ehj4QGshsC")</f>
        <v>https://forms.office.com/r/Ehj4QGshsC</v>
      </c>
      <c r="Y3734" s="87" t="s">
        <v>8539</v>
      </c>
      <c r="Z3734" s="87" t="s">
        <v>8621</v>
      </c>
      <c r="AA3734" s="87" t="s">
        <v>11153</v>
      </c>
      <c r="AB3734" s="87" t="s">
        <v>11448</v>
      </c>
      <c r="AC3734" s="93" t="s">
        <v>11457</v>
      </c>
      <c r="AD3734" s="87" t="s">
        <v>11519</v>
      </c>
      <c r="AE3734" s="92" t="str">
        <f>HYPERLINK("https://twitter.com/finep/status/1681040242910937088")</f>
        <v>https://twitter.com/finep/status/1681040242910937088</v>
      </c>
      <c r="AF3734" s="90">
        <v>45124.858796296299</v>
      </c>
      <c r="AG3734" s="99">
        <v>45124</v>
      </c>
      <c r="AH3734" s="93" t="s">
        <v>14832</v>
      </c>
      <c r="AI3734" s="87" t="b">
        <v>0</v>
      </c>
      <c r="AJ3734" s="87"/>
      <c r="AK3734" s="87"/>
      <c r="AL3734" s="87"/>
      <c r="AM3734" s="87"/>
      <c r="AN3734" s="87"/>
      <c r="AO3734" s="87"/>
      <c r="AP3734" s="87"/>
      <c r="AQ3734" s="87" t="s">
        <v>17965</v>
      </c>
      <c r="AR3734" s="87"/>
      <c r="AS3734" s="87"/>
      <c r="AT3734" s="87"/>
      <c r="AU3734" s="87"/>
      <c r="AV3734" s="92" t="str">
        <f>HYPERLINK("https://pbs.twimg.com/media/F1RAXWdX0AAW7Vw.jpg")</f>
        <v>https://pbs.twimg.com/media/F1RAXWdX0AAW7Vw.jpg</v>
      </c>
      <c r="AW3734" s="93" t="s">
        <v>21854</v>
      </c>
      <c r="AX3734" s="93" t="s">
        <v>21854</v>
      </c>
      <c r="AY3734" s="87"/>
      <c r="AZ3734" s="93" t="s">
        <v>22668</v>
      </c>
      <c r="BA3734" s="93" t="s">
        <v>22668</v>
      </c>
      <c r="BB3734" s="93" t="s">
        <v>22668</v>
      </c>
      <c r="BC3734" s="93" t="s">
        <v>21854</v>
      </c>
      <c r="BD3734" s="87">
        <v>16885359</v>
      </c>
      <c r="BE3734" s="87"/>
      <c r="BF3734" s="87"/>
      <c r="BG3734" s="87"/>
      <c r="BH3734" s="87"/>
      <c r="BI3734" s="87"/>
    </row>
    <row r="3735" spans="1:61" x14ac:dyDescent="0.25">
      <c r="A3735" s="63" t="s">
        <v>1435</v>
      </c>
      <c r="B3735" s="63" t="s">
        <v>1817</v>
      </c>
      <c r="C3735" s="64"/>
      <c r="D3735" s="65"/>
      <c r="E3735" s="66"/>
      <c r="F3735" s="67"/>
      <c r="G3735" s="64"/>
      <c r="H3735" s="68"/>
      <c r="I3735" s="69"/>
      <c r="J3735" s="69"/>
      <c r="K3735" s="32"/>
      <c r="L3735" s="76">
        <v>3735</v>
      </c>
      <c r="M3735" s="76"/>
      <c r="N3735" s="71"/>
      <c r="O3735" s="87" t="s">
        <v>1839</v>
      </c>
      <c r="P3735" s="90">
        <v>45124.858796296299</v>
      </c>
      <c r="Q3735" s="87" t="s">
        <v>5398</v>
      </c>
      <c r="R3735" s="87">
        <v>0</v>
      </c>
      <c r="S3735" s="87">
        <v>2</v>
      </c>
      <c r="T3735" s="87">
        <v>0</v>
      </c>
      <c r="U3735" s="87">
        <v>0</v>
      </c>
      <c r="V3735" s="87">
        <v>438</v>
      </c>
      <c r="W3735" s="93" t="s">
        <v>8030</v>
      </c>
      <c r="X3735" s="92" t="str">
        <f>HYPERLINK("https://forms.office.com/r/Ehj4QGshsC")</f>
        <v>https://forms.office.com/r/Ehj4QGshsC</v>
      </c>
      <c r="Y3735" s="87" t="s">
        <v>8539</v>
      </c>
      <c r="Z3735" s="87" t="s">
        <v>8621</v>
      </c>
      <c r="AA3735" s="87" t="s">
        <v>11153</v>
      </c>
      <c r="AB3735" s="87" t="s">
        <v>11448</v>
      </c>
      <c r="AC3735" s="93" t="s">
        <v>11457</v>
      </c>
      <c r="AD3735" s="87" t="s">
        <v>11519</v>
      </c>
      <c r="AE3735" s="92" t="str">
        <f>HYPERLINK("https://twitter.com/finep/status/1681040242910937088")</f>
        <v>https://twitter.com/finep/status/1681040242910937088</v>
      </c>
      <c r="AF3735" s="90">
        <v>45124.858796296299</v>
      </c>
      <c r="AG3735" s="99">
        <v>45124</v>
      </c>
      <c r="AH3735" s="93" t="s">
        <v>14832</v>
      </c>
      <c r="AI3735" s="87" t="b">
        <v>0</v>
      </c>
      <c r="AJ3735" s="87"/>
      <c r="AK3735" s="87"/>
      <c r="AL3735" s="87"/>
      <c r="AM3735" s="87"/>
      <c r="AN3735" s="87"/>
      <c r="AO3735" s="87"/>
      <c r="AP3735" s="87"/>
      <c r="AQ3735" s="87" t="s">
        <v>17965</v>
      </c>
      <c r="AR3735" s="87"/>
      <c r="AS3735" s="87"/>
      <c r="AT3735" s="87"/>
      <c r="AU3735" s="87"/>
      <c r="AV3735" s="92" t="str">
        <f>HYPERLINK("https://pbs.twimg.com/media/F1RAXWdX0AAW7Vw.jpg")</f>
        <v>https://pbs.twimg.com/media/F1RAXWdX0AAW7Vw.jpg</v>
      </c>
      <c r="AW3735" s="93" t="s">
        <v>21854</v>
      </c>
      <c r="AX3735" s="93" t="s">
        <v>21854</v>
      </c>
      <c r="AY3735" s="87"/>
      <c r="AZ3735" s="93" t="s">
        <v>22668</v>
      </c>
      <c r="BA3735" s="93" t="s">
        <v>22668</v>
      </c>
      <c r="BB3735" s="93" t="s">
        <v>22668</v>
      </c>
      <c r="BC3735" s="93" t="s">
        <v>21854</v>
      </c>
      <c r="BD3735" s="87">
        <v>16885359</v>
      </c>
      <c r="BE3735" s="87"/>
      <c r="BF3735" s="87"/>
      <c r="BG3735" s="87"/>
      <c r="BH3735" s="87"/>
      <c r="BI3735" s="87"/>
    </row>
    <row r="3736" spans="1:61" x14ac:dyDescent="0.25">
      <c r="A3736" s="63" t="s">
        <v>1435</v>
      </c>
      <c r="B3736" s="63" t="s">
        <v>1818</v>
      </c>
      <c r="C3736" s="64"/>
      <c r="D3736" s="65"/>
      <c r="E3736" s="66"/>
      <c r="F3736" s="67"/>
      <c r="G3736" s="64"/>
      <c r="H3736" s="68"/>
      <c r="I3736" s="69"/>
      <c r="J3736" s="69"/>
      <c r="K3736" s="32"/>
      <c r="L3736" s="76">
        <v>3736</v>
      </c>
      <c r="M3736" s="76"/>
      <c r="N3736" s="71"/>
      <c r="O3736" s="87" t="s">
        <v>1839</v>
      </c>
      <c r="P3736" s="90">
        <v>45124.858796296299</v>
      </c>
      <c r="Q3736" s="87" t="s">
        <v>5398</v>
      </c>
      <c r="R3736" s="87">
        <v>0</v>
      </c>
      <c r="S3736" s="87">
        <v>2</v>
      </c>
      <c r="T3736" s="87">
        <v>0</v>
      </c>
      <c r="U3736" s="87">
        <v>0</v>
      </c>
      <c r="V3736" s="87">
        <v>438</v>
      </c>
      <c r="W3736" s="93" t="s">
        <v>8030</v>
      </c>
      <c r="X3736" s="92" t="str">
        <f>HYPERLINK("https://forms.office.com/r/Ehj4QGshsC")</f>
        <v>https://forms.office.com/r/Ehj4QGshsC</v>
      </c>
      <c r="Y3736" s="87" t="s">
        <v>8539</v>
      </c>
      <c r="Z3736" s="87" t="s">
        <v>8621</v>
      </c>
      <c r="AA3736" s="87" t="s">
        <v>11153</v>
      </c>
      <c r="AB3736" s="87" t="s">
        <v>11448</v>
      </c>
      <c r="AC3736" s="93" t="s">
        <v>11457</v>
      </c>
      <c r="AD3736" s="87" t="s">
        <v>11519</v>
      </c>
      <c r="AE3736" s="92" t="str">
        <f>HYPERLINK("https://twitter.com/finep/status/1681040242910937088")</f>
        <v>https://twitter.com/finep/status/1681040242910937088</v>
      </c>
      <c r="AF3736" s="90">
        <v>45124.858796296299</v>
      </c>
      <c r="AG3736" s="99">
        <v>45124</v>
      </c>
      <c r="AH3736" s="93" t="s">
        <v>14832</v>
      </c>
      <c r="AI3736" s="87" t="b">
        <v>0</v>
      </c>
      <c r="AJ3736" s="87"/>
      <c r="AK3736" s="87"/>
      <c r="AL3736" s="87"/>
      <c r="AM3736" s="87"/>
      <c r="AN3736" s="87"/>
      <c r="AO3736" s="87"/>
      <c r="AP3736" s="87"/>
      <c r="AQ3736" s="87" t="s">
        <v>17965</v>
      </c>
      <c r="AR3736" s="87"/>
      <c r="AS3736" s="87"/>
      <c r="AT3736" s="87"/>
      <c r="AU3736" s="87"/>
      <c r="AV3736" s="92" t="str">
        <f>HYPERLINK("https://pbs.twimg.com/media/F1RAXWdX0AAW7Vw.jpg")</f>
        <v>https://pbs.twimg.com/media/F1RAXWdX0AAW7Vw.jpg</v>
      </c>
      <c r="AW3736" s="93" t="s">
        <v>21854</v>
      </c>
      <c r="AX3736" s="93" t="s">
        <v>21854</v>
      </c>
      <c r="AY3736" s="87"/>
      <c r="AZ3736" s="93" t="s">
        <v>22668</v>
      </c>
      <c r="BA3736" s="93" t="s">
        <v>22668</v>
      </c>
      <c r="BB3736" s="93" t="s">
        <v>22668</v>
      </c>
      <c r="BC3736" s="93" t="s">
        <v>21854</v>
      </c>
      <c r="BD3736" s="87">
        <v>16885359</v>
      </c>
      <c r="BE3736" s="87"/>
      <c r="BF3736" s="87"/>
      <c r="BG3736" s="87"/>
      <c r="BH3736" s="87"/>
      <c r="BI3736" s="87"/>
    </row>
    <row r="3737" spans="1:61" x14ac:dyDescent="0.25">
      <c r="A3737" s="63" t="s">
        <v>1436</v>
      </c>
      <c r="B3737" s="63" t="s">
        <v>1436</v>
      </c>
      <c r="C3737" s="64"/>
      <c r="D3737" s="65"/>
      <c r="E3737" s="66"/>
      <c r="F3737" s="67"/>
      <c r="G3737" s="64"/>
      <c r="H3737" s="68"/>
      <c r="I3737" s="69"/>
      <c r="J3737" s="69"/>
      <c r="K3737" s="32"/>
      <c r="L3737" s="76">
        <v>3737</v>
      </c>
      <c r="M3737" s="76"/>
      <c r="N3737" s="71"/>
      <c r="O3737" s="87" t="s">
        <v>179</v>
      </c>
      <c r="P3737" s="90">
        <v>45112.626388888886</v>
      </c>
      <c r="Q3737" s="87" t="s">
        <v>5399</v>
      </c>
      <c r="R3737" s="87">
        <v>2</v>
      </c>
      <c r="S3737" s="87">
        <v>0</v>
      </c>
      <c r="T3737" s="87">
        <v>0</v>
      </c>
      <c r="U3737" s="87">
        <v>0</v>
      </c>
      <c r="V3737" s="87">
        <v>358</v>
      </c>
      <c r="W3737" s="93" t="s">
        <v>8031</v>
      </c>
      <c r="X3737" s="92" t="str">
        <f>HYPERLINK("https://www.youtube.com/parqueTecnologicodaUFRJ")</f>
        <v>https://www.youtube.com/parqueTecnologicodaUFRJ</v>
      </c>
      <c r="Y3737" s="87" t="s">
        <v>8380</v>
      </c>
      <c r="Z3737" s="87"/>
      <c r="AA3737" s="87" t="s">
        <v>11154</v>
      </c>
      <c r="AB3737" s="87" t="s">
        <v>11448</v>
      </c>
      <c r="AC3737" s="93" t="s">
        <v>11457</v>
      </c>
      <c r="AD3737" s="87" t="s">
        <v>11519</v>
      </c>
      <c r="AE3737" s="92" t="str">
        <f>HYPERLINK("https://twitter.com/faperj/status/1676607365217411073")</f>
        <v>https://twitter.com/faperj/status/1676607365217411073</v>
      </c>
      <c r="AF3737" s="90">
        <v>45112.626388888886</v>
      </c>
      <c r="AG3737" s="99">
        <v>45112</v>
      </c>
      <c r="AH3737" s="93" t="s">
        <v>11688</v>
      </c>
      <c r="AI3737" s="87" t="b">
        <v>0</v>
      </c>
      <c r="AJ3737" s="87"/>
      <c r="AK3737" s="87"/>
      <c r="AL3737" s="87"/>
      <c r="AM3737" s="87"/>
      <c r="AN3737" s="87"/>
      <c r="AO3737" s="87"/>
      <c r="AP3737" s="87"/>
      <c r="AQ3737" s="87" t="s">
        <v>17966</v>
      </c>
      <c r="AR3737" s="87"/>
      <c r="AS3737" s="87"/>
      <c r="AT3737" s="87"/>
      <c r="AU3737" s="87"/>
      <c r="AV3737" s="92" t="str">
        <f>HYPERLINK("https://pbs.twimg.com/media/F0NgeshWIA8DSbY.jpg")</f>
        <v>https://pbs.twimg.com/media/F0NgeshWIA8DSbY.jpg</v>
      </c>
      <c r="AW3737" s="93" t="s">
        <v>21855</v>
      </c>
      <c r="AX3737" s="93" t="s">
        <v>21855</v>
      </c>
      <c r="AY3737" s="87"/>
      <c r="AZ3737" s="93" t="s">
        <v>22668</v>
      </c>
      <c r="BA3737" s="93" t="s">
        <v>22668</v>
      </c>
      <c r="BB3737" s="93" t="s">
        <v>22668</v>
      </c>
      <c r="BC3737" s="93" t="s">
        <v>21855</v>
      </c>
      <c r="BD3737" s="87">
        <v>229271011</v>
      </c>
      <c r="BE3737" s="87"/>
      <c r="BF3737" s="87"/>
      <c r="BG3737" s="87"/>
      <c r="BH3737" s="87"/>
      <c r="BI3737" s="87"/>
    </row>
    <row r="3738" spans="1:61" x14ac:dyDescent="0.25">
      <c r="A3738" s="63" t="s">
        <v>1435</v>
      </c>
      <c r="B3738" s="63" t="s">
        <v>1436</v>
      </c>
      <c r="C3738" s="64"/>
      <c r="D3738" s="65"/>
      <c r="E3738" s="66"/>
      <c r="F3738" s="67"/>
      <c r="G3738" s="64"/>
      <c r="H3738" s="68"/>
      <c r="I3738" s="69"/>
      <c r="J3738" s="69"/>
      <c r="K3738" s="32"/>
      <c r="L3738" s="76">
        <v>3738</v>
      </c>
      <c r="M3738" s="76"/>
      <c r="N3738" s="71"/>
      <c r="O3738" s="87" t="s">
        <v>1839</v>
      </c>
      <c r="P3738" s="90">
        <v>45112.786087962966</v>
      </c>
      <c r="Q3738" s="87" t="s">
        <v>5397</v>
      </c>
      <c r="R3738" s="87">
        <v>0</v>
      </c>
      <c r="S3738" s="87">
        <v>6</v>
      </c>
      <c r="T3738" s="87">
        <v>0</v>
      </c>
      <c r="U3738" s="87">
        <v>3</v>
      </c>
      <c r="V3738" s="87">
        <v>2177</v>
      </c>
      <c r="W3738" s="93" t="s">
        <v>5897</v>
      </c>
      <c r="X3738" s="87"/>
      <c r="Y3738" s="87"/>
      <c r="Z3738" s="87" t="s">
        <v>8620</v>
      </c>
      <c r="AA3738" s="87" t="s">
        <v>11152</v>
      </c>
      <c r="AB3738" s="87" t="s">
        <v>11447</v>
      </c>
      <c r="AC3738" s="93" t="s">
        <v>11457</v>
      </c>
      <c r="AD3738" s="87" t="s">
        <v>11519</v>
      </c>
      <c r="AE3738" s="92" t="str">
        <f>HYPERLINK("https://twitter.com/finep/status/1676665236718272513")</f>
        <v>https://twitter.com/finep/status/1676665236718272513</v>
      </c>
      <c r="AF3738" s="90">
        <v>45112.786087962966</v>
      </c>
      <c r="AG3738" s="99">
        <v>45112</v>
      </c>
      <c r="AH3738" s="93" t="s">
        <v>14831</v>
      </c>
      <c r="AI3738" s="87" t="b">
        <v>0</v>
      </c>
      <c r="AJ3738" s="87"/>
      <c r="AK3738" s="87"/>
      <c r="AL3738" s="87"/>
      <c r="AM3738" s="87"/>
      <c r="AN3738" s="87"/>
      <c r="AO3738" s="87"/>
      <c r="AP3738" s="87"/>
      <c r="AQ3738" s="87" t="s">
        <v>17964</v>
      </c>
      <c r="AR3738" s="87">
        <v>59880</v>
      </c>
      <c r="AS3738" s="87"/>
      <c r="AT3738" s="87"/>
      <c r="AU3738" s="87"/>
      <c r="AV3738" s="92" t="str">
        <f>HYPERLINK("https://pbs.twimg.com/ext_tw_video_thumb/1676663089301803009/pu/img/A72YEdGN6ELFyg0M.jpg")</f>
        <v>https://pbs.twimg.com/ext_tw_video_thumb/1676663089301803009/pu/img/A72YEdGN6ELFyg0M.jpg</v>
      </c>
      <c r="AW3738" s="93" t="s">
        <v>21853</v>
      </c>
      <c r="AX3738" s="93" t="s">
        <v>21853</v>
      </c>
      <c r="AY3738" s="87"/>
      <c r="AZ3738" s="93" t="s">
        <v>22668</v>
      </c>
      <c r="BA3738" s="93" t="s">
        <v>22668</v>
      </c>
      <c r="BB3738" s="93" t="s">
        <v>22668</v>
      </c>
      <c r="BC3738" s="93" t="s">
        <v>21853</v>
      </c>
      <c r="BD3738" s="87">
        <v>16885359</v>
      </c>
      <c r="BE3738" s="87"/>
      <c r="BF3738" s="87"/>
      <c r="BG3738" s="87"/>
      <c r="BH3738" s="87"/>
      <c r="BI3738" s="87"/>
    </row>
    <row r="3739" spans="1:61" x14ac:dyDescent="0.25">
      <c r="A3739" s="63" t="s">
        <v>1435</v>
      </c>
      <c r="B3739" s="63" t="s">
        <v>1436</v>
      </c>
      <c r="C3739" s="64"/>
      <c r="D3739" s="65"/>
      <c r="E3739" s="66"/>
      <c r="F3739" s="67"/>
      <c r="G3739" s="64"/>
      <c r="H3739" s="68"/>
      <c r="I3739" s="69"/>
      <c r="J3739" s="69"/>
      <c r="K3739" s="32"/>
      <c r="L3739" s="76">
        <v>3739</v>
      </c>
      <c r="M3739" s="76"/>
      <c r="N3739" s="71"/>
      <c r="O3739" s="87" t="s">
        <v>1844</v>
      </c>
      <c r="P3739" s="90">
        <v>45113.704074074078</v>
      </c>
      <c r="Q3739" s="87" t="s">
        <v>5400</v>
      </c>
      <c r="R3739" s="87">
        <v>0</v>
      </c>
      <c r="S3739" s="87">
        <v>2</v>
      </c>
      <c r="T3739" s="87">
        <v>0</v>
      </c>
      <c r="U3739" s="87">
        <v>0</v>
      </c>
      <c r="V3739" s="87">
        <v>157</v>
      </c>
      <c r="W3739" s="93" t="s">
        <v>8032</v>
      </c>
      <c r="X3739" s="87"/>
      <c r="Y3739" s="87"/>
      <c r="Z3739" s="87" t="s">
        <v>8622</v>
      </c>
      <c r="AA3739" s="87"/>
      <c r="AB3739" s="87"/>
      <c r="AC3739" s="93" t="s">
        <v>11457</v>
      </c>
      <c r="AD3739" s="87" t="s">
        <v>11520</v>
      </c>
      <c r="AE3739" s="92" t="str">
        <f>HYPERLINK("https://twitter.com/finep/status/1676997905381568513")</f>
        <v>https://twitter.com/finep/status/1676997905381568513</v>
      </c>
      <c r="AF3739" s="90">
        <v>45113.704074074078</v>
      </c>
      <c r="AG3739" s="99">
        <v>45113</v>
      </c>
      <c r="AH3739" s="93" t="s">
        <v>14833</v>
      </c>
      <c r="AI3739" s="87"/>
      <c r="AJ3739" s="87"/>
      <c r="AK3739" s="87"/>
      <c r="AL3739" s="87"/>
      <c r="AM3739" s="87"/>
      <c r="AN3739" s="87"/>
      <c r="AO3739" s="87"/>
      <c r="AP3739" s="87"/>
      <c r="AQ3739" s="87"/>
      <c r="AR3739" s="87"/>
      <c r="AS3739" s="87"/>
      <c r="AT3739" s="87"/>
      <c r="AU3739" s="87"/>
      <c r="AV3739" s="92" t="str">
        <f>HYPERLINK("https://pbs.twimg.com/profile_images/1675842383664107520/0wR96J46_normal.jpg")</f>
        <v>https://pbs.twimg.com/profile_images/1675842383664107520/0wR96J46_normal.jpg</v>
      </c>
      <c r="AW3739" s="93" t="s">
        <v>21856</v>
      </c>
      <c r="AX3739" s="93" t="s">
        <v>22485</v>
      </c>
      <c r="AY3739" s="93" t="s">
        <v>22647</v>
      </c>
      <c r="AZ3739" s="93" t="s">
        <v>22770</v>
      </c>
      <c r="BA3739" s="93" t="s">
        <v>22668</v>
      </c>
      <c r="BB3739" s="93" t="s">
        <v>22668</v>
      </c>
      <c r="BC3739" s="93" t="s">
        <v>22770</v>
      </c>
      <c r="BD3739" s="87">
        <v>16885359</v>
      </c>
      <c r="BE3739" s="87"/>
      <c r="BF3739" s="87"/>
      <c r="BG3739" s="87"/>
      <c r="BH3739" s="87"/>
      <c r="BI3739" s="87"/>
    </row>
    <row r="3740" spans="1:61" x14ac:dyDescent="0.25">
      <c r="A3740" s="63" t="s">
        <v>1437</v>
      </c>
      <c r="B3740" s="63" t="s">
        <v>1753</v>
      </c>
      <c r="C3740" s="64"/>
      <c r="D3740" s="65"/>
      <c r="E3740" s="66"/>
      <c r="F3740" s="67"/>
      <c r="G3740" s="64"/>
      <c r="H3740" s="68"/>
      <c r="I3740" s="69"/>
      <c r="J3740" s="69"/>
      <c r="K3740" s="32"/>
      <c r="L3740" s="76">
        <v>3740</v>
      </c>
      <c r="M3740" s="76"/>
      <c r="N3740" s="71"/>
      <c r="O3740" s="87" t="s">
        <v>1839</v>
      </c>
      <c r="P3740" s="90">
        <v>45154.795138888891</v>
      </c>
      <c r="Q3740" s="87" t="s">
        <v>5401</v>
      </c>
      <c r="R3740" s="87">
        <v>1</v>
      </c>
      <c r="S3740" s="87">
        <v>3</v>
      </c>
      <c r="T3740" s="87">
        <v>0</v>
      </c>
      <c r="U3740" s="87">
        <v>0</v>
      </c>
      <c r="V3740" s="87">
        <v>411</v>
      </c>
      <c r="W3740" s="93" t="s">
        <v>5897</v>
      </c>
      <c r="X3740" s="92" t="str">
        <f>HYPERLINK("https://ufrn.br/imprensa/noticias/73611/ufrn-participa-de-audiencia-no-mcti-sobre-o-pax")</f>
        <v>https://ufrn.br/imprensa/noticias/73611/ufrn-participa-de-audiencia-no-mcti-sobre-o-pax</v>
      </c>
      <c r="Y3740" s="87" t="s">
        <v>8540</v>
      </c>
      <c r="Z3740" s="87" t="s">
        <v>1753</v>
      </c>
      <c r="AA3740" s="87" t="s">
        <v>11155</v>
      </c>
      <c r="AB3740" s="87" t="s">
        <v>11448</v>
      </c>
      <c r="AC3740" s="93" t="s">
        <v>11457</v>
      </c>
      <c r="AD3740" s="87" t="s">
        <v>11519</v>
      </c>
      <c r="AE3740" s="92" t="str">
        <f>HYPERLINK("https://twitter.com/ufrnbr/status/1691888808227226100")</f>
        <v>https://twitter.com/ufrnbr/status/1691888808227226100</v>
      </c>
      <c r="AF3740" s="90">
        <v>45154.795138888891</v>
      </c>
      <c r="AG3740" s="99">
        <v>45154</v>
      </c>
      <c r="AH3740" s="93" t="s">
        <v>14834</v>
      </c>
      <c r="AI3740" s="87" t="b">
        <v>0</v>
      </c>
      <c r="AJ3740" s="87"/>
      <c r="AK3740" s="87"/>
      <c r="AL3740" s="87"/>
      <c r="AM3740" s="87"/>
      <c r="AN3740" s="87"/>
      <c r="AO3740" s="87"/>
      <c r="AP3740" s="87"/>
      <c r="AQ3740" s="87" t="s">
        <v>17967</v>
      </c>
      <c r="AR3740" s="87"/>
      <c r="AS3740" s="87"/>
      <c r="AT3740" s="87"/>
      <c r="AU3740" s="87"/>
      <c r="AV3740" s="92" t="str">
        <f>HYPERLINK("https://pbs.twimg.com/media/F3q5LP_XwAEc828.jpg")</f>
        <v>https://pbs.twimg.com/media/F3q5LP_XwAEc828.jpg</v>
      </c>
      <c r="AW3740" s="93" t="s">
        <v>21857</v>
      </c>
      <c r="AX3740" s="93" t="s">
        <v>21857</v>
      </c>
      <c r="AY3740" s="87"/>
      <c r="AZ3740" s="93" t="s">
        <v>22668</v>
      </c>
      <c r="BA3740" s="93" t="s">
        <v>22668</v>
      </c>
      <c r="BB3740" s="93" t="s">
        <v>22668</v>
      </c>
      <c r="BC3740" s="93" t="s">
        <v>21857</v>
      </c>
      <c r="BD3740" s="87">
        <v>80650908</v>
      </c>
      <c r="BE3740" s="87"/>
      <c r="BF3740" s="87"/>
      <c r="BG3740" s="87"/>
      <c r="BH3740" s="87"/>
      <c r="BI3740" s="87"/>
    </row>
    <row r="3741" spans="1:61" x14ac:dyDescent="0.25">
      <c r="A3741" s="63" t="s">
        <v>1435</v>
      </c>
      <c r="B3741" s="63" t="s">
        <v>1753</v>
      </c>
      <c r="C3741" s="64"/>
      <c r="D3741" s="65"/>
      <c r="E3741" s="66"/>
      <c r="F3741" s="67"/>
      <c r="G3741" s="64"/>
      <c r="H3741" s="68"/>
      <c r="I3741" s="69"/>
      <c r="J3741" s="69"/>
      <c r="K3741" s="32"/>
      <c r="L3741" s="76">
        <v>3741</v>
      </c>
      <c r="M3741" s="76"/>
      <c r="N3741" s="71"/>
      <c r="O3741" s="87" t="s">
        <v>1839</v>
      </c>
      <c r="P3741" s="90">
        <v>45112.786087962966</v>
      </c>
      <c r="Q3741" s="87" t="s">
        <v>5397</v>
      </c>
      <c r="R3741" s="87">
        <v>0</v>
      </c>
      <c r="S3741" s="87">
        <v>6</v>
      </c>
      <c r="T3741" s="87">
        <v>0</v>
      </c>
      <c r="U3741" s="87">
        <v>3</v>
      </c>
      <c r="V3741" s="87">
        <v>2177</v>
      </c>
      <c r="W3741" s="93" t="s">
        <v>5897</v>
      </c>
      <c r="X3741" s="87"/>
      <c r="Y3741" s="87"/>
      <c r="Z3741" s="87" t="s">
        <v>8620</v>
      </c>
      <c r="AA3741" s="87" t="s">
        <v>11152</v>
      </c>
      <c r="AB3741" s="87" t="s">
        <v>11447</v>
      </c>
      <c r="AC3741" s="93" t="s">
        <v>11457</v>
      </c>
      <c r="AD3741" s="87" t="s">
        <v>11519</v>
      </c>
      <c r="AE3741" s="92" t="str">
        <f>HYPERLINK("https://twitter.com/finep/status/1676665236718272513")</f>
        <v>https://twitter.com/finep/status/1676665236718272513</v>
      </c>
      <c r="AF3741" s="90">
        <v>45112.786087962966</v>
      </c>
      <c r="AG3741" s="99">
        <v>45112</v>
      </c>
      <c r="AH3741" s="93" t="s">
        <v>14831</v>
      </c>
      <c r="AI3741" s="87" t="b">
        <v>0</v>
      </c>
      <c r="AJ3741" s="87"/>
      <c r="AK3741" s="87"/>
      <c r="AL3741" s="87"/>
      <c r="AM3741" s="87"/>
      <c r="AN3741" s="87"/>
      <c r="AO3741" s="87"/>
      <c r="AP3741" s="87"/>
      <c r="AQ3741" s="87" t="s">
        <v>17964</v>
      </c>
      <c r="AR3741" s="87">
        <v>59880</v>
      </c>
      <c r="AS3741" s="87"/>
      <c r="AT3741" s="87"/>
      <c r="AU3741" s="87"/>
      <c r="AV3741" s="92" t="str">
        <f>HYPERLINK("https://pbs.twimg.com/ext_tw_video_thumb/1676663089301803009/pu/img/A72YEdGN6ELFyg0M.jpg")</f>
        <v>https://pbs.twimg.com/ext_tw_video_thumb/1676663089301803009/pu/img/A72YEdGN6ELFyg0M.jpg</v>
      </c>
      <c r="AW3741" s="93" t="s">
        <v>21853</v>
      </c>
      <c r="AX3741" s="93" t="s">
        <v>21853</v>
      </c>
      <c r="AY3741" s="87"/>
      <c r="AZ3741" s="93" t="s">
        <v>22668</v>
      </c>
      <c r="BA3741" s="93" t="s">
        <v>22668</v>
      </c>
      <c r="BB3741" s="93" t="s">
        <v>22668</v>
      </c>
      <c r="BC3741" s="93" t="s">
        <v>21853</v>
      </c>
      <c r="BD3741" s="87">
        <v>16885359</v>
      </c>
      <c r="BE3741" s="87"/>
      <c r="BF3741" s="87"/>
      <c r="BG3741" s="87"/>
      <c r="BH3741" s="87"/>
      <c r="BI3741" s="87"/>
    </row>
    <row r="3742" spans="1:61" x14ac:dyDescent="0.25">
      <c r="A3742" s="63" t="s">
        <v>1435</v>
      </c>
      <c r="B3742" s="63" t="s">
        <v>1753</v>
      </c>
      <c r="C3742" s="64"/>
      <c r="D3742" s="65"/>
      <c r="E3742" s="66"/>
      <c r="F3742" s="67"/>
      <c r="G3742" s="64"/>
      <c r="H3742" s="68"/>
      <c r="I3742" s="69"/>
      <c r="J3742" s="69"/>
      <c r="K3742" s="32"/>
      <c r="L3742" s="76">
        <v>3742</v>
      </c>
      <c r="M3742" s="76"/>
      <c r="N3742" s="71"/>
      <c r="O3742" s="87" t="s">
        <v>1839</v>
      </c>
      <c r="P3742" s="90">
        <v>45124.858796296299</v>
      </c>
      <c r="Q3742" s="87" t="s">
        <v>5398</v>
      </c>
      <c r="R3742" s="87">
        <v>0</v>
      </c>
      <c r="S3742" s="87">
        <v>2</v>
      </c>
      <c r="T3742" s="87">
        <v>0</v>
      </c>
      <c r="U3742" s="87">
        <v>0</v>
      </c>
      <c r="V3742" s="87">
        <v>438</v>
      </c>
      <c r="W3742" s="93" t="s">
        <v>8030</v>
      </c>
      <c r="X3742" s="92" t="str">
        <f>HYPERLINK("https://forms.office.com/r/Ehj4QGshsC")</f>
        <v>https://forms.office.com/r/Ehj4QGshsC</v>
      </c>
      <c r="Y3742" s="87" t="s">
        <v>8539</v>
      </c>
      <c r="Z3742" s="87" t="s">
        <v>8621</v>
      </c>
      <c r="AA3742" s="87" t="s">
        <v>11153</v>
      </c>
      <c r="AB3742" s="87" t="s">
        <v>11448</v>
      </c>
      <c r="AC3742" s="93" t="s">
        <v>11457</v>
      </c>
      <c r="AD3742" s="87" t="s">
        <v>11519</v>
      </c>
      <c r="AE3742" s="92" t="str">
        <f>HYPERLINK("https://twitter.com/finep/status/1681040242910937088")</f>
        <v>https://twitter.com/finep/status/1681040242910937088</v>
      </c>
      <c r="AF3742" s="90">
        <v>45124.858796296299</v>
      </c>
      <c r="AG3742" s="99">
        <v>45124</v>
      </c>
      <c r="AH3742" s="93" t="s">
        <v>14832</v>
      </c>
      <c r="AI3742" s="87" t="b">
        <v>0</v>
      </c>
      <c r="AJ3742" s="87"/>
      <c r="AK3742" s="87"/>
      <c r="AL3742" s="87"/>
      <c r="AM3742" s="87"/>
      <c r="AN3742" s="87"/>
      <c r="AO3742" s="87"/>
      <c r="AP3742" s="87"/>
      <c r="AQ3742" s="87" t="s">
        <v>17965</v>
      </c>
      <c r="AR3742" s="87"/>
      <c r="AS3742" s="87"/>
      <c r="AT3742" s="87"/>
      <c r="AU3742" s="87"/>
      <c r="AV3742" s="92" t="str">
        <f>HYPERLINK("https://pbs.twimg.com/media/F1RAXWdX0AAW7Vw.jpg")</f>
        <v>https://pbs.twimg.com/media/F1RAXWdX0AAW7Vw.jpg</v>
      </c>
      <c r="AW3742" s="93" t="s">
        <v>21854</v>
      </c>
      <c r="AX3742" s="93" t="s">
        <v>21854</v>
      </c>
      <c r="AY3742" s="87"/>
      <c r="AZ3742" s="93" t="s">
        <v>22668</v>
      </c>
      <c r="BA3742" s="93" t="s">
        <v>22668</v>
      </c>
      <c r="BB3742" s="93" t="s">
        <v>22668</v>
      </c>
      <c r="BC3742" s="93" t="s">
        <v>21854</v>
      </c>
      <c r="BD3742" s="87">
        <v>16885359</v>
      </c>
      <c r="BE3742" s="87"/>
      <c r="BF3742" s="87"/>
      <c r="BG3742" s="87"/>
      <c r="BH3742" s="87"/>
      <c r="BI3742" s="87"/>
    </row>
    <row r="3743" spans="1:61" x14ac:dyDescent="0.25">
      <c r="A3743" s="63" t="s">
        <v>1435</v>
      </c>
      <c r="B3743" s="63" t="s">
        <v>1753</v>
      </c>
      <c r="C3743" s="64"/>
      <c r="D3743" s="65"/>
      <c r="E3743" s="66"/>
      <c r="F3743" s="67"/>
      <c r="G3743" s="64"/>
      <c r="H3743" s="68"/>
      <c r="I3743" s="69"/>
      <c r="J3743" s="69"/>
      <c r="K3743" s="32"/>
      <c r="L3743" s="76">
        <v>3743</v>
      </c>
      <c r="M3743" s="76"/>
      <c r="N3743" s="71"/>
      <c r="O3743" s="87" t="s">
        <v>1839</v>
      </c>
      <c r="P3743" s="90">
        <v>45114.794456018521</v>
      </c>
      <c r="Q3743" s="87" t="s">
        <v>5402</v>
      </c>
      <c r="R3743" s="87">
        <v>0</v>
      </c>
      <c r="S3743" s="87">
        <v>2</v>
      </c>
      <c r="T3743" s="87">
        <v>0</v>
      </c>
      <c r="U3743" s="87">
        <v>0</v>
      </c>
      <c r="V3743" s="87">
        <v>230</v>
      </c>
      <c r="W3743" s="93" t="s">
        <v>8033</v>
      </c>
      <c r="X3743" s="92" t="str">
        <f>HYPERLINK("http://www.finep.gov.br/chamadas-publicas/chamadapublica/716")</f>
        <v>http://www.finep.gov.br/chamadas-publicas/chamadapublica/716</v>
      </c>
      <c r="Y3743" s="87" t="s">
        <v>8392</v>
      </c>
      <c r="Z3743" s="87" t="s">
        <v>1753</v>
      </c>
      <c r="AA3743" s="87" t="s">
        <v>11156</v>
      </c>
      <c r="AB3743" s="87" t="s">
        <v>11448</v>
      </c>
      <c r="AC3743" s="93" t="s">
        <v>11457</v>
      </c>
      <c r="AD3743" s="87" t="s">
        <v>11519</v>
      </c>
      <c r="AE3743" s="92" t="str">
        <f>HYPERLINK("https://twitter.com/finep/status/1677393046705414151")</f>
        <v>https://twitter.com/finep/status/1677393046705414151</v>
      </c>
      <c r="AF3743" s="90">
        <v>45114.794456018521</v>
      </c>
      <c r="AG3743" s="99">
        <v>45114</v>
      </c>
      <c r="AH3743" s="93" t="s">
        <v>14835</v>
      </c>
      <c r="AI3743" s="87" t="b">
        <v>0</v>
      </c>
      <c r="AJ3743" s="87"/>
      <c r="AK3743" s="87"/>
      <c r="AL3743" s="87"/>
      <c r="AM3743" s="87"/>
      <c r="AN3743" s="87"/>
      <c r="AO3743" s="87"/>
      <c r="AP3743" s="87"/>
      <c r="AQ3743" s="87" t="s">
        <v>17968</v>
      </c>
      <c r="AR3743" s="87"/>
      <c r="AS3743" s="87"/>
      <c r="AT3743" s="87"/>
      <c r="AU3743" s="87"/>
      <c r="AV3743" s="92" t="str">
        <f>HYPERLINK("https://pbs.twimg.com/media/F0dK8S0WIAoes0T.jpg")</f>
        <v>https://pbs.twimg.com/media/F0dK8S0WIAoes0T.jpg</v>
      </c>
      <c r="AW3743" s="93" t="s">
        <v>21858</v>
      </c>
      <c r="AX3743" s="93" t="s">
        <v>21858</v>
      </c>
      <c r="AY3743" s="87"/>
      <c r="AZ3743" s="93" t="s">
        <v>22668</v>
      </c>
      <c r="BA3743" s="93" t="s">
        <v>22668</v>
      </c>
      <c r="BB3743" s="93" t="s">
        <v>22668</v>
      </c>
      <c r="BC3743" s="93" t="s">
        <v>21858</v>
      </c>
      <c r="BD3743" s="87">
        <v>16885359</v>
      </c>
      <c r="BE3743" s="87"/>
      <c r="BF3743" s="87"/>
      <c r="BG3743" s="87"/>
      <c r="BH3743" s="87"/>
      <c r="BI3743" s="87"/>
    </row>
    <row r="3744" spans="1:61" x14ac:dyDescent="0.25">
      <c r="A3744" s="63" t="s">
        <v>1435</v>
      </c>
      <c r="B3744" s="63" t="s">
        <v>1753</v>
      </c>
      <c r="C3744" s="64"/>
      <c r="D3744" s="65"/>
      <c r="E3744" s="66"/>
      <c r="F3744" s="67"/>
      <c r="G3744" s="64"/>
      <c r="H3744" s="68"/>
      <c r="I3744" s="69"/>
      <c r="J3744" s="69"/>
      <c r="K3744" s="32"/>
      <c r="L3744" s="76">
        <v>3744</v>
      </c>
      <c r="M3744" s="76"/>
      <c r="N3744" s="71"/>
      <c r="O3744" s="87" t="s">
        <v>1844</v>
      </c>
      <c r="P3744" s="90">
        <v>45113.704074074078</v>
      </c>
      <c r="Q3744" s="87" t="s">
        <v>5400</v>
      </c>
      <c r="R3744" s="87">
        <v>0</v>
      </c>
      <c r="S3744" s="87">
        <v>2</v>
      </c>
      <c r="T3744" s="87">
        <v>0</v>
      </c>
      <c r="U3744" s="87">
        <v>0</v>
      </c>
      <c r="V3744" s="87">
        <v>157</v>
      </c>
      <c r="W3744" s="93" t="s">
        <v>8032</v>
      </c>
      <c r="X3744" s="87"/>
      <c r="Y3744" s="87"/>
      <c r="Z3744" s="87" t="s">
        <v>8622</v>
      </c>
      <c r="AA3744" s="87"/>
      <c r="AB3744" s="87"/>
      <c r="AC3744" s="93" t="s">
        <v>11457</v>
      </c>
      <c r="AD3744" s="87" t="s">
        <v>11520</v>
      </c>
      <c r="AE3744" s="92" t="str">
        <f>HYPERLINK("https://twitter.com/finep/status/1676997905381568513")</f>
        <v>https://twitter.com/finep/status/1676997905381568513</v>
      </c>
      <c r="AF3744" s="90">
        <v>45113.704074074078</v>
      </c>
      <c r="AG3744" s="99">
        <v>45113</v>
      </c>
      <c r="AH3744" s="93" t="s">
        <v>14833</v>
      </c>
      <c r="AI3744" s="87"/>
      <c r="AJ3744" s="87"/>
      <c r="AK3744" s="87"/>
      <c r="AL3744" s="87"/>
      <c r="AM3744" s="87"/>
      <c r="AN3744" s="87"/>
      <c r="AO3744" s="87"/>
      <c r="AP3744" s="87"/>
      <c r="AQ3744" s="87"/>
      <c r="AR3744" s="87"/>
      <c r="AS3744" s="87"/>
      <c r="AT3744" s="87"/>
      <c r="AU3744" s="87"/>
      <c r="AV3744" s="92" t="str">
        <f>HYPERLINK("https://pbs.twimg.com/profile_images/1675842383664107520/0wR96J46_normal.jpg")</f>
        <v>https://pbs.twimg.com/profile_images/1675842383664107520/0wR96J46_normal.jpg</v>
      </c>
      <c r="AW3744" s="93" t="s">
        <v>21856</v>
      </c>
      <c r="AX3744" s="93" t="s">
        <v>22485</v>
      </c>
      <c r="AY3744" s="93" t="s">
        <v>22647</v>
      </c>
      <c r="AZ3744" s="93" t="s">
        <v>22770</v>
      </c>
      <c r="BA3744" s="93" t="s">
        <v>22668</v>
      </c>
      <c r="BB3744" s="93" t="s">
        <v>22668</v>
      </c>
      <c r="BC3744" s="93" t="s">
        <v>22770</v>
      </c>
      <c r="BD3744" s="87">
        <v>16885359</v>
      </c>
      <c r="BE3744" s="87"/>
      <c r="BF3744" s="87"/>
      <c r="BG3744" s="87"/>
      <c r="BH3744" s="87"/>
      <c r="BI3744" s="87"/>
    </row>
    <row r="3745" spans="1:61" x14ac:dyDescent="0.25">
      <c r="A3745" s="63" t="s">
        <v>1435</v>
      </c>
      <c r="B3745" s="63" t="s">
        <v>1753</v>
      </c>
      <c r="C3745" s="64"/>
      <c r="D3745" s="65"/>
      <c r="E3745" s="66"/>
      <c r="F3745" s="67"/>
      <c r="G3745" s="64"/>
      <c r="H3745" s="68"/>
      <c r="I3745" s="69"/>
      <c r="J3745" s="69"/>
      <c r="K3745" s="32"/>
      <c r="L3745" s="76">
        <v>3745</v>
      </c>
      <c r="M3745" s="76"/>
      <c r="N3745" s="71"/>
      <c r="O3745" s="87" t="s">
        <v>1839</v>
      </c>
      <c r="P3745" s="90">
        <v>45140.916678240741</v>
      </c>
      <c r="Q3745" s="87" t="s">
        <v>5403</v>
      </c>
      <c r="R3745" s="87">
        <v>0</v>
      </c>
      <c r="S3745" s="87">
        <v>0</v>
      </c>
      <c r="T3745" s="87">
        <v>0</v>
      </c>
      <c r="U3745" s="87">
        <v>0</v>
      </c>
      <c r="V3745" s="87">
        <v>186</v>
      </c>
      <c r="W3745" s="93" t="s">
        <v>8033</v>
      </c>
      <c r="X3745" s="92" t="str">
        <f>HYPERLINK("http://www.finep.gov.br/chamadas-publicas/chamadapublica/716")</f>
        <v>http://www.finep.gov.br/chamadas-publicas/chamadapublica/716</v>
      </c>
      <c r="Y3745" s="87" t="s">
        <v>8392</v>
      </c>
      <c r="Z3745" s="87" t="s">
        <v>1753</v>
      </c>
      <c r="AA3745" s="87" t="s">
        <v>11157</v>
      </c>
      <c r="AB3745" s="87" t="s">
        <v>11448</v>
      </c>
      <c r="AC3745" s="93" t="s">
        <v>11457</v>
      </c>
      <c r="AD3745" s="87" t="s">
        <v>11519</v>
      </c>
      <c r="AE3745" s="92" t="str">
        <f>HYPERLINK("https://twitter.com/finep/status/1686859423044489217")</f>
        <v>https://twitter.com/finep/status/1686859423044489217</v>
      </c>
      <c r="AF3745" s="90">
        <v>45140.916678240741</v>
      </c>
      <c r="AG3745" s="99">
        <v>45140</v>
      </c>
      <c r="AH3745" s="93" t="s">
        <v>12143</v>
      </c>
      <c r="AI3745" s="87" t="b">
        <v>0</v>
      </c>
      <c r="AJ3745" s="87"/>
      <c r="AK3745" s="87"/>
      <c r="AL3745" s="87"/>
      <c r="AM3745" s="87"/>
      <c r="AN3745" s="87"/>
      <c r="AO3745" s="87"/>
      <c r="AP3745" s="87"/>
      <c r="AQ3745" s="87" t="s">
        <v>17969</v>
      </c>
      <c r="AR3745" s="87"/>
      <c r="AS3745" s="87"/>
      <c r="AT3745" s="87"/>
      <c r="AU3745" s="87"/>
      <c r="AV3745" s="92" t="str">
        <f>HYPERLINK("https://pbs.twimg.com/media/F2jcdXlXIAARfOR.jpg")</f>
        <v>https://pbs.twimg.com/media/F2jcdXlXIAARfOR.jpg</v>
      </c>
      <c r="AW3745" s="93" t="s">
        <v>21859</v>
      </c>
      <c r="AX3745" s="93" t="s">
        <v>21859</v>
      </c>
      <c r="AY3745" s="87"/>
      <c r="AZ3745" s="93" t="s">
        <v>22668</v>
      </c>
      <c r="BA3745" s="93" t="s">
        <v>22668</v>
      </c>
      <c r="BB3745" s="93" t="s">
        <v>22668</v>
      </c>
      <c r="BC3745" s="93" t="s">
        <v>21859</v>
      </c>
      <c r="BD3745" s="87">
        <v>16885359</v>
      </c>
      <c r="BE3745" s="87"/>
      <c r="BF3745" s="87"/>
      <c r="BG3745" s="87"/>
      <c r="BH3745" s="87"/>
      <c r="BI3745" s="87"/>
    </row>
    <row r="3746" spans="1:61" x14ac:dyDescent="0.25">
      <c r="A3746" s="63" t="s">
        <v>1435</v>
      </c>
      <c r="B3746" s="63" t="s">
        <v>1435</v>
      </c>
      <c r="C3746" s="64"/>
      <c r="D3746" s="65"/>
      <c r="E3746" s="66"/>
      <c r="F3746" s="67"/>
      <c r="G3746" s="64"/>
      <c r="H3746" s="68"/>
      <c r="I3746" s="69"/>
      <c r="J3746" s="69"/>
      <c r="K3746" s="32"/>
      <c r="L3746" s="76">
        <v>3746</v>
      </c>
      <c r="M3746" s="76"/>
      <c r="N3746" s="71"/>
      <c r="O3746" s="87" t="s">
        <v>1840</v>
      </c>
      <c r="P3746" s="90">
        <v>45113.704074074078</v>
      </c>
      <c r="Q3746" s="87" t="s">
        <v>5400</v>
      </c>
      <c r="R3746" s="87">
        <v>0</v>
      </c>
      <c r="S3746" s="87">
        <v>2</v>
      </c>
      <c r="T3746" s="87">
        <v>0</v>
      </c>
      <c r="U3746" s="87">
        <v>0</v>
      </c>
      <c r="V3746" s="87">
        <v>157</v>
      </c>
      <c r="W3746" s="93" t="s">
        <v>8032</v>
      </c>
      <c r="X3746" s="87"/>
      <c r="Y3746" s="87"/>
      <c r="Z3746" s="87" t="s">
        <v>8622</v>
      </c>
      <c r="AA3746" s="87"/>
      <c r="AB3746" s="87"/>
      <c r="AC3746" s="93" t="s">
        <v>11457</v>
      </c>
      <c r="AD3746" s="87" t="s">
        <v>11520</v>
      </c>
      <c r="AE3746" s="92" t="str">
        <f>HYPERLINK("https://twitter.com/finep/status/1676997905381568513")</f>
        <v>https://twitter.com/finep/status/1676997905381568513</v>
      </c>
      <c r="AF3746" s="90">
        <v>45113.704074074078</v>
      </c>
      <c r="AG3746" s="99">
        <v>45113</v>
      </c>
      <c r="AH3746" s="93" t="s">
        <v>14833</v>
      </c>
      <c r="AI3746" s="87"/>
      <c r="AJ3746" s="87"/>
      <c r="AK3746" s="87"/>
      <c r="AL3746" s="87"/>
      <c r="AM3746" s="87"/>
      <c r="AN3746" s="87"/>
      <c r="AO3746" s="87"/>
      <c r="AP3746" s="87"/>
      <c r="AQ3746" s="87"/>
      <c r="AR3746" s="87"/>
      <c r="AS3746" s="87"/>
      <c r="AT3746" s="87"/>
      <c r="AU3746" s="87"/>
      <c r="AV3746" s="92" t="str">
        <f>HYPERLINK("https://pbs.twimg.com/profile_images/1675842383664107520/0wR96J46_normal.jpg")</f>
        <v>https://pbs.twimg.com/profile_images/1675842383664107520/0wR96J46_normal.jpg</v>
      </c>
      <c r="AW3746" s="93" t="s">
        <v>21856</v>
      </c>
      <c r="AX3746" s="93" t="s">
        <v>22485</v>
      </c>
      <c r="AY3746" s="93" t="s">
        <v>22647</v>
      </c>
      <c r="AZ3746" s="93" t="s">
        <v>22770</v>
      </c>
      <c r="BA3746" s="93" t="s">
        <v>22668</v>
      </c>
      <c r="BB3746" s="93" t="s">
        <v>22668</v>
      </c>
      <c r="BC3746" s="93" t="s">
        <v>22770</v>
      </c>
      <c r="BD3746" s="87">
        <v>16885359</v>
      </c>
      <c r="BE3746" s="87"/>
      <c r="BF3746" s="87"/>
      <c r="BG3746" s="87"/>
      <c r="BH3746" s="87"/>
      <c r="BI3746" s="87"/>
    </row>
    <row r="3747" spans="1:61" x14ac:dyDescent="0.25">
      <c r="A3747" s="63" t="s">
        <v>1438</v>
      </c>
      <c r="B3747" s="63" t="s">
        <v>1438</v>
      </c>
      <c r="C3747" s="64"/>
      <c r="D3747" s="65"/>
      <c r="E3747" s="66"/>
      <c r="F3747" s="67"/>
      <c r="G3747" s="64"/>
      <c r="H3747" s="68"/>
      <c r="I3747" s="69"/>
      <c r="J3747" s="69"/>
      <c r="K3747" s="32"/>
      <c r="L3747" s="76">
        <v>3747</v>
      </c>
      <c r="M3747" s="76"/>
      <c r="N3747" s="71"/>
      <c r="O3747" s="87" t="s">
        <v>179</v>
      </c>
      <c r="P3747" s="90">
        <v>45185.121736111112</v>
      </c>
      <c r="Q3747" s="87" t="s">
        <v>5404</v>
      </c>
      <c r="R3747" s="87">
        <v>0</v>
      </c>
      <c r="S3747" s="87">
        <v>0</v>
      </c>
      <c r="T3747" s="87">
        <v>0</v>
      </c>
      <c r="U3747" s="87">
        <v>0</v>
      </c>
      <c r="V3747" s="87">
        <v>23</v>
      </c>
      <c r="W3747" s="93" t="s">
        <v>8034</v>
      </c>
      <c r="X3747" s="87"/>
      <c r="Y3747" s="87"/>
      <c r="Z3747" s="87"/>
      <c r="AA3747" s="87"/>
      <c r="AB3747" s="87"/>
      <c r="AC3747" s="93" t="s">
        <v>11458</v>
      </c>
      <c r="AD3747" s="87" t="s">
        <v>11519</v>
      </c>
      <c r="AE3747" s="92" t="str">
        <f>HYPERLINK("https://twitter.com/ricardoutsider/status/1702878799539429812")</f>
        <v>https://twitter.com/ricardoutsider/status/1702878799539429812</v>
      </c>
      <c r="AF3747" s="90">
        <v>45185.121736111112</v>
      </c>
      <c r="AG3747" s="99">
        <v>45185</v>
      </c>
      <c r="AH3747" s="93" t="s">
        <v>14836</v>
      </c>
      <c r="AI3747" s="87"/>
      <c r="AJ3747" s="87" t="s">
        <v>15226</v>
      </c>
      <c r="AK3747" s="87" t="s">
        <v>15234</v>
      </c>
      <c r="AL3747" s="87" t="s">
        <v>15237</v>
      </c>
      <c r="AM3747" s="87" t="s">
        <v>15297</v>
      </c>
      <c r="AN3747" s="101" t="s">
        <v>15364</v>
      </c>
      <c r="AO3747" s="87" t="s">
        <v>15429</v>
      </c>
      <c r="AP3747" s="87" t="s">
        <v>15438</v>
      </c>
      <c r="AQ3747" s="87"/>
      <c r="AR3747" s="87"/>
      <c r="AS3747" s="87"/>
      <c r="AT3747" s="87"/>
      <c r="AU3747" s="87"/>
      <c r="AV3747" s="92" t="str">
        <f>HYPERLINK("https://pbs.twimg.com/profile_images/1541487025689337856/QgAhBVGF_normal.jpg")</f>
        <v>https://pbs.twimg.com/profile_images/1541487025689337856/QgAhBVGF_normal.jpg</v>
      </c>
      <c r="AW3747" s="93" t="s">
        <v>21860</v>
      </c>
      <c r="AX3747" s="93" t="s">
        <v>21860</v>
      </c>
      <c r="AY3747" s="87"/>
      <c r="AZ3747" s="93" t="s">
        <v>22668</v>
      </c>
      <c r="BA3747" s="93" t="s">
        <v>22668</v>
      </c>
      <c r="BB3747" s="93" t="s">
        <v>22668</v>
      </c>
      <c r="BC3747" s="93" t="s">
        <v>21860</v>
      </c>
      <c r="BD3747" s="93" t="s">
        <v>23497</v>
      </c>
      <c r="BE3747" s="87"/>
      <c r="BF3747" s="87"/>
      <c r="BG3747" s="87"/>
      <c r="BH3747" s="87"/>
      <c r="BI3747" s="87"/>
    </row>
    <row r="3748" spans="1:61" x14ac:dyDescent="0.25">
      <c r="A3748" s="63" t="s">
        <v>1438</v>
      </c>
      <c r="B3748" s="63" t="s">
        <v>1438</v>
      </c>
      <c r="C3748" s="64"/>
      <c r="D3748" s="65"/>
      <c r="E3748" s="66"/>
      <c r="F3748" s="67"/>
      <c r="G3748" s="64"/>
      <c r="H3748" s="68"/>
      <c r="I3748" s="69"/>
      <c r="J3748" s="69"/>
      <c r="K3748" s="32"/>
      <c r="L3748" s="76">
        <v>3748</v>
      </c>
      <c r="M3748" s="76"/>
      <c r="N3748" s="71"/>
      <c r="O3748" s="87" t="s">
        <v>179</v>
      </c>
      <c r="P3748" s="90">
        <v>45192.740104166667</v>
      </c>
      <c r="Q3748" s="87" t="s">
        <v>5405</v>
      </c>
      <c r="R3748" s="87">
        <v>0</v>
      </c>
      <c r="S3748" s="87">
        <v>2</v>
      </c>
      <c r="T3748" s="87">
        <v>0</v>
      </c>
      <c r="U3748" s="87">
        <v>0</v>
      </c>
      <c r="V3748" s="87">
        <v>53</v>
      </c>
      <c r="W3748" s="93" t="s">
        <v>8035</v>
      </c>
      <c r="X3748" s="87"/>
      <c r="Y3748" s="87"/>
      <c r="Z3748" s="87"/>
      <c r="AA3748" s="87" t="s">
        <v>11158</v>
      </c>
      <c r="AB3748" s="87" t="s">
        <v>11447</v>
      </c>
      <c r="AC3748" s="93" t="s">
        <v>11458</v>
      </c>
      <c r="AD3748" s="87" t="s">
        <v>11519</v>
      </c>
      <c r="AE3748" s="92" t="str">
        <f>HYPERLINK("https://twitter.com/ricardoutsider/status/1705639603502191015")</f>
        <v>https://twitter.com/ricardoutsider/status/1705639603502191015</v>
      </c>
      <c r="AF3748" s="90">
        <v>45192.740104166667</v>
      </c>
      <c r="AG3748" s="99">
        <v>45192</v>
      </c>
      <c r="AH3748" s="93" t="s">
        <v>14837</v>
      </c>
      <c r="AI3748" s="87" t="b">
        <v>0</v>
      </c>
      <c r="AJ3748" s="87" t="s">
        <v>15205</v>
      </c>
      <c r="AK3748" s="87" t="s">
        <v>15234</v>
      </c>
      <c r="AL3748" s="87" t="s">
        <v>15237</v>
      </c>
      <c r="AM3748" s="87" t="s">
        <v>15234</v>
      </c>
      <c r="AN3748" s="87" t="s">
        <v>15343</v>
      </c>
      <c r="AO3748" s="87" t="s">
        <v>15234</v>
      </c>
      <c r="AP3748" s="87" t="s">
        <v>15440</v>
      </c>
      <c r="AQ3748" s="87" t="s">
        <v>17970</v>
      </c>
      <c r="AR3748" s="87">
        <v>43033</v>
      </c>
      <c r="AS3748" s="87"/>
      <c r="AT3748" s="87"/>
      <c r="AU3748" s="87"/>
      <c r="AV3748" s="92" t="str">
        <f>HYPERLINK("https://pbs.twimg.com/amplify_video_thumb/1705639400074334208/img/pDPb_NgmEJeWORZ3.jpg")</f>
        <v>https://pbs.twimg.com/amplify_video_thumb/1705639400074334208/img/pDPb_NgmEJeWORZ3.jpg</v>
      </c>
      <c r="AW3748" s="93" t="s">
        <v>21861</v>
      </c>
      <c r="AX3748" s="93" t="s">
        <v>21861</v>
      </c>
      <c r="AY3748" s="87"/>
      <c r="AZ3748" s="93" t="s">
        <v>22668</v>
      </c>
      <c r="BA3748" s="93" t="s">
        <v>22668</v>
      </c>
      <c r="BB3748" s="93" t="s">
        <v>22668</v>
      </c>
      <c r="BC3748" s="93" t="s">
        <v>21861</v>
      </c>
      <c r="BD3748" s="93" t="s">
        <v>23497</v>
      </c>
      <c r="BE3748" s="87"/>
      <c r="BF3748" s="87"/>
      <c r="BG3748" s="87"/>
      <c r="BH3748" s="87"/>
      <c r="BI3748" s="87"/>
    </row>
    <row r="3749" spans="1:61" x14ac:dyDescent="0.25">
      <c r="A3749" s="63" t="s">
        <v>1439</v>
      </c>
      <c r="B3749" s="63" t="s">
        <v>1439</v>
      </c>
      <c r="C3749" s="64"/>
      <c r="D3749" s="65"/>
      <c r="E3749" s="66"/>
      <c r="F3749" s="67"/>
      <c r="G3749" s="64"/>
      <c r="H3749" s="68"/>
      <c r="I3749" s="69"/>
      <c r="J3749" s="69"/>
      <c r="K3749" s="32"/>
      <c r="L3749" s="76">
        <v>3749</v>
      </c>
      <c r="M3749" s="76"/>
      <c r="N3749" s="71"/>
      <c r="O3749" s="87" t="s">
        <v>179</v>
      </c>
      <c r="P3749" s="90">
        <v>45192.741562499999</v>
      </c>
      <c r="Q3749" s="87" t="s">
        <v>5406</v>
      </c>
      <c r="R3749" s="87">
        <v>0</v>
      </c>
      <c r="S3749" s="87">
        <v>1</v>
      </c>
      <c r="T3749" s="87">
        <v>0</v>
      </c>
      <c r="U3749" s="87">
        <v>0</v>
      </c>
      <c r="V3749" s="87">
        <v>20</v>
      </c>
      <c r="W3749" s="93" t="s">
        <v>8036</v>
      </c>
      <c r="X3749" s="92" t="str">
        <f>HYPERLINK("https://instagram.com/travelingman.oficial?igshid=MzRlODBiNWFlZA==")</f>
        <v>https://instagram.com/travelingman.oficial?igshid=MzRlODBiNWFlZA==</v>
      </c>
      <c r="Y3749" s="87" t="s">
        <v>8383</v>
      </c>
      <c r="Z3749" s="87"/>
      <c r="AA3749" s="87"/>
      <c r="AB3749" s="87"/>
      <c r="AC3749" s="93" t="s">
        <v>11459</v>
      </c>
      <c r="AD3749" s="87" t="s">
        <v>11519</v>
      </c>
      <c r="AE3749" s="92" t="str">
        <f>HYPERLINK("https://twitter.com/leao_alexandre/status/1705640130898194759")</f>
        <v>https://twitter.com/leao_alexandre/status/1705640130898194759</v>
      </c>
      <c r="AF3749" s="90">
        <v>45192.741562499999</v>
      </c>
      <c r="AG3749" s="99">
        <v>45192</v>
      </c>
      <c r="AH3749" s="93" t="s">
        <v>14838</v>
      </c>
      <c r="AI3749" s="87" t="b">
        <v>0</v>
      </c>
      <c r="AJ3749" s="87"/>
      <c r="AK3749" s="87"/>
      <c r="AL3749" s="87"/>
      <c r="AM3749" s="87"/>
      <c r="AN3749" s="87"/>
      <c r="AO3749" s="87"/>
      <c r="AP3749" s="87"/>
      <c r="AQ3749" s="87"/>
      <c r="AR3749" s="87"/>
      <c r="AS3749" s="87"/>
      <c r="AT3749" s="87"/>
      <c r="AU3749" s="87"/>
      <c r="AV3749" s="92" t="str">
        <f>HYPERLINK("https://pbs.twimg.com/profile_images/1689127512071094272/l31B1Bfq_normal.jpg")</f>
        <v>https://pbs.twimg.com/profile_images/1689127512071094272/l31B1Bfq_normal.jpg</v>
      </c>
      <c r="AW3749" s="93" t="s">
        <v>21862</v>
      </c>
      <c r="AX3749" s="93" t="s">
        <v>21862</v>
      </c>
      <c r="AY3749" s="87"/>
      <c r="AZ3749" s="93" t="s">
        <v>22668</v>
      </c>
      <c r="BA3749" s="93" t="s">
        <v>22668</v>
      </c>
      <c r="BB3749" s="93" t="s">
        <v>22668</v>
      </c>
      <c r="BC3749" s="93" t="s">
        <v>21862</v>
      </c>
      <c r="BD3749" s="87">
        <v>198017623</v>
      </c>
      <c r="BE3749" s="87"/>
      <c r="BF3749" s="87"/>
      <c r="BG3749" s="87"/>
      <c r="BH3749" s="87"/>
      <c r="BI3749" s="87"/>
    </row>
    <row r="3750" spans="1:61" x14ac:dyDescent="0.25">
      <c r="A3750" s="63" t="s">
        <v>1440</v>
      </c>
      <c r="B3750" s="63" t="s">
        <v>1440</v>
      </c>
      <c r="C3750" s="64"/>
      <c r="D3750" s="65"/>
      <c r="E3750" s="66"/>
      <c r="F3750" s="67"/>
      <c r="G3750" s="64"/>
      <c r="H3750" s="68"/>
      <c r="I3750" s="69"/>
      <c r="J3750" s="69"/>
      <c r="K3750" s="32"/>
      <c r="L3750" s="76">
        <v>3750</v>
      </c>
      <c r="M3750" s="76"/>
      <c r="N3750" s="71"/>
      <c r="O3750" s="87" t="s">
        <v>179</v>
      </c>
      <c r="P3750" s="90">
        <v>45152.830972222226</v>
      </c>
      <c r="Q3750" s="87" t="s">
        <v>5407</v>
      </c>
      <c r="R3750" s="87">
        <v>0</v>
      </c>
      <c r="S3750" s="87">
        <v>0</v>
      </c>
      <c r="T3750" s="87">
        <v>0</v>
      </c>
      <c r="U3750" s="87">
        <v>0</v>
      </c>
      <c r="V3750" s="87">
        <v>2</v>
      </c>
      <c r="W3750" s="93" t="s">
        <v>8037</v>
      </c>
      <c r="X3750" s="87"/>
      <c r="Y3750" s="87"/>
      <c r="Z3750" s="87"/>
      <c r="AA3750" s="87" t="s">
        <v>11159</v>
      </c>
      <c r="AB3750" s="87" t="s">
        <v>11448</v>
      </c>
      <c r="AC3750" s="93" t="s">
        <v>11457</v>
      </c>
      <c r="AD3750" s="87" t="s">
        <v>11519</v>
      </c>
      <c r="AE3750" s="92" t="str">
        <f>HYPERLINK("https://twitter.com/iconeeditora/status/1691177019357151232")</f>
        <v>https://twitter.com/iconeeditora/status/1691177019357151232</v>
      </c>
      <c r="AF3750" s="90">
        <v>45152.830972222226</v>
      </c>
      <c r="AG3750" s="99">
        <v>45152</v>
      </c>
      <c r="AH3750" s="93" t="s">
        <v>14839</v>
      </c>
      <c r="AI3750" s="87" t="b">
        <v>0</v>
      </c>
      <c r="AJ3750" s="87"/>
      <c r="AK3750" s="87"/>
      <c r="AL3750" s="87"/>
      <c r="AM3750" s="87"/>
      <c r="AN3750" s="87"/>
      <c r="AO3750" s="87"/>
      <c r="AP3750" s="87"/>
      <c r="AQ3750" s="87" t="s">
        <v>17971</v>
      </c>
      <c r="AR3750" s="87"/>
      <c r="AS3750" s="87"/>
      <c r="AT3750" s="87"/>
      <c r="AU3750" s="87"/>
      <c r="AV3750" s="92" t="str">
        <f>HYPERLINK("https://pbs.twimg.com/media/F3hEfpAWAAAVid1.jpg")</f>
        <v>https://pbs.twimg.com/media/F3hEfpAWAAAVid1.jpg</v>
      </c>
      <c r="AW3750" s="93" t="s">
        <v>21863</v>
      </c>
      <c r="AX3750" s="93" t="s">
        <v>21863</v>
      </c>
      <c r="AY3750" s="87"/>
      <c r="AZ3750" s="93" t="s">
        <v>22668</v>
      </c>
      <c r="BA3750" s="93" t="s">
        <v>22668</v>
      </c>
      <c r="BB3750" s="93" t="s">
        <v>22668</v>
      </c>
      <c r="BC3750" s="93" t="s">
        <v>21863</v>
      </c>
      <c r="BD3750" s="87">
        <v>48799494</v>
      </c>
      <c r="BE3750" s="87"/>
      <c r="BF3750" s="87"/>
      <c r="BG3750" s="87"/>
      <c r="BH3750" s="87"/>
      <c r="BI3750" s="87"/>
    </row>
    <row r="3751" spans="1:61" x14ac:dyDescent="0.25">
      <c r="A3751" s="63" t="s">
        <v>1441</v>
      </c>
      <c r="B3751" s="63" t="s">
        <v>1441</v>
      </c>
      <c r="C3751" s="64"/>
      <c r="D3751" s="65"/>
      <c r="E3751" s="66"/>
      <c r="F3751" s="67"/>
      <c r="G3751" s="64"/>
      <c r="H3751" s="68"/>
      <c r="I3751" s="69"/>
      <c r="J3751" s="69"/>
      <c r="K3751" s="32"/>
      <c r="L3751" s="76">
        <v>3751</v>
      </c>
      <c r="M3751" s="76"/>
      <c r="N3751" s="71"/>
      <c r="O3751" s="87" t="s">
        <v>179</v>
      </c>
      <c r="P3751" s="90">
        <v>45114.677083333336</v>
      </c>
      <c r="Q3751" s="87" t="s">
        <v>5408</v>
      </c>
      <c r="R3751" s="87">
        <v>0</v>
      </c>
      <c r="S3751" s="87">
        <v>0</v>
      </c>
      <c r="T3751" s="87">
        <v>0</v>
      </c>
      <c r="U3751" s="87">
        <v>0</v>
      </c>
      <c r="V3751" s="87">
        <v>943</v>
      </c>
      <c r="W3751" s="93" t="s">
        <v>8038</v>
      </c>
      <c r="X3751" s="92" t="str">
        <f>HYPERLINK("https://www.rtp.pt/noticias/economia/concelho-de-famalicao-venceu-premio-europeu-de-empreendedorismo_v1498437")</f>
        <v>https://www.rtp.pt/noticias/economia/concelho-de-famalicao-venceu-premio-europeu-de-empreendedorismo_v1498437</v>
      </c>
      <c r="Y3751" s="87" t="s">
        <v>8541</v>
      </c>
      <c r="Z3751" s="87"/>
      <c r="AA3751" s="87"/>
      <c r="AB3751" s="87"/>
      <c r="AC3751" s="93" t="s">
        <v>11457</v>
      </c>
      <c r="AD3751" s="87" t="s">
        <v>11519</v>
      </c>
      <c r="AE3751" s="92" t="str">
        <f>HYPERLINK("https://twitter.com/rtpnoticias/status/1677350511668862976")</f>
        <v>https://twitter.com/rtpnoticias/status/1677350511668862976</v>
      </c>
      <c r="AF3751" s="90">
        <v>45114.677083333336</v>
      </c>
      <c r="AG3751" s="99">
        <v>45114</v>
      </c>
      <c r="AH3751" s="93" t="s">
        <v>14840</v>
      </c>
      <c r="AI3751" s="87" t="b">
        <v>0</v>
      </c>
      <c r="AJ3751" s="87"/>
      <c r="AK3751" s="87"/>
      <c r="AL3751" s="87"/>
      <c r="AM3751" s="87"/>
      <c r="AN3751" s="87"/>
      <c r="AO3751" s="87"/>
      <c r="AP3751" s="87"/>
      <c r="AQ3751" s="87"/>
      <c r="AR3751" s="87"/>
      <c r="AS3751" s="87"/>
      <c r="AT3751" s="87"/>
      <c r="AU3751" s="87"/>
      <c r="AV3751" s="92" t="str">
        <f>HYPERLINK("https://pbs.twimg.com/profile_images/776060252559138816/zeWcQXFg_normal.jpg")</f>
        <v>https://pbs.twimg.com/profile_images/776060252559138816/zeWcQXFg_normal.jpg</v>
      </c>
      <c r="AW3751" s="93" t="s">
        <v>21864</v>
      </c>
      <c r="AX3751" s="93" t="s">
        <v>21864</v>
      </c>
      <c r="AY3751" s="87"/>
      <c r="AZ3751" s="93" t="s">
        <v>22668</v>
      </c>
      <c r="BA3751" s="93" t="s">
        <v>22668</v>
      </c>
      <c r="BB3751" s="93" t="s">
        <v>22668</v>
      </c>
      <c r="BC3751" s="93" t="s">
        <v>21864</v>
      </c>
      <c r="BD3751" s="87">
        <v>16451028</v>
      </c>
      <c r="BE3751" s="87"/>
      <c r="BF3751" s="87"/>
      <c r="BG3751" s="87"/>
      <c r="BH3751" s="87"/>
      <c r="BI3751" s="87"/>
    </row>
    <row r="3752" spans="1:61" x14ac:dyDescent="0.25">
      <c r="A3752" s="63" t="s">
        <v>1442</v>
      </c>
      <c r="B3752" s="63" t="s">
        <v>1442</v>
      </c>
      <c r="C3752" s="64"/>
      <c r="D3752" s="65"/>
      <c r="E3752" s="66"/>
      <c r="F3752" s="67"/>
      <c r="G3752" s="64"/>
      <c r="H3752" s="68"/>
      <c r="I3752" s="69"/>
      <c r="J3752" s="69"/>
      <c r="K3752" s="32"/>
      <c r="L3752" s="76">
        <v>3752</v>
      </c>
      <c r="M3752" s="76"/>
      <c r="N3752" s="71"/>
      <c r="O3752" s="87" t="s">
        <v>179</v>
      </c>
      <c r="P3752" s="90">
        <v>45135.417303240742</v>
      </c>
      <c r="Q3752" s="87" t="s">
        <v>5409</v>
      </c>
      <c r="R3752" s="87">
        <v>0</v>
      </c>
      <c r="S3752" s="87">
        <v>0</v>
      </c>
      <c r="T3752" s="87">
        <v>0</v>
      </c>
      <c r="U3752" s="87">
        <v>0</v>
      </c>
      <c r="V3752" s="87">
        <v>33</v>
      </c>
      <c r="W3752" s="93" t="s">
        <v>8039</v>
      </c>
      <c r="X3752" s="92" t="str">
        <f>HYPERLINK("https://www.atitudequerealiza.com.br")</f>
        <v>https://www.atitudequerealiza.com.br</v>
      </c>
      <c r="Y3752" s="87" t="s">
        <v>8373</v>
      </c>
      <c r="Z3752" s="87"/>
      <c r="AA3752" s="87"/>
      <c r="AB3752" s="87"/>
      <c r="AC3752" s="93" t="s">
        <v>11459</v>
      </c>
      <c r="AD3752" s="87" t="s">
        <v>11520</v>
      </c>
      <c r="AE3752" s="92" t="str">
        <f>HYPERLINK("https://twitter.com/dvitoroficial/status/1684866514929799168")</f>
        <v>https://twitter.com/dvitoroficial/status/1684866514929799168</v>
      </c>
      <c r="AF3752" s="90">
        <v>45135.417303240742</v>
      </c>
      <c r="AG3752" s="99">
        <v>45135</v>
      </c>
      <c r="AH3752" s="93" t="s">
        <v>14841</v>
      </c>
      <c r="AI3752" s="87" t="b">
        <v>0</v>
      </c>
      <c r="AJ3752" s="87"/>
      <c r="AK3752" s="87"/>
      <c r="AL3752" s="87"/>
      <c r="AM3752" s="87"/>
      <c r="AN3752" s="87"/>
      <c r="AO3752" s="87"/>
      <c r="AP3752" s="87"/>
      <c r="AQ3752" s="87"/>
      <c r="AR3752" s="87"/>
      <c r="AS3752" s="87"/>
      <c r="AT3752" s="87"/>
      <c r="AU3752" s="87"/>
      <c r="AV3752" s="92" t="str">
        <f>HYPERLINK("https://pbs.twimg.com/profile_images/1599206756424491015/ozua_6xi_normal.jpg")</f>
        <v>https://pbs.twimg.com/profile_images/1599206756424491015/ozua_6xi_normal.jpg</v>
      </c>
      <c r="AW3752" s="93" t="s">
        <v>21865</v>
      </c>
      <c r="AX3752" s="93" t="s">
        <v>21865</v>
      </c>
      <c r="AY3752" s="87"/>
      <c r="AZ3752" s="93" t="s">
        <v>22668</v>
      </c>
      <c r="BA3752" s="93" t="s">
        <v>22668</v>
      </c>
      <c r="BB3752" s="93" t="s">
        <v>22668</v>
      </c>
      <c r="BC3752" s="93" t="s">
        <v>21865</v>
      </c>
      <c r="BD3752" s="93" t="s">
        <v>23498</v>
      </c>
      <c r="BE3752" s="87"/>
      <c r="BF3752" s="87"/>
      <c r="BG3752" s="87"/>
      <c r="BH3752" s="87"/>
      <c r="BI3752" s="87"/>
    </row>
    <row r="3753" spans="1:61" x14ac:dyDescent="0.25">
      <c r="A3753" s="63" t="s">
        <v>1442</v>
      </c>
      <c r="B3753" s="63" t="s">
        <v>1442</v>
      </c>
      <c r="C3753" s="64"/>
      <c r="D3753" s="65"/>
      <c r="E3753" s="66"/>
      <c r="F3753" s="67"/>
      <c r="G3753" s="64"/>
      <c r="H3753" s="68"/>
      <c r="I3753" s="69"/>
      <c r="J3753" s="69"/>
      <c r="K3753" s="32"/>
      <c r="L3753" s="76">
        <v>3753</v>
      </c>
      <c r="M3753" s="76"/>
      <c r="N3753" s="71"/>
      <c r="O3753" s="87" t="s">
        <v>179</v>
      </c>
      <c r="P3753" s="90">
        <v>45157.718831018516</v>
      </c>
      <c r="Q3753" s="87" t="s">
        <v>5410</v>
      </c>
      <c r="R3753" s="87">
        <v>0</v>
      </c>
      <c r="S3753" s="87">
        <v>0</v>
      </c>
      <c r="T3753" s="87">
        <v>0</v>
      </c>
      <c r="U3753" s="87">
        <v>0</v>
      </c>
      <c r="V3753" s="87">
        <v>110</v>
      </c>
      <c r="W3753" s="93" t="s">
        <v>8040</v>
      </c>
      <c r="X3753" s="92" t="str">
        <f>HYPERLINK("https://www.atitudequerealiza.com.br/produtos/lideranca-excelencia-10passos")</f>
        <v>https://www.atitudequerealiza.com.br/produtos/lideranca-excelencia-10passos</v>
      </c>
      <c r="Y3753" s="87" t="s">
        <v>8373</v>
      </c>
      <c r="Z3753" s="87"/>
      <c r="AA3753" s="87" t="s">
        <v>11160</v>
      </c>
      <c r="AB3753" s="87" t="s">
        <v>11448</v>
      </c>
      <c r="AC3753" s="93" t="s">
        <v>11457</v>
      </c>
      <c r="AD3753" s="87" t="s">
        <v>11519</v>
      </c>
      <c r="AE3753" s="92" t="str">
        <f>HYPERLINK("https://twitter.com/dvitoroficial/status/1692948320228979164")</f>
        <v>https://twitter.com/dvitoroficial/status/1692948320228979164</v>
      </c>
      <c r="AF3753" s="90">
        <v>45157.718831018516</v>
      </c>
      <c r="AG3753" s="99">
        <v>45157</v>
      </c>
      <c r="AH3753" s="93" t="s">
        <v>14842</v>
      </c>
      <c r="AI3753" s="87" t="b">
        <v>0</v>
      </c>
      <c r="AJ3753" s="87"/>
      <c r="AK3753" s="87"/>
      <c r="AL3753" s="87"/>
      <c r="AM3753" s="87"/>
      <c r="AN3753" s="87"/>
      <c r="AO3753" s="87"/>
      <c r="AP3753" s="87"/>
      <c r="AQ3753" s="87" t="s">
        <v>17972</v>
      </c>
      <c r="AR3753" s="87"/>
      <c r="AS3753" s="87"/>
      <c r="AT3753" s="87"/>
      <c r="AU3753" s="87"/>
      <c r="AV3753" s="92" t="str">
        <f>HYPERLINK("https://pbs.twimg.com/media/F36OoqpXcAAVUnJ.png")</f>
        <v>https://pbs.twimg.com/media/F36OoqpXcAAVUnJ.png</v>
      </c>
      <c r="AW3753" s="93" t="s">
        <v>21866</v>
      </c>
      <c r="AX3753" s="93" t="s">
        <v>21866</v>
      </c>
      <c r="AY3753" s="87"/>
      <c r="AZ3753" s="93" t="s">
        <v>22668</v>
      </c>
      <c r="BA3753" s="93" t="s">
        <v>22668</v>
      </c>
      <c r="BB3753" s="93" t="s">
        <v>22668</v>
      </c>
      <c r="BC3753" s="93" t="s">
        <v>21866</v>
      </c>
      <c r="BD3753" s="93" t="s">
        <v>23498</v>
      </c>
      <c r="BE3753" s="87"/>
      <c r="BF3753" s="87"/>
      <c r="BG3753" s="87"/>
      <c r="BH3753" s="87"/>
      <c r="BI3753" s="87"/>
    </row>
    <row r="3754" spans="1:61" x14ac:dyDescent="0.25">
      <c r="A3754" s="63" t="s">
        <v>1442</v>
      </c>
      <c r="B3754" s="63" t="s">
        <v>1442</v>
      </c>
      <c r="C3754" s="64"/>
      <c r="D3754" s="65"/>
      <c r="E3754" s="66"/>
      <c r="F3754" s="67"/>
      <c r="G3754" s="64"/>
      <c r="H3754" s="68"/>
      <c r="I3754" s="69"/>
      <c r="J3754" s="69"/>
      <c r="K3754" s="32"/>
      <c r="L3754" s="76">
        <v>3754</v>
      </c>
      <c r="M3754" s="76"/>
      <c r="N3754" s="71"/>
      <c r="O3754" s="87" t="s">
        <v>179</v>
      </c>
      <c r="P3754" s="90">
        <v>45157.713460648149</v>
      </c>
      <c r="Q3754" s="87" t="s">
        <v>5411</v>
      </c>
      <c r="R3754" s="87">
        <v>0</v>
      </c>
      <c r="S3754" s="87">
        <v>0</v>
      </c>
      <c r="T3754" s="87">
        <v>0</v>
      </c>
      <c r="U3754" s="87">
        <v>0</v>
      </c>
      <c r="V3754" s="87">
        <v>67</v>
      </c>
      <c r="W3754" s="93" t="s">
        <v>8040</v>
      </c>
      <c r="X3754" s="92" t="str">
        <f>HYPERLINK("https://www.atitudequerealiza.com.br/")</f>
        <v>https://www.atitudequerealiza.com.br/</v>
      </c>
      <c r="Y3754" s="87" t="s">
        <v>8373</v>
      </c>
      <c r="Z3754" s="87"/>
      <c r="AA3754" s="87"/>
      <c r="AB3754" s="87"/>
      <c r="AC3754" s="93" t="s">
        <v>11457</v>
      </c>
      <c r="AD3754" s="87" t="s">
        <v>11519</v>
      </c>
      <c r="AE3754" s="92" t="str">
        <f>HYPERLINK("https://twitter.com/dvitoroficial/status/1692946373631476216")</f>
        <v>https://twitter.com/dvitoroficial/status/1692946373631476216</v>
      </c>
      <c r="AF3754" s="90">
        <v>45157.713460648149</v>
      </c>
      <c r="AG3754" s="99">
        <v>45157</v>
      </c>
      <c r="AH3754" s="93" t="s">
        <v>14843</v>
      </c>
      <c r="AI3754" s="87" t="b">
        <v>0</v>
      </c>
      <c r="AJ3754" s="87"/>
      <c r="AK3754" s="87"/>
      <c r="AL3754" s="87"/>
      <c r="AM3754" s="87"/>
      <c r="AN3754" s="87"/>
      <c r="AO3754" s="87"/>
      <c r="AP3754" s="87"/>
      <c r="AQ3754" s="87"/>
      <c r="AR3754" s="87"/>
      <c r="AS3754" s="87"/>
      <c r="AT3754" s="87"/>
      <c r="AU3754" s="87"/>
      <c r="AV3754" s="92" t="str">
        <f>HYPERLINK("https://pbs.twimg.com/profile_images/1599206756424491015/ozua_6xi_normal.jpg")</f>
        <v>https://pbs.twimg.com/profile_images/1599206756424491015/ozua_6xi_normal.jpg</v>
      </c>
      <c r="AW3754" s="93" t="s">
        <v>21867</v>
      </c>
      <c r="AX3754" s="93" t="s">
        <v>21867</v>
      </c>
      <c r="AY3754" s="87"/>
      <c r="AZ3754" s="93" t="s">
        <v>22668</v>
      </c>
      <c r="BA3754" s="93" t="s">
        <v>22668</v>
      </c>
      <c r="BB3754" s="93" t="s">
        <v>22668</v>
      </c>
      <c r="BC3754" s="93" t="s">
        <v>21867</v>
      </c>
      <c r="BD3754" s="93" t="s">
        <v>23498</v>
      </c>
      <c r="BE3754" s="87"/>
      <c r="BF3754" s="87"/>
      <c r="BG3754" s="87"/>
      <c r="BH3754" s="87"/>
      <c r="BI3754" s="87"/>
    </row>
    <row r="3755" spans="1:61" x14ac:dyDescent="0.25">
      <c r="A3755" s="63" t="s">
        <v>1443</v>
      </c>
      <c r="B3755" s="63" t="s">
        <v>1443</v>
      </c>
      <c r="C3755" s="64"/>
      <c r="D3755" s="65"/>
      <c r="E3755" s="66"/>
      <c r="F3755" s="67"/>
      <c r="G3755" s="64"/>
      <c r="H3755" s="68"/>
      <c r="I3755" s="69"/>
      <c r="J3755" s="69"/>
      <c r="K3755" s="32"/>
      <c r="L3755" s="76">
        <v>3755</v>
      </c>
      <c r="M3755" s="76"/>
      <c r="N3755" s="71"/>
      <c r="O3755" s="87" t="s">
        <v>179</v>
      </c>
      <c r="P3755" s="90">
        <v>45192.515057870369</v>
      </c>
      <c r="Q3755" s="87" t="s">
        <v>5412</v>
      </c>
      <c r="R3755" s="87">
        <v>1</v>
      </c>
      <c r="S3755" s="87">
        <v>7</v>
      </c>
      <c r="T3755" s="87">
        <v>0</v>
      </c>
      <c r="U3755" s="87">
        <v>0</v>
      </c>
      <c r="V3755" s="87">
        <v>50</v>
      </c>
      <c r="W3755" s="93" t="s">
        <v>8041</v>
      </c>
      <c r="X3755" s="87"/>
      <c r="Y3755" s="87"/>
      <c r="Z3755" s="87"/>
      <c r="AA3755" s="87" t="s">
        <v>11161</v>
      </c>
      <c r="AB3755" s="87" t="s">
        <v>11448</v>
      </c>
      <c r="AC3755" s="93" t="s">
        <v>11457</v>
      </c>
      <c r="AD3755" s="87" t="s">
        <v>11519</v>
      </c>
      <c r="AE3755" s="92" t="str">
        <f>HYPERLINK("https://twitter.com/betacodex_pt/status/1705558050226991482")</f>
        <v>https://twitter.com/betacodex_pt/status/1705558050226991482</v>
      </c>
      <c r="AF3755" s="90">
        <v>45192.515057870369</v>
      </c>
      <c r="AG3755" s="99">
        <v>45192</v>
      </c>
      <c r="AH3755" s="93" t="s">
        <v>14844</v>
      </c>
      <c r="AI3755" s="87" t="b">
        <v>0</v>
      </c>
      <c r="AJ3755" s="87"/>
      <c r="AK3755" s="87"/>
      <c r="AL3755" s="87"/>
      <c r="AM3755" s="87"/>
      <c r="AN3755" s="87"/>
      <c r="AO3755" s="87"/>
      <c r="AP3755" s="87"/>
      <c r="AQ3755" s="87" t="s">
        <v>17973</v>
      </c>
      <c r="AR3755" s="87"/>
      <c r="AS3755" s="87"/>
      <c r="AT3755" s="87"/>
      <c r="AU3755" s="87"/>
      <c r="AV3755" s="92" t="str">
        <f>HYPERLINK("https://pbs.twimg.com/media/F6tb_ZyWMAAqo9j.jpg")</f>
        <v>https://pbs.twimg.com/media/F6tb_ZyWMAAqo9j.jpg</v>
      </c>
      <c r="AW3755" s="93" t="s">
        <v>21868</v>
      </c>
      <c r="AX3755" s="93" t="s">
        <v>21868</v>
      </c>
      <c r="AY3755" s="87"/>
      <c r="AZ3755" s="93" t="s">
        <v>22668</v>
      </c>
      <c r="BA3755" s="93" t="s">
        <v>22668</v>
      </c>
      <c r="BB3755" s="93" t="s">
        <v>22668</v>
      </c>
      <c r="BC3755" s="93" t="s">
        <v>21868</v>
      </c>
      <c r="BD3755" s="93" t="s">
        <v>23499</v>
      </c>
      <c r="BE3755" s="87"/>
      <c r="BF3755" s="87"/>
      <c r="BG3755" s="87"/>
      <c r="BH3755" s="87"/>
      <c r="BI3755" s="87"/>
    </row>
    <row r="3756" spans="1:61" x14ac:dyDescent="0.25">
      <c r="A3756" s="63" t="s">
        <v>1444</v>
      </c>
      <c r="B3756" s="63" t="s">
        <v>1444</v>
      </c>
      <c r="C3756" s="64"/>
      <c r="D3756" s="65"/>
      <c r="E3756" s="66"/>
      <c r="F3756" s="67"/>
      <c r="G3756" s="64"/>
      <c r="H3756" s="68"/>
      <c r="I3756" s="69"/>
      <c r="J3756" s="69"/>
      <c r="K3756" s="32"/>
      <c r="L3756" s="76">
        <v>3756</v>
      </c>
      <c r="M3756" s="76"/>
      <c r="N3756" s="71"/>
      <c r="O3756" s="87" t="s">
        <v>179</v>
      </c>
      <c r="P3756" s="90">
        <v>45135.625057870369</v>
      </c>
      <c r="Q3756" s="87" t="s">
        <v>5413</v>
      </c>
      <c r="R3756" s="87">
        <v>0</v>
      </c>
      <c r="S3756" s="87">
        <v>0</v>
      </c>
      <c r="T3756" s="87">
        <v>1</v>
      </c>
      <c r="U3756" s="87">
        <v>0</v>
      </c>
      <c r="V3756" s="87">
        <v>6</v>
      </c>
      <c r="W3756" s="93" t="s">
        <v>8042</v>
      </c>
      <c r="X3756" s="87"/>
      <c r="Y3756" s="87"/>
      <c r="Z3756" s="87"/>
      <c r="AA3756" s="87" t="s">
        <v>11162</v>
      </c>
      <c r="AB3756" s="87" t="s">
        <v>11448</v>
      </c>
      <c r="AC3756" s="93" t="s">
        <v>11462</v>
      </c>
      <c r="AD3756" s="87" t="s">
        <v>11519</v>
      </c>
      <c r="AE3756" s="92" t="str">
        <f>HYPERLINK("https://twitter.com/b2h_marketing/status/1684941802401382402")</f>
        <v>https://twitter.com/b2h_marketing/status/1684941802401382402</v>
      </c>
      <c r="AF3756" s="90">
        <v>45135.625057870369</v>
      </c>
      <c r="AG3756" s="99">
        <v>45135</v>
      </c>
      <c r="AH3756" s="93" t="s">
        <v>13000</v>
      </c>
      <c r="AI3756" s="87" t="b">
        <v>0</v>
      </c>
      <c r="AJ3756" s="87"/>
      <c r="AK3756" s="87"/>
      <c r="AL3756" s="87"/>
      <c r="AM3756" s="87"/>
      <c r="AN3756" s="87"/>
      <c r="AO3756" s="87"/>
      <c r="AP3756" s="87"/>
      <c r="AQ3756" s="87" t="s">
        <v>17974</v>
      </c>
      <c r="AR3756" s="87"/>
      <c r="AS3756" s="87"/>
      <c r="AT3756" s="87"/>
      <c r="AU3756" s="87"/>
      <c r="AV3756" s="92" t="str">
        <f>HYPERLINK("https://pbs.twimg.com/media/F2Ido-tXkAA8uf_.jpg")</f>
        <v>https://pbs.twimg.com/media/F2Ido-tXkAA8uf_.jpg</v>
      </c>
      <c r="AW3756" s="93" t="s">
        <v>21869</v>
      </c>
      <c r="AX3756" s="93" t="s">
        <v>21869</v>
      </c>
      <c r="AY3756" s="87"/>
      <c r="AZ3756" s="93" t="s">
        <v>22668</v>
      </c>
      <c r="BA3756" s="93" t="s">
        <v>22668</v>
      </c>
      <c r="BB3756" s="93" t="s">
        <v>22668</v>
      </c>
      <c r="BC3756" s="93" t="s">
        <v>21869</v>
      </c>
      <c r="BD3756" s="93" t="s">
        <v>23500</v>
      </c>
      <c r="BE3756" s="87"/>
      <c r="BF3756" s="87"/>
      <c r="BG3756" s="87"/>
      <c r="BH3756" s="87"/>
      <c r="BI3756" s="87"/>
    </row>
    <row r="3757" spans="1:61" x14ac:dyDescent="0.25">
      <c r="A3757" s="63" t="s">
        <v>1444</v>
      </c>
      <c r="B3757" s="63" t="s">
        <v>1444</v>
      </c>
      <c r="C3757" s="64"/>
      <c r="D3757" s="65"/>
      <c r="E3757" s="66"/>
      <c r="F3757" s="67"/>
      <c r="G3757" s="64"/>
      <c r="H3757" s="68"/>
      <c r="I3757" s="69"/>
      <c r="J3757" s="69"/>
      <c r="K3757" s="32"/>
      <c r="L3757" s="76">
        <v>3757</v>
      </c>
      <c r="M3757" s="76"/>
      <c r="N3757" s="71"/>
      <c r="O3757" s="87" t="s">
        <v>179</v>
      </c>
      <c r="P3757" s="90">
        <v>45138.6250462963</v>
      </c>
      <c r="Q3757" s="87" t="s">
        <v>5414</v>
      </c>
      <c r="R3757" s="87">
        <v>0</v>
      </c>
      <c r="S3757" s="87">
        <v>0</v>
      </c>
      <c r="T3757" s="87">
        <v>1</v>
      </c>
      <c r="U3757" s="87">
        <v>0</v>
      </c>
      <c r="V3757" s="87">
        <v>14</v>
      </c>
      <c r="W3757" s="93" t="s">
        <v>8043</v>
      </c>
      <c r="X3757" s="87"/>
      <c r="Y3757" s="87"/>
      <c r="Z3757" s="87"/>
      <c r="AA3757" s="87" t="s">
        <v>11163</v>
      </c>
      <c r="AB3757" s="87" t="s">
        <v>11448</v>
      </c>
      <c r="AC3757" s="93" t="s">
        <v>11462</v>
      </c>
      <c r="AD3757" s="87" t="s">
        <v>11519</v>
      </c>
      <c r="AE3757" s="92" t="str">
        <f>HYPERLINK("https://twitter.com/b2h_marketing/status/1686028964907622401")</f>
        <v>https://twitter.com/b2h_marketing/status/1686028964907622401</v>
      </c>
      <c r="AF3757" s="90">
        <v>45138.6250462963</v>
      </c>
      <c r="AG3757" s="99">
        <v>45138</v>
      </c>
      <c r="AH3757" s="93" t="s">
        <v>12315</v>
      </c>
      <c r="AI3757" s="87" t="b">
        <v>0</v>
      </c>
      <c r="AJ3757" s="87"/>
      <c r="AK3757" s="87"/>
      <c r="AL3757" s="87"/>
      <c r="AM3757" s="87"/>
      <c r="AN3757" s="87"/>
      <c r="AO3757" s="87"/>
      <c r="AP3757" s="87"/>
      <c r="AQ3757" s="87" t="s">
        <v>17975</v>
      </c>
      <c r="AR3757" s="87"/>
      <c r="AS3757" s="87"/>
      <c r="AT3757" s="87"/>
      <c r="AU3757" s="87"/>
      <c r="AV3757" s="92" t="str">
        <f>HYPERLINK("https://pbs.twimg.com/media/F2X6aJwW0AAT4Tb.jpg")</f>
        <v>https://pbs.twimg.com/media/F2X6aJwW0AAT4Tb.jpg</v>
      </c>
      <c r="AW3757" s="93" t="s">
        <v>21870</v>
      </c>
      <c r="AX3757" s="93" t="s">
        <v>21870</v>
      </c>
      <c r="AY3757" s="87"/>
      <c r="AZ3757" s="93" t="s">
        <v>22668</v>
      </c>
      <c r="BA3757" s="93" t="s">
        <v>22668</v>
      </c>
      <c r="BB3757" s="93" t="s">
        <v>22668</v>
      </c>
      <c r="BC3757" s="93" t="s">
        <v>21870</v>
      </c>
      <c r="BD3757" s="93" t="s">
        <v>23500</v>
      </c>
      <c r="BE3757" s="87"/>
      <c r="BF3757" s="87"/>
      <c r="BG3757" s="87"/>
      <c r="BH3757" s="87"/>
      <c r="BI3757" s="87"/>
    </row>
    <row r="3758" spans="1:61" x14ac:dyDescent="0.25">
      <c r="A3758" s="63" t="s">
        <v>1445</v>
      </c>
      <c r="B3758" s="63" t="s">
        <v>1445</v>
      </c>
      <c r="C3758" s="64"/>
      <c r="D3758" s="65"/>
      <c r="E3758" s="66"/>
      <c r="F3758" s="67"/>
      <c r="G3758" s="64"/>
      <c r="H3758" s="68"/>
      <c r="I3758" s="69"/>
      <c r="J3758" s="69"/>
      <c r="K3758" s="32"/>
      <c r="L3758" s="76">
        <v>3758</v>
      </c>
      <c r="M3758" s="76"/>
      <c r="N3758" s="71"/>
      <c r="O3758" s="87" t="s">
        <v>179</v>
      </c>
      <c r="P3758" s="90">
        <v>45123.687824074077</v>
      </c>
      <c r="Q3758" s="87" t="s">
        <v>5415</v>
      </c>
      <c r="R3758" s="87">
        <v>0</v>
      </c>
      <c r="S3758" s="87">
        <v>0</v>
      </c>
      <c r="T3758" s="87">
        <v>0</v>
      </c>
      <c r="U3758" s="87">
        <v>0</v>
      </c>
      <c r="V3758" s="87">
        <v>9</v>
      </c>
      <c r="W3758" s="93" t="s">
        <v>8044</v>
      </c>
      <c r="X3758" s="87"/>
      <c r="Y3758" s="87"/>
      <c r="Z3758" s="87"/>
      <c r="AA3758" s="87" t="s">
        <v>11164</v>
      </c>
      <c r="AB3758" s="87" t="s">
        <v>11448</v>
      </c>
      <c r="AC3758" s="93" t="s">
        <v>11457</v>
      </c>
      <c r="AD3758" s="87" t="s">
        <v>11519</v>
      </c>
      <c r="AE3758" s="92" t="str">
        <f>HYPERLINK("https://twitter.com/aguaminalinda/status/1680615896857935874")</f>
        <v>https://twitter.com/aguaminalinda/status/1680615896857935874</v>
      </c>
      <c r="AF3758" s="90">
        <v>45123.687824074077</v>
      </c>
      <c r="AG3758" s="99">
        <v>45123</v>
      </c>
      <c r="AH3758" s="93" t="s">
        <v>14845</v>
      </c>
      <c r="AI3758" s="87" t="b">
        <v>0</v>
      </c>
      <c r="AJ3758" s="87"/>
      <c r="AK3758" s="87"/>
      <c r="AL3758" s="87"/>
      <c r="AM3758" s="87"/>
      <c r="AN3758" s="87"/>
      <c r="AO3758" s="87"/>
      <c r="AP3758" s="87"/>
      <c r="AQ3758" s="87" t="s">
        <v>17976</v>
      </c>
      <c r="AR3758" s="87"/>
      <c r="AS3758" s="87"/>
      <c r="AT3758" s="87"/>
      <c r="AU3758" s="87"/>
      <c r="AV3758" s="92" t="str">
        <f>HYPERLINK("https://pbs.twimg.com/media/F1K_D-gWYAIsPJW.jpg")</f>
        <v>https://pbs.twimg.com/media/F1K_D-gWYAIsPJW.jpg</v>
      </c>
      <c r="AW3758" s="93" t="s">
        <v>21871</v>
      </c>
      <c r="AX3758" s="93" t="s">
        <v>21871</v>
      </c>
      <c r="AY3758" s="87"/>
      <c r="AZ3758" s="93" t="s">
        <v>22668</v>
      </c>
      <c r="BA3758" s="93" t="s">
        <v>22668</v>
      </c>
      <c r="BB3758" s="93" t="s">
        <v>22668</v>
      </c>
      <c r="BC3758" s="93" t="s">
        <v>21871</v>
      </c>
      <c r="BD3758" s="93" t="s">
        <v>23501</v>
      </c>
      <c r="BE3758" s="87"/>
      <c r="BF3758" s="87"/>
      <c r="BG3758" s="87"/>
      <c r="BH3758" s="87"/>
      <c r="BI3758" s="87"/>
    </row>
    <row r="3759" spans="1:61" x14ac:dyDescent="0.25">
      <c r="A3759" s="63" t="s">
        <v>1446</v>
      </c>
      <c r="B3759" s="63" t="s">
        <v>1446</v>
      </c>
      <c r="C3759" s="64"/>
      <c r="D3759" s="65"/>
      <c r="E3759" s="66"/>
      <c r="F3759" s="67"/>
      <c r="G3759" s="64"/>
      <c r="H3759" s="68"/>
      <c r="I3759" s="69"/>
      <c r="J3759" s="69"/>
      <c r="K3759" s="32"/>
      <c r="L3759" s="76">
        <v>3759</v>
      </c>
      <c r="M3759" s="76"/>
      <c r="N3759" s="71"/>
      <c r="O3759" s="87" t="s">
        <v>179</v>
      </c>
      <c r="P3759" s="90">
        <v>45111.811967592592</v>
      </c>
      <c r="Q3759" s="87" t="s">
        <v>5416</v>
      </c>
      <c r="R3759" s="87">
        <v>0</v>
      </c>
      <c r="S3759" s="87">
        <v>1</v>
      </c>
      <c r="T3759" s="87">
        <v>0</v>
      </c>
      <c r="U3759" s="87">
        <v>0</v>
      </c>
      <c r="V3759" s="87">
        <v>71</v>
      </c>
      <c r="W3759" s="93" t="s">
        <v>8045</v>
      </c>
      <c r="X3759" s="87"/>
      <c r="Y3759" s="87"/>
      <c r="Z3759" s="87"/>
      <c r="AA3759" s="87" t="s">
        <v>11165</v>
      </c>
      <c r="AB3759" s="87" t="s">
        <v>11448</v>
      </c>
      <c r="AC3759" s="93" t="s">
        <v>11457</v>
      </c>
      <c r="AD3759" s="87" t="s">
        <v>11519</v>
      </c>
      <c r="AE3759" s="92" t="str">
        <f>HYPERLINK("https://twitter.com/empreendertv/status/1676312229124141068")</f>
        <v>https://twitter.com/empreendertv/status/1676312229124141068</v>
      </c>
      <c r="AF3759" s="90">
        <v>45111.811967592592</v>
      </c>
      <c r="AG3759" s="99">
        <v>45111</v>
      </c>
      <c r="AH3759" s="93" t="s">
        <v>14846</v>
      </c>
      <c r="AI3759" s="87" t="b">
        <v>0</v>
      </c>
      <c r="AJ3759" s="87"/>
      <c r="AK3759" s="87"/>
      <c r="AL3759" s="87"/>
      <c r="AM3759" s="87"/>
      <c r="AN3759" s="87"/>
      <c r="AO3759" s="87"/>
      <c r="AP3759" s="87"/>
      <c r="AQ3759" s="87" t="s">
        <v>17977</v>
      </c>
      <c r="AR3759" s="87"/>
      <c r="AS3759" s="87"/>
      <c r="AT3759" s="87"/>
      <c r="AU3759" s="87"/>
      <c r="AV3759" s="92" t="str">
        <f>HYPERLINK("https://pbs.twimg.com/media/F0N1FePWcAoBN8_.jpg")</f>
        <v>https://pbs.twimg.com/media/F0N1FePWcAoBN8_.jpg</v>
      </c>
      <c r="AW3759" s="93" t="s">
        <v>21872</v>
      </c>
      <c r="AX3759" s="93" t="s">
        <v>21872</v>
      </c>
      <c r="AY3759" s="87"/>
      <c r="AZ3759" s="93" t="s">
        <v>22668</v>
      </c>
      <c r="BA3759" s="93" t="s">
        <v>22668</v>
      </c>
      <c r="BB3759" s="93" t="s">
        <v>22668</v>
      </c>
      <c r="BC3759" s="93" t="s">
        <v>21872</v>
      </c>
      <c r="BD3759" s="93" t="s">
        <v>23502</v>
      </c>
      <c r="BE3759" s="87"/>
      <c r="BF3759" s="87"/>
      <c r="BG3759" s="87"/>
      <c r="BH3759" s="87"/>
      <c r="BI3759" s="87"/>
    </row>
    <row r="3760" spans="1:61" x14ac:dyDescent="0.25">
      <c r="A3760" s="63" t="s">
        <v>1447</v>
      </c>
      <c r="B3760" s="63" t="s">
        <v>1447</v>
      </c>
      <c r="C3760" s="64"/>
      <c r="D3760" s="65"/>
      <c r="E3760" s="66"/>
      <c r="F3760" s="67"/>
      <c r="G3760" s="64"/>
      <c r="H3760" s="68"/>
      <c r="I3760" s="69"/>
      <c r="J3760" s="69"/>
      <c r="K3760" s="32"/>
      <c r="L3760" s="76">
        <v>3760</v>
      </c>
      <c r="M3760" s="76"/>
      <c r="N3760" s="71"/>
      <c r="O3760" s="87" t="s">
        <v>179</v>
      </c>
      <c r="P3760" s="90">
        <v>45194.561412037037</v>
      </c>
      <c r="Q3760" s="87" t="s">
        <v>5417</v>
      </c>
      <c r="R3760" s="87">
        <v>0</v>
      </c>
      <c r="S3760" s="87">
        <v>0</v>
      </c>
      <c r="T3760" s="87">
        <v>0</v>
      </c>
      <c r="U3760" s="87">
        <v>0</v>
      </c>
      <c r="V3760" s="87">
        <v>10</v>
      </c>
      <c r="W3760" s="93" t="s">
        <v>8046</v>
      </c>
      <c r="X3760" s="92" t="str">
        <f>HYPERLINK("https://tnonline.uol.com.br/_/795447")</f>
        <v>https://tnonline.uol.com.br/_/795447</v>
      </c>
      <c r="Y3760" s="87" t="s">
        <v>8373</v>
      </c>
      <c r="Z3760" s="87"/>
      <c r="AA3760" s="87"/>
      <c r="AB3760" s="87"/>
      <c r="AC3760" s="93" t="s">
        <v>11516</v>
      </c>
      <c r="AD3760" s="87" t="s">
        <v>11519</v>
      </c>
      <c r="AE3760" s="92" t="str">
        <f>HYPERLINK("https://twitter.com/sitetnonline/status/1706299624305099051")</f>
        <v>https://twitter.com/sitetnonline/status/1706299624305099051</v>
      </c>
      <c r="AF3760" s="90">
        <v>45194.561412037037</v>
      </c>
      <c r="AG3760" s="99">
        <v>45194</v>
      </c>
      <c r="AH3760" s="93" t="s">
        <v>14847</v>
      </c>
      <c r="AI3760" s="87" t="b">
        <v>0</v>
      </c>
      <c r="AJ3760" s="87"/>
      <c r="AK3760" s="87"/>
      <c r="AL3760" s="87"/>
      <c r="AM3760" s="87"/>
      <c r="AN3760" s="87"/>
      <c r="AO3760" s="87"/>
      <c r="AP3760" s="87"/>
      <c r="AQ3760" s="87"/>
      <c r="AR3760" s="87"/>
      <c r="AS3760" s="87"/>
      <c r="AT3760" s="87"/>
      <c r="AU3760" s="87"/>
      <c r="AV3760" s="92" t="str">
        <f>HYPERLINK("https://pbs.twimg.com/profile_images/1412500911511965703/0rLzsG70_normal.jpg")</f>
        <v>https://pbs.twimg.com/profile_images/1412500911511965703/0rLzsG70_normal.jpg</v>
      </c>
      <c r="AW3760" s="93" t="s">
        <v>21873</v>
      </c>
      <c r="AX3760" s="93" t="s">
        <v>21873</v>
      </c>
      <c r="AY3760" s="87"/>
      <c r="AZ3760" s="93" t="s">
        <v>22668</v>
      </c>
      <c r="BA3760" s="93" t="s">
        <v>22668</v>
      </c>
      <c r="BB3760" s="93" t="s">
        <v>22668</v>
      </c>
      <c r="BC3760" s="93" t="s">
        <v>21873</v>
      </c>
      <c r="BD3760" s="87">
        <v>122684856</v>
      </c>
      <c r="BE3760" s="87"/>
      <c r="BF3760" s="87"/>
      <c r="BG3760" s="87"/>
      <c r="BH3760" s="87"/>
      <c r="BI3760" s="87"/>
    </row>
    <row r="3761" spans="1:61" x14ac:dyDescent="0.25">
      <c r="A3761" s="63" t="s">
        <v>1448</v>
      </c>
      <c r="B3761" s="63" t="s">
        <v>1448</v>
      </c>
      <c r="C3761" s="64"/>
      <c r="D3761" s="65"/>
      <c r="E3761" s="66"/>
      <c r="F3761" s="67"/>
      <c r="G3761" s="64"/>
      <c r="H3761" s="68"/>
      <c r="I3761" s="69"/>
      <c r="J3761" s="69"/>
      <c r="K3761" s="32"/>
      <c r="L3761" s="76">
        <v>3761</v>
      </c>
      <c r="M3761" s="76"/>
      <c r="N3761" s="71"/>
      <c r="O3761" s="87" t="s">
        <v>179</v>
      </c>
      <c r="P3761" s="90">
        <v>45117.527812499997</v>
      </c>
      <c r="Q3761" s="87" t="s">
        <v>5418</v>
      </c>
      <c r="R3761" s="87">
        <v>0</v>
      </c>
      <c r="S3761" s="87">
        <v>0</v>
      </c>
      <c r="T3761" s="87">
        <v>0</v>
      </c>
      <c r="U3761" s="87">
        <v>0</v>
      </c>
      <c r="V3761" s="87">
        <v>38</v>
      </c>
      <c r="W3761" s="93" t="s">
        <v>8047</v>
      </c>
      <c r="X3761" s="87"/>
      <c r="Y3761" s="87"/>
      <c r="Z3761" s="87"/>
      <c r="AA3761" s="87" t="s">
        <v>11166</v>
      </c>
      <c r="AB3761" s="87" t="s">
        <v>11447</v>
      </c>
      <c r="AC3761" s="93" t="s">
        <v>11457</v>
      </c>
      <c r="AD3761" s="87" t="s">
        <v>11519</v>
      </c>
      <c r="AE3761" s="92" t="str">
        <f>HYPERLINK("https://twitter.com/prefcg/status/1678383582044192769")</f>
        <v>https://twitter.com/prefcg/status/1678383582044192769</v>
      </c>
      <c r="AF3761" s="90">
        <v>45117.527812499997</v>
      </c>
      <c r="AG3761" s="99">
        <v>45117</v>
      </c>
      <c r="AH3761" s="93" t="s">
        <v>14848</v>
      </c>
      <c r="AI3761" s="87" t="b">
        <v>0</v>
      </c>
      <c r="AJ3761" s="87"/>
      <c r="AK3761" s="87"/>
      <c r="AL3761" s="87"/>
      <c r="AM3761" s="87"/>
      <c r="AN3761" s="87"/>
      <c r="AO3761" s="87"/>
      <c r="AP3761" s="87"/>
      <c r="AQ3761" s="87" t="s">
        <v>17978</v>
      </c>
      <c r="AR3761" s="87">
        <v>77143</v>
      </c>
      <c r="AS3761" s="87"/>
      <c r="AT3761" s="87"/>
      <c r="AU3761" s="87"/>
      <c r="AV3761" s="92" t="str">
        <f>HYPERLINK("https://pbs.twimg.com/ext_tw_video_thumb/1678383360077430784/pu/img/1gZboVnpNIn3ywcD.jpg")</f>
        <v>https://pbs.twimg.com/ext_tw_video_thumb/1678383360077430784/pu/img/1gZboVnpNIn3ywcD.jpg</v>
      </c>
      <c r="AW3761" s="93" t="s">
        <v>21874</v>
      </c>
      <c r="AX3761" s="93" t="s">
        <v>21874</v>
      </c>
      <c r="AY3761" s="87"/>
      <c r="AZ3761" s="93" t="s">
        <v>22668</v>
      </c>
      <c r="BA3761" s="93" t="s">
        <v>22668</v>
      </c>
      <c r="BB3761" s="93" t="s">
        <v>22668</v>
      </c>
      <c r="BC3761" s="93" t="s">
        <v>21874</v>
      </c>
      <c r="BD3761" s="93" t="s">
        <v>23503</v>
      </c>
      <c r="BE3761" s="87"/>
      <c r="BF3761" s="87"/>
      <c r="BG3761" s="87"/>
      <c r="BH3761" s="87"/>
      <c r="BI3761" s="87"/>
    </row>
    <row r="3762" spans="1:61" x14ac:dyDescent="0.25">
      <c r="A3762" s="63" t="s">
        <v>1449</v>
      </c>
      <c r="B3762" s="63" t="s">
        <v>1449</v>
      </c>
      <c r="C3762" s="64"/>
      <c r="D3762" s="65"/>
      <c r="E3762" s="66"/>
      <c r="F3762" s="67"/>
      <c r="G3762" s="64"/>
      <c r="H3762" s="68"/>
      <c r="I3762" s="69"/>
      <c r="J3762" s="69"/>
      <c r="K3762" s="32"/>
      <c r="L3762" s="76">
        <v>3762</v>
      </c>
      <c r="M3762" s="76"/>
      <c r="N3762" s="71"/>
      <c r="O3762" s="87" t="s">
        <v>179</v>
      </c>
      <c r="P3762" s="90">
        <v>45151.11141203704</v>
      </c>
      <c r="Q3762" s="87" t="s">
        <v>5419</v>
      </c>
      <c r="R3762" s="87">
        <v>0</v>
      </c>
      <c r="S3762" s="87">
        <v>0</v>
      </c>
      <c r="T3762" s="87">
        <v>0</v>
      </c>
      <c r="U3762" s="87">
        <v>0</v>
      </c>
      <c r="V3762" s="87">
        <v>11</v>
      </c>
      <c r="W3762" s="93" t="s">
        <v>8048</v>
      </c>
      <c r="X3762" s="92" t="str">
        <f>HYPERLINK("https://pay.kiwify.com.br/slpJYr6")</f>
        <v>https://pay.kiwify.com.br/slpJYr6</v>
      </c>
      <c r="Y3762" s="87" t="s">
        <v>8373</v>
      </c>
      <c r="Z3762" s="87"/>
      <c r="AA3762" s="87" t="s">
        <v>11167</v>
      </c>
      <c r="AB3762" s="87" t="s">
        <v>11447</v>
      </c>
      <c r="AC3762" s="93" t="s">
        <v>11458</v>
      </c>
      <c r="AD3762" s="87" t="s">
        <v>11519</v>
      </c>
      <c r="AE3762" s="92" t="str">
        <f>HYPERLINK("https://twitter.com/digitalbussin/status/1690553871783915520")</f>
        <v>https://twitter.com/digitalbussin/status/1690553871783915520</v>
      </c>
      <c r="AF3762" s="90">
        <v>45151.11141203704</v>
      </c>
      <c r="AG3762" s="99">
        <v>45151</v>
      </c>
      <c r="AH3762" s="93" t="s">
        <v>14849</v>
      </c>
      <c r="AI3762" s="87" t="b">
        <v>0</v>
      </c>
      <c r="AJ3762" s="87"/>
      <c r="AK3762" s="87"/>
      <c r="AL3762" s="87"/>
      <c r="AM3762" s="87"/>
      <c r="AN3762" s="87"/>
      <c r="AO3762" s="87"/>
      <c r="AP3762" s="87"/>
      <c r="AQ3762" s="87" t="s">
        <v>17979</v>
      </c>
      <c r="AR3762" s="87">
        <v>20100</v>
      </c>
      <c r="AS3762" s="87"/>
      <c r="AT3762" s="87"/>
      <c r="AU3762" s="87"/>
      <c r="AV3762" s="92" t="str">
        <f>HYPERLINK("https://pbs.twimg.com/ext_tw_video_thumb/1690553843598123008/pu/img/onmZW22k9K6MRmYI.jpg")</f>
        <v>https://pbs.twimg.com/ext_tw_video_thumb/1690553843598123008/pu/img/onmZW22k9K6MRmYI.jpg</v>
      </c>
      <c r="AW3762" s="93" t="s">
        <v>21875</v>
      </c>
      <c r="AX3762" s="93" t="s">
        <v>21875</v>
      </c>
      <c r="AY3762" s="87"/>
      <c r="AZ3762" s="93" t="s">
        <v>22668</v>
      </c>
      <c r="BA3762" s="93" t="s">
        <v>22668</v>
      </c>
      <c r="BB3762" s="93" t="s">
        <v>22668</v>
      </c>
      <c r="BC3762" s="93" t="s">
        <v>21875</v>
      </c>
      <c r="BD3762" s="93" t="s">
        <v>23504</v>
      </c>
      <c r="BE3762" s="87"/>
      <c r="BF3762" s="87"/>
      <c r="BG3762" s="87"/>
      <c r="BH3762" s="87"/>
      <c r="BI3762" s="87"/>
    </row>
    <row r="3763" spans="1:61" x14ac:dyDescent="0.25">
      <c r="A3763" s="63" t="s">
        <v>1450</v>
      </c>
      <c r="B3763" s="63" t="s">
        <v>1450</v>
      </c>
      <c r="C3763" s="64"/>
      <c r="D3763" s="65"/>
      <c r="E3763" s="66"/>
      <c r="F3763" s="67"/>
      <c r="G3763" s="64"/>
      <c r="H3763" s="68"/>
      <c r="I3763" s="69"/>
      <c r="J3763" s="69"/>
      <c r="K3763" s="32"/>
      <c r="L3763" s="76">
        <v>3763</v>
      </c>
      <c r="M3763" s="76"/>
      <c r="N3763" s="71"/>
      <c r="O3763" s="87" t="s">
        <v>179</v>
      </c>
      <c r="P3763" s="90">
        <v>45125.756909722222</v>
      </c>
      <c r="Q3763" s="87" t="s">
        <v>5420</v>
      </c>
      <c r="R3763" s="87">
        <v>0</v>
      </c>
      <c r="S3763" s="87">
        <v>0</v>
      </c>
      <c r="T3763" s="87">
        <v>0</v>
      </c>
      <c r="U3763" s="87">
        <v>0</v>
      </c>
      <c r="V3763" s="87">
        <v>12</v>
      </c>
      <c r="W3763" s="93" t="s">
        <v>6295</v>
      </c>
      <c r="X3763" s="92" t="str">
        <f>HYPERLINK("https://moneyinvest.com.br/baixa-do-mei-como-encerrar-sua-empresa/")</f>
        <v>https://moneyinvest.com.br/baixa-do-mei-como-encerrar-sua-empresa/</v>
      </c>
      <c r="Y3763" s="87" t="s">
        <v>8373</v>
      </c>
      <c r="Z3763" s="87"/>
      <c r="AA3763" s="87"/>
      <c r="AB3763" s="87"/>
      <c r="AC3763" s="93" t="s">
        <v>11457</v>
      </c>
      <c r="AD3763" s="87" t="s">
        <v>11520</v>
      </c>
      <c r="AE3763" s="92" t="str">
        <f>HYPERLINK("https://twitter.com/moneyiinvest/status/1681365706955280385")</f>
        <v>https://twitter.com/moneyiinvest/status/1681365706955280385</v>
      </c>
      <c r="AF3763" s="90">
        <v>45125.756909722222</v>
      </c>
      <c r="AG3763" s="99">
        <v>45125</v>
      </c>
      <c r="AH3763" s="93" t="s">
        <v>14850</v>
      </c>
      <c r="AI3763" s="87" t="b">
        <v>0</v>
      </c>
      <c r="AJ3763" s="87"/>
      <c r="AK3763" s="87"/>
      <c r="AL3763" s="87"/>
      <c r="AM3763" s="87"/>
      <c r="AN3763" s="87"/>
      <c r="AO3763" s="87"/>
      <c r="AP3763" s="87"/>
      <c r="AQ3763" s="87"/>
      <c r="AR3763" s="87"/>
      <c r="AS3763" s="87"/>
      <c r="AT3763" s="87"/>
      <c r="AU3763" s="87"/>
      <c r="AV3763" s="92" t="str">
        <f>HYPERLINK("https://pbs.twimg.com/profile_images/1534183094667845634/RntiKf63_normal.jpg")</f>
        <v>https://pbs.twimg.com/profile_images/1534183094667845634/RntiKf63_normal.jpg</v>
      </c>
      <c r="AW3763" s="93" t="s">
        <v>21876</v>
      </c>
      <c r="AX3763" s="93" t="s">
        <v>21876</v>
      </c>
      <c r="AY3763" s="87"/>
      <c r="AZ3763" s="93" t="s">
        <v>22668</v>
      </c>
      <c r="BA3763" s="93" t="s">
        <v>22668</v>
      </c>
      <c r="BB3763" s="93" t="s">
        <v>22668</v>
      </c>
      <c r="BC3763" s="93" t="s">
        <v>21876</v>
      </c>
      <c r="BD3763" s="93" t="s">
        <v>23505</v>
      </c>
      <c r="BE3763" s="87"/>
      <c r="BF3763" s="87"/>
      <c r="BG3763" s="87"/>
      <c r="BH3763" s="87"/>
      <c r="BI3763" s="87"/>
    </row>
    <row r="3764" spans="1:61" x14ac:dyDescent="0.25">
      <c r="A3764" s="63" t="s">
        <v>1451</v>
      </c>
      <c r="B3764" s="63" t="s">
        <v>1451</v>
      </c>
      <c r="C3764" s="64"/>
      <c r="D3764" s="65"/>
      <c r="E3764" s="66"/>
      <c r="F3764" s="67"/>
      <c r="G3764" s="64"/>
      <c r="H3764" s="68"/>
      <c r="I3764" s="69"/>
      <c r="J3764" s="69"/>
      <c r="K3764" s="32"/>
      <c r="L3764" s="76">
        <v>3764</v>
      </c>
      <c r="M3764" s="76"/>
      <c r="N3764" s="71"/>
      <c r="O3764" s="87" t="s">
        <v>179</v>
      </c>
      <c r="P3764" s="90">
        <v>45111.677581018521</v>
      </c>
      <c r="Q3764" s="87" t="s">
        <v>5421</v>
      </c>
      <c r="R3764" s="87">
        <v>0</v>
      </c>
      <c r="S3764" s="87">
        <v>0</v>
      </c>
      <c r="T3764" s="87">
        <v>0</v>
      </c>
      <c r="U3764" s="87">
        <v>0</v>
      </c>
      <c r="V3764" s="87">
        <v>1</v>
      </c>
      <c r="W3764" s="93" t="s">
        <v>7548</v>
      </c>
      <c r="X3764" s="92" t="str">
        <f>HYPERLINK("https://lnkd.in/dTdiHsGy")</f>
        <v>https://lnkd.in/dTdiHsGy</v>
      </c>
      <c r="Y3764" s="87" t="s">
        <v>8408</v>
      </c>
      <c r="Z3764" s="87"/>
      <c r="AA3764" s="87"/>
      <c r="AB3764" s="87"/>
      <c r="AC3764" s="93" t="s">
        <v>11474</v>
      </c>
      <c r="AD3764" s="87" t="s">
        <v>11519</v>
      </c>
      <c r="AE3764" s="92" t="str">
        <f>HYPERLINK("https://twitter.com/pedroconda87/status/1676263530847191040")</f>
        <v>https://twitter.com/pedroconda87/status/1676263530847191040</v>
      </c>
      <c r="AF3764" s="90">
        <v>45111.677581018521</v>
      </c>
      <c r="AG3764" s="99">
        <v>45111</v>
      </c>
      <c r="AH3764" s="93" t="s">
        <v>14851</v>
      </c>
      <c r="AI3764" s="87" t="b">
        <v>0</v>
      </c>
      <c r="AJ3764" s="87"/>
      <c r="AK3764" s="87"/>
      <c r="AL3764" s="87"/>
      <c r="AM3764" s="87"/>
      <c r="AN3764" s="87"/>
      <c r="AO3764" s="87"/>
      <c r="AP3764" s="87"/>
      <c r="AQ3764" s="87"/>
      <c r="AR3764" s="87"/>
      <c r="AS3764" s="87"/>
      <c r="AT3764" s="87"/>
      <c r="AU3764" s="87"/>
      <c r="AV3764" s="92" t="str">
        <f>HYPERLINK("https://pbs.twimg.com/profile_images/1637467694344593408/qReQo7Rd_normal.jpg")</f>
        <v>https://pbs.twimg.com/profile_images/1637467694344593408/qReQo7Rd_normal.jpg</v>
      </c>
      <c r="AW3764" s="93" t="s">
        <v>21877</v>
      </c>
      <c r="AX3764" s="93" t="s">
        <v>21877</v>
      </c>
      <c r="AY3764" s="87"/>
      <c r="AZ3764" s="93" t="s">
        <v>22668</v>
      </c>
      <c r="BA3764" s="93" t="s">
        <v>22668</v>
      </c>
      <c r="BB3764" s="93" t="s">
        <v>22668</v>
      </c>
      <c r="BC3764" s="93" t="s">
        <v>21877</v>
      </c>
      <c r="BD3764" s="93" t="s">
        <v>23506</v>
      </c>
      <c r="BE3764" s="87"/>
      <c r="BF3764" s="87"/>
      <c r="BG3764" s="87"/>
      <c r="BH3764" s="87"/>
      <c r="BI3764" s="87"/>
    </row>
    <row r="3765" spans="1:61" x14ac:dyDescent="0.25">
      <c r="A3765" s="63" t="s">
        <v>1451</v>
      </c>
      <c r="B3765" s="63" t="s">
        <v>1451</v>
      </c>
      <c r="C3765" s="64"/>
      <c r="D3765" s="65"/>
      <c r="E3765" s="66"/>
      <c r="F3765" s="67"/>
      <c r="G3765" s="64"/>
      <c r="H3765" s="68"/>
      <c r="I3765" s="69"/>
      <c r="J3765" s="69"/>
      <c r="K3765" s="32"/>
      <c r="L3765" s="76">
        <v>3765</v>
      </c>
      <c r="M3765" s="76"/>
      <c r="N3765" s="71"/>
      <c r="O3765" s="87" t="s">
        <v>179</v>
      </c>
      <c r="P3765" s="90">
        <v>45111.675937499997</v>
      </c>
      <c r="Q3765" s="87" t="s">
        <v>5422</v>
      </c>
      <c r="R3765" s="87">
        <v>0</v>
      </c>
      <c r="S3765" s="87">
        <v>1</v>
      </c>
      <c r="T3765" s="87">
        <v>0</v>
      </c>
      <c r="U3765" s="87">
        <v>0</v>
      </c>
      <c r="V3765" s="87">
        <v>8</v>
      </c>
      <c r="W3765" s="93" t="s">
        <v>7548</v>
      </c>
      <c r="X3765" s="87"/>
      <c r="Y3765" s="87"/>
      <c r="Z3765" s="87"/>
      <c r="AA3765" s="87" t="s">
        <v>11168</v>
      </c>
      <c r="AB3765" s="87" t="s">
        <v>11448</v>
      </c>
      <c r="AC3765" s="93" t="s">
        <v>11459</v>
      </c>
      <c r="AD3765" s="87" t="s">
        <v>11519</v>
      </c>
      <c r="AE3765" s="92" t="str">
        <f>HYPERLINK("https://twitter.com/pedroconda87/status/1676262933792268288")</f>
        <v>https://twitter.com/pedroconda87/status/1676262933792268288</v>
      </c>
      <c r="AF3765" s="90">
        <v>45111.675937499997</v>
      </c>
      <c r="AG3765" s="99">
        <v>45111</v>
      </c>
      <c r="AH3765" s="93" t="s">
        <v>14852</v>
      </c>
      <c r="AI3765" s="87" t="b">
        <v>0</v>
      </c>
      <c r="AJ3765" s="87"/>
      <c r="AK3765" s="87"/>
      <c r="AL3765" s="87"/>
      <c r="AM3765" s="87"/>
      <c r="AN3765" s="87"/>
      <c r="AO3765" s="87"/>
      <c r="AP3765" s="87"/>
      <c r="AQ3765" s="87" t="s">
        <v>17980</v>
      </c>
      <c r="AR3765" s="87"/>
      <c r="AS3765" s="87"/>
      <c r="AT3765" s="87"/>
      <c r="AU3765" s="87"/>
      <c r="AV3765" s="92" t="str">
        <f>HYPERLINK("https://pbs.twimg.com/media/F0NIP8WXgAES6Hh.jpg")</f>
        <v>https://pbs.twimg.com/media/F0NIP8WXgAES6Hh.jpg</v>
      </c>
      <c r="AW3765" s="93" t="s">
        <v>21878</v>
      </c>
      <c r="AX3765" s="93" t="s">
        <v>21878</v>
      </c>
      <c r="AY3765" s="87"/>
      <c r="AZ3765" s="93" t="s">
        <v>22668</v>
      </c>
      <c r="BA3765" s="93" t="s">
        <v>22668</v>
      </c>
      <c r="BB3765" s="93" t="s">
        <v>22668</v>
      </c>
      <c r="BC3765" s="93" t="s">
        <v>21878</v>
      </c>
      <c r="BD3765" s="93" t="s">
        <v>23506</v>
      </c>
      <c r="BE3765" s="87"/>
      <c r="BF3765" s="87"/>
      <c r="BG3765" s="87"/>
      <c r="BH3765" s="87"/>
      <c r="BI3765" s="87"/>
    </row>
    <row r="3766" spans="1:61" x14ac:dyDescent="0.25">
      <c r="A3766" s="63" t="s">
        <v>1451</v>
      </c>
      <c r="B3766" s="63" t="s">
        <v>1451</v>
      </c>
      <c r="C3766" s="64"/>
      <c r="D3766" s="65"/>
      <c r="E3766" s="66"/>
      <c r="F3766" s="67"/>
      <c r="G3766" s="64"/>
      <c r="H3766" s="68"/>
      <c r="I3766" s="69"/>
      <c r="J3766" s="69"/>
      <c r="K3766" s="32"/>
      <c r="L3766" s="76">
        <v>3766</v>
      </c>
      <c r="M3766" s="76"/>
      <c r="N3766" s="71"/>
      <c r="O3766" s="87" t="s">
        <v>179</v>
      </c>
      <c r="P3766" s="90">
        <v>45180.684386574074</v>
      </c>
      <c r="Q3766" s="87" t="s">
        <v>5423</v>
      </c>
      <c r="R3766" s="87">
        <v>0</v>
      </c>
      <c r="S3766" s="87">
        <v>0</v>
      </c>
      <c r="T3766" s="87">
        <v>0</v>
      </c>
      <c r="U3766" s="87">
        <v>0</v>
      </c>
      <c r="V3766" s="87">
        <v>5</v>
      </c>
      <c r="W3766" s="93" t="s">
        <v>7548</v>
      </c>
      <c r="X3766" s="87"/>
      <c r="Y3766" s="87"/>
      <c r="Z3766" s="87"/>
      <c r="AA3766" s="87" t="s">
        <v>11169</v>
      </c>
      <c r="AB3766" s="87" t="s">
        <v>11448</v>
      </c>
      <c r="AC3766" s="93" t="s">
        <v>11459</v>
      </c>
      <c r="AD3766" s="87" t="s">
        <v>11519</v>
      </c>
      <c r="AE3766" s="92" t="str">
        <f>HYPERLINK("https://twitter.com/pedroconda87/status/1701270759954411623")</f>
        <v>https://twitter.com/pedroconda87/status/1701270759954411623</v>
      </c>
      <c r="AF3766" s="90">
        <v>45180.684386574074</v>
      </c>
      <c r="AG3766" s="99">
        <v>45180</v>
      </c>
      <c r="AH3766" s="93" t="s">
        <v>14853</v>
      </c>
      <c r="AI3766" s="87" t="b">
        <v>0</v>
      </c>
      <c r="AJ3766" s="87"/>
      <c r="AK3766" s="87"/>
      <c r="AL3766" s="87"/>
      <c r="AM3766" s="87"/>
      <c r="AN3766" s="87"/>
      <c r="AO3766" s="87"/>
      <c r="AP3766" s="87"/>
      <c r="AQ3766" s="87" t="s">
        <v>17981</v>
      </c>
      <c r="AR3766" s="87"/>
      <c r="AS3766" s="87"/>
      <c r="AT3766" s="87"/>
      <c r="AU3766" s="87"/>
      <c r="AV3766" s="92" t="str">
        <f>HYPERLINK("https://pbs.twimg.com/media/F5wgvSqbYAADne3.jpg")</f>
        <v>https://pbs.twimg.com/media/F5wgvSqbYAADne3.jpg</v>
      </c>
      <c r="AW3766" s="93" t="s">
        <v>21879</v>
      </c>
      <c r="AX3766" s="93" t="s">
        <v>21879</v>
      </c>
      <c r="AY3766" s="87"/>
      <c r="AZ3766" s="93" t="s">
        <v>22668</v>
      </c>
      <c r="BA3766" s="93" t="s">
        <v>22668</v>
      </c>
      <c r="BB3766" s="93" t="s">
        <v>22668</v>
      </c>
      <c r="BC3766" s="93" t="s">
        <v>21879</v>
      </c>
      <c r="BD3766" s="93" t="s">
        <v>23506</v>
      </c>
      <c r="BE3766" s="87"/>
      <c r="BF3766" s="87"/>
      <c r="BG3766" s="87"/>
      <c r="BH3766" s="87"/>
      <c r="BI3766" s="87"/>
    </row>
    <row r="3767" spans="1:61" x14ac:dyDescent="0.25">
      <c r="A3767" s="63" t="s">
        <v>1451</v>
      </c>
      <c r="B3767" s="63" t="s">
        <v>1451</v>
      </c>
      <c r="C3767" s="64"/>
      <c r="D3767" s="65"/>
      <c r="E3767" s="66"/>
      <c r="F3767" s="67"/>
      <c r="G3767" s="64"/>
      <c r="H3767" s="68"/>
      <c r="I3767" s="69"/>
      <c r="J3767" s="69"/>
      <c r="K3767" s="32"/>
      <c r="L3767" s="76">
        <v>3767</v>
      </c>
      <c r="M3767" s="76"/>
      <c r="N3767" s="71"/>
      <c r="O3767" s="87" t="s">
        <v>179</v>
      </c>
      <c r="P3767" s="90">
        <v>45165.614548611113</v>
      </c>
      <c r="Q3767" s="87" t="s">
        <v>5424</v>
      </c>
      <c r="R3767" s="87">
        <v>0</v>
      </c>
      <c r="S3767" s="87">
        <v>0</v>
      </c>
      <c r="T3767" s="87">
        <v>0</v>
      </c>
      <c r="U3767" s="87">
        <v>0</v>
      </c>
      <c r="V3767" s="87">
        <v>21</v>
      </c>
      <c r="W3767" s="93" t="s">
        <v>8049</v>
      </c>
      <c r="X3767" s="87"/>
      <c r="Y3767" s="87"/>
      <c r="Z3767" s="87"/>
      <c r="AA3767" s="87" t="s">
        <v>11170</v>
      </c>
      <c r="AB3767" s="87" t="s">
        <v>11448</v>
      </c>
      <c r="AC3767" s="93" t="s">
        <v>11459</v>
      </c>
      <c r="AD3767" s="87" t="s">
        <v>11519</v>
      </c>
      <c r="AE3767" s="92" t="str">
        <f>HYPERLINK("https://twitter.com/pedroconda87/status/1695809629815521738")</f>
        <v>https://twitter.com/pedroconda87/status/1695809629815521738</v>
      </c>
      <c r="AF3767" s="90">
        <v>45165.614548611113</v>
      </c>
      <c r="AG3767" s="99">
        <v>45165</v>
      </c>
      <c r="AH3767" s="93" t="s">
        <v>14854</v>
      </c>
      <c r="AI3767" s="87" t="b">
        <v>0</v>
      </c>
      <c r="AJ3767" s="87"/>
      <c r="AK3767" s="87"/>
      <c r="AL3767" s="87"/>
      <c r="AM3767" s="87"/>
      <c r="AN3767" s="87"/>
      <c r="AO3767" s="87"/>
      <c r="AP3767" s="87"/>
      <c r="AQ3767" s="87" t="s">
        <v>17982</v>
      </c>
      <c r="AR3767" s="87"/>
      <c r="AS3767" s="87"/>
      <c r="AT3767" s="87"/>
      <c r="AU3767" s="87"/>
      <c r="AV3767" s="92" t="str">
        <f>HYPERLINK("https://pbs.twimg.com/media/F4i53BbWgAEQvnR.jpg")</f>
        <v>https://pbs.twimg.com/media/F4i53BbWgAEQvnR.jpg</v>
      </c>
      <c r="AW3767" s="93" t="s">
        <v>21880</v>
      </c>
      <c r="AX3767" s="93" t="s">
        <v>21880</v>
      </c>
      <c r="AY3767" s="87"/>
      <c r="AZ3767" s="93" t="s">
        <v>22668</v>
      </c>
      <c r="BA3767" s="93" t="s">
        <v>22668</v>
      </c>
      <c r="BB3767" s="93" t="s">
        <v>22668</v>
      </c>
      <c r="BC3767" s="93" t="s">
        <v>21880</v>
      </c>
      <c r="BD3767" s="93" t="s">
        <v>23506</v>
      </c>
      <c r="BE3767" s="87"/>
      <c r="BF3767" s="87"/>
      <c r="BG3767" s="87"/>
      <c r="BH3767" s="87"/>
      <c r="BI3767" s="87"/>
    </row>
    <row r="3768" spans="1:61" x14ac:dyDescent="0.25">
      <c r="A3768" s="63" t="s">
        <v>1451</v>
      </c>
      <c r="B3768" s="63" t="s">
        <v>1451</v>
      </c>
      <c r="C3768" s="64"/>
      <c r="D3768" s="65"/>
      <c r="E3768" s="66"/>
      <c r="F3768" s="67"/>
      <c r="G3768" s="64"/>
      <c r="H3768" s="68"/>
      <c r="I3768" s="69"/>
      <c r="J3768" s="69"/>
      <c r="K3768" s="32"/>
      <c r="L3768" s="76">
        <v>3768</v>
      </c>
      <c r="M3768" s="76"/>
      <c r="N3768" s="71"/>
      <c r="O3768" s="87" t="s">
        <v>179</v>
      </c>
      <c r="P3768" s="90">
        <v>45179.734305555554</v>
      </c>
      <c r="Q3768" s="87" t="s">
        <v>5425</v>
      </c>
      <c r="R3768" s="87">
        <v>0</v>
      </c>
      <c r="S3768" s="87">
        <v>0</v>
      </c>
      <c r="T3768" s="87">
        <v>0</v>
      </c>
      <c r="U3768" s="87">
        <v>0</v>
      </c>
      <c r="V3768" s="87">
        <v>36</v>
      </c>
      <c r="W3768" s="93" t="s">
        <v>8050</v>
      </c>
      <c r="X3768" s="87"/>
      <c r="Y3768" s="87"/>
      <c r="Z3768" s="87"/>
      <c r="AA3768" s="87" t="s">
        <v>11171</v>
      </c>
      <c r="AB3768" s="87" t="s">
        <v>11448</v>
      </c>
      <c r="AC3768" s="93" t="s">
        <v>11459</v>
      </c>
      <c r="AD3768" s="87" t="s">
        <v>11519</v>
      </c>
      <c r="AE3768" s="92" t="str">
        <f>HYPERLINK("https://twitter.com/pedroconda87/status/1700926461543104824")</f>
        <v>https://twitter.com/pedroconda87/status/1700926461543104824</v>
      </c>
      <c r="AF3768" s="90">
        <v>45179.734305555554</v>
      </c>
      <c r="AG3768" s="99">
        <v>45179</v>
      </c>
      <c r="AH3768" s="93" t="s">
        <v>14855</v>
      </c>
      <c r="AI3768" s="87" t="b">
        <v>0</v>
      </c>
      <c r="AJ3768" s="87"/>
      <c r="AK3768" s="87"/>
      <c r="AL3768" s="87"/>
      <c r="AM3768" s="87"/>
      <c r="AN3768" s="87"/>
      <c r="AO3768" s="87"/>
      <c r="AP3768" s="87"/>
      <c r="AQ3768" s="87" t="s">
        <v>17983</v>
      </c>
      <c r="AR3768" s="87"/>
      <c r="AS3768" s="87"/>
      <c r="AT3768" s="87"/>
      <c r="AU3768" s="87"/>
      <c r="AV3768" s="92" t="str">
        <f>HYPERLINK("https://pbs.twimg.com/media/F5rnmPZXsAAmjne.jpg")</f>
        <v>https://pbs.twimg.com/media/F5rnmPZXsAAmjne.jpg</v>
      </c>
      <c r="AW3768" s="93" t="s">
        <v>21881</v>
      </c>
      <c r="AX3768" s="93" t="s">
        <v>21881</v>
      </c>
      <c r="AY3768" s="87"/>
      <c r="AZ3768" s="93" t="s">
        <v>22668</v>
      </c>
      <c r="BA3768" s="93" t="s">
        <v>22668</v>
      </c>
      <c r="BB3768" s="93" t="s">
        <v>22668</v>
      </c>
      <c r="BC3768" s="93" t="s">
        <v>21881</v>
      </c>
      <c r="BD3768" s="93" t="s">
        <v>23506</v>
      </c>
      <c r="BE3768" s="87"/>
      <c r="BF3768" s="87"/>
      <c r="BG3768" s="87"/>
      <c r="BH3768" s="87"/>
      <c r="BI3768" s="87"/>
    </row>
    <row r="3769" spans="1:61" x14ac:dyDescent="0.25">
      <c r="A3769" s="63" t="s">
        <v>1452</v>
      </c>
      <c r="B3769" s="63" t="s">
        <v>1452</v>
      </c>
      <c r="C3769" s="64"/>
      <c r="D3769" s="65"/>
      <c r="E3769" s="66"/>
      <c r="F3769" s="67"/>
      <c r="G3769" s="64"/>
      <c r="H3769" s="68"/>
      <c r="I3769" s="69"/>
      <c r="J3769" s="69"/>
      <c r="K3769" s="32"/>
      <c r="L3769" s="76">
        <v>3769</v>
      </c>
      <c r="M3769" s="76"/>
      <c r="N3769" s="71"/>
      <c r="O3769" s="87" t="s">
        <v>179</v>
      </c>
      <c r="P3769" s="90">
        <v>45126.72991898148</v>
      </c>
      <c r="Q3769" s="87" t="s">
        <v>5426</v>
      </c>
      <c r="R3769" s="87">
        <v>0</v>
      </c>
      <c r="S3769" s="87">
        <v>1</v>
      </c>
      <c r="T3769" s="87">
        <v>0</v>
      </c>
      <c r="U3769" s="87">
        <v>0</v>
      </c>
      <c r="V3769" s="87">
        <v>28</v>
      </c>
      <c r="W3769" s="93" t="s">
        <v>8051</v>
      </c>
      <c r="X3769" s="87"/>
      <c r="Y3769" s="87"/>
      <c r="Z3769" s="87"/>
      <c r="AA3769" s="87" t="s">
        <v>11172</v>
      </c>
      <c r="AB3769" s="87" t="s">
        <v>11447</v>
      </c>
      <c r="AC3769" s="93" t="s">
        <v>11460</v>
      </c>
      <c r="AD3769" s="87" t="s">
        <v>11519</v>
      </c>
      <c r="AE3769" s="92" t="str">
        <f>HYPERLINK("https://twitter.com/_podebem/status/1681718313246703617")</f>
        <v>https://twitter.com/_podebem/status/1681718313246703617</v>
      </c>
      <c r="AF3769" s="90">
        <v>45126.72991898148</v>
      </c>
      <c r="AG3769" s="99">
        <v>45126</v>
      </c>
      <c r="AH3769" s="93" t="s">
        <v>14564</v>
      </c>
      <c r="AI3769" s="87" t="b">
        <v>0</v>
      </c>
      <c r="AJ3769" s="87"/>
      <c r="AK3769" s="87"/>
      <c r="AL3769" s="87"/>
      <c r="AM3769" s="87"/>
      <c r="AN3769" s="87"/>
      <c r="AO3769" s="87"/>
      <c r="AP3769" s="87"/>
      <c r="AQ3769" s="87" t="s">
        <v>17984</v>
      </c>
      <c r="AR3769" s="87">
        <v>35250</v>
      </c>
      <c r="AS3769" s="87"/>
      <c r="AT3769" s="87"/>
      <c r="AU3769" s="87"/>
      <c r="AV3769" s="92" t="str">
        <f>HYPERLINK("https://pbs.twimg.com/ext_tw_video_thumb/1681718236876816394/pu/img/uo2l3vOP74uuu5Fz.jpg")</f>
        <v>https://pbs.twimg.com/ext_tw_video_thumb/1681718236876816394/pu/img/uo2l3vOP74uuu5Fz.jpg</v>
      </c>
      <c r="AW3769" s="93" t="s">
        <v>21882</v>
      </c>
      <c r="AX3769" s="93" t="s">
        <v>21882</v>
      </c>
      <c r="AY3769" s="87"/>
      <c r="AZ3769" s="93" t="s">
        <v>22668</v>
      </c>
      <c r="BA3769" s="93" t="s">
        <v>22668</v>
      </c>
      <c r="BB3769" s="93" t="s">
        <v>22668</v>
      </c>
      <c r="BC3769" s="93" t="s">
        <v>21882</v>
      </c>
      <c r="BD3769" s="93" t="s">
        <v>23507</v>
      </c>
      <c r="BE3769" s="87"/>
      <c r="BF3769" s="87"/>
      <c r="BG3769" s="87"/>
      <c r="BH3769" s="87"/>
      <c r="BI3769" s="87"/>
    </row>
    <row r="3770" spans="1:61" x14ac:dyDescent="0.25">
      <c r="A3770" s="63" t="s">
        <v>1453</v>
      </c>
      <c r="B3770" s="63" t="s">
        <v>1453</v>
      </c>
      <c r="C3770" s="64"/>
      <c r="D3770" s="65"/>
      <c r="E3770" s="66"/>
      <c r="F3770" s="67"/>
      <c r="G3770" s="64"/>
      <c r="H3770" s="68"/>
      <c r="I3770" s="69"/>
      <c r="J3770" s="69"/>
      <c r="K3770" s="32"/>
      <c r="L3770" s="76">
        <v>3770</v>
      </c>
      <c r="M3770" s="76"/>
      <c r="N3770" s="71"/>
      <c r="O3770" s="87" t="s">
        <v>1840</v>
      </c>
      <c r="P3770" s="90">
        <v>45117.508483796293</v>
      </c>
      <c r="Q3770" s="87" t="s">
        <v>5427</v>
      </c>
      <c r="R3770" s="87">
        <v>0</v>
      </c>
      <c r="S3770" s="87">
        <v>0</v>
      </c>
      <c r="T3770" s="87">
        <v>0</v>
      </c>
      <c r="U3770" s="87">
        <v>0</v>
      </c>
      <c r="V3770" s="87">
        <v>13</v>
      </c>
      <c r="W3770" s="93" t="s">
        <v>8052</v>
      </c>
      <c r="X3770" s="87"/>
      <c r="Y3770" s="87"/>
      <c r="Z3770" s="87"/>
      <c r="AA3770" s="87" t="s">
        <v>11173</v>
      </c>
      <c r="AB3770" s="87" t="s">
        <v>11451</v>
      </c>
      <c r="AC3770" s="93" t="s">
        <v>11457</v>
      </c>
      <c r="AD3770" s="87" t="s">
        <v>11520</v>
      </c>
      <c r="AE3770" s="92" t="str">
        <f>HYPERLINK("https://twitter.com/luisnamura/status/1678376578345054208")</f>
        <v>https://twitter.com/luisnamura/status/1678376578345054208</v>
      </c>
      <c r="AF3770" s="90">
        <v>45117.508483796293</v>
      </c>
      <c r="AG3770" s="99">
        <v>45117</v>
      </c>
      <c r="AH3770" s="93" t="s">
        <v>14856</v>
      </c>
      <c r="AI3770" s="87" t="b">
        <v>0</v>
      </c>
      <c r="AJ3770" s="87"/>
      <c r="AK3770" s="87"/>
      <c r="AL3770" s="87"/>
      <c r="AM3770" s="87"/>
      <c r="AN3770" s="87"/>
      <c r="AO3770" s="87"/>
      <c r="AP3770" s="87"/>
      <c r="AQ3770" s="87" t="s">
        <v>17985</v>
      </c>
      <c r="AR3770" s="87"/>
      <c r="AS3770" s="87"/>
      <c r="AT3770" s="87"/>
      <c r="AU3770" s="87"/>
      <c r="AV3770" s="92" t="str">
        <f>HYPERLINK("https://pbs.twimg.com/media/F0rKjj_WYAEnGWm.jpg")</f>
        <v>https://pbs.twimg.com/media/F0rKjj_WYAEnGWm.jpg</v>
      </c>
      <c r="AW3770" s="93" t="s">
        <v>21883</v>
      </c>
      <c r="AX3770" s="93" t="s">
        <v>22486</v>
      </c>
      <c r="AY3770" s="93" t="s">
        <v>22648</v>
      </c>
      <c r="AZ3770" s="93" t="s">
        <v>22771</v>
      </c>
      <c r="BA3770" s="93" t="s">
        <v>22668</v>
      </c>
      <c r="BB3770" s="93" t="s">
        <v>22668</v>
      </c>
      <c r="BC3770" s="93" t="s">
        <v>22771</v>
      </c>
      <c r="BD3770" s="87">
        <v>64577864</v>
      </c>
      <c r="BE3770" s="87"/>
      <c r="BF3770" s="87"/>
      <c r="BG3770" s="87"/>
      <c r="BH3770" s="87"/>
      <c r="BI3770" s="87"/>
    </row>
    <row r="3771" spans="1:61" x14ac:dyDescent="0.25">
      <c r="A3771" s="63" t="s">
        <v>1453</v>
      </c>
      <c r="B3771" s="63" t="s">
        <v>1453</v>
      </c>
      <c r="C3771" s="64"/>
      <c r="D3771" s="65"/>
      <c r="E3771" s="66"/>
      <c r="F3771" s="67"/>
      <c r="G3771" s="64"/>
      <c r="H3771" s="68"/>
      <c r="I3771" s="69"/>
      <c r="J3771" s="69"/>
      <c r="K3771" s="32"/>
      <c r="L3771" s="76">
        <v>3771</v>
      </c>
      <c r="M3771" s="76"/>
      <c r="N3771" s="71"/>
      <c r="O3771" s="87" t="s">
        <v>1840</v>
      </c>
      <c r="P3771" s="90">
        <v>45114.605439814812</v>
      </c>
      <c r="Q3771" s="87" t="s">
        <v>5428</v>
      </c>
      <c r="R3771" s="87">
        <v>0</v>
      </c>
      <c r="S3771" s="87">
        <v>0</v>
      </c>
      <c r="T3771" s="87">
        <v>0</v>
      </c>
      <c r="U3771" s="87">
        <v>0</v>
      </c>
      <c r="V3771" s="87">
        <v>18</v>
      </c>
      <c r="W3771" s="93" t="s">
        <v>8053</v>
      </c>
      <c r="X3771" s="87"/>
      <c r="Y3771" s="87"/>
      <c r="Z3771" s="87"/>
      <c r="AA3771" s="87"/>
      <c r="AB3771" s="87"/>
      <c r="AC3771" s="93" t="s">
        <v>11457</v>
      </c>
      <c r="AD3771" s="87" t="s">
        <v>11519</v>
      </c>
      <c r="AE3771" s="92" t="str">
        <f>HYPERLINK("https://twitter.com/luisnamura/status/1677324548956405767")</f>
        <v>https://twitter.com/luisnamura/status/1677324548956405767</v>
      </c>
      <c r="AF3771" s="90">
        <v>45114.605439814812</v>
      </c>
      <c r="AG3771" s="99">
        <v>45114</v>
      </c>
      <c r="AH3771" s="93" t="s">
        <v>14857</v>
      </c>
      <c r="AI3771" s="87"/>
      <c r="AJ3771" s="87"/>
      <c r="AK3771" s="87"/>
      <c r="AL3771" s="87"/>
      <c r="AM3771" s="87"/>
      <c r="AN3771" s="87"/>
      <c r="AO3771" s="87"/>
      <c r="AP3771" s="87"/>
      <c r="AQ3771" s="87"/>
      <c r="AR3771" s="87"/>
      <c r="AS3771" s="87"/>
      <c r="AT3771" s="87"/>
      <c r="AU3771" s="87"/>
      <c r="AV3771" s="92" t="str">
        <f>HYPERLINK("https://pbs.twimg.com/profile_images/1557700165489901568/z5aUw1Im_normal.jpg")</f>
        <v>https://pbs.twimg.com/profile_images/1557700165489901568/z5aUw1Im_normal.jpg</v>
      </c>
      <c r="AW3771" s="93" t="s">
        <v>21884</v>
      </c>
      <c r="AX3771" s="93" t="s">
        <v>22487</v>
      </c>
      <c r="AY3771" s="93" t="s">
        <v>22648</v>
      </c>
      <c r="AZ3771" s="93" t="s">
        <v>22772</v>
      </c>
      <c r="BA3771" s="93" t="s">
        <v>22668</v>
      </c>
      <c r="BB3771" s="93" t="s">
        <v>22668</v>
      </c>
      <c r="BC3771" s="93" t="s">
        <v>22772</v>
      </c>
      <c r="BD3771" s="87">
        <v>64577864</v>
      </c>
      <c r="BE3771" s="87"/>
      <c r="BF3771" s="87"/>
      <c r="BG3771" s="87"/>
      <c r="BH3771" s="87"/>
      <c r="BI3771" s="87"/>
    </row>
    <row r="3772" spans="1:61" x14ac:dyDescent="0.25">
      <c r="A3772" s="63" t="s">
        <v>1453</v>
      </c>
      <c r="B3772" s="63" t="s">
        <v>1453</v>
      </c>
      <c r="C3772" s="64"/>
      <c r="D3772" s="65"/>
      <c r="E3772" s="66"/>
      <c r="F3772" s="67"/>
      <c r="G3772" s="64"/>
      <c r="H3772" s="68"/>
      <c r="I3772" s="69"/>
      <c r="J3772" s="69"/>
      <c r="K3772" s="32"/>
      <c r="L3772" s="76">
        <v>3772</v>
      </c>
      <c r="M3772" s="76"/>
      <c r="N3772" s="71"/>
      <c r="O3772" s="87" t="s">
        <v>1840</v>
      </c>
      <c r="P3772" s="90">
        <v>45118.596782407411</v>
      </c>
      <c r="Q3772" s="87" t="s">
        <v>5429</v>
      </c>
      <c r="R3772" s="87">
        <v>0</v>
      </c>
      <c r="S3772" s="87">
        <v>0</v>
      </c>
      <c r="T3772" s="87">
        <v>0</v>
      </c>
      <c r="U3772" s="87">
        <v>0</v>
      </c>
      <c r="V3772" s="87">
        <v>6</v>
      </c>
      <c r="W3772" s="93" t="s">
        <v>8054</v>
      </c>
      <c r="X3772" s="87"/>
      <c r="Y3772" s="87"/>
      <c r="Z3772" s="87"/>
      <c r="AA3772" s="87"/>
      <c r="AB3772" s="87"/>
      <c r="AC3772" s="93" t="s">
        <v>11457</v>
      </c>
      <c r="AD3772" s="87" t="s">
        <v>11519</v>
      </c>
      <c r="AE3772" s="92" t="str">
        <f>HYPERLINK("https://twitter.com/luisnamura/status/1678770961947201536")</f>
        <v>https://twitter.com/luisnamura/status/1678770961947201536</v>
      </c>
      <c r="AF3772" s="90">
        <v>45118.596782407411</v>
      </c>
      <c r="AG3772" s="99">
        <v>45118</v>
      </c>
      <c r="AH3772" s="93" t="s">
        <v>14858</v>
      </c>
      <c r="AI3772" s="87"/>
      <c r="AJ3772" s="87"/>
      <c r="AK3772" s="87"/>
      <c r="AL3772" s="87"/>
      <c r="AM3772" s="87"/>
      <c r="AN3772" s="87"/>
      <c r="AO3772" s="87"/>
      <c r="AP3772" s="87"/>
      <c r="AQ3772" s="87"/>
      <c r="AR3772" s="87"/>
      <c r="AS3772" s="87"/>
      <c r="AT3772" s="87"/>
      <c r="AU3772" s="87"/>
      <c r="AV3772" s="92" t="str">
        <f>HYPERLINK("https://pbs.twimg.com/profile_images/1557700165489901568/z5aUw1Im_normal.jpg")</f>
        <v>https://pbs.twimg.com/profile_images/1557700165489901568/z5aUw1Im_normal.jpg</v>
      </c>
      <c r="AW3772" s="93" t="s">
        <v>21885</v>
      </c>
      <c r="AX3772" s="93" t="s">
        <v>22488</v>
      </c>
      <c r="AY3772" s="93" t="s">
        <v>22648</v>
      </c>
      <c r="AZ3772" s="93" t="s">
        <v>22773</v>
      </c>
      <c r="BA3772" s="93" t="s">
        <v>22668</v>
      </c>
      <c r="BB3772" s="93" t="s">
        <v>22668</v>
      </c>
      <c r="BC3772" s="93" t="s">
        <v>22773</v>
      </c>
      <c r="BD3772" s="87">
        <v>64577864</v>
      </c>
      <c r="BE3772" s="87"/>
      <c r="BF3772" s="87"/>
      <c r="BG3772" s="87"/>
      <c r="BH3772" s="87"/>
      <c r="BI3772" s="87"/>
    </row>
    <row r="3773" spans="1:61" x14ac:dyDescent="0.25">
      <c r="A3773" s="63" t="s">
        <v>1453</v>
      </c>
      <c r="B3773" s="63" t="s">
        <v>1453</v>
      </c>
      <c r="C3773" s="64"/>
      <c r="D3773" s="65"/>
      <c r="E3773" s="66"/>
      <c r="F3773" s="67"/>
      <c r="G3773" s="64"/>
      <c r="H3773" s="68"/>
      <c r="I3773" s="69"/>
      <c r="J3773" s="69"/>
      <c r="K3773" s="32"/>
      <c r="L3773" s="76">
        <v>3773</v>
      </c>
      <c r="M3773" s="76"/>
      <c r="N3773" s="71"/>
      <c r="O3773" s="87" t="s">
        <v>1840</v>
      </c>
      <c r="P3773" s="90">
        <v>45138.58084490741</v>
      </c>
      <c r="Q3773" s="87" t="s">
        <v>5430</v>
      </c>
      <c r="R3773" s="87">
        <v>0</v>
      </c>
      <c r="S3773" s="87">
        <v>0</v>
      </c>
      <c r="T3773" s="87">
        <v>0</v>
      </c>
      <c r="U3773" s="87">
        <v>0</v>
      </c>
      <c r="V3773" s="87">
        <v>22</v>
      </c>
      <c r="W3773" s="93" t="s">
        <v>8055</v>
      </c>
      <c r="X3773" s="92" t="str">
        <f>HYPERLINK("https://youtu.be/AtwgA-LFrjU")</f>
        <v>https://youtu.be/AtwgA-LFrjU</v>
      </c>
      <c r="Y3773" s="87" t="s">
        <v>8372</v>
      </c>
      <c r="Z3773" s="87"/>
      <c r="AA3773" s="87"/>
      <c r="AB3773" s="87"/>
      <c r="AC3773" s="93" t="s">
        <v>11457</v>
      </c>
      <c r="AD3773" s="87" t="s">
        <v>11519</v>
      </c>
      <c r="AE3773" s="92" t="str">
        <f>HYPERLINK("https://twitter.com/luisnamura/status/1686012947452059648")</f>
        <v>https://twitter.com/luisnamura/status/1686012947452059648</v>
      </c>
      <c r="AF3773" s="90">
        <v>45138.58084490741</v>
      </c>
      <c r="AG3773" s="99">
        <v>45138</v>
      </c>
      <c r="AH3773" s="93" t="s">
        <v>14859</v>
      </c>
      <c r="AI3773" s="87" t="b">
        <v>0</v>
      </c>
      <c r="AJ3773" s="87"/>
      <c r="AK3773" s="87"/>
      <c r="AL3773" s="87"/>
      <c r="AM3773" s="87"/>
      <c r="AN3773" s="87"/>
      <c r="AO3773" s="87"/>
      <c r="AP3773" s="87"/>
      <c r="AQ3773" s="87"/>
      <c r="AR3773" s="87"/>
      <c r="AS3773" s="87"/>
      <c r="AT3773" s="87"/>
      <c r="AU3773" s="87"/>
      <c r="AV3773" s="92" t="str">
        <f>HYPERLINK("https://pbs.twimg.com/profile_images/1557700165489901568/z5aUw1Im_normal.jpg")</f>
        <v>https://pbs.twimg.com/profile_images/1557700165489901568/z5aUw1Im_normal.jpg</v>
      </c>
      <c r="AW3773" s="93" t="s">
        <v>21886</v>
      </c>
      <c r="AX3773" s="93" t="s">
        <v>22489</v>
      </c>
      <c r="AY3773" s="93" t="s">
        <v>22648</v>
      </c>
      <c r="AZ3773" s="93" t="s">
        <v>22489</v>
      </c>
      <c r="BA3773" s="93" t="s">
        <v>22668</v>
      </c>
      <c r="BB3773" s="93" t="s">
        <v>22668</v>
      </c>
      <c r="BC3773" s="93" t="s">
        <v>22489</v>
      </c>
      <c r="BD3773" s="87">
        <v>64577864</v>
      </c>
      <c r="BE3773" s="87"/>
      <c r="BF3773" s="87"/>
      <c r="BG3773" s="87"/>
      <c r="BH3773" s="87"/>
      <c r="BI3773" s="87"/>
    </row>
    <row r="3774" spans="1:61" x14ac:dyDescent="0.25">
      <c r="A3774" s="63" t="s">
        <v>1453</v>
      </c>
      <c r="B3774" s="63" t="s">
        <v>1453</v>
      </c>
      <c r="C3774" s="64"/>
      <c r="D3774" s="65"/>
      <c r="E3774" s="66"/>
      <c r="F3774" s="67"/>
      <c r="G3774" s="64"/>
      <c r="H3774" s="68"/>
      <c r="I3774" s="69"/>
      <c r="J3774" s="69"/>
      <c r="K3774" s="32"/>
      <c r="L3774" s="76">
        <v>3774</v>
      </c>
      <c r="M3774" s="76"/>
      <c r="N3774" s="71"/>
      <c r="O3774" s="87" t="s">
        <v>1840</v>
      </c>
      <c r="P3774" s="90">
        <v>45145.792500000003</v>
      </c>
      <c r="Q3774" s="87" t="s">
        <v>5431</v>
      </c>
      <c r="R3774" s="87">
        <v>0</v>
      </c>
      <c r="S3774" s="87">
        <v>0</v>
      </c>
      <c r="T3774" s="87">
        <v>0</v>
      </c>
      <c r="U3774" s="87">
        <v>0</v>
      </c>
      <c r="V3774" s="87">
        <v>20</v>
      </c>
      <c r="W3774" s="93" t="s">
        <v>8056</v>
      </c>
      <c r="X3774" s="87"/>
      <c r="Y3774" s="87"/>
      <c r="Z3774" s="87"/>
      <c r="AA3774" s="87"/>
      <c r="AB3774" s="87"/>
      <c r="AC3774" s="93" t="s">
        <v>11458</v>
      </c>
      <c r="AD3774" s="87" t="s">
        <v>11519</v>
      </c>
      <c r="AE3774" s="92" t="str">
        <f>HYPERLINK("https://twitter.com/luisnamura/status/1688626363396227072")</f>
        <v>https://twitter.com/luisnamura/status/1688626363396227072</v>
      </c>
      <c r="AF3774" s="90">
        <v>45145.792500000003</v>
      </c>
      <c r="AG3774" s="99">
        <v>45145</v>
      </c>
      <c r="AH3774" s="93" t="s">
        <v>12999</v>
      </c>
      <c r="AI3774" s="87"/>
      <c r="AJ3774" s="87"/>
      <c r="AK3774" s="87"/>
      <c r="AL3774" s="87"/>
      <c r="AM3774" s="87"/>
      <c r="AN3774" s="87"/>
      <c r="AO3774" s="87"/>
      <c r="AP3774" s="87"/>
      <c r="AQ3774" s="87"/>
      <c r="AR3774" s="87"/>
      <c r="AS3774" s="87"/>
      <c r="AT3774" s="87"/>
      <c r="AU3774" s="87"/>
      <c r="AV3774" s="92" t="str">
        <f>HYPERLINK("https://pbs.twimg.com/profile_images/1557700165489901568/z5aUw1Im_normal.jpg")</f>
        <v>https://pbs.twimg.com/profile_images/1557700165489901568/z5aUw1Im_normal.jpg</v>
      </c>
      <c r="AW3774" s="93" t="s">
        <v>21887</v>
      </c>
      <c r="AX3774" s="93" t="s">
        <v>22490</v>
      </c>
      <c r="AY3774" s="93" t="s">
        <v>22648</v>
      </c>
      <c r="AZ3774" s="93" t="s">
        <v>22490</v>
      </c>
      <c r="BA3774" s="93" t="s">
        <v>22668</v>
      </c>
      <c r="BB3774" s="93" t="s">
        <v>22668</v>
      </c>
      <c r="BC3774" s="93" t="s">
        <v>22490</v>
      </c>
      <c r="BD3774" s="87">
        <v>64577864</v>
      </c>
      <c r="BE3774" s="87"/>
      <c r="BF3774" s="87"/>
      <c r="BG3774" s="87"/>
      <c r="BH3774" s="87"/>
      <c r="BI3774" s="87"/>
    </row>
    <row r="3775" spans="1:61" x14ac:dyDescent="0.25">
      <c r="A3775" s="63" t="s">
        <v>1453</v>
      </c>
      <c r="B3775" s="63" t="s">
        <v>1453</v>
      </c>
      <c r="C3775" s="64"/>
      <c r="D3775" s="65"/>
      <c r="E3775" s="66"/>
      <c r="F3775" s="67"/>
      <c r="G3775" s="64"/>
      <c r="H3775" s="68"/>
      <c r="I3775" s="69"/>
      <c r="J3775" s="69"/>
      <c r="K3775" s="32"/>
      <c r="L3775" s="76">
        <v>3775</v>
      </c>
      <c r="M3775" s="76"/>
      <c r="N3775" s="71"/>
      <c r="O3775" s="87" t="s">
        <v>1840</v>
      </c>
      <c r="P3775" s="90">
        <v>45184.52076388889</v>
      </c>
      <c r="Q3775" s="87" t="s">
        <v>5432</v>
      </c>
      <c r="R3775" s="87">
        <v>0</v>
      </c>
      <c r="S3775" s="87">
        <v>0</v>
      </c>
      <c r="T3775" s="87">
        <v>0</v>
      </c>
      <c r="U3775" s="87">
        <v>0</v>
      </c>
      <c r="V3775" s="87">
        <v>13</v>
      </c>
      <c r="W3775" s="93" t="s">
        <v>8057</v>
      </c>
      <c r="X3775" s="87"/>
      <c r="Y3775" s="87"/>
      <c r="Z3775" s="87"/>
      <c r="AA3775" s="87"/>
      <c r="AB3775" s="87"/>
      <c r="AC3775" s="93" t="s">
        <v>11457</v>
      </c>
      <c r="AD3775" s="87" t="s">
        <v>11519</v>
      </c>
      <c r="AE3775" s="92" t="str">
        <f>HYPERLINK("https://twitter.com/luisnamura/status/1702661015014412759")</f>
        <v>https://twitter.com/luisnamura/status/1702661015014412759</v>
      </c>
      <c r="AF3775" s="90">
        <v>45184.52076388889</v>
      </c>
      <c r="AG3775" s="99">
        <v>45184</v>
      </c>
      <c r="AH3775" s="93" t="s">
        <v>14860</v>
      </c>
      <c r="AI3775" s="87"/>
      <c r="AJ3775" s="87"/>
      <c r="AK3775" s="87"/>
      <c r="AL3775" s="87"/>
      <c r="AM3775" s="87"/>
      <c r="AN3775" s="87"/>
      <c r="AO3775" s="87"/>
      <c r="AP3775" s="87"/>
      <c r="AQ3775" s="87"/>
      <c r="AR3775" s="87"/>
      <c r="AS3775" s="87"/>
      <c r="AT3775" s="87"/>
      <c r="AU3775" s="87"/>
      <c r="AV3775" s="92" t="str">
        <f>HYPERLINK("https://pbs.twimg.com/profile_images/1557700165489901568/z5aUw1Im_normal.jpg")</f>
        <v>https://pbs.twimg.com/profile_images/1557700165489901568/z5aUw1Im_normal.jpg</v>
      </c>
      <c r="AW3775" s="93" t="s">
        <v>21888</v>
      </c>
      <c r="AX3775" s="93" t="s">
        <v>22491</v>
      </c>
      <c r="AY3775" s="93" t="s">
        <v>22648</v>
      </c>
      <c r="AZ3775" s="93" t="s">
        <v>22774</v>
      </c>
      <c r="BA3775" s="93" t="s">
        <v>22668</v>
      </c>
      <c r="BB3775" s="93" t="s">
        <v>22668</v>
      </c>
      <c r="BC3775" s="93" t="s">
        <v>22774</v>
      </c>
      <c r="BD3775" s="87">
        <v>64577864</v>
      </c>
      <c r="BE3775" s="87"/>
      <c r="BF3775" s="87"/>
      <c r="BG3775" s="87"/>
      <c r="BH3775" s="87"/>
      <c r="BI3775" s="87"/>
    </row>
    <row r="3776" spans="1:61" x14ac:dyDescent="0.25">
      <c r="A3776" s="63" t="s">
        <v>1454</v>
      </c>
      <c r="B3776" s="63" t="s">
        <v>1454</v>
      </c>
      <c r="C3776" s="64"/>
      <c r="D3776" s="65"/>
      <c r="E3776" s="66"/>
      <c r="F3776" s="67"/>
      <c r="G3776" s="64"/>
      <c r="H3776" s="68"/>
      <c r="I3776" s="69"/>
      <c r="J3776" s="69"/>
      <c r="K3776" s="32"/>
      <c r="L3776" s="76">
        <v>3776</v>
      </c>
      <c r="M3776" s="76"/>
      <c r="N3776" s="71"/>
      <c r="O3776" s="87" t="s">
        <v>179</v>
      </c>
      <c r="P3776" s="90">
        <v>45136.508912037039</v>
      </c>
      <c r="Q3776" s="87" t="s">
        <v>5433</v>
      </c>
      <c r="R3776" s="87">
        <v>0</v>
      </c>
      <c r="S3776" s="87">
        <v>0</v>
      </c>
      <c r="T3776" s="87">
        <v>0</v>
      </c>
      <c r="U3776" s="87">
        <v>0</v>
      </c>
      <c r="V3776" s="87">
        <v>119</v>
      </c>
      <c r="W3776" s="93" t="s">
        <v>8058</v>
      </c>
      <c r="X3776" s="87"/>
      <c r="Y3776" s="87"/>
      <c r="Z3776" s="87"/>
      <c r="AA3776" s="87" t="s">
        <v>11174</v>
      </c>
      <c r="AB3776" s="87" t="s">
        <v>11448</v>
      </c>
      <c r="AC3776" s="93" t="s">
        <v>11459</v>
      </c>
      <c r="AD3776" s="87" t="s">
        <v>11519</v>
      </c>
      <c r="AE3776" s="92" t="str">
        <f>HYPERLINK("https://twitter.com/felipegodoy/status/1685262101420310529")</f>
        <v>https://twitter.com/felipegodoy/status/1685262101420310529</v>
      </c>
      <c r="AF3776" s="90">
        <v>45136.508912037039</v>
      </c>
      <c r="AG3776" s="99">
        <v>45136</v>
      </c>
      <c r="AH3776" s="93" t="s">
        <v>14861</v>
      </c>
      <c r="AI3776" s="87" t="b">
        <v>0</v>
      </c>
      <c r="AJ3776" s="87"/>
      <c r="AK3776" s="87"/>
      <c r="AL3776" s="87"/>
      <c r="AM3776" s="87"/>
      <c r="AN3776" s="87"/>
      <c r="AO3776" s="87"/>
      <c r="AP3776" s="87"/>
      <c r="AQ3776" s="87" t="s">
        <v>17986</v>
      </c>
      <c r="AR3776" s="87"/>
      <c r="AS3776" s="87"/>
      <c r="AT3776" s="87"/>
      <c r="AU3776" s="87"/>
      <c r="AV3776" s="92" t="str">
        <f>HYPERLINK("https://pbs.twimg.com/media/F2NA80kXIAUR-8d.jpg")</f>
        <v>https://pbs.twimg.com/media/F2NA80kXIAUR-8d.jpg</v>
      </c>
      <c r="AW3776" s="93" t="s">
        <v>21889</v>
      </c>
      <c r="AX3776" s="93" t="s">
        <v>21889</v>
      </c>
      <c r="AY3776" s="87"/>
      <c r="AZ3776" s="93" t="s">
        <v>22668</v>
      </c>
      <c r="BA3776" s="93" t="s">
        <v>22668</v>
      </c>
      <c r="BB3776" s="93" t="s">
        <v>22668</v>
      </c>
      <c r="BC3776" s="93" t="s">
        <v>21889</v>
      </c>
      <c r="BD3776" s="87">
        <v>25785638</v>
      </c>
      <c r="BE3776" s="87"/>
      <c r="BF3776" s="87"/>
      <c r="BG3776" s="87"/>
      <c r="BH3776" s="87"/>
      <c r="BI3776" s="87"/>
    </row>
    <row r="3777" spans="1:61" x14ac:dyDescent="0.25">
      <c r="A3777" s="63" t="s">
        <v>1455</v>
      </c>
      <c r="B3777" s="63" t="s">
        <v>1455</v>
      </c>
      <c r="C3777" s="64"/>
      <c r="D3777" s="65"/>
      <c r="E3777" s="66"/>
      <c r="F3777" s="67"/>
      <c r="G3777" s="64"/>
      <c r="H3777" s="68"/>
      <c r="I3777" s="69"/>
      <c r="J3777" s="69"/>
      <c r="K3777" s="32"/>
      <c r="L3777" s="76">
        <v>3777</v>
      </c>
      <c r="M3777" s="76"/>
      <c r="N3777" s="71"/>
      <c r="O3777" s="87" t="s">
        <v>179</v>
      </c>
      <c r="P3777" s="90">
        <v>45111.524247685185</v>
      </c>
      <c r="Q3777" s="87" t="s">
        <v>5434</v>
      </c>
      <c r="R3777" s="87">
        <v>1</v>
      </c>
      <c r="S3777" s="87">
        <v>2</v>
      </c>
      <c r="T3777" s="87">
        <v>0</v>
      </c>
      <c r="U3777" s="87">
        <v>0</v>
      </c>
      <c r="V3777" s="87">
        <v>14</v>
      </c>
      <c r="W3777" s="93" t="s">
        <v>6273</v>
      </c>
      <c r="X3777" s="87"/>
      <c r="Y3777" s="87"/>
      <c r="Z3777" s="87"/>
      <c r="AA3777" s="87" t="s">
        <v>11175</v>
      </c>
      <c r="AB3777" s="87" t="s">
        <v>11452</v>
      </c>
      <c r="AC3777" s="93" t="s">
        <v>11457</v>
      </c>
      <c r="AD3777" s="87" t="s">
        <v>11519</v>
      </c>
      <c r="AE3777" s="92" t="str">
        <f>HYPERLINK("https://twitter.com/sofiaresolve/status/1676207962132545538")</f>
        <v>https://twitter.com/sofiaresolve/status/1676207962132545538</v>
      </c>
      <c r="AF3777" s="90">
        <v>45111.524247685185</v>
      </c>
      <c r="AG3777" s="99">
        <v>45111</v>
      </c>
      <c r="AH3777" s="93" t="s">
        <v>11953</v>
      </c>
      <c r="AI3777" s="87" t="b">
        <v>0</v>
      </c>
      <c r="AJ3777" s="87"/>
      <c r="AK3777" s="87"/>
      <c r="AL3777" s="87"/>
      <c r="AM3777" s="87"/>
      <c r="AN3777" s="87"/>
      <c r="AO3777" s="87"/>
      <c r="AP3777" s="87"/>
      <c r="AQ3777" s="87" t="s">
        <v>17987</v>
      </c>
      <c r="AR3777" s="87"/>
      <c r="AS3777" s="87"/>
      <c r="AT3777" s="87"/>
      <c r="AU3777" s="87"/>
      <c r="AV3777" s="92" t="str">
        <f>HYPERLINK("https://pbs.twimg.com/tweet_video_thumb/F0MWP41WcAADefA.jpg")</f>
        <v>https://pbs.twimg.com/tweet_video_thumb/F0MWP41WcAADefA.jpg</v>
      </c>
      <c r="AW3777" s="93" t="s">
        <v>21890</v>
      </c>
      <c r="AX3777" s="93" t="s">
        <v>21890</v>
      </c>
      <c r="AY3777" s="87"/>
      <c r="AZ3777" s="93" t="s">
        <v>22668</v>
      </c>
      <c r="BA3777" s="93" t="s">
        <v>22668</v>
      </c>
      <c r="BB3777" s="93" t="s">
        <v>22668</v>
      </c>
      <c r="BC3777" s="93" t="s">
        <v>21890</v>
      </c>
      <c r="BD3777" s="93" t="s">
        <v>23508</v>
      </c>
      <c r="BE3777" s="87"/>
      <c r="BF3777" s="87"/>
      <c r="BG3777" s="87"/>
      <c r="BH3777" s="87"/>
      <c r="BI3777" s="87"/>
    </row>
    <row r="3778" spans="1:61" x14ac:dyDescent="0.25">
      <c r="A3778" s="63" t="s">
        <v>1456</v>
      </c>
      <c r="B3778" s="63" t="s">
        <v>1456</v>
      </c>
      <c r="C3778" s="64"/>
      <c r="D3778" s="65"/>
      <c r="E3778" s="66"/>
      <c r="F3778" s="67"/>
      <c r="G3778" s="64"/>
      <c r="H3778" s="68"/>
      <c r="I3778" s="69"/>
      <c r="J3778" s="69"/>
      <c r="K3778" s="32"/>
      <c r="L3778" s="76">
        <v>3778</v>
      </c>
      <c r="M3778" s="76"/>
      <c r="N3778" s="71"/>
      <c r="O3778" s="87" t="s">
        <v>179</v>
      </c>
      <c r="P3778" s="90">
        <v>45148.523252314815</v>
      </c>
      <c r="Q3778" s="87" t="s">
        <v>5435</v>
      </c>
      <c r="R3778" s="87">
        <v>0</v>
      </c>
      <c r="S3778" s="87">
        <v>0</v>
      </c>
      <c r="T3778" s="87">
        <v>0</v>
      </c>
      <c r="U3778" s="87">
        <v>0</v>
      </c>
      <c r="V3778" s="87">
        <v>22</v>
      </c>
      <c r="W3778" s="93" t="s">
        <v>8059</v>
      </c>
      <c r="X3778" s="92" t="str">
        <f>HYPERLINK("https://api.whatsapp.com/send?phone=556299920184")</f>
        <v>https://api.whatsapp.com/send?phone=556299920184</v>
      </c>
      <c r="Y3778" s="87" t="s">
        <v>8466</v>
      </c>
      <c r="Z3778" s="87"/>
      <c r="AA3778" s="87" t="s">
        <v>11176</v>
      </c>
      <c r="AB3778" s="87" t="s">
        <v>11447</v>
      </c>
      <c r="AC3778" s="93" t="s">
        <v>11457</v>
      </c>
      <c r="AD3778" s="87" t="s">
        <v>11519</v>
      </c>
      <c r="AE3778" s="92" t="str">
        <f>HYPERLINK("https://twitter.com/aciaanapolis/status/1689615952990568449")</f>
        <v>https://twitter.com/aciaanapolis/status/1689615952990568449</v>
      </c>
      <c r="AF3778" s="90">
        <v>45148.523252314815</v>
      </c>
      <c r="AG3778" s="99">
        <v>45148</v>
      </c>
      <c r="AH3778" s="93" t="s">
        <v>14862</v>
      </c>
      <c r="AI3778" s="87" t="b">
        <v>0</v>
      </c>
      <c r="AJ3778" s="87"/>
      <c r="AK3778" s="87"/>
      <c r="AL3778" s="87"/>
      <c r="AM3778" s="87"/>
      <c r="AN3778" s="87"/>
      <c r="AO3778" s="87"/>
      <c r="AP3778" s="87"/>
      <c r="AQ3778" s="87" t="s">
        <v>17988</v>
      </c>
      <c r="AR3778" s="87">
        <v>49983</v>
      </c>
      <c r="AS3778" s="87"/>
      <c r="AT3778" s="87"/>
      <c r="AU3778" s="87"/>
      <c r="AV3778" s="92" t="str">
        <f>HYPERLINK("https://pbs.twimg.com/ext_tw_video_thumb/1689615458431909888/pu/img/WBxQ06iQCy-2DU5Q.jpg")</f>
        <v>https://pbs.twimg.com/ext_tw_video_thumb/1689615458431909888/pu/img/WBxQ06iQCy-2DU5Q.jpg</v>
      </c>
      <c r="AW3778" s="93" t="s">
        <v>21891</v>
      </c>
      <c r="AX3778" s="93" t="s">
        <v>21891</v>
      </c>
      <c r="AY3778" s="87"/>
      <c r="AZ3778" s="93" t="s">
        <v>22668</v>
      </c>
      <c r="BA3778" s="93" t="s">
        <v>22668</v>
      </c>
      <c r="BB3778" s="93" t="s">
        <v>22668</v>
      </c>
      <c r="BC3778" s="93" t="s">
        <v>21891</v>
      </c>
      <c r="BD3778" s="87">
        <v>333605168</v>
      </c>
      <c r="BE3778" s="87"/>
      <c r="BF3778" s="87"/>
      <c r="BG3778" s="87"/>
      <c r="BH3778" s="87"/>
      <c r="BI3778" s="87"/>
    </row>
    <row r="3779" spans="1:61" x14ac:dyDescent="0.25">
      <c r="A3779" s="63" t="s">
        <v>1437</v>
      </c>
      <c r="B3779" s="63" t="s">
        <v>1457</v>
      </c>
      <c r="C3779" s="64"/>
      <c r="D3779" s="65"/>
      <c r="E3779" s="66"/>
      <c r="F3779" s="67"/>
      <c r="G3779" s="64"/>
      <c r="H3779" s="68"/>
      <c r="I3779" s="69"/>
      <c r="J3779" s="69"/>
      <c r="K3779" s="32"/>
      <c r="L3779" s="76">
        <v>3779</v>
      </c>
      <c r="M3779" s="76"/>
      <c r="N3779" s="71"/>
      <c r="O3779" s="87" t="s">
        <v>1839</v>
      </c>
      <c r="P3779" s="90">
        <v>45184.876388888886</v>
      </c>
      <c r="Q3779" s="87" t="s">
        <v>5436</v>
      </c>
      <c r="R3779" s="87">
        <v>1</v>
      </c>
      <c r="S3779" s="87">
        <v>2</v>
      </c>
      <c r="T3779" s="87">
        <v>0</v>
      </c>
      <c r="U3779" s="87">
        <v>0</v>
      </c>
      <c r="V3779" s="87">
        <v>433</v>
      </c>
      <c r="W3779" s="93" t="s">
        <v>5897</v>
      </c>
      <c r="X3779" s="92" t="str">
        <f>HYPERLINK("https://ufrn.br/imprensa/noticias/74563/hubbi-recebe-investimento-da-maior-aceleradora-independente-do-brasil")</f>
        <v>https://ufrn.br/imprensa/noticias/74563/hubbi-recebe-investimento-da-maior-aceleradora-independente-do-brasil</v>
      </c>
      <c r="Y3779" s="87" t="s">
        <v>8540</v>
      </c>
      <c r="Z3779" s="87" t="s">
        <v>1457</v>
      </c>
      <c r="AA3779" s="87" t="s">
        <v>11177</v>
      </c>
      <c r="AB3779" s="87" t="s">
        <v>11448</v>
      </c>
      <c r="AC3779" s="93" t="s">
        <v>11457</v>
      </c>
      <c r="AD3779" s="87" t="s">
        <v>11519</v>
      </c>
      <c r="AE3779" s="92" t="str">
        <f>HYPERLINK("https://twitter.com/ufrnbr/status/1702789888066965870")</f>
        <v>https://twitter.com/ufrnbr/status/1702789888066965870</v>
      </c>
      <c r="AF3779" s="90">
        <v>45184.876388888886</v>
      </c>
      <c r="AG3779" s="99">
        <v>45184</v>
      </c>
      <c r="AH3779" s="93" t="s">
        <v>14863</v>
      </c>
      <c r="AI3779" s="87" t="b">
        <v>0</v>
      </c>
      <c r="AJ3779" s="87"/>
      <c r="AK3779" s="87"/>
      <c r="AL3779" s="87"/>
      <c r="AM3779" s="87"/>
      <c r="AN3779" s="87"/>
      <c r="AO3779" s="87"/>
      <c r="AP3779" s="87"/>
      <c r="AQ3779" s="87" t="s">
        <v>17989</v>
      </c>
      <c r="AR3779" s="87"/>
      <c r="AS3779" s="87"/>
      <c r="AT3779" s="87"/>
      <c r="AU3779" s="87"/>
      <c r="AV3779" s="92" t="str">
        <f>HYPERLINK("https://pbs.twimg.com/media/F6FrAHgXsAA4Ygi.jpg")</f>
        <v>https://pbs.twimg.com/media/F6FrAHgXsAA4Ygi.jpg</v>
      </c>
      <c r="AW3779" s="93" t="s">
        <v>21892</v>
      </c>
      <c r="AX3779" s="93" t="s">
        <v>21892</v>
      </c>
      <c r="AY3779" s="87"/>
      <c r="AZ3779" s="93" t="s">
        <v>22668</v>
      </c>
      <c r="BA3779" s="93" t="s">
        <v>22668</v>
      </c>
      <c r="BB3779" s="93" t="s">
        <v>22668</v>
      </c>
      <c r="BC3779" s="93" t="s">
        <v>21892</v>
      </c>
      <c r="BD3779" s="87">
        <v>80650908</v>
      </c>
      <c r="BE3779" s="87"/>
      <c r="BF3779" s="87"/>
      <c r="BG3779" s="87"/>
      <c r="BH3779" s="87"/>
      <c r="BI3779" s="87"/>
    </row>
    <row r="3780" spans="1:61" x14ac:dyDescent="0.25">
      <c r="A3780" s="63" t="s">
        <v>1457</v>
      </c>
      <c r="B3780" s="63" t="s">
        <v>1457</v>
      </c>
      <c r="C3780" s="64"/>
      <c r="D3780" s="65"/>
      <c r="E3780" s="66"/>
      <c r="F3780" s="67"/>
      <c r="G3780" s="64"/>
      <c r="H3780" s="68"/>
      <c r="I3780" s="69"/>
      <c r="J3780" s="69"/>
      <c r="K3780" s="32"/>
      <c r="L3780" s="76">
        <v>3780</v>
      </c>
      <c r="M3780" s="76"/>
      <c r="N3780" s="71"/>
      <c r="O3780" s="87" t="s">
        <v>1843</v>
      </c>
      <c r="P3780" s="90">
        <v>45188.58189814815</v>
      </c>
      <c r="Q3780" s="87" t="s">
        <v>5437</v>
      </c>
      <c r="R3780" s="87">
        <v>1</v>
      </c>
      <c r="S3780" s="87">
        <v>0</v>
      </c>
      <c r="T3780" s="87">
        <v>0</v>
      </c>
      <c r="U3780" s="87">
        <v>0</v>
      </c>
      <c r="V3780" s="87"/>
      <c r="W3780" s="93" t="s">
        <v>5897</v>
      </c>
      <c r="X3780" s="87"/>
      <c r="Y3780" s="87"/>
      <c r="Z3780" s="87" t="s">
        <v>8623</v>
      </c>
      <c r="AA3780" s="87"/>
      <c r="AB3780" s="87"/>
      <c r="AC3780" s="93" t="s">
        <v>11457</v>
      </c>
      <c r="AD3780" s="87" t="s">
        <v>11519</v>
      </c>
      <c r="AE3780" s="92" t="str">
        <f>HYPERLINK("https://twitter.com/metropoledigi/status/1704132719163400381")</f>
        <v>https://twitter.com/metropoledigi/status/1704132719163400381</v>
      </c>
      <c r="AF3780" s="90">
        <v>45188.58189814815</v>
      </c>
      <c r="AG3780" s="99">
        <v>45188</v>
      </c>
      <c r="AH3780" s="93" t="s">
        <v>14864</v>
      </c>
      <c r="AI3780" s="87"/>
      <c r="AJ3780" s="87"/>
      <c r="AK3780" s="87"/>
      <c r="AL3780" s="87"/>
      <c r="AM3780" s="87"/>
      <c r="AN3780" s="87"/>
      <c r="AO3780" s="87"/>
      <c r="AP3780" s="87"/>
      <c r="AQ3780" s="87"/>
      <c r="AR3780" s="87"/>
      <c r="AS3780" s="87"/>
      <c r="AT3780" s="87"/>
      <c r="AU3780" s="87"/>
      <c r="AV3780" s="92" t="str">
        <f>HYPERLINK("https://pbs.twimg.com/profile_images/1448674312748208131/4zN0lm9M_normal.jpg")</f>
        <v>https://pbs.twimg.com/profile_images/1448674312748208131/4zN0lm9M_normal.jpg</v>
      </c>
      <c r="AW3780" s="93" t="s">
        <v>21893</v>
      </c>
      <c r="AX3780" s="93" t="s">
        <v>21893</v>
      </c>
      <c r="AY3780" s="87"/>
      <c r="AZ3780" s="93" t="s">
        <v>22668</v>
      </c>
      <c r="BA3780" s="93" t="s">
        <v>22668</v>
      </c>
      <c r="BB3780" s="93" t="s">
        <v>21892</v>
      </c>
      <c r="BC3780" s="93" t="s">
        <v>21892</v>
      </c>
      <c r="BD3780" s="87">
        <v>79797156</v>
      </c>
      <c r="BE3780" s="87"/>
      <c r="BF3780" s="87"/>
      <c r="BG3780" s="87"/>
      <c r="BH3780" s="87"/>
      <c r="BI3780" s="87"/>
    </row>
    <row r="3781" spans="1:61" x14ac:dyDescent="0.25">
      <c r="A3781" s="63" t="s">
        <v>1457</v>
      </c>
      <c r="B3781" s="63" t="s">
        <v>1437</v>
      </c>
      <c r="C3781" s="64"/>
      <c r="D3781" s="65"/>
      <c r="E3781" s="66"/>
      <c r="F3781" s="67"/>
      <c r="G3781" s="64"/>
      <c r="H3781" s="68"/>
      <c r="I3781" s="69"/>
      <c r="J3781" s="69"/>
      <c r="K3781" s="32"/>
      <c r="L3781" s="76">
        <v>3781</v>
      </c>
      <c r="M3781" s="76"/>
      <c r="N3781" s="71"/>
      <c r="O3781" s="87" t="s">
        <v>1841</v>
      </c>
      <c r="P3781" s="90">
        <v>45188.58189814815</v>
      </c>
      <c r="Q3781" s="87" t="s">
        <v>5437</v>
      </c>
      <c r="R3781" s="87">
        <v>1</v>
      </c>
      <c r="S3781" s="87">
        <v>0</v>
      </c>
      <c r="T3781" s="87">
        <v>0</v>
      </c>
      <c r="U3781" s="87">
        <v>0</v>
      </c>
      <c r="V3781" s="87"/>
      <c r="W3781" s="93" t="s">
        <v>5897</v>
      </c>
      <c r="X3781" s="87"/>
      <c r="Y3781" s="87"/>
      <c r="Z3781" s="87" t="s">
        <v>8623</v>
      </c>
      <c r="AA3781" s="87"/>
      <c r="AB3781" s="87"/>
      <c r="AC3781" s="93" t="s">
        <v>11457</v>
      </c>
      <c r="AD3781" s="87" t="s">
        <v>11519</v>
      </c>
      <c r="AE3781" s="92" t="str">
        <f>HYPERLINK("https://twitter.com/metropoledigi/status/1704132719163400381")</f>
        <v>https://twitter.com/metropoledigi/status/1704132719163400381</v>
      </c>
      <c r="AF3781" s="90">
        <v>45188.58189814815</v>
      </c>
      <c r="AG3781" s="99">
        <v>45188</v>
      </c>
      <c r="AH3781" s="93" t="s">
        <v>14864</v>
      </c>
      <c r="AI3781" s="87"/>
      <c r="AJ3781" s="87"/>
      <c r="AK3781" s="87"/>
      <c r="AL3781" s="87"/>
      <c r="AM3781" s="87"/>
      <c r="AN3781" s="87"/>
      <c r="AO3781" s="87"/>
      <c r="AP3781" s="87"/>
      <c r="AQ3781" s="87"/>
      <c r="AR3781" s="87"/>
      <c r="AS3781" s="87"/>
      <c r="AT3781" s="87"/>
      <c r="AU3781" s="87"/>
      <c r="AV3781" s="92" t="str">
        <f>HYPERLINK("https://pbs.twimg.com/profile_images/1448674312748208131/4zN0lm9M_normal.jpg")</f>
        <v>https://pbs.twimg.com/profile_images/1448674312748208131/4zN0lm9M_normal.jpg</v>
      </c>
      <c r="AW3781" s="93" t="s">
        <v>21893</v>
      </c>
      <c r="AX3781" s="93" t="s">
        <v>21893</v>
      </c>
      <c r="AY3781" s="87"/>
      <c r="AZ3781" s="93" t="s">
        <v>22668</v>
      </c>
      <c r="BA3781" s="93" t="s">
        <v>22668</v>
      </c>
      <c r="BB3781" s="93" t="s">
        <v>21892</v>
      </c>
      <c r="BC3781" s="93" t="s">
        <v>21892</v>
      </c>
      <c r="BD3781" s="87">
        <v>79797156</v>
      </c>
      <c r="BE3781" s="87"/>
      <c r="BF3781" s="87"/>
      <c r="BG3781" s="87"/>
      <c r="BH3781" s="87"/>
      <c r="BI3781" s="87"/>
    </row>
    <row r="3782" spans="1:61" x14ac:dyDescent="0.25">
      <c r="A3782" s="63" t="s">
        <v>1458</v>
      </c>
      <c r="B3782" s="63" t="s">
        <v>1458</v>
      </c>
      <c r="C3782" s="64"/>
      <c r="D3782" s="65"/>
      <c r="E3782" s="66"/>
      <c r="F3782" s="67"/>
      <c r="G3782" s="64"/>
      <c r="H3782" s="68"/>
      <c r="I3782" s="69"/>
      <c r="J3782" s="69"/>
      <c r="K3782" s="32"/>
      <c r="L3782" s="76">
        <v>3782</v>
      </c>
      <c r="M3782" s="76"/>
      <c r="N3782" s="71"/>
      <c r="O3782" s="87" t="s">
        <v>179</v>
      </c>
      <c r="P3782" s="90">
        <v>45152.501307870371</v>
      </c>
      <c r="Q3782" s="87" t="s">
        <v>5438</v>
      </c>
      <c r="R3782" s="87">
        <v>0</v>
      </c>
      <c r="S3782" s="87">
        <v>0</v>
      </c>
      <c r="T3782" s="87">
        <v>0</v>
      </c>
      <c r="U3782" s="87">
        <v>0</v>
      </c>
      <c r="V3782" s="87">
        <v>23</v>
      </c>
      <c r="W3782" s="93" t="s">
        <v>8060</v>
      </c>
      <c r="X3782" s="87" t="s">
        <v>8362</v>
      </c>
      <c r="Y3782" s="87" t="s">
        <v>8542</v>
      </c>
      <c r="Z3782" s="87"/>
      <c r="AA3782" s="87" t="s">
        <v>11178</v>
      </c>
      <c r="AB3782" s="87" t="s">
        <v>11447</v>
      </c>
      <c r="AC3782" s="93" t="s">
        <v>11475</v>
      </c>
      <c r="AD3782" s="87" t="s">
        <v>11518</v>
      </c>
      <c r="AE3782" s="92" t="str">
        <f>HYPERLINK("https://twitter.com/pptnaocompila/status/1691057551561850880")</f>
        <v>https://twitter.com/pptnaocompila/status/1691057551561850880</v>
      </c>
      <c r="AF3782" s="90">
        <v>45152.501307870371</v>
      </c>
      <c r="AG3782" s="99">
        <v>45152</v>
      </c>
      <c r="AH3782" s="93" t="s">
        <v>14865</v>
      </c>
      <c r="AI3782" s="87" t="b">
        <v>0</v>
      </c>
      <c r="AJ3782" s="87"/>
      <c r="AK3782" s="87"/>
      <c r="AL3782" s="87"/>
      <c r="AM3782" s="87"/>
      <c r="AN3782" s="87"/>
      <c r="AO3782" s="87"/>
      <c r="AP3782" s="87"/>
      <c r="AQ3782" s="87" t="s">
        <v>17990</v>
      </c>
      <c r="AR3782" s="87">
        <v>35001</v>
      </c>
      <c r="AS3782" s="87"/>
      <c r="AT3782" s="87"/>
      <c r="AU3782" s="87"/>
      <c r="AV3782" s="92" t="str">
        <f>HYPERLINK("https://pbs.twimg.com/ext_tw_video_thumb/1691056126500937729/pu/img/mU3YTB00A0Djum9P.jpg")</f>
        <v>https://pbs.twimg.com/ext_tw_video_thumb/1691056126500937729/pu/img/mU3YTB00A0Djum9P.jpg</v>
      </c>
      <c r="AW3782" s="93" t="s">
        <v>21894</v>
      </c>
      <c r="AX3782" s="93" t="s">
        <v>21894</v>
      </c>
      <c r="AY3782" s="87"/>
      <c r="AZ3782" s="93" t="s">
        <v>22668</v>
      </c>
      <c r="BA3782" s="93" t="s">
        <v>22668</v>
      </c>
      <c r="BB3782" s="93" t="s">
        <v>22668</v>
      </c>
      <c r="BC3782" s="93" t="s">
        <v>21894</v>
      </c>
      <c r="BD3782" s="93" t="s">
        <v>23509</v>
      </c>
      <c r="BE3782" s="87"/>
      <c r="BF3782" s="87"/>
      <c r="BG3782" s="87"/>
      <c r="BH3782" s="87"/>
      <c r="BI3782" s="87"/>
    </row>
    <row r="3783" spans="1:61" x14ac:dyDescent="0.25">
      <c r="A3783" s="63" t="s">
        <v>1459</v>
      </c>
      <c r="B3783" s="63" t="s">
        <v>1459</v>
      </c>
      <c r="C3783" s="64"/>
      <c r="D3783" s="65"/>
      <c r="E3783" s="66"/>
      <c r="F3783" s="67"/>
      <c r="G3783" s="64"/>
      <c r="H3783" s="68"/>
      <c r="I3783" s="69"/>
      <c r="J3783" s="69"/>
      <c r="K3783" s="32"/>
      <c r="L3783" s="76">
        <v>3783</v>
      </c>
      <c r="M3783" s="76"/>
      <c r="N3783" s="71"/>
      <c r="O3783" s="87" t="s">
        <v>1840</v>
      </c>
      <c r="P3783" s="90">
        <v>45113.83934027778</v>
      </c>
      <c r="Q3783" s="87" t="s">
        <v>5439</v>
      </c>
      <c r="R3783" s="87">
        <v>0</v>
      </c>
      <c r="S3783" s="87">
        <v>1</v>
      </c>
      <c r="T3783" s="87">
        <v>0</v>
      </c>
      <c r="U3783" s="87">
        <v>0</v>
      </c>
      <c r="V3783" s="87">
        <v>629</v>
      </c>
      <c r="W3783" s="93" t="s">
        <v>8061</v>
      </c>
      <c r="X3783" s="87"/>
      <c r="Y3783" s="87"/>
      <c r="Z3783" s="87"/>
      <c r="AA3783" s="87" t="s">
        <v>11179</v>
      </c>
      <c r="AB3783" s="87" t="s">
        <v>11452</v>
      </c>
      <c r="AC3783" s="93" t="s">
        <v>11457</v>
      </c>
      <c r="AD3783" s="87" t="s">
        <v>11519</v>
      </c>
      <c r="AE3783" s="92" t="str">
        <f>HYPERLINK("https://twitter.com/diogenes1608/status/1677046925084839937")</f>
        <v>https://twitter.com/diogenes1608/status/1677046925084839937</v>
      </c>
      <c r="AF3783" s="90">
        <v>45113.83934027778</v>
      </c>
      <c r="AG3783" s="99">
        <v>45113</v>
      </c>
      <c r="AH3783" s="93" t="s">
        <v>14866</v>
      </c>
      <c r="AI3783" s="87" t="b">
        <v>0</v>
      </c>
      <c r="AJ3783" s="87"/>
      <c r="AK3783" s="87"/>
      <c r="AL3783" s="87"/>
      <c r="AM3783" s="87"/>
      <c r="AN3783" s="87"/>
      <c r="AO3783" s="87"/>
      <c r="AP3783" s="87"/>
      <c r="AQ3783" s="87" t="s">
        <v>17991</v>
      </c>
      <c r="AR3783" s="87"/>
      <c r="AS3783" s="87"/>
      <c r="AT3783" s="87"/>
      <c r="AU3783" s="87"/>
      <c r="AV3783" s="92" t="str">
        <f>HYPERLINK("https://pbs.twimg.com/tweet_video_thumb/F0YRQWxWcAAyTNm.jpg")</f>
        <v>https://pbs.twimg.com/tweet_video_thumb/F0YRQWxWcAAyTNm.jpg</v>
      </c>
      <c r="AW3783" s="93" t="s">
        <v>21895</v>
      </c>
      <c r="AX3783" s="93" t="s">
        <v>22492</v>
      </c>
      <c r="AY3783" s="93" t="s">
        <v>22649</v>
      </c>
      <c r="AZ3783" s="93" t="s">
        <v>22775</v>
      </c>
      <c r="BA3783" s="93" t="s">
        <v>22668</v>
      </c>
      <c r="BB3783" s="93" t="s">
        <v>22668</v>
      </c>
      <c r="BC3783" s="93" t="s">
        <v>22775</v>
      </c>
      <c r="BD3783" s="87">
        <v>159346640</v>
      </c>
      <c r="BE3783" s="87"/>
      <c r="BF3783" s="87"/>
      <c r="BG3783" s="87"/>
      <c r="BH3783" s="87"/>
      <c r="BI3783" s="87"/>
    </row>
    <row r="3784" spans="1:61" x14ac:dyDescent="0.25">
      <c r="A3784" s="63" t="s">
        <v>1459</v>
      </c>
      <c r="B3784" s="63" t="s">
        <v>1459</v>
      </c>
      <c r="C3784" s="64"/>
      <c r="D3784" s="65"/>
      <c r="E3784" s="66"/>
      <c r="F3784" s="67"/>
      <c r="G3784" s="64"/>
      <c r="H3784" s="68"/>
      <c r="I3784" s="69"/>
      <c r="J3784" s="69"/>
      <c r="K3784" s="32"/>
      <c r="L3784" s="76">
        <v>3784</v>
      </c>
      <c r="M3784" s="76"/>
      <c r="N3784" s="71"/>
      <c r="O3784" s="87" t="s">
        <v>1840</v>
      </c>
      <c r="P3784" s="90">
        <v>45112.983437499999</v>
      </c>
      <c r="Q3784" s="87" t="s">
        <v>5440</v>
      </c>
      <c r="R3784" s="87">
        <v>0</v>
      </c>
      <c r="S3784" s="87">
        <v>0</v>
      </c>
      <c r="T3784" s="87">
        <v>0</v>
      </c>
      <c r="U3784" s="87">
        <v>0</v>
      </c>
      <c r="V3784" s="87">
        <v>439</v>
      </c>
      <c r="W3784" s="93" t="s">
        <v>8061</v>
      </c>
      <c r="X3784" s="87"/>
      <c r="Y3784" s="87"/>
      <c r="Z3784" s="87"/>
      <c r="AA3784" s="87"/>
      <c r="AB3784" s="87"/>
      <c r="AC3784" s="93" t="s">
        <v>11457</v>
      </c>
      <c r="AD3784" s="87" t="s">
        <v>11519</v>
      </c>
      <c r="AE3784" s="92" t="str">
        <f>HYPERLINK("https://twitter.com/diogenes1608/status/1676736756882763777")</f>
        <v>https://twitter.com/diogenes1608/status/1676736756882763777</v>
      </c>
      <c r="AF3784" s="90">
        <v>45112.983437499999</v>
      </c>
      <c r="AG3784" s="99">
        <v>45112</v>
      </c>
      <c r="AH3784" s="93" t="s">
        <v>14867</v>
      </c>
      <c r="AI3784" s="87"/>
      <c r="AJ3784" s="87"/>
      <c r="AK3784" s="87"/>
      <c r="AL3784" s="87"/>
      <c r="AM3784" s="87"/>
      <c r="AN3784" s="87"/>
      <c r="AO3784" s="87"/>
      <c r="AP3784" s="87"/>
      <c r="AQ3784" s="87"/>
      <c r="AR3784" s="87"/>
      <c r="AS3784" s="87"/>
      <c r="AT3784" s="87"/>
      <c r="AU3784" s="87"/>
      <c r="AV3784" s="92" t="str">
        <f>HYPERLINK("https://pbs.twimg.com/profile_images/1435729578115338241/5k6YmA33_normal.jpg")</f>
        <v>https://pbs.twimg.com/profile_images/1435729578115338241/5k6YmA33_normal.jpg</v>
      </c>
      <c r="AW3784" s="93" t="s">
        <v>21896</v>
      </c>
      <c r="AX3784" s="93" t="s">
        <v>22493</v>
      </c>
      <c r="AY3784" s="93" t="s">
        <v>22649</v>
      </c>
      <c r="AZ3784" s="93" t="s">
        <v>22776</v>
      </c>
      <c r="BA3784" s="93" t="s">
        <v>22668</v>
      </c>
      <c r="BB3784" s="93" t="s">
        <v>22668</v>
      </c>
      <c r="BC3784" s="93" t="s">
        <v>22776</v>
      </c>
      <c r="BD3784" s="87">
        <v>159346640</v>
      </c>
      <c r="BE3784" s="87"/>
      <c r="BF3784" s="87"/>
      <c r="BG3784" s="87"/>
      <c r="BH3784" s="87"/>
      <c r="BI3784" s="87"/>
    </row>
    <row r="3785" spans="1:61" x14ac:dyDescent="0.25">
      <c r="A3785" s="63" t="s">
        <v>1459</v>
      </c>
      <c r="B3785" s="63" t="s">
        <v>1459</v>
      </c>
      <c r="C3785" s="64"/>
      <c r="D3785" s="65"/>
      <c r="E3785" s="66"/>
      <c r="F3785" s="67"/>
      <c r="G3785" s="64"/>
      <c r="H3785" s="68"/>
      <c r="I3785" s="69"/>
      <c r="J3785" s="69"/>
      <c r="K3785" s="32"/>
      <c r="L3785" s="76">
        <v>3785</v>
      </c>
      <c r="M3785" s="76"/>
      <c r="N3785" s="71"/>
      <c r="O3785" s="87" t="s">
        <v>1840</v>
      </c>
      <c r="P3785" s="90">
        <v>45111.955462962964</v>
      </c>
      <c r="Q3785" s="87" t="s">
        <v>5441</v>
      </c>
      <c r="R3785" s="87">
        <v>0</v>
      </c>
      <c r="S3785" s="87">
        <v>2</v>
      </c>
      <c r="T3785" s="87">
        <v>0</v>
      </c>
      <c r="U3785" s="87">
        <v>0</v>
      </c>
      <c r="V3785" s="87">
        <v>460</v>
      </c>
      <c r="W3785" s="93" t="s">
        <v>8061</v>
      </c>
      <c r="X3785" s="87"/>
      <c r="Y3785" s="87"/>
      <c r="Z3785" s="87"/>
      <c r="AA3785" s="87"/>
      <c r="AB3785" s="87"/>
      <c r="AC3785" s="93" t="s">
        <v>11457</v>
      </c>
      <c r="AD3785" s="87" t="s">
        <v>11519</v>
      </c>
      <c r="AE3785" s="92" t="str">
        <f>HYPERLINK("https://twitter.com/diogenes1608/status/1676364228788191232")</f>
        <v>https://twitter.com/diogenes1608/status/1676364228788191232</v>
      </c>
      <c r="AF3785" s="90">
        <v>45111.955462962964</v>
      </c>
      <c r="AG3785" s="99">
        <v>45111</v>
      </c>
      <c r="AH3785" s="93" t="s">
        <v>14868</v>
      </c>
      <c r="AI3785" s="87"/>
      <c r="AJ3785" s="87"/>
      <c r="AK3785" s="87"/>
      <c r="AL3785" s="87"/>
      <c r="AM3785" s="87"/>
      <c r="AN3785" s="87"/>
      <c r="AO3785" s="87"/>
      <c r="AP3785" s="87"/>
      <c r="AQ3785" s="87"/>
      <c r="AR3785" s="87"/>
      <c r="AS3785" s="87"/>
      <c r="AT3785" s="87"/>
      <c r="AU3785" s="87"/>
      <c r="AV3785" s="92" t="str">
        <f>HYPERLINK("https://pbs.twimg.com/profile_images/1435729578115338241/5k6YmA33_normal.jpg")</f>
        <v>https://pbs.twimg.com/profile_images/1435729578115338241/5k6YmA33_normal.jpg</v>
      </c>
      <c r="AW3785" s="93" t="s">
        <v>21897</v>
      </c>
      <c r="AX3785" s="93" t="s">
        <v>22494</v>
      </c>
      <c r="AY3785" s="93" t="s">
        <v>22649</v>
      </c>
      <c r="AZ3785" s="93" t="s">
        <v>22777</v>
      </c>
      <c r="BA3785" s="93" t="s">
        <v>22668</v>
      </c>
      <c r="BB3785" s="93" t="s">
        <v>22668</v>
      </c>
      <c r="BC3785" s="93" t="s">
        <v>22777</v>
      </c>
      <c r="BD3785" s="87">
        <v>159346640</v>
      </c>
      <c r="BE3785" s="87"/>
      <c r="BF3785" s="87"/>
      <c r="BG3785" s="87"/>
      <c r="BH3785" s="87"/>
      <c r="BI3785" s="87"/>
    </row>
    <row r="3786" spans="1:61" x14ac:dyDescent="0.25">
      <c r="A3786" s="63" t="s">
        <v>1460</v>
      </c>
      <c r="B3786" s="63" t="s">
        <v>1819</v>
      </c>
      <c r="C3786" s="64"/>
      <c r="D3786" s="65"/>
      <c r="E3786" s="66"/>
      <c r="F3786" s="67"/>
      <c r="G3786" s="64"/>
      <c r="H3786" s="68"/>
      <c r="I3786" s="69"/>
      <c r="J3786" s="69"/>
      <c r="K3786" s="32"/>
      <c r="L3786" s="76">
        <v>3786</v>
      </c>
      <c r="M3786" s="76"/>
      <c r="N3786" s="71"/>
      <c r="O3786" s="87" t="s">
        <v>1839</v>
      </c>
      <c r="P3786" s="90">
        <v>45150.490624999999</v>
      </c>
      <c r="Q3786" s="87" t="s">
        <v>5442</v>
      </c>
      <c r="R3786" s="87">
        <v>0</v>
      </c>
      <c r="S3786" s="87">
        <v>1</v>
      </c>
      <c r="T3786" s="87">
        <v>0</v>
      </c>
      <c r="U3786" s="87">
        <v>0</v>
      </c>
      <c r="V3786" s="87">
        <v>15</v>
      </c>
      <c r="W3786" s="93" t="s">
        <v>8062</v>
      </c>
      <c r="X3786" s="87"/>
      <c r="Y3786" s="87"/>
      <c r="Z3786" s="87" t="s">
        <v>1819</v>
      </c>
      <c r="AA3786" s="87" t="s">
        <v>11180</v>
      </c>
      <c r="AB3786" s="87" t="s">
        <v>11448</v>
      </c>
      <c r="AC3786" s="93" t="s">
        <v>11457</v>
      </c>
      <c r="AD3786" s="87" t="s">
        <v>11519</v>
      </c>
      <c r="AE3786" s="92" t="str">
        <f>HYPERLINK("https://twitter.com/niavitic/status/1690328906589474816")</f>
        <v>https://twitter.com/niavitic/status/1690328906589474816</v>
      </c>
      <c r="AF3786" s="90">
        <v>45150.490624999999</v>
      </c>
      <c r="AG3786" s="99">
        <v>45150</v>
      </c>
      <c r="AH3786" s="93" t="s">
        <v>14869</v>
      </c>
      <c r="AI3786" s="87" t="b">
        <v>0</v>
      </c>
      <c r="AJ3786" s="87"/>
      <c r="AK3786" s="87"/>
      <c r="AL3786" s="87"/>
      <c r="AM3786" s="87"/>
      <c r="AN3786" s="87"/>
      <c r="AO3786" s="87"/>
      <c r="AP3786" s="87"/>
      <c r="AQ3786" s="87" t="s">
        <v>17992</v>
      </c>
      <c r="AR3786" s="87"/>
      <c r="AS3786" s="87"/>
      <c r="AT3786" s="87"/>
      <c r="AU3786" s="87"/>
      <c r="AV3786" s="92" t="str">
        <f>HYPERLINK("https://pbs.twimg.com/media/F3VA-mxXEAEA5VP.jpg")</f>
        <v>https://pbs.twimg.com/media/F3VA-mxXEAEA5VP.jpg</v>
      </c>
      <c r="AW3786" s="93" t="s">
        <v>21898</v>
      </c>
      <c r="AX3786" s="93" t="s">
        <v>21898</v>
      </c>
      <c r="AY3786" s="87"/>
      <c r="AZ3786" s="93" t="s">
        <v>22668</v>
      </c>
      <c r="BA3786" s="93" t="s">
        <v>22668</v>
      </c>
      <c r="BB3786" s="93" t="s">
        <v>22668</v>
      </c>
      <c r="BC3786" s="93" t="s">
        <v>21898</v>
      </c>
      <c r="BD3786" s="87">
        <v>409504724</v>
      </c>
      <c r="BE3786" s="87"/>
      <c r="BF3786" s="87"/>
      <c r="BG3786" s="87"/>
      <c r="BH3786" s="87"/>
      <c r="BI3786" s="87"/>
    </row>
    <row r="3787" spans="1:61" x14ac:dyDescent="0.25">
      <c r="A3787" s="63" t="s">
        <v>1460</v>
      </c>
      <c r="B3787" s="63" t="s">
        <v>1460</v>
      </c>
      <c r="C3787" s="64"/>
      <c r="D3787" s="65"/>
      <c r="E3787" s="66"/>
      <c r="F3787" s="67"/>
      <c r="G3787" s="64"/>
      <c r="H3787" s="68"/>
      <c r="I3787" s="69"/>
      <c r="J3787" s="69"/>
      <c r="K3787" s="32"/>
      <c r="L3787" s="76">
        <v>3787</v>
      </c>
      <c r="M3787" s="76"/>
      <c r="N3787" s="71"/>
      <c r="O3787" s="87" t="s">
        <v>1840</v>
      </c>
      <c r="P3787" s="90">
        <v>45117.907349537039</v>
      </c>
      <c r="Q3787" s="87" t="s">
        <v>5443</v>
      </c>
      <c r="R3787" s="87">
        <v>0</v>
      </c>
      <c r="S3787" s="87">
        <v>1</v>
      </c>
      <c r="T3787" s="87">
        <v>0</v>
      </c>
      <c r="U3787" s="87">
        <v>0</v>
      </c>
      <c r="V3787" s="87">
        <v>10</v>
      </c>
      <c r="W3787" s="93" t="s">
        <v>8063</v>
      </c>
      <c r="X3787" s="87"/>
      <c r="Y3787" s="87"/>
      <c r="Z3787" s="87"/>
      <c r="AA3787" s="87" t="s">
        <v>11181</v>
      </c>
      <c r="AB3787" s="87" t="s">
        <v>11448</v>
      </c>
      <c r="AC3787" s="93" t="s">
        <v>11457</v>
      </c>
      <c r="AD3787" s="87" t="s">
        <v>11519</v>
      </c>
      <c r="AE3787" s="92" t="str">
        <f>HYPERLINK("https://twitter.com/niavitic/status/1678521119920345091")</f>
        <v>https://twitter.com/niavitic/status/1678521119920345091</v>
      </c>
      <c r="AF3787" s="90">
        <v>45117.907349537039</v>
      </c>
      <c r="AG3787" s="99">
        <v>45117</v>
      </c>
      <c r="AH3787" s="93" t="s">
        <v>14870</v>
      </c>
      <c r="AI3787" s="87" t="b">
        <v>0</v>
      </c>
      <c r="AJ3787" s="87"/>
      <c r="AK3787" s="87"/>
      <c r="AL3787" s="87"/>
      <c r="AM3787" s="87"/>
      <c r="AN3787" s="87"/>
      <c r="AO3787" s="87"/>
      <c r="AP3787" s="87"/>
      <c r="AQ3787" s="87" t="s">
        <v>17993</v>
      </c>
      <c r="AR3787" s="87"/>
      <c r="AS3787" s="87"/>
      <c r="AT3787" s="87"/>
      <c r="AU3787" s="87"/>
      <c r="AV3787" s="92" t="str">
        <f>HYPERLINK("https://pbs.twimg.com/media/F0tNz8HWcAIpE-7.jpg")</f>
        <v>https://pbs.twimg.com/media/F0tNz8HWcAIpE-7.jpg</v>
      </c>
      <c r="AW3787" s="93" t="s">
        <v>21899</v>
      </c>
      <c r="AX3787" s="93" t="s">
        <v>21903</v>
      </c>
      <c r="AY3787" s="93" t="s">
        <v>22650</v>
      </c>
      <c r="AZ3787" s="93" t="s">
        <v>21900</v>
      </c>
      <c r="BA3787" s="93" t="s">
        <v>22668</v>
      </c>
      <c r="BB3787" s="93" t="s">
        <v>22668</v>
      </c>
      <c r="BC3787" s="93" t="s">
        <v>21900</v>
      </c>
      <c r="BD3787" s="87">
        <v>409504724</v>
      </c>
      <c r="BE3787" s="87"/>
      <c r="BF3787" s="87"/>
      <c r="BG3787" s="87"/>
      <c r="BH3787" s="87"/>
      <c r="BI3787" s="87"/>
    </row>
    <row r="3788" spans="1:61" x14ac:dyDescent="0.25">
      <c r="A3788" s="63" t="s">
        <v>1460</v>
      </c>
      <c r="B3788" s="63" t="s">
        <v>1460</v>
      </c>
      <c r="C3788" s="64"/>
      <c r="D3788" s="65"/>
      <c r="E3788" s="66"/>
      <c r="F3788" s="67"/>
      <c r="G3788" s="64"/>
      <c r="H3788" s="68"/>
      <c r="I3788" s="69"/>
      <c r="J3788" s="69"/>
      <c r="K3788" s="32"/>
      <c r="L3788" s="76">
        <v>3788</v>
      </c>
      <c r="M3788" s="76"/>
      <c r="N3788" s="71"/>
      <c r="O3788" s="87" t="s">
        <v>1840</v>
      </c>
      <c r="P3788" s="90">
        <v>45117.907337962963</v>
      </c>
      <c r="Q3788" s="87" t="s">
        <v>5444</v>
      </c>
      <c r="R3788" s="87">
        <v>0</v>
      </c>
      <c r="S3788" s="87">
        <v>1</v>
      </c>
      <c r="T3788" s="87">
        <v>1</v>
      </c>
      <c r="U3788" s="87">
        <v>0</v>
      </c>
      <c r="V3788" s="87">
        <v>13</v>
      </c>
      <c r="W3788" s="93" t="s">
        <v>8064</v>
      </c>
      <c r="X3788" s="87"/>
      <c r="Y3788" s="87"/>
      <c r="Z3788" s="87"/>
      <c r="AA3788" s="87" t="s">
        <v>11182</v>
      </c>
      <c r="AB3788" s="87" t="s">
        <v>11448</v>
      </c>
      <c r="AC3788" s="93" t="s">
        <v>11457</v>
      </c>
      <c r="AD3788" s="87" t="s">
        <v>11519</v>
      </c>
      <c r="AE3788" s="92" t="str">
        <f>HYPERLINK("https://twitter.com/niavitic/status/1678521117332459524")</f>
        <v>https://twitter.com/niavitic/status/1678521117332459524</v>
      </c>
      <c r="AF3788" s="90">
        <v>45117.907337962963</v>
      </c>
      <c r="AG3788" s="99">
        <v>45117</v>
      </c>
      <c r="AH3788" s="93" t="s">
        <v>14871</v>
      </c>
      <c r="AI3788" s="87" t="b">
        <v>0</v>
      </c>
      <c r="AJ3788" s="87"/>
      <c r="AK3788" s="87"/>
      <c r="AL3788" s="87"/>
      <c r="AM3788" s="87"/>
      <c r="AN3788" s="87"/>
      <c r="AO3788" s="87"/>
      <c r="AP3788" s="87"/>
      <c r="AQ3788" s="87" t="s">
        <v>17994</v>
      </c>
      <c r="AR3788" s="87"/>
      <c r="AS3788" s="87"/>
      <c r="AT3788" s="87"/>
      <c r="AU3788" s="87"/>
      <c r="AV3788" s="92" t="str">
        <f>HYPERLINK("https://pbs.twimg.com/media/F0tNyFYXoAUfxhs.jpg")</f>
        <v>https://pbs.twimg.com/media/F0tNyFYXoAUfxhs.jpg</v>
      </c>
      <c r="AW3788" s="93" t="s">
        <v>21900</v>
      </c>
      <c r="AX3788" s="93" t="s">
        <v>21903</v>
      </c>
      <c r="AY3788" s="93" t="s">
        <v>22650</v>
      </c>
      <c r="AZ3788" s="93" t="s">
        <v>21901</v>
      </c>
      <c r="BA3788" s="93" t="s">
        <v>22668</v>
      </c>
      <c r="BB3788" s="93" t="s">
        <v>22668</v>
      </c>
      <c r="BC3788" s="93" t="s">
        <v>21901</v>
      </c>
      <c r="BD3788" s="87">
        <v>409504724</v>
      </c>
      <c r="BE3788" s="87"/>
      <c r="BF3788" s="87"/>
      <c r="BG3788" s="87"/>
      <c r="BH3788" s="87"/>
      <c r="BI3788" s="87"/>
    </row>
    <row r="3789" spans="1:61" x14ac:dyDescent="0.25">
      <c r="A3789" s="63" t="s">
        <v>1460</v>
      </c>
      <c r="B3789" s="63" t="s">
        <v>1460</v>
      </c>
      <c r="C3789" s="64"/>
      <c r="D3789" s="65"/>
      <c r="E3789" s="66"/>
      <c r="F3789" s="67"/>
      <c r="G3789" s="64"/>
      <c r="H3789" s="68"/>
      <c r="I3789" s="69"/>
      <c r="J3789" s="69"/>
      <c r="K3789" s="32"/>
      <c r="L3789" s="76">
        <v>3789</v>
      </c>
      <c r="M3789" s="76"/>
      <c r="N3789" s="71"/>
      <c r="O3789" s="87" t="s">
        <v>1840</v>
      </c>
      <c r="P3789" s="90">
        <v>45117.907326388886</v>
      </c>
      <c r="Q3789" s="87" t="s">
        <v>5445</v>
      </c>
      <c r="R3789" s="87">
        <v>0</v>
      </c>
      <c r="S3789" s="87">
        <v>1</v>
      </c>
      <c r="T3789" s="87">
        <v>1</v>
      </c>
      <c r="U3789" s="87">
        <v>0</v>
      </c>
      <c r="V3789" s="87">
        <v>8</v>
      </c>
      <c r="W3789" s="93" t="s">
        <v>8063</v>
      </c>
      <c r="X3789" s="87"/>
      <c r="Y3789" s="87"/>
      <c r="Z3789" s="87"/>
      <c r="AA3789" s="87" t="s">
        <v>11183</v>
      </c>
      <c r="AB3789" s="87" t="s">
        <v>11448</v>
      </c>
      <c r="AC3789" s="93" t="s">
        <v>11457</v>
      </c>
      <c r="AD3789" s="87" t="s">
        <v>11519</v>
      </c>
      <c r="AE3789" s="92" t="str">
        <f>HYPERLINK("https://twitter.com/niavitic/status/1678521114417307649")</f>
        <v>https://twitter.com/niavitic/status/1678521114417307649</v>
      </c>
      <c r="AF3789" s="90">
        <v>45117.907326388886</v>
      </c>
      <c r="AG3789" s="99">
        <v>45117</v>
      </c>
      <c r="AH3789" s="93" t="s">
        <v>14872</v>
      </c>
      <c r="AI3789" s="87" t="b">
        <v>0</v>
      </c>
      <c r="AJ3789" s="87"/>
      <c r="AK3789" s="87"/>
      <c r="AL3789" s="87"/>
      <c r="AM3789" s="87"/>
      <c r="AN3789" s="87"/>
      <c r="AO3789" s="87"/>
      <c r="AP3789" s="87"/>
      <c r="AQ3789" s="87" t="s">
        <v>17995</v>
      </c>
      <c r="AR3789" s="87"/>
      <c r="AS3789" s="87"/>
      <c r="AT3789" s="87"/>
      <c r="AU3789" s="87"/>
      <c r="AV3789" s="92" t="str">
        <f>HYPERLINK("https://pbs.twimg.com/media/F0tNwQwXsAAKuwO.jpg")</f>
        <v>https://pbs.twimg.com/media/F0tNwQwXsAAKuwO.jpg</v>
      </c>
      <c r="AW3789" s="93" t="s">
        <v>21901</v>
      </c>
      <c r="AX3789" s="93" t="s">
        <v>21903</v>
      </c>
      <c r="AY3789" s="93" t="s">
        <v>22650</v>
      </c>
      <c r="AZ3789" s="93" t="s">
        <v>21902</v>
      </c>
      <c r="BA3789" s="93" t="s">
        <v>22668</v>
      </c>
      <c r="BB3789" s="93" t="s">
        <v>22668</v>
      </c>
      <c r="BC3789" s="93" t="s">
        <v>21902</v>
      </c>
      <c r="BD3789" s="87">
        <v>409504724</v>
      </c>
      <c r="BE3789" s="87"/>
      <c r="BF3789" s="87"/>
      <c r="BG3789" s="87"/>
      <c r="BH3789" s="87"/>
      <c r="BI3789" s="87"/>
    </row>
    <row r="3790" spans="1:61" x14ac:dyDescent="0.25">
      <c r="A3790" s="63" t="s">
        <v>1460</v>
      </c>
      <c r="B3790" s="63" t="s">
        <v>1460</v>
      </c>
      <c r="C3790" s="64"/>
      <c r="D3790" s="65"/>
      <c r="E3790" s="66"/>
      <c r="F3790" s="67"/>
      <c r="G3790" s="64"/>
      <c r="H3790" s="68"/>
      <c r="I3790" s="69"/>
      <c r="J3790" s="69"/>
      <c r="K3790" s="32"/>
      <c r="L3790" s="76">
        <v>3790</v>
      </c>
      <c r="M3790" s="76"/>
      <c r="N3790" s="71"/>
      <c r="O3790" s="87" t="s">
        <v>1840</v>
      </c>
      <c r="P3790" s="90">
        <v>45117.907326388886</v>
      </c>
      <c r="Q3790" s="87" t="s">
        <v>5446</v>
      </c>
      <c r="R3790" s="87">
        <v>0</v>
      </c>
      <c r="S3790" s="87">
        <v>1</v>
      </c>
      <c r="T3790" s="87">
        <v>1</v>
      </c>
      <c r="U3790" s="87">
        <v>0</v>
      </c>
      <c r="V3790" s="87">
        <v>5</v>
      </c>
      <c r="W3790" s="93" t="s">
        <v>8063</v>
      </c>
      <c r="X3790" s="87"/>
      <c r="Y3790" s="87"/>
      <c r="Z3790" s="87"/>
      <c r="AA3790" s="87" t="s">
        <v>11184</v>
      </c>
      <c r="AB3790" s="87" t="s">
        <v>11448</v>
      </c>
      <c r="AC3790" s="93" t="s">
        <v>11457</v>
      </c>
      <c r="AD3790" s="87" t="s">
        <v>11519</v>
      </c>
      <c r="AE3790" s="92" t="str">
        <f>HYPERLINK("https://twitter.com/niavitic/status/1678521111615614977")</f>
        <v>https://twitter.com/niavitic/status/1678521111615614977</v>
      </c>
      <c r="AF3790" s="90">
        <v>45117.907326388886</v>
      </c>
      <c r="AG3790" s="99">
        <v>45117</v>
      </c>
      <c r="AH3790" s="93" t="s">
        <v>14872</v>
      </c>
      <c r="AI3790" s="87" t="b">
        <v>0</v>
      </c>
      <c r="AJ3790" s="87"/>
      <c r="AK3790" s="87"/>
      <c r="AL3790" s="87"/>
      <c r="AM3790" s="87"/>
      <c r="AN3790" s="87"/>
      <c r="AO3790" s="87"/>
      <c r="AP3790" s="87"/>
      <c r="AQ3790" s="87" t="s">
        <v>17996</v>
      </c>
      <c r="AR3790" s="87"/>
      <c r="AS3790" s="87"/>
      <c r="AT3790" s="87"/>
      <c r="AU3790" s="87"/>
      <c r="AV3790" s="92" t="str">
        <f>HYPERLINK("https://pbs.twimg.com/media/F0tNuaXXoAErWvb.jpg")</f>
        <v>https://pbs.twimg.com/media/F0tNuaXXoAErWvb.jpg</v>
      </c>
      <c r="AW3790" s="93" t="s">
        <v>21902</v>
      </c>
      <c r="AX3790" s="93" t="s">
        <v>21903</v>
      </c>
      <c r="AY3790" s="93" t="s">
        <v>22650</v>
      </c>
      <c r="AZ3790" s="93" t="s">
        <v>21903</v>
      </c>
      <c r="BA3790" s="93" t="s">
        <v>22668</v>
      </c>
      <c r="BB3790" s="93" t="s">
        <v>22668</v>
      </c>
      <c r="BC3790" s="93" t="s">
        <v>21903</v>
      </c>
      <c r="BD3790" s="87">
        <v>409504724</v>
      </c>
      <c r="BE3790" s="87"/>
      <c r="BF3790" s="87"/>
      <c r="BG3790" s="87"/>
      <c r="BH3790" s="87"/>
      <c r="BI3790" s="87"/>
    </row>
    <row r="3791" spans="1:61" x14ac:dyDescent="0.25">
      <c r="A3791" s="63" t="s">
        <v>1460</v>
      </c>
      <c r="B3791" s="63" t="s">
        <v>1460</v>
      </c>
      <c r="C3791" s="64"/>
      <c r="D3791" s="65"/>
      <c r="E3791" s="66"/>
      <c r="F3791" s="67"/>
      <c r="G3791" s="64"/>
      <c r="H3791" s="68"/>
      <c r="I3791" s="69"/>
      <c r="J3791" s="69"/>
      <c r="K3791" s="32"/>
      <c r="L3791" s="76">
        <v>3791</v>
      </c>
      <c r="M3791" s="76"/>
      <c r="N3791" s="71"/>
      <c r="O3791" s="87" t="s">
        <v>179</v>
      </c>
      <c r="P3791" s="90">
        <v>45117.907314814816</v>
      </c>
      <c r="Q3791" s="87" t="s">
        <v>5447</v>
      </c>
      <c r="R3791" s="87">
        <v>1</v>
      </c>
      <c r="S3791" s="87">
        <v>2</v>
      </c>
      <c r="T3791" s="87">
        <v>1</v>
      </c>
      <c r="U3791" s="87">
        <v>0</v>
      </c>
      <c r="V3791" s="87">
        <v>32</v>
      </c>
      <c r="W3791" s="93" t="s">
        <v>8063</v>
      </c>
      <c r="X3791" s="87"/>
      <c r="Y3791" s="87"/>
      <c r="Z3791" s="87"/>
      <c r="AA3791" s="87" t="s">
        <v>11185</v>
      </c>
      <c r="AB3791" s="87" t="s">
        <v>11448</v>
      </c>
      <c r="AC3791" s="93" t="s">
        <v>11457</v>
      </c>
      <c r="AD3791" s="87" t="s">
        <v>11519</v>
      </c>
      <c r="AE3791" s="92" t="str">
        <f>HYPERLINK("https://twitter.com/niavitic/status/1678521108893519878")</f>
        <v>https://twitter.com/niavitic/status/1678521108893519878</v>
      </c>
      <c r="AF3791" s="90">
        <v>45117.907314814816</v>
      </c>
      <c r="AG3791" s="99">
        <v>45117</v>
      </c>
      <c r="AH3791" s="93" t="s">
        <v>14873</v>
      </c>
      <c r="AI3791" s="87" t="b">
        <v>0</v>
      </c>
      <c r="AJ3791" s="87"/>
      <c r="AK3791" s="87"/>
      <c r="AL3791" s="87"/>
      <c r="AM3791" s="87"/>
      <c r="AN3791" s="87"/>
      <c r="AO3791" s="87"/>
      <c r="AP3791" s="87"/>
      <c r="AQ3791" s="87" t="s">
        <v>17997</v>
      </c>
      <c r="AR3791" s="87"/>
      <c r="AS3791" s="87"/>
      <c r="AT3791" s="87"/>
      <c r="AU3791" s="87"/>
      <c r="AV3791" s="92" t="str">
        <f>HYPERLINK("https://pbs.twimg.com/media/F0tNlc3WYAAWEoe.jpg")</f>
        <v>https://pbs.twimg.com/media/F0tNlc3WYAAWEoe.jpg</v>
      </c>
      <c r="AW3791" s="93" t="s">
        <v>21903</v>
      </c>
      <c r="AX3791" s="93" t="s">
        <v>21903</v>
      </c>
      <c r="AY3791" s="87"/>
      <c r="AZ3791" s="93" t="s">
        <v>22668</v>
      </c>
      <c r="BA3791" s="93" t="s">
        <v>22668</v>
      </c>
      <c r="BB3791" s="93" t="s">
        <v>22668</v>
      </c>
      <c r="BC3791" s="93" t="s">
        <v>21903</v>
      </c>
      <c r="BD3791" s="87">
        <v>409504724</v>
      </c>
      <c r="BE3791" s="87"/>
      <c r="BF3791" s="87"/>
      <c r="BG3791" s="87"/>
      <c r="BH3791" s="87"/>
      <c r="BI3791" s="87"/>
    </row>
    <row r="3792" spans="1:61" x14ac:dyDescent="0.25">
      <c r="A3792" s="63" t="s">
        <v>1461</v>
      </c>
      <c r="B3792" s="63" t="s">
        <v>1461</v>
      </c>
      <c r="C3792" s="64"/>
      <c r="D3792" s="65"/>
      <c r="E3792" s="66"/>
      <c r="F3792" s="67"/>
      <c r="G3792" s="64"/>
      <c r="H3792" s="68"/>
      <c r="I3792" s="69"/>
      <c r="J3792" s="69"/>
      <c r="K3792" s="32"/>
      <c r="L3792" s="76">
        <v>3792</v>
      </c>
      <c r="M3792" s="76"/>
      <c r="N3792" s="71"/>
      <c r="O3792" s="87" t="s">
        <v>179</v>
      </c>
      <c r="P3792" s="90">
        <v>45142.017418981479</v>
      </c>
      <c r="Q3792" s="87" t="s">
        <v>5448</v>
      </c>
      <c r="R3792" s="87">
        <v>0</v>
      </c>
      <c r="S3792" s="87">
        <v>0</v>
      </c>
      <c r="T3792" s="87">
        <v>0</v>
      </c>
      <c r="U3792" s="87">
        <v>0</v>
      </c>
      <c r="V3792" s="87">
        <v>13</v>
      </c>
      <c r="W3792" s="93" t="s">
        <v>8065</v>
      </c>
      <c r="X3792" s="87"/>
      <c r="Y3792" s="87"/>
      <c r="Z3792" s="87"/>
      <c r="AA3792" s="87" t="s">
        <v>11186</v>
      </c>
      <c r="AB3792" s="87" t="s">
        <v>11448</v>
      </c>
      <c r="AC3792" s="93" t="s">
        <v>11458</v>
      </c>
      <c r="AD3792" s="87" t="s">
        <v>11519</v>
      </c>
      <c r="AE3792" s="92" t="str">
        <f>HYPERLINK("https://twitter.com/negimarjr/status/1687258317586927616")</f>
        <v>https://twitter.com/negimarjr/status/1687258317586927616</v>
      </c>
      <c r="AF3792" s="90">
        <v>45142.017418981479</v>
      </c>
      <c r="AG3792" s="99">
        <v>45142</v>
      </c>
      <c r="AH3792" s="93" t="s">
        <v>14874</v>
      </c>
      <c r="AI3792" s="87" t="b">
        <v>0</v>
      </c>
      <c r="AJ3792" s="87"/>
      <c r="AK3792" s="87"/>
      <c r="AL3792" s="87"/>
      <c r="AM3792" s="87"/>
      <c r="AN3792" s="87"/>
      <c r="AO3792" s="87"/>
      <c r="AP3792" s="87"/>
      <c r="AQ3792" s="87" t="s">
        <v>17998</v>
      </c>
      <c r="AR3792" s="87"/>
      <c r="AS3792" s="87"/>
      <c r="AT3792" s="87"/>
      <c r="AU3792" s="87"/>
      <c r="AV3792" s="92" t="str">
        <f>HYPERLINK("https://pbs.twimg.com/media/F2pYfm3XgAAhsQc.jpg")</f>
        <v>https://pbs.twimg.com/media/F2pYfm3XgAAhsQc.jpg</v>
      </c>
      <c r="AW3792" s="93" t="s">
        <v>21904</v>
      </c>
      <c r="AX3792" s="93" t="s">
        <v>21904</v>
      </c>
      <c r="AY3792" s="87"/>
      <c r="AZ3792" s="93" t="s">
        <v>22668</v>
      </c>
      <c r="BA3792" s="93" t="s">
        <v>22668</v>
      </c>
      <c r="BB3792" s="93" t="s">
        <v>22668</v>
      </c>
      <c r="BC3792" s="93" t="s">
        <v>21904</v>
      </c>
      <c r="BD3792" s="93" t="s">
        <v>23510</v>
      </c>
      <c r="BE3792" s="87"/>
      <c r="BF3792" s="87"/>
      <c r="BG3792" s="87"/>
      <c r="BH3792" s="87"/>
      <c r="BI3792" s="87"/>
    </row>
    <row r="3793" spans="1:61" x14ac:dyDescent="0.25">
      <c r="A3793" s="63" t="s">
        <v>1462</v>
      </c>
      <c r="B3793" s="63" t="s">
        <v>1462</v>
      </c>
      <c r="C3793" s="64"/>
      <c r="D3793" s="65"/>
      <c r="E3793" s="66"/>
      <c r="F3793" s="67"/>
      <c r="G3793" s="64"/>
      <c r="H3793" s="68"/>
      <c r="I3793" s="69"/>
      <c r="J3793" s="69"/>
      <c r="K3793" s="32"/>
      <c r="L3793" s="76">
        <v>3793</v>
      </c>
      <c r="M3793" s="76"/>
      <c r="N3793" s="71"/>
      <c r="O3793" s="87" t="s">
        <v>179</v>
      </c>
      <c r="P3793" s="90">
        <v>45132.070231481484</v>
      </c>
      <c r="Q3793" s="87" t="s">
        <v>5449</v>
      </c>
      <c r="R3793" s="87">
        <v>0</v>
      </c>
      <c r="S3793" s="87">
        <v>0</v>
      </c>
      <c r="T3793" s="87">
        <v>0</v>
      </c>
      <c r="U3793" s="87">
        <v>0</v>
      </c>
      <c r="V3793" s="87">
        <v>8</v>
      </c>
      <c r="W3793" s="93" t="s">
        <v>5897</v>
      </c>
      <c r="X3793" s="87"/>
      <c r="Y3793" s="87"/>
      <c r="Z3793" s="87"/>
      <c r="AA3793" s="87" t="s">
        <v>11187</v>
      </c>
      <c r="AB3793" s="87" t="s">
        <v>11448</v>
      </c>
      <c r="AC3793" s="93" t="s">
        <v>11459</v>
      </c>
      <c r="AD3793" s="87" t="s">
        <v>11520</v>
      </c>
      <c r="AE3793" s="92" t="str">
        <f>HYPERLINK("https://twitter.com/biscaromaia/status/1683653579234594817")</f>
        <v>https://twitter.com/biscaromaia/status/1683653579234594817</v>
      </c>
      <c r="AF3793" s="90">
        <v>45132.070231481484</v>
      </c>
      <c r="AG3793" s="99">
        <v>45132</v>
      </c>
      <c r="AH3793" s="93" t="s">
        <v>14875</v>
      </c>
      <c r="AI3793" s="87" t="b">
        <v>0</v>
      </c>
      <c r="AJ3793" s="87"/>
      <c r="AK3793" s="87"/>
      <c r="AL3793" s="87"/>
      <c r="AM3793" s="87"/>
      <c r="AN3793" s="87"/>
      <c r="AO3793" s="87"/>
      <c r="AP3793" s="87"/>
      <c r="AQ3793" s="87" t="s">
        <v>17999</v>
      </c>
      <c r="AR3793" s="87"/>
      <c r="AS3793" s="87"/>
      <c r="AT3793" s="87"/>
      <c r="AU3793" s="87"/>
      <c r="AV3793" s="92" t="str">
        <f>HYPERLINK("https://pbs.twimg.com/media/F12KAhbXsAAYmgg.jpg")</f>
        <v>https://pbs.twimg.com/media/F12KAhbXsAAYmgg.jpg</v>
      </c>
      <c r="AW3793" s="93" t="s">
        <v>21905</v>
      </c>
      <c r="AX3793" s="93" t="s">
        <v>21905</v>
      </c>
      <c r="AY3793" s="87"/>
      <c r="AZ3793" s="93" t="s">
        <v>22668</v>
      </c>
      <c r="BA3793" s="93" t="s">
        <v>22668</v>
      </c>
      <c r="BB3793" s="93" t="s">
        <v>22668</v>
      </c>
      <c r="BC3793" s="93" t="s">
        <v>21905</v>
      </c>
      <c r="BD3793" s="93" t="s">
        <v>23511</v>
      </c>
      <c r="BE3793" s="87"/>
      <c r="BF3793" s="87"/>
      <c r="BG3793" s="87"/>
      <c r="BH3793" s="87"/>
      <c r="BI3793" s="87"/>
    </row>
    <row r="3794" spans="1:61" x14ac:dyDescent="0.25">
      <c r="A3794" s="63" t="s">
        <v>1463</v>
      </c>
      <c r="B3794" s="63" t="s">
        <v>1463</v>
      </c>
      <c r="C3794" s="64"/>
      <c r="D3794" s="65"/>
      <c r="E3794" s="66"/>
      <c r="F3794" s="67"/>
      <c r="G3794" s="64"/>
      <c r="H3794" s="68"/>
      <c r="I3794" s="69"/>
      <c r="J3794" s="69"/>
      <c r="K3794" s="32"/>
      <c r="L3794" s="76">
        <v>3794</v>
      </c>
      <c r="M3794" s="76"/>
      <c r="N3794" s="71"/>
      <c r="O3794" s="87" t="s">
        <v>179</v>
      </c>
      <c r="P3794" s="90">
        <v>45140.566574074073</v>
      </c>
      <c r="Q3794" s="87" t="s">
        <v>5450</v>
      </c>
      <c r="R3794" s="87">
        <v>0</v>
      </c>
      <c r="S3794" s="87">
        <v>0</v>
      </c>
      <c r="T3794" s="87">
        <v>0</v>
      </c>
      <c r="U3794" s="87">
        <v>0</v>
      </c>
      <c r="V3794" s="87">
        <v>4</v>
      </c>
      <c r="W3794" s="93" t="s">
        <v>8066</v>
      </c>
      <c r="X3794" s="87"/>
      <c r="Y3794" s="87"/>
      <c r="Z3794" s="87"/>
      <c r="AA3794" s="87"/>
      <c r="AB3794" s="87"/>
      <c r="AC3794" s="93" t="s">
        <v>11457</v>
      </c>
      <c r="AD3794" s="87" t="s">
        <v>11519</v>
      </c>
      <c r="AE3794" s="92" t="str">
        <f>HYPERLINK("https://twitter.com/cbcardoso01/status/1686732550931193856")</f>
        <v>https://twitter.com/cbcardoso01/status/1686732550931193856</v>
      </c>
      <c r="AF3794" s="90">
        <v>45140.566574074073</v>
      </c>
      <c r="AG3794" s="99">
        <v>45140</v>
      </c>
      <c r="AH3794" s="93" t="s">
        <v>14876</v>
      </c>
      <c r="AI3794" s="87"/>
      <c r="AJ3794" s="87"/>
      <c r="AK3794" s="87"/>
      <c r="AL3794" s="87"/>
      <c r="AM3794" s="87"/>
      <c r="AN3794" s="87"/>
      <c r="AO3794" s="87"/>
      <c r="AP3794" s="87"/>
      <c r="AQ3794" s="87"/>
      <c r="AR3794" s="87"/>
      <c r="AS3794" s="87"/>
      <c r="AT3794" s="87"/>
      <c r="AU3794" s="87"/>
      <c r="AV3794" s="92" t="str">
        <f>HYPERLINK("https://pbs.twimg.com/profile_images/1676545355905740800/CWmYR7PR_normal.jpg")</f>
        <v>https://pbs.twimg.com/profile_images/1676545355905740800/CWmYR7PR_normal.jpg</v>
      </c>
      <c r="AW3794" s="93" t="s">
        <v>21906</v>
      </c>
      <c r="AX3794" s="93" t="s">
        <v>21906</v>
      </c>
      <c r="AY3794" s="87"/>
      <c r="AZ3794" s="93" t="s">
        <v>22668</v>
      </c>
      <c r="BA3794" s="93" t="s">
        <v>22668</v>
      </c>
      <c r="BB3794" s="93" t="s">
        <v>22668</v>
      </c>
      <c r="BC3794" s="93" t="s">
        <v>21906</v>
      </c>
      <c r="BD3794" s="93" t="s">
        <v>23512</v>
      </c>
      <c r="BE3794" s="87"/>
      <c r="BF3794" s="87"/>
      <c r="BG3794" s="87"/>
      <c r="BH3794" s="87"/>
      <c r="BI3794" s="87"/>
    </row>
    <row r="3795" spans="1:61" x14ac:dyDescent="0.25">
      <c r="A3795" s="63" t="s">
        <v>1464</v>
      </c>
      <c r="B3795" s="63" t="s">
        <v>1464</v>
      </c>
      <c r="C3795" s="64"/>
      <c r="D3795" s="65"/>
      <c r="E3795" s="66"/>
      <c r="F3795" s="67"/>
      <c r="G3795" s="64"/>
      <c r="H3795" s="68"/>
      <c r="I3795" s="69"/>
      <c r="J3795" s="69"/>
      <c r="K3795" s="32"/>
      <c r="L3795" s="76">
        <v>3795</v>
      </c>
      <c r="M3795" s="76"/>
      <c r="N3795" s="71"/>
      <c r="O3795" s="87" t="s">
        <v>179</v>
      </c>
      <c r="P3795" s="90">
        <v>45161.553344907406</v>
      </c>
      <c r="Q3795" s="87" t="s">
        <v>5451</v>
      </c>
      <c r="R3795" s="87">
        <v>0</v>
      </c>
      <c r="S3795" s="87">
        <v>1</v>
      </c>
      <c r="T3795" s="87">
        <v>0</v>
      </c>
      <c r="U3795" s="87">
        <v>0</v>
      </c>
      <c r="V3795" s="87">
        <v>8</v>
      </c>
      <c r="W3795" s="93" t="s">
        <v>8067</v>
      </c>
      <c r="X3795" s="92" t="str">
        <f>HYPERLINK("https://marketingelevation.org/summit/")</f>
        <v>https://marketingelevation.org/summit/</v>
      </c>
      <c r="Y3795" s="87" t="s">
        <v>8543</v>
      </c>
      <c r="Z3795" s="87"/>
      <c r="AA3795" s="87"/>
      <c r="AB3795" s="87"/>
      <c r="AC3795" s="93" t="s">
        <v>11457</v>
      </c>
      <c r="AD3795" s="87" t="s">
        <v>11519</v>
      </c>
      <c r="AE3795" s="92" t="str">
        <f>HYPERLINK("https://twitter.com/bi4all_official/status/1694337902744846540")</f>
        <v>https://twitter.com/bi4all_official/status/1694337902744846540</v>
      </c>
      <c r="AF3795" s="90">
        <v>45161.553344907406</v>
      </c>
      <c r="AG3795" s="99">
        <v>45161</v>
      </c>
      <c r="AH3795" s="93" t="s">
        <v>14877</v>
      </c>
      <c r="AI3795" s="87" t="b">
        <v>0</v>
      </c>
      <c r="AJ3795" s="87"/>
      <c r="AK3795" s="87"/>
      <c r="AL3795" s="87"/>
      <c r="AM3795" s="87"/>
      <c r="AN3795" s="87"/>
      <c r="AO3795" s="87"/>
      <c r="AP3795" s="87"/>
      <c r="AQ3795" s="87"/>
      <c r="AR3795" s="87"/>
      <c r="AS3795" s="87"/>
      <c r="AT3795" s="87"/>
      <c r="AU3795" s="87"/>
      <c r="AV3795" s="92" t="str">
        <f>HYPERLINK("https://pbs.twimg.com/profile_images/1089837021756121088/lWjVOY5J_normal.jpg")</f>
        <v>https://pbs.twimg.com/profile_images/1089837021756121088/lWjVOY5J_normal.jpg</v>
      </c>
      <c r="AW3795" s="93" t="s">
        <v>21907</v>
      </c>
      <c r="AX3795" s="93" t="s">
        <v>21907</v>
      </c>
      <c r="AY3795" s="87"/>
      <c r="AZ3795" s="93" t="s">
        <v>22668</v>
      </c>
      <c r="BA3795" s="93" t="s">
        <v>22668</v>
      </c>
      <c r="BB3795" s="93" t="s">
        <v>22668</v>
      </c>
      <c r="BC3795" s="93" t="s">
        <v>21907</v>
      </c>
      <c r="BD3795" s="93" t="s">
        <v>23513</v>
      </c>
      <c r="BE3795" s="87"/>
      <c r="BF3795" s="87"/>
      <c r="BG3795" s="87"/>
      <c r="BH3795" s="87"/>
      <c r="BI3795" s="87"/>
    </row>
    <row r="3796" spans="1:61" x14ac:dyDescent="0.25">
      <c r="A3796" s="63" t="s">
        <v>1465</v>
      </c>
      <c r="B3796" s="63" t="s">
        <v>1465</v>
      </c>
      <c r="C3796" s="64"/>
      <c r="D3796" s="65"/>
      <c r="E3796" s="66"/>
      <c r="F3796" s="67"/>
      <c r="G3796" s="64"/>
      <c r="H3796" s="68"/>
      <c r="I3796" s="69"/>
      <c r="J3796" s="69"/>
      <c r="K3796" s="32"/>
      <c r="L3796" s="76">
        <v>3796</v>
      </c>
      <c r="M3796" s="76"/>
      <c r="N3796" s="71"/>
      <c r="O3796" s="87" t="s">
        <v>1840</v>
      </c>
      <c r="P3796" s="90">
        <v>45169.074814814812</v>
      </c>
      <c r="Q3796" s="87" t="s">
        <v>5452</v>
      </c>
      <c r="R3796" s="87">
        <v>0</v>
      </c>
      <c r="S3796" s="87">
        <v>0</v>
      </c>
      <c r="T3796" s="87">
        <v>0</v>
      </c>
      <c r="U3796" s="87">
        <v>0</v>
      </c>
      <c r="V3796" s="87">
        <v>8</v>
      </c>
      <c r="W3796" s="93" t="s">
        <v>8068</v>
      </c>
      <c r="X3796" s="87"/>
      <c r="Y3796" s="87"/>
      <c r="Z3796" s="87"/>
      <c r="AA3796" s="87"/>
      <c r="AB3796" s="87"/>
      <c r="AC3796" s="93" t="s">
        <v>11459</v>
      </c>
      <c r="AD3796" s="87" t="s">
        <v>11524</v>
      </c>
      <c r="AE3796" s="92" t="str">
        <f>HYPERLINK("https://twitter.com/robsonpenha86/status/1697063590518296928")</f>
        <v>https://twitter.com/robsonpenha86/status/1697063590518296928</v>
      </c>
      <c r="AF3796" s="90">
        <v>45169.074814814812</v>
      </c>
      <c r="AG3796" s="99">
        <v>45169</v>
      </c>
      <c r="AH3796" s="93" t="s">
        <v>14878</v>
      </c>
      <c r="AI3796" s="87"/>
      <c r="AJ3796" s="87"/>
      <c r="AK3796" s="87"/>
      <c r="AL3796" s="87"/>
      <c r="AM3796" s="87"/>
      <c r="AN3796" s="87"/>
      <c r="AO3796" s="87"/>
      <c r="AP3796" s="87"/>
      <c r="AQ3796" s="87"/>
      <c r="AR3796" s="87"/>
      <c r="AS3796" s="87"/>
      <c r="AT3796" s="87"/>
      <c r="AU3796" s="87"/>
      <c r="AV3796" s="92" t="str">
        <f>HYPERLINK("https://pbs.twimg.com/profile_images/1624931053642125312/PvopYSRr_normal.jpg")</f>
        <v>https://pbs.twimg.com/profile_images/1624931053642125312/PvopYSRr_normal.jpg</v>
      </c>
      <c r="AW3796" s="93" t="s">
        <v>21908</v>
      </c>
      <c r="AX3796" s="93" t="s">
        <v>22495</v>
      </c>
      <c r="AY3796" s="93" t="s">
        <v>22651</v>
      </c>
      <c r="AZ3796" s="93" t="s">
        <v>22778</v>
      </c>
      <c r="BA3796" s="93" t="s">
        <v>22668</v>
      </c>
      <c r="BB3796" s="93" t="s">
        <v>22668</v>
      </c>
      <c r="BC3796" s="93" t="s">
        <v>22778</v>
      </c>
      <c r="BD3796" s="87">
        <v>2949637559</v>
      </c>
      <c r="BE3796" s="87"/>
      <c r="BF3796" s="87"/>
      <c r="BG3796" s="87"/>
      <c r="BH3796" s="87"/>
      <c r="BI3796" s="87"/>
    </row>
    <row r="3797" spans="1:61" x14ac:dyDescent="0.25">
      <c r="A3797" s="63" t="s">
        <v>1466</v>
      </c>
      <c r="B3797" s="63" t="s">
        <v>1466</v>
      </c>
      <c r="C3797" s="64"/>
      <c r="D3797" s="65"/>
      <c r="E3797" s="66"/>
      <c r="F3797" s="67"/>
      <c r="G3797" s="64"/>
      <c r="H3797" s="68"/>
      <c r="I3797" s="69"/>
      <c r="J3797" s="69"/>
      <c r="K3797" s="32"/>
      <c r="L3797" s="76">
        <v>3797</v>
      </c>
      <c r="M3797" s="76"/>
      <c r="N3797" s="71"/>
      <c r="O3797" s="87" t="s">
        <v>179</v>
      </c>
      <c r="P3797" s="90">
        <v>45132.513622685183</v>
      </c>
      <c r="Q3797" s="87" t="s">
        <v>5453</v>
      </c>
      <c r="R3797" s="87">
        <v>0</v>
      </c>
      <c r="S3797" s="87">
        <v>1</v>
      </c>
      <c r="T3797" s="87">
        <v>0</v>
      </c>
      <c r="U3797" s="87">
        <v>0</v>
      </c>
      <c r="V3797" s="87">
        <v>15</v>
      </c>
      <c r="W3797" s="93" t="s">
        <v>8069</v>
      </c>
      <c r="X3797" s="87"/>
      <c r="Y3797" s="87"/>
      <c r="Z3797" s="87"/>
      <c r="AA3797" s="87"/>
      <c r="AB3797" s="87"/>
      <c r="AC3797" s="93" t="s">
        <v>11457</v>
      </c>
      <c r="AD3797" s="87" t="s">
        <v>11519</v>
      </c>
      <c r="AE3797" s="92" t="str">
        <f>HYPERLINK("https://twitter.com/renanlimaads/status/1683814260009205765")</f>
        <v>https://twitter.com/renanlimaads/status/1683814260009205765</v>
      </c>
      <c r="AF3797" s="90">
        <v>45132.513622685183</v>
      </c>
      <c r="AG3797" s="99">
        <v>45132</v>
      </c>
      <c r="AH3797" s="93" t="s">
        <v>14879</v>
      </c>
      <c r="AI3797" s="87"/>
      <c r="AJ3797" s="87"/>
      <c r="AK3797" s="87"/>
      <c r="AL3797" s="87"/>
      <c r="AM3797" s="87"/>
      <c r="AN3797" s="87"/>
      <c r="AO3797" s="87"/>
      <c r="AP3797" s="87"/>
      <c r="AQ3797" s="87"/>
      <c r="AR3797" s="87"/>
      <c r="AS3797" s="87"/>
      <c r="AT3797" s="87"/>
      <c r="AU3797" s="87"/>
      <c r="AV3797" s="92" t="str">
        <f>HYPERLINK("https://pbs.twimg.com/profile_images/1670504963926007811/O0bwYgox_normal.jpg")</f>
        <v>https://pbs.twimg.com/profile_images/1670504963926007811/O0bwYgox_normal.jpg</v>
      </c>
      <c r="AW3797" s="93" t="s">
        <v>21909</v>
      </c>
      <c r="AX3797" s="93" t="s">
        <v>21909</v>
      </c>
      <c r="AY3797" s="87"/>
      <c r="AZ3797" s="93" t="s">
        <v>22668</v>
      </c>
      <c r="BA3797" s="93" t="s">
        <v>22668</v>
      </c>
      <c r="BB3797" s="93" t="s">
        <v>22668</v>
      </c>
      <c r="BC3797" s="93" t="s">
        <v>21909</v>
      </c>
      <c r="BD3797" s="87">
        <v>77789383</v>
      </c>
      <c r="BE3797" s="87"/>
      <c r="BF3797" s="87"/>
      <c r="BG3797" s="87"/>
      <c r="BH3797" s="87"/>
      <c r="BI3797" s="87"/>
    </row>
    <row r="3798" spans="1:61" x14ac:dyDescent="0.25">
      <c r="A3798" s="63" t="s">
        <v>1466</v>
      </c>
      <c r="B3798" s="63" t="s">
        <v>1466</v>
      </c>
      <c r="C3798" s="64"/>
      <c r="D3798" s="65"/>
      <c r="E3798" s="66"/>
      <c r="F3798" s="67"/>
      <c r="G3798" s="64"/>
      <c r="H3798" s="68"/>
      <c r="I3798" s="69"/>
      <c r="J3798" s="69"/>
      <c r="K3798" s="32"/>
      <c r="L3798" s="76">
        <v>3798</v>
      </c>
      <c r="M3798" s="76"/>
      <c r="N3798" s="71"/>
      <c r="O3798" s="87" t="s">
        <v>179</v>
      </c>
      <c r="P3798" s="90">
        <v>45149.800486111111</v>
      </c>
      <c r="Q3798" s="87" t="s">
        <v>5454</v>
      </c>
      <c r="R3798" s="87">
        <v>0</v>
      </c>
      <c r="S3798" s="87">
        <v>0</v>
      </c>
      <c r="T3798" s="87">
        <v>0</v>
      </c>
      <c r="U3798" s="87">
        <v>0</v>
      </c>
      <c r="V3798" s="87">
        <v>13</v>
      </c>
      <c r="W3798" s="93" t="s">
        <v>8070</v>
      </c>
      <c r="X3798" s="87"/>
      <c r="Y3798" s="87"/>
      <c r="Z3798" s="87"/>
      <c r="AA3798" s="87"/>
      <c r="AB3798" s="87"/>
      <c r="AC3798" s="93" t="s">
        <v>11457</v>
      </c>
      <c r="AD3798" s="87" t="s">
        <v>11519</v>
      </c>
      <c r="AE3798" s="92" t="str">
        <f>HYPERLINK("https://twitter.com/renanlimaads/status/1690078807682600960")</f>
        <v>https://twitter.com/renanlimaads/status/1690078807682600960</v>
      </c>
      <c r="AF3798" s="90">
        <v>45149.800486111111</v>
      </c>
      <c r="AG3798" s="99">
        <v>45149</v>
      </c>
      <c r="AH3798" s="93" t="s">
        <v>14880</v>
      </c>
      <c r="AI3798" s="87"/>
      <c r="AJ3798" s="87"/>
      <c r="AK3798" s="87"/>
      <c r="AL3798" s="87"/>
      <c r="AM3798" s="87"/>
      <c r="AN3798" s="87"/>
      <c r="AO3798" s="87"/>
      <c r="AP3798" s="87"/>
      <c r="AQ3798" s="87"/>
      <c r="AR3798" s="87"/>
      <c r="AS3798" s="87"/>
      <c r="AT3798" s="87"/>
      <c r="AU3798" s="87"/>
      <c r="AV3798" s="92" t="str">
        <f>HYPERLINK("https://pbs.twimg.com/profile_images/1670504963926007811/O0bwYgox_normal.jpg")</f>
        <v>https://pbs.twimg.com/profile_images/1670504963926007811/O0bwYgox_normal.jpg</v>
      </c>
      <c r="AW3798" s="93" t="s">
        <v>21910</v>
      </c>
      <c r="AX3798" s="93" t="s">
        <v>21910</v>
      </c>
      <c r="AY3798" s="87"/>
      <c r="AZ3798" s="93" t="s">
        <v>22668</v>
      </c>
      <c r="BA3798" s="93" t="s">
        <v>22668</v>
      </c>
      <c r="BB3798" s="93" t="s">
        <v>22668</v>
      </c>
      <c r="BC3798" s="93" t="s">
        <v>21910</v>
      </c>
      <c r="BD3798" s="87">
        <v>77789383</v>
      </c>
      <c r="BE3798" s="87"/>
      <c r="BF3798" s="87"/>
      <c r="BG3798" s="87"/>
      <c r="BH3798" s="87"/>
      <c r="BI3798" s="87"/>
    </row>
    <row r="3799" spans="1:61" x14ac:dyDescent="0.25">
      <c r="A3799" s="63" t="s">
        <v>1467</v>
      </c>
      <c r="B3799" s="63" t="s">
        <v>1467</v>
      </c>
      <c r="C3799" s="64"/>
      <c r="D3799" s="65"/>
      <c r="E3799" s="66"/>
      <c r="F3799" s="67"/>
      <c r="G3799" s="64"/>
      <c r="H3799" s="68"/>
      <c r="I3799" s="69"/>
      <c r="J3799" s="69"/>
      <c r="K3799" s="32"/>
      <c r="L3799" s="76">
        <v>3799</v>
      </c>
      <c r="M3799" s="76"/>
      <c r="N3799" s="71"/>
      <c r="O3799" s="87" t="s">
        <v>179</v>
      </c>
      <c r="P3799" s="90">
        <v>45114.705185185187</v>
      </c>
      <c r="Q3799" s="87" t="s">
        <v>5455</v>
      </c>
      <c r="R3799" s="87">
        <v>0</v>
      </c>
      <c r="S3799" s="87">
        <v>0</v>
      </c>
      <c r="T3799" s="87">
        <v>0</v>
      </c>
      <c r="U3799" s="87">
        <v>0</v>
      </c>
      <c r="V3799" s="87">
        <v>11</v>
      </c>
      <c r="W3799" s="93" t="s">
        <v>8071</v>
      </c>
      <c r="X3799" s="92" t="str">
        <f>HYPERLINK("https://www.jornaldaki.com.br/no-rio-feira-coletiva-de-neg%C3%B3cios-ocupa-parque-das-ru%C3%ADnas-neste-s%C3%A1bado-8")</f>
        <v>https://www.jornaldaki.com.br/no-rio-feira-coletiva-de-neg%C3%B3cios-ocupa-parque-das-ru%C3%ADnas-neste-s%C3%A1bado-8</v>
      </c>
      <c r="Y3799" s="87" t="s">
        <v>8373</v>
      </c>
      <c r="Z3799" s="87"/>
      <c r="AA3799" s="87"/>
      <c r="AB3799" s="87"/>
      <c r="AC3799" s="93" t="s">
        <v>11457</v>
      </c>
      <c r="AD3799" s="87" t="s">
        <v>11519</v>
      </c>
      <c r="AE3799" s="92" t="str">
        <f>HYPERLINK("https://twitter.com/jornaldaki/status/1677360695019544577")</f>
        <v>https://twitter.com/jornaldaki/status/1677360695019544577</v>
      </c>
      <c r="AF3799" s="90">
        <v>45114.705185185187</v>
      </c>
      <c r="AG3799" s="99">
        <v>45114</v>
      </c>
      <c r="AH3799" s="93" t="s">
        <v>14881</v>
      </c>
      <c r="AI3799" s="87" t="b">
        <v>0</v>
      </c>
      <c r="AJ3799" s="87"/>
      <c r="AK3799" s="87"/>
      <c r="AL3799" s="87"/>
      <c r="AM3799" s="87"/>
      <c r="AN3799" s="87"/>
      <c r="AO3799" s="87"/>
      <c r="AP3799" s="87"/>
      <c r="AQ3799" s="87"/>
      <c r="AR3799" s="87"/>
      <c r="AS3799" s="87"/>
      <c r="AT3799" s="87"/>
      <c r="AU3799" s="87"/>
      <c r="AV3799" s="92" t="str">
        <f>HYPERLINK("https://pbs.twimg.com/profile_images/1396145253820903426/_VX1GTKG_normal.jpg")</f>
        <v>https://pbs.twimg.com/profile_images/1396145253820903426/_VX1GTKG_normal.jpg</v>
      </c>
      <c r="AW3799" s="93" t="s">
        <v>21911</v>
      </c>
      <c r="AX3799" s="93" t="s">
        <v>21911</v>
      </c>
      <c r="AY3799" s="87"/>
      <c r="AZ3799" s="93" t="s">
        <v>22668</v>
      </c>
      <c r="BA3799" s="93" t="s">
        <v>22668</v>
      </c>
      <c r="BB3799" s="93" t="s">
        <v>22668</v>
      </c>
      <c r="BC3799" s="93" t="s">
        <v>21911</v>
      </c>
      <c r="BD3799" s="87">
        <v>3581596336</v>
      </c>
      <c r="BE3799" s="87"/>
      <c r="BF3799" s="87"/>
      <c r="BG3799" s="87"/>
      <c r="BH3799" s="87"/>
      <c r="BI3799" s="87"/>
    </row>
    <row r="3800" spans="1:61" x14ac:dyDescent="0.25">
      <c r="A3800" s="63" t="s">
        <v>1467</v>
      </c>
      <c r="B3800" s="63" t="s">
        <v>1467</v>
      </c>
      <c r="C3800" s="64"/>
      <c r="D3800" s="65"/>
      <c r="E3800" s="66"/>
      <c r="F3800" s="67"/>
      <c r="G3800" s="64"/>
      <c r="H3800" s="68"/>
      <c r="I3800" s="69"/>
      <c r="J3800" s="69"/>
      <c r="K3800" s="32"/>
      <c r="L3800" s="76">
        <v>3800</v>
      </c>
      <c r="M3800" s="76"/>
      <c r="N3800" s="71"/>
      <c r="O3800" s="87" t="s">
        <v>179</v>
      </c>
      <c r="P3800" s="90">
        <v>45127.749201388891</v>
      </c>
      <c r="Q3800" s="87" t="s">
        <v>5456</v>
      </c>
      <c r="R3800" s="87">
        <v>0</v>
      </c>
      <c r="S3800" s="87">
        <v>1</v>
      </c>
      <c r="T3800" s="87">
        <v>0</v>
      </c>
      <c r="U3800" s="87">
        <v>0</v>
      </c>
      <c r="V3800" s="87">
        <v>3</v>
      </c>
      <c r="W3800" s="93" t="s">
        <v>8072</v>
      </c>
      <c r="X3800" s="92" t="str">
        <f>HYPERLINK("https://www.jornaldaki.com.br/a-mudan%C3%A7a-n%C3%A3o-%C3%A9-repentina-mas-a-decis%C3%A3o-%C3%A9-j%C3%A1")</f>
        <v>https://www.jornaldaki.com.br/a-mudan%C3%A7a-n%C3%A3o-%C3%A9-repentina-mas-a-decis%C3%A3o-%C3%A9-j%C3%A1</v>
      </c>
      <c r="Y3800" s="87" t="s">
        <v>8373</v>
      </c>
      <c r="Z3800" s="87"/>
      <c r="AA3800" s="87"/>
      <c r="AB3800" s="87"/>
      <c r="AC3800" s="93" t="s">
        <v>11457</v>
      </c>
      <c r="AD3800" s="87" t="s">
        <v>11519</v>
      </c>
      <c r="AE3800" s="92" t="str">
        <f>HYPERLINK("https://twitter.com/jornaldaki/status/1682087687476355077")</f>
        <v>https://twitter.com/jornaldaki/status/1682087687476355077</v>
      </c>
      <c r="AF3800" s="90">
        <v>45127.749201388891</v>
      </c>
      <c r="AG3800" s="99">
        <v>45127</v>
      </c>
      <c r="AH3800" s="93" t="s">
        <v>14882</v>
      </c>
      <c r="AI3800" s="87" t="b">
        <v>0</v>
      </c>
      <c r="AJ3800" s="87"/>
      <c r="AK3800" s="87"/>
      <c r="AL3800" s="87"/>
      <c r="AM3800" s="87"/>
      <c r="AN3800" s="87"/>
      <c r="AO3800" s="87"/>
      <c r="AP3800" s="87"/>
      <c r="AQ3800" s="87"/>
      <c r="AR3800" s="87"/>
      <c r="AS3800" s="87"/>
      <c r="AT3800" s="87"/>
      <c r="AU3800" s="87"/>
      <c r="AV3800" s="92" t="str">
        <f>HYPERLINK("https://pbs.twimg.com/profile_images/1396145253820903426/_VX1GTKG_normal.jpg")</f>
        <v>https://pbs.twimg.com/profile_images/1396145253820903426/_VX1GTKG_normal.jpg</v>
      </c>
      <c r="AW3800" s="93" t="s">
        <v>21912</v>
      </c>
      <c r="AX3800" s="93" t="s">
        <v>21912</v>
      </c>
      <c r="AY3800" s="87"/>
      <c r="AZ3800" s="93" t="s">
        <v>22668</v>
      </c>
      <c r="BA3800" s="93" t="s">
        <v>22668</v>
      </c>
      <c r="BB3800" s="93" t="s">
        <v>22668</v>
      </c>
      <c r="BC3800" s="93" t="s">
        <v>21912</v>
      </c>
      <c r="BD3800" s="87">
        <v>3581596336</v>
      </c>
      <c r="BE3800" s="87"/>
      <c r="BF3800" s="87"/>
      <c r="BG3800" s="87"/>
      <c r="BH3800" s="87"/>
      <c r="BI3800" s="87"/>
    </row>
    <row r="3801" spans="1:61" x14ac:dyDescent="0.25">
      <c r="A3801" s="63" t="s">
        <v>1467</v>
      </c>
      <c r="B3801" s="63" t="s">
        <v>1467</v>
      </c>
      <c r="C3801" s="64"/>
      <c r="D3801" s="65"/>
      <c r="E3801" s="66"/>
      <c r="F3801" s="67"/>
      <c r="G3801" s="64"/>
      <c r="H3801" s="68"/>
      <c r="I3801" s="69"/>
      <c r="J3801" s="69"/>
      <c r="K3801" s="32"/>
      <c r="L3801" s="76">
        <v>3801</v>
      </c>
      <c r="M3801" s="76"/>
      <c r="N3801" s="71"/>
      <c r="O3801" s="87" t="s">
        <v>179</v>
      </c>
      <c r="P3801" s="90">
        <v>45119.961817129632</v>
      </c>
      <c r="Q3801" s="87" t="s">
        <v>5457</v>
      </c>
      <c r="R3801" s="87">
        <v>0</v>
      </c>
      <c r="S3801" s="87">
        <v>0</v>
      </c>
      <c r="T3801" s="87">
        <v>0</v>
      </c>
      <c r="U3801" s="87">
        <v>0</v>
      </c>
      <c r="V3801" s="87">
        <v>9</v>
      </c>
      <c r="W3801" s="93" t="s">
        <v>8072</v>
      </c>
      <c r="X3801" s="92" t="str">
        <f>HYPERLINK("https://www.jornaldaki.com.br/afetos-emocionais-decorrentes-de-problemas-financeiros")</f>
        <v>https://www.jornaldaki.com.br/afetos-emocionais-decorrentes-de-problemas-financeiros</v>
      </c>
      <c r="Y3801" s="87" t="s">
        <v>8373</v>
      </c>
      <c r="Z3801" s="87"/>
      <c r="AA3801" s="87"/>
      <c r="AB3801" s="87"/>
      <c r="AC3801" s="93" t="s">
        <v>11457</v>
      </c>
      <c r="AD3801" s="87" t="s">
        <v>11519</v>
      </c>
      <c r="AE3801" s="92" t="str">
        <f>HYPERLINK("https://twitter.com/jornaldaki/status/1679265635933601792")</f>
        <v>https://twitter.com/jornaldaki/status/1679265635933601792</v>
      </c>
      <c r="AF3801" s="90">
        <v>45119.961817129632</v>
      </c>
      <c r="AG3801" s="99">
        <v>45119</v>
      </c>
      <c r="AH3801" s="93" t="s">
        <v>14659</v>
      </c>
      <c r="AI3801" s="87" t="b">
        <v>0</v>
      </c>
      <c r="AJ3801" s="87"/>
      <c r="AK3801" s="87"/>
      <c r="AL3801" s="87"/>
      <c r="AM3801" s="87"/>
      <c r="AN3801" s="87"/>
      <c r="AO3801" s="87"/>
      <c r="AP3801" s="87"/>
      <c r="AQ3801" s="87"/>
      <c r="AR3801" s="87"/>
      <c r="AS3801" s="87"/>
      <c r="AT3801" s="87"/>
      <c r="AU3801" s="87"/>
      <c r="AV3801" s="92" t="str">
        <f>HYPERLINK("https://pbs.twimg.com/profile_images/1396145253820903426/_VX1GTKG_normal.jpg")</f>
        <v>https://pbs.twimg.com/profile_images/1396145253820903426/_VX1GTKG_normal.jpg</v>
      </c>
      <c r="AW3801" s="93" t="s">
        <v>21913</v>
      </c>
      <c r="AX3801" s="93" t="s">
        <v>21913</v>
      </c>
      <c r="AY3801" s="87"/>
      <c r="AZ3801" s="93" t="s">
        <v>22668</v>
      </c>
      <c r="BA3801" s="93" t="s">
        <v>22668</v>
      </c>
      <c r="BB3801" s="93" t="s">
        <v>22668</v>
      </c>
      <c r="BC3801" s="93" t="s">
        <v>21913</v>
      </c>
      <c r="BD3801" s="87">
        <v>3581596336</v>
      </c>
      <c r="BE3801" s="87"/>
      <c r="BF3801" s="87"/>
      <c r="BG3801" s="87"/>
      <c r="BH3801" s="87"/>
      <c r="BI3801" s="87"/>
    </row>
    <row r="3802" spans="1:61" x14ac:dyDescent="0.25">
      <c r="A3802" s="63" t="s">
        <v>1467</v>
      </c>
      <c r="B3802" s="63" t="s">
        <v>1467</v>
      </c>
      <c r="C3802" s="64"/>
      <c r="D3802" s="65"/>
      <c r="E3802" s="66"/>
      <c r="F3802" s="67"/>
      <c r="G3802" s="64"/>
      <c r="H3802" s="68"/>
      <c r="I3802" s="69"/>
      <c r="J3802" s="69"/>
      <c r="K3802" s="32"/>
      <c r="L3802" s="76">
        <v>3802</v>
      </c>
      <c r="M3802" s="76"/>
      <c r="N3802" s="71"/>
      <c r="O3802" s="87" t="s">
        <v>179</v>
      </c>
      <c r="P3802" s="90">
        <v>45167.511956018519</v>
      </c>
      <c r="Q3802" s="87" t="s">
        <v>5458</v>
      </c>
      <c r="R3802" s="87">
        <v>0</v>
      </c>
      <c r="S3802" s="87">
        <v>0</v>
      </c>
      <c r="T3802" s="87">
        <v>0</v>
      </c>
      <c r="U3802" s="87">
        <v>0</v>
      </c>
      <c r="V3802" s="87">
        <v>13</v>
      </c>
      <c r="W3802" s="93" t="s">
        <v>8073</v>
      </c>
      <c r="X3802" s="92" t="str">
        <f>HYPERLINK("https://www.jornaldaki.com.br/j%C3%A1-se-percebeu-travando-em-alguns-momentos")</f>
        <v>https://www.jornaldaki.com.br/j%C3%A1-se-percebeu-travando-em-alguns-momentos</v>
      </c>
      <c r="Y3802" s="87" t="s">
        <v>8373</v>
      </c>
      <c r="Z3802" s="87"/>
      <c r="AA3802" s="87"/>
      <c r="AB3802" s="87"/>
      <c r="AC3802" s="93" t="s">
        <v>11457</v>
      </c>
      <c r="AD3802" s="87" t="s">
        <v>11519</v>
      </c>
      <c r="AE3802" s="92" t="str">
        <f>HYPERLINK("https://twitter.com/jornaldaki/status/1696497228410409431")</f>
        <v>https://twitter.com/jornaldaki/status/1696497228410409431</v>
      </c>
      <c r="AF3802" s="90">
        <v>45167.511956018519</v>
      </c>
      <c r="AG3802" s="99">
        <v>45167</v>
      </c>
      <c r="AH3802" s="93" t="s">
        <v>14883</v>
      </c>
      <c r="AI3802" s="87" t="b">
        <v>0</v>
      </c>
      <c r="AJ3802" s="87"/>
      <c r="AK3802" s="87"/>
      <c r="AL3802" s="87"/>
      <c r="AM3802" s="87"/>
      <c r="AN3802" s="87"/>
      <c r="AO3802" s="87"/>
      <c r="AP3802" s="87"/>
      <c r="AQ3802" s="87"/>
      <c r="AR3802" s="87"/>
      <c r="AS3802" s="87"/>
      <c r="AT3802" s="87"/>
      <c r="AU3802" s="87"/>
      <c r="AV3802" s="92" t="str">
        <f>HYPERLINK("https://pbs.twimg.com/profile_images/1396145253820903426/_VX1GTKG_normal.jpg")</f>
        <v>https://pbs.twimg.com/profile_images/1396145253820903426/_VX1GTKG_normal.jpg</v>
      </c>
      <c r="AW3802" s="93" t="s">
        <v>21914</v>
      </c>
      <c r="AX3802" s="93" t="s">
        <v>21914</v>
      </c>
      <c r="AY3802" s="87"/>
      <c r="AZ3802" s="93" t="s">
        <v>22668</v>
      </c>
      <c r="BA3802" s="93" t="s">
        <v>22668</v>
      </c>
      <c r="BB3802" s="93" t="s">
        <v>22668</v>
      </c>
      <c r="BC3802" s="93" t="s">
        <v>21914</v>
      </c>
      <c r="BD3802" s="87">
        <v>3581596336</v>
      </c>
      <c r="BE3802" s="87"/>
      <c r="BF3802" s="87"/>
      <c r="BG3802" s="87"/>
      <c r="BH3802" s="87"/>
      <c r="BI3802" s="87"/>
    </row>
    <row r="3803" spans="1:61" x14ac:dyDescent="0.25">
      <c r="A3803" s="63" t="s">
        <v>1467</v>
      </c>
      <c r="B3803" s="63" t="s">
        <v>1467</v>
      </c>
      <c r="C3803" s="64"/>
      <c r="D3803" s="65"/>
      <c r="E3803" s="66"/>
      <c r="F3803" s="67"/>
      <c r="G3803" s="64"/>
      <c r="H3803" s="68"/>
      <c r="I3803" s="69"/>
      <c r="J3803" s="69"/>
      <c r="K3803" s="32"/>
      <c r="L3803" s="76">
        <v>3803</v>
      </c>
      <c r="M3803" s="76"/>
      <c r="N3803" s="71"/>
      <c r="O3803" s="87" t="s">
        <v>179</v>
      </c>
      <c r="P3803" s="90">
        <v>45180.953634259262</v>
      </c>
      <c r="Q3803" s="87" t="s">
        <v>5459</v>
      </c>
      <c r="R3803" s="87">
        <v>0</v>
      </c>
      <c r="S3803" s="87">
        <v>0</v>
      </c>
      <c r="T3803" s="87">
        <v>0</v>
      </c>
      <c r="U3803" s="87">
        <v>0</v>
      </c>
      <c r="V3803" s="87">
        <v>10</v>
      </c>
      <c r="W3803" s="93" t="s">
        <v>8072</v>
      </c>
      <c r="X3803" s="92" t="str">
        <f>HYPERLINK("https://www.jornaldaki.com.br/sucesso")</f>
        <v>https://www.jornaldaki.com.br/sucesso</v>
      </c>
      <c r="Y3803" s="87" t="s">
        <v>8373</v>
      </c>
      <c r="Z3803" s="87"/>
      <c r="AA3803" s="87"/>
      <c r="AB3803" s="87"/>
      <c r="AC3803" s="93" t="s">
        <v>11457</v>
      </c>
      <c r="AD3803" s="87" t="s">
        <v>11519</v>
      </c>
      <c r="AE3803" s="92" t="str">
        <f>HYPERLINK("https://twitter.com/jornaldaki/status/1701368328655352117")</f>
        <v>https://twitter.com/jornaldaki/status/1701368328655352117</v>
      </c>
      <c r="AF3803" s="90">
        <v>45180.953634259262</v>
      </c>
      <c r="AG3803" s="99">
        <v>45180</v>
      </c>
      <c r="AH3803" s="93" t="s">
        <v>14884</v>
      </c>
      <c r="AI3803" s="87" t="b">
        <v>0</v>
      </c>
      <c r="AJ3803" s="87"/>
      <c r="AK3803" s="87"/>
      <c r="AL3803" s="87"/>
      <c r="AM3803" s="87"/>
      <c r="AN3803" s="87"/>
      <c r="AO3803" s="87"/>
      <c r="AP3803" s="87"/>
      <c r="AQ3803" s="87"/>
      <c r="AR3803" s="87"/>
      <c r="AS3803" s="87"/>
      <c r="AT3803" s="87"/>
      <c r="AU3803" s="87"/>
      <c r="AV3803" s="92" t="str">
        <f>HYPERLINK("https://pbs.twimg.com/profile_images/1396145253820903426/_VX1GTKG_normal.jpg")</f>
        <v>https://pbs.twimg.com/profile_images/1396145253820903426/_VX1GTKG_normal.jpg</v>
      </c>
      <c r="AW3803" s="93" t="s">
        <v>21915</v>
      </c>
      <c r="AX3803" s="93" t="s">
        <v>21915</v>
      </c>
      <c r="AY3803" s="87"/>
      <c r="AZ3803" s="93" t="s">
        <v>22668</v>
      </c>
      <c r="BA3803" s="93" t="s">
        <v>22668</v>
      </c>
      <c r="BB3803" s="93" t="s">
        <v>22668</v>
      </c>
      <c r="BC3803" s="93" t="s">
        <v>21915</v>
      </c>
      <c r="BD3803" s="87">
        <v>3581596336</v>
      </c>
      <c r="BE3803" s="87"/>
      <c r="BF3803" s="87"/>
      <c r="BG3803" s="87"/>
      <c r="BH3803" s="87"/>
      <c r="BI3803" s="87"/>
    </row>
    <row r="3804" spans="1:61" x14ac:dyDescent="0.25">
      <c r="A3804" s="63" t="s">
        <v>1467</v>
      </c>
      <c r="B3804" s="63" t="s">
        <v>1467</v>
      </c>
      <c r="C3804" s="64"/>
      <c r="D3804" s="65"/>
      <c r="E3804" s="66"/>
      <c r="F3804" s="67"/>
      <c r="G3804" s="64"/>
      <c r="H3804" s="68"/>
      <c r="I3804" s="69"/>
      <c r="J3804" s="69"/>
      <c r="K3804" s="32"/>
      <c r="L3804" s="76">
        <v>3804</v>
      </c>
      <c r="M3804" s="76"/>
      <c r="N3804" s="71"/>
      <c r="O3804" s="87" t="s">
        <v>179</v>
      </c>
      <c r="P3804" s="90">
        <v>45138.551180555558</v>
      </c>
      <c r="Q3804" s="87" t="s">
        <v>5460</v>
      </c>
      <c r="R3804" s="87">
        <v>0</v>
      </c>
      <c r="S3804" s="87">
        <v>0</v>
      </c>
      <c r="T3804" s="87">
        <v>0</v>
      </c>
      <c r="U3804" s="87">
        <v>0</v>
      </c>
      <c r="V3804" s="87">
        <v>9</v>
      </c>
      <c r="W3804" s="93" t="s">
        <v>8073</v>
      </c>
      <c r="X3804" s="92" t="str">
        <f>HYPERLINK("https://www.jornaldaki.com.br/comemore-suas-pequenas-vit%C3%B3rias")</f>
        <v>https://www.jornaldaki.com.br/comemore-suas-pequenas-vit%C3%B3rias</v>
      </c>
      <c r="Y3804" s="87" t="s">
        <v>8373</v>
      </c>
      <c r="Z3804" s="87"/>
      <c r="AA3804" s="87"/>
      <c r="AB3804" s="87"/>
      <c r="AC3804" s="93" t="s">
        <v>11457</v>
      </c>
      <c r="AD3804" s="87" t="s">
        <v>11519</v>
      </c>
      <c r="AE3804" s="92" t="str">
        <f>HYPERLINK("https://twitter.com/jornaldaki/status/1686002197207654402")</f>
        <v>https://twitter.com/jornaldaki/status/1686002197207654402</v>
      </c>
      <c r="AF3804" s="90">
        <v>45138.551180555558</v>
      </c>
      <c r="AG3804" s="99">
        <v>45138</v>
      </c>
      <c r="AH3804" s="93" t="s">
        <v>14885</v>
      </c>
      <c r="AI3804" s="87" t="b">
        <v>0</v>
      </c>
      <c r="AJ3804" s="87"/>
      <c r="AK3804" s="87"/>
      <c r="AL3804" s="87"/>
      <c r="AM3804" s="87"/>
      <c r="AN3804" s="87"/>
      <c r="AO3804" s="87"/>
      <c r="AP3804" s="87"/>
      <c r="AQ3804" s="87"/>
      <c r="AR3804" s="87"/>
      <c r="AS3804" s="87"/>
      <c r="AT3804" s="87"/>
      <c r="AU3804" s="87"/>
      <c r="AV3804" s="92" t="str">
        <f>HYPERLINK("https://pbs.twimg.com/profile_images/1396145253820903426/_VX1GTKG_normal.jpg")</f>
        <v>https://pbs.twimg.com/profile_images/1396145253820903426/_VX1GTKG_normal.jpg</v>
      </c>
      <c r="AW3804" s="93" t="s">
        <v>21916</v>
      </c>
      <c r="AX3804" s="93" t="s">
        <v>21916</v>
      </c>
      <c r="AY3804" s="87"/>
      <c r="AZ3804" s="93" t="s">
        <v>22668</v>
      </c>
      <c r="BA3804" s="93" t="s">
        <v>22668</v>
      </c>
      <c r="BB3804" s="93" t="s">
        <v>22668</v>
      </c>
      <c r="BC3804" s="93" t="s">
        <v>21916</v>
      </c>
      <c r="BD3804" s="87">
        <v>3581596336</v>
      </c>
      <c r="BE3804" s="87"/>
      <c r="BF3804" s="87"/>
      <c r="BG3804" s="87"/>
      <c r="BH3804" s="87"/>
      <c r="BI3804" s="87"/>
    </row>
    <row r="3805" spans="1:61" x14ac:dyDescent="0.25">
      <c r="A3805" s="63" t="s">
        <v>1468</v>
      </c>
      <c r="B3805" s="63" t="s">
        <v>1468</v>
      </c>
      <c r="C3805" s="64"/>
      <c r="D3805" s="65"/>
      <c r="E3805" s="66"/>
      <c r="F3805" s="67"/>
      <c r="G3805" s="64"/>
      <c r="H3805" s="68"/>
      <c r="I3805" s="69"/>
      <c r="J3805" s="69"/>
      <c r="K3805" s="32"/>
      <c r="L3805" s="76">
        <v>3805</v>
      </c>
      <c r="M3805" s="76"/>
      <c r="N3805" s="71"/>
      <c r="O3805" s="87" t="s">
        <v>179</v>
      </c>
      <c r="P3805" s="90">
        <v>45176.790358796294</v>
      </c>
      <c r="Q3805" s="87" t="s">
        <v>5461</v>
      </c>
      <c r="R3805" s="87">
        <v>0</v>
      </c>
      <c r="S3805" s="87">
        <v>0</v>
      </c>
      <c r="T3805" s="87">
        <v>0</v>
      </c>
      <c r="U3805" s="87">
        <v>0</v>
      </c>
      <c r="V3805" s="87">
        <v>25</v>
      </c>
      <c r="W3805" s="93" t="s">
        <v>8074</v>
      </c>
      <c r="X3805" s="87"/>
      <c r="Y3805" s="87"/>
      <c r="Z3805" s="87"/>
      <c r="AA3805" s="87" t="s">
        <v>11188</v>
      </c>
      <c r="AB3805" s="87" t="s">
        <v>11448</v>
      </c>
      <c r="AC3805" s="93" t="s">
        <v>11458</v>
      </c>
      <c r="AD3805" s="87" t="s">
        <v>11518</v>
      </c>
      <c r="AE3805" s="92" t="str">
        <f>HYPERLINK("https://twitter.com/fatimashaikh73/status/1699859610696577077")</f>
        <v>https://twitter.com/fatimashaikh73/status/1699859610696577077</v>
      </c>
      <c r="AF3805" s="90">
        <v>45176.790358796294</v>
      </c>
      <c r="AG3805" s="99">
        <v>45176</v>
      </c>
      <c r="AH3805" s="93" t="s">
        <v>14886</v>
      </c>
      <c r="AI3805" s="87" t="b">
        <v>0</v>
      </c>
      <c r="AJ3805" s="87"/>
      <c r="AK3805" s="87"/>
      <c r="AL3805" s="87"/>
      <c r="AM3805" s="87"/>
      <c r="AN3805" s="87"/>
      <c r="AO3805" s="87"/>
      <c r="AP3805" s="87"/>
      <c r="AQ3805" s="87" t="s">
        <v>18000</v>
      </c>
      <c r="AR3805" s="87"/>
      <c r="AS3805" s="87"/>
      <c r="AT3805" s="87"/>
      <c r="AU3805" s="87"/>
      <c r="AV3805" s="92" t="str">
        <f>HYPERLINK("https://pbs.twimg.com/media/F5cdTbSacAAH-s3.jpg")</f>
        <v>https://pbs.twimg.com/media/F5cdTbSacAAH-s3.jpg</v>
      </c>
      <c r="AW3805" s="93" t="s">
        <v>21917</v>
      </c>
      <c r="AX3805" s="93" t="s">
        <v>21917</v>
      </c>
      <c r="AY3805" s="87"/>
      <c r="AZ3805" s="93" t="s">
        <v>22668</v>
      </c>
      <c r="BA3805" s="93" t="s">
        <v>22668</v>
      </c>
      <c r="BB3805" s="93" t="s">
        <v>22668</v>
      </c>
      <c r="BC3805" s="93" t="s">
        <v>21917</v>
      </c>
      <c r="BD3805" s="93" t="s">
        <v>23514</v>
      </c>
      <c r="BE3805" s="87"/>
      <c r="BF3805" s="87"/>
      <c r="BG3805" s="87"/>
      <c r="BH3805" s="87"/>
      <c r="BI3805" s="87"/>
    </row>
    <row r="3806" spans="1:61" x14ac:dyDescent="0.25">
      <c r="A3806" s="63" t="s">
        <v>1468</v>
      </c>
      <c r="B3806" s="63" t="s">
        <v>1468</v>
      </c>
      <c r="C3806" s="64"/>
      <c r="D3806" s="65"/>
      <c r="E3806" s="66"/>
      <c r="F3806" s="67"/>
      <c r="G3806" s="64"/>
      <c r="H3806" s="68"/>
      <c r="I3806" s="69"/>
      <c r="J3806" s="69"/>
      <c r="K3806" s="32"/>
      <c r="L3806" s="76">
        <v>3806</v>
      </c>
      <c r="M3806" s="76"/>
      <c r="N3806" s="71"/>
      <c r="O3806" s="87" t="s">
        <v>179</v>
      </c>
      <c r="P3806" s="90">
        <v>45181.78769675926</v>
      </c>
      <c r="Q3806" s="87" t="s">
        <v>5462</v>
      </c>
      <c r="R3806" s="87">
        <v>0</v>
      </c>
      <c r="S3806" s="87">
        <v>1</v>
      </c>
      <c r="T3806" s="87">
        <v>0</v>
      </c>
      <c r="U3806" s="87">
        <v>0</v>
      </c>
      <c r="V3806" s="87">
        <v>25</v>
      </c>
      <c r="W3806" s="93" t="s">
        <v>8075</v>
      </c>
      <c r="X3806" s="87"/>
      <c r="Y3806" s="87"/>
      <c r="Z3806" s="87"/>
      <c r="AA3806" s="87" t="s">
        <v>11189</v>
      </c>
      <c r="AB3806" s="87" t="s">
        <v>11448</v>
      </c>
      <c r="AC3806" s="93" t="s">
        <v>11458</v>
      </c>
      <c r="AD3806" s="87" t="s">
        <v>11518</v>
      </c>
      <c r="AE3806" s="92" t="str">
        <f>HYPERLINK("https://twitter.com/fatimashaikh73/status/1701670584411906135")</f>
        <v>https://twitter.com/fatimashaikh73/status/1701670584411906135</v>
      </c>
      <c r="AF3806" s="90">
        <v>45181.78769675926</v>
      </c>
      <c r="AG3806" s="99">
        <v>45181</v>
      </c>
      <c r="AH3806" s="93" t="s">
        <v>14887</v>
      </c>
      <c r="AI3806" s="87" t="b">
        <v>0</v>
      </c>
      <c r="AJ3806" s="87"/>
      <c r="AK3806" s="87"/>
      <c r="AL3806" s="87"/>
      <c r="AM3806" s="87"/>
      <c r="AN3806" s="87"/>
      <c r="AO3806" s="87"/>
      <c r="AP3806" s="87"/>
      <c r="AQ3806" s="87" t="s">
        <v>18001</v>
      </c>
      <c r="AR3806" s="87"/>
      <c r="AS3806" s="87"/>
      <c r="AT3806" s="87"/>
      <c r="AU3806" s="87"/>
      <c r="AV3806" s="92" t="str">
        <f>HYPERLINK("https://pbs.twimg.com/media/F52MX2caYAMAVLH.jpg")</f>
        <v>https://pbs.twimg.com/media/F52MX2caYAMAVLH.jpg</v>
      </c>
      <c r="AW3806" s="93" t="s">
        <v>21918</v>
      </c>
      <c r="AX3806" s="93" t="s">
        <v>21918</v>
      </c>
      <c r="AY3806" s="87"/>
      <c r="AZ3806" s="93" t="s">
        <v>22668</v>
      </c>
      <c r="BA3806" s="93" t="s">
        <v>22668</v>
      </c>
      <c r="BB3806" s="93" t="s">
        <v>22668</v>
      </c>
      <c r="BC3806" s="93" t="s">
        <v>21918</v>
      </c>
      <c r="BD3806" s="93" t="s">
        <v>23514</v>
      </c>
      <c r="BE3806" s="87"/>
      <c r="BF3806" s="87"/>
      <c r="BG3806" s="87"/>
      <c r="BH3806" s="87"/>
      <c r="BI3806" s="87"/>
    </row>
    <row r="3807" spans="1:61" x14ac:dyDescent="0.25">
      <c r="A3807" s="63" t="s">
        <v>1469</v>
      </c>
      <c r="B3807" s="63" t="s">
        <v>1469</v>
      </c>
      <c r="C3807" s="64"/>
      <c r="D3807" s="65"/>
      <c r="E3807" s="66"/>
      <c r="F3807" s="67"/>
      <c r="G3807" s="64"/>
      <c r="H3807" s="68"/>
      <c r="I3807" s="69"/>
      <c r="J3807" s="69"/>
      <c r="K3807" s="32"/>
      <c r="L3807" s="76">
        <v>3807</v>
      </c>
      <c r="M3807" s="76"/>
      <c r="N3807" s="71"/>
      <c r="O3807" s="87" t="s">
        <v>179</v>
      </c>
      <c r="P3807" s="90">
        <v>45166.512013888889</v>
      </c>
      <c r="Q3807" s="87" t="s">
        <v>5463</v>
      </c>
      <c r="R3807" s="87">
        <v>0</v>
      </c>
      <c r="S3807" s="87">
        <v>0</v>
      </c>
      <c r="T3807" s="87">
        <v>0</v>
      </c>
      <c r="U3807" s="87">
        <v>0</v>
      </c>
      <c r="V3807" s="87">
        <v>8</v>
      </c>
      <c r="W3807" s="93" t="s">
        <v>8076</v>
      </c>
      <c r="X3807" s="87"/>
      <c r="Y3807" s="87"/>
      <c r="Z3807" s="87"/>
      <c r="AA3807" s="87" t="s">
        <v>11190</v>
      </c>
      <c r="AB3807" s="87" t="s">
        <v>11448</v>
      </c>
      <c r="AC3807" s="93" t="s">
        <v>11457</v>
      </c>
      <c r="AD3807" s="87" t="s">
        <v>11520</v>
      </c>
      <c r="AE3807" s="92" t="str">
        <f>HYPERLINK("https://twitter.com/klebyston/status/1696134863659708529")</f>
        <v>https://twitter.com/klebyston/status/1696134863659708529</v>
      </c>
      <c r="AF3807" s="90">
        <v>45166.512013888889</v>
      </c>
      <c r="AG3807" s="99">
        <v>45166</v>
      </c>
      <c r="AH3807" s="93" t="s">
        <v>14888</v>
      </c>
      <c r="AI3807" s="87" t="b">
        <v>0</v>
      </c>
      <c r="AJ3807" s="87"/>
      <c r="AK3807" s="87"/>
      <c r="AL3807" s="87"/>
      <c r="AM3807" s="87"/>
      <c r="AN3807" s="87"/>
      <c r="AO3807" s="87"/>
      <c r="AP3807" s="87"/>
      <c r="AQ3807" s="87" t="s">
        <v>18002</v>
      </c>
      <c r="AR3807" s="87"/>
      <c r="AS3807" s="87"/>
      <c r="AT3807" s="87"/>
      <c r="AU3807" s="87"/>
      <c r="AV3807" s="92" t="str">
        <f>HYPERLINK("https://pbs.twimg.com/media/F4nhgqXWoAAkg0r.png")</f>
        <v>https://pbs.twimg.com/media/F4nhgqXWoAAkg0r.png</v>
      </c>
      <c r="AW3807" s="93" t="s">
        <v>21919</v>
      </c>
      <c r="AX3807" s="93" t="s">
        <v>21919</v>
      </c>
      <c r="AY3807" s="87"/>
      <c r="AZ3807" s="93" t="s">
        <v>22668</v>
      </c>
      <c r="BA3807" s="93" t="s">
        <v>22668</v>
      </c>
      <c r="BB3807" s="93" t="s">
        <v>22668</v>
      </c>
      <c r="BC3807" s="93" t="s">
        <v>21919</v>
      </c>
      <c r="BD3807" s="87">
        <v>65529832</v>
      </c>
      <c r="BE3807" s="87"/>
      <c r="BF3807" s="87"/>
      <c r="BG3807" s="87"/>
      <c r="BH3807" s="87"/>
      <c r="BI3807" s="87"/>
    </row>
    <row r="3808" spans="1:61" x14ac:dyDescent="0.25">
      <c r="A3808" s="63" t="s">
        <v>1469</v>
      </c>
      <c r="B3808" s="63" t="s">
        <v>1469</v>
      </c>
      <c r="C3808" s="64"/>
      <c r="D3808" s="65"/>
      <c r="E3808" s="66"/>
      <c r="F3808" s="67"/>
      <c r="G3808" s="64"/>
      <c r="H3808" s="68"/>
      <c r="I3808" s="69"/>
      <c r="J3808" s="69"/>
      <c r="K3808" s="32"/>
      <c r="L3808" s="76">
        <v>3808</v>
      </c>
      <c r="M3808" s="76"/>
      <c r="N3808" s="71"/>
      <c r="O3808" s="87" t="s">
        <v>179</v>
      </c>
      <c r="P3808" s="90">
        <v>45166.504282407404</v>
      </c>
      <c r="Q3808" s="87" t="s">
        <v>5464</v>
      </c>
      <c r="R3808" s="87">
        <v>0</v>
      </c>
      <c r="S3808" s="87">
        <v>0</v>
      </c>
      <c r="T3808" s="87">
        <v>0</v>
      </c>
      <c r="U3808" s="87">
        <v>0</v>
      </c>
      <c r="V3808" s="87">
        <v>6</v>
      </c>
      <c r="W3808" s="93" t="s">
        <v>8077</v>
      </c>
      <c r="X3808" s="87"/>
      <c r="Y3808" s="87"/>
      <c r="Z3808" s="87"/>
      <c r="AA3808" s="87" t="s">
        <v>11191</v>
      </c>
      <c r="AB3808" s="87" t="s">
        <v>11448</v>
      </c>
      <c r="AC3808" s="93" t="s">
        <v>11457</v>
      </c>
      <c r="AD3808" s="87" t="s">
        <v>11523</v>
      </c>
      <c r="AE3808" s="92" t="str">
        <f>HYPERLINK("https://twitter.com/klebyston/status/1696132060635648048")</f>
        <v>https://twitter.com/klebyston/status/1696132060635648048</v>
      </c>
      <c r="AF3808" s="90">
        <v>45166.504282407404</v>
      </c>
      <c r="AG3808" s="99">
        <v>45166</v>
      </c>
      <c r="AH3808" s="93" t="s">
        <v>14889</v>
      </c>
      <c r="AI3808" s="87" t="b">
        <v>0</v>
      </c>
      <c r="AJ3808" s="87"/>
      <c r="AK3808" s="87"/>
      <c r="AL3808" s="87"/>
      <c r="AM3808" s="87"/>
      <c r="AN3808" s="87"/>
      <c r="AO3808" s="87"/>
      <c r="AP3808" s="87"/>
      <c r="AQ3808" s="87" t="s">
        <v>18003</v>
      </c>
      <c r="AR3808" s="87"/>
      <c r="AS3808" s="87"/>
      <c r="AT3808" s="87"/>
      <c r="AU3808" s="87"/>
      <c r="AV3808" s="92" t="str">
        <f>HYPERLINK("https://pbs.twimg.com/media/F4nees7XwAA4ZId.png")</f>
        <v>https://pbs.twimg.com/media/F4nees7XwAA4ZId.png</v>
      </c>
      <c r="AW3808" s="93" t="s">
        <v>21920</v>
      </c>
      <c r="AX3808" s="93" t="s">
        <v>21920</v>
      </c>
      <c r="AY3808" s="87"/>
      <c r="AZ3808" s="93" t="s">
        <v>22668</v>
      </c>
      <c r="BA3808" s="93" t="s">
        <v>22668</v>
      </c>
      <c r="BB3808" s="93" t="s">
        <v>22668</v>
      </c>
      <c r="BC3808" s="93" t="s">
        <v>21920</v>
      </c>
      <c r="BD3808" s="87">
        <v>65529832</v>
      </c>
      <c r="BE3808" s="87"/>
      <c r="BF3808" s="87"/>
      <c r="BG3808" s="87"/>
      <c r="BH3808" s="87"/>
      <c r="BI3808" s="87"/>
    </row>
    <row r="3809" spans="1:61" x14ac:dyDescent="0.25">
      <c r="A3809" s="63" t="s">
        <v>1470</v>
      </c>
      <c r="B3809" s="63" t="s">
        <v>1470</v>
      </c>
      <c r="C3809" s="64"/>
      <c r="D3809" s="65"/>
      <c r="E3809" s="66"/>
      <c r="F3809" s="67"/>
      <c r="G3809" s="64"/>
      <c r="H3809" s="68"/>
      <c r="I3809" s="69"/>
      <c r="J3809" s="69"/>
      <c r="K3809" s="32"/>
      <c r="L3809" s="76">
        <v>3809</v>
      </c>
      <c r="M3809" s="76"/>
      <c r="N3809" s="71"/>
      <c r="O3809" s="87" t="s">
        <v>179</v>
      </c>
      <c r="P3809" s="90">
        <v>45169.833333333336</v>
      </c>
      <c r="Q3809" s="87" t="s">
        <v>5465</v>
      </c>
      <c r="R3809" s="87">
        <v>0</v>
      </c>
      <c r="S3809" s="87">
        <v>1</v>
      </c>
      <c r="T3809" s="87">
        <v>0</v>
      </c>
      <c r="U3809" s="87">
        <v>0</v>
      </c>
      <c r="V3809" s="87">
        <v>11</v>
      </c>
      <c r="W3809" s="93" t="s">
        <v>8078</v>
      </c>
      <c r="X3809" s="87"/>
      <c r="Y3809" s="87"/>
      <c r="Z3809" s="87"/>
      <c r="AA3809" s="87"/>
      <c r="AB3809" s="87"/>
      <c r="AC3809" s="93" t="s">
        <v>11457</v>
      </c>
      <c r="AD3809" s="87" t="s">
        <v>11519</v>
      </c>
      <c r="AE3809" s="92" t="str">
        <f>HYPERLINK("https://twitter.com/raf_sobrehomem/status/1697338466953286016")</f>
        <v>https://twitter.com/raf_sobrehomem/status/1697338466953286016</v>
      </c>
      <c r="AF3809" s="90">
        <v>45169.833333333336</v>
      </c>
      <c r="AG3809" s="99">
        <v>45169</v>
      </c>
      <c r="AH3809" s="93" t="s">
        <v>11773</v>
      </c>
      <c r="AI3809" s="87"/>
      <c r="AJ3809" s="87"/>
      <c r="AK3809" s="87"/>
      <c r="AL3809" s="87"/>
      <c r="AM3809" s="87"/>
      <c r="AN3809" s="87"/>
      <c r="AO3809" s="87"/>
      <c r="AP3809" s="87"/>
      <c r="AQ3809" s="87"/>
      <c r="AR3809" s="87"/>
      <c r="AS3809" s="87"/>
      <c r="AT3809" s="87"/>
      <c r="AU3809" s="87"/>
      <c r="AV3809" s="92" t="str">
        <f>HYPERLINK("https://pbs.twimg.com/profile_images/1689208292168368128/89Bhyy5c_normal.jpg")</f>
        <v>https://pbs.twimg.com/profile_images/1689208292168368128/89Bhyy5c_normal.jpg</v>
      </c>
      <c r="AW3809" s="93" t="s">
        <v>21921</v>
      </c>
      <c r="AX3809" s="93" t="s">
        <v>21921</v>
      </c>
      <c r="AY3809" s="87"/>
      <c r="AZ3809" s="93" t="s">
        <v>22668</v>
      </c>
      <c r="BA3809" s="93" t="s">
        <v>22668</v>
      </c>
      <c r="BB3809" s="93" t="s">
        <v>22668</v>
      </c>
      <c r="BC3809" s="93" t="s">
        <v>21921</v>
      </c>
      <c r="BD3809" s="93" t="s">
        <v>23515</v>
      </c>
      <c r="BE3809" s="87"/>
      <c r="BF3809" s="87"/>
      <c r="BG3809" s="87"/>
      <c r="BH3809" s="87"/>
      <c r="BI3809" s="87"/>
    </row>
    <row r="3810" spans="1:61" x14ac:dyDescent="0.25">
      <c r="A3810" s="63" t="s">
        <v>1471</v>
      </c>
      <c r="B3810" s="63" t="s">
        <v>1471</v>
      </c>
      <c r="C3810" s="64"/>
      <c r="D3810" s="65"/>
      <c r="E3810" s="66"/>
      <c r="F3810" s="67"/>
      <c r="G3810" s="64"/>
      <c r="H3810" s="68"/>
      <c r="I3810" s="69"/>
      <c r="J3810" s="69"/>
      <c r="K3810" s="32"/>
      <c r="L3810" s="76">
        <v>3810</v>
      </c>
      <c r="M3810" s="76"/>
      <c r="N3810" s="71"/>
      <c r="O3810" s="87" t="s">
        <v>179</v>
      </c>
      <c r="P3810" s="90">
        <v>45141.851643518516</v>
      </c>
      <c r="Q3810" s="87" t="s">
        <v>5466</v>
      </c>
      <c r="R3810" s="87">
        <v>0</v>
      </c>
      <c r="S3810" s="87">
        <v>0</v>
      </c>
      <c r="T3810" s="87">
        <v>0</v>
      </c>
      <c r="U3810" s="87">
        <v>0</v>
      </c>
      <c r="V3810" s="87">
        <v>13</v>
      </c>
      <c r="W3810" s="93" t="s">
        <v>8079</v>
      </c>
      <c r="X3810" s="92" t="str">
        <f>HYPERLINK("https://podcasters.spotify.com/pod/show/osvisionarios/episodes/A-histria-de-Sidney-Frank-e27na19")</f>
        <v>https://podcasters.spotify.com/pod/show/osvisionarios/episodes/A-histria-de-Sidney-Frank-e27na19</v>
      </c>
      <c r="Y3810" s="87" t="s">
        <v>8544</v>
      </c>
      <c r="Z3810" s="87"/>
      <c r="AA3810" s="87"/>
      <c r="AB3810" s="87"/>
      <c r="AC3810" s="93" t="s">
        <v>11457</v>
      </c>
      <c r="AD3810" s="87" t="s">
        <v>11519</v>
      </c>
      <c r="AE3810" s="92" t="str">
        <f>HYPERLINK("https://twitter.com/_itsmeantonio/status/1687198242491224064")</f>
        <v>https://twitter.com/_itsmeantonio/status/1687198242491224064</v>
      </c>
      <c r="AF3810" s="90">
        <v>45141.851643518516</v>
      </c>
      <c r="AG3810" s="99">
        <v>45141</v>
      </c>
      <c r="AH3810" s="93" t="s">
        <v>14890</v>
      </c>
      <c r="AI3810" s="87" t="b">
        <v>0</v>
      </c>
      <c r="AJ3810" s="87"/>
      <c r="AK3810" s="87"/>
      <c r="AL3810" s="87"/>
      <c r="AM3810" s="87"/>
      <c r="AN3810" s="87"/>
      <c r="AO3810" s="87"/>
      <c r="AP3810" s="87"/>
      <c r="AQ3810" s="87"/>
      <c r="AR3810" s="87"/>
      <c r="AS3810" s="87"/>
      <c r="AT3810" s="87"/>
      <c r="AU3810" s="87"/>
      <c r="AV3810" s="92" t="str">
        <f>HYPERLINK("https://pbs.twimg.com/profile_images/1676665219941126163/EUobi3V7_normal.jpg")</f>
        <v>https://pbs.twimg.com/profile_images/1676665219941126163/EUobi3V7_normal.jpg</v>
      </c>
      <c r="AW3810" s="93" t="s">
        <v>21922</v>
      </c>
      <c r="AX3810" s="93" t="s">
        <v>21922</v>
      </c>
      <c r="AY3810" s="87"/>
      <c r="AZ3810" s="93" t="s">
        <v>22668</v>
      </c>
      <c r="BA3810" s="93" t="s">
        <v>22668</v>
      </c>
      <c r="BB3810" s="93" t="s">
        <v>22668</v>
      </c>
      <c r="BC3810" s="93" t="s">
        <v>21922</v>
      </c>
      <c r="BD3810" s="93" t="s">
        <v>23516</v>
      </c>
      <c r="BE3810" s="87"/>
      <c r="BF3810" s="87"/>
      <c r="BG3810" s="87"/>
      <c r="BH3810" s="87"/>
      <c r="BI3810" s="87"/>
    </row>
    <row r="3811" spans="1:61" x14ac:dyDescent="0.25">
      <c r="A3811" s="63" t="s">
        <v>1472</v>
      </c>
      <c r="B3811" s="63" t="s">
        <v>1472</v>
      </c>
      <c r="C3811" s="64"/>
      <c r="D3811" s="65"/>
      <c r="E3811" s="66"/>
      <c r="F3811" s="67"/>
      <c r="G3811" s="64"/>
      <c r="H3811" s="68"/>
      <c r="I3811" s="69"/>
      <c r="J3811" s="69"/>
      <c r="K3811" s="32"/>
      <c r="L3811" s="76">
        <v>3811</v>
      </c>
      <c r="M3811" s="76"/>
      <c r="N3811" s="71"/>
      <c r="O3811" s="87" t="s">
        <v>179</v>
      </c>
      <c r="P3811" s="90">
        <v>45165.171238425923</v>
      </c>
      <c r="Q3811" s="87" t="s">
        <v>5467</v>
      </c>
      <c r="R3811" s="87">
        <v>0</v>
      </c>
      <c r="S3811" s="87">
        <v>0</v>
      </c>
      <c r="T3811" s="87">
        <v>0</v>
      </c>
      <c r="U3811" s="87">
        <v>0</v>
      </c>
      <c r="V3811" s="87">
        <v>31</v>
      </c>
      <c r="W3811" s="93" t="s">
        <v>8080</v>
      </c>
      <c r="X3811" s="92" t="str">
        <f>HYPERLINK("https://payment.ticto.app/O43EA0C65")</f>
        <v>https://payment.ticto.app/O43EA0C65</v>
      </c>
      <c r="Y3811" s="87" t="s">
        <v>8545</v>
      </c>
      <c r="Z3811" s="87"/>
      <c r="AA3811" s="87" t="s">
        <v>11192</v>
      </c>
      <c r="AB3811" s="87" t="s">
        <v>11448</v>
      </c>
      <c r="AC3811" s="93" t="s">
        <v>11458</v>
      </c>
      <c r="AD3811" s="87" t="s">
        <v>11520</v>
      </c>
      <c r="AE3811" s="92" t="str">
        <f>HYPERLINK("https://twitter.com/anatolyquest/status/1695648983631237614")</f>
        <v>https://twitter.com/anatolyquest/status/1695648983631237614</v>
      </c>
      <c r="AF3811" s="90">
        <v>45165.171238425923</v>
      </c>
      <c r="AG3811" s="99">
        <v>45165</v>
      </c>
      <c r="AH3811" s="93" t="s">
        <v>14891</v>
      </c>
      <c r="AI3811" s="87" t="b">
        <v>0</v>
      </c>
      <c r="AJ3811" s="87"/>
      <c r="AK3811" s="87"/>
      <c r="AL3811" s="87"/>
      <c r="AM3811" s="87"/>
      <c r="AN3811" s="87"/>
      <c r="AO3811" s="87"/>
      <c r="AP3811" s="87"/>
      <c r="AQ3811" s="87" t="s">
        <v>18004</v>
      </c>
      <c r="AR3811" s="87"/>
      <c r="AS3811" s="87"/>
      <c r="AT3811" s="87"/>
      <c r="AU3811" s="87"/>
      <c r="AV3811" s="92" t="str">
        <f>HYPERLINK("https://pbs.twimg.com/media/F4gnw09XsAAeJUF.jpg")</f>
        <v>https://pbs.twimg.com/media/F4gnw09XsAAeJUF.jpg</v>
      </c>
      <c r="AW3811" s="93" t="s">
        <v>21923</v>
      </c>
      <c r="AX3811" s="93" t="s">
        <v>21923</v>
      </c>
      <c r="AY3811" s="87"/>
      <c r="AZ3811" s="93" t="s">
        <v>22668</v>
      </c>
      <c r="BA3811" s="93" t="s">
        <v>22668</v>
      </c>
      <c r="BB3811" s="93" t="s">
        <v>22668</v>
      </c>
      <c r="BC3811" s="93" t="s">
        <v>21923</v>
      </c>
      <c r="BD3811" s="93" t="s">
        <v>23517</v>
      </c>
      <c r="BE3811" s="87"/>
      <c r="BF3811" s="87"/>
      <c r="BG3811" s="87"/>
      <c r="BH3811" s="87"/>
      <c r="BI3811" s="87"/>
    </row>
    <row r="3812" spans="1:61" x14ac:dyDescent="0.25">
      <c r="A3812" s="63" t="s">
        <v>1473</v>
      </c>
      <c r="B3812" s="63" t="s">
        <v>1820</v>
      </c>
      <c r="C3812" s="64"/>
      <c r="D3812" s="65"/>
      <c r="E3812" s="66"/>
      <c r="F3812" s="67"/>
      <c r="G3812" s="64"/>
      <c r="H3812" s="68"/>
      <c r="I3812" s="69"/>
      <c r="J3812" s="69"/>
      <c r="K3812" s="32"/>
      <c r="L3812" s="76">
        <v>3812</v>
      </c>
      <c r="M3812" s="76"/>
      <c r="N3812" s="71"/>
      <c r="O3812" s="87" t="s">
        <v>1839</v>
      </c>
      <c r="P3812" s="90">
        <v>45180.802291666667</v>
      </c>
      <c r="Q3812" s="87" t="s">
        <v>5468</v>
      </c>
      <c r="R3812" s="87">
        <v>0</v>
      </c>
      <c r="S3812" s="87">
        <v>0</v>
      </c>
      <c r="T3812" s="87">
        <v>0</v>
      </c>
      <c r="U3812" s="87">
        <v>0</v>
      </c>
      <c r="V3812" s="87">
        <v>53</v>
      </c>
      <c r="W3812" s="93" t="s">
        <v>8081</v>
      </c>
      <c r="X3812" s="87"/>
      <c r="Y3812" s="87"/>
      <c r="Z3812" s="87" t="s">
        <v>1820</v>
      </c>
      <c r="AA3812" s="87" t="s">
        <v>11193</v>
      </c>
      <c r="AB3812" s="87" t="s">
        <v>11448</v>
      </c>
      <c r="AC3812" s="93" t="s">
        <v>11457</v>
      </c>
      <c r="AD3812" s="87" t="s">
        <v>11519</v>
      </c>
      <c r="AE3812" s="92" t="str">
        <f>HYPERLINK("https://twitter.com/focusjor/status/1701313485551050762")</f>
        <v>https://twitter.com/focusjor/status/1701313485551050762</v>
      </c>
      <c r="AF3812" s="90">
        <v>45180.802291666667</v>
      </c>
      <c r="AG3812" s="99">
        <v>45180</v>
      </c>
      <c r="AH3812" s="93" t="s">
        <v>14892</v>
      </c>
      <c r="AI3812" s="87" t="b">
        <v>0</v>
      </c>
      <c r="AJ3812" s="87"/>
      <c r="AK3812" s="87"/>
      <c r="AL3812" s="87"/>
      <c r="AM3812" s="87"/>
      <c r="AN3812" s="87"/>
      <c r="AO3812" s="87"/>
      <c r="AP3812" s="87"/>
      <c r="AQ3812" s="87" t="s">
        <v>18005</v>
      </c>
      <c r="AR3812" s="87"/>
      <c r="AS3812" s="87"/>
      <c r="AT3812" s="87"/>
      <c r="AU3812" s="87"/>
      <c r="AV3812" s="92" t="str">
        <f>HYPERLINK("https://pbs.twimg.com/media/F5xHhcaWkAAmKwy.jpg")</f>
        <v>https://pbs.twimg.com/media/F5xHhcaWkAAmKwy.jpg</v>
      </c>
      <c r="AW3812" s="93" t="s">
        <v>21924</v>
      </c>
      <c r="AX3812" s="93" t="s">
        <v>21924</v>
      </c>
      <c r="AY3812" s="87"/>
      <c r="AZ3812" s="93" t="s">
        <v>22668</v>
      </c>
      <c r="BA3812" s="93" t="s">
        <v>22668</v>
      </c>
      <c r="BB3812" s="93" t="s">
        <v>22668</v>
      </c>
      <c r="BC3812" s="93" t="s">
        <v>21924</v>
      </c>
      <c r="BD3812" s="93" t="s">
        <v>23518</v>
      </c>
      <c r="BE3812" s="87"/>
      <c r="BF3812" s="87"/>
      <c r="BG3812" s="87"/>
      <c r="BH3812" s="87"/>
      <c r="BI3812" s="87"/>
    </row>
    <row r="3813" spans="1:61" x14ac:dyDescent="0.25">
      <c r="A3813" s="63" t="s">
        <v>1474</v>
      </c>
      <c r="B3813" s="63" t="s">
        <v>1474</v>
      </c>
      <c r="C3813" s="64"/>
      <c r="D3813" s="65"/>
      <c r="E3813" s="66"/>
      <c r="F3813" s="67"/>
      <c r="G3813" s="64"/>
      <c r="H3813" s="68"/>
      <c r="I3813" s="69"/>
      <c r="J3813" s="69"/>
      <c r="K3813" s="32"/>
      <c r="L3813" s="76">
        <v>3813</v>
      </c>
      <c r="M3813" s="76"/>
      <c r="N3813" s="71"/>
      <c r="O3813" s="87" t="s">
        <v>179</v>
      </c>
      <c r="P3813" s="90">
        <v>45130.543275462966</v>
      </c>
      <c r="Q3813" s="87" t="s">
        <v>5469</v>
      </c>
      <c r="R3813" s="87">
        <v>0</v>
      </c>
      <c r="S3813" s="87">
        <v>2</v>
      </c>
      <c r="T3813" s="87">
        <v>0</v>
      </c>
      <c r="U3813" s="87">
        <v>0</v>
      </c>
      <c r="V3813" s="87">
        <v>18</v>
      </c>
      <c r="W3813" s="93" t="s">
        <v>8082</v>
      </c>
      <c r="X3813" s="87"/>
      <c r="Y3813" s="87"/>
      <c r="Z3813" s="87"/>
      <c r="AA3813" s="87"/>
      <c r="AB3813" s="87"/>
      <c r="AC3813" s="93" t="s">
        <v>11458</v>
      </c>
      <c r="AD3813" s="87" t="s">
        <v>11519</v>
      </c>
      <c r="AE3813" s="92" t="str">
        <f>HYPERLINK("https://twitter.com/pedroh_mrtns/status/1683100228197531650")</f>
        <v>https://twitter.com/pedroh_mrtns/status/1683100228197531650</v>
      </c>
      <c r="AF3813" s="90">
        <v>45130.543275462966</v>
      </c>
      <c r="AG3813" s="99">
        <v>45130</v>
      </c>
      <c r="AH3813" s="93" t="s">
        <v>14893</v>
      </c>
      <c r="AI3813" s="87"/>
      <c r="AJ3813" s="87"/>
      <c r="AK3813" s="87"/>
      <c r="AL3813" s="87"/>
      <c r="AM3813" s="87"/>
      <c r="AN3813" s="87"/>
      <c r="AO3813" s="87"/>
      <c r="AP3813" s="87"/>
      <c r="AQ3813" s="87"/>
      <c r="AR3813" s="87"/>
      <c r="AS3813" s="87"/>
      <c r="AT3813" s="87"/>
      <c r="AU3813" s="87"/>
      <c r="AV3813" s="92" t="str">
        <f>HYPERLINK("https://pbs.twimg.com/profile_images/1682403427240800256/IbV1DTP6_normal.jpg")</f>
        <v>https://pbs.twimg.com/profile_images/1682403427240800256/IbV1DTP6_normal.jpg</v>
      </c>
      <c r="AW3813" s="93" t="s">
        <v>21925</v>
      </c>
      <c r="AX3813" s="93" t="s">
        <v>21925</v>
      </c>
      <c r="AY3813" s="87"/>
      <c r="AZ3813" s="93" t="s">
        <v>22668</v>
      </c>
      <c r="BA3813" s="93" t="s">
        <v>22668</v>
      </c>
      <c r="BB3813" s="93" t="s">
        <v>22668</v>
      </c>
      <c r="BC3813" s="93" t="s">
        <v>21925</v>
      </c>
      <c r="BD3813" s="93" t="s">
        <v>23519</v>
      </c>
      <c r="BE3813" s="87"/>
      <c r="BF3813" s="87"/>
      <c r="BG3813" s="87"/>
      <c r="BH3813" s="87"/>
      <c r="BI3813" s="87"/>
    </row>
    <row r="3814" spans="1:61" x14ac:dyDescent="0.25">
      <c r="A3814" s="63" t="s">
        <v>1475</v>
      </c>
      <c r="B3814" s="63" t="s">
        <v>1475</v>
      </c>
      <c r="C3814" s="64"/>
      <c r="D3814" s="65"/>
      <c r="E3814" s="66"/>
      <c r="F3814" s="67"/>
      <c r="G3814" s="64"/>
      <c r="H3814" s="68"/>
      <c r="I3814" s="69"/>
      <c r="J3814" s="69"/>
      <c r="K3814" s="32"/>
      <c r="L3814" s="76">
        <v>3814</v>
      </c>
      <c r="M3814" s="76"/>
      <c r="N3814" s="71"/>
      <c r="O3814" s="87" t="s">
        <v>179</v>
      </c>
      <c r="P3814" s="90">
        <v>45170.7656712963</v>
      </c>
      <c r="Q3814" s="87" t="s">
        <v>5470</v>
      </c>
      <c r="R3814" s="87">
        <v>0</v>
      </c>
      <c r="S3814" s="87">
        <v>1</v>
      </c>
      <c r="T3814" s="87">
        <v>0</v>
      </c>
      <c r="U3814" s="87">
        <v>0</v>
      </c>
      <c r="V3814" s="87">
        <v>252</v>
      </c>
      <c r="W3814" s="93" t="s">
        <v>6167</v>
      </c>
      <c r="X3814" s="87"/>
      <c r="Y3814" s="87"/>
      <c r="Z3814" s="87"/>
      <c r="AA3814" s="87" t="s">
        <v>11194</v>
      </c>
      <c r="AB3814" s="87" t="s">
        <v>11447</v>
      </c>
      <c r="AC3814" s="93" t="s">
        <v>11458</v>
      </c>
      <c r="AD3814" s="87" t="s">
        <v>11519</v>
      </c>
      <c r="AE3814" s="92" t="str">
        <f>HYPERLINK("https://twitter.com/icothomaz/status/1697676335257198673")</f>
        <v>https://twitter.com/icothomaz/status/1697676335257198673</v>
      </c>
      <c r="AF3814" s="90">
        <v>45170.7656712963</v>
      </c>
      <c r="AG3814" s="99">
        <v>45170</v>
      </c>
      <c r="AH3814" s="93" t="s">
        <v>14894</v>
      </c>
      <c r="AI3814" s="87" t="b">
        <v>0</v>
      </c>
      <c r="AJ3814" s="87"/>
      <c r="AK3814" s="87"/>
      <c r="AL3814" s="87"/>
      <c r="AM3814" s="87"/>
      <c r="AN3814" s="87"/>
      <c r="AO3814" s="87"/>
      <c r="AP3814" s="87"/>
      <c r="AQ3814" s="87" t="s">
        <v>18006</v>
      </c>
      <c r="AR3814" s="87">
        <v>127385</v>
      </c>
      <c r="AS3814" s="87"/>
      <c r="AT3814" s="87"/>
      <c r="AU3814" s="87"/>
      <c r="AV3814" s="92" t="str">
        <f>HYPERLINK("https://pbs.twimg.com/ext_tw_video_thumb/1697676212389179392/pu/img/Jl7HR_h6i3lkUX4E.jpg")</f>
        <v>https://pbs.twimg.com/ext_tw_video_thumb/1697676212389179392/pu/img/Jl7HR_h6i3lkUX4E.jpg</v>
      </c>
      <c r="AW3814" s="93" t="s">
        <v>21926</v>
      </c>
      <c r="AX3814" s="93" t="s">
        <v>21926</v>
      </c>
      <c r="AY3814" s="87"/>
      <c r="AZ3814" s="93" t="s">
        <v>22668</v>
      </c>
      <c r="BA3814" s="93" t="s">
        <v>22668</v>
      </c>
      <c r="BB3814" s="93" t="s">
        <v>22668</v>
      </c>
      <c r="BC3814" s="93" t="s">
        <v>21926</v>
      </c>
      <c r="BD3814" s="87">
        <v>39331175</v>
      </c>
      <c r="BE3814" s="87"/>
      <c r="BF3814" s="87"/>
      <c r="BG3814" s="87"/>
      <c r="BH3814" s="87"/>
      <c r="BI3814" s="87"/>
    </row>
    <row r="3815" spans="1:61" x14ac:dyDescent="0.25">
      <c r="A3815" s="63" t="s">
        <v>1476</v>
      </c>
      <c r="B3815" s="63" t="s">
        <v>1476</v>
      </c>
      <c r="C3815" s="64"/>
      <c r="D3815" s="65"/>
      <c r="E3815" s="66"/>
      <c r="F3815" s="67"/>
      <c r="G3815" s="64"/>
      <c r="H3815" s="68"/>
      <c r="I3815" s="69"/>
      <c r="J3815" s="69"/>
      <c r="K3815" s="32"/>
      <c r="L3815" s="76">
        <v>3815</v>
      </c>
      <c r="M3815" s="76"/>
      <c r="N3815" s="71"/>
      <c r="O3815" s="87" t="s">
        <v>179</v>
      </c>
      <c r="P3815" s="90">
        <v>45172.239895833336</v>
      </c>
      <c r="Q3815" s="87" t="s">
        <v>5471</v>
      </c>
      <c r="R3815" s="87">
        <v>0</v>
      </c>
      <c r="S3815" s="87">
        <v>0</v>
      </c>
      <c r="T3815" s="87">
        <v>0</v>
      </c>
      <c r="U3815" s="87">
        <v>0</v>
      </c>
      <c r="V3815" s="87">
        <v>7</v>
      </c>
      <c r="W3815" s="93" t="s">
        <v>8083</v>
      </c>
      <c r="X3815" s="87"/>
      <c r="Y3815" s="87"/>
      <c r="Z3815" s="87"/>
      <c r="AA3815" s="87" t="s">
        <v>11195</v>
      </c>
      <c r="AB3815" s="87" t="s">
        <v>11447</v>
      </c>
      <c r="AC3815" s="93" t="s">
        <v>11459</v>
      </c>
      <c r="AD3815" s="87" t="s">
        <v>11519</v>
      </c>
      <c r="AE3815" s="92" t="str">
        <f>HYPERLINK("https://twitter.com/95gospel_ofc1/status/1698210577481335203")</f>
        <v>https://twitter.com/95gospel_ofc1/status/1698210577481335203</v>
      </c>
      <c r="AF3815" s="90">
        <v>45172.239895833336</v>
      </c>
      <c r="AG3815" s="99">
        <v>45172</v>
      </c>
      <c r="AH3815" s="93" t="s">
        <v>14895</v>
      </c>
      <c r="AI3815" s="87" t="b">
        <v>0</v>
      </c>
      <c r="AJ3815" s="87"/>
      <c r="AK3815" s="87"/>
      <c r="AL3815" s="87"/>
      <c r="AM3815" s="87"/>
      <c r="AN3815" s="87"/>
      <c r="AO3815" s="87"/>
      <c r="AP3815" s="87"/>
      <c r="AQ3815" s="87" t="s">
        <v>18007</v>
      </c>
      <c r="AR3815" s="87">
        <v>44998</v>
      </c>
      <c r="AS3815" s="87"/>
      <c r="AT3815" s="87"/>
      <c r="AU3815" s="87"/>
      <c r="AV3815" s="92" t="str">
        <f>HYPERLINK("https://pbs.twimg.com/ext_tw_video_thumb/1698210497080803328/pu/img/QDegm7jAo1Oke_tf.jpg")</f>
        <v>https://pbs.twimg.com/ext_tw_video_thumb/1698210497080803328/pu/img/QDegm7jAo1Oke_tf.jpg</v>
      </c>
      <c r="AW3815" s="93" t="s">
        <v>21927</v>
      </c>
      <c r="AX3815" s="93" t="s">
        <v>21927</v>
      </c>
      <c r="AY3815" s="87"/>
      <c r="AZ3815" s="93" t="s">
        <v>22668</v>
      </c>
      <c r="BA3815" s="93" t="s">
        <v>22668</v>
      </c>
      <c r="BB3815" s="93" t="s">
        <v>22668</v>
      </c>
      <c r="BC3815" s="93" t="s">
        <v>21927</v>
      </c>
      <c r="BD3815" s="93" t="s">
        <v>23520</v>
      </c>
      <c r="BE3815" s="87"/>
      <c r="BF3815" s="87"/>
      <c r="BG3815" s="87"/>
      <c r="BH3815" s="87"/>
      <c r="BI3815" s="87"/>
    </row>
    <row r="3816" spans="1:61" x14ac:dyDescent="0.25">
      <c r="A3816" s="63" t="s">
        <v>1477</v>
      </c>
      <c r="B3816" s="63" t="s">
        <v>1477</v>
      </c>
      <c r="C3816" s="64"/>
      <c r="D3816" s="65"/>
      <c r="E3816" s="66"/>
      <c r="F3816" s="67"/>
      <c r="G3816" s="64"/>
      <c r="H3816" s="68"/>
      <c r="I3816" s="69"/>
      <c r="J3816" s="69"/>
      <c r="K3816" s="32"/>
      <c r="L3816" s="76">
        <v>3816</v>
      </c>
      <c r="M3816" s="76"/>
      <c r="N3816" s="71"/>
      <c r="O3816" s="87" t="s">
        <v>179</v>
      </c>
      <c r="P3816" s="90">
        <v>45180.542199074072</v>
      </c>
      <c r="Q3816" s="87" t="s">
        <v>5472</v>
      </c>
      <c r="R3816" s="87">
        <v>0</v>
      </c>
      <c r="S3816" s="87">
        <v>0</v>
      </c>
      <c r="T3816" s="87">
        <v>0</v>
      </c>
      <c r="U3816" s="87">
        <v>0</v>
      </c>
      <c r="V3816" s="87">
        <v>5</v>
      </c>
      <c r="W3816" s="93" t="s">
        <v>8084</v>
      </c>
      <c r="X3816" s="87"/>
      <c r="Y3816" s="87"/>
      <c r="Z3816" s="87"/>
      <c r="AA3816" s="87" t="s">
        <v>11196</v>
      </c>
      <c r="AB3816" s="87" t="s">
        <v>11448</v>
      </c>
      <c r="AC3816" s="93" t="s">
        <v>11460</v>
      </c>
      <c r="AD3816" s="87" t="s">
        <v>11519</v>
      </c>
      <c r="AE3816" s="92" t="str">
        <f>HYPERLINK("https://twitter.com/bphub1/status/1701219231033852190")</f>
        <v>https://twitter.com/bphub1/status/1701219231033852190</v>
      </c>
      <c r="AF3816" s="90">
        <v>45180.542199074072</v>
      </c>
      <c r="AG3816" s="99">
        <v>45180</v>
      </c>
      <c r="AH3816" s="93" t="s">
        <v>14896</v>
      </c>
      <c r="AI3816" s="87" t="b">
        <v>0</v>
      </c>
      <c r="AJ3816" s="87"/>
      <c r="AK3816" s="87"/>
      <c r="AL3816" s="87"/>
      <c r="AM3816" s="87"/>
      <c r="AN3816" s="87"/>
      <c r="AO3816" s="87"/>
      <c r="AP3816" s="87"/>
      <c r="AQ3816" s="87" t="s">
        <v>18008</v>
      </c>
      <c r="AR3816" s="87"/>
      <c r="AS3816" s="87"/>
      <c r="AT3816" s="87"/>
      <c r="AU3816" s="87"/>
      <c r="AV3816" s="92" t="str">
        <f>HYPERLINK("https://pbs.twimg.com/media/F5vx4DRXUAAUeT5.png")</f>
        <v>https://pbs.twimg.com/media/F5vx4DRXUAAUeT5.png</v>
      </c>
      <c r="AW3816" s="93" t="s">
        <v>21928</v>
      </c>
      <c r="AX3816" s="93" t="s">
        <v>21928</v>
      </c>
      <c r="AY3816" s="87"/>
      <c r="AZ3816" s="93" t="s">
        <v>22668</v>
      </c>
      <c r="BA3816" s="93" t="s">
        <v>22668</v>
      </c>
      <c r="BB3816" s="93" t="s">
        <v>22668</v>
      </c>
      <c r="BC3816" s="93" t="s">
        <v>21928</v>
      </c>
      <c r="BD3816" s="93" t="s">
        <v>23521</v>
      </c>
      <c r="BE3816" s="87"/>
      <c r="BF3816" s="87"/>
      <c r="BG3816" s="87"/>
      <c r="BH3816" s="87"/>
      <c r="BI3816" s="87"/>
    </row>
    <row r="3817" spans="1:61" x14ac:dyDescent="0.25">
      <c r="A3817" s="63" t="s">
        <v>1477</v>
      </c>
      <c r="B3817" s="63" t="s">
        <v>1477</v>
      </c>
      <c r="C3817" s="64"/>
      <c r="D3817" s="65"/>
      <c r="E3817" s="66"/>
      <c r="F3817" s="67"/>
      <c r="G3817" s="64"/>
      <c r="H3817" s="68"/>
      <c r="I3817" s="69"/>
      <c r="J3817" s="69"/>
      <c r="K3817" s="32"/>
      <c r="L3817" s="76">
        <v>3817</v>
      </c>
      <c r="M3817" s="76"/>
      <c r="N3817" s="71"/>
      <c r="O3817" s="87" t="s">
        <v>179</v>
      </c>
      <c r="P3817" s="90">
        <v>45180.542187500003</v>
      </c>
      <c r="Q3817" s="87" t="s">
        <v>5473</v>
      </c>
      <c r="R3817" s="87">
        <v>0</v>
      </c>
      <c r="S3817" s="87">
        <v>0</v>
      </c>
      <c r="T3817" s="87">
        <v>0</v>
      </c>
      <c r="U3817" s="87">
        <v>0</v>
      </c>
      <c r="V3817" s="87">
        <v>3</v>
      </c>
      <c r="W3817" s="93" t="s">
        <v>8085</v>
      </c>
      <c r="X3817" s="87"/>
      <c r="Y3817" s="87"/>
      <c r="Z3817" s="87"/>
      <c r="AA3817" s="87" t="s">
        <v>11197</v>
      </c>
      <c r="AB3817" s="87" t="s">
        <v>11448</v>
      </c>
      <c r="AC3817" s="93" t="s">
        <v>11460</v>
      </c>
      <c r="AD3817" s="87" t="s">
        <v>11519</v>
      </c>
      <c r="AE3817" s="92" t="str">
        <f>HYPERLINK("https://twitter.com/bphub1/status/1701219226806010213")</f>
        <v>https://twitter.com/bphub1/status/1701219226806010213</v>
      </c>
      <c r="AF3817" s="90">
        <v>45180.542187500003</v>
      </c>
      <c r="AG3817" s="99">
        <v>45180</v>
      </c>
      <c r="AH3817" s="93" t="s">
        <v>14897</v>
      </c>
      <c r="AI3817" s="87" t="b">
        <v>0</v>
      </c>
      <c r="AJ3817" s="87"/>
      <c r="AK3817" s="87"/>
      <c r="AL3817" s="87"/>
      <c r="AM3817" s="87"/>
      <c r="AN3817" s="87"/>
      <c r="AO3817" s="87"/>
      <c r="AP3817" s="87"/>
      <c r="AQ3817" s="87" t="s">
        <v>18009</v>
      </c>
      <c r="AR3817" s="87"/>
      <c r="AS3817" s="87"/>
      <c r="AT3817" s="87"/>
      <c r="AU3817" s="87"/>
      <c r="AV3817" s="92" t="str">
        <f>HYPERLINK("https://pbs.twimg.com/media/F5vx3zZWYAAD-Lu.png")</f>
        <v>https://pbs.twimg.com/media/F5vx3zZWYAAD-Lu.png</v>
      </c>
      <c r="AW3817" s="93" t="s">
        <v>21929</v>
      </c>
      <c r="AX3817" s="93" t="s">
        <v>21929</v>
      </c>
      <c r="AY3817" s="87"/>
      <c r="AZ3817" s="93" t="s">
        <v>22668</v>
      </c>
      <c r="BA3817" s="93" t="s">
        <v>22668</v>
      </c>
      <c r="BB3817" s="93" t="s">
        <v>22668</v>
      </c>
      <c r="BC3817" s="93" t="s">
        <v>21929</v>
      </c>
      <c r="BD3817" s="93" t="s">
        <v>23521</v>
      </c>
      <c r="BE3817" s="87"/>
      <c r="BF3817" s="87"/>
      <c r="BG3817" s="87"/>
      <c r="BH3817" s="87"/>
      <c r="BI3817" s="87"/>
    </row>
    <row r="3818" spans="1:61" x14ac:dyDescent="0.25">
      <c r="A3818" s="63" t="s">
        <v>1477</v>
      </c>
      <c r="B3818" s="63" t="s">
        <v>1477</v>
      </c>
      <c r="C3818" s="64"/>
      <c r="D3818" s="65"/>
      <c r="E3818" s="66"/>
      <c r="F3818" s="67"/>
      <c r="G3818" s="64"/>
      <c r="H3818" s="68"/>
      <c r="I3818" s="69"/>
      <c r="J3818" s="69"/>
      <c r="K3818" s="32"/>
      <c r="L3818" s="76">
        <v>3818</v>
      </c>
      <c r="M3818" s="76"/>
      <c r="N3818" s="71"/>
      <c r="O3818" s="87" t="s">
        <v>179</v>
      </c>
      <c r="P3818" s="90">
        <v>45184.542222222219</v>
      </c>
      <c r="Q3818" s="87" t="s">
        <v>5474</v>
      </c>
      <c r="R3818" s="87">
        <v>0</v>
      </c>
      <c r="S3818" s="87">
        <v>0</v>
      </c>
      <c r="T3818" s="87">
        <v>0</v>
      </c>
      <c r="U3818" s="87">
        <v>0</v>
      </c>
      <c r="V3818" s="87">
        <v>6</v>
      </c>
      <c r="W3818" s="93" t="s">
        <v>8086</v>
      </c>
      <c r="X3818" s="87"/>
      <c r="Y3818" s="87"/>
      <c r="Z3818" s="87"/>
      <c r="AA3818" s="87" t="s">
        <v>11198</v>
      </c>
      <c r="AB3818" s="87" t="s">
        <v>11449</v>
      </c>
      <c r="AC3818" s="93" t="s">
        <v>11460</v>
      </c>
      <c r="AD3818" s="87" t="s">
        <v>11519</v>
      </c>
      <c r="AE3818" s="92" t="str">
        <f>HYPERLINK("https://twitter.com/bphub1/status/1702668792713679115")</f>
        <v>https://twitter.com/bphub1/status/1702668792713679115</v>
      </c>
      <c r="AF3818" s="90">
        <v>45184.542222222219</v>
      </c>
      <c r="AG3818" s="99">
        <v>45184</v>
      </c>
      <c r="AH3818" s="93" t="s">
        <v>14898</v>
      </c>
      <c r="AI3818" s="87" t="b">
        <v>0</v>
      </c>
      <c r="AJ3818" s="87"/>
      <c r="AK3818" s="87"/>
      <c r="AL3818" s="87"/>
      <c r="AM3818" s="87"/>
      <c r="AN3818" s="87"/>
      <c r="AO3818" s="87"/>
      <c r="AP3818" s="87"/>
      <c r="AQ3818" s="87" t="s">
        <v>18010</v>
      </c>
      <c r="AR3818" s="87"/>
      <c r="AS3818" s="87"/>
      <c r="AT3818" s="87"/>
      <c r="AU3818" s="87"/>
      <c r="AV3818" s="92" t="str">
        <f>HYPERLINK("https://pbs.twimg.com/media/F6EYPETXUAAuv9_.png")</f>
        <v>https://pbs.twimg.com/media/F6EYPETXUAAuv9_.png</v>
      </c>
      <c r="AW3818" s="93" t="s">
        <v>21930</v>
      </c>
      <c r="AX3818" s="93" t="s">
        <v>21930</v>
      </c>
      <c r="AY3818" s="87"/>
      <c r="AZ3818" s="93" t="s">
        <v>22668</v>
      </c>
      <c r="BA3818" s="93" t="s">
        <v>22668</v>
      </c>
      <c r="BB3818" s="93" t="s">
        <v>22668</v>
      </c>
      <c r="BC3818" s="93" t="s">
        <v>21930</v>
      </c>
      <c r="BD3818" s="93" t="s">
        <v>23521</v>
      </c>
      <c r="BE3818" s="87"/>
      <c r="BF3818" s="87"/>
      <c r="BG3818" s="87"/>
      <c r="BH3818" s="87"/>
      <c r="BI3818" s="87"/>
    </row>
    <row r="3819" spans="1:61" x14ac:dyDescent="0.25">
      <c r="A3819" s="63" t="s">
        <v>1477</v>
      </c>
      <c r="B3819" s="63" t="s">
        <v>1477</v>
      </c>
      <c r="C3819" s="64"/>
      <c r="D3819" s="65"/>
      <c r="E3819" s="66"/>
      <c r="F3819" s="67"/>
      <c r="G3819" s="64"/>
      <c r="H3819" s="68"/>
      <c r="I3819" s="69"/>
      <c r="J3819" s="69"/>
      <c r="K3819" s="32"/>
      <c r="L3819" s="76">
        <v>3819</v>
      </c>
      <c r="M3819" s="76"/>
      <c r="N3819" s="71"/>
      <c r="O3819" s="87" t="s">
        <v>179</v>
      </c>
      <c r="P3819" s="90">
        <v>45121.542187500003</v>
      </c>
      <c r="Q3819" s="87" t="s">
        <v>5475</v>
      </c>
      <c r="R3819" s="87">
        <v>0</v>
      </c>
      <c r="S3819" s="87">
        <v>0</v>
      </c>
      <c r="T3819" s="87">
        <v>0</v>
      </c>
      <c r="U3819" s="87">
        <v>0</v>
      </c>
      <c r="V3819" s="87">
        <v>5</v>
      </c>
      <c r="W3819" s="93" t="s">
        <v>8087</v>
      </c>
      <c r="X3819" s="87"/>
      <c r="Y3819" s="87"/>
      <c r="Z3819" s="87"/>
      <c r="AA3819" s="87" t="s">
        <v>11199</v>
      </c>
      <c r="AB3819" s="87" t="s">
        <v>11448</v>
      </c>
      <c r="AC3819" s="93" t="s">
        <v>11460</v>
      </c>
      <c r="AD3819" s="87" t="s">
        <v>11519</v>
      </c>
      <c r="AE3819" s="92" t="str">
        <f>HYPERLINK("https://twitter.com/bphub1/status/1679838344614641665")</f>
        <v>https://twitter.com/bphub1/status/1679838344614641665</v>
      </c>
      <c r="AF3819" s="90">
        <v>45121.542187500003</v>
      </c>
      <c r="AG3819" s="99">
        <v>45121</v>
      </c>
      <c r="AH3819" s="93" t="s">
        <v>14897</v>
      </c>
      <c r="AI3819" s="87" t="b">
        <v>0</v>
      </c>
      <c r="AJ3819" s="87"/>
      <c r="AK3819" s="87"/>
      <c r="AL3819" s="87"/>
      <c r="AM3819" s="87"/>
      <c r="AN3819" s="87"/>
      <c r="AO3819" s="87"/>
      <c r="AP3819" s="87"/>
      <c r="AQ3819" s="87" t="s">
        <v>18011</v>
      </c>
      <c r="AR3819" s="87"/>
      <c r="AS3819" s="87"/>
      <c r="AT3819" s="87"/>
      <c r="AU3819" s="87"/>
      <c r="AV3819" s="92" t="str">
        <f>HYPERLINK("https://pbs.twimg.com/media/F0_8EqOWYAI7yi3.png")</f>
        <v>https://pbs.twimg.com/media/F0_8EqOWYAI7yi3.png</v>
      </c>
      <c r="AW3819" s="93" t="s">
        <v>21931</v>
      </c>
      <c r="AX3819" s="93" t="s">
        <v>21931</v>
      </c>
      <c r="AY3819" s="87"/>
      <c r="AZ3819" s="93" t="s">
        <v>22668</v>
      </c>
      <c r="BA3819" s="93" t="s">
        <v>22668</v>
      </c>
      <c r="BB3819" s="93" t="s">
        <v>22668</v>
      </c>
      <c r="BC3819" s="93" t="s">
        <v>21931</v>
      </c>
      <c r="BD3819" s="93" t="s">
        <v>23521</v>
      </c>
      <c r="BE3819" s="87"/>
      <c r="BF3819" s="87"/>
      <c r="BG3819" s="87"/>
      <c r="BH3819" s="87"/>
      <c r="BI3819" s="87"/>
    </row>
    <row r="3820" spans="1:61" x14ac:dyDescent="0.25">
      <c r="A3820" s="63" t="s">
        <v>1477</v>
      </c>
      <c r="B3820" s="63" t="s">
        <v>1477</v>
      </c>
      <c r="C3820" s="64"/>
      <c r="D3820" s="65"/>
      <c r="E3820" s="66"/>
      <c r="F3820" s="67"/>
      <c r="G3820" s="64"/>
      <c r="H3820" s="68"/>
      <c r="I3820" s="69"/>
      <c r="J3820" s="69"/>
      <c r="K3820" s="32"/>
      <c r="L3820" s="76">
        <v>3820</v>
      </c>
      <c r="M3820" s="76"/>
      <c r="N3820" s="71"/>
      <c r="O3820" s="87" t="s">
        <v>179</v>
      </c>
      <c r="P3820" s="90">
        <v>45189.542233796295</v>
      </c>
      <c r="Q3820" s="87" t="s">
        <v>5476</v>
      </c>
      <c r="R3820" s="87">
        <v>0</v>
      </c>
      <c r="S3820" s="87">
        <v>0</v>
      </c>
      <c r="T3820" s="87">
        <v>0</v>
      </c>
      <c r="U3820" s="87">
        <v>0</v>
      </c>
      <c r="V3820" s="87"/>
      <c r="W3820" s="93" t="s">
        <v>8088</v>
      </c>
      <c r="X3820" s="87"/>
      <c r="Y3820" s="87"/>
      <c r="Z3820" s="87"/>
      <c r="AA3820" s="87" t="s">
        <v>11200</v>
      </c>
      <c r="AB3820" s="87" t="s">
        <v>11448</v>
      </c>
      <c r="AC3820" s="93" t="s">
        <v>11460</v>
      </c>
      <c r="AD3820" s="87" t="s">
        <v>11519</v>
      </c>
      <c r="AE3820" s="92" t="str">
        <f>HYPERLINK("https://twitter.com/bphub1/status/1704480735522902259")</f>
        <v>https://twitter.com/bphub1/status/1704480735522902259</v>
      </c>
      <c r="AF3820" s="90">
        <v>45189.542233796295</v>
      </c>
      <c r="AG3820" s="99">
        <v>45189</v>
      </c>
      <c r="AH3820" s="93" t="s">
        <v>12215</v>
      </c>
      <c r="AI3820" s="87" t="b">
        <v>0</v>
      </c>
      <c r="AJ3820" s="87"/>
      <c r="AK3820" s="87"/>
      <c r="AL3820" s="87"/>
      <c r="AM3820" s="87"/>
      <c r="AN3820" s="87"/>
      <c r="AO3820" s="87"/>
      <c r="AP3820" s="87"/>
      <c r="AQ3820" s="87" t="s">
        <v>18012</v>
      </c>
      <c r="AR3820" s="87"/>
      <c r="AS3820" s="87"/>
      <c r="AT3820" s="87"/>
      <c r="AU3820" s="87"/>
      <c r="AV3820" s="92" t="str">
        <f>HYPERLINK("https://pbs.twimg.com/media/F6eIMkAXYAA3hzZ.png")</f>
        <v>https://pbs.twimg.com/media/F6eIMkAXYAA3hzZ.png</v>
      </c>
      <c r="AW3820" s="93" t="s">
        <v>21932</v>
      </c>
      <c r="AX3820" s="93" t="s">
        <v>21932</v>
      </c>
      <c r="AY3820" s="87"/>
      <c r="AZ3820" s="93" t="s">
        <v>22668</v>
      </c>
      <c r="BA3820" s="93" t="s">
        <v>22668</v>
      </c>
      <c r="BB3820" s="93" t="s">
        <v>22668</v>
      </c>
      <c r="BC3820" s="93" t="s">
        <v>21932</v>
      </c>
      <c r="BD3820" s="93" t="s">
        <v>23521</v>
      </c>
      <c r="BE3820" s="87"/>
      <c r="BF3820" s="87"/>
      <c r="BG3820" s="87"/>
      <c r="BH3820" s="87"/>
      <c r="BI3820" s="87"/>
    </row>
    <row r="3821" spans="1:61" x14ac:dyDescent="0.25">
      <c r="A3821" s="63" t="s">
        <v>1477</v>
      </c>
      <c r="B3821" s="63" t="s">
        <v>1477</v>
      </c>
      <c r="C3821" s="64"/>
      <c r="D3821" s="65"/>
      <c r="E3821" s="66"/>
      <c r="F3821" s="67"/>
      <c r="G3821" s="64"/>
      <c r="H3821" s="68"/>
      <c r="I3821" s="69"/>
      <c r="J3821" s="69"/>
      <c r="K3821" s="32"/>
      <c r="L3821" s="76">
        <v>3821</v>
      </c>
      <c r="M3821" s="76"/>
      <c r="N3821" s="71"/>
      <c r="O3821" s="87" t="s">
        <v>179</v>
      </c>
      <c r="P3821" s="90">
        <v>45187.542256944442</v>
      </c>
      <c r="Q3821" s="87" t="s">
        <v>5477</v>
      </c>
      <c r="R3821" s="87">
        <v>0</v>
      </c>
      <c r="S3821" s="87">
        <v>0</v>
      </c>
      <c r="T3821" s="87">
        <v>0</v>
      </c>
      <c r="U3821" s="87">
        <v>0</v>
      </c>
      <c r="V3821" s="87">
        <v>7</v>
      </c>
      <c r="W3821" s="93" t="s">
        <v>8089</v>
      </c>
      <c r="X3821" s="87"/>
      <c r="Y3821" s="87"/>
      <c r="Z3821" s="87"/>
      <c r="AA3821" s="87" t="s">
        <v>11201</v>
      </c>
      <c r="AB3821" s="87" t="s">
        <v>11448</v>
      </c>
      <c r="AC3821" s="93" t="s">
        <v>11460</v>
      </c>
      <c r="AD3821" s="87" t="s">
        <v>11519</v>
      </c>
      <c r="AE3821" s="92" t="str">
        <f>HYPERLINK("https://twitter.com/bphub1/status/1703755965223301541")</f>
        <v>https://twitter.com/bphub1/status/1703755965223301541</v>
      </c>
      <c r="AF3821" s="90">
        <v>45187.542256944442</v>
      </c>
      <c r="AG3821" s="99">
        <v>45187</v>
      </c>
      <c r="AH3821" s="93" t="s">
        <v>14899</v>
      </c>
      <c r="AI3821" s="87" t="b">
        <v>0</v>
      </c>
      <c r="AJ3821" s="87"/>
      <c r="AK3821" s="87"/>
      <c r="AL3821" s="87"/>
      <c r="AM3821" s="87"/>
      <c r="AN3821" s="87"/>
      <c r="AO3821" s="87"/>
      <c r="AP3821" s="87"/>
      <c r="AQ3821" s="87" t="s">
        <v>18013</v>
      </c>
      <c r="AR3821" s="87"/>
      <c r="AS3821" s="87"/>
      <c r="AT3821" s="87"/>
      <c r="AU3821" s="87"/>
      <c r="AV3821" s="92" t="str">
        <f>HYPERLINK("https://pbs.twimg.com/media/F6T1BakXgAAJViH.png")</f>
        <v>https://pbs.twimg.com/media/F6T1BakXgAAJViH.png</v>
      </c>
      <c r="AW3821" s="93" t="s">
        <v>21933</v>
      </c>
      <c r="AX3821" s="93" t="s">
        <v>21933</v>
      </c>
      <c r="AY3821" s="87"/>
      <c r="AZ3821" s="93" t="s">
        <v>22668</v>
      </c>
      <c r="BA3821" s="93" t="s">
        <v>22668</v>
      </c>
      <c r="BB3821" s="93" t="s">
        <v>22668</v>
      </c>
      <c r="BC3821" s="93" t="s">
        <v>21933</v>
      </c>
      <c r="BD3821" s="93" t="s">
        <v>23521</v>
      </c>
      <c r="BE3821" s="87"/>
      <c r="BF3821" s="87"/>
      <c r="BG3821" s="87"/>
      <c r="BH3821" s="87"/>
      <c r="BI3821" s="87"/>
    </row>
    <row r="3822" spans="1:61" x14ac:dyDescent="0.25">
      <c r="A3822" s="63" t="s">
        <v>1477</v>
      </c>
      <c r="B3822" s="63" t="s">
        <v>1477</v>
      </c>
      <c r="C3822" s="64"/>
      <c r="D3822" s="65"/>
      <c r="E3822" s="66"/>
      <c r="F3822" s="67"/>
      <c r="G3822" s="64"/>
      <c r="H3822" s="68"/>
      <c r="I3822" s="69"/>
      <c r="J3822" s="69"/>
      <c r="K3822" s="32"/>
      <c r="L3822" s="76">
        <v>3822</v>
      </c>
      <c r="M3822" s="76"/>
      <c r="N3822" s="71"/>
      <c r="O3822" s="87" t="s">
        <v>179</v>
      </c>
      <c r="P3822" s="90">
        <v>45196.542222222219</v>
      </c>
      <c r="Q3822" s="87" t="s">
        <v>5478</v>
      </c>
      <c r="R3822" s="87">
        <v>0</v>
      </c>
      <c r="S3822" s="87">
        <v>0</v>
      </c>
      <c r="T3822" s="87">
        <v>0</v>
      </c>
      <c r="U3822" s="87">
        <v>0</v>
      </c>
      <c r="V3822" s="87"/>
      <c r="W3822" s="93" t="s">
        <v>8090</v>
      </c>
      <c r="X3822" s="87"/>
      <c r="Y3822" s="87"/>
      <c r="Z3822" s="87"/>
      <c r="AA3822" s="87" t="s">
        <v>11202</v>
      </c>
      <c r="AB3822" s="87" t="s">
        <v>11448</v>
      </c>
      <c r="AC3822" s="93" t="s">
        <v>11460</v>
      </c>
      <c r="AD3822" s="87" t="s">
        <v>11519</v>
      </c>
      <c r="AE3822" s="92" t="str">
        <f>HYPERLINK("https://twitter.com/bphub1/status/1707017446442385800")</f>
        <v>https://twitter.com/bphub1/status/1707017446442385800</v>
      </c>
      <c r="AF3822" s="90">
        <v>45196.542222222219</v>
      </c>
      <c r="AG3822" s="99">
        <v>45196</v>
      </c>
      <c r="AH3822" s="93" t="s">
        <v>14898</v>
      </c>
      <c r="AI3822" s="87" t="b">
        <v>0</v>
      </c>
      <c r="AJ3822" s="87"/>
      <c r="AK3822" s="87"/>
      <c r="AL3822" s="87"/>
      <c r="AM3822" s="87"/>
      <c r="AN3822" s="87"/>
      <c r="AO3822" s="87"/>
      <c r="AP3822" s="87"/>
      <c r="AQ3822" s="87" t="s">
        <v>18014</v>
      </c>
      <c r="AR3822" s="87"/>
      <c r="AS3822" s="87"/>
      <c r="AT3822" s="87"/>
      <c r="AU3822" s="87"/>
      <c r="AV3822" s="92" t="str">
        <f>HYPERLINK("https://pbs.twimg.com/media/F7CLUhfW4AARVNQ.png")</f>
        <v>https://pbs.twimg.com/media/F7CLUhfW4AARVNQ.png</v>
      </c>
      <c r="AW3822" s="93" t="s">
        <v>21934</v>
      </c>
      <c r="AX3822" s="93" t="s">
        <v>21934</v>
      </c>
      <c r="AY3822" s="87"/>
      <c r="AZ3822" s="93" t="s">
        <v>22668</v>
      </c>
      <c r="BA3822" s="93" t="s">
        <v>22668</v>
      </c>
      <c r="BB3822" s="93" t="s">
        <v>22668</v>
      </c>
      <c r="BC3822" s="93" t="s">
        <v>21934</v>
      </c>
      <c r="BD3822" s="93" t="s">
        <v>23521</v>
      </c>
      <c r="BE3822" s="87"/>
      <c r="BF3822" s="87"/>
      <c r="BG3822" s="87"/>
      <c r="BH3822" s="87"/>
      <c r="BI3822" s="87"/>
    </row>
    <row r="3823" spans="1:61" x14ac:dyDescent="0.25">
      <c r="A3823" s="63" t="s">
        <v>1478</v>
      </c>
      <c r="B3823" s="63" t="s">
        <v>1783</v>
      </c>
      <c r="C3823" s="64"/>
      <c r="D3823" s="65"/>
      <c r="E3823" s="66"/>
      <c r="F3823" s="67"/>
      <c r="G3823" s="64"/>
      <c r="H3823" s="68"/>
      <c r="I3823" s="69"/>
      <c r="J3823" s="69"/>
      <c r="K3823" s="32"/>
      <c r="L3823" s="76">
        <v>3823</v>
      </c>
      <c r="M3823" s="76"/>
      <c r="N3823" s="71"/>
      <c r="O3823" s="87" t="s">
        <v>1839</v>
      </c>
      <c r="P3823" s="90">
        <v>45111.663645833331</v>
      </c>
      <c r="Q3823" s="87" t="s">
        <v>5479</v>
      </c>
      <c r="R3823" s="87">
        <v>0</v>
      </c>
      <c r="S3823" s="87">
        <v>1</v>
      </c>
      <c r="T3823" s="87">
        <v>1</v>
      </c>
      <c r="U3823" s="87">
        <v>0</v>
      </c>
      <c r="V3823" s="87">
        <v>25</v>
      </c>
      <c r="W3823" s="93" t="s">
        <v>7724</v>
      </c>
      <c r="X3823" s="87"/>
      <c r="Y3823" s="87"/>
      <c r="Z3823" s="87" t="s">
        <v>8624</v>
      </c>
      <c r="AA3823" s="87" t="s">
        <v>11203</v>
      </c>
      <c r="AB3823" s="87" t="s">
        <v>11448</v>
      </c>
      <c r="AC3823" s="93" t="s">
        <v>11457</v>
      </c>
      <c r="AD3823" s="87" t="s">
        <v>11519</v>
      </c>
      <c r="AE3823" s="92" t="str">
        <f>HYPERLINK("https://twitter.com/cufa_rio/status/1676258479714054144")</f>
        <v>https://twitter.com/cufa_rio/status/1676258479714054144</v>
      </c>
      <c r="AF3823" s="90">
        <v>45111.663645833331</v>
      </c>
      <c r="AG3823" s="99">
        <v>45111</v>
      </c>
      <c r="AH3823" s="93" t="s">
        <v>14900</v>
      </c>
      <c r="AI3823" s="87" t="b">
        <v>0</v>
      </c>
      <c r="AJ3823" s="87"/>
      <c r="AK3823" s="87"/>
      <c r="AL3823" s="87"/>
      <c r="AM3823" s="87"/>
      <c r="AN3823" s="87"/>
      <c r="AO3823" s="87"/>
      <c r="AP3823" s="87"/>
      <c r="AQ3823" s="87" t="s">
        <v>18015</v>
      </c>
      <c r="AR3823" s="87"/>
      <c r="AS3823" s="87"/>
      <c r="AT3823" s="87"/>
      <c r="AU3823" s="87"/>
      <c r="AV3823" s="92" t="str">
        <f>HYPERLINK("https://pbs.twimg.com/media/F0NEG7ZXsAAGePw.jpg")</f>
        <v>https://pbs.twimg.com/media/F0NEG7ZXsAAGePw.jpg</v>
      </c>
      <c r="AW3823" s="93" t="s">
        <v>21935</v>
      </c>
      <c r="AX3823" s="93" t="s">
        <v>21935</v>
      </c>
      <c r="AY3823" s="87"/>
      <c r="AZ3823" s="93" t="s">
        <v>22668</v>
      </c>
      <c r="BA3823" s="93" t="s">
        <v>22668</v>
      </c>
      <c r="BB3823" s="93" t="s">
        <v>22668</v>
      </c>
      <c r="BC3823" s="93" t="s">
        <v>21935</v>
      </c>
      <c r="BD3823" s="93" t="s">
        <v>23522</v>
      </c>
      <c r="BE3823" s="87"/>
      <c r="BF3823" s="87"/>
      <c r="BG3823" s="87"/>
      <c r="BH3823" s="87"/>
      <c r="BI3823" s="87"/>
    </row>
    <row r="3824" spans="1:61" x14ac:dyDescent="0.25">
      <c r="A3824" s="63" t="s">
        <v>1478</v>
      </c>
      <c r="B3824" s="63" t="s">
        <v>1782</v>
      </c>
      <c r="C3824" s="64"/>
      <c r="D3824" s="65"/>
      <c r="E3824" s="66"/>
      <c r="F3824" s="67"/>
      <c r="G3824" s="64"/>
      <c r="H3824" s="68"/>
      <c r="I3824" s="69"/>
      <c r="J3824" s="69"/>
      <c r="K3824" s="32"/>
      <c r="L3824" s="76">
        <v>3824</v>
      </c>
      <c r="M3824" s="76"/>
      <c r="N3824" s="71"/>
      <c r="O3824" s="87" t="s">
        <v>1839</v>
      </c>
      <c r="P3824" s="90">
        <v>45111.663645833331</v>
      </c>
      <c r="Q3824" s="87" t="s">
        <v>5479</v>
      </c>
      <c r="R3824" s="87">
        <v>0</v>
      </c>
      <c r="S3824" s="87">
        <v>1</v>
      </c>
      <c r="T3824" s="87">
        <v>1</v>
      </c>
      <c r="U3824" s="87">
        <v>0</v>
      </c>
      <c r="V3824" s="87">
        <v>25</v>
      </c>
      <c r="W3824" s="93" t="s">
        <v>7724</v>
      </c>
      <c r="X3824" s="87"/>
      <c r="Y3824" s="87"/>
      <c r="Z3824" s="87" t="s">
        <v>8624</v>
      </c>
      <c r="AA3824" s="87" t="s">
        <v>11203</v>
      </c>
      <c r="AB3824" s="87" t="s">
        <v>11448</v>
      </c>
      <c r="AC3824" s="93" t="s">
        <v>11457</v>
      </c>
      <c r="AD3824" s="87" t="s">
        <v>11519</v>
      </c>
      <c r="AE3824" s="92" t="str">
        <f>HYPERLINK("https://twitter.com/cufa_rio/status/1676258479714054144")</f>
        <v>https://twitter.com/cufa_rio/status/1676258479714054144</v>
      </c>
      <c r="AF3824" s="90">
        <v>45111.663645833331</v>
      </c>
      <c r="AG3824" s="99">
        <v>45111</v>
      </c>
      <c r="AH3824" s="93" t="s">
        <v>14900</v>
      </c>
      <c r="AI3824" s="87" t="b">
        <v>0</v>
      </c>
      <c r="AJ3824" s="87"/>
      <c r="AK3824" s="87"/>
      <c r="AL3824" s="87"/>
      <c r="AM3824" s="87"/>
      <c r="AN3824" s="87"/>
      <c r="AO3824" s="87"/>
      <c r="AP3824" s="87"/>
      <c r="AQ3824" s="87" t="s">
        <v>18015</v>
      </c>
      <c r="AR3824" s="87"/>
      <c r="AS3824" s="87"/>
      <c r="AT3824" s="87"/>
      <c r="AU3824" s="87"/>
      <c r="AV3824" s="92" t="str">
        <f>HYPERLINK("https://pbs.twimg.com/media/F0NEG7ZXsAAGePw.jpg")</f>
        <v>https://pbs.twimg.com/media/F0NEG7ZXsAAGePw.jpg</v>
      </c>
      <c r="AW3824" s="93" t="s">
        <v>21935</v>
      </c>
      <c r="AX3824" s="93" t="s">
        <v>21935</v>
      </c>
      <c r="AY3824" s="87"/>
      <c r="AZ3824" s="93" t="s">
        <v>22668</v>
      </c>
      <c r="BA3824" s="93" t="s">
        <v>22668</v>
      </c>
      <c r="BB3824" s="93" t="s">
        <v>22668</v>
      </c>
      <c r="BC3824" s="93" t="s">
        <v>21935</v>
      </c>
      <c r="BD3824" s="93" t="s">
        <v>23522</v>
      </c>
      <c r="BE3824" s="87"/>
      <c r="BF3824" s="87"/>
      <c r="BG3824" s="87"/>
      <c r="BH3824" s="87"/>
      <c r="BI3824" s="87"/>
    </row>
    <row r="3825" spans="1:61" x14ac:dyDescent="0.25">
      <c r="A3825" s="63" t="s">
        <v>1478</v>
      </c>
      <c r="B3825" s="63" t="s">
        <v>1759</v>
      </c>
      <c r="C3825" s="64"/>
      <c r="D3825" s="65"/>
      <c r="E3825" s="66"/>
      <c r="F3825" s="67"/>
      <c r="G3825" s="64"/>
      <c r="H3825" s="68"/>
      <c r="I3825" s="69"/>
      <c r="J3825" s="69"/>
      <c r="K3825" s="32"/>
      <c r="L3825" s="76">
        <v>3825</v>
      </c>
      <c r="M3825" s="76"/>
      <c r="N3825" s="71"/>
      <c r="O3825" s="87" t="s">
        <v>1839</v>
      </c>
      <c r="P3825" s="90">
        <v>45111.663645833331</v>
      </c>
      <c r="Q3825" s="87" t="s">
        <v>5479</v>
      </c>
      <c r="R3825" s="87">
        <v>0</v>
      </c>
      <c r="S3825" s="87">
        <v>1</v>
      </c>
      <c r="T3825" s="87">
        <v>1</v>
      </c>
      <c r="U3825" s="87">
        <v>0</v>
      </c>
      <c r="V3825" s="87">
        <v>25</v>
      </c>
      <c r="W3825" s="93" t="s">
        <v>7724</v>
      </c>
      <c r="X3825" s="87"/>
      <c r="Y3825" s="87"/>
      <c r="Z3825" s="87" t="s">
        <v>8624</v>
      </c>
      <c r="AA3825" s="87" t="s">
        <v>11203</v>
      </c>
      <c r="AB3825" s="87" t="s">
        <v>11448</v>
      </c>
      <c r="AC3825" s="93" t="s">
        <v>11457</v>
      </c>
      <c r="AD3825" s="87" t="s">
        <v>11519</v>
      </c>
      <c r="AE3825" s="92" t="str">
        <f>HYPERLINK("https://twitter.com/cufa_rio/status/1676258479714054144")</f>
        <v>https://twitter.com/cufa_rio/status/1676258479714054144</v>
      </c>
      <c r="AF3825" s="90">
        <v>45111.663645833331</v>
      </c>
      <c r="AG3825" s="99">
        <v>45111</v>
      </c>
      <c r="AH3825" s="93" t="s">
        <v>14900</v>
      </c>
      <c r="AI3825" s="87" t="b">
        <v>0</v>
      </c>
      <c r="AJ3825" s="87"/>
      <c r="AK3825" s="87"/>
      <c r="AL3825" s="87"/>
      <c r="AM3825" s="87"/>
      <c r="AN3825" s="87"/>
      <c r="AO3825" s="87"/>
      <c r="AP3825" s="87"/>
      <c r="AQ3825" s="87" t="s">
        <v>18015</v>
      </c>
      <c r="AR3825" s="87"/>
      <c r="AS3825" s="87"/>
      <c r="AT3825" s="87"/>
      <c r="AU3825" s="87"/>
      <c r="AV3825" s="92" t="str">
        <f>HYPERLINK("https://pbs.twimg.com/media/F0NEG7ZXsAAGePw.jpg")</f>
        <v>https://pbs.twimg.com/media/F0NEG7ZXsAAGePw.jpg</v>
      </c>
      <c r="AW3825" s="93" t="s">
        <v>21935</v>
      </c>
      <c r="AX3825" s="93" t="s">
        <v>21935</v>
      </c>
      <c r="AY3825" s="87"/>
      <c r="AZ3825" s="93" t="s">
        <v>22668</v>
      </c>
      <c r="BA3825" s="93" t="s">
        <v>22668</v>
      </c>
      <c r="BB3825" s="93" t="s">
        <v>22668</v>
      </c>
      <c r="BC3825" s="93" t="s">
        <v>21935</v>
      </c>
      <c r="BD3825" s="93" t="s">
        <v>23522</v>
      </c>
      <c r="BE3825" s="87"/>
      <c r="BF3825" s="87"/>
      <c r="BG3825" s="87"/>
      <c r="BH3825" s="87"/>
      <c r="BI3825" s="87"/>
    </row>
    <row r="3826" spans="1:61" x14ac:dyDescent="0.25">
      <c r="A3826" s="63" t="s">
        <v>1479</v>
      </c>
      <c r="B3826" s="63" t="s">
        <v>1479</v>
      </c>
      <c r="C3826" s="64"/>
      <c r="D3826" s="65"/>
      <c r="E3826" s="66"/>
      <c r="F3826" s="67"/>
      <c r="G3826" s="64"/>
      <c r="H3826" s="68"/>
      <c r="I3826" s="69"/>
      <c r="J3826" s="69"/>
      <c r="K3826" s="32"/>
      <c r="L3826" s="76">
        <v>3826</v>
      </c>
      <c r="M3826" s="76"/>
      <c r="N3826" s="71"/>
      <c r="O3826" s="87" t="s">
        <v>179</v>
      </c>
      <c r="P3826" s="90">
        <v>45131.548761574071</v>
      </c>
      <c r="Q3826" s="87" t="s">
        <v>5480</v>
      </c>
      <c r="R3826" s="87">
        <v>0</v>
      </c>
      <c r="S3826" s="87">
        <v>0</v>
      </c>
      <c r="T3826" s="87">
        <v>0</v>
      </c>
      <c r="U3826" s="87">
        <v>0</v>
      </c>
      <c r="V3826" s="87">
        <v>4</v>
      </c>
      <c r="W3826" s="93" t="s">
        <v>8091</v>
      </c>
      <c r="X3826" s="87"/>
      <c r="Y3826" s="87"/>
      <c r="Z3826" s="87"/>
      <c r="AA3826" s="87"/>
      <c r="AB3826" s="87"/>
      <c r="AC3826" s="93" t="s">
        <v>11457</v>
      </c>
      <c r="AD3826" s="87" t="s">
        <v>11519</v>
      </c>
      <c r="AE3826" s="92" t="str">
        <f>HYPERLINK("https://twitter.com/criacaodesites9/status/1683464605006217217")</f>
        <v>https://twitter.com/criacaodesites9/status/1683464605006217217</v>
      </c>
      <c r="AF3826" s="90">
        <v>45131.548761574071</v>
      </c>
      <c r="AG3826" s="99">
        <v>45131</v>
      </c>
      <c r="AH3826" s="93" t="s">
        <v>14901</v>
      </c>
      <c r="AI3826" s="87"/>
      <c r="AJ3826" s="87"/>
      <c r="AK3826" s="87"/>
      <c r="AL3826" s="87"/>
      <c r="AM3826" s="87"/>
      <c r="AN3826" s="87"/>
      <c r="AO3826" s="87"/>
      <c r="AP3826" s="87"/>
      <c r="AQ3826" s="87"/>
      <c r="AR3826" s="87"/>
      <c r="AS3826" s="87"/>
      <c r="AT3826" s="87"/>
      <c r="AU3826" s="87"/>
      <c r="AV3826" s="92" t="str">
        <f>HYPERLINK("https://pbs.twimg.com/profile_images/1609889757487570944/m2t8LPlq_normal.jpg")</f>
        <v>https://pbs.twimg.com/profile_images/1609889757487570944/m2t8LPlq_normal.jpg</v>
      </c>
      <c r="AW3826" s="93" t="s">
        <v>21936</v>
      </c>
      <c r="AX3826" s="93" t="s">
        <v>21936</v>
      </c>
      <c r="AY3826" s="87"/>
      <c r="AZ3826" s="93" t="s">
        <v>22668</v>
      </c>
      <c r="BA3826" s="93" t="s">
        <v>22668</v>
      </c>
      <c r="BB3826" s="93" t="s">
        <v>22668</v>
      </c>
      <c r="BC3826" s="93" t="s">
        <v>21936</v>
      </c>
      <c r="BD3826" s="93" t="s">
        <v>23523</v>
      </c>
      <c r="BE3826" s="87"/>
      <c r="BF3826" s="87"/>
      <c r="BG3826" s="87"/>
      <c r="BH3826" s="87"/>
      <c r="BI3826" s="87"/>
    </row>
    <row r="3827" spans="1:61" x14ac:dyDescent="0.25">
      <c r="A3827" s="63" t="s">
        <v>1480</v>
      </c>
      <c r="B3827" s="63" t="s">
        <v>1480</v>
      </c>
      <c r="C3827" s="64"/>
      <c r="D3827" s="65"/>
      <c r="E3827" s="66"/>
      <c r="F3827" s="67"/>
      <c r="G3827" s="64"/>
      <c r="H3827" s="68"/>
      <c r="I3827" s="69"/>
      <c r="J3827" s="69"/>
      <c r="K3827" s="32"/>
      <c r="L3827" s="76">
        <v>3827</v>
      </c>
      <c r="M3827" s="76"/>
      <c r="N3827" s="71"/>
      <c r="O3827" s="87" t="s">
        <v>179</v>
      </c>
      <c r="P3827" s="90">
        <v>45125.610185185185</v>
      </c>
      <c r="Q3827" s="87" t="s">
        <v>5481</v>
      </c>
      <c r="R3827" s="87">
        <v>0</v>
      </c>
      <c r="S3827" s="87">
        <v>0</v>
      </c>
      <c r="T3827" s="87">
        <v>0</v>
      </c>
      <c r="U3827" s="87">
        <v>0</v>
      </c>
      <c r="V3827" s="87">
        <v>19</v>
      </c>
      <c r="W3827" s="93" t="s">
        <v>5897</v>
      </c>
      <c r="X3827" s="87"/>
      <c r="Y3827" s="87"/>
      <c r="Z3827" s="87"/>
      <c r="AA3827" s="87"/>
      <c r="AB3827" s="87"/>
      <c r="AC3827" s="93" t="s">
        <v>11458</v>
      </c>
      <c r="AD3827" s="87" t="s">
        <v>11519</v>
      </c>
      <c r="AE3827" s="92" t="str">
        <f>HYPERLINK("https://twitter.com/felixjrsilvaco1/status/1681312537902727174")</f>
        <v>https://twitter.com/felixjrsilvaco1/status/1681312537902727174</v>
      </c>
      <c r="AF3827" s="90">
        <v>45125.610185185185</v>
      </c>
      <c r="AG3827" s="99">
        <v>45125</v>
      </c>
      <c r="AH3827" s="93" t="s">
        <v>14902</v>
      </c>
      <c r="AI3827" s="87"/>
      <c r="AJ3827" s="87"/>
      <c r="AK3827" s="87"/>
      <c r="AL3827" s="87"/>
      <c r="AM3827" s="87"/>
      <c r="AN3827" s="87"/>
      <c r="AO3827" s="87"/>
      <c r="AP3827" s="87"/>
      <c r="AQ3827" s="87"/>
      <c r="AR3827" s="87"/>
      <c r="AS3827" s="87"/>
      <c r="AT3827" s="87"/>
      <c r="AU3827" s="87"/>
      <c r="AV3827" s="92" t="str">
        <f>HYPERLINK("https://pbs.twimg.com/profile_images/1685299697764753408/QgtdrUyo_normal.jpg")</f>
        <v>https://pbs.twimg.com/profile_images/1685299697764753408/QgtdrUyo_normal.jpg</v>
      </c>
      <c r="AW3827" s="93" t="s">
        <v>21937</v>
      </c>
      <c r="AX3827" s="93" t="s">
        <v>21937</v>
      </c>
      <c r="AY3827" s="87"/>
      <c r="AZ3827" s="93" t="s">
        <v>22668</v>
      </c>
      <c r="BA3827" s="93" t="s">
        <v>22668</v>
      </c>
      <c r="BB3827" s="93" t="s">
        <v>22668</v>
      </c>
      <c r="BC3827" s="93" t="s">
        <v>21937</v>
      </c>
      <c r="BD3827" s="93" t="s">
        <v>23524</v>
      </c>
      <c r="BE3827" s="87"/>
      <c r="BF3827" s="87"/>
      <c r="BG3827" s="87"/>
      <c r="BH3827" s="87"/>
      <c r="BI3827" s="87"/>
    </row>
    <row r="3828" spans="1:61" x14ac:dyDescent="0.25">
      <c r="A3828" s="63" t="s">
        <v>1481</v>
      </c>
      <c r="B3828" s="63" t="s">
        <v>1481</v>
      </c>
      <c r="C3828" s="64"/>
      <c r="D3828" s="65"/>
      <c r="E3828" s="66"/>
      <c r="F3828" s="67"/>
      <c r="G3828" s="64"/>
      <c r="H3828" s="68"/>
      <c r="I3828" s="69"/>
      <c r="J3828" s="69"/>
      <c r="K3828" s="32"/>
      <c r="L3828" s="76">
        <v>3828</v>
      </c>
      <c r="M3828" s="76"/>
      <c r="N3828" s="71"/>
      <c r="O3828" s="87" t="s">
        <v>179</v>
      </c>
      <c r="P3828" s="90">
        <v>45140.521331018521</v>
      </c>
      <c r="Q3828" s="87" t="s">
        <v>5482</v>
      </c>
      <c r="R3828" s="87">
        <v>0</v>
      </c>
      <c r="S3828" s="87">
        <v>1</v>
      </c>
      <c r="T3828" s="87">
        <v>0</v>
      </c>
      <c r="U3828" s="87">
        <v>0</v>
      </c>
      <c r="V3828" s="87">
        <v>42</v>
      </c>
      <c r="W3828" s="93" t="s">
        <v>8092</v>
      </c>
      <c r="X3828" s="87"/>
      <c r="Y3828" s="87"/>
      <c r="Z3828" s="87"/>
      <c r="AA3828" s="87" t="s">
        <v>11204</v>
      </c>
      <c r="AB3828" s="87" t="s">
        <v>11448</v>
      </c>
      <c r="AC3828" s="93" t="s">
        <v>11458</v>
      </c>
      <c r="AD3828" s="87" t="s">
        <v>11519</v>
      </c>
      <c r="AE3828" s="92" t="str">
        <f>HYPERLINK("https://twitter.com/n3coworking/status/1686716153937252352")</f>
        <v>https://twitter.com/n3coworking/status/1686716153937252352</v>
      </c>
      <c r="AF3828" s="90">
        <v>45140.521331018521</v>
      </c>
      <c r="AG3828" s="99">
        <v>45140</v>
      </c>
      <c r="AH3828" s="93" t="s">
        <v>11817</v>
      </c>
      <c r="AI3828" s="87" t="b">
        <v>0</v>
      </c>
      <c r="AJ3828" s="87"/>
      <c r="AK3828" s="87"/>
      <c r="AL3828" s="87"/>
      <c r="AM3828" s="87"/>
      <c r="AN3828" s="87"/>
      <c r="AO3828" s="87"/>
      <c r="AP3828" s="87"/>
      <c r="AQ3828" s="87" t="s">
        <v>18016</v>
      </c>
      <c r="AR3828" s="87"/>
      <c r="AS3828" s="87"/>
      <c r="AT3828" s="87"/>
      <c r="AU3828" s="87"/>
      <c r="AV3828" s="92" t="str">
        <f>HYPERLINK("https://pbs.twimg.com/media/F2hrZn1XcAA06J5.jpg")</f>
        <v>https://pbs.twimg.com/media/F2hrZn1XcAA06J5.jpg</v>
      </c>
      <c r="AW3828" s="93" t="s">
        <v>21938</v>
      </c>
      <c r="AX3828" s="93" t="s">
        <v>21938</v>
      </c>
      <c r="AY3828" s="87"/>
      <c r="AZ3828" s="93" t="s">
        <v>22668</v>
      </c>
      <c r="BA3828" s="93" t="s">
        <v>22668</v>
      </c>
      <c r="BB3828" s="93" t="s">
        <v>22668</v>
      </c>
      <c r="BC3828" s="93" t="s">
        <v>21938</v>
      </c>
      <c r="BD3828" s="93" t="s">
        <v>23525</v>
      </c>
      <c r="BE3828" s="87"/>
      <c r="BF3828" s="87"/>
      <c r="BG3828" s="87"/>
      <c r="BH3828" s="87"/>
      <c r="BI3828" s="87"/>
    </row>
    <row r="3829" spans="1:61" x14ac:dyDescent="0.25">
      <c r="A3829" s="63" t="s">
        <v>1481</v>
      </c>
      <c r="B3829" s="63" t="s">
        <v>1481</v>
      </c>
      <c r="C3829" s="64"/>
      <c r="D3829" s="65"/>
      <c r="E3829" s="66"/>
      <c r="F3829" s="67"/>
      <c r="G3829" s="64"/>
      <c r="H3829" s="68"/>
      <c r="I3829" s="69"/>
      <c r="J3829" s="69"/>
      <c r="K3829" s="32"/>
      <c r="L3829" s="76">
        <v>3829</v>
      </c>
      <c r="M3829" s="76"/>
      <c r="N3829" s="71"/>
      <c r="O3829" s="87" t="s">
        <v>179</v>
      </c>
      <c r="P3829" s="90">
        <v>45156.53361111111</v>
      </c>
      <c r="Q3829" s="87" t="s">
        <v>5483</v>
      </c>
      <c r="R3829" s="87">
        <v>0</v>
      </c>
      <c r="S3829" s="87">
        <v>1</v>
      </c>
      <c r="T3829" s="87">
        <v>0</v>
      </c>
      <c r="U3829" s="87">
        <v>0</v>
      </c>
      <c r="V3829" s="87">
        <v>72</v>
      </c>
      <c r="W3829" s="93" t="s">
        <v>8093</v>
      </c>
      <c r="X3829" s="87"/>
      <c r="Y3829" s="87"/>
      <c r="Z3829" s="87"/>
      <c r="AA3829" s="87" t="s">
        <v>11205</v>
      </c>
      <c r="AB3829" s="87" t="s">
        <v>11447</v>
      </c>
      <c r="AC3829" s="93" t="s">
        <v>11458</v>
      </c>
      <c r="AD3829" s="87" t="s">
        <v>11519</v>
      </c>
      <c r="AE3829" s="92" t="str">
        <f>HYPERLINK("https://twitter.com/n3coworking/status/1692518810815754686")</f>
        <v>https://twitter.com/n3coworking/status/1692518810815754686</v>
      </c>
      <c r="AF3829" s="90">
        <v>45156.53361111111</v>
      </c>
      <c r="AG3829" s="99">
        <v>45156</v>
      </c>
      <c r="AH3829" s="93" t="s">
        <v>14903</v>
      </c>
      <c r="AI3829" s="87" t="b">
        <v>0</v>
      </c>
      <c r="AJ3829" s="87" t="s">
        <v>15196</v>
      </c>
      <c r="AK3829" s="87" t="s">
        <v>15234</v>
      </c>
      <c r="AL3829" s="87" t="s">
        <v>15237</v>
      </c>
      <c r="AM3829" s="87" t="s">
        <v>15268</v>
      </c>
      <c r="AN3829" s="87" t="s">
        <v>15334</v>
      </c>
      <c r="AO3829" s="87" t="s">
        <v>15400</v>
      </c>
      <c r="AP3829" s="87" t="s">
        <v>15438</v>
      </c>
      <c r="AQ3829" s="87" t="s">
        <v>18017</v>
      </c>
      <c r="AR3829" s="87">
        <v>5333</v>
      </c>
      <c r="AS3829" s="87"/>
      <c r="AT3829" s="87"/>
      <c r="AU3829" s="87"/>
      <c r="AV3829" s="92" t="str">
        <f>HYPERLINK("https://pbs.twimg.com/ext_tw_video_thumb/1692518783598854144/pu/img/aRHj52z8VzuqeNQK.jpg")</f>
        <v>https://pbs.twimg.com/ext_tw_video_thumb/1692518783598854144/pu/img/aRHj52z8VzuqeNQK.jpg</v>
      </c>
      <c r="AW3829" s="93" t="s">
        <v>21939</v>
      </c>
      <c r="AX3829" s="93" t="s">
        <v>21939</v>
      </c>
      <c r="AY3829" s="87"/>
      <c r="AZ3829" s="93" t="s">
        <v>22668</v>
      </c>
      <c r="BA3829" s="93" t="s">
        <v>22668</v>
      </c>
      <c r="BB3829" s="93" t="s">
        <v>22668</v>
      </c>
      <c r="BC3829" s="93" t="s">
        <v>21939</v>
      </c>
      <c r="BD3829" s="93" t="s">
        <v>23525</v>
      </c>
      <c r="BE3829" s="87"/>
      <c r="BF3829" s="87"/>
      <c r="BG3829" s="87"/>
      <c r="BH3829" s="87"/>
      <c r="BI3829" s="87"/>
    </row>
    <row r="3830" spans="1:61" x14ac:dyDescent="0.25">
      <c r="A3830" s="63" t="s">
        <v>1482</v>
      </c>
      <c r="B3830" s="63" t="s">
        <v>1482</v>
      </c>
      <c r="C3830" s="64"/>
      <c r="D3830" s="65"/>
      <c r="E3830" s="66"/>
      <c r="F3830" s="67"/>
      <c r="G3830" s="64"/>
      <c r="H3830" s="68"/>
      <c r="I3830" s="69"/>
      <c r="J3830" s="69"/>
      <c r="K3830" s="32"/>
      <c r="L3830" s="76">
        <v>3830</v>
      </c>
      <c r="M3830" s="76"/>
      <c r="N3830" s="71"/>
      <c r="O3830" s="87" t="s">
        <v>179</v>
      </c>
      <c r="P3830" s="90">
        <v>45168.553495370368</v>
      </c>
      <c r="Q3830" s="87" t="s">
        <v>5484</v>
      </c>
      <c r="R3830" s="87">
        <v>0</v>
      </c>
      <c r="S3830" s="87">
        <v>0</v>
      </c>
      <c r="T3830" s="87">
        <v>0</v>
      </c>
      <c r="U3830" s="87">
        <v>0</v>
      </c>
      <c r="V3830" s="87">
        <v>7</v>
      </c>
      <c r="W3830" s="93" t="s">
        <v>8094</v>
      </c>
      <c r="X3830" s="87"/>
      <c r="Y3830" s="87"/>
      <c r="Z3830" s="87"/>
      <c r="AA3830" s="87" t="s">
        <v>11206</v>
      </c>
      <c r="AB3830" s="87" t="s">
        <v>11448</v>
      </c>
      <c r="AC3830" s="93" t="s">
        <v>11458</v>
      </c>
      <c r="AD3830" s="87" t="s">
        <v>11519</v>
      </c>
      <c r="AE3830" s="92" t="str">
        <f>HYPERLINK("https://twitter.com/erikpenna/status/1696874671654736217")</f>
        <v>https://twitter.com/erikpenna/status/1696874671654736217</v>
      </c>
      <c r="AF3830" s="90">
        <v>45168.553495370368</v>
      </c>
      <c r="AG3830" s="99">
        <v>45168</v>
      </c>
      <c r="AH3830" s="93" t="s">
        <v>14904</v>
      </c>
      <c r="AI3830" s="87" t="b">
        <v>0</v>
      </c>
      <c r="AJ3830" s="87"/>
      <c r="AK3830" s="87"/>
      <c r="AL3830" s="87"/>
      <c r="AM3830" s="87"/>
      <c r="AN3830" s="87"/>
      <c r="AO3830" s="87"/>
      <c r="AP3830" s="87"/>
      <c r="AQ3830" s="87" t="s">
        <v>18018</v>
      </c>
      <c r="AR3830" s="87"/>
      <c r="AS3830" s="87"/>
      <c r="AT3830" s="87"/>
      <c r="AU3830" s="87"/>
      <c r="AV3830" s="92" t="str">
        <f>HYPERLINK("https://pbs.twimg.com/media/F4yChLZWoAArpe0.jpg")</f>
        <v>https://pbs.twimg.com/media/F4yChLZWoAArpe0.jpg</v>
      </c>
      <c r="AW3830" s="93" t="s">
        <v>21940</v>
      </c>
      <c r="AX3830" s="93" t="s">
        <v>21940</v>
      </c>
      <c r="AY3830" s="87"/>
      <c r="AZ3830" s="93" t="s">
        <v>22668</v>
      </c>
      <c r="BA3830" s="93" t="s">
        <v>22668</v>
      </c>
      <c r="BB3830" s="93" t="s">
        <v>22668</v>
      </c>
      <c r="BC3830" s="93" t="s">
        <v>21940</v>
      </c>
      <c r="BD3830" s="87">
        <v>2340159666</v>
      </c>
      <c r="BE3830" s="87"/>
      <c r="BF3830" s="87"/>
      <c r="BG3830" s="87"/>
      <c r="BH3830" s="87"/>
      <c r="BI3830" s="87"/>
    </row>
    <row r="3831" spans="1:61" x14ac:dyDescent="0.25">
      <c r="A3831" s="63" t="s">
        <v>1482</v>
      </c>
      <c r="B3831" s="63" t="s">
        <v>1482</v>
      </c>
      <c r="C3831" s="64"/>
      <c r="D3831" s="65"/>
      <c r="E3831" s="66"/>
      <c r="F3831" s="67"/>
      <c r="G3831" s="64"/>
      <c r="H3831" s="68"/>
      <c r="I3831" s="69"/>
      <c r="J3831" s="69"/>
      <c r="K3831" s="32"/>
      <c r="L3831" s="76">
        <v>3831</v>
      </c>
      <c r="M3831" s="76"/>
      <c r="N3831" s="71"/>
      <c r="O3831" s="87" t="s">
        <v>179</v>
      </c>
      <c r="P3831" s="90">
        <v>45171.610023148147</v>
      </c>
      <c r="Q3831" s="87" t="s">
        <v>5485</v>
      </c>
      <c r="R3831" s="87">
        <v>0</v>
      </c>
      <c r="S3831" s="87">
        <v>0</v>
      </c>
      <c r="T3831" s="87">
        <v>0</v>
      </c>
      <c r="U3831" s="87">
        <v>0</v>
      </c>
      <c r="V3831" s="87">
        <v>5</v>
      </c>
      <c r="W3831" s="93" t="s">
        <v>8095</v>
      </c>
      <c r="X3831" s="92" t="str">
        <f>HYPERLINK("http://www.erikpenna.com.br")</f>
        <v>http://www.erikpenna.com.br</v>
      </c>
      <c r="Y3831" s="87" t="s">
        <v>8373</v>
      </c>
      <c r="Z3831" s="87"/>
      <c r="AA3831" s="87" t="s">
        <v>11207</v>
      </c>
      <c r="AB3831" s="87" t="s">
        <v>11448</v>
      </c>
      <c r="AC3831" s="93" t="s">
        <v>11458</v>
      </c>
      <c r="AD3831" s="87" t="s">
        <v>11523</v>
      </c>
      <c r="AE3831" s="92" t="str">
        <f>HYPERLINK("https://twitter.com/erikpenna/status/1697982317480874204")</f>
        <v>https://twitter.com/erikpenna/status/1697982317480874204</v>
      </c>
      <c r="AF3831" s="90">
        <v>45171.610023148147</v>
      </c>
      <c r="AG3831" s="99">
        <v>45171</v>
      </c>
      <c r="AH3831" s="93" t="s">
        <v>14905</v>
      </c>
      <c r="AI3831" s="87" t="b">
        <v>0</v>
      </c>
      <c r="AJ3831" s="87"/>
      <c r="AK3831" s="87"/>
      <c r="AL3831" s="87"/>
      <c r="AM3831" s="87"/>
      <c r="AN3831" s="87"/>
      <c r="AO3831" s="87"/>
      <c r="AP3831" s="87"/>
      <c r="AQ3831" s="87" t="s">
        <v>18019</v>
      </c>
      <c r="AR3831" s="87"/>
      <c r="AS3831" s="87"/>
      <c r="AT3831" s="87"/>
      <c r="AU3831" s="87"/>
      <c r="AV3831" s="92" t="str">
        <f>HYPERLINK("https://pbs.twimg.com/media/F5Bx6oKWwAAbD_h.jpg")</f>
        <v>https://pbs.twimg.com/media/F5Bx6oKWwAAbD_h.jpg</v>
      </c>
      <c r="AW3831" s="93" t="s">
        <v>21941</v>
      </c>
      <c r="AX3831" s="93" t="s">
        <v>21941</v>
      </c>
      <c r="AY3831" s="87"/>
      <c r="AZ3831" s="93" t="s">
        <v>22668</v>
      </c>
      <c r="BA3831" s="93" t="s">
        <v>22668</v>
      </c>
      <c r="BB3831" s="93" t="s">
        <v>22668</v>
      </c>
      <c r="BC3831" s="93" t="s">
        <v>21941</v>
      </c>
      <c r="BD3831" s="87">
        <v>2340159666</v>
      </c>
      <c r="BE3831" s="87"/>
      <c r="BF3831" s="87"/>
      <c r="BG3831" s="87"/>
      <c r="BH3831" s="87"/>
      <c r="BI3831" s="87"/>
    </row>
    <row r="3832" spans="1:61" x14ac:dyDescent="0.25">
      <c r="A3832" s="63" t="s">
        <v>1482</v>
      </c>
      <c r="B3832" s="63" t="s">
        <v>1482</v>
      </c>
      <c r="C3832" s="64"/>
      <c r="D3832" s="65"/>
      <c r="E3832" s="66"/>
      <c r="F3832" s="67"/>
      <c r="G3832" s="64"/>
      <c r="H3832" s="68"/>
      <c r="I3832" s="69"/>
      <c r="J3832" s="69"/>
      <c r="K3832" s="32"/>
      <c r="L3832" s="76">
        <v>3832</v>
      </c>
      <c r="M3832" s="76"/>
      <c r="N3832" s="71"/>
      <c r="O3832" s="87" t="s">
        <v>179</v>
      </c>
      <c r="P3832" s="90">
        <v>45135.500196759262</v>
      </c>
      <c r="Q3832" s="87" t="s">
        <v>5486</v>
      </c>
      <c r="R3832" s="87">
        <v>0</v>
      </c>
      <c r="S3832" s="87">
        <v>1</v>
      </c>
      <c r="T3832" s="87">
        <v>0</v>
      </c>
      <c r="U3832" s="87">
        <v>0</v>
      </c>
      <c r="V3832" s="87">
        <v>20</v>
      </c>
      <c r="W3832" s="93" t="s">
        <v>8096</v>
      </c>
      <c r="X3832" s="87"/>
      <c r="Y3832" s="87"/>
      <c r="Z3832" s="87"/>
      <c r="AA3832" s="87" t="s">
        <v>11208</v>
      </c>
      <c r="AB3832" s="87" t="s">
        <v>11447</v>
      </c>
      <c r="AC3832" s="93" t="s">
        <v>11458</v>
      </c>
      <c r="AD3832" s="87" t="s">
        <v>11519</v>
      </c>
      <c r="AE3832" s="92" t="str">
        <f>HYPERLINK("https://twitter.com/erikpenna/status/1684896555172556801")</f>
        <v>https://twitter.com/erikpenna/status/1684896555172556801</v>
      </c>
      <c r="AF3832" s="90">
        <v>45135.500196759262</v>
      </c>
      <c r="AG3832" s="99">
        <v>45135</v>
      </c>
      <c r="AH3832" s="93" t="s">
        <v>14906</v>
      </c>
      <c r="AI3832" s="87" t="b">
        <v>0</v>
      </c>
      <c r="AJ3832" s="87"/>
      <c r="AK3832" s="87"/>
      <c r="AL3832" s="87"/>
      <c r="AM3832" s="87"/>
      <c r="AN3832" s="87"/>
      <c r="AO3832" s="87"/>
      <c r="AP3832" s="87"/>
      <c r="AQ3832" s="87" t="s">
        <v>18020</v>
      </c>
      <c r="AR3832" s="87">
        <v>31848</v>
      </c>
      <c r="AS3832" s="87"/>
      <c r="AT3832" s="87"/>
      <c r="AU3832" s="87"/>
      <c r="AV3832" s="92" t="str">
        <f>HYPERLINK("https://pbs.twimg.com/ext_tw_video_thumb/1684896463006900224/pu/img/gdIZ7J4s06qvDlQ8.jpg")</f>
        <v>https://pbs.twimg.com/ext_tw_video_thumb/1684896463006900224/pu/img/gdIZ7J4s06qvDlQ8.jpg</v>
      </c>
      <c r="AW3832" s="93" t="s">
        <v>21942</v>
      </c>
      <c r="AX3832" s="93" t="s">
        <v>21942</v>
      </c>
      <c r="AY3832" s="87"/>
      <c r="AZ3832" s="93" t="s">
        <v>22668</v>
      </c>
      <c r="BA3832" s="93" t="s">
        <v>22668</v>
      </c>
      <c r="BB3832" s="93" t="s">
        <v>22668</v>
      </c>
      <c r="BC3832" s="93" t="s">
        <v>21942</v>
      </c>
      <c r="BD3832" s="87">
        <v>2340159666</v>
      </c>
      <c r="BE3832" s="87"/>
      <c r="BF3832" s="87"/>
      <c r="BG3832" s="87"/>
      <c r="BH3832" s="87"/>
      <c r="BI3832" s="87"/>
    </row>
    <row r="3833" spans="1:61" x14ac:dyDescent="0.25">
      <c r="A3833" s="63" t="s">
        <v>1483</v>
      </c>
      <c r="B3833" s="63" t="s">
        <v>1483</v>
      </c>
      <c r="C3833" s="64"/>
      <c r="D3833" s="65"/>
      <c r="E3833" s="66"/>
      <c r="F3833" s="67"/>
      <c r="G3833" s="64"/>
      <c r="H3833" s="68"/>
      <c r="I3833" s="69"/>
      <c r="J3833" s="69"/>
      <c r="K3833" s="32"/>
      <c r="L3833" s="76">
        <v>3833</v>
      </c>
      <c r="M3833" s="76"/>
      <c r="N3833" s="71"/>
      <c r="O3833" s="87" t="s">
        <v>179</v>
      </c>
      <c r="P3833" s="90">
        <v>45156.695150462961</v>
      </c>
      <c r="Q3833" s="87" t="s">
        <v>5487</v>
      </c>
      <c r="R3833" s="87">
        <v>0</v>
      </c>
      <c r="S3833" s="87">
        <v>0</v>
      </c>
      <c r="T3833" s="87">
        <v>0</v>
      </c>
      <c r="U3833" s="87">
        <v>0</v>
      </c>
      <c r="V3833" s="87">
        <v>128</v>
      </c>
      <c r="W3833" s="93" t="s">
        <v>8097</v>
      </c>
      <c r="X3833" s="87"/>
      <c r="Y3833" s="87"/>
      <c r="Z3833" s="87"/>
      <c r="AA3833" s="87" t="s">
        <v>11209</v>
      </c>
      <c r="AB3833" s="87" t="s">
        <v>11447</v>
      </c>
      <c r="AC3833" s="93" t="s">
        <v>11459</v>
      </c>
      <c r="AD3833" s="87" t="s">
        <v>11519</v>
      </c>
      <c r="AE3833" s="92" t="str">
        <f>HYPERLINK("https://twitter.com/evovendsho/status/1692577349781406094")</f>
        <v>https://twitter.com/evovendsho/status/1692577349781406094</v>
      </c>
      <c r="AF3833" s="90">
        <v>45156.695150462961</v>
      </c>
      <c r="AG3833" s="99">
        <v>45156</v>
      </c>
      <c r="AH3833" s="93" t="s">
        <v>14907</v>
      </c>
      <c r="AI3833" s="87" t="b">
        <v>0</v>
      </c>
      <c r="AJ3833" s="87" t="s">
        <v>15227</v>
      </c>
      <c r="AK3833" s="87" t="s">
        <v>15234</v>
      </c>
      <c r="AL3833" s="87" t="s">
        <v>15237</v>
      </c>
      <c r="AM3833" s="87" t="s">
        <v>15298</v>
      </c>
      <c r="AN3833" s="87" t="s">
        <v>15365</v>
      </c>
      <c r="AO3833" s="87" t="s">
        <v>15430</v>
      </c>
      <c r="AP3833" s="87" t="s">
        <v>15438</v>
      </c>
      <c r="AQ3833" s="87" t="s">
        <v>18021</v>
      </c>
      <c r="AR3833" s="87">
        <v>26297</v>
      </c>
      <c r="AS3833" s="87"/>
      <c r="AT3833" s="87"/>
      <c r="AU3833" s="87"/>
      <c r="AV3833" s="92" t="str">
        <f>HYPERLINK("https://pbs.twimg.com/ext_tw_video_thumb/1692577269447901184/pu/img/2-VXQOzsmyLYAryB.jpg")</f>
        <v>https://pbs.twimg.com/ext_tw_video_thumb/1692577269447901184/pu/img/2-VXQOzsmyLYAryB.jpg</v>
      </c>
      <c r="AW3833" s="93" t="s">
        <v>21943</v>
      </c>
      <c r="AX3833" s="93" t="s">
        <v>21943</v>
      </c>
      <c r="AY3833" s="87"/>
      <c r="AZ3833" s="93" t="s">
        <v>22668</v>
      </c>
      <c r="BA3833" s="93" t="s">
        <v>22668</v>
      </c>
      <c r="BB3833" s="93" t="s">
        <v>22668</v>
      </c>
      <c r="BC3833" s="93" t="s">
        <v>21943</v>
      </c>
      <c r="BD3833" s="93" t="s">
        <v>23526</v>
      </c>
      <c r="BE3833" s="87"/>
      <c r="BF3833" s="87"/>
      <c r="BG3833" s="87"/>
      <c r="BH3833" s="87"/>
      <c r="BI3833" s="87"/>
    </row>
    <row r="3834" spans="1:61" x14ac:dyDescent="0.25">
      <c r="A3834" s="63" t="s">
        <v>1483</v>
      </c>
      <c r="B3834" s="63" t="s">
        <v>1483</v>
      </c>
      <c r="C3834" s="64"/>
      <c r="D3834" s="65"/>
      <c r="E3834" s="66"/>
      <c r="F3834" s="67"/>
      <c r="G3834" s="64"/>
      <c r="H3834" s="68"/>
      <c r="I3834" s="69"/>
      <c r="J3834" s="69"/>
      <c r="K3834" s="32"/>
      <c r="L3834" s="76">
        <v>3834</v>
      </c>
      <c r="M3834" s="76"/>
      <c r="N3834" s="71"/>
      <c r="O3834" s="87" t="s">
        <v>179</v>
      </c>
      <c r="P3834" s="90">
        <v>45159.665034722224</v>
      </c>
      <c r="Q3834" s="87" t="s">
        <v>5488</v>
      </c>
      <c r="R3834" s="87">
        <v>0</v>
      </c>
      <c r="S3834" s="87">
        <v>0</v>
      </c>
      <c r="T3834" s="87">
        <v>0</v>
      </c>
      <c r="U3834" s="87">
        <v>0</v>
      </c>
      <c r="V3834" s="87">
        <v>74</v>
      </c>
      <c r="W3834" s="93" t="s">
        <v>8098</v>
      </c>
      <c r="X3834" s="92" t="str">
        <f>HYPERLINK("https://youtu.be/ZDQQEiR9HFE")</f>
        <v>https://youtu.be/ZDQQEiR9HFE</v>
      </c>
      <c r="Y3834" s="87" t="s">
        <v>8372</v>
      </c>
      <c r="Z3834" s="87"/>
      <c r="AA3834" s="87" t="s">
        <v>11210</v>
      </c>
      <c r="AB3834" s="87" t="s">
        <v>11447</v>
      </c>
      <c r="AC3834" s="93" t="s">
        <v>11459</v>
      </c>
      <c r="AD3834" s="87" t="s">
        <v>11519</v>
      </c>
      <c r="AE3834" s="92" t="str">
        <f>HYPERLINK("https://twitter.com/evovendsho/status/1693653601829151005")</f>
        <v>https://twitter.com/evovendsho/status/1693653601829151005</v>
      </c>
      <c r="AF3834" s="90">
        <v>45159.665034722224</v>
      </c>
      <c r="AG3834" s="99">
        <v>45159</v>
      </c>
      <c r="AH3834" s="93" t="s">
        <v>14908</v>
      </c>
      <c r="AI3834" s="87" t="b">
        <v>0</v>
      </c>
      <c r="AJ3834" s="87" t="s">
        <v>15227</v>
      </c>
      <c r="AK3834" s="87" t="s">
        <v>15234</v>
      </c>
      <c r="AL3834" s="87" t="s">
        <v>15237</v>
      </c>
      <c r="AM3834" s="87" t="s">
        <v>15298</v>
      </c>
      <c r="AN3834" s="87" t="s">
        <v>15365</v>
      </c>
      <c r="AO3834" s="87" t="s">
        <v>15430</v>
      </c>
      <c r="AP3834" s="87" t="s">
        <v>15438</v>
      </c>
      <c r="AQ3834" s="87" t="s">
        <v>18022</v>
      </c>
      <c r="AR3834" s="87">
        <v>27400</v>
      </c>
      <c r="AS3834" s="87"/>
      <c r="AT3834" s="87"/>
      <c r="AU3834" s="87"/>
      <c r="AV3834" s="92" t="str">
        <f>HYPERLINK("https://pbs.twimg.com/ext_tw_video_thumb/1693653551262605313/pu/img/dENtvK_VQ_JrYugY.jpg")</f>
        <v>https://pbs.twimg.com/ext_tw_video_thumb/1693653551262605313/pu/img/dENtvK_VQ_JrYugY.jpg</v>
      </c>
      <c r="AW3834" s="93" t="s">
        <v>21944</v>
      </c>
      <c r="AX3834" s="93" t="s">
        <v>21944</v>
      </c>
      <c r="AY3834" s="87"/>
      <c r="AZ3834" s="93" t="s">
        <v>22668</v>
      </c>
      <c r="BA3834" s="93" t="s">
        <v>22668</v>
      </c>
      <c r="BB3834" s="93" t="s">
        <v>22668</v>
      </c>
      <c r="BC3834" s="93" t="s">
        <v>21944</v>
      </c>
      <c r="BD3834" s="93" t="s">
        <v>23526</v>
      </c>
      <c r="BE3834" s="87"/>
      <c r="BF3834" s="87"/>
      <c r="BG3834" s="87"/>
      <c r="BH3834" s="87"/>
      <c r="BI3834" s="87"/>
    </row>
    <row r="3835" spans="1:61" x14ac:dyDescent="0.25">
      <c r="A3835" s="63" t="s">
        <v>1484</v>
      </c>
      <c r="B3835" s="63" t="s">
        <v>1484</v>
      </c>
      <c r="C3835" s="64"/>
      <c r="D3835" s="65"/>
      <c r="E3835" s="66"/>
      <c r="F3835" s="67"/>
      <c r="G3835" s="64"/>
      <c r="H3835" s="68"/>
      <c r="I3835" s="69"/>
      <c r="J3835" s="69"/>
      <c r="K3835" s="32"/>
      <c r="L3835" s="76">
        <v>3835</v>
      </c>
      <c r="M3835" s="76"/>
      <c r="N3835" s="71"/>
      <c r="O3835" s="87" t="s">
        <v>179</v>
      </c>
      <c r="P3835" s="90">
        <v>45144.669050925928</v>
      </c>
      <c r="Q3835" s="87" t="s">
        <v>5489</v>
      </c>
      <c r="R3835" s="87">
        <v>0</v>
      </c>
      <c r="S3835" s="87">
        <v>0</v>
      </c>
      <c r="T3835" s="87">
        <v>0</v>
      </c>
      <c r="U3835" s="87">
        <v>0</v>
      </c>
      <c r="V3835" s="87">
        <v>21</v>
      </c>
      <c r="W3835" s="93" t="s">
        <v>8099</v>
      </c>
      <c r="X3835" s="87"/>
      <c r="Y3835" s="87"/>
      <c r="Z3835" s="87"/>
      <c r="AA3835" s="87"/>
      <c r="AB3835" s="87"/>
      <c r="AC3835" s="93" t="s">
        <v>11458</v>
      </c>
      <c r="AD3835" s="87" t="s">
        <v>11519</v>
      </c>
      <c r="AE3835" s="92" t="str">
        <f>HYPERLINK("https://twitter.com/feitosaafranio1/status/1688219238165516288")</f>
        <v>https://twitter.com/feitosaafranio1/status/1688219238165516288</v>
      </c>
      <c r="AF3835" s="90">
        <v>45144.669050925928</v>
      </c>
      <c r="AG3835" s="99">
        <v>45144</v>
      </c>
      <c r="AH3835" s="93" t="s">
        <v>14909</v>
      </c>
      <c r="AI3835" s="87"/>
      <c r="AJ3835" s="87" t="s">
        <v>15228</v>
      </c>
      <c r="AK3835" s="87" t="s">
        <v>15234</v>
      </c>
      <c r="AL3835" s="87" t="s">
        <v>15237</v>
      </c>
      <c r="AM3835" s="87" t="s">
        <v>15299</v>
      </c>
      <c r="AN3835" s="87" t="s">
        <v>15366</v>
      </c>
      <c r="AO3835" s="87" t="s">
        <v>15431</v>
      </c>
      <c r="AP3835" s="87" t="s">
        <v>15438</v>
      </c>
      <c r="AQ3835" s="87"/>
      <c r="AR3835" s="87"/>
      <c r="AS3835" s="87"/>
      <c r="AT3835" s="87"/>
      <c r="AU3835" s="87"/>
      <c r="AV3835" s="92" t="str">
        <f>HYPERLINK("https://pbs.twimg.com/profile_images/1266166030000427011/-jRXi6eR_normal.jpg")</f>
        <v>https://pbs.twimg.com/profile_images/1266166030000427011/-jRXi6eR_normal.jpg</v>
      </c>
      <c r="AW3835" s="93" t="s">
        <v>21945</v>
      </c>
      <c r="AX3835" s="93" t="s">
        <v>21945</v>
      </c>
      <c r="AY3835" s="87"/>
      <c r="AZ3835" s="93" t="s">
        <v>22668</v>
      </c>
      <c r="BA3835" s="93" t="s">
        <v>22668</v>
      </c>
      <c r="BB3835" s="93" t="s">
        <v>22668</v>
      </c>
      <c r="BC3835" s="93" t="s">
        <v>21945</v>
      </c>
      <c r="BD3835" s="93" t="s">
        <v>23527</v>
      </c>
      <c r="BE3835" s="87"/>
      <c r="BF3835" s="87"/>
      <c r="BG3835" s="87"/>
      <c r="BH3835" s="87"/>
      <c r="BI3835" s="87"/>
    </row>
    <row r="3836" spans="1:61" x14ac:dyDescent="0.25">
      <c r="A3836" s="63" t="s">
        <v>1485</v>
      </c>
      <c r="B3836" s="63" t="s">
        <v>1485</v>
      </c>
      <c r="C3836" s="64"/>
      <c r="D3836" s="65"/>
      <c r="E3836" s="66"/>
      <c r="F3836" s="67"/>
      <c r="G3836" s="64"/>
      <c r="H3836" s="68"/>
      <c r="I3836" s="69"/>
      <c r="J3836" s="69"/>
      <c r="K3836" s="32"/>
      <c r="L3836" s="76">
        <v>3836</v>
      </c>
      <c r="M3836" s="76"/>
      <c r="N3836" s="71"/>
      <c r="O3836" s="87" t="s">
        <v>179</v>
      </c>
      <c r="P3836" s="90">
        <v>45114.916678240741</v>
      </c>
      <c r="Q3836" s="87" t="s">
        <v>5490</v>
      </c>
      <c r="R3836" s="87">
        <v>1</v>
      </c>
      <c r="S3836" s="87">
        <v>1</v>
      </c>
      <c r="T3836" s="87">
        <v>0</v>
      </c>
      <c r="U3836" s="87">
        <v>0</v>
      </c>
      <c r="V3836" s="87">
        <v>9</v>
      </c>
      <c r="W3836" s="93" t="s">
        <v>5897</v>
      </c>
      <c r="X3836" s="92" t="str">
        <f>HYPERLINK("https://www.alagoasnanet.com.br/v3/juceal-divulga-rankings-de-abertura-e-baixa-empresarial-no-1o-semestre-de-2023/")</f>
        <v>https://www.alagoasnanet.com.br/v3/juceal-divulga-rankings-de-abertura-e-baixa-empresarial-no-1o-semestre-de-2023/</v>
      </c>
      <c r="Y3836" s="87" t="s">
        <v>8373</v>
      </c>
      <c r="Z3836" s="87"/>
      <c r="AA3836" s="87"/>
      <c r="AB3836" s="87"/>
      <c r="AC3836" s="93" t="s">
        <v>11457</v>
      </c>
      <c r="AD3836" s="87" t="s">
        <v>11519</v>
      </c>
      <c r="AE3836" s="92" t="str">
        <f>HYPERLINK("https://twitter.com/alnanet/status/1677437339419770880")</f>
        <v>https://twitter.com/alnanet/status/1677437339419770880</v>
      </c>
      <c r="AF3836" s="90">
        <v>45114.916678240741</v>
      </c>
      <c r="AG3836" s="99">
        <v>45114</v>
      </c>
      <c r="AH3836" s="93" t="s">
        <v>12143</v>
      </c>
      <c r="AI3836" s="87" t="b">
        <v>0</v>
      </c>
      <c r="AJ3836" s="87"/>
      <c r="AK3836" s="87"/>
      <c r="AL3836" s="87"/>
      <c r="AM3836" s="87"/>
      <c r="AN3836" s="87"/>
      <c r="AO3836" s="87"/>
      <c r="AP3836" s="87"/>
      <c r="AQ3836" s="87"/>
      <c r="AR3836" s="87"/>
      <c r="AS3836" s="87"/>
      <c r="AT3836" s="87"/>
      <c r="AU3836" s="87"/>
      <c r="AV3836" s="92" t="str">
        <f>HYPERLINK("https://pbs.twimg.com/profile_images/882492702318788608/4wf94PGZ_normal.jpg")</f>
        <v>https://pbs.twimg.com/profile_images/882492702318788608/4wf94PGZ_normal.jpg</v>
      </c>
      <c r="AW3836" s="93" t="s">
        <v>21946</v>
      </c>
      <c r="AX3836" s="93" t="s">
        <v>21946</v>
      </c>
      <c r="AY3836" s="87"/>
      <c r="AZ3836" s="93" t="s">
        <v>22668</v>
      </c>
      <c r="BA3836" s="93" t="s">
        <v>22668</v>
      </c>
      <c r="BB3836" s="93" t="s">
        <v>22668</v>
      </c>
      <c r="BC3836" s="93" t="s">
        <v>21946</v>
      </c>
      <c r="BD3836" s="87">
        <v>257625339</v>
      </c>
      <c r="BE3836" s="87"/>
      <c r="BF3836" s="87"/>
      <c r="BG3836" s="87"/>
      <c r="BH3836" s="87"/>
      <c r="BI3836" s="87"/>
    </row>
    <row r="3837" spans="1:61" x14ac:dyDescent="0.25">
      <c r="A3837" s="63" t="s">
        <v>1485</v>
      </c>
      <c r="B3837" s="63" t="s">
        <v>1485</v>
      </c>
      <c r="C3837" s="64"/>
      <c r="D3837" s="65"/>
      <c r="E3837" s="66"/>
      <c r="F3837" s="67"/>
      <c r="G3837" s="64"/>
      <c r="H3837" s="68"/>
      <c r="I3837" s="69"/>
      <c r="J3837" s="69"/>
      <c r="K3837" s="32"/>
      <c r="L3837" s="76">
        <v>3837</v>
      </c>
      <c r="M3837" s="76"/>
      <c r="N3837" s="71"/>
      <c r="O3837" s="87" t="s">
        <v>179</v>
      </c>
      <c r="P3837" s="90">
        <v>45167.833333333336</v>
      </c>
      <c r="Q3837" s="87" t="s">
        <v>5491</v>
      </c>
      <c r="R3837" s="87">
        <v>0</v>
      </c>
      <c r="S3837" s="87">
        <v>0</v>
      </c>
      <c r="T3837" s="87">
        <v>0</v>
      </c>
      <c r="U3837" s="87">
        <v>0</v>
      </c>
      <c r="V3837" s="87">
        <v>6</v>
      </c>
      <c r="W3837" s="93" t="s">
        <v>5897</v>
      </c>
      <c r="X3837" s="92" t="str">
        <f>HYPERLINK("https://www.alagoasnanet.com.br/v3/presidente-lula-diz-que-criara-ministerio-para-pequena-e-media-empresa/")</f>
        <v>https://www.alagoasnanet.com.br/v3/presidente-lula-diz-que-criara-ministerio-para-pequena-e-media-empresa/</v>
      </c>
      <c r="Y3837" s="87" t="s">
        <v>8373</v>
      </c>
      <c r="Z3837" s="87"/>
      <c r="AA3837" s="87"/>
      <c r="AB3837" s="87"/>
      <c r="AC3837" s="93" t="s">
        <v>11457</v>
      </c>
      <c r="AD3837" s="87" t="s">
        <v>11519</v>
      </c>
      <c r="AE3837" s="92" t="str">
        <f>HYPERLINK("https://twitter.com/alnanet/status/1696613693725757516")</f>
        <v>https://twitter.com/alnanet/status/1696613693725757516</v>
      </c>
      <c r="AF3837" s="90">
        <v>45167.833333333336</v>
      </c>
      <c r="AG3837" s="99">
        <v>45167</v>
      </c>
      <c r="AH3837" s="93" t="s">
        <v>11773</v>
      </c>
      <c r="AI3837" s="87" t="b">
        <v>0</v>
      </c>
      <c r="AJ3837" s="87"/>
      <c r="AK3837" s="87"/>
      <c r="AL3837" s="87"/>
      <c r="AM3837" s="87"/>
      <c r="AN3837" s="87"/>
      <c r="AO3837" s="87"/>
      <c r="AP3837" s="87"/>
      <c r="AQ3837" s="87"/>
      <c r="AR3837" s="87"/>
      <c r="AS3837" s="87"/>
      <c r="AT3837" s="87"/>
      <c r="AU3837" s="87"/>
      <c r="AV3837" s="92" t="str">
        <f>HYPERLINK("https://pbs.twimg.com/profile_images/882492702318788608/4wf94PGZ_normal.jpg")</f>
        <v>https://pbs.twimg.com/profile_images/882492702318788608/4wf94PGZ_normal.jpg</v>
      </c>
      <c r="AW3837" s="93" t="s">
        <v>21947</v>
      </c>
      <c r="AX3837" s="93" t="s">
        <v>21947</v>
      </c>
      <c r="AY3837" s="87"/>
      <c r="AZ3837" s="93" t="s">
        <v>22668</v>
      </c>
      <c r="BA3837" s="93" t="s">
        <v>22668</v>
      </c>
      <c r="BB3837" s="93" t="s">
        <v>22668</v>
      </c>
      <c r="BC3837" s="93" t="s">
        <v>21947</v>
      </c>
      <c r="BD3837" s="87">
        <v>257625339</v>
      </c>
      <c r="BE3837" s="87"/>
      <c r="BF3837" s="87"/>
      <c r="BG3837" s="87"/>
      <c r="BH3837" s="87"/>
      <c r="BI3837" s="87"/>
    </row>
    <row r="3838" spans="1:61" x14ac:dyDescent="0.25">
      <c r="A3838" s="63" t="s">
        <v>1485</v>
      </c>
      <c r="B3838" s="63" t="s">
        <v>1485</v>
      </c>
      <c r="C3838" s="64"/>
      <c r="D3838" s="65"/>
      <c r="E3838" s="66"/>
      <c r="F3838" s="67"/>
      <c r="G3838" s="64"/>
      <c r="H3838" s="68"/>
      <c r="I3838" s="69"/>
      <c r="J3838" s="69"/>
      <c r="K3838" s="32"/>
      <c r="L3838" s="76">
        <v>3838</v>
      </c>
      <c r="M3838" s="76"/>
      <c r="N3838" s="71"/>
      <c r="O3838" s="87" t="s">
        <v>179</v>
      </c>
      <c r="P3838" s="90">
        <v>45166.645833333336</v>
      </c>
      <c r="Q3838" s="87" t="s">
        <v>5492</v>
      </c>
      <c r="R3838" s="87">
        <v>0</v>
      </c>
      <c r="S3838" s="87">
        <v>0</v>
      </c>
      <c r="T3838" s="87">
        <v>0</v>
      </c>
      <c r="U3838" s="87">
        <v>0</v>
      </c>
      <c r="V3838" s="87">
        <v>5</v>
      </c>
      <c r="W3838" s="93" t="s">
        <v>5897</v>
      </c>
      <c r="X3838" s="92" t="str">
        <f>HYPERLINK("https://www.alagoasnanet.com.br/v3/evento-inedito-trara-oportunidades-e-novas-parcerias-comerciais-para-alagoas/")</f>
        <v>https://www.alagoasnanet.com.br/v3/evento-inedito-trara-oportunidades-e-novas-parcerias-comerciais-para-alagoas/</v>
      </c>
      <c r="Y3838" s="87" t="s">
        <v>8373</v>
      </c>
      <c r="Z3838" s="87"/>
      <c r="AA3838" s="87"/>
      <c r="AB3838" s="87"/>
      <c r="AC3838" s="93" t="s">
        <v>11457</v>
      </c>
      <c r="AD3838" s="87" t="s">
        <v>11519</v>
      </c>
      <c r="AE3838" s="92" t="str">
        <f>HYPERLINK("https://twitter.com/alnanet/status/1696183356046590059")</f>
        <v>https://twitter.com/alnanet/status/1696183356046590059</v>
      </c>
      <c r="AF3838" s="90">
        <v>45166.645833333336</v>
      </c>
      <c r="AG3838" s="99">
        <v>45166</v>
      </c>
      <c r="AH3838" s="93" t="s">
        <v>12313</v>
      </c>
      <c r="AI3838" s="87" t="b">
        <v>0</v>
      </c>
      <c r="AJ3838" s="87"/>
      <c r="AK3838" s="87"/>
      <c r="AL3838" s="87"/>
      <c r="AM3838" s="87"/>
      <c r="AN3838" s="87"/>
      <c r="AO3838" s="87"/>
      <c r="AP3838" s="87"/>
      <c r="AQ3838" s="87"/>
      <c r="AR3838" s="87"/>
      <c r="AS3838" s="87"/>
      <c r="AT3838" s="87"/>
      <c r="AU3838" s="87"/>
      <c r="AV3838" s="92" t="str">
        <f>HYPERLINK("https://pbs.twimg.com/profile_images/882492702318788608/4wf94PGZ_normal.jpg")</f>
        <v>https://pbs.twimg.com/profile_images/882492702318788608/4wf94PGZ_normal.jpg</v>
      </c>
      <c r="AW3838" s="93" t="s">
        <v>21948</v>
      </c>
      <c r="AX3838" s="93" t="s">
        <v>21948</v>
      </c>
      <c r="AY3838" s="87"/>
      <c r="AZ3838" s="93" t="s">
        <v>22668</v>
      </c>
      <c r="BA3838" s="93" t="s">
        <v>22668</v>
      </c>
      <c r="BB3838" s="93" t="s">
        <v>22668</v>
      </c>
      <c r="BC3838" s="93" t="s">
        <v>21948</v>
      </c>
      <c r="BD3838" s="87">
        <v>257625339</v>
      </c>
      <c r="BE3838" s="87"/>
      <c r="BF3838" s="87"/>
      <c r="BG3838" s="87"/>
      <c r="BH3838" s="87"/>
      <c r="BI3838" s="87"/>
    </row>
    <row r="3839" spans="1:61" x14ac:dyDescent="0.25">
      <c r="A3839" s="63" t="s">
        <v>1486</v>
      </c>
      <c r="B3839" s="63" t="s">
        <v>1486</v>
      </c>
      <c r="C3839" s="64"/>
      <c r="D3839" s="65"/>
      <c r="E3839" s="66"/>
      <c r="F3839" s="67"/>
      <c r="G3839" s="64"/>
      <c r="H3839" s="68"/>
      <c r="I3839" s="69"/>
      <c r="J3839" s="69"/>
      <c r="K3839" s="32"/>
      <c r="L3839" s="76">
        <v>3839</v>
      </c>
      <c r="M3839" s="76"/>
      <c r="N3839" s="71"/>
      <c r="O3839" s="87" t="s">
        <v>179</v>
      </c>
      <c r="P3839" s="90">
        <v>45183.594050925924</v>
      </c>
      <c r="Q3839" s="87" t="s">
        <v>5493</v>
      </c>
      <c r="R3839" s="87">
        <v>0</v>
      </c>
      <c r="S3839" s="87">
        <v>0</v>
      </c>
      <c r="T3839" s="87">
        <v>0</v>
      </c>
      <c r="U3839" s="87">
        <v>0</v>
      </c>
      <c r="V3839" s="87">
        <v>11</v>
      </c>
      <c r="W3839" s="93" t="s">
        <v>8100</v>
      </c>
      <c r="X3839" s="87"/>
      <c r="Y3839" s="87"/>
      <c r="Z3839" s="87"/>
      <c r="AA3839" s="87" t="s">
        <v>11211</v>
      </c>
      <c r="AB3839" s="87" t="s">
        <v>11448</v>
      </c>
      <c r="AC3839" s="93" t="s">
        <v>11458</v>
      </c>
      <c r="AD3839" s="87" t="s">
        <v>11519</v>
      </c>
      <c r="AE3839" s="92" t="str">
        <f>HYPERLINK("https://twitter.com/welberlsantana/status/1702325183418372517")</f>
        <v>https://twitter.com/welberlsantana/status/1702325183418372517</v>
      </c>
      <c r="AF3839" s="90">
        <v>45183.594050925924</v>
      </c>
      <c r="AG3839" s="99">
        <v>45183</v>
      </c>
      <c r="AH3839" s="93" t="s">
        <v>12161</v>
      </c>
      <c r="AI3839" s="87" t="b">
        <v>0</v>
      </c>
      <c r="AJ3839" s="87"/>
      <c r="AK3839" s="87"/>
      <c r="AL3839" s="87"/>
      <c r="AM3839" s="87"/>
      <c r="AN3839" s="87"/>
      <c r="AO3839" s="87"/>
      <c r="AP3839" s="87"/>
      <c r="AQ3839" s="87" t="s">
        <v>18023</v>
      </c>
      <c r="AR3839" s="87"/>
      <c r="AS3839" s="87"/>
      <c r="AT3839" s="87"/>
      <c r="AU3839" s="87"/>
      <c r="AV3839" s="92" t="str">
        <f>HYPERLINK("https://pbs.twimg.com/media/F5_fuofa8AAKwaF.jpg")</f>
        <v>https://pbs.twimg.com/media/F5_fuofa8AAKwaF.jpg</v>
      </c>
      <c r="AW3839" s="93" t="s">
        <v>21949</v>
      </c>
      <c r="AX3839" s="93" t="s">
        <v>21949</v>
      </c>
      <c r="AY3839" s="87"/>
      <c r="AZ3839" s="93" t="s">
        <v>22668</v>
      </c>
      <c r="BA3839" s="93" t="s">
        <v>22668</v>
      </c>
      <c r="BB3839" s="93" t="s">
        <v>22668</v>
      </c>
      <c r="BC3839" s="93" t="s">
        <v>21949</v>
      </c>
      <c r="BD3839" s="93" t="s">
        <v>23528</v>
      </c>
      <c r="BE3839" s="87"/>
      <c r="BF3839" s="87"/>
      <c r="BG3839" s="87"/>
      <c r="BH3839" s="87"/>
      <c r="BI3839" s="87"/>
    </row>
    <row r="3840" spans="1:61" x14ac:dyDescent="0.25">
      <c r="A3840" s="63" t="s">
        <v>1487</v>
      </c>
      <c r="B3840" s="63" t="s">
        <v>1487</v>
      </c>
      <c r="C3840" s="64"/>
      <c r="D3840" s="65"/>
      <c r="E3840" s="66"/>
      <c r="F3840" s="67"/>
      <c r="G3840" s="64"/>
      <c r="H3840" s="68"/>
      <c r="I3840" s="69"/>
      <c r="J3840" s="69"/>
      <c r="K3840" s="32"/>
      <c r="L3840" s="76">
        <v>3840</v>
      </c>
      <c r="M3840" s="76"/>
      <c r="N3840" s="71"/>
      <c r="O3840" s="87" t="s">
        <v>179</v>
      </c>
      <c r="P3840" s="90">
        <v>45147.448530092595</v>
      </c>
      <c r="Q3840" s="87" t="s">
        <v>5494</v>
      </c>
      <c r="R3840" s="87">
        <v>0</v>
      </c>
      <c r="S3840" s="87">
        <v>0</v>
      </c>
      <c r="T3840" s="87">
        <v>0</v>
      </c>
      <c r="U3840" s="87">
        <v>0</v>
      </c>
      <c r="V3840" s="87">
        <v>18</v>
      </c>
      <c r="W3840" s="93" t="s">
        <v>8101</v>
      </c>
      <c r="X3840" s="87"/>
      <c r="Y3840" s="87"/>
      <c r="Z3840" s="87"/>
      <c r="AA3840" s="87" t="s">
        <v>11212</v>
      </c>
      <c r="AB3840" s="87" t="s">
        <v>11447</v>
      </c>
      <c r="AC3840" s="93" t="s">
        <v>11459</v>
      </c>
      <c r="AD3840" s="87" t="s">
        <v>11519</v>
      </c>
      <c r="AE3840" s="92" t="str">
        <f>HYPERLINK("https://twitter.com/lxerox/status/1689226487340089344")</f>
        <v>https://twitter.com/lxerox/status/1689226487340089344</v>
      </c>
      <c r="AF3840" s="90">
        <v>45147.448530092595</v>
      </c>
      <c r="AG3840" s="99">
        <v>45147</v>
      </c>
      <c r="AH3840" s="93" t="s">
        <v>14910</v>
      </c>
      <c r="AI3840" s="87" t="b">
        <v>0</v>
      </c>
      <c r="AJ3840" s="87" t="s">
        <v>15229</v>
      </c>
      <c r="AK3840" s="87" t="s">
        <v>15234</v>
      </c>
      <c r="AL3840" s="87" t="s">
        <v>15237</v>
      </c>
      <c r="AM3840" s="87" t="s">
        <v>15300</v>
      </c>
      <c r="AN3840" s="87" t="s">
        <v>15367</v>
      </c>
      <c r="AO3840" s="87" t="s">
        <v>15432</v>
      </c>
      <c r="AP3840" s="87" t="s">
        <v>15438</v>
      </c>
      <c r="AQ3840" s="87" t="s">
        <v>18024</v>
      </c>
      <c r="AR3840" s="87">
        <v>12138</v>
      </c>
      <c r="AS3840" s="87"/>
      <c r="AT3840" s="87"/>
      <c r="AU3840" s="87"/>
      <c r="AV3840" s="92" t="str">
        <f>HYPERLINK("https://pbs.twimg.com/ext_tw_video_thumb/1689226437826424833/pu/img/hPpDcWB2MYqsdZDe.jpg")</f>
        <v>https://pbs.twimg.com/ext_tw_video_thumb/1689226437826424833/pu/img/hPpDcWB2MYqsdZDe.jpg</v>
      </c>
      <c r="AW3840" s="93" t="s">
        <v>21950</v>
      </c>
      <c r="AX3840" s="93" t="s">
        <v>21950</v>
      </c>
      <c r="AY3840" s="87"/>
      <c r="AZ3840" s="93" t="s">
        <v>22668</v>
      </c>
      <c r="BA3840" s="93" t="s">
        <v>22668</v>
      </c>
      <c r="BB3840" s="93" t="s">
        <v>22668</v>
      </c>
      <c r="BC3840" s="93" t="s">
        <v>21950</v>
      </c>
      <c r="BD3840" s="87">
        <v>187153298</v>
      </c>
      <c r="BE3840" s="87"/>
      <c r="BF3840" s="87"/>
      <c r="BG3840" s="87"/>
      <c r="BH3840" s="87"/>
      <c r="BI3840" s="87"/>
    </row>
    <row r="3841" spans="1:61" x14ac:dyDescent="0.25">
      <c r="A3841" s="63" t="s">
        <v>1488</v>
      </c>
      <c r="B3841" s="63" t="s">
        <v>1488</v>
      </c>
      <c r="C3841" s="64"/>
      <c r="D3841" s="65"/>
      <c r="E3841" s="66"/>
      <c r="F3841" s="67"/>
      <c r="G3841" s="64"/>
      <c r="H3841" s="68"/>
      <c r="I3841" s="69"/>
      <c r="J3841" s="69"/>
      <c r="K3841" s="32"/>
      <c r="L3841" s="76">
        <v>3841</v>
      </c>
      <c r="M3841" s="76"/>
      <c r="N3841" s="71"/>
      <c r="O3841" s="87" t="s">
        <v>179</v>
      </c>
      <c r="P3841" s="90">
        <v>45167.039351851854</v>
      </c>
      <c r="Q3841" s="87" t="s">
        <v>5495</v>
      </c>
      <c r="R3841" s="87">
        <v>0</v>
      </c>
      <c r="S3841" s="87">
        <v>0</v>
      </c>
      <c r="T3841" s="87">
        <v>0</v>
      </c>
      <c r="U3841" s="87">
        <v>0</v>
      </c>
      <c r="V3841" s="87">
        <v>8</v>
      </c>
      <c r="W3841" s="93" t="s">
        <v>6555</v>
      </c>
      <c r="X3841" s="92" t="str">
        <f>HYPERLINK("https://www.linkedin.com/feed/update/urn:li:activity:7095079285849255937/")</f>
        <v>https://www.linkedin.com/feed/update/urn:li:activity:7095079285849255937/</v>
      </c>
      <c r="Y3841" s="87" t="s">
        <v>8377</v>
      </c>
      <c r="Z3841" s="87"/>
      <c r="AA3841" s="87"/>
      <c r="AB3841" s="87"/>
      <c r="AC3841" s="93" t="s">
        <v>11457</v>
      </c>
      <c r="AD3841" s="87" t="s">
        <v>11519</v>
      </c>
      <c r="AE3841" s="92" t="str">
        <f>HYPERLINK("https://twitter.com/obernardo_lima/status/1696325961338298723")</f>
        <v>https://twitter.com/obernardo_lima/status/1696325961338298723</v>
      </c>
      <c r="AF3841" s="90">
        <v>45167.039351851854</v>
      </c>
      <c r="AG3841" s="99">
        <v>45167</v>
      </c>
      <c r="AH3841" s="93" t="s">
        <v>14911</v>
      </c>
      <c r="AI3841" s="87" t="b">
        <v>0</v>
      </c>
      <c r="AJ3841" s="87"/>
      <c r="AK3841" s="87"/>
      <c r="AL3841" s="87"/>
      <c r="AM3841" s="87"/>
      <c r="AN3841" s="87"/>
      <c r="AO3841" s="87"/>
      <c r="AP3841" s="87"/>
      <c r="AQ3841" s="87"/>
      <c r="AR3841" s="87"/>
      <c r="AS3841" s="87"/>
      <c r="AT3841" s="87"/>
      <c r="AU3841" s="87"/>
      <c r="AV3841" s="92" t="str">
        <f>HYPERLINK("https://pbs.twimg.com/profile_images/1693045737079132160/59rmIQMa_normal.jpg")</f>
        <v>https://pbs.twimg.com/profile_images/1693045737079132160/59rmIQMa_normal.jpg</v>
      </c>
      <c r="AW3841" s="93" t="s">
        <v>21951</v>
      </c>
      <c r="AX3841" s="93" t="s">
        <v>21951</v>
      </c>
      <c r="AY3841" s="87"/>
      <c r="AZ3841" s="93" t="s">
        <v>22668</v>
      </c>
      <c r="BA3841" s="93" t="s">
        <v>22668</v>
      </c>
      <c r="BB3841" s="93" t="s">
        <v>22668</v>
      </c>
      <c r="BC3841" s="93" t="s">
        <v>21951</v>
      </c>
      <c r="BD3841" s="93" t="s">
        <v>23529</v>
      </c>
      <c r="BE3841" s="87"/>
      <c r="BF3841" s="87"/>
      <c r="BG3841" s="87"/>
      <c r="BH3841" s="87"/>
      <c r="BI3841" s="87"/>
    </row>
    <row r="3842" spans="1:61" x14ac:dyDescent="0.25">
      <c r="A3842" s="63" t="s">
        <v>1488</v>
      </c>
      <c r="B3842" s="63" t="s">
        <v>1488</v>
      </c>
      <c r="C3842" s="64"/>
      <c r="D3842" s="65"/>
      <c r="E3842" s="66"/>
      <c r="F3842" s="67"/>
      <c r="G3842" s="64"/>
      <c r="H3842" s="68"/>
      <c r="I3842" s="69"/>
      <c r="J3842" s="69"/>
      <c r="K3842" s="32"/>
      <c r="L3842" s="76">
        <v>3842</v>
      </c>
      <c r="M3842" s="76"/>
      <c r="N3842" s="71"/>
      <c r="O3842" s="87" t="s">
        <v>179</v>
      </c>
      <c r="P3842" s="90">
        <v>45167.671319444446</v>
      </c>
      <c r="Q3842" s="87" t="s">
        <v>5496</v>
      </c>
      <c r="R3842" s="87">
        <v>0</v>
      </c>
      <c r="S3842" s="87">
        <v>0</v>
      </c>
      <c r="T3842" s="87">
        <v>0</v>
      </c>
      <c r="U3842" s="87">
        <v>0</v>
      </c>
      <c r="V3842" s="87">
        <v>10</v>
      </c>
      <c r="W3842" s="93" t="s">
        <v>8102</v>
      </c>
      <c r="X3842" s="92" t="str">
        <f>HYPERLINK("https://www.linkedin.com/feed/update/urn:li:activity:7102318072329347073/")</f>
        <v>https://www.linkedin.com/feed/update/urn:li:activity:7102318072329347073/</v>
      </c>
      <c r="Y3842" s="87" t="s">
        <v>8377</v>
      </c>
      <c r="Z3842" s="87"/>
      <c r="AA3842" s="87"/>
      <c r="AB3842" s="87"/>
      <c r="AC3842" s="93" t="s">
        <v>11457</v>
      </c>
      <c r="AD3842" s="87" t="s">
        <v>11519</v>
      </c>
      <c r="AE3842" s="92" t="str">
        <f>HYPERLINK("https://twitter.com/obernardo_lima/status/1696554982298829191")</f>
        <v>https://twitter.com/obernardo_lima/status/1696554982298829191</v>
      </c>
      <c r="AF3842" s="90">
        <v>45167.671319444446</v>
      </c>
      <c r="AG3842" s="99">
        <v>45167</v>
      </c>
      <c r="AH3842" s="93" t="s">
        <v>14912</v>
      </c>
      <c r="AI3842" s="87" t="b">
        <v>0</v>
      </c>
      <c r="AJ3842" s="87"/>
      <c r="AK3842" s="87"/>
      <c r="AL3842" s="87"/>
      <c r="AM3842" s="87"/>
      <c r="AN3842" s="87"/>
      <c r="AO3842" s="87"/>
      <c r="AP3842" s="87"/>
      <c r="AQ3842" s="87"/>
      <c r="AR3842" s="87"/>
      <c r="AS3842" s="87"/>
      <c r="AT3842" s="87"/>
      <c r="AU3842" s="87"/>
      <c r="AV3842" s="92" t="str">
        <f>HYPERLINK("https://pbs.twimg.com/profile_images/1693045737079132160/59rmIQMa_normal.jpg")</f>
        <v>https://pbs.twimg.com/profile_images/1693045737079132160/59rmIQMa_normal.jpg</v>
      </c>
      <c r="AW3842" s="93" t="s">
        <v>21952</v>
      </c>
      <c r="AX3842" s="93" t="s">
        <v>21952</v>
      </c>
      <c r="AY3842" s="87"/>
      <c r="AZ3842" s="93" t="s">
        <v>22668</v>
      </c>
      <c r="BA3842" s="93" t="s">
        <v>22668</v>
      </c>
      <c r="BB3842" s="93" t="s">
        <v>22668</v>
      </c>
      <c r="BC3842" s="93" t="s">
        <v>21952</v>
      </c>
      <c r="BD3842" s="93" t="s">
        <v>23529</v>
      </c>
      <c r="BE3842" s="87"/>
      <c r="BF3842" s="87"/>
      <c r="BG3842" s="87"/>
      <c r="BH3842" s="87"/>
      <c r="BI3842" s="87"/>
    </row>
    <row r="3843" spans="1:61" x14ac:dyDescent="0.25">
      <c r="A3843" s="63" t="s">
        <v>1489</v>
      </c>
      <c r="B3843" s="63" t="s">
        <v>1489</v>
      </c>
      <c r="C3843" s="64"/>
      <c r="D3843" s="65"/>
      <c r="E3843" s="66"/>
      <c r="F3843" s="67"/>
      <c r="G3843" s="64"/>
      <c r="H3843" s="68"/>
      <c r="I3843" s="69"/>
      <c r="J3843" s="69"/>
      <c r="K3843" s="32"/>
      <c r="L3843" s="76">
        <v>3843</v>
      </c>
      <c r="M3843" s="76"/>
      <c r="N3843" s="71"/>
      <c r="O3843" s="87" t="s">
        <v>179</v>
      </c>
      <c r="P3843" s="90">
        <v>45139.601655092592</v>
      </c>
      <c r="Q3843" s="87" t="s">
        <v>5497</v>
      </c>
      <c r="R3843" s="87">
        <v>0</v>
      </c>
      <c r="S3843" s="87">
        <v>0</v>
      </c>
      <c r="T3843" s="87">
        <v>1</v>
      </c>
      <c r="U3843" s="87">
        <v>0</v>
      </c>
      <c r="V3843" s="87">
        <v>27</v>
      </c>
      <c r="W3843" s="93" t="s">
        <v>8103</v>
      </c>
      <c r="X3843" s="87"/>
      <c r="Y3843" s="87"/>
      <c r="Z3843" s="87"/>
      <c r="AA3843" s="87" t="s">
        <v>11213</v>
      </c>
      <c r="AB3843" s="87" t="s">
        <v>11448</v>
      </c>
      <c r="AC3843" s="93" t="s">
        <v>11459</v>
      </c>
      <c r="AD3843" s="87" t="s">
        <v>11520</v>
      </c>
      <c r="AE3843" s="92" t="str">
        <f>HYPERLINK("https://twitter.com/abner_ramos01/status/1686382872914235392")</f>
        <v>https://twitter.com/abner_ramos01/status/1686382872914235392</v>
      </c>
      <c r="AF3843" s="90">
        <v>45139.601655092592</v>
      </c>
      <c r="AG3843" s="99">
        <v>45139</v>
      </c>
      <c r="AH3843" s="93" t="s">
        <v>14913</v>
      </c>
      <c r="AI3843" s="87" t="b">
        <v>0</v>
      </c>
      <c r="AJ3843" s="87"/>
      <c r="AK3843" s="87"/>
      <c r="AL3843" s="87"/>
      <c r="AM3843" s="87"/>
      <c r="AN3843" s="87"/>
      <c r="AO3843" s="87"/>
      <c r="AP3843" s="87"/>
      <c r="AQ3843" s="87" t="s">
        <v>18025</v>
      </c>
      <c r="AR3843" s="87"/>
      <c r="AS3843" s="87"/>
      <c r="AT3843" s="87"/>
      <c r="AU3843" s="87"/>
      <c r="AV3843" s="92" t="str">
        <f>HYPERLINK("https://pbs.twimg.com/media/F2c8SR6bcAEaPBX.jpg")</f>
        <v>https://pbs.twimg.com/media/F2c8SR6bcAEaPBX.jpg</v>
      </c>
      <c r="AW3843" s="93" t="s">
        <v>21953</v>
      </c>
      <c r="AX3843" s="93" t="s">
        <v>21953</v>
      </c>
      <c r="AY3843" s="87"/>
      <c r="AZ3843" s="93" t="s">
        <v>22668</v>
      </c>
      <c r="BA3843" s="93" t="s">
        <v>22668</v>
      </c>
      <c r="BB3843" s="93" t="s">
        <v>22668</v>
      </c>
      <c r="BC3843" s="93" t="s">
        <v>21953</v>
      </c>
      <c r="BD3843" s="93" t="s">
        <v>23530</v>
      </c>
      <c r="BE3843" s="87"/>
      <c r="BF3843" s="87"/>
      <c r="BG3843" s="87"/>
      <c r="BH3843" s="87"/>
      <c r="BI3843" s="87"/>
    </row>
    <row r="3844" spans="1:61" x14ac:dyDescent="0.25">
      <c r="A3844" s="63" t="s">
        <v>1490</v>
      </c>
      <c r="B3844" s="63" t="s">
        <v>1490</v>
      </c>
      <c r="C3844" s="64"/>
      <c r="D3844" s="65"/>
      <c r="E3844" s="66"/>
      <c r="F3844" s="67"/>
      <c r="G3844" s="64"/>
      <c r="H3844" s="68"/>
      <c r="I3844" s="69"/>
      <c r="J3844" s="69"/>
      <c r="K3844" s="32"/>
      <c r="L3844" s="76">
        <v>3844</v>
      </c>
      <c r="M3844" s="76"/>
      <c r="N3844" s="71"/>
      <c r="O3844" s="87" t="s">
        <v>179</v>
      </c>
      <c r="P3844" s="90">
        <v>45122.568923611114</v>
      </c>
      <c r="Q3844" s="87" t="s">
        <v>5498</v>
      </c>
      <c r="R3844" s="87">
        <v>0</v>
      </c>
      <c r="S3844" s="87">
        <v>0</v>
      </c>
      <c r="T3844" s="87">
        <v>0</v>
      </c>
      <c r="U3844" s="87">
        <v>0</v>
      </c>
      <c r="V3844" s="87">
        <v>29</v>
      </c>
      <c r="W3844" s="93" t="s">
        <v>8104</v>
      </c>
      <c r="X3844" s="87" t="s">
        <v>8363</v>
      </c>
      <c r="Y3844" s="87" t="s">
        <v>8407</v>
      </c>
      <c r="Z3844" s="87"/>
      <c r="AA3844" s="87"/>
      <c r="AB3844" s="87"/>
      <c r="AC3844" s="93" t="s">
        <v>11457</v>
      </c>
      <c r="AD3844" s="87" t="s">
        <v>11519</v>
      </c>
      <c r="AE3844" s="92" t="str">
        <f>HYPERLINK("https://twitter.com/guiadeti/status/1680210417895743488")</f>
        <v>https://twitter.com/guiadeti/status/1680210417895743488</v>
      </c>
      <c r="AF3844" s="90">
        <v>45122.568923611114</v>
      </c>
      <c r="AG3844" s="99">
        <v>45122</v>
      </c>
      <c r="AH3844" s="93" t="s">
        <v>14914</v>
      </c>
      <c r="AI3844" s="87" t="b">
        <v>0</v>
      </c>
      <c r="AJ3844" s="87"/>
      <c r="AK3844" s="87"/>
      <c r="AL3844" s="87"/>
      <c r="AM3844" s="87"/>
      <c r="AN3844" s="87"/>
      <c r="AO3844" s="87"/>
      <c r="AP3844" s="87"/>
      <c r="AQ3844" s="87"/>
      <c r="AR3844" s="87"/>
      <c r="AS3844" s="87"/>
      <c r="AT3844" s="87"/>
      <c r="AU3844" s="87"/>
      <c r="AV3844" s="92" t="str">
        <f>HYPERLINK("https://pbs.twimg.com/profile_images/1569164915197214720/SPqx2zdm_normal.jpg")</f>
        <v>https://pbs.twimg.com/profile_images/1569164915197214720/SPqx2zdm_normal.jpg</v>
      </c>
      <c r="AW3844" s="93" t="s">
        <v>21954</v>
      </c>
      <c r="AX3844" s="93" t="s">
        <v>21954</v>
      </c>
      <c r="AY3844" s="87"/>
      <c r="AZ3844" s="93" t="s">
        <v>22668</v>
      </c>
      <c r="BA3844" s="93" t="s">
        <v>22668</v>
      </c>
      <c r="BB3844" s="93" t="s">
        <v>22668</v>
      </c>
      <c r="BC3844" s="93" t="s">
        <v>21954</v>
      </c>
      <c r="BD3844" s="93" t="s">
        <v>23531</v>
      </c>
      <c r="BE3844" s="87"/>
      <c r="BF3844" s="87"/>
      <c r="BG3844" s="87"/>
      <c r="BH3844" s="87"/>
      <c r="BI3844" s="87"/>
    </row>
    <row r="3845" spans="1:61" x14ac:dyDescent="0.25">
      <c r="A3845" s="63" t="s">
        <v>1490</v>
      </c>
      <c r="B3845" s="63" t="s">
        <v>1490</v>
      </c>
      <c r="C3845" s="64"/>
      <c r="D3845" s="65"/>
      <c r="E3845" s="66"/>
      <c r="F3845" s="67"/>
      <c r="G3845" s="64"/>
      <c r="H3845" s="68"/>
      <c r="I3845" s="69"/>
      <c r="J3845" s="69"/>
      <c r="K3845" s="32"/>
      <c r="L3845" s="76">
        <v>3845</v>
      </c>
      <c r="M3845" s="76"/>
      <c r="N3845" s="71"/>
      <c r="O3845" s="87" t="s">
        <v>179</v>
      </c>
      <c r="P3845" s="90">
        <v>45134.04278935185</v>
      </c>
      <c r="Q3845" s="87" t="s">
        <v>5499</v>
      </c>
      <c r="R3845" s="87">
        <v>0</v>
      </c>
      <c r="S3845" s="87">
        <v>0</v>
      </c>
      <c r="T3845" s="87">
        <v>0</v>
      </c>
      <c r="U3845" s="87">
        <v>0</v>
      </c>
      <c r="V3845" s="87">
        <v>36</v>
      </c>
      <c r="W3845" s="93" t="s">
        <v>8105</v>
      </c>
      <c r="X3845" s="87" t="s">
        <v>8364</v>
      </c>
      <c r="Y3845" s="87" t="s">
        <v>8407</v>
      </c>
      <c r="Z3845" s="87"/>
      <c r="AA3845" s="87"/>
      <c r="AB3845" s="87"/>
      <c r="AC3845" s="93" t="s">
        <v>11457</v>
      </c>
      <c r="AD3845" s="87" t="s">
        <v>11519</v>
      </c>
      <c r="AE3845" s="92" t="str">
        <f>HYPERLINK("https://twitter.com/guiadeti/status/1684368409188786179")</f>
        <v>https://twitter.com/guiadeti/status/1684368409188786179</v>
      </c>
      <c r="AF3845" s="90">
        <v>45134.04278935185</v>
      </c>
      <c r="AG3845" s="99">
        <v>45134</v>
      </c>
      <c r="AH3845" s="93" t="s">
        <v>14915</v>
      </c>
      <c r="AI3845" s="87" t="b">
        <v>0</v>
      </c>
      <c r="AJ3845" s="87"/>
      <c r="AK3845" s="87"/>
      <c r="AL3845" s="87"/>
      <c r="AM3845" s="87"/>
      <c r="AN3845" s="87"/>
      <c r="AO3845" s="87"/>
      <c r="AP3845" s="87"/>
      <c r="AQ3845" s="87"/>
      <c r="AR3845" s="87"/>
      <c r="AS3845" s="87"/>
      <c r="AT3845" s="87"/>
      <c r="AU3845" s="87"/>
      <c r="AV3845" s="92" t="str">
        <f>HYPERLINK("https://pbs.twimg.com/profile_images/1569164915197214720/SPqx2zdm_normal.jpg")</f>
        <v>https://pbs.twimg.com/profile_images/1569164915197214720/SPqx2zdm_normal.jpg</v>
      </c>
      <c r="AW3845" s="93" t="s">
        <v>21955</v>
      </c>
      <c r="AX3845" s="93" t="s">
        <v>21955</v>
      </c>
      <c r="AY3845" s="87"/>
      <c r="AZ3845" s="93" t="s">
        <v>22668</v>
      </c>
      <c r="BA3845" s="93" t="s">
        <v>22668</v>
      </c>
      <c r="BB3845" s="93" t="s">
        <v>22668</v>
      </c>
      <c r="BC3845" s="93" t="s">
        <v>21955</v>
      </c>
      <c r="BD3845" s="93" t="s">
        <v>23531</v>
      </c>
      <c r="BE3845" s="87"/>
      <c r="BF3845" s="87"/>
      <c r="BG3845" s="87"/>
      <c r="BH3845" s="87"/>
      <c r="BI3845" s="87"/>
    </row>
    <row r="3846" spans="1:61" x14ac:dyDescent="0.25">
      <c r="A3846" s="63" t="s">
        <v>1490</v>
      </c>
      <c r="B3846" s="63" t="s">
        <v>1490</v>
      </c>
      <c r="C3846" s="64"/>
      <c r="D3846" s="65"/>
      <c r="E3846" s="66"/>
      <c r="F3846" s="67"/>
      <c r="G3846" s="64"/>
      <c r="H3846" s="68"/>
      <c r="I3846" s="69"/>
      <c r="J3846" s="69"/>
      <c r="K3846" s="32"/>
      <c r="L3846" s="76">
        <v>3846</v>
      </c>
      <c r="M3846" s="76"/>
      <c r="N3846" s="71"/>
      <c r="O3846" s="87" t="s">
        <v>179</v>
      </c>
      <c r="P3846" s="90">
        <v>45170.158726851849</v>
      </c>
      <c r="Q3846" s="87" t="s">
        <v>5500</v>
      </c>
      <c r="R3846" s="87">
        <v>0</v>
      </c>
      <c r="S3846" s="87">
        <v>0</v>
      </c>
      <c r="T3846" s="87">
        <v>1</v>
      </c>
      <c r="U3846" s="87">
        <v>0</v>
      </c>
      <c r="V3846" s="87">
        <v>45</v>
      </c>
      <c r="W3846" s="93" t="s">
        <v>8106</v>
      </c>
      <c r="X3846" s="87" t="s">
        <v>8365</v>
      </c>
      <c r="Y3846" s="87" t="s">
        <v>8407</v>
      </c>
      <c r="Z3846" s="87"/>
      <c r="AA3846" s="87"/>
      <c r="AB3846" s="87"/>
      <c r="AC3846" s="93" t="s">
        <v>11457</v>
      </c>
      <c r="AD3846" s="87" t="s">
        <v>11519</v>
      </c>
      <c r="AE3846" s="92" t="str">
        <f>HYPERLINK("https://twitter.com/guiadeti/status/1697456388232913332")</f>
        <v>https://twitter.com/guiadeti/status/1697456388232913332</v>
      </c>
      <c r="AF3846" s="90">
        <v>45170.158726851849</v>
      </c>
      <c r="AG3846" s="99">
        <v>45170</v>
      </c>
      <c r="AH3846" s="93" t="s">
        <v>14916</v>
      </c>
      <c r="AI3846" s="87" t="b">
        <v>0</v>
      </c>
      <c r="AJ3846" s="87"/>
      <c r="AK3846" s="87"/>
      <c r="AL3846" s="87"/>
      <c r="AM3846" s="87"/>
      <c r="AN3846" s="87"/>
      <c r="AO3846" s="87"/>
      <c r="AP3846" s="87"/>
      <c r="AQ3846" s="87"/>
      <c r="AR3846" s="87"/>
      <c r="AS3846" s="87"/>
      <c r="AT3846" s="87"/>
      <c r="AU3846" s="87"/>
      <c r="AV3846" s="92" t="str">
        <f>HYPERLINK("https://pbs.twimg.com/profile_images/1569164915197214720/SPqx2zdm_normal.jpg")</f>
        <v>https://pbs.twimg.com/profile_images/1569164915197214720/SPqx2zdm_normal.jpg</v>
      </c>
      <c r="AW3846" s="93" t="s">
        <v>21956</v>
      </c>
      <c r="AX3846" s="93" t="s">
        <v>21956</v>
      </c>
      <c r="AY3846" s="87"/>
      <c r="AZ3846" s="93" t="s">
        <v>22668</v>
      </c>
      <c r="BA3846" s="93" t="s">
        <v>22668</v>
      </c>
      <c r="BB3846" s="93" t="s">
        <v>22668</v>
      </c>
      <c r="BC3846" s="93" t="s">
        <v>21956</v>
      </c>
      <c r="BD3846" s="93" t="s">
        <v>23531</v>
      </c>
      <c r="BE3846" s="87"/>
      <c r="BF3846" s="87"/>
      <c r="BG3846" s="87"/>
      <c r="BH3846" s="87"/>
      <c r="BI3846" s="87"/>
    </row>
    <row r="3847" spans="1:61" x14ac:dyDescent="0.25">
      <c r="A3847" s="63" t="s">
        <v>1490</v>
      </c>
      <c r="B3847" s="63" t="s">
        <v>1490</v>
      </c>
      <c r="C3847" s="64"/>
      <c r="D3847" s="65"/>
      <c r="E3847" s="66"/>
      <c r="F3847" s="67"/>
      <c r="G3847" s="64"/>
      <c r="H3847" s="68"/>
      <c r="I3847" s="69"/>
      <c r="J3847" s="69"/>
      <c r="K3847" s="32"/>
      <c r="L3847" s="76">
        <v>3847</v>
      </c>
      <c r="M3847" s="76"/>
      <c r="N3847" s="71"/>
      <c r="O3847" s="87" t="s">
        <v>179</v>
      </c>
      <c r="P3847" s="90">
        <v>45174.121886574074</v>
      </c>
      <c r="Q3847" s="87" t="s">
        <v>5501</v>
      </c>
      <c r="R3847" s="87">
        <v>0</v>
      </c>
      <c r="S3847" s="87">
        <v>0</v>
      </c>
      <c r="T3847" s="87">
        <v>0</v>
      </c>
      <c r="U3847" s="87">
        <v>0</v>
      </c>
      <c r="V3847" s="87">
        <v>28</v>
      </c>
      <c r="W3847" s="93" t="s">
        <v>8107</v>
      </c>
      <c r="X3847" s="87" t="s">
        <v>8366</v>
      </c>
      <c r="Y3847" s="87" t="s">
        <v>8407</v>
      </c>
      <c r="Z3847" s="87"/>
      <c r="AA3847" s="87"/>
      <c r="AB3847" s="87"/>
      <c r="AC3847" s="93" t="s">
        <v>11457</v>
      </c>
      <c r="AD3847" s="87" t="s">
        <v>11519</v>
      </c>
      <c r="AE3847" s="92" t="str">
        <f>HYPERLINK("https://twitter.com/guiadeti/status/1698892587816398978")</f>
        <v>https://twitter.com/guiadeti/status/1698892587816398978</v>
      </c>
      <c r="AF3847" s="90">
        <v>45174.121886574074</v>
      </c>
      <c r="AG3847" s="99">
        <v>45174</v>
      </c>
      <c r="AH3847" s="93" t="s">
        <v>14917</v>
      </c>
      <c r="AI3847" s="87" t="b">
        <v>0</v>
      </c>
      <c r="AJ3847" s="87"/>
      <c r="AK3847" s="87"/>
      <c r="AL3847" s="87"/>
      <c r="AM3847" s="87"/>
      <c r="AN3847" s="87"/>
      <c r="AO3847" s="87"/>
      <c r="AP3847" s="87"/>
      <c r="AQ3847" s="87"/>
      <c r="AR3847" s="87"/>
      <c r="AS3847" s="87"/>
      <c r="AT3847" s="87"/>
      <c r="AU3847" s="87"/>
      <c r="AV3847" s="92" t="str">
        <f>HYPERLINK("https://pbs.twimg.com/profile_images/1569164915197214720/SPqx2zdm_normal.jpg")</f>
        <v>https://pbs.twimg.com/profile_images/1569164915197214720/SPqx2zdm_normal.jpg</v>
      </c>
      <c r="AW3847" s="93" t="s">
        <v>21957</v>
      </c>
      <c r="AX3847" s="93" t="s">
        <v>21957</v>
      </c>
      <c r="AY3847" s="87"/>
      <c r="AZ3847" s="93" t="s">
        <v>22668</v>
      </c>
      <c r="BA3847" s="93" t="s">
        <v>22668</v>
      </c>
      <c r="BB3847" s="93" t="s">
        <v>22668</v>
      </c>
      <c r="BC3847" s="93" t="s">
        <v>21957</v>
      </c>
      <c r="BD3847" s="93" t="s">
        <v>23531</v>
      </c>
      <c r="BE3847" s="87"/>
      <c r="BF3847" s="87"/>
      <c r="BG3847" s="87"/>
      <c r="BH3847" s="87"/>
      <c r="BI3847" s="87"/>
    </row>
    <row r="3848" spans="1:61" x14ac:dyDescent="0.25">
      <c r="A3848" s="63" t="s">
        <v>1490</v>
      </c>
      <c r="B3848" s="63" t="s">
        <v>1490</v>
      </c>
      <c r="C3848" s="64"/>
      <c r="D3848" s="65"/>
      <c r="E3848" s="66"/>
      <c r="F3848" s="67"/>
      <c r="G3848" s="64"/>
      <c r="H3848" s="68"/>
      <c r="I3848" s="69"/>
      <c r="J3848" s="69"/>
      <c r="K3848" s="32"/>
      <c r="L3848" s="76">
        <v>3848</v>
      </c>
      <c r="M3848" s="76"/>
      <c r="N3848" s="71"/>
      <c r="O3848" s="87" t="s">
        <v>179</v>
      </c>
      <c r="P3848" s="90">
        <v>45188.913078703707</v>
      </c>
      <c r="Q3848" s="87" t="s">
        <v>5502</v>
      </c>
      <c r="R3848" s="87">
        <v>1</v>
      </c>
      <c r="S3848" s="87">
        <v>1</v>
      </c>
      <c r="T3848" s="87">
        <v>0</v>
      </c>
      <c r="U3848" s="87">
        <v>0</v>
      </c>
      <c r="V3848" s="87">
        <v>44</v>
      </c>
      <c r="W3848" s="93" t="s">
        <v>8108</v>
      </c>
      <c r="X3848" s="87" t="s">
        <v>8367</v>
      </c>
      <c r="Y3848" s="87" t="s">
        <v>8407</v>
      </c>
      <c r="Z3848" s="87"/>
      <c r="AA3848" s="87"/>
      <c r="AB3848" s="87"/>
      <c r="AC3848" s="93" t="s">
        <v>11457</v>
      </c>
      <c r="AD3848" s="87" t="s">
        <v>11519</v>
      </c>
      <c r="AE3848" s="92" t="str">
        <f>HYPERLINK("https://twitter.com/guiadeti/status/1704252736886255621")</f>
        <v>https://twitter.com/guiadeti/status/1704252736886255621</v>
      </c>
      <c r="AF3848" s="90">
        <v>45188.913078703707</v>
      </c>
      <c r="AG3848" s="99">
        <v>45188</v>
      </c>
      <c r="AH3848" s="93" t="s">
        <v>14918</v>
      </c>
      <c r="AI3848" s="87" t="b">
        <v>0</v>
      </c>
      <c r="AJ3848" s="87"/>
      <c r="AK3848" s="87"/>
      <c r="AL3848" s="87"/>
      <c r="AM3848" s="87"/>
      <c r="AN3848" s="87"/>
      <c r="AO3848" s="87"/>
      <c r="AP3848" s="87"/>
      <c r="AQ3848" s="87"/>
      <c r="AR3848" s="87"/>
      <c r="AS3848" s="87"/>
      <c r="AT3848" s="87"/>
      <c r="AU3848" s="87"/>
      <c r="AV3848" s="92" t="str">
        <f>HYPERLINK("https://pbs.twimg.com/profile_images/1569164915197214720/SPqx2zdm_normal.jpg")</f>
        <v>https://pbs.twimg.com/profile_images/1569164915197214720/SPqx2zdm_normal.jpg</v>
      </c>
      <c r="AW3848" s="93" t="s">
        <v>21958</v>
      </c>
      <c r="AX3848" s="93" t="s">
        <v>21958</v>
      </c>
      <c r="AY3848" s="87"/>
      <c r="AZ3848" s="93" t="s">
        <v>22668</v>
      </c>
      <c r="BA3848" s="93" t="s">
        <v>22668</v>
      </c>
      <c r="BB3848" s="93" t="s">
        <v>22668</v>
      </c>
      <c r="BC3848" s="93" t="s">
        <v>21958</v>
      </c>
      <c r="BD3848" s="93" t="s">
        <v>23531</v>
      </c>
      <c r="BE3848" s="87"/>
      <c r="BF3848" s="87"/>
      <c r="BG3848" s="87"/>
      <c r="BH3848" s="87"/>
      <c r="BI3848" s="87"/>
    </row>
    <row r="3849" spans="1:61" x14ac:dyDescent="0.25">
      <c r="A3849" s="63" t="s">
        <v>1490</v>
      </c>
      <c r="B3849" s="63" t="s">
        <v>1490</v>
      </c>
      <c r="C3849" s="64"/>
      <c r="D3849" s="65"/>
      <c r="E3849" s="66"/>
      <c r="F3849" s="67"/>
      <c r="G3849" s="64"/>
      <c r="H3849" s="68"/>
      <c r="I3849" s="69"/>
      <c r="J3849" s="69"/>
      <c r="K3849" s="32"/>
      <c r="L3849" s="76">
        <v>3849</v>
      </c>
      <c r="M3849" s="76"/>
      <c r="N3849" s="71"/>
      <c r="O3849" s="87" t="s">
        <v>179</v>
      </c>
      <c r="P3849" s="90">
        <v>45188.917083333334</v>
      </c>
      <c r="Q3849" s="87" t="s">
        <v>5503</v>
      </c>
      <c r="R3849" s="87">
        <v>1</v>
      </c>
      <c r="S3849" s="87">
        <v>1</v>
      </c>
      <c r="T3849" s="87">
        <v>0</v>
      </c>
      <c r="U3849" s="87">
        <v>0</v>
      </c>
      <c r="V3849" s="87">
        <v>26</v>
      </c>
      <c r="W3849" s="93" t="s">
        <v>8109</v>
      </c>
      <c r="X3849" s="87" t="s">
        <v>8368</v>
      </c>
      <c r="Y3849" s="87" t="s">
        <v>8407</v>
      </c>
      <c r="Z3849" s="87"/>
      <c r="AA3849" s="87"/>
      <c r="AB3849" s="87"/>
      <c r="AC3849" s="93" t="s">
        <v>11457</v>
      </c>
      <c r="AD3849" s="87" t="s">
        <v>11519</v>
      </c>
      <c r="AE3849" s="92" t="str">
        <f>HYPERLINK("https://twitter.com/guiadeti/status/1704254186995470816")</f>
        <v>https://twitter.com/guiadeti/status/1704254186995470816</v>
      </c>
      <c r="AF3849" s="90">
        <v>45188.917083333334</v>
      </c>
      <c r="AG3849" s="99">
        <v>45188</v>
      </c>
      <c r="AH3849" s="93" t="s">
        <v>14919</v>
      </c>
      <c r="AI3849" s="87" t="b">
        <v>0</v>
      </c>
      <c r="AJ3849" s="87"/>
      <c r="AK3849" s="87"/>
      <c r="AL3849" s="87"/>
      <c r="AM3849" s="87"/>
      <c r="AN3849" s="87"/>
      <c r="AO3849" s="87"/>
      <c r="AP3849" s="87"/>
      <c r="AQ3849" s="87"/>
      <c r="AR3849" s="87"/>
      <c r="AS3849" s="87"/>
      <c r="AT3849" s="87"/>
      <c r="AU3849" s="87"/>
      <c r="AV3849" s="92" t="str">
        <f>HYPERLINK("https://pbs.twimg.com/profile_images/1569164915197214720/SPqx2zdm_normal.jpg")</f>
        <v>https://pbs.twimg.com/profile_images/1569164915197214720/SPqx2zdm_normal.jpg</v>
      </c>
      <c r="AW3849" s="93" t="s">
        <v>21959</v>
      </c>
      <c r="AX3849" s="93" t="s">
        <v>21959</v>
      </c>
      <c r="AY3849" s="87"/>
      <c r="AZ3849" s="93" t="s">
        <v>22668</v>
      </c>
      <c r="BA3849" s="93" t="s">
        <v>22668</v>
      </c>
      <c r="BB3849" s="93" t="s">
        <v>22668</v>
      </c>
      <c r="BC3849" s="93" t="s">
        <v>21959</v>
      </c>
      <c r="BD3849" s="93" t="s">
        <v>23531</v>
      </c>
      <c r="BE3849" s="87"/>
      <c r="BF3849" s="87"/>
      <c r="BG3849" s="87"/>
      <c r="BH3849" s="87"/>
      <c r="BI3849" s="87"/>
    </row>
    <row r="3850" spans="1:61" x14ac:dyDescent="0.25">
      <c r="A3850" s="63" t="s">
        <v>1490</v>
      </c>
      <c r="B3850" s="63" t="s">
        <v>1490</v>
      </c>
      <c r="C3850" s="64"/>
      <c r="D3850" s="65"/>
      <c r="E3850" s="66"/>
      <c r="F3850" s="67"/>
      <c r="G3850" s="64"/>
      <c r="H3850" s="68"/>
      <c r="I3850" s="69"/>
      <c r="J3850" s="69"/>
      <c r="K3850" s="32"/>
      <c r="L3850" s="76">
        <v>3850</v>
      </c>
      <c r="M3850" s="76"/>
      <c r="N3850" s="71"/>
      <c r="O3850" s="87" t="s">
        <v>179</v>
      </c>
      <c r="P3850" s="90">
        <v>45184.009687500002</v>
      </c>
      <c r="Q3850" s="87" t="s">
        <v>5504</v>
      </c>
      <c r="R3850" s="87">
        <v>0</v>
      </c>
      <c r="S3850" s="87">
        <v>0</v>
      </c>
      <c r="T3850" s="87">
        <v>0</v>
      </c>
      <c r="U3850" s="87">
        <v>0</v>
      </c>
      <c r="V3850" s="87">
        <v>22</v>
      </c>
      <c r="W3850" s="93" t="s">
        <v>8105</v>
      </c>
      <c r="X3850" s="87" t="s">
        <v>8369</v>
      </c>
      <c r="Y3850" s="87" t="s">
        <v>8407</v>
      </c>
      <c r="Z3850" s="87"/>
      <c r="AA3850" s="87"/>
      <c r="AB3850" s="87"/>
      <c r="AC3850" s="93" t="s">
        <v>11457</v>
      </c>
      <c r="AD3850" s="87" t="s">
        <v>11519</v>
      </c>
      <c r="AE3850" s="92" t="str">
        <f>HYPERLINK("https://twitter.com/guiadeti/status/1702475805022937340")</f>
        <v>https://twitter.com/guiadeti/status/1702475805022937340</v>
      </c>
      <c r="AF3850" s="90">
        <v>45184.009687500002</v>
      </c>
      <c r="AG3850" s="99">
        <v>45184</v>
      </c>
      <c r="AH3850" s="93" t="s">
        <v>14920</v>
      </c>
      <c r="AI3850" s="87" t="b">
        <v>0</v>
      </c>
      <c r="AJ3850" s="87"/>
      <c r="AK3850" s="87"/>
      <c r="AL3850" s="87"/>
      <c r="AM3850" s="87"/>
      <c r="AN3850" s="87"/>
      <c r="AO3850" s="87"/>
      <c r="AP3850" s="87"/>
      <c r="AQ3850" s="87"/>
      <c r="AR3850" s="87"/>
      <c r="AS3850" s="87"/>
      <c r="AT3850" s="87"/>
      <c r="AU3850" s="87"/>
      <c r="AV3850" s="92" t="str">
        <f>HYPERLINK("https://pbs.twimg.com/profile_images/1569164915197214720/SPqx2zdm_normal.jpg")</f>
        <v>https://pbs.twimg.com/profile_images/1569164915197214720/SPqx2zdm_normal.jpg</v>
      </c>
      <c r="AW3850" s="93" t="s">
        <v>21960</v>
      </c>
      <c r="AX3850" s="93" t="s">
        <v>21960</v>
      </c>
      <c r="AY3850" s="87"/>
      <c r="AZ3850" s="93" t="s">
        <v>22668</v>
      </c>
      <c r="BA3850" s="93" t="s">
        <v>22668</v>
      </c>
      <c r="BB3850" s="93" t="s">
        <v>22668</v>
      </c>
      <c r="BC3850" s="93" t="s">
        <v>21960</v>
      </c>
      <c r="BD3850" s="93" t="s">
        <v>23531</v>
      </c>
      <c r="BE3850" s="87"/>
      <c r="BF3850" s="87"/>
      <c r="BG3850" s="87"/>
      <c r="BH3850" s="87"/>
      <c r="BI3850" s="87"/>
    </row>
    <row r="3851" spans="1:61" x14ac:dyDescent="0.25">
      <c r="A3851" s="63" t="s">
        <v>1490</v>
      </c>
      <c r="B3851" s="63" t="s">
        <v>1490</v>
      </c>
      <c r="C3851" s="64"/>
      <c r="D3851" s="65"/>
      <c r="E3851" s="66"/>
      <c r="F3851" s="67"/>
      <c r="G3851" s="64"/>
      <c r="H3851" s="68"/>
      <c r="I3851" s="69"/>
      <c r="J3851" s="69"/>
      <c r="K3851" s="32"/>
      <c r="L3851" s="76">
        <v>3851</v>
      </c>
      <c r="M3851" s="76"/>
      <c r="N3851" s="71"/>
      <c r="O3851" s="87" t="s">
        <v>179</v>
      </c>
      <c r="P3851" s="90">
        <v>45144.043078703704</v>
      </c>
      <c r="Q3851" s="87" t="s">
        <v>5505</v>
      </c>
      <c r="R3851" s="87">
        <v>0</v>
      </c>
      <c r="S3851" s="87">
        <v>0</v>
      </c>
      <c r="T3851" s="87">
        <v>0</v>
      </c>
      <c r="U3851" s="87">
        <v>0</v>
      </c>
      <c r="V3851" s="87">
        <v>31</v>
      </c>
      <c r="W3851" s="93" t="s">
        <v>8105</v>
      </c>
      <c r="X3851" s="87" t="s">
        <v>8370</v>
      </c>
      <c r="Y3851" s="87" t="s">
        <v>8407</v>
      </c>
      <c r="Z3851" s="87"/>
      <c r="AA3851" s="87"/>
      <c r="AB3851" s="87"/>
      <c r="AC3851" s="93" t="s">
        <v>11457</v>
      </c>
      <c r="AD3851" s="87" t="s">
        <v>11519</v>
      </c>
      <c r="AE3851" s="92" t="str">
        <f>HYPERLINK("https://twitter.com/guiadeti/status/1687992391129600000")</f>
        <v>https://twitter.com/guiadeti/status/1687992391129600000</v>
      </c>
      <c r="AF3851" s="90">
        <v>45144.043078703704</v>
      </c>
      <c r="AG3851" s="99">
        <v>45144</v>
      </c>
      <c r="AH3851" s="93" t="s">
        <v>14921</v>
      </c>
      <c r="AI3851" s="87" t="b">
        <v>0</v>
      </c>
      <c r="AJ3851" s="87"/>
      <c r="AK3851" s="87"/>
      <c r="AL3851" s="87"/>
      <c r="AM3851" s="87"/>
      <c r="AN3851" s="87"/>
      <c r="AO3851" s="87"/>
      <c r="AP3851" s="87"/>
      <c r="AQ3851" s="87"/>
      <c r="AR3851" s="87"/>
      <c r="AS3851" s="87"/>
      <c r="AT3851" s="87"/>
      <c r="AU3851" s="87"/>
      <c r="AV3851" s="92" t="str">
        <f>HYPERLINK("https://pbs.twimg.com/profile_images/1569164915197214720/SPqx2zdm_normal.jpg")</f>
        <v>https://pbs.twimg.com/profile_images/1569164915197214720/SPqx2zdm_normal.jpg</v>
      </c>
      <c r="AW3851" s="93" t="s">
        <v>21961</v>
      </c>
      <c r="AX3851" s="93" t="s">
        <v>21961</v>
      </c>
      <c r="AY3851" s="87"/>
      <c r="AZ3851" s="93" t="s">
        <v>22668</v>
      </c>
      <c r="BA3851" s="93" t="s">
        <v>22668</v>
      </c>
      <c r="BB3851" s="93" t="s">
        <v>22668</v>
      </c>
      <c r="BC3851" s="93" t="s">
        <v>21961</v>
      </c>
      <c r="BD3851" s="93" t="s">
        <v>23531</v>
      </c>
      <c r="BE3851" s="87"/>
      <c r="BF3851" s="87"/>
      <c r="BG3851" s="87"/>
      <c r="BH3851" s="87"/>
      <c r="BI3851" s="87"/>
    </row>
    <row r="3852" spans="1:61" x14ac:dyDescent="0.25">
      <c r="A3852" s="63" t="s">
        <v>1491</v>
      </c>
      <c r="B3852" s="63" t="s">
        <v>1490</v>
      </c>
      <c r="C3852" s="64"/>
      <c r="D3852" s="65"/>
      <c r="E3852" s="66"/>
      <c r="F3852" s="67"/>
      <c r="G3852" s="64"/>
      <c r="H3852" s="68"/>
      <c r="I3852" s="69"/>
      <c r="J3852" s="69"/>
      <c r="K3852" s="32"/>
      <c r="L3852" s="76">
        <v>3852</v>
      </c>
      <c r="M3852" s="76"/>
      <c r="N3852" s="71"/>
      <c r="O3852" s="87" t="s">
        <v>1841</v>
      </c>
      <c r="P3852" s="90">
        <v>45188.954837962963</v>
      </c>
      <c r="Q3852" s="87" t="s">
        <v>5506</v>
      </c>
      <c r="R3852" s="87">
        <v>1</v>
      </c>
      <c r="S3852" s="87">
        <v>0</v>
      </c>
      <c r="T3852" s="87">
        <v>0</v>
      </c>
      <c r="U3852" s="87">
        <v>0</v>
      </c>
      <c r="V3852" s="87"/>
      <c r="W3852" s="93" t="s">
        <v>8110</v>
      </c>
      <c r="X3852" s="92" t="str">
        <f>HYPERLINK("https://guiadeti.com.br/curso-marketing-digital-gratuito-globo/?feed_id=8472&amp;_unique_id=650a18aa0d557")</f>
        <v>https://guiadeti.com.br/curso-marketing-digital-gratuito-globo/?feed_id=8472&amp;_unique_id=650a18aa0d557</v>
      </c>
      <c r="Y3852" s="87" t="s">
        <v>8373</v>
      </c>
      <c r="Z3852" s="87" t="s">
        <v>1490</v>
      </c>
      <c r="AA3852" s="87"/>
      <c r="AB3852" s="87"/>
      <c r="AC3852" s="93" t="s">
        <v>11457</v>
      </c>
      <c r="AD3852" s="87" t="s">
        <v>11519</v>
      </c>
      <c r="AE3852" s="92" t="str">
        <f>HYPERLINK("https://twitter.com/samiratoraman_/status/1704267868299231424")</f>
        <v>https://twitter.com/samiratoraman_/status/1704267868299231424</v>
      </c>
      <c r="AF3852" s="90">
        <v>45188.954837962963</v>
      </c>
      <c r="AG3852" s="99">
        <v>45188</v>
      </c>
      <c r="AH3852" s="93" t="s">
        <v>14922</v>
      </c>
      <c r="AI3852" s="87" t="b">
        <v>0</v>
      </c>
      <c r="AJ3852" s="87"/>
      <c r="AK3852" s="87"/>
      <c r="AL3852" s="87"/>
      <c r="AM3852" s="87"/>
      <c r="AN3852" s="87"/>
      <c r="AO3852" s="87"/>
      <c r="AP3852" s="87"/>
      <c r="AQ3852" s="87"/>
      <c r="AR3852" s="87"/>
      <c r="AS3852" s="87"/>
      <c r="AT3852" s="87"/>
      <c r="AU3852" s="87"/>
      <c r="AV3852" s="92" t="str">
        <f>HYPERLINK("https://pbs.twimg.com/profile_images/1701702748792606720/MgjtC4Dk_normal.jpg")</f>
        <v>https://pbs.twimg.com/profile_images/1701702748792606720/MgjtC4Dk_normal.jpg</v>
      </c>
      <c r="AW3852" s="93" t="s">
        <v>21962</v>
      </c>
      <c r="AX3852" s="93" t="s">
        <v>21962</v>
      </c>
      <c r="AY3852" s="87"/>
      <c r="AZ3852" s="93" t="s">
        <v>22668</v>
      </c>
      <c r="BA3852" s="93" t="s">
        <v>22668</v>
      </c>
      <c r="BB3852" s="93" t="s">
        <v>21958</v>
      </c>
      <c r="BC3852" s="93" t="s">
        <v>21958</v>
      </c>
      <c r="BD3852" s="93" t="s">
        <v>23532</v>
      </c>
      <c r="BE3852" s="87"/>
      <c r="BF3852" s="87"/>
      <c r="BG3852" s="87"/>
      <c r="BH3852" s="87"/>
      <c r="BI3852" s="87"/>
    </row>
    <row r="3853" spans="1:61" x14ac:dyDescent="0.25">
      <c r="A3853" s="63" t="s">
        <v>1491</v>
      </c>
      <c r="B3853" s="63" t="s">
        <v>1490</v>
      </c>
      <c r="C3853" s="64"/>
      <c r="D3853" s="65"/>
      <c r="E3853" s="66"/>
      <c r="F3853" s="67"/>
      <c r="G3853" s="64"/>
      <c r="H3853" s="68"/>
      <c r="I3853" s="69"/>
      <c r="J3853" s="69"/>
      <c r="K3853" s="32"/>
      <c r="L3853" s="76">
        <v>3853</v>
      </c>
      <c r="M3853" s="76"/>
      <c r="N3853" s="71"/>
      <c r="O3853" s="87" t="s">
        <v>1841</v>
      </c>
      <c r="P3853" s="90">
        <v>45188.953506944446</v>
      </c>
      <c r="Q3853" s="87" t="s">
        <v>5507</v>
      </c>
      <c r="R3853" s="87">
        <v>1</v>
      </c>
      <c r="S3853" s="87">
        <v>0</v>
      </c>
      <c r="T3853" s="87">
        <v>0</v>
      </c>
      <c r="U3853" s="87">
        <v>0</v>
      </c>
      <c r="V3853" s="87"/>
      <c r="W3853" s="93" t="s">
        <v>8111</v>
      </c>
      <c r="X3853" s="92" t="str">
        <f>HYPERLINK("https://guiadeti.com.br/curso-empreendedorismo-digital-gratuito/?feed_id=8504&amp;_unique_id=650a1a03dbccd")</f>
        <v>https://guiadeti.com.br/curso-empreendedorismo-digital-gratuito/?feed_id=8504&amp;_unique_id=650a1a03dbccd</v>
      </c>
      <c r="Y3853" s="87" t="s">
        <v>8373</v>
      </c>
      <c r="Z3853" s="87" t="s">
        <v>1490</v>
      </c>
      <c r="AA3853" s="87"/>
      <c r="AB3853" s="87"/>
      <c r="AC3853" s="93" t="s">
        <v>11457</v>
      </c>
      <c r="AD3853" s="87" t="s">
        <v>11519</v>
      </c>
      <c r="AE3853" s="92" t="str">
        <f>HYPERLINK("https://twitter.com/samiratoraman_/status/1704267386025627767")</f>
        <v>https://twitter.com/samiratoraman_/status/1704267386025627767</v>
      </c>
      <c r="AF3853" s="90">
        <v>45188.953506944446</v>
      </c>
      <c r="AG3853" s="99">
        <v>45188</v>
      </c>
      <c r="AH3853" s="93" t="s">
        <v>14923</v>
      </c>
      <c r="AI3853" s="87" t="b">
        <v>0</v>
      </c>
      <c r="AJ3853" s="87"/>
      <c r="AK3853" s="87"/>
      <c r="AL3853" s="87"/>
      <c r="AM3853" s="87"/>
      <c r="AN3853" s="87"/>
      <c r="AO3853" s="87"/>
      <c r="AP3853" s="87"/>
      <c r="AQ3853" s="87"/>
      <c r="AR3853" s="87"/>
      <c r="AS3853" s="87"/>
      <c r="AT3853" s="87"/>
      <c r="AU3853" s="87"/>
      <c r="AV3853" s="92" t="str">
        <f>HYPERLINK("https://pbs.twimg.com/profile_images/1701702748792606720/MgjtC4Dk_normal.jpg")</f>
        <v>https://pbs.twimg.com/profile_images/1701702748792606720/MgjtC4Dk_normal.jpg</v>
      </c>
      <c r="AW3853" s="93" t="s">
        <v>21963</v>
      </c>
      <c r="AX3853" s="93" t="s">
        <v>21963</v>
      </c>
      <c r="AY3853" s="87"/>
      <c r="AZ3853" s="93" t="s">
        <v>22668</v>
      </c>
      <c r="BA3853" s="93" t="s">
        <v>22668</v>
      </c>
      <c r="BB3853" s="93" t="s">
        <v>21959</v>
      </c>
      <c r="BC3853" s="93" t="s">
        <v>21959</v>
      </c>
      <c r="BD3853" s="93" t="s">
        <v>23532</v>
      </c>
      <c r="BE3853" s="87"/>
      <c r="BF3853" s="87"/>
      <c r="BG3853" s="87"/>
      <c r="BH3853" s="87"/>
      <c r="BI3853" s="87"/>
    </row>
    <row r="3854" spans="1:61" x14ac:dyDescent="0.25">
      <c r="A3854" s="63" t="s">
        <v>1492</v>
      </c>
      <c r="B3854" s="63" t="s">
        <v>1492</v>
      </c>
      <c r="C3854" s="64"/>
      <c r="D3854" s="65"/>
      <c r="E3854" s="66"/>
      <c r="F3854" s="67"/>
      <c r="G3854" s="64"/>
      <c r="H3854" s="68"/>
      <c r="I3854" s="69"/>
      <c r="J3854" s="69"/>
      <c r="K3854" s="32"/>
      <c r="L3854" s="76">
        <v>3854</v>
      </c>
      <c r="M3854" s="76"/>
      <c r="N3854" s="71"/>
      <c r="O3854" s="87" t="s">
        <v>179</v>
      </c>
      <c r="P3854" s="90">
        <v>45127.07403935185</v>
      </c>
      <c r="Q3854" s="87" t="s">
        <v>5508</v>
      </c>
      <c r="R3854" s="87">
        <v>0</v>
      </c>
      <c r="S3854" s="87">
        <v>1</v>
      </c>
      <c r="T3854" s="87">
        <v>0</v>
      </c>
      <c r="U3854" s="87">
        <v>0</v>
      </c>
      <c r="V3854" s="87">
        <v>88</v>
      </c>
      <c r="W3854" s="93" t="s">
        <v>8112</v>
      </c>
      <c r="X3854" s="87"/>
      <c r="Y3854" s="87"/>
      <c r="Z3854" s="87"/>
      <c r="AA3854" s="87"/>
      <c r="AB3854" s="87"/>
      <c r="AC3854" s="93" t="s">
        <v>11459</v>
      </c>
      <c r="AD3854" s="87" t="s">
        <v>11519</v>
      </c>
      <c r="AE3854" s="92" t="str">
        <f>HYPERLINK("https://twitter.com/jraraujjo/status/1681843020906262528")</f>
        <v>https://twitter.com/jraraujjo/status/1681843020906262528</v>
      </c>
      <c r="AF3854" s="90">
        <v>45127.07403935185</v>
      </c>
      <c r="AG3854" s="99">
        <v>45127</v>
      </c>
      <c r="AH3854" s="93" t="s">
        <v>14924</v>
      </c>
      <c r="AI3854" s="87"/>
      <c r="AJ3854" s="87"/>
      <c r="AK3854" s="87"/>
      <c r="AL3854" s="87"/>
      <c r="AM3854" s="87"/>
      <c r="AN3854" s="87"/>
      <c r="AO3854" s="87"/>
      <c r="AP3854" s="87"/>
      <c r="AQ3854" s="87"/>
      <c r="AR3854" s="87"/>
      <c r="AS3854" s="87"/>
      <c r="AT3854" s="87"/>
      <c r="AU3854" s="87"/>
      <c r="AV3854" s="92" t="str">
        <f>HYPERLINK("https://pbs.twimg.com/profile_images/1620916162400862209/JFPzOdNZ_normal.jpg")</f>
        <v>https://pbs.twimg.com/profile_images/1620916162400862209/JFPzOdNZ_normal.jpg</v>
      </c>
      <c r="AW3854" s="93" t="s">
        <v>21964</v>
      </c>
      <c r="AX3854" s="93" t="s">
        <v>21964</v>
      </c>
      <c r="AY3854" s="87"/>
      <c r="AZ3854" s="93" t="s">
        <v>22668</v>
      </c>
      <c r="BA3854" s="93" t="s">
        <v>22668</v>
      </c>
      <c r="BB3854" s="93" t="s">
        <v>22668</v>
      </c>
      <c r="BC3854" s="93" t="s">
        <v>21964</v>
      </c>
      <c r="BD3854" s="87">
        <v>2462283445</v>
      </c>
      <c r="BE3854" s="87"/>
      <c r="BF3854" s="87"/>
      <c r="BG3854" s="87"/>
      <c r="BH3854" s="87"/>
      <c r="BI3854" s="87"/>
    </row>
    <row r="3855" spans="1:61" x14ac:dyDescent="0.25">
      <c r="A3855" s="63" t="s">
        <v>1493</v>
      </c>
      <c r="B3855" s="63" t="s">
        <v>1493</v>
      </c>
      <c r="C3855" s="64"/>
      <c r="D3855" s="65"/>
      <c r="E3855" s="66"/>
      <c r="F3855" s="67"/>
      <c r="G3855" s="64"/>
      <c r="H3855" s="68"/>
      <c r="I3855" s="69"/>
      <c r="J3855" s="69"/>
      <c r="K3855" s="32"/>
      <c r="L3855" s="76">
        <v>3855</v>
      </c>
      <c r="M3855" s="76"/>
      <c r="N3855" s="71"/>
      <c r="O3855" s="87" t="s">
        <v>179</v>
      </c>
      <c r="P3855" s="90">
        <v>45131.774305555555</v>
      </c>
      <c r="Q3855" s="87" t="s">
        <v>5509</v>
      </c>
      <c r="R3855" s="87">
        <v>0</v>
      </c>
      <c r="S3855" s="87">
        <v>0</v>
      </c>
      <c r="T3855" s="87">
        <v>0</v>
      </c>
      <c r="U3855" s="87">
        <v>0</v>
      </c>
      <c r="V3855" s="87">
        <v>25</v>
      </c>
      <c r="W3855" s="93" t="s">
        <v>8113</v>
      </c>
      <c r="X3855" s="87"/>
      <c r="Y3855" s="87"/>
      <c r="Z3855" s="87"/>
      <c r="AA3855" s="87" t="s">
        <v>11214</v>
      </c>
      <c r="AB3855" s="87" t="s">
        <v>11450</v>
      </c>
      <c r="AC3855" s="93" t="s">
        <v>11457</v>
      </c>
      <c r="AD3855" s="87" t="s">
        <v>11519</v>
      </c>
      <c r="AE3855" s="92" t="str">
        <f>HYPERLINK("https://twitter.com/economiavalendo/status/1683546336585457679")</f>
        <v>https://twitter.com/economiavalendo/status/1683546336585457679</v>
      </c>
      <c r="AF3855" s="90">
        <v>45131.774305555555</v>
      </c>
      <c r="AG3855" s="99">
        <v>45131</v>
      </c>
      <c r="AH3855" s="93" t="s">
        <v>14925</v>
      </c>
      <c r="AI3855" s="87" t="b">
        <v>0</v>
      </c>
      <c r="AJ3855" s="87"/>
      <c r="AK3855" s="87"/>
      <c r="AL3855" s="87"/>
      <c r="AM3855" s="87"/>
      <c r="AN3855" s="87"/>
      <c r="AO3855" s="87"/>
      <c r="AP3855" s="87"/>
      <c r="AQ3855" s="87" t="s">
        <v>18026</v>
      </c>
      <c r="AR3855" s="87"/>
      <c r="AS3855" s="87"/>
      <c r="AT3855" s="87"/>
      <c r="AU3855" s="87"/>
      <c r="AV3855" s="92" t="str">
        <f>HYPERLINK("https://pbs.twimg.com/media/F10oaOSWIAgJK4v.jpg")</f>
        <v>https://pbs.twimg.com/media/F10oaOSWIAgJK4v.jpg</v>
      </c>
      <c r="AW3855" s="93" t="s">
        <v>21965</v>
      </c>
      <c r="AX3855" s="93" t="s">
        <v>21965</v>
      </c>
      <c r="AY3855" s="87"/>
      <c r="AZ3855" s="93" t="s">
        <v>22668</v>
      </c>
      <c r="BA3855" s="93" t="s">
        <v>22668</v>
      </c>
      <c r="BB3855" s="93" t="s">
        <v>22668</v>
      </c>
      <c r="BC3855" s="93" t="s">
        <v>21965</v>
      </c>
      <c r="BD3855" s="93" t="s">
        <v>23533</v>
      </c>
      <c r="BE3855" s="87"/>
      <c r="BF3855" s="87"/>
      <c r="BG3855" s="87"/>
      <c r="BH3855" s="87"/>
      <c r="BI3855" s="87"/>
    </row>
    <row r="3856" spans="1:61" x14ac:dyDescent="0.25">
      <c r="A3856" s="63" t="s">
        <v>1494</v>
      </c>
      <c r="B3856" s="63" t="s">
        <v>1494</v>
      </c>
      <c r="C3856" s="64"/>
      <c r="D3856" s="65"/>
      <c r="E3856" s="66"/>
      <c r="F3856" s="67"/>
      <c r="G3856" s="64"/>
      <c r="H3856" s="68"/>
      <c r="I3856" s="69"/>
      <c r="J3856" s="69"/>
      <c r="K3856" s="32"/>
      <c r="L3856" s="76">
        <v>3856</v>
      </c>
      <c r="M3856" s="76"/>
      <c r="N3856" s="71"/>
      <c r="O3856" s="87" t="s">
        <v>179</v>
      </c>
      <c r="P3856" s="90">
        <v>45173.791828703703</v>
      </c>
      <c r="Q3856" s="87" t="s">
        <v>5510</v>
      </c>
      <c r="R3856" s="87">
        <v>0</v>
      </c>
      <c r="S3856" s="87">
        <v>0</v>
      </c>
      <c r="T3856" s="87">
        <v>0</v>
      </c>
      <c r="U3856" s="87">
        <v>0</v>
      </c>
      <c r="V3856" s="87">
        <v>23</v>
      </c>
      <c r="W3856" s="93" t="s">
        <v>8114</v>
      </c>
      <c r="X3856" s="92" t="str">
        <f>HYPERLINK("http://tourismcolab.pt")</f>
        <v>http://tourismcolab.pt</v>
      </c>
      <c r="Y3856" s="87" t="s">
        <v>8546</v>
      </c>
      <c r="Z3856" s="87"/>
      <c r="AA3856" s="87" t="s">
        <v>11215</v>
      </c>
      <c r="AB3856" s="87" t="s">
        <v>11448</v>
      </c>
      <c r="AC3856" s="93" t="s">
        <v>11499</v>
      </c>
      <c r="AD3856" s="87" t="s">
        <v>11519</v>
      </c>
      <c r="AE3856" s="92" t="str">
        <f>HYPERLINK("https://twitter.com/ctcvcoimbra/status/1698772978081698182")</f>
        <v>https://twitter.com/ctcvcoimbra/status/1698772978081698182</v>
      </c>
      <c r="AF3856" s="90">
        <v>45173.791828703703</v>
      </c>
      <c r="AG3856" s="99">
        <v>45173</v>
      </c>
      <c r="AH3856" s="93" t="s">
        <v>14926</v>
      </c>
      <c r="AI3856" s="87" t="b">
        <v>0</v>
      </c>
      <c r="AJ3856" s="87"/>
      <c r="AK3856" s="87"/>
      <c r="AL3856" s="87"/>
      <c r="AM3856" s="87"/>
      <c r="AN3856" s="87"/>
      <c r="AO3856" s="87"/>
      <c r="AP3856" s="87"/>
      <c r="AQ3856" s="87" t="s">
        <v>18027</v>
      </c>
      <c r="AR3856" s="87"/>
      <c r="AS3856" s="87"/>
      <c r="AT3856" s="87"/>
      <c r="AU3856" s="87"/>
      <c r="AV3856" s="92" t="str">
        <f>HYPERLINK("https://pbs.twimg.com/media/F5NBBSDWUAACLD0.jpg")</f>
        <v>https://pbs.twimg.com/media/F5NBBSDWUAACLD0.jpg</v>
      </c>
      <c r="AW3856" s="93" t="s">
        <v>21966</v>
      </c>
      <c r="AX3856" s="93" t="s">
        <v>21966</v>
      </c>
      <c r="AY3856" s="87"/>
      <c r="AZ3856" s="93" t="s">
        <v>22668</v>
      </c>
      <c r="BA3856" s="93" t="s">
        <v>22668</v>
      </c>
      <c r="BB3856" s="93" t="s">
        <v>22668</v>
      </c>
      <c r="BC3856" s="93" t="s">
        <v>21966</v>
      </c>
      <c r="BD3856" s="93" t="s">
        <v>23534</v>
      </c>
      <c r="BE3856" s="87"/>
      <c r="BF3856" s="87"/>
      <c r="BG3856" s="87"/>
      <c r="BH3856" s="87"/>
      <c r="BI3856" s="87"/>
    </row>
    <row r="3857" spans="1:61" x14ac:dyDescent="0.25">
      <c r="A3857" s="63" t="s">
        <v>1494</v>
      </c>
      <c r="B3857" s="63" t="s">
        <v>1494</v>
      </c>
      <c r="C3857" s="64"/>
      <c r="D3857" s="65"/>
      <c r="E3857" s="66"/>
      <c r="F3857" s="67"/>
      <c r="G3857" s="64"/>
      <c r="H3857" s="68"/>
      <c r="I3857" s="69"/>
      <c r="J3857" s="69"/>
      <c r="K3857" s="32"/>
      <c r="L3857" s="76">
        <v>3857</v>
      </c>
      <c r="M3857" s="76"/>
      <c r="N3857" s="71"/>
      <c r="O3857" s="87" t="s">
        <v>179</v>
      </c>
      <c r="P3857" s="90">
        <v>45170.729675925926</v>
      </c>
      <c r="Q3857" s="87" t="s">
        <v>5511</v>
      </c>
      <c r="R3857" s="87">
        <v>0</v>
      </c>
      <c r="S3857" s="87">
        <v>0</v>
      </c>
      <c r="T3857" s="87">
        <v>0</v>
      </c>
      <c r="U3857" s="87">
        <v>0</v>
      </c>
      <c r="V3857" s="87">
        <v>24</v>
      </c>
      <c r="W3857" s="93" t="s">
        <v>8114</v>
      </c>
      <c r="X3857" s="92" t="str">
        <f>HYPERLINK("http://www.tourismcolab.pt")</f>
        <v>http://www.tourismcolab.pt</v>
      </c>
      <c r="Y3857" s="87" t="s">
        <v>8546</v>
      </c>
      <c r="Z3857" s="87"/>
      <c r="AA3857" s="87" t="s">
        <v>11216</v>
      </c>
      <c r="AB3857" s="87" t="s">
        <v>11448</v>
      </c>
      <c r="AC3857" s="93" t="s">
        <v>11499</v>
      </c>
      <c r="AD3857" s="87" t="s">
        <v>11519</v>
      </c>
      <c r="AE3857" s="92" t="str">
        <f>HYPERLINK("https://twitter.com/ctcvcoimbra/status/1697663289973424540")</f>
        <v>https://twitter.com/ctcvcoimbra/status/1697663289973424540</v>
      </c>
      <c r="AF3857" s="90">
        <v>45170.729675925926</v>
      </c>
      <c r="AG3857" s="99">
        <v>45170</v>
      </c>
      <c r="AH3857" s="93" t="s">
        <v>14927</v>
      </c>
      <c r="AI3857" s="87" t="b">
        <v>0</v>
      </c>
      <c r="AJ3857" s="87"/>
      <c r="AK3857" s="87"/>
      <c r="AL3857" s="87"/>
      <c r="AM3857" s="87"/>
      <c r="AN3857" s="87"/>
      <c r="AO3857" s="87"/>
      <c r="AP3857" s="87"/>
      <c r="AQ3857" s="87" t="s">
        <v>18028</v>
      </c>
      <c r="AR3857" s="87"/>
      <c r="AS3857" s="87"/>
      <c r="AT3857" s="87"/>
      <c r="AU3857" s="87"/>
      <c r="AV3857" s="92" t="str">
        <f>HYPERLINK("https://pbs.twimg.com/media/F49Pw8BX0AAXJIO.jpg")</f>
        <v>https://pbs.twimg.com/media/F49Pw8BX0AAXJIO.jpg</v>
      </c>
      <c r="AW3857" s="93" t="s">
        <v>21967</v>
      </c>
      <c r="AX3857" s="93" t="s">
        <v>21967</v>
      </c>
      <c r="AY3857" s="87"/>
      <c r="AZ3857" s="93" t="s">
        <v>22668</v>
      </c>
      <c r="BA3857" s="93" t="s">
        <v>22668</v>
      </c>
      <c r="BB3857" s="93" t="s">
        <v>22668</v>
      </c>
      <c r="BC3857" s="93" t="s">
        <v>21967</v>
      </c>
      <c r="BD3857" s="93" t="s">
        <v>23534</v>
      </c>
      <c r="BE3857" s="87"/>
      <c r="BF3857" s="87"/>
      <c r="BG3857" s="87"/>
      <c r="BH3857" s="87"/>
      <c r="BI3857" s="87"/>
    </row>
    <row r="3858" spans="1:61" x14ac:dyDescent="0.25">
      <c r="A3858" s="63" t="s">
        <v>1494</v>
      </c>
      <c r="B3858" s="63" t="s">
        <v>1494</v>
      </c>
      <c r="C3858" s="64"/>
      <c r="D3858" s="65"/>
      <c r="E3858" s="66"/>
      <c r="F3858" s="67"/>
      <c r="G3858" s="64"/>
      <c r="H3858" s="68"/>
      <c r="I3858" s="69"/>
      <c r="J3858" s="69"/>
      <c r="K3858" s="32"/>
      <c r="L3858" s="76">
        <v>3858</v>
      </c>
      <c r="M3858" s="76"/>
      <c r="N3858" s="71"/>
      <c r="O3858" s="87" t="s">
        <v>179</v>
      </c>
      <c r="P3858" s="90">
        <v>45176.541956018518</v>
      </c>
      <c r="Q3858" s="87" t="s">
        <v>5512</v>
      </c>
      <c r="R3858" s="87">
        <v>0</v>
      </c>
      <c r="S3858" s="87">
        <v>0</v>
      </c>
      <c r="T3858" s="87">
        <v>0</v>
      </c>
      <c r="U3858" s="87">
        <v>0</v>
      </c>
      <c r="V3858" s="87">
        <v>14</v>
      </c>
      <c r="W3858" s="93" t="s">
        <v>8114</v>
      </c>
      <c r="X3858" s="92" t="str">
        <f>HYPERLINK("http://tourismcolab.pt")</f>
        <v>http://tourismcolab.pt</v>
      </c>
      <c r="Y3858" s="87" t="s">
        <v>8546</v>
      </c>
      <c r="Z3858" s="87"/>
      <c r="AA3858" s="87" t="s">
        <v>11217</v>
      </c>
      <c r="AB3858" s="87" t="s">
        <v>11448</v>
      </c>
      <c r="AC3858" s="93" t="s">
        <v>11499</v>
      </c>
      <c r="AD3858" s="87" t="s">
        <v>11519</v>
      </c>
      <c r="AE3858" s="92" t="str">
        <f>HYPERLINK("https://twitter.com/ctcvcoimbra/status/1699769590698459459")</f>
        <v>https://twitter.com/ctcvcoimbra/status/1699769590698459459</v>
      </c>
      <c r="AF3858" s="90">
        <v>45176.541956018518</v>
      </c>
      <c r="AG3858" s="99">
        <v>45176</v>
      </c>
      <c r="AH3858" s="93" t="s">
        <v>14928</v>
      </c>
      <c r="AI3858" s="87" t="b">
        <v>0</v>
      </c>
      <c r="AJ3858" s="87"/>
      <c r="AK3858" s="87"/>
      <c r="AL3858" s="87"/>
      <c r="AM3858" s="87"/>
      <c r="AN3858" s="87"/>
      <c r="AO3858" s="87"/>
      <c r="AP3858" s="87"/>
      <c r="AQ3858" s="87" t="s">
        <v>18029</v>
      </c>
      <c r="AR3858" s="87"/>
      <c r="AS3858" s="87"/>
      <c r="AT3858" s="87"/>
      <c r="AU3858" s="87"/>
      <c r="AV3858" s="92" t="str">
        <f>HYPERLINK("https://pbs.twimg.com/media/F5bLbyBXYAAu9J0.jpg")</f>
        <v>https://pbs.twimg.com/media/F5bLbyBXYAAu9J0.jpg</v>
      </c>
      <c r="AW3858" s="93" t="s">
        <v>21968</v>
      </c>
      <c r="AX3858" s="93" t="s">
        <v>21968</v>
      </c>
      <c r="AY3858" s="87"/>
      <c r="AZ3858" s="93" t="s">
        <v>22668</v>
      </c>
      <c r="BA3858" s="93" t="s">
        <v>22668</v>
      </c>
      <c r="BB3858" s="93" t="s">
        <v>22668</v>
      </c>
      <c r="BC3858" s="93" t="s">
        <v>21968</v>
      </c>
      <c r="BD3858" s="93" t="s">
        <v>23534</v>
      </c>
      <c r="BE3858" s="87"/>
      <c r="BF3858" s="87"/>
      <c r="BG3858" s="87"/>
      <c r="BH3858" s="87"/>
      <c r="BI3858" s="87"/>
    </row>
    <row r="3859" spans="1:61" x14ac:dyDescent="0.25">
      <c r="A3859" s="63" t="s">
        <v>1494</v>
      </c>
      <c r="B3859" s="63" t="s">
        <v>1494</v>
      </c>
      <c r="C3859" s="64"/>
      <c r="D3859" s="65"/>
      <c r="E3859" s="66"/>
      <c r="F3859" s="67"/>
      <c r="G3859" s="64"/>
      <c r="H3859" s="68"/>
      <c r="I3859" s="69"/>
      <c r="J3859" s="69"/>
      <c r="K3859" s="32"/>
      <c r="L3859" s="76">
        <v>3859</v>
      </c>
      <c r="M3859" s="76"/>
      <c r="N3859" s="71"/>
      <c r="O3859" s="87" t="s">
        <v>179</v>
      </c>
      <c r="P3859" s="90">
        <v>45181.792256944442</v>
      </c>
      <c r="Q3859" s="87" t="s">
        <v>5513</v>
      </c>
      <c r="R3859" s="87">
        <v>0</v>
      </c>
      <c r="S3859" s="87">
        <v>0</v>
      </c>
      <c r="T3859" s="87">
        <v>0</v>
      </c>
      <c r="U3859" s="87">
        <v>0</v>
      </c>
      <c r="V3859" s="87">
        <v>15</v>
      </c>
      <c r="W3859" s="93" t="s">
        <v>8114</v>
      </c>
      <c r="X3859" s="92" t="str">
        <f>HYPERLINK("http://tourismcolab.pt")</f>
        <v>http://tourismcolab.pt</v>
      </c>
      <c r="Y3859" s="87" t="s">
        <v>8546</v>
      </c>
      <c r="Z3859" s="87"/>
      <c r="AA3859" s="87" t="s">
        <v>11218</v>
      </c>
      <c r="AB3859" s="87" t="s">
        <v>11448</v>
      </c>
      <c r="AC3859" s="93" t="s">
        <v>11499</v>
      </c>
      <c r="AD3859" s="87" t="s">
        <v>11519</v>
      </c>
      <c r="AE3859" s="92" t="str">
        <f>HYPERLINK("https://twitter.com/ctcvcoimbra/status/1701672239047827849")</f>
        <v>https://twitter.com/ctcvcoimbra/status/1701672239047827849</v>
      </c>
      <c r="AF3859" s="90">
        <v>45181.792256944442</v>
      </c>
      <c r="AG3859" s="99">
        <v>45181</v>
      </c>
      <c r="AH3859" s="93" t="s">
        <v>13925</v>
      </c>
      <c r="AI3859" s="87" t="b">
        <v>0</v>
      </c>
      <c r="AJ3859" s="87"/>
      <c r="AK3859" s="87"/>
      <c r="AL3859" s="87"/>
      <c r="AM3859" s="87"/>
      <c r="AN3859" s="87"/>
      <c r="AO3859" s="87"/>
      <c r="AP3859" s="87"/>
      <c r="AQ3859" s="87" t="s">
        <v>18030</v>
      </c>
      <c r="AR3859" s="87"/>
      <c r="AS3859" s="87"/>
      <c r="AT3859" s="87"/>
      <c r="AU3859" s="87"/>
      <c r="AV3859" s="92" t="str">
        <f>HYPERLINK("https://pbs.twimg.com/media/F52N4g5XEAET1Tj.jpg")</f>
        <v>https://pbs.twimg.com/media/F52N4g5XEAET1Tj.jpg</v>
      </c>
      <c r="AW3859" s="93" t="s">
        <v>21969</v>
      </c>
      <c r="AX3859" s="93" t="s">
        <v>21969</v>
      </c>
      <c r="AY3859" s="87"/>
      <c r="AZ3859" s="93" t="s">
        <v>22668</v>
      </c>
      <c r="BA3859" s="93" t="s">
        <v>22668</v>
      </c>
      <c r="BB3859" s="93" t="s">
        <v>22668</v>
      </c>
      <c r="BC3859" s="93" t="s">
        <v>21969</v>
      </c>
      <c r="BD3859" s="93" t="s">
        <v>23534</v>
      </c>
      <c r="BE3859" s="87"/>
      <c r="BF3859" s="87"/>
      <c r="BG3859" s="87"/>
      <c r="BH3859" s="87"/>
      <c r="BI3859" s="87"/>
    </row>
    <row r="3860" spans="1:61" x14ac:dyDescent="0.25">
      <c r="A3860" s="63" t="s">
        <v>1494</v>
      </c>
      <c r="B3860" s="63" t="s">
        <v>1494</v>
      </c>
      <c r="C3860" s="64"/>
      <c r="D3860" s="65"/>
      <c r="E3860" s="66"/>
      <c r="F3860" s="67"/>
      <c r="G3860" s="64"/>
      <c r="H3860" s="68"/>
      <c r="I3860" s="69"/>
      <c r="J3860" s="69"/>
      <c r="K3860" s="32"/>
      <c r="L3860" s="76">
        <v>3860</v>
      </c>
      <c r="M3860" s="76"/>
      <c r="N3860" s="71"/>
      <c r="O3860" s="87" t="s">
        <v>179</v>
      </c>
      <c r="P3860" s="90">
        <v>45188.625185185185</v>
      </c>
      <c r="Q3860" s="87" t="s">
        <v>5514</v>
      </c>
      <c r="R3860" s="87">
        <v>0</v>
      </c>
      <c r="S3860" s="87">
        <v>0</v>
      </c>
      <c r="T3860" s="87">
        <v>0</v>
      </c>
      <c r="U3860" s="87">
        <v>0</v>
      </c>
      <c r="V3860" s="87">
        <v>7</v>
      </c>
      <c r="W3860" s="93" t="s">
        <v>8114</v>
      </c>
      <c r="X3860" s="92" t="str">
        <f>HYPERLINK("http://tourismcolab.pt")</f>
        <v>http://tourismcolab.pt</v>
      </c>
      <c r="Y3860" s="87" t="s">
        <v>8546</v>
      </c>
      <c r="Z3860" s="87"/>
      <c r="AA3860" s="87" t="s">
        <v>11219</v>
      </c>
      <c r="AB3860" s="87" t="s">
        <v>11448</v>
      </c>
      <c r="AC3860" s="93" t="s">
        <v>11499</v>
      </c>
      <c r="AD3860" s="87" t="s">
        <v>11519</v>
      </c>
      <c r="AE3860" s="92" t="str">
        <f>HYPERLINK("https://twitter.com/ctcvcoimbra/status/1704148407663702046")</f>
        <v>https://twitter.com/ctcvcoimbra/status/1704148407663702046</v>
      </c>
      <c r="AF3860" s="90">
        <v>45188.625185185185</v>
      </c>
      <c r="AG3860" s="99">
        <v>45188</v>
      </c>
      <c r="AH3860" s="93" t="s">
        <v>12721</v>
      </c>
      <c r="AI3860" s="87" t="b">
        <v>0</v>
      </c>
      <c r="AJ3860" s="87"/>
      <c r="AK3860" s="87"/>
      <c r="AL3860" s="87"/>
      <c r="AM3860" s="87"/>
      <c r="AN3860" s="87"/>
      <c r="AO3860" s="87"/>
      <c r="AP3860" s="87"/>
      <c r="AQ3860" s="87" t="s">
        <v>18031</v>
      </c>
      <c r="AR3860" s="87"/>
      <c r="AS3860" s="87"/>
      <c r="AT3860" s="87"/>
      <c r="AU3860" s="87"/>
      <c r="AV3860" s="92" t="str">
        <f>HYPERLINK("https://pbs.twimg.com/media/F6ZZ8eAWUAEhPuy.jpg")</f>
        <v>https://pbs.twimg.com/media/F6ZZ8eAWUAEhPuy.jpg</v>
      </c>
      <c r="AW3860" s="93" t="s">
        <v>21970</v>
      </c>
      <c r="AX3860" s="93" t="s">
        <v>21970</v>
      </c>
      <c r="AY3860" s="87"/>
      <c r="AZ3860" s="93" t="s">
        <v>22668</v>
      </c>
      <c r="BA3860" s="93" t="s">
        <v>22668</v>
      </c>
      <c r="BB3860" s="93" t="s">
        <v>22668</v>
      </c>
      <c r="BC3860" s="93" t="s">
        <v>21970</v>
      </c>
      <c r="BD3860" s="93" t="s">
        <v>23534</v>
      </c>
      <c r="BE3860" s="87"/>
      <c r="BF3860" s="87"/>
      <c r="BG3860" s="87"/>
      <c r="BH3860" s="87"/>
      <c r="BI3860" s="87"/>
    </row>
    <row r="3861" spans="1:61" x14ac:dyDescent="0.25">
      <c r="A3861" s="63" t="s">
        <v>1494</v>
      </c>
      <c r="B3861" s="63" t="s">
        <v>1494</v>
      </c>
      <c r="C3861" s="64"/>
      <c r="D3861" s="65"/>
      <c r="E3861" s="66"/>
      <c r="F3861" s="67"/>
      <c r="G3861" s="64"/>
      <c r="H3861" s="68"/>
      <c r="I3861" s="69"/>
      <c r="J3861" s="69"/>
      <c r="K3861" s="32"/>
      <c r="L3861" s="76">
        <v>3861</v>
      </c>
      <c r="M3861" s="76"/>
      <c r="N3861" s="71"/>
      <c r="O3861" s="87" t="s">
        <v>179</v>
      </c>
      <c r="P3861" s="90">
        <v>45195.70853009259</v>
      </c>
      <c r="Q3861" s="87" t="s">
        <v>5515</v>
      </c>
      <c r="R3861" s="87">
        <v>0</v>
      </c>
      <c r="S3861" s="87">
        <v>0</v>
      </c>
      <c r="T3861" s="87">
        <v>0</v>
      </c>
      <c r="U3861" s="87">
        <v>0</v>
      </c>
      <c r="V3861" s="87">
        <v>4</v>
      </c>
      <c r="W3861" s="93" t="s">
        <v>8114</v>
      </c>
      <c r="X3861" s="92" t="str">
        <f>HYPERLINK("http://tourismcolab.pt")</f>
        <v>http://tourismcolab.pt</v>
      </c>
      <c r="Y3861" s="87" t="s">
        <v>8546</v>
      </c>
      <c r="Z3861" s="87"/>
      <c r="AA3861" s="87" t="s">
        <v>11220</v>
      </c>
      <c r="AB3861" s="87" t="s">
        <v>11448</v>
      </c>
      <c r="AC3861" s="93" t="s">
        <v>11499</v>
      </c>
      <c r="AD3861" s="87" t="s">
        <v>11519</v>
      </c>
      <c r="AE3861" s="92" t="str">
        <f>HYPERLINK("https://twitter.com/ctcvcoimbra/status/1706715324081480051")</f>
        <v>https://twitter.com/ctcvcoimbra/status/1706715324081480051</v>
      </c>
      <c r="AF3861" s="90">
        <v>45195.70853009259</v>
      </c>
      <c r="AG3861" s="99">
        <v>45195</v>
      </c>
      <c r="AH3861" s="93" t="s">
        <v>14929</v>
      </c>
      <c r="AI3861" s="87" t="b">
        <v>0</v>
      </c>
      <c r="AJ3861" s="87"/>
      <c r="AK3861" s="87"/>
      <c r="AL3861" s="87"/>
      <c r="AM3861" s="87"/>
      <c r="AN3861" s="87"/>
      <c r="AO3861" s="87"/>
      <c r="AP3861" s="87"/>
      <c r="AQ3861" s="87" t="s">
        <v>18032</v>
      </c>
      <c r="AR3861" s="87"/>
      <c r="AS3861" s="87"/>
      <c r="AT3861" s="87"/>
      <c r="AU3861" s="87"/>
      <c r="AV3861" s="92" t="str">
        <f>HYPERLINK("https://pbs.twimg.com/media/F694ipyWwAAfyvf.jpg")</f>
        <v>https://pbs.twimg.com/media/F694ipyWwAAfyvf.jpg</v>
      </c>
      <c r="AW3861" s="93" t="s">
        <v>21971</v>
      </c>
      <c r="AX3861" s="93" t="s">
        <v>21971</v>
      </c>
      <c r="AY3861" s="87"/>
      <c r="AZ3861" s="93" t="s">
        <v>22668</v>
      </c>
      <c r="BA3861" s="93" t="s">
        <v>22668</v>
      </c>
      <c r="BB3861" s="93" t="s">
        <v>22668</v>
      </c>
      <c r="BC3861" s="93" t="s">
        <v>21971</v>
      </c>
      <c r="BD3861" s="93" t="s">
        <v>23534</v>
      </c>
      <c r="BE3861" s="87"/>
      <c r="BF3861" s="87"/>
      <c r="BG3861" s="87"/>
      <c r="BH3861" s="87"/>
      <c r="BI3861" s="87"/>
    </row>
    <row r="3862" spans="1:61" x14ac:dyDescent="0.25">
      <c r="A3862" s="63" t="s">
        <v>1495</v>
      </c>
      <c r="B3862" s="63" t="s">
        <v>1495</v>
      </c>
      <c r="C3862" s="64"/>
      <c r="D3862" s="65"/>
      <c r="E3862" s="66"/>
      <c r="F3862" s="67"/>
      <c r="G3862" s="64"/>
      <c r="H3862" s="68"/>
      <c r="I3862" s="69"/>
      <c r="J3862" s="69"/>
      <c r="K3862" s="32"/>
      <c r="L3862" s="76">
        <v>3862</v>
      </c>
      <c r="M3862" s="76"/>
      <c r="N3862" s="71"/>
      <c r="O3862" s="87" t="s">
        <v>1839</v>
      </c>
      <c r="P3862" s="90">
        <v>45121.889953703707</v>
      </c>
      <c r="Q3862" s="87" t="s">
        <v>5516</v>
      </c>
      <c r="R3862" s="87">
        <v>0</v>
      </c>
      <c r="S3862" s="87">
        <v>1</v>
      </c>
      <c r="T3862" s="87">
        <v>0</v>
      </c>
      <c r="U3862" s="87">
        <v>0</v>
      </c>
      <c r="V3862" s="87">
        <v>68</v>
      </c>
      <c r="W3862" s="93" t="s">
        <v>8115</v>
      </c>
      <c r="X3862" s="92" t="str">
        <f>HYPERLINK("https://diariodegoias.com.br/acoes-para-o-fortalecimento-do-empreendedorismo-trazem-presidente-nacional-do-sebrae-a-goias/322883/")</f>
        <v>https://diariodegoias.com.br/acoes-para-o-fortalecimento-do-empreendedorismo-trazem-presidente-nacional-do-sebrae-a-goias/322883/</v>
      </c>
      <c r="Y3862" s="87" t="s">
        <v>8373</v>
      </c>
      <c r="Z3862" s="87" t="s">
        <v>1495</v>
      </c>
      <c r="AA3862" s="87"/>
      <c r="AB3862" s="87"/>
      <c r="AC3862" s="93" t="s">
        <v>11457</v>
      </c>
      <c r="AD3862" s="87" t="s">
        <v>11519</v>
      </c>
      <c r="AE3862" s="92" t="str">
        <f>HYPERLINK("https://twitter.com/diariodegoias/status/1679964369256341504")</f>
        <v>https://twitter.com/diariodegoias/status/1679964369256341504</v>
      </c>
      <c r="AF3862" s="90">
        <v>45121.889953703707</v>
      </c>
      <c r="AG3862" s="99">
        <v>45121</v>
      </c>
      <c r="AH3862" s="93" t="s">
        <v>14930</v>
      </c>
      <c r="AI3862" s="87" t="b">
        <v>0</v>
      </c>
      <c r="AJ3862" s="87"/>
      <c r="AK3862" s="87"/>
      <c r="AL3862" s="87"/>
      <c r="AM3862" s="87"/>
      <c r="AN3862" s="87"/>
      <c r="AO3862" s="87"/>
      <c r="AP3862" s="87"/>
      <c r="AQ3862" s="87"/>
      <c r="AR3862" s="87"/>
      <c r="AS3862" s="87"/>
      <c r="AT3862" s="87"/>
      <c r="AU3862" s="87"/>
      <c r="AV3862" s="92" t="str">
        <f>HYPERLINK("https://pbs.twimg.com/profile_images/1396982798989381640/IRSUTOjF_normal.jpg")</f>
        <v>https://pbs.twimg.com/profile_images/1396982798989381640/IRSUTOjF_normal.jpg</v>
      </c>
      <c r="AW3862" s="93" t="s">
        <v>21972</v>
      </c>
      <c r="AX3862" s="93" t="s">
        <v>21972</v>
      </c>
      <c r="AY3862" s="87"/>
      <c r="AZ3862" s="93" t="s">
        <v>22668</v>
      </c>
      <c r="BA3862" s="93" t="s">
        <v>22668</v>
      </c>
      <c r="BB3862" s="93" t="s">
        <v>22668</v>
      </c>
      <c r="BC3862" s="93" t="s">
        <v>21972</v>
      </c>
      <c r="BD3862" s="87">
        <v>161793323</v>
      </c>
      <c r="BE3862" s="87"/>
      <c r="BF3862" s="87"/>
      <c r="BG3862" s="87"/>
      <c r="BH3862" s="87"/>
      <c r="BI3862" s="87"/>
    </row>
    <row r="3863" spans="1:61" x14ac:dyDescent="0.25">
      <c r="A3863" s="63" t="s">
        <v>1495</v>
      </c>
      <c r="B3863" s="63" t="s">
        <v>1495</v>
      </c>
      <c r="C3863" s="64"/>
      <c r="D3863" s="65"/>
      <c r="E3863" s="66"/>
      <c r="F3863" s="67"/>
      <c r="G3863" s="64"/>
      <c r="H3863" s="68"/>
      <c r="I3863" s="69"/>
      <c r="J3863" s="69"/>
      <c r="K3863" s="32"/>
      <c r="L3863" s="76">
        <v>3863</v>
      </c>
      <c r="M3863" s="76"/>
      <c r="N3863" s="71"/>
      <c r="O3863" s="87" t="s">
        <v>1839</v>
      </c>
      <c r="P3863" s="90">
        <v>45141.856516203705</v>
      </c>
      <c r="Q3863" s="87" t="s">
        <v>5517</v>
      </c>
      <c r="R3863" s="87">
        <v>0</v>
      </c>
      <c r="S3863" s="87">
        <v>0</v>
      </c>
      <c r="T3863" s="87">
        <v>0</v>
      </c>
      <c r="U3863" s="87">
        <v>0</v>
      </c>
      <c r="V3863" s="87">
        <v>53</v>
      </c>
      <c r="W3863" s="93" t="s">
        <v>8116</v>
      </c>
      <c r="X3863" s="92" t="str">
        <f>HYPERLINK("https://diariodegoias.com.br/feira-automotiva-em-goiania-oferece-palestra-gratuita-sobre-empreendedorismo/335089/")</f>
        <v>https://diariodegoias.com.br/feira-automotiva-em-goiania-oferece-palestra-gratuita-sobre-empreendedorismo/335089/</v>
      </c>
      <c r="Y3863" s="87" t="s">
        <v>8373</v>
      </c>
      <c r="Z3863" s="87" t="s">
        <v>1495</v>
      </c>
      <c r="AA3863" s="87"/>
      <c r="AB3863" s="87"/>
      <c r="AC3863" s="93" t="s">
        <v>11457</v>
      </c>
      <c r="AD3863" s="87" t="s">
        <v>11519</v>
      </c>
      <c r="AE3863" s="92" t="str">
        <f>HYPERLINK("https://twitter.com/diariodegoias/status/1687200007789891584")</f>
        <v>https://twitter.com/diariodegoias/status/1687200007789891584</v>
      </c>
      <c r="AF3863" s="90">
        <v>45141.856516203705</v>
      </c>
      <c r="AG3863" s="99">
        <v>45141</v>
      </c>
      <c r="AH3863" s="93" t="s">
        <v>14931</v>
      </c>
      <c r="AI3863" s="87" t="b">
        <v>0</v>
      </c>
      <c r="AJ3863" s="87"/>
      <c r="AK3863" s="87"/>
      <c r="AL3863" s="87"/>
      <c r="AM3863" s="87"/>
      <c r="AN3863" s="87"/>
      <c r="AO3863" s="87"/>
      <c r="AP3863" s="87"/>
      <c r="AQ3863" s="87"/>
      <c r="AR3863" s="87"/>
      <c r="AS3863" s="87"/>
      <c r="AT3863" s="87"/>
      <c r="AU3863" s="87"/>
      <c r="AV3863" s="92" t="str">
        <f>HYPERLINK("https://pbs.twimg.com/profile_images/1396982798989381640/IRSUTOjF_normal.jpg")</f>
        <v>https://pbs.twimg.com/profile_images/1396982798989381640/IRSUTOjF_normal.jpg</v>
      </c>
      <c r="AW3863" s="93" t="s">
        <v>21973</v>
      </c>
      <c r="AX3863" s="93" t="s">
        <v>21973</v>
      </c>
      <c r="AY3863" s="87"/>
      <c r="AZ3863" s="93" t="s">
        <v>22668</v>
      </c>
      <c r="BA3863" s="93" t="s">
        <v>22668</v>
      </c>
      <c r="BB3863" s="93" t="s">
        <v>22668</v>
      </c>
      <c r="BC3863" s="93" t="s">
        <v>21973</v>
      </c>
      <c r="BD3863" s="87">
        <v>161793323</v>
      </c>
      <c r="BE3863" s="87"/>
      <c r="BF3863" s="87"/>
      <c r="BG3863" s="87"/>
      <c r="BH3863" s="87"/>
      <c r="BI3863" s="87"/>
    </row>
    <row r="3864" spans="1:61" x14ac:dyDescent="0.25">
      <c r="A3864" s="63" t="s">
        <v>1495</v>
      </c>
      <c r="B3864" s="63" t="s">
        <v>1495</v>
      </c>
      <c r="C3864" s="64"/>
      <c r="D3864" s="65"/>
      <c r="E3864" s="66"/>
      <c r="F3864" s="67"/>
      <c r="G3864" s="64"/>
      <c r="H3864" s="68"/>
      <c r="I3864" s="69"/>
      <c r="J3864" s="69"/>
      <c r="K3864" s="32"/>
      <c r="L3864" s="76">
        <v>3864</v>
      </c>
      <c r="M3864" s="76"/>
      <c r="N3864" s="71"/>
      <c r="O3864" s="87" t="s">
        <v>1839</v>
      </c>
      <c r="P3864" s="90">
        <v>45168.792500000003</v>
      </c>
      <c r="Q3864" s="87" t="s">
        <v>5518</v>
      </c>
      <c r="R3864" s="87">
        <v>0</v>
      </c>
      <c r="S3864" s="87">
        <v>0</v>
      </c>
      <c r="T3864" s="87">
        <v>0</v>
      </c>
      <c r="U3864" s="87">
        <v>0</v>
      </c>
      <c r="V3864" s="87">
        <v>54</v>
      </c>
      <c r="W3864" s="93" t="s">
        <v>8117</v>
      </c>
      <c r="X3864" s="92" t="str">
        <f>HYPERLINK("https://diariodegoias.com.br/lula-anuncia-criacao-de-ministerio-para-incentivar-empreendedorismo-e-gerar-empregos/348786/")</f>
        <v>https://diariodegoias.com.br/lula-anuncia-criacao-de-ministerio-para-incentivar-empreendedorismo-e-gerar-empregos/348786/</v>
      </c>
      <c r="Y3864" s="87" t="s">
        <v>8373</v>
      </c>
      <c r="Z3864" s="87" t="s">
        <v>1495</v>
      </c>
      <c r="AA3864" s="87"/>
      <c r="AB3864" s="87"/>
      <c r="AC3864" s="93" t="s">
        <v>11457</v>
      </c>
      <c r="AD3864" s="87" t="s">
        <v>11519</v>
      </c>
      <c r="AE3864" s="92" t="str">
        <f>HYPERLINK("https://twitter.com/diariodegoias/status/1696961284229431610")</f>
        <v>https://twitter.com/diariodegoias/status/1696961284229431610</v>
      </c>
      <c r="AF3864" s="90">
        <v>45168.792500000003</v>
      </c>
      <c r="AG3864" s="99">
        <v>45168</v>
      </c>
      <c r="AH3864" s="93" t="s">
        <v>12999</v>
      </c>
      <c r="AI3864" s="87" t="b">
        <v>0</v>
      </c>
      <c r="AJ3864" s="87"/>
      <c r="AK3864" s="87"/>
      <c r="AL3864" s="87"/>
      <c r="AM3864" s="87"/>
      <c r="AN3864" s="87"/>
      <c r="AO3864" s="87"/>
      <c r="AP3864" s="87"/>
      <c r="AQ3864" s="87"/>
      <c r="AR3864" s="87"/>
      <c r="AS3864" s="87"/>
      <c r="AT3864" s="87"/>
      <c r="AU3864" s="87"/>
      <c r="AV3864" s="92" t="str">
        <f>HYPERLINK("https://pbs.twimg.com/profile_images/1396982798989381640/IRSUTOjF_normal.jpg")</f>
        <v>https://pbs.twimg.com/profile_images/1396982798989381640/IRSUTOjF_normal.jpg</v>
      </c>
      <c r="AW3864" s="93" t="s">
        <v>21974</v>
      </c>
      <c r="AX3864" s="93" t="s">
        <v>21974</v>
      </c>
      <c r="AY3864" s="87"/>
      <c r="AZ3864" s="93" t="s">
        <v>22668</v>
      </c>
      <c r="BA3864" s="93" t="s">
        <v>22668</v>
      </c>
      <c r="BB3864" s="93" t="s">
        <v>22668</v>
      </c>
      <c r="BC3864" s="93" t="s">
        <v>21974</v>
      </c>
      <c r="BD3864" s="87">
        <v>161793323</v>
      </c>
      <c r="BE3864" s="87"/>
      <c r="BF3864" s="87"/>
      <c r="BG3864" s="87"/>
      <c r="BH3864" s="87"/>
      <c r="BI3864" s="87"/>
    </row>
    <row r="3865" spans="1:61" x14ac:dyDescent="0.25">
      <c r="A3865" s="63" t="s">
        <v>1496</v>
      </c>
      <c r="B3865" s="63" t="s">
        <v>1496</v>
      </c>
      <c r="C3865" s="64"/>
      <c r="D3865" s="65"/>
      <c r="E3865" s="66"/>
      <c r="F3865" s="67"/>
      <c r="G3865" s="64"/>
      <c r="H3865" s="68"/>
      <c r="I3865" s="69"/>
      <c r="J3865" s="69"/>
      <c r="K3865" s="32"/>
      <c r="L3865" s="76">
        <v>3865</v>
      </c>
      <c r="M3865" s="76"/>
      <c r="N3865" s="71"/>
      <c r="O3865" s="87" t="s">
        <v>179</v>
      </c>
      <c r="P3865" s="90">
        <v>45144.72283564815</v>
      </c>
      <c r="Q3865" s="87" t="s">
        <v>5519</v>
      </c>
      <c r="R3865" s="87">
        <v>0</v>
      </c>
      <c r="S3865" s="87">
        <v>1</v>
      </c>
      <c r="T3865" s="87">
        <v>0</v>
      </c>
      <c r="U3865" s="87">
        <v>0</v>
      </c>
      <c r="V3865" s="87">
        <v>139</v>
      </c>
      <c r="W3865" s="93" t="s">
        <v>8118</v>
      </c>
      <c r="X3865" s="87"/>
      <c r="Y3865" s="87"/>
      <c r="Z3865" s="87"/>
      <c r="AA3865" s="87" t="s">
        <v>11221</v>
      </c>
      <c r="AB3865" s="87" t="s">
        <v>11447</v>
      </c>
      <c r="AC3865" s="93" t="s">
        <v>11458</v>
      </c>
      <c r="AD3865" s="87" t="s">
        <v>11519</v>
      </c>
      <c r="AE3865" s="92" t="str">
        <f>HYPERLINK("https://twitter.com/institutoilan/status/1688238728819490816")</f>
        <v>https://twitter.com/institutoilan/status/1688238728819490816</v>
      </c>
      <c r="AF3865" s="90">
        <v>45144.72283564815</v>
      </c>
      <c r="AG3865" s="99">
        <v>45144</v>
      </c>
      <c r="AH3865" s="93" t="s">
        <v>14932</v>
      </c>
      <c r="AI3865" s="87" t="b">
        <v>0</v>
      </c>
      <c r="AJ3865" s="87" t="s">
        <v>15230</v>
      </c>
      <c r="AK3865" s="87" t="s">
        <v>15234</v>
      </c>
      <c r="AL3865" s="87" t="s">
        <v>15237</v>
      </c>
      <c r="AM3865" s="87" t="s">
        <v>15301</v>
      </c>
      <c r="AN3865" s="87" t="s">
        <v>15368</v>
      </c>
      <c r="AO3865" s="87" t="s">
        <v>15433</v>
      </c>
      <c r="AP3865" s="87" t="s">
        <v>15438</v>
      </c>
      <c r="AQ3865" s="87" t="s">
        <v>18033</v>
      </c>
      <c r="AR3865" s="87">
        <v>135473</v>
      </c>
      <c r="AS3865" s="87"/>
      <c r="AT3865" s="87"/>
      <c r="AU3865" s="87"/>
      <c r="AV3865" s="92" t="str">
        <f>HYPERLINK("https://pbs.twimg.com/ext_tw_video_thumb/1688238537991163904/pu/img/eNtfCEvq4oWCeYXI.jpg")</f>
        <v>https://pbs.twimg.com/ext_tw_video_thumb/1688238537991163904/pu/img/eNtfCEvq4oWCeYXI.jpg</v>
      </c>
      <c r="AW3865" s="93" t="s">
        <v>21975</v>
      </c>
      <c r="AX3865" s="93" t="s">
        <v>21975</v>
      </c>
      <c r="AY3865" s="87"/>
      <c r="AZ3865" s="93" t="s">
        <v>22668</v>
      </c>
      <c r="BA3865" s="93" t="s">
        <v>22668</v>
      </c>
      <c r="BB3865" s="93" t="s">
        <v>22668</v>
      </c>
      <c r="BC3865" s="93" t="s">
        <v>21975</v>
      </c>
      <c r="BD3865" s="93" t="s">
        <v>23535</v>
      </c>
      <c r="BE3865" s="87"/>
      <c r="BF3865" s="87"/>
      <c r="BG3865" s="87"/>
      <c r="BH3865" s="87"/>
      <c r="BI3865" s="87"/>
    </row>
    <row r="3866" spans="1:61" x14ac:dyDescent="0.25">
      <c r="A3866" s="63" t="s">
        <v>1497</v>
      </c>
      <c r="B3866" s="63" t="s">
        <v>1497</v>
      </c>
      <c r="C3866" s="64"/>
      <c r="D3866" s="65"/>
      <c r="E3866" s="66"/>
      <c r="F3866" s="67"/>
      <c r="G3866" s="64"/>
      <c r="H3866" s="68"/>
      <c r="I3866" s="69"/>
      <c r="J3866" s="69"/>
      <c r="K3866" s="32"/>
      <c r="L3866" s="76">
        <v>3866</v>
      </c>
      <c r="M3866" s="76"/>
      <c r="N3866" s="71"/>
      <c r="O3866" s="87" t="s">
        <v>1840</v>
      </c>
      <c r="P3866" s="90">
        <v>45195.849317129629</v>
      </c>
      <c r="Q3866" s="87" t="s">
        <v>5520</v>
      </c>
      <c r="R3866" s="87">
        <v>0</v>
      </c>
      <c r="S3866" s="87">
        <v>8</v>
      </c>
      <c r="T3866" s="87">
        <v>0</v>
      </c>
      <c r="U3866" s="87">
        <v>0</v>
      </c>
      <c r="V3866" s="87">
        <v>195</v>
      </c>
      <c r="W3866" s="93" t="s">
        <v>8119</v>
      </c>
      <c r="X3866" s="92" t="str">
        <f>HYPERLINK("https://bit.ly/3RIhOB4")</f>
        <v>https://bit.ly/3RIhOB4</v>
      </c>
      <c r="Y3866" s="87" t="s">
        <v>8374</v>
      </c>
      <c r="Z3866" s="87"/>
      <c r="AA3866" s="87"/>
      <c r="AB3866" s="87"/>
      <c r="AC3866" s="93" t="s">
        <v>11457</v>
      </c>
      <c r="AD3866" s="87" t="s">
        <v>11519</v>
      </c>
      <c r="AE3866" s="92" t="str">
        <f>HYPERLINK("https://twitter.com/mdicoficial/status/1706766346933903642")</f>
        <v>https://twitter.com/mdicoficial/status/1706766346933903642</v>
      </c>
      <c r="AF3866" s="90">
        <v>45195.849317129629</v>
      </c>
      <c r="AG3866" s="99">
        <v>45195</v>
      </c>
      <c r="AH3866" s="93" t="s">
        <v>14933</v>
      </c>
      <c r="AI3866" s="87" t="b">
        <v>0</v>
      </c>
      <c r="AJ3866" s="87"/>
      <c r="AK3866" s="87"/>
      <c r="AL3866" s="87"/>
      <c r="AM3866" s="87"/>
      <c r="AN3866" s="87"/>
      <c r="AO3866" s="87"/>
      <c r="AP3866" s="87"/>
      <c r="AQ3866" s="87"/>
      <c r="AR3866" s="87"/>
      <c r="AS3866" s="87"/>
      <c r="AT3866" s="87"/>
      <c r="AU3866" s="87"/>
      <c r="AV3866" s="92" t="str">
        <f>HYPERLINK("https://pbs.twimg.com/profile_images/1666113491680350208/HSM_Ayi-_normal.jpg")</f>
        <v>https://pbs.twimg.com/profile_images/1666113491680350208/HSM_Ayi-_normal.jpg</v>
      </c>
      <c r="AW3866" s="93" t="s">
        <v>21976</v>
      </c>
      <c r="AX3866" s="93" t="s">
        <v>22496</v>
      </c>
      <c r="AY3866" s="93" t="s">
        <v>22652</v>
      </c>
      <c r="AZ3866" s="93" t="s">
        <v>22779</v>
      </c>
      <c r="BA3866" s="93" t="s">
        <v>22668</v>
      </c>
      <c r="BB3866" s="93" t="s">
        <v>22668</v>
      </c>
      <c r="BC3866" s="93" t="s">
        <v>22779</v>
      </c>
      <c r="BD3866" s="87">
        <v>2846625063</v>
      </c>
      <c r="BE3866" s="87"/>
      <c r="BF3866" s="87"/>
      <c r="BG3866" s="87"/>
      <c r="BH3866" s="87"/>
      <c r="BI3866" s="87"/>
    </row>
    <row r="3867" spans="1:61" x14ac:dyDescent="0.25">
      <c r="A3867" s="63" t="s">
        <v>1497</v>
      </c>
      <c r="B3867" s="63" t="s">
        <v>1497</v>
      </c>
      <c r="C3867" s="64"/>
      <c r="D3867" s="65"/>
      <c r="E3867" s="66"/>
      <c r="F3867" s="67"/>
      <c r="G3867" s="64"/>
      <c r="H3867" s="68"/>
      <c r="I3867" s="69"/>
      <c r="J3867" s="69"/>
      <c r="K3867" s="32"/>
      <c r="L3867" s="76">
        <v>3867</v>
      </c>
      <c r="M3867" s="76"/>
      <c r="N3867" s="71"/>
      <c r="O3867" s="87" t="s">
        <v>1840</v>
      </c>
      <c r="P3867" s="90">
        <v>45140.543368055558</v>
      </c>
      <c r="Q3867" s="87" t="s">
        <v>5521</v>
      </c>
      <c r="R3867" s="87">
        <v>0</v>
      </c>
      <c r="S3867" s="87">
        <v>3</v>
      </c>
      <c r="T3867" s="87">
        <v>0</v>
      </c>
      <c r="U3867" s="87">
        <v>0</v>
      </c>
      <c r="V3867" s="87">
        <v>216</v>
      </c>
      <c r="W3867" s="93" t="s">
        <v>8120</v>
      </c>
      <c r="X3867" s="92" t="str">
        <f>HYPERLINK("http://www.transformarjuntos2023.com.br")</f>
        <v>http://www.transformarjuntos2023.com.br</v>
      </c>
      <c r="Y3867" s="87" t="s">
        <v>8373</v>
      </c>
      <c r="Z3867" s="87"/>
      <c r="AA3867" s="87"/>
      <c r="AB3867" s="87"/>
      <c r="AC3867" s="93" t="s">
        <v>11458</v>
      </c>
      <c r="AD3867" s="87" t="s">
        <v>11519</v>
      </c>
      <c r="AE3867" s="92" t="str">
        <f>HYPERLINK("https://twitter.com/mdicoficial/status/1686724142156951554")</f>
        <v>https://twitter.com/mdicoficial/status/1686724142156951554</v>
      </c>
      <c r="AF3867" s="90">
        <v>45140.543368055558</v>
      </c>
      <c r="AG3867" s="99">
        <v>45140</v>
      </c>
      <c r="AH3867" s="93" t="s">
        <v>14934</v>
      </c>
      <c r="AI3867" s="87" t="b">
        <v>0</v>
      </c>
      <c r="AJ3867" s="87"/>
      <c r="AK3867" s="87"/>
      <c r="AL3867" s="87"/>
      <c r="AM3867" s="87"/>
      <c r="AN3867" s="87"/>
      <c r="AO3867" s="87"/>
      <c r="AP3867" s="87"/>
      <c r="AQ3867" s="87"/>
      <c r="AR3867" s="87"/>
      <c r="AS3867" s="87"/>
      <c r="AT3867" s="87"/>
      <c r="AU3867" s="87"/>
      <c r="AV3867" s="92" t="str">
        <f>HYPERLINK("https://pbs.twimg.com/profile_images/1666113491680350208/HSM_Ayi-_normal.jpg")</f>
        <v>https://pbs.twimg.com/profile_images/1666113491680350208/HSM_Ayi-_normal.jpg</v>
      </c>
      <c r="AW3867" s="93" t="s">
        <v>21977</v>
      </c>
      <c r="AX3867" s="93" t="s">
        <v>22497</v>
      </c>
      <c r="AY3867" s="93" t="s">
        <v>22652</v>
      </c>
      <c r="AZ3867" s="93" t="s">
        <v>22780</v>
      </c>
      <c r="BA3867" s="93" t="s">
        <v>22668</v>
      </c>
      <c r="BB3867" s="93" t="s">
        <v>22668</v>
      </c>
      <c r="BC3867" s="93" t="s">
        <v>22780</v>
      </c>
      <c r="BD3867" s="87">
        <v>2846625063</v>
      </c>
      <c r="BE3867" s="87"/>
      <c r="BF3867" s="87"/>
      <c r="BG3867" s="87"/>
      <c r="BH3867" s="87"/>
      <c r="BI3867" s="87"/>
    </row>
    <row r="3868" spans="1:61" x14ac:dyDescent="0.25">
      <c r="A3868" s="63" t="s">
        <v>1498</v>
      </c>
      <c r="B3868" s="63" t="s">
        <v>1498</v>
      </c>
      <c r="C3868" s="64"/>
      <c r="D3868" s="65"/>
      <c r="E3868" s="66"/>
      <c r="F3868" s="67"/>
      <c r="G3868" s="64"/>
      <c r="H3868" s="68"/>
      <c r="I3868" s="69"/>
      <c r="J3868" s="69"/>
      <c r="K3868" s="32"/>
      <c r="L3868" s="76">
        <v>3868</v>
      </c>
      <c r="M3868" s="76"/>
      <c r="N3868" s="71"/>
      <c r="O3868" s="87" t="s">
        <v>179</v>
      </c>
      <c r="P3868" s="90">
        <v>45154.867534722223</v>
      </c>
      <c r="Q3868" s="87" t="s">
        <v>5522</v>
      </c>
      <c r="R3868" s="87">
        <v>0</v>
      </c>
      <c r="S3868" s="87">
        <v>2</v>
      </c>
      <c r="T3868" s="87">
        <v>0</v>
      </c>
      <c r="U3868" s="87">
        <v>0</v>
      </c>
      <c r="V3868" s="87">
        <v>68</v>
      </c>
      <c r="W3868" s="93" t="s">
        <v>8121</v>
      </c>
      <c r="X3868" s="87"/>
      <c r="Y3868" s="87"/>
      <c r="Z3868" s="87"/>
      <c r="AA3868" s="87" t="s">
        <v>11222</v>
      </c>
      <c r="AB3868" s="87" t="s">
        <v>11447</v>
      </c>
      <c r="AC3868" s="93" t="s">
        <v>11457</v>
      </c>
      <c r="AD3868" s="87" t="s">
        <v>11519</v>
      </c>
      <c r="AE3868" s="92" t="str">
        <f>HYPERLINK("https://twitter.com/conatecontabil/status/1691915044471345533")</f>
        <v>https://twitter.com/conatecontabil/status/1691915044471345533</v>
      </c>
      <c r="AF3868" s="90">
        <v>45154.867534722223</v>
      </c>
      <c r="AG3868" s="99">
        <v>45154</v>
      </c>
      <c r="AH3868" s="93" t="s">
        <v>14935</v>
      </c>
      <c r="AI3868" s="87" t="b">
        <v>0</v>
      </c>
      <c r="AJ3868" s="87" t="s">
        <v>15231</v>
      </c>
      <c r="AK3868" s="87" t="s">
        <v>15234</v>
      </c>
      <c r="AL3868" s="87" t="s">
        <v>15237</v>
      </c>
      <c r="AM3868" s="87" t="s">
        <v>15302</v>
      </c>
      <c r="AN3868" s="87" t="s">
        <v>15369</v>
      </c>
      <c r="AO3868" s="87" t="s">
        <v>15434</v>
      </c>
      <c r="AP3868" s="87" t="s">
        <v>15438</v>
      </c>
      <c r="AQ3868" s="87" t="s">
        <v>18034</v>
      </c>
      <c r="AR3868" s="87">
        <v>89567</v>
      </c>
      <c r="AS3868" s="87"/>
      <c r="AT3868" s="87"/>
      <c r="AU3868" s="87"/>
      <c r="AV3868" s="92" t="str">
        <f>HYPERLINK("https://pbs.twimg.com/ext_tw_video_thumb/1691913615991832576/pu/img/ruAff1DH7JZoWh_h.jpg")</f>
        <v>https://pbs.twimg.com/ext_tw_video_thumb/1691913615991832576/pu/img/ruAff1DH7JZoWh_h.jpg</v>
      </c>
      <c r="AW3868" s="93" t="s">
        <v>21978</v>
      </c>
      <c r="AX3868" s="93" t="s">
        <v>21978</v>
      </c>
      <c r="AY3868" s="87"/>
      <c r="AZ3868" s="93" t="s">
        <v>22668</v>
      </c>
      <c r="BA3868" s="93" t="s">
        <v>22668</v>
      </c>
      <c r="BB3868" s="93" t="s">
        <v>22668</v>
      </c>
      <c r="BC3868" s="93" t="s">
        <v>21978</v>
      </c>
      <c r="BD3868" s="93" t="s">
        <v>23536</v>
      </c>
      <c r="BE3868" s="87"/>
      <c r="BF3868" s="87"/>
      <c r="BG3868" s="87"/>
      <c r="BH3868" s="87"/>
      <c r="BI3868" s="87"/>
    </row>
    <row r="3869" spans="1:61" x14ac:dyDescent="0.25">
      <c r="A3869" s="63" t="s">
        <v>1498</v>
      </c>
      <c r="B3869" s="63" t="s">
        <v>1498</v>
      </c>
      <c r="C3869" s="64"/>
      <c r="D3869" s="65"/>
      <c r="E3869" s="66"/>
      <c r="F3869" s="67"/>
      <c r="G3869" s="64"/>
      <c r="H3869" s="68"/>
      <c r="I3869" s="69"/>
      <c r="J3869" s="69"/>
      <c r="K3869" s="32"/>
      <c r="L3869" s="76">
        <v>3869</v>
      </c>
      <c r="M3869" s="76"/>
      <c r="N3869" s="71"/>
      <c r="O3869" s="87" t="s">
        <v>179</v>
      </c>
      <c r="P3869" s="90">
        <v>45147.918773148151</v>
      </c>
      <c r="Q3869" s="87" t="s">
        <v>5523</v>
      </c>
      <c r="R3869" s="87">
        <v>0</v>
      </c>
      <c r="S3869" s="87">
        <v>3</v>
      </c>
      <c r="T3869" s="87">
        <v>0</v>
      </c>
      <c r="U3869" s="87">
        <v>0</v>
      </c>
      <c r="V3869" s="87">
        <v>111</v>
      </c>
      <c r="W3869" s="93" t="s">
        <v>8122</v>
      </c>
      <c r="X3869" s="87"/>
      <c r="Y3869" s="87"/>
      <c r="Z3869" s="87"/>
      <c r="AA3869" s="87" t="s">
        <v>11223</v>
      </c>
      <c r="AB3869" s="87" t="s">
        <v>11447</v>
      </c>
      <c r="AC3869" s="93" t="s">
        <v>11457</v>
      </c>
      <c r="AD3869" s="87" t="s">
        <v>11519</v>
      </c>
      <c r="AE3869" s="92" t="str">
        <f>HYPERLINK("https://twitter.com/conatecontabil/status/1689396898086457345")</f>
        <v>https://twitter.com/conatecontabil/status/1689396898086457345</v>
      </c>
      <c r="AF3869" s="90">
        <v>45147.918773148151</v>
      </c>
      <c r="AG3869" s="99">
        <v>45147</v>
      </c>
      <c r="AH3869" s="93" t="s">
        <v>14936</v>
      </c>
      <c r="AI3869" s="87" t="b">
        <v>0</v>
      </c>
      <c r="AJ3869" s="87" t="s">
        <v>15231</v>
      </c>
      <c r="AK3869" s="87" t="s">
        <v>15234</v>
      </c>
      <c r="AL3869" s="87" t="s">
        <v>15237</v>
      </c>
      <c r="AM3869" s="87" t="s">
        <v>15302</v>
      </c>
      <c r="AN3869" s="87" t="s">
        <v>15369</v>
      </c>
      <c r="AO3869" s="87" t="s">
        <v>15434</v>
      </c>
      <c r="AP3869" s="87" t="s">
        <v>15438</v>
      </c>
      <c r="AQ3869" s="87" t="s">
        <v>18035</v>
      </c>
      <c r="AR3869" s="87">
        <v>82477</v>
      </c>
      <c r="AS3869" s="87"/>
      <c r="AT3869" s="87"/>
      <c r="AU3869" s="87"/>
      <c r="AV3869" s="92" t="str">
        <f>HYPERLINK("https://pbs.twimg.com/ext_tw_video_thumb/1689382547698958336/pu/img/M9NGQDfrpe1HXq5J.jpg")</f>
        <v>https://pbs.twimg.com/ext_tw_video_thumb/1689382547698958336/pu/img/M9NGQDfrpe1HXq5J.jpg</v>
      </c>
      <c r="AW3869" s="93" t="s">
        <v>21979</v>
      </c>
      <c r="AX3869" s="93" t="s">
        <v>21979</v>
      </c>
      <c r="AY3869" s="87"/>
      <c r="AZ3869" s="93" t="s">
        <v>22668</v>
      </c>
      <c r="BA3869" s="93" t="s">
        <v>22668</v>
      </c>
      <c r="BB3869" s="93" t="s">
        <v>22668</v>
      </c>
      <c r="BC3869" s="93" t="s">
        <v>21979</v>
      </c>
      <c r="BD3869" s="93" t="s">
        <v>23536</v>
      </c>
      <c r="BE3869" s="87"/>
      <c r="BF3869" s="87"/>
      <c r="BG3869" s="87"/>
      <c r="BH3869" s="87"/>
      <c r="BI3869" s="87"/>
    </row>
    <row r="3870" spans="1:61" x14ac:dyDescent="0.25">
      <c r="A3870" s="63" t="s">
        <v>1498</v>
      </c>
      <c r="B3870" s="63" t="s">
        <v>1498</v>
      </c>
      <c r="C3870" s="64"/>
      <c r="D3870" s="65"/>
      <c r="E3870" s="66"/>
      <c r="F3870" s="67"/>
      <c r="G3870" s="64"/>
      <c r="H3870" s="68"/>
      <c r="I3870" s="69"/>
      <c r="J3870" s="69"/>
      <c r="K3870" s="32"/>
      <c r="L3870" s="76">
        <v>3870</v>
      </c>
      <c r="M3870" s="76"/>
      <c r="N3870" s="71"/>
      <c r="O3870" s="87" t="s">
        <v>179</v>
      </c>
      <c r="P3870" s="90">
        <v>45162.855787037035</v>
      </c>
      <c r="Q3870" s="87" t="s">
        <v>5524</v>
      </c>
      <c r="R3870" s="87">
        <v>0</v>
      </c>
      <c r="S3870" s="87">
        <v>1</v>
      </c>
      <c r="T3870" s="87">
        <v>0</v>
      </c>
      <c r="U3870" s="87">
        <v>0</v>
      </c>
      <c r="V3870" s="87">
        <v>78</v>
      </c>
      <c r="W3870" s="93" t="s">
        <v>8123</v>
      </c>
      <c r="X3870" s="87"/>
      <c r="Y3870" s="87"/>
      <c r="Z3870" s="87"/>
      <c r="AA3870" s="87" t="s">
        <v>11224</v>
      </c>
      <c r="AB3870" s="87" t="s">
        <v>11447</v>
      </c>
      <c r="AC3870" s="93" t="s">
        <v>11457</v>
      </c>
      <c r="AD3870" s="87" t="s">
        <v>11519</v>
      </c>
      <c r="AE3870" s="92" t="str">
        <f>HYPERLINK("https://twitter.com/conatecontabil/status/1694809892022800559")</f>
        <v>https://twitter.com/conatecontabil/status/1694809892022800559</v>
      </c>
      <c r="AF3870" s="90">
        <v>45162.855787037035</v>
      </c>
      <c r="AG3870" s="99">
        <v>45162</v>
      </c>
      <c r="AH3870" s="93" t="s">
        <v>14937</v>
      </c>
      <c r="AI3870" s="87" t="b">
        <v>0</v>
      </c>
      <c r="AJ3870" s="87" t="s">
        <v>15231</v>
      </c>
      <c r="AK3870" s="87" t="s">
        <v>15234</v>
      </c>
      <c r="AL3870" s="87" t="s">
        <v>15237</v>
      </c>
      <c r="AM3870" s="87" t="s">
        <v>15302</v>
      </c>
      <c r="AN3870" s="87" t="s">
        <v>15369</v>
      </c>
      <c r="AO3870" s="87" t="s">
        <v>15434</v>
      </c>
      <c r="AP3870" s="87" t="s">
        <v>15438</v>
      </c>
      <c r="AQ3870" s="87" t="s">
        <v>18036</v>
      </c>
      <c r="AR3870" s="87">
        <v>90836</v>
      </c>
      <c r="AS3870" s="87"/>
      <c r="AT3870" s="87"/>
      <c r="AU3870" s="87"/>
      <c r="AV3870" s="92" t="str">
        <f>HYPERLINK("https://pbs.twimg.com/ext_tw_video_thumb/1694798526134231040/pu/img/XxPIhFH0CYchORGb.jpg")</f>
        <v>https://pbs.twimg.com/ext_tw_video_thumb/1694798526134231040/pu/img/XxPIhFH0CYchORGb.jpg</v>
      </c>
      <c r="AW3870" s="93" t="s">
        <v>21980</v>
      </c>
      <c r="AX3870" s="93" t="s">
        <v>21980</v>
      </c>
      <c r="AY3870" s="87"/>
      <c r="AZ3870" s="93" t="s">
        <v>22668</v>
      </c>
      <c r="BA3870" s="93" t="s">
        <v>22668</v>
      </c>
      <c r="BB3870" s="93" t="s">
        <v>22668</v>
      </c>
      <c r="BC3870" s="93" t="s">
        <v>21980</v>
      </c>
      <c r="BD3870" s="93" t="s">
        <v>23536</v>
      </c>
      <c r="BE3870" s="87"/>
      <c r="BF3870" s="87"/>
      <c r="BG3870" s="87"/>
      <c r="BH3870" s="87"/>
      <c r="BI3870" s="87"/>
    </row>
    <row r="3871" spans="1:61" x14ac:dyDescent="0.25">
      <c r="A3871" s="63" t="s">
        <v>1498</v>
      </c>
      <c r="B3871" s="63" t="s">
        <v>1498</v>
      </c>
      <c r="C3871" s="64"/>
      <c r="D3871" s="65"/>
      <c r="E3871" s="66"/>
      <c r="F3871" s="67"/>
      <c r="G3871" s="64"/>
      <c r="H3871" s="68"/>
      <c r="I3871" s="69"/>
      <c r="J3871" s="69"/>
      <c r="K3871" s="32"/>
      <c r="L3871" s="76">
        <v>3871</v>
      </c>
      <c r="M3871" s="76"/>
      <c r="N3871" s="71"/>
      <c r="O3871" s="87" t="s">
        <v>179</v>
      </c>
      <c r="P3871" s="90">
        <v>45169.522141203706</v>
      </c>
      <c r="Q3871" s="87" t="s">
        <v>5525</v>
      </c>
      <c r="R3871" s="87">
        <v>0</v>
      </c>
      <c r="S3871" s="87">
        <v>1</v>
      </c>
      <c r="T3871" s="87">
        <v>0</v>
      </c>
      <c r="U3871" s="87">
        <v>0</v>
      </c>
      <c r="V3871" s="87">
        <v>141</v>
      </c>
      <c r="W3871" s="93" t="s">
        <v>8124</v>
      </c>
      <c r="X3871" s="87"/>
      <c r="Y3871" s="87"/>
      <c r="Z3871" s="87"/>
      <c r="AA3871" s="87" t="s">
        <v>11225</v>
      </c>
      <c r="AB3871" s="87" t="s">
        <v>11447</v>
      </c>
      <c r="AC3871" s="93" t="s">
        <v>11457</v>
      </c>
      <c r="AD3871" s="87" t="s">
        <v>11519</v>
      </c>
      <c r="AE3871" s="92" t="str">
        <f>HYPERLINK("https://twitter.com/conatecontabil/status/1697225697654186464")</f>
        <v>https://twitter.com/conatecontabil/status/1697225697654186464</v>
      </c>
      <c r="AF3871" s="90">
        <v>45169.522141203706</v>
      </c>
      <c r="AG3871" s="99">
        <v>45169</v>
      </c>
      <c r="AH3871" s="93" t="s">
        <v>14938</v>
      </c>
      <c r="AI3871" s="87" t="b">
        <v>0</v>
      </c>
      <c r="AJ3871" s="87"/>
      <c r="AK3871" s="87"/>
      <c r="AL3871" s="87"/>
      <c r="AM3871" s="87"/>
      <c r="AN3871" s="87"/>
      <c r="AO3871" s="87"/>
      <c r="AP3871" s="87"/>
      <c r="AQ3871" s="87" t="s">
        <v>18037</v>
      </c>
      <c r="AR3871" s="87">
        <v>91115</v>
      </c>
      <c r="AS3871" s="87"/>
      <c r="AT3871" s="87"/>
      <c r="AU3871" s="87"/>
      <c r="AV3871" s="92" t="str">
        <f>HYPERLINK("https://pbs.twimg.com/ext_tw_video_thumb/1697220907985522689/pu/img/jnxV8QWma9hFYg7g.jpg")</f>
        <v>https://pbs.twimg.com/ext_tw_video_thumb/1697220907985522689/pu/img/jnxV8QWma9hFYg7g.jpg</v>
      </c>
      <c r="AW3871" s="93" t="s">
        <v>21981</v>
      </c>
      <c r="AX3871" s="93" t="s">
        <v>21981</v>
      </c>
      <c r="AY3871" s="87"/>
      <c r="AZ3871" s="93" t="s">
        <v>22668</v>
      </c>
      <c r="BA3871" s="93" t="s">
        <v>22668</v>
      </c>
      <c r="BB3871" s="93" t="s">
        <v>22668</v>
      </c>
      <c r="BC3871" s="93" t="s">
        <v>21981</v>
      </c>
      <c r="BD3871" s="93" t="s">
        <v>23536</v>
      </c>
      <c r="BE3871" s="87"/>
      <c r="BF3871" s="87"/>
      <c r="BG3871" s="87"/>
      <c r="BH3871" s="87"/>
      <c r="BI3871" s="87"/>
    </row>
    <row r="3872" spans="1:61" x14ac:dyDescent="0.25">
      <c r="A3872" s="63" t="s">
        <v>1499</v>
      </c>
      <c r="B3872" s="63" t="s">
        <v>1499</v>
      </c>
      <c r="C3872" s="64"/>
      <c r="D3872" s="65"/>
      <c r="E3872" s="66"/>
      <c r="F3872" s="67"/>
      <c r="G3872" s="64"/>
      <c r="H3872" s="68"/>
      <c r="I3872" s="69"/>
      <c r="J3872" s="69"/>
      <c r="K3872" s="32"/>
      <c r="L3872" s="76">
        <v>3872</v>
      </c>
      <c r="M3872" s="76"/>
      <c r="N3872" s="71"/>
      <c r="O3872" s="87" t="s">
        <v>179</v>
      </c>
      <c r="P3872" s="90">
        <v>45142.792187500003</v>
      </c>
      <c r="Q3872" s="87" t="s">
        <v>5526</v>
      </c>
      <c r="R3872" s="87">
        <v>0</v>
      </c>
      <c r="S3872" s="87">
        <v>0</v>
      </c>
      <c r="T3872" s="87">
        <v>0</v>
      </c>
      <c r="U3872" s="87">
        <v>0</v>
      </c>
      <c r="V3872" s="87">
        <v>15</v>
      </c>
      <c r="W3872" s="93" t="s">
        <v>8125</v>
      </c>
      <c r="X3872" s="92" t="str">
        <f>HYPERLINK("https://uol.fashionalert.com.br/conheca-a-historia-de-um-dos-fundadores-da-blessberry-acai/")</f>
        <v>https://uol.fashionalert.com.br/conheca-a-historia-de-um-dos-fundadores-da-blessberry-acai/</v>
      </c>
      <c r="Y3872" s="87" t="s">
        <v>8373</v>
      </c>
      <c r="Z3872" s="87"/>
      <c r="AA3872" s="87"/>
      <c r="AB3872" s="87"/>
      <c r="AC3872" s="93" t="s">
        <v>11459</v>
      </c>
      <c r="AD3872" s="87" t="s">
        <v>11520</v>
      </c>
      <c r="AE3872" s="92" t="str">
        <f>HYPERLINK("https://twitter.com/alexxberard/status/1687539086456717337")</f>
        <v>https://twitter.com/alexxberard/status/1687539086456717337</v>
      </c>
      <c r="AF3872" s="90">
        <v>45142.792187500003</v>
      </c>
      <c r="AG3872" s="99">
        <v>45142</v>
      </c>
      <c r="AH3872" s="93" t="s">
        <v>14939</v>
      </c>
      <c r="AI3872" s="87" t="b">
        <v>0</v>
      </c>
      <c r="AJ3872" s="87"/>
      <c r="AK3872" s="87"/>
      <c r="AL3872" s="87"/>
      <c r="AM3872" s="87"/>
      <c r="AN3872" s="87"/>
      <c r="AO3872" s="87"/>
      <c r="AP3872" s="87"/>
      <c r="AQ3872" s="87"/>
      <c r="AR3872" s="87"/>
      <c r="AS3872" s="87"/>
      <c r="AT3872" s="87"/>
      <c r="AU3872" s="87"/>
      <c r="AV3872" s="92" t="str">
        <f>HYPERLINK("https://pbs.twimg.com/profile_images/1658517726048944151/3nRtB8aX_normal.jpg")</f>
        <v>https://pbs.twimg.com/profile_images/1658517726048944151/3nRtB8aX_normal.jpg</v>
      </c>
      <c r="AW3872" s="93" t="s">
        <v>21982</v>
      </c>
      <c r="AX3872" s="93" t="s">
        <v>21982</v>
      </c>
      <c r="AY3872" s="87"/>
      <c r="AZ3872" s="93" t="s">
        <v>22668</v>
      </c>
      <c r="BA3872" s="93" t="s">
        <v>22668</v>
      </c>
      <c r="BB3872" s="93" t="s">
        <v>22668</v>
      </c>
      <c r="BC3872" s="93" t="s">
        <v>21982</v>
      </c>
      <c r="BD3872" s="93" t="s">
        <v>23537</v>
      </c>
      <c r="BE3872" s="87"/>
      <c r="BF3872" s="87"/>
      <c r="BG3872" s="87"/>
      <c r="BH3872" s="87"/>
      <c r="BI3872" s="87"/>
    </row>
    <row r="3873" spans="1:61" x14ac:dyDescent="0.25">
      <c r="A3873" s="63" t="s">
        <v>1500</v>
      </c>
      <c r="B3873" s="63" t="s">
        <v>1500</v>
      </c>
      <c r="C3873" s="64"/>
      <c r="D3873" s="65"/>
      <c r="E3873" s="66"/>
      <c r="F3873" s="67"/>
      <c r="G3873" s="64"/>
      <c r="H3873" s="68"/>
      <c r="I3873" s="69"/>
      <c r="J3873" s="69"/>
      <c r="K3873" s="32"/>
      <c r="L3873" s="76">
        <v>3873</v>
      </c>
      <c r="M3873" s="76"/>
      <c r="N3873" s="71"/>
      <c r="O3873" s="87" t="s">
        <v>1840</v>
      </c>
      <c r="P3873" s="90">
        <v>45165.935393518521</v>
      </c>
      <c r="Q3873" s="87" t="s">
        <v>5527</v>
      </c>
      <c r="R3873" s="87">
        <v>0</v>
      </c>
      <c r="S3873" s="87">
        <v>0</v>
      </c>
      <c r="T3873" s="87">
        <v>0</v>
      </c>
      <c r="U3873" s="87">
        <v>0</v>
      </c>
      <c r="V3873" s="87">
        <v>19</v>
      </c>
      <c r="W3873" s="93" t="s">
        <v>8126</v>
      </c>
      <c r="X3873" s="87"/>
      <c r="Y3873" s="87"/>
      <c r="Z3873" s="87"/>
      <c r="AA3873" s="87"/>
      <c r="AB3873" s="87"/>
      <c r="AC3873" s="93" t="s">
        <v>11458</v>
      </c>
      <c r="AD3873" s="87" t="s">
        <v>11519</v>
      </c>
      <c r="AE3873" s="92" t="str">
        <f>HYPERLINK("https://twitter.com/pi_sebrae/status/1695925903161794756")</f>
        <v>https://twitter.com/pi_sebrae/status/1695925903161794756</v>
      </c>
      <c r="AF3873" s="90">
        <v>45165.935393518521</v>
      </c>
      <c r="AG3873" s="99">
        <v>45165</v>
      </c>
      <c r="AH3873" s="93" t="s">
        <v>14940</v>
      </c>
      <c r="AI3873" s="87"/>
      <c r="AJ3873" s="87"/>
      <c r="AK3873" s="87"/>
      <c r="AL3873" s="87"/>
      <c r="AM3873" s="87"/>
      <c r="AN3873" s="87"/>
      <c r="AO3873" s="87"/>
      <c r="AP3873" s="87"/>
      <c r="AQ3873" s="87"/>
      <c r="AR3873" s="87"/>
      <c r="AS3873" s="87"/>
      <c r="AT3873" s="87"/>
      <c r="AU3873" s="87"/>
      <c r="AV3873" s="92" t="str">
        <f>HYPERLINK("https://pbs.twimg.com/profile_images/1674527972466782209/2nHGusZC_normal.jpg")</f>
        <v>https://pbs.twimg.com/profile_images/1674527972466782209/2nHGusZC_normal.jpg</v>
      </c>
      <c r="AW3873" s="93" t="s">
        <v>21983</v>
      </c>
      <c r="AX3873" s="93" t="s">
        <v>22498</v>
      </c>
      <c r="AY3873" s="93" t="s">
        <v>22653</v>
      </c>
      <c r="AZ3873" s="93" t="s">
        <v>22498</v>
      </c>
      <c r="BA3873" s="93" t="s">
        <v>22668</v>
      </c>
      <c r="BB3873" s="93" t="s">
        <v>22668</v>
      </c>
      <c r="BC3873" s="93" t="s">
        <v>22498</v>
      </c>
      <c r="BD3873" s="87">
        <v>86407584</v>
      </c>
      <c r="BE3873" s="87"/>
      <c r="BF3873" s="87"/>
      <c r="BG3873" s="87"/>
      <c r="BH3873" s="87"/>
      <c r="BI3873" s="87"/>
    </row>
    <row r="3874" spans="1:61" x14ac:dyDescent="0.25">
      <c r="A3874" s="63" t="s">
        <v>1500</v>
      </c>
      <c r="B3874" s="63" t="s">
        <v>1500</v>
      </c>
      <c r="C3874" s="64"/>
      <c r="D3874" s="65"/>
      <c r="E3874" s="66"/>
      <c r="F3874" s="67"/>
      <c r="G3874" s="64"/>
      <c r="H3874" s="68"/>
      <c r="I3874" s="69"/>
      <c r="J3874" s="69"/>
      <c r="K3874" s="32"/>
      <c r="L3874" s="76">
        <v>3874</v>
      </c>
      <c r="M3874" s="76"/>
      <c r="N3874" s="71"/>
      <c r="O3874" s="87" t="s">
        <v>1840</v>
      </c>
      <c r="P3874" s="90">
        <v>45175.486979166664</v>
      </c>
      <c r="Q3874" s="87" t="s">
        <v>5528</v>
      </c>
      <c r="R3874" s="87">
        <v>0</v>
      </c>
      <c r="S3874" s="87">
        <v>0</v>
      </c>
      <c r="T3874" s="87">
        <v>0</v>
      </c>
      <c r="U3874" s="87">
        <v>0</v>
      </c>
      <c r="V3874" s="87">
        <v>25</v>
      </c>
      <c r="W3874" s="93" t="s">
        <v>8127</v>
      </c>
      <c r="X3874" s="92" t="str">
        <f>HYPERLINK("https://bit.ly/cursoAcessoaCredito")</f>
        <v>https://bit.ly/cursoAcessoaCredito</v>
      </c>
      <c r="Y3874" s="87" t="s">
        <v>8374</v>
      </c>
      <c r="Z3874" s="87"/>
      <c r="AA3874" s="87"/>
      <c r="AB3874" s="87"/>
      <c r="AC3874" s="93" t="s">
        <v>11458</v>
      </c>
      <c r="AD3874" s="87" t="s">
        <v>11519</v>
      </c>
      <c r="AE3874" s="92" t="str">
        <f>HYPERLINK("https://twitter.com/pi_sebrae/status/1699387281100964270")</f>
        <v>https://twitter.com/pi_sebrae/status/1699387281100964270</v>
      </c>
      <c r="AF3874" s="90">
        <v>45175.486979166664</v>
      </c>
      <c r="AG3874" s="99">
        <v>45175</v>
      </c>
      <c r="AH3874" s="93" t="s">
        <v>14941</v>
      </c>
      <c r="AI3874" s="87" t="b">
        <v>0</v>
      </c>
      <c r="AJ3874" s="87"/>
      <c r="AK3874" s="87"/>
      <c r="AL3874" s="87"/>
      <c r="AM3874" s="87"/>
      <c r="AN3874" s="87"/>
      <c r="AO3874" s="87"/>
      <c r="AP3874" s="87"/>
      <c r="AQ3874" s="87"/>
      <c r="AR3874" s="87"/>
      <c r="AS3874" s="87"/>
      <c r="AT3874" s="87"/>
      <c r="AU3874" s="87"/>
      <c r="AV3874" s="92" t="str">
        <f>HYPERLINK("https://pbs.twimg.com/profile_images/1674527972466782209/2nHGusZC_normal.jpg")</f>
        <v>https://pbs.twimg.com/profile_images/1674527972466782209/2nHGusZC_normal.jpg</v>
      </c>
      <c r="AW3874" s="93" t="s">
        <v>21984</v>
      </c>
      <c r="AX3874" s="93" t="s">
        <v>22499</v>
      </c>
      <c r="AY3874" s="93" t="s">
        <v>22653</v>
      </c>
      <c r="AZ3874" s="93" t="s">
        <v>22499</v>
      </c>
      <c r="BA3874" s="93" t="s">
        <v>22668</v>
      </c>
      <c r="BB3874" s="93" t="s">
        <v>22668</v>
      </c>
      <c r="BC3874" s="93" t="s">
        <v>22499</v>
      </c>
      <c r="BD3874" s="87">
        <v>86407584</v>
      </c>
      <c r="BE3874" s="87"/>
      <c r="BF3874" s="87"/>
      <c r="BG3874" s="87"/>
      <c r="BH3874" s="87"/>
      <c r="BI3874" s="87"/>
    </row>
    <row r="3875" spans="1:61" x14ac:dyDescent="0.25">
      <c r="A3875" s="63" t="s">
        <v>1500</v>
      </c>
      <c r="B3875" s="63" t="s">
        <v>1500</v>
      </c>
      <c r="C3875" s="64"/>
      <c r="D3875" s="65"/>
      <c r="E3875" s="66"/>
      <c r="F3875" s="67"/>
      <c r="G3875" s="64"/>
      <c r="H3875" s="68"/>
      <c r="I3875" s="69"/>
      <c r="J3875" s="69"/>
      <c r="K3875" s="32"/>
      <c r="L3875" s="76">
        <v>3875</v>
      </c>
      <c r="M3875" s="76"/>
      <c r="N3875" s="71"/>
      <c r="O3875" s="87" t="s">
        <v>179</v>
      </c>
      <c r="P3875" s="90">
        <v>45180.52275462963</v>
      </c>
      <c r="Q3875" s="87" t="s">
        <v>5529</v>
      </c>
      <c r="R3875" s="87">
        <v>0</v>
      </c>
      <c r="S3875" s="87">
        <v>0</v>
      </c>
      <c r="T3875" s="87">
        <v>0</v>
      </c>
      <c r="U3875" s="87">
        <v>0</v>
      </c>
      <c r="V3875" s="87">
        <v>29</v>
      </c>
      <c r="W3875" s="93" t="s">
        <v>8128</v>
      </c>
      <c r="X3875" s="87"/>
      <c r="Y3875" s="87"/>
      <c r="Z3875" s="87"/>
      <c r="AA3875" s="87"/>
      <c r="AB3875" s="87"/>
      <c r="AC3875" s="93" t="s">
        <v>11458</v>
      </c>
      <c r="AD3875" s="87" t="s">
        <v>11519</v>
      </c>
      <c r="AE3875" s="92" t="str">
        <f>HYPERLINK("https://twitter.com/pi_sebrae/status/1701212183944712306")</f>
        <v>https://twitter.com/pi_sebrae/status/1701212183944712306</v>
      </c>
      <c r="AF3875" s="90">
        <v>45180.52275462963</v>
      </c>
      <c r="AG3875" s="99">
        <v>45180</v>
      </c>
      <c r="AH3875" s="93" t="s">
        <v>14942</v>
      </c>
      <c r="AI3875" s="87"/>
      <c r="AJ3875" s="87"/>
      <c r="AK3875" s="87"/>
      <c r="AL3875" s="87"/>
      <c r="AM3875" s="87"/>
      <c r="AN3875" s="87"/>
      <c r="AO3875" s="87"/>
      <c r="AP3875" s="87"/>
      <c r="AQ3875" s="87"/>
      <c r="AR3875" s="87"/>
      <c r="AS3875" s="87"/>
      <c r="AT3875" s="87"/>
      <c r="AU3875" s="87"/>
      <c r="AV3875" s="92" t="str">
        <f>HYPERLINK("https://pbs.twimg.com/profile_images/1674527972466782209/2nHGusZC_normal.jpg")</f>
        <v>https://pbs.twimg.com/profile_images/1674527972466782209/2nHGusZC_normal.jpg</v>
      </c>
      <c r="AW3875" s="93" t="s">
        <v>21985</v>
      </c>
      <c r="AX3875" s="93" t="s">
        <v>21985</v>
      </c>
      <c r="AY3875" s="87"/>
      <c r="AZ3875" s="93" t="s">
        <v>22668</v>
      </c>
      <c r="BA3875" s="93" t="s">
        <v>22668</v>
      </c>
      <c r="BB3875" s="93" t="s">
        <v>22668</v>
      </c>
      <c r="BC3875" s="93" t="s">
        <v>21985</v>
      </c>
      <c r="BD3875" s="87">
        <v>86407584</v>
      </c>
      <c r="BE3875" s="87"/>
      <c r="BF3875" s="87"/>
      <c r="BG3875" s="87"/>
      <c r="BH3875" s="87"/>
      <c r="BI3875" s="87"/>
    </row>
    <row r="3876" spans="1:61" x14ac:dyDescent="0.25">
      <c r="A3876" s="63" t="s">
        <v>1501</v>
      </c>
      <c r="B3876" s="63" t="s">
        <v>1501</v>
      </c>
      <c r="C3876" s="64"/>
      <c r="D3876" s="65"/>
      <c r="E3876" s="66"/>
      <c r="F3876" s="67"/>
      <c r="G3876" s="64"/>
      <c r="H3876" s="68"/>
      <c r="I3876" s="69"/>
      <c r="J3876" s="69"/>
      <c r="K3876" s="32"/>
      <c r="L3876" s="76">
        <v>3876</v>
      </c>
      <c r="M3876" s="76"/>
      <c r="N3876" s="71"/>
      <c r="O3876" s="87" t="s">
        <v>179</v>
      </c>
      <c r="P3876" s="90">
        <v>45182.071226851855</v>
      </c>
      <c r="Q3876" s="87" t="s">
        <v>5530</v>
      </c>
      <c r="R3876" s="87">
        <v>0</v>
      </c>
      <c r="S3876" s="87">
        <v>0</v>
      </c>
      <c r="T3876" s="87">
        <v>0</v>
      </c>
      <c r="U3876" s="87">
        <v>0</v>
      </c>
      <c r="V3876" s="87">
        <v>4</v>
      </c>
      <c r="W3876" s="93" t="s">
        <v>8129</v>
      </c>
      <c r="X3876" s="92" t="str">
        <f>HYPERLINK("https://proddigital.com.br/negocio/o-que-e-empreendedorismo")</f>
        <v>https://proddigital.com.br/negocio/o-que-e-empreendedorismo</v>
      </c>
      <c r="Y3876" s="87" t="s">
        <v>8373</v>
      </c>
      <c r="Z3876" s="87"/>
      <c r="AA3876" s="87"/>
      <c r="AB3876" s="87"/>
      <c r="AC3876" s="93" t="s">
        <v>11457</v>
      </c>
      <c r="AD3876" s="87" t="s">
        <v>11519</v>
      </c>
      <c r="AE3876" s="92" t="str">
        <f>HYPERLINK("https://twitter.com/pd_negocio/status/1701773332423549178")</f>
        <v>https://twitter.com/pd_negocio/status/1701773332423549178</v>
      </c>
      <c r="AF3876" s="90">
        <v>45182.071226851855</v>
      </c>
      <c r="AG3876" s="99">
        <v>45182</v>
      </c>
      <c r="AH3876" s="93" t="s">
        <v>14943</v>
      </c>
      <c r="AI3876" s="87" t="b">
        <v>0</v>
      </c>
      <c r="AJ3876" s="87"/>
      <c r="AK3876" s="87"/>
      <c r="AL3876" s="87"/>
      <c r="AM3876" s="87"/>
      <c r="AN3876" s="87"/>
      <c r="AO3876" s="87"/>
      <c r="AP3876" s="87"/>
      <c r="AQ3876" s="87"/>
      <c r="AR3876" s="87"/>
      <c r="AS3876" s="87"/>
      <c r="AT3876" s="87"/>
      <c r="AU3876" s="87"/>
      <c r="AV3876" s="92" t="str">
        <f>HYPERLINK("https://pbs.twimg.com/profile_images/634845517734916096/Oti0MMNG_normal.png")</f>
        <v>https://pbs.twimg.com/profile_images/634845517734916096/Oti0MMNG_normal.png</v>
      </c>
      <c r="AW3876" s="93" t="s">
        <v>21986</v>
      </c>
      <c r="AX3876" s="93" t="s">
        <v>21986</v>
      </c>
      <c r="AY3876" s="87"/>
      <c r="AZ3876" s="93" t="s">
        <v>22668</v>
      </c>
      <c r="BA3876" s="93" t="s">
        <v>22668</v>
      </c>
      <c r="BB3876" s="93" t="s">
        <v>22668</v>
      </c>
      <c r="BC3876" s="93" t="s">
        <v>21986</v>
      </c>
      <c r="BD3876" s="87">
        <v>3434729135</v>
      </c>
      <c r="BE3876" s="87"/>
      <c r="BF3876" s="87"/>
      <c r="BG3876" s="87"/>
      <c r="BH3876" s="87"/>
      <c r="BI3876" s="87"/>
    </row>
    <row r="3877" spans="1:61" x14ac:dyDescent="0.25">
      <c r="A3877" s="63" t="s">
        <v>1502</v>
      </c>
      <c r="B3877" s="63" t="s">
        <v>1502</v>
      </c>
      <c r="C3877" s="64"/>
      <c r="D3877" s="65"/>
      <c r="E3877" s="66"/>
      <c r="F3877" s="67"/>
      <c r="G3877" s="64"/>
      <c r="H3877" s="68"/>
      <c r="I3877" s="69"/>
      <c r="J3877" s="69"/>
      <c r="K3877" s="32"/>
      <c r="L3877" s="76">
        <v>3877</v>
      </c>
      <c r="M3877" s="76"/>
      <c r="N3877" s="71"/>
      <c r="O3877" s="87" t="s">
        <v>179</v>
      </c>
      <c r="P3877" s="90">
        <v>45170.527777777781</v>
      </c>
      <c r="Q3877" s="87" t="s">
        <v>5531</v>
      </c>
      <c r="R3877" s="87">
        <v>1</v>
      </c>
      <c r="S3877" s="87">
        <v>1</v>
      </c>
      <c r="T3877" s="87">
        <v>0</v>
      </c>
      <c r="U3877" s="87">
        <v>0</v>
      </c>
      <c r="V3877" s="87">
        <v>32</v>
      </c>
      <c r="W3877" s="93" t="s">
        <v>8130</v>
      </c>
      <c r="X3877" s="92" t="str">
        <f>HYPERLINK("https://mla.bs/ea5f31d2")</f>
        <v>https://mla.bs/ea5f31d2</v>
      </c>
      <c r="Y3877" s="87" t="s">
        <v>8396</v>
      </c>
      <c r="Z3877" s="87"/>
      <c r="AA3877" s="87" t="s">
        <v>11226</v>
      </c>
      <c r="AB3877" s="87" t="s">
        <v>11448</v>
      </c>
      <c r="AC3877" s="93" t="s">
        <v>11457</v>
      </c>
      <c r="AD3877" s="87" t="s">
        <v>11519</v>
      </c>
      <c r="AE3877" s="92" t="str">
        <f>HYPERLINK("https://twitter.com/revistagc1/status/1697590125302022234")</f>
        <v>https://twitter.com/revistagc1/status/1697590125302022234</v>
      </c>
      <c r="AF3877" s="90">
        <v>45170.527777777781</v>
      </c>
      <c r="AG3877" s="99">
        <v>45170</v>
      </c>
      <c r="AH3877" s="93" t="s">
        <v>13151</v>
      </c>
      <c r="AI3877" s="87" t="b">
        <v>0</v>
      </c>
      <c r="AJ3877" s="87"/>
      <c r="AK3877" s="87"/>
      <c r="AL3877" s="87"/>
      <c r="AM3877" s="87"/>
      <c r="AN3877" s="87"/>
      <c r="AO3877" s="87"/>
      <c r="AP3877" s="87"/>
      <c r="AQ3877" s="87" t="s">
        <v>18038</v>
      </c>
      <c r="AR3877" s="87"/>
      <c r="AS3877" s="87"/>
      <c r="AT3877" s="87"/>
      <c r="AU3877" s="87"/>
      <c r="AV3877" s="92" t="str">
        <f>HYPERLINK("https://pbs.twimg.com/media/F45Ge09WAAA3VoU.jpg")</f>
        <v>https://pbs.twimg.com/media/F45Ge09WAAA3VoU.jpg</v>
      </c>
      <c r="AW3877" s="93" t="s">
        <v>21987</v>
      </c>
      <c r="AX3877" s="93" t="s">
        <v>21987</v>
      </c>
      <c r="AY3877" s="87"/>
      <c r="AZ3877" s="93" t="s">
        <v>22668</v>
      </c>
      <c r="BA3877" s="93" t="s">
        <v>22668</v>
      </c>
      <c r="BB3877" s="93" t="s">
        <v>22668</v>
      </c>
      <c r="BC3877" s="93" t="s">
        <v>21987</v>
      </c>
      <c r="BD3877" s="93" t="s">
        <v>23538</v>
      </c>
      <c r="BE3877" s="87"/>
      <c r="BF3877" s="87"/>
      <c r="BG3877" s="87"/>
      <c r="BH3877" s="87"/>
      <c r="BI3877" s="87"/>
    </row>
    <row r="3878" spans="1:61" x14ac:dyDescent="0.25">
      <c r="A3878" s="63" t="s">
        <v>1503</v>
      </c>
      <c r="B3878" s="63" t="s">
        <v>1821</v>
      </c>
      <c r="C3878" s="64"/>
      <c r="D3878" s="65"/>
      <c r="E3878" s="66"/>
      <c r="F3878" s="67"/>
      <c r="G3878" s="64"/>
      <c r="H3878" s="68"/>
      <c r="I3878" s="69"/>
      <c r="J3878" s="69"/>
      <c r="K3878" s="32"/>
      <c r="L3878" s="76">
        <v>3878</v>
      </c>
      <c r="M3878" s="76"/>
      <c r="N3878" s="71"/>
      <c r="O3878" s="87" t="s">
        <v>1839</v>
      </c>
      <c r="P3878" s="90">
        <v>45145.705879629626</v>
      </c>
      <c r="Q3878" s="87" t="s">
        <v>5532</v>
      </c>
      <c r="R3878" s="87">
        <v>0</v>
      </c>
      <c r="S3878" s="87">
        <v>0</v>
      </c>
      <c r="T3878" s="87">
        <v>0</v>
      </c>
      <c r="U3878" s="87">
        <v>0</v>
      </c>
      <c r="V3878" s="87">
        <v>66</v>
      </c>
      <c r="W3878" s="93" t="s">
        <v>8131</v>
      </c>
      <c r="X3878" s="87"/>
      <c r="Y3878" s="87"/>
      <c r="Z3878" s="87" t="s">
        <v>8625</v>
      </c>
      <c r="AA3878" s="87" t="s">
        <v>11227</v>
      </c>
      <c r="AB3878" s="87" t="s">
        <v>11447</v>
      </c>
      <c r="AC3878" s="93" t="s">
        <v>11459</v>
      </c>
      <c r="AD3878" s="87" t="s">
        <v>11523</v>
      </c>
      <c r="AE3878" s="92" t="str">
        <f>HYPERLINK("https://twitter.com/pabloguzmandice/status/1688594971664826392")</f>
        <v>https://twitter.com/pabloguzmandice/status/1688594971664826392</v>
      </c>
      <c r="AF3878" s="90">
        <v>45145.705879629626</v>
      </c>
      <c r="AG3878" s="99">
        <v>45145</v>
      </c>
      <c r="AH3878" s="93" t="s">
        <v>14944</v>
      </c>
      <c r="AI3878" s="87" t="b">
        <v>0</v>
      </c>
      <c r="AJ3878" s="87"/>
      <c r="AK3878" s="87"/>
      <c r="AL3878" s="87"/>
      <c r="AM3878" s="87"/>
      <c r="AN3878" s="87"/>
      <c r="AO3878" s="87"/>
      <c r="AP3878" s="87"/>
      <c r="AQ3878" s="87" t="s">
        <v>18039</v>
      </c>
      <c r="AR3878" s="87">
        <v>89466</v>
      </c>
      <c r="AS3878" s="87"/>
      <c r="AT3878" s="87"/>
      <c r="AU3878" s="87"/>
      <c r="AV3878" s="92" t="str">
        <f>HYPERLINK("https://pbs.twimg.com/ext_tw_video_thumb/1688594895093612552/pu/img/m6bzpWf6xUo17zW6.jpg")</f>
        <v>https://pbs.twimg.com/ext_tw_video_thumb/1688594895093612552/pu/img/m6bzpWf6xUo17zW6.jpg</v>
      </c>
      <c r="AW3878" s="93" t="s">
        <v>21988</v>
      </c>
      <c r="AX3878" s="93" t="s">
        <v>21988</v>
      </c>
      <c r="AY3878" s="87"/>
      <c r="AZ3878" s="93" t="s">
        <v>22668</v>
      </c>
      <c r="BA3878" s="93" t="s">
        <v>22668</v>
      </c>
      <c r="BB3878" s="93" t="s">
        <v>22668</v>
      </c>
      <c r="BC3878" s="93" t="s">
        <v>21988</v>
      </c>
      <c r="BD3878" s="87">
        <v>138511539</v>
      </c>
      <c r="BE3878" s="87"/>
      <c r="BF3878" s="87"/>
      <c r="BG3878" s="87"/>
      <c r="BH3878" s="87"/>
      <c r="BI3878" s="87"/>
    </row>
    <row r="3879" spans="1:61" x14ac:dyDescent="0.25">
      <c r="A3879" s="63" t="s">
        <v>1503</v>
      </c>
      <c r="B3879" s="63" t="s">
        <v>1822</v>
      </c>
      <c r="C3879" s="64"/>
      <c r="D3879" s="65"/>
      <c r="E3879" s="66"/>
      <c r="F3879" s="67"/>
      <c r="G3879" s="64"/>
      <c r="H3879" s="68"/>
      <c r="I3879" s="69"/>
      <c r="J3879" s="69"/>
      <c r="K3879" s="32"/>
      <c r="L3879" s="76">
        <v>3879</v>
      </c>
      <c r="M3879" s="76"/>
      <c r="N3879" s="71"/>
      <c r="O3879" s="87" t="s">
        <v>1839</v>
      </c>
      <c r="P3879" s="90">
        <v>45145.705879629626</v>
      </c>
      <c r="Q3879" s="87" t="s">
        <v>5532</v>
      </c>
      <c r="R3879" s="87">
        <v>0</v>
      </c>
      <c r="S3879" s="87">
        <v>0</v>
      </c>
      <c r="T3879" s="87">
        <v>0</v>
      </c>
      <c r="U3879" s="87">
        <v>0</v>
      </c>
      <c r="V3879" s="87">
        <v>66</v>
      </c>
      <c r="W3879" s="93" t="s">
        <v>8131</v>
      </c>
      <c r="X3879" s="87"/>
      <c r="Y3879" s="87"/>
      <c r="Z3879" s="87" t="s">
        <v>8625</v>
      </c>
      <c r="AA3879" s="87" t="s">
        <v>11227</v>
      </c>
      <c r="AB3879" s="87" t="s">
        <v>11447</v>
      </c>
      <c r="AC3879" s="93" t="s">
        <v>11459</v>
      </c>
      <c r="AD3879" s="87" t="s">
        <v>11523</v>
      </c>
      <c r="AE3879" s="92" t="str">
        <f>HYPERLINK("https://twitter.com/pabloguzmandice/status/1688594971664826392")</f>
        <v>https://twitter.com/pabloguzmandice/status/1688594971664826392</v>
      </c>
      <c r="AF3879" s="90">
        <v>45145.705879629626</v>
      </c>
      <c r="AG3879" s="99">
        <v>45145</v>
      </c>
      <c r="AH3879" s="93" t="s">
        <v>14944</v>
      </c>
      <c r="AI3879" s="87" t="b">
        <v>0</v>
      </c>
      <c r="AJ3879" s="87"/>
      <c r="AK3879" s="87"/>
      <c r="AL3879" s="87"/>
      <c r="AM3879" s="87"/>
      <c r="AN3879" s="87"/>
      <c r="AO3879" s="87"/>
      <c r="AP3879" s="87"/>
      <c r="AQ3879" s="87" t="s">
        <v>18039</v>
      </c>
      <c r="AR3879" s="87">
        <v>89466</v>
      </c>
      <c r="AS3879" s="87"/>
      <c r="AT3879" s="87"/>
      <c r="AU3879" s="87"/>
      <c r="AV3879" s="92" t="str">
        <f>HYPERLINK("https://pbs.twimg.com/ext_tw_video_thumb/1688594895093612552/pu/img/m6bzpWf6xUo17zW6.jpg")</f>
        <v>https://pbs.twimg.com/ext_tw_video_thumb/1688594895093612552/pu/img/m6bzpWf6xUo17zW6.jpg</v>
      </c>
      <c r="AW3879" s="93" t="s">
        <v>21988</v>
      </c>
      <c r="AX3879" s="93" t="s">
        <v>21988</v>
      </c>
      <c r="AY3879" s="87"/>
      <c r="AZ3879" s="93" t="s">
        <v>22668</v>
      </c>
      <c r="BA3879" s="93" t="s">
        <v>22668</v>
      </c>
      <c r="BB3879" s="93" t="s">
        <v>22668</v>
      </c>
      <c r="BC3879" s="93" t="s">
        <v>21988</v>
      </c>
      <c r="BD3879" s="87">
        <v>138511539</v>
      </c>
      <c r="BE3879" s="87"/>
      <c r="BF3879" s="87"/>
      <c r="BG3879" s="87"/>
      <c r="BH3879" s="87"/>
      <c r="BI3879" s="87"/>
    </row>
    <row r="3880" spans="1:61" x14ac:dyDescent="0.25">
      <c r="A3880" s="63" t="s">
        <v>1503</v>
      </c>
      <c r="B3880" s="63" t="s">
        <v>1823</v>
      </c>
      <c r="C3880" s="64"/>
      <c r="D3880" s="65"/>
      <c r="E3880" s="66"/>
      <c r="F3880" s="67"/>
      <c r="G3880" s="64"/>
      <c r="H3880" s="68"/>
      <c r="I3880" s="69"/>
      <c r="J3880" s="69"/>
      <c r="K3880" s="32"/>
      <c r="L3880" s="76">
        <v>3880</v>
      </c>
      <c r="M3880" s="76"/>
      <c r="N3880" s="71"/>
      <c r="O3880" s="87" t="s">
        <v>1839</v>
      </c>
      <c r="P3880" s="90">
        <v>45145.705879629626</v>
      </c>
      <c r="Q3880" s="87" t="s">
        <v>5532</v>
      </c>
      <c r="R3880" s="87">
        <v>0</v>
      </c>
      <c r="S3880" s="87">
        <v>0</v>
      </c>
      <c r="T3880" s="87">
        <v>0</v>
      </c>
      <c r="U3880" s="87">
        <v>0</v>
      </c>
      <c r="V3880" s="87">
        <v>66</v>
      </c>
      <c r="W3880" s="93" t="s">
        <v>8131</v>
      </c>
      <c r="X3880" s="87"/>
      <c r="Y3880" s="87"/>
      <c r="Z3880" s="87" t="s">
        <v>8625</v>
      </c>
      <c r="AA3880" s="87" t="s">
        <v>11227</v>
      </c>
      <c r="AB3880" s="87" t="s">
        <v>11447</v>
      </c>
      <c r="AC3880" s="93" t="s">
        <v>11459</v>
      </c>
      <c r="AD3880" s="87" t="s">
        <v>11523</v>
      </c>
      <c r="AE3880" s="92" t="str">
        <f>HYPERLINK("https://twitter.com/pabloguzmandice/status/1688594971664826392")</f>
        <v>https://twitter.com/pabloguzmandice/status/1688594971664826392</v>
      </c>
      <c r="AF3880" s="90">
        <v>45145.705879629626</v>
      </c>
      <c r="AG3880" s="99">
        <v>45145</v>
      </c>
      <c r="AH3880" s="93" t="s">
        <v>14944</v>
      </c>
      <c r="AI3880" s="87" t="b">
        <v>0</v>
      </c>
      <c r="AJ3880" s="87"/>
      <c r="AK3880" s="87"/>
      <c r="AL3880" s="87"/>
      <c r="AM3880" s="87"/>
      <c r="AN3880" s="87"/>
      <c r="AO3880" s="87"/>
      <c r="AP3880" s="87"/>
      <c r="AQ3880" s="87" t="s">
        <v>18039</v>
      </c>
      <c r="AR3880" s="87">
        <v>89466</v>
      </c>
      <c r="AS3880" s="87"/>
      <c r="AT3880" s="87"/>
      <c r="AU3880" s="87"/>
      <c r="AV3880" s="92" t="str">
        <f>HYPERLINK("https://pbs.twimg.com/ext_tw_video_thumb/1688594895093612552/pu/img/m6bzpWf6xUo17zW6.jpg")</f>
        <v>https://pbs.twimg.com/ext_tw_video_thumb/1688594895093612552/pu/img/m6bzpWf6xUo17zW6.jpg</v>
      </c>
      <c r="AW3880" s="93" t="s">
        <v>21988</v>
      </c>
      <c r="AX3880" s="93" t="s">
        <v>21988</v>
      </c>
      <c r="AY3880" s="87"/>
      <c r="AZ3880" s="93" t="s">
        <v>22668</v>
      </c>
      <c r="BA3880" s="93" t="s">
        <v>22668</v>
      </c>
      <c r="BB3880" s="93" t="s">
        <v>22668</v>
      </c>
      <c r="BC3880" s="93" t="s">
        <v>21988</v>
      </c>
      <c r="BD3880" s="87">
        <v>138511539</v>
      </c>
      <c r="BE3880" s="87"/>
      <c r="BF3880" s="87"/>
      <c r="BG3880" s="87"/>
      <c r="BH3880" s="87"/>
      <c r="BI3880" s="87"/>
    </row>
    <row r="3881" spans="1:61" x14ac:dyDescent="0.25">
      <c r="A3881" s="63" t="s">
        <v>1503</v>
      </c>
      <c r="B3881" s="63" t="s">
        <v>1824</v>
      </c>
      <c r="C3881" s="64"/>
      <c r="D3881" s="65"/>
      <c r="E3881" s="66"/>
      <c r="F3881" s="67"/>
      <c r="G3881" s="64"/>
      <c r="H3881" s="68"/>
      <c r="I3881" s="69"/>
      <c r="J3881" s="69"/>
      <c r="K3881" s="32"/>
      <c r="L3881" s="76">
        <v>3881</v>
      </c>
      <c r="M3881" s="76"/>
      <c r="N3881" s="71"/>
      <c r="O3881" s="87" t="s">
        <v>1839</v>
      </c>
      <c r="P3881" s="90">
        <v>45145.705879629626</v>
      </c>
      <c r="Q3881" s="87" t="s">
        <v>5532</v>
      </c>
      <c r="R3881" s="87">
        <v>0</v>
      </c>
      <c r="S3881" s="87">
        <v>0</v>
      </c>
      <c r="T3881" s="87">
        <v>0</v>
      </c>
      <c r="U3881" s="87">
        <v>0</v>
      </c>
      <c r="V3881" s="87">
        <v>66</v>
      </c>
      <c r="W3881" s="93" t="s">
        <v>8131</v>
      </c>
      <c r="X3881" s="87"/>
      <c r="Y3881" s="87"/>
      <c r="Z3881" s="87" t="s">
        <v>8625</v>
      </c>
      <c r="AA3881" s="87" t="s">
        <v>11227</v>
      </c>
      <c r="AB3881" s="87" t="s">
        <v>11447</v>
      </c>
      <c r="AC3881" s="93" t="s">
        <v>11459</v>
      </c>
      <c r="AD3881" s="87" t="s">
        <v>11523</v>
      </c>
      <c r="AE3881" s="92" t="str">
        <f>HYPERLINK("https://twitter.com/pabloguzmandice/status/1688594971664826392")</f>
        <v>https://twitter.com/pabloguzmandice/status/1688594971664826392</v>
      </c>
      <c r="AF3881" s="90">
        <v>45145.705879629626</v>
      </c>
      <c r="AG3881" s="99">
        <v>45145</v>
      </c>
      <c r="AH3881" s="93" t="s">
        <v>14944</v>
      </c>
      <c r="AI3881" s="87" t="b">
        <v>0</v>
      </c>
      <c r="AJ3881" s="87"/>
      <c r="AK3881" s="87"/>
      <c r="AL3881" s="87"/>
      <c r="AM3881" s="87"/>
      <c r="AN3881" s="87"/>
      <c r="AO3881" s="87"/>
      <c r="AP3881" s="87"/>
      <c r="AQ3881" s="87" t="s">
        <v>18039</v>
      </c>
      <c r="AR3881" s="87">
        <v>89466</v>
      </c>
      <c r="AS3881" s="87"/>
      <c r="AT3881" s="87"/>
      <c r="AU3881" s="87"/>
      <c r="AV3881" s="92" t="str">
        <f>HYPERLINK("https://pbs.twimg.com/ext_tw_video_thumb/1688594895093612552/pu/img/m6bzpWf6xUo17zW6.jpg")</f>
        <v>https://pbs.twimg.com/ext_tw_video_thumb/1688594895093612552/pu/img/m6bzpWf6xUo17zW6.jpg</v>
      </c>
      <c r="AW3881" s="93" t="s">
        <v>21988</v>
      </c>
      <c r="AX3881" s="93" t="s">
        <v>21988</v>
      </c>
      <c r="AY3881" s="87"/>
      <c r="AZ3881" s="93" t="s">
        <v>22668</v>
      </c>
      <c r="BA3881" s="93" t="s">
        <v>22668</v>
      </c>
      <c r="BB3881" s="93" t="s">
        <v>22668</v>
      </c>
      <c r="BC3881" s="93" t="s">
        <v>21988</v>
      </c>
      <c r="BD3881" s="87">
        <v>138511539</v>
      </c>
      <c r="BE3881" s="87"/>
      <c r="BF3881" s="87"/>
      <c r="BG3881" s="87"/>
      <c r="BH3881" s="87"/>
      <c r="BI3881" s="87"/>
    </row>
    <row r="3882" spans="1:61" x14ac:dyDescent="0.25">
      <c r="A3882" s="63" t="s">
        <v>1504</v>
      </c>
      <c r="B3882" s="63" t="s">
        <v>1504</v>
      </c>
      <c r="C3882" s="64"/>
      <c r="D3882" s="65"/>
      <c r="E3882" s="66"/>
      <c r="F3882" s="67"/>
      <c r="G3882" s="64"/>
      <c r="H3882" s="68"/>
      <c r="I3882" s="69"/>
      <c r="J3882" s="69"/>
      <c r="K3882" s="32"/>
      <c r="L3882" s="76">
        <v>3882</v>
      </c>
      <c r="M3882" s="76"/>
      <c r="N3882" s="71"/>
      <c r="O3882" s="87" t="s">
        <v>179</v>
      </c>
      <c r="P3882" s="90">
        <v>45175.513715277775</v>
      </c>
      <c r="Q3882" s="87" t="s">
        <v>5533</v>
      </c>
      <c r="R3882" s="87">
        <v>1</v>
      </c>
      <c r="S3882" s="87">
        <v>57</v>
      </c>
      <c r="T3882" s="87">
        <v>2</v>
      </c>
      <c r="U3882" s="87">
        <v>0</v>
      </c>
      <c r="V3882" s="87">
        <v>1472</v>
      </c>
      <c r="W3882" s="93" t="s">
        <v>8132</v>
      </c>
      <c r="X3882" s="87"/>
      <c r="Y3882" s="87"/>
      <c r="Z3882" s="87"/>
      <c r="AA3882" s="87" t="s">
        <v>11228</v>
      </c>
      <c r="AB3882" s="87" t="s">
        <v>11448</v>
      </c>
      <c r="AC3882" s="93" t="s">
        <v>11458</v>
      </c>
      <c r="AD3882" s="87" t="s">
        <v>11519</v>
      </c>
      <c r="AE3882" s="92" t="str">
        <f>HYPERLINK("https://twitter.com/san_thosed/status/1699396968198308180")</f>
        <v>https://twitter.com/san_thosed/status/1699396968198308180</v>
      </c>
      <c r="AF3882" s="90">
        <v>45175.513715277775</v>
      </c>
      <c r="AG3882" s="99">
        <v>45175</v>
      </c>
      <c r="AH3882" s="93" t="s">
        <v>14945</v>
      </c>
      <c r="AI3882" s="87" t="b">
        <v>0</v>
      </c>
      <c r="AJ3882" s="87"/>
      <c r="AK3882" s="87"/>
      <c r="AL3882" s="87"/>
      <c r="AM3882" s="87"/>
      <c r="AN3882" s="87"/>
      <c r="AO3882" s="87"/>
      <c r="AP3882" s="87"/>
      <c r="AQ3882" s="87" t="s">
        <v>18040</v>
      </c>
      <c r="AR3882" s="87"/>
      <c r="AS3882" s="87"/>
      <c r="AT3882" s="87"/>
      <c r="AU3882" s="87"/>
      <c r="AV3882" s="92" t="str">
        <f>HYPERLINK("https://pbs.twimg.com/media/F5V4iDQXMAA7bez.jpg")</f>
        <v>https://pbs.twimg.com/media/F5V4iDQXMAA7bez.jpg</v>
      </c>
      <c r="AW3882" s="93" t="s">
        <v>21989</v>
      </c>
      <c r="AX3882" s="93" t="s">
        <v>21989</v>
      </c>
      <c r="AY3882" s="87"/>
      <c r="AZ3882" s="93" t="s">
        <v>22668</v>
      </c>
      <c r="BA3882" s="93" t="s">
        <v>22668</v>
      </c>
      <c r="BB3882" s="93" t="s">
        <v>22668</v>
      </c>
      <c r="BC3882" s="93" t="s">
        <v>21989</v>
      </c>
      <c r="BD3882" s="93" t="s">
        <v>23539</v>
      </c>
      <c r="BE3882" s="87"/>
      <c r="BF3882" s="87"/>
      <c r="BG3882" s="87"/>
      <c r="BH3882" s="87"/>
      <c r="BI3882" s="87"/>
    </row>
    <row r="3883" spans="1:61" x14ac:dyDescent="0.25">
      <c r="A3883" s="63" t="s">
        <v>1505</v>
      </c>
      <c r="B3883" s="63" t="s">
        <v>1505</v>
      </c>
      <c r="C3883" s="64"/>
      <c r="D3883" s="65"/>
      <c r="E3883" s="66"/>
      <c r="F3883" s="67"/>
      <c r="G3883" s="64"/>
      <c r="H3883" s="68"/>
      <c r="I3883" s="69"/>
      <c r="J3883" s="69"/>
      <c r="K3883" s="32"/>
      <c r="L3883" s="76">
        <v>3883</v>
      </c>
      <c r="M3883" s="76"/>
      <c r="N3883" s="71"/>
      <c r="O3883" s="87" t="s">
        <v>179</v>
      </c>
      <c r="P3883" s="90">
        <v>45127.834814814814</v>
      </c>
      <c r="Q3883" s="87" t="s">
        <v>5534</v>
      </c>
      <c r="R3883" s="87">
        <v>0</v>
      </c>
      <c r="S3883" s="87">
        <v>0</v>
      </c>
      <c r="T3883" s="87">
        <v>0</v>
      </c>
      <c r="U3883" s="87">
        <v>0</v>
      </c>
      <c r="V3883" s="87">
        <v>24</v>
      </c>
      <c r="W3883" s="93" t="s">
        <v>8133</v>
      </c>
      <c r="X3883" s="87"/>
      <c r="Y3883" s="87"/>
      <c r="Z3883" s="87"/>
      <c r="AA3883" s="87" t="s">
        <v>11229</v>
      </c>
      <c r="AB3883" s="87" t="s">
        <v>11447</v>
      </c>
      <c r="AC3883" s="93" t="s">
        <v>11511</v>
      </c>
      <c r="AD3883" s="87" t="s">
        <v>11519</v>
      </c>
      <c r="AE3883" s="92" t="str">
        <f>HYPERLINK("https://twitter.com/sobrancelhassd/status/1682118715666563072")</f>
        <v>https://twitter.com/sobrancelhassd/status/1682118715666563072</v>
      </c>
      <c r="AF3883" s="90">
        <v>45127.834814814814</v>
      </c>
      <c r="AG3883" s="99">
        <v>45127</v>
      </c>
      <c r="AH3883" s="93" t="s">
        <v>14946</v>
      </c>
      <c r="AI3883" s="87" t="b">
        <v>0</v>
      </c>
      <c r="AJ3883" s="87"/>
      <c r="AK3883" s="87"/>
      <c r="AL3883" s="87"/>
      <c r="AM3883" s="87"/>
      <c r="AN3883" s="87"/>
      <c r="AO3883" s="87"/>
      <c r="AP3883" s="87"/>
      <c r="AQ3883" s="87" t="s">
        <v>18041</v>
      </c>
      <c r="AR3883" s="87">
        <v>32671</v>
      </c>
      <c r="AS3883" s="87"/>
      <c r="AT3883" s="87"/>
      <c r="AU3883" s="87"/>
      <c r="AV3883" s="92" t="str">
        <f>HYPERLINK("https://pbs.twimg.com/ext_tw_video_thumb/1682118580618293249/pu/img/76oIpRiYsE7W4ak5.jpg")</f>
        <v>https://pbs.twimg.com/ext_tw_video_thumb/1682118580618293249/pu/img/76oIpRiYsE7W4ak5.jpg</v>
      </c>
      <c r="AW3883" s="93" t="s">
        <v>21990</v>
      </c>
      <c r="AX3883" s="93" t="s">
        <v>21990</v>
      </c>
      <c r="AY3883" s="87"/>
      <c r="AZ3883" s="93" t="s">
        <v>22668</v>
      </c>
      <c r="BA3883" s="93" t="s">
        <v>22668</v>
      </c>
      <c r="BB3883" s="93" t="s">
        <v>22668</v>
      </c>
      <c r="BC3883" s="93" t="s">
        <v>21990</v>
      </c>
      <c r="BD3883" s="93" t="s">
        <v>23540</v>
      </c>
      <c r="BE3883" s="87"/>
      <c r="BF3883" s="87"/>
      <c r="BG3883" s="87"/>
      <c r="BH3883" s="87"/>
      <c r="BI3883" s="87"/>
    </row>
    <row r="3884" spans="1:61" x14ac:dyDescent="0.25">
      <c r="A3884" s="63" t="s">
        <v>1506</v>
      </c>
      <c r="B3884" s="63" t="s">
        <v>1825</v>
      </c>
      <c r="C3884" s="64"/>
      <c r="D3884" s="65"/>
      <c r="E3884" s="66"/>
      <c r="F3884" s="67"/>
      <c r="G3884" s="64"/>
      <c r="H3884" s="68"/>
      <c r="I3884" s="69"/>
      <c r="J3884" s="69"/>
      <c r="K3884" s="32"/>
      <c r="L3884" s="76">
        <v>3884</v>
      </c>
      <c r="M3884" s="76"/>
      <c r="N3884" s="71"/>
      <c r="O3884" s="87" t="s">
        <v>1839</v>
      </c>
      <c r="P3884" s="90">
        <v>45193.559548611112</v>
      </c>
      <c r="Q3884" s="87" t="s">
        <v>5535</v>
      </c>
      <c r="R3884" s="87">
        <v>0</v>
      </c>
      <c r="S3884" s="87">
        <v>0</v>
      </c>
      <c r="T3884" s="87">
        <v>0</v>
      </c>
      <c r="U3884" s="87">
        <v>0</v>
      </c>
      <c r="V3884" s="87">
        <v>19</v>
      </c>
      <c r="W3884" s="93" t="s">
        <v>8134</v>
      </c>
      <c r="X3884" s="92" t="str">
        <f>HYPERLINK("https://www.diplomaciabusiness.com/queremos-mais-pequenas-e-medias-empresas-exportando-diz-alckmin/")</f>
        <v>https://www.diplomaciabusiness.com/queremos-mais-pequenas-e-medias-empresas-exportando-diz-alckmin/</v>
      </c>
      <c r="Y3884" s="87" t="s">
        <v>8547</v>
      </c>
      <c r="Z3884" s="87" t="s">
        <v>1825</v>
      </c>
      <c r="AA3884" s="87"/>
      <c r="AB3884" s="87"/>
      <c r="AC3884" s="93" t="s">
        <v>11457</v>
      </c>
      <c r="AD3884" s="87" t="s">
        <v>11520</v>
      </c>
      <c r="AE3884" s="92" t="str">
        <f>HYPERLINK("https://twitter.com/diplomaciabusi1/status/1705936558669332542")</f>
        <v>https://twitter.com/diplomaciabusi1/status/1705936558669332542</v>
      </c>
      <c r="AF3884" s="90">
        <v>45193.559548611112</v>
      </c>
      <c r="AG3884" s="99">
        <v>45193</v>
      </c>
      <c r="AH3884" s="93" t="s">
        <v>14947</v>
      </c>
      <c r="AI3884" s="87" t="b">
        <v>0</v>
      </c>
      <c r="AJ3884" s="87"/>
      <c r="AK3884" s="87"/>
      <c r="AL3884" s="87"/>
      <c r="AM3884" s="87"/>
      <c r="AN3884" s="87"/>
      <c r="AO3884" s="87"/>
      <c r="AP3884" s="87"/>
      <c r="AQ3884" s="87"/>
      <c r="AR3884" s="87"/>
      <c r="AS3884" s="87"/>
      <c r="AT3884" s="87"/>
      <c r="AU3884" s="87"/>
      <c r="AV3884" s="92" t="str">
        <f>HYPERLINK("https://pbs.twimg.com/profile_images/1392200038131060738/ASqD2h-R_normal.jpg")</f>
        <v>https://pbs.twimg.com/profile_images/1392200038131060738/ASqD2h-R_normal.jpg</v>
      </c>
      <c r="AW3884" s="93" t="s">
        <v>21991</v>
      </c>
      <c r="AX3884" s="93" t="s">
        <v>21991</v>
      </c>
      <c r="AY3884" s="87"/>
      <c r="AZ3884" s="93" t="s">
        <v>22668</v>
      </c>
      <c r="BA3884" s="93" t="s">
        <v>22668</v>
      </c>
      <c r="BB3884" s="93" t="s">
        <v>22668</v>
      </c>
      <c r="BC3884" s="93" t="s">
        <v>21991</v>
      </c>
      <c r="BD3884" s="93" t="s">
        <v>23541</v>
      </c>
      <c r="BE3884" s="87"/>
      <c r="BF3884" s="87"/>
      <c r="BG3884" s="87"/>
      <c r="BH3884" s="87"/>
      <c r="BI3884" s="87"/>
    </row>
    <row r="3885" spans="1:61" x14ac:dyDescent="0.25">
      <c r="A3885" s="63" t="s">
        <v>1507</v>
      </c>
      <c r="B3885" s="63" t="s">
        <v>1507</v>
      </c>
      <c r="C3885" s="64"/>
      <c r="D3885" s="65"/>
      <c r="E3885" s="66"/>
      <c r="F3885" s="67"/>
      <c r="G3885" s="64"/>
      <c r="H3885" s="68"/>
      <c r="I3885" s="69"/>
      <c r="J3885" s="69"/>
      <c r="K3885" s="32"/>
      <c r="L3885" s="76">
        <v>3885</v>
      </c>
      <c r="M3885" s="76"/>
      <c r="N3885" s="71"/>
      <c r="O3885" s="87" t="s">
        <v>179</v>
      </c>
      <c r="P3885" s="90">
        <v>45155.791354166664</v>
      </c>
      <c r="Q3885" s="87" t="s">
        <v>5536</v>
      </c>
      <c r="R3885" s="87">
        <v>0</v>
      </c>
      <c r="S3885" s="87">
        <v>0</v>
      </c>
      <c r="T3885" s="87">
        <v>0</v>
      </c>
      <c r="U3885" s="87">
        <v>0</v>
      </c>
      <c r="V3885" s="87">
        <v>19</v>
      </c>
      <c r="W3885" s="93" t="s">
        <v>8135</v>
      </c>
      <c r="X3885" s="92" t="str">
        <f>HYPERLINK("https://pixtv.com.br/acig-day-reune-empreendedores-em-garopaba-sc/")</f>
        <v>https://pixtv.com.br/acig-day-reune-empreendedores-em-garopaba-sc/</v>
      </c>
      <c r="Y3885" s="87" t="s">
        <v>8373</v>
      </c>
      <c r="Z3885" s="87"/>
      <c r="AA3885" s="87"/>
      <c r="AB3885" s="87"/>
      <c r="AC3885" s="93" t="s">
        <v>11457</v>
      </c>
      <c r="AD3885" s="87" t="s">
        <v>11519</v>
      </c>
      <c r="AE3885" s="92" t="str">
        <f>HYPERLINK("https://twitter.com/pixtvhd/status/1692249823687385514")</f>
        <v>https://twitter.com/pixtvhd/status/1692249823687385514</v>
      </c>
      <c r="AF3885" s="90">
        <v>45155.791354166664</v>
      </c>
      <c r="AG3885" s="99">
        <v>45155</v>
      </c>
      <c r="AH3885" s="93" t="s">
        <v>14948</v>
      </c>
      <c r="AI3885" s="87" t="b">
        <v>0</v>
      </c>
      <c r="AJ3885" s="87"/>
      <c r="AK3885" s="87"/>
      <c r="AL3885" s="87"/>
      <c r="AM3885" s="87"/>
      <c r="AN3885" s="87"/>
      <c r="AO3885" s="87"/>
      <c r="AP3885" s="87"/>
      <c r="AQ3885" s="87"/>
      <c r="AR3885" s="87"/>
      <c r="AS3885" s="87"/>
      <c r="AT3885" s="87"/>
      <c r="AU3885" s="87"/>
      <c r="AV3885" s="92" t="str">
        <f>HYPERLINK("https://pbs.twimg.com/profile_images/1316845696058875909/UmEo9HZn_normal.jpg")</f>
        <v>https://pbs.twimg.com/profile_images/1316845696058875909/UmEo9HZn_normal.jpg</v>
      </c>
      <c r="AW3885" s="93" t="s">
        <v>21992</v>
      </c>
      <c r="AX3885" s="93" t="s">
        <v>21992</v>
      </c>
      <c r="AY3885" s="87"/>
      <c r="AZ3885" s="93" t="s">
        <v>22668</v>
      </c>
      <c r="BA3885" s="93" t="s">
        <v>22668</v>
      </c>
      <c r="BB3885" s="93" t="s">
        <v>22668</v>
      </c>
      <c r="BC3885" s="93" t="s">
        <v>21992</v>
      </c>
      <c r="BD3885" s="87">
        <v>117089350</v>
      </c>
      <c r="BE3885" s="87"/>
      <c r="BF3885" s="87"/>
      <c r="BG3885" s="87"/>
      <c r="BH3885" s="87"/>
      <c r="BI3885" s="87"/>
    </row>
    <row r="3886" spans="1:61" x14ac:dyDescent="0.25">
      <c r="A3886" s="63" t="s">
        <v>1507</v>
      </c>
      <c r="B3886" s="63" t="s">
        <v>1507</v>
      </c>
      <c r="C3886" s="64"/>
      <c r="D3886" s="65"/>
      <c r="E3886" s="66"/>
      <c r="F3886" s="67"/>
      <c r="G3886" s="64"/>
      <c r="H3886" s="68"/>
      <c r="I3886" s="69"/>
      <c r="J3886" s="69"/>
      <c r="K3886" s="32"/>
      <c r="L3886" s="76">
        <v>3886</v>
      </c>
      <c r="M3886" s="76"/>
      <c r="N3886" s="71"/>
      <c r="O3886" s="87" t="s">
        <v>179</v>
      </c>
      <c r="P3886" s="90">
        <v>45167.780578703707</v>
      </c>
      <c r="Q3886" s="87" t="s">
        <v>5537</v>
      </c>
      <c r="R3886" s="87">
        <v>0</v>
      </c>
      <c r="S3886" s="87">
        <v>0</v>
      </c>
      <c r="T3886" s="87">
        <v>0</v>
      </c>
      <c r="U3886" s="87">
        <v>0</v>
      </c>
      <c r="V3886" s="87">
        <v>34</v>
      </c>
      <c r="W3886" s="93" t="s">
        <v>8136</v>
      </c>
      <c r="X3886" s="92" t="str">
        <f>HYPERLINK("https://pixtv.com.br/conecta-mais-motiva-empreendedores/")</f>
        <v>https://pixtv.com.br/conecta-mais-motiva-empreendedores/</v>
      </c>
      <c r="Y3886" s="87" t="s">
        <v>8373</v>
      </c>
      <c r="Z3886" s="87"/>
      <c r="AA3886" s="87"/>
      <c r="AB3886" s="87"/>
      <c r="AC3886" s="93" t="s">
        <v>11457</v>
      </c>
      <c r="AD3886" s="87" t="s">
        <v>11519</v>
      </c>
      <c r="AE3886" s="92" t="str">
        <f>HYPERLINK("https://twitter.com/pixtvhd/status/1696594574381130161")</f>
        <v>https://twitter.com/pixtvhd/status/1696594574381130161</v>
      </c>
      <c r="AF3886" s="90">
        <v>45167.780578703707</v>
      </c>
      <c r="AG3886" s="99">
        <v>45167</v>
      </c>
      <c r="AH3886" s="93" t="s">
        <v>14949</v>
      </c>
      <c r="AI3886" s="87" t="b">
        <v>0</v>
      </c>
      <c r="AJ3886" s="87"/>
      <c r="AK3886" s="87"/>
      <c r="AL3886" s="87"/>
      <c r="AM3886" s="87"/>
      <c r="AN3886" s="87"/>
      <c r="AO3886" s="87"/>
      <c r="AP3886" s="87"/>
      <c r="AQ3886" s="87"/>
      <c r="AR3886" s="87"/>
      <c r="AS3886" s="87"/>
      <c r="AT3886" s="87"/>
      <c r="AU3886" s="87"/>
      <c r="AV3886" s="92" t="str">
        <f>HYPERLINK("https://pbs.twimg.com/profile_images/1316845696058875909/UmEo9HZn_normal.jpg")</f>
        <v>https://pbs.twimg.com/profile_images/1316845696058875909/UmEo9HZn_normal.jpg</v>
      </c>
      <c r="AW3886" s="93" t="s">
        <v>21993</v>
      </c>
      <c r="AX3886" s="93" t="s">
        <v>21993</v>
      </c>
      <c r="AY3886" s="87"/>
      <c r="AZ3886" s="93" t="s">
        <v>22668</v>
      </c>
      <c r="BA3886" s="93" t="s">
        <v>22668</v>
      </c>
      <c r="BB3886" s="93" t="s">
        <v>22668</v>
      </c>
      <c r="BC3886" s="93" t="s">
        <v>21993</v>
      </c>
      <c r="BD3886" s="87">
        <v>117089350</v>
      </c>
      <c r="BE3886" s="87"/>
      <c r="BF3886" s="87"/>
      <c r="BG3886" s="87"/>
      <c r="BH3886" s="87"/>
      <c r="BI3886" s="87"/>
    </row>
    <row r="3887" spans="1:61" x14ac:dyDescent="0.25">
      <c r="A3887" s="63" t="s">
        <v>1507</v>
      </c>
      <c r="B3887" s="63" t="s">
        <v>1507</v>
      </c>
      <c r="C3887" s="64"/>
      <c r="D3887" s="65"/>
      <c r="E3887" s="66"/>
      <c r="F3887" s="67"/>
      <c r="G3887" s="64"/>
      <c r="H3887" s="68"/>
      <c r="I3887" s="69"/>
      <c r="J3887" s="69"/>
      <c r="K3887" s="32"/>
      <c r="L3887" s="76">
        <v>3887</v>
      </c>
      <c r="M3887" s="76"/>
      <c r="N3887" s="71"/>
      <c r="O3887" s="87" t="s">
        <v>179</v>
      </c>
      <c r="P3887" s="90">
        <v>45146.894363425927</v>
      </c>
      <c r="Q3887" s="87" t="s">
        <v>5538</v>
      </c>
      <c r="R3887" s="87">
        <v>0</v>
      </c>
      <c r="S3887" s="87">
        <v>0</v>
      </c>
      <c r="T3887" s="87">
        <v>0</v>
      </c>
      <c r="U3887" s="87">
        <v>0</v>
      </c>
      <c r="V3887" s="87">
        <v>15</v>
      </c>
      <c r="W3887" s="93" t="s">
        <v>8137</v>
      </c>
      <c r="X3887" s="92" t="str">
        <f>HYPERLINK("https://pixtv.com.br/8-minutos-fabio-roth-ceo-da-maior-rede-de-lavanderias-do-brasil/")</f>
        <v>https://pixtv.com.br/8-minutos-fabio-roth-ceo-da-maior-rede-de-lavanderias-do-brasil/</v>
      </c>
      <c r="Y3887" s="87" t="s">
        <v>8373</v>
      </c>
      <c r="Z3887" s="87"/>
      <c r="AA3887" s="87"/>
      <c r="AB3887" s="87"/>
      <c r="AC3887" s="93" t="s">
        <v>11457</v>
      </c>
      <c r="AD3887" s="87" t="s">
        <v>11519</v>
      </c>
      <c r="AE3887" s="92" t="str">
        <f>HYPERLINK("https://twitter.com/pixtvhd/status/1689025664396009473")</f>
        <v>https://twitter.com/pixtvhd/status/1689025664396009473</v>
      </c>
      <c r="AF3887" s="90">
        <v>45146.894363425927</v>
      </c>
      <c r="AG3887" s="99">
        <v>45146</v>
      </c>
      <c r="AH3887" s="93" t="s">
        <v>14950</v>
      </c>
      <c r="AI3887" s="87" t="b">
        <v>0</v>
      </c>
      <c r="AJ3887" s="87"/>
      <c r="AK3887" s="87"/>
      <c r="AL3887" s="87"/>
      <c r="AM3887" s="87"/>
      <c r="AN3887" s="87"/>
      <c r="AO3887" s="87"/>
      <c r="AP3887" s="87"/>
      <c r="AQ3887" s="87"/>
      <c r="AR3887" s="87"/>
      <c r="AS3887" s="87"/>
      <c r="AT3887" s="87"/>
      <c r="AU3887" s="87"/>
      <c r="AV3887" s="92" t="str">
        <f>HYPERLINK("https://pbs.twimg.com/profile_images/1316845696058875909/UmEo9HZn_normal.jpg")</f>
        <v>https://pbs.twimg.com/profile_images/1316845696058875909/UmEo9HZn_normal.jpg</v>
      </c>
      <c r="AW3887" s="93" t="s">
        <v>21994</v>
      </c>
      <c r="AX3887" s="93" t="s">
        <v>21994</v>
      </c>
      <c r="AY3887" s="87"/>
      <c r="AZ3887" s="93" t="s">
        <v>22668</v>
      </c>
      <c r="BA3887" s="93" t="s">
        <v>22668</v>
      </c>
      <c r="BB3887" s="93" t="s">
        <v>22668</v>
      </c>
      <c r="BC3887" s="93" t="s">
        <v>21994</v>
      </c>
      <c r="BD3887" s="87">
        <v>117089350</v>
      </c>
      <c r="BE3887" s="87"/>
      <c r="BF3887" s="87"/>
      <c r="BG3887" s="87"/>
      <c r="BH3887" s="87"/>
      <c r="BI3887" s="87"/>
    </row>
    <row r="3888" spans="1:61" x14ac:dyDescent="0.25">
      <c r="A3888" s="63" t="s">
        <v>1508</v>
      </c>
      <c r="B3888" s="63" t="s">
        <v>1508</v>
      </c>
      <c r="C3888" s="64"/>
      <c r="D3888" s="65"/>
      <c r="E3888" s="66"/>
      <c r="F3888" s="67"/>
      <c r="G3888" s="64"/>
      <c r="H3888" s="68"/>
      <c r="I3888" s="69"/>
      <c r="J3888" s="69"/>
      <c r="K3888" s="32"/>
      <c r="L3888" s="76">
        <v>3888</v>
      </c>
      <c r="M3888" s="76"/>
      <c r="N3888" s="71"/>
      <c r="O3888" s="87" t="s">
        <v>1840</v>
      </c>
      <c r="P3888" s="90">
        <v>45189.097453703704</v>
      </c>
      <c r="Q3888" s="87" t="s">
        <v>5539</v>
      </c>
      <c r="R3888" s="87">
        <v>0</v>
      </c>
      <c r="S3888" s="87">
        <v>0</v>
      </c>
      <c r="T3888" s="87">
        <v>0</v>
      </c>
      <c r="U3888" s="87">
        <v>0</v>
      </c>
      <c r="V3888" s="87">
        <v>5</v>
      </c>
      <c r="W3888" s="93" t="s">
        <v>8138</v>
      </c>
      <c r="X3888" s="87"/>
      <c r="Y3888" s="87"/>
      <c r="Z3888" s="87"/>
      <c r="AA3888" s="87"/>
      <c r="AB3888" s="87"/>
      <c r="AC3888" s="93" t="s">
        <v>11459</v>
      </c>
      <c r="AD3888" s="87" t="s">
        <v>11519</v>
      </c>
      <c r="AE3888" s="92" t="str">
        <f>HYPERLINK("https://twitter.com/brunno_brss/status/1704319552958464132")</f>
        <v>https://twitter.com/brunno_brss/status/1704319552958464132</v>
      </c>
      <c r="AF3888" s="90">
        <v>45189.097453703704</v>
      </c>
      <c r="AG3888" s="99">
        <v>45189</v>
      </c>
      <c r="AH3888" s="93" t="s">
        <v>14951</v>
      </c>
      <c r="AI3888" s="87"/>
      <c r="AJ3888" s="87"/>
      <c r="AK3888" s="87"/>
      <c r="AL3888" s="87"/>
      <c r="AM3888" s="87"/>
      <c r="AN3888" s="87"/>
      <c r="AO3888" s="87"/>
      <c r="AP3888" s="87"/>
      <c r="AQ3888" s="87"/>
      <c r="AR3888" s="87"/>
      <c r="AS3888" s="87"/>
      <c r="AT3888" s="87"/>
      <c r="AU3888" s="87"/>
      <c r="AV3888" s="92" t="str">
        <f>HYPERLINK("https://pbs.twimg.com/profile_images/1673901246057422851/0YuRxukL_normal.jpg")</f>
        <v>https://pbs.twimg.com/profile_images/1673901246057422851/0YuRxukL_normal.jpg</v>
      </c>
      <c r="AW3888" s="93" t="s">
        <v>21995</v>
      </c>
      <c r="AX3888" s="93" t="s">
        <v>22500</v>
      </c>
      <c r="AY3888" s="93" t="s">
        <v>22654</v>
      </c>
      <c r="AZ3888" s="93" t="s">
        <v>22781</v>
      </c>
      <c r="BA3888" s="93" t="s">
        <v>22668</v>
      </c>
      <c r="BB3888" s="93" t="s">
        <v>22668</v>
      </c>
      <c r="BC3888" s="93" t="s">
        <v>22781</v>
      </c>
      <c r="BD3888" s="87">
        <v>208372570</v>
      </c>
      <c r="BE3888" s="87"/>
      <c r="BF3888" s="87"/>
      <c r="BG3888" s="87"/>
      <c r="BH3888" s="87"/>
      <c r="BI3888" s="87"/>
    </row>
    <row r="3889" spans="1:61" x14ac:dyDescent="0.25">
      <c r="A3889" s="63" t="s">
        <v>1509</v>
      </c>
      <c r="B3889" s="63" t="s">
        <v>1509</v>
      </c>
      <c r="C3889" s="64"/>
      <c r="D3889" s="65"/>
      <c r="E3889" s="66"/>
      <c r="F3889" s="67"/>
      <c r="G3889" s="64"/>
      <c r="H3889" s="68"/>
      <c r="I3889" s="69"/>
      <c r="J3889" s="69"/>
      <c r="K3889" s="32"/>
      <c r="L3889" s="76">
        <v>3889</v>
      </c>
      <c r="M3889" s="76"/>
      <c r="N3889" s="71"/>
      <c r="O3889" s="87" t="s">
        <v>179</v>
      </c>
      <c r="P3889" s="90">
        <v>45121.667118055557</v>
      </c>
      <c r="Q3889" s="87" t="s">
        <v>5540</v>
      </c>
      <c r="R3889" s="87">
        <v>0</v>
      </c>
      <c r="S3889" s="87">
        <v>0</v>
      </c>
      <c r="T3889" s="87">
        <v>0</v>
      </c>
      <c r="U3889" s="87">
        <v>0</v>
      </c>
      <c r="V3889" s="87">
        <v>12</v>
      </c>
      <c r="W3889" s="93" t="s">
        <v>8139</v>
      </c>
      <c r="X3889" s="87"/>
      <c r="Y3889" s="87"/>
      <c r="Z3889" s="87"/>
      <c r="AA3889" s="87" t="s">
        <v>11230</v>
      </c>
      <c r="AB3889" s="87" t="s">
        <v>11448</v>
      </c>
      <c r="AC3889" s="93" t="s">
        <v>11460</v>
      </c>
      <c r="AD3889" s="87" t="s">
        <v>11519</v>
      </c>
      <c r="AE3889" s="92" t="str">
        <f>HYPERLINK("https://twitter.com/assespromg/status/1679883614866092032")</f>
        <v>https://twitter.com/assespromg/status/1679883614866092032</v>
      </c>
      <c r="AF3889" s="90">
        <v>45121.667118055557</v>
      </c>
      <c r="AG3889" s="99">
        <v>45121</v>
      </c>
      <c r="AH3889" s="93" t="s">
        <v>13440</v>
      </c>
      <c r="AI3889" s="87" t="b">
        <v>0</v>
      </c>
      <c r="AJ3889" s="87"/>
      <c r="AK3889" s="87"/>
      <c r="AL3889" s="87"/>
      <c r="AM3889" s="87"/>
      <c r="AN3889" s="87"/>
      <c r="AO3889" s="87"/>
      <c r="AP3889" s="87"/>
      <c r="AQ3889" s="87" t="s">
        <v>18042</v>
      </c>
      <c r="AR3889" s="87"/>
      <c r="AS3889" s="87"/>
      <c r="AT3889" s="87"/>
      <c r="AU3889" s="87"/>
      <c r="AV3889" s="92" t="str">
        <f>HYPERLINK("https://pbs.twimg.com/media/F1AlPrqWAAETopT.png")</f>
        <v>https://pbs.twimg.com/media/F1AlPrqWAAETopT.png</v>
      </c>
      <c r="AW3889" s="93" t="s">
        <v>21996</v>
      </c>
      <c r="AX3889" s="93" t="s">
        <v>21996</v>
      </c>
      <c r="AY3889" s="87"/>
      <c r="AZ3889" s="93" t="s">
        <v>22668</v>
      </c>
      <c r="BA3889" s="93" t="s">
        <v>22668</v>
      </c>
      <c r="BB3889" s="93" t="s">
        <v>22668</v>
      </c>
      <c r="BC3889" s="93" t="s">
        <v>21996</v>
      </c>
      <c r="BD3889" s="87">
        <v>80304926</v>
      </c>
      <c r="BE3889" s="87"/>
      <c r="BF3889" s="87"/>
      <c r="BG3889" s="87"/>
      <c r="BH3889" s="87"/>
      <c r="BI3889" s="87"/>
    </row>
    <row r="3890" spans="1:61" x14ac:dyDescent="0.25">
      <c r="A3890" s="63" t="s">
        <v>1509</v>
      </c>
      <c r="B3890" s="63" t="s">
        <v>1509</v>
      </c>
      <c r="C3890" s="64"/>
      <c r="D3890" s="65"/>
      <c r="E3890" s="66"/>
      <c r="F3890" s="67"/>
      <c r="G3890" s="64"/>
      <c r="H3890" s="68"/>
      <c r="I3890" s="69"/>
      <c r="J3890" s="69"/>
      <c r="K3890" s="32"/>
      <c r="L3890" s="76">
        <v>3890</v>
      </c>
      <c r="M3890" s="76"/>
      <c r="N3890" s="71"/>
      <c r="O3890" s="87" t="s">
        <v>179</v>
      </c>
      <c r="P3890" s="90">
        <v>45194.791666666664</v>
      </c>
      <c r="Q3890" s="87" t="s">
        <v>5541</v>
      </c>
      <c r="R3890" s="87">
        <v>0</v>
      </c>
      <c r="S3890" s="87">
        <v>0</v>
      </c>
      <c r="T3890" s="87">
        <v>0</v>
      </c>
      <c r="U3890" s="87">
        <v>0</v>
      </c>
      <c r="V3890" s="87">
        <v>6</v>
      </c>
      <c r="W3890" s="93" t="s">
        <v>8139</v>
      </c>
      <c r="X3890" s="87"/>
      <c r="Y3890" s="87"/>
      <c r="Z3890" s="87"/>
      <c r="AA3890" s="87" t="s">
        <v>11231</v>
      </c>
      <c r="AB3890" s="87" t="s">
        <v>11448</v>
      </c>
      <c r="AC3890" s="93" t="s">
        <v>11457</v>
      </c>
      <c r="AD3890" s="87" t="s">
        <v>11519</v>
      </c>
      <c r="AE3890" s="92" t="str">
        <f>HYPERLINK("https://twitter.com/assespromg/status/1706383065906548962")</f>
        <v>https://twitter.com/assespromg/status/1706383065906548962</v>
      </c>
      <c r="AF3890" s="90">
        <v>45194.791666666664</v>
      </c>
      <c r="AG3890" s="99">
        <v>45194</v>
      </c>
      <c r="AH3890" s="93" t="s">
        <v>11772</v>
      </c>
      <c r="AI3890" s="87" t="b">
        <v>0</v>
      </c>
      <c r="AJ3890" s="87"/>
      <c r="AK3890" s="87"/>
      <c r="AL3890" s="87"/>
      <c r="AM3890" s="87"/>
      <c r="AN3890" s="87"/>
      <c r="AO3890" s="87"/>
      <c r="AP3890" s="87"/>
      <c r="AQ3890" s="87" t="s">
        <v>18043</v>
      </c>
      <c r="AR3890" s="87"/>
      <c r="AS3890" s="87"/>
      <c r="AT3890" s="87"/>
      <c r="AU3890" s="87"/>
      <c r="AV3890" s="92" t="str">
        <f>HYPERLINK("https://pbs.twimg.com/media/F64I3ZoXMAACxBo.png")</f>
        <v>https://pbs.twimg.com/media/F64I3ZoXMAACxBo.png</v>
      </c>
      <c r="AW3890" s="93" t="s">
        <v>21997</v>
      </c>
      <c r="AX3890" s="93" t="s">
        <v>21997</v>
      </c>
      <c r="AY3890" s="87"/>
      <c r="AZ3890" s="93" t="s">
        <v>22668</v>
      </c>
      <c r="BA3890" s="93" t="s">
        <v>22668</v>
      </c>
      <c r="BB3890" s="93" t="s">
        <v>22668</v>
      </c>
      <c r="BC3890" s="93" t="s">
        <v>21997</v>
      </c>
      <c r="BD3890" s="87">
        <v>80304926</v>
      </c>
      <c r="BE3890" s="87"/>
      <c r="BF3890" s="87"/>
      <c r="BG3890" s="87"/>
      <c r="BH3890" s="87"/>
      <c r="BI3890" s="87"/>
    </row>
    <row r="3891" spans="1:61" x14ac:dyDescent="0.25">
      <c r="A3891" s="63" t="s">
        <v>1510</v>
      </c>
      <c r="B3891" s="63" t="s">
        <v>1510</v>
      </c>
      <c r="C3891" s="64"/>
      <c r="D3891" s="65"/>
      <c r="E3891" s="66"/>
      <c r="F3891" s="67"/>
      <c r="G3891" s="64"/>
      <c r="H3891" s="68"/>
      <c r="I3891" s="69"/>
      <c r="J3891" s="69"/>
      <c r="K3891" s="32"/>
      <c r="L3891" s="76">
        <v>3891</v>
      </c>
      <c r="M3891" s="76"/>
      <c r="N3891" s="71"/>
      <c r="O3891" s="87" t="s">
        <v>179</v>
      </c>
      <c r="P3891" s="90">
        <v>45160.716990740744</v>
      </c>
      <c r="Q3891" s="87" t="s">
        <v>5542</v>
      </c>
      <c r="R3891" s="87">
        <v>0</v>
      </c>
      <c r="S3891" s="87">
        <v>1</v>
      </c>
      <c r="T3891" s="87">
        <v>0</v>
      </c>
      <c r="U3891" s="87">
        <v>0</v>
      </c>
      <c r="V3891" s="87">
        <v>4</v>
      </c>
      <c r="W3891" s="93" t="s">
        <v>8140</v>
      </c>
      <c r="X3891" s="92" t="str">
        <f>HYPERLINK("https://viravirtual.com.br/nossos-servicos/")</f>
        <v>https://viravirtual.com.br/nossos-servicos/</v>
      </c>
      <c r="Y3891" s="87" t="s">
        <v>8373</v>
      </c>
      <c r="Z3891" s="87"/>
      <c r="AA3891" s="87" t="s">
        <v>11232</v>
      </c>
      <c r="AB3891" s="87" t="s">
        <v>11448</v>
      </c>
      <c r="AC3891" s="93" t="s">
        <v>11457</v>
      </c>
      <c r="AD3891" s="87" t="s">
        <v>11519</v>
      </c>
      <c r="AE3891" s="92" t="str">
        <f>HYPERLINK("https://twitter.com/viravirtual/status/1694034818206433314")</f>
        <v>https://twitter.com/viravirtual/status/1694034818206433314</v>
      </c>
      <c r="AF3891" s="90">
        <v>45160.716990740744</v>
      </c>
      <c r="AG3891" s="99">
        <v>45160</v>
      </c>
      <c r="AH3891" s="93" t="s">
        <v>14952</v>
      </c>
      <c r="AI3891" s="87" t="b">
        <v>0</v>
      </c>
      <c r="AJ3891" s="87"/>
      <c r="AK3891" s="87"/>
      <c r="AL3891" s="87"/>
      <c r="AM3891" s="87"/>
      <c r="AN3891" s="87"/>
      <c r="AO3891" s="87"/>
      <c r="AP3891" s="87"/>
      <c r="AQ3891" s="87" t="s">
        <v>18044</v>
      </c>
      <c r="AR3891" s="87"/>
      <c r="AS3891" s="87"/>
      <c r="AT3891" s="87"/>
      <c r="AU3891" s="87"/>
      <c r="AV3891" s="92" t="str">
        <f>HYPERLINK("https://pbs.twimg.com/media/F4JrjGiW0AAt2p-.jpg")</f>
        <v>https://pbs.twimg.com/media/F4JrjGiW0AAt2p-.jpg</v>
      </c>
      <c r="AW3891" s="93" t="s">
        <v>21998</v>
      </c>
      <c r="AX3891" s="93" t="s">
        <v>21998</v>
      </c>
      <c r="AY3891" s="87"/>
      <c r="AZ3891" s="93" t="s">
        <v>22668</v>
      </c>
      <c r="BA3891" s="93" t="s">
        <v>22668</v>
      </c>
      <c r="BB3891" s="93" t="s">
        <v>22668</v>
      </c>
      <c r="BC3891" s="93" t="s">
        <v>21998</v>
      </c>
      <c r="BD3891" s="93" t="s">
        <v>23542</v>
      </c>
      <c r="BE3891" s="87"/>
      <c r="BF3891" s="87"/>
      <c r="BG3891" s="87"/>
      <c r="BH3891" s="87"/>
      <c r="BI3891" s="87"/>
    </row>
    <row r="3892" spans="1:61" x14ac:dyDescent="0.25">
      <c r="A3892" s="63" t="s">
        <v>1511</v>
      </c>
      <c r="B3892" s="63" t="s">
        <v>1511</v>
      </c>
      <c r="C3892" s="64"/>
      <c r="D3892" s="65"/>
      <c r="E3892" s="66"/>
      <c r="F3892" s="67"/>
      <c r="G3892" s="64"/>
      <c r="H3892" s="68"/>
      <c r="I3892" s="69"/>
      <c r="J3892" s="69"/>
      <c r="K3892" s="32"/>
      <c r="L3892" s="76">
        <v>3892</v>
      </c>
      <c r="M3892" s="76"/>
      <c r="N3892" s="71"/>
      <c r="O3892" s="87" t="s">
        <v>179</v>
      </c>
      <c r="P3892" s="90">
        <v>45126.450821759259</v>
      </c>
      <c r="Q3892" s="87" t="s">
        <v>5543</v>
      </c>
      <c r="R3892" s="87">
        <v>0</v>
      </c>
      <c r="S3892" s="87">
        <v>0</v>
      </c>
      <c r="T3892" s="87">
        <v>0</v>
      </c>
      <c r="U3892" s="87">
        <v>0</v>
      </c>
      <c r="V3892" s="87">
        <v>44</v>
      </c>
      <c r="W3892" s="93" t="s">
        <v>8141</v>
      </c>
      <c r="X3892" s="92" t="str">
        <f>HYPERLINK("https://www.cm-moita.pt/viver/informacao-municipal/noticia/encontro-de-empreendedorismo-feminino-na-moita")</f>
        <v>https://www.cm-moita.pt/viver/informacao-municipal/noticia/encontro-de-empreendedorismo-feminino-na-moita</v>
      </c>
      <c r="Y3892" s="87" t="s">
        <v>8548</v>
      </c>
      <c r="Z3892" s="87"/>
      <c r="AA3892" s="87" t="s">
        <v>11233</v>
      </c>
      <c r="AB3892" s="87" t="s">
        <v>11449</v>
      </c>
      <c r="AC3892" s="93" t="s">
        <v>11459</v>
      </c>
      <c r="AD3892" s="87" t="s">
        <v>11519</v>
      </c>
      <c r="AE3892" s="92" t="str">
        <f>HYPERLINK("https://twitter.com/cmmoita/status/1681617172471201793")</f>
        <v>https://twitter.com/cmmoita/status/1681617172471201793</v>
      </c>
      <c r="AF3892" s="90">
        <v>45126.450821759259</v>
      </c>
      <c r="AG3892" s="99">
        <v>45126</v>
      </c>
      <c r="AH3892" s="93" t="s">
        <v>14953</v>
      </c>
      <c r="AI3892" s="87" t="b">
        <v>0</v>
      </c>
      <c r="AJ3892" s="87"/>
      <c r="AK3892" s="87"/>
      <c r="AL3892" s="87"/>
      <c r="AM3892" s="87"/>
      <c r="AN3892" s="87"/>
      <c r="AO3892" s="87"/>
      <c r="AP3892" s="87"/>
      <c r="AQ3892" s="87" t="s">
        <v>18045</v>
      </c>
      <c r="AR3892" s="87"/>
      <c r="AS3892" s="87"/>
      <c r="AT3892" s="87"/>
      <c r="AU3892" s="87"/>
      <c r="AV3892" s="92" t="str">
        <f>HYPERLINK("https://pbs.twimg.com/media/F1ZN3oPWYAEIq_G.jpg")</f>
        <v>https://pbs.twimg.com/media/F1ZN3oPWYAEIq_G.jpg</v>
      </c>
      <c r="AW3892" s="93" t="s">
        <v>21999</v>
      </c>
      <c r="AX3892" s="93" t="s">
        <v>21999</v>
      </c>
      <c r="AY3892" s="87"/>
      <c r="AZ3892" s="93" t="s">
        <v>22668</v>
      </c>
      <c r="BA3892" s="93" t="s">
        <v>22668</v>
      </c>
      <c r="BB3892" s="93" t="s">
        <v>22668</v>
      </c>
      <c r="BC3892" s="93" t="s">
        <v>21999</v>
      </c>
      <c r="BD3892" s="87">
        <v>19967197</v>
      </c>
      <c r="BE3892" s="87"/>
      <c r="BF3892" s="87"/>
      <c r="BG3892" s="87"/>
      <c r="BH3892" s="87"/>
      <c r="BI3892" s="87"/>
    </row>
    <row r="3893" spans="1:61" x14ac:dyDescent="0.25">
      <c r="A3893" s="63" t="s">
        <v>1512</v>
      </c>
      <c r="B3893" s="63" t="s">
        <v>1512</v>
      </c>
      <c r="C3893" s="64"/>
      <c r="D3893" s="65"/>
      <c r="E3893" s="66"/>
      <c r="F3893" s="67"/>
      <c r="G3893" s="64"/>
      <c r="H3893" s="68"/>
      <c r="I3893" s="69"/>
      <c r="J3893" s="69"/>
      <c r="K3893" s="32"/>
      <c r="L3893" s="76">
        <v>3893</v>
      </c>
      <c r="M3893" s="76"/>
      <c r="N3893" s="71"/>
      <c r="O3893" s="87" t="s">
        <v>179</v>
      </c>
      <c r="P3893" s="90">
        <v>45126.783726851849</v>
      </c>
      <c r="Q3893" s="87" t="s">
        <v>5544</v>
      </c>
      <c r="R3893" s="87">
        <v>0</v>
      </c>
      <c r="S3893" s="87">
        <v>0</v>
      </c>
      <c r="T3893" s="87">
        <v>0</v>
      </c>
      <c r="U3893" s="87">
        <v>0</v>
      </c>
      <c r="V3893" s="87">
        <v>6</v>
      </c>
      <c r="W3893" s="93" t="s">
        <v>8142</v>
      </c>
      <c r="X3893" s="87"/>
      <c r="Y3893" s="87"/>
      <c r="Z3893" s="87"/>
      <c r="AA3893" s="87"/>
      <c r="AB3893" s="87"/>
      <c r="AC3893" s="93" t="s">
        <v>11459</v>
      </c>
      <c r="AD3893" s="87" t="s">
        <v>11519</v>
      </c>
      <c r="AE3893" s="92" t="str">
        <f>HYPERLINK("https://twitter.com/sxocopywriter/status/1681737811190267905")</f>
        <v>https://twitter.com/sxocopywriter/status/1681737811190267905</v>
      </c>
      <c r="AF3893" s="90">
        <v>45126.783726851849</v>
      </c>
      <c r="AG3893" s="99">
        <v>45126</v>
      </c>
      <c r="AH3893" s="93" t="s">
        <v>14954</v>
      </c>
      <c r="AI3893" s="87"/>
      <c r="AJ3893" s="87"/>
      <c r="AK3893" s="87"/>
      <c r="AL3893" s="87"/>
      <c r="AM3893" s="87"/>
      <c r="AN3893" s="87"/>
      <c r="AO3893" s="87"/>
      <c r="AP3893" s="87"/>
      <c r="AQ3893" s="87"/>
      <c r="AR3893" s="87"/>
      <c r="AS3893" s="87"/>
      <c r="AT3893" s="87"/>
      <c r="AU3893" s="87"/>
      <c r="AV3893" s="92" t="str">
        <f>HYPERLINK("https://pbs.twimg.com/profile_images/1619094323529744385/wybTkjmb_normal.jpg")</f>
        <v>https://pbs.twimg.com/profile_images/1619094323529744385/wybTkjmb_normal.jpg</v>
      </c>
      <c r="AW3893" s="93" t="s">
        <v>22000</v>
      </c>
      <c r="AX3893" s="93" t="s">
        <v>22000</v>
      </c>
      <c r="AY3893" s="87"/>
      <c r="AZ3893" s="93" t="s">
        <v>22668</v>
      </c>
      <c r="BA3893" s="93" t="s">
        <v>22668</v>
      </c>
      <c r="BB3893" s="93" t="s">
        <v>22668</v>
      </c>
      <c r="BC3893" s="93" t="s">
        <v>22000</v>
      </c>
      <c r="BD3893" s="93" t="s">
        <v>23543</v>
      </c>
      <c r="BE3893" s="87"/>
      <c r="BF3893" s="87"/>
      <c r="BG3893" s="87"/>
      <c r="BH3893" s="87"/>
      <c r="BI3893" s="87"/>
    </row>
    <row r="3894" spans="1:61" x14ac:dyDescent="0.25">
      <c r="A3894" s="63" t="s">
        <v>1513</v>
      </c>
      <c r="B3894" s="63" t="s">
        <v>1513</v>
      </c>
      <c r="C3894" s="64"/>
      <c r="D3894" s="65"/>
      <c r="E3894" s="66"/>
      <c r="F3894" s="67"/>
      <c r="G3894" s="64"/>
      <c r="H3894" s="68"/>
      <c r="I3894" s="69"/>
      <c r="J3894" s="69"/>
      <c r="K3894" s="32"/>
      <c r="L3894" s="76">
        <v>3894</v>
      </c>
      <c r="M3894" s="76"/>
      <c r="N3894" s="71"/>
      <c r="O3894" s="87" t="s">
        <v>1840</v>
      </c>
      <c r="P3894" s="90">
        <v>45118.407442129632</v>
      </c>
      <c r="Q3894" s="87" t="s">
        <v>5545</v>
      </c>
      <c r="R3894" s="87">
        <v>0</v>
      </c>
      <c r="S3894" s="87">
        <v>0</v>
      </c>
      <c r="T3894" s="87">
        <v>0</v>
      </c>
      <c r="U3894" s="87">
        <v>0</v>
      </c>
      <c r="V3894" s="87">
        <v>19</v>
      </c>
      <c r="W3894" s="93" t="s">
        <v>8143</v>
      </c>
      <c r="X3894" s="87"/>
      <c r="Y3894" s="87"/>
      <c r="Z3894" s="87"/>
      <c r="AA3894" s="87"/>
      <c r="AB3894" s="87"/>
      <c r="AC3894" s="93" t="s">
        <v>11459</v>
      </c>
      <c r="AD3894" s="87" t="s">
        <v>11524</v>
      </c>
      <c r="AE3894" s="92" t="str">
        <f>HYPERLINK("https://twitter.com/santaguedaroma/status/1678702347541684225")</f>
        <v>https://twitter.com/santaguedaroma/status/1678702347541684225</v>
      </c>
      <c r="AF3894" s="90">
        <v>45118.407442129632</v>
      </c>
      <c r="AG3894" s="99">
        <v>45118</v>
      </c>
      <c r="AH3894" s="93" t="s">
        <v>14955</v>
      </c>
      <c r="AI3894" s="87"/>
      <c r="AJ3894" s="87"/>
      <c r="AK3894" s="87"/>
      <c r="AL3894" s="87"/>
      <c r="AM3894" s="87"/>
      <c r="AN3894" s="87"/>
      <c r="AO3894" s="87"/>
      <c r="AP3894" s="87"/>
      <c r="AQ3894" s="87"/>
      <c r="AR3894" s="87"/>
      <c r="AS3894" s="87"/>
      <c r="AT3894" s="87"/>
      <c r="AU3894" s="87"/>
      <c r="AV3894" s="92" t="str">
        <f>HYPERLINK("https://pbs.twimg.com/profile_images/1589225518708162562/HWQxRJwC_normal.jpg")</f>
        <v>https://pbs.twimg.com/profile_images/1589225518708162562/HWQxRJwC_normal.jpg</v>
      </c>
      <c r="AW3894" s="93" t="s">
        <v>22001</v>
      </c>
      <c r="AX3894" s="93" t="s">
        <v>22501</v>
      </c>
      <c r="AY3894" s="93" t="s">
        <v>22655</v>
      </c>
      <c r="AZ3894" s="93" t="s">
        <v>22501</v>
      </c>
      <c r="BA3894" s="93" t="s">
        <v>22668</v>
      </c>
      <c r="BB3894" s="93" t="s">
        <v>22668</v>
      </c>
      <c r="BC3894" s="93" t="s">
        <v>22501</v>
      </c>
      <c r="BD3894" s="93" t="s">
        <v>22655</v>
      </c>
      <c r="BE3894" s="87"/>
      <c r="BF3894" s="87"/>
      <c r="BG3894" s="87"/>
      <c r="BH3894" s="87"/>
      <c r="BI3894" s="87"/>
    </row>
    <row r="3895" spans="1:61" x14ac:dyDescent="0.25">
      <c r="A3895" s="63" t="s">
        <v>1514</v>
      </c>
      <c r="B3895" s="63" t="s">
        <v>1514</v>
      </c>
      <c r="C3895" s="64"/>
      <c r="D3895" s="65"/>
      <c r="E3895" s="66"/>
      <c r="F3895" s="67"/>
      <c r="G3895" s="64"/>
      <c r="H3895" s="68"/>
      <c r="I3895" s="69"/>
      <c r="J3895" s="69"/>
      <c r="K3895" s="32"/>
      <c r="L3895" s="76">
        <v>3895</v>
      </c>
      <c r="M3895" s="76"/>
      <c r="N3895" s="71"/>
      <c r="O3895" s="87" t="s">
        <v>179</v>
      </c>
      <c r="P3895" s="90">
        <v>45159.541458333333</v>
      </c>
      <c r="Q3895" s="87" t="s">
        <v>5546</v>
      </c>
      <c r="R3895" s="87">
        <v>0</v>
      </c>
      <c r="S3895" s="87">
        <v>1</v>
      </c>
      <c r="T3895" s="87">
        <v>0</v>
      </c>
      <c r="U3895" s="87">
        <v>0</v>
      </c>
      <c r="V3895" s="87">
        <v>113</v>
      </c>
      <c r="W3895" s="93" t="s">
        <v>8144</v>
      </c>
      <c r="X3895" s="92" t="str">
        <f>HYPERLINK("https://diarinho.net/coluna/627054/O-que-e-empreender-")</f>
        <v>https://diarinho.net/coluna/627054/O-que-e-empreender-</v>
      </c>
      <c r="Y3895" s="87" t="s">
        <v>8549</v>
      </c>
      <c r="Z3895" s="87"/>
      <c r="AA3895" s="87"/>
      <c r="AB3895" s="87"/>
      <c r="AC3895" s="93" t="s">
        <v>11457</v>
      </c>
      <c r="AD3895" s="87" t="s">
        <v>11519</v>
      </c>
      <c r="AE3895" s="92" t="str">
        <f>HYPERLINK("https://twitter.com/diarinho/status/1693608819505434903")</f>
        <v>https://twitter.com/diarinho/status/1693608819505434903</v>
      </c>
      <c r="AF3895" s="90">
        <v>45159.541458333333</v>
      </c>
      <c r="AG3895" s="99">
        <v>45159</v>
      </c>
      <c r="AH3895" s="93" t="s">
        <v>14956</v>
      </c>
      <c r="AI3895" s="87" t="b">
        <v>1</v>
      </c>
      <c r="AJ3895" s="87"/>
      <c r="AK3895" s="87"/>
      <c r="AL3895" s="87"/>
      <c r="AM3895" s="87"/>
      <c r="AN3895" s="87"/>
      <c r="AO3895" s="87"/>
      <c r="AP3895" s="87"/>
      <c r="AQ3895" s="87"/>
      <c r="AR3895" s="87"/>
      <c r="AS3895" s="87"/>
      <c r="AT3895" s="87"/>
      <c r="AU3895" s="87"/>
      <c r="AV3895" s="92" t="str">
        <f>HYPERLINK("https://pbs.twimg.com/profile_images/804299616/dalmo-com-a-corneta_normal.jpg")</f>
        <v>https://pbs.twimg.com/profile_images/804299616/dalmo-com-a-corneta_normal.jpg</v>
      </c>
      <c r="AW3895" s="93" t="s">
        <v>22002</v>
      </c>
      <c r="AX3895" s="93" t="s">
        <v>22002</v>
      </c>
      <c r="AY3895" s="87"/>
      <c r="AZ3895" s="93" t="s">
        <v>22668</v>
      </c>
      <c r="BA3895" s="93" t="s">
        <v>22668</v>
      </c>
      <c r="BB3895" s="93" t="s">
        <v>22668</v>
      </c>
      <c r="BC3895" s="93" t="s">
        <v>22002</v>
      </c>
      <c r="BD3895" s="87">
        <v>17598409</v>
      </c>
      <c r="BE3895" s="87"/>
      <c r="BF3895" s="87"/>
      <c r="BG3895" s="87"/>
      <c r="BH3895" s="87"/>
      <c r="BI3895" s="87"/>
    </row>
    <row r="3896" spans="1:61" x14ac:dyDescent="0.25">
      <c r="A3896" s="63" t="s">
        <v>1515</v>
      </c>
      <c r="B3896" s="63" t="s">
        <v>1515</v>
      </c>
      <c r="C3896" s="64"/>
      <c r="D3896" s="65"/>
      <c r="E3896" s="66"/>
      <c r="F3896" s="67"/>
      <c r="G3896" s="64"/>
      <c r="H3896" s="68"/>
      <c r="I3896" s="69"/>
      <c r="J3896" s="69"/>
      <c r="K3896" s="32"/>
      <c r="L3896" s="76">
        <v>3896</v>
      </c>
      <c r="M3896" s="76"/>
      <c r="N3896" s="71"/>
      <c r="O3896" s="87" t="s">
        <v>179</v>
      </c>
      <c r="P3896" s="90">
        <v>45119.542222222219</v>
      </c>
      <c r="Q3896" s="87" t="s">
        <v>5547</v>
      </c>
      <c r="R3896" s="87">
        <v>0</v>
      </c>
      <c r="S3896" s="87">
        <v>0</v>
      </c>
      <c r="T3896" s="87">
        <v>0</v>
      </c>
      <c r="U3896" s="87">
        <v>0</v>
      </c>
      <c r="V3896" s="87">
        <v>130</v>
      </c>
      <c r="W3896" s="93" t="s">
        <v>8145</v>
      </c>
      <c r="X3896" s="87"/>
      <c r="Y3896" s="87"/>
      <c r="Z3896" s="87"/>
      <c r="AA3896" s="87" t="s">
        <v>11234</v>
      </c>
      <c r="AB3896" s="87" t="s">
        <v>11449</v>
      </c>
      <c r="AC3896" s="93" t="s">
        <v>11460</v>
      </c>
      <c r="AD3896" s="87" t="s">
        <v>11519</v>
      </c>
      <c r="AE3896" s="92" t="str">
        <f>HYPERLINK("https://twitter.com/age_rio/status/1679113578467475456")</f>
        <v>https://twitter.com/age_rio/status/1679113578467475456</v>
      </c>
      <c r="AF3896" s="90">
        <v>45119.542222222219</v>
      </c>
      <c r="AG3896" s="99">
        <v>45119</v>
      </c>
      <c r="AH3896" s="93" t="s">
        <v>14898</v>
      </c>
      <c r="AI3896" s="87" t="b">
        <v>0</v>
      </c>
      <c r="AJ3896" s="87"/>
      <c r="AK3896" s="87"/>
      <c r="AL3896" s="87"/>
      <c r="AM3896" s="87"/>
      <c r="AN3896" s="87"/>
      <c r="AO3896" s="87"/>
      <c r="AP3896" s="87"/>
      <c r="AQ3896" s="87" t="s">
        <v>18046</v>
      </c>
      <c r="AR3896" s="87"/>
      <c r="AS3896" s="87"/>
      <c r="AT3896" s="87"/>
      <c r="AU3896" s="87"/>
      <c r="AV3896" s="92" t="str">
        <f>HYPERLINK("https://pbs.twimg.com/media/F01o5o-WYAYBmxS.jpg")</f>
        <v>https://pbs.twimg.com/media/F01o5o-WYAYBmxS.jpg</v>
      </c>
      <c r="AW3896" s="93" t="s">
        <v>22003</v>
      </c>
      <c r="AX3896" s="93" t="s">
        <v>22003</v>
      </c>
      <c r="AY3896" s="87"/>
      <c r="AZ3896" s="93" t="s">
        <v>22668</v>
      </c>
      <c r="BA3896" s="93" t="s">
        <v>22668</v>
      </c>
      <c r="BB3896" s="93" t="s">
        <v>22668</v>
      </c>
      <c r="BC3896" s="93" t="s">
        <v>22003</v>
      </c>
      <c r="BD3896" s="87">
        <v>2395121634</v>
      </c>
      <c r="BE3896" s="87"/>
      <c r="BF3896" s="87"/>
      <c r="BG3896" s="87"/>
      <c r="BH3896" s="87"/>
      <c r="BI3896" s="87"/>
    </row>
    <row r="3897" spans="1:61" x14ac:dyDescent="0.25">
      <c r="A3897" s="63" t="s">
        <v>1516</v>
      </c>
      <c r="B3897" s="63" t="s">
        <v>1516</v>
      </c>
      <c r="C3897" s="64"/>
      <c r="D3897" s="65"/>
      <c r="E3897" s="66"/>
      <c r="F3897" s="67"/>
      <c r="G3897" s="64"/>
      <c r="H3897" s="68"/>
      <c r="I3897" s="69"/>
      <c r="J3897" s="69"/>
      <c r="K3897" s="32"/>
      <c r="L3897" s="76">
        <v>3897</v>
      </c>
      <c r="M3897" s="76"/>
      <c r="N3897" s="71"/>
      <c r="O3897" s="87" t="s">
        <v>179</v>
      </c>
      <c r="P3897" s="90">
        <v>45120.623217592591</v>
      </c>
      <c r="Q3897" s="87" t="s">
        <v>5548</v>
      </c>
      <c r="R3897" s="87">
        <v>0</v>
      </c>
      <c r="S3897" s="87">
        <v>1</v>
      </c>
      <c r="T3897" s="87">
        <v>0</v>
      </c>
      <c r="U3897" s="87">
        <v>0</v>
      </c>
      <c r="V3897" s="87">
        <v>44</v>
      </c>
      <c r="W3897" s="93" t="s">
        <v>8146</v>
      </c>
      <c r="X3897" s="92" t="str">
        <f>HYPERLINK("https://www.savoa.com.br/produto/narrativa-o-contador-de-historias/")</f>
        <v>https://www.savoa.com.br/produto/narrativa-o-contador-de-historias/</v>
      </c>
      <c r="Y3897" s="87" t="s">
        <v>8373</v>
      </c>
      <c r="Z3897" s="87"/>
      <c r="AA3897" s="87" t="s">
        <v>11235</v>
      </c>
      <c r="AB3897" s="87" t="s">
        <v>11447</v>
      </c>
      <c r="AC3897" s="93" t="s">
        <v>11458</v>
      </c>
      <c r="AD3897" s="87" t="s">
        <v>11519</v>
      </c>
      <c r="AE3897" s="92" t="str">
        <f>HYPERLINK("https://twitter.com/savoastudio/status/1679505317770428416")</f>
        <v>https://twitter.com/savoastudio/status/1679505317770428416</v>
      </c>
      <c r="AF3897" s="90">
        <v>45120.623217592591</v>
      </c>
      <c r="AG3897" s="99">
        <v>45120</v>
      </c>
      <c r="AH3897" s="93" t="s">
        <v>14957</v>
      </c>
      <c r="AI3897" s="87" t="b">
        <v>0</v>
      </c>
      <c r="AJ3897" s="87"/>
      <c r="AK3897" s="87"/>
      <c r="AL3897" s="87"/>
      <c r="AM3897" s="87"/>
      <c r="AN3897" s="87"/>
      <c r="AO3897" s="87"/>
      <c r="AP3897" s="87"/>
      <c r="AQ3897" s="87" t="s">
        <v>18047</v>
      </c>
      <c r="AR3897" s="87">
        <v>57123</v>
      </c>
      <c r="AS3897" s="87"/>
      <c r="AT3897" s="87"/>
      <c r="AU3897" s="87"/>
      <c r="AV3897" s="92" t="str">
        <f>HYPERLINK("https://pbs.twimg.com/ext_tw_video_thumb/1679505201500225537/pu/img/DZWZQjc72-Hufm0E.jpg")</f>
        <v>https://pbs.twimg.com/ext_tw_video_thumb/1679505201500225537/pu/img/DZWZQjc72-Hufm0E.jpg</v>
      </c>
      <c r="AW3897" s="93" t="s">
        <v>22004</v>
      </c>
      <c r="AX3897" s="93" t="s">
        <v>22004</v>
      </c>
      <c r="AY3897" s="87"/>
      <c r="AZ3897" s="93" t="s">
        <v>22668</v>
      </c>
      <c r="BA3897" s="93" t="s">
        <v>22668</v>
      </c>
      <c r="BB3897" s="93" t="s">
        <v>22668</v>
      </c>
      <c r="BC3897" s="93" t="s">
        <v>22004</v>
      </c>
      <c r="BD3897" s="93" t="s">
        <v>23544</v>
      </c>
      <c r="BE3897" s="87"/>
      <c r="BF3897" s="87"/>
      <c r="BG3897" s="87"/>
      <c r="BH3897" s="87"/>
      <c r="BI3897" s="87"/>
    </row>
    <row r="3898" spans="1:61" x14ac:dyDescent="0.25">
      <c r="A3898" s="63" t="s">
        <v>1516</v>
      </c>
      <c r="B3898" s="63" t="s">
        <v>1516</v>
      </c>
      <c r="C3898" s="64"/>
      <c r="D3898" s="65"/>
      <c r="E3898" s="66"/>
      <c r="F3898" s="67"/>
      <c r="G3898" s="64"/>
      <c r="H3898" s="68"/>
      <c r="I3898" s="69"/>
      <c r="J3898" s="69"/>
      <c r="K3898" s="32"/>
      <c r="L3898" s="76">
        <v>3898</v>
      </c>
      <c r="M3898" s="76"/>
      <c r="N3898" s="71"/>
      <c r="O3898" s="87" t="s">
        <v>179</v>
      </c>
      <c r="P3898" s="90">
        <v>45118.627997685187</v>
      </c>
      <c r="Q3898" s="87" t="s">
        <v>5549</v>
      </c>
      <c r="R3898" s="87">
        <v>0</v>
      </c>
      <c r="S3898" s="87">
        <v>1</v>
      </c>
      <c r="T3898" s="87">
        <v>0</v>
      </c>
      <c r="U3898" s="87">
        <v>0</v>
      </c>
      <c r="V3898" s="87">
        <v>36</v>
      </c>
      <c r="W3898" s="93" t="s">
        <v>8147</v>
      </c>
      <c r="X3898" s="92" t="str">
        <f>HYPERLINK("https://www.savoa.com.br/produto/macrotendencia/")</f>
        <v>https://www.savoa.com.br/produto/macrotendencia/</v>
      </c>
      <c r="Y3898" s="87" t="s">
        <v>8373</v>
      </c>
      <c r="Z3898" s="87"/>
      <c r="AA3898" s="87" t="s">
        <v>11236</v>
      </c>
      <c r="AB3898" s="87" t="s">
        <v>11447</v>
      </c>
      <c r="AC3898" s="93" t="s">
        <v>11458</v>
      </c>
      <c r="AD3898" s="87" t="s">
        <v>11519</v>
      </c>
      <c r="AE3898" s="92" t="str">
        <f>HYPERLINK("https://twitter.com/savoastudio/status/1678782277734506496")</f>
        <v>https://twitter.com/savoastudio/status/1678782277734506496</v>
      </c>
      <c r="AF3898" s="90">
        <v>45118.627997685187</v>
      </c>
      <c r="AG3898" s="99">
        <v>45118</v>
      </c>
      <c r="AH3898" s="93" t="s">
        <v>14958</v>
      </c>
      <c r="AI3898" s="87" t="b">
        <v>0</v>
      </c>
      <c r="AJ3898" s="87"/>
      <c r="AK3898" s="87"/>
      <c r="AL3898" s="87"/>
      <c r="AM3898" s="87"/>
      <c r="AN3898" s="87"/>
      <c r="AO3898" s="87"/>
      <c r="AP3898" s="87"/>
      <c r="AQ3898" s="87" t="s">
        <v>18048</v>
      </c>
      <c r="AR3898" s="87">
        <v>54388</v>
      </c>
      <c r="AS3898" s="87"/>
      <c r="AT3898" s="87"/>
      <c r="AU3898" s="87"/>
      <c r="AV3898" s="92" t="str">
        <f>HYPERLINK("https://pbs.twimg.com/ext_tw_video_thumb/1678782168863240194/pu/img/jBuw6-6xcp_-4qdx.jpg")</f>
        <v>https://pbs.twimg.com/ext_tw_video_thumb/1678782168863240194/pu/img/jBuw6-6xcp_-4qdx.jpg</v>
      </c>
      <c r="AW3898" s="93" t="s">
        <v>22005</v>
      </c>
      <c r="AX3898" s="93" t="s">
        <v>22005</v>
      </c>
      <c r="AY3898" s="87"/>
      <c r="AZ3898" s="93" t="s">
        <v>22668</v>
      </c>
      <c r="BA3898" s="93" t="s">
        <v>22668</v>
      </c>
      <c r="BB3898" s="93" t="s">
        <v>22668</v>
      </c>
      <c r="BC3898" s="93" t="s">
        <v>22005</v>
      </c>
      <c r="BD3898" s="93" t="s">
        <v>23544</v>
      </c>
      <c r="BE3898" s="87"/>
      <c r="BF3898" s="87"/>
      <c r="BG3898" s="87"/>
      <c r="BH3898" s="87"/>
      <c r="BI3898" s="87"/>
    </row>
    <row r="3899" spans="1:61" x14ac:dyDescent="0.25">
      <c r="A3899" s="63" t="s">
        <v>1516</v>
      </c>
      <c r="B3899" s="63" t="s">
        <v>1516</v>
      </c>
      <c r="C3899" s="64"/>
      <c r="D3899" s="65"/>
      <c r="E3899" s="66"/>
      <c r="F3899" s="67"/>
      <c r="G3899" s="64"/>
      <c r="H3899" s="68"/>
      <c r="I3899" s="69"/>
      <c r="J3899" s="69"/>
      <c r="K3899" s="32"/>
      <c r="L3899" s="76">
        <v>3899</v>
      </c>
      <c r="M3899" s="76"/>
      <c r="N3899" s="71"/>
      <c r="O3899" s="87" t="s">
        <v>179</v>
      </c>
      <c r="P3899" s="90">
        <v>45131.620706018519</v>
      </c>
      <c r="Q3899" s="87" t="s">
        <v>5550</v>
      </c>
      <c r="R3899" s="87">
        <v>0</v>
      </c>
      <c r="S3899" s="87">
        <v>1</v>
      </c>
      <c r="T3899" s="87">
        <v>0</v>
      </c>
      <c r="U3899" s="87">
        <v>0</v>
      </c>
      <c r="V3899" s="87">
        <v>17</v>
      </c>
      <c r="W3899" s="93" t="s">
        <v>8148</v>
      </c>
      <c r="X3899" s="92" t="str">
        <f>HYPERLINK("https://www.savoa.com.br/produto/upcycling-comecando-seu-negocio/")</f>
        <v>https://www.savoa.com.br/produto/upcycling-comecando-seu-negocio/</v>
      </c>
      <c r="Y3899" s="87" t="s">
        <v>8373</v>
      </c>
      <c r="Z3899" s="87"/>
      <c r="AA3899" s="87"/>
      <c r="AB3899" s="87"/>
      <c r="AC3899" s="93" t="s">
        <v>11458</v>
      </c>
      <c r="AD3899" s="87" t="s">
        <v>11519</v>
      </c>
      <c r="AE3899" s="92" t="str">
        <f>HYPERLINK("https://twitter.com/savoastudio/status/1683490677777215489")</f>
        <v>https://twitter.com/savoastudio/status/1683490677777215489</v>
      </c>
      <c r="AF3899" s="90">
        <v>45131.620706018519</v>
      </c>
      <c r="AG3899" s="99">
        <v>45131</v>
      </c>
      <c r="AH3899" s="93" t="s">
        <v>14959</v>
      </c>
      <c r="AI3899" s="87" t="b">
        <v>0</v>
      </c>
      <c r="AJ3899" s="87"/>
      <c r="AK3899" s="87"/>
      <c r="AL3899" s="87"/>
      <c r="AM3899" s="87"/>
      <c r="AN3899" s="87"/>
      <c r="AO3899" s="87"/>
      <c r="AP3899" s="87"/>
      <c r="AQ3899" s="87"/>
      <c r="AR3899" s="87"/>
      <c r="AS3899" s="87"/>
      <c r="AT3899" s="87"/>
      <c r="AU3899" s="87"/>
      <c r="AV3899" s="92" t="str">
        <f>HYPERLINK("https://pbs.twimg.com/profile_images/1643650662599630849/B-X_Dx9A_normal.png")</f>
        <v>https://pbs.twimg.com/profile_images/1643650662599630849/B-X_Dx9A_normal.png</v>
      </c>
      <c r="AW3899" s="93" t="s">
        <v>22006</v>
      </c>
      <c r="AX3899" s="93" t="s">
        <v>22006</v>
      </c>
      <c r="AY3899" s="87"/>
      <c r="AZ3899" s="93" t="s">
        <v>22668</v>
      </c>
      <c r="BA3899" s="93" t="s">
        <v>22668</v>
      </c>
      <c r="BB3899" s="93" t="s">
        <v>22668</v>
      </c>
      <c r="BC3899" s="93" t="s">
        <v>22006</v>
      </c>
      <c r="BD3899" s="93" t="s">
        <v>23544</v>
      </c>
      <c r="BE3899" s="87"/>
      <c r="BF3899" s="87"/>
      <c r="BG3899" s="87"/>
      <c r="BH3899" s="87"/>
      <c r="BI3899" s="87"/>
    </row>
    <row r="3900" spans="1:61" x14ac:dyDescent="0.25">
      <c r="A3900" s="63" t="s">
        <v>1516</v>
      </c>
      <c r="B3900" s="63" t="s">
        <v>1516</v>
      </c>
      <c r="C3900" s="64"/>
      <c r="D3900" s="65"/>
      <c r="E3900" s="66"/>
      <c r="F3900" s="67"/>
      <c r="G3900" s="64"/>
      <c r="H3900" s="68"/>
      <c r="I3900" s="69"/>
      <c r="J3900" s="69"/>
      <c r="K3900" s="32"/>
      <c r="L3900" s="76">
        <v>3900</v>
      </c>
      <c r="M3900" s="76"/>
      <c r="N3900" s="71"/>
      <c r="O3900" s="87" t="s">
        <v>179</v>
      </c>
      <c r="P3900" s="90">
        <v>45141.607893518521</v>
      </c>
      <c r="Q3900" s="87" t="s">
        <v>5551</v>
      </c>
      <c r="R3900" s="87">
        <v>0</v>
      </c>
      <c r="S3900" s="87">
        <v>1</v>
      </c>
      <c r="T3900" s="87">
        <v>0</v>
      </c>
      <c r="U3900" s="87">
        <v>0</v>
      </c>
      <c r="V3900" s="87">
        <v>27</v>
      </c>
      <c r="W3900" s="93" t="s">
        <v>8149</v>
      </c>
      <c r="X3900" s="92" t="str">
        <f>HYPERLINK("https://www.savoa.com.br/produto/arte-da-customizacao/")</f>
        <v>https://www.savoa.com.br/produto/arte-da-customizacao/</v>
      </c>
      <c r="Y3900" s="87" t="s">
        <v>8373</v>
      </c>
      <c r="Z3900" s="87"/>
      <c r="AA3900" s="87" t="s">
        <v>11237</v>
      </c>
      <c r="AB3900" s="87" t="s">
        <v>11447</v>
      </c>
      <c r="AC3900" s="93" t="s">
        <v>11458</v>
      </c>
      <c r="AD3900" s="87" t="s">
        <v>11519</v>
      </c>
      <c r="AE3900" s="92" t="str">
        <f>HYPERLINK("https://twitter.com/savoastudio/status/1687109911820595201")</f>
        <v>https://twitter.com/savoastudio/status/1687109911820595201</v>
      </c>
      <c r="AF3900" s="90">
        <v>45141.607893518521</v>
      </c>
      <c r="AG3900" s="99">
        <v>45141</v>
      </c>
      <c r="AH3900" s="93" t="s">
        <v>14960</v>
      </c>
      <c r="AI3900" s="87" t="b">
        <v>0</v>
      </c>
      <c r="AJ3900" s="87"/>
      <c r="AK3900" s="87"/>
      <c r="AL3900" s="87"/>
      <c r="AM3900" s="87"/>
      <c r="AN3900" s="87"/>
      <c r="AO3900" s="87"/>
      <c r="AP3900" s="87"/>
      <c r="AQ3900" s="87" t="s">
        <v>18049</v>
      </c>
      <c r="AR3900" s="87">
        <v>56756</v>
      </c>
      <c r="AS3900" s="87"/>
      <c r="AT3900" s="87"/>
      <c r="AU3900" s="87"/>
      <c r="AV3900" s="92" t="str">
        <f>HYPERLINK("https://pbs.twimg.com/ext_tw_video_thumb/1687109791695745026/pu/img/ZpB1qco6OIvy61W5.jpg")</f>
        <v>https://pbs.twimg.com/ext_tw_video_thumb/1687109791695745026/pu/img/ZpB1qco6OIvy61W5.jpg</v>
      </c>
      <c r="AW3900" s="93" t="s">
        <v>22007</v>
      </c>
      <c r="AX3900" s="93" t="s">
        <v>22007</v>
      </c>
      <c r="AY3900" s="87"/>
      <c r="AZ3900" s="93" t="s">
        <v>22668</v>
      </c>
      <c r="BA3900" s="93" t="s">
        <v>22668</v>
      </c>
      <c r="BB3900" s="93" t="s">
        <v>22668</v>
      </c>
      <c r="BC3900" s="93" t="s">
        <v>22007</v>
      </c>
      <c r="BD3900" s="93" t="s">
        <v>23544</v>
      </c>
      <c r="BE3900" s="87"/>
      <c r="BF3900" s="87"/>
      <c r="BG3900" s="87"/>
      <c r="BH3900" s="87"/>
      <c r="BI3900" s="87"/>
    </row>
    <row r="3901" spans="1:61" x14ac:dyDescent="0.25">
      <c r="A3901" s="63" t="s">
        <v>1517</v>
      </c>
      <c r="B3901" s="63" t="s">
        <v>1517</v>
      </c>
      <c r="C3901" s="64"/>
      <c r="D3901" s="65"/>
      <c r="E3901" s="66"/>
      <c r="F3901" s="67"/>
      <c r="G3901" s="64"/>
      <c r="H3901" s="68"/>
      <c r="I3901" s="69"/>
      <c r="J3901" s="69"/>
      <c r="K3901" s="32"/>
      <c r="L3901" s="76">
        <v>3901</v>
      </c>
      <c r="M3901" s="76"/>
      <c r="N3901" s="71"/>
      <c r="O3901" s="87" t="s">
        <v>1840</v>
      </c>
      <c r="P3901" s="90">
        <v>45115.58153935185</v>
      </c>
      <c r="Q3901" s="87" t="s">
        <v>5552</v>
      </c>
      <c r="R3901" s="87">
        <v>0</v>
      </c>
      <c r="S3901" s="87">
        <v>0</v>
      </c>
      <c r="T3901" s="87">
        <v>0</v>
      </c>
      <c r="U3901" s="87">
        <v>0</v>
      </c>
      <c r="V3901" s="87">
        <v>66</v>
      </c>
      <c r="W3901" s="93" t="s">
        <v>8150</v>
      </c>
      <c r="X3901" s="92" t="str">
        <f>HYPERLINK("https://fas-amazonia.org/parentas-que-fazem/")</f>
        <v>https://fas-amazonia.org/parentas-que-fazem/</v>
      </c>
      <c r="Y3901" s="87" t="s">
        <v>8550</v>
      </c>
      <c r="Z3901" s="87"/>
      <c r="AA3901" s="87"/>
      <c r="AB3901" s="87"/>
      <c r="AC3901" s="93" t="s">
        <v>11457</v>
      </c>
      <c r="AD3901" s="87" t="s">
        <v>11519</v>
      </c>
      <c r="AE3901" s="92" t="str">
        <f>HYPERLINK("https://twitter.com/fasamazonia/status/1677678277379473408")</f>
        <v>https://twitter.com/fasamazonia/status/1677678277379473408</v>
      </c>
      <c r="AF3901" s="90">
        <v>45115.58153935185</v>
      </c>
      <c r="AG3901" s="99">
        <v>45115</v>
      </c>
      <c r="AH3901" s="93" t="s">
        <v>14961</v>
      </c>
      <c r="AI3901" s="87" t="b">
        <v>0</v>
      </c>
      <c r="AJ3901" s="87"/>
      <c r="AK3901" s="87"/>
      <c r="AL3901" s="87"/>
      <c r="AM3901" s="87"/>
      <c r="AN3901" s="87"/>
      <c r="AO3901" s="87"/>
      <c r="AP3901" s="87"/>
      <c r="AQ3901" s="87"/>
      <c r="AR3901" s="87"/>
      <c r="AS3901" s="87"/>
      <c r="AT3901" s="87"/>
      <c r="AU3901" s="87"/>
      <c r="AV3901" s="92" t="str">
        <f>HYPERLINK("https://pbs.twimg.com/profile_images/1623428557165805570/qPSeAJyA_normal.jpg")</f>
        <v>https://pbs.twimg.com/profile_images/1623428557165805570/qPSeAJyA_normal.jpg</v>
      </c>
      <c r="AW3901" s="93" t="s">
        <v>22008</v>
      </c>
      <c r="AX3901" s="93" t="s">
        <v>22502</v>
      </c>
      <c r="AY3901" s="93" t="s">
        <v>22656</v>
      </c>
      <c r="AZ3901" s="93" t="s">
        <v>22782</v>
      </c>
      <c r="BA3901" s="93" t="s">
        <v>22668</v>
      </c>
      <c r="BB3901" s="93" t="s">
        <v>22668</v>
      </c>
      <c r="BC3901" s="93" t="s">
        <v>22782</v>
      </c>
      <c r="BD3901" s="87">
        <v>46627824</v>
      </c>
      <c r="BE3901" s="87"/>
      <c r="BF3901" s="87"/>
      <c r="BG3901" s="87"/>
      <c r="BH3901" s="87"/>
      <c r="BI3901" s="87"/>
    </row>
    <row r="3902" spans="1:61" x14ac:dyDescent="0.25">
      <c r="A3902" s="63" t="s">
        <v>1517</v>
      </c>
      <c r="B3902" s="63" t="s">
        <v>1517</v>
      </c>
      <c r="C3902" s="64"/>
      <c r="D3902" s="65"/>
      <c r="E3902" s="66"/>
      <c r="F3902" s="67"/>
      <c r="G3902" s="64"/>
      <c r="H3902" s="68"/>
      <c r="I3902" s="69"/>
      <c r="J3902" s="69"/>
      <c r="K3902" s="32"/>
      <c r="L3902" s="76">
        <v>3902</v>
      </c>
      <c r="M3902" s="76"/>
      <c r="N3902" s="71"/>
      <c r="O3902" s="87" t="s">
        <v>1840</v>
      </c>
      <c r="P3902" s="90">
        <v>45118.828379629631</v>
      </c>
      <c r="Q3902" s="87" t="s">
        <v>5553</v>
      </c>
      <c r="R3902" s="87">
        <v>0</v>
      </c>
      <c r="S3902" s="87">
        <v>0</v>
      </c>
      <c r="T3902" s="87">
        <v>0</v>
      </c>
      <c r="U3902" s="87">
        <v>0</v>
      </c>
      <c r="V3902" s="87">
        <v>77</v>
      </c>
      <c r="W3902" s="93" t="s">
        <v>8151</v>
      </c>
      <c r="X3902" s="87"/>
      <c r="Y3902" s="87"/>
      <c r="Z3902" s="87"/>
      <c r="AA3902" s="87"/>
      <c r="AB3902" s="87"/>
      <c r="AC3902" s="93" t="s">
        <v>11457</v>
      </c>
      <c r="AD3902" s="87" t="s">
        <v>11519</v>
      </c>
      <c r="AE3902" s="92" t="str">
        <f>HYPERLINK("https://twitter.com/fasamazonia/status/1678854890309681157")</f>
        <v>https://twitter.com/fasamazonia/status/1678854890309681157</v>
      </c>
      <c r="AF3902" s="90">
        <v>45118.828379629631</v>
      </c>
      <c r="AG3902" s="99">
        <v>45118</v>
      </c>
      <c r="AH3902" s="93" t="s">
        <v>14962</v>
      </c>
      <c r="AI3902" s="87"/>
      <c r="AJ3902" s="87"/>
      <c r="AK3902" s="87"/>
      <c r="AL3902" s="87"/>
      <c r="AM3902" s="87"/>
      <c r="AN3902" s="87"/>
      <c r="AO3902" s="87"/>
      <c r="AP3902" s="87"/>
      <c r="AQ3902" s="87"/>
      <c r="AR3902" s="87"/>
      <c r="AS3902" s="87"/>
      <c r="AT3902" s="87"/>
      <c r="AU3902" s="87"/>
      <c r="AV3902" s="92" t="str">
        <f>HYPERLINK("https://pbs.twimg.com/profile_images/1623428557165805570/qPSeAJyA_normal.jpg")</f>
        <v>https://pbs.twimg.com/profile_images/1623428557165805570/qPSeAJyA_normal.jpg</v>
      </c>
      <c r="AW3902" s="93" t="s">
        <v>22009</v>
      </c>
      <c r="AX3902" s="93" t="s">
        <v>22503</v>
      </c>
      <c r="AY3902" s="93" t="s">
        <v>22656</v>
      </c>
      <c r="AZ3902" s="93" t="s">
        <v>22783</v>
      </c>
      <c r="BA3902" s="93" t="s">
        <v>22668</v>
      </c>
      <c r="BB3902" s="93" t="s">
        <v>22668</v>
      </c>
      <c r="BC3902" s="93" t="s">
        <v>22783</v>
      </c>
      <c r="BD3902" s="87">
        <v>46627824</v>
      </c>
      <c r="BE3902" s="87"/>
      <c r="BF3902" s="87"/>
      <c r="BG3902" s="87"/>
      <c r="BH3902" s="87"/>
      <c r="BI3902" s="87"/>
    </row>
    <row r="3903" spans="1:61" x14ac:dyDescent="0.25">
      <c r="A3903" s="63" t="s">
        <v>1518</v>
      </c>
      <c r="B3903" s="63" t="s">
        <v>1518</v>
      </c>
      <c r="C3903" s="64"/>
      <c r="D3903" s="65"/>
      <c r="E3903" s="66"/>
      <c r="F3903" s="67"/>
      <c r="G3903" s="64"/>
      <c r="H3903" s="68"/>
      <c r="I3903" s="69"/>
      <c r="J3903" s="69"/>
      <c r="K3903" s="32"/>
      <c r="L3903" s="76">
        <v>3903</v>
      </c>
      <c r="M3903" s="76"/>
      <c r="N3903" s="71"/>
      <c r="O3903" s="87" t="s">
        <v>179</v>
      </c>
      <c r="P3903" s="90">
        <v>45112.805393518516</v>
      </c>
      <c r="Q3903" s="87" t="s">
        <v>5554</v>
      </c>
      <c r="R3903" s="87">
        <v>0</v>
      </c>
      <c r="S3903" s="87">
        <v>1</v>
      </c>
      <c r="T3903" s="87">
        <v>0</v>
      </c>
      <c r="U3903" s="87">
        <v>0</v>
      </c>
      <c r="V3903" s="87">
        <v>9</v>
      </c>
      <c r="W3903" s="93" t="s">
        <v>8152</v>
      </c>
      <c r="X3903" s="87"/>
      <c r="Y3903" s="87"/>
      <c r="Z3903" s="87"/>
      <c r="AA3903" s="87" t="s">
        <v>11238</v>
      </c>
      <c r="AB3903" s="87" t="s">
        <v>11448</v>
      </c>
      <c r="AC3903" s="93" t="s">
        <v>11457</v>
      </c>
      <c r="AD3903" s="87" t="s">
        <v>11519</v>
      </c>
      <c r="AE3903" s="92" t="str">
        <f>HYPERLINK("https://twitter.com/yesecosystem/status/1676672234880999425")</f>
        <v>https://twitter.com/yesecosystem/status/1676672234880999425</v>
      </c>
      <c r="AF3903" s="90">
        <v>45112.805393518516</v>
      </c>
      <c r="AG3903" s="99">
        <v>45112</v>
      </c>
      <c r="AH3903" s="93" t="s">
        <v>14963</v>
      </c>
      <c r="AI3903" s="87" t="b">
        <v>0</v>
      </c>
      <c r="AJ3903" s="87"/>
      <c r="AK3903" s="87"/>
      <c r="AL3903" s="87"/>
      <c r="AM3903" s="87"/>
      <c r="AN3903" s="87"/>
      <c r="AO3903" s="87"/>
      <c r="AP3903" s="87"/>
      <c r="AQ3903" s="87" t="s">
        <v>18050</v>
      </c>
      <c r="AR3903" s="87"/>
      <c r="AS3903" s="87"/>
      <c r="AT3903" s="87"/>
      <c r="AU3903" s="87"/>
      <c r="AV3903" s="92" t="str">
        <f>HYPERLINK("https://pbs.twimg.com/media/F0S8VV9X0AUFzJu.jpg")</f>
        <v>https://pbs.twimg.com/media/F0S8VV9X0AUFzJu.jpg</v>
      </c>
      <c r="AW3903" s="93" t="s">
        <v>22010</v>
      </c>
      <c r="AX3903" s="93" t="s">
        <v>22010</v>
      </c>
      <c r="AY3903" s="87"/>
      <c r="AZ3903" s="93" t="s">
        <v>22668</v>
      </c>
      <c r="BA3903" s="93" t="s">
        <v>22668</v>
      </c>
      <c r="BB3903" s="93" t="s">
        <v>22668</v>
      </c>
      <c r="BC3903" s="93" t="s">
        <v>22010</v>
      </c>
      <c r="BD3903" s="93" t="s">
        <v>23545</v>
      </c>
      <c r="BE3903" s="87"/>
      <c r="BF3903" s="87"/>
      <c r="BG3903" s="87"/>
      <c r="BH3903" s="87"/>
      <c r="BI3903" s="87"/>
    </row>
    <row r="3904" spans="1:61" x14ac:dyDescent="0.25">
      <c r="A3904" s="63" t="s">
        <v>1519</v>
      </c>
      <c r="B3904" s="63" t="s">
        <v>1519</v>
      </c>
      <c r="C3904" s="64"/>
      <c r="D3904" s="65"/>
      <c r="E3904" s="66"/>
      <c r="F3904" s="67"/>
      <c r="G3904" s="64"/>
      <c r="H3904" s="68"/>
      <c r="I3904" s="69"/>
      <c r="J3904" s="69"/>
      <c r="K3904" s="32"/>
      <c r="L3904" s="76">
        <v>3904</v>
      </c>
      <c r="M3904" s="76"/>
      <c r="N3904" s="71"/>
      <c r="O3904" s="87" t="s">
        <v>179</v>
      </c>
      <c r="P3904" s="90">
        <v>45113.041747685187</v>
      </c>
      <c r="Q3904" s="87" t="s">
        <v>5555</v>
      </c>
      <c r="R3904" s="87">
        <v>0</v>
      </c>
      <c r="S3904" s="87">
        <v>0</v>
      </c>
      <c r="T3904" s="87">
        <v>0</v>
      </c>
      <c r="U3904" s="87">
        <v>0</v>
      </c>
      <c r="V3904" s="87">
        <v>59</v>
      </c>
      <c r="W3904" s="93" t="s">
        <v>5897</v>
      </c>
      <c r="X3904" s="87"/>
      <c r="Y3904" s="87"/>
      <c r="Z3904" s="87"/>
      <c r="AA3904" s="87"/>
      <c r="AB3904" s="87"/>
      <c r="AC3904" s="93" t="s">
        <v>11458</v>
      </c>
      <c r="AD3904" s="87" t="s">
        <v>11519</v>
      </c>
      <c r="AE3904" s="92" t="str">
        <f>HYPERLINK("https://twitter.com/salesuillian/status/1676757888788725761")</f>
        <v>https://twitter.com/salesuillian/status/1676757888788725761</v>
      </c>
      <c r="AF3904" s="90">
        <v>45113.041747685187</v>
      </c>
      <c r="AG3904" s="99">
        <v>45113</v>
      </c>
      <c r="AH3904" s="93" t="s">
        <v>14964</v>
      </c>
      <c r="AI3904" s="87"/>
      <c r="AJ3904" s="87"/>
      <c r="AK3904" s="87"/>
      <c r="AL3904" s="87"/>
      <c r="AM3904" s="87"/>
      <c r="AN3904" s="87"/>
      <c r="AO3904" s="87"/>
      <c r="AP3904" s="87"/>
      <c r="AQ3904" s="87"/>
      <c r="AR3904" s="87"/>
      <c r="AS3904" s="87"/>
      <c r="AT3904" s="87"/>
      <c r="AU3904" s="87"/>
      <c r="AV3904" s="92" t="str">
        <f>HYPERLINK("https://pbs.twimg.com/profile_images/1697669736987774976/hPYVCLWP_normal.jpg")</f>
        <v>https://pbs.twimg.com/profile_images/1697669736987774976/hPYVCLWP_normal.jpg</v>
      </c>
      <c r="AW3904" s="93" t="s">
        <v>22011</v>
      </c>
      <c r="AX3904" s="93" t="s">
        <v>22011</v>
      </c>
      <c r="AY3904" s="87"/>
      <c r="AZ3904" s="93" t="s">
        <v>22668</v>
      </c>
      <c r="BA3904" s="93" t="s">
        <v>22668</v>
      </c>
      <c r="BB3904" s="93" t="s">
        <v>22668</v>
      </c>
      <c r="BC3904" s="93" t="s">
        <v>22011</v>
      </c>
      <c r="BD3904" s="93" t="s">
        <v>23546</v>
      </c>
      <c r="BE3904" s="87"/>
      <c r="BF3904" s="87"/>
      <c r="BG3904" s="87"/>
      <c r="BH3904" s="87"/>
      <c r="BI3904" s="87"/>
    </row>
    <row r="3905" spans="1:61" x14ac:dyDescent="0.25">
      <c r="A3905" s="63" t="s">
        <v>1520</v>
      </c>
      <c r="B3905" s="63" t="s">
        <v>1520</v>
      </c>
      <c r="C3905" s="64"/>
      <c r="D3905" s="65"/>
      <c r="E3905" s="66"/>
      <c r="F3905" s="67"/>
      <c r="G3905" s="64"/>
      <c r="H3905" s="68"/>
      <c r="I3905" s="69"/>
      <c r="J3905" s="69"/>
      <c r="K3905" s="32"/>
      <c r="L3905" s="76">
        <v>3905</v>
      </c>
      <c r="M3905" s="76"/>
      <c r="N3905" s="71"/>
      <c r="O3905" s="87" t="s">
        <v>179</v>
      </c>
      <c r="P3905" s="90">
        <v>45156.66134259259</v>
      </c>
      <c r="Q3905" s="87" t="s">
        <v>5556</v>
      </c>
      <c r="R3905" s="87">
        <v>0</v>
      </c>
      <c r="S3905" s="87">
        <v>0</v>
      </c>
      <c r="T3905" s="87">
        <v>0</v>
      </c>
      <c r="U3905" s="87">
        <v>0</v>
      </c>
      <c r="V3905" s="87">
        <v>10</v>
      </c>
      <c r="W3905" s="93" t="s">
        <v>8153</v>
      </c>
      <c r="X3905" s="87"/>
      <c r="Y3905" s="87"/>
      <c r="Z3905" s="87"/>
      <c r="AA3905" s="87" t="s">
        <v>11239</v>
      </c>
      <c r="AB3905" s="87" t="s">
        <v>11448</v>
      </c>
      <c r="AC3905" s="93" t="s">
        <v>11462</v>
      </c>
      <c r="AD3905" s="87" t="s">
        <v>11519</v>
      </c>
      <c r="AE3905" s="92" t="str">
        <f>HYPERLINK("https://twitter.com/ismael_colosi/status/1692565099582558627")</f>
        <v>https://twitter.com/ismael_colosi/status/1692565099582558627</v>
      </c>
      <c r="AF3905" s="90">
        <v>45156.66134259259</v>
      </c>
      <c r="AG3905" s="99">
        <v>45156</v>
      </c>
      <c r="AH3905" s="93" t="s">
        <v>14965</v>
      </c>
      <c r="AI3905" s="87" t="b">
        <v>0</v>
      </c>
      <c r="AJ3905" s="87"/>
      <c r="AK3905" s="87"/>
      <c r="AL3905" s="87"/>
      <c r="AM3905" s="87"/>
      <c r="AN3905" s="87"/>
      <c r="AO3905" s="87"/>
      <c r="AP3905" s="87"/>
      <c r="AQ3905" s="87" t="s">
        <v>18051</v>
      </c>
      <c r="AR3905" s="87"/>
      <c r="AS3905" s="87"/>
      <c r="AT3905" s="87"/>
      <c r="AU3905" s="87"/>
      <c r="AV3905" s="92" t="str">
        <f>HYPERLINK("https://pbs.twimg.com/media/F30y_PBXYAAlyJd.jpg")</f>
        <v>https://pbs.twimg.com/media/F30y_PBXYAAlyJd.jpg</v>
      </c>
      <c r="AW3905" s="93" t="s">
        <v>22012</v>
      </c>
      <c r="AX3905" s="93" t="s">
        <v>22012</v>
      </c>
      <c r="AY3905" s="87"/>
      <c r="AZ3905" s="93" t="s">
        <v>22668</v>
      </c>
      <c r="BA3905" s="93" t="s">
        <v>22668</v>
      </c>
      <c r="BB3905" s="93" t="s">
        <v>22668</v>
      </c>
      <c r="BC3905" s="93" t="s">
        <v>22012</v>
      </c>
      <c r="BD3905" s="93" t="s">
        <v>23547</v>
      </c>
      <c r="BE3905" s="87"/>
      <c r="BF3905" s="87"/>
      <c r="BG3905" s="87"/>
      <c r="BH3905" s="87"/>
      <c r="BI3905" s="87"/>
    </row>
    <row r="3906" spans="1:61" x14ac:dyDescent="0.25">
      <c r="A3906" s="63" t="s">
        <v>1520</v>
      </c>
      <c r="B3906" s="63" t="s">
        <v>1520</v>
      </c>
      <c r="C3906" s="64"/>
      <c r="D3906" s="65"/>
      <c r="E3906" s="66"/>
      <c r="F3906" s="67"/>
      <c r="G3906" s="64"/>
      <c r="H3906" s="68"/>
      <c r="I3906" s="69"/>
      <c r="J3906" s="69"/>
      <c r="K3906" s="32"/>
      <c r="L3906" s="76">
        <v>3906</v>
      </c>
      <c r="M3906" s="76"/>
      <c r="N3906" s="71"/>
      <c r="O3906" s="87" t="s">
        <v>179</v>
      </c>
      <c r="P3906" s="90">
        <v>45132.822395833333</v>
      </c>
      <c r="Q3906" s="87" t="s">
        <v>5557</v>
      </c>
      <c r="R3906" s="87">
        <v>0</v>
      </c>
      <c r="S3906" s="87">
        <v>0</v>
      </c>
      <c r="T3906" s="87">
        <v>0</v>
      </c>
      <c r="U3906" s="87">
        <v>0</v>
      </c>
      <c r="V3906" s="87">
        <v>15</v>
      </c>
      <c r="W3906" s="93" t="s">
        <v>8153</v>
      </c>
      <c r="X3906" s="87"/>
      <c r="Y3906" s="87"/>
      <c r="Z3906" s="87"/>
      <c r="AA3906" s="87" t="s">
        <v>11240</v>
      </c>
      <c r="AB3906" s="87" t="s">
        <v>11448</v>
      </c>
      <c r="AC3906" s="93" t="s">
        <v>11462</v>
      </c>
      <c r="AD3906" s="87" t="s">
        <v>11519</v>
      </c>
      <c r="AE3906" s="92" t="str">
        <f>HYPERLINK("https://twitter.com/ismael_colosi/status/1683926155630452739")</f>
        <v>https://twitter.com/ismael_colosi/status/1683926155630452739</v>
      </c>
      <c r="AF3906" s="90">
        <v>45132.822395833333</v>
      </c>
      <c r="AG3906" s="99">
        <v>45132</v>
      </c>
      <c r="AH3906" s="93" t="s">
        <v>14966</v>
      </c>
      <c r="AI3906" s="87" t="b">
        <v>0</v>
      </c>
      <c r="AJ3906" s="87"/>
      <c r="AK3906" s="87"/>
      <c r="AL3906" s="87"/>
      <c r="AM3906" s="87"/>
      <c r="AN3906" s="87"/>
      <c r="AO3906" s="87"/>
      <c r="AP3906" s="87"/>
      <c r="AQ3906" s="87" t="s">
        <v>18052</v>
      </c>
      <c r="AR3906" s="87"/>
      <c r="AS3906" s="87"/>
      <c r="AT3906" s="87"/>
      <c r="AU3906" s="87"/>
      <c r="AV3906" s="92" t="str">
        <f>HYPERLINK("https://pbs.twimg.com/media/F16B6jfX0AAXXyz.jpg")</f>
        <v>https://pbs.twimg.com/media/F16B6jfX0AAXXyz.jpg</v>
      </c>
      <c r="AW3906" s="93" t="s">
        <v>22013</v>
      </c>
      <c r="AX3906" s="93" t="s">
        <v>22013</v>
      </c>
      <c r="AY3906" s="87"/>
      <c r="AZ3906" s="93" t="s">
        <v>22668</v>
      </c>
      <c r="BA3906" s="93" t="s">
        <v>22668</v>
      </c>
      <c r="BB3906" s="93" t="s">
        <v>22668</v>
      </c>
      <c r="BC3906" s="93" t="s">
        <v>22013</v>
      </c>
      <c r="BD3906" s="93" t="s">
        <v>23547</v>
      </c>
      <c r="BE3906" s="87"/>
      <c r="BF3906" s="87"/>
      <c r="BG3906" s="87"/>
      <c r="BH3906" s="87"/>
      <c r="BI3906" s="87"/>
    </row>
    <row r="3907" spans="1:61" x14ac:dyDescent="0.25">
      <c r="A3907" s="63" t="s">
        <v>1520</v>
      </c>
      <c r="B3907" s="63" t="s">
        <v>1520</v>
      </c>
      <c r="C3907" s="64"/>
      <c r="D3907" s="65"/>
      <c r="E3907" s="66"/>
      <c r="F3907" s="67"/>
      <c r="G3907" s="64"/>
      <c r="H3907" s="68"/>
      <c r="I3907" s="69"/>
      <c r="J3907" s="69"/>
      <c r="K3907" s="32"/>
      <c r="L3907" s="76">
        <v>3907</v>
      </c>
      <c r="M3907" s="76"/>
      <c r="N3907" s="71"/>
      <c r="O3907" s="87" t="s">
        <v>179</v>
      </c>
      <c r="P3907" s="90">
        <v>45132.82099537037</v>
      </c>
      <c r="Q3907" s="87" t="s">
        <v>5558</v>
      </c>
      <c r="R3907" s="87">
        <v>0</v>
      </c>
      <c r="S3907" s="87">
        <v>0</v>
      </c>
      <c r="T3907" s="87">
        <v>0</v>
      </c>
      <c r="U3907" s="87">
        <v>0</v>
      </c>
      <c r="V3907" s="87">
        <v>14</v>
      </c>
      <c r="W3907" s="93" t="s">
        <v>8153</v>
      </c>
      <c r="X3907" s="87"/>
      <c r="Y3907" s="87"/>
      <c r="Z3907" s="87"/>
      <c r="AA3907" s="87" t="s">
        <v>11241</v>
      </c>
      <c r="AB3907" s="87" t="s">
        <v>11448</v>
      </c>
      <c r="AC3907" s="93" t="s">
        <v>11462</v>
      </c>
      <c r="AD3907" s="87" t="s">
        <v>11519</v>
      </c>
      <c r="AE3907" s="92" t="str">
        <f>HYPERLINK("https://twitter.com/ismael_colosi/status/1683925647368892416")</f>
        <v>https://twitter.com/ismael_colosi/status/1683925647368892416</v>
      </c>
      <c r="AF3907" s="90">
        <v>45132.82099537037</v>
      </c>
      <c r="AG3907" s="99">
        <v>45132</v>
      </c>
      <c r="AH3907" s="93" t="s">
        <v>14967</v>
      </c>
      <c r="AI3907" s="87" t="b">
        <v>0</v>
      </c>
      <c r="AJ3907" s="87"/>
      <c r="AK3907" s="87"/>
      <c r="AL3907" s="87"/>
      <c r="AM3907" s="87"/>
      <c r="AN3907" s="87"/>
      <c r="AO3907" s="87"/>
      <c r="AP3907" s="87"/>
      <c r="AQ3907" s="87" t="s">
        <v>18053</v>
      </c>
      <c r="AR3907" s="87"/>
      <c r="AS3907" s="87"/>
      <c r="AT3907" s="87"/>
      <c r="AU3907" s="87"/>
      <c r="AV3907" s="92" t="str">
        <f>HYPERLINK("https://pbs.twimg.com/media/F16Bc_AWAAk-YPJ.jpg")</f>
        <v>https://pbs.twimg.com/media/F16Bc_AWAAk-YPJ.jpg</v>
      </c>
      <c r="AW3907" s="93" t="s">
        <v>22014</v>
      </c>
      <c r="AX3907" s="93" t="s">
        <v>22014</v>
      </c>
      <c r="AY3907" s="87"/>
      <c r="AZ3907" s="93" t="s">
        <v>22668</v>
      </c>
      <c r="BA3907" s="93" t="s">
        <v>22668</v>
      </c>
      <c r="BB3907" s="93" t="s">
        <v>22668</v>
      </c>
      <c r="BC3907" s="93" t="s">
        <v>22014</v>
      </c>
      <c r="BD3907" s="93" t="s">
        <v>23547</v>
      </c>
      <c r="BE3907" s="87"/>
      <c r="BF3907" s="87"/>
      <c r="BG3907" s="87"/>
      <c r="BH3907" s="87"/>
      <c r="BI3907" s="87"/>
    </row>
    <row r="3908" spans="1:61" x14ac:dyDescent="0.25">
      <c r="A3908" s="63" t="s">
        <v>1520</v>
      </c>
      <c r="B3908" s="63" t="s">
        <v>1520</v>
      </c>
      <c r="C3908" s="64"/>
      <c r="D3908" s="65"/>
      <c r="E3908" s="66"/>
      <c r="F3908" s="67"/>
      <c r="G3908" s="64"/>
      <c r="H3908" s="68"/>
      <c r="I3908" s="69"/>
      <c r="J3908" s="69"/>
      <c r="K3908" s="32"/>
      <c r="L3908" s="76">
        <v>3908</v>
      </c>
      <c r="M3908" s="76"/>
      <c r="N3908" s="71"/>
      <c r="O3908" s="87" t="s">
        <v>179</v>
      </c>
      <c r="P3908" s="90">
        <v>45132.81894675926</v>
      </c>
      <c r="Q3908" s="87" t="s">
        <v>5559</v>
      </c>
      <c r="R3908" s="87">
        <v>0</v>
      </c>
      <c r="S3908" s="87">
        <v>0</v>
      </c>
      <c r="T3908" s="87">
        <v>0</v>
      </c>
      <c r="U3908" s="87">
        <v>0</v>
      </c>
      <c r="V3908" s="87">
        <v>8</v>
      </c>
      <c r="W3908" s="93" t="s">
        <v>8153</v>
      </c>
      <c r="X3908" s="87"/>
      <c r="Y3908" s="87"/>
      <c r="Z3908" s="87"/>
      <c r="AA3908" s="87" t="s">
        <v>11242</v>
      </c>
      <c r="AB3908" s="87" t="s">
        <v>11448</v>
      </c>
      <c r="AC3908" s="93" t="s">
        <v>11462</v>
      </c>
      <c r="AD3908" s="87" t="s">
        <v>11519</v>
      </c>
      <c r="AE3908" s="92" t="str">
        <f>HYPERLINK("https://twitter.com/ismael_colosi/status/1683924903475527682")</f>
        <v>https://twitter.com/ismael_colosi/status/1683924903475527682</v>
      </c>
      <c r="AF3908" s="90">
        <v>45132.81894675926</v>
      </c>
      <c r="AG3908" s="99">
        <v>45132</v>
      </c>
      <c r="AH3908" s="93" t="s">
        <v>14968</v>
      </c>
      <c r="AI3908" s="87" t="b">
        <v>0</v>
      </c>
      <c r="AJ3908" s="87"/>
      <c r="AK3908" s="87"/>
      <c r="AL3908" s="87"/>
      <c r="AM3908" s="87"/>
      <c r="AN3908" s="87"/>
      <c r="AO3908" s="87"/>
      <c r="AP3908" s="87"/>
      <c r="AQ3908" s="87" t="s">
        <v>18054</v>
      </c>
      <c r="AR3908" s="87"/>
      <c r="AS3908" s="87"/>
      <c r="AT3908" s="87"/>
      <c r="AU3908" s="87"/>
      <c r="AV3908" s="92" t="str">
        <f>HYPERLINK("https://pbs.twimg.com/media/F16Axr6XgAERN85.jpg")</f>
        <v>https://pbs.twimg.com/media/F16Axr6XgAERN85.jpg</v>
      </c>
      <c r="AW3908" s="93" t="s">
        <v>22015</v>
      </c>
      <c r="AX3908" s="93" t="s">
        <v>22015</v>
      </c>
      <c r="AY3908" s="87"/>
      <c r="AZ3908" s="93" t="s">
        <v>22668</v>
      </c>
      <c r="BA3908" s="93" t="s">
        <v>22668</v>
      </c>
      <c r="BB3908" s="93" t="s">
        <v>22668</v>
      </c>
      <c r="BC3908" s="93" t="s">
        <v>22015</v>
      </c>
      <c r="BD3908" s="93" t="s">
        <v>23547</v>
      </c>
      <c r="BE3908" s="87"/>
      <c r="BF3908" s="87"/>
      <c r="BG3908" s="87"/>
      <c r="BH3908" s="87"/>
      <c r="BI3908" s="87"/>
    </row>
    <row r="3909" spans="1:61" x14ac:dyDescent="0.25">
      <c r="A3909" s="63" t="s">
        <v>1520</v>
      </c>
      <c r="B3909" s="63" t="s">
        <v>1520</v>
      </c>
      <c r="C3909" s="64"/>
      <c r="D3909" s="65"/>
      <c r="E3909" s="66"/>
      <c r="F3909" s="67"/>
      <c r="G3909" s="64"/>
      <c r="H3909" s="68"/>
      <c r="I3909" s="69"/>
      <c r="J3909" s="69"/>
      <c r="K3909" s="32"/>
      <c r="L3909" s="76">
        <v>3909</v>
      </c>
      <c r="M3909" s="76"/>
      <c r="N3909" s="71"/>
      <c r="O3909" s="87" t="s">
        <v>179</v>
      </c>
      <c r="P3909" s="90">
        <v>45132.817569444444</v>
      </c>
      <c r="Q3909" s="87" t="s">
        <v>5560</v>
      </c>
      <c r="R3909" s="87">
        <v>0</v>
      </c>
      <c r="S3909" s="87">
        <v>0</v>
      </c>
      <c r="T3909" s="87">
        <v>0</v>
      </c>
      <c r="U3909" s="87">
        <v>0</v>
      </c>
      <c r="V3909" s="87">
        <v>17</v>
      </c>
      <c r="W3909" s="93" t="s">
        <v>8153</v>
      </c>
      <c r="X3909" s="87"/>
      <c r="Y3909" s="87"/>
      <c r="Z3909" s="87"/>
      <c r="AA3909" s="87" t="s">
        <v>11243</v>
      </c>
      <c r="AB3909" s="87" t="s">
        <v>11448</v>
      </c>
      <c r="AC3909" s="93" t="s">
        <v>11462</v>
      </c>
      <c r="AD3909" s="87" t="s">
        <v>11519</v>
      </c>
      <c r="AE3909" s="92" t="str">
        <f>HYPERLINK("https://twitter.com/ismael_colosi/status/1683924403346628609")</f>
        <v>https://twitter.com/ismael_colosi/status/1683924403346628609</v>
      </c>
      <c r="AF3909" s="90">
        <v>45132.817569444444</v>
      </c>
      <c r="AG3909" s="99">
        <v>45132</v>
      </c>
      <c r="AH3909" s="93" t="s">
        <v>14969</v>
      </c>
      <c r="AI3909" s="87" t="b">
        <v>0</v>
      </c>
      <c r="AJ3909" s="87"/>
      <c r="AK3909" s="87"/>
      <c r="AL3909" s="87"/>
      <c r="AM3909" s="87"/>
      <c r="AN3909" s="87"/>
      <c r="AO3909" s="87"/>
      <c r="AP3909" s="87"/>
      <c r="AQ3909" s="87" t="s">
        <v>18055</v>
      </c>
      <c r="AR3909" s="87"/>
      <c r="AS3909" s="87"/>
      <c r="AT3909" s="87"/>
      <c r="AU3909" s="87"/>
      <c r="AV3909" s="92" t="str">
        <f>HYPERLINK("https://pbs.twimg.com/media/F16AUj2WYBIH6PU.jpg")</f>
        <v>https://pbs.twimg.com/media/F16AUj2WYBIH6PU.jpg</v>
      </c>
      <c r="AW3909" s="93" t="s">
        <v>22016</v>
      </c>
      <c r="AX3909" s="93" t="s">
        <v>22016</v>
      </c>
      <c r="AY3909" s="87"/>
      <c r="AZ3909" s="93" t="s">
        <v>22668</v>
      </c>
      <c r="BA3909" s="93" t="s">
        <v>22668</v>
      </c>
      <c r="BB3909" s="93" t="s">
        <v>22668</v>
      </c>
      <c r="BC3909" s="93" t="s">
        <v>22016</v>
      </c>
      <c r="BD3909" s="93" t="s">
        <v>23547</v>
      </c>
      <c r="BE3909" s="87"/>
      <c r="BF3909" s="87"/>
      <c r="BG3909" s="87"/>
      <c r="BH3909" s="87"/>
      <c r="BI3909" s="87"/>
    </row>
    <row r="3910" spans="1:61" x14ac:dyDescent="0.25">
      <c r="A3910" s="63" t="s">
        <v>1520</v>
      </c>
      <c r="B3910" s="63" t="s">
        <v>1520</v>
      </c>
      <c r="C3910" s="64"/>
      <c r="D3910" s="65"/>
      <c r="E3910" s="66"/>
      <c r="F3910" s="67"/>
      <c r="G3910" s="64"/>
      <c r="H3910" s="68"/>
      <c r="I3910" s="69"/>
      <c r="J3910" s="69"/>
      <c r="K3910" s="32"/>
      <c r="L3910" s="76">
        <v>3910</v>
      </c>
      <c r="M3910" s="76"/>
      <c r="N3910" s="71"/>
      <c r="O3910" s="87" t="s">
        <v>179</v>
      </c>
      <c r="P3910" s="90">
        <v>45132.814780092594</v>
      </c>
      <c r="Q3910" s="87" t="s">
        <v>5561</v>
      </c>
      <c r="R3910" s="87">
        <v>0</v>
      </c>
      <c r="S3910" s="87">
        <v>0</v>
      </c>
      <c r="T3910" s="87">
        <v>0</v>
      </c>
      <c r="U3910" s="87">
        <v>0</v>
      </c>
      <c r="V3910" s="87">
        <v>7</v>
      </c>
      <c r="W3910" s="93" t="s">
        <v>8153</v>
      </c>
      <c r="X3910" s="87"/>
      <c r="Y3910" s="87"/>
      <c r="Z3910" s="87"/>
      <c r="AA3910" s="87" t="s">
        <v>11244</v>
      </c>
      <c r="AB3910" s="87" t="s">
        <v>11448</v>
      </c>
      <c r="AC3910" s="93" t="s">
        <v>11462</v>
      </c>
      <c r="AD3910" s="87" t="s">
        <v>11519</v>
      </c>
      <c r="AE3910" s="92" t="str">
        <f>HYPERLINK("https://twitter.com/ismael_colosi/status/1683923393253367832")</f>
        <v>https://twitter.com/ismael_colosi/status/1683923393253367832</v>
      </c>
      <c r="AF3910" s="90">
        <v>45132.814780092594</v>
      </c>
      <c r="AG3910" s="99">
        <v>45132</v>
      </c>
      <c r="AH3910" s="93" t="s">
        <v>14970</v>
      </c>
      <c r="AI3910" s="87" t="b">
        <v>0</v>
      </c>
      <c r="AJ3910" s="87"/>
      <c r="AK3910" s="87"/>
      <c r="AL3910" s="87"/>
      <c r="AM3910" s="87"/>
      <c r="AN3910" s="87"/>
      <c r="AO3910" s="87"/>
      <c r="AP3910" s="87"/>
      <c r="AQ3910" s="87" t="s">
        <v>18056</v>
      </c>
      <c r="AR3910" s="87"/>
      <c r="AS3910" s="87"/>
      <c r="AT3910" s="87"/>
      <c r="AU3910" s="87"/>
      <c r="AV3910" s="92" t="str">
        <f>HYPERLINK("https://pbs.twimg.com/media/F15_ZxhWYAUP9Sa.jpg")</f>
        <v>https://pbs.twimg.com/media/F15_ZxhWYAUP9Sa.jpg</v>
      </c>
      <c r="AW3910" s="93" t="s">
        <v>22017</v>
      </c>
      <c r="AX3910" s="93" t="s">
        <v>22017</v>
      </c>
      <c r="AY3910" s="87"/>
      <c r="AZ3910" s="93" t="s">
        <v>22668</v>
      </c>
      <c r="BA3910" s="93" t="s">
        <v>22668</v>
      </c>
      <c r="BB3910" s="93" t="s">
        <v>22668</v>
      </c>
      <c r="BC3910" s="93" t="s">
        <v>22017</v>
      </c>
      <c r="BD3910" s="93" t="s">
        <v>23547</v>
      </c>
      <c r="BE3910" s="87"/>
      <c r="BF3910" s="87"/>
      <c r="BG3910" s="87"/>
      <c r="BH3910" s="87"/>
      <c r="BI3910" s="87"/>
    </row>
    <row r="3911" spans="1:61" x14ac:dyDescent="0.25">
      <c r="A3911" s="63" t="s">
        <v>1520</v>
      </c>
      <c r="B3911" s="63" t="s">
        <v>1520</v>
      </c>
      <c r="C3911" s="64"/>
      <c r="D3911" s="65"/>
      <c r="E3911" s="66"/>
      <c r="F3911" s="67"/>
      <c r="G3911" s="64"/>
      <c r="H3911" s="68"/>
      <c r="I3911" s="69"/>
      <c r="J3911" s="69"/>
      <c r="K3911" s="32"/>
      <c r="L3911" s="76">
        <v>3911</v>
      </c>
      <c r="M3911" s="76"/>
      <c r="N3911" s="71"/>
      <c r="O3911" s="87" t="s">
        <v>179</v>
      </c>
      <c r="P3911" s="90">
        <v>45155.750879629632</v>
      </c>
      <c r="Q3911" s="87" t="s">
        <v>5562</v>
      </c>
      <c r="R3911" s="87">
        <v>0</v>
      </c>
      <c r="S3911" s="87">
        <v>0</v>
      </c>
      <c r="T3911" s="87">
        <v>0</v>
      </c>
      <c r="U3911" s="87">
        <v>0</v>
      </c>
      <c r="V3911" s="87">
        <v>8</v>
      </c>
      <c r="W3911" s="93" t="s">
        <v>8153</v>
      </c>
      <c r="X3911" s="87"/>
      <c r="Y3911" s="87"/>
      <c r="Z3911" s="87"/>
      <c r="AA3911" s="87" t="s">
        <v>11245</v>
      </c>
      <c r="AB3911" s="87" t="s">
        <v>11448</v>
      </c>
      <c r="AC3911" s="93" t="s">
        <v>11462</v>
      </c>
      <c r="AD3911" s="87" t="s">
        <v>11519</v>
      </c>
      <c r="AE3911" s="92" t="str">
        <f>HYPERLINK("https://twitter.com/ismael_colosi/status/1692235159678877877")</f>
        <v>https://twitter.com/ismael_colosi/status/1692235159678877877</v>
      </c>
      <c r="AF3911" s="90">
        <v>45155.750879629632</v>
      </c>
      <c r="AG3911" s="99">
        <v>45155</v>
      </c>
      <c r="AH3911" s="93" t="s">
        <v>14971</v>
      </c>
      <c r="AI3911" s="87" t="b">
        <v>0</v>
      </c>
      <c r="AJ3911" s="87"/>
      <c r="AK3911" s="87"/>
      <c r="AL3911" s="87"/>
      <c r="AM3911" s="87"/>
      <c r="AN3911" s="87"/>
      <c r="AO3911" s="87"/>
      <c r="AP3911" s="87"/>
      <c r="AQ3911" s="87" t="s">
        <v>18057</v>
      </c>
      <c r="AR3911" s="87"/>
      <c r="AS3911" s="87"/>
      <c r="AT3911" s="87"/>
      <c r="AU3911" s="87"/>
      <c r="AV3911" s="92" t="str">
        <f>HYPERLINK("https://pbs.twimg.com/media/F3wG6PZWkAA4bd4.jpg")</f>
        <v>https://pbs.twimg.com/media/F3wG6PZWkAA4bd4.jpg</v>
      </c>
      <c r="AW3911" s="93" t="s">
        <v>22018</v>
      </c>
      <c r="AX3911" s="93" t="s">
        <v>22018</v>
      </c>
      <c r="AY3911" s="87"/>
      <c r="AZ3911" s="93" t="s">
        <v>22668</v>
      </c>
      <c r="BA3911" s="93" t="s">
        <v>22668</v>
      </c>
      <c r="BB3911" s="93" t="s">
        <v>22668</v>
      </c>
      <c r="BC3911" s="93" t="s">
        <v>22018</v>
      </c>
      <c r="BD3911" s="93" t="s">
        <v>23547</v>
      </c>
      <c r="BE3911" s="87"/>
      <c r="BF3911" s="87"/>
      <c r="BG3911" s="87"/>
      <c r="BH3911" s="87"/>
      <c r="BI3911" s="87"/>
    </row>
    <row r="3912" spans="1:61" x14ac:dyDescent="0.25">
      <c r="A3912" s="63" t="s">
        <v>1520</v>
      </c>
      <c r="B3912" s="63" t="s">
        <v>1520</v>
      </c>
      <c r="C3912" s="64"/>
      <c r="D3912" s="65"/>
      <c r="E3912" s="66"/>
      <c r="F3912" s="67"/>
      <c r="G3912" s="64"/>
      <c r="H3912" s="68"/>
      <c r="I3912" s="69"/>
      <c r="J3912" s="69"/>
      <c r="K3912" s="32"/>
      <c r="L3912" s="76">
        <v>3912</v>
      </c>
      <c r="M3912" s="76"/>
      <c r="N3912" s="71"/>
      <c r="O3912" s="87" t="s">
        <v>179</v>
      </c>
      <c r="P3912" s="90">
        <v>45154.968900462962</v>
      </c>
      <c r="Q3912" s="87" t="s">
        <v>5563</v>
      </c>
      <c r="R3912" s="87">
        <v>0</v>
      </c>
      <c r="S3912" s="87">
        <v>0</v>
      </c>
      <c r="T3912" s="87">
        <v>0</v>
      </c>
      <c r="U3912" s="87">
        <v>0</v>
      </c>
      <c r="V3912" s="87">
        <v>12</v>
      </c>
      <c r="W3912" s="93" t="s">
        <v>8153</v>
      </c>
      <c r="X3912" s="87"/>
      <c r="Y3912" s="87"/>
      <c r="Z3912" s="87"/>
      <c r="AA3912" s="87" t="s">
        <v>11246</v>
      </c>
      <c r="AB3912" s="87" t="s">
        <v>11448</v>
      </c>
      <c r="AC3912" s="93" t="s">
        <v>11462</v>
      </c>
      <c r="AD3912" s="87" t="s">
        <v>11519</v>
      </c>
      <c r="AE3912" s="92" t="str">
        <f>HYPERLINK("https://twitter.com/ismael_colosi/status/1691951778198114409")</f>
        <v>https://twitter.com/ismael_colosi/status/1691951778198114409</v>
      </c>
      <c r="AF3912" s="90">
        <v>45154.968900462962</v>
      </c>
      <c r="AG3912" s="99">
        <v>45154</v>
      </c>
      <c r="AH3912" s="93" t="s">
        <v>14972</v>
      </c>
      <c r="AI3912" s="87" t="b">
        <v>0</v>
      </c>
      <c r="AJ3912" s="87"/>
      <c r="AK3912" s="87"/>
      <c r="AL3912" s="87"/>
      <c r="AM3912" s="87"/>
      <c r="AN3912" s="87"/>
      <c r="AO3912" s="87"/>
      <c r="AP3912" s="87"/>
      <c r="AQ3912" s="87" t="s">
        <v>18058</v>
      </c>
      <c r="AR3912" s="87"/>
      <c r="AS3912" s="87"/>
      <c r="AT3912" s="87"/>
      <c r="AU3912" s="87"/>
      <c r="AV3912" s="92" t="str">
        <f>HYPERLINK("https://pbs.twimg.com/media/F3sFLUCXIAAtg_4.jpg")</f>
        <v>https://pbs.twimg.com/media/F3sFLUCXIAAtg_4.jpg</v>
      </c>
      <c r="AW3912" s="93" t="s">
        <v>22019</v>
      </c>
      <c r="AX3912" s="93" t="s">
        <v>22019</v>
      </c>
      <c r="AY3912" s="87"/>
      <c r="AZ3912" s="93" t="s">
        <v>22668</v>
      </c>
      <c r="BA3912" s="93" t="s">
        <v>22668</v>
      </c>
      <c r="BB3912" s="93" t="s">
        <v>22668</v>
      </c>
      <c r="BC3912" s="93" t="s">
        <v>22019</v>
      </c>
      <c r="BD3912" s="93" t="s">
        <v>23547</v>
      </c>
      <c r="BE3912" s="87"/>
      <c r="BF3912" s="87"/>
      <c r="BG3912" s="87"/>
      <c r="BH3912" s="87"/>
      <c r="BI3912" s="87"/>
    </row>
    <row r="3913" spans="1:61" x14ac:dyDescent="0.25">
      <c r="A3913" s="63" t="s">
        <v>1520</v>
      </c>
      <c r="B3913" s="63" t="s">
        <v>1520</v>
      </c>
      <c r="C3913" s="64"/>
      <c r="D3913" s="65"/>
      <c r="E3913" s="66"/>
      <c r="F3913" s="67"/>
      <c r="G3913" s="64"/>
      <c r="H3913" s="68"/>
      <c r="I3913" s="69"/>
      <c r="J3913" s="69"/>
      <c r="K3913" s="32"/>
      <c r="L3913" s="76">
        <v>3913</v>
      </c>
      <c r="M3913" s="76"/>
      <c r="N3913" s="71"/>
      <c r="O3913" s="87" t="s">
        <v>179</v>
      </c>
      <c r="P3913" s="90">
        <v>45154.965416666666</v>
      </c>
      <c r="Q3913" s="87" t="s">
        <v>5564</v>
      </c>
      <c r="R3913" s="87">
        <v>0</v>
      </c>
      <c r="S3913" s="87">
        <v>0</v>
      </c>
      <c r="T3913" s="87">
        <v>0</v>
      </c>
      <c r="U3913" s="87">
        <v>0</v>
      </c>
      <c r="V3913" s="87">
        <v>10</v>
      </c>
      <c r="W3913" s="93" t="s">
        <v>8153</v>
      </c>
      <c r="X3913" s="87"/>
      <c r="Y3913" s="87"/>
      <c r="Z3913" s="87"/>
      <c r="AA3913" s="87" t="s">
        <v>11247</v>
      </c>
      <c r="AB3913" s="87" t="s">
        <v>11448</v>
      </c>
      <c r="AC3913" s="93" t="s">
        <v>11462</v>
      </c>
      <c r="AD3913" s="87" t="s">
        <v>11519</v>
      </c>
      <c r="AE3913" s="92" t="str">
        <f>HYPERLINK("https://twitter.com/ismael_colosi/status/1691950513590259764")</f>
        <v>https://twitter.com/ismael_colosi/status/1691950513590259764</v>
      </c>
      <c r="AF3913" s="90">
        <v>45154.965416666666</v>
      </c>
      <c r="AG3913" s="99">
        <v>45154</v>
      </c>
      <c r="AH3913" s="93" t="s">
        <v>14973</v>
      </c>
      <c r="AI3913" s="87" t="b">
        <v>0</v>
      </c>
      <c r="AJ3913" s="87"/>
      <c r="AK3913" s="87"/>
      <c r="AL3913" s="87"/>
      <c r="AM3913" s="87"/>
      <c r="AN3913" s="87"/>
      <c r="AO3913" s="87"/>
      <c r="AP3913" s="87"/>
      <c r="AQ3913" s="87" t="s">
        <v>18059</v>
      </c>
      <c r="AR3913" s="87"/>
      <c r="AS3913" s="87"/>
      <c r="AT3913" s="87"/>
      <c r="AU3913" s="87"/>
      <c r="AV3913" s="92" t="str">
        <f>HYPERLINK("https://pbs.twimg.com/media/F3sEBrcW8AA5ewg.jpg")</f>
        <v>https://pbs.twimg.com/media/F3sEBrcW8AA5ewg.jpg</v>
      </c>
      <c r="AW3913" s="93" t="s">
        <v>22020</v>
      </c>
      <c r="AX3913" s="93" t="s">
        <v>22020</v>
      </c>
      <c r="AY3913" s="87"/>
      <c r="AZ3913" s="93" t="s">
        <v>22668</v>
      </c>
      <c r="BA3913" s="93" t="s">
        <v>22668</v>
      </c>
      <c r="BB3913" s="93" t="s">
        <v>22668</v>
      </c>
      <c r="BC3913" s="93" t="s">
        <v>22020</v>
      </c>
      <c r="BD3913" s="93" t="s">
        <v>23547</v>
      </c>
      <c r="BE3913" s="87"/>
      <c r="BF3913" s="87"/>
      <c r="BG3913" s="87"/>
      <c r="BH3913" s="87"/>
      <c r="BI3913" s="87"/>
    </row>
    <row r="3914" spans="1:61" x14ac:dyDescent="0.25">
      <c r="A3914" s="63" t="s">
        <v>1520</v>
      </c>
      <c r="B3914" s="63" t="s">
        <v>1520</v>
      </c>
      <c r="C3914" s="64"/>
      <c r="D3914" s="65"/>
      <c r="E3914" s="66"/>
      <c r="F3914" s="67"/>
      <c r="G3914" s="64"/>
      <c r="H3914" s="68"/>
      <c r="I3914" s="69"/>
      <c r="J3914" s="69"/>
      <c r="K3914" s="32"/>
      <c r="L3914" s="76">
        <v>3914</v>
      </c>
      <c r="M3914" s="76"/>
      <c r="N3914" s="71"/>
      <c r="O3914" s="87" t="s">
        <v>179</v>
      </c>
      <c r="P3914" s="90">
        <v>45131.673773148148</v>
      </c>
      <c r="Q3914" s="87" t="s">
        <v>5565</v>
      </c>
      <c r="R3914" s="87">
        <v>0</v>
      </c>
      <c r="S3914" s="87">
        <v>0</v>
      </c>
      <c r="T3914" s="87">
        <v>0</v>
      </c>
      <c r="U3914" s="87">
        <v>0</v>
      </c>
      <c r="V3914" s="87">
        <v>6</v>
      </c>
      <c r="W3914" s="93" t="s">
        <v>8153</v>
      </c>
      <c r="X3914" s="87"/>
      <c r="Y3914" s="87"/>
      <c r="Z3914" s="87"/>
      <c r="AA3914" s="87" t="s">
        <v>11248</v>
      </c>
      <c r="AB3914" s="87" t="s">
        <v>11448</v>
      </c>
      <c r="AC3914" s="93" t="s">
        <v>11462</v>
      </c>
      <c r="AD3914" s="87" t="s">
        <v>11519</v>
      </c>
      <c r="AE3914" s="92" t="str">
        <f>HYPERLINK("https://twitter.com/ismael_colosi/status/1683509908728172544")</f>
        <v>https://twitter.com/ismael_colosi/status/1683509908728172544</v>
      </c>
      <c r="AF3914" s="90">
        <v>45131.673773148148</v>
      </c>
      <c r="AG3914" s="99">
        <v>45131</v>
      </c>
      <c r="AH3914" s="93" t="s">
        <v>14974</v>
      </c>
      <c r="AI3914" s="87" t="b">
        <v>0</v>
      </c>
      <c r="AJ3914" s="87"/>
      <c r="AK3914" s="87"/>
      <c r="AL3914" s="87"/>
      <c r="AM3914" s="87"/>
      <c r="AN3914" s="87"/>
      <c r="AO3914" s="87"/>
      <c r="AP3914" s="87"/>
      <c r="AQ3914" s="87" t="s">
        <v>18060</v>
      </c>
      <c r="AR3914" s="87"/>
      <c r="AS3914" s="87"/>
      <c r="AT3914" s="87"/>
      <c r="AU3914" s="87"/>
      <c r="AV3914" s="92" t="str">
        <f>HYPERLINK("https://pbs.twimg.com/media/F10HV0zXoAQo1pU.jpg")</f>
        <v>https://pbs.twimg.com/media/F10HV0zXoAQo1pU.jpg</v>
      </c>
      <c r="AW3914" s="93" t="s">
        <v>22021</v>
      </c>
      <c r="AX3914" s="93" t="s">
        <v>22021</v>
      </c>
      <c r="AY3914" s="87"/>
      <c r="AZ3914" s="93" t="s">
        <v>22668</v>
      </c>
      <c r="BA3914" s="93" t="s">
        <v>22668</v>
      </c>
      <c r="BB3914" s="93" t="s">
        <v>22668</v>
      </c>
      <c r="BC3914" s="93" t="s">
        <v>22021</v>
      </c>
      <c r="BD3914" s="93" t="s">
        <v>23547</v>
      </c>
      <c r="BE3914" s="87"/>
      <c r="BF3914" s="87"/>
      <c r="BG3914" s="87"/>
      <c r="BH3914" s="87"/>
      <c r="BI3914" s="87"/>
    </row>
    <row r="3915" spans="1:61" x14ac:dyDescent="0.25">
      <c r="A3915" s="63" t="s">
        <v>1520</v>
      </c>
      <c r="B3915" s="63" t="s">
        <v>1520</v>
      </c>
      <c r="C3915" s="64"/>
      <c r="D3915" s="65"/>
      <c r="E3915" s="66"/>
      <c r="F3915" s="67"/>
      <c r="G3915" s="64"/>
      <c r="H3915" s="68"/>
      <c r="I3915" s="69"/>
      <c r="J3915" s="69"/>
      <c r="K3915" s="32"/>
      <c r="L3915" s="76">
        <v>3915</v>
      </c>
      <c r="M3915" s="76"/>
      <c r="N3915" s="71"/>
      <c r="O3915" s="87" t="s">
        <v>179</v>
      </c>
      <c r="P3915" s="90">
        <v>45158.575833333336</v>
      </c>
      <c r="Q3915" s="87" t="s">
        <v>5566</v>
      </c>
      <c r="R3915" s="87">
        <v>0</v>
      </c>
      <c r="S3915" s="87">
        <v>0</v>
      </c>
      <c r="T3915" s="87">
        <v>0</v>
      </c>
      <c r="U3915" s="87">
        <v>0</v>
      </c>
      <c r="V3915" s="87">
        <v>23</v>
      </c>
      <c r="W3915" s="93" t="s">
        <v>8153</v>
      </c>
      <c r="X3915" s="87"/>
      <c r="Y3915" s="87"/>
      <c r="Z3915" s="87"/>
      <c r="AA3915" s="87" t="s">
        <v>11249</v>
      </c>
      <c r="AB3915" s="87" t="s">
        <v>11448</v>
      </c>
      <c r="AC3915" s="93" t="s">
        <v>11462</v>
      </c>
      <c r="AD3915" s="87" t="s">
        <v>11519</v>
      </c>
      <c r="AE3915" s="92" t="str">
        <f>HYPERLINK("https://twitter.com/ismael_colosi/status/1693258887149879318")</f>
        <v>https://twitter.com/ismael_colosi/status/1693258887149879318</v>
      </c>
      <c r="AF3915" s="90">
        <v>45158.575833333336</v>
      </c>
      <c r="AG3915" s="99">
        <v>45158</v>
      </c>
      <c r="AH3915" s="93" t="s">
        <v>14975</v>
      </c>
      <c r="AI3915" s="87" t="b">
        <v>0</v>
      </c>
      <c r="AJ3915" s="87"/>
      <c r="AK3915" s="87"/>
      <c r="AL3915" s="87"/>
      <c r="AM3915" s="87"/>
      <c r="AN3915" s="87"/>
      <c r="AO3915" s="87"/>
      <c r="AP3915" s="87"/>
      <c r="AQ3915" s="87" t="s">
        <v>18061</v>
      </c>
      <c r="AR3915" s="87"/>
      <c r="AS3915" s="87"/>
      <c r="AT3915" s="87"/>
      <c r="AU3915" s="87"/>
      <c r="AV3915" s="92" t="str">
        <f>HYPERLINK("https://pbs.twimg.com/media/F3-p_C3XYAE_beU.jpg")</f>
        <v>https://pbs.twimg.com/media/F3-p_C3XYAE_beU.jpg</v>
      </c>
      <c r="AW3915" s="93" t="s">
        <v>22022</v>
      </c>
      <c r="AX3915" s="93" t="s">
        <v>22022</v>
      </c>
      <c r="AY3915" s="87"/>
      <c r="AZ3915" s="93" t="s">
        <v>22668</v>
      </c>
      <c r="BA3915" s="93" t="s">
        <v>22668</v>
      </c>
      <c r="BB3915" s="93" t="s">
        <v>22668</v>
      </c>
      <c r="BC3915" s="93" t="s">
        <v>22022</v>
      </c>
      <c r="BD3915" s="93" t="s">
        <v>23547</v>
      </c>
      <c r="BE3915" s="87"/>
      <c r="BF3915" s="87"/>
      <c r="BG3915" s="87"/>
      <c r="BH3915" s="87"/>
      <c r="BI3915" s="87"/>
    </row>
    <row r="3916" spans="1:61" x14ac:dyDescent="0.25">
      <c r="A3916" s="63" t="s">
        <v>1520</v>
      </c>
      <c r="B3916" s="63" t="s">
        <v>1520</v>
      </c>
      <c r="C3916" s="64"/>
      <c r="D3916" s="65"/>
      <c r="E3916" s="66"/>
      <c r="F3916" s="67"/>
      <c r="G3916" s="64"/>
      <c r="H3916" s="68"/>
      <c r="I3916" s="69"/>
      <c r="J3916" s="69"/>
      <c r="K3916" s="32"/>
      <c r="L3916" s="76">
        <v>3916</v>
      </c>
      <c r="M3916" s="76"/>
      <c r="N3916" s="71"/>
      <c r="O3916" s="87" t="s">
        <v>179</v>
      </c>
      <c r="P3916" s="90">
        <v>45168.674340277779</v>
      </c>
      <c r="Q3916" s="87" t="s">
        <v>5567</v>
      </c>
      <c r="R3916" s="87">
        <v>0</v>
      </c>
      <c r="S3916" s="87">
        <v>0</v>
      </c>
      <c r="T3916" s="87">
        <v>0</v>
      </c>
      <c r="U3916" s="87">
        <v>0</v>
      </c>
      <c r="V3916" s="87">
        <v>15</v>
      </c>
      <c r="W3916" s="93" t="s">
        <v>8153</v>
      </c>
      <c r="X3916" s="87"/>
      <c r="Y3916" s="87"/>
      <c r="Z3916" s="87"/>
      <c r="AA3916" s="87" t="s">
        <v>11250</v>
      </c>
      <c r="AB3916" s="87" t="s">
        <v>11448</v>
      </c>
      <c r="AC3916" s="93" t="s">
        <v>11462</v>
      </c>
      <c r="AD3916" s="87" t="s">
        <v>11519</v>
      </c>
      <c r="AE3916" s="92" t="str">
        <f>HYPERLINK("https://twitter.com/ismael_colosi/status/1696918462776410122")</f>
        <v>https://twitter.com/ismael_colosi/status/1696918462776410122</v>
      </c>
      <c r="AF3916" s="90">
        <v>45168.674340277779</v>
      </c>
      <c r="AG3916" s="99">
        <v>45168</v>
      </c>
      <c r="AH3916" s="93" t="s">
        <v>14976</v>
      </c>
      <c r="AI3916" s="87" t="b">
        <v>0</v>
      </c>
      <c r="AJ3916" s="87"/>
      <c r="AK3916" s="87"/>
      <c r="AL3916" s="87"/>
      <c r="AM3916" s="87"/>
      <c r="AN3916" s="87"/>
      <c r="AO3916" s="87"/>
      <c r="AP3916" s="87"/>
      <c r="AQ3916" s="87" t="s">
        <v>18062</v>
      </c>
      <c r="AR3916" s="87"/>
      <c r="AS3916" s="87"/>
      <c r="AT3916" s="87"/>
      <c r="AU3916" s="87"/>
      <c r="AV3916" s="92" t="str">
        <f>HYPERLINK("https://pbs.twimg.com/media/F4yqWZoWEAAoLzx.jpg")</f>
        <v>https://pbs.twimg.com/media/F4yqWZoWEAAoLzx.jpg</v>
      </c>
      <c r="AW3916" s="93" t="s">
        <v>22023</v>
      </c>
      <c r="AX3916" s="93" t="s">
        <v>22023</v>
      </c>
      <c r="AY3916" s="87"/>
      <c r="AZ3916" s="93" t="s">
        <v>22668</v>
      </c>
      <c r="BA3916" s="93" t="s">
        <v>22668</v>
      </c>
      <c r="BB3916" s="93" t="s">
        <v>22668</v>
      </c>
      <c r="BC3916" s="93" t="s">
        <v>22023</v>
      </c>
      <c r="BD3916" s="93" t="s">
        <v>23547</v>
      </c>
      <c r="BE3916" s="87"/>
      <c r="BF3916" s="87"/>
      <c r="BG3916" s="87"/>
      <c r="BH3916" s="87"/>
      <c r="BI3916" s="87"/>
    </row>
    <row r="3917" spans="1:61" x14ac:dyDescent="0.25">
      <c r="A3917" s="63" t="s">
        <v>1520</v>
      </c>
      <c r="B3917" s="63" t="s">
        <v>1520</v>
      </c>
      <c r="C3917" s="64"/>
      <c r="D3917" s="65"/>
      <c r="E3917" s="66"/>
      <c r="F3917" s="67"/>
      <c r="G3917" s="64"/>
      <c r="H3917" s="68"/>
      <c r="I3917" s="69"/>
      <c r="J3917" s="69"/>
      <c r="K3917" s="32"/>
      <c r="L3917" s="76">
        <v>3917</v>
      </c>
      <c r="M3917" s="76"/>
      <c r="N3917" s="71"/>
      <c r="O3917" s="87" t="s">
        <v>179</v>
      </c>
      <c r="P3917" s="90">
        <v>45153.691203703704</v>
      </c>
      <c r="Q3917" s="87" t="s">
        <v>5568</v>
      </c>
      <c r="R3917" s="87">
        <v>0</v>
      </c>
      <c r="S3917" s="87">
        <v>0</v>
      </c>
      <c r="T3917" s="87">
        <v>1</v>
      </c>
      <c r="U3917" s="87">
        <v>0</v>
      </c>
      <c r="V3917" s="87">
        <v>48</v>
      </c>
      <c r="W3917" s="93" t="s">
        <v>8153</v>
      </c>
      <c r="X3917" s="87"/>
      <c r="Y3917" s="87"/>
      <c r="Z3917" s="87"/>
      <c r="AA3917" s="87" t="s">
        <v>11251</v>
      </c>
      <c r="AB3917" s="87" t="s">
        <v>11447</v>
      </c>
      <c r="AC3917" s="93" t="s">
        <v>11462</v>
      </c>
      <c r="AD3917" s="87" t="s">
        <v>11519</v>
      </c>
      <c r="AE3917" s="92" t="str">
        <f>HYPERLINK("https://twitter.com/ismael_colosi/status/1691488755788525584")</f>
        <v>https://twitter.com/ismael_colosi/status/1691488755788525584</v>
      </c>
      <c r="AF3917" s="90">
        <v>45153.691203703704</v>
      </c>
      <c r="AG3917" s="99">
        <v>45153</v>
      </c>
      <c r="AH3917" s="93" t="s">
        <v>14977</v>
      </c>
      <c r="AI3917" s="87" t="b">
        <v>0</v>
      </c>
      <c r="AJ3917" s="87"/>
      <c r="AK3917" s="87"/>
      <c r="AL3917" s="87"/>
      <c r="AM3917" s="87"/>
      <c r="AN3917" s="87"/>
      <c r="AO3917" s="87"/>
      <c r="AP3917" s="87"/>
      <c r="AQ3917" s="87" t="s">
        <v>18063</v>
      </c>
      <c r="AR3917" s="87">
        <v>59800</v>
      </c>
      <c r="AS3917" s="87"/>
      <c r="AT3917" s="87"/>
      <c r="AU3917" s="87"/>
      <c r="AV3917" s="92" t="str">
        <f>HYPERLINK("https://pbs.twimg.com/ext_tw_video_thumb/1691488692790079489/pu/img/3ixElLVEELdJaH_H.jpg")</f>
        <v>https://pbs.twimg.com/ext_tw_video_thumb/1691488692790079489/pu/img/3ixElLVEELdJaH_H.jpg</v>
      </c>
      <c r="AW3917" s="93" t="s">
        <v>22024</v>
      </c>
      <c r="AX3917" s="93" t="s">
        <v>22024</v>
      </c>
      <c r="AY3917" s="87"/>
      <c r="AZ3917" s="93" t="s">
        <v>22668</v>
      </c>
      <c r="BA3917" s="93" t="s">
        <v>22668</v>
      </c>
      <c r="BB3917" s="93" t="s">
        <v>22668</v>
      </c>
      <c r="BC3917" s="93" t="s">
        <v>22024</v>
      </c>
      <c r="BD3917" s="93" t="s">
        <v>23547</v>
      </c>
      <c r="BE3917" s="87"/>
      <c r="BF3917" s="87"/>
      <c r="BG3917" s="87"/>
      <c r="BH3917" s="87"/>
      <c r="BI3917" s="87"/>
    </row>
    <row r="3918" spans="1:61" x14ac:dyDescent="0.25">
      <c r="A3918" s="63" t="s">
        <v>1520</v>
      </c>
      <c r="B3918" s="63" t="s">
        <v>1520</v>
      </c>
      <c r="C3918" s="64"/>
      <c r="D3918" s="65"/>
      <c r="E3918" s="66"/>
      <c r="F3918" s="67"/>
      <c r="G3918" s="64"/>
      <c r="H3918" s="68"/>
      <c r="I3918" s="69"/>
      <c r="J3918" s="69"/>
      <c r="K3918" s="32"/>
      <c r="L3918" s="76">
        <v>3918</v>
      </c>
      <c r="M3918" s="76"/>
      <c r="N3918" s="71"/>
      <c r="O3918" s="87" t="s">
        <v>179</v>
      </c>
      <c r="P3918" s="90">
        <v>45153.672453703701</v>
      </c>
      <c r="Q3918" s="87" t="s">
        <v>5569</v>
      </c>
      <c r="R3918" s="87">
        <v>0</v>
      </c>
      <c r="S3918" s="87">
        <v>0</v>
      </c>
      <c r="T3918" s="87">
        <v>0</v>
      </c>
      <c r="U3918" s="87">
        <v>0</v>
      </c>
      <c r="V3918" s="87">
        <v>13</v>
      </c>
      <c r="W3918" s="93" t="s">
        <v>8153</v>
      </c>
      <c r="X3918" s="92" t="str">
        <f>HYPERLINK("https://lide.com.br/eventos/lide-brazil-development-forum-2023")</f>
        <v>https://lide.com.br/eventos/lide-brazil-development-forum-2023</v>
      </c>
      <c r="Y3918" s="87" t="s">
        <v>8373</v>
      </c>
      <c r="Z3918" s="87"/>
      <c r="AA3918" s="87" t="s">
        <v>11252</v>
      </c>
      <c r="AB3918" s="87" t="s">
        <v>11447</v>
      </c>
      <c r="AC3918" s="93" t="s">
        <v>11462</v>
      </c>
      <c r="AD3918" s="87" t="s">
        <v>11519</v>
      </c>
      <c r="AE3918" s="92" t="str">
        <f>HYPERLINK("https://twitter.com/ismael_colosi/status/1691481962299453440")</f>
        <v>https://twitter.com/ismael_colosi/status/1691481962299453440</v>
      </c>
      <c r="AF3918" s="90">
        <v>45153.672453703701</v>
      </c>
      <c r="AG3918" s="99">
        <v>45153</v>
      </c>
      <c r="AH3918" s="93" t="s">
        <v>11691</v>
      </c>
      <c r="AI3918" s="87" t="b">
        <v>0</v>
      </c>
      <c r="AJ3918" s="87"/>
      <c r="AK3918" s="87"/>
      <c r="AL3918" s="87"/>
      <c r="AM3918" s="87"/>
      <c r="AN3918" s="87"/>
      <c r="AO3918" s="87"/>
      <c r="AP3918" s="87"/>
      <c r="AQ3918" s="87" t="s">
        <v>18064</v>
      </c>
      <c r="AR3918" s="87">
        <v>59800</v>
      </c>
      <c r="AS3918" s="87"/>
      <c r="AT3918" s="87"/>
      <c r="AU3918" s="87"/>
      <c r="AV3918" s="92" t="str">
        <f>HYPERLINK("https://pbs.twimg.com/ext_tw_video_thumb/1691481903801466880/pu/img/gZRFAbH-tlDdanAV.jpg")</f>
        <v>https://pbs.twimg.com/ext_tw_video_thumb/1691481903801466880/pu/img/gZRFAbH-tlDdanAV.jpg</v>
      </c>
      <c r="AW3918" s="93" t="s">
        <v>22025</v>
      </c>
      <c r="AX3918" s="93" t="s">
        <v>22025</v>
      </c>
      <c r="AY3918" s="87"/>
      <c r="AZ3918" s="93" t="s">
        <v>22668</v>
      </c>
      <c r="BA3918" s="93" t="s">
        <v>22668</v>
      </c>
      <c r="BB3918" s="93" t="s">
        <v>22668</v>
      </c>
      <c r="BC3918" s="93" t="s">
        <v>22025</v>
      </c>
      <c r="BD3918" s="93" t="s">
        <v>23547</v>
      </c>
      <c r="BE3918" s="87"/>
      <c r="BF3918" s="87"/>
      <c r="BG3918" s="87"/>
      <c r="BH3918" s="87"/>
      <c r="BI3918" s="87"/>
    </row>
    <row r="3919" spans="1:61" x14ac:dyDescent="0.25">
      <c r="A3919" s="63" t="s">
        <v>1520</v>
      </c>
      <c r="B3919" s="63" t="s">
        <v>1520</v>
      </c>
      <c r="C3919" s="64"/>
      <c r="D3919" s="65"/>
      <c r="E3919" s="66"/>
      <c r="F3919" s="67"/>
      <c r="G3919" s="64"/>
      <c r="H3919" s="68"/>
      <c r="I3919" s="69"/>
      <c r="J3919" s="69"/>
      <c r="K3919" s="32"/>
      <c r="L3919" s="76">
        <v>3919</v>
      </c>
      <c r="M3919" s="76"/>
      <c r="N3919" s="71"/>
      <c r="O3919" s="87" t="s">
        <v>179</v>
      </c>
      <c r="P3919" s="90">
        <v>45162.064710648148</v>
      </c>
      <c r="Q3919" s="87" t="s">
        <v>5570</v>
      </c>
      <c r="R3919" s="87">
        <v>0</v>
      </c>
      <c r="S3919" s="87">
        <v>0</v>
      </c>
      <c r="T3919" s="87">
        <v>0</v>
      </c>
      <c r="U3919" s="87">
        <v>0</v>
      </c>
      <c r="V3919" s="87">
        <v>14</v>
      </c>
      <c r="W3919" s="93" t="s">
        <v>8153</v>
      </c>
      <c r="X3919" s="87"/>
      <c r="Y3919" s="87"/>
      <c r="Z3919" s="87"/>
      <c r="AA3919" s="87" t="s">
        <v>11253</v>
      </c>
      <c r="AB3919" s="87" t="s">
        <v>11448</v>
      </c>
      <c r="AC3919" s="93" t="s">
        <v>11462</v>
      </c>
      <c r="AD3919" s="87" t="s">
        <v>11519</v>
      </c>
      <c r="AE3919" s="92" t="str">
        <f>HYPERLINK("https://twitter.com/ismael_colosi/status/1694523214699831339")</f>
        <v>https://twitter.com/ismael_colosi/status/1694523214699831339</v>
      </c>
      <c r="AF3919" s="90">
        <v>45162.064710648148</v>
      </c>
      <c r="AG3919" s="99">
        <v>45162</v>
      </c>
      <c r="AH3919" s="93" t="s">
        <v>14978</v>
      </c>
      <c r="AI3919" s="87" t="b">
        <v>0</v>
      </c>
      <c r="AJ3919" s="87"/>
      <c r="AK3919" s="87"/>
      <c r="AL3919" s="87"/>
      <c r="AM3919" s="87"/>
      <c r="AN3919" s="87"/>
      <c r="AO3919" s="87"/>
      <c r="AP3919" s="87"/>
      <c r="AQ3919" s="87" t="s">
        <v>18065</v>
      </c>
      <c r="AR3919" s="87"/>
      <c r="AS3919" s="87"/>
      <c r="AT3919" s="87"/>
      <c r="AU3919" s="87"/>
      <c r="AV3919" s="92" t="str">
        <f>HYPERLINK("https://pbs.twimg.com/media/F4Qn4nKXsAAeLfM.jpg")</f>
        <v>https://pbs.twimg.com/media/F4Qn4nKXsAAeLfM.jpg</v>
      </c>
      <c r="AW3919" s="93" t="s">
        <v>22026</v>
      </c>
      <c r="AX3919" s="93" t="s">
        <v>22026</v>
      </c>
      <c r="AY3919" s="87"/>
      <c r="AZ3919" s="93" t="s">
        <v>22668</v>
      </c>
      <c r="BA3919" s="93" t="s">
        <v>22668</v>
      </c>
      <c r="BB3919" s="93" t="s">
        <v>22668</v>
      </c>
      <c r="BC3919" s="93" t="s">
        <v>22026</v>
      </c>
      <c r="BD3919" s="93" t="s">
        <v>23547</v>
      </c>
      <c r="BE3919" s="87"/>
      <c r="BF3919" s="87"/>
      <c r="BG3919" s="87"/>
      <c r="BH3919" s="87"/>
      <c r="BI3919" s="87"/>
    </row>
    <row r="3920" spans="1:61" x14ac:dyDescent="0.25">
      <c r="A3920" s="63" t="s">
        <v>1520</v>
      </c>
      <c r="B3920" s="63" t="s">
        <v>1520</v>
      </c>
      <c r="C3920" s="64"/>
      <c r="D3920" s="65"/>
      <c r="E3920" s="66"/>
      <c r="F3920" s="67"/>
      <c r="G3920" s="64"/>
      <c r="H3920" s="68"/>
      <c r="I3920" s="69"/>
      <c r="J3920" s="69"/>
      <c r="K3920" s="32"/>
      <c r="L3920" s="76">
        <v>3920</v>
      </c>
      <c r="M3920" s="76"/>
      <c r="N3920" s="71"/>
      <c r="O3920" s="87" t="s">
        <v>179</v>
      </c>
      <c r="P3920" s="90">
        <v>45162.046805555554</v>
      </c>
      <c r="Q3920" s="87" t="s">
        <v>5571</v>
      </c>
      <c r="R3920" s="87">
        <v>0</v>
      </c>
      <c r="S3920" s="87">
        <v>0</v>
      </c>
      <c r="T3920" s="87">
        <v>0</v>
      </c>
      <c r="U3920" s="87">
        <v>0</v>
      </c>
      <c r="V3920" s="87">
        <v>48</v>
      </c>
      <c r="W3920" s="93" t="s">
        <v>8153</v>
      </c>
      <c r="X3920" s="87"/>
      <c r="Y3920" s="87"/>
      <c r="Z3920" s="87"/>
      <c r="AA3920" s="87" t="s">
        <v>11254</v>
      </c>
      <c r="AB3920" s="87" t="s">
        <v>11447</v>
      </c>
      <c r="AC3920" s="93" t="s">
        <v>11462</v>
      </c>
      <c r="AD3920" s="87" t="s">
        <v>11519</v>
      </c>
      <c r="AE3920" s="92" t="str">
        <f>HYPERLINK("https://twitter.com/ismael_colosi/status/1694516724349944311")</f>
        <v>https://twitter.com/ismael_colosi/status/1694516724349944311</v>
      </c>
      <c r="AF3920" s="90">
        <v>45162.046805555554</v>
      </c>
      <c r="AG3920" s="99">
        <v>45162</v>
      </c>
      <c r="AH3920" s="93" t="s">
        <v>14393</v>
      </c>
      <c r="AI3920" s="87" t="b">
        <v>0</v>
      </c>
      <c r="AJ3920" s="87"/>
      <c r="AK3920" s="87"/>
      <c r="AL3920" s="87"/>
      <c r="AM3920" s="87"/>
      <c r="AN3920" s="87"/>
      <c r="AO3920" s="87"/>
      <c r="AP3920" s="87"/>
      <c r="AQ3920" s="87" t="s">
        <v>18066</v>
      </c>
      <c r="AR3920" s="87">
        <v>40866</v>
      </c>
      <c r="AS3920" s="87"/>
      <c r="AT3920" s="87"/>
      <c r="AU3920" s="87"/>
      <c r="AV3920" s="92" t="str">
        <f>HYPERLINK("https://pbs.twimg.com/ext_tw_video_thumb/1694516667710066688/pu/img/c1n97fnuVSJxgu7x.jpg")</f>
        <v>https://pbs.twimg.com/ext_tw_video_thumb/1694516667710066688/pu/img/c1n97fnuVSJxgu7x.jpg</v>
      </c>
      <c r="AW3920" s="93" t="s">
        <v>22027</v>
      </c>
      <c r="AX3920" s="93" t="s">
        <v>22027</v>
      </c>
      <c r="AY3920" s="87"/>
      <c r="AZ3920" s="93" t="s">
        <v>22668</v>
      </c>
      <c r="BA3920" s="93" t="s">
        <v>22668</v>
      </c>
      <c r="BB3920" s="93" t="s">
        <v>22668</v>
      </c>
      <c r="BC3920" s="93" t="s">
        <v>22027</v>
      </c>
      <c r="BD3920" s="93" t="s">
        <v>23547</v>
      </c>
      <c r="BE3920" s="87"/>
      <c r="BF3920" s="87"/>
      <c r="BG3920" s="87"/>
      <c r="BH3920" s="87"/>
      <c r="BI3920" s="87"/>
    </row>
    <row r="3921" spans="1:61" x14ac:dyDescent="0.25">
      <c r="A3921" s="63" t="s">
        <v>1520</v>
      </c>
      <c r="B3921" s="63" t="s">
        <v>1520</v>
      </c>
      <c r="C3921" s="64"/>
      <c r="D3921" s="65"/>
      <c r="E3921" s="66"/>
      <c r="F3921" s="67"/>
      <c r="G3921" s="64"/>
      <c r="H3921" s="68"/>
      <c r="I3921" s="69"/>
      <c r="J3921" s="69"/>
      <c r="K3921" s="32"/>
      <c r="L3921" s="76">
        <v>3921</v>
      </c>
      <c r="M3921" s="76"/>
      <c r="N3921" s="71"/>
      <c r="O3921" s="87" t="s">
        <v>179</v>
      </c>
      <c r="P3921" s="90">
        <v>45162.036249999997</v>
      </c>
      <c r="Q3921" s="87" t="s">
        <v>5572</v>
      </c>
      <c r="R3921" s="87">
        <v>0</v>
      </c>
      <c r="S3921" s="87">
        <v>0</v>
      </c>
      <c r="T3921" s="87">
        <v>0</v>
      </c>
      <c r="U3921" s="87">
        <v>0</v>
      </c>
      <c r="V3921" s="87">
        <v>15</v>
      </c>
      <c r="W3921" s="93" t="s">
        <v>8154</v>
      </c>
      <c r="X3921" s="87"/>
      <c r="Y3921" s="87"/>
      <c r="Z3921" s="87"/>
      <c r="AA3921" s="87" t="s">
        <v>11255</v>
      </c>
      <c r="AB3921" s="87" t="s">
        <v>11448</v>
      </c>
      <c r="AC3921" s="93" t="s">
        <v>11462</v>
      </c>
      <c r="AD3921" s="87" t="s">
        <v>11519</v>
      </c>
      <c r="AE3921" s="92" t="str">
        <f>HYPERLINK("https://twitter.com/ismael_colosi/status/1694512898687562136")</f>
        <v>https://twitter.com/ismael_colosi/status/1694512898687562136</v>
      </c>
      <c r="AF3921" s="90">
        <v>45162.036249999997</v>
      </c>
      <c r="AG3921" s="99">
        <v>45162</v>
      </c>
      <c r="AH3921" s="93" t="s">
        <v>14979</v>
      </c>
      <c r="AI3921" s="87" t="b">
        <v>0</v>
      </c>
      <c r="AJ3921" s="87"/>
      <c r="AK3921" s="87"/>
      <c r="AL3921" s="87"/>
      <c r="AM3921" s="87"/>
      <c r="AN3921" s="87"/>
      <c r="AO3921" s="87"/>
      <c r="AP3921" s="87"/>
      <c r="AQ3921" s="87" t="s">
        <v>18067</v>
      </c>
      <c r="AR3921" s="87"/>
      <c r="AS3921" s="87"/>
      <c r="AT3921" s="87"/>
      <c r="AU3921" s="87"/>
      <c r="AV3921" s="92" t="str">
        <f>HYPERLINK("https://pbs.twimg.com/media/F4QegH7WkAIUEkF.jpg")</f>
        <v>https://pbs.twimg.com/media/F4QegH7WkAIUEkF.jpg</v>
      </c>
      <c r="AW3921" s="93" t="s">
        <v>22028</v>
      </c>
      <c r="AX3921" s="93" t="s">
        <v>22028</v>
      </c>
      <c r="AY3921" s="87"/>
      <c r="AZ3921" s="93" t="s">
        <v>22668</v>
      </c>
      <c r="BA3921" s="93" t="s">
        <v>22668</v>
      </c>
      <c r="BB3921" s="93" t="s">
        <v>22668</v>
      </c>
      <c r="BC3921" s="93" t="s">
        <v>22028</v>
      </c>
      <c r="BD3921" s="93" t="s">
        <v>23547</v>
      </c>
      <c r="BE3921" s="87"/>
      <c r="BF3921" s="87"/>
      <c r="BG3921" s="87"/>
      <c r="BH3921" s="87"/>
      <c r="BI3921" s="87"/>
    </row>
    <row r="3922" spans="1:61" x14ac:dyDescent="0.25">
      <c r="A3922" s="63" t="s">
        <v>1520</v>
      </c>
      <c r="B3922" s="63" t="s">
        <v>1520</v>
      </c>
      <c r="C3922" s="64"/>
      <c r="D3922" s="65"/>
      <c r="E3922" s="66"/>
      <c r="F3922" s="67"/>
      <c r="G3922" s="64"/>
      <c r="H3922" s="68"/>
      <c r="I3922" s="69"/>
      <c r="J3922" s="69"/>
      <c r="K3922" s="32"/>
      <c r="L3922" s="76">
        <v>3922</v>
      </c>
      <c r="M3922" s="76"/>
      <c r="N3922" s="71"/>
      <c r="O3922" s="87" t="s">
        <v>179</v>
      </c>
      <c r="P3922" s="90">
        <v>45159.887037037035</v>
      </c>
      <c r="Q3922" s="87" t="s">
        <v>5573</v>
      </c>
      <c r="R3922" s="87">
        <v>0</v>
      </c>
      <c r="S3922" s="87">
        <v>0</v>
      </c>
      <c r="T3922" s="87">
        <v>0</v>
      </c>
      <c r="U3922" s="87">
        <v>0</v>
      </c>
      <c r="V3922" s="87">
        <v>8</v>
      </c>
      <c r="W3922" s="93" t="s">
        <v>8153</v>
      </c>
      <c r="X3922" s="87"/>
      <c r="Y3922" s="87"/>
      <c r="Z3922" s="87"/>
      <c r="AA3922" s="87" t="s">
        <v>11256</v>
      </c>
      <c r="AB3922" s="87" t="s">
        <v>11448</v>
      </c>
      <c r="AC3922" s="93" t="s">
        <v>11462</v>
      </c>
      <c r="AD3922" s="87" t="s">
        <v>11519</v>
      </c>
      <c r="AE3922" s="92" t="str">
        <f>HYPERLINK("https://twitter.com/ismael_colosi/status/1693734049813090795")</f>
        <v>https://twitter.com/ismael_colosi/status/1693734049813090795</v>
      </c>
      <c r="AF3922" s="90">
        <v>45159.887037037035</v>
      </c>
      <c r="AG3922" s="99">
        <v>45159</v>
      </c>
      <c r="AH3922" s="93" t="s">
        <v>14980</v>
      </c>
      <c r="AI3922" s="87" t="b">
        <v>0</v>
      </c>
      <c r="AJ3922" s="87"/>
      <c r="AK3922" s="87"/>
      <c r="AL3922" s="87"/>
      <c r="AM3922" s="87"/>
      <c r="AN3922" s="87"/>
      <c r="AO3922" s="87"/>
      <c r="AP3922" s="87"/>
      <c r="AQ3922" s="87" t="s">
        <v>18068</v>
      </c>
      <c r="AR3922" s="87"/>
      <c r="AS3922" s="87"/>
      <c r="AT3922" s="87"/>
      <c r="AU3922" s="87"/>
      <c r="AV3922" s="92" t="str">
        <f>HYPERLINK("https://pbs.twimg.com/media/F4FaJJiXUAAtVK1.jpg")</f>
        <v>https://pbs.twimg.com/media/F4FaJJiXUAAtVK1.jpg</v>
      </c>
      <c r="AW3922" s="93" t="s">
        <v>22029</v>
      </c>
      <c r="AX3922" s="93" t="s">
        <v>22029</v>
      </c>
      <c r="AY3922" s="87"/>
      <c r="AZ3922" s="93" t="s">
        <v>22668</v>
      </c>
      <c r="BA3922" s="93" t="s">
        <v>22668</v>
      </c>
      <c r="BB3922" s="93" t="s">
        <v>22668</v>
      </c>
      <c r="BC3922" s="93" t="s">
        <v>22029</v>
      </c>
      <c r="BD3922" s="93" t="s">
        <v>23547</v>
      </c>
      <c r="BE3922" s="87"/>
      <c r="BF3922" s="87"/>
      <c r="BG3922" s="87"/>
      <c r="BH3922" s="87"/>
      <c r="BI3922" s="87"/>
    </row>
    <row r="3923" spans="1:61" x14ac:dyDescent="0.25">
      <c r="A3923" s="63" t="s">
        <v>1520</v>
      </c>
      <c r="B3923" s="63" t="s">
        <v>1520</v>
      </c>
      <c r="C3923" s="64"/>
      <c r="D3923" s="65"/>
      <c r="E3923" s="66"/>
      <c r="F3923" s="67"/>
      <c r="G3923" s="64"/>
      <c r="H3923" s="68"/>
      <c r="I3923" s="69"/>
      <c r="J3923" s="69"/>
      <c r="K3923" s="32"/>
      <c r="L3923" s="76">
        <v>3923</v>
      </c>
      <c r="M3923" s="76"/>
      <c r="N3923" s="71"/>
      <c r="O3923" s="87" t="s">
        <v>179</v>
      </c>
      <c r="P3923" s="90">
        <v>45166.966006944444</v>
      </c>
      <c r="Q3923" s="87" t="s">
        <v>5574</v>
      </c>
      <c r="R3923" s="87">
        <v>0</v>
      </c>
      <c r="S3923" s="87">
        <v>0</v>
      </c>
      <c r="T3923" s="87">
        <v>0</v>
      </c>
      <c r="U3923" s="87">
        <v>0</v>
      </c>
      <c r="V3923" s="87">
        <v>7</v>
      </c>
      <c r="W3923" s="93" t="s">
        <v>8153</v>
      </c>
      <c r="X3923" s="87"/>
      <c r="Y3923" s="87"/>
      <c r="Z3923" s="87"/>
      <c r="AA3923" s="87" t="s">
        <v>11257</v>
      </c>
      <c r="AB3923" s="87" t="s">
        <v>11448</v>
      </c>
      <c r="AC3923" s="93" t="s">
        <v>11462</v>
      </c>
      <c r="AD3923" s="87" t="s">
        <v>11519</v>
      </c>
      <c r="AE3923" s="92" t="str">
        <f>HYPERLINK("https://twitter.com/ismael_colosi/status/1696299382616846348")</f>
        <v>https://twitter.com/ismael_colosi/status/1696299382616846348</v>
      </c>
      <c r="AF3923" s="90">
        <v>45166.966006944444</v>
      </c>
      <c r="AG3923" s="99">
        <v>45166</v>
      </c>
      <c r="AH3923" s="93" t="s">
        <v>14981</v>
      </c>
      <c r="AI3923" s="87" t="b">
        <v>0</v>
      </c>
      <c r="AJ3923" s="87"/>
      <c r="AK3923" s="87"/>
      <c r="AL3923" s="87"/>
      <c r="AM3923" s="87"/>
      <c r="AN3923" s="87"/>
      <c r="AO3923" s="87"/>
      <c r="AP3923" s="87"/>
      <c r="AQ3923" s="87" t="s">
        <v>18069</v>
      </c>
      <c r="AR3923" s="87"/>
      <c r="AS3923" s="87"/>
      <c r="AT3923" s="87"/>
      <c r="AU3923" s="87"/>
      <c r="AV3923" s="92" t="str">
        <f>HYPERLINK("https://pbs.twimg.com/media/F4p3TKuXkAA7qXl.jpg")</f>
        <v>https://pbs.twimg.com/media/F4p3TKuXkAA7qXl.jpg</v>
      </c>
      <c r="AW3923" s="93" t="s">
        <v>22030</v>
      </c>
      <c r="AX3923" s="93" t="s">
        <v>22030</v>
      </c>
      <c r="AY3923" s="87"/>
      <c r="AZ3923" s="93" t="s">
        <v>22668</v>
      </c>
      <c r="BA3923" s="93" t="s">
        <v>22668</v>
      </c>
      <c r="BB3923" s="93" t="s">
        <v>22668</v>
      </c>
      <c r="BC3923" s="93" t="s">
        <v>22030</v>
      </c>
      <c r="BD3923" s="93" t="s">
        <v>23547</v>
      </c>
      <c r="BE3923" s="87"/>
      <c r="BF3923" s="87"/>
      <c r="BG3923" s="87"/>
      <c r="BH3923" s="87"/>
      <c r="BI3923" s="87"/>
    </row>
    <row r="3924" spans="1:61" x14ac:dyDescent="0.25">
      <c r="A3924" s="63" t="s">
        <v>1520</v>
      </c>
      <c r="B3924" s="63" t="s">
        <v>1520</v>
      </c>
      <c r="C3924" s="64"/>
      <c r="D3924" s="65"/>
      <c r="E3924" s="66"/>
      <c r="F3924" s="67"/>
      <c r="G3924" s="64"/>
      <c r="H3924" s="68"/>
      <c r="I3924" s="69"/>
      <c r="J3924" s="69"/>
      <c r="K3924" s="32"/>
      <c r="L3924" s="76">
        <v>3924</v>
      </c>
      <c r="M3924" s="76"/>
      <c r="N3924" s="71"/>
      <c r="O3924" s="87" t="s">
        <v>179</v>
      </c>
      <c r="P3924" s="90">
        <v>45166.963240740741</v>
      </c>
      <c r="Q3924" s="87" t="s">
        <v>5575</v>
      </c>
      <c r="R3924" s="87">
        <v>0</v>
      </c>
      <c r="S3924" s="87">
        <v>0</v>
      </c>
      <c r="T3924" s="87">
        <v>0</v>
      </c>
      <c r="U3924" s="87">
        <v>0</v>
      </c>
      <c r="V3924" s="87">
        <v>8</v>
      </c>
      <c r="W3924" s="93" t="s">
        <v>8153</v>
      </c>
      <c r="X3924" s="87"/>
      <c r="Y3924" s="87"/>
      <c r="Z3924" s="87"/>
      <c r="AA3924" s="87" t="s">
        <v>11258</v>
      </c>
      <c r="AB3924" s="87" t="s">
        <v>11448</v>
      </c>
      <c r="AC3924" s="93" t="s">
        <v>11462</v>
      </c>
      <c r="AD3924" s="87" t="s">
        <v>11519</v>
      </c>
      <c r="AE3924" s="92" t="str">
        <f>HYPERLINK("https://twitter.com/ismael_colosi/status/1696298382359196026")</f>
        <v>https://twitter.com/ismael_colosi/status/1696298382359196026</v>
      </c>
      <c r="AF3924" s="90">
        <v>45166.963240740741</v>
      </c>
      <c r="AG3924" s="99">
        <v>45166</v>
      </c>
      <c r="AH3924" s="93" t="s">
        <v>14982</v>
      </c>
      <c r="AI3924" s="87" t="b">
        <v>0</v>
      </c>
      <c r="AJ3924" s="87"/>
      <c r="AK3924" s="87"/>
      <c r="AL3924" s="87"/>
      <c r="AM3924" s="87"/>
      <c r="AN3924" s="87"/>
      <c r="AO3924" s="87"/>
      <c r="AP3924" s="87"/>
      <c r="AQ3924" s="87" t="s">
        <v>18070</v>
      </c>
      <c r="AR3924" s="87"/>
      <c r="AS3924" s="87"/>
      <c r="AT3924" s="87"/>
      <c r="AU3924" s="87"/>
      <c r="AV3924" s="92" t="str">
        <f>HYPERLINK("https://pbs.twimg.com/media/F4p2Y6jXAAAS_XS.jpg")</f>
        <v>https://pbs.twimg.com/media/F4p2Y6jXAAAS_XS.jpg</v>
      </c>
      <c r="AW3924" s="93" t="s">
        <v>22031</v>
      </c>
      <c r="AX3924" s="93" t="s">
        <v>22031</v>
      </c>
      <c r="AY3924" s="87"/>
      <c r="AZ3924" s="93" t="s">
        <v>22668</v>
      </c>
      <c r="BA3924" s="93" t="s">
        <v>22668</v>
      </c>
      <c r="BB3924" s="93" t="s">
        <v>22668</v>
      </c>
      <c r="BC3924" s="93" t="s">
        <v>22031</v>
      </c>
      <c r="BD3924" s="93" t="s">
        <v>23547</v>
      </c>
      <c r="BE3924" s="87"/>
      <c r="BF3924" s="87"/>
      <c r="BG3924" s="87"/>
      <c r="BH3924" s="87"/>
      <c r="BI3924" s="87"/>
    </row>
    <row r="3925" spans="1:61" x14ac:dyDescent="0.25">
      <c r="A3925" s="63" t="s">
        <v>1520</v>
      </c>
      <c r="B3925" s="63" t="s">
        <v>1520</v>
      </c>
      <c r="C3925" s="64"/>
      <c r="D3925" s="65"/>
      <c r="E3925" s="66"/>
      <c r="F3925" s="67"/>
      <c r="G3925" s="64"/>
      <c r="H3925" s="68"/>
      <c r="I3925" s="69"/>
      <c r="J3925" s="69"/>
      <c r="K3925" s="32"/>
      <c r="L3925" s="76">
        <v>3925</v>
      </c>
      <c r="M3925" s="76"/>
      <c r="N3925" s="71"/>
      <c r="O3925" s="87" t="s">
        <v>179</v>
      </c>
      <c r="P3925" s="90">
        <v>45166.740335648145</v>
      </c>
      <c r="Q3925" s="87" t="s">
        <v>5576</v>
      </c>
      <c r="R3925" s="87">
        <v>0</v>
      </c>
      <c r="S3925" s="87">
        <v>0</v>
      </c>
      <c r="T3925" s="87">
        <v>0</v>
      </c>
      <c r="U3925" s="87">
        <v>0</v>
      </c>
      <c r="V3925" s="87">
        <v>41</v>
      </c>
      <c r="W3925" s="93" t="s">
        <v>8153</v>
      </c>
      <c r="X3925" s="87"/>
      <c r="Y3925" s="87"/>
      <c r="Z3925" s="87"/>
      <c r="AA3925" s="87" t="s">
        <v>11259</v>
      </c>
      <c r="AB3925" s="87" t="s">
        <v>11448</v>
      </c>
      <c r="AC3925" s="93" t="s">
        <v>11462</v>
      </c>
      <c r="AD3925" s="87" t="s">
        <v>11519</v>
      </c>
      <c r="AE3925" s="92" t="str">
        <f>HYPERLINK("https://twitter.com/ismael_colosi/status/1696217604933730800")</f>
        <v>https://twitter.com/ismael_colosi/status/1696217604933730800</v>
      </c>
      <c r="AF3925" s="90">
        <v>45166.740335648145</v>
      </c>
      <c r="AG3925" s="99">
        <v>45166</v>
      </c>
      <c r="AH3925" s="93" t="s">
        <v>14983</v>
      </c>
      <c r="AI3925" s="87" t="b">
        <v>0</v>
      </c>
      <c r="AJ3925" s="87"/>
      <c r="AK3925" s="87"/>
      <c r="AL3925" s="87"/>
      <c r="AM3925" s="87"/>
      <c r="AN3925" s="87"/>
      <c r="AO3925" s="87"/>
      <c r="AP3925" s="87"/>
      <c r="AQ3925" s="87" t="s">
        <v>18071</v>
      </c>
      <c r="AR3925" s="87"/>
      <c r="AS3925" s="87"/>
      <c r="AT3925" s="87"/>
      <c r="AU3925" s="87"/>
      <c r="AV3925" s="92" t="str">
        <f>HYPERLINK("https://pbs.twimg.com/media/F4os7FzW0AEZQPO.jpg")</f>
        <v>https://pbs.twimg.com/media/F4os7FzW0AEZQPO.jpg</v>
      </c>
      <c r="AW3925" s="93" t="s">
        <v>22032</v>
      </c>
      <c r="AX3925" s="93" t="s">
        <v>22032</v>
      </c>
      <c r="AY3925" s="87"/>
      <c r="AZ3925" s="93" t="s">
        <v>22668</v>
      </c>
      <c r="BA3925" s="93" t="s">
        <v>22668</v>
      </c>
      <c r="BB3925" s="93" t="s">
        <v>22668</v>
      </c>
      <c r="BC3925" s="93" t="s">
        <v>22032</v>
      </c>
      <c r="BD3925" s="93" t="s">
        <v>23547</v>
      </c>
      <c r="BE3925" s="87"/>
      <c r="BF3925" s="87"/>
      <c r="BG3925" s="87"/>
      <c r="BH3925" s="87"/>
      <c r="BI3925" s="87"/>
    </row>
    <row r="3926" spans="1:61" x14ac:dyDescent="0.25">
      <c r="A3926" s="63" t="s">
        <v>1520</v>
      </c>
      <c r="B3926" s="63" t="s">
        <v>1520</v>
      </c>
      <c r="C3926" s="64"/>
      <c r="D3926" s="65"/>
      <c r="E3926" s="66"/>
      <c r="F3926" s="67"/>
      <c r="G3926" s="64"/>
      <c r="H3926" s="68"/>
      <c r="I3926" s="69"/>
      <c r="J3926" s="69"/>
      <c r="K3926" s="32"/>
      <c r="L3926" s="76">
        <v>3926</v>
      </c>
      <c r="M3926" s="76"/>
      <c r="N3926" s="71"/>
      <c r="O3926" s="87" t="s">
        <v>179</v>
      </c>
      <c r="P3926" s="90">
        <v>45166.737569444442</v>
      </c>
      <c r="Q3926" s="87" t="s">
        <v>5577</v>
      </c>
      <c r="R3926" s="87">
        <v>0</v>
      </c>
      <c r="S3926" s="87">
        <v>0</v>
      </c>
      <c r="T3926" s="87">
        <v>0</v>
      </c>
      <c r="U3926" s="87">
        <v>0</v>
      </c>
      <c r="V3926" s="87">
        <v>12</v>
      </c>
      <c r="W3926" s="93" t="s">
        <v>8153</v>
      </c>
      <c r="X3926" s="87"/>
      <c r="Y3926" s="87"/>
      <c r="Z3926" s="87"/>
      <c r="AA3926" s="87" t="s">
        <v>11260</v>
      </c>
      <c r="AB3926" s="87" t="s">
        <v>11448</v>
      </c>
      <c r="AC3926" s="93" t="s">
        <v>11462</v>
      </c>
      <c r="AD3926" s="87" t="s">
        <v>11519</v>
      </c>
      <c r="AE3926" s="92" t="str">
        <f>HYPERLINK("https://twitter.com/ismael_colosi/status/1696216599391314338")</f>
        <v>https://twitter.com/ismael_colosi/status/1696216599391314338</v>
      </c>
      <c r="AF3926" s="90">
        <v>45166.737569444442</v>
      </c>
      <c r="AG3926" s="99">
        <v>45166</v>
      </c>
      <c r="AH3926" s="93" t="s">
        <v>14984</v>
      </c>
      <c r="AI3926" s="87" t="b">
        <v>0</v>
      </c>
      <c r="AJ3926" s="87"/>
      <c r="AK3926" s="87"/>
      <c r="AL3926" s="87"/>
      <c r="AM3926" s="87"/>
      <c r="AN3926" s="87"/>
      <c r="AO3926" s="87"/>
      <c r="AP3926" s="87"/>
      <c r="AQ3926" s="87" t="s">
        <v>18072</v>
      </c>
      <c r="AR3926" s="87"/>
      <c r="AS3926" s="87"/>
      <c r="AT3926" s="87"/>
      <c r="AU3926" s="87"/>
      <c r="AV3926" s="92" t="str">
        <f>HYPERLINK("https://pbs.twimg.com/media/F4osAknWwAAAZPY.jpg")</f>
        <v>https://pbs.twimg.com/media/F4osAknWwAAAZPY.jpg</v>
      </c>
      <c r="AW3926" s="93" t="s">
        <v>22033</v>
      </c>
      <c r="AX3926" s="93" t="s">
        <v>22033</v>
      </c>
      <c r="AY3926" s="87"/>
      <c r="AZ3926" s="93" t="s">
        <v>22668</v>
      </c>
      <c r="BA3926" s="93" t="s">
        <v>22668</v>
      </c>
      <c r="BB3926" s="93" t="s">
        <v>22668</v>
      </c>
      <c r="BC3926" s="93" t="s">
        <v>22033</v>
      </c>
      <c r="BD3926" s="93" t="s">
        <v>23547</v>
      </c>
      <c r="BE3926" s="87"/>
      <c r="BF3926" s="87"/>
      <c r="BG3926" s="87"/>
      <c r="BH3926" s="87"/>
      <c r="BI3926" s="87"/>
    </row>
    <row r="3927" spans="1:61" x14ac:dyDescent="0.25">
      <c r="A3927" s="63" t="s">
        <v>1521</v>
      </c>
      <c r="B3927" s="63" t="s">
        <v>1826</v>
      </c>
      <c r="C3927" s="64"/>
      <c r="D3927" s="65"/>
      <c r="E3927" s="66"/>
      <c r="F3927" s="67"/>
      <c r="G3927" s="64"/>
      <c r="H3927" s="68"/>
      <c r="I3927" s="69"/>
      <c r="J3927" s="69"/>
      <c r="K3927" s="32"/>
      <c r="L3927" s="76">
        <v>3927</v>
      </c>
      <c r="M3927" s="76"/>
      <c r="N3927" s="71"/>
      <c r="O3927" s="87" t="s">
        <v>1839</v>
      </c>
      <c r="P3927" s="90">
        <v>45132.740624999999</v>
      </c>
      <c r="Q3927" s="87" t="s">
        <v>5578</v>
      </c>
      <c r="R3927" s="87">
        <v>1</v>
      </c>
      <c r="S3927" s="87">
        <v>1</v>
      </c>
      <c r="T3927" s="87">
        <v>0</v>
      </c>
      <c r="U3927" s="87">
        <v>0</v>
      </c>
      <c r="V3927" s="87">
        <v>92</v>
      </c>
      <c r="W3927" s="93" t="s">
        <v>8155</v>
      </c>
      <c r="X3927" s="92" t="str">
        <f>HYPERLINK("https://www.jfpolitics.com/a-chamada-acumulacao-empreendedora-o-estado-empreendedor-do-novo-neoliberalismo-no-seculo-xxi/")</f>
        <v>https://www.jfpolitics.com/a-chamada-acumulacao-empreendedora-o-estado-empreendedor-do-novo-neoliberalismo-no-seculo-xxi/</v>
      </c>
      <c r="Y3927" s="87" t="s">
        <v>8551</v>
      </c>
      <c r="Z3927" s="87" t="s">
        <v>8626</v>
      </c>
      <c r="AA3927" s="87"/>
      <c r="AB3927" s="87"/>
      <c r="AC3927" s="93" t="s">
        <v>11457</v>
      </c>
      <c r="AD3927" s="87" t="s">
        <v>11519</v>
      </c>
      <c r="AE3927" s="92" t="str">
        <f>HYPERLINK("https://twitter.com/jfpoliticsunite/status/1683896518837665810")</f>
        <v>https://twitter.com/jfpoliticsunite/status/1683896518837665810</v>
      </c>
      <c r="AF3927" s="90">
        <v>45132.740624999999</v>
      </c>
      <c r="AG3927" s="99">
        <v>45132</v>
      </c>
      <c r="AH3927" s="93" t="s">
        <v>14985</v>
      </c>
      <c r="AI3927" s="87" t="b">
        <v>0</v>
      </c>
      <c r="AJ3927" s="87"/>
      <c r="AK3927" s="87"/>
      <c r="AL3927" s="87"/>
      <c r="AM3927" s="87"/>
      <c r="AN3927" s="87"/>
      <c r="AO3927" s="87"/>
      <c r="AP3927" s="87"/>
      <c r="AQ3927" s="87"/>
      <c r="AR3927" s="87"/>
      <c r="AS3927" s="87"/>
      <c r="AT3927" s="87"/>
      <c r="AU3927" s="87"/>
      <c r="AV3927" s="92" t="str">
        <f>HYPERLINK("https://pbs.twimg.com/profile_images/1267276895323914241/p64nDPwC_normal.jpg")</f>
        <v>https://pbs.twimg.com/profile_images/1267276895323914241/p64nDPwC_normal.jpg</v>
      </c>
      <c r="AW3927" s="93" t="s">
        <v>22034</v>
      </c>
      <c r="AX3927" s="93" t="s">
        <v>22034</v>
      </c>
      <c r="AY3927" s="87"/>
      <c r="AZ3927" s="93" t="s">
        <v>22668</v>
      </c>
      <c r="BA3927" s="93" t="s">
        <v>22668</v>
      </c>
      <c r="BB3927" s="93" t="s">
        <v>22668</v>
      </c>
      <c r="BC3927" s="93" t="s">
        <v>22034</v>
      </c>
      <c r="BD3927" s="93" t="s">
        <v>23548</v>
      </c>
      <c r="BE3927" s="87"/>
      <c r="BF3927" s="87"/>
      <c r="BG3927" s="87"/>
      <c r="BH3927" s="87"/>
      <c r="BI3927" s="87"/>
    </row>
    <row r="3928" spans="1:61" x14ac:dyDescent="0.25">
      <c r="A3928" s="63" t="s">
        <v>1521</v>
      </c>
      <c r="B3928" s="63" t="s">
        <v>1827</v>
      </c>
      <c r="C3928" s="64"/>
      <c r="D3928" s="65"/>
      <c r="E3928" s="66"/>
      <c r="F3928" s="67"/>
      <c r="G3928" s="64"/>
      <c r="H3928" s="68"/>
      <c r="I3928" s="69"/>
      <c r="J3928" s="69"/>
      <c r="K3928" s="32"/>
      <c r="L3928" s="76">
        <v>3928</v>
      </c>
      <c r="M3928" s="76"/>
      <c r="N3928" s="71"/>
      <c r="O3928" s="87" t="s">
        <v>1839</v>
      </c>
      <c r="P3928" s="90">
        <v>45132.740624999999</v>
      </c>
      <c r="Q3928" s="87" t="s">
        <v>5578</v>
      </c>
      <c r="R3928" s="87">
        <v>1</v>
      </c>
      <c r="S3928" s="87">
        <v>1</v>
      </c>
      <c r="T3928" s="87">
        <v>0</v>
      </c>
      <c r="U3928" s="87">
        <v>0</v>
      </c>
      <c r="V3928" s="87">
        <v>92</v>
      </c>
      <c r="W3928" s="93" t="s">
        <v>8155</v>
      </c>
      <c r="X3928" s="92" t="str">
        <f>HYPERLINK("https://www.jfpolitics.com/a-chamada-acumulacao-empreendedora-o-estado-empreendedor-do-novo-neoliberalismo-no-seculo-xxi/")</f>
        <v>https://www.jfpolitics.com/a-chamada-acumulacao-empreendedora-o-estado-empreendedor-do-novo-neoliberalismo-no-seculo-xxi/</v>
      </c>
      <c r="Y3928" s="87" t="s">
        <v>8551</v>
      </c>
      <c r="Z3928" s="87" t="s">
        <v>8626</v>
      </c>
      <c r="AA3928" s="87"/>
      <c r="AB3928" s="87"/>
      <c r="AC3928" s="93" t="s">
        <v>11457</v>
      </c>
      <c r="AD3928" s="87" t="s">
        <v>11519</v>
      </c>
      <c r="AE3928" s="92" t="str">
        <f>HYPERLINK("https://twitter.com/jfpoliticsunite/status/1683896518837665810")</f>
        <v>https://twitter.com/jfpoliticsunite/status/1683896518837665810</v>
      </c>
      <c r="AF3928" s="90">
        <v>45132.740624999999</v>
      </c>
      <c r="AG3928" s="99">
        <v>45132</v>
      </c>
      <c r="AH3928" s="93" t="s">
        <v>14985</v>
      </c>
      <c r="AI3928" s="87" t="b">
        <v>0</v>
      </c>
      <c r="AJ3928" s="87"/>
      <c r="AK3928" s="87"/>
      <c r="AL3928" s="87"/>
      <c r="AM3928" s="87"/>
      <c r="AN3928" s="87"/>
      <c r="AO3928" s="87"/>
      <c r="AP3928" s="87"/>
      <c r="AQ3928" s="87"/>
      <c r="AR3928" s="87"/>
      <c r="AS3928" s="87"/>
      <c r="AT3928" s="87"/>
      <c r="AU3928" s="87"/>
      <c r="AV3928" s="92" t="str">
        <f>HYPERLINK("https://pbs.twimg.com/profile_images/1267276895323914241/p64nDPwC_normal.jpg")</f>
        <v>https://pbs.twimg.com/profile_images/1267276895323914241/p64nDPwC_normal.jpg</v>
      </c>
      <c r="AW3928" s="93" t="s">
        <v>22034</v>
      </c>
      <c r="AX3928" s="93" t="s">
        <v>22034</v>
      </c>
      <c r="AY3928" s="87"/>
      <c r="AZ3928" s="93" t="s">
        <v>22668</v>
      </c>
      <c r="BA3928" s="93" t="s">
        <v>22668</v>
      </c>
      <c r="BB3928" s="93" t="s">
        <v>22668</v>
      </c>
      <c r="BC3928" s="93" t="s">
        <v>22034</v>
      </c>
      <c r="BD3928" s="93" t="s">
        <v>23548</v>
      </c>
      <c r="BE3928" s="87"/>
      <c r="BF3928" s="87"/>
      <c r="BG3928" s="87"/>
      <c r="BH3928" s="87"/>
      <c r="BI3928" s="87"/>
    </row>
    <row r="3929" spans="1:61" x14ac:dyDescent="0.25">
      <c r="A3929" s="63" t="s">
        <v>1521</v>
      </c>
      <c r="B3929" s="63" t="s">
        <v>1828</v>
      </c>
      <c r="C3929" s="64"/>
      <c r="D3929" s="65"/>
      <c r="E3929" s="66"/>
      <c r="F3929" s="67"/>
      <c r="G3929" s="64"/>
      <c r="H3929" s="68"/>
      <c r="I3929" s="69"/>
      <c r="J3929" s="69"/>
      <c r="K3929" s="32"/>
      <c r="L3929" s="76">
        <v>3929</v>
      </c>
      <c r="M3929" s="76"/>
      <c r="N3929" s="71"/>
      <c r="O3929" s="87" t="s">
        <v>1839</v>
      </c>
      <c r="P3929" s="90">
        <v>45132.740624999999</v>
      </c>
      <c r="Q3929" s="87" t="s">
        <v>5578</v>
      </c>
      <c r="R3929" s="87">
        <v>1</v>
      </c>
      <c r="S3929" s="87">
        <v>1</v>
      </c>
      <c r="T3929" s="87">
        <v>0</v>
      </c>
      <c r="U3929" s="87">
        <v>0</v>
      </c>
      <c r="V3929" s="87">
        <v>92</v>
      </c>
      <c r="W3929" s="93" t="s">
        <v>8155</v>
      </c>
      <c r="X3929" s="92" t="str">
        <f>HYPERLINK("https://www.jfpolitics.com/a-chamada-acumulacao-empreendedora-o-estado-empreendedor-do-novo-neoliberalismo-no-seculo-xxi/")</f>
        <v>https://www.jfpolitics.com/a-chamada-acumulacao-empreendedora-o-estado-empreendedor-do-novo-neoliberalismo-no-seculo-xxi/</v>
      </c>
      <c r="Y3929" s="87" t="s">
        <v>8551</v>
      </c>
      <c r="Z3929" s="87" t="s">
        <v>8626</v>
      </c>
      <c r="AA3929" s="87"/>
      <c r="AB3929" s="87"/>
      <c r="AC3929" s="93" t="s">
        <v>11457</v>
      </c>
      <c r="AD3929" s="87" t="s">
        <v>11519</v>
      </c>
      <c r="AE3929" s="92" t="str">
        <f>HYPERLINK("https://twitter.com/jfpoliticsunite/status/1683896518837665810")</f>
        <v>https://twitter.com/jfpoliticsunite/status/1683896518837665810</v>
      </c>
      <c r="AF3929" s="90">
        <v>45132.740624999999</v>
      </c>
      <c r="AG3929" s="99">
        <v>45132</v>
      </c>
      <c r="AH3929" s="93" t="s">
        <v>14985</v>
      </c>
      <c r="AI3929" s="87" t="b">
        <v>0</v>
      </c>
      <c r="AJ3929" s="87"/>
      <c r="AK3929" s="87"/>
      <c r="AL3929" s="87"/>
      <c r="AM3929" s="87"/>
      <c r="AN3929" s="87"/>
      <c r="AO3929" s="87"/>
      <c r="AP3929" s="87"/>
      <c r="AQ3929" s="87"/>
      <c r="AR3929" s="87"/>
      <c r="AS3929" s="87"/>
      <c r="AT3929" s="87"/>
      <c r="AU3929" s="87"/>
      <c r="AV3929" s="92" t="str">
        <f>HYPERLINK("https://pbs.twimg.com/profile_images/1267276895323914241/p64nDPwC_normal.jpg")</f>
        <v>https://pbs.twimg.com/profile_images/1267276895323914241/p64nDPwC_normal.jpg</v>
      </c>
      <c r="AW3929" s="93" t="s">
        <v>22034</v>
      </c>
      <c r="AX3929" s="93" t="s">
        <v>22034</v>
      </c>
      <c r="AY3929" s="87"/>
      <c r="AZ3929" s="93" t="s">
        <v>22668</v>
      </c>
      <c r="BA3929" s="93" t="s">
        <v>22668</v>
      </c>
      <c r="BB3929" s="93" t="s">
        <v>22668</v>
      </c>
      <c r="BC3929" s="93" t="s">
        <v>22034</v>
      </c>
      <c r="BD3929" s="93" t="s">
        <v>23548</v>
      </c>
      <c r="BE3929" s="87"/>
      <c r="BF3929" s="87"/>
      <c r="BG3929" s="87"/>
      <c r="BH3929" s="87"/>
      <c r="BI3929" s="87"/>
    </row>
    <row r="3930" spans="1:61" x14ac:dyDescent="0.25">
      <c r="A3930" s="63" t="s">
        <v>1521</v>
      </c>
      <c r="B3930" s="63" t="s">
        <v>1829</v>
      </c>
      <c r="C3930" s="64"/>
      <c r="D3930" s="65"/>
      <c r="E3930" s="66"/>
      <c r="F3930" s="67"/>
      <c r="G3930" s="64"/>
      <c r="H3930" s="68"/>
      <c r="I3930" s="69"/>
      <c r="J3930" s="69"/>
      <c r="K3930" s="32"/>
      <c r="L3930" s="76">
        <v>3930</v>
      </c>
      <c r="M3930" s="76"/>
      <c r="N3930" s="71"/>
      <c r="O3930" s="87" t="s">
        <v>1839</v>
      </c>
      <c r="P3930" s="90">
        <v>45132.740624999999</v>
      </c>
      <c r="Q3930" s="87" t="s">
        <v>5578</v>
      </c>
      <c r="R3930" s="87">
        <v>1</v>
      </c>
      <c r="S3930" s="87">
        <v>1</v>
      </c>
      <c r="T3930" s="87">
        <v>0</v>
      </c>
      <c r="U3930" s="87">
        <v>0</v>
      </c>
      <c r="V3930" s="87">
        <v>92</v>
      </c>
      <c r="W3930" s="93" t="s">
        <v>8155</v>
      </c>
      <c r="X3930" s="92" t="str">
        <f>HYPERLINK("https://www.jfpolitics.com/a-chamada-acumulacao-empreendedora-o-estado-empreendedor-do-novo-neoliberalismo-no-seculo-xxi/")</f>
        <v>https://www.jfpolitics.com/a-chamada-acumulacao-empreendedora-o-estado-empreendedor-do-novo-neoliberalismo-no-seculo-xxi/</v>
      </c>
      <c r="Y3930" s="87" t="s">
        <v>8551</v>
      </c>
      <c r="Z3930" s="87" t="s">
        <v>8626</v>
      </c>
      <c r="AA3930" s="87"/>
      <c r="AB3930" s="87"/>
      <c r="AC3930" s="93" t="s">
        <v>11457</v>
      </c>
      <c r="AD3930" s="87" t="s">
        <v>11519</v>
      </c>
      <c r="AE3930" s="92" t="str">
        <f>HYPERLINK("https://twitter.com/jfpoliticsunite/status/1683896518837665810")</f>
        <v>https://twitter.com/jfpoliticsunite/status/1683896518837665810</v>
      </c>
      <c r="AF3930" s="90">
        <v>45132.740624999999</v>
      </c>
      <c r="AG3930" s="99">
        <v>45132</v>
      </c>
      <c r="AH3930" s="93" t="s">
        <v>14985</v>
      </c>
      <c r="AI3930" s="87" t="b">
        <v>0</v>
      </c>
      <c r="AJ3930" s="87"/>
      <c r="AK3930" s="87"/>
      <c r="AL3930" s="87"/>
      <c r="AM3930" s="87"/>
      <c r="AN3930" s="87"/>
      <c r="AO3930" s="87"/>
      <c r="AP3930" s="87"/>
      <c r="AQ3930" s="87"/>
      <c r="AR3930" s="87"/>
      <c r="AS3930" s="87"/>
      <c r="AT3930" s="87"/>
      <c r="AU3930" s="87"/>
      <c r="AV3930" s="92" t="str">
        <f>HYPERLINK("https://pbs.twimg.com/profile_images/1267276895323914241/p64nDPwC_normal.jpg")</f>
        <v>https://pbs.twimg.com/profile_images/1267276895323914241/p64nDPwC_normal.jpg</v>
      </c>
      <c r="AW3930" s="93" t="s">
        <v>22034</v>
      </c>
      <c r="AX3930" s="93" t="s">
        <v>22034</v>
      </c>
      <c r="AY3930" s="87"/>
      <c r="AZ3930" s="93" t="s">
        <v>22668</v>
      </c>
      <c r="BA3930" s="93" t="s">
        <v>22668</v>
      </c>
      <c r="BB3930" s="93" t="s">
        <v>22668</v>
      </c>
      <c r="BC3930" s="93" t="s">
        <v>22034</v>
      </c>
      <c r="BD3930" s="93" t="s">
        <v>23548</v>
      </c>
      <c r="BE3930" s="87"/>
      <c r="BF3930" s="87"/>
      <c r="BG3930" s="87"/>
      <c r="BH3930" s="87"/>
      <c r="BI3930" s="87"/>
    </row>
    <row r="3931" spans="1:61" x14ac:dyDescent="0.25">
      <c r="A3931" s="63" t="s">
        <v>1437</v>
      </c>
      <c r="B3931" s="63" t="s">
        <v>1437</v>
      </c>
      <c r="C3931" s="64"/>
      <c r="D3931" s="65"/>
      <c r="E3931" s="66"/>
      <c r="F3931" s="67"/>
      <c r="G3931" s="64"/>
      <c r="H3931" s="68"/>
      <c r="I3931" s="69"/>
      <c r="J3931" s="69"/>
      <c r="K3931" s="32"/>
      <c r="L3931" s="76">
        <v>3931</v>
      </c>
      <c r="M3931" s="76"/>
      <c r="N3931" s="71"/>
      <c r="O3931" s="87" t="s">
        <v>179</v>
      </c>
      <c r="P3931" s="90">
        <v>45139.791678240741</v>
      </c>
      <c r="Q3931" s="87" t="s">
        <v>5579</v>
      </c>
      <c r="R3931" s="87">
        <v>1</v>
      </c>
      <c r="S3931" s="87">
        <v>4</v>
      </c>
      <c r="T3931" s="87">
        <v>0</v>
      </c>
      <c r="U3931" s="87">
        <v>0</v>
      </c>
      <c r="V3931" s="87">
        <v>532</v>
      </c>
      <c r="W3931" s="93" t="s">
        <v>5897</v>
      </c>
      <c r="X3931" s="92" t="str">
        <f>HYPERLINK("https://ufrn.br/imprensa/noticias/73067/metropole-parque-abre-inscricoes-para-programas-de-captacao-de-empresas-de-ti")</f>
        <v>https://ufrn.br/imprensa/noticias/73067/metropole-parque-abre-inscricoes-para-programas-de-captacao-de-empresas-de-ti</v>
      </c>
      <c r="Y3931" s="87" t="s">
        <v>8540</v>
      </c>
      <c r="Z3931" s="87"/>
      <c r="AA3931" s="87" t="s">
        <v>11261</v>
      </c>
      <c r="AB3931" s="87" t="s">
        <v>11448</v>
      </c>
      <c r="AC3931" s="93" t="s">
        <v>11457</v>
      </c>
      <c r="AD3931" s="87" t="s">
        <v>11519</v>
      </c>
      <c r="AE3931" s="92" t="str">
        <f>HYPERLINK("https://twitter.com/ufrnbr/status/1686451737593298944")</f>
        <v>https://twitter.com/ufrnbr/status/1686451737593298944</v>
      </c>
      <c r="AF3931" s="90">
        <v>45139.791678240741</v>
      </c>
      <c r="AG3931" s="99">
        <v>45139</v>
      </c>
      <c r="AH3931" s="93" t="s">
        <v>12309</v>
      </c>
      <c r="AI3931" s="87" t="b">
        <v>0</v>
      </c>
      <c r="AJ3931" s="87"/>
      <c r="AK3931" s="87"/>
      <c r="AL3931" s="87"/>
      <c r="AM3931" s="87"/>
      <c r="AN3931" s="87"/>
      <c r="AO3931" s="87"/>
      <c r="AP3931" s="87"/>
      <c r="AQ3931" s="87" t="s">
        <v>18073</v>
      </c>
      <c r="AR3931" s="87"/>
      <c r="AS3931" s="87"/>
      <c r="AT3931" s="87"/>
      <c r="AU3931" s="87"/>
      <c r="AV3931" s="92" t="str">
        <f>HYPERLINK("https://pbs.twimg.com/media/F2dcdNVX0AUcvGb.jpg")</f>
        <v>https://pbs.twimg.com/media/F2dcdNVX0AUcvGb.jpg</v>
      </c>
      <c r="AW3931" s="93" t="s">
        <v>22035</v>
      </c>
      <c r="AX3931" s="93" t="s">
        <v>22035</v>
      </c>
      <c r="AY3931" s="87"/>
      <c r="AZ3931" s="93" t="s">
        <v>22668</v>
      </c>
      <c r="BA3931" s="93" t="s">
        <v>22668</v>
      </c>
      <c r="BB3931" s="93" t="s">
        <v>22668</v>
      </c>
      <c r="BC3931" s="93" t="s">
        <v>22035</v>
      </c>
      <c r="BD3931" s="87">
        <v>80650908</v>
      </c>
      <c r="BE3931" s="87"/>
      <c r="BF3931" s="87"/>
      <c r="BG3931" s="87"/>
      <c r="BH3931" s="87"/>
      <c r="BI3931" s="87"/>
    </row>
    <row r="3932" spans="1:61" x14ac:dyDescent="0.25">
      <c r="A3932" s="63" t="s">
        <v>1437</v>
      </c>
      <c r="B3932" s="63" t="s">
        <v>1437</v>
      </c>
      <c r="C3932" s="64"/>
      <c r="D3932" s="65"/>
      <c r="E3932" s="66"/>
      <c r="F3932" s="67"/>
      <c r="G3932" s="64"/>
      <c r="H3932" s="68"/>
      <c r="I3932" s="69"/>
      <c r="J3932" s="69"/>
      <c r="K3932" s="32"/>
      <c r="L3932" s="76">
        <v>3932</v>
      </c>
      <c r="M3932" s="76"/>
      <c r="N3932" s="71"/>
      <c r="O3932" s="87" t="s">
        <v>179</v>
      </c>
      <c r="P3932" s="90">
        <v>45147.834722222222</v>
      </c>
      <c r="Q3932" s="87" t="s">
        <v>5580</v>
      </c>
      <c r="R3932" s="87">
        <v>1</v>
      </c>
      <c r="S3932" s="87">
        <v>2</v>
      </c>
      <c r="T3932" s="87">
        <v>0</v>
      </c>
      <c r="U3932" s="87">
        <v>0</v>
      </c>
      <c r="V3932" s="87">
        <v>435</v>
      </c>
      <c r="W3932" s="93" t="s">
        <v>5897</v>
      </c>
      <c r="X3932" s="92" t="str">
        <f>HYPERLINK("https://ufrn.br/imprensa/noticias/73377/cejr-realiza-reuniao-anual-de-credenciamento-das-empresas-juniores")</f>
        <v>https://ufrn.br/imprensa/noticias/73377/cejr-realiza-reuniao-anual-de-credenciamento-das-empresas-juniores</v>
      </c>
      <c r="Y3932" s="87" t="s">
        <v>8540</v>
      </c>
      <c r="Z3932" s="87"/>
      <c r="AA3932" s="87" t="s">
        <v>11262</v>
      </c>
      <c r="AB3932" s="87" t="s">
        <v>11448</v>
      </c>
      <c r="AC3932" s="93" t="s">
        <v>11457</v>
      </c>
      <c r="AD3932" s="87" t="s">
        <v>11519</v>
      </c>
      <c r="AE3932" s="92" t="str">
        <f>HYPERLINK("https://twitter.com/ufrnbr/status/1689366437369098243")</f>
        <v>https://twitter.com/ufrnbr/status/1689366437369098243</v>
      </c>
      <c r="AF3932" s="90">
        <v>45147.834722222222</v>
      </c>
      <c r="AG3932" s="99">
        <v>45147</v>
      </c>
      <c r="AH3932" s="93" t="s">
        <v>14986</v>
      </c>
      <c r="AI3932" s="87" t="b">
        <v>0</v>
      </c>
      <c r="AJ3932" s="87"/>
      <c r="AK3932" s="87"/>
      <c r="AL3932" s="87"/>
      <c r="AM3932" s="87"/>
      <c r="AN3932" s="87"/>
      <c r="AO3932" s="87"/>
      <c r="AP3932" s="87"/>
      <c r="AQ3932" s="87" t="s">
        <v>18074</v>
      </c>
      <c r="AR3932" s="87"/>
      <c r="AS3932" s="87"/>
      <c r="AT3932" s="87"/>
      <c r="AU3932" s="87"/>
      <c r="AV3932" s="92" t="str">
        <f>HYPERLINK("https://pbs.twimg.com/media/F3HG2EtXUAA-sJq.jpg")</f>
        <v>https://pbs.twimg.com/media/F3HG2EtXUAA-sJq.jpg</v>
      </c>
      <c r="AW3932" s="93" t="s">
        <v>22036</v>
      </c>
      <c r="AX3932" s="93" t="s">
        <v>22036</v>
      </c>
      <c r="AY3932" s="87"/>
      <c r="AZ3932" s="93" t="s">
        <v>22668</v>
      </c>
      <c r="BA3932" s="93" t="s">
        <v>22668</v>
      </c>
      <c r="BB3932" s="93" t="s">
        <v>22668</v>
      </c>
      <c r="BC3932" s="93" t="s">
        <v>22036</v>
      </c>
      <c r="BD3932" s="87">
        <v>80650908</v>
      </c>
      <c r="BE3932" s="87"/>
      <c r="BF3932" s="87"/>
      <c r="BG3932" s="87"/>
      <c r="BH3932" s="87"/>
      <c r="BI3932" s="87"/>
    </row>
    <row r="3933" spans="1:61" x14ac:dyDescent="0.25">
      <c r="A3933" s="63" t="s">
        <v>1437</v>
      </c>
      <c r="B3933" s="63" t="s">
        <v>1437</v>
      </c>
      <c r="C3933" s="64"/>
      <c r="D3933" s="65"/>
      <c r="E3933" s="66"/>
      <c r="F3933" s="67"/>
      <c r="G3933" s="64"/>
      <c r="H3933" s="68"/>
      <c r="I3933" s="69"/>
      <c r="J3933" s="69"/>
      <c r="K3933" s="32"/>
      <c r="L3933" s="76">
        <v>3933</v>
      </c>
      <c r="M3933" s="76"/>
      <c r="N3933" s="71"/>
      <c r="O3933" s="87" t="s">
        <v>179</v>
      </c>
      <c r="P3933" s="90">
        <v>45159.832291666666</v>
      </c>
      <c r="Q3933" s="87" t="s">
        <v>5581</v>
      </c>
      <c r="R3933" s="87">
        <v>1</v>
      </c>
      <c r="S3933" s="87">
        <v>4</v>
      </c>
      <c r="T3933" s="87">
        <v>0</v>
      </c>
      <c r="U3933" s="87">
        <v>0</v>
      </c>
      <c r="V3933" s="87">
        <v>415</v>
      </c>
      <c r="W3933" s="93" t="s">
        <v>5897</v>
      </c>
      <c r="X3933" s="92" t="str">
        <f>HYPERLINK("https://ufrn.br/imprensa/noticias/73751/empresas-juniores-participam-de-reuniao-anual-de-credenciamento")</f>
        <v>https://ufrn.br/imprensa/noticias/73751/empresas-juniores-participam-de-reuniao-anual-de-credenciamento</v>
      </c>
      <c r="Y3933" s="87" t="s">
        <v>8540</v>
      </c>
      <c r="Z3933" s="87"/>
      <c r="AA3933" s="87" t="s">
        <v>11263</v>
      </c>
      <c r="AB3933" s="87" t="s">
        <v>11448</v>
      </c>
      <c r="AC3933" s="93" t="s">
        <v>11457</v>
      </c>
      <c r="AD3933" s="87" t="s">
        <v>11519</v>
      </c>
      <c r="AE3933" s="92" t="str">
        <f>HYPERLINK("https://twitter.com/ufrnbr/status/1693714211577225581")</f>
        <v>https://twitter.com/ufrnbr/status/1693714211577225581</v>
      </c>
      <c r="AF3933" s="90">
        <v>45159.832291666666</v>
      </c>
      <c r="AG3933" s="99">
        <v>45159</v>
      </c>
      <c r="AH3933" s="93" t="s">
        <v>14444</v>
      </c>
      <c r="AI3933" s="87" t="b">
        <v>0</v>
      </c>
      <c r="AJ3933" s="87"/>
      <c r="AK3933" s="87"/>
      <c r="AL3933" s="87"/>
      <c r="AM3933" s="87"/>
      <c r="AN3933" s="87"/>
      <c r="AO3933" s="87"/>
      <c r="AP3933" s="87"/>
      <c r="AQ3933" s="87" t="s">
        <v>18075</v>
      </c>
      <c r="AR3933" s="87"/>
      <c r="AS3933" s="87"/>
      <c r="AT3933" s="87"/>
      <c r="AU3933" s="87"/>
      <c r="AV3933" s="92" t="str">
        <f>HYPERLINK("https://pbs.twimg.com/media/F4FH8U-WEAA9uhh.jpg")</f>
        <v>https://pbs.twimg.com/media/F4FH8U-WEAA9uhh.jpg</v>
      </c>
      <c r="AW3933" s="93" t="s">
        <v>22037</v>
      </c>
      <c r="AX3933" s="93" t="s">
        <v>22037</v>
      </c>
      <c r="AY3933" s="87"/>
      <c r="AZ3933" s="93" t="s">
        <v>22668</v>
      </c>
      <c r="BA3933" s="93" t="s">
        <v>22668</v>
      </c>
      <c r="BB3933" s="93" t="s">
        <v>22668</v>
      </c>
      <c r="BC3933" s="93" t="s">
        <v>22037</v>
      </c>
      <c r="BD3933" s="87">
        <v>80650908</v>
      </c>
      <c r="BE3933" s="87"/>
      <c r="BF3933" s="87"/>
      <c r="BG3933" s="87"/>
      <c r="BH3933" s="87"/>
      <c r="BI3933" s="87"/>
    </row>
    <row r="3934" spans="1:61" x14ac:dyDescent="0.25">
      <c r="A3934" s="63" t="s">
        <v>1521</v>
      </c>
      <c r="B3934" s="63" t="s">
        <v>1437</v>
      </c>
      <c r="C3934" s="64"/>
      <c r="D3934" s="65"/>
      <c r="E3934" s="66"/>
      <c r="F3934" s="67"/>
      <c r="G3934" s="64"/>
      <c r="H3934" s="68"/>
      <c r="I3934" s="69"/>
      <c r="J3934" s="69"/>
      <c r="K3934" s="32"/>
      <c r="L3934" s="76">
        <v>3934</v>
      </c>
      <c r="M3934" s="76"/>
      <c r="N3934" s="71"/>
      <c r="O3934" s="87" t="s">
        <v>1839</v>
      </c>
      <c r="P3934" s="90">
        <v>45132.740624999999</v>
      </c>
      <c r="Q3934" s="87" t="s">
        <v>5578</v>
      </c>
      <c r="R3934" s="87">
        <v>1</v>
      </c>
      <c r="S3934" s="87">
        <v>1</v>
      </c>
      <c r="T3934" s="87">
        <v>0</v>
      </c>
      <c r="U3934" s="87">
        <v>0</v>
      </c>
      <c r="V3934" s="87">
        <v>92</v>
      </c>
      <c r="W3934" s="93" t="s">
        <v>8155</v>
      </c>
      <c r="X3934" s="92" t="str">
        <f>HYPERLINK("https://www.jfpolitics.com/a-chamada-acumulacao-empreendedora-o-estado-empreendedor-do-novo-neoliberalismo-no-seculo-xxi/")</f>
        <v>https://www.jfpolitics.com/a-chamada-acumulacao-empreendedora-o-estado-empreendedor-do-novo-neoliberalismo-no-seculo-xxi/</v>
      </c>
      <c r="Y3934" s="87" t="s">
        <v>8551</v>
      </c>
      <c r="Z3934" s="87" t="s">
        <v>8626</v>
      </c>
      <c r="AA3934" s="87"/>
      <c r="AB3934" s="87"/>
      <c r="AC3934" s="93" t="s">
        <v>11457</v>
      </c>
      <c r="AD3934" s="87" t="s">
        <v>11519</v>
      </c>
      <c r="AE3934" s="92" t="str">
        <f>HYPERLINK("https://twitter.com/jfpoliticsunite/status/1683896518837665810")</f>
        <v>https://twitter.com/jfpoliticsunite/status/1683896518837665810</v>
      </c>
      <c r="AF3934" s="90">
        <v>45132.740624999999</v>
      </c>
      <c r="AG3934" s="99">
        <v>45132</v>
      </c>
      <c r="AH3934" s="93" t="s">
        <v>14985</v>
      </c>
      <c r="AI3934" s="87" t="b">
        <v>0</v>
      </c>
      <c r="AJ3934" s="87"/>
      <c r="AK3934" s="87"/>
      <c r="AL3934" s="87"/>
      <c r="AM3934" s="87"/>
      <c r="AN3934" s="87"/>
      <c r="AO3934" s="87"/>
      <c r="AP3934" s="87"/>
      <c r="AQ3934" s="87"/>
      <c r="AR3934" s="87"/>
      <c r="AS3934" s="87"/>
      <c r="AT3934" s="87"/>
      <c r="AU3934" s="87"/>
      <c r="AV3934" s="92" t="str">
        <f>HYPERLINK("https://pbs.twimg.com/profile_images/1267276895323914241/p64nDPwC_normal.jpg")</f>
        <v>https://pbs.twimg.com/profile_images/1267276895323914241/p64nDPwC_normal.jpg</v>
      </c>
      <c r="AW3934" s="93" t="s">
        <v>22034</v>
      </c>
      <c r="AX3934" s="93" t="s">
        <v>22034</v>
      </c>
      <c r="AY3934" s="87"/>
      <c r="AZ3934" s="93" t="s">
        <v>22668</v>
      </c>
      <c r="BA3934" s="93" t="s">
        <v>22668</v>
      </c>
      <c r="BB3934" s="93" t="s">
        <v>22668</v>
      </c>
      <c r="BC3934" s="93" t="s">
        <v>22034</v>
      </c>
      <c r="BD3934" s="93" t="s">
        <v>23548</v>
      </c>
      <c r="BE3934" s="87"/>
      <c r="BF3934" s="87"/>
      <c r="BG3934" s="87"/>
      <c r="BH3934" s="87"/>
      <c r="BI3934" s="87"/>
    </row>
    <row r="3935" spans="1:61" x14ac:dyDescent="0.25">
      <c r="A3935" s="63" t="s">
        <v>1521</v>
      </c>
      <c r="B3935" s="63" t="s">
        <v>1830</v>
      </c>
      <c r="C3935" s="64"/>
      <c r="D3935" s="65"/>
      <c r="E3935" s="66"/>
      <c r="F3935" s="67"/>
      <c r="G3935" s="64"/>
      <c r="H3935" s="68"/>
      <c r="I3935" s="69"/>
      <c r="J3935" s="69"/>
      <c r="K3935" s="32"/>
      <c r="L3935" s="76">
        <v>3935</v>
      </c>
      <c r="M3935" s="76"/>
      <c r="N3935" s="71"/>
      <c r="O3935" s="87" t="s">
        <v>1839</v>
      </c>
      <c r="P3935" s="90">
        <v>45132.740624999999</v>
      </c>
      <c r="Q3935" s="87" t="s">
        <v>5578</v>
      </c>
      <c r="R3935" s="87">
        <v>1</v>
      </c>
      <c r="S3935" s="87">
        <v>1</v>
      </c>
      <c r="T3935" s="87">
        <v>0</v>
      </c>
      <c r="U3935" s="87">
        <v>0</v>
      </c>
      <c r="V3935" s="87">
        <v>92</v>
      </c>
      <c r="W3935" s="93" t="s">
        <v>8155</v>
      </c>
      <c r="X3935" s="92" t="str">
        <f>HYPERLINK("https://www.jfpolitics.com/a-chamada-acumulacao-empreendedora-o-estado-empreendedor-do-novo-neoliberalismo-no-seculo-xxi/")</f>
        <v>https://www.jfpolitics.com/a-chamada-acumulacao-empreendedora-o-estado-empreendedor-do-novo-neoliberalismo-no-seculo-xxi/</v>
      </c>
      <c r="Y3935" s="87" t="s">
        <v>8551</v>
      </c>
      <c r="Z3935" s="87" t="s">
        <v>8626</v>
      </c>
      <c r="AA3935" s="87"/>
      <c r="AB3935" s="87"/>
      <c r="AC3935" s="93" t="s">
        <v>11457</v>
      </c>
      <c r="AD3935" s="87" t="s">
        <v>11519</v>
      </c>
      <c r="AE3935" s="92" t="str">
        <f>HYPERLINK("https://twitter.com/jfpoliticsunite/status/1683896518837665810")</f>
        <v>https://twitter.com/jfpoliticsunite/status/1683896518837665810</v>
      </c>
      <c r="AF3935" s="90">
        <v>45132.740624999999</v>
      </c>
      <c r="AG3935" s="99">
        <v>45132</v>
      </c>
      <c r="AH3935" s="93" t="s">
        <v>14985</v>
      </c>
      <c r="AI3935" s="87" t="b">
        <v>0</v>
      </c>
      <c r="AJ3935" s="87"/>
      <c r="AK3935" s="87"/>
      <c r="AL3935" s="87"/>
      <c r="AM3935" s="87"/>
      <c r="AN3935" s="87"/>
      <c r="AO3935" s="87"/>
      <c r="AP3935" s="87"/>
      <c r="AQ3935" s="87"/>
      <c r="AR3935" s="87"/>
      <c r="AS3935" s="87"/>
      <c r="AT3935" s="87"/>
      <c r="AU3935" s="87"/>
      <c r="AV3935" s="92" t="str">
        <f>HYPERLINK("https://pbs.twimg.com/profile_images/1267276895323914241/p64nDPwC_normal.jpg")</f>
        <v>https://pbs.twimg.com/profile_images/1267276895323914241/p64nDPwC_normal.jpg</v>
      </c>
      <c r="AW3935" s="93" t="s">
        <v>22034</v>
      </c>
      <c r="AX3935" s="93" t="s">
        <v>22034</v>
      </c>
      <c r="AY3935" s="87"/>
      <c r="AZ3935" s="93" t="s">
        <v>22668</v>
      </c>
      <c r="BA3935" s="93" t="s">
        <v>22668</v>
      </c>
      <c r="BB3935" s="93" t="s">
        <v>22668</v>
      </c>
      <c r="BC3935" s="93" t="s">
        <v>22034</v>
      </c>
      <c r="BD3935" s="93" t="s">
        <v>23548</v>
      </c>
      <c r="BE3935" s="87"/>
      <c r="BF3935" s="87"/>
      <c r="BG3935" s="87"/>
      <c r="BH3935" s="87"/>
      <c r="BI3935" s="87"/>
    </row>
    <row r="3936" spans="1:61" x14ac:dyDescent="0.25">
      <c r="A3936" s="63" t="s">
        <v>1521</v>
      </c>
      <c r="B3936" s="63" t="s">
        <v>1831</v>
      </c>
      <c r="C3936" s="64"/>
      <c r="D3936" s="65"/>
      <c r="E3936" s="66"/>
      <c r="F3936" s="67"/>
      <c r="G3936" s="64"/>
      <c r="H3936" s="68"/>
      <c r="I3936" s="69"/>
      <c r="J3936" s="69"/>
      <c r="K3936" s="32"/>
      <c r="L3936" s="76">
        <v>3936</v>
      </c>
      <c r="M3936" s="76"/>
      <c r="N3936" s="71"/>
      <c r="O3936" s="87" t="s">
        <v>1839</v>
      </c>
      <c r="P3936" s="90">
        <v>45132.740624999999</v>
      </c>
      <c r="Q3936" s="87" t="s">
        <v>5578</v>
      </c>
      <c r="R3936" s="87">
        <v>1</v>
      </c>
      <c r="S3936" s="87">
        <v>1</v>
      </c>
      <c r="T3936" s="87">
        <v>0</v>
      </c>
      <c r="U3936" s="87">
        <v>0</v>
      </c>
      <c r="V3936" s="87">
        <v>92</v>
      </c>
      <c r="W3936" s="93" t="s">
        <v>8155</v>
      </c>
      <c r="X3936" s="92" t="str">
        <f>HYPERLINK("https://www.jfpolitics.com/a-chamada-acumulacao-empreendedora-o-estado-empreendedor-do-novo-neoliberalismo-no-seculo-xxi/")</f>
        <v>https://www.jfpolitics.com/a-chamada-acumulacao-empreendedora-o-estado-empreendedor-do-novo-neoliberalismo-no-seculo-xxi/</v>
      </c>
      <c r="Y3936" s="87" t="s">
        <v>8551</v>
      </c>
      <c r="Z3936" s="87" t="s">
        <v>8626</v>
      </c>
      <c r="AA3936" s="87"/>
      <c r="AB3936" s="87"/>
      <c r="AC3936" s="93" t="s">
        <v>11457</v>
      </c>
      <c r="AD3936" s="87" t="s">
        <v>11519</v>
      </c>
      <c r="AE3936" s="92" t="str">
        <f>HYPERLINK("https://twitter.com/jfpoliticsunite/status/1683896518837665810")</f>
        <v>https://twitter.com/jfpoliticsunite/status/1683896518837665810</v>
      </c>
      <c r="AF3936" s="90">
        <v>45132.740624999999</v>
      </c>
      <c r="AG3936" s="99">
        <v>45132</v>
      </c>
      <c r="AH3936" s="93" t="s">
        <v>14985</v>
      </c>
      <c r="AI3936" s="87" t="b">
        <v>0</v>
      </c>
      <c r="AJ3936" s="87"/>
      <c r="AK3936" s="87"/>
      <c r="AL3936" s="87"/>
      <c r="AM3936" s="87"/>
      <c r="AN3936" s="87"/>
      <c r="AO3936" s="87"/>
      <c r="AP3936" s="87"/>
      <c r="AQ3936" s="87"/>
      <c r="AR3936" s="87"/>
      <c r="AS3936" s="87"/>
      <c r="AT3936" s="87"/>
      <c r="AU3936" s="87"/>
      <c r="AV3936" s="92" t="str">
        <f>HYPERLINK("https://pbs.twimg.com/profile_images/1267276895323914241/p64nDPwC_normal.jpg")</f>
        <v>https://pbs.twimg.com/profile_images/1267276895323914241/p64nDPwC_normal.jpg</v>
      </c>
      <c r="AW3936" s="93" t="s">
        <v>22034</v>
      </c>
      <c r="AX3936" s="93" t="s">
        <v>22034</v>
      </c>
      <c r="AY3936" s="87"/>
      <c r="AZ3936" s="93" t="s">
        <v>22668</v>
      </c>
      <c r="BA3936" s="93" t="s">
        <v>22668</v>
      </c>
      <c r="BB3936" s="93" t="s">
        <v>22668</v>
      </c>
      <c r="BC3936" s="93" t="s">
        <v>22034</v>
      </c>
      <c r="BD3936" s="93" t="s">
        <v>23548</v>
      </c>
      <c r="BE3936" s="87"/>
      <c r="BF3936" s="87"/>
      <c r="BG3936" s="87"/>
      <c r="BH3936" s="87"/>
      <c r="BI3936" s="87"/>
    </row>
    <row r="3937" spans="1:61" x14ac:dyDescent="0.25">
      <c r="A3937" s="63" t="s">
        <v>1522</v>
      </c>
      <c r="B3937" s="63" t="s">
        <v>1522</v>
      </c>
      <c r="C3937" s="64"/>
      <c r="D3937" s="65"/>
      <c r="E3937" s="66"/>
      <c r="F3937" s="67"/>
      <c r="G3937" s="64"/>
      <c r="H3937" s="68"/>
      <c r="I3937" s="69"/>
      <c r="J3937" s="69"/>
      <c r="K3937" s="32"/>
      <c r="L3937" s="76">
        <v>3937</v>
      </c>
      <c r="M3937" s="76"/>
      <c r="N3937" s="71"/>
      <c r="O3937" s="87" t="s">
        <v>179</v>
      </c>
      <c r="P3937" s="90">
        <v>45153.545370370368</v>
      </c>
      <c r="Q3937" s="87" t="s">
        <v>5582</v>
      </c>
      <c r="R3937" s="87">
        <v>0</v>
      </c>
      <c r="S3937" s="87">
        <v>1</v>
      </c>
      <c r="T3937" s="87">
        <v>0</v>
      </c>
      <c r="U3937" s="87">
        <v>0</v>
      </c>
      <c r="V3937" s="87">
        <v>21</v>
      </c>
      <c r="W3937" s="93" t="s">
        <v>8156</v>
      </c>
      <c r="X3937" s="87"/>
      <c r="Y3937" s="87"/>
      <c r="Z3937" s="87"/>
      <c r="AA3937" s="87" t="s">
        <v>11264</v>
      </c>
      <c r="AB3937" s="87" t="s">
        <v>11447</v>
      </c>
      <c r="AC3937" s="93" t="s">
        <v>11458</v>
      </c>
      <c r="AD3937" s="87" t="s">
        <v>11519</v>
      </c>
      <c r="AE3937" s="92" t="str">
        <f>HYPERLINK("https://twitter.com/carpegiani_adv/status/1691435908933820416")</f>
        <v>https://twitter.com/carpegiani_adv/status/1691435908933820416</v>
      </c>
      <c r="AF3937" s="90">
        <v>45153.545370370368</v>
      </c>
      <c r="AG3937" s="99">
        <v>45153</v>
      </c>
      <c r="AH3937" s="93" t="s">
        <v>14987</v>
      </c>
      <c r="AI3937" s="87" t="b">
        <v>0</v>
      </c>
      <c r="AJ3937" s="87"/>
      <c r="AK3937" s="87"/>
      <c r="AL3937" s="87"/>
      <c r="AM3937" s="87"/>
      <c r="AN3937" s="87"/>
      <c r="AO3937" s="87"/>
      <c r="AP3937" s="87"/>
      <c r="AQ3937" s="87" t="s">
        <v>18076</v>
      </c>
      <c r="AR3937" s="87">
        <v>62600</v>
      </c>
      <c r="AS3937" s="87"/>
      <c r="AT3937" s="87"/>
      <c r="AU3937" s="87"/>
      <c r="AV3937" s="92" t="str">
        <f>HYPERLINK("https://pbs.twimg.com/ext_tw_video_thumb/1691435842106003456/pu/img/pKodqeur40mA4SrY.jpg")</f>
        <v>https://pbs.twimg.com/ext_tw_video_thumb/1691435842106003456/pu/img/pKodqeur40mA4SrY.jpg</v>
      </c>
      <c r="AW3937" s="93" t="s">
        <v>22038</v>
      </c>
      <c r="AX3937" s="93" t="s">
        <v>22038</v>
      </c>
      <c r="AY3937" s="87"/>
      <c r="AZ3937" s="93" t="s">
        <v>22668</v>
      </c>
      <c r="BA3937" s="93" t="s">
        <v>22668</v>
      </c>
      <c r="BB3937" s="93" t="s">
        <v>22668</v>
      </c>
      <c r="BC3937" s="93" t="s">
        <v>22038</v>
      </c>
      <c r="BD3937" s="93" t="s">
        <v>23549</v>
      </c>
      <c r="BE3937" s="87"/>
      <c r="BF3937" s="87"/>
      <c r="BG3937" s="87"/>
      <c r="BH3937" s="87"/>
      <c r="BI3937" s="87"/>
    </row>
    <row r="3938" spans="1:61" x14ac:dyDescent="0.25">
      <c r="A3938" s="63" t="s">
        <v>1523</v>
      </c>
      <c r="B3938" s="63" t="s">
        <v>1523</v>
      </c>
      <c r="C3938" s="64"/>
      <c r="D3938" s="65"/>
      <c r="E3938" s="66"/>
      <c r="F3938" s="67"/>
      <c r="G3938" s="64"/>
      <c r="H3938" s="68"/>
      <c r="I3938" s="69"/>
      <c r="J3938" s="69"/>
      <c r="K3938" s="32"/>
      <c r="L3938" s="76">
        <v>3938</v>
      </c>
      <c r="M3938" s="76"/>
      <c r="N3938" s="71"/>
      <c r="O3938" s="87" t="s">
        <v>179</v>
      </c>
      <c r="P3938" s="90">
        <v>45137.047835648147</v>
      </c>
      <c r="Q3938" s="87" t="s">
        <v>5583</v>
      </c>
      <c r="R3938" s="87">
        <v>0</v>
      </c>
      <c r="S3938" s="87">
        <v>1</v>
      </c>
      <c r="T3938" s="87">
        <v>0</v>
      </c>
      <c r="U3938" s="87">
        <v>0</v>
      </c>
      <c r="V3938" s="87">
        <v>55</v>
      </c>
      <c r="W3938" s="93" t="s">
        <v>8157</v>
      </c>
      <c r="X3938" s="87"/>
      <c r="Y3938" s="87"/>
      <c r="Z3938" s="87"/>
      <c r="AA3938" s="87" t="s">
        <v>11265</v>
      </c>
      <c r="AB3938" s="87" t="s">
        <v>11447</v>
      </c>
      <c r="AC3938" s="93" t="s">
        <v>11458</v>
      </c>
      <c r="AD3938" s="87" t="s">
        <v>11519</v>
      </c>
      <c r="AE3938" s="92" t="str">
        <f>HYPERLINK("https://twitter.com/realizedestinos/status/1685457402143936513")</f>
        <v>https://twitter.com/realizedestinos/status/1685457402143936513</v>
      </c>
      <c r="AF3938" s="90">
        <v>45137.047835648147</v>
      </c>
      <c r="AG3938" s="99">
        <v>45137</v>
      </c>
      <c r="AH3938" s="93" t="s">
        <v>14988</v>
      </c>
      <c r="AI3938" s="87" t="b">
        <v>0</v>
      </c>
      <c r="AJ3938" s="87"/>
      <c r="AK3938" s="87"/>
      <c r="AL3938" s="87"/>
      <c r="AM3938" s="87"/>
      <c r="AN3938" s="87"/>
      <c r="AO3938" s="87"/>
      <c r="AP3938" s="87"/>
      <c r="AQ3938" s="87" t="s">
        <v>18077</v>
      </c>
      <c r="AR3938" s="87">
        <v>4066</v>
      </c>
      <c r="AS3938" s="87"/>
      <c r="AT3938" s="87"/>
      <c r="AU3938" s="87"/>
      <c r="AV3938" s="92" t="str">
        <f>HYPERLINK("https://pbs.twimg.com/amplify_video_thumb/1685457350793039872/img/TeuU3kX0A35IBrT0.jpg")</f>
        <v>https://pbs.twimg.com/amplify_video_thumb/1685457350793039872/img/TeuU3kX0A35IBrT0.jpg</v>
      </c>
      <c r="AW3938" s="93" t="s">
        <v>22039</v>
      </c>
      <c r="AX3938" s="93" t="s">
        <v>22039</v>
      </c>
      <c r="AY3938" s="87"/>
      <c r="AZ3938" s="93" t="s">
        <v>22668</v>
      </c>
      <c r="BA3938" s="93" t="s">
        <v>22668</v>
      </c>
      <c r="BB3938" s="93" t="s">
        <v>22668</v>
      </c>
      <c r="BC3938" s="93" t="s">
        <v>22039</v>
      </c>
      <c r="BD3938" s="93" t="s">
        <v>23550</v>
      </c>
      <c r="BE3938" s="87"/>
      <c r="BF3938" s="87"/>
      <c r="BG3938" s="87"/>
      <c r="BH3938" s="87"/>
      <c r="BI3938" s="87"/>
    </row>
    <row r="3939" spans="1:61" x14ac:dyDescent="0.25">
      <c r="A3939" s="63" t="s">
        <v>1524</v>
      </c>
      <c r="B3939" s="63" t="s">
        <v>1524</v>
      </c>
      <c r="C3939" s="64"/>
      <c r="D3939" s="65"/>
      <c r="E3939" s="66"/>
      <c r="F3939" s="67"/>
      <c r="G3939" s="64"/>
      <c r="H3939" s="68"/>
      <c r="I3939" s="69"/>
      <c r="J3939" s="69"/>
      <c r="K3939" s="32"/>
      <c r="L3939" s="76">
        <v>3939</v>
      </c>
      <c r="M3939" s="76"/>
      <c r="N3939" s="71"/>
      <c r="O3939" s="87" t="s">
        <v>179</v>
      </c>
      <c r="P3939" s="90">
        <v>45126.748611111114</v>
      </c>
      <c r="Q3939" s="87" t="s">
        <v>5584</v>
      </c>
      <c r="R3939" s="87">
        <v>0</v>
      </c>
      <c r="S3939" s="87">
        <v>0</v>
      </c>
      <c r="T3939" s="87">
        <v>0</v>
      </c>
      <c r="U3939" s="87">
        <v>0</v>
      </c>
      <c r="V3939" s="87">
        <v>30</v>
      </c>
      <c r="W3939" s="93" t="s">
        <v>5897</v>
      </c>
      <c r="X3939" s="92" t="str">
        <f>HYPERLINK("https://www.boqnews.com/etc/forum-mulheres-empreendedoras-negras/")</f>
        <v>https://www.boqnews.com/etc/forum-mulheres-empreendedoras-negras/</v>
      </c>
      <c r="Y3939" s="87" t="s">
        <v>8552</v>
      </c>
      <c r="Z3939" s="87"/>
      <c r="AA3939" s="87"/>
      <c r="AB3939" s="87"/>
      <c r="AC3939" s="93" t="s">
        <v>11457</v>
      </c>
      <c r="AD3939" s="87" t="s">
        <v>11519</v>
      </c>
      <c r="AE3939" s="92" t="str">
        <f>HYPERLINK("https://twitter.com/boqnews/status/1681725086355832834")</f>
        <v>https://twitter.com/boqnews/status/1681725086355832834</v>
      </c>
      <c r="AF3939" s="90">
        <v>45126.748611111114</v>
      </c>
      <c r="AG3939" s="99">
        <v>45126</v>
      </c>
      <c r="AH3939" s="93" t="s">
        <v>14989</v>
      </c>
      <c r="AI3939" s="87" t="b">
        <v>0</v>
      </c>
      <c r="AJ3939" s="87"/>
      <c r="AK3939" s="87"/>
      <c r="AL3939" s="87"/>
      <c r="AM3939" s="87"/>
      <c r="AN3939" s="87"/>
      <c r="AO3939" s="87"/>
      <c r="AP3939" s="87"/>
      <c r="AQ3939" s="87"/>
      <c r="AR3939" s="87"/>
      <c r="AS3939" s="87"/>
      <c r="AT3939" s="87"/>
      <c r="AU3939" s="87"/>
      <c r="AV3939" s="92" t="str">
        <f>HYPERLINK("https://pbs.twimg.com/profile_images/2238680074/boqnews_normal.png")</f>
        <v>https://pbs.twimg.com/profile_images/2238680074/boqnews_normal.png</v>
      </c>
      <c r="AW3939" s="93" t="s">
        <v>22040</v>
      </c>
      <c r="AX3939" s="93" t="s">
        <v>22040</v>
      </c>
      <c r="AY3939" s="87"/>
      <c r="AZ3939" s="93" t="s">
        <v>22668</v>
      </c>
      <c r="BA3939" s="93" t="s">
        <v>22668</v>
      </c>
      <c r="BB3939" s="93" t="s">
        <v>22668</v>
      </c>
      <c r="BC3939" s="93" t="s">
        <v>22040</v>
      </c>
      <c r="BD3939" s="87">
        <v>31419983</v>
      </c>
      <c r="BE3939" s="87"/>
      <c r="BF3939" s="87"/>
      <c r="BG3939" s="87"/>
      <c r="BH3939" s="87"/>
      <c r="BI3939" s="87"/>
    </row>
    <row r="3940" spans="1:61" x14ac:dyDescent="0.25">
      <c r="A3940" s="63" t="s">
        <v>1524</v>
      </c>
      <c r="B3940" s="63" t="s">
        <v>1524</v>
      </c>
      <c r="C3940" s="64"/>
      <c r="D3940" s="65"/>
      <c r="E3940" s="66"/>
      <c r="F3940" s="67"/>
      <c r="G3940" s="64"/>
      <c r="H3940" s="68"/>
      <c r="I3940" s="69"/>
      <c r="J3940" s="69"/>
      <c r="K3940" s="32"/>
      <c r="L3940" s="76">
        <v>3940</v>
      </c>
      <c r="M3940" s="76"/>
      <c r="N3940" s="71"/>
      <c r="O3940" s="87" t="s">
        <v>179</v>
      </c>
      <c r="P3940" s="90">
        <v>45131.726388888892</v>
      </c>
      <c r="Q3940" s="87" t="s">
        <v>5584</v>
      </c>
      <c r="R3940" s="87">
        <v>0</v>
      </c>
      <c r="S3940" s="87">
        <v>0</v>
      </c>
      <c r="T3940" s="87">
        <v>0</v>
      </c>
      <c r="U3940" s="87">
        <v>0</v>
      </c>
      <c r="V3940" s="87">
        <v>35</v>
      </c>
      <c r="W3940" s="93" t="s">
        <v>5897</v>
      </c>
      <c r="X3940" s="92" t="str">
        <f>HYPERLINK("https://www.boqnews.com/etc/forum-mulheres-empreendedoras-negras/")</f>
        <v>https://www.boqnews.com/etc/forum-mulheres-empreendedoras-negras/</v>
      </c>
      <c r="Y3940" s="87" t="s">
        <v>8552</v>
      </c>
      <c r="Z3940" s="87"/>
      <c r="AA3940" s="87"/>
      <c r="AB3940" s="87"/>
      <c r="AC3940" s="93" t="s">
        <v>11457</v>
      </c>
      <c r="AD3940" s="87" t="s">
        <v>11519</v>
      </c>
      <c r="AE3940" s="92" t="str">
        <f>HYPERLINK("https://twitter.com/boqnews/status/1683528972787912704")</f>
        <v>https://twitter.com/boqnews/status/1683528972787912704</v>
      </c>
      <c r="AF3940" s="90">
        <v>45131.726388888892</v>
      </c>
      <c r="AG3940" s="99">
        <v>45131</v>
      </c>
      <c r="AH3940" s="93" t="s">
        <v>14990</v>
      </c>
      <c r="AI3940" s="87" t="b">
        <v>0</v>
      </c>
      <c r="AJ3940" s="87"/>
      <c r="AK3940" s="87"/>
      <c r="AL3940" s="87"/>
      <c r="AM3940" s="87"/>
      <c r="AN3940" s="87"/>
      <c r="AO3940" s="87"/>
      <c r="AP3940" s="87"/>
      <c r="AQ3940" s="87"/>
      <c r="AR3940" s="87"/>
      <c r="AS3940" s="87"/>
      <c r="AT3940" s="87"/>
      <c r="AU3940" s="87"/>
      <c r="AV3940" s="92" t="str">
        <f>HYPERLINK("https://pbs.twimg.com/profile_images/2238680074/boqnews_normal.png")</f>
        <v>https://pbs.twimg.com/profile_images/2238680074/boqnews_normal.png</v>
      </c>
      <c r="AW3940" s="93" t="s">
        <v>22041</v>
      </c>
      <c r="AX3940" s="93" t="s">
        <v>22041</v>
      </c>
      <c r="AY3940" s="87"/>
      <c r="AZ3940" s="93" t="s">
        <v>22668</v>
      </c>
      <c r="BA3940" s="93" t="s">
        <v>22668</v>
      </c>
      <c r="BB3940" s="93" t="s">
        <v>22668</v>
      </c>
      <c r="BC3940" s="93" t="s">
        <v>22041</v>
      </c>
      <c r="BD3940" s="87">
        <v>31419983</v>
      </c>
      <c r="BE3940" s="87"/>
      <c r="BF3940" s="87"/>
      <c r="BG3940" s="87"/>
      <c r="BH3940" s="87"/>
      <c r="BI3940" s="87"/>
    </row>
    <row r="3941" spans="1:61" x14ac:dyDescent="0.25">
      <c r="A3941" s="63" t="s">
        <v>1524</v>
      </c>
      <c r="B3941" s="63" t="s">
        <v>1524</v>
      </c>
      <c r="C3941" s="64"/>
      <c r="D3941" s="65"/>
      <c r="E3941" s="66"/>
      <c r="F3941" s="67"/>
      <c r="G3941" s="64"/>
      <c r="H3941" s="68"/>
      <c r="I3941" s="69"/>
      <c r="J3941" s="69"/>
      <c r="K3941" s="32"/>
      <c r="L3941" s="76">
        <v>3941</v>
      </c>
      <c r="M3941" s="76"/>
      <c r="N3941" s="71"/>
      <c r="O3941" s="87" t="s">
        <v>179</v>
      </c>
      <c r="P3941" s="90">
        <v>45167.75</v>
      </c>
      <c r="Q3941" s="87" t="s">
        <v>5585</v>
      </c>
      <c r="R3941" s="87">
        <v>0</v>
      </c>
      <c r="S3941" s="87">
        <v>1</v>
      </c>
      <c r="T3941" s="87">
        <v>0</v>
      </c>
      <c r="U3941" s="87">
        <v>0</v>
      </c>
      <c r="V3941" s="87">
        <v>52</v>
      </c>
      <c r="W3941" s="93" t="s">
        <v>5897</v>
      </c>
      <c r="X3941" s="92" t="str">
        <f>HYPERLINK("https://www.boqnews.com/etc/orquidario-de-santos-promove-oficina-e-exposicao-de-roupas-de-boneca/")</f>
        <v>https://www.boqnews.com/etc/orquidario-de-santos-promove-oficina-e-exposicao-de-roupas-de-boneca/</v>
      </c>
      <c r="Y3941" s="87" t="s">
        <v>8552</v>
      </c>
      <c r="Z3941" s="87"/>
      <c r="AA3941" s="87"/>
      <c r="AB3941" s="87"/>
      <c r="AC3941" s="93" t="s">
        <v>11457</v>
      </c>
      <c r="AD3941" s="87" t="s">
        <v>11519</v>
      </c>
      <c r="AE3941" s="92" t="str">
        <f>HYPERLINK("https://twitter.com/boqnews/status/1696583493134979130")</f>
        <v>https://twitter.com/boqnews/status/1696583493134979130</v>
      </c>
      <c r="AF3941" s="90">
        <v>45167.75</v>
      </c>
      <c r="AG3941" s="99">
        <v>45167</v>
      </c>
      <c r="AH3941" s="93" t="s">
        <v>12129</v>
      </c>
      <c r="AI3941" s="87" t="b">
        <v>0</v>
      </c>
      <c r="AJ3941" s="87"/>
      <c r="AK3941" s="87"/>
      <c r="AL3941" s="87"/>
      <c r="AM3941" s="87"/>
      <c r="AN3941" s="87"/>
      <c r="AO3941" s="87"/>
      <c r="AP3941" s="87"/>
      <c r="AQ3941" s="87"/>
      <c r="AR3941" s="87"/>
      <c r="AS3941" s="87"/>
      <c r="AT3941" s="87"/>
      <c r="AU3941" s="87"/>
      <c r="AV3941" s="92" t="str">
        <f>HYPERLINK("https://pbs.twimg.com/profile_images/2238680074/boqnews_normal.png")</f>
        <v>https://pbs.twimg.com/profile_images/2238680074/boqnews_normal.png</v>
      </c>
      <c r="AW3941" s="93" t="s">
        <v>22042</v>
      </c>
      <c r="AX3941" s="93" t="s">
        <v>22042</v>
      </c>
      <c r="AY3941" s="87"/>
      <c r="AZ3941" s="93" t="s">
        <v>22668</v>
      </c>
      <c r="BA3941" s="93" t="s">
        <v>22668</v>
      </c>
      <c r="BB3941" s="93" t="s">
        <v>22668</v>
      </c>
      <c r="BC3941" s="93" t="s">
        <v>22042</v>
      </c>
      <c r="BD3941" s="87">
        <v>31419983</v>
      </c>
      <c r="BE3941" s="87"/>
      <c r="BF3941" s="87"/>
      <c r="BG3941" s="87"/>
      <c r="BH3941" s="87"/>
      <c r="BI3941" s="87"/>
    </row>
    <row r="3942" spans="1:61" x14ac:dyDescent="0.25">
      <c r="A3942" s="63" t="s">
        <v>1525</v>
      </c>
      <c r="B3942" s="63" t="s">
        <v>1525</v>
      </c>
      <c r="C3942" s="64"/>
      <c r="D3942" s="65"/>
      <c r="E3942" s="66"/>
      <c r="F3942" s="67"/>
      <c r="G3942" s="64"/>
      <c r="H3942" s="68"/>
      <c r="I3942" s="69"/>
      <c r="J3942" s="69"/>
      <c r="K3942" s="32"/>
      <c r="L3942" s="76">
        <v>3942</v>
      </c>
      <c r="M3942" s="76"/>
      <c r="N3942" s="71"/>
      <c r="O3942" s="87" t="s">
        <v>179</v>
      </c>
      <c r="P3942" s="90">
        <v>45142.836446759262</v>
      </c>
      <c r="Q3942" s="87" t="s">
        <v>5586</v>
      </c>
      <c r="R3942" s="87">
        <v>0</v>
      </c>
      <c r="S3942" s="87">
        <v>0</v>
      </c>
      <c r="T3942" s="87">
        <v>0</v>
      </c>
      <c r="U3942" s="87">
        <v>0</v>
      </c>
      <c r="V3942" s="87">
        <v>19</v>
      </c>
      <c r="W3942" s="93" t="s">
        <v>8158</v>
      </c>
      <c r="X3942" s="92" t="str">
        <f>HYPERLINK("https://www.mesorregional.com.br/8a-rodada-de-negocios-da-cdl-conexoes-ampliando-as-possibilidades-de-networking/")</f>
        <v>https://www.mesorregional.com.br/8a-rodada-de-negocios-da-cdl-conexoes-ampliando-as-possibilidades-de-networking/</v>
      </c>
      <c r="Y3942" s="87" t="s">
        <v>8373</v>
      </c>
      <c r="Z3942" s="87"/>
      <c r="AA3942" s="87"/>
      <c r="AB3942" s="87"/>
      <c r="AC3942" s="93" t="s">
        <v>11457</v>
      </c>
      <c r="AD3942" s="87" t="s">
        <v>11519</v>
      </c>
      <c r="AE3942" s="92" t="str">
        <f>HYPERLINK("https://twitter.com/mesorregional/status/1687555122333691904")</f>
        <v>https://twitter.com/mesorregional/status/1687555122333691904</v>
      </c>
      <c r="AF3942" s="90">
        <v>45142.836446759262</v>
      </c>
      <c r="AG3942" s="99">
        <v>45142</v>
      </c>
      <c r="AH3942" s="93" t="s">
        <v>14991</v>
      </c>
      <c r="AI3942" s="87" t="b">
        <v>0</v>
      </c>
      <c r="AJ3942" s="87"/>
      <c r="AK3942" s="87"/>
      <c r="AL3942" s="87"/>
      <c r="AM3942" s="87"/>
      <c r="AN3942" s="87"/>
      <c r="AO3942" s="87"/>
      <c r="AP3942" s="87"/>
      <c r="AQ3942" s="87"/>
      <c r="AR3942" s="87"/>
      <c r="AS3942" s="87"/>
      <c r="AT3942" s="87"/>
      <c r="AU3942" s="87"/>
      <c r="AV3942" s="92" t="str">
        <f>HYPERLINK("https://pbs.twimg.com/profile_images/1329124810719432704/85ZfOeC1_normal.jpg")</f>
        <v>https://pbs.twimg.com/profile_images/1329124810719432704/85ZfOeC1_normal.jpg</v>
      </c>
      <c r="AW3942" s="93" t="s">
        <v>22043</v>
      </c>
      <c r="AX3942" s="93" t="s">
        <v>22043</v>
      </c>
      <c r="AY3942" s="87"/>
      <c r="AZ3942" s="93" t="s">
        <v>22668</v>
      </c>
      <c r="BA3942" s="93" t="s">
        <v>22668</v>
      </c>
      <c r="BB3942" s="93" t="s">
        <v>22668</v>
      </c>
      <c r="BC3942" s="93" t="s">
        <v>22043</v>
      </c>
      <c r="BD3942" s="87">
        <v>2297060792</v>
      </c>
      <c r="BE3942" s="87"/>
      <c r="BF3942" s="87"/>
      <c r="BG3942" s="87"/>
      <c r="BH3942" s="87"/>
      <c r="BI3942" s="87"/>
    </row>
    <row r="3943" spans="1:61" x14ac:dyDescent="0.25">
      <c r="A3943" s="63" t="s">
        <v>1526</v>
      </c>
      <c r="B3943" s="63" t="s">
        <v>1526</v>
      </c>
      <c r="C3943" s="64"/>
      <c r="D3943" s="65"/>
      <c r="E3943" s="66"/>
      <c r="F3943" s="67"/>
      <c r="G3943" s="64"/>
      <c r="H3943" s="68"/>
      <c r="I3943" s="69"/>
      <c r="J3943" s="69"/>
      <c r="K3943" s="32"/>
      <c r="L3943" s="76">
        <v>3943</v>
      </c>
      <c r="M3943" s="76"/>
      <c r="N3943" s="71"/>
      <c r="O3943" s="87" t="s">
        <v>179</v>
      </c>
      <c r="P3943" s="90">
        <v>45163.7580787037</v>
      </c>
      <c r="Q3943" s="87" t="s">
        <v>5587</v>
      </c>
      <c r="R3943" s="87">
        <v>0</v>
      </c>
      <c r="S3943" s="87">
        <v>0</v>
      </c>
      <c r="T3943" s="87">
        <v>0</v>
      </c>
      <c r="U3943" s="87">
        <v>0</v>
      </c>
      <c r="V3943" s="87">
        <v>26</v>
      </c>
      <c r="W3943" s="93" t="s">
        <v>8159</v>
      </c>
      <c r="X3943" s="92" t="str">
        <f>HYPERLINK("https://bancadapsdbrs.blogspot.com/2023/08/emprego-fest-kaka-davila-propoe-evento.html")</f>
        <v>https://bancadapsdbrs.blogspot.com/2023/08/emprego-fest-kaka-davila-propoe-evento.html</v>
      </c>
      <c r="Y3943" s="87" t="s">
        <v>8394</v>
      </c>
      <c r="Z3943" s="87"/>
      <c r="AA3943" s="87"/>
      <c r="AB3943" s="87"/>
      <c r="AC3943" s="93" t="s">
        <v>11457</v>
      </c>
      <c r="AD3943" s="87" t="s">
        <v>11519</v>
      </c>
      <c r="AE3943" s="92" t="str">
        <f>HYPERLINK("https://twitter.com/bancadapsdbrs/status/1695136869082661369")</f>
        <v>https://twitter.com/bancadapsdbrs/status/1695136869082661369</v>
      </c>
      <c r="AF3943" s="90">
        <v>45163.7580787037</v>
      </c>
      <c r="AG3943" s="99">
        <v>45163</v>
      </c>
      <c r="AH3943" s="93" t="s">
        <v>14992</v>
      </c>
      <c r="AI3943" s="87" t="b">
        <v>0</v>
      </c>
      <c r="AJ3943" s="87"/>
      <c r="AK3943" s="87"/>
      <c r="AL3943" s="87"/>
      <c r="AM3943" s="87"/>
      <c r="AN3943" s="87"/>
      <c r="AO3943" s="87"/>
      <c r="AP3943" s="87"/>
      <c r="AQ3943" s="87"/>
      <c r="AR3943" s="87"/>
      <c r="AS3943" s="87"/>
      <c r="AT3943" s="87"/>
      <c r="AU3943" s="87"/>
      <c r="AV3943" s="92" t="str">
        <f>HYPERLINK("https://pbs.twimg.com/profile_images/1696226597999685632/93Q8AEXM_normal.jpg")</f>
        <v>https://pbs.twimg.com/profile_images/1696226597999685632/93Q8AEXM_normal.jpg</v>
      </c>
      <c r="AW3943" s="93" t="s">
        <v>22044</v>
      </c>
      <c r="AX3943" s="93" t="s">
        <v>22044</v>
      </c>
      <c r="AY3943" s="87"/>
      <c r="AZ3943" s="93" t="s">
        <v>22668</v>
      </c>
      <c r="BA3943" s="93" t="s">
        <v>22668</v>
      </c>
      <c r="BB3943" s="93" t="s">
        <v>22668</v>
      </c>
      <c r="BC3943" s="93" t="s">
        <v>22044</v>
      </c>
      <c r="BD3943" s="87">
        <v>432486705</v>
      </c>
      <c r="BE3943" s="87"/>
      <c r="BF3943" s="87"/>
      <c r="BG3943" s="87"/>
      <c r="BH3943" s="87"/>
      <c r="BI3943" s="87"/>
    </row>
    <row r="3944" spans="1:61" x14ac:dyDescent="0.25">
      <c r="A3944" s="63" t="s">
        <v>1527</v>
      </c>
      <c r="B3944" s="63" t="s">
        <v>1527</v>
      </c>
      <c r="C3944" s="64"/>
      <c r="D3944" s="65"/>
      <c r="E3944" s="66"/>
      <c r="F3944" s="67"/>
      <c r="G3944" s="64"/>
      <c r="H3944" s="68"/>
      <c r="I3944" s="69"/>
      <c r="J3944" s="69"/>
      <c r="K3944" s="32"/>
      <c r="L3944" s="76">
        <v>3944</v>
      </c>
      <c r="M3944" s="76"/>
      <c r="N3944" s="71"/>
      <c r="O3944" s="87" t="s">
        <v>179</v>
      </c>
      <c r="P3944" s="90">
        <v>45189.567708333336</v>
      </c>
      <c r="Q3944" s="87" t="s">
        <v>5588</v>
      </c>
      <c r="R3944" s="87">
        <v>0</v>
      </c>
      <c r="S3944" s="87">
        <v>0</v>
      </c>
      <c r="T3944" s="87">
        <v>0</v>
      </c>
      <c r="U3944" s="87">
        <v>0</v>
      </c>
      <c r="V3944" s="87">
        <v>4</v>
      </c>
      <c r="W3944" s="93" t="s">
        <v>8160</v>
      </c>
      <c r="X3944" s="87"/>
      <c r="Y3944" s="87"/>
      <c r="Z3944" s="87"/>
      <c r="AA3944" s="87" t="s">
        <v>11266</v>
      </c>
      <c r="AB3944" s="87" t="s">
        <v>11448</v>
      </c>
      <c r="AC3944" s="93" t="s">
        <v>11457</v>
      </c>
      <c r="AD3944" s="87" t="s">
        <v>11519</v>
      </c>
      <c r="AE3944" s="92" t="str">
        <f>HYPERLINK("https://twitter.com/megatic_pt/status/1704489964572942479")</f>
        <v>https://twitter.com/megatic_pt/status/1704489964572942479</v>
      </c>
      <c r="AF3944" s="90">
        <v>45189.567708333336</v>
      </c>
      <c r="AG3944" s="99">
        <v>45189</v>
      </c>
      <c r="AH3944" s="93" t="s">
        <v>14993</v>
      </c>
      <c r="AI3944" s="87" t="b">
        <v>0</v>
      </c>
      <c r="AJ3944" s="87"/>
      <c r="AK3944" s="87"/>
      <c r="AL3944" s="87"/>
      <c r="AM3944" s="87"/>
      <c r="AN3944" s="87"/>
      <c r="AO3944" s="87"/>
      <c r="AP3944" s="87"/>
      <c r="AQ3944" s="87" t="s">
        <v>18078</v>
      </c>
      <c r="AR3944" s="87"/>
      <c r="AS3944" s="87"/>
      <c r="AT3944" s="87"/>
      <c r="AU3944" s="87"/>
      <c r="AV3944" s="92" t="str">
        <f>HYPERLINK("https://pbs.twimg.com/media/F6eQhmBWIAAVaGm.jpg")</f>
        <v>https://pbs.twimg.com/media/F6eQhmBWIAAVaGm.jpg</v>
      </c>
      <c r="AW3944" s="93" t="s">
        <v>22045</v>
      </c>
      <c r="AX3944" s="93" t="s">
        <v>22045</v>
      </c>
      <c r="AY3944" s="87"/>
      <c r="AZ3944" s="93" t="s">
        <v>22668</v>
      </c>
      <c r="BA3944" s="93" t="s">
        <v>22668</v>
      </c>
      <c r="BB3944" s="93" t="s">
        <v>22668</v>
      </c>
      <c r="BC3944" s="93" t="s">
        <v>22045</v>
      </c>
      <c r="BD3944" s="93" t="s">
        <v>23551</v>
      </c>
      <c r="BE3944" s="87"/>
      <c r="BF3944" s="87"/>
      <c r="BG3944" s="87"/>
      <c r="BH3944" s="87"/>
      <c r="BI3944" s="87"/>
    </row>
    <row r="3945" spans="1:61" x14ac:dyDescent="0.25">
      <c r="A3945" s="63" t="s">
        <v>1528</v>
      </c>
      <c r="B3945" s="63" t="s">
        <v>1528</v>
      </c>
      <c r="C3945" s="64"/>
      <c r="D3945" s="65"/>
      <c r="E3945" s="66"/>
      <c r="F3945" s="67"/>
      <c r="G3945" s="64"/>
      <c r="H3945" s="68"/>
      <c r="I3945" s="69"/>
      <c r="J3945" s="69"/>
      <c r="K3945" s="32"/>
      <c r="L3945" s="76">
        <v>3945</v>
      </c>
      <c r="M3945" s="76"/>
      <c r="N3945" s="71"/>
      <c r="O3945" s="87" t="s">
        <v>179</v>
      </c>
      <c r="P3945" s="90">
        <v>45120.066990740743</v>
      </c>
      <c r="Q3945" s="87" t="s">
        <v>5589</v>
      </c>
      <c r="R3945" s="87">
        <v>0</v>
      </c>
      <c r="S3945" s="87">
        <v>0</v>
      </c>
      <c r="T3945" s="87">
        <v>0</v>
      </c>
      <c r="U3945" s="87">
        <v>0</v>
      </c>
      <c r="V3945" s="87">
        <v>16</v>
      </c>
      <c r="W3945" s="93" t="s">
        <v>8161</v>
      </c>
      <c r="X3945" s="87"/>
      <c r="Y3945" s="87"/>
      <c r="Z3945" s="87"/>
      <c r="AA3945" s="87"/>
      <c r="AB3945" s="87"/>
      <c r="AC3945" s="93" t="s">
        <v>11459</v>
      </c>
      <c r="AD3945" s="87" t="s">
        <v>11519</v>
      </c>
      <c r="AE3945" s="92" t="str">
        <f>HYPERLINK("https://twitter.com/ph_pires/status/1679303748915527681")</f>
        <v>https://twitter.com/ph_pires/status/1679303748915527681</v>
      </c>
      <c r="AF3945" s="90">
        <v>45120.066990740743</v>
      </c>
      <c r="AG3945" s="99">
        <v>45120</v>
      </c>
      <c r="AH3945" s="93" t="s">
        <v>14994</v>
      </c>
      <c r="AI3945" s="87"/>
      <c r="AJ3945" s="87"/>
      <c r="AK3945" s="87"/>
      <c r="AL3945" s="87"/>
      <c r="AM3945" s="87"/>
      <c r="AN3945" s="87"/>
      <c r="AO3945" s="87"/>
      <c r="AP3945" s="87"/>
      <c r="AQ3945" s="87"/>
      <c r="AR3945" s="87"/>
      <c r="AS3945" s="87"/>
      <c r="AT3945" s="87"/>
      <c r="AU3945" s="87"/>
      <c r="AV3945" s="92" t="str">
        <f>HYPERLINK("https://pbs.twimg.com/profile_images/1059235077941587969/JbKzgkUy_normal.jpg")</f>
        <v>https://pbs.twimg.com/profile_images/1059235077941587969/JbKzgkUy_normal.jpg</v>
      </c>
      <c r="AW3945" s="93" t="s">
        <v>22046</v>
      </c>
      <c r="AX3945" s="93" t="s">
        <v>22046</v>
      </c>
      <c r="AY3945" s="87"/>
      <c r="AZ3945" s="93" t="s">
        <v>22668</v>
      </c>
      <c r="BA3945" s="93" t="s">
        <v>22668</v>
      </c>
      <c r="BB3945" s="93" t="s">
        <v>22668</v>
      </c>
      <c r="BC3945" s="93" t="s">
        <v>22046</v>
      </c>
      <c r="BD3945" s="87">
        <v>99003755</v>
      </c>
      <c r="BE3945" s="87"/>
      <c r="BF3945" s="87"/>
      <c r="BG3945" s="87"/>
      <c r="BH3945" s="87"/>
      <c r="BI3945" s="87"/>
    </row>
    <row r="3946" spans="1:61" x14ac:dyDescent="0.25">
      <c r="A3946" s="63" t="s">
        <v>1529</v>
      </c>
      <c r="B3946" s="63" t="s">
        <v>1529</v>
      </c>
      <c r="C3946" s="64"/>
      <c r="D3946" s="65"/>
      <c r="E3946" s="66"/>
      <c r="F3946" s="67"/>
      <c r="G3946" s="64"/>
      <c r="H3946" s="68"/>
      <c r="I3946" s="69"/>
      <c r="J3946" s="69"/>
      <c r="K3946" s="32"/>
      <c r="L3946" s="76">
        <v>3946</v>
      </c>
      <c r="M3946" s="76"/>
      <c r="N3946" s="71"/>
      <c r="O3946" s="87" t="s">
        <v>179</v>
      </c>
      <c r="P3946" s="90">
        <v>45184.969282407408</v>
      </c>
      <c r="Q3946" s="87" t="s">
        <v>5590</v>
      </c>
      <c r="R3946" s="87">
        <v>0</v>
      </c>
      <c r="S3946" s="87">
        <v>1</v>
      </c>
      <c r="T3946" s="87">
        <v>0</v>
      </c>
      <c r="U3946" s="87">
        <v>0</v>
      </c>
      <c r="V3946" s="87">
        <v>217</v>
      </c>
      <c r="W3946" s="93" t="s">
        <v>8162</v>
      </c>
      <c r="X3946" s="87"/>
      <c r="Y3946" s="87"/>
      <c r="Z3946" s="87"/>
      <c r="AA3946" s="87" t="s">
        <v>11267</v>
      </c>
      <c r="AB3946" s="87" t="s">
        <v>11447</v>
      </c>
      <c r="AC3946" s="93" t="s">
        <v>11485</v>
      </c>
      <c r="AD3946" s="87" t="s">
        <v>11519</v>
      </c>
      <c r="AE3946" s="92" t="str">
        <f>HYPERLINK("https://twitter.com/padraojuridico/status/1702823552355914008")</f>
        <v>https://twitter.com/padraojuridico/status/1702823552355914008</v>
      </c>
      <c r="AF3946" s="90">
        <v>45184.969282407408</v>
      </c>
      <c r="AG3946" s="99">
        <v>45184</v>
      </c>
      <c r="AH3946" s="93" t="s">
        <v>14995</v>
      </c>
      <c r="AI3946" s="87" t="b">
        <v>0</v>
      </c>
      <c r="AJ3946" s="87"/>
      <c r="AK3946" s="87"/>
      <c r="AL3946" s="87"/>
      <c r="AM3946" s="87"/>
      <c r="AN3946" s="87"/>
      <c r="AO3946" s="87"/>
      <c r="AP3946" s="87"/>
      <c r="AQ3946" s="87" t="s">
        <v>18079</v>
      </c>
      <c r="AR3946" s="87">
        <v>55660</v>
      </c>
      <c r="AS3946" s="87"/>
      <c r="AT3946" s="87"/>
      <c r="AU3946" s="87"/>
      <c r="AV3946" s="92" t="str">
        <f>HYPERLINK("https://pbs.twimg.com/ext_tw_video_thumb/1702823486996054016/pu/img/urfk3GDTQzQ6lRv3.jpg")</f>
        <v>https://pbs.twimg.com/ext_tw_video_thumb/1702823486996054016/pu/img/urfk3GDTQzQ6lRv3.jpg</v>
      </c>
      <c r="AW3946" s="93" t="s">
        <v>22047</v>
      </c>
      <c r="AX3946" s="93" t="s">
        <v>22047</v>
      </c>
      <c r="AY3946" s="87"/>
      <c r="AZ3946" s="93" t="s">
        <v>22668</v>
      </c>
      <c r="BA3946" s="93" t="s">
        <v>22668</v>
      </c>
      <c r="BB3946" s="93" t="s">
        <v>22668</v>
      </c>
      <c r="BC3946" s="93" t="s">
        <v>22047</v>
      </c>
      <c r="BD3946" s="93" t="s">
        <v>23552</v>
      </c>
      <c r="BE3946" s="87"/>
      <c r="BF3946" s="87"/>
      <c r="BG3946" s="87"/>
      <c r="BH3946" s="87"/>
      <c r="BI3946" s="87"/>
    </row>
    <row r="3947" spans="1:61" x14ac:dyDescent="0.25">
      <c r="A3947" s="63" t="s">
        <v>1529</v>
      </c>
      <c r="B3947" s="63" t="s">
        <v>1529</v>
      </c>
      <c r="C3947" s="64"/>
      <c r="D3947" s="65"/>
      <c r="E3947" s="66"/>
      <c r="F3947" s="67"/>
      <c r="G3947" s="64"/>
      <c r="H3947" s="68"/>
      <c r="I3947" s="69"/>
      <c r="J3947" s="69"/>
      <c r="K3947" s="32"/>
      <c r="L3947" s="76">
        <v>3947</v>
      </c>
      <c r="M3947" s="76"/>
      <c r="N3947" s="71"/>
      <c r="O3947" s="87" t="s">
        <v>179</v>
      </c>
      <c r="P3947" s="90">
        <v>45184.543055555558</v>
      </c>
      <c r="Q3947" s="87" t="s">
        <v>5591</v>
      </c>
      <c r="R3947" s="87">
        <v>0</v>
      </c>
      <c r="S3947" s="87">
        <v>1</v>
      </c>
      <c r="T3947" s="87">
        <v>0</v>
      </c>
      <c r="U3947" s="87">
        <v>0</v>
      </c>
      <c r="V3947" s="87">
        <v>57</v>
      </c>
      <c r="W3947" s="93" t="s">
        <v>8163</v>
      </c>
      <c r="X3947" s="87"/>
      <c r="Y3947" s="87"/>
      <c r="Z3947" s="87"/>
      <c r="AA3947" s="87" t="s">
        <v>11268</v>
      </c>
      <c r="AB3947" s="87" t="s">
        <v>11447</v>
      </c>
      <c r="AC3947" s="93" t="s">
        <v>11485</v>
      </c>
      <c r="AD3947" s="87" t="s">
        <v>11519</v>
      </c>
      <c r="AE3947" s="92" t="str">
        <f>HYPERLINK("https://twitter.com/padraojuridico/status/1702669092769898667")</f>
        <v>https://twitter.com/padraojuridico/status/1702669092769898667</v>
      </c>
      <c r="AF3947" s="90">
        <v>45184.543055555558</v>
      </c>
      <c r="AG3947" s="99">
        <v>45184</v>
      </c>
      <c r="AH3947" s="93" t="s">
        <v>14227</v>
      </c>
      <c r="AI3947" s="87" t="b">
        <v>0</v>
      </c>
      <c r="AJ3947" s="87"/>
      <c r="AK3947" s="87"/>
      <c r="AL3947" s="87"/>
      <c r="AM3947" s="87"/>
      <c r="AN3947" s="87"/>
      <c r="AO3947" s="87"/>
      <c r="AP3947" s="87"/>
      <c r="AQ3947" s="87" t="s">
        <v>18080</v>
      </c>
      <c r="AR3947" s="87">
        <v>78660</v>
      </c>
      <c r="AS3947" s="87"/>
      <c r="AT3947" s="87"/>
      <c r="AU3947" s="87"/>
      <c r="AV3947" s="92" t="str">
        <f>HYPERLINK("https://pbs.twimg.com/ext_tw_video_thumb/1702668744068153344/pu/img/e9Va1dmlH01YzLQJ.jpg")</f>
        <v>https://pbs.twimg.com/ext_tw_video_thumb/1702668744068153344/pu/img/e9Va1dmlH01YzLQJ.jpg</v>
      </c>
      <c r="AW3947" s="93" t="s">
        <v>22048</v>
      </c>
      <c r="AX3947" s="93" t="s">
        <v>22048</v>
      </c>
      <c r="AY3947" s="87"/>
      <c r="AZ3947" s="93" t="s">
        <v>22668</v>
      </c>
      <c r="BA3947" s="93" t="s">
        <v>22668</v>
      </c>
      <c r="BB3947" s="93" t="s">
        <v>22668</v>
      </c>
      <c r="BC3947" s="93" t="s">
        <v>22048</v>
      </c>
      <c r="BD3947" s="93" t="s">
        <v>23552</v>
      </c>
      <c r="BE3947" s="87"/>
      <c r="BF3947" s="87"/>
      <c r="BG3947" s="87"/>
      <c r="BH3947" s="87"/>
      <c r="BI3947" s="87"/>
    </row>
    <row r="3948" spans="1:61" x14ac:dyDescent="0.25">
      <c r="A3948" s="63" t="s">
        <v>1530</v>
      </c>
      <c r="B3948" s="63" t="s">
        <v>1530</v>
      </c>
      <c r="C3948" s="64"/>
      <c r="D3948" s="65"/>
      <c r="E3948" s="66"/>
      <c r="F3948" s="67"/>
      <c r="G3948" s="64"/>
      <c r="H3948" s="68"/>
      <c r="I3948" s="69"/>
      <c r="J3948" s="69"/>
      <c r="K3948" s="32"/>
      <c r="L3948" s="76">
        <v>3948</v>
      </c>
      <c r="M3948" s="76"/>
      <c r="N3948" s="71"/>
      <c r="O3948" s="87" t="s">
        <v>179</v>
      </c>
      <c r="P3948" s="90">
        <v>45183.919027777774</v>
      </c>
      <c r="Q3948" s="87" t="s">
        <v>5592</v>
      </c>
      <c r="R3948" s="87">
        <v>0</v>
      </c>
      <c r="S3948" s="87">
        <v>0</v>
      </c>
      <c r="T3948" s="87">
        <v>0</v>
      </c>
      <c r="U3948" s="87">
        <v>0</v>
      </c>
      <c r="V3948" s="87">
        <v>29</v>
      </c>
      <c r="W3948" s="93" t="s">
        <v>1737</v>
      </c>
      <c r="X3948" s="92" t="str">
        <f>HYPERLINK("https://www.instagram.com/reel/CxL7kUxPQxP/?igshid=MzRlODBiNWFlZA==")</f>
        <v>https://www.instagram.com/reel/CxL7kUxPQxP/?igshid=MzRlODBiNWFlZA==</v>
      </c>
      <c r="Y3948" s="87" t="s">
        <v>8383</v>
      </c>
      <c r="Z3948" s="87"/>
      <c r="AA3948" s="87"/>
      <c r="AB3948" s="87"/>
      <c r="AC3948" s="93" t="s">
        <v>11458</v>
      </c>
      <c r="AD3948" s="87" t="s">
        <v>11519</v>
      </c>
      <c r="AE3948" s="92" t="str">
        <f>HYPERLINK("https://twitter.com/naadademais_/status/1702442951303905750")</f>
        <v>https://twitter.com/naadademais_/status/1702442951303905750</v>
      </c>
      <c r="AF3948" s="90">
        <v>45183.919027777774</v>
      </c>
      <c r="AG3948" s="99">
        <v>45183</v>
      </c>
      <c r="AH3948" s="93" t="s">
        <v>14996</v>
      </c>
      <c r="AI3948" s="87" t="b">
        <v>0</v>
      </c>
      <c r="AJ3948" s="87"/>
      <c r="AK3948" s="87"/>
      <c r="AL3948" s="87"/>
      <c r="AM3948" s="87"/>
      <c r="AN3948" s="87"/>
      <c r="AO3948" s="87"/>
      <c r="AP3948" s="87"/>
      <c r="AQ3948" s="87"/>
      <c r="AR3948" s="87"/>
      <c r="AS3948" s="87"/>
      <c r="AT3948" s="87"/>
      <c r="AU3948" s="87"/>
      <c r="AV3948" s="92" t="str">
        <f>HYPERLINK("https://pbs.twimg.com/profile_images/1705345879186550784/q28lP8UC_normal.jpg")</f>
        <v>https://pbs.twimg.com/profile_images/1705345879186550784/q28lP8UC_normal.jpg</v>
      </c>
      <c r="AW3948" s="93" t="s">
        <v>22049</v>
      </c>
      <c r="AX3948" s="93" t="s">
        <v>22049</v>
      </c>
      <c r="AY3948" s="87"/>
      <c r="AZ3948" s="93" t="s">
        <v>22668</v>
      </c>
      <c r="BA3948" s="93" t="s">
        <v>22668</v>
      </c>
      <c r="BB3948" s="93" t="s">
        <v>22668</v>
      </c>
      <c r="BC3948" s="93" t="s">
        <v>22049</v>
      </c>
      <c r="BD3948" s="93" t="s">
        <v>23553</v>
      </c>
      <c r="BE3948" s="87"/>
      <c r="BF3948" s="87"/>
      <c r="BG3948" s="87"/>
      <c r="BH3948" s="87"/>
      <c r="BI3948" s="87"/>
    </row>
    <row r="3949" spans="1:61" x14ac:dyDescent="0.25">
      <c r="A3949" s="63" t="s">
        <v>1530</v>
      </c>
      <c r="B3949" s="63" t="s">
        <v>1530</v>
      </c>
      <c r="C3949" s="64"/>
      <c r="D3949" s="65"/>
      <c r="E3949" s="66"/>
      <c r="F3949" s="67"/>
      <c r="G3949" s="64"/>
      <c r="H3949" s="68"/>
      <c r="I3949" s="69"/>
      <c r="J3949" s="69"/>
      <c r="K3949" s="32"/>
      <c r="L3949" s="76">
        <v>3949</v>
      </c>
      <c r="M3949" s="76"/>
      <c r="N3949" s="71"/>
      <c r="O3949" s="87" t="s">
        <v>179</v>
      </c>
      <c r="P3949" s="90">
        <v>45193.724895833337</v>
      </c>
      <c r="Q3949" s="87" t="s">
        <v>5593</v>
      </c>
      <c r="R3949" s="87">
        <v>0</v>
      </c>
      <c r="S3949" s="87">
        <v>0</v>
      </c>
      <c r="T3949" s="87">
        <v>0</v>
      </c>
      <c r="U3949" s="87">
        <v>0</v>
      </c>
      <c r="V3949" s="87">
        <v>24</v>
      </c>
      <c r="W3949" s="93" t="s">
        <v>8164</v>
      </c>
      <c r="X3949" s="92" t="str">
        <f>HYPERLINK("https://open.spotify.com/intl-pt/track/7f1UEGMBMuXfLBP5XANfrW?si=14d03c109eaf4375")</f>
        <v>https://open.spotify.com/intl-pt/track/7f1UEGMBMuXfLBP5XANfrW?si=14d03c109eaf4375</v>
      </c>
      <c r="Y3949" s="87" t="s">
        <v>8544</v>
      </c>
      <c r="Z3949" s="87"/>
      <c r="AA3949" s="87"/>
      <c r="AB3949" s="87"/>
      <c r="AC3949" s="93" t="s">
        <v>11457</v>
      </c>
      <c r="AD3949" s="87" t="s">
        <v>11519</v>
      </c>
      <c r="AE3949" s="92" t="str">
        <f>HYPERLINK("https://twitter.com/naadademais_/status/1705996482556428513")</f>
        <v>https://twitter.com/naadademais_/status/1705996482556428513</v>
      </c>
      <c r="AF3949" s="90">
        <v>45193.724895833337</v>
      </c>
      <c r="AG3949" s="99">
        <v>45193</v>
      </c>
      <c r="AH3949" s="93" t="s">
        <v>14997</v>
      </c>
      <c r="AI3949" s="87" t="b">
        <v>0</v>
      </c>
      <c r="AJ3949" s="87"/>
      <c r="AK3949" s="87"/>
      <c r="AL3949" s="87"/>
      <c r="AM3949" s="87"/>
      <c r="AN3949" s="87"/>
      <c r="AO3949" s="87"/>
      <c r="AP3949" s="87"/>
      <c r="AQ3949" s="87"/>
      <c r="AR3949" s="87"/>
      <c r="AS3949" s="87"/>
      <c r="AT3949" s="87"/>
      <c r="AU3949" s="87"/>
      <c r="AV3949" s="92" t="str">
        <f>HYPERLINK("https://pbs.twimg.com/profile_images/1705345879186550784/q28lP8UC_normal.jpg")</f>
        <v>https://pbs.twimg.com/profile_images/1705345879186550784/q28lP8UC_normal.jpg</v>
      </c>
      <c r="AW3949" s="93" t="s">
        <v>22050</v>
      </c>
      <c r="AX3949" s="93" t="s">
        <v>22050</v>
      </c>
      <c r="AY3949" s="87"/>
      <c r="AZ3949" s="93" t="s">
        <v>22668</v>
      </c>
      <c r="BA3949" s="93" t="s">
        <v>22668</v>
      </c>
      <c r="BB3949" s="93" t="s">
        <v>22668</v>
      </c>
      <c r="BC3949" s="93" t="s">
        <v>22050</v>
      </c>
      <c r="BD3949" s="93" t="s">
        <v>23553</v>
      </c>
      <c r="BE3949" s="87"/>
      <c r="BF3949" s="87"/>
      <c r="BG3949" s="87"/>
      <c r="BH3949" s="87"/>
      <c r="BI3949" s="87"/>
    </row>
    <row r="3950" spans="1:61" x14ac:dyDescent="0.25">
      <c r="A3950" s="63" t="s">
        <v>1531</v>
      </c>
      <c r="B3950" s="63" t="s">
        <v>1531</v>
      </c>
      <c r="C3950" s="64"/>
      <c r="D3950" s="65"/>
      <c r="E3950" s="66"/>
      <c r="F3950" s="67"/>
      <c r="G3950" s="64"/>
      <c r="H3950" s="68"/>
      <c r="I3950" s="69"/>
      <c r="J3950" s="69"/>
      <c r="K3950" s="32"/>
      <c r="L3950" s="76">
        <v>3950</v>
      </c>
      <c r="M3950" s="76"/>
      <c r="N3950" s="71"/>
      <c r="O3950" s="87" t="s">
        <v>179</v>
      </c>
      <c r="P3950" s="90">
        <v>45125.991898148146</v>
      </c>
      <c r="Q3950" s="87" t="s">
        <v>5594</v>
      </c>
      <c r="R3950" s="87">
        <v>0</v>
      </c>
      <c r="S3950" s="87">
        <v>0</v>
      </c>
      <c r="T3950" s="87">
        <v>0</v>
      </c>
      <c r="U3950" s="87">
        <v>0</v>
      </c>
      <c r="V3950" s="87">
        <v>18</v>
      </c>
      <c r="W3950" s="93" t="s">
        <v>8165</v>
      </c>
      <c r="X3950" s="92" t="str">
        <f>HYPERLINK("https://youtube.com/shorts/g48brnwZVF0")</f>
        <v>https://youtube.com/shorts/g48brnwZVF0</v>
      </c>
      <c r="Y3950" s="87" t="s">
        <v>8380</v>
      </c>
      <c r="Z3950" s="87"/>
      <c r="AA3950" s="87" t="s">
        <v>11269</v>
      </c>
      <c r="AB3950" s="87" t="s">
        <v>11447</v>
      </c>
      <c r="AC3950" s="93" t="s">
        <v>11457</v>
      </c>
      <c r="AD3950" s="87" t="s">
        <v>11519</v>
      </c>
      <c r="AE3950" s="92" t="str">
        <f>HYPERLINK("https://twitter.com/hyperdrivebr/status/1681450865620656128")</f>
        <v>https://twitter.com/hyperdrivebr/status/1681450865620656128</v>
      </c>
      <c r="AF3950" s="90">
        <v>45125.991898148146</v>
      </c>
      <c r="AG3950" s="99">
        <v>45125</v>
      </c>
      <c r="AH3950" s="93" t="s">
        <v>14998</v>
      </c>
      <c r="AI3950" s="87" t="b">
        <v>0</v>
      </c>
      <c r="AJ3950" s="87"/>
      <c r="AK3950" s="87"/>
      <c r="AL3950" s="87"/>
      <c r="AM3950" s="87"/>
      <c r="AN3950" s="87"/>
      <c r="AO3950" s="87"/>
      <c r="AP3950" s="87"/>
      <c r="AQ3950" s="87" t="s">
        <v>18081</v>
      </c>
      <c r="AR3950" s="87">
        <v>58235</v>
      </c>
      <c r="AS3950" s="87"/>
      <c r="AT3950" s="87"/>
      <c r="AU3950" s="87"/>
      <c r="AV3950" s="92" t="str">
        <f>HYPERLINK("https://pbs.twimg.com/ext_tw_video_thumb/1681450721508577280/pu/img/e2CENHVQjZ8kvlo8.jpg")</f>
        <v>https://pbs.twimg.com/ext_tw_video_thumb/1681450721508577280/pu/img/e2CENHVQjZ8kvlo8.jpg</v>
      </c>
      <c r="AW3950" s="93" t="s">
        <v>22051</v>
      </c>
      <c r="AX3950" s="93" t="s">
        <v>22051</v>
      </c>
      <c r="AY3950" s="87"/>
      <c r="AZ3950" s="93" t="s">
        <v>22668</v>
      </c>
      <c r="BA3950" s="93" t="s">
        <v>22668</v>
      </c>
      <c r="BB3950" s="93" t="s">
        <v>22668</v>
      </c>
      <c r="BC3950" s="93" t="s">
        <v>22051</v>
      </c>
      <c r="BD3950" s="93" t="s">
        <v>23554</v>
      </c>
      <c r="BE3950" s="87"/>
      <c r="BF3950" s="87"/>
      <c r="BG3950" s="87"/>
      <c r="BH3950" s="87"/>
      <c r="BI3950" s="87"/>
    </row>
    <row r="3951" spans="1:61" x14ac:dyDescent="0.25">
      <c r="A3951" s="63" t="s">
        <v>1532</v>
      </c>
      <c r="B3951" s="63" t="s">
        <v>1832</v>
      </c>
      <c r="C3951" s="64"/>
      <c r="D3951" s="65"/>
      <c r="E3951" s="66"/>
      <c r="F3951" s="67"/>
      <c r="G3951" s="64"/>
      <c r="H3951" s="68"/>
      <c r="I3951" s="69"/>
      <c r="J3951" s="69"/>
      <c r="K3951" s="32"/>
      <c r="L3951" s="76">
        <v>3951</v>
      </c>
      <c r="M3951" s="76"/>
      <c r="N3951" s="71"/>
      <c r="O3951" s="87" t="s">
        <v>1839</v>
      </c>
      <c r="P3951" s="90">
        <v>45188.660011574073</v>
      </c>
      <c r="Q3951" s="87" t="s">
        <v>5595</v>
      </c>
      <c r="R3951" s="87">
        <v>0</v>
      </c>
      <c r="S3951" s="87">
        <v>0</v>
      </c>
      <c r="T3951" s="87">
        <v>0</v>
      </c>
      <c r="U3951" s="87">
        <v>0</v>
      </c>
      <c r="V3951" s="87">
        <v>28</v>
      </c>
      <c r="W3951" s="93" t="s">
        <v>8166</v>
      </c>
      <c r="X3951" s="92" t="str">
        <f>HYPERLINK("https://www.instagram.com/reel/CxYK1Hcrac2/?igshid=MTc4MmM1YmI2Ng==")</f>
        <v>https://www.instagram.com/reel/CxYK1Hcrac2/?igshid=MTc4MmM1YmI2Ng==</v>
      </c>
      <c r="Y3951" s="87" t="s">
        <v>8383</v>
      </c>
      <c r="Z3951" s="87" t="s">
        <v>1832</v>
      </c>
      <c r="AA3951" s="87"/>
      <c r="AB3951" s="87"/>
      <c r="AC3951" s="93" t="s">
        <v>11458</v>
      </c>
      <c r="AD3951" s="87" t="s">
        <v>11519</v>
      </c>
      <c r="AE3951" s="92" t="str">
        <f>HYPERLINK("https://twitter.com/irapuabeltrao/status/1704161027758125403")</f>
        <v>https://twitter.com/irapuabeltrao/status/1704161027758125403</v>
      </c>
      <c r="AF3951" s="90">
        <v>45188.660011574073</v>
      </c>
      <c r="AG3951" s="99">
        <v>45188</v>
      </c>
      <c r="AH3951" s="93" t="s">
        <v>12623</v>
      </c>
      <c r="AI3951" s="87" t="b">
        <v>0</v>
      </c>
      <c r="AJ3951" s="87"/>
      <c r="AK3951" s="87"/>
      <c r="AL3951" s="87"/>
      <c r="AM3951" s="87"/>
      <c r="AN3951" s="87"/>
      <c r="AO3951" s="87"/>
      <c r="AP3951" s="87"/>
      <c r="AQ3951" s="87"/>
      <c r="AR3951" s="87"/>
      <c r="AS3951" s="87"/>
      <c r="AT3951" s="87"/>
      <c r="AU3951" s="87"/>
      <c r="AV3951" s="92" t="str">
        <f>HYPERLINK("https://pbs.twimg.com/profile_images/1004352390106177536/6ZAbshF5_normal.jpg")</f>
        <v>https://pbs.twimg.com/profile_images/1004352390106177536/6ZAbshF5_normal.jpg</v>
      </c>
      <c r="AW3951" s="93" t="s">
        <v>22052</v>
      </c>
      <c r="AX3951" s="93" t="s">
        <v>22052</v>
      </c>
      <c r="AY3951" s="87"/>
      <c r="AZ3951" s="93" t="s">
        <v>22668</v>
      </c>
      <c r="BA3951" s="93" t="s">
        <v>22668</v>
      </c>
      <c r="BB3951" s="93" t="s">
        <v>22668</v>
      </c>
      <c r="BC3951" s="93" t="s">
        <v>22052</v>
      </c>
      <c r="BD3951" s="87">
        <v>306999332</v>
      </c>
      <c r="BE3951" s="87"/>
      <c r="BF3951" s="87"/>
      <c r="BG3951" s="87"/>
      <c r="BH3951" s="87"/>
      <c r="BI3951" s="87"/>
    </row>
    <row r="3952" spans="1:61" x14ac:dyDescent="0.25">
      <c r="A3952" s="63" t="s">
        <v>1533</v>
      </c>
      <c r="B3952" s="63" t="s">
        <v>1533</v>
      </c>
      <c r="C3952" s="64"/>
      <c r="D3952" s="65"/>
      <c r="E3952" s="66"/>
      <c r="F3952" s="67"/>
      <c r="G3952" s="64"/>
      <c r="H3952" s="68"/>
      <c r="I3952" s="69"/>
      <c r="J3952" s="69"/>
      <c r="K3952" s="32"/>
      <c r="L3952" s="76">
        <v>3952</v>
      </c>
      <c r="M3952" s="76"/>
      <c r="N3952" s="71"/>
      <c r="O3952" s="87" t="s">
        <v>179</v>
      </c>
      <c r="P3952" s="90">
        <v>45152.84814814815</v>
      </c>
      <c r="Q3952" s="87" t="s">
        <v>5596</v>
      </c>
      <c r="R3952" s="87">
        <v>0</v>
      </c>
      <c r="S3952" s="87">
        <v>0</v>
      </c>
      <c r="T3952" s="87">
        <v>0</v>
      </c>
      <c r="U3952" s="87">
        <v>0</v>
      </c>
      <c r="V3952" s="87">
        <v>27</v>
      </c>
      <c r="W3952" s="93" t="s">
        <v>5897</v>
      </c>
      <c r="X3952" s="92" t="str">
        <f>HYPERLINK("https://instagram.com/stories/habitech.fit/3169420399198964817?utm_source=ig_story_item_share&amp;igshid=MTc4MmM1YmI2Ng==")</f>
        <v>https://instagram.com/stories/habitech.fit/3169420399198964817?utm_source=ig_story_item_share&amp;igshid=MTc4MmM1YmI2Ng==</v>
      </c>
      <c r="Y3952" s="87" t="s">
        <v>8383</v>
      </c>
      <c r="Z3952" s="87"/>
      <c r="AA3952" s="87"/>
      <c r="AB3952" s="87"/>
      <c r="AC3952" s="93" t="s">
        <v>11459</v>
      </c>
      <c r="AD3952" s="87" t="s">
        <v>11520</v>
      </c>
      <c r="AE3952" s="92" t="str">
        <f>HYPERLINK("https://twitter.com/dua80rte/status/1691183243222007808")</f>
        <v>https://twitter.com/dua80rte/status/1691183243222007808</v>
      </c>
      <c r="AF3952" s="90">
        <v>45152.84814814815</v>
      </c>
      <c r="AG3952" s="99">
        <v>45152</v>
      </c>
      <c r="AH3952" s="93" t="s">
        <v>14999</v>
      </c>
      <c r="AI3952" s="87" t="b">
        <v>0</v>
      </c>
      <c r="AJ3952" s="87"/>
      <c r="AK3952" s="87"/>
      <c r="AL3952" s="87"/>
      <c r="AM3952" s="87"/>
      <c r="AN3952" s="87"/>
      <c r="AO3952" s="87"/>
      <c r="AP3952" s="87"/>
      <c r="AQ3952" s="87"/>
      <c r="AR3952" s="87"/>
      <c r="AS3952" s="87"/>
      <c r="AT3952" s="87"/>
      <c r="AU3952" s="87"/>
      <c r="AV3952" s="92" t="str">
        <f>HYPERLINK("https://pbs.twimg.com/profile_images/1647218213472595970/VIB9BJRu_normal.jpg")</f>
        <v>https://pbs.twimg.com/profile_images/1647218213472595970/VIB9BJRu_normal.jpg</v>
      </c>
      <c r="AW3952" s="93" t="s">
        <v>22053</v>
      </c>
      <c r="AX3952" s="93" t="s">
        <v>22053</v>
      </c>
      <c r="AY3952" s="87"/>
      <c r="AZ3952" s="93" t="s">
        <v>22668</v>
      </c>
      <c r="BA3952" s="93" t="s">
        <v>22668</v>
      </c>
      <c r="BB3952" s="93" t="s">
        <v>22668</v>
      </c>
      <c r="BC3952" s="93" t="s">
        <v>22053</v>
      </c>
      <c r="BD3952" s="87">
        <v>92088399</v>
      </c>
      <c r="BE3952" s="87"/>
      <c r="BF3952" s="87"/>
      <c r="BG3952" s="87"/>
      <c r="BH3952" s="87"/>
      <c r="BI3952" s="87"/>
    </row>
    <row r="3953" spans="1:61" x14ac:dyDescent="0.25">
      <c r="A3953" s="63" t="s">
        <v>1534</v>
      </c>
      <c r="B3953" s="63" t="s">
        <v>1833</v>
      </c>
      <c r="C3953" s="64"/>
      <c r="D3953" s="65"/>
      <c r="E3953" s="66"/>
      <c r="F3953" s="67"/>
      <c r="G3953" s="64"/>
      <c r="H3953" s="68"/>
      <c r="I3953" s="69"/>
      <c r="J3953" s="69"/>
      <c r="K3953" s="32"/>
      <c r="L3953" s="76">
        <v>3953</v>
      </c>
      <c r="M3953" s="76"/>
      <c r="N3953" s="71"/>
      <c r="O3953" s="87" t="s">
        <v>1839</v>
      </c>
      <c r="P3953" s="90">
        <v>45185.011157407411</v>
      </c>
      <c r="Q3953" s="87" t="s">
        <v>5597</v>
      </c>
      <c r="R3953" s="87">
        <v>0</v>
      </c>
      <c r="S3953" s="87">
        <v>2</v>
      </c>
      <c r="T3953" s="87">
        <v>0</v>
      </c>
      <c r="U3953" s="87">
        <v>0</v>
      </c>
      <c r="V3953" s="87">
        <v>107</v>
      </c>
      <c r="W3953" s="93" t="s">
        <v>8167</v>
      </c>
      <c r="X3953" s="87"/>
      <c r="Y3953" s="87"/>
      <c r="Z3953" s="87" t="s">
        <v>1833</v>
      </c>
      <c r="AA3953" s="87" t="s">
        <v>11270</v>
      </c>
      <c r="AB3953" s="87" t="s">
        <v>11456</v>
      </c>
      <c r="AC3953" s="93" t="s">
        <v>11459</v>
      </c>
      <c r="AD3953" s="87" t="s">
        <v>11519</v>
      </c>
      <c r="AE3953" s="92" t="str">
        <f>HYPERLINK("https://twitter.com/karytonn/status/1702838729340047610")</f>
        <v>https://twitter.com/karytonn/status/1702838729340047610</v>
      </c>
      <c r="AF3953" s="90">
        <v>45185.011157407411</v>
      </c>
      <c r="AG3953" s="99">
        <v>45185</v>
      </c>
      <c r="AH3953" s="93" t="s">
        <v>15000</v>
      </c>
      <c r="AI3953" s="87" t="b">
        <v>0</v>
      </c>
      <c r="AJ3953" s="87" t="s">
        <v>15209</v>
      </c>
      <c r="AK3953" s="87" t="s">
        <v>15234</v>
      </c>
      <c r="AL3953" s="87" t="s">
        <v>15237</v>
      </c>
      <c r="AM3953" s="87" t="s">
        <v>15280</v>
      </c>
      <c r="AN3953" s="87" t="s">
        <v>15347</v>
      </c>
      <c r="AO3953" s="87" t="s">
        <v>15412</v>
      </c>
      <c r="AP3953" s="87" t="s">
        <v>15437</v>
      </c>
      <c r="AQ3953" s="87" t="s">
        <v>18082</v>
      </c>
      <c r="AR3953" s="87">
        <v>19114</v>
      </c>
      <c r="AS3953" s="87"/>
      <c r="AT3953" s="87"/>
      <c r="AU3953" s="87"/>
      <c r="AV3953" s="92" t="str">
        <f>HYPERLINK("https://pbs.twimg.com/media/F6Gys8oWYAAO36i.jpg")</f>
        <v>https://pbs.twimg.com/media/F6Gys8oWYAAO36i.jpg</v>
      </c>
      <c r="AW3953" s="93" t="s">
        <v>22054</v>
      </c>
      <c r="AX3953" s="93" t="s">
        <v>22054</v>
      </c>
      <c r="AY3953" s="87"/>
      <c r="AZ3953" s="93" t="s">
        <v>22668</v>
      </c>
      <c r="BA3953" s="93" t="s">
        <v>22668</v>
      </c>
      <c r="BB3953" s="93" t="s">
        <v>22668</v>
      </c>
      <c r="BC3953" s="93" t="s">
        <v>22054</v>
      </c>
      <c r="BD3953" s="87">
        <v>617150536</v>
      </c>
      <c r="BE3953" s="87"/>
      <c r="BF3953" s="87"/>
      <c r="BG3953" s="87"/>
      <c r="BH3953" s="87"/>
      <c r="BI3953" s="87"/>
    </row>
    <row r="3954" spans="1:61" x14ac:dyDescent="0.25">
      <c r="A3954" s="63" t="s">
        <v>1534</v>
      </c>
      <c r="B3954" s="63" t="s">
        <v>1534</v>
      </c>
      <c r="C3954" s="64"/>
      <c r="D3954" s="65"/>
      <c r="E3954" s="66"/>
      <c r="F3954" s="67"/>
      <c r="G3954" s="64"/>
      <c r="H3954" s="68"/>
      <c r="I3954" s="69"/>
      <c r="J3954" s="69"/>
      <c r="K3954" s="32"/>
      <c r="L3954" s="76">
        <v>3954</v>
      </c>
      <c r="M3954" s="76"/>
      <c r="N3954" s="71"/>
      <c r="O3954" s="87" t="s">
        <v>179</v>
      </c>
      <c r="P3954" s="90">
        <v>45179.622777777775</v>
      </c>
      <c r="Q3954" s="87" t="s">
        <v>5598</v>
      </c>
      <c r="R3954" s="87">
        <v>0</v>
      </c>
      <c r="S3954" s="87">
        <v>3</v>
      </c>
      <c r="T3954" s="87">
        <v>0</v>
      </c>
      <c r="U3954" s="87">
        <v>0</v>
      </c>
      <c r="V3954" s="87">
        <v>77</v>
      </c>
      <c r="W3954" s="93" t="s">
        <v>8168</v>
      </c>
      <c r="X3954" s="87"/>
      <c r="Y3954" s="87"/>
      <c r="Z3954" s="87"/>
      <c r="AA3954" s="87" t="s">
        <v>11271</v>
      </c>
      <c r="AB3954" s="87" t="s">
        <v>11448</v>
      </c>
      <c r="AC3954" s="93" t="s">
        <v>11459</v>
      </c>
      <c r="AD3954" s="87" t="s">
        <v>11519</v>
      </c>
      <c r="AE3954" s="92" t="str">
        <f>HYPERLINK("https://twitter.com/karytonn/status/1700886045754069480")</f>
        <v>https://twitter.com/karytonn/status/1700886045754069480</v>
      </c>
      <c r="AF3954" s="90">
        <v>45179.622777777775</v>
      </c>
      <c r="AG3954" s="99">
        <v>45179</v>
      </c>
      <c r="AH3954" s="93" t="s">
        <v>15001</v>
      </c>
      <c r="AI3954" s="87" t="b">
        <v>0</v>
      </c>
      <c r="AJ3954" s="87"/>
      <c r="AK3954" s="87"/>
      <c r="AL3954" s="87"/>
      <c r="AM3954" s="87"/>
      <c r="AN3954" s="87"/>
      <c r="AO3954" s="87"/>
      <c r="AP3954" s="87"/>
      <c r="AQ3954" s="87" t="s">
        <v>18083</v>
      </c>
      <c r="AR3954" s="87"/>
      <c r="AS3954" s="87"/>
      <c r="AT3954" s="87"/>
      <c r="AU3954" s="87"/>
      <c r="AV3954" s="92" t="str">
        <f>HYPERLINK("https://pbs.twimg.com/media/F5rC2DzXwAApd_r.jpg")</f>
        <v>https://pbs.twimg.com/media/F5rC2DzXwAApd_r.jpg</v>
      </c>
      <c r="AW3954" s="93" t="s">
        <v>22055</v>
      </c>
      <c r="AX3954" s="93" t="s">
        <v>22055</v>
      </c>
      <c r="AY3954" s="87"/>
      <c r="AZ3954" s="93" t="s">
        <v>22668</v>
      </c>
      <c r="BA3954" s="93" t="s">
        <v>22668</v>
      </c>
      <c r="BB3954" s="93" t="s">
        <v>22668</v>
      </c>
      <c r="BC3954" s="93" t="s">
        <v>22055</v>
      </c>
      <c r="BD3954" s="87">
        <v>617150536</v>
      </c>
      <c r="BE3954" s="87"/>
      <c r="BF3954" s="87"/>
      <c r="BG3954" s="87"/>
      <c r="BH3954" s="87"/>
      <c r="BI3954" s="87"/>
    </row>
    <row r="3955" spans="1:61" x14ac:dyDescent="0.25">
      <c r="A3955" s="63" t="s">
        <v>1535</v>
      </c>
      <c r="B3955" s="63" t="s">
        <v>1535</v>
      </c>
      <c r="C3955" s="64"/>
      <c r="D3955" s="65"/>
      <c r="E3955" s="66"/>
      <c r="F3955" s="67"/>
      <c r="G3955" s="64"/>
      <c r="H3955" s="68"/>
      <c r="I3955" s="69"/>
      <c r="J3955" s="69"/>
      <c r="K3955" s="32"/>
      <c r="L3955" s="76">
        <v>3955</v>
      </c>
      <c r="M3955" s="76"/>
      <c r="N3955" s="71"/>
      <c r="O3955" s="87" t="s">
        <v>179</v>
      </c>
      <c r="P3955" s="90">
        <v>45115.721550925926</v>
      </c>
      <c r="Q3955" s="87" t="s">
        <v>5599</v>
      </c>
      <c r="R3955" s="87">
        <v>0</v>
      </c>
      <c r="S3955" s="87">
        <v>0</v>
      </c>
      <c r="T3955" s="87">
        <v>0</v>
      </c>
      <c r="U3955" s="87">
        <v>0</v>
      </c>
      <c r="V3955" s="87">
        <v>11</v>
      </c>
      <c r="W3955" s="93" t="s">
        <v>8169</v>
      </c>
      <c r="X3955" s="87"/>
      <c r="Y3955" s="87"/>
      <c r="Z3955" s="87"/>
      <c r="AA3955" s="87" t="s">
        <v>11272</v>
      </c>
      <c r="AB3955" s="87" t="s">
        <v>11447</v>
      </c>
      <c r="AC3955" s="93" t="s">
        <v>11458</v>
      </c>
      <c r="AD3955" s="87" t="s">
        <v>11519</v>
      </c>
      <c r="AE3955" s="92" t="str">
        <f>HYPERLINK("https://twitter.com/renatapereiraa7/status/1677729015904313345")</f>
        <v>https://twitter.com/renatapereiraa7/status/1677729015904313345</v>
      </c>
      <c r="AF3955" s="90">
        <v>45115.721550925926</v>
      </c>
      <c r="AG3955" s="99">
        <v>45115</v>
      </c>
      <c r="AH3955" s="93" t="s">
        <v>15002</v>
      </c>
      <c r="AI3955" s="87" t="b">
        <v>0</v>
      </c>
      <c r="AJ3955" s="87"/>
      <c r="AK3955" s="87"/>
      <c r="AL3955" s="87"/>
      <c r="AM3955" s="87"/>
      <c r="AN3955" s="87"/>
      <c r="AO3955" s="87"/>
      <c r="AP3955" s="87"/>
      <c r="AQ3955" s="87" t="s">
        <v>18084</v>
      </c>
      <c r="AR3955" s="87">
        <v>5000</v>
      </c>
      <c r="AS3955" s="87"/>
      <c r="AT3955" s="87"/>
      <c r="AU3955" s="87"/>
      <c r="AV3955" s="92" t="str">
        <f>HYPERLINK("https://pbs.twimg.com/ext_tw_video_thumb/1677728991786967040/pu/img/7QyR5nqEuASECcsH.jpg")</f>
        <v>https://pbs.twimg.com/ext_tw_video_thumb/1677728991786967040/pu/img/7QyR5nqEuASECcsH.jpg</v>
      </c>
      <c r="AW3955" s="93" t="s">
        <v>22056</v>
      </c>
      <c r="AX3955" s="93" t="s">
        <v>22056</v>
      </c>
      <c r="AY3955" s="87"/>
      <c r="AZ3955" s="93" t="s">
        <v>22668</v>
      </c>
      <c r="BA3955" s="93" t="s">
        <v>22668</v>
      </c>
      <c r="BB3955" s="93" t="s">
        <v>22668</v>
      </c>
      <c r="BC3955" s="93" t="s">
        <v>22056</v>
      </c>
      <c r="BD3955" s="93" t="s">
        <v>23555</v>
      </c>
      <c r="BE3955" s="87"/>
      <c r="BF3955" s="87"/>
      <c r="BG3955" s="87"/>
      <c r="BH3955" s="87"/>
      <c r="BI3955" s="87"/>
    </row>
    <row r="3956" spans="1:61" x14ac:dyDescent="0.25">
      <c r="A3956" s="63" t="s">
        <v>1535</v>
      </c>
      <c r="B3956" s="63" t="s">
        <v>1535</v>
      </c>
      <c r="C3956" s="64"/>
      <c r="D3956" s="65"/>
      <c r="E3956" s="66"/>
      <c r="F3956" s="67"/>
      <c r="G3956" s="64"/>
      <c r="H3956" s="68"/>
      <c r="I3956" s="69"/>
      <c r="J3956" s="69"/>
      <c r="K3956" s="32"/>
      <c r="L3956" s="76">
        <v>3956</v>
      </c>
      <c r="M3956" s="76"/>
      <c r="N3956" s="71"/>
      <c r="O3956" s="87" t="s">
        <v>179</v>
      </c>
      <c r="P3956" s="90">
        <v>45112.893449074072</v>
      </c>
      <c r="Q3956" s="87" t="s">
        <v>5600</v>
      </c>
      <c r="R3956" s="87">
        <v>0</v>
      </c>
      <c r="S3956" s="87">
        <v>0</v>
      </c>
      <c r="T3956" s="87">
        <v>0</v>
      </c>
      <c r="U3956" s="87">
        <v>0</v>
      </c>
      <c r="V3956" s="87">
        <v>10</v>
      </c>
      <c r="W3956" s="93" t="s">
        <v>8170</v>
      </c>
      <c r="X3956" s="87"/>
      <c r="Y3956" s="87"/>
      <c r="Z3956" s="87"/>
      <c r="AA3956" s="87"/>
      <c r="AB3956" s="87"/>
      <c r="AC3956" s="93" t="s">
        <v>11458</v>
      </c>
      <c r="AD3956" s="87" t="s">
        <v>11519</v>
      </c>
      <c r="AE3956" s="92" t="str">
        <f>HYPERLINK("https://twitter.com/renatapereiraa7/status/1676704146412412928")</f>
        <v>https://twitter.com/renatapereiraa7/status/1676704146412412928</v>
      </c>
      <c r="AF3956" s="90">
        <v>45112.893449074072</v>
      </c>
      <c r="AG3956" s="99">
        <v>45112</v>
      </c>
      <c r="AH3956" s="93" t="s">
        <v>15003</v>
      </c>
      <c r="AI3956" s="87"/>
      <c r="AJ3956" s="87"/>
      <c r="AK3956" s="87"/>
      <c r="AL3956" s="87"/>
      <c r="AM3956" s="87"/>
      <c r="AN3956" s="87"/>
      <c r="AO3956" s="87"/>
      <c r="AP3956" s="87"/>
      <c r="AQ3956" s="87"/>
      <c r="AR3956" s="87"/>
      <c r="AS3956" s="87"/>
      <c r="AT3956" s="87"/>
      <c r="AU3956" s="87"/>
      <c r="AV3956" s="92" t="str">
        <f>HYPERLINK("https://pbs.twimg.com/profile_images/1495366264176492546/mqlW4uci_normal.jpg")</f>
        <v>https://pbs.twimg.com/profile_images/1495366264176492546/mqlW4uci_normal.jpg</v>
      </c>
      <c r="AW3956" s="93" t="s">
        <v>22057</v>
      </c>
      <c r="AX3956" s="93" t="s">
        <v>22057</v>
      </c>
      <c r="AY3956" s="87"/>
      <c r="AZ3956" s="93" t="s">
        <v>22668</v>
      </c>
      <c r="BA3956" s="93" t="s">
        <v>22668</v>
      </c>
      <c r="BB3956" s="93" t="s">
        <v>22668</v>
      </c>
      <c r="BC3956" s="93" t="s">
        <v>22057</v>
      </c>
      <c r="BD3956" s="93" t="s">
        <v>23555</v>
      </c>
      <c r="BE3956" s="87"/>
      <c r="BF3956" s="87"/>
      <c r="BG3956" s="87"/>
      <c r="BH3956" s="87"/>
      <c r="BI3956" s="87"/>
    </row>
    <row r="3957" spans="1:61" x14ac:dyDescent="0.25">
      <c r="A3957" s="63" t="s">
        <v>1536</v>
      </c>
      <c r="B3957" s="63" t="s">
        <v>1536</v>
      </c>
      <c r="C3957" s="64"/>
      <c r="D3957" s="65"/>
      <c r="E3957" s="66"/>
      <c r="F3957" s="67"/>
      <c r="G3957" s="64"/>
      <c r="H3957" s="68"/>
      <c r="I3957" s="69"/>
      <c r="J3957" s="69"/>
      <c r="K3957" s="32"/>
      <c r="L3957" s="76">
        <v>3957</v>
      </c>
      <c r="M3957" s="76"/>
      <c r="N3957" s="71"/>
      <c r="O3957" s="87" t="s">
        <v>179</v>
      </c>
      <c r="P3957" s="90">
        <v>45146.798761574071</v>
      </c>
      <c r="Q3957" s="87" t="s">
        <v>5601</v>
      </c>
      <c r="R3957" s="87">
        <v>0</v>
      </c>
      <c r="S3957" s="87">
        <v>0</v>
      </c>
      <c r="T3957" s="87">
        <v>0</v>
      </c>
      <c r="U3957" s="87">
        <v>0</v>
      </c>
      <c r="V3957" s="87">
        <v>13</v>
      </c>
      <c r="W3957" s="93" t="s">
        <v>8171</v>
      </c>
      <c r="X3957" s="87"/>
      <c r="Y3957" s="87"/>
      <c r="Z3957" s="87"/>
      <c r="AA3957" s="87" t="s">
        <v>11273</v>
      </c>
      <c r="AB3957" s="87" t="s">
        <v>11448</v>
      </c>
      <c r="AC3957" s="93" t="s">
        <v>11462</v>
      </c>
      <c r="AD3957" s="87" t="s">
        <v>11519</v>
      </c>
      <c r="AE3957" s="92" t="str">
        <f>HYPERLINK("https://twitter.com/drimendes_ofc/status/1688991019587469313")</f>
        <v>https://twitter.com/drimendes_ofc/status/1688991019587469313</v>
      </c>
      <c r="AF3957" s="90">
        <v>45146.798761574071</v>
      </c>
      <c r="AG3957" s="99">
        <v>45146</v>
      </c>
      <c r="AH3957" s="93" t="s">
        <v>15004</v>
      </c>
      <c r="AI3957" s="87" t="b">
        <v>0</v>
      </c>
      <c r="AJ3957" s="87"/>
      <c r="AK3957" s="87"/>
      <c r="AL3957" s="87"/>
      <c r="AM3957" s="87"/>
      <c r="AN3957" s="87"/>
      <c r="AO3957" s="87"/>
      <c r="AP3957" s="87"/>
      <c r="AQ3957" s="87" t="s">
        <v>18085</v>
      </c>
      <c r="AR3957" s="87"/>
      <c r="AS3957" s="87"/>
      <c r="AT3957" s="87"/>
      <c r="AU3957" s="87"/>
      <c r="AV3957" s="92" t="str">
        <f>HYPERLINK("https://pbs.twimg.com/media/F3CAYazWEAAfsAF.jpg")</f>
        <v>https://pbs.twimg.com/media/F3CAYazWEAAfsAF.jpg</v>
      </c>
      <c r="AW3957" s="93" t="s">
        <v>22058</v>
      </c>
      <c r="AX3957" s="93" t="s">
        <v>22058</v>
      </c>
      <c r="AY3957" s="87"/>
      <c r="AZ3957" s="93" t="s">
        <v>22668</v>
      </c>
      <c r="BA3957" s="93" t="s">
        <v>22668</v>
      </c>
      <c r="BB3957" s="93" t="s">
        <v>22668</v>
      </c>
      <c r="BC3957" s="93" t="s">
        <v>22058</v>
      </c>
      <c r="BD3957" s="93" t="s">
        <v>23556</v>
      </c>
      <c r="BE3957" s="87"/>
      <c r="BF3957" s="87"/>
      <c r="BG3957" s="87"/>
      <c r="BH3957" s="87"/>
      <c r="BI3957" s="87"/>
    </row>
    <row r="3958" spans="1:61" x14ac:dyDescent="0.25">
      <c r="A3958" s="63" t="s">
        <v>1537</v>
      </c>
      <c r="B3958" s="63" t="s">
        <v>1633</v>
      </c>
      <c r="C3958" s="64"/>
      <c r="D3958" s="65"/>
      <c r="E3958" s="66"/>
      <c r="F3958" s="67"/>
      <c r="G3958" s="64"/>
      <c r="H3958" s="68"/>
      <c r="I3958" s="69"/>
      <c r="J3958" s="69"/>
      <c r="K3958" s="32"/>
      <c r="L3958" s="76">
        <v>3958</v>
      </c>
      <c r="M3958" s="76"/>
      <c r="N3958" s="71"/>
      <c r="O3958" s="87" t="s">
        <v>1839</v>
      </c>
      <c r="P3958" s="90">
        <v>45196.47179398148</v>
      </c>
      <c r="Q3958" s="87" t="s">
        <v>5602</v>
      </c>
      <c r="R3958" s="87">
        <v>1</v>
      </c>
      <c r="S3958" s="87">
        <v>1</v>
      </c>
      <c r="T3958" s="87">
        <v>0</v>
      </c>
      <c r="U3958" s="87">
        <v>0</v>
      </c>
      <c r="V3958" s="87">
        <v>3</v>
      </c>
      <c r="W3958" s="93" t="s">
        <v>8172</v>
      </c>
      <c r="X3958" s="92" t="str">
        <f>HYPERLINK("https://inovatechy.com/analise-de-produto-servidor-torre-dell-poweredge-t150/")</f>
        <v>https://inovatechy.com/analise-de-produto-servidor-torre-dell-poweredge-t150/</v>
      </c>
      <c r="Y3958" s="87" t="s">
        <v>8553</v>
      </c>
      <c r="Z3958" s="87" t="s">
        <v>8627</v>
      </c>
      <c r="AA3958" s="87"/>
      <c r="AB3958" s="87"/>
      <c r="AC3958" s="93" t="s">
        <v>11457</v>
      </c>
      <c r="AD3958" s="87" t="s">
        <v>11523</v>
      </c>
      <c r="AE3958" s="92" t="str">
        <f>HYPERLINK("https://twitter.com/inovatechy/status/1706991922693157350")</f>
        <v>https://twitter.com/inovatechy/status/1706991922693157350</v>
      </c>
      <c r="AF3958" s="90">
        <v>45196.47179398148</v>
      </c>
      <c r="AG3958" s="99">
        <v>45196</v>
      </c>
      <c r="AH3958" s="93" t="s">
        <v>15005</v>
      </c>
      <c r="AI3958" s="87" t="b">
        <v>0</v>
      </c>
      <c r="AJ3958" s="87"/>
      <c r="AK3958" s="87"/>
      <c r="AL3958" s="87"/>
      <c r="AM3958" s="87"/>
      <c r="AN3958" s="87"/>
      <c r="AO3958" s="87"/>
      <c r="AP3958" s="87"/>
      <c r="AQ3958" s="87"/>
      <c r="AR3958" s="87"/>
      <c r="AS3958" s="87"/>
      <c r="AT3958" s="87"/>
      <c r="AU3958" s="87"/>
      <c r="AV3958" s="92" t="str">
        <f>HYPERLINK("https://pbs.twimg.com/profile_images/1705048697518575616/k7rMk5BZ_normal.png")</f>
        <v>https://pbs.twimg.com/profile_images/1705048697518575616/k7rMk5BZ_normal.png</v>
      </c>
      <c r="AW3958" s="93" t="s">
        <v>22059</v>
      </c>
      <c r="AX3958" s="93" t="s">
        <v>22059</v>
      </c>
      <c r="AY3958" s="87"/>
      <c r="AZ3958" s="93" t="s">
        <v>22668</v>
      </c>
      <c r="BA3958" s="93" t="s">
        <v>22668</v>
      </c>
      <c r="BB3958" s="93" t="s">
        <v>22668</v>
      </c>
      <c r="BC3958" s="93" t="s">
        <v>22059</v>
      </c>
      <c r="BD3958" s="93" t="s">
        <v>23557</v>
      </c>
      <c r="BE3958" s="87"/>
      <c r="BF3958" s="87"/>
      <c r="BG3958" s="87"/>
      <c r="BH3958" s="87"/>
      <c r="BI3958" s="87"/>
    </row>
    <row r="3959" spans="1:61" x14ac:dyDescent="0.25">
      <c r="A3959" s="63" t="s">
        <v>1537</v>
      </c>
      <c r="B3959" s="63" t="s">
        <v>1634</v>
      </c>
      <c r="C3959" s="64"/>
      <c r="D3959" s="65"/>
      <c r="E3959" s="66"/>
      <c r="F3959" s="67"/>
      <c r="G3959" s="64"/>
      <c r="H3959" s="68"/>
      <c r="I3959" s="69"/>
      <c r="J3959" s="69"/>
      <c r="K3959" s="32"/>
      <c r="L3959" s="76">
        <v>3959</v>
      </c>
      <c r="M3959" s="76"/>
      <c r="N3959" s="71"/>
      <c r="O3959" s="87" t="s">
        <v>1839</v>
      </c>
      <c r="P3959" s="90">
        <v>45196.47179398148</v>
      </c>
      <c r="Q3959" s="87" t="s">
        <v>5602</v>
      </c>
      <c r="R3959" s="87">
        <v>1</v>
      </c>
      <c r="S3959" s="87">
        <v>1</v>
      </c>
      <c r="T3959" s="87">
        <v>0</v>
      </c>
      <c r="U3959" s="87">
        <v>0</v>
      </c>
      <c r="V3959" s="87">
        <v>3</v>
      </c>
      <c r="W3959" s="93" t="s">
        <v>8172</v>
      </c>
      <c r="X3959" s="92" t="str">
        <f>HYPERLINK("https://inovatechy.com/analise-de-produto-servidor-torre-dell-poweredge-t150/")</f>
        <v>https://inovatechy.com/analise-de-produto-servidor-torre-dell-poweredge-t150/</v>
      </c>
      <c r="Y3959" s="87" t="s">
        <v>8553</v>
      </c>
      <c r="Z3959" s="87" t="s">
        <v>8627</v>
      </c>
      <c r="AA3959" s="87"/>
      <c r="AB3959" s="87"/>
      <c r="AC3959" s="93" t="s">
        <v>11457</v>
      </c>
      <c r="AD3959" s="87" t="s">
        <v>11523</v>
      </c>
      <c r="AE3959" s="92" t="str">
        <f>HYPERLINK("https://twitter.com/inovatechy/status/1706991922693157350")</f>
        <v>https://twitter.com/inovatechy/status/1706991922693157350</v>
      </c>
      <c r="AF3959" s="90">
        <v>45196.47179398148</v>
      </c>
      <c r="AG3959" s="99">
        <v>45196</v>
      </c>
      <c r="AH3959" s="93" t="s">
        <v>15005</v>
      </c>
      <c r="AI3959" s="87" t="b">
        <v>0</v>
      </c>
      <c r="AJ3959" s="87"/>
      <c r="AK3959" s="87"/>
      <c r="AL3959" s="87"/>
      <c r="AM3959" s="87"/>
      <c r="AN3959" s="87"/>
      <c r="AO3959" s="87"/>
      <c r="AP3959" s="87"/>
      <c r="AQ3959" s="87"/>
      <c r="AR3959" s="87"/>
      <c r="AS3959" s="87"/>
      <c r="AT3959" s="87"/>
      <c r="AU3959" s="87"/>
      <c r="AV3959" s="92" t="str">
        <f>HYPERLINK("https://pbs.twimg.com/profile_images/1705048697518575616/k7rMk5BZ_normal.png")</f>
        <v>https://pbs.twimg.com/profile_images/1705048697518575616/k7rMk5BZ_normal.png</v>
      </c>
      <c r="AW3959" s="93" t="s">
        <v>22059</v>
      </c>
      <c r="AX3959" s="93" t="s">
        <v>22059</v>
      </c>
      <c r="AY3959" s="87"/>
      <c r="AZ3959" s="93" t="s">
        <v>22668</v>
      </c>
      <c r="BA3959" s="93" t="s">
        <v>22668</v>
      </c>
      <c r="BB3959" s="93" t="s">
        <v>22668</v>
      </c>
      <c r="BC3959" s="93" t="s">
        <v>22059</v>
      </c>
      <c r="BD3959" s="93" t="s">
        <v>23557</v>
      </c>
      <c r="BE3959" s="87"/>
      <c r="BF3959" s="87"/>
      <c r="BG3959" s="87"/>
      <c r="BH3959" s="87"/>
      <c r="BI3959" s="87"/>
    </row>
    <row r="3960" spans="1:61" x14ac:dyDescent="0.25">
      <c r="A3960" s="63" t="s">
        <v>1537</v>
      </c>
      <c r="B3960" s="63" t="s">
        <v>1834</v>
      </c>
      <c r="C3960" s="64"/>
      <c r="D3960" s="65"/>
      <c r="E3960" s="66"/>
      <c r="F3960" s="67"/>
      <c r="G3960" s="64"/>
      <c r="H3960" s="68"/>
      <c r="I3960" s="69"/>
      <c r="J3960" s="69"/>
      <c r="K3960" s="32"/>
      <c r="L3960" s="76">
        <v>3960</v>
      </c>
      <c r="M3960" s="76"/>
      <c r="N3960" s="71"/>
      <c r="O3960" s="87" t="s">
        <v>1839</v>
      </c>
      <c r="P3960" s="90">
        <v>45196.5237037037</v>
      </c>
      <c r="Q3960" s="87" t="s">
        <v>5603</v>
      </c>
      <c r="R3960" s="87">
        <v>2</v>
      </c>
      <c r="S3960" s="87">
        <v>2</v>
      </c>
      <c r="T3960" s="87">
        <v>0</v>
      </c>
      <c r="U3960" s="87">
        <v>0</v>
      </c>
      <c r="V3960" s="87">
        <v>4</v>
      </c>
      <c r="W3960" s="93" t="s">
        <v>8173</v>
      </c>
      <c r="X3960" s="92" t="str">
        <f>HYPERLINK("https://inovatechy.com/o-onlyoffice-docspace-transformando-a-colaboracao-empresarial/")</f>
        <v>https://inovatechy.com/o-onlyoffice-docspace-transformando-a-colaboracao-empresarial/</v>
      </c>
      <c r="Y3960" s="87" t="s">
        <v>8553</v>
      </c>
      <c r="Z3960" s="87" t="s">
        <v>1834</v>
      </c>
      <c r="AA3960" s="87"/>
      <c r="AB3960" s="87"/>
      <c r="AC3960" s="93" t="s">
        <v>11457</v>
      </c>
      <c r="AD3960" s="87" t="s">
        <v>11519</v>
      </c>
      <c r="AE3960" s="92" t="str">
        <f>HYPERLINK("https://twitter.com/inovatechy/status/1707010733312036991")</f>
        <v>https://twitter.com/inovatechy/status/1707010733312036991</v>
      </c>
      <c r="AF3960" s="90">
        <v>45196.5237037037</v>
      </c>
      <c r="AG3960" s="99">
        <v>45196</v>
      </c>
      <c r="AH3960" s="93" t="s">
        <v>15006</v>
      </c>
      <c r="AI3960" s="87" t="b">
        <v>0</v>
      </c>
      <c r="AJ3960" s="87"/>
      <c r="AK3960" s="87"/>
      <c r="AL3960" s="87"/>
      <c r="AM3960" s="87"/>
      <c r="AN3960" s="87"/>
      <c r="AO3960" s="87"/>
      <c r="AP3960" s="87"/>
      <c r="AQ3960" s="87"/>
      <c r="AR3960" s="87"/>
      <c r="AS3960" s="87"/>
      <c r="AT3960" s="87"/>
      <c r="AU3960" s="87"/>
      <c r="AV3960" s="92" t="str">
        <f>HYPERLINK("https://pbs.twimg.com/profile_images/1705048697518575616/k7rMk5BZ_normal.png")</f>
        <v>https://pbs.twimg.com/profile_images/1705048697518575616/k7rMk5BZ_normal.png</v>
      </c>
      <c r="AW3960" s="93" t="s">
        <v>22060</v>
      </c>
      <c r="AX3960" s="93" t="s">
        <v>22060</v>
      </c>
      <c r="AY3960" s="87"/>
      <c r="AZ3960" s="93" t="s">
        <v>22668</v>
      </c>
      <c r="BA3960" s="93" t="s">
        <v>22668</v>
      </c>
      <c r="BB3960" s="93" t="s">
        <v>22668</v>
      </c>
      <c r="BC3960" s="93" t="s">
        <v>22060</v>
      </c>
      <c r="BD3960" s="93" t="s">
        <v>23557</v>
      </c>
      <c r="BE3960" s="87"/>
      <c r="BF3960" s="87"/>
      <c r="BG3960" s="87"/>
      <c r="BH3960" s="87"/>
      <c r="BI3960" s="87"/>
    </row>
    <row r="3961" spans="1:61" x14ac:dyDescent="0.25">
      <c r="A3961" s="63" t="s">
        <v>1538</v>
      </c>
      <c r="B3961" s="63" t="s">
        <v>1538</v>
      </c>
      <c r="C3961" s="64"/>
      <c r="D3961" s="65"/>
      <c r="E3961" s="66"/>
      <c r="F3961" s="67"/>
      <c r="G3961" s="64"/>
      <c r="H3961" s="68"/>
      <c r="I3961" s="69"/>
      <c r="J3961" s="69"/>
      <c r="K3961" s="32"/>
      <c r="L3961" s="76">
        <v>3961</v>
      </c>
      <c r="M3961" s="76"/>
      <c r="N3961" s="71"/>
      <c r="O3961" s="87" t="s">
        <v>179</v>
      </c>
      <c r="P3961" s="90">
        <v>45116.734537037039</v>
      </c>
      <c r="Q3961" s="87" t="s">
        <v>5604</v>
      </c>
      <c r="R3961" s="87">
        <v>0</v>
      </c>
      <c r="S3961" s="87">
        <v>0</v>
      </c>
      <c r="T3961" s="87">
        <v>0</v>
      </c>
      <c r="U3961" s="87">
        <v>0</v>
      </c>
      <c r="V3961" s="87">
        <v>4</v>
      </c>
      <c r="W3961" s="93" t="s">
        <v>8174</v>
      </c>
      <c r="X3961" s="92" t="str">
        <f>HYPERLINK("https://lnkd.in/dw9na568")</f>
        <v>https://lnkd.in/dw9na568</v>
      </c>
      <c r="Y3961" s="87" t="s">
        <v>8408</v>
      </c>
      <c r="Z3961" s="87"/>
      <c r="AA3961" s="87"/>
      <c r="AB3961" s="87"/>
      <c r="AC3961" s="93" t="s">
        <v>11474</v>
      </c>
      <c r="AD3961" s="87" t="s">
        <v>11519</v>
      </c>
      <c r="AE3961" s="92" t="str">
        <f>HYPERLINK("https://twitter.com/netodepaulla/status/1678096109099536385")</f>
        <v>https://twitter.com/netodepaulla/status/1678096109099536385</v>
      </c>
      <c r="AF3961" s="90">
        <v>45116.734537037039</v>
      </c>
      <c r="AG3961" s="99">
        <v>45116</v>
      </c>
      <c r="AH3961" s="93" t="s">
        <v>14110</v>
      </c>
      <c r="AI3961" s="87" t="b">
        <v>0</v>
      </c>
      <c r="AJ3961" s="87"/>
      <c r="AK3961" s="87"/>
      <c r="AL3961" s="87"/>
      <c r="AM3961" s="87"/>
      <c r="AN3961" s="87"/>
      <c r="AO3961" s="87"/>
      <c r="AP3961" s="87"/>
      <c r="AQ3961" s="87"/>
      <c r="AR3961" s="87"/>
      <c r="AS3961" s="87"/>
      <c r="AT3961" s="87"/>
      <c r="AU3961" s="87"/>
      <c r="AV3961" s="92" t="str">
        <f>HYPERLINK("https://pbs.twimg.com/profile_images/1645482250723631111/sySy_51x_normal.jpg")</f>
        <v>https://pbs.twimg.com/profile_images/1645482250723631111/sySy_51x_normal.jpg</v>
      </c>
      <c r="AW3961" s="93" t="s">
        <v>22061</v>
      </c>
      <c r="AX3961" s="93" t="s">
        <v>22061</v>
      </c>
      <c r="AY3961" s="87"/>
      <c r="AZ3961" s="93" t="s">
        <v>22668</v>
      </c>
      <c r="BA3961" s="93" t="s">
        <v>22668</v>
      </c>
      <c r="BB3961" s="93" t="s">
        <v>22668</v>
      </c>
      <c r="BC3961" s="93" t="s">
        <v>22061</v>
      </c>
      <c r="BD3961" s="87">
        <v>158958167</v>
      </c>
      <c r="BE3961" s="87"/>
      <c r="BF3961" s="87"/>
      <c r="BG3961" s="87"/>
      <c r="BH3961" s="87"/>
      <c r="BI3961" s="87"/>
    </row>
    <row r="3962" spans="1:61" x14ac:dyDescent="0.25">
      <c r="A3962" s="63" t="s">
        <v>1539</v>
      </c>
      <c r="B3962" s="63" t="s">
        <v>1539</v>
      </c>
      <c r="C3962" s="64"/>
      <c r="D3962" s="65"/>
      <c r="E3962" s="66"/>
      <c r="F3962" s="67"/>
      <c r="G3962" s="64"/>
      <c r="H3962" s="68"/>
      <c r="I3962" s="69"/>
      <c r="J3962" s="69"/>
      <c r="K3962" s="32"/>
      <c r="L3962" s="76">
        <v>3962</v>
      </c>
      <c r="M3962" s="76"/>
      <c r="N3962" s="71"/>
      <c r="O3962" s="87" t="s">
        <v>179</v>
      </c>
      <c r="P3962" s="90">
        <v>45142.711134259262</v>
      </c>
      <c r="Q3962" s="87" t="s">
        <v>5605</v>
      </c>
      <c r="R3962" s="87">
        <v>0</v>
      </c>
      <c r="S3962" s="87">
        <v>0</v>
      </c>
      <c r="T3962" s="87">
        <v>0</v>
      </c>
      <c r="U3962" s="87">
        <v>0</v>
      </c>
      <c r="V3962" s="87">
        <v>37</v>
      </c>
      <c r="W3962" s="93" t="s">
        <v>8175</v>
      </c>
      <c r="X3962" s="92" t="str">
        <f>HYPERLINK("https://www.serranossa.com.br/bento-goncalves-registrou-mais-de-1450-novas-empresas-no-primeiro-semestre-do-ano/")</f>
        <v>https://www.serranossa.com.br/bento-goncalves-registrou-mais-de-1450-novas-empresas-no-primeiro-semestre-do-ano/</v>
      </c>
      <c r="Y3962" s="87" t="s">
        <v>8373</v>
      </c>
      <c r="Z3962" s="87"/>
      <c r="AA3962" s="87" t="s">
        <v>11274</v>
      </c>
      <c r="AB3962" s="87" t="s">
        <v>11448</v>
      </c>
      <c r="AC3962" s="93" t="s">
        <v>11457</v>
      </c>
      <c r="AD3962" s="87" t="s">
        <v>11519</v>
      </c>
      <c r="AE3962" s="92" t="str">
        <f>HYPERLINK("https://twitter.com/serranossa/status/1687509711472533513")</f>
        <v>https://twitter.com/serranossa/status/1687509711472533513</v>
      </c>
      <c r="AF3962" s="90">
        <v>45142.711134259262</v>
      </c>
      <c r="AG3962" s="99">
        <v>45142</v>
      </c>
      <c r="AH3962" s="93" t="s">
        <v>15007</v>
      </c>
      <c r="AI3962" s="87" t="b">
        <v>0</v>
      </c>
      <c r="AJ3962" s="87"/>
      <c r="AK3962" s="87"/>
      <c r="AL3962" s="87"/>
      <c r="AM3962" s="87"/>
      <c r="AN3962" s="87"/>
      <c r="AO3962" s="87"/>
      <c r="AP3962" s="87"/>
      <c r="AQ3962" s="87" t="s">
        <v>18086</v>
      </c>
      <c r="AR3962" s="87"/>
      <c r="AS3962" s="87"/>
      <c r="AT3962" s="87"/>
      <c r="AU3962" s="87"/>
      <c r="AV3962" s="92" t="str">
        <f>HYPERLINK("https://pbs.twimg.com/media/F2s9IsRWYAAHLwT.jpg")</f>
        <v>https://pbs.twimg.com/media/F2s9IsRWYAAHLwT.jpg</v>
      </c>
      <c r="AW3962" s="93" t="s">
        <v>22062</v>
      </c>
      <c r="AX3962" s="93" t="s">
        <v>22062</v>
      </c>
      <c r="AY3962" s="87"/>
      <c r="AZ3962" s="93" t="s">
        <v>22668</v>
      </c>
      <c r="BA3962" s="93" t="s">
        <v>22668</v>
      </c>
      <c r="BB3962" s="93" t="s">
        <v>22668</v>
      </c>
      <c r="BC3962" s="93" t="s">
        <v>22062</v>
      </c>
      <c r="BD3962" s="87">
        <v>79061885</v>
      </c>
      <c r="BE3962" s="87"/>
      <c r="BF3962" s="87"/>
      <c r="BG3962" s="87"/>
      <c r="BH3962" s="87"/>
      <c r="BI3962" s="87"/>
    </row>
    <row r="3963" spans="1:61" x14ac:dyDescent="0.25">
      <c r="A3963" s="63" t="s">
        <v>1540</v>
      </c>
      <c r="B3963" s="63" t="s">
        <v>1540</v>
      </c>
      <c r="C3963" s="64"/>
      <c r="D3963" s="65"/>
      <c r="E3963" s="66"/>
      <c r="F3963" s="67"/>
      <c r="G3963" s="64"/>
      <c r="H3963" s="68"/>
      <c r="I3963" s="69"/>
      <c r="J3963" s="69"/>
      <c r="K3963" s="32"/>
      <c r="L3963" s="76">
        <v>3963</v>
      </c>
      <c r="M3963" s="76"/>
      <c r="N3963" s="71"/>
      <c r="O3963" s="87" t="s">
        <v>179</v>
      </c>
      <c r="P3963" s="90">
        <v>45178.982245370367</v>
      </c>
      <c r="Q3963" s="87" t="s">
        <v>5606</v>
      </c>
      <c r="R3963" s="87">
        <v>0</v>
      </c>
      <c r="S3963" s="87">
        <v>0</v>
      </c>
      <c r="T3963" s="87">
        <v>0</v>
      </c>
      <c r="U3963" s="87">
        <v>0</v>
      </c>
      <c r="V3963" s="87">
        <v>38</v>
      </c>
      <c r="W3963" s="93" t="s">
        <v>8176</v>
      </c>
      <c r="X3963" s="92" t="str">
        <f>HYPERLINK("https://www.tiktok.com/@oscortesmarketingdigital/video/7276960223531650310?is_from_webapp=1&amp;sender_device=pc&amp;web_id=7272876152686413317")</f>
        <v>https://www.tiktok.com/@oscortesmarketingdigital/video/7276960223531650310?is_from_webapp=1&amp;sender_device=pc&amp;web_id=7272876152686413317</v>
      </c>
      <c r="Y3963" s="87" t="s">
        <v>8398</v>
      </c>
      <c r="Z3963" s="87"/>
      <c r="AA3963" s="87"/>
      <c r="AB3963" s="87"/>
      <c r="AC3963" s="93" t="s">
        <v>11457</v>
      </c>
      <c r="AD3963" s="87" t="s">
        <v>11519</v>
      </c>
      <c r="AE3963" s="92" t="str">
        <f>HYPERLINK("https://twitter.com/fatos_pro/status/1700653921268637779")</f>
        <v>https://twitter.com/fatos_pro/status/1700653921268637779</v>
      </c>
      <c r="AF3963" s="90">
        <v>45178.982245370367</v>
      </c>
      <c r="AG3963" s="99">
        <v>45178</v>
      </c>
      <c r="AH3963" s="93" t="s">
        <v>15008</v>
      </c>
      <c r="AI3963" s="87" t="b">
        <v>0</v>
      </c>
      <c r="AJ3963" s="87"/>
      <c r="AK3963" s="87"/>
      <c r="AL3963" s="87"/>
      <c r="AM3963" s="87"/>
      <c r="AN3963" s="87"/>
      <c r="AO3963" s="87"/>
      <c r="AP3963" s="87"/>
      <c r="AQ3963" s="87"/>
      <c r="AR3963" s="87"/>
      <c r="AS3963" s="87"/>
      <c r="AT3963" s="87"/>
      <c r="AU3963" s="87"/>
      <c r="AV3963" s="92" t="str">
        <f>HYPERLINK("https://pbs.twimg.com/profile_images/1700644174133870592/9vDDJ8Qg_normal.jpg")</f>
        <v>https://pbs.twimg.com/profile_images/1700644174133870592/9vDDJ8Qg_normal.jpg</v>
      </c>
      <c r="AW3963" s="93" t="s">
        <v>22063</v>
      </c>
      <c r="AX3963" s="93" t="s">
        <v>22063</v>
      </c>
      <c r="AY3963" s="87"/>
      <c r="AZ3963" s="93" t="s">
        <v>22668</v>
      </c>
      <c r="BA3963" s="93" t="s">
        <v>22668</v>
      </c>
      <c r="BB3963" s="93" t="s">
        <v>22668</v>
      </c>
      <c r="BC3963" s="93" t="s">
        <v>22063</v>
      </c>
      <c r="BD3963" s="93" t="s">
        <v>23558</v>
      </c>
      <c r="BE3963" s="87"/>
      <c r="BF3963" s="87"/>
      <c r="BG3963" s="87"/>
      <c r="BH3963" s="87"/>
      <c r="BI3963" s="87"/>
    </row>
    <row r="3964" spans="1:61" x14ac:dyDescent="0.25">
      <c r="A3964" s="63" t="s">
        <v>1541</v>
      </c>
      <c r="B3964" s="63" t="s">
        <v>1541</v>
      </c>
      <c r="C3964" s="64"/>
      <c r="D3964" s="65"/>
      <c r="E3964" s="66"/>
      <c r="F3964" s="67"/>
      <c r="G3964" s="64"/>
      <c r="H3964" s="68"/>
      <c r="I3964" s="69"/>
      <c r="J3964" s="69"/>
      <c r="K3964" s="32"/>
      <c r="L3964" s="76">
        <v>3964</v>
      </c>
      <c r="M3964" s="76"/>
      <c r="N3964" s="71"/>
      <c r="O3964" s="87" t="s">
        <v>179</v>
      </c>
      <c r="P3964" s="90">
        <v>45119.503472222219</v>
      </c>
      <c r="Q3964" s="87" t="s">
        <v>5607</v>
      </c>
      <c r="R3964" s="87">
        <v>0</v>
      </c>
      <c r="S3964" s="87">
        <v>0</v>
      </c>
      <c r="T3964" s="87">
        <v>0</v>
      </c>
      <c r="U3964" s="87">
        <v>0</v>
      </c>
      <c r="V3964" s="87">
        <v>35</v>
      </c>
      <c r="W3964" s="93" t="s">
        <v>6263</v>
      </c>
      <c r="X3964" s="92" t="str">
        <f>HYPERLINK("https://bit.ly/blogimpacto400")</f>
        <v>https://bit.ly/blogimpacto400</v>
      </c>
      <c r="Y3964" s="87" t="s">
        <v>8374</v>
      </c>
      <c r="Z3964" s="87"/>
      <c r="AA3964" s="87" t="s">
        <v>11275</v>
      </c>
      <c r="AB3964" s="87" t="s">
        <v>11448</v>
      </c>
      <c r="AC3964" s="93" t="s">
        <v>11457</v>
      </c>
      <c r="AD3964" s="87" t="s">
        <v>11519</v>
      </c>
      <c r="AE3964" s="92" t="str">
        <f>HYPERLINK("https://twitter.com/fgveaespesquisa/status/1679099536562864131")</f>
        <v>https://twitter.com/fgveaespesquisa/status/1679099536562864131</v>
      </c>
      <c r="AF3964" s="90">
        <v>45119.503472222219</v>
      </c>
      <c r="AG3964" s="99">
        <v>45119</v>
      </c>
      <c r="AH3964" s="93" t="s">
        <v>12941</v>
      </c>
      <c r="AI3964" s="87" t="b">
        <v>0</v>
      </c>
      <c r="AJ3964" s="87"/>
      <c r="AK3964" s="87"/>
      <c r="AL3964" s="87"/>
      <c r="AM3964" s="87"/>
      <c r="AN3964" s="87"/>
      <c r="AO3964" s="87"/>
      <c r="AP3964" s="87"/>
      <c r="AQ3964" s="87" t="s">
        <v>18087</v>
      </c>
      <c r="AR3964" s="87"/>
      <c r="AS3964" s="87"/>
      <c r="AT3964" s="87"/>
      <c r="AU3964" s="87"/>
      <c r="AV3964" s="92" t="str">
        <f>HYPERLINK("https://pbs.twimg.com/media/F0w-hcRXoAAs2_J.jpg")</f>
        <v>https://pbs.twimg.com/media/F0w-hcRXoAAs2_J.jpg</v>
      </c>
      <c r="AW3964" s="93" t="s">
        <v>22064</v>
      </c>
      <c r="AX3964" s="93" t="s">
        <v>22064</v>
      </c>
      <c r="AY3964" s="87"/>
      <c r="AZ3964" s="93" t="s">
        <v>22668</v>
      </c>
      <c r="BA3964" s="93" t="s">
        <v>22668</v>
      </c>
      <c r="BB3964" s="93" t="s">
        <v>22668</v>
      </c>
      <c r="BC3964" s="93" t="s">
        <v>22064</v>
      </c>
      <c r="BD3964" s="93" t="s">
        <v>23559</v>
      </c>
      <c r="BE3964" s="87"/>
      <c r="BF3964" s="87"/>
      <c r="BG3964" s="87"/>
      <c r="BH3964" s="87"/>
      <c r="BI3964" s="87"/>
    </row>
    <row r="3965" spans="1:61" x14ac:dyDescent="0.25">
      <c r="A3965" s="63" t="s">
        <v>1542</v>
      </c>
      <c r="B3965" s="63" t="s">
        <v>1542</v>
      </c>
      <c r="C3965" s="64"/>
      <c r="D3965" s="65"/>
      <c r="E3965" s="66"/>
      <c r="F3965" s="67"/>
      <c r="G3965" s="64"/>
      <c r="H3965" s="68"/>
      <c r="I3965" s="69"/>
      <c r="J3965" s="69"/>
      <c r="K3965" s="32"/>
      <c r="L3965" s="76">
        <v>3965</v>
      </c>
      <c r="M3965" s="76"/>
      <c r="N3965" s="71"/>
      <c r="O3965" s="87" t="s">
        <v>179</v>
      </c>
      <c r="P3965" s="90">
        <v>45137.649282407408</v>
      </c>
      <c r="Q3965" s="87" t="s">
        <v>5608</v>
      </c>
      <c r="R3965" s="87">
        <v>0</v>
      </c>
      <c r="S3965" s="87">
        <v>0</v>
      </c>
      <c r="T3965" s="87">
        <v>0</v>
      </c>
      <c r="U3965" s="87">
        <v>0</v>
      </c>
      <c r="V3965" s="87">
        <v>71</v>
      </c>
      <c r="W3965" s="93" t="s">
        <v>8177</v>
      </c>
      <c r="X3965" s="87"/>
      <c r="Y3965" s="87"/>
      <c r="Z3965" s="87"/>
      <c r="AA3965" s="87"/>
      <c r="AB3965" s="87"/>
      <c r="AC3965" s="93" t="s">
        <v>11459</v>
      </c>
      <c r="AD3965" s="87" t="s">
        <v>11519</v>
      </c>
      <c r="AE3965" s="92" t="str">
        <f>HYPERLINK("https://twitter.com/jonpadilha/status/1685675358085939200")</f>
        <v>https://twitter.com/jonpadilha/status/1685675358085939200</v>
      </c>
      <c r="AF3965" s="90">
        <v>45137.649282407408</v>
      </c>
      <c r="AG3965" s="99">
        <v>45137</v>
      </c>
      <c r="AH3965" s="93" t="s">
        <v>15009</v>
      </c>
      <c r="AI3965" s="87"/>
      <c r="AJ3965" s="87"/>
      <c r="AK3965" s="87"/>
      <c r="AL3965" s="87"/>
      <c r="AM3965" s="87"/>
      <c r="AN3965" s="87"/>
      <c r="AO3965" s="87"/>
      <c r="AP3965" s="87"/>
      <c r="AQ3965" s="87"/>
      <c r="AR3965" s="87"/>
      <c r="AS3965" s="87"/>
      <c r="AT3965" s="87"/>
      <c r="AU3965" s="87"/>
      <c r="AV3965" s="92" t="str">
        <f>HYPERLINK("https://pbs.twimg.com/profile_images/1671289019525656577/FGH0CnRu_normal.jpg")</f>
        <v>https://pbs.twimg.com/profile_images/1671289019525656577/FGH0CnRu_normal.jpg</v>
      </c>
      <c r="AW3965" s="93" t="s">
        <v>22065</v>
      </c>
      <c r="AX3965" s="93" t="s">
        <v>22065</v>
      </c>
      <c r="AY3965" s="87"/>
      <c r="AZ3965" s="93" t="s">
        <v>22668</v>
      </c>
      <c r="BA3965" s="93" t="s">
        <v>22668</v>
      </c>
      <c r="BB3965" s="93" t="s">
        <v>22668</v>
      </c>
      <c r="BC3965" s="93" t="s">
        <v>22065</v>
      </c>
      <c r="BD3965" s="93" t="s">
        <v>23560</v>
      </c>
      <c r="BE3965" s="87"/>
      <c r="BF3965" s="87"/>
      <c r="BG3965" s="87"/>
      <c r="BH3965" s="87"/>
      <c r="BI3965" s="87"/>
    </row>
    <row r="3966" spans="1:61" x14ac:dyDescent="0.25">
      <c r="A3966" s="63" t="s">
        <v>1543</v>
      </c>
      <c r="B3966" s="63" t="s">
        <v>1543</v>
      </c>
      <c r="C3966" s="64"/>
      <c r="D3966" s="65"/>
      <c r="E3966" s="66"/>
      <c r="F3966" s="67"/>
      <c r="G3966" s="64"/>
      <c r="H3966" s="68"/>
      <c r="I3966" s="69"/>
      <c r="J3966" s="69"/>
      <c r="K3966" s="32"/>
      <c r="L3966" s="76">
        <v>3966</v>
      </c>
      <c r="M3966" s="76"/>
      <c r="N3966" s="71"/>
      <c r="O3966" s="87" t="s">
        <v>1840</v>
      </c>
      <c r="P3966" s="90">
        <v>45159.782280092593</v>
      </c>
      <c r="Q3966" s="87" t="s">
        <v>5609</v>
      </c>
      <c r="R3966" s="87">
        <v>0</v>
      </c>
      <c r="S3966" s="87">
        <v>0</v>
      </c>
      <c r="T3966" s="87">
        <v>0</v>
      </c>
      <c r="U3966" s="87">
        <v>0</v>
      </c>
      <c r="V3966" s="87">
        <v>16</v>
      </c>
      <c r="W3966" s="93" t="s">
        <v>8178</v>
      </c>
      <c r="X3966" s="87"/>
      <c r="Y3966" s="87"/>
      <c r="Z3966" s="87"/>
      <c r="AA3966" s="87" t="s">
        <v>11276</v>
      </c>
      <c r="AB3966" s="87" t="s">
        <v>11449</v>
      </c>
      <c r="AC3966" s="93" t="s">
        <v>11458</v>
      </c>
      <c r="AD3966" s="87" t="s">
        <v>11519</v>
      </c>
      <c r="AE3966" s="92" t="str">
        <f>HYPERLINK("https://twitter.com/edsoncontador_/status/1693696088656552126")</f>
        <v>https://twitter.com/edsoncontador_/status/1693696088656552126</v>
      </c>
      <c r="AF3966" s="90">
        <v>45159.782280092593</v>
      </c>
      <c r="AG3966" s="99">
        <v>45159</v>
      </c>
      <c r="AH3966" s="93" t="s">
        <v>15010</v>
      </c>
      <c r="AI3966" s="87" t="b">
        <v>0</v>
      </c>
      <c r="AJ3966" s="87"/>
      <c r="AK3966" s="87"/>
      <c r="AL3966" s="87"/>
      <c r="AM3966" s="87"/>
      <c r="AN3966" s="87"/>
      <c r="AO3966" s="87"/>
      <c r="AP3966" s="87"/>
      <c r="AQ3966" s="87" t="s">
        <v>18088</v>
      </c>
      <c r="AR3966" s="87"/>
      <c r="AS3966" s="87"/>
      <c r="AT3966" s="87"/>
      <c r="AU3966" s="87"/>
      <c r="AV3966" s="92" t="str">
        <f>HYPERLINK("https://pbs.twimg.com/media/F4E3nTKW8AAHxL-.jpg")</f>
        <v>https://pbs.twimg.com/media/F4E3nTKW8AAHxL-.jpg</v>
      </c>
      <c r="AW3966" s="93" t="s">
        <v>22066</v>
      </c>
      <c r="AX3966" s="93" t="s">
        <v>22504</v>
      </c>
      <c r="AY3966" s="93" t="s">
        <v>22657</v>
      </c>
      <c r="AZ3966" s="93" t="s">
        <v>22504</v>
      </c>
      <c r="BA3966" s="93" t="s">
        <v>22668</v>
      </c>
      <c r="BB3966" s="93" t="s">
        <v>22668</v>
      </c>
      <c r="BC3966" s="93" t="s">
        <v>22504</v>
      </c>
      <c r="BD3966" s="93" t="s">
        <v>22657</v>
      </c>
      <c r="BE3966" s="87"/>
      <c r="BF3966" s="87"/>
      <c r="BG3966" s="87"/>
      <c r="BH3966" s="87"/>
      <c r="BI3966" s="87"/>
    </row>
    <row r="3967" spans="1:61" x14ac:dyDescent="0.25">
      <c r="A3967" s="63" t="s">
        <v>1544</v>
      </c>
      <c r="B3967" s="63" t="s">
        <v>1544</v>
      </c>
      <c r="C3967" s="64"/>
      <c r="D3967" s="65"/>
      <c r="E3967" s="66"/>
      <c r="F3967" s="67"/>
      <c r="G3967" s="64"/>
      <c r="H3967" s="68"/>
      <c r="I3967" s="69"/>
      <c r="J3967" s="69"/>
      <c r="K3967" s="32"/>
      <c r="L3967" s="76">
        <v>3967</v>
      </c>
      <c r="M3967" s="76"/>
      <c r="N3967" s="71"/>
      <c r="O3967" s="87" t="s">
        <v>179</v>
      </c>
      <c r="P3967" s="90">
        <v>45142.609814814816</v>
      </c>
      <c r="Q3967" s="87" t="s">
        <v>5610</v>
      </c>
      <c r="R3967" s="87">
        <v>0</v>
      </c>
      <c r="S3967" s="87">
        <v>0</v>
      </c>
      <c r="T3967" s="87">
        <v>0</v>
      </c>
      <c r="U3967" s="87">
        <v>0</v>
      </c>
      <c r="V3967" s="87">
        <v>4</v>
      </c>
      <c r="W3967" s="93" t="s">
        <v>8179</v>
      </c>
      <c r="X3967" s="87"/>
      <c r="Y3967" s="87"/>
      <c r="Z3967" s="87"/>
      <c r="AA3967" s="87"/>
      <c r="AB3967" s="87"/>
      <c r="AC3967" s="93" t="s">
        <v>11457</v>
      </c>
      <c r="AD3967" s="87" t="s">
        <v>11519</v>
      </c>
      <c r="AE3967" s="92" t="str">
        <f>HYPERLINK("https://twitter.com/tiagopradoofc/status/1687472993767657472")</f>
        <v>https://twitter.com/tiagopradoofc/status/1687472993767657472</v>
      </c>
      <c r="AF3967" s="90">
        <v>45142.609814814816</v>
      </c>
      <c r="AG3967" s="99">
        <v>45142</v>
      </c>
      <c r="AH3967" s="93" t="s">
        <v>15011</v>
      </c>
      <c r="AI3967" s="87"/>
      <c r="AJ3967" s="87"/>
      <c r="AK3967" s="87"/>
      <c r="AL3967" s="87"/>
      <c r="AM3967" s="87"/>
      <c r="AN3967" s="87"/>
      <c r="AO3967" s="87"/>
      <c r="AP3967" s="87"/>
      <c r="AQ3967" s="87"/>
      <c r="AR3967" s="87"/>
      <c r="AS3967" s="87"/>
      <c r="AT3967" s="87"/>
      <c r="AU3967" s="87"/>
      <c r="AV3967" s="92" t="str">
        <f>HYPERLINK("https://pbs.twimg.com/profile_images/1656838770069479429/_EW4VQQN_normal.jpg")</f>
        <v>https://pbs.twimg.com/profile_images/1656838770069479429/_EW4VQQN_normal.jpg</v>
      </c>
      <c r="AW3967" s="93" t="s">
        <v>22067</v>
      </c>
      <c r="AX3967" s="93" t="s">
        <v>22067</v>
      </c>
      <c r="AY3967" s="87"/>
      <c r="AZ3967" s="93" t="s">
        <v>22668</v>
      </c>
      <c r="BA3967" s="93" t="s">
        <v>22668</v>
      </c>
      <c r="BB3967" s="93" t="s">
        <v>22668</v>
      </c>
      <c r="BC3967" s="93" t="s">
        <v>22067</v>
      </c>
      <c r="BD3967" s="87">
        <v>1465443572</v>
      </c>
      <c r="BE3967" s="87"/>
      <c r="BF3967" s="87"/>
      <c r="BG3967" s="87"/>
      <c r="BH3967" s="87"/>
      <c r="BI3967" s="87"/>
    </row>
    <row r="3968" spans="1:61" x14ac:dyDescent="0.25">
      <c r="A3968" s="63" t="s">
        <v>1544</v>
      </c>
      <c r="B3968" s="63" t="s">
        <v>1544</v>
      </c>
      <c r="C3968" s="64"/>
      <c r="D3968" s="65"/>
      <c r="E3968" s="66"/>
      <c r="F3968" s="67"/>
      <c r="G3968" s="64"/>
      <c r="H3968" s="68"/>
      <c r="I3968" s="69"/>
      <c r="J3968" s="69"/>
      <c r="K3968" s="32"/>
      <c r="L3968" s="76">
        <v>3968</v>
      </c>
      <c r="M3968" s="76"/>
      <c r="N3968" s="71"/>
      <c r="O3968" s="87" t="s">
        <v>179</v>
      </c>
      <c r="P3968" s="90">
        <v>45147.566307870373</v>
      </c>
      <c r="Q3968" s="87" t="s">
        <v>5611</v>
      </c>
      <c r="R3968" s="87">
        <v>0</v>
      </c>
      <c r="S3968" s="87">
        <v>0</v>
      </c>
      <c r="T3968" s="87">
        <v>0</v>
      </c>
      <c r="U3968" s="87">
        <v>0</v>
      </c>
      <c r="V3968" s="87">
        <v>8</v>
      </c>
      <c r="W3968" s="93" t="s">
        <v>8180</v>
      </c>
      <c r="X3968" s="87"/>
      <c r="Y3968" s="87"/>
      <c r="Z3968" s="87"/>
      <c r="AA3968" s="87"/>
      <c r="AB3968" s="87"/>
      <c r="AC3968" s="93" t="s">
        <v>11457</v>
      </c>
      <c r="AD3968" s="87" t="s">
        <v>11519</v>
      </c>
      <c r="AE3968" s="92" t="str">
        <f>HYPERLINK("https://twitter.com/tiagopradoofc/status/1689269168527327232")</f>
        <v>https://twitter.com/tiagopradoofc/status/1689269168527327232</v>
      </c>
      <c r="AF3968" s="90">
        <v>45147.566307870373</v>
      </c>
      <c r="AG3968" s="99">
        <v>45147</v>
      </c>
      <c r="AH3968" s="93" t="s">
        <v>15012</v>
      </c>
      <c r="AI3968" s="87"/>
      <c r="AJ3968" s="87"/>
      <c r="AK3968" s="87"/>
      <c r="AL3968" s="87"/>
      <c r="AM3968" s="87"/>
      <c r="AN3968" s="87"/>
      <c r="AO3968" s="87"/>
      <c r="AP3968" s="87"/>
      <c r="AQ3968" s="87"/>
      <c r="AR3968" s="87"/>
      <c r="AS3968" s="87"/>
      <c r="AT3968" s="87"/>
      <c r="AU3968" s="87"/>
      <c r="AV3968" s="92" t="str">
        <f>HYPERLINK("https://pbs.twimg.com/profile_images/1656838770069479429/_EW4VQQN_normal.jpg")</f>
        <v>https://pbs.twimg.com/profile_images/1656838770069479429/_EW4VQQN_normal.jpg</v>
      </c>
      <c r="AW3968" s="93" t="s">
        <v>22068</v>
      </c>
      <c r="AX3968" s="93" t="s">
        <v>22068</v>
      </c>
      <c r="AY3968" s="87"/>
      <c r="AZ3968" s="93" t="s">
        <v>22668</v>
      </c>
      <c r="BA3968" s="93" t="s">
        <v>22668</v>
      </c>
      <c r="BB3968" s="93" t="s">
        <v>22668</v>
      </c>
      <c r="BC3968" s="93" t="s">
        <v>22068</v>
      </c>
      <c r="BD3968" s="87">
        <v>1465443572</v>
      </c>
      <c r="BE3968" s="87"/>
      <c r="BF3968" s="87"/>
      <c r="BG3968" s="87"/>
      <c r="BH3968" s="87"/>
      <c r="BI3968" s="87"/>
    </row>
    <row r="3969" spans="1:61" x14ac:dyDescent="0.25">
      <c r="A3969" s="63" t="s">
        <v>1545</v>
      </c>
      <c r="B3969" s="63" t="s">
        <v>1545</v>
      </c>
      <c r="C3969" s="64"/>
      <c r="D3969" s="65"/>
      <c r="E3969" s="66"/>
      <c r="F3969" s="67"/>
      <c r="G3969" s="64"/>
      <c r="H3969" s="68"/>
      <c r="I3969" s="69"/>
      <c r="J3969" s="69"/>
      <c r="K3969" s="32"/>
      <c r="L3969" s="76">
        <v>3969</v>
      </c>
      <c r="M3969" s="76"/>
      <c r="N3969" s="71"/>
      <c r="O3969" s="87" t="s">
        <v>1840</v>
      </c>
      <c r="P3969" s="90">
        <v>45140.553553240738</v>
      </c>
      <c r="Q3969" s="87" t="s">
        <v>5612</v>
      </c>
      <c r="R3969" s="87">
        <v>0</v>
      </c>
      <c r="S3969" s="87">
        <v>0</v>
      </c>
      <c r="T3969" s="87">
        <v>3</v>
      </c>
      <c r="U3969" s="87">
        <v>0</v>
      </c>
      <c r="V3969" s="87">
        <v>38</v>
      </c>
      <c r="W3969" s="93" t="s">
        <v>8181</v>
      </c>
      <c r="X3969" s="87" t="s">
        <v>8371</v>
      </c>
      <c r="Y3969" s="87" t="s">
        <v>8554</v>
      </c>
      <c r="Z3969" s="87"/>
      <c r="AA3969" s="87"/>
      <c r="AB3969" s="87"/>
      <c r="AC3969" s="93" t="s">
        <v>11459</v>
      </c>
      <c r="AD3969" s="87" t="s">
        <v>11519</v>
      </c>
      <c r="AE3969" s="92" t="str">
        <f>HYPERLINK("https://twitter.com/drivethrua/status/1686727832368455680")</f>
        <v>https://twitter.com/drivethrua/status/1686727832368455680</v>
      </c>
      <c r="AF3969" s="90">
        <v>45140.553553240738</v>
      </c>
      <c r="AG3969" s="99">
        <v>45140</v>
      </c>
      <c r="AH3969" s="93" t="s">
        <v>15013</v>
      </c>
      <c r="AI3969" s="87" t="b">
        <v>0</v>
      </c>
      <c r="AJ3969" s="87"/>
      <c r="AK3969" s="87"/>
      <c r="AL3969" s="87"/>
      <c r="AM3969" s="87"/>
      <c r="AN3969" s="87"/>
      <c r="AO3969" s="87"/>
      <c r="AP3969" s="87"/>
      <c r="AQ3969" s="87"/>
      <c r="AR3969" s="87"/>
      <c r="AS3969" s="87"/>
      <c r="AT3969" s="87"/>
      <c r="AU3969" s="87"/>
      <c r="AV3969" s="92" t="str">
        <f>HYPERLINK("https://pbs.twimg.com/profile_images/1599773878154297345/NMJ7f6_Z_normal.jpg")</f>
        <v>https://pbs.twimg.com/profile_images/1599773878154297345/NMJ7f6_Z_normal.jpg</v>
      </c>
      <c r="AW3969" s="93" t="s">
        <v>22069</v>
      </c>
      <c r="AX3969" s="93" t="s">
        <v>22505</v>
      </c>
      <c r="AY3969" s="93" t="s">
        <v>22658</v>
      </c>
      <c r="AZ3969" s="93" t="s">
        <v>22505</v>
      </c>
      <c r="BA3969" s="93" t="s">
        <v>22668</v>
      </c>
      <c r="BB3969" s="93" t="s">
        <v>22668</v>
      </c>
      <c r="BC3969" s="93" t="s">
        <v>22505</v>
      </c>
      <c r="BD3969" s="93" t="s">
        <v>22658</v>
      </c>
      <c r="BE3969" s="87"/>
      <c r="BF3969" s="87"/>
      <c r="BG3969" s="87"/>
      <c r="BH3969" s="87"/>
      <c r="BI3969" s="87"/>
    </row>
    <row r="3970" spans="1:61" x14ac:dyDescent="0.25">
      <c r="A3970" s="63" t="s">
        <v>1546</v>
      </c>
      <c r="B3970" s="63" t="s">
        <v>1546</v>
      </c>
      <c r="C3970" s="64"/>
      <c r="D3970" s="65"/>
      <c r="E3970" s="66"/>
      <c r="F3970" s="67"/>
      <c r="G3970" s="64"/>
      <c r="H3970" s="68"/>
      <c r="I3970" s="69"/>
      <c r="J3970" s="69"/>
      <c r="K3970" s="32"/>
      <c r="L3970" s="76">
        <v>3970</v>
      </c>
      <c r="M3970" s="76"/>
      <c r="N3970" s="71"/>
      <c r="O3970" s="87" t="s">
        <v>179</v>
      </c>
      <c r="P3970" s="90">
        <v>45117.788611111115</v>
      </c>
      <c r="Q3970" s="87" t="s">
        <v>5613</v>
      </c>
      <c r="R3970" s="87">
        <v>0</v>
      </c>
      <c r="S3970" s="87">
        <v>1</v>
      </c>
      <c r="T3970" s="87">
        <v>0</v>
      </c>
      <c r="U3970" s="87">
        <v>0</v>
      </c>
      <c r="V3970" s="87">
        <v>19</v>
      </c>
      <c r="W3970" s="93" t="s">
        <v>8182</v>
      </c>
      <c r="X3970" s="87"/>
      <c r="Y3970" s="87"/>
      <c r="Z3970" s="87"/>
      <c r="AA3970" s="87"/>
      <c r="AB3970" s="87"/>
      <c r="AC3970" s="93" t="s">
        <v>11459</v>
      </c>
      <c r="AD3970" s="87" t="s">
        <v>11519</v>
      </c>
      <c r="AE3970" s="92" t="str">
        <f>HYPERLINK("https://twitter.com/dionedealmeida1/status/1678478094166814735")</f>
        <v>https://twitter.com/dionedealmeida1/status/1678478094166814735</v>
      </c>
      <c r="AF3970" s="90">
        <v>45117.788611111115</v>
      </c>
      <c r="AG3970" s="99">
        <v>45117</v>
      </c>
      <c r="AH3970" s="93" t="s">
        <v>15014</v>
      </c>
      <c r="AI3970" s="87"/>
      <c r="AJ3970" s="87"/>
      <c r="AK3970" s="87"/>
      <c r="AL3970" s="87"/>
      <c r="AM3970" s="87"/>
      <c r="AN3970" s="87"/>
      <c r="AO3970" s="87"/>
      <c r="AP3970" s="87"/>
      <c r="AQ3970" s="87"/>
      <c r="AR3970" s="87"/>
      <c r="AS3970" s="87"/>
      <c r="AT3970" s="87"/>
      <c r="AU3970" s="87"/>
      <c r="AV3970" s="92" t="str">
        <f>HYPERLINK("https://pbs.twimg.com/profile_images/1679102332519297024/zDXtfzMA_normal.jpg")</f>
        <v>https://pbs.twimg.com/profile_images/1679102332519297024/zDXtfzMA_normal.jpg</v>
      </c>
      <c r="AW3970" s="93" t="s">
        <v>22070</v>
      </c>
      <c r="AX3970" s="93" t="s">
        <v>22070</v>
      </c>
      <c r="AY3970" s="87"/>
      <c r="AZ3970" s="93" t="s">
        <v>22668</v>
      </c>
      <c r="BA3970" s="93" t="s">
        <v>22668</v>
      </c>
      <c r="BB3970" s="93" t="s">
        <v>22668</v>
      </c>
      <c r="BC3970" s="93" t="s">
        <v>22070</v>
      </c>
      <c r="BD3970" s="93" t="s">
        <v>23561</v>
      </c>
      <c r="BE3970" s="87"/>
      <c r="BF3970" s="87"/>
      <c r="BG3970" s="87"/>
      <c r="BH3970" s="87"/>
      <c r="BI3970" s="87"/>
    </row>
    <row r="3971" spans="1:61" x14ac:dyDescent="0.25">
      <c r="A3971" s="63" t="s">
        <v>1547</v>
      </c>
      <c r="B3971" s="63" t="s">
        <v>1547</v>
      </c>
      <c r="C3971" s="64"/>
      <c r="D3971" s="65"/>
      <c r="E3971" s="66"/>
      <c r="F3971" s="67"/>
      <c r="G3971" s="64"/>
      <c r="H3971" s="68"/>
      <c r="I3971" s="69"/>
      <c r="J3971" s="69"/>
      <c r="K3971" s="32"/>
      <c r="L3971" s="76">
        <v>3971</v>
      </c>
      <c r="M3971" s="76"/>
      <c r="N3971" s="71"/>
      <c r="O3971" s="87" t="s">
        <v>179</v>
      </c>
      <c r="P3971" s="90">
        <v>45190.540995370371</v>
      </c>
      <c r="Q3971" s="87" t="s">
        <v>5614</v>
      </c>
      <c r="R3971" s="87">
        <v>0</v>
      </c>
      <c r="S3971" s="87">
        <v>1</v>
      </c>
      <c r="T3971" s="87">
        <v>0</v>
      </c>
      <c r="U3971" s="87">
        <v>0</v>
      </c>
      <c r="V3971" s="87">
        <v>60</v>
      </c>
      <c r="W3971" s="93" t="s">
        <v>8183</v>
      </c>
      <c r="X3971" s="87"/>
      <c r="Y3971" s="87"/>
      <c r="Z3971" s="87"/>
      <c r="AA3971" s="87" t="s">
        <v>11277</v>
      </c>
      <c r="AB3971" s="87" t="s">
        <v>11448</v>
      </c>
      <c r="AC3971" s="93" t="s">
        <v>11457</v>
      </c>
      <c r="AD3971" s="87" t="s">
        <v>11519</v>
      </c>
      <c r="AE3971" s="92" t="str">
        <f>HYPERLINK("https://twitter.com/diempcefetrj/status/1704842671611687159")</f>
        <v>https://twitter.com/diempcefetrj/status/1704842671611687159</v>
      </c>
      <c r="AF3971" s="90">
        <v>45190.540995370371</v>
      </c>
      <c r="AG3971" s="99">
        <v>45190</v>
      </c>
      <c r="AH3971" s="93" t="s">
        <v>15015</v>
      </c>
      <c r="AI3971" s="87" t="b">
        <v>0</v>
      </c>
      <c r="AJ3971" s="87"/>
      <c r="AK3971" s="87"/>
      <c r="AL3971" s="87"/>
      <c r="AM3971" s="87"/>
      <c r="AN3971" s="87"/>
      <c r="AO3971" s="87"/>
      <c r="AP3971" s="87"/>
      <c r="AQ3971" s="87" t="s">
        <v>18089</v>
      </c>
      <c r="AR3971" s="87"/>
      <c r="AS3971" s="87"/>
      <c r="AT3971" s="87"/>
      <c r="AU3971" s="87"/>
      <c r="AV3971" s="92" t="str">
        <f>HYPERLINK("https://pbs.twimg.com/media/F6jRXZtWoAAuMbx.png")</f>
        <v>https://pbs.twimg.com/media/F6jRXZtWoAAuMbx.png</v>
      </c>
      <c r="AW3971" s="93" t="s">
        <v>22071</v>
      </c>
      <c r="AX3971" s="93" t="s">
        <v>22071</v>
      </c>
      <c r="AY3971" s="87"/>
      <c r="AZ3971" s="93" t="s">
        <v>22668</v>
      </c>
      <c r="BA3971" s="93" t="s">
        <v>22668</v>
      </c>
      <c r="BB3971" s="93" t="s">
        <v>22668</v>
      </c>
      <c r="BC3971" s="93" t="s">
        <v>22071</v>
      </c>
      <c r="BD3971" s="93" t="s">
        <v>23562</v>
      </c>
      <c r="BE3971" s="87"/>
      <c r="BF3971" s="87"/>
      <c r="BG3971" s="87"/>
      <c r="BH3971" s="87"/>
      <c r="BI3971" s="87"/>
    </row>
    <row r="3972" spans="1:61" x14ac:dyDescent="0.25">
      <c r="A3972" s="63" t="s">
        <v>1548</v>
      </c>
      <c r="B3972" s="63" t="s">
        <v>1548</v>
      </c>
      <c r="C3972" s="64"/>
      <c r="D3972" s="65"/>
      <c r="E3972" s="66"/>
      <c r="F3972" s="67"/>
      <c r="G3972" s="64"/>
      <c r="H3972" s="68"/>
      <c r="I3972" s="69"/>
      <c r="J3972" s="69"/>
      <c r="K3972" s="32"/>
      <c r="L3972" s="76">
        <v>3972</v>
      </c>
      <c r="M3972" s="76"/>
      <c r="N3972" s="71"/>
      <c r="O3972" s="87" t="s">
        <v>179</v>
      </c>
      <c r="P3972" s="90">
        <v>45154.735439814816</v>
      </c>
      <c r="Q3972" s="87" t="s">
        <v>5615</v>
      </c>
      <c r="R3972" s="87">
        <v>0</v>
      </c>
      <c r="S3972" s="87">
        <v>1</v>
      </c>
      <c r="T3972" s="87">
        <v>0</v>
      </c>
      <c r="U3972" s="87">
        <v>0</v>
      </c>
      <c r="V3972" s="87">
        <v>16</v>
      </c>
      <c r="W3972" s="93" t="s">
        <v>8184</v>
      </c>
      <c r="X3972" s="92" t="str">
        <f>HYPERLINK("http://linktr.ee/PodMais")</f>
        <v>http://linktr.ee/PodMais</v>
      </c>
      <c r="Y3972" s="87" t="s">
        <v>8482</v>
      </c>
      <c r="Z3972" s="87"/>
      <c r="AA3972" s="87" t="s">
        <v>11278</v>
      </c>
      <c r="AB3972" s="87" t="s">
        <v>11448</v>
      </c>
      <c r="AC3972" s="93" t="s">
        <v>11457</v>
      </c>
      <c r="AD3972" s="87" t="s">
        <v>11519</v>
      </c>
      <c r="AE3972" s="92" t="str">
        <f>HYPERLINK("https://twitter.com/opodmais/status/1691867173931589752")</f>
        <v>https://twitter.com/opodmais/status/1691867173931589752</v>
      </c>
      <c r="AF3972" s="90">
        <v>45154.735439814816</v>
      </c>
      <c r="AG3972" s="99">
        <v>45154</v>
      </c>
      <c r="AH3972" s="93" t="s">
        <v>15016</v>
      </c>
      <c r="AI3972" s="87" t="b">
        <v>0</v>
      </c>
      <c r="AJ3972" s="87"/>
      <c r="AK3972" s="87"/>
      <c r="AL3972" s="87"/>
      <c r="AM3972" s="87"/>
      <c r="AN3972" s="87"/>
      <c r="AO3972" s="87"/>
      <c r="AP3972" s="87"/>
      <c r="AQ3972" s="87" t="s">
        <v>18090</v>
      </c>
      <c r="AR3972" s="87"/>
      <c r="AS3972" s="87"/>
      <c r="AT3972" s="87"/>
      <c r="AU3972" s="87"/>
      <c r="AV3972" s="92" t="str">
        <f>HYPERLINK("https://pbs.twimg.com/media/F3q4KbEXAAAv4i6.jpg")</f>
        <v>https://pbs.twimg.com/media/F3q4KbEXAAAv4i6.jpg</v>
      </c>
      <c r="AW3972" s="93" t="s">
        <v>22072</v>
      </c>
      <c r="AX3972" s="93" t="s">
        <v>22072</v>
      </c>
      <c r="AY3972" s="87"/>
      <c r="AZ3972" s="93" t="s">
        <v>22668</v>
      </c>
      <c r="BA3972" s="93" t="s">
        <v>22668</v>
      </c>
      <c r="BB3972" s="93" t="s">
        <v>22668</v>
      </c>
      <c r="BC3972" s="93" t="s">
        <v>22072</v>
      </c>
      <c r="BD3972" s="93" t="s">
        <v>23563</v>
      </c>
      <c r="BE3972" s="87"/>
      <c r="BF3972" s="87"/>
      <c r="BG3972" s="87"/>
      <c r="BH3972" s="87"/>
      <c r="BI3972" s="87"/>
    </row>
    <row r="3973" spans="1:61" x14ac:dyDescent="0.25">
      <c r="A3973" s="63" t="s">
        <v>1549</v>
      </c>
      <c r="B3973" s="63" t="s">
        <v>1549</v>
      </c>
      <c r="C3973" s="64"/>
      <c r="D3973" s="65"/>
      <c r="E3973" s="66"/>
      <c r="F3973" s="67"/>
      <c r="G3973" s="64"/>
      <c r="H3973" s="68"/>
      <c r="I3973" s="69"/>
      <c r="J3973" s="69"/>
      <c r="K3973" s="32"/>
      <c r="L3973" s="76">
        <v>3973</v>
      </c>
      <c r="M3973" s="76"/>
      <c r="N3973" s="71"/>
      <c r="O3973" s="87" t="s">
        <v>179</v>
      </c>
      <c r="P3973" s="90">
        <v>45187.624710648146</v>
      </c>
      <c r="Q3973" s="87" t="s">
        <v>5616</v>
      </c>
      <c r="R3973" s="87">
        <v>0</v>
      </c>
      <c r="S3973" s="87">
        <v>1</v>
      </c>
      <c r="T3973" s="87">
        <v>0</v>
      </c>
      <c r="U3973" s="87">
        <v>0</v>
      </c>
      <c r="V3973" s="87">
        <v>242</v>
      </c>
      <c r="W3973" s="93" t="s">
        <v>6525</v>
      </c>
      <c r="X3973" s="92" t="str">
        <f>HYPERLINK("http://semanadeinovacao.enap.gov.br")</f>
        <v>http://semanadeinovacao.enap.gov.br</v>
      </c>
      <c r="Y3973" s="87" t="s">
        <v>8392</v>
      </c>
      <c r="Z3973" s="87"/>
      <c r="AA3973" s="87" t="s">
        <v>11279</v>
      </c>
      <c r="AB3973" s="87" t="s">
        <v>11448</v>
      </c>
      <c r="AC3973" s="93" t="s">
        <v>11457</v>
      </c>
      <c r="AD3973" s="87" t="s">
        <v>11519</v>
      </c>
      <c r="AE3973" s="92" t="str">
        <f>HYPERLINK("https://twitter.com/enapgovbr/status/1703785845990232468")</f>
        <v>https://twitter.com/enapgovbr/status/1703785845990232468</v>
      </c>
      <c r="AF3973" s="90">
        <v>45187.624710648146</v>
      </c>
      <c r="AG3973" s="99">
        <v>45187</v>
      </c>
      <c r="AH3973" s="93" t="s">
        <v>15017</v>
      </c>
      <c r="AI3973" s="87" t="b">
        <v>0</v>
      </c>
      <c r="AJ3973" s="87"/>
      <c r="AK3973" s="87"/>
      <c r="AL3973" s="87"/>
      <c r="AM3973" s="87"/>
      <c r="AN3973" s="87"/>
      <c r="AO3973" s="87"/>
      <c r="AP3973" s="87"/>
      <c r="AQ3973" s="87" t="s">
        <v>18091</v>
      </c>
      <c r="AR3973" s="87"/>
      <c r="AS3973" s="87"/>
      <c r="AT3973" s="87"/>
      <c r="AU3973" s="87"/>
      <c r="AV3973" s="92" t="str">
        <f>HYPERLINK("https://pbs.twimg.com/media/F6UQMOkXYAEhxSK.jpg")</f>
        <v>https://pbs.twimg.com/media/F6UQMOkXYAEhxSK.jpg</v>
      </c>
      <c r="AW3973" s="93" t="s">
        <v>22073</v>
      </c>
      <c r="AX3973" s="93" t="s">
        <v>22073</v>
      </c>
      <c r="AY3973" s="87"/>
      <c r="AZ3973" s="93" t="s">
        <v>22668</v>
      </c>
      <c r="BA3973" s="93" t="s">
        <v>22668</v>
      </c>
      <c r="BB3973" s="93" t="s">
        <v>22668</v>
      </c>
      <c r="BC3973" s="93" t="s">
        <v>22073</v>
      </c>
      <c r="BD3973" s="87">
        <v>1583124007</v>
      </c>
      <c r="BE3973" s="87"/>
      <c r="BF3973" s="87"/>
      <c r="BG3973" s="87"/>
      <c r="BH3973" s="87"/>
      <c r="BI3973" s="87"/>
    </row>
    <row r="3974" spans="1:61" x14ac:dyDescent="0.25">
      <c r="A3974" s="63" t="s">
        <v>1550</v>
      </c>
      <c r="B3974" s="63" t="s">
        <v>1550</v>
      </c>
      <c r="C3974" s="64"/>
      <c r="D3974" s="65"/>
      <c r="E3974" s="66"/>
      <c r="F3974" s="67"/>
      <c r="G3974" s="64"/>
      <c r="H3974" s="68"/>
      <c r="I3974" s="69"/>
      <c r="J3974" s="69"/>
      <c r="K3974" s="32"/>
      <c r="L3974" s="76">
        <v>3974</v>
      </c>
      <c r="M3974" s="76"/>
      <c r="N3974" s="71"/>
      <c r="O3974" s="87" t="s">
        <v>179</v>
      </c>
      <c r="P3974" s="90">
        <v>45174.611701388887</v>
      </c>
      <c r="Q3974" s="87" t="s">
        <v>5617</v>
      </c>
      <c r="R3974" s="87">
        <v>0</v>
      </c>
      <c r="S3974" s="87">
        <v>0</v>
      </c>
      <c r="T3974" s="87">
        <v>0</v>
      </c>
      <c r="U3974" s="87">
        <v>0</v>
      </c>
      <c r="V3974" s="87">
        <v>28</v>
      </c>
      <c r="W3974" s="93" t="s">
        <v>8185</v>
      </c>
      <c r="X3974" s="92" t="str">
        <f>HYPERLINK("https://scc10.com.br/radioclube/conheca-o-espaco-exclusivo-para-os-microempreendedores-individuais-de-painel/")</f>
        <v>https://scc10.com.br/radioclube/conheca-o-espaco-exclusivo-para-os-microempreendedores-individuais-de-painel/</v>
      </c>
      <c r="Y3974" s="87" t="s">
        <v>8373</v>
      </c>
      <c r="Z3974" s="87"/>
      <c r="AA3974" s="87"/>
      <c r="AB3974" s="87"/>
      <c r="AC3974" s="93" t="s">
        <v>11457</v>
      </c>
      <c r="AD3974" s="87" t="s">
        <v>11519</v>
      </c>
      <c r="AE3974" s="92" t="str">
        <f>HYPERLINK("https://twitter.com/sccsbtoficial/status/1699070092712333759")</f>
        <v>https://twitter.com/sccsbtoficial/status/1699070092712333759</v>
      </c>
      <c r="AF3974" s="90">
        <v>45174.611701388887</v>
      </c>
      <c r="AG3974" s="99">
        <v>45174</v>
      </c>
      <c r="AH3974" s="93" t="s">
        <v>15018</v>
      </c>
      <c r="AI3974" s="87" t="b">
        <v>0</v>
      </c>
      <c r="AJ3974" s="87"/>
      <c r="AK3974" s="87"/>
      <c r="AL3974" s="87"/>
      <c r="AM3974" s="87"/>
      <c r="AN3974" s="87"/>
      <c r="AO3974" s="87"/>
      <c r="AP3974" s="87"/>
      <c r="AQ3974" s="87"/>
      <c r="AR3974" s="87"/>
      <c r="AS3974" s="87"/>
      <c r="AT3974" s="87"/>
      <c r="AU3974" s="87"/>
      <c r="AV3974" s="92" t="str">
        <f>HYPERLINK("https://pbs.twimg.com/profile_images/1660624747418251265/o28eepza_normal.jpg")</f>
        <v>https://pbs.twimg.com/profile_images/1660624747418251265/o28eepza_normal.jpg</v>
      </c>
      <c r="AW3974" s="93" t="s">
        <v>22074</v>
      </c>
      <c r="AX3974" s="93" t="s">
        <v>22074</v>
      </c>
      <c r="AY3974" s="87"/>
      <c r="AZ3974" s="93" t="s">
        <v>22668</v>
      </c>
      <c r="BA3974" s="93" t="s">
        <v>22668</v>
      </c>
      <c r="BB3974" s="93" t="s">
        <v>22668</v>
      </c>
      <c r="BC3974" s="93" t="s">
        <v>22074</v>
      </c>
      <c r="BD3974" s="93" t="s">
        <v>23564</v>
      </c>
      <c r="BE3974" s="87"/>
      <c r="BF3974" s="87"/>
      <c r="BG3974" s="87"/>
      <c r="BH3974" s="87"/>
      <c r="BI3974" s="87"/>
    </row>
    <row r="3975" spans="1:61" x14ac:dyDescent="0.25">
      <c r="A3975" s="63" t="s">
        <v>1550</v>
      </c>
      <c r="B3975" s="63" t="s">
        <v>1550</v>
      </c>
      <c r="C3975" s="64"/>
      <c r="D3975" s="65"/>
      <c r="E3975" s="66"/>
      <c r="F3975" s="67"/>
      <c r="G3975" s="64"/>
      <c r="H3975" s="68"/>
      <c r="I3975" s="69"/>
      <c r="J3975" s="69"/>
      <c r="K3975" s="32"/>
      <c r="L3975" s="76">
        <v>3975</v>
      </c>
      <c r="M3975" s="76"/>
      <c r="N3975" s="71"/>
      <c r="O3975" s="87" t="s">
        <v>179</v>
      </c>
      <c r="P3975" s="90">
        <v>45184.613622685189</v>
      </c>
      <c r="Q3975" s="87" t="s">
        <v>5618</v>
      </c>
      <c r="R3975" s="87">
        <v>0</v>
      </c>
      <c r="S3975" s="87">
        <v>0</v>
      </c>
      <c r="T3975" s="87">
        <v>0</v>
      </c>
      <c r="U3975" s="87">
        <v>0</v>
      </c>
      <c r="V3975" s="87">
        <v>47</v>
      </c>
      <c r="W3975" s="93" t="s">
        <v>8186</v>
      </c>
      <c r="X3975" s="92" t="str">
        <f>HYPERLINK("https://portalscc10.com/46hEZqd")</f>
        <v>https://portalscc10.com/46hEZqd</v>
      </c>
      <c r="Y3975" s="87" t="s">
        <v>8555</v>
      </c>
      <c r="Z3975" s="87"/>
      <c r="AA3975" s="87" t="s">
        <v>11280</v>
      </c>
      <c r="AB3975" s="87" t="s">
        <v>11448</v>
      </c>
      <c r="AC3975" s="93" t="s">
        <v>11457</v>
      </c>
      <c r="AD3975" s="87" t="s">
        <v>11519</v>
      </c>
      <c r="AE3975" s="92" t="str">
        <f>HYPERLINK("https://twitter.com/sccsbtoficial/status/1702694664451629287")</f>
        <v>https://twitter.com/sccsbtoficial/status/1702694664451629287</v>
      </c>
      <c r="AF3975" s="90">
        <v>45184.613622685189</v>
      </c>
      <c r="AG3975" s="99">
        <v>45184</v>
      </c>
      <c r="AH3975" s="93" t="s">
        <v>15019</v>
      </c>
      <c r="AI3975" s="87" t="b">
        <v>0</v>
      </c>
      <c r="AJ3975" s="87"/>
      <c r="AK3975" s="87"/>
      <c r="AL3975" s="87"/>
      <c r="AM3975" s="87"/>
      <c r="AN3975" s="87"/>
      <c r="AO3975" s="87"/>
      <c r="AP3975" s="87"/>
      <c r="AQ3975" s="87" t="s">
        <v>18092</v>
      </c>
      <c r="AR3975" s="87"/>
      <c r="AS3975" s="87"/>
      <c r="AT3975" s="87"/>
      <c r="AU3975" s="87"/>
      <c r="AV3975" s="92" t="str">
        <f>HYPERLINK("https://pbs.twimg.com/media/F6Evw94XAAA-ure.jpg")</f>
        <v>https://pbs.twimg.com/media/F6Evw94XAAA-ure.jpg</v>
      </c>
      <c r="AW3975" s="93" t="s">
        <v>22075</v>
      </c>
      <c r="AX3975" s="93" t="s">
        <v>22075</v>
      </c>
      <c r="AY3975" s="87"/>
      <c r="AZ3975" s="93" t="s">
        <v>22668</v>
      </c>
      <c r="BA3975" s="93" t="s">
        <v>22668</v>
      </c>
      <c r="BB3975" s="93" t="s">
        <v>22668</v>
      </c>
      <c r="BC3975" s="93" t="s">
        <v>22075</v>
      </c>
      <c r="BD3975" s="93" t="s">
        <v>23564</v>
      </c>
      <c r="BE3975" s="87"/>
      <c r="BF3975" s="87"/>
      <c r="BG3975" s="87"/>
      <c r="BH3975" s="87"/>
      <c r="BI3975" s="87"/>
    </row>
    <row r="3976" spans="1:61" x14ac:dyDescent="0.25">
      <c r="A3976" s="63" t="s">
        <v>1551</v>
      </c>
      <c r="B3976" s="63" t="s">
        <v>1551</v>
      </c>
      <c r="C3976" s="64"/>
      <c r="D3976" s="65"/>
      <c r="E3976" s="66"/>
      <c r="F3976" s="67"/>
      <c r="G3976" s="64"/>
      <c r="H3976" s="68"/>
      <c r="I3976" s="69"/>
      <c r="J3976" s="69"/>
      <c r="K3976" s="32"/>
      <c r="L3976" s="76">
        <v>3976</v>
      </c>
      <c r="M3976" s="76"/>
      <c r="N3976" s="71"/>
      <c r="O3976" s="87" t="s">
        <v>179</v>
      </c>
      <c r="P3976" s="90">
        <v>45160.692430555559</v>
      </c>
      <c r="Q3976" s="87" t="s">
        <v>5619</v>
      </c>
      <c r="R3976" s="87">
        <v>0</v>
      </c>
      <c r="S3976" s="87">
        <v>0</v>
      </c>
      <c r="T3976" s="87">
        <v>0</v>
      </c>
      <c r="U3976" s="87">
        <v>0</v>
      </c>
      <c r="V3976" s="87">
        <v>182</v>
      </c>
      <c r="W3976" s="93" t="s">
        <v>8187</v>
      </c>
      <c r="X3976" s="87"/>
      <c r="Y3976" s="87"/>
      <c r="Z3976" s="87"/>
      <c r="AA3976" s="87" t="s">
        <v>11281</v>
      </c>
      <c r="AB3976" s="87" t="s">
        <v>11447</v>
      </c>
      <c r="AC3976" s="93" t="s">
        <v>11458</v>
      </c>
      <c r="AD3976" s="87" t="s">
        <v>11519</v>
      </c>
      <c r="AE3976" s="92" t="str">
        <f>HYPERLINK("https://twitter.com/shortsdoraiam/status/1694025916639326276")</f>
        <v>https://twitter.com/shortsdoraiam/status/1694025916639326276</v>
      </c>
      <c r="AF3976" s="90">
        <v>45160.692430555559</v>
      </c>
      <c r="AG3976" s="99">
        <v>45160</v>
      </c>
      <c r="AH3976" s="93" t="s">
        <v>15020</v>
      </c>
      <c r="AI3976" s="87" t="b">
        <v>0</v>
      </c>
      <c r="AJ3976" s="87"/>
      <c r="AK3976" s="87"/>
      <c r="AL3976" s="87"/>
      <c r="AM3976" s="87"/>
      <c r="AN3976" s="87"/>
      <c r="AO3976" s="87"/>
      <c r="AP3976" s="87"/>
      <c r="AQ3976" s="87" t="s">
        <v>18093</v>
      </c>
      <c r="AR3976" s="87">
        <v>83866</v>
      </c>
      <c r="AS3976" s="87"/>
      <c r="AT3976" s="87"/>
      <c r="AU3976" s="87"/>
      <c r="AV3976" s="92" t="str">
        <f>HYPERLINK("https://pbs.twimg.com/ext_tw_video_thumb/1694025751207587846/pu/img/MLo7Dla1s0IWIgWs.jpg")</f>
        <v>https://pbs.twimg.com/ext_tw_video_thumb/1694025751207587846/pu/img/MLo7Dla1s0IWIgWs.jpg</v>
      </c>
      <c r="AW3976" s="93" t="s">
        <v>22076</v>
      </c>
      <c r="AX3976" s="93" t="s">
        <v>22076</v>
      </c>
      <c r="AY3976" s="87"/>
      <c r="AZ3976" s="93" t="s">
        <v>22668</v>
      </c>
      <c r="BA3976" s="93" t="s">
        <v>22668</v>
      </c>
      <c r="BB3976" s="93" t="s">
        <v>22668</v>
      </c>
      <c r="BC3976" s="93" t="s">
        <v>22076</v>
      </c>
      <c r="BD3976" s="93" t="s">
        <v>23565</v>
      </c>
      <c r="BE3976" s="87"/>
      <c r="BF3976" s="87"/>
      <c r="BG3976" s="87"/>
      <c r="BH3976" s="87"/>
      <c r="BI3976" s="87"/>
    </row>
    <row r="3977" spans="1:61" x14ac:dyDescent="0.25">
      <c r="A3977" s="63" t="s">
        <v>1552</v>
      </c>
      <c r="B3977" s="63" t="s">
        <v>1552</v>
      </c>
      <c r="C3977" s="64"/>
      <c r="D3977" s="65"/>
      <c r="E3977" s="66"/>
      <c r="F3977" s="67"/>
      <c r="G3977" s="64"/>
      <c r="H3977" s="68"/>
      <c r="I3977" s="69"/>
      <c r="J3977" s="69"/>
      <c r="K3977" s="32"/>
      <c r="L3977" s="76">
        <v>3977</v>
      </c>
      <c r="M3977" s="76"/>
      <c r="N3977" s="71"/>
      <c r="O3977" s="87" t="s">
        <v>179</v>
      </c>
      <c r="P3977" s="90">
        <v>45118.143657407411</v>
      </c>
      <c r="Q3977" s="87" t="s">
        <v>5620</v>
      </c>
      <c r="R3977" s="87">
        <v>0</v>
      </c>
      <c r="S3977" s="87">
        <v>0</v>
      </c>
      <c r="T3977" s="87">
        <v>0</v>
      </c>
      <c r="U3977" s="87">
        <v>0</v>
      </c>
      <c r="V3977" s="87">
        <v>15</v>
      </c>
      <c r="W3977" s="93" t="s">
        <v>8188</v>
      </c>
      <c r="X3977" s="92" t="str">
        <f>HYPERLINK("https://www.youtube.com/watch?v=Ujf-9J3qNyc")</f>
        <v>https://www.youtube.com/watch?v=Ujf-9J3qNyc</v>
      </c>
      <c r="Y3977" s="87" t="s">
        <v>8380</v>
      </c>
      <c r="Z3977" s="87"/>
      <c r="AA3977" s="87"/>
      <c r="AB3977" s="87"/>
      <c r="AC3977" s="93" t="s">
        <v>11457</v>
      </c>
      <c r="AD3977" s="87" t="s">
        <v>11520</v>
      </c>
      <c r="AE3977" s="92" t="str">
        <f>HYPERLINK("https://twitter.com/marcia23403/status/1678606757273251841")</f>
        <v>https://twitter.com/marcia23403/status/1678606757273251841</v>
      </c>
      <c r="AF3977" s="90">
        <v>45118.143657407411</v>
      </c>
      <c r="AG3977" s="99">
        <v>45118</v>
      </c>
      <c r="AH3977" s="93" t="s">
        <v>15021</v>
      </c>
      <c r="AI3977" s="87" t="b">
        <v>0</v>
      </c>
      <c r="AJ3977" s="87"/>
      <c r="AK3977" s="87"/>
      <c r="AL3977" s="87"/>
      <c r="AM3977" s="87"/>
      <c r="AN3977" s="87"/>
      <c r="AO3977" s="87"/>
      <c r="AP3977" s="87"/>
      <c r="AQ3977" s="87"/>
      <c r="AR3977" s="87"/>
      <c r="AS3977" s="87"/>
      <c r="AT3977" s="87"/>
      <c r="AU3977" s="87"/>
      <c r="AV3977" s="92" t="str">
        <f>HYPERLINK("https://pbs.twimg.com/profile_images/1675132868509548545/mmUaCGuZ_normal.jpg")</f>
        <v>https://pbs.twimg.com/profile_images/1675132868509548545/mmUaCGuZ_normal.jpg</v>
      </c>
      <c r="AW3977" s="93" t="s">
        <v>22077</v>
      </c>
      <c r="AX3977" s="93" t="s">
        <v>22077</v>
      </c>
      <c r="AY3977" s="87"/>
      <c r="AZ3977" s="93" t="s">
        <v>22668</v>
      </c>
      <c r="BA3977" s="93" t="s">
        <v>22668</v>
      </c>
      <c r="BB3977" s="93" t="s">
        <v>22668</v>
      </c>
      <c r="BC3977" s="93" t="s">
        <v>22077</v>
      </c>
      <c r="BD3977" s="93" t="s">
        <v>23566</v>
      </c>
      <c r="BE3977" s="87"/>
      <c r="BF3977" s="87"/>
      <c r="BG3977" s="87"/>
      <c r="BH3977" s="87"/>
      <c r="BI3977" s="87"/>
    </row>
    <row r="3978" spans="1:61" x14ac:dyDescent="0.25">
      <c r="A3978" s="63" t="s">
        <v>1552</v>
      </c>
      <c r="B3978" s="63" t="s">
        <v>1552</v>
      </c>
      <c r="C3978" s="64"/>
      <c r="D3978" s="65"/>
      <c r="E3978" s="66"/>
      <c r="F3978" s="67"/>
      <c r="G3978" s="64"/>
      <c r="H3978" s="68"/>
      <c r="I3978" s="69"/>
      <c r="J3978" s="69"/>
      <c r="K3978" s="32"/>
      <c r="L3978" s="76">
        <v>3978</v>
      </c>
      <c r="M3978" s="76"/>
      <c r="N3978" s="71"/>
      <c r="O3978" s="87" t="s">
        <v>179</v>
      </c>
      <c r="P3978" s="90">
        <v>45125.784189814818</v>
      </c>
      <c r="Q3978" s="87" t="s">
        <v>5621</v>
      </c>
      <c r="R3978" s="87">
        <v>0</v>
      </c>
      <c r="S3978" s="87">
        <v>0</v>
      </c>
      <c r="T3978" s="87">
        <v>0</v>
      </c>
      <c r="U3978" s="87">
        <v>0</v>
      </c>
      <c r="V3978" s="87">
        <v>29</v>
      </c>
      <c r="W3978" s="93" t="s">
        <v>8189</v>
      </c>
      <c r="X3978" s="92" t="str">
        <f>HYPERLINK("https://wapsicanalisando.com/")</f>
        <v>https://wapsicanalisando.com/</v>
      </c>
      <c r="Y3978" s="87" t="s">
        <v>8556</v>
      </c>
      <c r="Z3978" s="87"/>
      <c r="AA3978" s="87" t="s">
        <v>11282</v>
      </c>
      <c r="AB3978" s="87" t="s">
        <v>11448</v>
      </c>
      <c r="AC3978" s="93" t="s">
        <v>11457</v>
      </c>
      <c r="AD3978" s="87" t="s">
        <v>11520</v>
      </c>
      <c r="AE3978" s="92" t="str">
        <f>HYPERLINK("https://twitter.com/marcia23403/status/1681375594137649157")</f>
        <v>https://twitter.com/marcia23403/status/1681375594137649157</v>
      </c>
      <c r="AF3978" s="90">
        <v>45125.784189814818</v>
      </c>
      <c r="AG3978" s="99">
        <v>45125</v>
      </c>
      <c r="AH3978" s="93" t="s">
        <v>15022</v>
      </c>
      <c r="AI3978" s="87" t="b">
        <v>0</v>
      </c>
      <c r="AJ3978" s="87"/>
      <c r="AK3978" s="87"/>
      <c r="AL3978" s="87"/>
      <c r="AM3978" s="87"/>
      <c r="AN3978" s="87"/>
      <c r="AO3978" s="87"/>
      <c r="AP3978" s="87"/>
      <c r="AQ3978" s="87" t="s">
        <v>18094</v>
      </c>
      <c r="AR3978" s="87"/>
      <c r="AS3978" s="87"/>
      <c r="AT3978" s="87"/>
      <c r="AU3978" s="87"/>
      <c r="AV3978" s="92" t="str">
        <f>HYPERLINK("https://pbs.twimg.com/media/F1VxtVNWAAgSpuk.jpg")</f>
        <v>https://pbs.twimg.com/media/F1VxtVNWAAgSpuk.jpg</v>
      </c>
      <c r="AW3978" s="93" t="s">
        <v>22078</v>
      </c>
      <c r="AX3978" s="93" t="s">
        <v>22078</v>
      </c>
      <c r="AY3978" s="87"/>
      <c r="AZ3978" s="93" t="s">
        <v>22668</v>
      </c>
      <c r="BA3978" s="93" t="s">
        <v>22668</v>
      </c>
      <c r="BB3978" s="93" t="s">
        <v>22668</v>
      </c>
      <c r="BC3978" s="93" t="s">
        <v>22078</v>
      </c>
      <c r="BD3978" s="93" t="s">
        <v>23566</v>
      </c>
      <c r="BE3978" s="87"/>
      <c r="BF3978" s="87"/>
      <c r="BG3978" s="87"/>
      <c r="BH3978" s="87"/>
      <c r="BI3978" s="87"/>
    </row>
    <row r="3979" spans="1:61" x14ac:dyDescent="0.25">
      <c r="A3979" s="63" t="s">
        <v>1552</v>
      </c>
      <c r="B3979" s="63" t="s">
        <v>1552</v>
      </c>
      <c r="C3979" s="64"/>
      <c r="D3979" s="65"/>
      <c r="E3979" s="66"/>
      <c r="F3979" s="67"/>
      <c r="G3979" s="64"/>
      <c r="H3979" s="68"/>
      <c r="I3979" s="69"/>
      <c r="J3979" s="69"/>
      <c r="K3979" s="32"/>
      <c r="L3979" s="76">
        <v>3979</v>
      </c>
      <c r="M3979" s="76"/>
      <c r="N3979" s="71"/>
      <c r="O3979" s="87" t="s">
        <v>179</v>
      </c>
      <c r="P3979" s="90">
        <v>45175.571388888886</v>
      </c>
      <c r="Q3979" s="87" t="s">
        <v>5622</v>
      </c>
      <c r="R3979" s="87">
        <v>0</v>
      </c>
      <c r="S3979" s="87">
        <v>0</v>
      </c>
      <c r="T3979" s="87">
        <v>0</v>
      </c>
      <c r="U3979" s="87">
        <v>0</v>
      </c>
      <c r="V3979" s="87">
        <v>19</v>
      </c>
      <c r="W3979" s="93" t="s">
        <v>8190</v>
      </c>
      <c r="X3979" s="92" t="str">
        <f>HYPERLINK("http://www.clinicawashingtonamancio.com/")</f>
        <v>http://www.clinicawashingtonamancio.com/</v>
      </c>
      <c r="Y3979" s="87" t="s">
        <v>8557</v>
      </c>
      <c r="Z3979" s="87"/>
      <c r="AA3979" s="87" t="s">
        <v>11283</v>
      </c>
      <c r="AB3979" s="87" t="s">
        <v>11448</v>
      </c>
      <c r="AC3979" s="93" t="s">
        <v>11457</v>
      </c>
      <c r="AD3979" s="87" t="s">
        <v>11520</v>
      </c>
      <c r="AE3979" s="92" t="str">
        <f>HYPERLINK("https://twitter.com/marcia23403/status/1699417869946143209")</f>
        <v>https://twitter.com/marcia23403/status/1699417869946143209</v>
      </c>
      <c r="AF3979" s="90">
        <v>45175.571388888886</v>
      </c>
      <c r="AG3979" s="99">
        <v>45175</v>
      </c>
      <c r="AH3979" s="93" t="s">
        <v>15023</v>
      </c>
      <c r="AI3979" s="87" t="b">
        <v>0</v>
      </c>
      <c r="AJ3979" s="87"/>
      <c r="AK3979" s="87"/>
      <c r="AL3979" s="87"/>
      <c r="AM3979" s="87"/>
      <c r="AN3979" s="87"/>
      <c r="AO3979" s="87"/>
      <c r="AP3979" s="87"/>
      <c r="AQ3979" s="87" t="s">
        <v>18095</v>
      </c>
      <c r="AR3979" s="87"/>
      <c r="AS3979" s="87"/>
      <c r="AT3979" s="87"/>
      <c r="AU3979" s="87"/>
      <c r="AV3979" s="92" t="str">
        <f>HYPERLINK("https://pbs.twimg.com/media/F5WLhuNXwAAFkLc.jpg")</f>
        <v>https://pbs.twimg.com/media/F5WLhuNXwAAFkLc.jpg</v>
      </c>
      <c r="AW3979" s="93" t="s">
        <v>22079</v>
      </c>
      <c r="AX3979" s="93" t="s">
        <v>22079</v>
      </c>
      <c r="AY3979" s="87"/>
      <c r="AZ3979" s="93" t="s">
        <v>22668</v>
      </c>
      <c r="BA3979" s="93" t="s">
        <v>22668</v>
      </c>
      <c r="BB3979" s="93" t="s">
        <v>22668</v>
      </c>
      <c r="BC3979" s="93" t="s">
        <v>22079</v>
      </c>
      <c r="BD3979" s="93" t="s">
        <v>23566</v>
      </c>
      <c r="BE3979" s="87"/>
      <c r="BF3979" s="87"/>
      <c r="BG3979" s="87"/>
      <c r="BH3979" s="87"/>
      <c r="BI3979" s="87"/>
    </row>
    <row r="3980" spans="1:61" x14ac:dyDescent="0.25">
      <c r="A3980" s="63" t="s">
        <v>1553</v>
      </c>
      <c r="B3980" s="63" t="s">
        <v>1553</v>
      </c>
      <c r="C3980" s="64"/>
      <c r="D3980" s="65"/>
      <c r="E3980" s="66"/>
      <c r="F3980" s="67"/>
      <c r="G3980" s="64"/>
      <c r="H3980" s="68"/>
      <c r="I3980" s="69"/>
      <c r="J3980" s="69"/>
      <c r="K3980" s="32"/>
      <c r="L3980" s="76">
        <v>3980</v>
      </c>
      <c r="M3980" s="76"/>
      <c r="N3980" s="71"/>
      <c r="O3980" s="87" t="s">
        <v>179</v>
      </c>
      <c r="P3980" s="90">
        <v>45171.933240740742</v>
      </c>
      <c r="Q3980" s="87" t="s">
        <v>5623</v>
      </c>
      <c r="R3980" s="87">
        <v>0</v>
      </c>
      <c r="S3980" s="87">
        <v>0</v>
      </c>
      <c r="T3980" s="87">
        <v>0</v>
      </c>
      <c r="U3980" s="87">
        <v>0</v>
      </c>
      <c r="V3980" s="87">
        <v>18</v>
      </c>
      <c r="W3980" s="93" t="s">
        <v>8191</v>
      </c>
      <c r="X3980" s="87"/>
      <c r="Y3980" s="87"/>
      <c r="Z3980" s="87"/>
      <c r="AA3980" s="87" t="s">
        <v>11284</v>
      </c>
      <c r="AB3980" s="87" t="s">
        <v>11448</v>
      </c>
      <c r="AC3980" s="93" t="s">
        <v>11459</v>
      </c>
      <c r="AD3980" s="87" t="s">
        <v>11519</v>
      </c>
      <c r="AE3980" s="92" t="str">
        <f>HYPERLINK("https://twitter.com/fatorleo/status/1698099448750936124")</f>
        <v>https://twitter.com/fatorleo/status/1698099448750936124</v>
      </c>
      <c r="AF3980" s="90">
        <v>45171.933240740742</v>
      </c>
      <c r="AG3980" s="99">
        <v>45171</v>
      </c>
      <c r="AH3980" s="93" t="s">
        <v>15024</v>
      </c>
      <c r="AI3980" s="87" t="b">
        <v>0</v>
      </c>
      <c r="AJ3980" s="87"/>
      <c r="AK3980" s="87"/>
      <c r="AL3980" s="87"/>
      <c r="AM3980" s="87"/>
      <c r="AN3980" s="87"/>
      <c r="AO3980" s="87"/>
      <c r="AP3980" s="87"/>
      <c r="AQ3980" s="87" t="s">
        <v>18096</v>
      </c>
      <c r="AR3980" s="87"/>
      <c r="AS3980" s="87"/>
      <c r="AT3980" s="87"/>
      <c r="AU3980" s="87"/>
      <c r="AV3980" s="92" t="str">
        <f>HYPERLINK("https://pbs.twimg.com/media/F5DccvuW8AAnSsM.jpg")</f>
        <v>https://pbs.twimg.com/media/F5DccvuW8AAnSsM.jpg</v>
      </c>
      <c r="AW3980" s="93" t="s">
        <v>22080</v>
      </c>
      <c r="AX3980" s="93" t="s">
        <v>22080</v>
      </c>
      <c r="AY3980" s="87"/>
      <c r="AZ3980" s="93" t="s">
        <v>22668</v>
      </c>
      <c r="BA3980" s="93" t="s">
        <v>22668</v>
      </c>
      <c r="BB3980" s="93" t="s">
        <v>22668</v>
      </c>
      <c r="BC3980" s="93" t="s">
        <v>22080</v>
      </c>
      <c r="BD3980" s="93" t="s">
        <v>23567</v>
      </c>
      <c r="BE3980" s="87"/>
      <c r="BF3980" s="87"/>
      <c r="BG3980" s="87"/>
      <c r="BH3980" s="87"/>
      <c r="BI3980" s="87"/>
    </row>
    <row r="3981" spans="1:61" x14ac:dyDescent="0.25">
      <c r="A3981" s="63" t="s">
        <v>1554</v>
      </c>
      <c r="B3981" s="63" t="s">
        <v>1554</v>
      </c>
      <c r="C3981" s="64"/>
      <c r="D3981" s="65"/>
      <c r="E3981" s="66"/>
      <c r="F3981" s="67"/>
      <c r="G3981" s="64"/>
      <c r="H3981" s="68"/>
      <c r="I3981" s="69"/>
      <c r="J3981" s="69"/>
      <c r="K3981" s="32"/>
      <c r="L3981" s="76">
        <v>3981</v>
      </c>
      <c r="M3981" s="76"/>
      <c r="N3981" s="71"/>
      <c r="O3981" s="87" t="s">
        <v>179</v>
      </c>
      <c r="P3981" s="90">
        <v>45152.123206018521</v>
      </c>
      <c r="Q3981" s="87" t="s">
        <v>5624</v>
      </c>
      <c r="R3981" s="87">
        <v>0</v>
      </c>
      <c r="S3981" s="87">
        <v>0</v>
      </c>
      <c r="T3981" s="87">
        <v>0</v>
      </c>
      <c r="U3981" s="87">
        <v>0</v>
      </c>
      <c r="V3981" s="87">
        <v>72</v>
      </c>
      <c r="W3981" s="93" t="s">
        <v>8192</v>
      </c>
      <c r="X3981" s="87"/>
      <c r="Y3981" s="87"/>
      <c r="Z3981" s="87"/>
      <c r="AA3981" s="87" t="s">
        <v>11285</v>
      </c>
      <c r="AB3981" s="87" t="s">
        <v>11447</v>
      </c>
      <c r="AC3981" s="93" t="s">
        <v>11459</v>
      </c>
      <c r="AD3981" s="87" t="s">
        <v>11519</v>
      </c>
      <c r="AE3981" s="92" t="str">
        <f>HYPERLINK("https://twitter.com/cortesrato/status/1690920533930450944")</f>
        <v>https://twitter.com/cortesrato/status/1690920533930450944</v>
      </c>
      <c r="AF3981" s="90">
        <v>45152.123206018521</v>
      </c>
      <c r="AG3981" s="99">
        <v>45152</v>
      </c>
      <c r="AH3981" s="93" t="s">
        <v>15025</v>
      </c>
      <c r="AI3981" s="87" t="b">
        <v>0</v>
      </c>
      <c r="AJ3981" s="87"/>
      <c r="AK3981" s="87"/>
      <c r="AL3981" s="87"/>
      <c r="AM3981" s="87"/>
      <c r="AN3981" s="87"/>
      <c r="AO3981" s="87"/>
      <c r="AP3981" s="87"/>
      <c r="AQ3981" s="87" t="s">
        <v>18097</v>
      </c>
      <c r="AR3981" s="87">
        <v>23480</v>
      </c>
      <c r="AS3981" s="87"/>
      <c r="AT3981" s="87"/>
      <c r="AU3981" s="87"/>
      <c r="AV3981" s="92" t="str">
        <f>HYPERLINK("https://pbs.twimg.com/ext_tw_video_thumb/1690920476686577665/pu/img/pfxy-QFA0r-NpOow.jpg")</f>
        <v>https://pbs.twimg.com/ext_tw_video_thumb/1690920476686577665/pu/img/pfxy-QFA0r-NpOow.jpg</v>
      </c>
      <c r="AW3981" s="93" t="s">
        <v>22081</v>
      </c>
      <c r="AX3981" s="93" t="s">
        <v>22081</v>
      </c>
      <c r="AY3981" s="87"/>
      <c r="AZ3981" s="93" t="s">
        <v>22668</v>
      </c>
      <c r="BA3981" s="93" t="s">
        <v>22668</v>
      </c>
      <c r="BB3981" s="93" t="s">
        <v>22668</v>
      </c>
      <c r="BC3981" s="93" t="s">
        <v>22081</v>
      </c>
      <c r="BD3981" s="93" t="s">
        <v>23568</v>
      </c>
      <c r="BE3981" s="87"/>
      <c r="BF3981" s="87"/>
      <c r="BG3981" s="87"/>
      <c r="BH3981" s="87"/>
      <c r="BI3981" s="87"/>
    </row>
    <row r="3982" spans="1:61" x14ac:dyDescent="0.25">
      <c r="A3982" s="63" t="s">
        <v>1555</v>
      </c>
      <c r="B3982" s="63" t="s">
        <v>1555</v>
      </c>
      <c r="C3982" s="64"/>
      <c r="D3982" s="65"/>
      <c r="E3982" s="66"/>
      <c r="F3982" s="67"/>
      <c r="G3982" s="64"/>
      <c r="H3982" s="68"/>
      <c r="I3982" s="69"/>
      <c r="J3982" s="69"/>
      <c r="K3982" s="32"/>
      <c r="L3982" s="76">
        <v>3982</v>
      </c>
      <c r="M3982" s="76"/>
      <c r="N3982" s="71"/>
      <c r="O3982" s="87" t="s">
        <v>179</v>
      </c>
      <c r="P3982" s="90">
        <v>45117.813148148147</v>
      </c>
      <c r="Q3982" s="87" t="s">
        <v>5625</v>
      </c>
      <c r="R3982" s="87">
        <v>0</v>
      </c>
      <c r="S3982" s="87">
        <v>0</v>
      </c>
      <c r="T3982" s="87">
        <v>0</v>
      </c>
      <c r="U3982" s="87">
        <v>0</v>
      </c>
      <c r="V3982" s="87">
        <v>36</v>
      </c>
      <c r="W3982" s="93" t="s">
        <v>8193</v>
      </c>
      <c r="X3982" s="92" t="str">
        <f>HYPERLINK("https://mla.bs/3876fc79")</f>
        <v>https://mla.bs/3876fc79</v>
      </c>
      <c r="Y3982" s="87" t="s">
        <v>8396</v>
      </c>
      <c r="Z3982" s="87"/>
      <c r="AA3982" s="87" t="s">
        <v>11286</v>
      </c>
      <c r="AB3982" s="87" t="s">
        <v>11448</v>
      </c>
      <c r="AC3982" s="93" t="s">
        <v>11460</v>
      </c>
      <c r="AD3982" s="87" t="s">
        <v>11519</v>
      </c>
      <c r="AE3982" s="92" t="str">
        <f>HYPERLINK("https://twitter.com/sistemafaemg/status/1678486984916889606")</f>
        <v>https://twitter.com/sistemafaemg/status/1678486984916889606</v>
      </c>
      <c r="AF3982" s="90">
        <v>45117.813148148147</v>
      </c>
      <c r="AG3982" s="99">
        <v>45117</v>
      </c>
      <c r="AH3982" s="93" t="s">
        <v>15026</v>
      </c>
      <c r="AI3982" s="87" t="b">
        <v>0</v>
      </c>
      <c r="AJ3982" s="87"/>
      <c r="AK3982" s="87"/>
      <c r="AL3982" s="87"/>
      <c r="AM3982" s="87"/>
      <c r="AN3982" s="87"/>
      <c r="AO3982" s="87"/>
      <c r="AP3982" s="87"/>
      <c r="AQ3982" s="87" t="s">
        <v>18098</v>
      </c>
      <c r="AR3982" s="87"/>
      <c r="AS3982" s="87"/>
      <c r="AT3982" s="87"/>
      <c r="AU3982" s="87"/>
      <c r="AV3982" s="92" t="str">
        <f>HYPERLINK("https://pbs.twimg.com/media/F0svBL6WwAARjxM.jpg")</f>
        <v>https://pbs.twimg.com/media/F0svBL6WwAARjxM.jpg</v>
      </c>
      <c r="AW3982" s="93" t="s">
        <v>22082</v>
      </c>
      <c r="AX3982" s="93" t="s">
        <v>22082</v>
      </c>
      <c r="AY3982" s="87"/>
      <c r="AZ3982" s="93" t="s">
        <v>22668</v>
      </c>
      <c r="BA3982" s="93" t="s">
        <v>22668</v>
      </c>
      <c r="BB3982" s="93" t="s">
        <v>22668</v>
      </c>
      <c r="BC3982" s="93" t="s">
        <v>22082</v>
      </c>
      <c r="BD3982" s="87">
        <v>557963849</v>
      </c>
      <c r="BE3982" s="87"/>
      <c r="BF3982" s="87"/>
      <c r="BG3982" s="87"/>
      <c r="BH3982" s="87"/>
      <c r="BI3982" s="87"/>
    </row>
    <row r="3983" spans="1:61" x14ac:dyDescent="0.25">
      <c r="A3983" s="63" t="s">
        <v>1555</v>
      </c>
      <c r="B3983" s="63" t="s">
        <v>1555</v>
      </c>
      <c r="C3983" s="64"/>
      <c r="D3983" s="65"/>
      <c r="E3983" s="66"/>
      <c r="F3983" s="67"/>
      <c r="G3983" s="64"/>
      <c r="H3983" s="68"/>
      <c r="I3983" s="69"/>
      <c r="J3983" s="69"/>
      <c r="K3983" s="32"/>
      <c r="L3983" s="76">
        <v>3983</v>
      </c>
      <c r="M3983" s="76"/>
      <c r="N3983" s="71"/>
      <c r="O3983" s="87" t="s">
        <v>179</v>
      </c>
      <c r="P3983" s="90">
        <v>45167.729166666664</v>
      </c>
      <c r="Q3983" s="87" t="s">
        <v>5626</v>
      </c>
      <c r="R3983" s="87">
        <v>0</v>
      </c>
      <c r="S3983" s="87">
        <v>1</v>
      </c>
      <c r="T3983" s="87">
        <v>0</v>
      </c>
      <c r="U3983" s="87">
        <v>0</v>
      </c>
      <c r="V3983" s="87">
        <v>52</v>
      </c>
      <c r="W3983" s="93" t="s">
        <v>8194</v>
      </c>
      <c r="X3983" s="92" t="str">
        <f>HYPERLINK("https://mla.bs/79be6938")</f>
        <v>https://mla.bs/79be6938</v>
      </c>
      <c r="Y3983" s="87" t="s">
        <v>8396</v>
      </c>
      <c r="Z3983" s="87"/>
      <c r="AA3983" s="87" t="s">
        <v>11287</v>
      </c>
      <c r="AB3983" s="87" t="s">
        <v>11448</v>
      </c>
      <c r="AC3983" s="93" t="s">
        <v>11457</v>
      </c>
      <c r="AD3983" s="87" t="s">
        <v>11519</v>
      </c>
      <c r="AE3983" s="92" t="str">
        <f>HYPERLINK("https://twitter.com/sistemafaemg/status/1696575943773667538")</f>
        <v>https://twitter.com/sistemafaemg/status/1696575943773667538</v>
      </c>
      <c r="AF3983" s="90">
        <v>45167.729166666664</v>
      </c>
      <c r="AG3983" s="99">
        <v>45167</v>
      </c>
      <c r="AH3983" s="93" t="s">
        <v>11960</v>
      </c>
      <c r="AI3983" s="87" t="b">
        <v>0</v>
      </c>
      <c r="AJ3983" s="87"/>
      <c r="AK3983" s="87"/>
      <c r="AL3983" s="87"/>
      <c r="AM3983" s="87"/>
      <c r="AN3983" s="87"/>
      <c r="AO3983" s="87"/>
      <c r="AP3983" s="87"/>
      <c r="AQ3983" s="87" t="s">
        <v>18099</v>
      </c>
      <c r="AR3983" s="87"/>
      <c r="AS3983" s="87"/>
      <c r="AT3983" s="87"/>
      <c r="AU3983" s="87"/>
      <c r="AV3983" s="92" t="str">
        <f>HYPERLINK("https://pbs.twimg.com/media/F4tos9cX0A8zPI0.jpg")</f>
        <v>https://pbs.twimg.com/media/F4tos9cX0A8zPI0.jpg</v>
      </c>
      <c r="AW3983" s="93" t="s">
        <v>22083</v>
      </c>
      <c r="AX3983" s="93" t="s">
        <v>22083</v>
      </c>
      <c r="AY3983" s="87"/>
      <c r="AZ3983" s="93" t="s">
        <v>22668</v>
      </c>
      <c r="BA3983" s="93" t="s">
        <v>22668</v>
      </c>
      <c r="BB3983" s="93" t="s">
        <v>22668</v>
      </c>
      <c r="BC3983" s="93" t="s">
        <v>22083</v>
      </c>
      <c r="BD3983" s="87">
        <v>557963849</v>
      </c>
      <c r="BE3983" s="87"/>
      <c r="BF3983" s="87"/>
      <c r="BG3983" s="87"/>
      <c r="BH3983" s="87"/>
      <c r="BI3983" s="87"/>
    </row>
    <row r="3984" spans="1:61" x14ac:dyDescent="0.25">
      <c r="A3984" s="63" t="s">
        <v>1556</v>
      </c>
      <c r="B3984" s="63" t="s">
        <v>1556</v>
      </c>
      <c r="C3984" s="64"/>
      <c r="D3984" s="65"/>
      <c r="E3984" s="66"/>
      <c r="F3984" s="67"/>
      <c r="G3984" s="64"/>
      <c r="H3984" s="68"/>
      <c r="I3984" s="69"/>
      <c r="J3984" s="69"/>
      <c r="K3984" s="32"/>
      <c r="L3984" s="76">
        <v>3984</v>
      </c>
      <c r="M3984" s="76"/>
      <c r="N3984" s="71"/>
      <c r="O3984" s="87" t="s">
        <v>179</v>
      </c>
      <c r="P3984" s="90">
        <v>45158.013425925928</v>
      </c>
      <c r="Q3984" s="87" t="s">
        <v>5627</v>
      </c>
      <c r="R3984" s="87">
        <v>0</v>
      </c>
      <c r="S3984" s="87">
        <v>0</v>
      </c>
      <c r="T3984" s="87">
        <v>0</v>
      </c>
      <c r="U3984" s="87">
        <v>0</v>
      </c>
      <c r="V3984" s="87">
        <v>24</v>
      </c>
      <c r="W3984" s="93" t="s">
        <v>8074</v>
      </c>
      <c r="X3984" s="87"/>
      <c r="Y3984" s="87"/>
      <c r="Z3984" s="87"/>
      <c r="AA3984" s="87" t="s">
        <v>11288</v>
      </c>
      <c r="AB3984" s="87" t="s">
        <v>11448</v>
      </c>
      <c r="AC3984" s="93" t="s">
        <v>11459</v>
      </c>
      <c r="AD3984" s="87" t="s">
        <v>11518</v>
      </c>
      <c r="AE3984" s="92" t="str">
        <f>HYPERLINK("https://twitter.com/mdali86465915/status/1693055075927961621")</f>
        <v>https://twitter.com/mdali86465915/status/1693055075927961621</v>
      </c>
      <c r="AF3984" s="90">
        <v>45158.013425925928</v>
      </c>
      <c r="AG3984" s="99">
        <v>45158</v>
      </c>
      <c r="AH3984" s="93" t="s">
        <v>15027</v>
      </c>
      <c r="AI3984" s="87" t="b">
        <v>0</v>
      </c>
      <c r="AJ3984" s="87" t="s">
        <v>15232</v>
      </c>
      <c r="AK3984" s="87" t="s">
        <v>15236</v>
      </c>
      <c r="AL3984" s="87" t="s">
        <v>15239</v>
      </c>
      <c r="AM3984" s="87" t="s">
        <v>15303</v>
      </c>
      <c r="AN3984" s="87" t="s">
        <v>15370</v>
      </c>
      <c r="AO3984" s="87" t="s">
        <v>15435</v>
      </c>
      <c r="AP3984" s="87" t="s">
        <v>15438</v>
      </c>
      <c r="AQ3984" s="87" t="s">
        <v>18100</v>
      </c>
      <c r="AR3984" s="87"/>
      <c r="AS3984" s="87"/>
      <c r="AT3984" s="87"/>
      <c r="AU3984" s="87"/>
      <c r="AV3984" s="92" t="str">
        <f>HYPERLINK("https://pbs.twimg.com/media/F37wmMVbEAEa5lo.jpg")</f>
        <v>https://pbs.twimg.com/media/F37wmMVbEAEa5lo.jpg</v>
      </c>
      <c r="AW3984" s="93" t="s">
        <v>22084</v>
      </c>
      <c r="AX3984" s="93" t="s">
        <v>22084</v>
      </c>
      <c r="AY3984" s="87"/>
      <c r="AZ3984" s="93" t="s">
        <v>22668</v>
      </c>
      <c r="BA3984" s="93" t="s">
        <v>22668</v>
      </c>
      <c r="BB3984" s="93" t="s">
        <v>22668</v>
      </c>
      <c r="BC3984" s="93" t="s">
        <v>22084</v>
      </c>
      <c r="BD3984" s="93" t="s">
        <v>23569</v>
      </c>
      <c r="BE3984" s="87"/>
      <c r="BF3984" s="87"/>
      <c r="BG3984" s="87"/>
      <c r="BH3984" s="87"/>
      <c r="BI3984" s="87"/>
    </row>
    <row r="3985" spans="1:61" x14ac:dyDescent="0.25">
      <c r="A3985" s="63" t="s">
        <v>1557</v>
      </c>
      <c r="B3985" s="63" t="s">
        <v>1557</v>
      </c>
      <c r="C3985" s="64"/>
      <c r="D3985" s="65"/>
      <c r="E3985" s="66"/>
      <c r="F3985" s="67"/>
      <c r="G3985" s="64"/>
      <c r="H3985" s="68"/>
      <c r="I3985" s="69"/>
      <c r="J3985" s="69"/>
      <c r="K3985" s="32"/>
      <c r="L3985" s="76">
        <v>3985</v>
      </c>
      <c r="M3985" s="76"/>
      <c r="N3985" s="71"/>
      <c r="O3985" s="87" t="s">
        <v>179</v>
      </c>
      <c r="P3985" s="90">
        <v>45181.750023148146</v>
      </c>
      <c r="Q3985" s="87" t="s">
        <v>5628</v>
      </c>
      <c r="R3985" s="87">
        <v>0</v>
      </c>
      <c r="S3985" s="87">
        <v>0</v>
      </c>
      <c r="T3985" s="87">
        <v>0</v>
      </c>
      <c r="U3985" s="87">
        <v>0</v>
      </c>
      <c r="V3985" s="87">
        <v>5</v>
      </c>
      <c r="W3985" s="93" t="s">
        <v>8195</v>
      </c>
      <c r="X3985" s="92" t="str">
        <f>HYPERLINK("http://www.portalnews.com.br")</f>
        <v>http://www.portalnews.com.br</v>
      </c>
      <c r="Y3985" s="87" t="s">
        <v>8373</v>
      </c>
      <c r="Z3985" s="87"/>
      <c r="AA3985" s="87" t="s">
        <v>11289</v>
      </c>
      <c r="AB3985" s="87" t="s">
        <v>11448</v>
      </c>
      <c r="AC3985" s="93" t="s">
        <v>11457</v>
      </c>
      <c r="AD3985" s="87" t="s">
        <v>11519</v>
      </c>
      <c r="AE3985" s="92" t="str">
        <f>HYPERLINK("https://twitter.com/moginewsonline/status/1701656931931414923")</f>
        <v>https://twitter.com/moginewsonline/status/1701656931931414923</v>
      </c>
      <c r="AF3985" s="90">
        <v>45181.750023148146</v>
      </c>
      <c r="AG3985" s="99">
        <v>45181</v>
      </c>
      <c r="AH3985" s="93" t="s">
        <v>15028</v>
      </c>
      <c r="AI3985" s="87" t="b">
        <v>0</v>
      </c>
      <c r="AJ3985" s="87"/>
      <c r="AK3985" s="87"/>
      <c r="AL3985" s="87"/>
      <c r="AM3985" s="87"/>
      <c r="AN3985" s="87"/>
      <c r="AO3985" s="87"/>
      <c r="AP3985" s="87"/>
      <c r="AQ3985" s="87" t="s">
        <v>18101</v>
      </c>
      <c r="AR3985" s="87"/>
      <c r="AS3985" s="87"/>
      <c r="AT3985" s="87"/>
      <c r="AU3985" s="87"/>
      <c r="AV3985" s="92" t="str">
        <f>HYPERLINK("https://pbs.twimg.com/media/F51Q1OeaIAAVj0u.jpg")</f>
        <v>https://pbs.twimg.com/media/F51Q1OeaIAAVj0u.jpg</v>
      </c>
      <c r="AW3985" s="93" t="s">
        <v>22085</v>
      </c>
      <c r="AX3985" s="93" t="s">
        <v>22085</v>
      </c>
      <c r="AY3985" s="87"/>
      <c r="AZ3985" s="93" t="s">
        <v>22668</v>
      </c>
      <c r="BA3985" s="93" t="s">
        <v>22668</v>
      </c>
      <c r="BB3985" s="93" t="s">
        <v>22668</v>
      </c>
      <c r="BC3985" s="93" t="s">
        <v>22085</v>
      </c>
      <c r="BD3985" s="93" t="s">
        <v>23570</v>
      </c>
      <c r="BE3985" s="87"/>
      <c r="BF3985" s="87"/>
      <c r="BG3985" s="87"/>
      <c r="BH3985" s="87"/>
      <c r="BI3985" s="87"/>
    </row>
    <row r="3986" spans="1:61" x14ac:dyDescent="0.25">
      <c r="A3986" s="63" t="s">
        <v>1558</v>
      </c>
      <c r="B3986" s="63" t="s">
        <v>1558</v>
      </c>
      <c r="C3986" s="64"/>
      <c r="D3986" s="65"/>
      <c r="E3986" s="66"/>
      <c r="F3986" s="67"/>
      <c r="G3986" s="64"/>
      <c r="H3986" s="68"/>
      <c r="I3986" s="69"/>
      <c r="J3986" s="69"/>
      <c r="K3986" s="32"/>
      <c r="L3986" s="76">
        <v>3986</v>
      </c>
      <c r="M3986" s="76"/>
      <c r="N3986" s="71"/>
      <c r="O3986" s="87" t="s">
        <v>179</v>
      </c>
      <c r="P3986" s="90">
        <v>45159.614583333336</v>
      </c>
      <c r="Q3986" s="87" t="s">
        <v>5629</v>
      </c>
      <c r="R3986" s="87">
        <v>0</v>
      </c>
      <c r="S3986" s="87">
        <v>1</v>
      </c>
      <c r="T3986" s="87">
        <v>0</v>
      </c>
      <c r="U3986" s="87">
        <v>0</v>
      </c>
      <c r="V3986" s="87">
        <v>9</v>
      </c>
      <c r="W3986" s="93" t="s">
        <v>8196</v>
      </c>
      <c r="X3986" s="92" t="str">
        <f>HYPERLINK("https://tradewebbrasil.com.br/fnomarketingdigital")</f>
        <v>https://tradewebbrasil.com.br/fnomarketingdigital</v>
      </c>
      <c r="Y3986" s="87" t="s">
        <v>8373</v>
      </c>
      <c r="Z3986" s="87"/>
      <c r="AA3986" s="87" t="s">
        <v>11290</v>
      </c>
      <c r="AB3986" s="87" t="s">
        <v>11448</v>
      </c>
      <c r="AC3986" s="93" t="s">
        <v>11457</v>
      </c>
      <c r="AD3986" s="87" t="s">
        <v>11519</v>
      </c>
      <c r="AE3986" s="92" t="str">
        <f>HYPERLINK("https://twitter.com/tradewebbrasil/status/1693635316228186612")</f>
        <v>https://twitter.com/tradewebbrasil/status/1693635316228186612</v>
      </c>
      <c r="AF3986" s="90">
        <v>45159.614583333336</v>
      </c>
      <c r="AG3986" s="99">
        <v>45159</v>
      </c>
      <c r="AH3986" s="93" t="s">
        <v>15029</v>
      </c>
      <c r="AI3986" s="87" t="b">
        <v>0</v>
      </c>
      <c r="AJ3986" s="87"/>
      <c r="AK3986" s="87"/>
      <c r="AL3986" s="87"/>
      <c r="AM3986" s="87"/>
      <c r="AN3986" s="87"/>
      <c r="AO3986" s="87"/>
      <c r="AP3986" s="87"/>
      <c r="AQ3986" s="87" t="s">
        <v>18102</v>
      </c>
      <c r="AR3986" s="87"/>
      <c r="AS3986" s="87"/>
      <c r="AT3986" s="87"/>
      <c r="AU3986" s="87"/>
      <c r="AV3986" s="92" t="str">
        <f>HYPERLINK("https://pbs.twimg.com/media/F3_87FaXkAAZiIg.jpg")</f>
        <v>https://pbs.twimg.com/media/F3_87FaXkAAZiIg.jpg</v>
      </c>
      <c r="AW3986" s="93" t="s">
        <v>22086</v>
      </c>
      <c r="AX3986" s="93" t="s">
        <v>22086</v>
      </c>
      <c r="AY3986" s="87"/>
      <c r="AZ3986" s="93" t="s">
        <v>22668</v>
      </c>
      <c r="BA3986" s="93" t="s">
        <v>22668</v>
      </c>
      <c r="BB3986" s="93" t="s">
        <v>22668</v>
      </c>
      <c r="BC3986" s="93" t="s">
        <v>22086</v>
      </c>
      <c r="BD3986" s="87">
        <v>206288600</v>
      </c>
      <c r="BE3986" s="87"/>
      <c r="BF3986" s="87"/>
      <c r="BG3986" s="87"/>
      <c r="BH3986" s="87"/>
      <c r="BI3986" s="87"/>
    </row>
    <row r="3987" spans="1:61" x14ac:dyDescent="0.25">
      <c r="A3987" s="63" t="s">
        <v>1558</v>
      </c>
      <c r="B3987" s="63" t="s">
        <v>1558</v>
      </c>
      <c r="C3987" s="64"/>
      <c r="D3987" s="65"/>
      <c r="E3987" s="66"/>
      <c r="F3987" s="67"/>
      <c r="G3987" s="64"/>
      <c r="H3987" s="68"/>
      <c r="I3987" s="69"/>
      <c r="J3987" s="69"/>
      <c r="K3987" s="32"/>
      <c r="L3987" s="76">
        <v>3987</v>
      </c>
      <c r="M3987" s="76"/>
      <c r="N3987" s="71"/>
      <c r="O3987" s="87" t="s">
        <v>179</v>
      </c>
      <c r="P3987" s="90">
        <v>45148.614583333336</v>
      </c>
      <c r="Q3987" s="87" t="s">
        <v>5630</v>
      </c>
      <c r="R3987" s="87">
        <v>0</v>
      </c>
      <c r="S3987" s="87">
        <v>1</v>
      </c>
      <c r="T3987" s="87">
        <v>0</v>
      </c>
      <c r="U3987" s="87">
        <v>0</v>
      </c>
      <c r="V3987" s="87">
        <v>10</v>
      </c>
      <c r="W3987" s="93" t="s">
        <v>8197</v>
      </c>
      <c r="X3987" s="87"/>
      <c r="Y3987" s="87"/>
      <c r="Z3987" s="87"/>
      <c r="AA3987" s="87" t="s">
        <v>11291</v>
      </c>
      <c r="AB3987" s="87" t="s">
        <v>11448</v>
      </c>
      <c r="AC3987" s="93" t="s">
        <v>11457</v>
      </c>
      <c r="AD3987" s="87" t="s">
        <v>11519</v>
      </c>
      <c r="AE3987" s="92" t="str">
        <f>HYPERLINK("https://twitter.com/tradewebbrasil/status/1689649049409146881")</f>
        <v>https://twitter.com/tradewebbrasil/status/1689649049409146881</v>
      </c>
      <c r="AF3987" s="90">
        <v>45148.614583333336</v>
      </c>
      <c r="AG3987" s="99">
        <v>45148</v>
      </c>
      <c r="AH3987" s="93" t="s">
        <v>15029</v>
      </c>
      <c r="AI3987" s="87" t="b">
        <v>0</v>
      </c>
      <c r="AJ3987" s="87"/>
      <c r="AK3987" s="87"/>
      <c r="AL3987" s="87"/>
      <c r="AM3987" s="87"/>
      <c r="AN3987" s="87"/>
      <c r="AO3987" s="87"/>
      <c r="AP3987" s="87"/>
      <c r="AQ3987" s="87" t="s">
        <v>18103</v>
      </c>
      <c r="AR3987" s="87"/>
      <c r="AS3987" s="87"/>
      <c r="AT3987" s="87"/>
      <c r="AU3987" s="87"/>
      <c r="AV3987" s="92" t="str">
        <f>HYPERLINK("https://pbs.twimg.com/media/F233oN-W8AAFf4p.jpg")</f>
        <v>https://pbs.twimg.com/media/F233oN-W8AAFf4p.jpg</v>
      </c>
      <c r="AW3987" s="93" t="s">
        <v>22087</v>
      </c>
      <c r="AX3987" s="93" t="s">
        <v>22087</v>
      </c>
      <c r="AY3987" s="87"/>
      <c r="AZ3987" s="93" t="s">
        <v>22668</v>
      </c>
      <c r="BA3987" s="93" t="s">
        <v>22668</v>
      </c>
      <c r="BB3987" s="93" t="s">
        <v>22668</v>
      </c>
      <c r="BC3987" s="93" t="s">
        <v>22087</v>
      </c>
      <c r="BD3987" s="87">
        <v>206288600</v>
      </c>
      <c r="BE3987" s="87"/>
      <c r="BF3987" s="87"/>
      <c r="BG3987" s="87"/>
      <c r="BH3987" s="87"/>
      <c r="BI3987" s="87"/>
    </row>
    <row r="3988" spans="1:61" x14ac:dyDescent="0.25">
      <c r="A3988" s="63" t="s">
        <v>1558</v>
      </c>
      <c r="B3988" s="63" t="s">
        <v>1558</v>
      </c>
      <c r="C3988" s="64"/>
      <c r="D3988" s="65"/>
      <c r="E3988" s="66"/>
      <c r="F3988" s="67"/>
      <c r="G3988" s="64"/>
      <c r="H3988" s="68"/>
      <c r="I3988" s="69"/>
      <c r="J3988" s="69"/>
      <c r="K3988" s="32"/>
      <c r="L3988" s="76">
        <v>3988</v>
      </c>
      <c r="M3988" s="76"/>
      <c r="N3988" s="71"/>
      <c r="O3988" s="87" t="s">
        <v>179</v>
      </c>
      <c r="P3988" s="90">
        <v>45147.416666666664</v>
      </c>
      <c r="Q3988" s="87" t="s">
        <v>5631</v>
      </c>
      <c r="R3988" s="87">
        <v>0</v>
      </c>
      <c r="S3988" s="87">
        <v>0</v>
      </c>
      <c r="T3988" s="87">
        <v>0</v>
      </c>
      <c r="U3988" s="87">
        <v>0</v>
      </c>
      <c r="V3988" s="87">
        <v>40</v>
      </c>
      <c r="W3988" s="93" t="s">
        <v>8198</v>
      </c>
      <c r="X3988" s="92" t="str">
        <f>HYPERLINK("https://instagram.com/tradewebbrasil")</f>
        <v>https://instagram.com/tradewebbrasil</v>
      </c>
      <c r="Y3988" s="87" t="s">
        <v>8383</v>
      </c>
      <c r="Z3988" s="87"/>
      <c r="AA3988" s="87" t="s">
        <v>11292</v>
      </c>
      <c r="AB3988" s="87" t="s">
        <v>11448</v>
      </c>
      <c r="AC3988" s="93" t="s">
        <v>11457</v>
      </c>
      <c r="AD3988" s="87" t="s">
        <v>11519</v>
      </c>
      <c r="AE3988" s="92" t="str">
        <f>HYPERLINK("https://twitter.com/tradewebbrasil/status/1689214939020599296")</f>
        <v>https://twitter.com/tradewebbrasil/status/1689214939020599296</v>
      </c>
      <c r="AF3988" s="90">
        <v>45147.416666666664</v>
      </c>
      <c r="AG3988" s="99">
        <v>45147</v>
      </c>
      <c r="AH3988" s="93" t="s">
        <v>12369</v>
      </c>
      <c r="AI3988" s="87" t="b">
        <v>0</v>
      </c>
      <c r="AJ3988" s="87"/>
      <c r="AK3988" s="87"/>
      <c r="AL3988" s="87"/>
      <c r="AM3988" s="87"/>
      <c r="AN3988" s="87"/>
      <c r="AO3988" s="87"/>
      <c r="AP3988" s="87"/>
      <c r="AQ3988" s="87" t="s">
        <v>18104</v>
      </c>
      <c r="AR3988" s="87"/>
      <c r="AS3988" s="87"/>
      <c r="AT3988" s="87"/>
      <c r="AU3988" s="87"/>
      <c r="AV3988" s="92" t="str">
        <f>HYPERLINK("https://pbs.twimg.com/media/F3C0RcXW4AAXvo5.jpg")</f>
        <v>https://pbs.twimg.com/media/F3C0RcXW4AAXvo5.jpg</v>
      </c>
      <c r="AW3988" s="93" t="s">
        <v>22088</v>
      </c>
      <c r="AX3988" s="93" t="s">
        <v>22088</v>
      </c>
      <c r="AY3988" s="87"/>
      <c r="AZ3988" s="93" t="s">
        <v>22668</v>
      </c>
      <c r="BA3988" s="93" t="s">
        <v>22668</v>
      </c>
      <c r="BB3988" s="93" t="s">
        <v>22668</v>
      </c>
      <c r="BC3988" s="93" t="s">
        <v>22088</v>
      </c>
      <c r="BD3988" s="87">
        <v>206288600</v>
      </c>
      <c r="BE3988" s="87"/>
      <c r="BF3988" s="87"/>
      <c r="BG3988" s="87"/>
      <c r="BH3988" s="87"/>
      <c r="BI3988" s="87"/>
    </row>
    <row r="3989" spans="1:61" x14ac:dyDescent="0.25">
      <c r="A3989" s="63" t="s">
        <v>1558</v>
      </c>
      <c r="B3989" s="63" t="s">
        <v>1558</v>
      </c>
      <c r="C3989" s="64"/>
      <c r="D3989" s="65"/>
      <c r="E3989" s="66"/>
      <c r="F3989" s="67"/>
      <c r="G3989" s="64"/>
      <c r="H3989" s="68"/>
      <c r="I3989" s="69"/>
      <c r="J3989" s="69"/>
      <c r="K3989" s="32"/>
      <c r="L3989" s="76">
        <v>3989</v>
      </c>
      <c r="M3989" s="76"/>
      <c r="N3989" s="71"/>
      <c r="O3989" s="87" t="s">
        <v>179</v>
      </c>
      <c r="P3989" s="90">
        <v>45146.416701388887</v>
      </c>
      <c r="Q3989" s="87" t="s">
        <v>5632</v>
      </c>
      <c r="R3989" s="87">
        <v>0</v>
      </c>
      <c r="S3989" s="87">
        <v>1</v>
      </c>
      <c r="T3989" s="87">
        <v>0</v>
      </c>
      <c r="U3989" s="87">
        <v>0</v>
      </c>
      <c r="V3989" s="87">
        <v>40</v>
      </c>
      <c r="W3989" s="93" t="s">
        <v>8199</v>
      </c>
      <c r="X3989" s="92" t="str">
        <f>HYPERLINK("https://instagram.com/tradewebbrasil")</f>
        <v>https://instagram.com/tradewebbrasil</v>
      </c>
      <c r="Y3989" s="87" t="s">
        <v>8383</v>
      </c>
      <c r="Z3989" s="87"/>
      <c r="AA3989" s="87" t="s">
        <v>11293</v>
      </c>
      <c r="AB3989" s="87" t="s">
        <v>11448</v>
      </c>
      <c r="AC3989" s="93" t="s">
        <v>11457</v>
      </c>
      <c r="AD3989" s="87" t="s">
        <v>11519</v>
      </c>
      <c r="AE3989" s="92" t="str">
        <f>HYPERLINK("https://twitter.com/tradewebbrasil/status/1688852563183947776")</f>
        <v>https://twitter.com/tradewebbrasil/status/1688852563183947776</v>
      </c>
      <c r="AF3989" s="90">
        <v>45146.416701388887</v>
      </c>
      <c r="AG3989" s="99">
        <v>45146</v>
      </c>
      <c r="AH3989" s="93" t="s">
        <v>15030</v>
      </c>
      <c r="AI3989" s="87" t="b">
        <v>0</v>
      </c>
      <c r="AJ3989" s="87"/>
      <c r="AK3989" s="87"/>
      <c r="AL3989" s="87"/>
      <c r="AM3989" s="87"/>
      <c r="AN3989" s="87"/>
      <c r="AO3989" s="87"/>
      <c r="AP3989" s="87"/>
      <c r="AQ3989" s="87" t="s">
        <v>18105</v>
      </c>
      <c r="AR3989" s="87"/>
      <c r="AS3989" s="87"/>
      <c r="AT3989" s="87"/>
      <c r="AU3989" s="87"/>
      <c r="AV3989" s="92" t="str">
        <f>HYPERLINK("https://pbs.twimg.com/media/F29v5qGWkAAGlvd.jpg")</f>
        <v>https://pbs.twimg.com/media/F29v5qGWkAAGlvd.jpg</v>
      </c>
      <c r="AW3989" s="93" t="s">
        <v>22089</v>
      </c>
      <c r="AX3989" s="93" t="s">
        <v>22089</v>
      </c>
      <c r="AY3989" s="87"/>
      <c r="AZ3989" s="93" t="s">
        <v>22668</v>
      </c>
      <c r="BA3989" s="93" t="s">
        <v>22668</v>
      </c>
      <c r="BB3989" s="93" t="s">
        <v>22668</v>
      </c>
      <c r="BC3989" s="93" t="s">
        <v>22089</v>
      </c>
      <c r="BD3989" s="87">
        <v>206288600</v>
      </c>
      <c r="BE3989" s="87"/>
      <c r="BF3989" s="87"/>
      <c r="BG3989" s="87"/>
      <c r="BH3989" s="87"/>
      <c r="BI3989" s="87"/>
    </row>
    <row r="3990" spans="1:61" x14ac:dyDescent="0.25">
      <c r="A3990" s="63" t="s">
        <v>1558</v>
      </c>
      <c r="B3990" s="63" t="s">
        <v>1558</v>
      </c>
      <c r="C3990" s="64"/>
      <c r="D3990" s="65"/>
      <c r="E3990" s="66"/>
      <c r="F3990" s="67"/>
      <c r="G3990" s="64"/>
      <c r="H3990" s="68"/>
      <c r="I3990" s="69"/>
      <c r="J3990" s="69"/>
      <c r="K3990" s="32"/>
      <c r="L3990" s="76">
        <v>3990</v>
      </c>
      <c r="M3990" s="76"/>
      <c r="N3990" s="71"/>
      <c r="O3990" s="87" t="s">
        <v>179</v>
      </c>
      <c r="P3990" s="90">
        <v>45134.614583333336</v>
      </c>
      <c r="Q3990" s="87" t="s">
        <v>5633</v>
      </c>
      <c r="R3990" s="87">
        <v>0</v>
      </c>
      <c r="S3990" s="87">
        <v>1</v>
      </c>
      <c r="T3990" s="87">
        <v>0</v>
      </c>
      <c r="U3990" s="87">
        <v>0</v>
      </c>
      <c r="V3990" s="87">
        <v>18</v>
      </c>
      <c r="W3990" s="93" t="s">
        <v>8197</v>
      </c>
      <c r="X3990" s="87"/>
      <c r="Y3990" s="87"/>
      <c r="Z3990" s="87"/>
      <c r="AA3990" s="87" t="s">
        <v>11294</v>
      </c>
      <c r="AB3990" s="87" t="s">
        <v>11448</v>
      </c>
      <c r="AC3990" s="93" t="s">
        <v>11457</v>
      </c>
      <c r="AD3990" s="87" t="s">
        <v>11519</v>
      </c>
      <c r="AE3990" s="92" t="str">
        <f>HYPERLINK("https://twitter.com/tradewebbrasil/status/1684575620326633476")</f>
        <v>https://twitter.com/tradewebbrasil/status/1684575620326633476</v>
      </c>
      <c r="AF3990" s="90">
        <v>45134.614583333336</v>
      </c>
      <c r="AG3990" s="99">
        <v>45134</v>
      </c>
      <c r="AH3990" s="93" t="s">
        <v>15029</v>
      </c>
      <c r="AI3990" s="87" t="b">
        <v>0</v>
      </c>
      <c r="AJ3990" s="87"/>
      <c r="AK3990" s="87"/>
      <c r="AL3990" s="87"/>
      <c r="AM3990" s="87"/>
      <c r="AN3990" s="87"/>
      <c r="AO3990" s="87"/>
      <c r="AP3990" s="87"/>
      <c r="AQ3990" s="87" t="s">
        <v>18106</v>
      </c>
      <c r="AR3990" s="87"/>
      <c r="AS3990" s="87"/>
      <c r="AT3990" s="87"/>
      <c r="AU3990" s="87"/>
      <c r="AV3990" s="92" t="str">
        <f>HYPERLINK("https://pbs.twimg.com/media/F1wgib4XgAEBx7Z.jpg")</f>
        <v>https://pbs.twimg.com/media/F1wgib4XgAEBx7Z.jpg</v>
      </c>
      <c r="AW3990" s="93" t="s">
        <v>22090</v>
      </c>
      <c r="AX3990" s="93" t="s">
        <v>22090</v>
      </c>
      <c r="AY3990" s="87"/>
      <c r="AZ3990" s="93" t="s">
        <v>22668</v>
      </c>
      <c r="BA3990" s="93" t="s">
        <v>22668</v>
      </c>
      <c r="BB3990" s="93" t="s">
        <v>22668</v>
      </c>
      <c r="BC3990" s="93" t="s">
        <v>22090</v>
      </c>
      <c r="BD3990" s="87">
        <v>206288600</v>
      </c>
      <c r="BE3990" s="87"/>
      <c r="BF3990" s="87"/>
      <c r="BG3990" s="87"/>
      <c r="BH3990" s="87"/>
      <c r="BI3990" s="87"/>
    </row>
    <row r="3991" spans="1:61" x14ac:dyDescent="0.25">
      <c r="A3991" s="63" t="s">
        <v>1558</v>
      </c>
      <c r="B3991" s="63" t="s">
        <v>1558</v>
      </c>
      <c r="C3991" s="64"/>
      <c r="D3991" s="65"/>
      <c r="E3991" s="66"/>
      <c r="F3991" s="67"/>
      <c r="G3991" s="64"/>
      <c r="H3991" s="68"/>
      <c r="I3991" s="69"/>
      <c r="J3991" s="69"/>
      <c r="K3991" s="32"/>
      <c r="L3991" s="76">
        <v>3991</v>
      </c>
      <c r="M3991" s="76"/>
      <c r="N3991" s="71"/>
      <c r="O3991" s="87" t="s">
        <v>179</v>
      </c>
      <c r="P3991" s="90">
        <v>45118.614583333336</v>
      </c>
      <c r="Q3991" s="87" t="s">
        <v>5634</v>
      </c>
      <c r="R3991" s="87">
        <v>0</v>
      </c>
      <c r="S3991" s="87">
        <v>0</v>
      </c>
      <c r="T3991" s="87">
        <v>0</v>
      </c>
      <c r="U3991" s="87">
        <v>0</v>
      </c>
      <c r="V3991" s="87">
        <v>7</v>
      </c>
      <c r="W3991" s="93" t="s">
        <v>8200</v>
      </c>
      <c r="X3991" s="92" t="str">
        <f>HYPERLINK("https://tradewebbrasil.com.br/hiveyoutubeetwitter11jul23")</f>
        <v>https://tradewebbrasil.com.br/hiveyoutubeetwitter11jul23</v>
      </c>
      <c r="Y3991" s="87" t="s">
        <v>8373</v>
      </c>
      <c r="Z3991" s="87"/>
      <c r="AA3991" s="87" t="s">
        <v>11295</v>
      </c>
      <c r="AB3991" s="87" t="s">
        <v>11448</v>
      </c>
      <c r="AC3991" s="93" t="s">
        <v>11457</v>
      </c>
      <c r="AD3991" s="87" t="s">
        <v>11519</v>
      </c>
      <c r="AE3991" s="92" t="str">
        <f>HYPERLINK("https://twitter.com/tradewebbrasil/status/1678777414799994889")</f>
        <v>https://twitter.com/tradewebbrasil/status/1678777414799994889</v>
      </c>
      <c r="AF3991" s="90">
        <v>45118.614583333336</v>
      </c>
      <c r="AG3991" s="99">
        <v>45118</v>
      </c>
      <c r="AH3991" s="93" t="s">
        <v>15029</v>
      </c>
      <c r="AI3991" s="87" t="b">
        <v>0</v>
      </c>
      <c r="AJ3991" s="87"/>
      <c r="AK3991" s="87"/>
      <c r="AL3991" s="87"/>
      <c r="AM3991" s="87"/>
      <c r="AN3991" s="87"/>
      <c r="AO3991" s="87"/>
      <c r="AP3991" s="87"/>
      <c r="AQ3991" s="87" t="s">
        <v>18107</v>
      </c>
      <c r="AR3991" s="87"/>
      <c r="AS3991" s="87"/>
      <c r="AT3991" s="87"/>
      <c r="AU3991" s="87"/>
      <c r="AV3991" s="92" t="str">
        <f>HYPERLINK("https://pbs.twimg.com/media/F0t5pMwWYAEjn0O.jpg")</f>
        <v>https://pbs.twimg.com/media/F0t5pMwWYAEjn0O.jpg</v>
      </c>
      <c r="AW3991" s="93" t="s">
        <v>22091</v>
      </c>
      <c r="AX3991" s="93" t="s">
        <v>22091</v>
      </c>
      <c r="AY3991" s="87"/>
      <c r="AZ3991" s="93" t="s">
        <v>22668</v>
      </c>
      <c r="BA3991" s="93" t="s">
        <v>22668</v>
      </c>
      <c r="BB3991" s="93" t="s">
        <v>22668</v>
      </c>
      <c r="BC3991" s="93" t="s">
        <v>22091</v>
      </c>
      <c r="BD3991" s="87">
        <v>206288600</v>
      </c>
      <c r="BE3991" s="87"/>
      <c r="BF3991" s="87"/>
      <c r="BG3991" s="87"/>
      <c r="BH3991" s="87"/>
      <c r="BI3991" s="87"/>
    </row>
    <row r="3992" spans="1:61" x14ac:dyDescent="0.25">
      <c r="A3992" s="63" t="s">
        <v>1558</v>
      </c>
      <c r="B3992" s="63" t="s">
        <v>1558</v>
      </c>
      <c r="C3992" s="64"/>
      <c r="D3992" s="65"/>
      <c r="E3992" s="66"/>
      <c r="F3992" s="67"/>
      <c r="G3992" s="64"/>
      <c r="H3992" s="68"/>
      <c r="I3992" s="69"/>
      <c r="J3992" s="69"/>
      <c r="K3992" s="32"/>
      <c r="L3992" s="76">
        <v>3992</v>
      </c>
      <c r="M3992" s="76"/>
      <c r="N3992" s="71"/>
      <c r="O3992" s="87" t="s">
        <v>179</v>
      </c>
      <c r="P3992" s="90">
        <v>45111.614583333336</v>
      </c>
      <c r="Q3992" s="87" t="s">
        <v>5635</v>
      </c>
      <c r="R3992" s="87">
        <v>0</v>
      </c>
      <c r="S3992" s="87">
        <v>1</v>
      </c>
      <c r="T3992" s="87">
        <v>0</v>
      </c>
      <c r="U3992" s="87">
        <v>0</v>
      </c>
      <c r="V3992" s="87">
        <v>122</v>
      </c>
      <c r="W3992" s="93" t="s">
        <v>8201</v>
      </c>
      <c r="X3992" s="92" t="str">
        <f>HYPERLINK("https://tradewebbrasil.com.br/ebookprimeirasvendas")</f>
        <v>https://tradewebbrasil.com.br/ebookprimeirasvendas</v>
      </c>
      <c r="Y3992" s="87" t="s">
        <v>8373</v>
      </c>
      <c r="Z3992" s="87"/>
      <c r="AA3992" s="87" t="s">
        <v>11296</v>
      </c>
      <c r="AB3992" s="87" t="s">
        <v>11448</v>
      </c>
      <c r="AC3992" s="93" t="s">
        <v>11457</v>
      </c>
      <c r="AD3992" s="87" t="s">
        <v>11519</v>
      </c>
      <c r="AE3992" s="92" t="str">
        <f>HYPERLINK("https://twitter.com/tradewebbrasil/status/1676240699002351616")</f>
        <v>https://twitter.com/tradewebbrasil/status/1676240699002351616</v>
      </c>
      <c r="AF3992" s="90">
        <v>45111.614583333336</v>
      </c>
      <c r="AG3992" s="99">
        <v>45111</v>
      </c>
      <c r="AH3992" s="93" t="s">
        <v>15029</v>
      </c>
      <c r="AI3992" s="87" t="b">
        <v>0</v>
      </c>
      <c r="AJ3992" s="87"/>
      <c r="AK3992" s="87"/>
      <c r="AL3992" s="87"/>
      <c r="AM3992" s="87"/>
      <c r="AN3992" s="87"/>
      <c r="AO3992" s="87"/>
      <c r="AP3992" s="87"/>
      <c r="AQ3992" s="87" t="s">
        <v>18108</v>
      </c>
      <c r="AR3992" s="87"/>
      <c r="AS3992" s="87"/>
      <c r="AT3992" s="87"/>
      <c r="AU3992" s="87"/>
      <c r="AV3992" s="92" t="str">
        <f>HYPERLINK("https://pbs.twimg.com/media/Fz_d2-rXsAENxg-.jpg")</f>
        <v>https://pbs.twimg.com/media/Fz_d2-rXsAENxg-.jpg</v>
      </c>
      <c r="AW3992" s="93" t="s">
        <v>22092</v>
      </c>
      <c r="AX3992" s="93" t="s">
        <v>22092</v>
      </c>
      <c r="AY3992" s="87"/>
      <c r="AZ3992" s="93" t="s">
        <v>22668</v>
      </c>
      <c r="BA3992" s="93" t="s">
        <v>22668</v>
      </c>
      <c r="BB3992" s="93" t="s">
        <v>22668</v>
      </c>
      <c r="BC3992" s="93" t="s">
        <v>22092</v>
      </c>
      <c r="BD3992" s="87">
        <v>206288600</v>
      </c>
      <c r="BE3992" s="87"/>
      <c r="BF3992" s="87"/>
      <c r="BG3992" s="87"/>
      <c r="BH3992" s="87"/>
      <c r="BI3992" s="87"/>
    </row>
    <row r="3993" spans="1:61" x14ac:dyDescent="0.25">
      <c r="A3993" s="63" t="s">
        <v>1558</v>
      </c>
      <c r="B3993" s="63" t="s">
        <v>1558</v>
      </c>
      <c r="C3993" s="64"/>
      <c r="D3993" s="65"/>
      <c r="E3993" s="66"/>
      <c r="F3993" s="67"/>
      <c r="G3993" s="64"/>
      <c r="H3993" s="68"/>
      <c r="I3993" s="69"/>
      <c r="J3993" s="69"/>
      <c r="K3993" s="32"/>
      <c r="L3993" s="76">
        <v>3993</v>
      </c>
      <c r="M3993" s="76"/>
      <c r="N3993" s="71"/>
      <c r="O3993" s="87" t="s">
        <v>179</v>
      </c>
      <c r="P3993" s="90">
        <v>45159.416678240741</v>
      </c>
      <c r="Q3993" s="87" t="s">
        <v>5636</v>
      </c>
      <c r="R3993" s="87">
        <v>0</v>
      </c>
      <c r="S3993" s="87">
        <v>0</v>
      </c>
      <c r="T3993" s="87">
        <v>0</v>
      </c>
      <c r="U3993" s="87">
        <v>0</v>
      </c>
      <c r="V3993" s="87">
        <v>15</v>
      </c>
      <c r="W3993" s="93" t="s">
        <v>8202</v>
      </c>
      <c r="X3993" s="92" t="str">
        <f>HYPERLINK("https://tradewebbrasil.com.br")</f>
        <v>https://tradewebbrasil.com.br</v>
      </c>
      <c r="Y3993" s="87" t="s">
        <v>8373</v>
      </c>
      <c r="Z3993" s="87"/>
      <c r="AA3993" s="87" t="s">
        <v>11297</v>
      </c>
      <c r="AB3993" s="87" t="s">
        <v>11448</v>
      </c>
      <c r="AC3993" s="93" t="s">
        <v>11457</v>
      </c>
      <c r="AD3993" s="87" t="s">
        <v>11519</v>
      </c>
      <c r="AE3993" s="92" t="str">
        <f>HYPERLINK("https://twitter.com/tradewebbrasil/status/1693563599468605578")</f>
        <v>https://twitter.com/tradewebbrasil/status/1693563599468605578</v>
      </c>
      <c r="AF3993" s="90">
        <v>45159.416678240741</v>
      </c>
      <c r="AG3993" s="99">
        <v>45159</v>
      </c>
      <c r="AH3993" s="93" t="s">
        <v>15031</v>
      </c>
      <c r="AI3993" s="87" t="b">
        <v>0</v>
      </c>
      <c r="AJ3993" s="87"/>
      <c r="AK3993" s="87"/>
      <c r="AL3993" s="87"/>
      <c r="AM3993" s="87"/>
      <c r="AN3993" s="87"/>
      <c r="AO3993" s="87"/>
      <c r="AP3993" s="87"/>
      <c r="AQ3993" s="87" t="s">
        <v>18109</v>
      </c>
      <c r="AR3993" s="87"/>
      <c r="AS3993" s="87"/>
      <c r="AT3993" s="87"/>
      <c r="AU3993" s="87"/>
      <c r="AV3993" s="92" t="str">
        <f>HYPERLINK("https://pbs.twimg.com/media/F3_uh2xW8AELERb.jpg")</f>
        <v>https://pbs.twimg.com/media/F3_uh2xW8AELERb.jpg</v>
      </c>
      <c r="AW3993" s="93" t="s">
        <v>22093</v>
      </c>
      <c r="AX3993" s="93" t="s">
        <v>22093</v>
      </c>
      <c r="AY3993" s="87"/>
      <c r="AZ3993" s="93" t="s">
        <v>22668</v>
      </c>
      <c r="BA3993" s="93" t="s">
        <v>22668</v>
      </c>
      <c r="BB3993" s="93" t="s">
        <v>22668</v>
      </c>
      <c r="BC3993" s="93" t="s">
        <v>22093</v>
      </c>
      <c r="BD3993" s="87">
        <v>206288600</v>
      </c>
      <c r="BE3993" s="87"/>
      <c r="BF3993" s="87"/>
      <c r="BG3993" s="87"/>
      <c r="BH3993" s="87"/>
      <c r="BI3993" s="87"/>
    </row>
    <row r="3994" spans="1:61" x14ac:dyDescent="0.25">
      <c r="A3994" s="63" t="s">
        <v>1558</v>
      </c>
      <c r="B3994" s="63" t="s">
        <v>1558</v>
      </c>
      <c r="C3994" s="64"/>
      <c r="D3994" s="65"/>
      <c r="E3994" s="66"/>
      <c r="F3994" s="67"/>
      <c r="G3994" s="64"/>
      <c r="H3994" s="68"/>
      <c r="I3994" s="69"/>
      <c r="J3994" s="69"/>
      <c r="K3994" s="32"/>
      <c r="L3994" s="76">
        <v>3994</v>
      </c>
      <c r="M3994" s="76"/>
      <c r="N3994" s="71"/>
      <c r="O3994" s="87" t="s">
        <v>179</v>
      </c>
      <c r="P3994" s="90">
        <v>45158.500011574077</v>
      </c>
      <c r="Q3994" s="87" t="s">
        <v>5637</v>
      </c>
      <c r="R3994" s="87">
        <v>0</v>
      </c>
      <c r="S3994" s="87">
        <v>0</v>
      </c>
      <c r="T3994" s="87">
        <v>0</v>
      </c>
      <c r="U3994" s="87">
        <v>0</v>
      </c>
      <c r="V3994" s="87">
        <v>18</v>
      </c>
      <c r="W3994" s="93" t="s">
        <v>8203</v>
      </c>
      <c r="X3994" s="92" t="str">
        <f>HYPERLINK("https://instagram.com/tradewebbrasil")</f>
        <v>https://instagram.com/tradewebbrasil</v>
      </c>
      <c r="Y3994" s="87" t="s">
        <v>8383</v>
      </c>
      <c r="Z3994" s="87"/>
      <c r="AA3994" s="87" t="s">
        <v>11298</v>
      </c>
      <c r="AB3994" s="87" t="s">
        <v>11448</v>
      </c>
      <c r="AC3994" s="93" t="s">
        <v>11457</v>
      </c>
      <c r="AD3994" s="87" t="s">
        <v>11519</v>
      </c>
      <c r="AE3994" s="92" t="str">
        <f>HYPERLINK("https://twitter.com/tradewebbrasil/status/1693231410281120195")</f>
        <v>https://twitter.com/tradewebbrasil/status/1693231410281120195</v>
      </c>
      <c r="AF3994" s="90">
        <v>45158.500011574077</v>
      </c>
      <c r="AG3994" s="99">
        <v>45158</v>
      </c>
      <c r="AH3994" s="93" t="s">
        <v>12091</v>
      </c>
      <c r="AI3994" s="87" t="b">
        <v>0</v>
      </c>
      <c r="AJ3994" s="87"/>
      <c r="AK3994" s="87"/>
      <c r="AL3994" s="87"/>
      <c r="AM3994" s="87"/>
      <c r="AN3994" s="87"/>
      <c r="AO3994" s="87"/>
      <c r="AP3994" s="87"/>
      <c r="AQ3994" s="87" t="s">
        <v>18110</v>
      </c>
      <c r="AR3994" s="87"/>
      <c r="AS3994" s="87"/>
      <c r="AT3994" s="87"/>
      <c r="AU3994" s="87"/>
      <c r="AV3994" s="92" t="str">
        <f>HYPERLINK("https://pbs.twimg.com/media/F36bAsAXUAAz-XV.jpg")</f>
        <v>https://pbs.twimg.com/media/F36bAsAXUAAz-XV.jpg</v>
      </c>
      <c r="AW3994" s="93" t="s">
        <v>22094</v>
      </c>
      <c r="AX3994" s="93" t="s">
        <v>22094</v>
      </c>
      <c r="AY3994" s="87"/>
      <c r="AZ3994" s="93" t="s">
        <v>22668</v>
      </c>
      <c r="BA3994" s="93" t="s">
        <v>22668</v>
      </c>
      <c r="BB3994" s="93" t="s">
        <v>22668</v>
      </c>
      <c r="BC3994" s="93" t="s">
        <v>22094</v>
      </c>
      <c r="BD3994" s="87">
        <v>206288600</v>
      </c>
      <c r="BE3994" s="87"/>
      <c r="BF3994" s="87"/>
      <c r="BG3994" s="87"/>
      <c r="BH3994" s="87"/>
      <c r="BI3994" s="87"/>
    </row>
    <row r="3995" spans="1:61" x14ac:dyDescent="0.25">
      <c r="A3995" s="63" t="s">
        <v>1558</v>
      </c>
      <c r="B3995" s="63" t="s">
        <v>1558</v>
      </c>
      <c r="C3995" s="64"/>
      <c r="D3995" s="65"/>
      <c r="E3995" s="66"/>
      <c r="F3995" s="67"/>
      <c r="G3995" s="64"/>
      <c r="H3995" s="68"/>
      <c r="I3995" s="69"/>
      <c r="J3995" s="69"/>
      <c r="K3995" s="32"/>
      <c r="L3995" s="76">
        <v>3995</v>
      </c>
      <c r="M3995" s="76"/>
      <c r="N3995" s="71"/>
      <c r="O3995" s="87" t="s">
        <v>179</v>
      </c>
      <c r="P3995" s="90">
        <v>45119.614583333336</v>
      </c>
      <c r="Q3995" s="87" t="s">
        <v>5638</v>
      </c>
      <c r="R3995" s="87">
        <v>0</v>
      </c>
      <c r="S3995" s="87">
        <v>1</v>
      </c>
      <c r="T3995" s="87">
        <v>0</v>
      </c>
      <c r="U3995" s="87">
        <v>0</v>
      </c>
      <c r="V3995" s="87">
        <v>20</v>
      </c>
      <c r="W3995" s="93" t="s">
        <v>8197</v>
      </c>
      <c r="X3995" s="87"/>
      <c r="Y3995" s="87"/>
      <c r="Z3995" s="87"/>
      <c r="AA3995" s="87" t="s">
        <v>11299</v>
      </c>
      <c r="AB3995" s="87" t="s">
        <v>11448</v>
      </c>
      <c r="AC3995" s="93" t="s">
        <v>11457</v>
      </c>
      <c r="AD3995" s="87" t="s">
        <v>11519</v>
      </c>
      <c r="AE3995" s="92" t="str">
        <f>HYPERLINK("https://twitter.com/tradewebbrasil/status/1679139801197576192")</f>
        <v>https://twitter.com/tradewebbrasil/status/1679139801197576192</v>
      </c>
      <c r="AF3995" s="90">
        <v>45119.614583333336</v>
      </c>
      <c r="AG3995" s="99">
        <v>45119</v>
      </c>
      <c r="AH3995" s="93" t="s">
        <v>15029</v>
      </c>
      <c r="AI3995" s="87" t="b">
        <v>0</v>
      </c>
      <c r="AJ3995" s="87"/>
      <c r="AK3995" s="87"/>
      <c r="AL3995" s="87"/>
      <c r="AM3995" s="87"/>
      <c r="AN3995" s="87"/>
      <c r="AO3995" s="87"/>
      <c r="AP3995" s="87"/>
      <c r="AQ3995" s="87" t="s">
        <v>18111</v>
      </c>
      <c r="AR3995" s="87"/>
      <c r="AS3995" s="87"/>
      <c r="AT3995" s="87"/>
      <c r="AU3995" s="87"/>
      <c r="AV3995" s="92" t="str">
        <f>HYPERLINK("https://pbs.twimg.com/media/F0t8irkXwAE9B-u.jpg")</f>
        <v>https://pbs.twimg.com/media/F0t8irkXwAE9B-u.jpg</v>
      </c>
      <c r="AW3995" s="93" t="s">
        <v>22095</v>
      </c>
      <c r="AX3995" s="93" t="s">
        <v>22095</v>
      </c>
      <c r="AY3995" s="87"/>
      <c r="AZ3995" s="93" t="s">
        <v>22668</v>
      </c>
      <c r="BA3995" s="93" t="s">
        <v>22668</v>
      </c>
      <c r="BB3995" s="93" t="s">
        <v>22668</v>
      </c>
      <c r="BC3995" s="93" t="s">
        <v>22095</v>
      </c>
      <c r="BD3995" s="87">
        <v>206288600</v>
      </c>
      <c r="BE3995" s="87"/>
      <c r="BF3995" s="87"/>
      <c r="BG3995" s="87"/>
      <c r="BH3995" s="87"/>
      <c r="BI3995" s="87"/>
    </row>
    <row r="3996" spans="1:61" x14ac:dyDescent="0.25">
      <c r="A3996" s="63" t="s">
        <v>1558</v>
      </c>
      <c r="B3996" s="63" t="s">
        <v>1558</v>
      </c>
      <c r="C3996" s="64"/>
      <c r="D3996" s="65"/>
      <c r="E3996" s="66"/>
      <c r="F3996" s="67"/>
      <c r="G3996" s="64"/>
      <c r="H3996" s="68"/>
      <c r="I3996" s="69"/>
      <c r="J3996" s="69"/>
      <c r="K3996" s="32"/>
      <c r="L3996" s="76">
        <v>3996</v>
      </c>
      <c r="M3996" s="76"/>
      <c r="N3996" s="71"/>
      <c r="O3996" s="87" t="s">
        <v>179</v>
      </c>
      <c r="P3996" s="90">
        <v>45113.416689814818</v>
      </c>
      <c r="Q3996" s="87" t="s">
        <v>5639</v>
      </c>
      <c r="R3996" s="87">
        <v>0</v>
      </c>
      <c r="S3996" s="87">
        <v>1</v>
      </c>
      <c r="T3996" s="87">
        <v>0</v>
      </c>
      <c r="U3996" s="87">
        <v>0</v>
      </c>
      <c r="V3996" s="87">
        <v>11</v>
      </c>
      <c r="W3996" s="93" t="s">
        <v>8204</v>
      </c>
      <c r="X3996" s="92" t="str">
        <f>HYPERLINK("https://tradewebbrasil.com.br")</f>
        <v>https://tradewebbrasil.com.br</v>
      </c>
      <c r="Y3996" s="87" t="s">
        <v>8373</v>
      </c>
      <c r="Z3996" s="87"/>
      <c r="AA3996" s="87" t="s">
        <v>11300</v>
      </c>
      <c r="AB3996" s="87" t="s">
        <v>11448</v>
      </c>
      <c r="AC3996" s="93" t="s">
        <v>11457</v>
      </c>
      <c r="AD3996" s="87" t="s">
        <v>11519</v>
      </c>
      <c r="AE3996" s="92" t="str">
        <f>HYPERLINK("https://twitter.com/tradewebbrasil/status/1676893761865908225")</f>
        <v>https://twitter.com/tradewebbrasil/status/1676893761865908225</v>
      </c>
      <c r="AF3996" s="90">
        <v>45113.416689814818</v>
      </c>
      <c r="AG3996" s="99">
        <v>45113</v>
      </c>
      <c r="AH3996" s="93" t="s">
        <v>13523</v>
      </c>
      <c r="AI3996" s="87" t="b">
        <v>0</v>
      </c>
      <c r="AJ3996" s="87"/>
      <c r="AK3996" s="87"/>
      <c r="AL3996" s="87"/>
      <c r="AM3996" s="87"/>
      <c r="AN3996" s="87"/>
      <c r="AO3996" s="87"/>
      <c r="AP3996" s="87"/>
      <c r="AQ3996" s="87" t="s">
        <v>18112</v>
      </c>
      <c r="AR3996" s="87"/>
      <c r="AS3996" s="87"/>
      <c r="AT3996" s="87"/>
      <c r="AU3996" s="87"/>
      <c r="AV3996" s="92" t="str">
        <f>HYPERLINK("https://pbs.twimg.com/media/F0TzxiJWwAEALiE.jpg")</f>
        <v>https://pbs.twimg.com/media/F0TzxiJWwAEALiE.jpg</v>
      </c>
      <c r="AW3996" s="93" t="s">
        <v>22096</v>
      </c>
      <c r="AX3996" s="93" t="s">
        <v>22096</v>
      </c>
      <c r="AY3996" s="87"/>
      <c r="AZ3996" s="93" t="s">
        <v>22668</v>
      </c>
      <c r="BA3996" s="93" t="s">
        <v>22668</v>
      </c>
      <c r="BB3996" s="93" t="s">
        <v>22668</v>
      </c>
      <c r="BC3996" s="93" t="s">
        <v>22096</v>
      </c>
      <c r="BD3996" s="87">
        <v>206288600</v>
      </c>
      <c r="BE3996" s="87"/>
      <c r="BF3996" s="87"/>
      <c r="BG3996" s="87"/>
      <c r="BH3996" s="87"/>
      <c r="BI3996" s="87"/>
    </row>
    <row r="3997" spans="1:61" x14ac:dyDescent="0.25">
      <c r="A3997" s="63" t="s">
        <v>1558</v>
      </c>
      <c r="B3997" s="63" t="s">
        <v>1558</v>
      </c>
      <c r="C3997" s="64"/>
      <c r="D3997" s="65"/>
      <c r="E3997" s="66"/>
      <c r="F3997" s="67"/>
      <c r="G3997" s="64"/>
      <c r="H3997" s="68"/>
      <c r="I3997" s="69"/>
      <c r="J3997" s="69"/>
      <c r="K3997" s="32"/>
      <c r="L3997" s="76">
        <v>3997</v>
      </c>
      <c r="M3997" s="76"/>
      <c r="N3997" s="71"/>
      <c r="O3997" s="87" t="s">
        <v>179</v>
      </c>
      <c r="P3997" s="90">
        <v>45112.416678240741</v>
      </c>
      <c r="Q3997" s="87" t="s">
        <v>5640</v>
      </c>
      <c r="R3997" s="87">
        <v>0</v>
      </c>
      <c r="S3997" s="87">
        <v>0</v>
      </c>
      <c r="T3997" s="87">
        <v>0</v>
      </c>
      <c r="U3997" s="87">
        <v>0</v>
      </c>
      <c r="V3997" s="87">
        <v>11</v>
      </c>
      <c r="W3997" s="93" t="s">
        <v>8205</v>
      </c>
      <c r="X3997" s="92" t="str">
        <f>HYPERLINK("https://instagram.com/tradewebbrasil")</f>
        <v>https://instagram.com/tradewebbrasil</v>
      </c>
      <c r="Y3997" s="87" t="s">
        <v>8383</v>
      </c>
      <c r="Z3997" s="87"/>
      <c r="AA3997" s="87" t="s">
        <v>11301</v>
      </c>
      <c r="AB3997" s="87" t="s">
        <v>11448</v>
      </c>
      <c r="AC3997" s="93" t="s">
        <v>11457</v>
      </c>
      <c r="AD3997" s="87" t="s">
        <v>11519</v>
      </c>
      <c r="AE3997" s="92" t="str">
        <f>HYPERLINK("https://twitter.com/tradewebbrasil/status/1676531368837226498")</f>
        <v>https://twitter.com/tradewebbrasil/status/1676531368837226498</v>
      </c>
      <c r="AF3997" s="90">
        <v>45112.416678240741</v>
      </c>
      <c r="AG3997" s="99">
        <v>45112</v>
      </c>
      <c r="AH3997" s="93" t="s">
        <v>15031</v>
      </c>
      <c r="AI3997" s="87" t="b">
        <v>0</v>
      </c>
      <c r="AJ3997" s="87"/>
      <c r="AK3997" s="87"/>
      <c r="AL3997" s="87"/>
      <c r="AM3997" s="87"/>
      <c r="AN3997" s="87"/>
      <c r="AO3997" s="87"/>
      <c r="AP3997" s="87"/>
      <c r="AQ3997" s="87" t="s">
        <v>18113</v>
      </c>
      <c r="AR3997" s="87"/>
      <c r="AS3997" s="87"/>
      <c r="AT3997" s="87"/>
      <c r="AU3997" s="87"/>
      <c r="AV3997" s="92" t="str">
        <f>HYPERLINK("https://pbs.twimg.com/media/F0OlIsrX0AAA16j.jpg")</f>
        <v>https://pbs.twimg.com/media/F0OlIsrX0AAA16j.jpg</v>
      </c>
      <c r="AW3997" s="93" t="s">
        <v>22097</v>
      </c>
      <c r="AX3997" s="93" t="s">
        <v>22097</v>
      </c>
      <c r="AY3997" s="87"/>
      <c r="AZ3997" s="93" t="s">
        <v>22668</v>
      </c>
      <c r="BA3997" s="93" t="s">
        <v>22668</v>
      </c>
      <c r="BB3997" s="93" t="s">
        <v>22668</v>
      </c>
      <c r="BC3997" s="93" t="s">
        <v>22097</v>
      </c>
      <c r="BD3997" s="87">
        <v>206288600</v>
      </c>
      <c r="BE3997" s="87"/>
      <c r="BF3997" s="87"/>
      <c r="BG3997" s="87"/>
      <c r="BH3997" s="87"/>
      <c r="BI3997" s="87"/>
    </row>
    <row r="3998" spans="1:61" x14ac:dyDescent="0.25">
      <c r="A3998" s="63" t="s">
        <v>1558</v>
      </c>
      <c r="B3998" s="63" t="s">
        <v>1558</v>
      </c>
      <c r="C3998" s="64"/>
      <c r="D3998" s="65"/>
      <c r="E3998" s="66"/>
      <c r="F3998" s="67"/>
      <c r="G3998" s="64"/>
      <c r="H3998" s="68"/>
      <c r="I3998" s="69"/>
      <c r="J3998" s="69"/>
      <c r="K3998" s="32"/>
      <c r="L3998" s="76">
        <v>3998</v>
      </c>
      <c r="M3998" s="76"/>
      <c r="N3998" s="71"/>
      <c r="O3998" s="87" t="s">
        <v>179</v>
      </c>
      <c r="P3998" s="90">
        <v>45169.614583333336</v>
      </c>
      <c r="Q3998" s="87" t="s">
        <v>5641</v>
      </c>
      <c r="R3998" s="87">
        <v>0</v>
      </c>
      <c r="S3998" s="87">
        <v>1</v>
      </c>
      <c r="T3998" s="87">
        <v>0</v>
      </c>
      <c r="U3998" s="87">
        <v>0</v>
      </c>
      <c r="V3998" s="87">
        <v>21</v>
      </c>
      <c r="W3998" s="93" t="s">
        <v>8201</v>
      </c>
      <c r="X3998" s="92" t="str">
        <f>HYPERLINK("http://tradewebbrasil.com.br/emailmarketing")</f>
        <v>http://tradewebbrasil.com.br/emailmarketing</v>
      </c>
      <c r="Y3998" s="87" t="s">
        <v>8373</v>
      </c>
      <c r="Z3998" s="87"/>
      <c r="AA3998" s="87" t="s">
        <v>11302</v>
      </c>
      <c r="AB3998" s="87" t="s">
        <v>11448</v>
      </c>
      <c r="AC3998" s="93" t="s">
        <v>11457</v>
      </c>
      <c r="AD3998" s="87" t="s">
        <v>11519</v>
      </c>
      <c r="AE3998" s="92" t="str">
        <f>HYPERLINK("https://twitter.com/tradewebbrasil/status/1697259196113424734")</f>
        <v>https://twitter.com/tradewebbrasil/status/1697259196113424734</v>
      </c>
      <c r="AF3998" s="90">
        <v>45169.614583333336</v>
      </c>
      <c r="AG3998" s="99">
        <v>45169</v>
      </c>
      <c r="AH3998" s="93" t="s">
        <v>15029</v>
      </c>
      <c r="AI3998" s="87" t="b">
        <v>0</v>
      </c>
      <c r="AJ3998" s="87"/>
      <c r="AK3998" s="87"/>
      <c r="AL3998" s="87"/>
      <c r="AM3998" s="87"/>
      <c r="AN3998" s="87"/>
      <c r="AO3998" s="87"/>
      <c r="AP3998" s="87"/>
      <c r="AQ3998" s="87" t="s">
        <v>18114</v>
      </c>
      <c r="AR3998" s="87"/>
      <c r="AS3998" s="87"/>
      <c r="AT3998" s="87"/>
      <c r="AU3998" s="87"/>
      <c r="AV3998" s="92" t="str">
        <f>HYPERLINK("https://pbs.twimg.com/media/F4kXwjpXcAAo5FU.jpg")</f>
        <v>https://pbs.twimg.com/media/F4kXwjpXcAAo5FU.jpg</v>
      </c>
      <c r="AW3998" s="93" t="s">
        <v>22098</v>
      </c>
      <c r="AX3998" s="93" t="s">
        <v>22098</v>
      </c>
      <c r="AY3998" s="87"/>
      <c r="AZ3998" s="93" t="s">
        <v>22668</v>
      </c>
      <c r="BA3998" s="93" t="s">
        <v>22668</v>
      </c>
      <c r="BB3998" s="93" t="s">
        <v>22668</v>
      </c>
      <c r="BC3998" s="93" t="s">
        <v>22098</v>
      </c>
      <c r="BD3998" s="87">
        <v>206288600</v>
      </c>
      <c r="BE3998" s="87"/>
      <c r="BF3998" s="87"/>
      <c r="BG3998" s="87"/>
      <c r="BH3998" s="87"/>
      <c r="BI3998" s="87"/>
    </row>
    <row r="3999" spans="1:61" x14ac:dyDescent="0.25">
      <c r="A3999" s="63" t="s">
        <v>1558</v>
      </c>
      <c r="B3999" s="63" t="s">
        <v>1558</v>
      </c>
      <c r="C3999" s="64"/>
      <c r="D3999" s="65"/>
      <c r="E3999" s="66"/>
      <c r="F3999" s="67"/>
      <c r="G3999" s="64"/>
      <c r="H3999" s="68"/>
      <c r="I3999" s="69"/>
      <c r="J3999" s="69"/>
      <c r="K3999" s="32"/>
      <c r="L3999" s="76">
        <v>3999</v>
      </c>
      <c r="M3999" s="76"/>
      <c r="N3999" s="71"/>
      <c r="O3999" s="87" t="s">
        <v>179</v>
      </c>
      <c r="P3999" s="90">
        <v>45169.416678240741</v>
      </c>
      <c r="Q3999" s="87" t="s">
        <v>5642</v>
      </c>
      <c r="R3999" s="87">
        <v>0</v>
      </c>
      <c r="S3999" s="87">
        <v>0</v>
      </c>
      <c r="T3999" s="87">
        <v>0</v>
      </c>
      <c r="U3999" s="87">
        <v>0</v>
      </c>
      <c r="V3999" s="87">
        <v>36</v>
      </c>
      <c r="W3999" s="93" t="s">
        <v>8206</v>
      </c>
      <c r="X3999" s="92" t="str">
        <f>HYPERLINK("https://instagram.com/tradewebbrasil")</f>
        <v>https://instagram.com/tradewebbrasil</v>
      </c>
      <c r="Y3999" s="87" t="s">
        <v>8383</v>
      </c>
      <c r="Z3999" s="87"/>
      <c r="AA3999" s="87" t="s">
        <v>11303</v>
      </c>
      <c r="AB3999" s="87" t="s">
        <v>11448</v>
      </c>
      <c r="AC3999" s="93" t="s">
        <v>11457</v>
      </c>
      <c r="AD3999" s="87" t="s">
        <v>11519</v>
      </c>
      <c r="AE3999" s="92" t="str">
        <f>HYPERLINK("https://twitter.com/tradewebbrasil/status/1697187479517077674")</f>
        <v>https://twitter.com/tradewebbrasil/status/1697187479517077674</v>
      </c>
      <c r="AF3999" s="90">
        <v>45169.416678240741</v>
      </c>
      <c r="AG3999" s="99">
        <v>45169</v>
      </c>
      <c r="AH3999" s="93" t="s">
        <v>15031</v>
      </c>
      <c r="AI3999" s="87" t="b">
        <v>0</v>
      </c>
      <c r="AJ3999" s="87"/>
      <c r="AK3999" s="87"/>
      <c r="AL3999" s="87"/>
      <c r="AM3999" s="87"/>
      <c r="AN3999" s="87"/>
      <c r="AO3999" s="87"/>
      <c r="AP3999" s="87"/>
      <c r="AQ3999" s="87" t="s">
        <v>18115</v>
      </c>
      <c r="AR3999" s="87"/>
      <c r="AS3999" s="87"/>
      <c r="AT3999" s="87"/>
      <c r="AU3999" s="87"/>
      <c r="AV3999" s="92" t="str">
        <f>HYPERLINK("https://pbs.twimg.com/media/F40I1TfWMAEvhyg.jpg")</f>
        <v>https://pbs.twimg.com/media/F40I1TfWMAEvhyg.jpg</v>
      </c>
      <c r="AW3999" s="93" t="s">
        <v>22099</v>
      </c>
      <c r="AX3999" s="93" t="s">
        <v>22099</v>
      </c>
      <c r="AY3999" s="87"/>
      <c r="AZ3999" s="93" t="s">
        <v>22668</v>
      </c>
      <c r="BA3999" s="93" t="s">
        <v>22668</v>
      </c>
      <c r="BB3999" s="93" t="s">
        <v>22668</v>
      </c>
      <c r="BC3999" s="93" t="s">
        <v>22099</v>
      </c>
      <c r="BD3999" s="87">
        <v>206288600</v>
      </c>
      <c r="BE3999" s="87"/>
      <c r="BF3999" s="87"/>
      <c r="BG3999" s="87"/>
      <c r="BH3999" s="87"/>
      <c r="BI3999" s="87"/>
    </row>
    <row r="4000" spans="1:61" x14ac:dyDescent="0.25">
      <c r="A4000" s="63" t="s">
        <v>1558</v>
      </c>
      <c r="B4000" s="63" t="s">
        <v>1558</v>
      </c>
      <c r="C4000" s="64"/>
      <c r="D4000" s="65"/>
      <c r="E4000" s="66"/>
      <c r="F4000" s="67"/>
      <c r="G4000" s="64"/>
      <c r="H4000" s="68"/>
      <c r="I4000" s="69"/>
      <c r="J4000" s="69"/>
      <c r="K4000" s="32"/>
      <c r="L4000" s="76">
        <v>4000</v>
      </c>
      <c r="M4000" s="76"/>
      <c r="N4000" s="71"/>
      <c r="O4000" s="87" t="s">
        <v>179</v>
      </c>
      <c r="P4000" s="90">
        <v>45156.614583333336</v>
      </c>
      <c r="Q4000" s="87" t="s">
        <v>5643</v>
      </c>
      <c r="R4000" s="87">
        <v>0</v>
      </c>
      <c r="S4000" s="87">
        <v>1</v>
      </c>
      <c r="T4000" s="87">
        <v>0</v>
      </c>
      <c r="U4000" s="87">
        <v>0</v>
      </c>
      <c r="V4000" s="87">
        <v>6</v>
      </c>
      <c r="W4000" s="93" t="s">
        <v>8207</v>
      </c>
      <c r="X4000" s="92" t="str">
        <f>HYPERLINK("https://tradewebbrasil.com.br/hiveyoutubeetwitter18ago23")</f>
        <v>https://tradewebbrasil.com.br/hiveyoutubeetwitter18ago23</v>
      </c>
      <c r="Y4000" s="87" t="s">
        <v>8373</v>
      </c>
      <c r="Z4000" s="87"/>
      <c r="AA4000" s="87" t="s">
        <v>11304</v>
      </c>
      <c r="AB4000" s="87" t="s">
        <v>11448</v>
      </c>
      <c r="AC4000" s="93" t="s">
        <v>11457</v>
      </c>
      <c r="AD4000" s="87" t="s">
        <v>11519</v>
      </c>
      <c r="AE4000" s="92" t="str">
        <f>HYPERLINK("https://twitter.com/tradewebbrasil/status/1692548152430145861")</f>
        <v>https://twitter.com/tradewebbrasil/status/1692548152430145861</v>
      </c>
      <c r="AF4000" s="90">
        <v>45156.614583333336</v>
      </c>
      <c r="AG4000" s="99">
        <v>45156</v>
      </c>
      <c r="AH4000" s="93" t="s">
        <v>15029</v>
      </c>
      <c r="AI4000" s="87" t="b">
        <v>0</v>
      </c>
      <c r="AJ4000" s="87"/>
      <c r="AK4000" s="87"/>
      <c r="AL4000" s="87"/>
      <c r="AM4000" s="87"/>
      <c r="AN4000" s="87"/>
      <c r="AO4000" s="87"/>
      <c r="AP4000" s="87"/>
      <c r="AQ4000" s="87" t="s">
        <v>18116</v>
      </c>
      <c r="AR4000" s="87"/>
      <c r="AS4000" s="87"/>
      <c r="AT4000" s="87"/>
      <c r="AU4000" s="87"/>
      <c r="AV4000" s="92" t="str">
        <f>HYPERLINK("https://pbs.twimg.com/media/F3cyQr4WQAAKdra.jpg")</f>
        <v>https://pbs.twimg.com/media/F3cyQr4WQAAKdra.jpg</v>
      </c>
      <c r="AW4000" s="93" t="s">
        <v>22100</v>
      </c>
      <c r="AX4000" s="93" t="s">
        <v>22100</v>
      </c>
      <c r="AY4000" s="87"/>
      <c r="AZ4000" s="93" t="s">
        <v>22668</v>
      </c>
      <c r="BA4000" s="93" t="s">
        <v>22668</v>
      </c>
      <c r="BB4000" s="93" t="s">
        <v>22668</v>
      </c>
      <c r="BC4000" s="93" t="s">
        <v>22100</v>
      </c>
      <c r="BD4000" s="87">
        <v>206288600</v>
      </c>
      <c r="BE4000" s="87"/>
      <c r="BF4000" s="87"/>
      <c r="BG4000" s="87"/>
      <c r="BH4000" s="87"/>
      <c r="BI4000" s="87"/>
    </row>
    <row r="4001" spans="1:61" x14ac:dyDescent="0.25">
      <c r="A4001" s="63" t="s">
        <v>1558</v>
      </c>
      <c r="B4001" s="63" t="s">
        <v>1558</v>
      </c>
      <c r="C4001" s="64"/>
      <c r="D4001" s="65"/>
      <c r="E4001" s="66"/>
      <c r="F4001" s="67"/>
      <c r="G4001" s="64"/>
      <c r="H4001" s="68"/>
      <c r="I4001" s="69"/>
      <c r="J4001" s="69"/>
      <c r="K4001" s="32"/>
      <c r="L4001" s="76">
        <v>4001</v>
      </c>
      <c r="M4001" s="76"/>
      <c r="N4001" s="71"/>
      <c r="O4001" s="87" t="s">
        <v>179</v>
      </c>
      <c r="P4001" s="90">
        <v>45145.416678240741</v>
      </c>
      <c r="Q4001" s="87" t="s">
        <v>5644</v>
      </c>
      <c r="R4001" s="87">
        <v>0</v>
      </c>
      <c r="S4001" s="87">
        <v>0</v>
      </c>
      <c r="T4001" s="87">
        <v>1</v>
      </c>
      <c r="U4001" s="87">
        <v>0</v>
      </c>
      <c r="V4001" s="87">
        <v>11</v>
      </c>
      <c r="W4001" s="93" t="s">
        <v>8208</v>
      </c>
      <c r="X4001" s="92" t="str">
        <f>HYPERLINK("https://tradewebbrasil.com.br")</f>
        <v>https://tradewebbrasil.com.br</v>
      </c>
      <c r="Y4001" s="87" t="s">
        <v>8373</v>
      </c>
      <c r="Z4001" s="87"/>
      <c r="AA4001" s="87" t="s">
        <v>11305</v>
      </c>
      <c r="AB4001" s="87" t="s">
        <v>11448</v>
      </c>
      <c r="AC4001" s="93" t="s">
        <v>11457</v>
      </c>
      <c r="AD4001" s="87" t="s">
        <v>11519</v>
      </c>
      <c r="AE4001" s="92" t="str">
        <f>HYPERLINK("https://twitter.com/tradewebbrasil/status/1688490169241059328")</f>
        <v>https://twitter.com/tradewebbrasil/status/1688490169241059328</v>
      </c>
      <c r="AF4001" s="90">
        <v>45145.416678240741</v>
      </c>
      <c r="AG4001" s="99">
        <v>45145</v>
      </c>
      <c r="AH4001" s="93" t="s">
        <v>15031</v>
      </c>
      <c r="AI4001" s="87" t="b">
        <v>0</v>
      </c>
      <c r="AJ4001" s="87"/>
      <c r="AK4001" s="87"/>
      <c r="AL4001" s="87"/>
      <c r="AM4001" s="87"/>
      <c r="AN4001" s="87"/>
      <c r="AO4001" s="87"/>
      <c r="AP4001" s="87"/>
      <c r="AQ4001" s="87" t="s">
        <v>18117</v>
      </c>
      <c r="AR4001" s="87"/>
      <c r="AS4001" s="87"/>
      <c r="AT4001" s="87"/>
      <c r="AU4001" s="87"/>
      <c r="AV4001" s="92" t="str">
        <f>HYPERLINK("https://pbs.twimg.com/media/F23iNG7WgAAsuL3.jpg")</f>
        <v>https://pbs.twimg.com/media/F23iNG7WgAAsuL3.jpg</v>
      </c>
      <c r="AW4001" s="93" t="s">
        <v>22101</v>
      </c>
      <c r="AX4001" s="93" t="s">
        <v>22101</v>
      </c>
      <c r="AY4001" s="87"/>
      <c r="AZ4001" s="93" t="s">
        <v>22668</v>
      </c>
      <c r="BA4001" s="93" t="s">
        <v>22668</v>
      </c>
      <c r="BB4001" s="93" t="s">
        <v>22668</v>
      </c>
      <c r="BC4001" s="93" t="s">
        <v>22101</v>
      </c>
      <c r="BD4001" s="87">
        <v>206288600</v>
      </c>
      <c r="BE4001" s="87"/>
      <c r="BF4001" s="87"/>
      <c r="BG4001" s="87"/>
      <c r="BH4001" s="87"/>
      <c r="BI4001" s="87"/>
    </row>
    <row r="4002" spans="1:61" x14ac:dyDescent="0.25">
      <c r="A4002" s="63" t="s">
        <v>1558</v>
      </c>
      <c r="B4002" s="63" t="s">
        <v>1558</v>
      </c>
      <c r="C4002" s="64"/>
      <c r="D4002" s="65"/>
      <c r="E4002" s="66"/>
      <c r="F4002" s="67"/>
      <c r="G4002" s="64"/>
      <c r="H4002" s="68"/>
      <c r="I4002" s="69"/>
      <c r="J4002" s="69"/>
      <c r="K4002" s="32"/>
      <c r="L4002" s="76">
        <v>4002</v>
      </c>
      <c r="M4002" s="76"/>
      <c r="N4002" s="71"/>
      <c r="O4002" s="87" t="s">
        <v>179</v>
      </c>
      <c r="P4002" s="90">
        <v>45132.416689814818</v>
      </c>
      <c r="Q4002" s="87" t="s">
        <v>5645</v>
      </c>
      <c r="R4002" s="87">
        <v>0</v>
      </c>
      <c r="S4002" s="87">
        <v>0</v>
      </c>
      <c r="T4002" s="87">
        <v>0</v>
      </c>
      <c r="U4002" s="87">
        <v>0</v>
      </c>
      <c r="V4002" s="87">
        <v>46</v>
      </c>
      <c r="W4002" s="93" t="s">
        <v>8209</v>
      </c>
      <c r="X4002" s="92" t="str">
        <f>HYPERLINK("https://instagram.com/tradewebbrasil")</f>
        <v>https://instagram.com/tradewebbrasil</v>
      </c>
      <c r="Y4002" s="87" t="s">
        <v>8383</v>
      </c>
      <c r="Z4002" s="87"/>
      <c r="AA4002" s="87" t="s">
        <v>11306</v>
      </c>
      <c r="AB4002" s="87" t="s">
        <v>11448</v>
      </c>
      <c r="AC4002" s="93" t="s">
        <v>11457</v>
      </c>
      <c r="AD4002" s="87" t="s">
        <v>11519</v>
      </c>
      <c r="AE4002" s="92" t="str">
        <f>HYPERLINK("https://twitter.com/tradewebbrasil/status/1683779132394463232")</f>
        <v>https://twitter.com/tradewebbrasil/status/1683779132394463232</v>
      </c>
      <c r="AF4002" s="90">
        <v>45132.416689814818</v>
      </c>
      <c r="AG4002" s="99">
        <v>45132</v>
      </c>
      <c r="AH4002" s="93" t="s">
        <v>13523</v>
      </c>
      <c r="AI4002" s="87" t="b">
        <v>0</v>
      </c>
      <c r="AJ4002" s="87"/>
      <c r="AK4002" s="87"/>
      <c r="AL4002" s="87"/>
      <c r="AM4002" s="87"/>
      <c r="AN4002" s="87"/>
      <c r="AO4002" s="87"/>
      <c r="AP4002" s="87"/>
      <c r="AQ4002" s="87" t="s">
        <v>18118</v>
      </c>
      <c r="AR4002" s="87"/>
      <c r="AS4002" s="87"/>
      <c r="AT4002" s="87"/>
      <c r="AU4002" s="87"/>
      <c r="AV4002" s="92" t="str">
        <f>HYPERLINK("https://pbs.twimg.com/media/F11kjekWwAARBmI.jpg")</f>
        <v>https://pbs.twimg.com/media/F11kjekWwAARBmI.jpg</v>
      </c>
      <c r="AW4002" s="93" t="s">
        <v>22102</v>
      </c>
      <c r="AX4002" s="93" t="s">
        <v>22102</v>
      </c>
      <c r="AY4002" s="87"/>
      <c r="AZ4002" s="93" t="s">
        <v>22668</v>
      </c>
      <c r="BA4002" s="93" t="s">
        <v>22668</v>
      </c>
      <c r="BB4002" s="93" t="s">
        <v>22668</v>
      </c>
      <c r="BC4002" s="93" t="s">
        <v>22102</v>
      </c>
      <c r="BD4002" s="87">
        <v>206288600</v>
      </c>
      <c r="BE4002" s="87"/>
      <c r="BF4002" s="87"/>
      <c r="BG4002" s="87"/>
      <c r="BH4002" s="87"/>
      <c r="BI4002" s="87"/>
    </row>
    <row r="4003" spans="1:61" x14ac:dyDescent="0.25">
      <c r="A4003" s="63" t="s">
        <v>1558</v>
      </c>
      <c r="B4003" s="63" t="s">
        <v>1558</v>
      </c>
      <c r="C4003" s="64"/>
      <c r="D4003" s="65"/>
      <c r="E4003" s="66"/>
      <c r="F4003" s="67"/>
      <c r="G4003" s="64"/>
      <c r="H4003" s="68"/>
      <c r="I4003" s="69"/>
      <c r="J4003" s="69"/>
      <c r="K4003" s="32"/>
      <c r="L4003" s="76">
        <v>4003</v>
      </c>
      <c r="M4003" s="76"/>
      <c r="N4003" s="71"/>
      <c r="O4003" s="87" t="s">
        <v>179</v>
      </c>
      <c r="P4003" s="90">
        <v>45116.5</v>
      </c>
      <c r="Q4003" s="87" t="s">
        <v>5646</v>
      </c>
      <c r="R4003" s="87">
        <v>0</v>
      </c>
      <c r="S4003" s="87">
        <v>0</v>
      </c>
      <c r="T4003" s="87">
        <v>0</v>
      </c>
      <c r="U4003" s="87">
        <v>0</v>
      </c>
      <c r="V4003" s="87">
        <v>17</v>
      </c>
      <c r="W4003" s="93" t="s">
        <v>8210</v>
      </c>
      <c r="X4003" s="92" t="str">
        <f>HYPERLINK("https://instagram.com/tradewebbrasil")</f>
        <v>https://instagram.com/tradewebbrasil</v>
      </c>
      <c r="Y4003" s="87" t="s">
        <v>8383</v>
      </c>
      <c r="Z4003" s="87"/>
      <c r="AA4003" s="87" t="s">
        <v>11307</v>
      </c>
      <c r="AB4003" s="87" t="s">
        <v>11448</v>
      </c>
      <c r="AC4003" s="93" t="s">
        <v>11457</v>
      </c>
      <c r="AD4003" s="87" t="s">
        <v>11519</v>
      </c>
      <c r="AE4003" s="92" t="str">
        <f>HYPERLINK("https://twitter.com/tradewebbrasil/status/1678011116297805824")</f>
        <v>https://twitter.com/tradewebbrasil/status/1678011116297805824</v>
      </c>
      <c r="AF4003" s="90">
        <v>45116.5</v>
      </c>
      <c r="AG4003" s="99">
        <v>45116</v>
      </c>
      <c r="AH4003" s="93" t="s">
        <v>12089</v>
      </c>
      <c r="AI4003" s="87" t="b">
        <v>0</v>
      </c>
      <c r="AJ4003" s="87"/>
      <c r="AK4003" s="87"/>
      <c r="AL4003" s="87"/>
      <c r="AM4003" s="87"/>
      <c r="AN4003" s="87"/>
      <c r="AO4003" s="87"/>
      <c r="AP4003" s="87"/>
      <c r="AQ4003" s="87" t="s">
        <v>18119</v>
      </c>
      <c r="AR4003" s="87"/>
      <c r="AS4003" s="87"/>
      <c r="AT4003" s="87"/>
      <c r="AU4003" s="87"/>
      <c r="AV4003" s="92" t="str">
        <f>HYPERLINK("https://pbs.twimg.com/media/F0h_vEkWIAIK38R.jpg")</f>
        <v>https://pbs.twimg.com/media/F0h_vEkWIAIK38R.jpg</v>
      </c>
      <c r="AW4003" s="93" t="s">
        <v>22103</v>
      </c>
      <c r="AX4003" s="93" t="s">
        <v>22103</v>
      </c>
      <c r="AY4003" s="87"/>
      <c r="AZ4003" s="93" t="s">
        <v>22668</v>
      </c>
      <c r="BA4003" s="93" t="s">
        <v>22668</v>
      </c>
      <c r="BB4003" s="93" t="s">
        <v>22668</v>
      </c>
      <c r="BC4003" s="93" t="s">
        <v>22103</v>
      </c>
      <c r="BD4003" s="87">
        <v>206288600</v>
      </c>
      <c r="BE4003" s="87"/>
      <c r="BF4003" s="87"/>
      <c r="BG4003" s="87"/>
      <c r="BH4003" s="87"/>
      <c r="BI4003" s="87"/>
    </row>
    <row r="4004" spans="1:61" x14ac:dyDescent="0.25">
      <c r="A4004" s="63" t="s">
        <v>1558</v>
      </c>
      <c r="B4004" s="63" t="s">
        <v>1558</v>
      </c>
      <c r="C4004" s="64"/>
      <c r="D4004" s="65"/>
      <c r="E4004" s="66"/>
      <c r="F4004" s="67"/>
      <c r="G4004" s="64"/>
      <c r="H4004" s="68"/>
      <c r="I4004" s="69"/>
      <c r="J4004" s="69"/>
      <c r="K4004" s="32"/>
      <c r="L4004" s="76">
        <v>4004</v>
      </c>
      <c r="M4004" s="76"/>
      <c r="N4004" s="71"/>
      <c r="O4004" s="87" t="s">
        <v>179</v>
      </c>
      <c r="P4004" s="90">
        <v>45173.416666666664</v>
      </c>
      <c r="Q4004" s="87" t="s">
        <v>5647</v>
      </c>
      <c r="R4004" s="87">
        <v>0</v>
      </c>
      <c r="S4004" s="87">
        <v>1</v>
      </c>
      <c r="T4004" s="87">
        <v>0</v>
      </c>
      <c r="U4004" s="87">
        <v>0</v>
      </c>
      <c r="V4004" s="87">
        <v>15</v>
      </c>
      <c r="W4004" s="93" t="s">
        <v>8211</v>
      </c>
      <c r="X4004" s="92" t="str">
        <f>HYPERLINK("https://tradewebbrasil.com.br")</f>
        <v>https://tradewebbrasil.com.br</v>
      </c>
      <c r="Y4004" s="87" t="s">
        <v>8373</v>
      </c>
      <c r="Z4004" s="87"/>
      <c r="AA4004" s="87" t="s">
        <v>11308</v>
      </c>
      <c r="AB4004" s="87" t="s">
        <v>11448</v>
      </c>
      <c r="AC4004" s="93" t="s">
        <v>11457</v>
      </c>
      <c r="AD4004" s="87" t="s">
        <v>11519</v>
      </c>
      <c r="AE4004" s="92" t="str">
        <f>HYPERLINK("https://twitter.com/tradewebbrasil/status/1698637025782440036")</f>
        <v>https://twitter.com/tradewebbrasil/status/1698637025782440036</v>
      </c>
      <c r="AF4004" s="90">
        <v>45173.416666666664</v>
      </c>
      <c r="AG4004" s="99">
        <v>45173</v>
      </c>
      <c r="AH4004" s="93" t="s">
        <v>12369</v>
      </c>
      <c r="AI4004" s="87" t="b">
        <v>0</v>
      </c>
      <c r="AJ4004" s="87"/>
      <c r="AK4004" s="87"/>
      <c r="AL4004" s="87"/>
      <c r="AM4004" s="87"/>
      <c r="AN4004" s="87"/>
      <c r="AO4004" s="87"/>
      <c r="AP4004" s="87"/>
      <c r="AQ4004" s="87" t="s">
        <v>18120</v>
      </c>
      <c r="AR4004" s="87"/>
      <c r="AS4004" s="87"/>
      <c r="AT4004" s="87"/>
      <c r="AU4004" s="87"/>
      <c r="AV4004" s="92" t="str">
        <f>HYPERLINK("https://pbs.twimg.com/media/F5Hu0XoWIAEVo_f.jpg")</f>
        <v>https://pbs.twimg.com/media/F5Hu0XoWIAEVo_f.jpg</v>
      </c>
      <c r="AW4004" s="93" t="s">
        <v>22104</v>
      </c>
      <c r="AX4004" s="93" t="s">
        <v>22104</v>
      </c>
      <c r="AY4004" s="87"/>
      <c r="AZ4004" s="93" t="s">
        <v>22668</v>
      </c>
      <c r="BA4004" s="93" t="s">
        <v>22668</v>
      </c>
      <c r="BB4004" s="93" t="s">
        <v>22668</v>
      </c>
      <c r="BC4004" s="93" t="s">
        <v>22104</v>
      </c>
      <c r="BD4004" s="87">
        <v>206288600</v>
      </c>
      <c r="BE4004" s="87"/>
      <c r="BF4004" s="87"/>
      <c r="BG4004" s="87"/>
      <c r="BH4004" s="87"/>
      <c r="BI4004" s="87"/>
    </row>
    <row r="4005" spans="1:61" x14ac:dyDescent="0.25">
      <c r="A4005" s="63" t="s">
        <v>1558</v>
      </c>
      <c r="B4005" s="63" t="s">
        <v>1558</v>
      </c>
      <c r="C4005" s="64"/>
      <c r="D4005" s="65"/>
      <c r="E4005" s="66"/>
      <c r="F4005" s="67"/>
      <c r="G4005" s="64"/>
      <c r="H4005" s="68"/>
      <c r="I4005" s="69"/>
      <c r="J4005" s="69"/>
      <c r="K4005" s="32"/>
      <c r="L4005" s="76">
        <v>4005</v>
      </c>
      <c r="M4005" s="76"/>
      <c r="N4005" s="71"/>
      <c r="O4005" s="87" t="s">
        <v>179</v>
      </c>
      <c r="P4005" s="90">
        <v>45164.458333333336</v>
      </c>
      <c r="Q4005" s="87" t="s">
        <v>5648</v>
      </c>
      <c r="R4005" s="87">
        <v>0</v>
      </c>
      <c r="S4005" s="87">
        <v>0</v>
      </c>
      <c r="T4005" s="87">
        <v>0</v>
      </c>
      <c r="U4005" s="87">
        <v>0</v>
      </c>
      <c r="V4005" s="87">
        <v>41</v>
      </c>
      <c r="W4005" s="93" t="s">
        <v>8212</v>
      </c>
      <c r="X4005" s="92" t="str">
        <f>HYPERLINK("https://instagram.com/tradewebbrasil")</f>
        <v>https://instagram.com/tradewebbrasil</v>
      </c>
      <c r="Y4005" s="87" t="s">
        <v>8383</v>
      </c>
      <c r="Z4005" s="87"/>
      <c r="AA4005" s="87" t="s">
        <v>11309</v>
      </c>
      <c r="AB4005" s="87" t="s">
        <v>11448</v>
      </c>
      <c r="AC4005" s="93" t="s">
        <v>11457</v>
      </c>
      <c r="AD4005" s="87" t="s">
        <v>11519</v>
      </c>
      <c r="AE4005" s="92" t="str">
        <f>HYPERLINK("https://twitter.com/tradewebbrasil/status/1695390635128189130")</f>
        <v>https://twitter.com/tradewebbrasil/status/1695390635128189130</v>
      </c>
      <c r="AF4005" s="90">
        <v>45164.458333333336</v>
      </c>
      <c r="AG4005" s="99">
        <v>45164</v>
      </c>
      <c r="AH4005" s="93" t="s">
        <v>12863</v>
      </c>
      <c r="AI4005" s="87" t="b">
        <v>0</v>
      </c>
      <c r="AJ4005" s="87"/>
      <c r="AK4005" s="87"/>
      <c r="AL4005" s="87"/>
      <c r="AM4005" s="87"/>
      <c r="AN4005" s="87"/>
      <c r="AO4005" s="87"/>
      <c r="AP4005" s="87"/>
      <c r="AQ4005" s="87" t="s">
        <v>18121</v>
      </c>
      <c r="AR4005" s="87"/>
      <c r="AS4005" s="87"/>
      <c r="AT4005" s="87"/>
      <c r="AU4005" s="87"/>
      <c r="AV4005" s="92" t="str">
        <f>HYPERLINK("https://pbs.twimg.com/media/F4ae59BXMAAZ-Cw.jpg")</f>
        <v>https://pbs.twimg.com/media/F4ae59BXMAAZ-Cw.jpg</v>
      </c>
      <c r="AW4005" s="93" t="s">
        <v>22105</v>
      </c>
      <c r="AX4005" s="93" t="s">
        <v>22105</v>
      </c>
      <c r="AY4005" s="87"/>
      <c r="AZ4005" s="93" t="s">
        <v>22668</v>
      </c>
      <c r="BA4005" s="93" t="s">
        <v>22668</v>
      </c>
      <c r="BB4005" s="93" t="s">
        <v>22668</v>
      </c>
      <c r="BC4005" s="93" t="s">
        <v>22105</v>
      </c>
      <c r="BD4005" s="87">
        <v>206288600</v>
      </c>
      <c r="BE4005" s="87"/>
      <c r="BF4005" s="87"/>
      <c r="BG4005" s="87"/>
      <c r="BH4005" s="87"/>
      <c r="BI4005" s="87"/>
    </row>
    <row r="4006" spans="1:61" x14ac:dyDescent="0.25">
      <c r="A4006" s="63" t="s">
        <v>1558</v>
      </c>
      <c r="B4006" s="63" t="s">
        <v>1558</v>
      </c>
      <c r="C4006" s="64"/>
      <c r="D4006" s="65"/>
      <c r="E4006" s="66"/>
      <c r="F4006" s="67"/>
      <c r="G4006" s="64"/>
      <c r="H4006" s="68"/>
      <c r="I4006" s="69"/>
      <c r="J4006" s="69"/>
      <c r="K4006" s="32"/>
      <c r="L4006" s="76">
        <v>4006</v>
      </c>
      <c r="M4006" s="76"/>
      <c r="N4006" s="71"/>
      <c r="O4006" s="87" t="s">
        <v>179</v>
      </c>
      <c r="P4006" s="90">
        <v>45152.416678240741</v>
      </c>
      <c r="Q4006" s="87" t="s">
        <v>5649</v>
      </c>
      <c r="R4006" s="87">
        <v>0</v>
      </c>
      <c r="S4006" s="87">
        <v>0</v>
      </c>
      <c r="T4006" s="87">
        <v>0</v>
      </c>
      <c r="U4006" s="87">
        <v>0</v>
      </c>
      <c r="V4006" s="87">
        <v>22</v>
      </c>
      <c r="W4006" s="93" t="s">
        <v>8213</v>
      </c>
      <c r="X4006" s="92" t="str">
        <f>HYPERLINK("https://tradewebbrasil.com.br")</f>
        <v>https://tradewebbrasil.com.br</v>
      </c>
      <c r="Y4006" s="87" t="s">
        <v>8373</v>
      </c>
      <c r="Z4006" s="87"/>
      <c r="AA4006" s="87" t="s">
        <v>11310</v>
      </c>
      <c r="AB4006" s="87" t="s">
        <v>11448</v>
      </c>
      <c r="AC4006" s="93" t="s">
        <v>11457</v>
      </c>
      <c r="AD4006" s="87" t="s">
        <v>11519</v>
      </c>
      <c r="AE4006" s="92" t="str">
        <f>HYPERLINK("https://twitter.com/tradewebbrasil/status/1691026884329627648")</f>
        <v>https://twitter.com/tradewebbrasil/status/1691026884329627648</v>
      </c>
      <c r="AF4006" s="90">
        <v>45152.416678240741</v>
      </c>
      <c r="AG4006" s="99">
        <v>45152</v>
      </c>
      <c r="AH4006" s="93" t="s">
        <v>15031</v>
      </c>
      <c r="AI4006" s="87" t="b">
        <v>0</v>
      </c>
      <c r="AJ4006" s="87"/>
      <c r="AK4006" s="87"/>
      <c r="AL4006" s="87"/>
      <c r="AM4006" s="87"/>
      <c r="AN4006" s="87"/>
      <c r="AO4006" s="87"/>
      <c r="AP4006" s="87"/>
      <c r="AQ4006" s="87" t="s">
        <v>18122</v>
      </c>
      <c r="AR4006" s="87"/>
      <c r="AS4006" s="87"/>
      <c r="AT4006" s="87"/>
      <c r="AU4006" s="87"/>
      <c r="AV4006" s="92" t="str">
        <f>HYPERLINK("https://pbs.twimg.com/media/F3bhQEWXEAEopWV.jpg")</f>
        <v>https://pbs.twimg.com/media/F3bhQEWXEAEopWV.jpg</v>
      </c>
      <c r="AW4006" s="93" t="s">
        <v>22106</v>
      </c>
      <c r="AX4006" s="93" t="s">
        <v>22106</v>
      </c>
      <c r="AY4006" s="87"/>
      <c r="AZ4006" s="93" t="s">
        <v>22668</v>
      </c>
      <c r="BA4006" s="93" t="s">
        <v>22668</v>
      </c>
      <c r="BB4006" s="93" t="s">
        <v>22668</v>
      </c>
      <c r="BC4006" s="93" t="s">
        <v>22106</v>
      </c>
      <c r="BD4006" s="87">
        <v>206288600</v>
      </c>
      <c r="BE4006" s="87"/>
      <c r="BF4006" s="87"/>
      <c r="BG4006" s="87"/>
      <c r="BH4006" s="87"/>
      <c r="BI4006" s="87"/>
    </row>
    <row r="4007" spans="1:61" x14ac:dyDescent="0.25">
      <c r="A4007" s="63" t="s">
        <v>1558</v>
      </c>
      <c r="B4007" s="63" t="s">
        <v>1558</v>
      </c>
      <c r="C4007" s="64"/>
      <c r="D4007" s="65"/>
      <c r="E4007" s="66"/>
      <c r="F4007" s="67"/>
      <c r="G4007" s="64"/>
      <c r="H4007" s="68"/>
      <c r="I4007" s="69"/>
      <c r="J4007" s="69"/>
      <c r="K4007" s="32"/>
      <c r="L4007" s="76">
        <v>4007</v>
      </c>
      <c r="M4007" s="76"/>
      <c r="N4007" s="71"/>
      <c r="O4007" s="87" t="s">
        <v>179</v>
      </c>
      <c r="P4007" s="90">
        <v>45183.614583333336</v>
      </c>
      <c r="Q4007" s="87" t="s">
        <v>5650</v>
      </c>
      <c r="R4007" s="87">
        <v>0</v>
      </c>
      <c r="S4007" s="87">
        <v>1</v>
      </c>
      <c r="T4007" s="87">
        <v>0</v>
      </c>
      <c r="U4007" s="87">
        <v>0</v>
      </c>
      <c r="V4007" s="87">
        <v>14</v>
      </c>
      <c r="W4007" s="93" t="s">
        <v>8207</v>
      </c>
      <c r="X4007" s="92" t="str">
        <f>HYPERLINK("https://tradewebbrasil.com.br/hiveyoutubeex14set23")</f>
        <v>https://tradewebbrasil.com.br/hiveyoutubeex14set23</v>
      </c>
      <c r="Y4007" s="87" t="s">
        <v>8373</v>
      </c>
      <c r="Z4007" s="87"/>
      <c r="AA4007" s="87" t="s">
        <v>11311</v>
      </c>
      <c r="AB4007" s="87" t="s">
        <v>11448</v>
      </c>
      <c r="AC4007" s="93" t="s">
        <v>11457</v>
      </c>
      <c r="AD4007" s="87" t="s">
        <v>11519</v>
      </c>
      <c r="AE4007" s="92" t="str">
        <f>HYPERLINK("https://twitter.com/tradewebbrasil/status/1702332624704864260")</f>
        <v>https://twitter.com/tradewebbrasil/status/1702332624704864260</v>
      </c>
      <c r="AF4007" s="90">
        <v>45183.614583333336</v>
      </c>
      <c r="AG4007" s="99">
        <v>45183</v>
      </c>
      <c r="AH4007" s="93" t="s">
        <v>15029</v>
      </c>
      <c r="AI4007" s="87" t="b">
        <v>0</v>
      </c>
      <c r="AJ4007" s="87"/>
      <c r="AK4007" s="87"/>
      <c r="AL4007" s="87"/>
      <c r="AM4007" s="87"/>
      <c r="AN4007" s="87"/>
      <c r="AO4007" s="87"/>
      <c r="AP4007" s="87"/>
      <c r="AQ4007" s="87" t="s">
        <v>18123</v>
      </c>
      <c r="AR4007" s="87"/>
      <c r="AS4007" s="87"/>
      <c r="AT4007" s="87"/>
      <c r="AU4007" s="87"/>
      <c r="AV4007" s="92" t="str">
        <f>HYPERLINK("https://pbs.twimg.com/media/F5spKisbUAAkOfb.jpg")</f>
        <v>https://pbs.twimg.com/media/F5spKisbUAAkOfb.jpg</v>
      </c>
      <c r="AW4007" s="93" t="s">
        <v>22107</v>
      </c>
      <c r="AX4007" s="93" t="s">
        <v>22107</v>
      </c>
      <c r="AY4007" s="87"/>
      <c r="AZ4007" s="93" t="s">
        <v>22668</v>
      </c>
      <c r="BA4007" s="93" t="s">
        <v>22668</v>
      </c>
      <c r="BB4007" s="93" t="s">
        <v>22668</v>
      </c>
      <c r="BC4007" s="93" t="s">
        <v>22107</v>
      </c>
      <c r="BD4007" s="87">
        <v>206288600</v>
      </c>
      <c r="BE4007" s="87"/>
      <c r="BF4007" s="87"/>
      <c r="BG4007" s="87"/>
      <c r="BH4007" s="87"/>
      <c r="BI4007" s="87"/>
    </row>
    <row r="4008" spans="1:61" x14ac:dyDescent="0.25">
      <c r="A4008" s="63" t="s">
        <v>1558</v>
      </c>
      <c r="B4008" s="63" t="s">
        <v>1558</v>
      </c>
      <c r="C4008" s="64"/>
      <c r="D4008" s="65"/>
      <c r="E4008" s="66"/>
      <c r="F4008" s="67"/>
      <c r="G4008" s="64"/>
      <c r="H4008" s="68"/>
      <c r="I4008" s="69"/>
      <c r="J4008" s="69"/>
      <c r="K4008" s="32"/>
      <c r="L4008" s="76">
        <v>4008</v>
      </c>
      <c r="M4008" s="76"/>
      <c r="N4008" s="71"/>
      <c r="O4008" s="87" t="s">
        <v>179</v>
      </c>
      <c r="P4008" s="90">
        <v>45155.614583333336</v>
      </c>
      <c r="Q4008" s="87" t="s">
        <v>5651</v>
      </c>
      <c r="R4008" s="87">
        <v>0</v>
      </c>
      <c r="S4008" s="87">
        <v>1</v>
      </c>
      <c r="T4008" s="87">
        <v>0</v>
      </c>
      <c r="U4008" s="87">
        <v>0</v>
      </c>
      <c r="V4008" s="87">
        <v>12</v>
      </c>
      <c r="W4008" s="93" t="s">
        <v>8207</v>
      </c>
      <c r="X4008" s="92" t="str">
        <f>HYPERLINK("https://tradewebbrasil.com.br/youtubeetwitter17ago23")</f>
        <v>https://tradewebbrasil.com.br/youtubeetwitter17ago23</v>
      </c>
      <c r="Y4008" s="87" t="s">
        <v>8373</v>
      </c>
      <c r="Z4008" s="87"/>
      <c r="AA4008" s="87" t="s">
        <v>11312</v>
      </c>
      <c r="AB4008" s="87" t="s">
        <v>11448</v>
      </c>
      <c r="AC4008" s="93" t="s">
        <v>11457</v>
      </c>
      <c r="AD4008" s="87" t="s">
        <v>11519</v>
      </c>
      <c r="AE4008" s="92" t="str">
        <f>HYPERLINK("https://twitter.com/tradewebbrasil/status/1692185764581593566")</f>
        <v>https://twitter.com/tradewebbrasil/status/1692185764581593566</v>
      </c>
      <c r="AF4008" s="90">
        <v>45155.614583333336</v>
      </c>
      <c r="AG4008" s="99">
        <v>45155</v>
      </c>
      <c r="AH4008" s="93" t="s">
        <v>15029</v>
      </c>
      <c r="AI4008" s="87" t="b">
        <v>0</v>
      </c>
      <c r="AJ4008" s="87"/>
      <c r="AK4008" s="87"/>
      <c r="AL4008" s="87"/>
      <c r="AM4008" s="87"/>
      <c r="AN4008" s="87"/>
      <c r="AO4008" s="87"/>
      <c r="AP4008" s="87"/>
      <c r="AQ4008" s="87" t="s">
        <v>18124</v>
      </c>
      <c r="AR4008" s="87"/>
      <c r="AS4008" s="87"/>
      <c r="AT4008" s="87"/>
      <c r="AU4008" s="87"/>
      <c r="AV4008" s="92" t="str">
        <f>HYPERLINK("https://pbs.twimg.com/media/F3csnvkXEAEbAEq.jpg")</f>
        <v>https://pbs.twimg.com/media/F3csnvkXEAEbAEq.jpg</v>
      </c>
      <c r="AW4008" s="93" t="s">
        <v>22108</v>
      </c>
      <c r="AX4008" s="93" t="s">
        <v>22108</v>
      </c>
      <c r="AY4008" s="87"/>
      <c r="AZ4008" s="93" t="s">
        <v>22668</v>
      </c>
      <c r="BA4008" s="93" t="s">
        <v>22668</v>
      </c>
      <c r="BB4008" s="93" t="s">
        <v>22668</v>
      </c>
      <c r="BC4008" s="93" t="s">
        <v>22108</v>
      </c>
      <c r="BD4008" s="87">
        <v>206288600</v>
      </c>
      <c r="BE4008" s="87"/>
      <c r="BF4008" s="87"/>
      <c r="BG4008" s="87"/>
      <c r="BH4008" s="87"/>
      <c r="BI4008" s="87"/>
    </row>
    <row r="4009" spans="1:61" x14ac:dyDescent="0.25">
      <c r="A4009" s="63" t="s">
        <v>1558</v>
      </c>
      <c r="B4009" s="63" t="s">
        <v>1558</v>
      </c>
      <c r="C4009" s="64"/>
      <c r="D4009" s="65"/>
      <c r="E4009" s="66"/>
      <c r="F4009" s="67"/>
      <c r="G4009" s="64"/>
      <c r="H4009" s="68"/>
      <c r="I4009" s="69"/>
      <c r="J4009" s="69"/>
      <c r="K4009" s="32"/>
      <c r="L4009" s="76">
        <v>4009</v>
      </c>
      <c r="M4009" s="76"/>
      <c r="N4009" s="71"/>
      <c r="O4009" s="87" t="s">
        <v>179</v>
      </c>
      <c r="P4009" s="90">
        <v>45155.416666666664</v>
      </c>
      <c r="Q4009" s="87" t="s">
        <v>5652</v>
      </c>
      <c r="R4009" s="87">
        <v>0</v>
      </c>
      <c r="S4009" s="87">
        <v>0</v>
      </c>
      <c r="T4009" s="87">
        <v>0</v>
      </c>
      <c r="U4009" s="87">
        <v>0</v>
      </c>
      <c r="V4009" s="87">
        <v>60</v>
      </c>
      <c r="W4009" s="93" t="s">
        <v>8214</v>
      </c>
      <c r="X4009" s="92" t="str">
        <f>HYPERLINK("https://tradewebbrasil.com.br")</f>
        <v>https://tradewebbrasil.com.br</v>
      </c>
      <c r="Y4009" s="87" t="s">
        <v>8373</v>
      </c>
      <c r="Z4009" s="87"/>
      <c r="AA4009" s="87" t="s">
        <v>11313</v>
      </c>
      <c r="AB4009" s="87" t="s">
        <v>11448</v>
      </c>
      <c r="AC4009" s="93" t="s">
        <v>11457</v>
      </c>
      <c r="AD4009" s="87" t="s">
        <v>11519</v>
      </c>
      <c r="AE4009" s="92" t="str">
        <f>HYPERLINK("https://twitter.com/tradewebbrasil/status/1692114044713619458")</f>
        <v>https://twitter.com/tradewebbrasil/status/1692114044713619458</v>
      </c>
      <c r="AF4009" s="90">
        <v>45155.416666666664</v>
      </c>
      <c r="AG4009" s="99">
        <v>45155</v>
      </c>
      <c r="AH4009" s="93" t="s">
        <v>12369</v>
      </c>
      <c r="AI4009" s="87" t="b">
        <v>0</v>
      </c>
      <c r="AJ4009" s="87"/>
      <c r="AK4009" s="87"/>
      <c r="AL4009" s="87"/>
      <c r="AM4009" s="87"/>
      <c r="AN4009" s="87"/>
      <c r="AO4009" s="87"/>
      <c r="AP4009" s="87"/>
      <c r="AQ4009" s="87" t="s">
        <v>18125</v>
      </c>
      <c r="AR4009" s="87"/>
      <c r="AS4009" s="87"/>
      <c r="AT4009" s="87"/>
      <c r="AU4009" s="87"/>
      <c r="AV4009" s="92" t="str">
        <f>HYPERLINK("https://pbs.twimg.com/media/F3r5aNtWQAA-Bel.jpg")</f>
        <v>https://pbs.twimg.com/media/F3r5aNtWQAA-Bel.jpg</v>
      </c>
      <c r="AW4009" s="93" t="s">
        <v>22109</v>
      </c>
      <c r="AX4009" s="93" t="s">
        <v>22109</v>
      </c>
      <c r="AY4009" s="87"/>
      <c r="AZ4009" s="93" t="s">
        <v>22668</v>
      </c>
      <c r="BA4009" s="93" t="s">
        <v>22668</v>
      </c>
      <c r="BB4009" s="93" t="s">
        <v>22668</v>
      </c>
      <c r="BC4009" s="93" t="s">
        <v>22109</v>
      </c>
      <c r="BD4009" s="87">
        <v>206288600</v>
      </c>
      <c r="BE4009" s="87"/>
      <c r="BF4009" s="87"/>
      <c r="BG4009" s="87"/>
      <c r="BH4009" s="87"/>
      <c r="BI4009" s="87"/>
    </row>
    <row r="4010" spans="1:61" x14ac:dyDescent="0.25">
      <c r="A4010" s="63" t="s">
        <v>1558</v>
      </c>
      <c r="B4010" s="63" t="s">
        <v>1558</v>
      </c>
      <c r="C4010" s="64"/>
      <c r="D4010" s="65"/>
      <c r="E4010" s="66"/>
      <c r="F4010" s="67"/>
      <c r="G4010" s="64"/>
      <c r="H4010" s="68"/>
      <c r="I4010" s="69"/>
      <c r="J4010" s="69"/>
      <c r="K4010" s="32"/>
      <c r="L4010" s="76">
        <v>4010</v>
      </c>
      <c r="M4010" s="76"/>
      <c r="N4010" s="71"/>
      <c r="O4010" s="87" t="s">
        <v>179</v>
      </c>
      <c r="P4010" s="90">
        <v>45142.614583333336</v>
      </c>
      <c r="Q4010" s="87" t="s">
        <v>5653</v>
      </c>
      <c r="R4010" s="87">
        <v>0</v>
      </c>
      <c r="S4010" s="87">
        <v>1</v>
      </c>
      <c r="T4010" s="87">
        <v>0</v>
      </c>
      <c r="U4010" s="87">
        <v>0</v>
      </c>
      <c r="V4010" s="87">
        <v>15</v>
      </c>
      <c r="W4010" s="93" t="s">
        <v>8197</v>
      </c>
      <c r="X4010" s="87"/>
      <c r="Y4010" s="87"/>
      <c r="Z4010" s="87"/>
      <c r="AA4010" s="87" t="s">
        <v>11314</v>
      </c>
      <c r="AB4010" s="87" t="s">
        <v>11448</v>
      </c>
      <c r="AC4010" s="93" t="s">
        <v>11457</v>
      </c>
      <c r="AD4010" s="87" t="s">
        <v>11519</v>
      </c>
      <c r="AE4010" s="92" t="str">
        <f>HYPERLINK("https://twitter.com/tradewebbrasil/status/1687474722823659521")</f>
        <v>https://twitter.com/tradewebbrasil/status/1687474722823659521</v>
      </c>
      <c r="AF4010" s="90">
        <v>45142.614583333336</v>
      </c>
      <c r="AG4010" s="99">
        <v>45142</v>
      </c>
      <c r="AH4010" s="93" t="s">
        <v>15029</v>
      </c>
      <c r="AI4010" s="87" t="b">
        <v>0</v>
      </c>
      <c r="AJ4010" s="87"/>
      <c r="AK4010" s="87"/>
      <c r="AL4010" s="87"/>
      <c r="AM4010" s="87"/>
      <c r="AN4010" s="87"/>
      <c r="AO4010" s="87"/>
      <c r="AP4010" s="87"/>
      <c r="AQ4010" s="87" t="s">
        <v>18126</v>
      </c>
      <c r="AR4010" s="87"/>
      <c r="AS4010" s="87"/>
      <c r="AT4010" s="87"/>
      <c r="AU4010" s="87"/>
      <c r="AV4010" s="92" t="str">
        <f>HYPERLINK("https://pbs.twimg.com/media/F2UgSnyWMAA7Yh7.jpg")</f>
        <v>https://pbs.twimg.com/media/F2UgSnyWMAA7Yh7.jpg</v>
      </c>
      <c r="AW4010" s="93" t="s">
        <v>22110</v>
      </c>
      <c r="AX4010" s="93" t="s">
        <v>22110</v>
      </c>
      <c r="AY4010" s="87"/>
      <c r="AZ4010" s="93" t="s">
        <v>22668</v>
      </c>
      <c r="BA4010" s="93" t="s">
        <v>22668</v>
      </c>
      <c r="BB4010" s="93" t="s">
        <v>22668</v>
      </c>
      <c r="BC4010" s="93" t="s">
        <v>22110</v>
      </c>
      <c r="BD4010" s="87">
        <v>206288600</v>
      </c>
      <c r="BE4010" s="87"/>
      <c r="BF4010" s="87"/>
      <c r="BG4010" s="87"/>
      <c r="BH4010" s="87"/>
      <c r="BI4010" s="87"/>
    </row>
    <row r="4011" spans="1:61" x14ac:dyDescent="0.25">
      <c r="A4011" s="63" t="s">
        <v>1558</v>
      </c>
      <c r="B4011" s="63" t="s">
        <v>1558</v>
      </c>
      <c r="C4011" s="64"/>
      <c r="D4011" s="65"/>
      <c r="E4011" s="66"/>
      <c r="F4011" s="67"/>
      <c r="G4011" s="64"/>
      <c r="H4011" s="68"/>
      <c r="I4011" s="69"/>
      <c r="J4011" s="69"/>
      <c r="K4011" s="32"/>
      <c r="L4011" s="76">
        <v>4011</v>
      </c>
      <c r="M4011" s="76"/>
      <c r="N4011" s="71"/>
      <c r="O4011" s="87" t="s">
        <v>179</v>
      </c>
      <c r="P4011" s="90">
        <v>45131.416678240741</v>
      </c>
      <c r="Q4011" s="87" t="s">
        <v>5654</v>
      </c>
      <c r="R4011" s="87">
        <v>0</v>
      </c>
      <c r="S4011" s="87">
        <v>0</v>
      </c>
      <c r="T4011" s="87">
        <v>0</v>
      </c>
      <c r="U4011" s="87">
        <v>0</v>
      </c>
      <c r="V4011" s="87">
        <v>14</v>
      </c>
      <c r="W4011" s="93" t="s">
        <v>8215</v>
      </c>
      <c r="X4011" s="92" t="str">
        <f>HYPERLINK("https://tradewebbrasil.com.br")</f>
        <v>https://tradewebbrasil.com.br</v>
      </c>
      <c r="Y4011" s="87" t="s">
        <v>8373</v>
      </c>
      <c r="Z4011" s="87"/>
      <c r="AA4011" s="87" t="s">
        <v>11315</v>
      </c>
      <c r="AB4011" s="87" t="s">
        <v>11448</v>
      </c>
      <c r="AC4011" s="93" t="s">
        <v>11457</v>
      </c>
      <c r="AD4011" s="87" t="s">
        <v>11519</v>
      </c>
      <c r="AE4011" s="92" t="str">
        <f>HYPERLINK("https://twitter.com/tradewebbrasil/status/1683416740460646402")</f>
        <v>https://twitter.com/tradewebbrasil/status/1683416740460646402</v>
      </c>
      <c r="AF4011" s="90">
        <v>45131.416678240741</v>
      </c>
      <c r="AG4011" s="99">
        <v>45131</v>
      </c>
      <c r="AH4011" s="93" t="s">
        <v>15031</v>
      </c>
      <c r="AI4011" s="87" t="b">
        <v>0</v>
      </c>
      <c r="AJ4011" s="87"/>
      <c r="AK4011" s="87"/>
      <c r="AL4011" s="87"/>
      <c r="AM4011" s="87"/>
      <c r="AN4011" s="87"/>
      <c r="AO4011" s="87"/>
      <c r="AP4011" s="87"/>
      <c r="AQ4011" s="87" t="s">
        <v>18127</v>
      </c>
      <c r="AR4011" s="87"/>
      <c r="AS4011" s="87"/>
      <c r="AT4011" s="87"/>
      <c r="AU4011" s="87"/>
      <c r="AV4011" s="92" t="str">
        <f>HYPERLINK("https://pbs.twimg.com/media/F1vsRRWXoAEYVHl.jpg")</f>
        <v>https://pbs.twimg.com/media/F1vsRRWXoAEYVHl.jpg</v>
      </c>
      <c r="AW4011" s="93" t="s">
        <v>22111</v>
      </c>
      <c r="AX4011" s="93" t="s">
        <v>22111</v>
      </c>
      <c r="AY4011" s="87"/>
      <c r="AZ4011" s="93" t="s">
        <v>22668</v>
      </c>
      <c r="BA4011" s="93" t="s">
        <v>22668</v>
      </c>
      <c r="BB4011" s="93" t="s">
        <v>22668</v>
      </c>
      <c r="BC4011" s="93" t="s">
        <v>22111</v>
      </c>
      <c r="BD4011" s="87">
        <v>206288600</v>
      </c>
      <c r="BE4011" s="87"/>
      <c r="BF4011" s="87"/>
      <c r="BG4011" s="87"/>
      <c r="BH4011" s="87"/>
      <c r="BI4011" s="87"/>
    </row>
    <row r="4012" spans="1:61" x14ac:dyDescent="0.25">
      <c r="A4012" s="63" t="s">
        <v>1558</v>
      </c>
      <c r="B4012" s="63" t="s">
        <v>1558</v>
      </c>
      <c r="C4012" s="64"/>
      <c r="D4012" s="65"/>
      <c r="E4012" s="66"/>
      <c r="F4012" s="67"/>
      <c r="G4012" s="64"/>
      <c r="H4012" s="68"/>
      <c r="I4012" s="69"/>
      <c r="J4012" s="69"/>
      <c r="K4012" s="32"/>
      <c r="L4012" s="76">
        <v>4012</v>
      </c>
      <c r="M4012" s="76"/>
      <c r="N4012" s="71"/>
      <c r="O4012" s="87" t="s">
        <v>179</v>
      </c>
      <c r="P4012" s="90">
        <v>45191.614583333336</v>
      </c>
      <c r="Q4012" s="87" t="s">
        <v>5655</v>
      </c>
      <c r="R4012" s="87">
        <v>0</v>
      </c>
      <c r="S4012" s="87">
        <v>1</v>
      </c>
      <c r="T4012" s="87">
        <v>0</v>
      </c>
      <c r="U4012" s="87">
        <v>0</v>
      </c>
      <c r="V4012" s="87">
        <v>6</v>
      </c>
      <c r="W4012" s="93" t="s">
        <v>8207</v>
      </c>
      <c r="X4012" s="92" t="str">
        <f>HYPERLINK("https://tradewebbrasil.com.br/hiveyoutubeex22set23")</f>
        <v>https://tradewebbrasil.com.br/hiveyoutubeex22set23</v>
      </c>
      <c r="Y4012" s="87" t="s">
        <v>8373</v>
      </c>
      <c r="Z4012" s="87"/>
      <c r="AA4012" s="87" t="s">
        <v>11316</v>
      </c>
      <c r="AB4012" s="87" t="s">
        <v>11448</v>
      </c>
      <c r="AC4012" s="93" t="s">
        <v>11457</v>
      </c>
      <c r="AD4012" s="87" t="s">
        <v>11519</v>
      </c>
      <c r="AE4012" s="92" t="str">
        <f>HYPERLINK("https://twitter.com/tradewebbrasil/status/1705231727679938987")</f>
        <v>https://twitter.com/tradewebbrasil/status/1705231727679938987</v>
      </c>
      <c r="AF4012" s="90">
        <v>45191.614583333336</v>
      </c>
      <c r="AG4012" s="99">
        <v>45191</v>
      </c>
      <c r="AH4012" s="93" t="s">
        <v>15029</v>
      </c>
      <c r="AI4012" s="87" t="b">
        <v>0</v>
      </c>
      <c r="AJ4012" s="87"/>
      <c r="AK4012" s="87"/>
      <c r="AL4012" s="87"/>
      <c r="AM4012" s="87"/>
      <c r="AN4012" s="87"/>
      <c r="AO4012" s="87"/>
      <c r="AP4012" s="87"/>
      <c r="AQ4012" s="87" t="s">
        <v>18128</v>
      </c>
      <c r="AR4012" s="87"/>
      <c r="AS4012" s="87"/>
      <c r="AT4012" s="87"/>
      <c r="AU4012" s="87"/>
      <c r="AV4012" s="92" t="str">
        <f>HYPERLINK("https://pbs.twimg.com/media/F6QwsEdW8AASP6I.jpg")</f>
        <v>https://pbs.twimg.com/media/F6QwsEdW8AASP6I.jpg</v>
      </c>
      <c r="AW4012" s="93" t="s">
        <v>22112</v>
      </c>
      <c r="AX4012" s="93" t="s">
        <v>22112</v>
      </c>
      <c r="AY4012" s="87"/>
      <c r="AZ4012" s="93" t="s">
        <v>22668</v>
      </c>
      <c r="BA4012" s="93" t="s">
        <v>22668</v>
      </c>
      <c r="BB4012" s="93" t="s">
        <v>22668</v>
      </c>
      <c r="BC4012" s="93" t="s">
        <v>22112</v>
      </c>
      <c r="BD4012" s="87">
        <v>206288600</v>
      </c>
      <c r="BE4012" s="87"/>
      <c r="BF4012" s="87"/>
      <c r="BG4012" s="87"/>
      <c r="BH4012" s="87"/>
      <c r="BI4012" s="87"/>
    </row>
    <row r="4013" spans="1:61" x14ac:dyDescent="0.25">
      <c r="A4013" s="63" t="s">
        <v>1558</v>
      </c>
      <c r="B4013" s="63" t="s">
        <v>1558</v>
      </c>
      <c r="C4013" s="64"/>
      <c r="D4013" s="65"/>
      <c r="E4013" s="66"/>
      <c r="F4013" s="67"/>
      <c r="G4013" s="64"/>
      <c r="H4013" s="68"/>
      <c r="I4013" s="69"/>
      <c r="J4013" s="69"/>
      <c r="K4013" s="32"/>
      <c r="L4013" s="76">
        <v>4013</v>
      </c>
      <c r="M4013" s="76"/>
      <c r="N4013" s="71"/>
      <c r="O4013" s="87" t="s">
        <v>179</v>
      </c>
      <c r="P4013" s="90">
        <v>45187.416678240741</v>
      </c>
      <c r="Q4013" s="87" t="s">
        <v>5656</v>
      </c>
      <c r="R4013" s="87">
        <v>0</v>
      </c>
      <c r="S4013" s="87">
        <v>1</v>
      </c>
      <c r="T4013" s="87">
        <v>0</v>
      </c>
      <c r="U4013" s="87">
        <v>0</v>
      </c>
      <c r="V4013" s="87">
        <v>15</v>
      </c>
      <c r="W4013" s="93" t="s">
        <v>8216</v>
      </c>
      <c r="X4013" s="92" t="str">
        <f>HYPERLINK("https://tradewebbrasil.com.br")</f>
        <v>https://tradewebbrasil.com.br</v>
      </c>
      <c r="Y4013" s="87" t="s">
        <v>8373</v>
      </c>
      <c r="Z4013" s="87"/>
      <c r="AA4013" s="87" t="s">
        <v>11317</v>
      </c>
      <c r="AB4013" s="87" t="s">
        <v>11448</v>
      </c>
      <c r="AC4013" s="93" t="s">
        <v>11457</v>
      </c>
      <c r="AD4013" s="87" t="s">
        <v>11519</v>
      </c>
      <c r="AE4013" s="92" t="str">
        <f>HYPERLINK("https://twitter.com/tradewebbrasil/status/1703710457058705687")</f>
        <v>https://twitter.com/tradewebbrasil/status/1703710457058705687</v>
      </c>
      <c r="AF4013" s="90">
        <v>45187.416678240741</v>
      </c>
      <c r="AG4013" s="99">
        <v>45187</v>
      </c>
      <c r="AH4013" s="93" t="s">
        <v>15031</v>
      </c>
      <c r="AI4013" s="87" t="b">
        <v>0</v>
      </c>
      <c r="AJ4013" s="87"/>
      <c r="AK4013" s="87"/>
      <c r="AL4013" s="87"/>
      <c r="AM4013" s="87"/>
      <c r="AN4013" s="87"/>
      <c r="AO4013" s="87"/>
      <c r="AP4013" s="87"/>
      <c r="AQ4013" s="87" t="s">
        <v>18129</v>
      </c>
      <c r="AR4013" s="87"/>
      <c r="AS4013" s="87"/>
      <c r="AT4013" s="87"/>
      <c r="AU4013" s="87"/>
      <c r="AV4013" s="92" t="str">
        <f>HYPERLINK("https://pbs.twimg.com/media/F6P0m26WcAA8rmM.jpg")</f>
        <v>https://pbs.twimg.com/media/F6P0m26WcAA8rmM.jpg</v>
      </c>
      <c r="AW4013" s="93" t="s">
        <v>22113</v>
      </c>
      <c r="AX4013" s="93" t="s">
        <v>22113</v>
      </c>
      <c r="AY4013" s="87"/>
      <c r="AZ4013" s="93" t="s">
        <v>22668</v>
      </c>
      <c r="BA4013" s="93" t="s">
        <v>22668</v>
      </c>
      <c r="BB4013" s="93" t="s">
        <v>22668</v>
      </c>
      <c r="BC4013" s="93" t="s">
        <v>22113</v>
      </c>
      <c r="BD4013" s="87">
        <v>206288600</v>
      </c>
      <c r="BE4013" s="87"/>
      <c r="BF4013" s="87"/>
      <c r="BG4013" s="87"/>
      <c r="BH4013" s="87"/>
      <c r="BI4013" s="87"/>
    </row>
    <row r="4014" spans="1:61" x14ac:dyDescent="0.25">
      <c r="A4014" s="63" t="s">
        <v>1558</v>
      </c>
      <c r="B4014" s="63" t="s">
        <v>1558</v>
      </c>
      <c r="C4014" s="64"/>
      <c r="D4014" s="65"/>
      <c r="E4014" s="66"/>
      <c r="F4014" s="67"/>
      <c r="G4014" s="64"/>
      <c r="H4014" s="68"/>
      <c r="I4014" s="69"/>
      <c r="J4014" s="69"/>
      <c r="K4014" s="32"/>
      <c r="L4014" s="76">
        <v>4014</v>
      </c>
      <c r="M4014" s="76"/>
      <c r="N4014" s="71"/>
      <c r="O4014" s="87" t="s">
        <v>179</v>
      </c>
      <c r="P4014" s="90">
        <v>45153.614583333336</v>
      </c>
      <c r="Q4014" s="87" t="s">
        <v>5657</v>
      </c>
      <c r="R4014" s="87">
        <v>0</v>
      </c>
      <c r="S4014" s="87">
        <v>0</v>
      </c>
      <c r="T4014" s="87">
        <v>0</v>
      </c>
      <c r="U4014" s="87">
        <v>0</v>
      </c>
      <c r="V4014" s="87">
        <v>10</v>
      </c>
      <c r="W4014" s="93" t="s">
        <v>8197</v>
      </c>
      <c r="X4014" s="87"/>
      <c r="Y4014" s="87"/>
      <c r="Z4014" s="87"/>
      <c r="AA4014" s="87" t="s">
        <v>11318</v>
      </c>
      <c r="AB4014" s="87" t="s">
        <v>11448</v>
      </c>
      <c r="AC4014" s="93" t="s">
        <v>11457</v>
      </c>
      <c r="AD4014" s="87" t="s">
        <v>11519</v>
      </c>
      <c r="AE4014" s="92" t="str">
        <f>HYPERLINK("https://twitter.com/tradewebbrasil/status/1691460989169147908")</f>
        <v>https://twitter.com/tradewebbrasil/status/1691460989169147908</v>
      </c>
      <c r="AF4014" s="90">
        <v>45153.614583333336</v>
      </c>
      <c r="AG4014" s="99">
        <v>45153</v>
      </c>
      <c r="AH4014" s="93" t="s">
        <v>15029</v>
      </c>
      <c r="AI4014" s="87" t="b">
        <v>0</v>
      </c>
      <c r="AJ4014" s="87"/>
      <c r="AK4014" s="87"/>
      <c r="AL4014" s="87"/>
      <c r="AM4014" s="87"/>
      <c r="AN4014" s="87"/>
      <c r="AO4014" s="87"/>
      <c r="AP4014" s="87"/>
      <c r="AQ4014" s="87" t="s">
        <v>18130</v>
      </c>
      <c r="AR4014" s="87"/>
      <c r="AS4014" s="87"/>
      <c r="AT4014" s="87"/>
      <c r="AU4014" s="87"/>
      <c r="AV4014" s="92" t="str">
        <f>HYPERLINK("https://pbs.twimg.com/media/F3cbvlfXMAEYNO0.jpg")</f>
        <v>https://pbs.twimg.com/media/F3cbvlfXMAEYNO0.jpg</v>
      </c>
      <c r="AW4014" s="93" t="s">
        <v>22114</v>
      </c>
      <c r="AX4014" s="93" t="s">
        <v>22114</v>
      </c>
      <c r="AY4014" s="87"/>
      <c r="AZ4014" s="93" t="s">
        <v>22668</v>
      </c>
      <c r="BA4014" s="93" t="s">
        <v>22668</v>
      </c>
      <c r="BB4014" s="93" t="s">
        <v>22668</v>
      </c>
      <c r="BC4014" s="93" t="s">
        <v>22114</v>
      </c>
      <c r="BD4014" s="87">
        <v>206288600</v>
      </c>
      <c r="BE4014" s="87"/>
      <c r="BF4014" s="87"/>
      <c r="BG4014" s="87"/>
      <c r="BH4014" s="87"/>
      <c r="BI4014" s="87"/>
    </row>
    <row r="4015" spans="1:61" x14ac:dyDescent="0.25">
      <c r="A4015" s="63" t="s">
        <v>1558</v>
      </c>
      <c r="B4015" s="63" t="s">
        <v>1558</v>
      </c>
      <c r="C4015" s="64"/>
      <c r="D4015" s="65"/>
      <c r="E4015" s="66"/>
      <c r="F4015" s="67"/>
      <c r="G4015" s="64"/>
      <c r="H4015" s="68"/>
      <c r="I4015" s="69"/>
      <c r="J4015" s="69"/>
      <c r="K4015" s="32"/>
      <c r="L4015" s="76">
        <v>4015</v>
      </c>
      <c r="M4015" s="76"/>
      <c r="N4015" s="71"/>
      <c r="O4015" s="87" t="s">
        <v>179</v>
      </c>
      <c r="P4015" s="90">
        <v>45140.416678240741</v>
      </c>
      <c r="Q4015" s="87" t="s">
        <v>5658</v>
      </c>
      <c r="R4015" s="87">
        <v>0</v>
      </c>
      <c r="S4015" s="87">
        <v>0</v>
      </c>
      <c r="T4015" s="87">
        <v>0</v>
      </c>
      <c r="U4015" s="87">
        <v>0</v>
      </c>
      <c r="V4015" s="87">
        <v>12</v>
      </c>
      <c r="W4015" s="93" t="s">
        <v>8217</v>
      </c>
      <c r="X4015" s="92" t="str">
        <f>HYPERLINK("https://instagram.com/tradewebbrasil")</f>
        <v>https://instagram.com/tradewebbrasil</v>
      </c>
      <c r="Y4015" s="87" t="s">
        <v>8383</v>
      </c>
      <c r="Z4015" s="87"/>
      <c r="AA4015" s="87" t="s">
        <v>11319</v>
      </c>
      <c r="AB4015" s="87" t="s">
        <v>11448</v>
      </c>
      <c r="AC4015" s="93" t="s">
        <v>11457</v>
      </c>
      <c r="AD4015" s="87" t="s">
        <v>11519</v>
      </c>
      <c r="AE4015" s="92" t="str">
        <f>HYPERLINK("https://twitter.com/tradewebbrasil/status/1686678230038716416")</f>
        <v>https://twitter.com/tradewebbrasil/status/1686678230038716416</v>
      </c>
      <c r="AF4015" s="90">
        <v>45140.416678240741</v>
      </c>
      <c r="AG4015" s="99">
        <v>45140</v>
      </c>
      <c r="AH4015" s="93" t="s">
        <v>15031</v>
      </c>
      <c r="AI4015" s="87" t="b">
        <v>0</v>
      </c>
      <c r="AJ4015" s="87"/>
      <c r="AK4015" s="87"/>
      <c r="AL4015" s="87"/>
      <c r="AM4015" s="87"/>
      <c r="AN4015" s="87"/>
      <c r="AO4015" s="87"/>
      <c r="AP4015" s="87"/>
      <c r="AQ4015" s="87" t="s">
        <v>18131</v>
      </c>
      <c r="AR4015" s="87"/>
      <c r="AS4015" s="87"/>
      <c r="AT4015" s="87"/>
      <c r="AU4015" s="87"/>
      <c r="AV4015" s="92" t="str">
        <f>HYPERLINK("https://pbs.twimg.com/media/F2eXdUlaAAUvB-2.jpg")</f>
        <v>https://pbs.twimg.com/media/F2eXdUlaAAUvB-2.jpg</v>
      </c>
      <c r="AW4015" s="93" t="s">
        <v>22115</v>
      </c>
      <c r="AX4015" s="93" t="s">
        <v>22115</v>
      </c>
      <c r="AY4015" s="87"/>
      <c r="AZ4015" s="93" t="s">
        <v>22668</v>
      </c>
      <c r="BA4015" s="93" t="s">
        <v>22668</v>
      </c>
      <c r="BB4015" s="93" t="s">
        <v>22668</v>
      </c>
      <c r="BC4015" s="93" t="s">
        <v>22115</v>
      </c>
      <c r="BD4015" s="87">
        <v>206288600</v>
      </c>
      <c r="BE4015" s="87"/>
      <c r="BF4015" s="87"/>
      <c r="BG4015" s="87"/>
      <c r="BH4015" s="87"/>
      <c r="BI4015" s="87"/>
    </row>
    <row r="4016" spans="1:61" x14ac:dyDescent="0.25">
      <c r="A4016" s="63" t="s">
        <v>1558</v>
      </c>
      <c r="B4016" s="63" t="s">
        <v>1558</v>
      </c>
      <c r="C4016" s="64"/>
      <c r="D4016" s="65"/>
      <c r="E4016" s="66"/>
      <c r="F4016" s="67"/>
      <c r="G4016" s="64"/>
      <c r="H4016" s="68"/>
      <c r="I4016" s="69"/>
      <c r="J4016" s="69"/>
      <c r="K4016" s="32"/>
      <c r="L4016" s="76">
        <v>4016</v>
      </c>
      <c r="M4016" s="76"/>
      <c r="N4016" s="71"/>
      <c r="O4016" s="87" t="s">
        <v>179</v>
      </c>
      <c r="P4016" s="90">
        <v>45125.614583333336</v>
      </c>
      <c r="Q4016" s="87" t="s">
        <v>5659</v>
      </c>
      <c r="R4016" s="87">
        <v>0</v>
      </c>
      <c r="S4016" s="87">
        <v>1</v>
      </c>
      <c r="T4016" s="87">
        <v>1</v>
      </c>
      <c r="U4016" s="87">
        <v>0</v>
      </c>
      <c r="V4016" s="87">
        <v>20</v>
      </c>
      <c r="W4016" s="93" t="s">
        <v>8197</v>
      </c>
      <c r="X4016" s="87"/>
      <c r="Y4016" s="87"/>
      <c r="Z4016" s="87"/>
      <c r="AA4016" s="87" t="s">
        <v>11320</v>
      </c>
      <c r="AB4016" s="87" t="s">
        <v>11448</v>
      </c>
      <c r="AC4016" s="93" t="s">
        <v>11457</v>
      </c>
      <c r="AD4016" s="87" t="s">
        <v>11519</v>
      </c>
      <c r="AE4016" s="92" t="str">
        <f>HYPERLINK("https://twitter.com/tradewebbrasil/status/1681314128802230282")</f>
        <v>https://twitter.com/tradewebbrasil/status/1681314128802230282</v>
      </c>
      <c r="AF4016" s="90">
        <v>45125.614583333336</v>
      </c>
      <c r="AG4016" s="99">
        <v>45125</v>
      </c>
      <c r="AH4016" s="93" t="s">
        <v>15029</v>
      </c>
      <c r="AI4016" s="87" t="b">
        <v>0</v>
      </c>
      <c r="AJ4016" s="87"/>
      <c r="AK4016" s="87"/>
      <c r="AL4016" s="87"/>
      <c r="AM4016" s="87"/>
      <c r="AN4016" s="87"/>
      <c r="AO4016" s="87"/>
      <c r="AP4016" s="87"/>
      <c r="AQ4016" s="87" t="s">
        <v>18132</v>
      </c>
      <c r="AR4016" s="87"/>
      <c r="AS4016" s="87"/>
      <c r="AT4016" s="87"/>
      <c r="AU4016" s="87"/>
      <c r="AV4016" s="92" t="str">
        <f>HYPERLINK("https://pbs.twimg.com/media/F1MENrrXoAA9FNh.jpg")</f>
        <v>https://pbs.twimg.com/media/F1MENrrXoAA9FNh.jpg</v>
      </c>
      <c r="AW4016" s="93" t="s">
        <v>22116</v>
      </c>
      <c r="AX4016" s="93" t="s">
        <v>22116</v>
      </c>
      <c r="AY4016" s="87"/>
      <c r="AZ4016" s="93" t="s">
        <v>22668</v>
      </c>
      <c r="BA4016" s="93" t="s">
        <v>22668</v>
      </c>
      <c r="BB4016" s="93" t="s">
        <v>22668</v>
      </c>
      <c r="BC4016" s="93" t="s">
        <v>22116</v>
      </c>
      <c r="BD4016" s="87">
        <v>206288600</v>
      </c>
      <c r="BE4016" s="87"/>
      <c r="BF4016" s="87"/>
      <c r="BG4016" s="87"/>
      <c r="BH4016" s="87"/>
      <c r="BI4016" s="87"/>
    </row>
    <row r="4017" spans="1:61" x14ac:dyDescent="0.25">
      <c r="A4017" s="63" t="s">
        <v>1558</v>
      </c>
      <c r="B4017" s="63" t="s">
        <v>1558</v>
      </c>
      <c r="C4017" s="64"/>
      <c r="D4017" s="65"/>
      <c r="E4017" s="66"/>
      <c r="F4017" s="67"/>
      <c r="G4017" s="64"/>
      <c r="H4017" s="68"/>
      <c r="I4017" s="69"/>
      <c r="J4017" s="69"/>
      <c r="K4017" s="32"/>
      <c r="L4017" s="76">
        <v>4017</v>
      </c>
      <c r="M4017" s="76"/>
      <c r="N4017" s="71"/>
      <c r="O4017" s="87" t="s">
        <v>179</v>
      </c>
      <c r="P4017" s="90">
        <v>45195.614583333336</v>
      </c>
      <c r="Q4017" s="87" t="s">
        <v>5660</v>
      </c>
      <c r="R4017" s="87">
        <v>0</v>
      </c>
      <c r="S4017" s="87">
        <v>1</v>
      </c>
      <c r="T4017" s="87">
        <v>0</v>
      </c>
      <c r="U4017" s="87">
        <v>0</v>
      </c>
      <c r="V4017" s="87">
        <v>8</v>
      </c>
      <c r="W4017" s="93" t="s">
        <v>8218</v>
      </c>
      <c r="X4017" s="92" t="str">
        <f>HYPERLINK("https://tradewebbrasil.com.br/fnomarketingdigital")</f>
        <v>https://tradewebbrasil.com.br/fnomarketingdigital</v>
      </c>
      <c r="Y4017" s="87" t="s">
        <v>8373</v>
      </c>
      <c r="Z4017" s="87"/>
      <c r="AA4017" s="87" t="s">
        <v>11321</v>
      </c>
      <c r="AB4017" s="87" t="s">
        <v>11448</v>
      </c>
      <c r="AC4017" s="93" t="s">
        <v>11457</v>
      </c>
      <c r="AD4017" s="87" t="s">
        <v>11519</v>
      </c>
      <c r="AE4017" s="92" t="str">
        <f>HYPERLINK("https://twitter.com/tradewebbrasil/status/1706681279750733934")</f>
        <v>https://twitter.com/tradewebbrasil/status/1706681279750733934</v>
      </c>
      <c r="AF4017" s="90">
        <v>45195.614583333336</v>
      </c>
      <c r="AG4017" s="99">
        <v>45195</v>
      </c>
      <c r="AH4017" s="93" t="s">
        <v>15029</v>
      </c>
      <c r="AI4017" s="87" t="b">
        <v>0</v>
      </c>
      <c r="AJ4017" s="87"/>
      <c r="AK4017" s="87"/>
      <c r="AL4017" s="87"/>
      <c r="AM4017" s="87"/>
      <c r="AN4017" s="87"/>
      <c r="AO4017" s="87"/>
      <c r="AP4017" s="87"/>
      <c r="AQ4017" s="87" t="s">
        <v>18133</v>
      </c>
      <c r="AR4017" s="87"/>
      <c r="AS4017" s="87"/>
      <c r="AT4017" s="87"/>
      <c r="AU4017" s="87"/>
      <c r="AV4017" s="92" t="str">
        <f>HYPERLINK("https://pbs.twimg.com/media/F60EVkcWsAAe5kt.jpg")</f>
        <v>https://pbs.twimg.com/media/F60EVkcWsAAe5kt.jpg</v>
      </c>
      <c r="AW4017" s="93" t="s">
        <v>22117</v>
      </c>
      <c r="AX4017" s="93" t="s">
        <v>22117</v>
      </c>
      <c r="AY4017" s="87"/>
      <c r="AZ4017" s="93" t="s">
        <v>22668</v>
      </c>
      <c r="BA4017" s="93" t="s">
        <v>22668</v>
      </c>
      <c r="BB4017" s="93" t="s">
        <v>22668</v>
      </c>
      <c r="BC4017" s="93" t="s">
        <v>22117</v>
      </c>
      <c r="BD4017" s="87">
        <v>206288600</v>
      </c>
      <c r="BE4017" s="87"/>
      <c r="BF4017" s="87"/>
      <c r="BG4017" s="87"/>
      <c r="BH4017" s="87"/>
      <c r="BI4017" s="87"/>
    </row>
    <row r="4018" spans="1:61" x14ac:dyDescent="0.25">
      <c r="A4018" s="63" t="s">
        <v>1558</v>
      </c>
      <c r="B4018" s="63" t="s">
        <v>1558</v>
      </c>
      <c r="C4018" s="64"/>
      <c r="D4018" s="65"/>
      <c r="E4018" s="66"/>
      <c r="F4018" s="67"/>
      <c r="G4018" s="64"/>
      <c r="H4018" s="68"/>
      <c r="I4018" s="69"/>
      <c r="J4018" s="69"/>
      <c r="K4018" s="32"/>
      <c r="L4018" s="76">
        <v>4018</v>
      </c>
      <c r="M4018" s="76"/>
      <c r="N4018" s="71"/>
      <c r="O4018" s="87" t="s">
        <v>179</v>
      </c>
      <c r="P4018" s="90">
        <v>45188.614583333336</v>
      </c>
      <c r="Q4018" s="87" t="s">
        <v>5661</v>
      </c>
      <c r="R4018" s="87">
        <v>0</v>
      </c>
      <c r="S4018" s="87">
        <v>1</v>
      </c>
      <c r="T4018" s="87">
        <v>0</v>
      </c>
      <c r="U4018" s="87">
        <v>0</v>
      </c>
      <c r="V4018" s="87">
        <v>6</v>
      </c>
      <c r="W4018" s="93" t="s">
        <v>8207</v>
      </c>
      <c r="X4018" s="92" t="str">
        <f>HYPERLINK("https://tradewebbrasil.com.br/hiveyoutubeex19set23")</f>
        <v>https://tradewebbrasil.com.br/hiveyoutubeex19set23</v>
      </c>
      <c r="Y4018" s="87" t="s">
        <v>8373</v>
      </c>
      <c r="Z4018" s="87"/>
      <c r="AA4018" s="87" t="s">
        <v>11322</v>
      </c>
      <c r="AB4018" s="87" t="s">
        <v>11448</v>
      </c>
      <c r="AC4018" s="93" t="s">
        <v>11457</v>
      </c>
      <c r="AD4018" s="87" t="s">
        <v>11519</v>
      </c>
      <c r="AE4018" s="92" t="str">
        <f>HYPERLINK("https://twitter.com/tradewebbrasil/status/1704144564116660679")</f>
        <v>https://twitter.com/tradewebbrasil/status/1704144564116660679</v>
      </c>
      <c r="AF4018" s="90">
        <v>45188.614583333336</v>
      </c>
      <c r="AG4018" s="99">
        <v>45188</v>
      </c>
      <c r="AH4018" s="93" t="s">
        <v>15029</v>
      </c>
      <c r="AI4018" s="87" t="b">
        <v>0</v>
      </c>
      <c r="AJ4018" s="87"/>
      <c r="AK4018" s="87"/>
      <c r="AL4018" s="87"/>
      <c r="AM4018" s="87"/>
      <c r="AN4018" s="87"/>
      <c r="AO4018" s="87"/>
      <c r="AP4018" s="87"/>
      <c r="AQ4018" s="87" t="s">
        <v>18134</v>
      </c>
      <c r="AR4018" s="87"/>
      <c r="AS4018" s="87"/>
      <c r="AT4018" s="87"/>
      <c r="AU4018" s="87"/>
      <c r="AV4018" s="92" t="str">
        <f>HYPERLINK("https://pbs.twimg.com/media/F6QS-6CWEAAyPJn.jpg")</f>
        <v>https://pbs.twimg.com/media/F6QS-6CWEAAyPJn.jpg</v>
      </c>
      <c r="AW4018" s="93" t="s">
        <v>22118</v>
      </c>
      <c r="AX4018" s="93" t="s">
        <v>22118</v>
      </c>
      <c r="AY4018" s="87"/>
      <c r="AZ4018" s="93" t="s">
        <v>22668</v>
      </c>
      <c r="BA4018" s="93" t="s">
        <v>22668</v>
      </c>
      <c r="BB4018" s="93" t="s">
        <v>22668</v>
      </c>
      <c r="BC4018" s="93" t="s">
        <v>22118</v>
      </c>
      <c r="BD4018" s="87">
        <v>206288600</v>
      </c>
      <c r="BE4018" s="87"/>
      <c r="BF4018" s="87"/>
      <c r="BG4018" s="87"/>
      <c r="BH4018" s="87"/>
      <c r="BI4018" s="87"/>
    </row>
    <row r="4019" spans="1:61" x14ac:dyDescent="0.25">
      <c r="A4019" s="63" t="s">
        <v>1558</v>
      </c>
      <c r="B4019" s="63" t="s">
        <v>1558</v>
      </c>
      <c r="C4019" s="64"/>
      <c r="D4019" s="65"/>
      <c r="E4019" s="66"/>
      <c r="F4019" s="67"/>
      <c r="G4019" s="64"/>
      <c r="H4019" s="68"/>
      <c r="I4019" s="69"/>
      <c r="J4019" s="69"/>
      <c r="K4019" s="32"/>
      <c r="L4019" s="76">
        <v>4019</v>
      </c>
      <c r="M4019" s="76"/>
      <c r="N4019" s="71"/>
      <c r="O4019" s="87" t="s">
        <v>179</v>
      </c>
      <c r="P4019" s="90">
        <v>45149.614583333336</v>
      </c>
      <c r="Q4019" s="87" t="s">
        <v>5662</v>
      </c>
      <c r="R4019" s="87">
        <v>0</v>
      </c>
      <c r="S4019" s="87">
        <v>1</v>
      </c>
      <c r="T4019" s="87">
        <v>0</v>
      </c>
      <c r="U4019" s="87">
        <v>0</v>
      </c>
      <c r="V4019" s="87">
        <v>9</v>
      </c>
      <c r="W4019" s="93" t="s">
        <v>8207</v>
      </c>
      <c r="X4019" s="92" t="str">
        <f>HYPERLINK("https://tradewebbrasil.com.br/hiveyoutubeetwitter11ago23")</f>
        <v>https://tradewebbrasil.com.br/hiveyoutubeetwitter11ago23</v>
      </c>
      <c r="Y4019" s="87" t="s">
        <v>8373</v>
      </c>
      <c r="Z4019" s="87"/>
      <c r="AA4019" s="87" t="s">
        <v>11323</v>
      </c>
      <c r="AB4019" s="87" t="s">
        <v>11448</v>
      </c>
      <c r="AC4019" s="93" t="s">
        <v>11457</v>
      </c>
      <c r="AD4019" s="87" t="s">
        <v>11519</v>
      </c>
      <c r="AE4019" s="92" t="str">
        <f>HYPERLINK("https://twitter.com/tradewebbrasil/status/1690011438054539264")</f>
        <v>https://twitter.com/tradewebbrasil/status/1690011438054539264</v>
      </c>
      <c r="AF4019" s="90">
        <v>45149.614583333336</v>
      </c>
      <c r="AG4019" s="99">
        <v>45149</v>
      </c>
      <c r="AH4019" s="93" t="s">
        <v>15029</v>
      </c>
      <c r="AI4019" s="87" t="b">
        <v>0</v>
      </c>
      <c r="AJ4019" s="87"/>
      <c r="AK4019" s="87"/>
      <c r="AL4019" s="87"/>
      <c r="AM4019" s="87"/>
      <c r="AN4019" s="87"/>
      <c r="AO4019" s="87"/>
      <c r="AP4019" s="87"/>
      <c r="AQ4019" s="87" t="s">
        <v>18135</v>
      </c>
      <c r="AR4019" s="87"/>
      <c r="AS4019" s="87"/>
      <c r="AT4019" s="87"/>
      <c r="AU4019" s="87"/>
      <c r="AV4019" s="92" t="str">
        <f>HYPERLINK("https://pbs.twimg.com/media/F23758EWUAAJ2F8.jpg")</f>
        <v>https://pbs.twimg.com/media/F23758EWUAAJ2F8.jpg</v>
      </c>
      <c r="AW4019" s="93" t="s">
        <v>22119</v>
      </c>
      <c r="AX4019" s="93" t="s">
        <v>22119</v>
      </c>
      <c r="AY4019" s="87"/>
      <c r="AZ4019" s="93" t="s">
        <v>22668</v>
      </c>
      <c r="BA4019" s="93" t="s">
        <v>22668</v>
      </c>
      <c r="BB4019" s="93" t="s">
        <v>22668</v>
      </c>
      <c r="BC4019" s="93" t="s">
        <v>22119</v>
      </c>
      <c r="BD4019" s="87">
        <v>206288600</v>
      </c>
      <c r="BE4019" s="87"/>
      <c r="BF4019" s="87"/>
      <c r="BG4019" s="87"/>
      <c r="BH4019" s="87"/>
      <c r="BI4019" s="87"/>
    </row>
    <row r="4020" spans="1:61" x14ac:dyDescent="0.25">
      <c r="A4020" s="63" t="s">
        <v>1558</v>
      </c>
      <c r="B4020" s="63" t="s">
        <v>1558</v>
      </c>
      <c r="C4020" s="64"/>
      <c r="D4020" s="65"/>
      <c r="E4020" s="66"/>
      <c r="F4020" s="67"/>
      <c r="G4020" s="64"/>
      <c r="H4020" s="68"/>
      <c r="I4020" s="69"/>
      <c r="J4020" s="69"/>
      <c r="K4020" s="32"/>
      <c r="L4020" s="76">
        <v>4020</v>
      </c>
      <c r="M4020" s="76"/>
      <c r="N4020" s="71"/>
      <c r="O4020" s="87" t="s">
        <v>179</v>
      </c>
      <c r="P4020" s="90">
        <v>45137.500011574077</v>
      </c>
      <c r="Q4020" s="87" t="s">
        <v>5663</v>
      </c>
      <c r="R4020" s="87">
        <v>0</v>
      </c>
      <c r="S4020" s="87">
        <v>0</v>
      </c>
      <c r="T4020" s="87">
        <v>1</v>
      </c>
      <c r="U4020" s="87">
        <v>0</v>
      </c>
      <c r="V4020" s="87">
        <v>46</v>
      </c>
      <c r="W4020" s="93" t="s">
        <v>8219</v>
      </c>
      <c r="X4020" s="92" t="str">
        <f>HYPERLINK("https://instagram.com/tradewebbrasil")</f>
        <v>https://instagram.com/tradewebbrasil</v>
      </c>
      <c r="Y4020" s="87" t="s">
        <v>8383</v>
      </c>
      <c r="Z4020" s="87"/>
      <c r="AA4020" s="87" t="s">
        <v>11324</v>
      </c>
      <c r="AB4020" s="87" t="s">
        <v>11448</v>
      </c>
      <c r="AC4020" s="93" t="s">
        <v>11457</v>
      </c>
      <c r="AD4020" s="87" t="s">
        <v>11519</v>
      </c>
      <c r="AE4020" s="92" t="str">
        <f>HYPERLINK("https://twitter.com/tradewebbrasil/status/1685621263228641281")</f>
        <v>https://twitter.com/tradewebbrasil/status/1685621263228641281</v>
      </c>
      <c r="AF4020" s="90">
        <v>45137.500011574077</v>
      </c>
      <c r="AG4020" s="99">
        <v>45137</v>
      </c>
      <c r="AH4020" s="93" t="s">
        <v>12091</v>
      </c>
      <c r="AI4020" s="87" t="b">
        <v>0</v>
      </c>
      <c r="AJ4020" s="87"/>
      <c r="AK4020" s="87"/>
      <c r="AL4020" s="87"/>
      <c r="AM4020" s="87"/>
      <c r="AN4020" s="87"/>
      <c r="AO4020" s="87"/>
      <c r="AP4020" s="87"/>
      <c r="AQ4020" s="87" t="s">
        <v>18136</v>
      </c>
      <c r="AR4020" s="87"/>
      <c r="AS4020" s="87"/>
      <c r="AT4020" s="87"/>
      <c r="AU4020" s="87"/>
      <c r="AV4020" s="92" t="str">
        <f>HYPERLINK("https://pbs.twimg.com/media/F2OGbJbWIAAXB2_.jpg")</f>
        <v>https://pbs.twimg.com/media/F2OGbJbWIAAXB2_.jpg</v>
      </c>
      <c r="AW4020" s="93" t="s">
        <v>22120</v>
      </c>
      <c r="AX4020" s="93" t="s">
        <v>22120</v>
      </c>
      <c r="AY4020" s="87"/>
      <c r="AZ4020" s="93" t="s">
        <v>22668</v>
      </c>
      <c r="BA4020" s="93" t="s">
        <v>22668</v>
      </c>
      <c r="BB4020" s="93" t="s">
        <v>22668</v>
      </c>
      <c r="BC4020" s="93" t="s">
        <v>22120</v>
      </c>
      <c r="BD4020" s="87">
        <v>206288600</v>
      </c>
      <c r="BE4020" s="87"/>
      <c r="BF4020" s="87"/>
      <c r="BG4020" s="87"/>
      <c r="BH4020" s="87"/>
      <c r="BI4020" s="87"/>
    </row>
    <row r="4021" spans="1:61" x14ac:dyDescent="0.25">
      <c r="A4021" s="63" t="s">
        <v>1558</v>
      </c>
      <c r="B4021" s="63" t="s">
        <v>1558</v>
      </c>
      <c r="C4021" s="64"/>
      <c r="D4021" s="65"/>
      <c r="E4021" s="66"/>
      <c r="F4021" s="67"/>
      <c r="G4021" s="64"/>
      <c r="H4021" s="68"/>
      <c r="I4021" s="69"/>
      <c r="J4021" s="69"/>
      <c r="K4021" s="32"/>
      <c r="L4021" s="76">
        <v>4021</v>
      </c>
      <c r="M4021" s="76"/>
      <c r="N4021" s="71"/>
      <c r="O4021" s="87" t="s">
        <v>179</v>
      </c>
      <c r="P4021" s="90">
        <v>45121.614583333336</v>
      </c>
      <c r="Q4021" s="87" t="s">
        <v>5664</v>
      </c>
      <c r="R4021" s="87">
        <v>0</v>
      </c>
      <c r="S4021" s="87">
        <v>1</v>
      </c>
      <c r="T4021" s="87">
        <v>0</v>
      </c>
      <c r="U4021" s="87">
        <v>0</v>
      </c>
      <c r="V4021" s="87">
        <v>7</v>
      </c>
      <c r="W4021" s="93" t="s">
        <v>8197</v>
      </c>
      <c r="X4021" s="87"/>
      <c r="Y4021" s="87"/>
      <c r="Z4021" s="87"/>
      <c r="AA4021" s="87" t="s">
        <v>11325</v>
      </c>
      <c r="AB4021" s="87" t="s">
        <v>11448</v>
      </c>
      <c r="AC4021" s="93" t="s">
        <v>11457</v>
      </c>
      <c r="AD4021" s="87" t="s">
        <v>11519</v>
      </c>
      <c r="AE4021" s="92" t="str">
        <f>HYPERLINK("https://twitter.com/tradewebbrasil/status/1679864577293467651")</f>
        <v>https://twitter.com/tradewebbrasil/status/1679864577293467651</v>
      </c>
      <c r="AF4021" s="90">
        <v>45121.614583333336</v>
      </c>
      <c r="AG4021" s="99">
        <v>45121</v>
      </c>
      <c r="AH4021" s="93" t="s">
        <v>15029</v>
      </c>
      <c r="AI4021" s="87" t="b">
        <v>0</v>
      </c>
      <c r="AJ4021" s="87"/>
      <c r="AK4021" s="87"/>
      <c r="AL4021" s="87"/>
      <c r="AM4021" s="87"/>
      <c r="AN4021" s="87"/>
      <c r="AO4021" s="87"/>
      <c r="AP4021" s="87"/>
      <c r="AQ4021" s="87" t="s">
        <v>18137</v>
      </c>
      <c r="AR4021" s="87"/>
      <c r="AS4021" s="87"/>
      <c r="AT4021" s="87"/>
      <c r="AU4021" s="87"/>
      <c r="AV4021" s="92" t="str">
        <f>HYPERLINK("https://pbs.twimg.com/media/F0uFEIaWIAIKPqV.jpg")</f>
        <v>https://pbs.twimg.com/media/F0uFEIaWIAIKPqV.jpg</v>
      </c>
      <c r="AW4021" s="93" t="s">
        <v>22121</v>
      </c>
      <c r="AX4021" s="93" t="s">
        <v>22121</v>
      </c>
      <c r="AY4021" s="87"/>
      <c r="AZ4021" s="93" t="s">
        <v>22668</v>
      </c>
      <c r="BA4021" s="93" t="s">
        <v>22668</v>
      </c>
      <c r="BB4021" s="93" t="s">
        <v>22668</v>
      </c>
      <c r="BC4021" s="93" t="s">
        <v>22121</v>
      </c>
      <c r="BD4021" s="87">
        <v>206288600</v>
      </c>
      <c r="BE4021" s="87"/>
      <c r="BF4021" s="87"/>
      <c r="BG4021" s="87"/>
      <c r="BH4021" s="87"/>
      <c r="BI4021" s="87"/>
    </row>
    <row r="4022" spans="1:61" x14ac:dyDescent="0.25">
      <c r="A4022" s="63" t="s">
        <v>1558</v>
      </c>
      <c r="B4022" s="63" t="s">
        <v>1558</v>
      </c>
      <c r="C4022" s="64"/>
      <c r="D4022" s="65"/>
      <c r="E4022" s="66"/>
      <c r="F4022" s="67"/>
      <c r="G4022" s="64"/>
      <c r="H4022" s="68"/>
      <c r="I4022" s="69"/>
      <c r="J4022" s="69"/>
      <c r="K4022" s="32"/>
      <c r="L4022" s="76">
        <v>4022</v>
      </c>
      <c r="M4022" s="76"/>
      <c r="N4022" s="71"/>
      <c r="O4022" s="87" t="s">
        <v>179</v>
      </c>
      <c r="P4022" s="90">
        <v>45121.416689814818</v>
      </c>
      <c r="Q4022" s="87" t="s">
        <v>5665</v>
      </c>
      <c r="R4022" s="87">
        <v>0</v>
      </c>
      <c r="S4022" s="87">
        <v>0</v>
      </c>
      <c r="T4022" s="87">
        <v>0</v>
      </c>
      <c r="U4022" s="87">
        <v>0</v>
      </c>
      <c r="V4022" s="87">
        <v>23</v>
      </c>
      <c r="W4022" s="93" t="s">
        <v>8220</v>
      </c>
      <c r="X4022" s="87"/>
      <c r="Y4022" s="87"/>
      <c r="Z4022" s="87"/>
      <c r="AA4022" s="87" t="s">
        <v>11326</v>
      </c>
      <c r="AB4022" s="87" t="s">
        <v>11448</v>
      </c>
      <c r="AC4022" s="93" t="s">
        <v>11457</v>
      </c>
      <c r="AD4022" s="87" t="s">
        <v>11519</v>
      </c>
      <c r="AE4022" s="92" t="str">
        <f>HYPERLINK("https://twitter.com/tradewebbrasil/status/1679792864400924673")</f>
        <v>https://twitter.com/tradewebbrasil/status/1679792864400924673</v>
      </c>
      <c r="AF4022" s="90">
        <v>45121.416689814818</v>
      </c>
      <c r="AG4022" s="99">
        <v>45121</v>
      </c>
      <c r="AH4022" s="93" t="s">
        <v>13523</v>
      </c>
      <c r="AI4022" s="87" t="b">
        <v>0</v>
      </c>
      <c r="AJ4022" s="87"/>
      <c r="AK4022" s="87"/>
      <c r="AL4022" s="87"/>
      <c r="AM4022" s="87"/>
      <c r="AN4022" s="87"/>
      <c r="AO4022" s="87"/>
      <c r="AP4022" s="87"/>
      <c r="AQ4022" s="87" t="s">
        <v>18138</v>
      </c>
      <c r="AR4022" s="87"/>
      <c r="AS4022" s="87"/>
      <c r="AT4022" s="87"/>
      <c r="AU4022" s="87"/>
      <c r="AV4022" s="92" t="str">
        <f>HYPERLINK("https://pbs.twimg.com/media/F085DTJX0AA-g6N.jpg")</f>
        <v>https://pbs.twimg.com/media/F085DTJX0AA-g6N.jpg</v>
      </c>
      <c r="AW4022" s="93" t="s">
        <v>22122</v>
      </c>
      <c r="AX4022" s="93" t="s">
        <v>22122</v>
      </c>
      <c r="AY4022" s="87"/>
      <c r="AZ4022" s="93" t="s">
        <v>22668</v>
      </c>
      <c r="BA4022" s="93" t="s">
        <v>22668</v>
      </c>
      <c r="BB4022" s="93" t="s">
        <v>22668</v>
      </c>
      <c r="BC4022" s="93" t="s">
        <v>22122</v>
      </c>
      <c r="BD4022" s="87">
        <v>206288600</v>
      </c>
      <c r="BE4022" s="87"/>
      <c r="BF4022" s="87"/>
      <c r="BG4022" s="87"/>
      <c r="BH4022" s="87"/>
      <c r="BI4022" s="87"/>
    </row>
    <row r="4023" spans="1:61" x14ac:dyDescent="0.25">
      <c r="A4023" s="63" t="s">
        <v>1558</v>
      </c>
      <c r="B4023" s="63" t="s">
        <v>1558</v>
      </c>
      <c r="C4023" s="64"/>
      <c r="D4023" s="65"/>
      <c r="E4023" s="66"/>
      <c r="F4023" s="67"/>
      <c r="G4023" s="64"/>
      <c r="H4023" s="68"/>
      <c r="I4023" s="69"/>
      <c r="J4023" s="69"/>
      <c r="K4023" s="32"/>
      <c r="L4023" s="76">
        <v>4023</v>
      </c>
      <c r="M4023" s="76"/>
      <c r="N4023" s="71"/>
      <c r="O4023" s="87" t="s">
        <v>179</v>
      </c>
      <c r="P4023" s="90">
        <v>45196.614583333336</v>
      </c>
      <c r="Q4023" s="87" t="s">
        <v>5666</v>
      </c>
      <c r="R4023" s="87">
        <v>0</v>
      </c>
      <c r="S4023" s="87">
        <v>0</v>
      </c>
      <c r="T4023" s="87">
        <v>0</v>
      </c>
      <c r="U4023" s="87">
        <v>0</v>
      </c>
      <c r="V4023" s="87">
        <v>5</v>
      </c>
      <c r="W4023" s="93" t="s">
        <v>8221</v>
      </c>
      <c r="X4023" s="92" t="str">
        <f>HYPERLINK("https://tradewebbrasil.com.br/hiveyoutubeex27set23")</f>
        <v>https://tradewebbrasil.com.br/hiveyoutubeex27set23</v>
      </c>
      <c r="Y4023" s="87" t="s">
        <v>8373</v>
      </c>
      <c r="Z4023" s="87"/>
      <c r="AA4023" s="87" t="s">
        <v>11327</v>
      </c>
      <c r="AB4023" s="87" t="s">
        <v>11448</v>
      </c>
      <c r="AC4023" s="93" t="s">
        <v>11457</v>
      </c>
      <c r="AD4023" s="87" t="s">
        <v>11519</v>
      </c>
      <c r="AE4023" s="92" t="str">
        <f>HYPERLINK("https://twitter.com/tradewebbrasil/status/1707043667028951469")</f>
        <v>https://twitter.com/tradewebbrasil/status/1707043667028951469</v>
      </c>
      <c r="AF4023" s="90">
        <v>45196.614583333336</v>
      </c>
      <c r="AG4023" s="99">
        <v>45196</v>
      </c>
      <c r="AH4023" s="93" t="s">
        <v>15029</v>
      </c>
      <c r="AI4023" s="87" t="b">
        <v>0</v>
      </c>
      <c r="AJ4023" s="87"/>
      <c r="AK4023" s="87"/>
      <c r="AL4023" s="87"/>
      <c r="AM4023" s="87"/>
      <c r="AN4023" s="87"/>
      <c r="AO4023" s="87"/>
      <c r="AP4023" s="87"/>
      <c r="AQ4023" s="87" t="s">
        <v>18139</v>
      </c>
      <c r="AR4023" s="87"/>
      <c r="AS4023" s="87"/>
      <c r="AT4023" s="87"/>
      <c r="AU4023" s="87"/>
      <c r="AV4023" s="92" t="str">
        <f>HYPERLINK("https://pbs.twimg.com/media/F60Uin_XMAA0f5N.jpg")</f>
        <v>https://pbs.twimg.com/media/F60Uin_XMAA0f5N.jpg</v>
      </c>
      <c r="AW4023" s="93" t="s">
        <v>22123</v>
      </c>
      <c r="AX4023" s="93" t="s">
        <v>22123</v>
      </c>
      <c r="AY4023" s="87"/>
      <c r="AZ4023" s="93" t="s">
        <v>22668</v>
      </c>
      <c r="BA4023" s="93" t="s">
        <v>22668</v>
      </c>
      <c r="BB4023" s="93" t="s">
        <v>22668</v>
      </c>
      <c r="BC4023" s="93" t="s">
        <v>22123</v>
      </c>
      <c r="BD4023" s="87">
        <v>206288600</v>
      </c>
      <c r="BE4023" s="87"/>
      <c r="BF4023" s="87"/>
      <c r="BG4023" s="87"/>
      <c r="BH4023" s="87"/>
      <c r="BI4023" s="87"/>
    </row>
    <row r="4024" spans="1:61" x14ac:dyDescent="0.25">
      <c r="A4024" s="63" t="s">
        <v>1558</v>
      </c>
      <c r="B4024" s="63" t="s">
        <v>1558</v>
      </c>
      <c r="C4024" s="64"/>
      <c r="D4024" s="65"/>
      <c r="E4024" s="66"/>
      <c r="F4024" s="67"/>
      <c r="G4024" s="64"/>
      <c r="H4024" s="68"/>
      <c r="I4024" s="69"/>
      <c r="J4024" s="69"/>
      <c r="K4024" s="32"/>
      <c r="L4024" s="76">
        <v>4024</v>
      </c>
      <c r="M4024" s="76"/>
      <c r="N4024" s="71"/>
      <c r="O4024" s="87" t="s">
        <v>179</v>
      </c>
      <c r="P4024" s="90">
        <v>45182.614583333336</v>
      </c>
      <c r="Q4024" s="87" t="s">
        <v>5667</v>
      </c>
      <c r="R4024" s="87">
        <v>0</v>
      </c>
      <c r="S4024" s="87">
        <v>1</v>
      </c>
      <c r="T4024" s="87">
        <v>0</v>
      </c>
      <c r="U4024" s="87">
        <v>0</v>
      </c>
      <c r="V4024" s="87">
        <v>17</v>
      </c>
      <c r="W4024" s="93" t="s">
        <v>8207</v>
      </c>
      <c r="X4024" s="92" t="str">
        <f>HYPERLINK("https://tradewebbrasil.com.br/hiveyoutubeex13set23")</f>
        <v>https://tradewebbrasil.com.br/hiveyoutubeex13set23</v>
      </c>
      <c r="Y4024" s="87" t="s">
        <v>8373</v>
      </c>
      <c r="Z4024" s="87"/>
      <c r="AA4024" s="87" t="s">
        <v>11328</v>
      </c>
      <c r="AB4024" s="87" t="s">
        <v>11448</v>
      </c>
      <c r="AC4024" s="93" t="s">
        <v>11457</v>
      </c>
      <c r="AD4024" s="87" t="s">
        <v>11519</v>
      </c>
      <c r="AE4024" s="92" t="str">
        <f>HYPERLINK("https://twitter.com/tradewebbrasil/status/1701970237166690439")</f>
        <v>https://twitter.com/tradewebbrasil/status/1701970237166690439</v>
      </c>
      <c r="AF4024" s="90">
        <v>45182.614583333336</v>
      </c>
      <c r="AG4024" s="99">
        <v>45182</v>
      </c>
      <c r="AH4024" s="93" t="s">
        <v>15029</v>
      </c>
      <c r="AI4024" s="87" t="b">
        <v>0</v>
      </c>
      <c r="AJ4024" s="87"/>
      <c r="AK4024" s="87"/>
      <c r="AL4024" s="87"/>
      <c r="AM4024" s="87"/>
      <c r="AN4024" s="87"/>
      <c r="AO4024" s="87"/>
      <c r="AP4024" s="87"/>
      <c r="AQ4024" s="87" t="s">
        <v>18140</v>
      </c>
      <c r="AR4024" s="87"/>
      <c r="AS4024" s="87"/>
      <c r="AT4024" s="87"/>
      <c r="AU4024" s="87"/>
      <c r="AV4024" s="92" t="str">
        <f>HYPERLINK("https://pbs.twimg.com/media/F5shRjNbAAAIpUD.jpg")</f>
        <v>https://pbs.twimg.com/media/F5shRjNbAAAIpUD.jpg</v>
      </c>
      <c r="AW4024" s="93" t="s">
        <v>22124</v>
      </c>
      <c r="AX4024" s="93" t="s">
        <v>22124</v>
      </c>
      <c r="AY4024" s="87"/>
      <c r="AZ4024" s="93" t="s">
        <v>22668</v>
      </c>
      <c r="BA4024" s="93" t="s">
        <v>22668</v>
      </c>
      <c r="BB4024" s="93" t="s">
        <v>22668</v>
      </c>
      <c r="BC4024" s="93" t="s">
        <v>22124</v>
      </c>
      <c r="BD4024" s="87">
        <v>206288600</v>
      </c>
      <c r="BE4024" s="87"/>
      <c r="BF4024" s="87"/>
      <c r="BG4024" s="87"/>
      <c r="BH4024" s="87"/>
      <c r="BI4024" s="87"/>
    </row>
    <row r="4025" spans="1:61" x14ac:dyDescent="0.25">
      <c r="A4025" s="63" t="s">
        <v>1558</v>
      </c>
      <c r="B4025" s="63" t="s">
        <v>1558</v>
      </c>
      <c r="C4025" s="64"/>
      <c r="D4025" s="65"/>
      <c r="E4025" s="66"/>
      <c r="F4025" s="67"/>
      <c r="G4025" s="64"/>
      <c r="H4025" s="68"/>
      <c r="I4025" s="69"/>
      <c r="J4025" s="69"/>
      <c r="K4025" s="32"/>
      <c r="L4025" s="76">
        <v>4025</v>
      </c>
      <c r="M4025" s="76"/>
      <c r="N4025" s="71"/>
      <c r="O4025" s="87" t="s">
        <v>179</v>
      </c>
      <c r="P4025" s="90">
        <v>45175.614583333336</v>
      </c>
      <c r="Q4025" s="87" t="s">
        <v>5668</v>
      </c>
      <c r="R4025" s="87">
        <v>0</v>
      </c>
      <c r="S4025" s="87">
        <v>1</v>
      </c>
      <c r="T4025" s="87">
        <v>0</v>
      </c>
      <c r="U4025" s="87">
        <v>0</v>
      </c>
      <c r="V4025" s="87">
        <v>8</v>
      </c>
      <c r="W4025" s="93" t="s">
        <v>8197</v>
      </c>
      <c r="X4025" s="87"/>
      <c r="Y4025" s="87"/>
      <c r="Z4025" s="87"/>
      <c r="AA4025" s="87" t="s">
        <v>11329</v>
      </c>
      <c r="AB4025" s="87" t="s">
        <v>11448</v>
      </c>
      <c r="AC4025" s="93" t="s">
        <v>11457</v>
      </c>
      <c r="AD4025" s="87" t="s">
        <v>11519</v>
      </c>
      <c r="AE4025" s="92" t="str">
        <f>HYPERLINK("https://twitter.com/tradewebbrasil/status/1699433522182680604")</f>
        <v>https://twitter.com/tradewebbrasil/status/1699433522182680604</v>
      </c>
      <c r="AF4025" s="90">
        <v>45175.614583333336</v>
      </c>
      <c r="AG4025" s="99">
        <v>45175</v>
      </c>
      <c r="AH4025" s="93" t="s">
        <v>15029</v>
      </c>
      <c r="AI4025" s="87" t="b">
        <v>0</v>
      </c>
      <c r="AJ4025" s="87"/>
      <c r="AK4025" s="87"/>
      <c r="AL4025" s="87"/>
      <c r="AM4025" s="87"/>
      <c r="AN4025" s="87"/>
      <c r="AO4025" s="87"/>
      <c r="AP4025" s="87"/>
      <c r="AQ4025" s="87" t="s">
        <v>18141</v>
      </c>
      <c r="AR4025" s="87"/>
      <c r="AS4025" s="87"/>
      <c r="AT4025" s="87"/>
      <c r="AU4025" s="87"/>
      <c r="AV4025" s="92" t="str">
        <f>HYPERLINK("https://pbs.twimg.com/media/F5IgAaTWwAA0bYy.jpg")</f>
        <v>https://pbs.twimg.com/media/F5IgAaTWwAA0bYy.jpg</v>
      </c>
      <c r="AW4025" s="93" t="s">
        <v>22125</v>
      </c>
      <c r="AX4025" s="93" t="s">
        <v>22125</v>
      </c>
      <c r="AY4025" s="87"/>
      <c r="AZ4025" s="93" t="s">
        <v>22668</v>
      </c>
      <c r="BA4025" s="93" t="s">
        <v>22668</v>
      </c>
      <c r="BB4025" s="93" t="s">
        <v>22668</v>
      </c>
      <c r="BC4025" s="93" t="s">
        <v>22125</v>
      </c>
      <c r="BD4025" s="87">
        <v>206288600</v>
      </c>
      <c r="BE4025" s="87"/>
      <c r="BF4025" s="87"/>
      <c r="BG4025" s="87"/>
      <c r="BH4025" s="87"/>
      <c r="BI4025" s="87"/>
    </row>
    <row r="4026" spans="1:61" x14ac:dyDescent="0.25">
      <c r="A4026" s="63" t="s">
        <v>1558</v>
      </c>
      <c r="B4026" s="63" t="s">
        <v>1558</v>
      </c>
      <c r="C4026" s="64"/>
      <c r="D4026" s="65"/>
      <c r="E4026" s="66"/>
      <c r="F4026" s="67"/>
      <c r="G4026" s="64"/>
      <c r="H4026" s="68"/>
      <c r="I4026" s="69"/>
      <c r="J4026" s="69"/>
      <c r="K4026" s="32"/>
      <c r="L4026" s="76">
        <v>4026</v>
      </c>
      <c r="M4026" s="76"/>
      <c r="N4026" s="71"/>
      <c r="O4026" s="87" t="s">
        <v>179</v>
      </c>
      <c r="P4026" s="90">
        <v>45168.614583333336</v>
      </c>
      <c r="Q4026" s="87" t="s">
        <v>5669</v>
      </c>
      <c r="R4026" s="87">
        <v>0</v>
      </c>
      <c r="S4026" s="87">
        <v>1</v>
      </c>
      <c r="T4026" s="87">
        <v>0</v>
      </c>
      <c r="U4026" s="87">
        <v>0</v>
      </c>
      <c r="V4026" s="87">
        <v>17</v>
      </c>
      <c r="W4026" s="93" t="s">
        <v>8218</v>
      </c>
      <c r="X4026" s="92" t="str">
        <f>HYPERLINK("https://tradewebbrasil.com.br/fnomarketingdigital")</f>
        <v>https://tradewebbrasil.com.br/fnomarketingdigital</v>
      </c>
      <c r="Y4026" s="87" t="s">
        <v>8373</v>
      </c>
      <c r="Z4026" s="87"/>
      <c r="AA4026" s="87" t="s">
        <v>11330</v>
      </c>
      <c r="AB4026" s="87" t="s">
        <v>11448</v>
      </c>
      <c r="AC4026" s="93" t="s">
        <v>11457</v>
      </c>
      <c r="AD4026" s="87" t="s">
        <v>11519</v>
      </c>
      <c r="AE4026" s="92" t="str">
        <f>HYPERLINK("https://twitter.com/tradewebbrasil/status/1696896807022772689")</f>
        <v>https://twitter.com/tradewebbrasil/status/1696896807022772689</v>
      </c>
      <c r="AF4026" s="90">
        <v>45168.614583333336</v>
      </c>
      <c r="AG4026" s="99">
        <v>45168</v>
      </c>
      <c r="AH4026" s="93" t="s">
        <v>15029</v>
      </c>
      <c r="AI4026" s="87" t="b">
        <v>0</v>
      </c>
      <c r="AJ4026" s="87"/>
      <c r="AK4026" s="87"/>
      <c r="AL4026" s="87"/>
      <c r="AM4026" s="87"/>
      <c r="AN4026" s="87"/>
      <c r="AO4026" s="87"/>
      <c r="AP4026" s="87"/>
      <c r="AQ4026" s="87" t="s">
        <v>18142</v>
      </c>
      <c r="AR4026" s="87"/>
      <c r="AS4026" s="87"/>
      <c r="AT4026" s="87"/>
      <c r="AU4026" s="87"/>
      <c r="AV4026" s="92" t="str">
        <f>HYPERLINK("https://pbs.twimg.com/media/F4kKl7QWQAA5Bmk.jpg")</f>
        <v>https://pbs.twimg.com/media/F4kKl7QWQAA5Bmk.jpg</v>
      </c>
      <c r="AW4026" s="93" t="s">
        <v>22126</v>
      </c>
      <c r="AX4026" s="93" t="s">
        <v>22126</v>
      </c>
      <c r="AY4026" s="87"/>
      <c r="AZ4026" s="93" t="s">
        <v>22668</v>
      </c>
      <c r="BA4026" s="93" t="s">
        <v>22668</v>
      </c>
      <c r="BB4026" s="93" t="s">
        <v>22668</v>
      </c>
      <c r="BC4026" s="93" t="s">
        <v>22126</v>
      </c>
      <c r="BD4026" s="87">
        <v>206288600</v>
      </c>
      <c r="BE4026" s="87"/>
      <c r="BF4026" s="87"/>
      <c r="BG4026" s="87"/>
      <c r="BH4026" s="87"/>
      <c r="BI4026" s="87"/>
    </row>
    <row r="4027" spans="1:61" x14ac:dyDescent="0.25">
      <c r="A4027" s="63" t="s">
        <v>1558</v>
      </c>
      <c r="B4027" s="63" t="s">
        <v>1558</v>
      </c>
      <c r="C4027" s="64"/>
      <c r="D4027" s="65"/>
      <c r="E4027" s="66"/>
      <c r="F4027" s="67"/>
      <c r="G4027" s="64"/>
      <c r="H4027" s="68"/>
      <c r="I4027" s="69"/>
      <c r="J4027" s="69"/>
      <c r="K4027" s="32"/>
      <c r="L4027" s="76">
        <v>4027</v>
      </c>
      <c r="M4027" s="76"/>
      <c r="N4027" s="71"/>
      <c r="O4027" s="87" t="s">
        <v>179</v>
      </c>
      <c r="P4027" s="90">
        <v>45154.614583333336</v>
      </c>
      <c r="Q4027" s="87" t="s">
        <v>5670</v>
      </c>
      <c r="R4027" s="87">
        <v>0</v>
      </c>
      <c r="S4027" s="87">
        <v>2</v>
      </c>
      <c r="T4027" s="87">
        <v>0</v>
      </c>
      <c r="U4027" s="87">
        <v>0</v>
      </c>
      <c r="V4027" s="87">
        <v>8</v>
      </c>
      <c r="W4027" s="93" t="s">
        <v>8207</v>
      </c>
      <c r="X4027" s="92" t="str">
        <f>HYPERLINK("https://tradewebbrasil.com.br/hiveyoutubeetwitter16ago23")</f>
        <v>https://tradewebbrasil.com.br/hiveyoutubeetwitter16ago23</v>
      </c>
      <c r="Y4027" s="87" t="s">
        <v>8373</v>
      </c>
      <c r="Z4027" s="87"/>
      <c r="AA4027" s="87" t="s">
        <v>11331</v>
      </c>
      <c r="AB4027" s="87" t="s">
        <v>11448</v>
      </c>
      <c r="AC4027" s="93" t="s">
        <v>11457</v>
      </c>
      <c r="AD4027" s="87" t="s">
        <v>11519</v>
      </c>
      <c r="AE4027" s="92" t="str">
        <f>HYPERLINK("https://twitter.com/tradewebbrasil/status/1691823376698884459")</f>
        <v>https://twitter.com/tradewebbrasil/status/1691823376698884459</v>
      </c>
      <c r="AF4027" s="90">
        <v>45154.614583333336</v>
      </c>
      <c r="AG4027" s="99">
        <v>45154</v>
      </c>
      <c r="AH4027" s="93" t="s">
        <v>15029</v>
      </c>
      <c r="AI4027" s="87" t="b">
        <v>0</v>
      </c>
      <c r="AJ4027" s="87"/>
      <c r="AK4027" s="87"/>
      <c r="AL4027" s="87"/>
      <c r="AM4027" s="87"/>
      <c r="AN4027" s="87"/>
      <c r="AO4027" s="87"/>
      <c r="AP4027" s="87"/>
      <c r="AQ4027" s="87" t="s">
        <v>18143</v>
      </c>
      <c r="AR4027" s="87"/>
      <c r="AS4027" s="87"/>
      <c r="AT4027" s="87"/>
      <c r="AU4027" s="87"/>
      <c r="AV4027" s="92" t="str">
        <f>HYPERLINK("https://pbs.twimg.com/media/F3cj8dqX0AAtTK0.jpg")</f>
        <v>https://pbs.twimg.com/media/F3cj8dqX0AAtTK0.jpg</v>
      </c>
      <c r="AW4027" s="93" t="s">
        <v>22127</v>
      </c>
      <c r="AX4027" s="93" t="s">
        <v>22127</v>
      </c>
      <c r="AY4027" s="87"/>
      <c r="AZ4027" s="93" t="s">
        <v>22668</v>
      </c>
      <c r="BA4027" s="93" t="s">
        <v>22668</v>
      </c>
      <c r="BB4027" s="93" t="s">
        <v>22668</v>
      </c>
      <c r="BC4027" s="93" t="s">
        <v>22127</v>
      </c>
      <c r="BD4027" s="87">
        <v>206288600</v>
      </c>
      <c r="BE4027" s="87"/>
      <c r="BF4027" s="87"/>
      <c r="BG4027" s="87"/>
      <c r="BH4027" s="87"/>
      <c r="BI4027" s="87"/>
    </row>
    <row r="4028" spans="1:61" x14ac:dyDescent="0.25">
      <c r="A4028" s="63" t="s">
        <v>1558</v>
      </c>
      <c r="B4028" s="63" t="s">
        <v>1558</v>
      </c>
      <c r="C4028" s="64"/>
      <c r="D4028" s="65"/>
      <c r="E4028" s="66"/>
      <c r="F4028" s="67"/>
      <c r="G4028" s="64"/>
      <c r="H4028" s="68"/>
      <c r="I4028" s="69"/>
      <c r="J4028" s="69"/>
      <c r="K4028" s="32"/>
      <c r="L4028" s="76">
        <v>4028</v>
      </c>
      <c r="M4028" s="76"/>
      <c r="N4028" s="71"/>
      <c r="O4028" s="87" t="s">
        <v>179</v>
      </c>
      <c r="P4028" s="90">
        <v>45140.614583333336</v>
      </c>
      <c r="Q4028" s="87" t="s">
        <v>5671</v>
      </c>
      <c r="R4028" s="87">
        <v>0</v>
      </c>
      <c r="S4028" s="87">
        <v>0</v>
      </c>
      <c r="T4028" s="87">
        <v>0</v>
      </c>
      <c r="U4028" s="87">
        <v>0</v>
      </c>
      <c r="V4028" s="87">
        <v>18</v>
      </c>
      <c r="W4028" s="93" t="s">
        <v>8197</v>
      </c>
      <c r="X4028" s="87"/>
      <c r="Y4028" s="87"/>
      <c r="Z4028" s="87"/>
      <c r="AA4028" s="87" t="s">
        <v>11332</v>
      </c>
      <c r="AB4028" s="87" t="s">
        <v>11448</v>
      </c>
      <c r="AC4028" s="93" t="s">
        <v>11457</v>
      </c>
      <c r="AD4028" s="87" t="s">
        <v>11519</v>
      </c>
      <c r="AE4028" s="92" t="str">
        <f>HYPERLINK("https://twitter.com/tradewebbrasil/status/1686749946937036800")</f>
        <v>https://twitter.com/tradewebbrasil/status/1686749946937036800</v>
      </c>
      <c r="AF4028" s="90">
        <v>45140.614583333336</v>
      </c>
      <c r="AG4028" s="99">
        <v>45140</v>
      </c>
      <c r="AH4028" s="93" t="s">
        <v>15029</v>
      </c>
      <c r="AI4028" s="87" t="b">
        <v>0</v>
      </c>
      <c r="AJ4028" s="87"/>
      <c r="AK4028" s="87"/>
      <c r="AL4028" s="87"/>
      <c r="AM4028" s="87"/>
      <c r="AN4028" s="87"/>
      <c r="AO4028" s="87"/>
      <c r="AP4028" s="87"/>
      <c r="AQ4028" s="87" t="s">
        <v>18144</v>
      </c>
      <c r="AR4028" s="87"/>
      <c r="AS4028" s="87"/>
      <c r="AT4028" s="87"/>
      <c r="AU4028" s="87"/>
      <c r="AV4028" s="92" t="str">
        <f>HYPERLINK("https://pbs.twimg.com/media/F2UXh90WQAAtOEx.jpg")</f>
        <v>https://pbs.twimg.com/media/F2UXh90WQAAtOEx.jpg</v>
      </c>
      <c r="AW4028" s="93" t="s">
        <v>22128</v>
      </c>
      <c r="AX4028" s="93" t="s">
        <v>22128</v>
      </c>
      <c r="AY4028" s="87"/>
      <c r="AZ4028" s="93" t="s">
        <v>22668</v>
      </c>
      <c r="BA4028" s="93" t="s">
        <v>22668</v>
      </c>
      <c r="BB4028" s="93" t="s">
        <v>22668</v>
      </c>
      <c r="BC4028" s="93" t="s">
        <v>22128</v>
      </c>
      <c r="BD4028" s="87">
        <v>206288600</v>
      </c>
      <c r="BE4028" s="87"/>
      <c r="BF4028" s="87"/>
      <c r="BG4028" s="87"/>
      <c r="BH4028" s="87"/>
      <c r="BI4028" s="87"/>
    </row>
    <row r="4029" spans="1:61" x14ac:dyDescent="0.25">
      <c r="A4029" s="63" t="s">
        <v>1558</v>
      </c>
      <c r="B4029" s="63" t="s">
        <v>1558</v>
      </c>
      <c r="C4029" s="64"/>
      <c r="D4029" s="65"/>
      <c r="E4029" s="66"/>
      <c r="F4029" s="67"/>
      <c r="G4029" s="64"/>
      <c r="H4029" s="68"/>
      <c r="I4029" s="69"/>
      <c r="J4029" s="69"/>
      <c r="K4029" s="32"/>
      <c r="L4029" s="76">
        <v>4029</v>
      </c>
      <c r="M4029" s="76"/>
      <c r="N4029" s="71"/>
      <c r="O4029" s="87" t="s">
        <v>179</v>
      </c>
      <c r="P4029" s="90">
        <v>45130.537499999999</v>
      </c>
      <c r="Q4029" s="87" t="s">
        <v>5672</v>
      </c>
      <c r="R4029" s="87">
        <v>0</v>
      </c>
      <c r="S4029" s="87">
        <v>0</v>
      </c>
      <c r="T4029" s="87">
        <v>0</v>
      </c>
      <c r="U4029" s="87">
        <v>0</v>
      </c>
      <c r="V4029" s="87">
        <v>16</v>
      </c>
      <c r="W4029" s="93" t="s">
        <v>8222</v>
      </c>
      <c r="X4029" s="92" t="str">
        <f>HYPERLINK("https://instagram.com/tradewebbrasil")</f>
        <v>https://instagram.com/tradewebbrasil</v>
      </c>
      <c r="Y4029" s="87" t="s">
        <v>8383</v>
      </c>
      <c r="Z4029" s="87"/>
      <c r="AA4029" s="87" t="s">
        <v>11333</v>
      </c>
      <c r="AB4029" s="87" t="s">
        <v>11448</v>
      </c>
      <c r="AC4029" s="93" t="s">
        <v>11457</v>
      </c>
      <c r="AD4029" s="87" t="s">
        <v>11519</v>
      </c>
      <c r="AE4029" s="92" t="str">
        <f>HYPERLINK("https://twitter.com/tradewebbrasil/status/1683098134145286145")</f>
        <v>https://twitter.com/tradewebbrasil/status/1683098134145286145</v>
      </c>
      <c r="AF4029" s="90">
        <v>45130.537499999999</v>
      </c>
      <c r="AG4029" s="99">
        <v>45130</v>
      </c>
      <c r="AH4029" s="93" t="s">
        <v>15032</v>
      </c>
      <c r="AI4029" s="87" t="b">
        <v>0</v>
      </c>
      <c r="AJ4029" s="87"/>
      <c r="AK4029" s="87"/>
      <c r="AL4029" s="87"/>
      <c r="AM4029" s="87"/>
      <c r="AN4029" s="87"/>
      <c r="AO4029" s="87"/>
      <c r="AP4029" s="87"/>
      <c r="AQ4029" s="87" t="s">
        <v>18145</v>
      </c>
      <c r="AR4029" s="87"/>
      <c r="AS4029" s="87"/>
      <c r="AT4029" s="87"/>
      <c r="AU4029" s="87"/>
      <c r="AV4029" s="92" t="str">
        <f>HYPERLINK("https://pbs.twimg.com/media/F1p-TGlX0AArECV.jpg")</f>
        <v>https://pbs.twimg.com/media/F1p-TGlX0AArECV.jpg</v>
      </c>
      <c r="AW4029" s="93" t="s">
        <v>22129</v>
      </c>
      <c r="AX4029" s="93" t="s">
        <v>22129</v>
      </c>
      <c r="AY4029" s="87"/>
      <c r="AZ4029" s="93" t="s">
        <v>22668</v>
      </c>
      <c r="BA4029" s="93" t="s">
        <v>22668</v>
      </c>
      <c r="BB4029" s="93" t="s">
        <v>22668</v>
      </c>
      <c r="BC4029" s="93" t="s">
        <v>22129</v>
      </c>
      <c r="BD4029" s="87">
        <v>206288600</v>
      </c>
      <c r="BE4029" s="87"/>
      <c r="BF4029" s="87"/>
      <c r="BG4029" s="87"/>
      <c r="BH4029" s="87"/>
      <c r="BI4029" s="87"/>
    </row>
    <row r="4030" spans="1:61" x14ac:dyDescent="0.25">
      <c r="A4030" s="63" t="s">
        <v>1558</v>
      </c>
      <c r="B4030" s="63" t="s">
        <v>1558</v>
      </c>
      <c r="C4030" s="64"/>
      <c r="D4030" s="65"/>
      <c r="E4030" s="66"/>
      <c r="F4030" s="67"/>
      <c r="G4030" s="64"/>
      <c r="H4030" s="68"/>
      <c r="I4030" s="69"/>
      <c r="J4030" s="69"/>
      <c r="K4030" s="32"/>
      <c r="L4030" s="76">
        <v>4030</v>
      </c>
      <c r="M4030" s="76"/>
      <c r="N4030" s="71"/>
      <c r="O4030" s="87" t="s">
        <v>179</v>
      </c>
      <c r="P4030" s="90">
        <v>45127.416689814818</v>
      </c>
      <c r="Q4030" s="87" t="s">
        <v>5673</v>
      </c>
      <c r="R4030" s="87">
        <v>0</v>
      </c>
      <c r="S4030" s="87">
        <v>1</v>
      </c>
      <c r="T4030" s="87">
        <v>0</v>
      </c>
      <c r="U4030" s="87">
        <v>0</v>
      </c>
      <c r="V4030" s="87">
        <v>47</v>
      </c>
      <c r="W4030" s="93" t="s">
        <v>8223</v>
      </c>
      <c r="X4030" s="92" t="str">
        <f>HYPERLINK("https://tradewebbrasil.com.br")</f>
        <v>https://tradewebbrasil.com.br</v>
      </c>
      <c r="Y4030" s="87" t="s">
        <v>8373</v>
      </c>
      <c r="Z4030" s="87"/>
      <c r="AA4030" s="87" t="s">
        <v>11334</v>
      </c>
      <c r="AB4030" s="87" t="s">
        <v>11448</v>
      </c>
      <c r="AC4030" s="93" t="s">
        <v>11457</v>
      </c>
      <c r="AD4030" s="87" t="s">
        <v>11519</v>
      </c>
      <c r="AE4030" s="92" t="str">
        <f>HYPERLINK("https://twitter.com/tradewebbrasil/status/1681967192386985986")</f>
        <v>https://twitter.com/tradewebbrasil/status/1681967192386985986</v>
      </c>
      <c r="AF4030" s="90">
        <v>45127.416689814818</v>
      </c>
      <c r="AG4030" s="99">
        <v>45127</v>
      </c>
      <c r="AH4030" s="93" t="s">
        <v>13523</v>
      </c>
      <c r="AI4030" s="87" t="b">
        <v>0</v>
      </c>
      <c r="AJ4030" s="87"/>
      <c r="AK4030" s="87"/>
      <c r="AL4030" s="87"/>
      <c r="AM4030" s="87"/>
      <c r="AN4030" s="87"/>
      <c r="AO4030" s="87"/>
      <c r="AP4030" s="87"/>
      <c r="AQ4030" s="87" t="s">
        <v>18146</v>
      </c>
      <c r="AR4030" s="87"/>
      <c r="AS4030" s="87"/>
      <c r="AT4030" s="87"/>
      <c r="AU4030" s="87"/>
      <c r="AV4030" s="92" t="str">
        <f>HYPERLINK("https://pbs.twimg.com/media/F1cKfUWWAAYH20C.jpg")</f>
        <v>https://pbs.twimg.com/media/F1cKfUWWAAYH20C.jpg</v>
      </c>
      <c r="AW4030" s="93" t="s">
        <v>22130</v>
      </c>
      <c r="AX4030" s="93" t="s">
        <v>22130</v>
      </c>
      <c r="AY4030" s="87"/>
      <c r="AZ4030" s="93" t="s">
        <v>22668</v>
      </c>
      <c r="BA4030" s="93" t="s">
        <v>22668</v>
      </c>
      <c r="BB4030" s="93" t="s">
        <v>22668</v>
      </c>
      <c r="BC4030" s="93" t="s">
        <v>22130</v>
      </c>
      <c r="BD4030" s="87">
        <v>206288600</v>
      </c>
      <c r="BE4030" s="87"/>
      <c r="BF4030" s="87"/>
      <c r="BG4030" s="87"/>
      <c r="BH4030" s="87"/>
      <c r="BI4030" s="87"/>
    </row>
    <row r="4031" spans="1:61" x14ac:dyDescent="0.25">
      <c r="A4031" s="63" t="s">
        <v>1559</v>
      </c>
      <c r="B4031" s="63" t="s">
        <v>1559</v>
      </c>
      <c r="C4031" s="64"/>
      <c r="D4031" s="65"/>
      <c r="E4031" s="66"/>
      <c r="F4031" s="67"/>
      <c r="G4031" s="64"/>
      <c r="H4031" s="68"/>
      <c r="I4031" s="69"/>
      <c r="J4031" s="69"/>
      <c r="K4031" s="32"/>
      <c r="L4031" s="76">
        <v>4031</v>
      </c>
      <c r="M4031" s="76"/>
      <c r="N4031" s="71"/>
      <c r="O4031" s="87" t="s">
        <v>179</v>
      </c>
      <c r="P4031" s="90">
        <v>45169.558587962965</v>
      </c>
      <c r="Q4031" s="87" t="s">
        <v>5674</v>
      </c>
      <c r="R4031" s="87">
        <v>0</v>
      </c>
      <c r="S4031" s="87">
        <v>0</v>
      </c>
      <c r="T4031" s="87">
        <v>0</v>
      </c>
      <c r="U4031" s="87">
        <v>0</v>
      </c>
      <c r="V4031" s="87">
        <v>46</v>
      </c>
      <c r="W4031" s="93" t="s">
        <v>7353</v>
      </c>
      <c r="X4031" s="92" t="str">
        <f>HYPERLINK("https://www.brasilmineral.com.br/noticias/anglogold-ashanti-apoia-projeto-de-cosmeticos-em-sabara")</f>
        <v>https://www.brasilmineral.com.br/noticias/anglogold-ashanti-apoia-projeto-de-cosmeticos-em-sabara</v>
      </c>
      <c r="Y4031" s="87" t="s">
        <v>8373</v>
      </c>
      <c r="Z4031" s="87"/>
      <c r="AA4031" s="87"/>
      <c r="AB4031" s="87"/>
      <c r="AC4031" s="93" t="s">
        <v>11459</v>
      </c>
      <c r="AD4031" s="87" t="s">
        <v>11519</v>
      </c>
      <c r="AE4031" s="92" t="str">
        <f>HYPERLINK("https://twitter.com/brazilmineral/status/1697238902682042631")</f>
        <v>https://twitter.com/brazilmineral/status/1697238902682042631</v>
      </c>
      <c r="AF4031" s="90">
        <v>45169.558587962965</v>
      </c>
      <c r="AG4031" s="99">
        <v>45169</v>
      </c>
      <c r="AH4031" s="93" t="s">
        <v>15033</v>
      </c>
      <c r="AI4031" s="87" t="b">
        <v>0</v>
      </c>
      <c r="AJ4031" s="87"/>
      <c r="AK4031" s="87"/>
      <c r="AL4031" s="87"/>
      <c r="AM4031" s="87"/>
      <c r="AN4031" s="87"/>
      <c r="AO4031" s="87"/>
      <c r="AP4031" s="87"/>
      <c r="AQ4031" s="87"/>
      <c r="AR4031" s="87"/>
      <c r="AS4031" s="87"/>
      <c r="AT4031" s="87"/>
      <c r="AU4031" s="87"/>
      <c r="AV4031" s="92" t="str">
        <f>HYPERLINK("https://pbs.twimg.com/profile_images/1277626636767301637/6CwbB-f6_normal.jpg")</f>
        <v>https://pbs.twimg.com/profile_images/1277626636767301637/6CwbB-f6_normal.jpg</v>
      </c>
      <c r="AW4031" s="93" t="s">
        <v>22131</v>
      </c>
      <c r="AX4031" s="93" t="s">
        <v>22131</v>
      </c>
      <c r="AY4031" s="87"/>
      <c r="AZ4031" s="93" t="s">
        <v>22668</v>
      </c>
      <c r="BA4031" s="93" t="s">
        <v>22668</v>
      </c>
      <c r="BB4031" s="93" t="s">
        <v>22668</v>
      </c>
      <c r="BC4031" s="93" t="s">
        <v>22131</v>
      </c>
      <c r="BD4031" s="93" t="s">
        <v>23571</v>
      </c>
      <c r="BE4031" s="87"/>
      <c r="BF4031" s="87"/>
      <c r="BG4031" s="87"/>
      <c r="BH4031" s="87"/>
      <c r="BI4031" s="87"/>
    </row>
    <row r="4032" spans="1:61" x14ac:dyDescent="0.25">
      <c r="A4032" s="63" t="s">
        <v>1560</v>
      </c>
      <c r="B4032" s="63" t="s">
        <v>1560</v>
      </c>
      <c r="C4032" s="64"/>
      <c r="D4032" s="65"/>
      <c r="E4032" s="66"/>
      <c r="F4032" s="67"/>
      <c r="G4032" s="64"/>
      <c r="H4032" s="68"/>
      <c r="I4032" s="69"/>
      <c r="J4032" s="69"/>
      <c r="K4032" s="32"/>
      <c r="L4032" s="76">
        <v>4032</v>
      </c>
      <c r="M4032" s="76"/>
      <c r="N4032" s="71"/>
      <c r="O4032" s="87" t="s">
        <v>179</v>
      </c>
      <c r="P4032" s="90">
        <v>45142.106712962966</v>
      </c>
      <c r="Q4032" s="87" t="s">
        <v>5675</v>
      </c>
      <c r="R4032" s="87">
        <v>0</v>
      </c>
      <c r="S4032" s="87">
        <v>0</v>
      </c>
      <c r="T4032" s="87">
        <v>1</v>
      </c>
      <c r="U4032" s="87">
        <v>0</v>
      </c>
      <c r="V4032" s="87">
        <v>9</v>
      </c>
      <c r="W4032" s="93" t="s">
        <v>8224</v>
      </c>
      <c r="X4032" s="87"/>
      <c r="Y4032" s="87"/>
      <c r="Z4032" s="87"/>
      <c r="AA4032" s="87" t="s">
        <v>11335</v>
      </c>
      <c r="AB4032" s="87" t="s">
        <v>11451</v>
      </c>
      <c r="AC4032" s="93" t="s">
        <v>11457</v>
      </c>
      <c r="AD4032" s="87" t="s">
        <v>11519</v>
      </c>
      <c r="AE4032" s="92" t="str">
        <f>HYPERLINK("https://twitter.com/oworldreal/status/1687290675920863232")</f>
        <v>https://twitter.com/oworldreal/status/1687290675920863232</v>
      </c>
      <c r="AF4032" s="90">
        <v>45142.106712962966</v>
      </c>
      <c r="AG4032" s="99">
        <v>45142</v>
      </c>
      <c r="AH4032" s="93" t="s">
        <v>15034</v>
      </c>
      <c r="AI4032" s="87" t="b">
        <v>0</v>
      </c>
      <c r="AJ4032" s="87"/>
      <c r="AK4032" s="87"/>
      <c r="AL4032" s="87"/>
      <c r="AM4032" s="87"/>
      <c r="AN4032" s="87"/>
      <c r="AO4032" s="87"/>
      <c r="AP4032" s="87"/>
      <c r="AQ4032" s="87" t="s">
        <v>18147</v>
      </c>
      <c r="AR4032" s="87"/>
      <c r="AS4032" s="87"/>
      <c r="AT4032" s="87"/>
      <c r="AU4032" s="87"/>
      <c r="AV4032" s="92" t="str">
        <f>HYPERLINK("https://pbs.twimg.com/media/F2p17NtWgAAlNm9.jpg")</f>
        <v>https://pbs.twimg.com/media/F2p17NtWgAAlNm9.jpg</v>
      </c>
      <c r="AW4032" s="93" t="s">
        <v>22132</v>
      </c>
      <c r="AX4032" s="93" t="s">
        <v>22132</v>
      </c>
      <c r="AY4032" s="87"/>
      <c r="AZ4032" s="93" t="s">
        <v>22668</v>
      </c>
      <c r="BA4032" s="93" t="s">
        <v>22668</v>
      </c>
      <c r="BB4032" s="93" t="s">
        <v>22668</v>
      </c>
      <c r="BC4032" s="93" t="s">
        <v>22132</v>
      </c>
      <c r="BD4032" s="93" t="s">
        <v>22659</v>
      </c>
      <c r="BE4032" s="87"/>
      <c r="BF4032" s="87"/>
      <c r="BG4032" s="87"/>
      <c r="BH4032" s="87"/>
      <c r="BI4032" s="87"/>
    </row>
    <row r="4033" spans="1:61" x14ac:dyDescent="0.25">
      <c r="A4033" s="63" t="s">
        <v>1560</v>
      </c>
      <c r="B4033" s="63" t="s">
        <v>1560</v>
      </c>
      <c r="C4033" s="64"/>
      <c r="D4033" s="65"/>
      <c r="E4033" s="66"/>
      <c r="F4033" s="67"/>
      <c r="G4033" s="64"/>
      <c r="H4033" s="68"/>
      <c r="I4033" s="69"/>
      <c r="J4033" s="69"/>
      <c r="K4033" s="32"/>
      <c r="L4033" s="76">
        <v>4033</v>
      </c>
      <c r="M4033" s="76"/>
      <c r="N4033" s="71"/>
      <c r="O4033" s="87" t="s">
        <v>179</v>
      </c>
      <c r="P4033" s="90">
        <v>45142.099456018521</v>
      </c>
      <c r="Q4033" s="87" t="s">
        <v>5676</v>
      </c>
      <c r="R4033" s="87">
        <v>0</v>
      </c>
      <c r="S4033" s="87">
        <v>0</v>
      </c>
      <c r="T4033" s="87">
        <v>2</v>
      </c>
      <c r="U4033" s="87">
        <v>0</v>
      </c>
      <c r="V4033" s="87">
        <v>19</v>
      </c>
      <c r="W4033" s="93" t="s">
        <v>8225</v>
      </c>
      <c r="X4033" s="87"/>
      <c r="Y4033" s="87"/>
      <c r="Z4033" s="87"/>
      <c r="AA4033" s="87" t="s">
        <v>11336</v>
      </c>
      <c r="AB4033" s="87" t="s">
        <v>11451</v>
      </c>
      <c r="AC4033" s="93" t="s">
        <v>11457</v>
      </c>
      <c r="AD4033" s="87" t="s">
        <v>11519</v>
      </c>
      <c r="AE4033" s="92" t="str">
        <f>HYPERLINK("https://twitter.com/oworldreal/status/1687288047228903424")</f>
        <v>https://twitter.com/oworldreal/status/1687288047228903424</v>
      </c>
      <c r="AF4033" s="90">
        <v>45142.099456018521</v>
      </c>
      <c r="AG4033" s="99">
        <v>45142</v>
      </c>
      <c r="AH4033" s="93" t="s">
        <v>15035</v>
      </c>
      <c r="AI4033" s="87" t="b">
        <v>0</v>
      </c>
      <c r="AJ4033" s="87"/>
      <c r="AK4033" s="87"/>
      <c r="AL4033" s="87"/>
      <c r="AM4033" s="87"/>
      <c r="AN4033" s="87"/>
      <c r="AO4033" s="87"/>
      <c r="AP4033" s="87"/>
      <c r="AQ4033" s="87" t="s">
        <v>18148</v>
      </c>
      <c r="AR4033" s="87"/>
      <c r="AS4033" s="87"/>
      <c r="AT4033" s="87"/>
      <c r="AU4033" s="87"/>
      <c r="AV4033" s="92" t="str">
        <f>HYPERLINK("https://pbs.twimg.com/media/F2pziM1XkAAvjOK.jpg")</f>
        <v>https://pbs.twimg.com/media/F2pziM1XkAAvjOK.jpg</v>
      </c>
      <c r="AW4033" s="93" t="s">
        <v>22133</v>
      </c>
      <c r="AX4033" s="93" t="s">
        <v>22133</v>
      </c>
      <c r="AY4033" s="87"/>
      <c r="AZ4033" s="93" t="s">
        <v>22668</v>
      </c>
      <c r="BA4033" s="93" t="s">
        <v>22668</v>
      </c>
      <c r="BB4033" s="93" t="s">
        <v>22668</v>
      </c>
      <c r="BC4033" s="93" t="s">
        <v>22133</v>
      </c>
      <c r="BD4033" s="93" t="s">
        <v>22659</v>
      </c>
      <c r="BE4033" s="87"/>
      <c r="BF4033" s="87"/>
      <c r="BG4033" s="87"/>
      <c r="BH4033" s="87"/>
      <c r="BI4033" s="87"/>
    </row>
    <row r="4034" spans="1:61" x14ac:dyDescent="0.25">
      <c r="A4034" s="63" t="s">
        <v>1560</v>
      </c>
      <c r="B4034" s="63" t="s">
        <v>1560</v>
      </c>
      <c r="C4034" s="64"/>
      <c r="D4034" s="65"/>
      <c r="E4034" s="66"/>
      <c r="F4034" s="67"/>
      <c r="G4034" s="64"/>
      <c r="H4034" s="68"/>
      <c r="I4034" s="69"/>
      <c r="J4034" s="69"/>
      <c r="K4034" s="32"/>
      <c r="L4034" s="76">
        <v>4034</v>
      </c>
      <c r="M4034" s="76"/>
      <c r="N4034" s="71"/>
      <c r="O4034" s="87" t="s">
        <v>179</v>
      </c>
      <c r="P4034" s="90">
        <v>45142.097673611112</v>
      </c>
      <c r="Q4034" s="87" t="s">
        <v>5677</v>
      </c>
      <c r="R4034" s="87">
        <v>0</v>
      </c>
      <c r="S4034" s="87">
        <v>0</v>
      </c>
      <c r="T4034" s="87">
        <v>1</v>
      </c>
      <c r="U4034" s="87">
        <v>0</v>
      </c>
      <c r="V4034" s="87">
        <v>10</v>
      </c>
      <c r="W4034" s="93" t="s">
        <v>8225</v>
      </c>
      <c r="X4034" s="87"/>
      <c r="Y4034" s="87"/>
      <c r="Z4034" s="87"/>
      <c r="AA4034" s="87" t="s">
        <v>11337</v>
      </c>
      <c r="AB4034" s="87" t="s">
        <v>11451</v>
      </c>
      <c r="AC4034" s="93" t="s">
        <v>11457</v>
      </c>
      <c r="AD4034" s="87" t="s">
        <v>11519</v>
      </c>
      <c r="AE4034" s="92" t="str">
        <f>HYPERLINK("https://twitter.com/oworldreal/status/1687287402564337664")</f>
        <v>https://twitter.com/oworldreal/status/1687287402564337664</v>
      </c>
      <c r="AF4034" s="90">
        <v>45142.097673611112</v>
      </c>
      <c r="AG4034" s="99">
        <v>45142</v>
      </c>
      <c r="AH4034" s="93" t="s">
        <v>15036</v>
      </c>
      <c r="AI4034" s="87" t="b">
        <v>0</v>
      </c>
      <c r="AJ4034" s="87"/>
      <c r="AK4034" s="87"/>
      <c r="AL4034" s="87"/>
      <c r="AM4034" s="87"/>
      <c r="AN4034" s="87"/>
      <c r="AO4034" s="87"/>
      <c r="AP4034" s="87"/>
      <c r="AQ4034" s="87" t="s">
        <v>18149</v>
      </c>
      <c r="AR4034" s="87"/>
      <c r="AS4034" s="87"/>
      <c r="AT4034" s="87"/>
      <c r="AU4034" s="87"/>
      <c r="AV4034" s="92" t="str">
        <f>HYPERLINK("https://pbs.twimg.com/media/F2py8peWIAAUZSl.jpg")</f>
        <v>https://pbs.twimg.com/media/F2py8peWIAAUZSl.jpg</v>
      </c>
      <c r="AW4034" s="93" t="s">
        <v>22134</v>
      </c>
      <c r="AX4034" s="93" t="s">
        <v>22134</v>
      </c>
      <c r="AY4034" s="87"/>
      <c r="AZ4034" s="93" t="s">
        <v>22668</v>
      </c>
      <c r="BA4034" s="93" t="s">
        <v>22668</v>
      </c>
      <c r="BB4034" s="93" t="s">
        <v>22668</v>
      </c>
      <c r="BC4034" s="93" t="s">
        <v>22134</v>
      </c>
      <c r="BD4034" s="93" t="s">
        <v>22659</v>
      </c>
      <c r="BE4034" s="87"/>
      <c r="BF4034" s="87"/>
      <c r="BG4034" s="87"/>
      <c r="BH4034" s="87"/>
      <c r="BI4034" s="87"/>
    </row>
    <row r="4035" spans="1:61" x14ac:dyDescent="0.25">
      <c r="A4035" s="63" t="s">
        <v>1560</v>
      </c>
      <c r="B4035" s="63" t="s">
        <v>1560</v>
      </c>
      <c r="C4035" s="64"/>
      <c r="D4035" s="65"/>
      <c r="E4035" s="66"/>
      <c r="F4035" s="67"/>
      <c r="G4035" s="64"/>
      <c r="H4035" s="68"/>
      <c r="I4035" s="69"/>
      <c r="J4035" s="69"/>
      <c r="K4035" s="32"/>
      <c r="L4035" s="76">
        <v>4035</v>
      </c>
      <c r="M4035" s="76"/>
      <c r="N4035" s="71"/>
      <c r="O4035" s="87" t="s">
        <v>1840</v>
      </c>
      <c r="P4035" s="90">
        <v>45142.096701388888</v>
      </c>
      <c r="Q4035" s="87" t="s">
        <v>5678</v>
      </c>
      <c r="R4035" s="87">
        <v>0</v>
      </c>
      <c r="S4035" s="87">
        <v>0</v>
      </c>
      <c r="T4035" s="87">
        <v>0</v>
      </c>
      <c r="U4035" s="87">
        <v>0</v>
      </c>
      <c r="V4035" s="87">
        <v>7</v>
      </c>
      <c r="W4035" s="93" t="s">
        <v>8226</v>
      </c>
      <c r="X4035" s="92" t="str">
        <f>HYPERLINK("https://www.portaldolitoralpb.com.br/corretora-paraibana-e-selecionada-em-programa-internacional-de-mulheres-empreendedoras/?fbclid=IwAR0kZNvD7nGpj1SH87MJUrpAQNyn8XiJ-ATa0R8jhQyALbuxJGUliEG7qEI")</f>
        <v>https://www.portaldolitoralpb.com.br/corretora-paraibana-e-selecionada-em-programa-internacional-de-mulheres-empreendedoras/?fbclid=IwAR0kZNvD7nGpj1SH87MJUrpAQNyn8XiJ-ATa0R8jhQyALbuxJGUliEG7qEI</v>
      </c>
      <c r="Y4035" s="87" t="s">
        <v>8373</v>
      </c>
      <c r="Z4035" s="87"/>
      <c r="AA4035" s="87"/>
      <c r="AB4035" s="87"/>
      <c r="AC4035" s="93" t="s">
        <v>11457</v>
      </c>
      <c r="AD4035" s="87" t="s">
        <v>11519</v>
      </c>
      <c r="AE4035" s="92" t="str">
        <f>HYPERLINK("https://twitter.com/oworldreal/status/1687287048468627457")</f>
        <v>https://twitter.com/oworldreal/status/1687287048468627457</v>
      </c>
      <c r="AF4035" s="90">
        <v>45142.096701388888</v>
      </c>
      <c r="AG4035" s="99">
        <v>45142</v>
      </c>
      <c r="AH4035" s="93" t="s">
        <v>15037</v>
      </c>
      <c r="AI4035" s="87" t="b">
        <v>0</v>
      </c>
      <c r="AJ4035" s="87"/>
      <c r="AK4035" s="87"/>
      <c r="AL4035" s="87"/>
      <c r="AM4035" s="87"/>
      <c r="AN4035" s="87"/>
      <c r="AO4035" s="87"/>
      <c r="AP4035" s="87"/>
      <c r="AQ4035" s="87"/>
      <c r="AR4035" s="87"/>
      <c r="AS4035" s="87"/>
      <c r="AT4035" s="87"/>
      <c r="AU4035" s="87"/>
      <c r="AV4035" s="92" t="str">
        <f>HYPERLINK("https://pbs.twimg.com/profile_images/1688541088745656320/wph9j5z3_normal.jpg")</f>
        <v>https://pbs.twimg.com/profile_images/1688541088745656320/wph9j5z3_normal.jpg</v>
      </c>
      <c r="AW4035" s="93" t="s">
        <v>22135</v>
      </c>
      <c r="AX4035" s="93" t="s">
        <v>22136</v>
      </c>
      <c r="AY4035" s="93" t="s">
        <v>22659</v>
      </c>
      <c r="AZ4035" s="93" t="s">
        <v>22136</v>
      </c>
      <c r="BA4035" s="93" t="s">
        <v>22668</v>
      </c>
      <c r="BB4035" s="93" t="s">
        <v>22668</v>
      </c>
      <c r="BC4035" s="93" t="s">
        <v>22136</v>
      </c>
      <c r="BD4035" s="93" t="s">
        <v>22659</v>
      </c>
      <c r="BE4035" s="87"/>
      <c r="BF4035" s="87"/>
      <c r="BG4035" s="87"/>
      <c r="BH4035" s="87"/>
      <c r="BI4035" s="87"/>
    </row>
    <row r="4036" spans="1:61" x14ac:dyDescent="0.25">
      <c r="A4036" s="63" t="s">
        <v>1560</v>
      </c>
      <c r="B4036" s="63" t="s">
        <v>1560</v>
      </c>
      <c r="C4036" s="64"/>
      <c r="D4036" s="65"/>
      <c r="E4036" s="66"/>
      <c r="F4036" s="67"/>
      <c r="G4036" s="64"/>
      <c r="H4036" s="68"/>
      <c r="I4036" s="69"/>
      <c r="J4036" s="69"/>
      <c r="K4036" s="32"/>
      <c r="L4036" s="76">
        <v>4036</v>
      </c>
      <c r="M4036" s="76"/>
      <c r="N4036" s="71"/>
      <c r="O4036" s="87" t="s">
        <v>179</v>
      </c>
      <c r="P4036" s="90">
        <v>45142.096203703702</v>
      </c>
      <c r="Q4036" s="87" t="s">
        <v>5679</v>
      </c>
      <c r="R4036" s="87">
        <v>0</v>
      </c>
      <c r="S4036" s="87">
        <v>0</v>
      </c>
      <c r="T4036" s="87">
        <v>2</v>
      </c>
      <c r="U4036" s="87">
        <v>0</v>
      </c>
      <c r="V4036" s="87">
        <v>25</v>
      </c>
      <c r="W4036" s="93" t="s">
        <v>8227</v>
      </c>
      <c r="X4036" s="87"/>
      <c r="Y4036" s="87"/>
      <c r="Z4036" s="87"/>
      <c r="AA4036" s="87" t="s">
        <v>11338</v>
      </c>
      <c r="AB4036" s="87" t="s">
        <v>11451</v>
      </c>
      <c r="AC4036" s="93" t="s">
        <v>11457</v>
      </c>
      <c r="AD4036" s="87" t="s">
        <v>11519</v>
      </c>
      <c r="AE4036" s="92" t="str">
        <f>HYPERLINK("https://twitter.com/oworldreal/status/1687286870663647233")</f>
        <v>https://twitter.com/oworldreal/status/1687286870663647233</v>
      </c>
      <c r="AF4036" s="90">
        <v>45142.096203703702</v>
      </c>
      <c r="AG4036" s="99">
        <v>45142</v>
      </c>
      <c r="AH4036" s="93" t="s">
        <v>15038</v>
      </c>
      <c r="AI4036" s="87" t="b">
        <v>0</v>
      </c>
      <c r="AJ4036" s="87"/>
      <c r="AK4036" s="87"/>
      <c r="AL4036" s="87"/>
      <c r="AM4036" s="87"/>
      <c r="AN4036" s="87"/>
      <c r="AO4036" s="87"/>
      <c r="AP4036" s="87"/>
      <c r="AQ4036" s="87" t="s">
        <v>18150</v>
      </c>
      <c r="AR4036" s="87"/>
      <c r="AS4036" s="87"/>
      <c r="AT4036" s="87"/>
      <c r="AU4036" s="87"/>
      <c r="AV4036" s="92" t="str">
        <f>HYPERLINK("https://pbs.twimg.com/media/F2pydsEXIAAv0TH.jpg")</f>
        <v>https://pbs.twimg.com/media/F2pydsEXIAAv0TH.jpg</v>
      </c>
      <c r="AW4036" s="93" t="s">
        <v>22136</v>
      </c>
      <c r="AX4036" s="93" t="s">
        <v>22136</v>
      </c>
      <c r="AY4036" s="87"/>
      <c r="AZ4036" s="93" t="s">
        <v>22668</v>
      </c>
      <c r="BA4036" s="93" t="s">
        <v>22668</v>
      </c>
      <c r="BB4036" s="93" t="s">
        <v>22668</v>
      </c>
      <c r="BC4036" s="93" t="s">
        <v>22136</v>
      </c>
      <c r="BD4036" s="93" t="s">
        <v>22659</v>
      </c>
      <c r="BE4036" s="87"/>
      <c r="BF4036" s="87"/>
      <c r="BG4036" s="87"/>
      <c r="BH4036" s="87"/>
      <c r="BI4036" s="87"/>
    </row>
    <row r="4037" spans="1:61" x14ac:dyDescent="0.25">
      <c r="A4037" s="63" t="s">
        <v>1560</v>
      </c>
      <c r="B4037" s="63" t="s">
        <v>1560</v>
      </c>
      <c r="C4037" s="64"/>
      <c r="D4037" s="65"/>
      <c r="E4037" s="66"/>
      <c r="F4037" s="67"/>
      <c r="G4037" s="64"/>
      <c r="H4037" s="68"/>
      <c r="I4037" s="69"/>
      <c r="J4037" s="69"/>
      <c r="K4037" s="32"/>
      <c r="L4037" s="76">
        <v>4037</v>
      </c>
      <c r="M4037" s="76"/>
      <c r="N4037" s="71"/>
      <c r="O4037" s="87" t="s">
        <v>179</v>
      </c>
      <c r="P4037" s="90">
        <v>45142.094594907408</v>
      </c>
      <c r="Q4037" s="87" t="s">
        <v>5680</v>
      </c>
      <c r="R4037" s="87">
        <v>0</v>
      </c>
      <c r="S4037" s="87">
        <v>0</v>
      </c>
      <c r="T4037" s="87">
        <v>1</v>
      </c>
      <c r="U4037" s="87">
        <v>0</v>
      </c>
      <c r="V4037" s="87">
        <v>9</v>
      </c>
      <c r="W4037" s="93" t="s">
        <v>8228</v>
      </c>
      <c r="X4037" s="87"/>
      <c r="Y4037" s="87"/>
      <c r="Z4037" s="87"/>
      <c r="AA4037" s="87" t="s">
        <v>11339</v>
      </c>
      <c r="AB4037" s="87" t="s">
        <v>11451</v>
      </c>
      <c r="AC4037" s="93" t="s">
        <v>11457</v>
      </c>
      <c r="AD4037" s="87" t="s">
        <v>11519</v>
      </c>
      <c r="AE4037" s="92" t="str">
        <f>HYPERLINK("https://twitter.com/oworldreal/status/1687286284983660544")</f>
        <v>https://twitter.com/oworldreal/status/1687286284983660544</v>
      </c>
      <c r="AF4037" s="90">
        <v>45142.094594907408</v>
      </c>
      <c r="AG4037" s="99">
        <v>45142</v>
      </c>
      <c r="AH4037" s="93" t="s">
        <v>15039</v>
      </c>
      <c r="AI4037" s="87" t="b">
        <v>0</v>
      </c>
      <c r="AJ4037" s="87"/>
      <c r="AK4037" s="87"/>
      <c r="AL4037" s="87"/>
      <c r="AM4037" s="87"/>
      <c r="AN4037" s="87"/>
      <c r="AO4037" s="87"/>
      <c r="AP4037" s="87"/>
      <c r="AQ4037" s="87" t="s">
        <v>18151</v>
      </c>
      <c r="AR4037" s="87"/>
      <c r="AS4037" s="87"/>
      <c r="AT4037" s="87"/>
      <c r="AU4037" s="87"/>
      <c r="AV4037" s="92" t="str">
        <f>HYPERLINK("https://pbs.twimg.com/media/F2px7meXkAAmslW.jpg")</f>
        <v>https://pbs.twimg.com/media/F2px7meXkAAmslW.jpg</v>
      </c>
      <c r="AW4037" s="93" t="s">
        <v>22137</v>
      </c>
      <c r="AX4037" s="93" t="s">
        <v>22137</v>
      </c>
      <c r="AY4037" s="87"/>
      <c r="AZ4037" s="93" t="s">
        <v>22668</v>
      </c>
      <c r="BA4037" s="93" t="s">
        <v>22668</v>
      </c>
      <c r="BB4037" s="93" t="s">
        <v>22668</v>
      </c>
      <c r="BC4037" s="93" t="s">
        <v>22137</v>
      </c>
      <c r="BD4037" s="93" t="s">
        <v>22659</v>
      </c>
      <c r="BE4037" s="87"/>
      <c r="BF4037" s="87"/>
      <c r="BG4037" s="87"/>
      <c r="BH4037" s="87"/>
      <c r="BI4037" s="87"/>
    </row>
    <row r="4038" spans="1:61" x14ac:dyDescent="0.25">
      <c r="A4038" s="63" t="s">
        <v>1560</v>
      </c>
      <c r="B4038" s="63" t="s">
        <v>1560</v>
      </c>
      <c r="C4038" s="64"/>
      <c r="D4038" s="65"/>
      <c r="E4038" s="66"/>
      <c r="F4038" s="67"/>
      <c r="G4038" s="64"/>
      <c r="H4038" s="68"/>
      <c r="I4038" s="69"/>
      <c r="J4038" s="69"/>
      <c r="K4038" s="32"/>
      <c r="L4038" s="76">
        <v>4038</v>
      </c>
      <c r="M4038" s="76"/>
      <c r="N4038" s="71"/>
      <c r="O4038" s="87" t="s">
        <v>1840</v>
      </c>
      <c r="P4038" s="90">
        <v>45142.093622685185</v>
      </c>
      <c r="Q4038" s="87" t="s">
        <v>5681</v>
      </c>
      <c r="R4038" s="87">
        <v>0</v>
      </c>
      <c r="S4038" s="87">
        <v>0</v>
      </c>
      <c r="T4038" s="87">
        <v>0</v>
      </c>
      <c r="U4038" s="87">
        <v>0</v>
      </c>
      <c r="V4038" s="87">
        <v>6</v>
      </c>
      <c r="W4038" s="93" t="s">
        <v>8229</v>
      </c>
      <c r="X4038" s="92" t="str">
        <f>HYPERLINK("https://creci-pb.gov.br/corretora-paraibana-e.../")</f>
        <v>https://creci-pb.gov.br/corretora-paraibana-e.../</v>
      </c>
      <c r="Y4038" s="87" t="s">
        <v>8392</v>
      </c>
      <c r="Z4038" s="87"/>
      <c r="AA4038" s="87"/>
      <c r="AB4038" s="87"/>
      <c r="AC4038" s="93" t="s">
        <v>11457</v>
      </c>
      <c r="AD4038" s="87" t="s">
        <v>11519</v>
      </c>
      <c r="AE4038" s="92" t="str">
        <f>HYPERLINK("https://twitter.com/oworldreal/status/1687285934809587712")</f>
        <v>https://twitter.com/oworldreal/status/1687285934809587712</v>
      </c>
      <c r="AF4038" s="90">
        <v>45142.093622685185</v>
      </c>
      <c r="AG4038" s="99">
        <v>45142</v>
      </c>
      <c r="AH4038" s="93" t="s">
        <v>15040</v>
      </c>
      <c r="AI4038" s="87" t="b">
        <v>0</v>
      </c>
      <c r="AJ4038" s="87"/>
      <c r="AK4038" s="87"/>
      <c r="AL4038" s="87"/>
      <c r="AM4038" s="87"/>
      <c r="AN4038" s="87"/>
      <c r="AO4038" s="87"/>
      <c r="AP4038" s="87"/>
      <c r="AQ4038" s="87"/>
      <c r="AR4038" s="87"/>
      <c r="AS4038" s="87"/>
      <c r="AT4038" s="87"/>
      <c r="AU4038" s="87"/>
      <c r="AV4038" s="92" t="str">
        <f>HYPERLINK("https://pbs.twimg.com/profile_images/1688541088745656320/wph9j5z3_normal.jpg")</f>
        <v>https://pbs.twimg.com/profile_images/1688541088745656320/wph9j5z3_normal.jpg</v>
      </c>
      <c r="AW4038" s="93" t="s">
        <v>22138</v>
      </c>
      <c r="AX4038" s="93" t="s">
        <v>22506</v>
      </c>
      <c r="AY4038" s="93" t="s">
        <v>22659</v>
      </c>
      <c r="AZ4038" s="93" t="s">
        <v>22506</v>
      </c>
      <c r="BA4038" s="93" t="s">
        <v>22668</v>
      </c>
      <c r="BB4038" s="93" t="s">
        <v>22668</v>
      </c>
      <c r="BC4038" s="93" t="s">
        <v>22506</v>
      </c>
      <c r="BD4038" s="93" t="s">
        <v>22659</v>
      </c>
      <c r="BE4038" s="87"/>
      <c r="BF4038" s="87"/>
      <c r="BG4038" s="87"/>
      <c r="BH4038" s="87"/>
      <c r="BI4038" s="87"/>
    </row>
    <row r="4039" spans="1:61" x14ac:dyDescent="0.25">
      <c r="A4039" s="63" t="s">
        <v>1560</v>
      </c>
      <c r="B4039" s="63" t="s">
        <v>1560</v>
      </c>
      <c r="C4039" s="64"/>
      <c r="D4039" s="65"/>
      <c r="E4039" s="66"/>
      <c r="F4039" s="67"/>
      <c r="G4039" s="64"/>
      <c r="H4039" s="68"/>
      <c r="I4039" s="69"/>
      <c r="J4039" s="69"/>
      <c r="K4039" s="32"/>
      <c r="L4039" s="76">
        <v>4039</v>
      </c>
      <c r="M4039" s="76"/>
      <c r="N4039" s="71"/>
      <c r="O4039" s="87" t="s">
        <v>1840</v>
      </c>
      <c r="P4039" s="90">
        <v>45142.091666666667</v>
      </c>
      <c r="Q4039" s="87" t="s">
        <v>5682</v>
      </c>
      <c r="R4039" s="87">
        <v>0</v>
      </c>
      <c r="S4039" s="87">
        <v>0</v>
      </c>
      <c r="T4039" s="87">
        <v>0</v>
      </c>
      <c r="U4039" s="87">
        <v>0</v>
      </c>
      <c r="V4039" s="87">
        <v>7</v>
      </c>
      <c r="W4039" s="93" t="s">
        <v>8230</v>
      </c>
      <c r="X4039" s="92" t="str">
        <f>HYPERLINK("https://candidonobrega.com.br/corretora-paraibana-e-selecionada-em-programa-internacional-de-mulheres-empreendedoras/?fbclid=IwAR07rOU0v2Xa_EFTFShG71Bv-dDWb6CmblhSiMocjxDSSUe7ElAJny5k3k0")</f>
        <v>https://candidonobrega.com.br/corretora-paraibana-e-selecionada-em-programa-internacional-de-mulheres-empreendedoras/?fbclid=IwAR07rOU0v2Xa_EFTFShG71Bv-dDWb6CmblhSiMocjxDSSUe7ElAJny5k3k0</v>
      </c>
      <c r="Y4039" s="87" t="s">
        <v>8373</v>
      </c>
      <c r="Z4039" s="87"/>
      <c r="AA4039" s="87"/>
      <c r="AB4039" s="87"/>
      <c r="AC4039" s="93" t="s">
        <v>11457</v>
      </c>
      <c r="AD4039" s="87" t="s">
        <v>11519</v>
      </c>
      <c r="AE4039" s="92" t="str">
        <f>HYPERLINK("https://twitter.com/oworldreal/status/1687285223430475776")</f>
        <v>https://twitter.com/oworldreal/status/1687285223430475776</v>
      </c>
      <c r="AF4039" s="90">
        <v>45142.091666666667</v>
      </c>
      <c r="AG4039" s="99">
        <v>45142</v>
      </c>
      <c r="AH4039" s="93" t="s">
        <v>15041</v>
      </c>
      <c r="AI4039" s="87" t="b">
        <v>0</v>
      </c>
      <c r="AJ4039" s="87"/>
      <c r="AK4039" s="87"/>
      <c r="AL4039" s="87"/>
      <c r="AM4039" s="87"/>
      <c r="AN4039" s="87"/>
      <c r="AO4039" s="87"/>
      <c r="AP4039" s="87"/>
      <c r="AQ4039" s="87"/>
      <c r="AR4039" s="87"/>
      <c r="AS4039" s="87"/>
      <c r="AT4039" s="87"/>
      <c r="AU4039" s="87"/>
      <c r="AV4039" s="92" t="str">
        <f>HYPERLINK("https://pbs.twimg.com/profile_images/1688541088745656320/wph9j5z3_normal.jpg")</f>
        <v>https://pbs.twimg.com/profile_images/1688541088745656320/wph9j5z3_normal.jpg</v>
      </c>
      <c r="AW4039" s="93" t="s">
        <v>22139</v>
      </c>
      <c r="AX4039" s="93" t="s">
        <v>22140</v>
      </c>
      <c r="AY4039" s="93" t="s">
        <v>22659</v>
      </c>
      <c r="AZ4039" s="93" t="s">
        <v>22140</v>
      </c>
      <c r="BA4039" s="93" t="s">
        <v>22668</v>
      </c>
      <c r="BB4039" s="93" t="s">
        <v>22668</v>
      </c>
      <c r="BC4039" s="93" t="s">
        <v>22140</v>
      </c>
      <c r="BD4039" s="93" t="s">
        <v>22659</v>
      </c>
      <c r="BE4039" s="87"/>
      <c r="BF4039" s="87"/>
      <c r="BG4039" s="87"/>
      <c r="BH4039" s="87"/>
      <c r="BI4039" s="87"/>
    </row>
    <row r="4040" spans="1:61" x14ac:dyDescent="0.25">
      <c r="A4040" s="63" t="s">
        <v>1560</v>
      </c>
      <c r="B4040" s="63" t="s">
        <v>1560</v>
      </c>
      <c r="C4040" s="64"/>
      <c r="D4040" s="65"/>
      <c r="E4040" s="66"/>
      <c r="F4040" s="67"/>
      <c r="G4040" s="64"/>
      <c r="H4040" s="68"/>
      <c r="I4040" s="69"/>
      <c r="J4040" s="69"/>
      <c r="K4040" s="32"/>
      <c r="L4040" s="76">
        <v>4040</v>
      </c>
      <c r="M4040" s="76"/>
      <c r="N4040" s="71"/>
      <c r="O4040" s="87" t="s">
        <v>179</v>
      </c>
      <c r="P4040" s="90">
        <v>45142.090833333335</v>
      </c>
      <c r="Q4040" s="87" t="s">
        <v>5683</v>
      </c>
      <c r="R4040" s="87">
        <v>0</v>
      </c>
      <c r="S4040" s="87">
        <v>0</v>
      </c>
      <c r="T4040" s="87">
        <v>1</v>
      </c>
      <c r="U4040" s="87">
        <v>0</v>
      </c>
      <c r="V4040" s="87">
        <v>9</v>
      </c>
      <c r="W4040" s="93" t="s">
        <v>8231</v>
      </c>
      <c r="X4040" s="87"/>
      <c r="Y4040" s="87"/>
      <c r="Z4040" s="87"/>
      <c r="AA4040" s="87" t="s">
        <v>11340</v>
      </c>
      <c r="AB4040" s="87" t="s">
        <v>11451</v>
      </c>
      <c r="AC4040" s="93" t="s">
        <v>11457</v>
      </c>
      <c r="AD4040" s="87" t="s">
        <v>11519</v>
      </c>
      <c r="AE4040" s="92" t="str">
        <f>HYPERLINK("https://twitter.com/oworldreal/status/1687284922371780608")</f>
        <v>https://twitter.com/oworldreal/status/1687284922371780608</v>
      </c>
      <c r="AF4040" s="90">
        <v>45142.090833333335</v>
      </c>
      <c r="AG4040" s="99">
        <v>45142</v>
      </c>
      <c r="AH4040" s="93" t="s">
        <v>15042</v>
      </c>
      <c r="AI4040" s="87" t="b">
        <v>0</v>
      </c>
      <c r="AJ4040" s="87"/>
      <c r="AK4040" s="87"/>
      <c r="AL4040" s="87"/>
      <c r="AM4040" s="87"/>
      <c r="AN4040" s="87"/>
      <c r="AO4040" s="87"/>
      <c r="AP4040" s="87"/>
      <c r="AQ4040" s="87" t="s">
        <v>18152</v>
      </c>
      <c r="AR4040" s="87"/>
      <c r="AS4040" s="87"/>
      <c r="AT4040" s="87"/>
      <c r="AU4040" s="87"/>
      <c r="AV4040" s="92" t="str">
        <f>HYPERLINK("https://pbs.twimg.com/media/F2pwsSCW8AAEy-8.jpg")</f>
        <v>https://pbs.twimg.com/media/F2pwsSCW8AAEy-8.jpg</v>
      </c>
      <c r="AW4040" s="93" t="s">
        <v>22140</v>
      </c>
      <c r="AX4040" s="93" t="s">
        <v>22140</v>
      </c>
      <c r="AY4040" s="87"/>
      <c r="AZ4040" s="93" t="s">
        <v>22668</v>
      </c>
      <c r="BA4040" s="93" t="s">
        <v>22668</v>
      </c>
      <c r="BB4040" s="93" t="s">
        <v>22668</v>
      </c>
      <c r="BC4040" s="93" t="s">
        <v>22140</v>
      </c>
      <c r="BD4040" s="93" t="s">
        <v>22659</v>
      </c>
      <c r="BE4040" s="87"/>
      <c r="BF4040" s="87"/>
      <c r="BG4040" s="87"/>
      <c r="BH4040" s="87"/>
      <c r="BI4040" s="87"/>
    </row>
    <row r="4041" spans="1:61" x14ac:dyDescent="0.25">
      <c r="A4041" s="63" t="s">
        <v>1560</v>
      </c>
      <c r="B4041" s="63" t="s">
        <v>1560</v>
      </c>
      <c r="C4041" s="64"/>
      <c r="D4041" s="65"/>
      <c r="E4041" s="66"/>
      <c r="F4041" s="67"/>
      <c r="G4041" s="64"/>
      <c r="H4041" s="68"/>
      <c r="I4041" s="69"/>
      <c r="J4041" s="69"/>
      <c r="K4041" s="32"/>
      <c r="L4041" s="76">
        <v>4041</v>
      </c>
      <c r="M4041" s="76"/>
      <c r="N4041" s="71"/>
      <c r="O4041" s="87" t="s">
        <v>1840</v>
      </c>
      <c r="P4041" s="90">
        <v>45142.089155092595</v>
      </c>
      <c r="Q4041" s="87" t="s">
        <v>5684</v>
      </c>
      <c r="R4041" s="87">
        <v>0</v>
      </c>
      <c r="S4041" s="87">
        <v>0</v>
      </c>
      <c r="T4041" s="87">
        <v>0</v>
      </c>
      <c r="U4041" s="87">
        <v>0</v>
      </c>
      <c r="V4041" s="87">
        <v>6</v>
      </c>
      <c r="W4041" s="93" t="s">
        <v>8232</v>
      </c>
      <c r="X4041" s="92" t="str">
        <f>HYPERLINK("https://pbnews.com.br/noticia/40041/corretora-paraibana-e-selecionada-em-programa-internacional-de-mulheres-empreendedoras?fbclid=IwAR2wOOuLZvhQAJXQnQ7Z_Igxz3CNkXmO3sEwf6WlHKzXYHw1Ohu36Yv1P6I")</f>
        <v>https://pbnews.com.br/noticia/40041/corretora-paraibana-e-selecionada-em-programa-internacional-de-mulheres-empreendedoras?fbclid=IwAR2wOOuLZvhQAJXQnQ7Z_Igxz3CNkXmO3sEwf6WlHKzXYHw1Ohu36Yv1P6I</v>
      </c>
      <c r="Y4041" s="87" t="s">
        <v>8373</v>
      </c>
      <c r="Z4041" s="87"/>
      <c r="AA4041" s="87"/>
      <c r="AB4041" s="87"/>
      <c r="AC4041" s="93" t="s">
        <v>11457</v>
      </c>
      <c r="AD4041" s="87" t="s">
        <v>11519</v>
      </c>
      <c r="AE4041" s="92" t="str">
        <f>HYPERLINK("https://twitter.com/oworldreal/status/1687284315317555200")</f>
        <v>https://twitter.com/oworldreal/status/1687284315317555200</v>
      </c>
      <c r="AF4041" s="90">
        <v>45142.089155092595</v>
      </c>
      <c r="AG4041" s="99">
        <v>45142</v>
      </c>
      <c r="AH4041" s="93" t="s">
        <v>15043</v>
      </c>
      <c r="AI4041" s="87" t="b">
        <v>0</v>
      </c>
      <c r="AJ4041" s="87"/>
      <c r="AK4041" s="87"/>
      <c r="AL4041" s="87"/>
      <c r="AM4041" s="87"/>
      <c r="AN4041" s="87"/>
      <c r="AO4041" s="87"/>
      <c r="AP4041" s="87"/>
      <c r="AQ4041" s="87"/>
      <c r="AR4041" s="87"/>
      <c r="AS4041" s="87"/>
      <c r="AT4041" s="87"/>
      <c r="AU4041" s="87"/>
      <c r="AV4041" s="92" t="str">
        <f>HYPERLINK("https://pbs.twimg.com/profile_images/1688541088745656320/wph9j5z3_normal.jpg")</f>
        <v>https://pbs.twimg.com/profile_images/1688541088745656320/wph9j5z3_normal.jpg</v>
      </c>
      <c r="AW4041" s="93" t="s">
        <v>22141</v>
      </c>
      <c r="AX4041" s="93" t="s">
        <v>22142</v>
      </c>
      <c r="AY4041" s="93" t="s">
        <v>22659</v>
      </c>
      <c r="AZ4041" s="93" t="s">
        <v>22142</v>
      </c>
      <c r="BA4041" s="93" t="s">
        <v>22668</v>
      </c>
      <c r="BB4041" s="93" t="s">
        <v>22668</v>
      </c>
      <c r="BC4041" s="93" t="s">
        <v>22142</v>
      </c>
      <c r="BD4041" s="93" t="s">
        <v>22659</v>
      </c>
      <c r="BE4041" s="87"/>
      <c r="BF4041" s="87"/>
      <c r="BG4041" s="87"/>
      <c r="BH4041" s="87"/>
      <c r="BI4041" s="87"/>
    </row>
    <row r="4042" spans="1:61" x14ac:dyDescent="0.25">
      <c r="A4042" s="63" t="s">
        <v>1560</v>
      </c>
      <c r="B4042" s="63" t="s">
        <v>1560</v>
      </c>
      <c r="C4042" s="64"/>
      <c r="D4042" s="65"/>
      <c r="E4042" s="66"/>
      <c r="F4042" s="67"/>
      <c r="G4042" s="64"/>
      <c r="H4042" s="68"/>
      <c r="I4042" s="69"/>
      <c r="J4042" s="69"/>
      <c r="K4042" s="32"/>
      <c r="L4042" s="76">
        <v>4042</v>
      </c>
      <c r="M4042" s="76"/>
      <c r="N4042" s="71"/>
      <c r="O4042" s="87" t="s">
        <v>179</v>
      </c>
      <c r="P4042" s="90">
        <v>45142.076319444444</v>
      </c>
      <c r="Q4042" s="87" t="s">
        <v>5685</v>
      </c>
      <c r="R4042" s="87">
        <v>0</v>
      </c>
      <c r="S4042" s="87">
        <v>0</v>
      </c>
      <c r="T4042" s="87">
        <v>1</v>
      </c>
      <c r="U4042" s="87">
        <v>0</v>
      </c>
      <c r="V4042" s="87">
        <v>15</v>
      </c>
      <c r="W4042" s="93" t="s">
        <v>8233</v>
      </c>
      <c r="X4042" s="87"/>
      <c r="Y4042" s="87"/>
      <c r="Z4042" s="87"/>
      <c r="AA4042" s="87" t="s">
        <v>11341</v>
      </c>
      <c r="AB4042" s="87" t="s">
        <v>11450</v>
      </c>
      <c r="AC4042" s="93" t="s">
        <v>11457</v>
      </c>
      <c r="AD4042" s="87" t="s">
        <v>11519</v>
      </c>
      <c r="AE4042" s="92" t="str">
        <f>HYPERLINK("https://twitter.com/oworldreal/status/1687279661703671808")</f>
        <v>https://twitter.com/oworldreal/status/1687279661703671808</v>
      </c>
      <c r="AF4042" s="90">
        <v>45142.076319444444</v>
      </c>
      <c r="AG4042" s="99">
        <v>45142</v>
      </c>
      <c r="AH4042" s="93" t="s">
        <v>15044</v>
      </c>
      <c r="AI4042" s="87" t="b">
        <v>0</v>
      </c>
      <c r="AJ4042" s="87"/>
      <c r="AK4042" s="87"/>
      <c r="AL4042" s="87"/>
      <c r="AM4042" s="87"/>
      <c r="AN4042" s="87"/>
      <c r="AO4042" s="87"/>
      <c r="AP4042" s="87"/>
      <c r="AQ4042" s="87" t="s">
        <v>18153</v>
      </c>
      <c r="AR4042" s="87"/>
      <c r="AS4042" s="87"/>
      <c r="AT4042" s="87"/>
      <c r="AU4042" s="87"/>
      <c r="AV4042" s="92" t="str">
        <f>HYPERLINK("https://pbs.twimg.com/media/F2pr6CBWkAAhIEB.jpg")</f>
        <v>https://pbs.twimg.com/media/F2pr6CBWkAAhIEB.jpg</v>
      </c>
      <c r="AW4042" s="93" t="s">
        <v>22142</v>
      </c>
      <c r="AX4042" s="93" t="s">
        <v>22142</v>
      </c>
      <c r="AY4042" s="87"/>
      <c r="AZ4042" s="93" t="s">
        <v>22668</v>
      </c>
      <c r="BA4042" s="93" t="s">
        <v>22668</v>
      </c>
      <c r="BB4042" s="93" t="s">
        <v>22668</v>
      </c>
      <c r="BC4042" s="93" t="s">
        <v>22142</v>
      </c>
      <c r="BD4042" s="93" t="s">
        <v>22659</v>
      </c>
      <c r="BE4042" s="87"/>
      <c r="BF4042" s="87"/>
      <c r="BG4042" s="87"/>
      <c r="BH4042" s="87"/>
      <c r="BI4042" s="87"/>
    </row>
    <row r="4043" spans="1:61" x14ac:dyDescent="0.25">
      <c r="A4043" s="63" t="s">
        <v>1561</v>
      </c>
      <c r="B4043" s="63" t="s">
        <v>1561</v>
      </c>
      <c r="C4043" s="64"/>
      <c r="D4043" s="65"/>
      <c r="E4043" s="66"/>
      <c r="F4043" s="67"/>
      <c r="G4043" s="64"/>
      <c r="H4043" s="68"/>
      <c r="I4043" s="69"/>
      <c r="J4043" s="69"/>
      <c r="K4043" s="32"/>
      <c r="L4043" s="76">
        <v>4043</v>
      </c>
      <c r="M4043" s="76"/>
      <c r="N4043" s="71"/>
      <c r="O4043" s="87" t="s">
        <v>179</v>
      </c>
      <c r="P4043" s="90">
        <v>45168.663587962961</v>
      </c>
      <c r="Q4043" s="87" t="s">
        <v>5686</v>
      </c>
      <c r="R4043" s="87">
        <v>0</v>
      </c>
      <c r="S4043" s="87">
        <v>0</v>
      </c>
      <c r="T4043" s="87">
        <v>0</v>
      </c>
      <c r="U4043" s="87">
        <v>0</v>
      </c>
      <c r="V4043" s="87">
        <v>87</v>
      </c>
      <c r="W4043" s="93" t="s">
        <v>8234</v>
      </c>
      <c r="X4043" s="87"/>
      <c r="Y4043" s="87"/>
      <c r="Z4043" s="87"/>
      <c r="AA4043" s="87" t="s">
        <v>11342</v>
      </c>
      <c r="AB4043" s="87" t="s">
        <v>11447</v>
      </c>
      <c r="AC4043" s="93" t="s">
        <v>11458</v>
      </c>
      <c r="AD4043" s="87" t="s">
        <v>11519</v>
      </c>
      <c r="AE4043" s="92" t="str">
        <f>HYPERLINK("https://twitter.com/fl_floripa/status/1696914568562307387")</f>
        <v>https://twitter.com/fl_floripa/status/1696914568562307387</v>
      </c>
      <c r="AF4043" s="90">
        <v>45168.663587962961</v>
      </c>
      <c r="AG4043" s="99">
        <v>45168</v>
      </c>
      <c r="AH4043" s="93" t="s">
        <v>15045</v>
      </c>
      <c r="AI4043" s="87" t="b">
        <v>0</v>
      </c>
      <c r="AJ4043" s="87" t="s">
        <v>15214</v>
      </c>
      <c r="AK4043" s="87" t="s">
        <v>15234</v>
      </c>
      <c r="AL4043" s="87" t="s">
        <v>15237</v>
      </c>
      <c r="AM4043" s="87" t="s">
        <v>15285</v>
      </c>
      <c r="AN4043" s="87" t="s">
        <v>15352</v>
      </c>
      <c r="AO4043" s="87" t="s">
        <v>15417</v>
      </c>
      <c r="AP4043" s="87" t="s">
        <v>15438</v>
      </c>
      <c r="AQ4043" s="87" t="s">
        <v>18154</v>
      </c>
      <c r="AR4043" s="87">
        <v>21666</v>
      </c>
      <c r="AS4043" s="87"/>
      <c r="AT4043" s="87"/>
      <c r="AU4043" s="87"/>
      <c r="AV4043" s="92" t="str">
        <f>HYPERLINK("https://pbs.twimg.com/ext_tw_video_thumb/1696914518478077952/pu/img/ZxOOpzPcw43Gznaa.jpg")</f>
        <v>https://pbs.twimg.com/ext_tw_video_thumb/1696914518478077952/pu/img/ZxOOpzPcw43Gznaa.jpg</v>
      </c>
      <c r="AW4043" s="93" t="s">
        <v>22143</v>
      </c>
      <c r="AX4043" s="93" t="s">
        <v>22143</v>
      </c>
      <c r="AY4043" s="87"/>
      <c r="AZ4043" s="93" t="s">
        <v>22668</v>
      </c>
      <c r="BA4043" s="93" t="s">
        <v>22668</v>
      </c>
      <c r="BB4043" s="93" t="s">
        <v>22668</v>
      </c>
      <c r="BC4043" s="93" t="s">
        <v>22143</v>
      </c>
      <c r="BD4043" s="93" t="s">
        <v>23572</v>
      </c>
      <c r="BE4043" s="87"/>
      <c r="BF4043" s="87"/>
      <c r="BG4043" s="87"/>
      <c r="BH4043" s="87"/>
      <c r="BI4043" s="87"/>
    </row>
    <row r="4044" spans="1:61" x14ac:dyDescent="0.25">
      <c r="A4044" s="63" t="s">
        <v>1562</v>
      </c>
      <c r="B4044" s="63" t="s">
        <v>1562</v>
      </c>
      <c r="C4044" s="64"/>
      <c r="D4044" s="65"/>
      <c r="E4044" s="66"/>
      <c r="F4044" s="67"/>
      <c r="G4044" s="64"/>
      <c r="H4044" s="68"/>
      <c r="I4044" s="69"/>
      <c r="J4044" s="69"/>
      <c r="K4044" s="32"/>
      <c r="L4044" s="76">
        <v>4044</v>
      </c>
      <c r="M4044" s="76"/>
      <c r="N4044" s="71"/>
      <c r="O4044" s="87" t="s">
        <v>1840</v>
      </c>
      <c r="P4044" s="90">
        <v>45140.598726851851</v>
      </c>
      <c r="Q4044" s="87" t="s">
        <v>5687</v>
      </c>
      <c r="R4044" s="87">
        <v>0</v>
      </c>
      <c r="S4044" s="87">
        <v>0</v>
      </c>
      <c r="T4044" s="87">
        <v>0</v>
      </c>
      <c r="U4044" s="87">
        <v>0</v>
      </c>
      <c r="V4044" s="87">
        <v>10</v>
      </c>
      <c r="W4044" s="93" t="s">
        <v>8235</v>
      </c>
      <c r="X4044" s="87"/>
      <c r="Y4044" s="87"/>
      <c r="Z4044" s="87"/>
      <c r="AA4044" s="87"/>
      <c r="AB4044" s="87"/>
      <c r="AC4044" s="93" t="s">
        <v>11459</v>
      </c>
      <c r="AD4044" s="87" t="s">
        <v>11519</v>
      </c>
      <c r="AE4044" s="92" t="str">
        <f>HYPERLINK("https://twitter.com/aroldogueiros/status/1686744201617084416")</f>
        <v>https://twitter.com/aroldogueiros/status/1686744201617084416</v>
      </c>
      <c r="AF4044" s="90">
        <v>45140.598726851851</v>
      </c>
      <c r="AG4044" s="99">
        <v>45140</v>
      </c>
      <c r="AH4044" s="93" t="s">
        <v>15046</v>
      </c>
      <c r="AI4044" s="87"/>
      <c r="AJ4044" s="87"/>
      <c r="AK4044" s="87"/>
      <c r="AL4044" s="87"/>
      <c r="AM4044" s="87"/>
      <c r="AN4044" s="87"/>
      <c r="AO4044" s="87"/>
      <c r="AP4044" s="87"/>
      <c r="AQ4044" s="87"/>
      <c r="AR4044" s="87"/>
      <c r="AS4044" s="87"/>
      <c r="AT4044" s="87"/>
      <c r="AU4044" s="87"/>
      <c r="AV4044" s="92" t="str">
        <f>HYPERLINK("https://pbs.twimg.com/profile_images/1640340323837657089/gZoTvpb0_normal.jpg")</f>
        <v>https://pbs.twimg.com/profile_images/1640340323837657089/gZoTvpb0_normal.jpg</v>
      </c>
      <c r="AW4044" s="93" t="s">
        <v>22144</v>
      </c>
      <c r="AX4044" s="93" t="s">
        <v>22507</v>
      </c>
      <c r="AY4044" s="93" t="s">
        <v>22660</v>
      </c>
      <c r="AZ4044" s="93" t="s">
        <v>22507</v>
      </c>
      <c r="BA4044" s="93" t="s">
        <v>22668</v>
      </c>
      <c r="BB4044" s="93" t="s">
        <v>22668</v>
      </c>
      <c r="BC4044" s="93" t="s">
        <v>22507</v>
      </c>
      <c r="BD4044" s="93" t="s">
        <v>22660</v>
      </c>
      <c r="BE4044" s="87"/>
      <c r="BF4044" s="87"/>
      <c r="BG4044" s="87"/>
      <c r="BH4044" s="87"/>
      <c r="BI4044" s="87"/>
    </row>
    <row r="4045" spans="1:61" x14ac:dyDescent="0.25">
      <c r="A4045" s="63" t="s">
        <v>1563</v>
      </c>
      <c r="B4045" s="63" t="s">
        <v>1563</v>
      </c>
      <c r="C4045" s="64"/>
      <c r="D4045" s="65"/>
      <c r="E4045" s="66"/>
      <c r="F4045" s="67"/>
      <c r="G4045" s="64"/>
      <c r="H4045" s="68"/>
      <c r="I4045" s="69"/>
      <c r="J4045" s="69"/>
      <c r="K4045" s="32"/>
      <c r="L4045" s="76">
        <v>4045</v>
      </c>
      <c r="M4045" s="76"/>
      <c r="N4045" s="71"/>
      <c r="O4045" s="87" t="s">
        <v>179</v>
      </c>
      <c r="P4045" s="90">
        <v>45127.537291666667</v>
      </c>
      <c r="Q4045" s="87" t="s">
        <v>5688</v>
      </c>
      <c r="R4045" s="87">
        <v>0</v>
      </c>
      <c r="S4045" s="87">
        <v>0</v>
      </c>
      <c r="T4045" s="87">
        <v>0</v>
      </c>
      <c r="U4045" s="87">
        <v>0</v>
      </c>
      <c r="V4045" s="87">
        <v>20</v>
      </c>
      <c r="W4045" s="93" t="s">
        <v>8236</v>
      </c>
      <c r="X4045" s="92" t="str">
        <f>HYPERLINK("https://www.belemnegocios.com/post/mercado-das-industrias-criativas-edital-esta-com-inscricoes-abertas-para-empreendedores-culturais")</f>
        <v>https://www.belemnegocios.com/post/mercado-das-industrias-criativas-edital-esta-com-inscricoes-abertas-para-empreendedores-culturais</v>
      </c>
      <c r="Y4045" s="87" t="s">
        <v>8558</v>
      </c>
      <c r="Z4045" s="87"/>
      <c r="AA4045" s="87" t="s">
        <v>11343</v>
      </c>
      <c r="AB4045" s="87" t="s">
        <v>11448</v>
      </c>
      <c r="AC4045" s="93" t="s">
        <v>11457</v>
      </c>
      <c r="AD4045" s="87" t="s">
        <v>11519</v>
      </c>
      <c r="AE4045" s="92" t="str">
        <f>HYPERLINK("https://twitter.com/negociosbelem/status/1682010896934002688")</f>
        <v>https://twitter.com/negociosbelem/status/1682010896934002688</v>
      </c>
      <c r="AF4045" s="90">
        <v>45127.537291666667</v>
      </c>
      <c r="AG4045" s="99">
        <v>45127</v>
      </c>
      <c r="AH4045" s="93" t="s">
        <v>15047</v>
      </c>
      <c r="AI4045" s="87" t="b">
        <v>0</v>
      </c>
      <c r="AJ4045" s="87"/>
      <c r="AK4045" s="87"/>
      <c r="AL4045" s="87"/>
      <c r="AM4045" s="87"/>
      <c r="AN4045" s="87"/>
      <c r="AO4045" s="87"/>
      <c r="AP4045" s="87"/>
      <c r="AQ4045" s="87" t="s">
        <v>18155</v>
      </c>
      <c r="AR4045" s="87"/>
      <c r="AS4045" s="87"/>
      <c r="AT4045" s="87"/>
      <c r="AU4045" s="87"/>
      <c r="AV4045" s="92" t="str">
        <f>HYPERLINK("https://pbs.twimg.com/media/F1ez7JXWwAEd73x.jpg")</f>
        <v>https://pbs.twimg.com/media/F1ez7JXWwAEd73x.jpg</v>
      </c>
      <c r="AW4045" s="93" t="s">
        <v>22145</v>
      </c>
      <c r="AX4045" s="93" t="s">
        <v>22145</v>
      </c>
      <c r="AY4045" s="87"/>
      <c r="AZ4045" s="93" t="s">
        <v>22668</v>
      </c>
      <c r="BA4045" s="93" t="s">
        <v>22668</v>
      </c>
      <c r="BB4045" s="93" t="s">
        <v>22668</v>
      </c>
      <c r="BC4045" s="93" t="s">
        <v>22145</v>
      </c>
      <c r="BD4045" s="93" t="s">
        <v>23573</v>
      </c>
      <c r="BE4045" s="87"/>
      <c r="BF4045" s="87"/>
      <c r="BG4045" s="87"/>
      <c r="BH4045" s="87"/>
      <c r="BI4045" s="87"/>
    </row>
    <row r="4046" spans="1:61" x14ac:dyDescent="0.25">
      <c r="A4046" s="63" t="s">
        <v>1563</v>
      </c>
      <c r="B4046" s="63" t="s">
        <v>1563</v>
      </c>
      <c r="C4046" s="64"/>
      <c r="D4046" s="65"/>
      <c r="E4046" s="66"/>
      <c r="F4046" s="67"/>
      <c r="G4046" s="64"/>
      <c r="H4046" s="68"/>
      <c r="I4046" s="69"/>
      <c r="J4046" s="69"/>
      <c r="K4046" s="32"/>
      <c r="L4046" s="76">
        <v>4046</v>
      </c>
      <c r="M4046" s="76"/>
      <c r="N4046" s="71"/>
      <c r="O4046" s="87" t="s">
        <v>179</v>
      </c>
      <c r="P4046" s="90">
        <v>45120.627500000002</v>
      </c>
      <c r="Q4046" s="87" t="s">
        <v>5689</v>
      </c>
      <c r="R4046" s="87">
        <v>0</v>
      </c>
      <c r="S4046" s="87">
        <v>0</v>
      </c>
      <c r="T4046" s="87">
        <v>0</v>
      </c>
      <c r="U4046" s="87">
        <v>0</v>
      </c>
      <c r="V4046" s="87">
        <v>9</v>
      </c>
      <c r="W4046" s="93" t="s">
        <v>8237</v>
      </c>
      <c r="X4046" s="92" t="str">
        <f>HYPERLINK("https://www.belemnegocios.com/post/exposicao-traz-a-belem-industrias-nacionais-e-importadoras-saiba-como-participar")</f>
        <v>https://www.belemnegocios.com/post/exposicao-traz-a-belem-industrias-nacionais-e-importadoras-saiba-como-participar</v>
      </c>
      <c r="Y4046" s="87" t="s">
        <v>8558</v>
      </c>
      <c r="Z4046" s="87"/>
      <c r="AA4046" s="87"/>
      <c r="AB4046" s="87"/>
      <c r="AC4046" s="93" t="s">
        <v>11457</v>
      </c>
      <c r="AD4046" s="87" t="s">
        <v>11519</v>
      </c>
      <c r="AE4046" s="92" t="str">
        <f>HYPERLINK("https://twitter.com/negociosbelem/status/1679506872590581761")</f>
        <v>https://twitter.com/negociosbelem/status/1679506872590581761</v>
      </c>
      <c r="AF4046" s="90">
        <v>45120.627500000002</v>
      </c>
      <c r="AG4046" s="99">
        <v>45120</v>
      </c>
      <c r="AH4046" s="93" t="s">
        <v>13473</v>
      </c>
      <c r="AI4046" s="87" t="b">
        <v>0</v>
      </c>
      <c r="AJ4046" s="87"/>
      <c r="AK4046" s="87"/>
      <c r="AL4046" s="87"/>
      <c r="AM4046" s="87"/>
      <c r="AN4046" s="87"/>
      <c r="AO4046" s="87"/>
      <c r="AP4046" s="87"/>
      <c r="AQ4046" s="87"/>
      <c r="AR4046" s="87"/>
      <c r="AS4046" s="87"/>
      <c r="AT4046" s="87"/>
      <c r="AU4046" s="87"/>
      <c r="AV4046" s="92" t="str">
        <f>HYPERLINK("https://pbs.twimg.com/profile_images/1438314498885050368/iPJBkUlM_normal.jpg")</f>
        <v>https://pbs.twimg.com/profile_images/1438314498885050368/iPJBkUlM_normal.jpg</v>
      </c>
      <c r="AW4046" s="93" t="s">
        <v>22146</v>
      </c>
      <c r="AX4046" s="93" t="s">
        <v>22146</v>
      </c>
      <c r="AY4046" s="87"/>
      <c r="AZ4046" s="93" t="s">
        <v>22668</v>
      </c>
      <c r="BA4046" s="93" t="s">
        <v>22668</v>
      </c>
      <c r="BB4046" s="93" t="s">
        <v>22668</v>
      </c>
      <c r="BC4046" s="93" t="s">
        <v>22146</v>
      </c>
      <c r="BD4046" s="93" t="s">
        <v>23573</v>
      </c>
      <c r="BE4046" s="87"/>
      <c r="BF4046" s="87"/>
      <c r="BG4046" s="87"/>
      <c r="BH4046" s="87"/>
      <c r="BI4046" s="87"/>
    </row>
    <row r="4047" spans="1:61" x14ac:dyDescent="0.25">
      <c r="A4047" s="63" t="s">
        <v>1563</v>
      </c>
      <c r="B4047" s="63" t="s">
        <v>1563</v>
      </c>
      <c r="C4047" s="64"/>
      <c r="D4047" s="65"/>
      <c r="E4047" s="66"/>
      <c r="F4047" s="67"/>
      <c r="G4047" s="64"/>
      <c r="H4047" s="68"/>
      <c r="I4047" s="69"/>
      <c r="J4047" s="69"/>
      <c r="K4047" s="32"/>
      <c r="L4047" s="76">
        <v>4047</v>
      </c>
      <c r="M4047" s="76"/>
      <c r="N4047" s="71"/>
      <c r="O4047" s="87" t="s">
        <v>179</v>
      </c>
      <c r="P4047" s="90">
        <v>45125.688032407408</v>
      </c>
      <c r="Q4047" s="87" t="s">
        <v>5690</v>
      </c>
      <c r="R4047" s="87">
        <v>0</v>
      </c>
      <c r="S4047" s="87">
        <v>0</v>
      </c>
      <c r="T4047" s="87">
        <v>0</v>
      </c>
      <c r="U4047" s="87">
        <v>0</v>
      </c>
      <c r="V4047" s="87">
        <v>11</v>
      </c>
      <c r="W4047" s="93" t="s">
        <v>8238</v>
      </c>
      <c r="X4047" s="92" t="str">
        <f>HYPERLINK("https://www.belemnegocios.com/post/exposicao-de-produtos-regionais-vai-acontecer-dia-26-de-julho-em-belem")</f>
        <v>https://www.belemnegocios.com/post/exposicao-de-produtos-regionais-vai-acontecer-dia-26-de-julho-em-belem</v>
      </c>
      <c r="Y4047" s="87" t="s">
        <v>8558</v>
      </c>
      <c r="Z4047" s="87"/>
      <c r="AA4047" s="87" t="s">
        <v>11344</v>
      </c>
      <c r="AB4047" s="87" t="s">
        <v>11448</v>
      </c>
      <c r="AC4047" s="93" t="s">
        <v>11457</v>
      </c>
      <c r="AD4047" s="87" t="s">
        <v>11519</v>
      </c>
      <c r="AE4047" s="92" t="str">
        <f>HYPERLINK("https://twitter.com/negociosbelem/status/1681340748262768640")</f>
        <v>https://twitter.com/negociosbelem/status/1681340748262768640</v>
      </c>
      <c r="AF4047" s="90">
        <v>45125.688032407408</v>
      </c>
      <c r="AG4047" s="99">
        <v>45125</v>
      </c>
      <c r="AH4047" s="93" t="s">
        <v>15048</v>
      </c>
      <c r="AI4047" s="87" t="b">
        <v>0</v>
      </c>
      <c r="AJ4047" s="87"/>
      <c r="AK4047" s="87"/>
      <c r="AL4047" s="87"/>
      <c r="AM4047" s="87"/>
      <c r="AN4047" s="87"/>
      <c r="AO4047" s="87"/>
      <c r="AP4047" s="87"/>
      <c r="AQ4047" s="87" t="s">
        <v>18156</v>
      </c>
      <c r="AR4047" s="87"/>
      <c r="AS4047" s="87"/>
      <c r="AT4047" s="87"/>
      <c r="AU4047" s="87"/>
      <c r="AV4047" s="92" t="str">
        <f>HYPERLINK("https://pbs.twimg.com/media/F1VSaqKXwAsdSCy.jpg")</f>
        <v>https://pbs.twimg.com/media/F1VSaqKXwAsdSCy.jpg</v>
      </c>
      <c r="AW4047" s="93" t="s">
        <v>22147</v>
      </c>
      <c r="AX4047" s="93" t="s">
        <v>22147</v>
      </c>
      <c r="AY4047" s="87"/>
      <c r="AZ4047" s="93" t="s">
        <v>22668</v>
      </c>
      <c r="BA4047" s="93" t="s">
        <v>22668</v>
      </c>
      <c r="BB4047" s="93" t="s">
        <v>22668</v>
      </c>
      <c r="BC4047" s="93" t="s">
        <v>22147</v>
      </c>
      <c r="BD4047" s="93" t="s">
        <v>23573</v>
      </c>
      <c r="BE4047" s="87"/>
      <c r="BF4047" s="87"/>
      <c r="BG4047" s="87"/>
      <c r="BH4047" s="87"/>
      <c r="BI4047" s="87"/>
    </row>
    <row r="4048" spans="1:61" x14ac:dyDescent="0.25">
      <c r="A4048" s="63" t="s">
        <v>1564</v>
      </c>
      <c r="B4048" s="63" t="s">
        <v>1564</v>
      </c>
      <c r="C4048" s="64"/>
      <c r="D4048" s="65"/>
      <c r="E4048" s="66"/>
      <c r="F4048" s="67"/>
      <c r="G4048" s="64"/>
      <c r="H4048" s="68"/>
      <c r="I4048" s="69"/>
      <c r="J4048" s="69"/>
      <c r="K4048" s="32"/>
      <c r="L4048" s="76">
        <v>4048</v>
      </c>
      <c r="M4048" s="76"/>
      <c r="N4048" s="71"/>
      <c r="O4048" s="87" t="s">
        <v>179</v>
      </c>
      <c r="P4048" s="90">
        <v>45182.898831018516</v>
      </c>
      <c r="Q4048" s="87" t="s">
        <v>5691</v>
      </c>
      <c r="R4048" s="87">
        <v>0</v>
      </c>
      <c r="S4048" s="87">
        <v>0</v>
      </c>
      <c r="T4048" s="87">
        <v>0</v>
      </c>
      <c r="U4048" s="87">
        <v>0</v>
      </c>
      <c r="V4048" s="87">
        <v>11</v>
      </c>
      <c r="W4048" s="93" t="s">
        <v>8239</v>
      </c>
      <c r="X4048" s="87"/>
      <c r="Y4048" s="87"/>
      <c r="Z4048" s="87"/>
      <c r="AA4048" s="87" t="s">
        <v>11345</v>
      </c>
      <c r="AB4048" s="87" t="s">
        <v>11447</v>
      </c>
      <c r="AC4048" s="93" t="s">
        <v>11459</v>
      </c>
      <c r="AD4048" s="87" t="s">
        <v>11519</v>
      </c>
      <c r="AE4048" s="92" t="str">
        <f>HYPERLINK("https://twitter.com/adrigomezconsul/status/1702073247490097564")</f>
        <v>https://twitter.com/adrigomezconsul/status/1702073247490097564</v>
      </c>
      <c r="AF4048" s="90">
        <v>45182.898831018516</v>
      </c>
      <c r="AG4048" s="99">
        <v>45182</v>
      </c>
      <c r="AH4048" s="93" t="s">
        <v>15049</v>
      </c>
      <c r="AI4048" s="87" t="b">
        <v>0</v>
      </c>
      <c r="AJ4048" s="87"/>
      <c r="AK4048" s="87"/>
      <c r="AL4048" s="87"/>
      <c r="AM4048" s="87"/>
      <c r="AN4048" s="87"/>
      <c r="AO4048" s="87"/>
      <c r="AP4048" s="87"/>
      <c r="AQ4048" s="87" t="s">
        <v>18157</v>
      </c>
      <c r="AR4048" s="87">
        <v>44936</v>
      </c>
      <c r="AS4048" s="87"/>
      <c r="AT4048" s="87"/>
      <c r="AU4048" s="87"/>
      <c r="AV4048" s="92" t="str">
        <f>HYPERLINK("https://pbs.twimg.com/ext_tw_video_thumb/1702073154452000768/pu/img/v7ncTeQ8GmGFKyqM.jpg")</f>
        <v>https://pbs.twimg.com/ext_tw_video_thumb/1702073154452000768/pu/img/v7ncTeQ8GmGFKyqM.jpg</v>
      </c>
      <c r="AW4048" s="93" t="s">
        <v>22148</v>
      </c>
      <c r="AX4048" s="93" t="s">
        <v>22148</v>
      </c>
      <c r="AY4048" s="87"/>
      <c r="AZ4048" s="93" t="s">
        <v>22668</v>
      </c>
      <c r="BA4048" s="93" t="s">
        <v>22668</v>
      </c>
      <c r="BB4048" s="93" t="s">
        <v>22668</v>
      </c>
      <c r="BC4048" s="93" t="s">
        <v>22148</v>
      </c>
      <c r="BD4048" s="93" t="s">
        <v>23574</v>
      </c>
      <c r="BE4048" s="87"/>
      <c r="BF4048" s="87"/>
      <c r="BG4048" s="87"/>
      <c r="BH4048" s="87"/>
      <c r="BI4048" s="87"/>
    </row>
    <row r="4049" spans="1:61" x14ac:dyDescent="0.25">
      <c r="A4049" s="63" t="s">
        <v>1565</v>
      </c>
      <c r="B4049" s="63" t="s">
        <v>1565</v>
      </c>
      <c r="C4049" s="64"/>
      <c r="D4049" s="65"/>
      <c r="E4049" s="66"/>
      <c r="F4049" s="67"/>
      <c r="G4049" s="64"/>
      <c r="H4049" s="68"/>
      <c r="I4049" s="69"/>
      <c r="J4049" s="69"/>
      <c r="K4049" s="32"/>
      <c r="L4049" s="76">
        <v>4049</v>
      </c>
      <c r="M4049" s="76"/>
      <c r="N4049" s="71"/>
      <c r="O4049" s="87" t="s">
        <v>179</v>
      </c>
      <c r="P4049" s="90">
        <v>45189.115787037037</v>
      </c>
      <c r="Q4049" s="87" t="s">
        <v>5692</v>
      </c>
      <c r="R4049" s="87">
        <v>0</v>
      </c>
      <c r="S4049" s="87">
        <v>0</v>
      </c>
      <c r="T4049" s="87">
        <v>0</v>
      </c>
      <c r="U4049" s="87">
        <v>0</v>
      </c>
      <c r="V4049" s="87">
        <v>7</v>
      </c>
      <c r="W4049" s="93" t="s">
        <v>8240</v>
      </c>
      <c r="X4049" s="92" t="str">
        <f>HYPERLINK("https://www.youtube.com/watch?v=BB5q-AjRQXk")</f>
        <v>https://www.youtube.com/watch?v=BB5q-AjRQXk</v>
      </c>
      <c r="Y4049" s="87" t="s">
        <v>8380</v>
      </c>
      <c r="Z4049" s="87"/>
      <c r="AA4049" s="87" t="s">
        <v>11346</v>
      </c>
      <c r="AB4049" s="87" t="s">
        <v>11448</v>
      </c>
      <c r="AC4049" s="93" t="s">
        <v>11457</v>
      </c>
      <c r="AD4049" s="87" t="s">
        <v>11519</v>
      </c>
      <c r="AE4049" s="92" t="str">
        <f>HYPERLINK("https://twitter.com/carloshoyoslde/status/1704326193451770263")</f>
        <v>https://twitter.com/carloshoyoslde/status/1704326193451770263</v>
      </c>
      <c r="AF4049" s="90">
        <v>45189.115787037037</v>
      </c>
      <c r="AG4049" s="99">
        <v>45189</v>
      </c>
      <c r="AH4049" s="93" t="s">
        <v>15050</v>
      </c>
      <c r="AI4049" s="87" t="b">
        <v>0</v>
      </c>
      <c r="AJ4049" s="87"/>
      <c r="AK4049" s="87"/>
      <c r="AL4049" s="87"/>
      <c r="AM4049" s="87"/>
      <c r="AN4049" s="87"/>
      <c r="AO4049" s="87"/>
      <c r="AP4049" s="87"/>
      <c r="AQ4049" s="87" t="s">
        <v>18158</v>
      </c>
      <c r="AR4049" s="87"/>
      <c r="AS4049" s="87"/>
      <c r="AT4049" s="87"/>
      <c r="AU4049" s="87"/>
      <c r="AV4049" s="92" t="str">
        <f>HYPERLINK("https://pbs.twimg.com/media/F6b7kQYXQAAKkE6.jpg")</f>
        <v>https://pbs.twimg.com/media/F6b7kQYXQAAKkE6.jpg</v>
      </c>
      <c r="AW4049" s="93" t="s">
        <v>22149</v>
      </c>
      <c r="AX4049" s="93" t="s">
        <v>22149</v>
      </c>
      <c r="AY4049" s="87"/>
      <c r="AZ4049" s="93" t="s">
        <v>22668</v>
      </c>
      <c r="BA4049" s="93" t="s">
        <v>22668</v>
      </c>
      <c r="BB4049" s="93" t="s">
        <v>22668</v>
      </c>
      <c r="BC4049" s="93" t="s">
        <v>22149</v>
      </c>
      <c r="BD4049" s="87">
        <v>26586891</v>
      </c>
      <c r="BE4049" s="87"/>
      <c r="BF4049" s="87"/>
      <c r="BG4049" s="87"/>
      <c r="BH4049" s="87"/>
      <c r="BI4049" s="87"/>
    </row>
    <row r="4050" spans="1:61" x14ac:dyDescent="0.25">
      <c r="A4050" s="63" t="s">
        <v>1565</v>
      </c>
      <c r="B4050" s="63" t="s">
        <v>1565</v>
      </c>
      <c r="C4050" s="64"/>
      <c r="D4050" s="65"/>
      <c r="E4050" s="66"/>
      <c r="F4050" s="67"/>
      <c r="G4050" s="64"/>
      <c r="H4050" s="68"/>
      <c r="I4050" s="69"/>
      <c r="J4050" s="69"/>
      <c r="K4050" s="32"/>
      <c r="L4050" s="76">
        <v>4050</v>
      </c>
      <c r="M4050" s="76"/>
      <c r="N4050" s="71"/>
      <c r="O4050" s="87" t="s">
        <v>179</v>
      </c>
      <c r="P4050" s="90">
        <v>45193.120381944442</v>
      </c>
      <c r="Q4050" s="87" t="s">
        <v>5693</v>
      </c>
      <c r="R4050" s="87">
        <v>0</v>
      </c>
      <c r="S4050" s="87">
        <v>1</v>
      </c>
      <c r="T4050" s="87">
        <v>0</v>
      </c>
      <c r="U4050" s="87">
        <v>0</v>
      </c>
      <c r="V4050" s="87">
        <v>7</v>
      </c>
      <c r="W4050" s="93" t="s">
        <v>8241</v>
      </c>
      <c r="X4050" s="92" t="str">
        <f>HYPERLINK("https://www.youtube.com/watch?v=F109I5BG07E")</f>
        <v>https://www.youtube.com/watch?v=F109I5BG07E</v>
      </c>
      <c r="Y4050" s="87" t="s">
        <v>8380</v>
      </c>
      <c r="Z4050" s="87"/>
      <c r="AA4050" s="87"/>
      <c r="AB4050" s="87"/>
      <c r="AC4050" s="93" t="s">
        <v>11457</v>
      </c>
      <c r="AD4050" s="87" t="s">
        <v>11519</v>
      </c>
      <c r="AE4050" s="92" t="str">
        <f>HYPERLINK("https://twitter.com/carloshoyoslde/status/1705777414096195608")</f>
        <v>https://twitter.com/carloshoyoslde/status/1705777414096195608</v>
      </c>
      <c r="AF4050" s="90">
        <v>45193.120381944442</v>
      </c>
      <c r="AG4050" s="99">
        <v>45193</v>
      </c>
      <c r="AH4050" s="93" t="s">
        <v>15051</v>
      </c>
      <c r="AI4050" s="87" t="b">
        <v>0</v>
      </c>
      <c r="AJ4050" s="87"/>
      <c r="AK4050" s="87"/>
      <c r="AL4050" s="87"/>
      <c r="AM4050" s="87"/>
      <c r="AN4050" s="87"/>
      <c r="AO4050" s="87"/>
      <c r="AP4050" s="87"/>
      <c r="AQ4050" s="87"/>
      <c r="AR4050" s="87"/>
      <c r="AS4050" s="87"/>
      <c r="AT4050" s="87"/>
      <c r="AU4050" s="87"/>
      <c r="AV4050" s="92" t="str">
        <f>HYPERLINK("https://pbs.twimg.com/profile_images/1650840619957272576/rogzJWpR_normal.jpg")</f>
        <v>https://pbs.twimg.com/profile_images/1650840619957272576/rogzJWpR_normal.jpg</v>
      </c>
      <c r="AW4050" s="93" t="s">
        <v>22150</v>
      </c>
      <c r="AX4050" s="93" t="s">
        <v>22150</v>
      </c>
      <c r="AY4050" s="87"/>
      <c r="AZ4050" s="93" t="s">
        <v>22668</v>
      </c>
      <c r="BA4050" s="93" t="s">
        <v>22668</v>
      </c>
      <c r="BB4050" s="93" t="s">
        <v>22668</v>
      </c>
      <c r="BC4050" s="93" t="s">
        <v>22150</v>
      </c>
      <c r="BD4050" s="87">
        <v>26586891</v>
      </c>
      <c r="BE4050" s="87"/>
      <c r="BF4050" s="87"/>
      <c r="BG4050" s="87"/>
      <c r="BH4050" s="87"/>
      <c r="BI4050" s="87"/>
    </row>
    <row r="4051" spans="1:61" x14ac:dyDescent="0.25">
      <c r="A4051" s="63" t="s">
        <v>1566</v>
      </c>
      <c r="B4051" s="63" t="s">
        <v>1835</v>
      </c>
      <c r="C4051" s="64"/>
      <c r="D4051" s="65"/>
      <c r="E4051" s="66"/>
      <c r="F4051" s="67"/>
      <c r="G4051" s="64"/>
      <c r="H4051" s="68"/>
      <c r="I4051" s="69"/>
      <c r="J4051" s="69"/>
      <c r="K4051" s="32"/>
      <c r="L4051" s="76">
        <v>4051</v>
      </c>
      <c r="M4051" s="76"/>
      <c r="N4051" s="71"/>
      <c r="O4051" s="87" t="s">
        <v>1839</v>
      </c>
      <c r="P4051" s="90">
        <v>45118.494687500002</v>
      </c>
      <c r="Q4051" s="87" t="s">
        <v>5694</v>
      </c>
      <c r="R4051" s="87">
        <v>0</v>
      </c>
      <c r="S4051" s="87">
        <v>0</v>
      </c>
      <c r="T4051" s="87">
        <v>0</v>
      </c>
      <c r="U4051" s="87">
        <v>0</v>
      </c>
      <c r="V4051" s="87">
        <v>56</v>
      </c>
      <c r="W4051" s="93" t="s">
        <v>8242</v>
      </c>
      <c r="X4051" s="87"/>
      <c r="Y4051" s="87"/>
      <c r="Z4051" s="87" t="s">
        <v>1835</v>
      </c>
      <c r="AA4051" s="87" t="s">
        <v>11347</v>
      </c>
      <c r="AB4051" s="87" t="s">
        <v>11447</v>
      </c>
      <c r="AC4051" s="93" t="s">
        <v>11458</v>
      </c>
      <c r="AD4051" s="87" t="s">
        <v>11519</v>
      </c>
      <c r="AE4051" s="92" t="str">
        <f>HYPERLINK("https://twitter.com/galerapod/status/1678733964452720640")</f>
        <v>https://twitter.com/galerapod/status/1678733964452720640</v>
      </c>
      <c r="AF4051" s="90">
        <v>45118.494687500002</v>
      </c>
      <c r="AG4051" s="99">
        <v>45118</v>
      </c>
      <c r="AH4051" s="93" t="s">
        <v>15052</v>
      </c>
      <c r="AI4051" s="87" t="b">
        <v>0</v>
      </c>
      <c r="AJ4051" s="87"/>
      <c r="AK4051" s="87"/>
      <c r="AL4051" s="87"/>
      <c r="AM4051" s="87"/>
      <c r="AN4051" s="87"/>
      <c r="AO4051" s="87"/>
      <c r="AP4051" s="87"/>
      <c r="AQ4051" s="87" t="s">
        <v>18159</v>
      </c>
      <c r="AR4051" s="87">
        <v>45000</v>
      </c>
      <c r="AS4051" s="87"/>
      <c r="AT4051" s="87"/>
      <c r="AU4051" s="87"/>
      <c r="AV4051" s="92" t="str">
        <f>HYPERLINK("https://pbs.twimg.com/ext_tw_video_thumb/1678733892264534023/pu/img/FyZwt9-b3WO8FPtb.jpg")</f>
        <v>https://pbs.twimg.com/ext_tw_video_thumb/1678733892264534023/pu/img/FyZwt9-b3WO8FPtb.jpg</v>
      </c>
      <c r="AW4051" s="93" t="s">
        <v>22151</v>
      </c>
      <c r="AX4051" s="93" t="s">
        <v>22151</v>
      </c>
      <c r="AY4051" s="87"/>
      <c r="AZ4051" s="93" t="s">
        <v>22668</v>
      </c>
      <c r="BA4051" s="93" t="s">
        <v>22668</v>
      </c>
      <c r="BB4051" s="93" t="s">
        <v>22668</v>
      </c>
      <c r="BC4051" s="93" t="s">
        <v>22151</v>
      </c>
      <c r="BD4051" s="93" t="s">
        <v>23575</v>
      </c>
      <c r="BE4051" s="87"/>
      <c r="BF4051" s="87"/>
      <c r="BG4051" s="87"/>
      <c r="BH4051" s="87"/>
      <c r="BI4051" s="87"/>
    </row>
    <row r="4052" spans="1:61" x14ac:dyDescent="0.25">
      <c r="A4052" s="63" t="s">
        <v>1567</v>
      </c>
      <c r="B4052" s="63" t="s">
        <v>1567</v>
      </c>
      <c r="C4052" s="64"/>
      <c r="D4052" s="65"/>
      <c r="E4052" s="66"/>
      <c r="F4052" s="67"/>
      <c r="G4052" s="64"/>
      <c r="H4052" s="68"/>
      <c r="I4052" s="69"/>
      <c r="J4052" s="69"/>
      <c r="K4052" s="32"/>
      <c r="L4052" s="76">
        <v>4052</v>
      </c>
      <c r="M4052" s="76"/>
      <c r="N4052" s="71"/>
      <c r="O4052" s="87" t="s">
        <v>179</v>
      </c>
      <c r="P4052" s="90">
        <v>45126.489722222221</v>
      </c>
      <c r="Q4052" s="87" t="s">
        <v>5695</v>
      </c>
      <c r="R4052" s="87">
        <v>0</v>
      </c>
      <c r="S4052" s="87">
        <v>5</v>
      </c>
      <c r="T4052" s="87">
        <v>0</v>
      </c>
      <c r="U4052" s="87">
        <v>0</v>
      </c>
      <c r="V4052" s="87">
        <v>7</v>
      </c>
      <c r="W4052" s="93" t="s">
        <v>8243</v>
      </c>
      <c r="X4052" s="87"/>
      <c r="Y4052" s="87"/>
      <c r="Z4052" s="87"/>
      <c r="AA4052" s="87" t="s">
        <v>11348</v>
      </c>
      <c r="AB4052" s="87" t="s">
        <v>11448</v>
      </c>
      <c r="AC4052" s="93" t="s">
        <v>11457</v>
      </c>
      <c r="AD4052" s="87" t="s">
        <v>11520</v>
      </c>
      <c r="AE4052" s="92" t="str">
        <f>HYPERLINK("https://twitter.com/radeon87449/status/1681631267790655489")</f>
        <v>https://twitter.com/radeon87449/status/1681631267790655489</v>
      </c>
      <c r="AF4052" s="90">
        <v>45126.489722222221</v>
      </c>
      <c r="AG4052" s="99">
        <v>45126</v>
      </c>
      <c r="AH4052" s="93" t="s">
        <v>15053</v>
      </c>
      <c r="AI4052" s="87" t="b">
        <v>0</v>
      </c>
      <c r="AJ4052" s="87"/>
      <c r="AK4052" s="87"/>
      <c r="AL4052" s="87"/>
      <c r="AM4052" s="87"/>
      <c r="AN4052" s="87"/>
      <c r="AO4052" s="87"/>
      <c r="AP4052" s="87"/>
      <c r="AQ4052" s="87" t="s">
        <v>18160</v>
      </c>
      <c r="AR4052" s="87"/>
      <c r="AS4052" s="87"/>
      <c r="AT4052" s="87"/>
      <c r="AU4052" s="87"/>
      <c r="AV4052" s="92" t="str">
        <f>HYPERLINK("https://pbs.twimg.com/media/F1Zat1naIAE2iTY.jpg")</f>
        <v>https://pbs.twimg.com/media/F1Zat1naIAE2iTY.jpg</v>
      </c>
      <c r="AW4052" s="93" t="s">
        <v>22152</v>
      </c>
      <c r="AX4052" s="93" t="s">
        <v>22152</v>
      </c>
      <c r="AY4052" s="87"/>
      <c r="AZ4052" s="93" t="s">
        <v>22668</v>
      </c>
      <c r="BA4052" s="93" t="s">
        <v>22668</v>
      </c>
      <c r="BB4052" s="93" t="s">
        <v>22668</v>
      </c>
      <c r="BC4052" s="93" t="s">
        <v>22152</v>
      </c>
      <c r="BD4052" s="93" t="s">
        <v>23576</v>
      </c>
      <c r="BE4052" s="87"/>
      <c r="BF4052" s="87"/>
      <c r="BG4052" s="87"/>
      <c r="BH4052" s="87"/>
      <c r="BI4052" s="87"/>
    </row>
    <row r="4053" spans="1:61" x14ac:dyDescent="0.25">
      <c r="A4053" s="63" t="s">
        <v>1567</v>
      </c>
      <c r="B4053" s="63" t="s">
        <v>1567</v>
      </c>
      <c r="C4053" s="64"/>
      <c r="D4053" s="65"/>
      <c r="E4053" s="66"/>
      <c r="F4053" s="67"/>
      <c r="G4053" s="64"/>
      <c r="H4053" s="68"/>
      <c r="I4053" s="69"/>
      <c r="J4053" s="69"/>
      <c r="K4053" s="32"/>
      <c r="L4053" s="76">
        <v>4053</v>
      </c>
      <c r="M4053" s="76"/>
      <c r="N4053" s="71"/>
      <c r="O4053" s="87" t="s">
        <v>179</v>
      </c>
      <c r="P4053" s="90">
        <v>45125.503067129626</v>
      </c>
      <c r="Q4053" s="87" t="s">
        <v>5696</v>
      </c>
      <c r="R4053" s="87">
        <v>0</v>
      </c>
      <c r="S4053" s="87">
        <v>5</v>
      </c>
      <c r="T4053" s="87">
        <v>0</v>
      </c>
      <c r="U4053" s="87">
        <v>0</v>
      </c>
      <c r="V4053" s="87">
        <v>9</v>
      </c>
      <c r="W4053" s="93" t="s">
        <v>8243</v>
      </c>
      <c r="X4053" s="87"/>
      <c r="Y4053" s="87"/>
      <c r="Z4053" s="87"/>
      <c r="AA4053" s="87" t="s">
        <v>11349</v>
      </c>
      <c r="AB4053" s="87" t="s">
        <v>11448</v>
      </c>
      <c r="AC4053" s="93" t="s">
        <v>11457</v>
      </c>
      <c r="AD4053" s="87" t="s">
        <v>11520</v>
      </c>
      <c r="AE4053" s="92" t="str">
        <f>HYPERLINK("https://twitter.com/radeon87449/status/1681273719635816449")</f>
        <v>https://twitter.com/radeon87449/status/1681273719635816449</v>
      </c>
      <c r="AF4053" s="90">
        <v>45125.503067129626</v>
      </c>
      <c r="AG4053" s="99">
        <v>45125</v>
      </c>
      <c r="AH4053" s="93" t="s">
        <v>15054</v>
      </c>
      <c r="AI4053" s="87" t="b">
        <v>0</v>
      </c>
      <c r="AJ4053" s="87"/>
      <c r="AK4053" s="87"/>
      <c r="AL4053" s="87"/>
      <c r="AM4053" s="87"/>
      <c r="AN4053" s="87"/>
      <c r="AO4053" s="87"/>
      <c r="AP4053" s="87"/>
      <c r="AQ4053" s="87" t="s">
        <v>18161</v>
      </c>
      <c r="AR4053" s="87"/>
      <c r="AS4053" s="87"/>
      <c r="AT4053" s="87"/>
      <c r="AU4053" s="87"/>
      <c r="AV4053" s="92" t="str">
        <f>HYPERLINK("https://pbs.twimg.com/media/F1UVhuuaYAAOZtV.jpg")</f>
        <v>https://pbs.twimg.com/media/F1UVhuuaYAAOZtV.jpg</v>
      </c>
      <c r="AW4053" s="93" t="s">
        <v>22153</v>
      </c>
      <c r="AX4053" s="93" t="s">
        <v>22153</v>
      </c>
      <c r="AY4053" s="87"/>
      <c r="AZ4053" s="93" t="s">
        <v>22668</v>
      </c>
      <c r="BA4053" s="93" t="s">
        <v>22668</v>
      </c>
      <c r="BB4053" s="93" t="s">
        <v>22668</v>
      </c>
      <c r="BC4053" s="93" t="s">
        <v>22153</v>
      </c>
      <c r="BD4053" s="93" t="s">
        <v>23576</v>
      </c>
      <c r="BE4053" s="87"/>
      <c r="BF4053" s="87"/>
      <c r="BG4053" s="87"/>
      <c r="BH4053" s="87"/>
      <c r="BI4053" s="87"/>
    </row>
    <row r="4054" spans="1:61" x14ac:dyDescent="0.25">
      <c r="A4054" s="63" t="s">
        <v>1568</v>
      </c>
      <c r="B4054" s="63" t="s">
        <v>1568</v>
      </c>
      <c r="C4054" s="64"/>
      <c r="D4054" s="65"/>
      <c r="E4054" s="66"/>
      <c r="F4054" s="67"/>
      <c r="G4054" s="64"/>
      <c r="H4054" s="68"/>
      <c r="I4054" s="69"/>
      <c r="J4054" s="69"/>
      <c r="K4054" s="32"/>
      <c r="L4054" s="76">
        <v>4054</v>
      </c>
      <c r="M4054" s="76"/>
      <c r="N4054" s="71"/>
      <c r="O4054" s="87" t="s">
        <v>1840</v>
      </c>
      <c r="P4054" s="90">
        <v>45124.807824074072</v>
      </c>
      <c r="Q4054" s="87" t="s">
        <v>5697</v>
      </c>
      <c r="R4054" s="87">
        <v>0</v>
      </c>
      <c r="S4054" s="87">
        <v>0</v>
      </c>
      <c r="T4054" s="87">
        <v>0</v>
      </c>
      <c r="U4054" s="87">
        <v>0</v>
      </c>
      <c r="V4054" s="87">
        <v>59</v>
      </c>
      <c r="W4054" s="93" t="s">
        <v>8244</v>
      </c>
      <c r="X4054" s="87"/>
      <c r="Y4054" s="87"/>
      <c r="Z4054" s="87"/>
      <c r="AA4054" s="87"/>
      <c r="AB4054" s="87"/>
      <c r="AC4054" s="93" t="s">
        <v>11458</v>
      </c>
      <c r="AD4054" s="87" t="s">
        <v>11519</v>
      </c>
      <c r="AE4054" s="92" t="str">
        <f>HYPERLINK("https://twitter.com/tapajosdefato/status/1681021770189373440")</f>
        <v>https://twitter.com/tapajosdefato/status/1681021770189373440</v>
      </c>
      <c r="AF4054" s="90">
        <v>45124.807824074072</v>
      </c>
      <c r="AG4054" s="99">
        <v>45124</v>
      </c>
      <c r="AH4054" s="93" t="s">
        <v>15055</v>
      </c>
      <c r="AI4054" s="87"/>
      <c r="AJ4054" s="87"/>
      <c r="AK4054" s="87"/>
      <c r="AL4054" s="87"/>
      <c r="AM4054" s="87"/>
      <c r="AN4054" s="87"/>
      <c r="AO4054" s="87"/>
      <c r="AP4054" s="87"/>
      <c r="AQ4054" s="87"/>
      <c r="AR4054" s="87"/>
      <c r="AS4054" s="87"/>
      <c r="AT4054" s="87"/>
      <c r="AU4054" s="87"/>
      <c r="AV4054" s="92" t="str">
        <f>HYPERLINK("https://pbs.twimg.com/profile_images/1587543700649005065/jV-CIiQo_normal.jpg")</f>
        <v>https://pbs.twimg.com/profile_images/1587543700649005065/jV-CIiQo_normal.jpg</v>
      </c>
      <c r="AW4054" s="93" t="s">
        <v>22154</v>
      </c>
      <c r="AX4054" s="93" t="s">
        <v>22508</v>
      </c>
      <c r="AY4054" s="93" t="s">
        <v>22661</v>
      </c>
      <c r="AZ4054" s="93" t="s">
        <v>22784</v>
      </c>
      <c r="BA4054" s="93" t="s">
        <v>22668</v>
      </c>
      <c r="BB4054" s="93" t="s">
        <v>22668</v>
      </c>
      <c r="BC4054" s="93" t="s">
        <v>22784</v>
      </c>
      <c r="BD4054" s="93" t="s">
        <v>22661</v>
      </c>
      <c r="BE4054" s="87"/>
      <c r="BF4054" s="87"/>
      <c r="BG4054" s="87"/>
      <c r="BH4054" s="87"/>
      <c r="BI4054" s="87"/>
    </row>
    <row r="4055" spans="1:61" x14ac:dyDescent="0.25">
      <c r="A4055" s="63" t="s">
        <v>1569</v>
      </c>
      <c r="B4055" s="63" t="s">
        <v>1569</v>
      </c>
      <c r="C4055" s="64"/>
      <c r="D4055" s="65"/>
      <c r="E4055" s="66"/>
      <c r="F4055" s="67"/>
      <c r="G4055" s="64"/>
      <c r="H4055" s="68"/>
      <c r="I4055" s="69"/>
      <c r="J4055" s="69"/>
      <c r="K4055" s="32"/>
      <c r="L4055" s="76">
        <v>4055</v>
      </c>
      <c r="M4055" s="76"/>
      <c r="N4055" s="71"/>
      <c r="O4055" s="87" t="s">
        <v>179</v>
      </c>
      <c r="P4055" s="90">
        <v>45170.058182870373</v>
      </c>
      <c r="Q4055" s="87" t="s">
        <v>5698</v>
      </c>
      <c r="R4055" s="87">
        <v>0</v>
      </c>
      <c r="S4055" s="87">
        <v>0</v>
      </c>
      <c r="T4055" s="87">
        <v>0</v>
      </c>
      <c r="U4055" s="87">
        <v>0</v>
      </c>
      <c r="V4055" s="87">
        <v>5</v>
      </c>
      <c r="W4055" s="93" t="s">
        <v>8245</v>
      </c>
      <c r="X4055" s="92" t="str">
        <f>HYPERLINK("https://www.folhageral.com/?p=20718")</f>
        <v>https://www.folhageral.com/?p=20718</v>
      </c>
      <c r="Y4055" s="87" t="s">
        <v>8559</v>
      </c>
      <c r="Z4055" s="87"/>
      <c r="AA4055" s="87" t="s">
        <v>11350</v>
      </c>
      <c r="AB4055" s="87" t="s">
        <v>11448</v>
      </c>
      <c r="AC4055" s="93" t="s">
        <v>11457</v>
      </c>
      <c r="AD4055" s="87" t="s">
        <v>11519</v>
      </c>
      <c r="AE4055" s="92" t="str">
        <f>HYPERLINK("https://twitter.com/folhageral/status/1697419952435708090")</f>
        <v>https://twitter.com/folhageral/status/1697419952435708090</v>
      </c>
      <c r="AF4055" s="90">
        <v>45170.058182870373</v>
      </c>
      <c r="AG4055" s="99">
        <v>45170</v>
      </c>
      <c r="AH4055" s="93" t="s">
        <v>15056</v>
      </c>
      <c r="AI4055" s="87" t="b">
        <v>0</v>
      </c>
      <c r="AJ4055" s="87"/>
      <c r="AK4055" s="87"/>
      <c r="AL4055" s="87"/>
      <c r="AM4055" s="87"/>
      <c r="AN4055" s="87"/>
      <c r="AO4055" s="87"/>
      <c r="AP4055" s="87"/>
      <c r="AQ4055" s="87" t="s">
        <v>18162</v>
      </c>
      <c r="AR4055" s="87"/>
      <c r="AS4055" s="87"/>
      <c r="AT4055" s="87"/>
      <c r="AU4055" s="87"/>
      <c r="AV4055" s="92" t="str">
        <f>HYPERLINK("https://pbs.twimg.com/media/F45yciqXsAADjl9.jpg")</f>
        <v>https://pbs.twimg.com/media/F45yciqXsAADjl9.jpg</v>
      </c>
      <c r="AW4055" s="93" t="s">
        <v>22155</v>
      </c>
      <c r="AX4055" s="93" t="s">
        <v>22155</v>
      </c>
      <c r="AY4055" s="87"/>
      <c r="AZ4055" s="93" t="s">
        <v>22668</v>
      </c>
      <c r="BA4055" s="93" t="s">
        <v>22668</v>
      </c>
      <c r="BB4055" s="93" t="s">
        <v>22668</v>
      </c>
      <c r="BC4055" s="93" t="s">
        <v>22155</v>
      </c>
      <c r="BD4055" s="87">
        <v>1599687301</v>
      </c>
      <c r="BE4055" s="87"/>
      <c r="BF4055" s="87"/>
      <c r="BG4055" s="87"/>
      <c r="BH4055" s="87"/>
      <c r="BI4055" s="87"/>
    </row>
    <row r="4056" spans="1:61" x14ac:dyDescent="0.25">
      <c r="A4056" s="63" t="s">
        <v>1570</v>
      </c>
      <c r="B4056" s="63" t="s">
        <v>1624</v>
      </c>
      <c r="C4056" s="64"/>
      <c r="D4056" s="65"/>
      <c r="E4056" s="66"/>
      <c r="F4056" s="67"/>
      <c r="G4056" s="64"/>
      <c r="H4056" s="68"/>
      <c r="I4056" s="69"/>
      <c r="J4056" s="69"/>
      <c r="K4056" s="32"/>
      <c r="L4056" s="76">
        <v>4056</v>
      </c>
      <c r="M4056" s="76"/>
      <c r="N4056" s="71"/>
      <c r="O4056" s="87" t="s">
        <v>1839</v>
      </c>
      <c r="P4056" s="90">
        <v>45168.713275462964</v>
      </c>
      <c r="Q4056" s="87" t="s">
        <v>5699</v>
      </c>
      <c r="R4056" s="87">
        <v>0</v>
      </c>
      <c r="S4056" s="87">
        <v>0</v>
      </c>
      <c r="T4056" s="87">
        <v>0</v>
      </c>
      <c r="U4056" s="87">
        <v>0</v>
      </c>
      <c r="V4056" s="87">
        <v>13</v>
      </c>
      <c r="W4056" s="93" t="s">
        <v>8246</v>
      </c>
      <c r="X4056" s="92" t="str">
        <f>HYPERLINK("https://youtu.be/KMHaTBDmgH8?si=IBDZ5VbdmBMRr1t0")</f>
        <v>https://youtu.be/KMHaTBDmgH8?si=IBDZ5VbdmBMRr1t0</v>
      </c>
      <c r="Y4056" s="87" t="s">
        <v>8372</v>
      </c>
      <c r="Z4056" s="87" t="s">
        <v>1624</v>
      </c>
      <c r="AA4056" s="87"/>
      <c r="AB4056" s="87"/>
      <c r="AC4056" s="93" t="s">
        <v>11457</v>
      </c>
      <c r="AD4056" s="87" t="s">
        <v>11519</v>
      </c>
      <c r="AE4056" s="92" t="str">
        <f>HYPERLINK("https://twitter.com/filipeschitino/status/1696932574243725782")</f>
        <v>https://twitter.com/filipeschitino/status/1696932574243725782</v>
      </c>
      <c r="AF4056" s="90">
        <v>45168.713275462964</v>
      </c>
      <c r="AG4056" s="99">
        <v>45168</v>
      </c>
      <c r="AH4056" s="93" t="s">
        <v>15057</v>
      </c>
      <c r="AI4056" s="87" t="b">
        <v>0</v>
      </c>
      <c r="AJ4056" s="87"/>
      <c r="AK4056" s="87"/>
      <c r="AL4056" s="87"/>
      <c r="AM4056" s="87"/>
      <c r="AN4056" s="87"/>
      <c r="AO4056" s="87"/>
      <c r="AP4056" s="87"/>
      <c r="AQ4056" s="87"/>
      <c r="AR4056" s="87"/>
      <c r="AS4056" s="87"/>
      <c r="AT4056" s="87"/>
      <c r="AU4056" s="87"/>
      <c r="AV4056" s="92" t="str">
        <f>HYPERLINK("https://pbs.twimg.com/profile_images/1453429121464340481/7eqmsspV_normal.jpg")</f>
        <v>https://pbs.twimg.com/profile_images/1453429121464340481/7eqmsspV_normal.jpg</v>
      </c>
      <c r="AW4056" s="93" t="s">
        <v>22156</v>
      </c>
      <c r="AX4056" s="93" t="s">
        <v>22156</v>
      </c>
      <c r="AY4056" s="87"/>
      <c r="AZ4056" s="93" t="s">
        <v>22668</v>
      </c>
      <c r="BA4056" s="93" t="s">
        <v>22668</v>
      </c>
      <c r="BB4056" s="93" t="s">
        <v>22668</v>
      </c>
      <c r="BC4056" s="93" t="s">
        <v>22156</v>
      </c>
      <c r="BD4056" s="87">
        <v>116257567</v>
      </c>
      <c r="BE4056" s="87"/>
      <c r="BF4056" s="87"/>
      <c r="BG4056" s="87"/>
      <c r="BH4056" s="87"/>
      <c r="BI4056" s="87"/>
    </row>
    <row r="4057" spans="1:61" x14ac:dyDescent="0.25">
      <c r="A4057" s="63" t="s">
        <v>1570</v>
      </c>
      <c r="B4057" s="63" t="s">
        <v>1624</v>
      </c>
      <c r="C4057" s="64"/>
      <c r="D4057" s="65"/>
      <c r="E4057" s="66"/>
      <c r="F4057" s="67"/>
      <c r="G4057" s="64"/>
      <c r="H4057" s="68"/>
      <c r="I4057" s="69"/>
      <c r="J4057" s="69"/>
      <c r="K4057" s="32"/>
      <c r="L4057" s="76">
        <v>4057</v>
      </c>
      <c r="M4057" s="76"/>
      <c r="N4057" s="71"/>
      <c r="O4057" s="87" t="s">
        <v>1839</v>
      </c>
      <c r="P4057" s="90">
        <v>45168.024282407408</v>
      </c>
      <c r="Q4057" s="87" t="s">
        <v>5700</v>
      </c>
      <c r="R4057" s="87">
        <v>0</v>
      </c>
      <c r="S4057" s="87">
        <v>0</v>
      </c>
      <c r="T4057" s="87">
        <v>0</v>
      </c>
      <c r="U4057" s="87">
        <v>0</v>
      </c>
      <c r="V4057" s="87">
        <v>12</v>
      </c>
      <c r="W4057" s="93" t="s">
        <v>6555</v>
      </c>
      <c r="X4057" s="92" t="str">
        <f>HYPERLINK("https://youtu.be/YQyWhPst30Q?si=aY7aIOuMGSyx-H9s")</f>
        <v>https://youtu.be/YQyWhPst30Q?si=aY7aIOuMGSyx-H9s</v>
      </c>
      <c r="Y4057" s="87" t="s">
        <v>8372</v>
      </c>
      <c r="Z4057" s="87" t="s">
        <v>1624</v>
      </c>
      <c r="AA4057" s="87"/>
      <c r="AB4057" s="87"/>
      <c r="AC4057" s="93" t="s">
        <v>11457</v>
      </c>
      <c r="AD4057" s="87" t="s">
        <v>11519</v>
      </c>
      <c r="AE4057" s="92" t="str">
        <f>HYPERLINK("https://twitter.com/filipeschitino/status/1696682891772629276")</f>
        <v>https://twitter.com/filipeschitino/status/1696682891772629276</v>
      </c>
      <c r="AF4057" s="90">
        <v>45168.024282407408</v>
      </c>
      <c r="AG4057" s="99">
        <v>45168</v>
      </c>
      <c r="AH4057" s="93" t="s">
        <v>15058</v>
      </c>
      <c r="AI4057" s="87" t="b">
        <v>0</v>
      </c>
      <c r="AJ4057" s="87"/>
      <c r="AK4057" s="87"/>
      <c r="AL4057" s="87"/>
      <c r="AM4057" s="87"/>
      <c r="AN4057" s="87"/>
      <c r="AO4057" s="87"/>
      <c r="AP4057" s="87"/>
      <c r="AQ4057" s="87"/>
      <c r="AR4057" s="87"/>
      <c r="AS4057" s="87"/>
      <c r="AT4057" s="87"/>
      <c r="AU4057" s="87"/>
      <c r="AV4057" s="92" t="str">
        <f>HYPERLINK("https://pbs.twimg.com/profile_images/1453429121464340481/7eqmsspV_normal.jpg")</f>
        <v>https://pbs.twimg.com/profile_images/1453429121464340481/7eqmsspV_normal.jpg</v>
      </c>
      <c r="AW4057" s="93" t="s">
        <v>22157</v>
      </c>
      <c r="AX4057" s="93" t="s">
        <v>22157</v>
      </c>
      <c r="AY4057" s="87"/>
      <c r="AZ4057" s="93" t="s">
        <v>22668</v>
      </c>
      <c r="BA4057" s="93" t="s">
        <v>22668</v>
      </c>
      <c r="BB4057" s="93" t="s">
        <v>22668</v>
      </c>
      <c r="BC4057" s="93" t="s">
        <v>22157</v>
      </c>
      <c r="BD4057" s="87">
        <v>116257567</v>
      </c>
      <c r="BE4057" s="87"/>
      <c r="BF4057" s="87"/>
      <c r="BG4057" s="87"/>
      <c r="BH4057" s="87"/>
      <c r="BI4057" s="87"/>
    </row>
    <row r="4058" spans="1:61" x14ac:dyDescent="0.25">
      <c r="A4058" s="63" t="s">
        <v>1570</v>
      </c>
      <c r="B4058" s="63" t="s">
        <v>1624</v>
      </c>
      <c r="C4058" s="64"/>
      <c r="D4058" s="65"/>
      <c r="E4058" s="66"/>
      <c r="F4058" s="67"/>
      <c r="G4058" s="64"/>
      <c r="H4058" s="68"/>
      <c r="I4058" s="69"/>
      <c r="J4058" s="69"/>
      <c r="K4058" s="32"/>
      <c r="L4058" s="76">
        <v>4058</v>
      </c>
      <c r="M4058" s="76"/>
      <c r="N4058" s="71"/>
      <c r="O4058" s="87" t="s">
        <v>1839</v>
      </c>
      <c r="P4058" s="90">
        <v>45182.905659722222</v>
      </c>
      <c r="Q4058" s="87" t="s">
        <v>5701</v>
      </c>
      <c r="R4058" s="87">
        <v>0</v>
      </c>
      <c r="S4058" s="87">
        <v>0</v>
      </c>
      <c r="T4058" s="87">
        <v>0</v>
      </c>
      <c r="U4058" s="87">
        <v>0</v>
      </c>
      <c r="V4058" s="87">
        <v>14</v>
      </c>
      <c r="W4058" s="93" t="s">
        <v>8247</v>
      </c>
      <c r="X4058" s="92" t="str">
        <f>HYPERLINK("https://youtu.be/hr2bfkyM7mg?si=CjICd_8_kRk_gbsN")</f>
        <v>https://youtu.be/hr2bfkyM7mg?si=CjICd_8_kRk_gbsN</v>
      </c>
      <c r="Y4058" s="87" t="s">
        <v>8372</v>
      </c>
      <c r="Z4058" s="87" t="s">
        <v>1624</v>
      </c>
      <c r="AA4058" s="87"/>
      <c r="AB4058" s="87"/>
      <c r="AC4058" s="93" t="s">
        <v>11457</v>
      </c>
      <c r="AD4058" s="87" t="s">
        <v>11519</v>
      </c>
      <c r="AE4058" s="92" t="str">
        <f>HYPERLINK("https://twitter.com/filipeschitino/status/1702075721609282006")</f>
        <v>https://twitter.com/filipeschitino/status/1702075721609282006</v>
      </c>
      <c r="AF4058" s="90">
        <v>45182.905659722222</v>
      </c>
      <c r="AG4058" s="99">
        <v>45182</v>
      </c>
      <c r="AH4058" s="93" t="s">
        <v>15059</v>
      </c>
      <c r="AI4058" s="87" t="b">
        <v>0</v>
      </c>
      <c r="AJ4058" s="87"/>
      <c r="AK4058" s="87"/>
      <c r="AL4058" s="87"/>
      <c r="AM4058" s="87"/>
      <c r="AN4058" s="87"/>
      <c r="AO4058" s="87"/>
      <c r="AP4058" s="87"/>
      <c r="AQ4058" s="87"/>
      <c r="AR4058" s="87"/>
      <c r="AS4058" s="87"/>
      <c r="AT4058" s="87"/>
      <c r="AU4058" s="87"/>
      <c r="AV4058" s="92" t="str">
        <f>HYPERLINK("https://pbs.twimg.com/profile_images/1453429121464340481/7eqmsspV_normal.jpg")</f>
        <v>https://pbs.twimg.com/profile_images/1453429121464340481/7eqmsspV_normal.jpg</v>
      </c>
      <c r="AW4058" s="93" t="s">
        <v>22158</v>
      </c>
      <c r="AX4058" s="93" t="s">
        <v>22158</v>
      </c>
      <c r="AY4058" s="87"/>
      <c r="AZ4058" s="93" t="s">
        <v>22668</v>
      </c>
      <c r="BA4058" s="93" t="s">
        <v>22668</v>
      </c>
      <c r="BB4058" s="93" t="s">
        <v>22668</v>
      </c>
      <c r="BC4058" s="93" t="s">
        <v>22158</v>
      </c>
      <c r="BD4058" s="87">
        <v>116257567</v>
      </c>
      <c r="BE4058" s="87"/>
      <c r="BF4058" s="87"/>
      <c r="BG4058" s="87"/>
      <c r="BH4058" s="87"/>
      <c r="BI4058" s="87"/>
    </row>
    <row r="4059" spans="1:61" x14ac:dyDescent="0.25">
      <c r="A4059" s="63" t="s">
        <v>1570</v>
      </c>
      <c r="B4059" s="63" t="s">
        <v>1624</v>
      </c>
      <c r="C4059" s="64"/>
      <c r="D4059" s="65"/>
      <c r="E4059" s="66"/>
      <c r="F4059" s="67"/>
      <c r="G4059" s="64"/>
      <c r="H4059" s="68"/>
      <c r="I4059" s="69"/>
      <c r="J4059" s="69"/>
      <c r="K4059" s="32"/>
      <c r="L4059" s="76">
        <v>4059</v>
      </c>
      <c r="M4059" s="76"/>
      <c r="N4059" s="71"/>
      <c r="O4059" s="87" t="s">
        <v>1839</v>
      </c>
      <c r="P4059" s="90">
        <v>45176.07408564815</v>
      </c>
      <c r="Q4059" s="87" t="s">
        <v>5702</v>
      </c>
      <c r="R4059" s="87">
        <v>0</v>
      </c>
      <c r="S4059" s="87">
        <v>0</v>
      </c>
      <c r="T4059" s="87">
        <v>0</v>
      </c>
      <c r="U4059" s="87">
        <v>0</v>
      </c>
      <c r="V4059" s="87">
        <v>13</v>
      </c>
      <c r="W4059" s="93" t="s">
        <v>8248</v>
      </c>
      <c r="X4059" s="92" t="str">
        <f>HYPERLINK("https://youtu.be/6Ca7RkcltfA?si=8531WCW4iZgUFAED")</f>
        <v>https://youtu.be/6Ca7RkcltfA?si=8531WCW4iZgUFAED</v>
      </c>
      <c r="Y4059" s="87" t="s">
        <v>8372</v>
      </c>
      <c r="Z4059" s="87" t="s">
        <v>1624</v>
      </c>
      <c r="AA4059" s="87"/>
      <c r="AB4059" s="87"/>
      <c r="AC4059" s="93" t="s">
        <v>11457</v>
      </c>
      <c r="AD4059" s="87" t="s">
        <v>11519</v>
      </c>
      <c r="AE4059" s="92" t="str">
        <f>HYPERLINK("https://twitter.com/filipeschitino/status/1699600042372247666")</f>
        <v>https://twitter.com/filipeschitino/status/1699600042372247666</v>
      </c>
      <c r="AF4059" s="90">
        <v>45176.07408564815</v>
      </c>
      <c r="AG4059" s="99">
        <v>45176</v>
      </c>
      <c r="AH4059" s="93" t="s">
        <v>15060</v>
      </c>
      <c r="AI4059" s="87" t="b">
        <v>0</v>
      </c>
      <c r="AJ4059" s="87"/>
      <c r="AK4059" s="87"/>
      <c r="AL4059" s="87"/>
      <c r="AM4059" s="87"/>
      <c r="AN4059" s="87"/>
      <c r="AO4059" s="87"/>
      <c r="AP4059" s="87"/>
      <c r="AQ4059" s="87"/>
      <c r="AR4059" s="87"/>
      <c r="AS4059" s="87"/>
      <c r="AT4059" s="87"/>
      <c r="AU4059" s="87"/>
      <c r="AV4059" s="92" t="str">
        <f>HYPERLINK("https://pbs.twimg.com/profile_images/1453429121464340481/7eqmsspV_normal.jpg")</f>
        <v>https://pbs.twimg.com/profile_images/1453429121464340481/7eqmsspV_normal.jpg</v>
      </c>
      <c r="AW4059" s="93" t="s">
        <v>22159</v>
      </c>
      <c r="AX4059" s="93" t="s">
        <v>22159</v>
      </c>
      <c r="AY4059" s="87"/>
      <c r="AZ4059" s="93" t="s">
        <v>22668</v>
      </c>
      <c r="BA4059" s="93" t="s">
        <v>22668</v>
      </c>
      <c r="BB4059" s="93" t="s">
        <v>22668</v>
      </c>
      <c r="BC4059" s="93" t="s">
        <v>22159</v>
      </c>
      <c r="BD4059" s="87">
        <v>116257567</v>
      </c>
      <c r="BE4059" s="87"/>
      <c r="BF4059" s="87"/>
      <c r="BG4059" s="87"/>
      <c r="BH4059" s="87"/>
      <c r="BI4059" s="87"/>
    </row>
    <row r="4060" spans="1:61" x14ac:dyDescent="0.25">
      <c r="A4060" s="63" t="s">
        <v>1571</v>
      </c>
      <c r="B4060" s="63" t="s">
        <v>1571</v>
      </c>
      <c r="C4060" s="64"/>
      <c r="D4060" s="65"/>
      <c r="E4060" s="66"/>
      <c r="F4060" s="67"/>
      <c r="G4060" s="64"/>
      <c r="H4060" s="68"/>
      <c r="I4060" s="69"/>
      <c r="J4060" s="69"/>
      <c r="K4060" s="32"/>
      <c r="L4060" s="76">
        <v>4060</v>
      </c>
      <c r="M4060" s="76"/>
      <c r="N4060" s="71"/>
      <c r="O4060" s="87" t="s">
        <v>179</v>
      </c>
      <c r="P4060" s="90">
        <v>45149.082256944443</v>
      </c>
      <c r="Q4060" s="87" t="s">
        <v>5703</v>
      </c>
      <c r="R4060" s="87">
        <v>0</v>
      </c>
      <c r="S4060" s="87">
        <v>0</v>
      </c>
      <c r="T4060" s="87">
        <v>0</v>
      </c>
      <c r="U4060" s="87">
        <v>0</v>
      </c>
      <c r="V4060" s="87">
        <v>31</v>
      </c>
      <c r="W4060" s="93" t="s">
        <v>8249</v>
      </c>
      <c r="X4060" s="87"/>
      <c r="Y4060" s="87"/>
      <c r="Z4060" s="87"/>
      <c r="AA4060" s="87" t="s">
        <v>11351</v>
      </c>
      <c r="AB4060" s="87" t="s">
        <v>11447</v>
      </c>
      <c r="AC4060" s="93" t="s">
        <v>11459</v>
      </c>
      <c r="AD4060" s="87" t="s">
        <v>11519</v>
      </c>
      <c r="AE4060" s="92" t="str">
        <f>HYPERLINK("https://twitter.com/_zhenniq/status/1689818529673986049")</f>
        <v>https://twitter.com/_zhenniq/status/1689818529673986049</v>
      </c>
      <c r="AF4060" s="90">
        <v>45149.082256944443</v>
      </c>
      <c r="AG4060" s="99">
        <v>45149</v>
      </c>
      <c r="AH4060" s="93" t="s">
        <v>15061</v>
      </c>
      <c r="AI4060" s="87" t="b">
        <v>0</v>
      </c>
      <c r="AJ4060" s="87"/>
      <c r="AK4060" s="87"/>
      <c r="AL4060" s="87"/>
      <c r="AM4060" s="87"/>
      <c r="AN4060" s="87"/>
      <c r="AO4060" s="87"/>
      <c r="AP4060" s="87"/>
      <c r="AQ4060" s="87" t="s">
        <v>18163</v>
      </c>
      <c r="AR4060" s="87">
        <v>44965</v>
      </c>
      <c r="AS4060" s="87"/>
      <c r="AT4060" s="87"/>
      <c r="AU4060" s="87"/>
      <c r="AV4060" s="92" t="str">
        <f>HYPERLINK("https://pbs.twimg.com/ext_tw_video_thumb/1689818458165223424/pu/img/QHsK9vl1Ap90FEAU.jpg")</f>
        <v>https://pbs.twimg.com/ext_tw_video_thumb/1689818458165223424/pu/img/QHsK9vl1Ap90FEAU.jpg</v>
      </c>
      <c r="AW4060" s="93" t="s">
        <v>22160</v>
      </c>
      <c r="AX4060" s="93" t="s">
        <v>22160</v>
      </c>
      <c r="AY4060" s="87"/>
      <c r="AZ4060" s="93" t="s">
        <v>22668</v>
      </c>
      <c r="BA4060" s="93" t="s">
        <v>22668</v>
      </c>
      <c r="BB4060" s="93" t="s">
        <v>22668</v>
      </c>
      <c r="BC4060" s="93" t="s">
        <v>22160</v>
      </c>
      <c r="BD4060" s="93" t="s">
        <v>23577</v>
      </c>
      <c r="BE4060" s="87"/>
      <c r="BF4060" s="87"/>
      <c r="BG4060" s="87"/>
      <c r="BH4060" s="87"/>
      <c r="BI4060" s="87"/>
    </row>
    <row r="4061" spans="1:61" x14ac:dyDescent="0.25">
      <c r="A4061" s="63" t="s">
        <v>1571</v>
      </c>
      <c r="B4061" s="63" t="s">
        <v>1571</v>
      </c>
      <c r="C4061" s="64"/>
      <c r="D4061" s="65"/>
      <c r="E4061" s="66"/>
      <c r="F4061" s="67"/>
      <c r="G4061" s="64"/>
      <c r="H4061" s="68"/>
      <c r="I4061" s="69"/>
      <c r="J4061" s="69"/>
      <c r="K4061" s="32"/>
      <c r="L4061" s="76">
        <v>4061</v>
      </c>
      <c r="M4061" s="76"/>
      <c r="N4061" s="71"/>
      <c r="O4061" s="87" t="s">
        <v>179</v>
      </c>
      <c r="P4061" s="90">
        <v>45150.897905092592</v>
      </c>
      <c r="Q4061" s="87" t="s">
        <v>5704</v>
      </c>
      <c r="R4061" s="87">
        <v>0</v>
      </c>
      <c r="S4061" s="87">
        <v>0</v>
      </c>
      <c r="T4061" s="87">
        <v>0</v>
      </c>
      <c r="U4061" s="87">
        <v>0</v>
      </c>
      <c r="V4061" s="87">
        <v>9</v>
      </c>
      <c r="W4061" s="93" t="s">
        <v>8250</v>
      </c>
      <c r="X4061" s="92" t="str">
        <f>HYPERLINK("https://www.instagram.com/p/Cv2kaqLuoel/?igshid=MTVlNTYxMjY2ZQ==")</f>
        <v>https://www.instagram.com/p/Cv2kaqLuoel/?igshid=MTVlNTYxMjY2ZQ==</v>
      </c>
      <c r="Y4061" s="87" t="s">
        <v>8383</v>
      </c>
      <c r="Z4061" s="87"/>
      <c r="AA4061" s="87"/>
      <c r="AB4061" s="87"/>
      <c r="AC4061" s="93" t="s">
        <v>11459</v>
      </c>
      <c r="AD4061" s="87" t="s">
        <v>11519</v>
      </c>
      <c r="AE4061" s="92" t="str">
        <f>HYPERLINK("https://twitter.com/_zhenniq/status/1690476499093147648")</f>
        <v>https://twitter.com/_zhenniq/status/1690476499093147648</v>
      </c>
      <c r="AF4061" s="90">
        <v>45150.897905092592</v>
      </c>
      <c r="AG4061" s="99">
        <v>45150</v>
      </c>
      <c r="AH4061" s="93" t="s">
        <v>15062</v>
      </c>
      <c r="AI4061" s="87" t="b">
        <v>0</v>
      </c>
      <c r="AJ4061" s="87"/>
      <c r="AK4061" s="87"/>
      <c r="AL4061" s="87"/>
      <c r="AM4061" s="87"/>
      <c r="AN4061" s="87"/>
      <c r="AO4061" s="87"/>
      <c r="AP4061" s="87"/>
      <c r="AQ4061" s="87"/>
      <c r="AR4061" s="87"/>
      <c r="AS4061" s="87"/>
      <c r="AT4061" s="87"/>
      <c r="AU4061" s="87"/>
      <c r="AV4061" s="92" t="str">
        <f>HYPERLINK("https://pbs.twimg.com/profile_images/1689806998534045696/RivwnOLa_normal.jpg")</f>
        <v>https://pbs.twimg.com/profile_images/1689806998534045696/RivwnOLa_normal.jpg</v>
      </c>
      <c r="AW4061" s="93" t="s">
        <v>22161</v>
      </c>
      <c r="AX4061" s="93" t="s">
        <v>22161</v>
      </c>
      <c r="AY4061" s="87"/>
      <c r="AZ4061" s="93" t="s">
        <v>22668</v>
      </c>
      <c r="BA4061" s="93" t="s">
        <v>22668</v>
      </c>
      <c r="BB4061" s="93" t="s">
        <v>22668</v>
      </c>
      <c r="BC4061" s="93" t="s">
        <v>22161</v>
      </c>
      <c r="BD4061" s="93" t="s">
        <v>23577</v>
      </c>
      <c r="BE4061" s="87"/>
      <c r="BF4061" s="87"/>
      <c r="BG4061" s="87"/>
      <c r="BH4061" s="87"/>
      <c r="BI4061" s="87"/>
    </row>
    <row r="4062" spans="1:61" x14ac:dyDescent="0.25">
      <c r="A4062" s="63" t="s">
        <v>1572</v>
      </c>
      <c r="B4062" s="63" t="s">
        <v>1572</v>
      </c>
      <c r="C4062" s="64"/>
      <c r="D4062" s="65"/>
      <c r="E4062" s="66"/>
      <c r="F4062" s="67"/>
      <c r="G4062" s="64"/>
      <c r="H4062" s="68"/>
      <c r="I4062" s="69"/>
      <c r="J4062" s="69"/>
      <c r="K4062" s="32"/>
      <c r="L4062" s="76">
        <v>4062</v>
      </c>
      <c r="M4062" s="76"/>
      <c r="N4062" s="71"/>
      <c r="O4062" s="87" t="s">
        <v>179</v>
      </c>
      <c r="P4062" s="90">
        <v>45125.491828703707</v>
      </c>
      <c r="Q4062" s="87" t="s">
        <v>5705</v>
      </c>
      <c r="R4062" s="87">
        <v>0</v>
      </c>
      <c r="S4062" s="87">
        <v>0</v>
      </c>
      <c r="T4062" s="87">
        <v>0</v>
      </c>
      <c r="U4062" s="87">
        <v>0</v>
      </c>
      <c r="V4062" s="87">
        <v>4</v>
      </c>
      <c r="W4062" s="93" t="s">
        <v>8251</v>
      </c>
      <c r="X4062" s="92" t="str">
        <f>HYPERLINK("http://knotify.com.br")</f>
        <v>http://knotify.com.br</v>
      </c>
      <c r="Y4062" s="87" t="s">
        <v>8373</v>
      </c>
      <c r="Z4062" s="87"/>
      <c r="AA4062" s="87" t="s">
        <v>11352</v>
      </c>
      <c r="AB4062" s="87" t="s">
        <v>11448</v>
      </c>
      <c r="AC4062" s="93" t="s">
        <v>11459</v>
      </c>
      <c r="AD4062" s="87" t="s">
        <v>11519</v>
      </c>
      <c r="AE4062" s="92" t="str">
        <f>HYPERLINK("https://twitter.com/kentechbr/status/1681269646278680577")</f>
        <v>https://twitter.com/kentechbr/status/1681269646278680577</v>
      </c>
      <c r="AF4062" s="90">
        <v>45125.491828703707</v>
      </c>
      <c r="AG4062" s="99">
        <v>45125</v>
      </c>
      <c r="AH4062" s="93" t="s">
        <v>15063</v>
      </c>
      <c r="AI4062" s="87" t="b">
        <v>0</v>
      </c>
      <c r="AJ4062" s="87"/>
      <c r="AK4062" s="87"/>
      <c r="AL4062" s="87"/>
      <c r="AM4062" s="87"/>
      <c r="AN4062" s="87"/>
      <c r="AO4062" s="87"/>
      <c r="AP4062" s="87"/>
      <c r="AQ4062" s="87" t="s">
        <v>18164</v>
      </c>
      <c r="AR4062" s="87"/>
      <c r="AS4062" s="87"/>
      <c r="AT4062" s="87"/>
      <c r="AU4062" s="87"/>
      <c r="AV4062" s="92" t="str">
        <f>HYPERLINK("https://pbs.twimg.com/media/F1UR1FRX0AAUF2r.jpg")</f>
        <v>https://pbs.twimg.com/media/F1UR1FRX0AAUF2r.jpg</v>
      </c>
      <c r="AW4062" s="93" t="s">
        <v>22162</v>
      </c>
      <c r="AX4062" s="93" t="s">
        <v>22162</v>
      </c>
      <c r="AY4062" s="87"/>
      <c r="AZ4062" s="93" t="s">
        <v>22668</v>
      </c>
      <c r="BA4062" s="93" t="s">
        <v>22668</v>
      </c>
      <c r="BB4062" s="93" t="s">
        <v>22668</v>
      </c>
      <c r="BC4062" s="93" t="s">
        <v>22162</v>
      </c>
      <c r="BD4062" s="87">
        <v>1486263151</v>
      </c>
      <c r="BE4062" s="87"/>
      <c r="BF4062" s="87"/>
      <c r="BG4062" s="87"/>
      <c r="BH4062" s="87"/>
      <c r="BI4062" s="87"/>
    </row>
    <row r="4063" spans="1:61" x14ac:dyDescent="0.25">
      <c r="A4063" s="63" t="s">
        <v>1572</v>
      </c>
      <c r="B4063" s="63" t="s">
        <v>1572</v>
      </c>
      <c r="C4063" s="64"/>
      <c r="D4063" s="65"/>
      <c r="E4063" s="66"/>
      <c r="F4063" s="67"/>
      <c r="G4063" s="64"/>
      <c r="H4063" s="68"/>
      <c r="I4063" s="69"/>
      <c r="J4063" s="69"/>
      <c r="K4063" s="32"/>
      <c r="L4063" s="76">
        <v>4063</v>
      </c>
      <c r="M4063" s="76"/>
      <c r="N4063" s="71"/>
      <c r="O4063" s="87" t="s">
        <v>179</v>
      </c>
      <c r="P4063" s="90">
        <v>45177.620717592596</v>
      </c>
      <c r="Q4063" s="87" t="s">
        <v>5706</v>
      </c>
      <c r="R4063" s="87">
        <v>0</v>
      </c>
      <c r="S4063" s="87">
        <v>0</v>
      </c>
      <c r="T4063" s="87">
        <v>0</v>
      </c>
      <c r="U4063" s="87">
        <v>0</v>
      </c>
      <c r="V4063" s="87">
        <v>14</v>
      </c>
      <c r="W4063" s="93" t="s">
        <v>8252</v>
      </c>
      <c r="X4063" s="92" t="str">
        <f>HYPERLINK("http://knotify.com.br")</f>
        <v>http://knotify.com.br</v>
      </c>
      <c r="Y4063" s="87" t="s">
        <v>8373</v>
      </c>
      <c r="Z4063" s="87"/>
      <c r="AA4063" s="87" t="s">
        <v>11353</v>
      </c>
      <c r="AB4063" s="87" t="s">
        <v>11448</v>
      </c>
      <c r="AC4063" s="93" t="s">
        <v>11457</v>
      </c>
      <c r="AD4063" s="87" t="s">
        <v>11519</v>
      </c>
      <c r="AE4063" s="92" t="str">
        <f>HYPERLINK("https://twitter.com/kentechbr/status/1700160523134706076")</f>
        <v>https://twitter.com/kentechbr/status/1700160523134706076</v>
      </c>
      <c r="AF4063" s="90">
        <v>45177.620717592596</v>
      </c>
      <c r="AG4063" s="99">
        <v>45177</v>
      </c>
      <c r="AH4063" s="93" t="s">
        <v>15064</v>
      </c>
      <c r="AI4063" s="87" t="b">
        <v>0</v>
      </c>
      <c r="AJ4063" s="87"/>
      <c r="AK4063" s="87"/>
      <c r="AL4063" s="87"/>
      <c r="AM4063" s="87"/>
      <c r="AN4063" s="87"/>
      <c r="AO4063" s="87"/>
      <c r="AP4063" s="87"/>
      <c r="AQ4063" s="87" t="s">
        <v>18165</v>
      </c>
      <c r="AR4063" s="87"/>
      <c r="AS4063" s="87"/>
      <c r="AT4063" s="87"/>
      <c r="AU4063" s="87"/>
      <c r="AV4063" s="92" t="str">
        <f>HYPERLINK("https://pbs.twimg.com/media/F5gu2lNWkAAcRJ2.jpg")</f>
        <v>https://pbs.twimg.com/media/F5gu2lNWkAAcRJ2.jpg</v>
      </c>
      <c r="AW4063" s="93" t="s">
        <v>22163</v>
      </c>
      <c r="AX4063" s="93" t="s">
        <v>22163</v>
      </c>
      <c r="AY4063" s="87"/>
      <c r="AZ4063" s="93" t="s">
        <v>22668</v>
      </c>
      <c r="BA4063" s="93" t="s">
        <v>22668</v>
      </c>
      <c r="BB4063" s="93" t="s">
        <v>22668</v>
      </c>
      <c r="BC4063" s="93" t="s">
        <v>22163</v>
      </c>
      <c r="BD4063" s="87">
        <v>1486263151</v>
      </c>
      <c r="BE4063" s="87"/>
      <c r="BF4063" s="87"/>
      <c r="BG4063" s="87"/>
      <c r="BH4063" s="87"/>
      <c r="BI4063" s="87"/>
    </row>
    <row r="4064" spans="1:61" x14ac:dyDescent="0.25">
      <c r="A4064" s="63" t="s">
        <v>1573</v>
      </c>
      <c r="B4064" s="63" t="s">
        <v>1573</v>
      </c>
      <c r="C4064" s="64"/>
      <c r="D4064" s="65"/>
      <c r="E4064" s="66"/>
      <c r="F4064" s="67"/>
      <c r="G4064" s="64"/>
      <c r="H4064" s="68"/>
      <c r="I4064" s="69"/>
      <c r="J4064" s="69"/>
      <c r="K4064" s="32"/>
      <c r="L4064" s="76">
        <v>4064</v>
      </c>
      <c r="M4064" s="76"/>
      <c r="N4064" s="71"/>
      <c r="O4064" s="87" t="s">
        <v>179</v>
      </c>
      <c r="P4064" s="90">
        <v>45131.990381944444</v>
      </c>
      <c r="Q4064" s="87" t="s">
        <v>5707</v>
      </c>
      <c r="R4064" s="87">
        <v>0</v>
      </c>
      <c r="S4064" s="87">
        <v>0</v>
      </c>
      <c r="T4064" s="87">
        <v>0</v>
      </c>
      <c r="U4064" s="87">
        <v>0</v>
      </c>
      <c r="V4064" s="87">
        <v>19</v>
      </c>
      <c r="W4064" s="93" t="s">
        <v>8253</v>
      </c>
      <c r="X4064" s="87"/>
      <c r="Y4064" s="87"/>
      <c r="Z4064" s="87"/>
      <c r="AA4064" s="87" t="s">
        <v>11354</v>
      </c>
      <c r="AB4064" s="87" t="s">
        <v>11447</v>
      </c>
      <c r="AC4064" s="93" t="s">
        <v>11462</v>
      </c>
      <c r="AD4064" s="87" t="s">
        <v>11519</v>
      </c>
      <c r="AE4064" s="92" t="str">
        <f>HYPERLINK("https://twitter.com/cidorodrigues/status/1683624640076193792")</f>
        <v>https://twitter.com/cidorodrigues/status/1683624640076193792</v>
      </c>
      <c r="AF4064" s="90">
        <v>45131.990381944444</v>
      </c>
      <c r="AG4064" s="99">
        <v>45131</v>
      </c>
      <c r="AH4064" s="93" t="s">
        <v>15065</v>
      </c>
      <c r="AI4064" s="87" t="b">
        <v>0</v>
      </c>
      <c r="AJ4064" s="87"/>
      <c r="AK4064" s="87"/>
      <c r="AL4064" s="87"/>
      <c r="AM4064" s="87"/>
      <c r="AN4064" s="87"/>
      <c r="AO4064" s="87"/>
      <c r="AP4064" s="87"/>
      <c r="AQ4064" s="87" t="s">
        <v>18166</v>
      </c>
      <c r="AR4064" s="87">
        <v>37733</v>
      </c>
      <c r="AS4064" s="87"/>
      <c r="AT4064" s="87"/>
      <c r="AU4064" s="87"/>
      <c r="AV4064" s="92" t="str">
        <f>HYPERLINK("https://pbs.twimg.com/ext_tw_video_thumb/1683624591061577728/pu/img/YOGQAyDYp6TBY58e.jpg")</f>
        <v>https://pbs.twimg.com/ext_tw_video_thumb/1683624591061577728/pu/img/YOGQAyDYp6TBY58e.jpg</v>
      </c>
      <c r="AW4064" s="93" t="s">
        <v>22164</v>
      </c>
      <c r="AX4064" s="93" t="s">
        <v>22164</v>
      </c>
      <c r="AY4064" s="87"/>
      <c r="AZ4064" s="93" t="s">
        <v>22668</v>
      </c>
      <c r="BA4064" s="93" t="s">
        <v>22668</v>
      </c>
      <c r="BB4064" s="93" t="s">
        <v>22668</v>
      </c>
      <c r="BC4064" s="93" t="s">
        <v>22164</v>
      </c>
      <c r="BD4064" s="87">
        <v>62095109</v>
      </c>
      <c r="BE4064" s="87"/>
      <c r="BF4064" s="87"/>
      <c r="BG4064" s="87"/>
      <c r="BH4064" s="87"/>
      <c r="BI4064" s="87"/>
    </row>
    <row r="4065" spans="1:61" x14ac:dyDescent="0.25">
      <c r="A4065" s="63" t="s">
        <v>1573</v>
      </c>
      <c r="B4065" s="63" t="s">
        <v>1573</v>
      </c>
      <c r="C4065" s="64"/>
      <c r="D4065" s="65"/>
      <c r="E4065" s="66"/>
      <c r="F4065" s="67"/>
      <c r="G4065" s="64"/>
      <c r="H4065" s="68"/>
      <c r="I4065" s="69"/>
      <c r="J4065" s="69"/>
      <c r="K4065" s="32"/>
      <c r="L4065" s="76">
        <v>4065</v>
      </c>
      <c r="M4065" s="76"/>
      <c r="N4065" s="71"/>
      <c r="O4065" s="87" t="s">
        <v>179</v>
      </c>
      <c r="P4065" s="90">
        <v>45137.89671296296</v>
      </c>
      <c r="Q4065" s="87" t="s">
        <v>5708</v>
      </c>
      <c r="R4065" s="87">
        <v>0</v>
      </c>
      <c r="S4065" s="87">
        <v>0</v>
      </c>
      <c r="T4065" s="87">
        <v>0</v>
      </c>
      <c r="U4065" s="87">
        <v>0</v>
      </c>
      <c r="V4065" s="87">
        <v>14</v>
      </c>
      <c r="W4065" s="93" t="s">
        <v>8254</v>
      </c>
      <c r="X4065" s="87"/>
      <c r="Y4065" s="87"/>
      <c r="Z4065" s="87"/>
      <c r="AA4065" s="87" t="s">
        <v>11355</v>
      </c>
      <c r="AB4065" s="87" t="s">
        <v>11447</v>
      </c>
      <c r="AC4065" s="93" t="s">
        <v>11462</v>
      </c>
      <c r="AD4065" s="87" t="s">
        <v>11519</v>
      </c>
      <c r="AE4065" s="92" t="str">
        <f>HYPERLINK("https://twitter.com/cidorodrigues/status/1685765025653305345")</f>
        <v>https://twitter.com/cidorodrigues/status/1685765025653305345</v>
      </c>
      <c r="AF4065" s="90">
        <v>45137.89671296296</v>
      </c>
      <c r="AG4065" s="99">
        <v>45137</v>
      </c>
      <c r="AH4065" s="93" t="s">
        <v>15066</v>
      </c>
      <c r="AI4065" s="87" t="b">
        <v>0</v>
      </c>
      <c r="AJ4065" s="87"/>
      <c r="AK4065" s="87"/>
      <c r="AL4065" s="87"/>
      <c r="AM4065" s="87"/>
      <c r="AN4065" s="87"/>
      <c r="AO4065" s="87"/>
      <c r="AP4065" s="87"/>
      <c r="AQ4065" s="87" t="s">
        <v>18167</v>
      </c>
      <c r="AR4065" s="87">
        <v>23233</v>
      </c>
      <c r="AS4065" s="87"/>
      <c r="AT4065" s="87"/>
      <c r="AU4065" s="87"/>
      <c r="AV4065" s="92" t="str">
        <f>HYPERLINK("https://pbs.twimg.com/ext_tw_video_thumb/1685764979843084288/pu/img/yVLyJHlVVMQm0L0S.jpg")</f>
        <v>https://pbs.twimg.com/ext_tw_video_thumb/1685764979843084288/pu/img/yVLyJHlVVMQm0L0S.jpg</v>
      </c>
      <c r="AW4065" s="93" t="s">
        <v>22165</v>
      </c>
      <c r="AX4065" s="93" t="s">
        <v>22165</v>
      </c>
      <c r="AY4065" s="87"/>
      <c r="AZ4065" s="93" t="s">
        <v>22668</v>
      </c>
      <c r="BA4065" s="93" t="s">
        <v>22668</v>
      </c>
      <c r="BB4065" s="93" t="s">
        <v>22668</v>
      </c>
      <c r="BC4065" s="93" t="s">
        <v>22165</v>
      </c>
      <c r="BD4065" s="87">
        <v>62095109</v>
      </c>
      <c r="BE4065" s="87"/>
      <c r="BF4065" s="87"/>
      <c r="BG4065" s="87"/>
      <c r="BH4065" s="87"/>
      <c r="BI4065" s="87"/>
    </row>
    <row r="4066" spans="1:61" x14ac:dyDescent="0.25">
      <c r="A4066" s="63" t="s">
        <v>1574</v>
      </c>
      <c r="B4066" s="63" t="s">
        <v>1574</v>
      </c>
      <c r="C4066" s="64"/>
      <c r="D4066" s="65"/>
      <c r="E4066" s="66"/>
      <c r="F4066" s="67"/>
      <c r="G4066" s="64"/>
      <c r="H4066" s="68"/>
      <c r="I4066" s="69"/>
      <c r="J4066" s="69"/>
      <c r="K4066" s="32"/>
      <c r="L4066" s="76">
        <v>4066</v>
      </c>
      <c r="M4066" s="76"/>
      <c r="N4066" s="71"/>
      <c r="O4066" s="87" t="s">
        <v>179</v>
      </c>
      <c r="P4066" s="90">
        <v>45161.063136574077</v>
      </c>
      <c r="Q4066" s="87" t="s">
        <v>5709</v>
      </c>
      <c r="R4066" s="87">
        <v>0</v>
      </c>
      <c r="S4066" s="87">
        <v>0</v>
      </c>
      <c r="T4066" s="87">
        <v>0</v>
      </c>
      <c r="U4066" s="87">
        <v>0</v>
      </c>
      <c r="V4066" s="87">
        <v>73</v>
      </c>
      <c r="W4066" s="93" t="s">
        <v>8255</v>
      </c>
      <c r="X4066" s="87"/>
      <c r="Y4066" s="87"/>
      <c r="Z4066" s="87"/>
      <c r="AA4066" s="87" t="s">
        <v>11356</v>
      </c>
      <c r="AB4066" s="87" t="s">
        <v>11448</v>
      </c>
      <c r="AC4066" s="93" t="s">
        <v>11458</v>
      </c>
      <c r="AD4066" s="87" t="s">
        <v>11519</v>
      </c>
      <c r="AE4066" s="92" t="str">
        <f>HYPERLINK("https://twitter.com/rafaelporcari/status/1694160255976886621")</f>
        <v>https://twitter.com/rafaelporcari/status/1694160255976886621</v>
      </c>
      <c r="AF4066" s="90">
        <v>45161.063136574077</v>
      </c>
      <c r="AG4066" s="99">
        <v>45161</v>
      </c>
      <c r="AH4066" s="93" t="s">
        <v>15067</v>
      </c>
      <c r="AI4066" s="87" t="b">
        <v>0</v>
      </c>
      <c r="AJ4066" s="87"/>
      <c r="AK4066" s="87"/>
      <c r="AL4066" s="87"/>
      <c r="AM4066" s="87"/>
      <c r="AN4066" s="87"/>
      <c r="AO4066" s="87"/>
      <c r="AP4066" s="87"/>
      <c r="AQ4066" s="87" t="s">
        <v>18168</v>
      </c>
      <c r="AR4066" s="87"/>
      <c r="AS4066" s="87"/>
      <c r="AT4066" s="87"/>
      <c r="AU4066" s="87"/>
      <c r="AV4066" s="92" t="str">
        <f>HYPERLINK("https://pbs.twimg.com/media/F4LdxQWWAAA5OuU.jpg")</f>
        <v>https://pbs.twimg.com/media/F4LdxQWWAAA5OuU.jpg</v>
      </c>
      <c r="AW4066" s="93" t="s">
        <v>22166</v>
      </c>
      <c r="AX4066" s="93" t="s">
        <v>22166</v>
      </c>
      <c r="AY4066" s="87"/>
      <c r="AZ4066" s="93" t="s">
        <v>22668</v>
      </c>
      <c r="BA4066" s="93" t="s">
        <v>22668</v>
      </c>
      <c r="BB4066" s="93" t="s">
        <v>22668</v>
      </c>
      <c r="BC4066" s="93" t="s">
        <v>22166</v>
      </c>
      <c r="BD4066" s="87">
        <v>51565827</v>
      </c>
      <c r="BE4066" s="87"/>
      <c r="BF4066" s="87"/>
      <c r="BG4066" s="87"/>
      <c r="BH4066" s="87"/>
      <c r="BI4066" s="87"/>
    </row>
    <row r="4067" spans="1:61" x14ac:dyDescent="0.25">
      <c r="A4067" s="63" t="s">
        <v>1574</v>
      </c>
      <c r="B4067" s="63" t="s">
        <v>1574</v>
      </c>
      <c r="C4067" s="64"/>
      <c r="D4067" s="65"/>
      <c r="E4067" s="66"/>
      <c r="F4067" s="67"/>
      <c r="G4067" s="64"/>
      <c r="H4067" s="68"/>
      <c r="I4067" s="69"/>
      <c r="J4067" s="69"/>
      <c r="K4067" s="32"/>
      <c r="L4067" s="76">
        <v>4067</v>
      </c>
      <c r="M4067" s="76"/>
      <c r="N4067" s="71"/>
      <c r="O4067" s="87" t="s">
        <v>179</v>
      </c>
      <c r="P4067" s="90">
        <v>45112.303622685184</v>
      </c>
      <c r="Q4067" s="87" t="s">
        <v>5710</v>
      </c>
      <c r="R4067" s="87">
        <v>0</v>
      </c>
      <c r="S4067" s="87">
        <v>0</v>
      </c>
      <c r="T4067" s="87">
        <v>0</v>
      </c>
      <c r="U4067" s="87">
        <v>0</v>
      </c>
      <c r="V4067" s="87">
        <v>24</v>
      </c>
      <c r="W4067" s="93" t="s">
        <v>5897</v>
      </c>
      <c r="X4067" s="92" t="str">
        <f>HYPERLINK("http://wp.me/p4RTuC-AEN")</f>
        <v>http://wp.me/p4RTuC-AEN</v>
      </c>
      <c r="Y4067" s="87" t="s">
        <v>8560</v>
      </c>
      <c r="Z4067" s="87"/>
      <c r="AA4067" s="87"/>
      <c r="AB4067" s="87"/>
      <c r="AC4067" s="93" t="s">
        <v>11458</v>
      </c>
      <c r="AD4067" s="87" t="s">
        <v>11519</v>
      </c>
      <c r="AE4067" s="92" t="str">
        <f>HYPERLINK("https://twitter.com/rafaelporcari/status/1676490399056113664")</f>
        <v>https://twitter.com/rafaelporcari/status/1676490399056113664</v>
      </c>
      <c r="AF4067" s="90">
        <v>45112.303622685184</v>
      </c>
      <c r="AG4067" s="99">
        <v>45112</v>
      </c>
      <c r="AH4067" s="93" t="s">
        <v>15068</v>
      </c>
      <c r="AI4067" s="87" t="b">
        <v>0</v>
      </c>
      <c r="AJ4067" s="87"/>
      <c r="AK4067" s="87"/>
      <c r="AL4067" s="87"/>
      <c r="AM4067" s="87"/>
      <c r="AN4067" s="87"/>
      <c r="AO4067" s="87"/>
      <c r="AP4067" s="87"/>
      <c r="AQ4067" s="87"/>
      <c r="AR4067" s="87"/>
      <c r="AS4067" s="87"/>
      <c r="AT4067" s="87"/>
      <c r="AU4067" s="87"/>
      <c r="AV4067" s="92" t="str">
        <f>HYPERLINK("https://pbs.twimg.com/profile_images/1406282412871630856/W89Wdi2l_normal.jpg")</f>
        <v>https://pbs.twimg.com/profile_images/1406282412871630856/W89Wdi2l_normal.jpg</v>
      </c>
      <c r="AW4067" s="93" t="s">
        <v>22167</v>
      </c>
      <c r="AX4067" s="93" t="s">
        <v>22167</v>
      </c>
      <c r="AY4067" s="87"/>
      <c r="AZ4067" s="93" t="s">
        <v>22668</v>
      </c>
      <c r="BA4067" s="93" t="s">
        <v>22668</v>
      </c>
      <c r="BB4067" s="93" t="s">
        <v>22668</v>
      </c>
      <c r="BC4067" s="93" t="s">
        <v>22167</v>
      </c>
      <c r="BD4067" s="87">
        <v>51565827</v>
      </c>
      <c r="BE4067" s="87"/>
      <c r="BF4067" s="87"/>
      <c r="BG4067" s="87"/>
      <c r="BH4067" s="87"/>
      <c r="BI4067" s="87"/>
    </row>
    <row r="4068" spans="1:61" x14ac:dyDescent="0.25">
      <c r="A4068" s="63" t="s">
        <v>1574</v>
      </c>
      <c r="B4068" s="63" t="s">
        <v>1574</v>
      </c>
      <c r="C4068" s="64"/>
      <c r="D4068" s="65"/>
      <c r="E4068" s="66"/>
      <c r="F4068" s="67"/>
      <c r="G4068" s="64"/>
      <c r="H4068" s="68"/>
      <c r="I4068" s="69"/>
      <c r="J4068" s="69"/>
      <c r="K4068" s="32"/>
      <c r="L4068" s="76">
        <v>4068</v>
      </c>
      <c r="M4068" s="76"/>
      <c r="N4068" s="71"/>
      <c r="O4068" s="87" t="s">
        <v>179</v>
      </c>
      <c r="P4068" s="90">
        <v>45169.737905092596</v>
      </c>
      <c r="Q4068" s="87" t="s">
        <v>5711</v>
      </c>
      <c r="R4068" s="87">
        <v>1</v>
      </c>
      <c r="S4068" s="87">
        <v>1</v>
      </c>
      <c r="T4068" s="87">
        <v>0</v>
      </c>
      <c r="U4068" s="87">
        <v>0</v>
      </c>
      <c r="V4068" s="87">
        <v>700</v>
      </c>
      <c r="W4068" s="93" t="s">
        <v>8256</v>
      </c>
      <c r="X4068" s="87"/>
      <c r="Y4068" s="87"/>
      <c r="Z4068" s="87"/>
      <c r="AA4068" s="87" t="s">
        <v>11357</v>
      </c>
      <c r="AB4068" s="87" t="s">
        <v>11448</v>
      </c>
      <c r="AC4068" s="93" t="s">
        <v>11458</v>
      </c>
      <c r="AD4068" s="87" t="s">
        <v>11519</v>
      </c>
      <c r="AE4068" s="92" t="str">
        <f>HYPERLINK("https://twitter.com/rafaelporcari/status/1697303887072420319")</f>
        <v>https://twitter.com/rafaelporcari/status/1697303887072420319</v>
      </c>
      <c r="AF4068" s="90">
        <v>45169.737905092596</v>
      </c>
      <c r="AG4068" s="99">
        <v>45169</v>
      </c>
      <c r="AH4068" s="93" t="s">
        <v>15069</v>
      </c>
      <c r="AI4068" s="87" t="b">
        <v>0</v>
      </c>
      <c r="AJ4068" s="87"/>
      <c r="AK4068" s="87"/>
      <c r="AL4068" s="87"/>
      <c r="AM4068" s="87"/>
      <c r="AN4068" s="87"/>
      <c r="AO4068" s="87"/>
      <c r="AP4068" s="87"/>
      <c r="AQ4068" s="87" t="s">
        <v>18169</v>
      </c>
      <c r="AR4068" s="87"/>
      <c r="AS4068" s="87"/>
      <c r="AT4068" s="87"/>
      <c r="AU4068" s="87"/>
      <c r="AV4068" s="92" t="str">
        <f>HYPERLINK("https://pbs.twimg.com/media/F44I4z6XoAAy-Qy.jpg")</f>
        <v>https://pbs.twimg.com/media/F44I4z6XoAAy-Qy.jpg</v>
      </c>
      <c r="AW4068" s="93" t="s">
        <v>22168</v>
      </c>
      <c r="AX4068" s="93" t="s">
        <v>22168</v>
      </c>
      <c r="AY4068" s="87"/>
      <c r="AZ4068" s="93" t="s">
        <v>22668</v>
      </c>
      <c r="BA4068" s="93" t="s">
        <v>22668</v>
      </c>
      <c r="BB4068" s="93" t="s">
        <v>22668</v>
      </c>
      <c r="BC4068" s="93" t="s">
        <v>22168</v>
      </c>
      <c r="BD4068" s="87">
        <v>51565827</v>
      </c>
      <c r="BE4068" s="87"/>
      <c r="BF4068" s="87"/>
      <c r="BG4068" s="87"/>
      <c r="BH4068" s="87"/>
      <c r="BI4068" s="87"/>
    </row>
    <row r="4069" spans="1:61" x14ac:dyDescent="0.25">
      <c r="A4069" s="63" t="s">
        <v>1574</v>
      </c>
      <c r="B4069" s="63" t="s">
        <v>1574</v>
      </c>
      <c r="C4069" s="64"/>
      <c r="D4069" s="65"/>
      <c r="E4069" s="66"/>
      <c r="F4069" s="67"/>
      <c r="G4069" s="64"/>
      <c r="H4069" s="68"/>
      <c r="I4069" s="69"/>
      <c r="J4069" s="69"/>
      <c r="K4069" s="32"/>
      <c r="L4069" s="76">
        <v>4069</v>
      </c>
      <c r="M4069" s="76"/>
      <c r="N4069" s="71"/>
      <c r="O4069" s="87" t="s">
        <v>179</v>
      </c>
      <c r="P4069" s="90">
        <v>45182.311990740738</v>
      </c>
      <c r="Q4069" s="87" t="s">
        <v>5712</v>
      </c>
      <c r="R4069" s="87">
        <v>0</v>
      </c>
      <c r="S4069" s="87">
        <v>0</v>
      </c>
      <c r="T4069" s="87">
        <v>0</v>
      </c>
      <c r="U4069" s="87">
        <v>0</v>
      </c>
      <c r="V4069" s="87">
        <v>16</v>
      </c>
      <c r="W4069" s="93" t="s">
        <v>8257</v>
      </c>
      <c r="X4069" s="92" t="str">
        <f>HYPERLINK("http://wp.me/p4RTuC-PCV")</f>
        <v>http://wp.me/p4RTuC-PCV</v>
      </c>
      <c r="Y4069" s="87" t="s">
        <v>8560</v>
      </c>
      <c r="Z4069" s="87"/>
      <c r="AA4069" s="87"/>
      <c r="AB4069" s="87"/>
      <c r="AC4069" s="93" t="s">
        <v>11458</v>
      </c>
      <c r="AD4069" s="87" t="s">
        <v>11519</v>
      </c>
      <c r="AE4069" s="92" t="str">
        <f>HYPERLINK("https://twitter.com/rafaelporcari/status/1701860581051867253")</f>
        <v>https://twitter.com/rafaelporcari/status/1701860581051867253</v>
      </c>
      <c r="AF4069" s="90">
        <v>45182.311990740738</v>
      </c>
      <c r="AG4069" s="99">
        <v>45182</v>
      </c>
      <c r="AH4069" s="93" t="s">
        <v>15070</v>
      </c>
      <c r="AI4069" s="87" t="b">
        <v>0</v>
      </c>
      <c r="AJ4069" s="87"/>
      <c r="AK4069" s="87"/>
      <c r="AL4069" s="87"/>
      <c r="AM4069" s="87"/>
      <c r="AN4069" s="87"/>
      <c r="AO4069" s="87"/>
      <c r="AP4069" s="87"/>
      <c r="AQ4069" s="87"/>
      <c r="AR4069" s="87"/>
      <c r="AS4069" s="87"/>
      <c r="AT4069" s="87"/>
      <c r="AU4069" s="87"/>
      <c r="AV4069" s="92" t="str">
        <f>HYPERLINK("https://pbs.twimg.com/profile_images/1406282412871630856/W89Wdi2l_normal.jpg")</f>
        <v>https://pbs.twimg.com/profile_images/1406282412871630856/W89Wdi2l_normal.jpg</v>
      </c>
      <c r="AW4069" s="93" t="s">
        <v>22169</v>
      </c>
      <c r="AX4069" s="93" t="s">
        <v>22169</v>
      </c>
      <c r="AY4069" s="87"/>
      <c r="AZ4069" s="93" t="s">
        <v>22668</v>
      </c>
      <c r="BA4069" s="93" t="s">
        <v>22668</v>
      </c>
      <c r="BB4069" s="93" t="s">
        <v>22668</v>
      </c>
      <c r="BC4069" s="93" t="s">
        <v>22169</v>
      </c>
      <c r="BD4069" s="87">
        <v>51565827</v>
      </c>
      <c r="BE4069" s="87"/>
      <c r="BF4069" s="87"/>
      <c r="BG4069" s="87"/>
      <c r="BH4069" s="87"/>
      <c r="BI4069" s="87"/>
    </row>
    <row r="4070" spans="1:61" x14ac:dyDescent="0.25">
      <c r="A4070" s="63" t="s">
        <v>1574</v>
      </c>
      <c r="B4070" s="63" t="s">
        <v>1574</v>
      </c>
      <c r="C4070" s="64"/>
      <c r="D4070" s="65"/>
      <c r="E4070" s="66"/>
      <c r="F4070" s="67"/>
      <c r="G4070" s="64"/>
      <c r="H4070" s="68"/>
      <c r="I4070" s="69"/>
      <c r="J4070" s="69"/>
      <c r="K4070" s="32"/>
      <c r="L4070" s="76">
        <v>4070</v>
      </c>
      <c r="M4070" s="76"/>
      <c r="N4070" s="71"/>
      <c r="O4070" s="87" t="s">
        <v>179</v>
      </c>
      <c r="P4070" s="90">
        <v>45180.607812499999</v>
      </c>
      <c r="Q4070" s="87" t="s">
        <v>5713</v>
      </c>
      <c r="R4070" s="87">
        <v>0</v>
      </c>
      <c r="S4070" s="87">
        <v>0</v>
      </c>
      <c r="T4070" s="87">
        <v>0</v>
      </c>
      <c r="U4070" s="87">
        <v>0</v>
      </c>
      <c r="V4070" s="87">
        <v>64</v>
      </c>
      <c r="W4070" s="93" t="s">
        <v>8258</v>
      </c>
      <c r="X4070" s="87"/>
      <c r="Y4070" s="87"/>
      <c r="Z4070" s="87"/>
      <c r="AA4070" s="87" t="s">
        <v>11358</v>
      </c>
      <c r="AB4070" s="87" t="s">
        <v>11448</v>
      </c>
      <c r="AC4070" s="93" t="s">
        <v>11458</v>
      </c>
      <c r="AD4070" s="87" t="s">
        <v>11519</v>
      </c>
      <c r="AE4070" s="92" t="str">
        <f>HYPERLINK("https://twitter.com/rafaelporcari/status/1701243010745266400")</f>
        <v>https://twitter.com/rafaelporcari/status/1701243010745266400</v>
      </c>
      <c r="AF4070" s="90">
        <v>45180.607812499999</v>
      </c>
      <c r="AG4070" s="99">
        <v>45180</v>
      </c>
      <c r="AH4070" s="93" t="s">
        <v>15071</v>
      </c>
      <c r="AI4070" s="87" t="b">
        <v>0</v>
      </c>
      <c r="AJ4070" s="87"/>
      <c r="AK4070" s="87"/>
      <c r="AL4070" s="87"/>
      <c r="AM4070" s="87"/>
      <c r="AN4070" s="87"/>
      <c r="AO4070" s="87"/>
      <c r="AP4070" s="87"/>
      <c r="AQ4070" s="87" t="s">
        <v>18170</v>
      </c>
      <c r="AR4070" s="87"/>
      <c r="AS4070" s="87"/>
      <c r="AT4070" s="87"/>
      <c r="AU4070" s="87"/>
      <c r="AV4070" s="92" t="str">
        <f>HYPERLINK("https://pbs.twimg.com/media/F5wHf2_WEAANYqi.jpg")</f>
        <v>https://pbs.twimg.com/media/F5wHf2_WEAANYqi.jpg</v>
      </c>
      <c r="AW4070" s="93" t="s">
        <v>22170</v>
      </c>
      <c r="AX4070" s="93" t="s">
        <v>22170</v>
      </c>
      <c r="AY4070" s="87"/>
      <c r="AZ4070" s="93" t="s">
        <v>22668</v>
      </c>
      <c r="BA4070" s="93" t="s">
        <v>22668</v>
      </c>
      <c r="BB4070" s="93" t="s">
        <v>22668</v>
      </c>
      <c r="BC4070" s="93" t="s">
        <v>22170</v>
      </c>
      <c r="BD4070" s="87">
        <v>51565827</v>
      </c>
      <c r="BE4070" s="87"/>
      <c r="BF4070" s="87"/>
      <c r="BG4070" s="87"/>
      <c r="BH4070" s="87"/>
      <c r="BI4070" s="87"/>
    </row>
    <row r="4071" spans="1:61" x14ac:dyDescent="0.25">
      <c r="A4071" s="63" t="s">
        <v>1574</v>
      </c>
      <c r="B4071" s="63" t="s">
        <v>1574</v>
      </c>
      <c r="C4071" s="64"/>
      <c r="D4071" s="65"/>
      <c r="E4071" s="66"/>
      <c r="F4071" s="67"/>
      <c r="G4071" s="64"/>
      <c r="H4071" s="68"/>
      <c r="I4071" s="69"/>
      <c r="J4071" s="69"/>
      <c r="K4071" s="32"/>
      <c r="L4071" s="76">
        <v>4071</v>
      </c>
      <c r="M4071" s="76"/>
      <c r="N4071" s="71"/>
      <c r="O4071" s="87" t="s">
        <v>179</v>
      </c>
      <c r="P4071" s="90">
        <v>45185.464687500003</v>
      </c>
      <c r="Q4071" s="87" t="s">
        <v>5714</v>
      </c>
      <c r="R4071" s="87">
        <v>0</v>
      </c>
      <c r="S4071" s="87">
        <v>0</v>
      </c>
      <c r="T4071" s="87">
        <v>0</v>
      </c>
      <c r="U4071" s="87">
        <v>0</v>
      </c>
      <c r="V4071" s="87">
        <v>21</v>
      </c>
      <c r="W4071" s="93" t="s">
        <v>8259</v>
      </c>
      <c r="X4071" s="92" t="str">
        <f>HYPERLINK("http://wp.me/p4RTuC-PBS")</f>
        <v>http://wp.me/p4RTuC-PBS</v>
      </c>
      <c r="Y4071" s="87" t="s">
        <v>8560</v>
      </c>
      <c r="Z4071" s="87"/>
      <c r="AA4071" s="87"/>
      <c r="AB4071" s="87"/>
      <c r="AC4071" s="93" t="s">
        <v>11458</v>
      </c>
      <c r="AD4071" s="87" t="s">
        <v>11519</v>
      </c>
      <c r="AE4071" s="92" t="str">
        <f>HYPERLINK("https://twitter.com/rafaelporcari/status/1703003081477116027")</f>
        <v>https://twitter.com/rafaelporcari/status/1703003081477116027</v>
      </c>
      <c r="AF4071" s="90">
        <v>45185.464687500003</v>
      </c>
      <c r="AG4071" s="99">
        <v>45185</v>
      </c>
      <c r="AH4071" s="93" t="s">
        <v>15072</v>
      </c>
      <c r="AI4071" s="87" t="b">
        <v>0</v>
      </c>
      <c r="AJ4071" s="87"/>
      <c r="AK4071" s="87"/>
      <c r="AL4071" s="87"/>
      <c r="AM4071" s="87"/>
      <c r="AN4071" s="87"/>
      <c r="AO4071" s="87"/>
      <c r="AP4071" s="87"/>
      <c r="AQ4071" s="87"/>
      <c r="AR4071" s="87"/>
      <c r="AS4071" s="87"/>
      <c r="AT4071" s="87"/>
      <c r="AU4071" s="87"/>
      <c r="AV4071" s="92" t="str">
        <f>HYPERLINK("https://pbs.twimg.com/profile_images/1406282412871630856/W89Wdi2l_normal.jpg")</f>
        <v>https://pbs.twimg.com/profile_images/1406282412871630856/W89Wdi2l_normal.jpg</v>
      </c>
      <c r="AW4071" s="93" t="s">
        <v>22171</v>
      </c>
      <c r="AX4071" s="93" t="s">
        <v>22171</v>
      </c>
      <c r="AY4071" s="87"/>
      <c r="AZ4071" s="93" t="s">
        <v>22668</v>
      </c>
      <c r="BA4071" s="93" t="s">
        <v>22668</v>
      </c>
      <c r="BB4071" s="93" t="s">
        <v>22668</v>
      </c>
      <c r="BC4071" s="93" t="s">
        <v>22171</v>
      </c>
      <c r="BD4071" s="87">
        <v>51565827</v>
      </c>
      <c r="BE4071" s="87"/>
      <c r="BF4071" s="87"/>
      <c r="BG4071" s="87"/>
      <c r="BH4071" s="87"/>
      <c r="BI4071" s="87"/>
    </row>
    <row r="4072" spans="1:61" x14ac:dyDescent="0.25">
      <c r="A4072" s="63" t="s">
        <v>1574</v>
      </c>
      <c r="B4072" s="63" t="s">
        <v>1574</v>
      </c>
      <c r="C4072" s="64"/>
      <c r="D4072" s="65"/>
      <c r="E4072" s="66"/>
      <c r="F4072" s="67"/>
      <c r="G4072" s="64"/>
      <c r="H4072" s="68"/>
      <c r="I4072" s="69"/>
      <c r="J4072" s="69"/>
      <c r="K4072" s="32"/>
      <c r="L4072" s="76">
        <v>4072</v>
      </c>
      <c r="M4072" s="76"/>
      <c r="N4072" s="71"/>
      <c r="O4072" s="87" t="s">
        <v>179</v>
      </c>
      <c r="P4072" s="90">
        <v>45138.663344907407</v>
      </c>
      <c r="Q4072" s="87" t="s">
        <v>5715</v>
      </c>
      <c r="R4072" s="87">
        <v>0</v>
      </c>
      <c r="S4072" s="87">
        <v>0</v>
      </c>
      <c r="T4072" s="87">
        <v>0</v>
      </c>
      <c r="U4072" s="87">
        <v>0</v>
      </c>
      <c r="V4072" s="87">
        <v>33</v>
      </c>
      <c r="W4072" s="93" t="s">
        <v>8260</v>
      </c>
      <c r="X4072" s="92" t="str">
        <f>HYPERLINK("http://wp.me/p4RTuC-wjl")</f>
        <v>http://wp.me/p4RTuC-wjl</v>
      </c>
      <c r="Y4072" s="87" t="s">
        <v>8560</v>
      </c>
      <c r="Z4072" s="87"/>
      <c r="AA4072" s="87"/>
      <c r="AB4072" s="87"/>
      <c r="AC4072" s="93" t="s">
        <v>11458</v>
      </c>
      <c r="AD4072" s="87" t="s">
        <v>11519</v>
      </c>
      <c r="AE4072" s="92" t="str">
        <f>HYPERLINK("https://twitter.com/rafaelporcari/status/1686042844564463616")</f>
        <v>https://twitter.com/rafaelporcari/status/1686042844564463616</v>
      </c>
      <c r="AF4072" s="90">
        <v>45138.663344907407</v>
      </c>
      <c r="AG4072" s="99">
        <v>45138</v>
      </c>
      <c r="AH4072" s="93" t="s">
        <v>15073</v>
      </c>
      <c r="AI4072" s="87" t="b">
        <v>0</v>
      </c>
      <c r="AJ4072" s="87"/>
      <c r="AK4072" s="87"/>
      <c r="AL4072" s="87"/>
      <c r="AM4072" s="87"/>
      <c r="AN4072" s="87"/>
      <c r="AO4072" s="87"/>
      <c r="AP4072" s="87"/>
      <c r="AQ4072" s="87"/>
      <c r="AR4072" s="87"/>
      <c r="AS4072" s="87"/>
      <c r="AT4072" s="87"/>
      <c r="AU4072" s="87"/>
      <c r="AV4072" s="92" t="str">
        <f>HYPERLINK("https://pbs.twimg.com/profile_images/1406282412871630856/W89Wdi2l_normal.jpg")</f>
        <v>https://pbs.twimg.com/profile_images/1406282412871630856/W89Wdi2l_normal.jpg</v>
      </c>
      <c r="AW4072" s="93" t="s">
        <v>22172</v>
      </c>
      <c r="AX4072" s="93" t="s">
        <v>22172</v>
      </c>
      <c r="AY4072" s="87"/>
      <c r="AZ4072" s="93" t="s">
        <v>22668</v>
      </c>
      <c r="BA4072" s="93" t="s">
        <v>22668</v>
      </c>
      <c r="BB4072" s="93" t="s">
        <v>22668</v>
      </c>
      <c r="BC4072" s="93" t="s">
        <v>22172</v>
      </c>
      <c r="BD4072" s="87">
        <v>51565827</v>
      </c>
      <c r="BE4072" s="87"/>
      <c r="BF4072" s="87"/>
      <c r="BG4072" s="87"/>
      <c r="BH4072" s="87"/>
      <c r="BI4072" s="87"/>
    </row>
    <row r="4073" spans="1:61" x14ac:dyDescent="0.25">
      <c r="A4073" s="63" t="s">
        <v>1574</v>
      </c>
      <c r="B4073" s="63" t="s">
        <v>1574</v>
      </c>
      <c r="C4073" s="64"/>
      <c r="D4073" s="65"/>
      <c r="E4073" s="66"/>
      <c r="F4073" s="67"/>
      <c r="G4073" s="64"/>
      <c r="H4073" s="68"/>
      <c r="I4073" s="69"/>
      <c r="J4073" s="69"/>
      <c r="K4073" s="32"/>
      <c r="L4073" s="76">
        <v>4073</v>
      </c>
      <c r="M4073" s="76"/>
      <c r="N4073" s="71"/>
      <c r="O4073" s="87" t="s">
        <v>179</v>
      </c>
      <c r="P4073" s="90">
        <v>45194.610671296294</v>
      </c>
      <c r="Q4073" s="87" t="s">
        <v>5716</v>
      </c>
      <c r="R4073" s="87">
        <v>0</v>
      </c>
      <c r="S4073" s="87">
        <v>0</v>
      </c>
      <c r="T4073" s="87">
        <v>0</v>
      </c>
      <c r="U4073" s="87">
        <v>0</v>
      </c>
      <c r="V4073" s="87">
        <v>49</v>
      </c>
      <c r="W4073" s="93" t="s">
        <v>8261</v>
      </c>
      <c r="X4073" s="87"/>
      <c r="Y4073" s="87"/>
      <c r="Z4073" s="87"/>
      <c r="AA4073" s="87" t="s">
        <v>11359</v>
      </c>
      <c r="AB4073" s="87" t="s">
        <v>11448</v>
      </c>
      <c r="AC4073" s="93" t="s">
        <v>11458</v>
      </c>
      <c r="AD4073" s="87" t="s">
        <v>11519</v>
      </c>
      <c r="AE4073" s="92" t="str">
        <f>HYPERLINK("https://twitter.com/rafaelporcari/status/1706317473199386675")</f>
        <v>https://twitter.com/rafaelporcari/status/1706317473199386675</v>
      </c>
      <c r="AF4073" s="90">
        <v>45194.610671296294</v>
      </c>
      <c r="AG4073" s="99">
        <v>45194</v>
      </c>
      <c r="AH4073" s="93" t="s">
        <v>11805</v>
      </c>
      <c r="AI4073" s="87" t="b">
        <v>0</v>
      </c>
      <c r="AJ4073" s="87"/>
      <c r="AK4073" s="87"/>
      <c r="AL4073" s="87"/>
      <c r="AM4073" s="87"/>
      <c r="AN4073" s="87"/>
      <c r="AO4073" s="87"/>
      <c r="AP4073" s="87"/>
      <c r="AQ4073" s="87" t="s">
        <v>18171</v>
      </c>
      <c r="AR4073" s="87"/>
      <c r="AS4073" s="87"/>
      <c r="AT4073" s="87"/>
      <c r="AU4073" s="87"/>
      <c r="AV4073" s="92" t="str">
        <f>HYPERLINK("https://pbs.twimg.com/media/F64Osi2XgAAISOc.jpg")</f>
        <v>https://pbs.twimg.com/media/F64Osi2XgAAISOc.jpg</v>
      </c>
      <c r="AW4073" s="93" t="s">
        <v>22173</v>
      </c>
      <c r="AX4073" s="93" t="s">
        <v>22173</v>
      </c>
      <c r="AY4073" s="87"/>
      <c r="AZ4073" s="93" t="s">
        <v>22668</v>
      </c>
      <c r="BA4073" s="93" t="s">
        <v>22668</v>
      </c>
      <c r="BB4073" s="93" t="s">
        <v>22668</v>
      </c>
      <c r="BC4073" s="93" t="s">
        <v>22173</v>
      </c>
      <c r="BD4073" s="87">
        <v>51565827</v>
      </c>
      <c r="BE4073" s="87"/>
      <c r="BF4073" s="87"/>
      <c r="BG4073" s="87"/>
      <c r="BH4073" s="87"/>
      <c r="BI4073" s="87"/>
    </row>
    <row r="4074" spans="1:61" x14ac:dyDescent="0.25">
      <c r="A4074" s="63" t="s">
        <v>1575</v>
      </c>
      <c r="B4074" s="63" t="s">
        <v>1575</v>
      </c>
      <c r="C4074" s="64"/>
      <c r="D4074" s="65"/>
      <c r="E4074" s="66"/>
      <c r="F4074" s="67"/>
      <c r="G4074" s="64"/>
      <c r="H4074" s="68"/>
      <c r="I4074" s="69"/>
      <c r="J4074" s="69"/>
      <c r="K4074" s="32"/>
      <c r="L4074" s="76">
        <v>4074</v>
      </c>
      <c r="M4074" s="76"/>
      <c r="N4074" s="71"/>
      <c r="O4074" s="87" t="s">
        <v>179</v>
      </c>
      <c r="P4074" s="90">
        <v>45180.961840277778</v>
      </c>
      <c r="Q4074" s="87" t="s">
        <v>5717</v>
      </c>
      <c r="R4074" s="87">
        <v>0</v>
      </c>
      <c r="S4074" s="87">
        <v>1</v>
      </c>
      <c r="T4074" s="87">
        <v>0</v>
      </c>
      <c r="U4074" s="87">
        <v>0</v>
      </c>
      <c r="V4074" s="87">
        <v>9</v>
      </c>
      <c r="W4074" s="93" t="s">
        <v>8262</v>
      </c>
      <c r="X4074" s="92" t="str">
        <f>HYPERLINK("https://youtu.be/CXQQzV6PbkQ?si=2AcAuKDrkUJg8vrB")</f>
        <v>https://youtu.be/CXQQzV6PbkQ?si=2AcAuKDrkUJg8vrB</v>
      </c>
      <c r="Y4074" s="87" t="s">
        <v>8372</v>
      </c>
      <c r="Z4074" s="87"/>
      <c r="AA4074" s="87" t="s">
        <v>11360</v>
      </c>
      <c r="AB4074" s="87" t="s">
        <v>11449</v>
      </c>
      <c r="AC4074" s="93" t="s">
        <v>11459</v>
      </c>
      <c r="AD4074" s="87" t="s">
        <v>11519</v>
      </c>
      <c r="AE4074" s="92" t="str">
        <f>HYPERLINK("https://twitter.com/made_hits/status/1701371304580964604")</f>
        <v>https://twitter.com/made_hits/status/1701371304580964604</v>
      </c>
      <c r="AF4074" s="90">
        <v>45180.961840277778</v>
      </c>
      <c r="AG4074" s="99">
        <v>45180</v>
      </c>
      <c r="AH4074" s="93" t="s">
        <v>15074</v>
      </c>
      <c r="AI4074" s="87" t="b">
        <v>0</v>
      </c>
      <c r="AJ4074" s="87"/>
      <c r="AK4074" s="87"/>
      <c r="AL4074" s="87"/>
      <c r="AM4074" s="87"/>
      <c r="AN4074" s="87"/>
      <c r="AO4074" s="87"/>
      <c r="AP4074" s="87"/>
      <c r="AQ4074" s="87" t="s">
        <v>18172</v>
      </c>
      <c r="AR4074" s="87"/>
      <c r="AS4074" s="87"/>
      <c r="AT4074" s="87"/>
      <c r="AU4074" s="87"/>
      <c r="AV4074" s="92" t="str">
        <f>HYPERLINK("https://pbs.twimg.com/media/F5x8LBzX0AAb1xH.jpg")</f>
        <v>https://pbs.twimg.com/media/F5x8LBzX0AAb1xH.jpg</v>
      </c>
      <c r="AW4074" s="93" t="s">
        <v>22174</v>
      </c>
      <c r="AX4074" s="93" t="s">
        <v>22174</v>
      </c>
      <c r="AY4074" s="87"/>
      <c r="AZ4074" s="93" t="s">
        <v>22668</v>
      </c>
      <c r="BA4074" s="93" t="s">
        <v>22668</v>
      </c>
      <c r="BB4074" s="93" t="s">
        <v>22668</v>
      </c>
      <c r="BC4074" s="93" t="s">
        <v>22174</v>
      </c>
      <c r="BD4074" s="93" t="s">
        <v>23578</v>
      </c>
      <c r="BE4074" s="87"/>
      <c r="BF4074" s="87"/>
      <c r="BG4074" s="87"/>
      <c r="BH4074" s="87"/>
      <c r="BI4074" s="87"/>
    </row>
    <row r="4075" spans="1:61" x14ac:dyDescent="0.25">
      <c r="A4075" s="63" t="s">
        <v>1575</v>
      </c>
      <c r="B4075" s="63" t="s">
        <v>1575</v>
      </c>
      <c r="C4075" s="64"/>
      <c r="D4075" s="65"/>
      <c r="E4075" s="66"/>
      <c r="F4075" s="67"/>
      <c r="G4075" s="64"/>
      <c r="H4075" s="68"/>
      <c r="I4075" s="69"/>
      <c r="J4075" s="69"/>
      <c r="K4075" s="32"/>
      <c r="L4075" s="76">
        <v>4075</v>
      </c>
      <c r="M4075" s="76"/>
      <c r="N4075" s="71"/>
      <c r="O4075" s="87" t="s">
        <v>179</v>
      </c>
      <c r="P4075" s="90">
        <v>45184.830312500002</v>
      </c>
      <c r="Q4075" s="87" t="s">
        <v>5718</v>
      </c>
      <c r="R4075" s="87">
        <v>0</v>
      </c>
      <c r="S4075" s="87">
        <v>0</v>
      </c>
      <c r="T4075" s="87">
        <v>0</v>
      </c>
      <c r="U4075" s="87">
        <v>0</v>
      </c>
      <c r="V4075" s="87">
        <v>10</v>
      </c>
      <c r="W4075" s="93" t="s">
        <v>8263</v>
      </c>
      <c r="X4075" s="92" t="str">
        <f>HYPERLINK("https://youtu.be/CXQQzV6PbkQ?si=6y4MGOSl7sc0b4dw")</f>
        <v>https://youtu.be/CXQQzV6PbkQ?si=6y4MGOSl7sc0b4dw</v>
      </c>
      <c r="Y4075" s="87" t="s">
        <v>8372</v>
      </c>
      <c r="Z4075" s="87"/>
      <c r="AA4075" s="87" t="s">
        <v>11361</v>
      </c>
      <c r="AB4075" s="87" t="s">
        <v>11450</v>
      </c>
      <c r="AC4075" s="93" t="s">
        <v>11459</v>
      </c>
      <c r="AD4075" s="87" t="s">
        <v>11519</v>
      </c>
      <c r="AE4075" s="92" t="str">
        <f>HYPERLINK("https://twitter.com/made_hits/status/1702773192299831797")</f>
        <v>https://twitter.com/made_hits/status/1702773192299831797</v>
      </c>
      <c r="AF4075" s="90">
        <v>45184.830312500002</v>
      </c>
      <c r="AG4075" s="99">
        <v>45184</v>
      </c>
      <c r="AH4075" s="93" t="s">
        <v>11828</v>
      </c>
      <c r="AI4075" s="87" t="b">
        <v>0</v>
      </c>
      <c r="AJ4075" s="87"/>
      <c r="AK4075" s="87"/>
      <c r="AL4075" s="87"/>
      <c r="AM4075" s="87"/>
      <c r="AN4075" s="87"/>
      <c r="AO4075" s="87"/>
      <c r="AP4075" s="87"/>
      <c r="AQ4075" s="87" t="s">
        <v>18173</v>
      </c>
      <c r="AR4075" s="87"/>
      <c r="AS4075" s="87"/>
      <c r="AT4075" s="87"/>
      <c r="AU4075" s="87"/>
      <c r="AV4075" s="92" t="str">
        <f>HYPERLINK("https://pbs.twimg.com/media/F6F3L-xXIAA6mxY.jpg")</f>
        <v>https://pbs.twimg.com/media/F6F3L-xXIAA6mxY.jpg</v>
      </c>
      <c r="AW4075" s="93" t="s">
        <v>22175</v>
      </c>
      <c r="AX4075" s="93" t="s">
        <v>22175</v>
      </c>
      <c r="AY4075" s="87"/>
      <c r="AZ4075" s="93" t="s">
        <v>22668</v>
      </c>
      <c r="BA4075" s="93" t="s">
        <v>22668</v>
      </c>
      <c r="BB4075" s="93" t="s">
        <v>22668</v>
      </c>
      <c r="BC4075" s="93" t="s">
        <v>22175</v>
      </c>
      <c r="BD4075" s="93" t="s">
        <v>23578</v>
      </c>
      <c r="BE4075" s="87"/>
      <c r="BF4075" s="87"/>
      <c r="BG4075" s="87"/>
      <c r="BH4075" s="87"/>
      <c r="BI4075" s="87"/>
    </row>
    <row r="4076" spans="1:61" x14ac:dyDescent="0.25">
      <c r="A4076" s="63" t="s">
        <v>1575</v>
      </c>
      <c r="B4076" s="63" t="s">
        <v>1575</v>
      </c>
      <c r="C4076" s="64"/>
      <c r="D4076" s="65"/>
      <c r="E4076" s="66"/>
      <c r="F4076" s="67"/>
      <c r="G4076" s="64"/>
      <c r="H4076" s="68"/>
      <c r="I4076" s="69"/>
      <c r="J4076" s="69"/>
      <c r="K4076" s="32"/>
      <c r="L4076" s="76">
        <v>4076</v>
      </c>
      <c r="M4076" s="76"/>
      <c r="N4076" s="71"/>
      <c r="O4076" s="87" t="s">
        <v>179</v>
      </c>
      <c r="P4076" s="90">
        <v>45178.630497685182</v>
      </c>
      <c r="Q4076" s="87" t="s">
        <v>5719</v>
      </c>
      <c r="R4076" s="87">
        <v>0</v>
      </c>
      <c r="S4076" s="87">
        <v>0</v>
      </c>
      <c r="T4076" s="87">
        <v>0</v>
      </c>
      <c r="U4076" s="87">
        <v>0</v>
      </c>
      <c r="V4076" s="87">
        <v>112</v>
      </c>
      <c r="W4076" s="93" t="s">
        <v>8264</v>
      </c>
      <c r="X4076" s="87"/>
      <c r="Y4076" s="87"/>
      <c r="Z4076" s="87"/>
      <c r="AA4076" s="87" t="s">
        <v>11362</v>
      </c>
      <c r="AB4076" s="87" t="s">
        <v>11450</v>
      </c>
      <c r="AC4076" s="93" t="s">
        <v>11459</v>
      </c>
      <c r="AD4076" s="87" t="s">
        <v>11519</v>
      </c>
      <c r="AE4076" s="92" t="str">
        <f>HYPERLINK("https://twitter.com/made_hits/status/1700526452733562926")</f>
        <v>https://twitter.com/made_hits/status/1700526452733562926</v>
      </c>
      <c r="AF4076" s="90">
        <v>45178.630497685182</v>
      </c>
      <c r="AG4076" s="99">
        <v>45178</v>
      </c>
      <c r="AH4076" s="93" t="s">
        <v>15075</v>
      </c>
      <c r="AI4076" s="87" t="b">
        <v>0</v>
      </c>
      <c r="AJ4076" s="87"/>
      <c r="AK4076" s="87"/>
      <c r="AL4076" s="87"/>
      <c r="AM4076" s="87"/>
      <c r="AN4076" s="87"/>
      <c r="AO4076" s="87"/>
      <c r="AP4076" s="87"/>
      <c r="AQ4076" s="87" t="s">
        <v>18174</v>
      </c>
      <c r="AR4076" s="87"/>
      <c r="AS4076" s="87"/>
      <c r="AT4076" s="87"/>
      <c r="AU4076" s="87"/>
      <c r="AV4076" s="92" t="str">
        <f>HYPERLINK("https://pbs.twimg.com/media/F5l7ylNW8AAGH_m.jpg")</f>
        <v>https://pbs.twimg.com/media/F5l7ylNW8AAGH_m.jpg</v>
      </c>
      <c r="AW4076" s="93" t="s">
        <v>22176</v>
      </c>
      <c r="AX4076" s="93" t="s">
        <v>22176</v>
      </c>
      <c r="AY4076" s="87"/>
      <c r="AZ4076" s="93" t="s">
        <v>22668</v>
      </c>
      <c r="BA4076" s="93" t="s">
        <v>22668</v>
      </c>
      <c r="BB4076" s="93" t="s">
        <v>22668</v>
      </c>
      <c r="BC4076" s="93" t="s">
        <v>22176</v>
      </c>
      <c r="BD4076" s="93" t="s">
        <v>23578</v>
      </c>
      <c r="BE4076" s="87"/>
      <c r="BF4076" s="87"/>
      <c r="BG4076" s="87"/>
      <c r="BH4076" s="87"/>
      <c r="BI4076" s="87"/>
    </row>
    <row r="4077" spans="1:61" x14ac:dyDescent="0.25">
      <c r="A4077" s="63" t="s">
        <v>1575</v>
      </c>
      <c r="B4077" s="63" t="s">
        <v>1575</v>
      </c>
      <c r="C4077" s="64"/>
      <c r="D4077" s="65"/>
      <c r="E4077" s="66"/>
      <c r="F4077" s="67"/>
      <c r="G4077" s="64"/>
      <c r="H4077" s="68"/>
      <c r="I4077" s="69"/>
      <c r="J4077" s="69"/>
      <c r="K4077" s="32"/>
      <c r="L4077" s="76">
        <v>4077</v>
      </c>
      <c r="M4077" s="76"/>
      <c r="N4077" s="71"/>
      <c r="O4077" s="87" t="s">
        <v>179</v>
      </c>
      <c r="P4077" s="90">
        <v>45171.83320601852</v>
      </c>
      <c r="Q4077" s="87" t="s">
        <v>5720</v>
      </c>
      <c r="R4077" s="87">
        <v>0</v>
      </c>
      <c r="S4077" s="87">
        <v>0</v>
      </c>
      <c r="T4077" s="87">
        <v>0</v>
      </c>
      <c r="U4077" s="87">
        <v>0</v>
      </c>
      <c r="V4077" s="87">
        <v>6</v>
      </c>
      <c r="W4077" s="93" t="s">
        <v>8265</v>
      </c>
      <c r="X4077" s="92" t="str">
        <f>HYPERLINK("https://youtube.com/@TVMadeHits?si=pit3Sc78ST98sF0f")</f>
        <v>https://youtube.com/@TVMadeHits?si=pit3Sc78ST98sF0f</v>
      </c>
      <c r="Y4077" s="87" t="s">
        <v>8380</v>
      </c>
      <c r="Z4077" s="87"/>
      <c r="AA4077" s="87" t="s">
        <v>11363</v>
      </c>
      <c r="AB4077" s="87" t="s">
        <v>11451</v>
      </c>
      <c r="AC4077" s="93" t="s">
        <v>11459</v>
      </c>
      <c r="AD4077" s="87" t="s">
        <v>11519</v>
      </c>
      <c r="AE4077" s="92" t="str">
        <f>HYPERLINK("https://twitter.com/made_hits/status/1698063195989057800")</f>
        <v>https://twitter.com/made_hits/status/1698063195989057800</v>
      </c>
      <c r="AF4077" s="90">
        <v>45171.83320601852</v>
      </c>
      <c r="AG4077" s="99">
        <v>45171</v>
      </c>
      <c r="AH4077" s="93" t="s">
        <v>15076</v>
      </c>
      <c r="AI4077" s="87" t="b">
        <v>0</v>
      </c>
      <c r="AJ4077" s="87"/>
      <c r="AK4077" s="87"/>
      <c r="AL4077" s="87"/>
      <c r="AM4077" s="87"/>
      <c r="AN4077" s="87"/>
      <c r="AO4077" s="87"/>
      <c r="AP4077" s="87"/>
      <c r="AQ4077" s="87" t="s">
        <v>18175</v>
      </c>
      <c r="AR4077" s="87"/>
      <c r="AS4077" s="87"/>
      <c r="AT4077" s="87"/>
      <c r="AU4077" s="87"/>
      <c r="AV4077" s="92" t="str">
        <f>HYPERLINK("https://pbs.twimg.com/media/F5C7eO9XAAAAAZl.jpg")</f>
        <v>https://pbs.twimg.com/media/F5C7eO9XAAAAAZl.jpg</v>
      </c>
      <c r="AW4077" s="93" t="s">
        <v>22177</v>
      </c>
      <c r="AX4077" s="93" t="s">
        <v>22177</v>
      </c>
      <c r="AY4077" s="87"/>
      <c r="AZ4077" s="93" t="s">
        <v>22668</v>
      </c>
      <c r="BA4077" s="93" t="s">
        <v>22668</v>
      </c>
      <c r="BB4077" s="93" t="s">
        <v>22668</v>
      </c>
      <c r="BC4077" s="93" t="s">
        <v>22177</v>
      </c>
      <c r="BD4077" s="93" t="s">
        <v>23578</v>
      </c>
      <c r="BE4077" s="87"/>
      <c r="BF4077" s="87"/>
      <c r="BG4077" s="87"/>
      <c r="BH4077" s="87"/>
      <c r="BI4077" s="87"/>
    </row>
    <row r="4078" spans="1:61" x14ac:dyDescent="0.25">
      <c r="A4078" s="63" t="s">
        <v>1575</v>
      </c>
      <c r="B4078" s="63" t="s">
        <v>1575</v>
      </c>
      <c r="C4078" s="64"/>
      <c r="D4078" s="65"/>
      <c r="E4078" s="66"/>
      <c r="F4078" s="67"/>
      <c r="G4078" s="64"/>
      <c r="H4078" s="68"/>
      <c r="I4078" s="69"/>
      <c r="J4078" s="69"/>
      <c r="K4078" s="32"/>
      <c r="L4078" s="76">
        <v>4078</v>
      </c>
      <c r="M4078" s="76"/>
      <c r="N4078" s="71"/>
      <c r="O4078" s="87" t="s">
        <v>179</v>
      </c>
      <c r="P4078" s="90">
        <v>45186.84070601852</v>
      </c>
      <c r="Q4078" s="87" t="s">
        <v>5721</v>
      </c>
      <c r="R4078" s="87">
        <v>0</v>
      </c>
      <c r="S4078" s="87">
        <v>0</v>
      </c>
      <c r="T4078" s="87">
        <v>0</v>
      </c>
      <c r="U4078" s="87">
        <v>0</v>
      </c>
      <c r="V4078" s="87">
        <v>25</v>
      </c>
      <c r="W4078" s="93" t="s">
        <v>8266</v>
      </c>
      <c r="X4078" s="87"/>
      <c r="Y4078" s="87"/>
      <c r="Z4078" s="87"/>
      <c r="AA4078" s="87" t="s">
        <v>11364</v>
      </c>
      <c r="AB4078" s="87" t="s">
        <v>11450</v>
      </c>
      <c r="AC4078" s="93" t="s">
        <v>11459</v>
      </c>
      <c r="AD4078" s="87" t="s">
        <v>11519</v>
      </c>
      <c r="AE4078" s="92" t="str">
        <f>HYPERLINK("https://twitter.com/made_hits/status/1703501734646079846")</f>
        <v>https://twitter.com/made_hits/status/1703501734646079846</v>
      </c>
      <c r="AF4078" s="90">
        <v>45186.84070601852</v>
      </c>
      <c r="AG4078" s="99">
        <v>45186</v>
      </c>
      <c r="AH4078" s="93" t="s">
        <v>15077</v>
      </c>
      <c r="AI4078" s="87" t="b">
        <v>0</v>
      </c>
      <c r="AJ4078" s="87"/>
      <c r="AK4078" s="87"/>
      <c r="AL4078" s="87"/>
      <c r="AM4078" s="87"/>
      <c r="AN4078" s="87"/>
      <c r="AO4078" s="87"/>
      <c r="AP4078" s="87"/>
      <c r="AQ4078" s="87" t="s">
        <v>18176</v>
      </c>
      <c r="AR4078" s="87"/>
      <c r="AS4078" s="87"/>
      <c r="AT4078" s="87"/>
      <c r="AU4078" s="87"/>
      <c r="AV4078" s="92" t="str">
        <f>HYPERLINK("https://pbs.twimg.com/media/F6QNyv5W4AAsGrE.jpg")</f>
        <v>https://pbs.twimg.com/media/F6QNyv5W4AAsGrE.jpg</v>
      </c>
      <c r="AW4078" s="93" t="s">
        <v>22178</v>
      </c>
      <c r="AX4078" s="93" t="s">
        <v>22178</v>
      </c>
      <c r="AY4078" s="87"/>
      <c r="AZ4078" s="93" t="s">
        <v>22668</v>
      </c>
      <c r="BA4078" s="93" t="s">
        <v>22668</v>
      </c>
      <c r="BB4078" s="93" t="s">
        <v>22668</v>
      </c>
      <c r="BC4078" s="93" t="s">
        <v>22178</v>
      </c>
      <c r="BD4078" s="93" t="s">
        <v>23578</v>
      </c>
      <c r="BE4078" s="87"/>
      <c r="BF4078" s="87"/>
      <c r="BG4078" s="87"/>
      <c r="BH4078" s="87"/>
      <c r="BI4078" s="87"/>
    </row>
    <row r="4079" spans="1:61" x14ac:dyDescent="0.25">
      <c r="A4079" s="63" t="s">
        <v>1575</v>
      </c>
      <c r="B4079" s="63" t="s">
        <v>1575</v>
      </c>
      <c r="C4079" s="64"/>
      <c r="D4079" s="65"/>
      <c r="E4079" s="66"/>
      <c r="F4079" s="67"/>
      <c r="G4079" s="64"/>
      <c r="H4079" s="68"/>
      <c r="I4079" s="69"/>
      <c r="J4079" s="69"/>
      <c r="K4079" s="32"/>
      <c r="L4079" s="76">
        <v>4079</v>
      </c>
      <c r="M4079" s="76"/>
      <c r="N4079" s="71"/>
      <c r="O4079" s="87" t="s">
        <v>179</v>
      </c>
      <c r="P4079" s="90">
        <v>45184.499548611115</v>
      </c>
      <c r="Q4079" s="87" t="s">
        <v>5722</v>
      </c>
      <c r="R4079" s="87">
        <v>0</v>
      </c>
      <c r="S4079" s="87">
        <v>2</v>
      </c>
      <c r="T4079" s="87">
        <v>0</v>
      </c>
      <c r="U4079" s="87">
        <v>0</v>
      </c>
      <c r="V4079" s="87">
        <v>178</v>
      </c>
      <c r="W4079" s="93" t="s">
        <v>8267</v>
      </c>
      <c r="X4079" s="87"/>
      <c r="Y4079" s="87"/>
      <c r="Z4079" s="87"/>
      <c r="AA4079" s="87" t="s">
        <v>11365</v>
      </c>
      <c r="AB4079" s="87" t="s">
        <v>11447</v>
      </c>
      <c r="AC4079" s="93" t="s">
        <v>11459</v>
      </c>
      <c r="AD4079" s="87" t="s">
        <v>11519</v>
      </c>
      <c r="AE4079" s="92" t="str">
        <f>HYPERLINK("https://twitter.com/made_hits/status/1702653328096735717")</f>
        <v>https://twitter.com/made_hits/status/1702653328096735717</v>
      </c>
      <c r="AF4079" s="90">
        <v>45184.499548611115</v>
      </c>
      <c r="AG4079" s="99">
        <v>45184</v>
      </c>
      <c r="AH4079" s="93" t="s">
        <v>15078</v>
      </c>
      <c r="AI4079" s="87" t="b">
        <v>0</v>
      </c>
      <c r="AJ4079" s="87"/>
      <c r="AK4079" s="87"/>
      <c r="AL4079" s="87"/>
      <c r="AM4079" s="87"/>
      <c r="AN4079" s="87"/>
      <c r="AO4079" s="87"/>
      <c r="AP4079" s="87"/>
      <c r="AQ4079" s="87" t="s">
        <v>18177</v>
      </c>
      <c r="AR4079" s="87">
        <v>44933</v>
      </c>
      <c r="AS4079" s="87"/>
      <c r="AT4079" s="87"/>
      <c r="AU4079" s="87"/>
      <c r="AV4079" s="92" t="str">
        <f>HYPERLINK("https://pbs.twimg.com/ext_tw_video_thumb/1702653239001325569/pu/img/KdTvqIEp3DwXhOX6.jpg")</f>
        <v>https://pbs.twimg.com/ext_tw_video_thumb/1702653239001325569/pu/img/KdTvqIEp3DwXhOX6.jpg</v>
      </c>
      <c r="AW4079" s="93" t="s">
        <v>22179</v>
      </c>
      <c r="AX4079" s="93" t="s">
        <v>22179</v>
      </c>
      <c r="AY4079" s="87"/>
      <c r="AZ4079" s="93" t="s">
        <v>22668</v>
      </c>
      <c r="BA4079" s="93" t="s">
        <v>22668</v>
      </c>
      <c r="BB4079" s="93" t="s">
        <v>22668</v>
      </c>
      <c r="BC4079" s="93" t="s">
        <v>22179</v>
      </c>
      <c r="BD4079" s="93" t="s">
        <v>23578</v>
      </c>
      <c r="BE4079" s="87"/>
      <c r="BF4079" s="87"/>
      <c r="BG4079" s="87"/>
      <c r="BH4079" s="87"/>
      <c r="BI4079" s="87"/>
    </row>
    <row r="4080" spans="1:61" x14ac:dyDescent="0.25">
      <c r="A4080" s="63" t="s">
        <v>1575</v>
      </c>
      <c r="B4080" s="63" t="s">
        <v>1575</v>
      </c>
      <c r="C4080" s="64"/>
      <c r="D4080" s="65"/>
      <c r="E4080" s="66"/>
      <c r="F4080" s="67"/>
      <c r="G4080" s="64"/>
      <c r="H4080" s="68"/>
      <c r="I4080" s="69"/>
      <c r="J4080" s="69"/>
      <c r="K4080" s="32"/>
      <c r="L4080" s="76">
        <v>4080</v>
      </c>
      <c r="M4080" s="76"/>
      <c r="N4080" s="71"/>
      <c r="O4080" s="87" t="s">
        <v>179</v>
      </c>
      <c r="P4080" s="90">
        <v>45177.503541666665</v>
      </c>
      <c r="Q4080" s="87" t="s">
        <v>5723</v>
      </c>
      <c r="R4080" s="87">
        <v>0</v>
      </c>
      <c r="S4080" s="87">
        <v>0</v>
      </c>
      <c r="T4080" s="87">
        <v>0</v>
      </c>
      <c r="U4080" s="87">
        <v>0</v>
      </c>
      <c r="V4080" s="87">
        <v>361</v>
      </c>
      <c r="W4080" s="93" t="s">
        <v>8268</v>
      </c>
      <c r="X4080" s="87"/>
      <c r="Y4080" s="87"/>
      <c r="Z4080" s="87"/>
      <c r="AA4080" s="87" t="s">
        <v>11366</v>
      </c>
      <c r="AB4080" s="87" t="s">
        <v>11447</v>
      </c>
      <c r="AC4080" s="93" t="s">
        <v>11459</v>
      </c>
      <c r="AD4080" s="87" t="s">
        <v>11519</v>
      </c>
      <c r="AE4080" s="92" t="str">
        <f>HYPERLINK("https://twitter.com/made_hits/status/1700118058709209121")</f>
        <v>https://twitter.com/made_hits/status/1700118058709209121</v>
      </c>
      <c r="AF4080" s="90">
        <v>45177.503541666665</v>
      </c>
      <c r="AG4080" s="99">
        <v>45177</v>
      </c>
      <c r="AH4080" s="93" t="s">
        <v>15079</v>
      </c>
      <c r="AI4080" s="87" t="b">
        <v>0</v>
      </c>
      <c r="AJ4080" s="87" t="s">
        <v>15174</v>
      </c>
      <c r="AK4080" s="87" t="s">
        <v>15234</v>
      </c>
      <c r="AL4080" s="87" t="s">
        <v>15237</v>
      </c>
      <c r="AM4080" s="87" t="s">
        <v>15246</v>
      </c>
      <c r="AN4080" s="87" t="s">
        <v>15311</v>
      </c>
      <c r="AO4080" s="87" t="s">
        <v>15378</v>
      </c>
      <c r="AP4080" s="87" t="s">
        <v>15438</v>
      </c>
      <c r="AQ4080" s="87" t="s">
        <v>18178</v>
      </c>
      <c r="AR4080" s="87">
        <v>39280</v>
      </c>
      <c r="AS4080" s="87"/>
      <c r="AT4080" s="87"/>
      <c r="AU4080" s="87"/>
      <c r="AV4080" s="92" t="str">
        <f>HYPERLINK("https://pbs.twimg.com/ext_tw_video_thumb/1700118001335336960/pu/img/Co-LJp6J55jWufs0.jpg")</f>
        <v>https://pbs.twimg.com/ext_tw_video_thumb/1700118001335336960/pu/img/Co-LJp6J55jWufs0.jpg</v>
      </c>
      <c r="AW4080" s="93" t="s">
        <v>22180</v>
      </c>
      <c r="AX4080" s="93" t="s">
        <v>22180</v>
      </c>
      <c r="AY4080" s="87"/>
      <c r="AZ4080" s="93" t="s">
        <v>22668</v>
      </c>
      <c r="BA4080" s="93" t="s">
        <v>22668</v>
      </c>
      <c r="BB4080" s="93" t="s">
        <v>22668</v>
      </c>
      <c r="BC4080" s="93" t="s">
        <v>22180</v>
      </c>
      <c r="BD4080" s="93" t="s">
        <v>23578</v>
      </c>
      <c r="BE4080" s="87"/>
      <c r="BF4080" s="87"/>
      <c r="BG4080" s="87"/>
      <c r="BH4080" s="87"/>
      <c r="BI4080" s="87"/>
    </row>
    <row r="4081" spans="1:61" x14ac:dyDescent="0.25">
      <c r="A4081" s="63" t="s">
        <v>1575</v>
      </c>
      <c r="B4081" s="63" t="s">
        <v>1575</v>
      </c>
      <c r="C4081" s="64"/>
      <c r="D4081" s="65"/>
      <c r="E4081" s="66"/>
      <c r="F4081" s="67"/>
      <c r="G4081" s="64"/>
      <c r="H4081" s="68"/>
      <c r="I4081" s="69"/>
      <c r="J4081" s="69"/>
      <c r="K4081" s="32"/>
      <c r="L4081" s="76">
        <v>4081</v>
      </c>
      <c r="M4081" s="76"/>
      <c r="N4081" s="71"/>
      <c r="O4081" s="87" t="s">
        <v>179</v>
      </c>
      <c r="P4081" s="90">
        <v>45187.630324074074</v>
      </c>
      <c r="Q4081" s="87" t="s">
        <v>5724</v>
      </c>
      <c r="R4081" s="87">
        <v>0</v>
      </c>
      <c r="S4081" s="87">
        <v>0</v>
      </c>
      <c r="T4081" s="87">
        <v>0</v>
      </c>
      <c r="U4081" s="87">
        <v>0</v>
      </c>
      <c r="V4081" s="87">
        <v>170</v>
      </c>
      <c r="W4081" s="93" t="s">
        <v>8269</v>
      </c>
      <c r="X4081" s="87"/>
      <c r="Y4081" s="87"/>
      <c r="Z4081" s="87"/>
      <c r="AA4081" s="87" t="s">
        <v>11367</v>
      </c>
      <c r="AB4081" s="87" t="s">
        <v>11447</v>
      </c>
      <c r="AC4081" s="93" t="s">
        <v>11459</v>
      </c>
      <c r="AD4081" s="87" t="s">
        <v>11519</v>
      </c>
      <c r="AE4081" s="92" t="str">
        <f>HYPERLINK("https://twitter.com/made_hits/status/1703787879720218846")</f>
        <v>https://twitter.com/made_hits/status/1703787879720218846</v>
      </c>
      <c r="AF4081" s="90">
        <v>45187.630324074074</v>
      </c>
      <c r="AG4081" s="99">
        <v>45187</v>
      </c>
      <c r="AH4081" s="93" t="s">
        <v>15080</v>
      </c>
      <c r="AI4081" s="87" t="b">
        <v>0</v>
      </c>
      <c r="AJ4081" s="87"/>
      <c r="AK4081" s="87"/>
      <c r="AL4081" s="87"/>
      <c r="AM4081" s="87"/>
      <c r="AN4081" s="87"/>
      <c r="AO4081" s="87"/>
      <c r="AP4081" s="87"/>
      <c r="AQ4081" s="87" t="s">
        <v>18179</v>
      </c>
      <c r="AR4081" s="87">
        <v>44954</v>
      </c>
      <c r="AS4081" s="87"/>
      <c r="AT4081" s="87"/>
      <c r="AU4081" s="87"/>
      <c r="AV4081" s="92" t="str">
        <f>HYPERLINK("https://pbs.twimg.com/ext_tw_video_thumb/1703787683112185856/pu/img/x_w3JMlC8T6fM-9p.jpg")</f>
        <v>https://pbs.twimg.com/ext_tw_video_thumb/1703787683112185856/pu/img/x_w3JMlC8T6fM-9p.jpg</v>
      </c>
      <c r="AW4081" s="93" t="s">
        <v>22181</v>
      </c>
      <c r="AX4081" s="93" t="s">
        <v>22181</v>
      </c>
      <c r="AY4081" s="87"/>
      <c r="AZ4081" s="93" t="s">
        <v>22668</v>
      </c>
      <c r="BA4081" s="93" t="s">
        <v>22668</v>
      </c>
      <c r="BB4081" s="93" t="s">
        <v>22668</v>
      </c>
      <c r="BC4081" s="93" t="s">
        <v>22181</v>
      </c>
      <c r="BD4081" s="93" t="s">
        <v>23578</v>
      </c>
      <c r="BE4081" s="87"/>
      <c r="BF4081" s="87"/>
      <c r="BG4081" s="87"/>
      <c r="BH4081" s="87"/>
      <c r="BI4081" s="87"/>
    </row>
    <row r="4082" spans="1:61" x14ac:dyDescent="0.25">
      <c r="A4082" s="63" t="s">
        <v>1575</v>
      </c>
      <c r="B4082" s="63" t="s">
        <v>1575</v>
      </c>
      <c r="C4082" s="64"/>
      <c r="D4082" s="65"/>
      <c r="E4082" s="66"/>
      <c r="F4082" s="67"/>
      <c r="G4082" s="64"/>
      <c r="H4082" s="68"/>
      <c r="I4082" s="69"/>
      <c r="J4082" s="69"/>
      <c r="K4082" s="32"/>
      <c r="L4082" s="76">
        <v>4082</v>
      </c>
      <c r="M4082" s="76"/>
      <c r="N4082" s="71"/>
      <c r="O4082" s="87" t="s">
        <v>179</v>
      </c>
      <c r="P4082" s="90">
        <v>45181.837442129632</v>
      </c>
      <c r="Q4082" s="87" t="s">
        <v>5725</v>
      </c>
      <c r="R4082" s="87">
        <v>0</v>
      </c>
      <c r="S4082" s="87">
        <v>0</v>
      </c>
      <c r="T4082" s="87">
        <v>0</v>
      </c>
      <c r="U4082" s="87">
        <v>0</v>
      </c>
      <c r="V4082" s="87">
        <v>232</v>
      </c>
      <c r="W4082" s="93" t="s">
        <v>8270</v>
      </c>
      <c r="X4082" s="87"/>
      <c r="Y4082" s="87"/>
      <c r="Z4082" s="87"/>
      <c r="AA4082" s="87" t="s">
        <v>11368</v>
      </c>
      <c r="AB4082" s="87" t="s">
        <v>11447</v>
      </c>
      <c r="AC4082" s="93" t="s">
        <v>11459</v>
      </c>
      <c r="AD4082" s="87" t="s">
        <v>11519</v>
      </c>
      <c r="AE4082" s="92" t="str">
        <f>HYPERLINK("https://twitter.com/made_hits/status/1701688612599865840")</f>
        <v>https://twitter.com/made_hits/status/1701688612599865840</v>
      </c>
      <c r="AF4082" s="90">
        <v>45181.837442129632</v>
      </c>
      <c r="AG4082" s="99">
        <v>45181</v>
      </c>
      <c r="AH4082" s="93" t="s">
        <v>15081</v>
      </c>
      <c r="AI4082" s="87" t="b">
        <v>0</v>
      </c>
      <c r="AJ4082" s="87"/>
      <c r="AK4082" s="87"/>
      <c r="AL4082" s="87"/>
      <c r="AM4082" s="87"/>
      <c r="AN4082" s="87"/>
      <c r="AO4082" s="87"/>
      <c r="AP4082" s="87"/>
      <c r="AQ4082" s="87" t="s">
        <v>18180</v>
      </c>
      <c r="AR4082" s="87">
        <v>54560</v>
      </c>
      <c r="AS4082" s="87"/>
      <c r="AT4082" s="87"/>
      <c r="AU4082" s="87"/>
      <c r="AV4082" s="92" t="str">
        <f>HYPERLINK("https://pbs.twimg.com/ext_tw_video_thumb/1701688155617792000/pu/img/D6-NzAjeabwNQcc0.jpg")</f>
        <v>https://pbs.twimg.com/ext_tw_video_thumb/1701688155617792000/pu/img/D6-NzAjeabwNQcc0.jpg</v>
      </c>
      <c r="AW4082" s="93" t="s">
        <v>22182</v>
      </c>
      <c r="AX4082" s="93" t="s">
        <v>22182</v>
      </c>
      <c r="AY4082" s="87"/>
      <c r="AZ4082" s="93" t="s">
        <v>22668</v>
      </c>
      <c r="BA4082" s="93" t="s">
        <v>22668</v>
      </c>
      <c r="BB4082" s="93" t="s">
        <v>22668</v>
      </c>
      <c r="BC4082" s="93" t="s">
        <v>22182</v>
      </c>
      <c r="BD4082" s="93" t="s">
        <v>23578</v>
      </c>
      <c r="BE4082" s="87"/>
      <c r="BF4082" s="87"/>
      <c r="BG4082" s="87"/>
      <c r="BH4082" s="87"/>
      <c r="BI4082" s="87"/>
    </row>
    <row r="4083" spans="1:61" x14ac:dyDescent="0.25">
      <c r="A4083" s="63" t="s">
        <v>1575</v>
      </c>
      <c r="B4083" s="63" t="s">
        <v>1575</v>
      </c>
      <c r="C4083" s="64"/>
      <c r="D4083" s="65"/>
      <c r="E4083" s="66"/>
      <c r="F4083" s="67"/>
      <c r="G4083" s="64"/>
      <c r="H4083" s="68"/>
      <c r="I4083" s="69"/>
      <c r="J4083" s="69"/>
      <c r="K4083" s="32"/>
      <c r="L4083" s="76">
        <v>4083</v>
      </c>
      <c r="M4083" s="76"/>
      <c r="N4083" s="71"/>
      <c r="O4083" s="87" t="s">
        <v>179</v>
      </c>
      <c r="P4083" s="90">
        <v>45187.972962962966</v>
      </c>
      <c r="Q4083" s="87" t="s">
        <v>5726</v>
      </c>
      <c r="R4083" s="87">
        <v>0</v>
      </c>
      <c r="S4083" s="87">
        <v>0</v>
      </c>
      <c r="T4083" s="87">
        <v>0</v>
      </c>
      <c r="U4083" s="87">
        <v>0</v>
      </c>
      <c r="V4083" s="87">
        <v>26</v>
      </c>
      <c r="W4083" s="93" t="s">
        <v>8271</v>
      </c>
      <c r="X4083" s="87"/>
      <c r="Y4083" s="87"/>
      <c r="Z4083" s="87"/>
      <c r="AA4083" s="87" t="s">
        <v>11369</v>
      </c>
      <c r="AB4083" s="87" t="s">
        <v>11449</v>
      </c>
      <c r="AC4083" s="93" t="s">
        <v>11459</v>
      </c>
      <c r="AD4083" s="87" t="s">
        <v>11519</v>
      </c>
      <c r="AE4083" s="92" t="str">
        <f>HYPERLINK("https://twitter.com/made_hits/status/1703912049602888024")</f>
        <v>https://twitter.com/made_hits/status/1703912049602888024</v>
      </c>
      <c r="AF4083" s="90">
        <v>45187.972962962966</v>
      </c>
      <c r="AG4083" s="99">
        <v>45187</v>
      </c>
      <c r="AH4083" s="93" t="s">
        <v>15082</v>
      </c>
      <c r="AI4083" s="87" t="b">
        <v>0</v>
      </c>
      <c r="AJ4083" s="87"/>
      <c r="AK4083" s="87"/>
      <c r="AL4083" s="87"/>
      <c r="AM4083" s="87"/>
      <c r="AN4083" s="87"/>
      <c r="AO4083" s="87"/>
      <c r="AP4083" s="87"/>
      <c r="AQ4083" s="87" t="s">
        <v>18181</v>
      </c>
      <c r="AR4083" s="87"/>
      <c r="AS4083" s="87"/>
      <c r="AT4083" s="87"/>
      <c r="AU4083" s="87"/>
      <c r="AV4083" s="92" t="str">
        <f>HYPERLINK("https://pbs.twimg.com/media/F6WC9-SWgAAFGvS.jpg")</f>
        <v>https://pbs.twimg.com/media/F6WC9-SWgAAFGvS.jpg</v>
      </c>
      <c r="AW4083" s="93" t="s">
        <v>22183</v>
      </c>
      <c r="AX4083" s="93" t="s">
        <v>22183</v>
      </c>
      <c r="AY4083" s="87"/>
      <c r="AZ4083" s="93" t="s">
        <v>22668</v>
      </c>
      <c r="BA4083" s="93" t="s">
        <v>22668</v>
      </c>
      <c r="BB4083" s="93" t="s">
        <v>22668</v>
      </c>
      <c r="BC4083" s="93" t="s">
        <v>22183</v>
      </c>
      <c r="BD4083" s="93" t="s">
        <v>23578</v>
      </c>
      <c r="BE4083" s="87"/>
      <c r="BF4083" s="87"/>
      <c r="BG4083" s="87"/>
      <c r="BH4083" s="87"/>
      <c r="BI4083" s="87"/>
    </row>
    <row r="4084" spans="1:61" x14ac:dyDescent="0.25">
      <c r="A4084" s="63" t="s">
        <v>1575</v>
      </c>
      <c r="B4084" s="63" t="s">
        <v>1575</v>
      </c>
      <c r="C4084" s="64"/>
      <c r="D4084" s="65"/>
      <c r="E4084" s="66"/>
      <c r="F4084" s="67"/>
      <c r="G4084" s="64"/>
      <c r="H4084" s="68"/>
      <c r="I4084" s="69"/>
      <c r="J4084" s="69"/>
      <c r="K4084" s="32"/>
      <c r="L4084" s="76">
        <v>4084</v>
      </c>
      <c r="M4084" s="76"/>
      <c r="N4084" s="71"/>
      <c r="O4084" s="87" t="s">
        <v>179</v>
      </c>
      <c r="P4084" s="90">
        <v>45179.621307870373</v>
      </c>
      <c r="Q4084" s="87" t="s">
        <v>5727</v>
      </c>
      <c r="R4084" s="87">
        <v>0</v>
      </c>
      <c r="S4084" s="87">
        <v>1</v>
      </c>
      <c r="T4084" s="87">
        <v>0</v>
      </c>
      <c r="U4084" s="87">
        <v>0</v>
      </c>
      <c r="V4084" s="87">
        <v>17</v>
      </c>
      <c r="W4084" s="93" t="s">
        <v>8272</v>
      </c>
      <c r="X4084" s="87"/>
      <c r="Y4084" s="87"/>
      <c r="Z4084" s="87"/>
      <c r="AA4084" s="87" t="s">
        <v>11370</v>
      </c>
      <c r="AB4084" s="87" t="s">
        <v>11450</v>
      </c>
      <c r="AC4084" s="93" t="s">
        <v>11459</v>
      </c>
      <c r="AD4084" s="87" t="s">
        <v>11519</v>
      </c>
      <c r="AE4084" s="92" t="str">
        <f>HYPERLINK("https://twitter.com/made_hits/status/1700885512683176238")</f>
        <v>https://twitter.com/made_hits/status/1700885512683176238</v>
      </c>
      <c r="AF4084" s="90">
        <v>45179.621307870373</v>
      </c>
      <c r="AG4084" s="99">
        <v>45179</v>
      </c>
      <c r="AH4084" s="93" t="s">
        <v>15083</v>
      </c>
      <c r="AI4084" s="87" t="b">
        <v>0</v>
      </c>
      <c r="AJ4084" s="87"/>
      <c r="AK4084" s="87"/>
      <c r="AL4084" s="87"/>
      <c r="AM4084" s="87"/>
      <c r="AN4084" s="87"/>
      <c r="AO4084" s="87"/>
      <c r="AP4084" s="87"/>
      <c r="AQ4084" s="87" t="s">
        <v>18182</v>
      </c>
      <c r="AR4084" s="87"/>
      <c r="AS4084" s="87"/>
      <c r="AT4084" s="87"/>
      <c r="AU4084" s="87"/>
      <c r="AV4084" s="92" t="str">
        <f>HYPERLINK("https://pbs.twimg.com/media/F5rCWhPWMAA9Ymt.jpg")</f>
        <v>https://pbs.twimg.com/media/F5rCWhPWMAA9Ymt.jpg</v>
      </c>
      <c r="AW4084" s="93" t="s">
        <v>22184</v>
      </c>
      <c r="AX4084" s="93" t="s">
        <v>22184</v>
      </c>
      <c r="AY4084" s="87"/>
      <c r="AZ4084" s="93" t="s">
        <v>22668</v>
      </c>
      <c r="BA4084" s="93" t="s">
        <v>22668</v>
      </c>
      <c r="BB4084" s="93" t="s">
        <v>22668</v>
      </c>
      <c r="BC4084" s="93" t="s">
        <v>22184</v>
      </c>
      <c r="BD4084" s="93" t="s">
        <v>23578</v>
      </c>
      <c r="BE4084" s="87"/>
      <c r="BF4084" s="87"/>
      <c r="BG4084" s="87"/>
      <c r="BH4084" s="87"/>
      <c r="BI4084" s="87"/>
    </row>
    <row r="4085" spans="1:61" x14ac:dyDescent="0.25">
      <c r="A4085" s="63" t="s">
        <v>1576</v>
      </c>
      <c r="B4085" s="63" t="s">
        <v>1576</v>
      </c>
      <c r="C4085" s="64"/>
      <c r="D4085" s="65"/>
      <c r="E4085" s="66"/>
      <c r="F4085" s="67"/>
      <c r="G4085" s="64"/>
      <c r="H4085" s="68"/>
      <c r="I4085" s="69"/>
      <c r="J4085" s="69"/>
      <c r="K4085" s="32"/>
      <c r="L4085" s="76">
        <v>4085</v>
      </c>
      <c r="M4085" s="76"/>
      <c r="N4085" s="71"/>
      <c r="O4085" s="87" t="s">
        <v>1840</v>
      </c>
      <c r="P4085" s="90">
        <v>45187.752951388888</v>
      </c>
      <c r="Q4085" s="87" t="s">
        <v>5728</v>
      </c>
      <c r="R4085" s="87">
        <v>1</v>
      </c>
      <c r="S4085" s="87">
        <v>1</v>
      </c>
      <c r="T4085" s="87">
        <v>1</v>
      </c>
      <c r="U4085" s="87">
        <v>0</v>
      </c>
      <c r="V4085" s="87">
        <v>31</v>
      </c>
      <c r="W4085" s="93" t="s">
        <v>8273</v>
      </c>
      <c r="X4085" s="87"/>
      <c r="Y4085" s="87"/>
      <c r="Z4085" s="87"/>
      <c r="AA4085" s="87" t="s">
        <v>11371</v>
      </c>
      <c r="AB4085" s="87" t="s">
        <v>11448</v>
      </c>
      <c r="AC4085" s="93" t="s">
        <v>11457</v>
      </c>
      <c r="AD4085" s="87" t="s">
        <v>11519</v>
      </c>
      <c r="AE4085" s="92" t="str">
        <f>HYPERLINK("https://twitter.com/certificad95001/status/1703832319440687545")</f>
        <v>https://twitter.com/certificad95001/status/1703832319440687545</v>
      </c>
      <c r="AF4085" s="90">
        <v>45187.752951388888</v>
      </c>
      <c r="AG4085" s="99">
        <v>45187</v>
      </c>
      <c r="AH4085" s="93" t="s">
        <v>15084</v>
      </c>
      <c r="AI4085" s="87" t="b">
        <v>0</v>
      </c>
      <c r="AJ4085" s="87"/>
      <c r="AK4085" s="87"/>
      <c r="AL4085" s="87"/>
      <c r="AM4085" s="87"/>
      <c r="AN4085" s="87"/>
      <c r="AO4085" s="87"/>
      <c r="AP4085" s="87"/>
      <c r="AQ4085" s="87" t="s">
        <v>18183</v>
      </c>
      <c r="AR4085" s="87"/>
      <c r="AS4085" s="87"/>
      <c r="AT4085" s="87"/>
      <c r="AU4085" s="87"/>
      <c r="AV4085" s="92" t="str">
        <f>HYPERLINK("https://pbs.twimg.com/media/F6U6KJFW0AAT7T-.jpg")</f>
        <v>https://pbs.twimg.com/media/F6U6KJFW0AAT7T-.jpg</v>
      </c>
      <c r="AW4085" s="93" t="s">
        <v>22185</v>
      </c>
      <c r="AX4085" s="93" t="s">
        <v>22187</v>
      </c>
      <c r="AY4085" s="93" t="s">
        <v>22662</v>
      </c>
      <c r="AZ4085" s="93" t="s">
        <v>22186</v>
      </c>
      <c r="BA4085" s="93" t="s">
        <v>22668</v>
      </c>
      <c r="BB4085" s="93" t="s">
        <v>22668</v>
      </c>
      <c r="BC4085" s="93" t="s">
        <v>22186</v>
      </c>
      <c r="BD4085" s="93" t="s">
        <v>22662</v>
      </c>
      <c r="BE4085" s="87"/>
      <c r="BF4085" s="87"/>
      <c r="BG4085" s="87"/>
      <c r="BH4085" s="87"/>
      <c r="BI4085" s="87"/>
    </row>
    <row r="4086" spans="1:61" x14ac:dyDescent="0.25">
      <c r="A4086" s="63" t="s">
        <v>1576</v>
      </c>
      <c r="B4086" s="63" t="s">
        <v>1576</v>
      </c>
      <c r="C4086" s="64"/>
      <c r="D4086" s="65"/>
      <c r="E4086" s="66"/>
      <c r="F4086" s="67"/>
      <c r="G4086" s="64"/>
      <c r="H4086" s="68"/>
      <c r="I4086" s="69"/>
      <c r="J4086" s="69"/>
      <c r="K4086" s="32"/>
      <c r="L4086" s="76">
        <v>4086</v>
      </c>
      <c r="M4086" s="76"/>
      <c r="N4086" s="71"/>
      <c r="O4086" s="87" t="s">
        <v>1840</v>
      </c>
      <c r="P4086" s="90">
        <v>45187.752939814818</v>
      </c>
      <c r="Q4086" s="87" t="s">
        <v>5729</v>
      </c>
      <c r="R4086" s="87">
        <v>1</v>
      </c>
      <c r="S4086" s="87">
        <v>1</v>
      </c>
      <c r="T4086" s="87">
        <v>1</v>
      </c>
      <c r="U4086" s="87">
        <v>0</v>
      </c>
      <c r="V4086" s="87">
        <v>11</v>
      </c>
      <c r="W4086" s="93" t="s">
        <v>8273</v>
      </c>
      <c r="X4086" s="87"/>
      <c r="Y4086" s="87"/>
      <c r="Z4086" s="87"/>
      <c r="AA4086" s="87" t="s">
        <v>11372</v>
      </c>
      <c r="AB4086" s="87" t="s">
        <v>11448</v>
      </c>
      <c r="AC4086" s="93" t="s">
        <v>11457</v>
      </c>
      <c r="AD4086" s="87" t="s">
        <v>11519</v>
      </c>
      <c r="AE4086" s="92" t="str">
        <f>HYPERLINK("https://twitter.com/certificad95001/status/1703832316018131431")</f>
        <v>https://twitter.com/certificad95001/status/1703832316018131431</v>
      </c>
      <c r="AF4086" s="90">
        <v>45187.752939814818</v>
      </c>
      <c r="AG4086" s="99">
        <v>45187</v>
      </c>
      <c r="AH4086" s="93" t="s">
        <v>15085</v>
      </c>
      <c r="AI4086" s="87" t="b">
        <v>0</v>
      </c>
      <c r="AJ4086" s="87"/>
      <c r="AK4086" s="87"/>
      <c r="AL4086" s="87"/>
      <c r="AM4086" s="87"/>
      <c r="AN4086" s="87"/>
      <c r="AO4086" s="87"/>
      <c r="AP4086" s="87"/>
      <c r="AQ4086" s="87" t="s">
        <v>18184</v>
      </c>
      <c r="AR4086" s="87"/>
      <c r="AS4086" s="87"/>
      <c r="AT4086" s="87"/>
      <c r="AU4086" s="87"/>
      <c r="AV4086" s="92" t="str">
        <f>HYPERLINK("https://pbs.twimg.com/media/F6U6DwcWYAQ2Dl-.jpg")</f>
        <v>https://pbs.twimg.com/media/F6U6DwcWYAQ2Dl-.jpg</v>
      </c>
      <c r="AW4086" s="93" t="s">
        <v>22186</v>
      </c>
      <c r="AX4086" s="93" t="s">
        <v>22187</v>
      </c>
      <c r="AY4086" s="93" t="s">
        <v>22662</v>
      </c>
      <c r="AZ4086" s="93" t="s">
        <v>22785</v>
      </c>
      <c r="BA4086" s="93" t="s">
        <v>22668</v>
      </c>
      <c r="BB4086" s="93" t="s">
        <v>22668</v>
      </c>
      <c r="BC4086" s="93" t="s">
        <v>22785</v>
      </c>
      <c r="BD4086" s="93" t="s">
        <v>22662</v>
      </c>
      <c r="BE4086" s="87"/>
      <c r="BF4086" s="87"/>
      <c r="BG4086" s="87"/>
      <c r="BH4086" s="87"/>
      <c r="BI4086" s="87"/>
    </row>
    <row r="4087" spans="1:61" x14ac:dyDescent="0.25">
      <c r="A4087" s="63" t="s">
        <v>1576</v>
      </c>
      <c r="B4087" s="63" t="s">
        <v>1576</v>
      </c>
      <c r="C4087" s="64"/>
      <c r="D4087" s="65"/>
      <c r="E4087" s="66"/>
      <c r="F4087" s="67"/>
      <c r="G4087" s="64"/>
      <c r="H4087" s="68"/>
      <c r="I4087" s="69"/>
      <c r="J4087" s="69"/>
      <c r="K4087" s="32"/>
      <c r="L4087" s="76">
        <v>4087</v>
      </c>
      <c r="M4087" s="76"/>
      <c r="N4087" s="71"/>
      <c r="O4087" s="87" t="s">
        <v>179</v>
      </c>
      <c r="P4087" s="90">
        <v>45187.752916666665</v>
      </c>
      <c r="Q4087" s="87" t="s">
        <v>5730</v>
      </c>
      <c r="R4087" s="87">
        <v>1</v>
      </c>
      <c r="S4087" s="87">
        <v>1</v>
      </c>
      <c r="T4087" s="87">
        <v>1</v>
      </c>
      <c r="U4087" s="87">
        <v>0</v>
      </c>
      <c r="V4087" s="87">
        <v>43</v>
      </c>
      <c r="W4087" s="93" t="s">
        <v>8273</v>
      </c>
      <c r="X4087" s="87"/>
      <c r="Y4087" s="87"/>
      <c r="Z4087" s="87"/>
      <c r="AA4087" s="87" t="s">
        <v>11373</v>
      </c>
      <c r="AB4087" s="87" t="s">
        <v>11448</v>
      </c>
      <c r="AC4087" s="93" t="s">
        <v>11457</v>
      </c>
      <c r="AD4087" s="87" t="s">
        <v>11519</v>
      </c>
      <c r="AE4087" s="92" t="str">
        <f>HYPERLINK("https://twitter.com/certificad95001/status/1703832308820668511")</f>
        <v>https://twitter.com/certificad95001/status/1703832308820668511</v>
      </c>
      <c r="AF4087" s="90">
        <v>45187.752916666665</v>
      </c>
      <c r="AG4087" s="99">
        <v>45187</v>
      </c>
      <c r="AH4087" s="93" t="s">
        <v>15086</v>
      </c>
      <c r="AI4087" s="87" t="b">
        <v>0</v>
      </c>
      <c r="AJ4087" s="87"/>
      <c r="AK4087" s="87"/>
      <c r="AL4087" s="87"/>
      <c r="AM4087" s="87"/>
      <c r="AN4087" s="87"/>
      <c r="AO4087" s="87"/>
      <c r="AP4087" s="87"/>
      <c r="AQ4087" s="87" t="s">
        <v>18185</v>
      </c>
      <c r="AR4087" s="87"/>
      <c r="AS4087" s="87"/>
      <c r="AT4087" s="87"/>
      <c r="AU4087" s="87"/>
      <c r="AV4087" s="92" t="str">
        <f>HYPERLINK("https://pbs.twimg.com/media/F6U5vCcWoAA7Yg9.jpg")</f>
        <v>https://pbs.twimg.com/media/F6U5vCcWoAA7Yg9.jpg</v>
      </c>
      <c r="AW4087" s="93" t="s">
        <v>22187</v>
      </c>
      <c r="AX4087" s="93" t="s">
        <v>22187</v>
      </c>
      <c r="AY4087" s="87"/>
      <c r="AZ4087" s="93" t="s">
        <v>22668</v>
      </c>
      <c r="BA4087" s="93" t="s">
        <v>22668</v>
      </c>
      <c r="BB4087" s="93" t="s">
        <v>22668</v>
      </c>
      <c r="BC4087" s="93" t="s">
        <v>22187</v>
      </c>
      <c r="BD4087" s="93" t="s">
        <v>22662</v>
      </c>
      <c r="BE4087" s="87"/>
      <c r="BF4087" s="87"/>
      <c r="BG4087" s="87"/>
      <c r="BH4087" s="87"/>
      <c r="BI4087" s="87"/>
    </row>
    <row r="4088" spans="1:61" x14ac:dyDescent="0.25">
      <c r="A4088" s="63" t="s">
        <v>1576</v>
      </c>
      <c r="B4088" s="63" t="s">
        <v>1576</v>
      </c>
      <c r="C4088" s="64"/>
      <c r="D4088" s="65"/>
      <c r="E4088" s="66"/>
      <c r="F4088" s="67"/>
      <c r="G4088" s="64"/>
      <c r="H4088" s="68"/>
      <c r="I4088" s="69"/>
      <c r="J4088" s="69"/>
      <c r="K4088" s="32"/>
      <c r="L4088" s="76">
        <v>4088</v>
      </c>
      <c r="M4088" s="76"/>
      <c r="N4088" s="71"/>
      <c r="O4088" s="87" t="s">
        <v>1840</v>
      </c>
      <c r="P4088" s="90">
        <v>45187.744479166664</v>
      </c>
      <c r="Q4088" s="87" t="s">
        <v>5731</v>
      </c>
      <c r="R4088" s="87">
        <v>1</v>
      </c>
      <c r="S4088" s="87">
        <v>3</v>
      </c>
      <c r="T4088" s="87">
        <v>1</v>
      </c>
      <c r="U4088" s="87">
        <v>0</v>
      </c>
      <c r="V4088" s="87">
        <v>37</v>
      </c>
      <c r="W4088" s="93" t="s">
        <v>8274</v>
      </c>
      <c r="X4088" s="87"/>
      <c r="Y4088" s="87"/>
      <c r="Z4088" s="87"/>
      <c r="AA4088" s="87" t="s">
        <v>11374</v>
      </c>
      <c r="AB4088" s="87" t="s">
        <v>11448</v>
      </c>
      <c r="AC4088" s="93" t="s">
        <v>11457</v>
      </c>
      <c r="AD4088" s="87" t="s">
        <v>11519</v>
      </c>
      <c r="AE4088" s="92" t="str">
        <f>HYPERLINK("https://twitter.com/certificad95001/status/1703829251357622682")</f>
        <v>https://twitter.com/certificad95001/status/1703829251357622682</v>
      </c>
      <c r="AF4088" s="90">
        <v>45187.744479166664</v>
      </c>
      <c r="AG4088" s="99">
        <v>45187</v>
      </c>
      <c r="AH4088" s="93" t="s">
        <v>15087</v>
      </c>
      <c r="AI4088" s="87" t="b">
        <v>0</v>
      </c>
      <c r="AJ4088" s="87"/>
      <c r="AK4088" s="87"/>
      <c r="AL4088" s="87"/>
      <c r="AM4088" s="87"/>
      <c r="AN4088" s="87"/>
      <c r="AO4088" s="87"/>
      <c r="AP4088" s="87"/>
      <c r="AQ4088" s="87" t="s">
        <v>18186</v>
      </c>
      <c r="AR4088" s="87"/>
      <c r="AS4088" s="87"/>
      <c r="AT4088" s="87"/>
      <c r="AU4088" s="87"/>
      <c r="AV4088" s="92" t="str">
        <f>HYPERLINK("https://pbs.twimg.com/media/F6U3Xe8XwAAoBlb.jpg")</f>
        <v>https://pbs.twimg.com/media/F6U3Xe8XwAAoBlb.jpg</v>
      </c>
      <c r="AW4088" s="93" t="s">
        <v>22188</v>
      </c>
      <c r="AX4088" s="93" t="s">
        <v>22509</v>
      </c>
      <c r="AY4088" s="93" t="s">
        <v>22662</v>
      </c>
      <c r="AZ4088" s="93" t="s">
        <v>22189</v>
      </c>
      <c r="BA4088" s="93" t="s">
        <v>22668</v>
      </c>
      <c r="BB4088" s="93" t="s">
        <v>22668</v>
      </c>
      <c r="BC4088" s="93" t="s">
        <v>22189</v>
      </c>
      <c r="BD4088" s="93" t="s">
        <v>22662</v>
      </c>
      <c r="BE4088" s="87"/>
      <c r="BF4088" s="87"/>
      <c r="BG4088" s="87"/>
      <c r="BH4088" s="87"/>
      <c r="BI4088" s="87"/>
    </row>
    <row r="4089" spans="1:61" x14ac:dyDescent="0.25">
      <c r="A4089" s="63" t="s">
        <v>1576</v>
      </c>
      <c r="B4089" s="63" t="s">
        <v>1576</v>
      </c>
      <c r="C4089" s="64"/>
      <c r="D4089" s="65"/>
      <c r="E4089" s="66"/>
      <c r="F4089" s="67"/>
      <c r="G4089" s="64"/>
      <c r="H4089" s="68"/>
      <c r="I4089" s="69"/>
      <c r="J4089" s="69"/>
      <c r="K4089" s="32"/>
      <c r="L4089" s="76">
        <v>4089</v>
      </c>
      <c r="M4089" s="76"/>
      <c r="N4089" s="71"/>
      <c r="O4089" s="87" t="s">
        <v>1840</v>
      </c>
      <c r="P4089" s="90">
        <v>45187.744479166664</v>
      </c>
      <c r="Q4089" s="87" t="s">
        <v>5732</v>
      </c>
      <c r="R4089" s="87">
        <v>1</v>
      </c>
      <c r="S4089" s="87">
        <v>3</v>
      </c>
      <c r="T4089" s="87">
        <v>1</v>
      </c>
      <c r="U4089" s="87">
        <v>0</v>
      </c>
      <c r="V4089" s="87">
        <v>15</v>
      </c>
      <c r="W4089" s="93" t="s">
        <v>8275</v>
      </c>
      <c r="X4089" s="87"/>
      <c r="Y4089" s="87"/>
      <c r="Z4089" s="87"/>
      <c r="AA4089" s="87" t="s">
        <v>11375</v>
      </c>
      <c r="AB4089" s="87" t="s">
        <v>11448</v>
      </c>
      <c r="AC4089" s="93" t="s">
        <v>11457</v>
      </c>
      <c r="AD4089" s="87" t="s">
        <v>11519</v>
      </c>
      <c r="AE4089" s="92" t="str">
        <f>HYPERLINK("https://twitter.com/certificad95001/status/1703829248513802484")</f>
        <v>https://twitter.com/certificad95001/status/1703829248513802484</v>
      </c>
      <c r="AF4089" s="90">
        <v>45187.744479166664</v>
      </c>
      <c r="AG4089" s="99">
        <v>45187</v>
      </c>
      <c r="AH4089" s="93" t="s">
        <v>15087</v>
      </c>
      <c r="AI4089" s="87" t="b">
        <v>0</v>
      </c>
      <c r="AJ4089" s="87"/>
      <c r="AK4089" s="87"/>
      <c r="AL4089" s="87"/>
      <c r="AM4089" s="87"/>
      <c r="AN4089" s="87"/>
      <c r="AO4089" s="87"/>
      <c r="AP4089" s="87"/>
      <c r="AQ4089" s="87" t="s">
        <v>18187</v>
      </c>
      <c r="AR4089" s="87"/>
      <c r="AS4089" s="87"/>
      <c r="AT4089" s="87"/>
      <c r="AU4089" s="87"/>
      <c r="AV4089" s="92" t="str">
        <f>HYPERLINK("https://pbs.twimg.com/media/F6U3PqFWwAA65iC.jpg")</f>
        <v>https://pbs.twimg.com/media/F6U3PqFWwAA65iC.jpg</v>
      </c>
      <c r="AW4089" s="93" t="s">
        <v>22189</v>
      </c>
      <c r="AX4089" s="93" t="s">
        <v>22509</v>
      </c>
      <c r="AY4089" s="93" t="s">
        <v>22662</v>
      </c>
      <c r="AZ4089" s="93" t="s">
        <v>22786</v>
      </c>
      <c r="BA4089" s="93" t="s">
        <v>22668</v>
      </c>
      <c r="BB4089" s="93" t="s">
        <v>22668</v>
      </c>
      <c r="BC4089" s="93" t="s">
        <v>22786</v>
      </c>
      <c r="BD4089" s="93" t="s">
        <v>22662</v>
      </c>
      <c r="BE4089" s="87"/>
      <c r="BF4089" s="87"/>
      <c r="BG4089" s="87"/>
      <c r="BH4089" s="87"/>
      <c r="BI4089" s="87"/>
    </row>
    <row r="4090" spans="1:61" x14ac:dyDescent="0.25">
      <c r="A4090" s="63" t="s">
        <v>1576</v>
      </c>
      <c r="B4090" s="63" t="s">
        <v>1576</v>
      </c>
      <c r="C4090" s="64"/>
      <c r="D4090" s="65"/>
      <c r="E4090" s="66"/>
      <c r="F4090" s="67"/>
      <c r="G4090" s="64"/>
      <c r="H4090" s="68"/>
      <c r="I4090" s="69"/>
      <c r="J4090" s="69"/>
      <c r="K4090" s="32"/>
      <c r="L4090" s="76">
        <v>4090</v>
      </c>
      <c r="M4090" s="76"/>
      <c r="N4090" s="71"/>
      <c r="O4090" s="87" t="s">
        <v>1840</v>
      </c>
      <c r="P4090" s="90">
        <v>45188.701261574075</v>
      </c>
      <c r="Q4090" s="87" t="s">
        <v>5733</v>
      </c>
      <c r="R4090" s="87">
        <v>0</v>
      </c>
      <c r="S4090" s="87">
        <v>0</v>
      </c>
      <c r="T4090" s="87">
        <v>0</v>
      </c>
      <c r="U4090" s="87">
        <v>0</v>
      </c>
      <c r="V4090" s="87">
        <v>23</v>
      </c>
      <c r="W4090" s="93" t="s">
        <v>8276</v>
      </c>
      <c r="X4090" s="92" t="str">
        <f>HYPERLINK("https://serasa.certificadodigital.com.br/clube-do-revendedor/cupom/?cp=CRAND23616")</f>
        <v>https://serasa.certificadodigital.com.br/clube-do-revendedor/cupom/?cp=CRAND23616</v>
      </c>
      <c r="Y4090" s="87" t="s">
        <v>8373</v>
      </c>
      <c r="Z4090" s="87"/>
      <c r="AA4090" s="87" t="s">
        <v>11376</v>
      </c>
      <c r="AB4090" s="87" t="s">
        <v>11447</v>
      </c>
      <c r="AC4090" s="93" t="s">
        <v>11457</v>
      </c>
      <c r="AD4090" s="87" t="s">
        <v>11519</v>
      </c>
      <c r="AE4090" s="92" t="str">
        <f>HYPERLINK("https://twitter.com/certificad95001/status/1704175978337996899")</f>
        <v>https://twitter.com/certificad95001/status/1704175978337996899</v>
      </c>
      <c r="AF4090" s="90">
        <v>45188.701261574075</v>
      </c>
      <c r="AG4090" s="99">
        <v>45188</v>
      </c>
      <c r="AH4090" s="93" t="s">
        <v>15088</v>
      </c>
      <c r="AI4090" s="87" t="b">
        <v>0</v>
      </c>
      <c r="AJ4090" s="87"/>
      <c r="AK4090" s="87"/>
      <c r="AL4090" s="87"/>
      <c r="AM4090" s="87"/>
      <c r="AN4090" s="87"/>
      <c r="AO4090" s="87"/>
      <c r="AP4090" s="87"/>
      <c r="AQ4090" s="87" t="s">
        <v>18188</v>
      </c>
      <c r="AR4090" s="87">
        <v>29500</v>
      </c>
      <c r="AS4090" s="87"/>
      <c r="AT4090" s="87"/>
      <c r="AU4090" s="87"/>
      <c r="AV4090" s="92" t="str">
        <f>HYPERLINK("https://pbs.twimg.com/ext_tw_video_thumb/1704175837824647168/pu/img/WHxDwLKoCqSLXVOI.jpg")</f>
        <v>https://pbs.twimg.com/ext_tw_video_thumb/1704175837824647168/pu/img/WHxDwLKoCqSLXVOI.jpg</v>
      </c>
      <c r="AW4090" s="93" t="s">
        <v>22190</v>
      </c>
      <c r="AX4090" s="93" t="s">
        <v>22192</v>
      </c>
      <c r="AY4090" s="93" t="s">
        <v>22662</v>
      </c>
      <c r="AZ4090" s="93" t="s">
        <v>22191</v>
      </c>
      <c r="BA4090" s="93" t="s">
        <v>22668</v>
      </c>
      <c r="BB4090" s="93" t="s">
        <v>22668</v>
      </c>
      <c r="BC4090" s="93" t="s">
        <v>22191</v>
      </c>
      <c r="BD4090" s="93" t="s">
        <v>22662</v>
      </c>
      <c r="BE4090" s="87"/>
      <c r="BF4090" s="87"/>
      <c r="BG4090" s="87"/>
      <c r="BH4090" s="87"/>
      <c r="BI4090" s="87"/>
    </row>
    <row r="4091" spans="1:61" x14ac:dyDescent="0.25">
      <c r="A4091" s="63" t="s">
        <v>1576</v>
      </c>
      <c r="B4091" s="63" t="s">
        <v>1576</v>
      </c>
      <c r="C4091" s="64"/>
      <c r="D4091" s="65"/>
      <c r="E4091" s="66"/>
      <c r="F4091" s="67"/>
      <c r="G4091" s="64"/>
      <c r="H4091" s="68"/>
      <c r="I4091" s="69"/>
      <c r="J4091" s="69"/>
      <c r="K4091" s="32"/>
      <c r="L4091" s="76">
        <v>4091</v>
      </c>
      <c r="M4091" s="76"/>
      <c r="N4091" s="71"/>
      <c r="O4091" s="87" t="s">
        <v>1840</v>
      </c>
      <c r="P4091" s="90">
        <v>45188.701261574075</v>
      </c>
      <c r="Q4091" s="87" t="s">
        <v>5734</v>
      </c>
      <c r="R4091" s="87">
        <v>0</v>
      </c>
      <c r="S4091" s="87">
        <v>0</v>
      </c>
      <c r="T4091" s="87">
        <v>1</v>
      </c>
      <c r="U4091" s="87">
        <v>0</v>
      </c>
      <c r="V4091" s="87">
        <v>24</v>
      </c>
      <c r="W4091" s="93" t="s">
        <v>8276</v>
      </c>
      <c r="X4091" s="87"/>
      <c r="Y4091" s="87"/>
      <c r="Z4091" s="87"/>
      <c r="AA4091" s="87" t="s">
        <v>11377</v>
      </c>
      <c r="AB4091" s="87" t="s">
        <v>11448</v>
      </c>
      <c r="AC4091" s="93" t="s">
        <v>11457</v>
      </c>
      <c r="AD4091" s="87" t="s">
        <v>11519</v>
      </c>
      <c r="AE4091" s="92" t="str">
        <f>HYPERLINK("https://twitter.com/certificad95001/status/1704175975708185004")</f>
        <v>https://twitter.com/certificad95001/status/1704175975708185004</v>
      </c>
      <c r="AF4091" s="90">
        <v>45188.701261574075</v>
      </c>
      <c r="AG4091" s="99">
        <v>45188</v>
      </c>
      <c r="AH4091" s="93" t="s">
        <v>15088</v>
      </c>
      <c r="AI4091" s="87" t="b">
        <v>0</v>
      </c>
      <c r="AJ4091" s="87"/>
      <c r="AK4091" s="87"/>
      <c r="AL4091" s="87"/>
      <c r="AM4091" s="87"/>
      <c r="AN4091" s="87"/>
      <c r="AO4091" s="87"/>
      <c r="AP4091" s="87"/>
      <c r="AQ4091" s="87" t="s">
        <v>18189</v>
      </c>
      <c r="AR4091" s="87"/>
      <c r="AS4091" s="87"/>
      <c r="AT4091" s="87"/>
      <c r="AU4091" s="87"/>
      <c r="AV4091" s="92" t="str">
        <f>HYPERLINK("https://pbs.twimg.com/media/F6Zyr9wWoAA1LRJ.jpg")</f>
        <v>https://pbs.twimg.com/media/F6Zyr9wWoAA1LRJ.jpg</v>
      </c>
      <c r="AW4091" s="93" t="s">
        <v>22191</v>
      </c>
      <c r="AX4091" s="93" t="s">
        <v>22192</v>
      </c>
      <c r="AY4091" s="93" t="s">
        <v>22662</v>
      </c>
      <c r="AZ4091" s="93" t="s">
        <v>22192</v>
      </c>
      <c r="BA4091" s="93" t="s">
        <v>22668</v>
      </c>
      <c r="BB4091" s="93" t="s">
        <v>22668</v>
      </c>
      <c r="BC4091" s="93" t="s">
        <v>22192</v>
      </c>
      <c r="BD4091" s="93" t="s">
        <v>22662</v>
      </c>
      <c r="BE4091" s="87"/>
      <c r="BF4091" s="87"/>
      <c r="BG4091" s="87"/>
      <c r="BH4091" s="87"/>
      <c r="BI4091" s="87"/>
    </row>
    <row r="4092" spans="1:61" x14ac:dyDescent="0.25">
      <c r="A4092" s="63" t="s">
        <v>1576</v>
      </c>
      <c r="B4092" s="63" t="s">
        <v>1576</v>
      </c>
      <c r="C4092" s="64"/>
      <c r="D4092" s="65"/>
      <c r="E4092" s="66"/>
      <c r="F4092" s="67"/>
      <c r="G4092" s="64"/>
      <c r="H4092" s="68"/>
      <c r="I4092" s="69"/>
      <c r="J4092" s="69"/>
      <c r="K4092" s="32"/>
      <c r="L4092" s="76">
        <v>4092</v>
      </c>
      <c r="M4092" s="76"/>
      <c r="N4092" s="71"/>
      <c r="O4092" s="87" t="s">
        <v>179</v>
      </c>
      <c r="P4092" s="90">
        <v>45188.701249999998</v>
      </c>
      <c r="Q4092" s="87" t="s">
        <v>5735</v>
      </c>
      <c r="R4092" s="87">
        <v>0</v>
      </c>
      <c r="S4092" s="87">
        <v>0</v>
      </c>
      <c r="T4092" s="87">
        <v>1</v>
      </c>
      <c r="U4092" s="87">
        <v>0</v>
      </c>
      <c r="V4092" s="87">
        <v>30</v>
      </c>
      <c r="W4092" s="93" t="s">
        <v>8276</v>
      </c>
      <c r="X4092" s="87"/>
      <c r="Y4092" s="87"/>
      <c r="Z4092" s="87"/>
      <c r="AA4092" s="87" t="s">
        <v>11378</v>
      </c>
      <c r="AB4092" s="87" t="s">
        <v>11448</v>
      </c>
      <c r="AC4092" s="93" t="s">
        <v>11457</v>
      </c>
      <c r="AD4092" s="87" t="s">
        <v>11519</v>
      </c>
      <c r="AE4092" s="92" t="str">
        <f>HYPERLINK("https://twitter.com/certificad95001/status/1704175972889587747")</f>
        <v>https://twitter.com/certificad95001/status/1704175972889587747</v>
      </c>
      <c r="AF4092" s="90">
        <v>45188.701249999998</v>
      </c>
      <c r="AG4092" s="99">
        <v>45188</v>
      </c>
      <c r="AH4092" s="93" t="s">
        <v>15089</v>
      </c>
      <c r="AI4092" s="87" t="b">
        <v>0</v>
      </c>
      <c r="AJ4092" s="87"/>
      <c r="AK4092" s="87"/>
      <c r="AL4092" s="87"/>
      <c r="AM4092" s="87"/>
      <c r="AN4092" s="87"/>
      <c r="AO4092" s="87"/>
      <c r="AP4092" s="87"/>
      <c r="AQ4092" s="87" t="s">
        <v>18190</v>
      </c>
      <c r="AR4092" s="87"/>
      <c r="AS4092" s="87"/>
      <c r="AT4092" s="87"/>
      <c r="AU4092" s="87"/>
      <c r="AV4092" s="92" t="str">
        <f>HYPERLINK("https://pbs.twimg.com/media/F6ZyTSXWUAAW7jQ.jpg")</f>
        <v>https://pbs.twimg.com/media/F6ZyTSXWUAAW7jQ.jpg</v>
      </c>
      <c r="AW4092" s="93" t="s">
        <v>22192</v>
      </c>
      <c r="AX4092" s="93" t="s">
        <v>22192</v>
      </c>
      <c r="AY4092" s="87"/>
      <c r="AZ4092" s="93" t="s">
        <v>22668</v>
      </c>
      <c r="BA4092" s="93" t="s">
        <v>22668</v>
      </c>
      <c r="BB4092" s="93" t="s">
        <v>22668</v>
      </c>
      <c r="BC4092" s="93" t="s">
        <v>22192</v>
      </c>
      <c r="BD4092" s="93" t="s">
        <v>22662</v>
      </c>
      <c r="BE4092" s="87"/>
      <c r="BF4092" s="87"/>
      <c r="BG4092" s="87"/>
      <c r="BH4092" s="87"/>
      <c r="BI4092" s="87"/>
    </row>
    <row r="4093" spans="1:61" x14ac:dyDescent="0.25">
      <c r="A4093" s="63" t="s">
        <v>1577</v>
      </c>
      <c r="B4093" s="63" t="s">
        <v>1576</v>
      </c>
      <c r="C4093" s="64"/>
      <c r="D4093" s="65"/>
      <c r="E4093" s="66"/>
      <c r="F4093" s="67"/>
      <c r="G4093" s="64"/>
      <c r="H4093" s="68"/>
      <c r="I4093" s="69"/>
      <c r="J4093" s="69"/>
      <c r="K4093" s="32"/>
      <c r="L4093" s="76">
        <v>4093</v>
      </c>
      <c r="M4093" s="76"/>
      <c r="N4093" s="71"/>
      <c r="O4093" s="87" t="s">
        <v>1841</v>
      </c>
      <c r="P4093" s="90">
        <v>45187.754201388889</v>
      </c>
      <c r="Q4093" s="87" t="s">
        <v>5736</v>
      </c>
      <c r="R4093" s="87">
        <v>1</v>
      </c>
      <c r="S4093" s="87">
        <v>0</v>
      </c>
      <c r="T4093" s="87">
        <v>0</v>
      </c>
      <c r="U4093" s="87">
        <v>0</v>
      </c>
      <c r="V4093" s="87"/>
      <c r="W4093" s="87"/>
      <c r="X4093" s="87"/>
      <c r="Y4093" s="87"/>
      <c r="Z4093" s="87" t="s">
        <v>1576</v>
      </c>
      <c r="AA4093" s="87"/>
      <c r="AB4093" s="87"/>
      <c r="AC4093" s="93" t="s">
        <v>11457</v>
      </c>
      <c r="AD4093" s="87" t="s">
        <v>11519</v>
      </c>
      <c r="AE4093" s="92" t="str">
        <f>HYPERLINK("https://twitter.com/andrbragagonal1/status/1703832774682017849")</f>
        <v>https://twitter.com/andrbragagonal1/status/1703832774682017849</v>
      </c>
      <c r="AF4093" s="90">
        <v>45187.754201388889</v>
      </c>
      <c r="AG4093" s="99">
        <v>45187</v>
      </c>
      <c r="AH4093" s="93" t="s">
        <v>12310</v>
      </c>
      <c r="AI4093" s="87"/>
      <c r="AJ4093" s="87"/>
      <c r="AK4093" s="87"/>
      <c r="AL4093" s="87"/>
      <c r="AM4093" s="87"/>
      <c r="AN4093" s="87"/>
      <c r="AO4093" s="87"/>
      <c r="AP4093" s="87"/>
      <c r="AQ4093" s="87"/>
      <c r="AR4093" s="87"/>
      <c r="AS4093" s="87"/>
      <c r="AT4093" s="87"/>
      <c r="AU4093" s="87"/>
      <c r="AV4093" s="92" t="str">
        <f>HYPERLINK("https://abs.twimg.com/sticky/default_profile_images/default_profile_normal.png")</f>
        <v>https://abs.twimg.com/sticky/default_profile_images/default_profile_normal.png</v>
      </c>
      <c r="AW4093" s="93" t="s">
        <v>22193</v>
      </c>
      <c r="AX4093" s="93" t="s">
        <v>22193</v>
      </c>
      <c r="AY4093" s="87"/>
      <c r="AZ4093" s="93" t="s">
        <v>22668</v>
      </c>
      <c r="BA4093" s="93" t="s">
        <v>22668</v>
      </c>
      <c r="BB4093" s="93" t="s">
        <v>22185</v>
      </c>
      <c r="BC4093" s="93" t="s">
        <v>22185</v>
      </c>
      <c r="BD4093" s="93" t="s">
        <v>23579</v>
      </c>
      <c r="BE4093" s="87"/>
      <c r="BF4093" s="87"/>
      <c r="BG4093" s="87"/>
      <c r="BH4093" s="87"/>
      <c r="BI4093" s="87"/>
    </row>
    <row r="4094" spans="1:61" x14ac:dyDescent="0.25">
      <c r="A4094" s="63" t="s">
        <v>1577</v>
      </c>
      <c r="B4094" s="63" t="s">
        <v>1576</v>
      </c>
      <c r="C4094" s="64"/>
      <c r="D4094" s="65"/>
      <c r="E4094" s="66"/>
      <c r="F4094" s="67"/>
      <c r="G4094" s="64"/>
      <c r="H4094" s="68"/>
      <c r="I4094" s="69"/>
      <c r="J4094" s="69"/>
      <c r="K4094" s="32"/>
      <c r="L4094" s="76">
        <v>4094</v>
      </c>
      <c r="M4094" s="76"/>
      <c r="N4094" s="71"/>
      <c r="O4094" s="87" t="s">
        <v>1841</v>
      </c>
      <c r="P4094" s="90">
        <v>45187.754166666666</v>
      </c>
      <c r="Q4094" s="87" t="s">
        <v>5737</v>
      </c>
      <c r="R4094" s="87">
        <v>1</v>
      </c>
      <c r="S4094" s="87">
        <v>0</v>
      </c>
      <c r="T4094" s="87">
        <v>0</v>
      </c>
      <c r="U4094" s="87">
        <v>0</v>
      </c>
      <c r="V4094" s="87"/>
      <c r="W4094" s="93" t="s">
        <v>8277</v>
      </c>
      <c r="X4094" s="87"/>
      <c r="Y4094" s="87"/>
      <c r="Z4094" s="87" t="s">
        <v>1576</v>
      </c>
      <c r="AA4094" s="87"/>
      <c r="AB4094" s="87"/>
      <c r="AC4094" s="93" t="s">
        <v>11457</v>
      </c>
      <c r="AD4094" s="87" t="s">
        <v>11519</v>
      </c>
      <c r="AE4094" s="92" t="str">
        <f>HYPERLINK("https://twitter.com/andrbragagonal1/status/1703832760316502293")</f>
        <v>https://twitter.com/andrbragagonal1/status/1703832760316502293</v>
      </c>
      <c r="AF4094" s="90">
        <v>45187.754166666666</v>
      </c>
      <c r="AG4094" s="99">
        <v>45187</v>
      </c>
      <c r="AH4094" s="93" t="s">
        <v>15090</v>
      </c>
      <c r="AI4094" s="87"/>
      <c r="AJ4094" s="87"/>
      <c r="AK4094" s="87"/>
      <c r="AL4094" s="87"/>
      <c r="AM4094" s="87"/>
      <c r="AN4094" s="87"/>
      <c r="AO4094" s="87"/>
      <c r="AP4094" s="87"/>
      <c r="AQ4094" s="87"/>
      <c r="AR4094" s="87"/>
      <c r="AS4094" s="87"/>
      <c r="AT4094" s="87"/>
      <c r="AU4094" s="87"/>
      <c r="AV4094" s="92" t="str">
        <f>HYPERLINK("https://abs.twimg.com/sticky/default_profile_images/default_profile_normal.png")</f>
        <v>https://abs.twimg.com/sticky/default_profile_images/default_profile_normal.png</v>
      </c>
      <c r="AW4094" s="93" t="s">
        <v>22194</v>
      </c>
      <c r="AX4094" s="93" t="s">
        <v>22194</v>
      </c>
      <c r="AY4094" s="87"/>
      <c r="AZ4094" s="93" t="s">
        <v>22668</v>
      </c>
      <c r="BA4094" s="93" t="s">
        <v>22668</v>
      </c>
      <c r="BB4094" s="93" t="s">
        <v>22186</v>
      </c>
      <c r="BC4094" s="93" t="s">
        <v>22186</v>
      </c>
      <c r="BD4094" s="93" t="s">
        <v>23579</v>
      </c>
      <c r="BE4094" s="87"/>
      <c r="BF4094" s="87"/>
      <c r="BG4094" s="87"/>
      <c r="BH4094" s="87"/>
      <c r="BI4094" s="87"/>
    </row>
    <row r="4095" spans="1:61" x14ac:dyDescent="0.25">
      <c r="A4095" s="63" t="s">
        <v>1577</v>
      </c>
      <c r="B4095" s="63" t="s">
        <v>1576</v>
      </c>
      <c r="C4095" s="64"/>
      <c r="D4095" s="65"/>
      <c r="E4095" s="66"/>
      <c r="F4095" s="67"/>
      <c r="G4095" s="64"/>
      <c r="H4095" s="68"/>
      <c r="I4095" s="69"/>
      <c r="J4095" s="69"/>
      <c r="K4095" s="32"/>
      <c r="L4095" s="76">
        <v>4095</v>
      </c>
      <c r="M4095" s="76"/>
      <c r="N4095" s="71"/>
      <c r="O4095" s="87" t="s">
        <v>1841</v>
      </c>
      <c r="P4095" s="90">
        <v>45187.754074074073</v>
      </c>
      <c r="Q4095" s="87" t="s">
        <v>5738</v>
      </c>
      <c r="R4095" s="87">
        <v>1</v>
      </c>
      <c r="S4095" s="87">
        <v>0</v>
      </c>
      <c r="T4095" s="87">
        <v>0</v>
      </c>
      <c r="U4095" s="87">
        <v>0</v>
      </c>
      <c r="V4095" s="87"/>
      <c r="W4095" s="87"/>
      <c r="X4095" s="87"/>
      <c r="Y4095" s="87"/>
      <c r="Z4095" s="87" t="s">
        <v>1576</v>
      </c>
      <c r="AA4095" s="87"/>
      <c r="AB4095" s="87"/>
      <c r="AC4095" s="93" t="s">
        <v>11457</v>
      </c>
      <c r="AD4095" s="87" t="s">
        <v>11519</v>
      </c>
      <c r="AE4095" s="92" t="str">
        <f>HYPERLINK("https://twitter.com/andrbragagonal1/status/1703832727584166352")</f>
        <v>https://twitter.com/andrbragagonal1/status/1703832727584166352</v>
      </c>
      <c r="AF4095" s="90">
        <v>45187.754074074073</v>
      </c>
      <c r="AG4095" s="99">
        <v>45187</v>
      </c>
      <c r="AH4095" s="93" t="s">
        <v>15091</v>
      </c>
      <c r="AI4095" s="87"/>
      <c r="AJ4095" s="87"/>
      <c r="AK4095" s="87"/>
      <c r="AL4095" s="87"/>
      <c r="AM4095" s="87"/>
      <c r="AN4095" s="87"/>
      <c r="AO4095" s="87"/>
      <c r="AP4095" s="87"/>
      <c r="AQ4095" s="87"/>
      <c r="AR4095" s="87"/>
      <c r="AS4095" s="87"/>
      <c r="AT4095" s="87"/>
      <c r="AU4095" s="87"/>
      <c r="AV4095" s="92" t="str">
        <f>HYPERLINK("https://abs.twimg.com/sticky/default_profile_images/default_profile_normal.png")</f>
        <v>https://abs.twimg.com/sticky/default_profile_images/default_profile_normal.png</v>
      </c>
      <c r="AW4095" s="93" t="s">
        <v>22195</v>
      </c>
      <c r="AX4095" s="93" t="s">
        <v>22195</v>
      </c>
      <c r="AY4095" s="87"/>
      <c r="AZ4095" s="93" t="s">
        <v>22668</v>
      </c>
      <c r="BA4095" s="93" t="s">
        <v>22668</v>
      </c>
      <c r="BB4095" s="93" t="s">
        <v>22187</v>
      </c>
      <c r="BC4095" s="93" t="s">
        <v>22187</v>
      </c>
      <c r="BD4095" s="93" t="s">
        <v>23579</v>
      </c>
      <c r="BE4095" s="87"/>
      <c r="BF4095" s="87"/>
      <c r="BG4095" s="87"/>
      <c r="BH4095" s="87"/>
      <c r="BI4095" s="87"/>
    </row>
    <row r="4096" spans="1:61" x14ac:dyDescent="0.25">
      <c r="A4096" s="63" t="s">
        <v>1577</v>
      </c>
      <c r="B4096" s="63" t="s">
        <v>1576</v>
      </c>
      <c r="C4096" s="64"/>
      <c r="D4096" s="65"/>
      <c r="E4096" s="66"/>
      <c r="F4096" s="67"/>
      <c r="G4096" s="64"/>
      <c r="H4096" s="68"/>
      <c r="I4096" s="69"/>
      <c r="J4096" s="69"/>
      <c r="K4096" s="32"/>
      <c r="L4096" s="76">
        <v>4096</v>
      </c>
      <c r="M4096" s="76"/>
      <c r="N4096" s="71"/>
      <c r="O4096" s="87" t="s">
        <v>1841</v>
      </c>
      <c r="P4096" s="90">
        <v>45187.745937500003</v>
      </c>
      <c r="Q4096" s="87" t="s">
        <v>5739</v>
      </c>
      <c r="R4096" s="87">
        <v>1</v>
      </c>
      <c r="S4096" s="87">
        <v>0</v>
      </c>
      <c r="T4096" s="87">
        <v>0</v>
      </c>
      <c r="U4096" s="87">
        <v>0</v>
      </c>
      <c r="V4096" s="87"/>
      <c r="W4096" s="87"/>
      <c r="X4096" s="87"/>
      <c r="Y4096" s="87"/>
      <c r="Z4096" s="87" t="s">
        <v>1576</v>
      </c>
      <c r="AA4096" s="87"/>
      <c r="AB4096" s="87"/>
      <c r="AC4096" s="93" t="s">
        <v>11457</v>
      </c>
      <c r="AD4096" s="87" t="s">
        <v>11519</v>
      </c>
      <c r="AE4096" s="92" t="str">
        <f>HYPERLINK("https://twitter.com/andrbragagonal1/status/1703829778300616872")</f>
        <v>https://twitter.com/andrbragagonal1/status/1703829778300616872</v>
      </c>
      <c r="AF4096" s="90">
        <v>45187.745937500003</v>
      </c>
      <c r="AG4096" s="99">
        <v>45187</v>
      </c>
      <c r="AH4096" s="93" t="s">
        <v>15092</v>
      </c>
      <c r="AI4096" s="87"/>
      <c r="AJ4096" s="87"/>
      <c r="AK4096" s="87"/>
      <c r="AL4096" s="87"/>
      <c r="AM4096" s="87"/>
      <c r="AN4096" s="87"/>
      <c r="AO4096" s="87"/>
      <c r="AP4096" s="87"/>
      <c r="AQ4096" s="87"/>
      <c r="AR4096" s="87"/>
      <c r="AS4096" s="87"/>
      <c r="AT4096" s="87"/>
      <c r="AU4096" s="87"/>
      <c r="AV4096" s="92" t="str">
        <f>HYPERLINK("https://abs.twimg.com/sticky/default_profile_images/default_profile_normal.png")</f>
        <v>https://abs.twimg.com/sticky/default_profile_images/default_profile_normal.png</v>
      </c>
      <c r="AW4096" s="93" t="s">
        <v>22196</v>
      </c>
      <c r="AX4096" s="93" t="s">
        <v>22196</v>
      </c>
      <c r="AY4096" s="87"/>
      <c r="AZ4096" s="93" t="s">
        <v>22668</v>
      </c>
      <c r="BA4096" s="93" t="s">
        <v>22668</v>
      </c>
      <c r="BB4096" s="93" t="s">
        <v>22188</v>
      </c>
      <c r="BC4096" s="93" t="s">
        <v>22188</v>
      </c>
      <c r="BD4096" s="93" t="s">
        <v>23579</v>
      </c>
      <c r="BE4096" s="87"/>
      <c r="BF4096" s="87"/>
      <c r="BG4096" s="87"/>
      <c r="BH4096" s="87"/>
      <c r="BI4096" s="87"/>
    </row>
    <row r="4097" spans="1:61" x14ac:dyDescent="0.25">
      <c r="A4097" s="63" t="s">
        <v>1577</v>
      </c>
      <c r="B4097" s="63" t="s">
        <v>1576</v>
      </c>
      <c r="C4097" s="64"/>
      <c r="D4097" s="65"/>
      <c r="E4097" s="66"/>
      <c r="F4097" s="67"/>
      <c r="G4097" s="64"/>
      <c r="H4097" s="68"/>
      <c r="I4097" s="69"/>
      <c r="J4097" s="69"/>
      <c r="K4097" s="32"/>
      <c r="L4097" s="76">
        <v>4097</v>
      </c>
      <c r="M4097" s="76"/>
      <c r="N4097" s="71"/>
      <c r="O4097" s="87" t="s">
        <v>1841</v>
      </c>
      <c r="P4097" s="90">
        <v>45187.745879629627</v>
      </c>
      <c r="Q4097" s="87" t="s">
        <v>5740</v>
      </c>
      <c r="R4097" s="87">
        <v>1</v>
      </c>
      <c r="S4097" s="87">
        <v>0</v>
      </c>
      <c r="T4097" s="87">
        <v>0</v>
      </c>
      <c r="U4097" s="87">
        <v>0</v>
      </c>
      <c r="V4097" s="87"/>
      <c r="W4097" s="93" t="s">
        <v>8278</v>
      </c>
      <c r="X4097" s="87"/>
      <c r="Y4097" s="87"/>
      <c r="Z4097" s="87" t="s">
        <v>1576</v>
      </c>
      <c r="AA4097" s="87"/>
      <c r="AB4097" s="87"/>
      <c r="AC4097" s="93" t="s">
        <v>11457</v>
      </c>
      <c r="AD4097" s="87" t="s">
        <v>11519</v>
      </c>
      <c r="AE4097" s="92" t="str">
        <f>HYPERLINK("https://twitter.com/andrbragagonal1/status/1703829756364382268")</f>
        <v>https://twitter.com/andrbragagonal1/status/1703829756364382268</v>
      </c>
      <c r="AF4097" s="90">
        <v>45187.745879629627</v>
      </c>
      <c r="AG4097" s="99">
        <v>45187</v>
      </c>
      <c r="AH4097" s="93" t="s">
        <v>15093</v>
      </c>
      <c r="AI4097" s="87"/>
      <c r="AJ4097" s="87"/>
      <c r="AK4097" s="87"/>
      <c r="AL4097" s="87"/>
      <c r="AM4097" s="87"/>
      <c r="AN4097" s="87"/>
      <c r="AO4097" s="87"/>
      <c r="AP4097" s="87"/>
      <c r="AQ4097" s="87"/>
      <c r="AR4097" s="87"/>
      <c r="AS4097" s="87"/>
      <c r="AT4097" s="87"/>
      <c r="AU4097" s="87"/>
      <c r="AV4097" s="92" t="str">
        <f>HYPERLINK("https://abs.twimg.com/sticky/default_profile_images/default_profile_normal.png")</f>
        <v>https://abs.twimg.com/sticky/default_profile_images/default_profile_normal.png</v>
      </c>
      <c r="AW4097" s="93" t="s">
        <v>22197</v>
      </c>
      <c r="AX4097" s="93" t="s">
        <v>22197</v>
      </c>
      <c r="AY4097" s="87"/>
      <c r="AZ4097" s="93" t="s">
        <v>22668</v>
      </c>
      <c r="BA4097" s="93" t="s">
        <v>22668</v>
      </c>
      <c r="BB4097" s="93" t="s">
        <v>22189</v>
      </c>
      <c r="BC4097" s="93" t="s">
        <v>22189</v>
      </c>
      <c r="BD4097" s="93" t="s">
        <v>23579</v>
      </c>
      <c r="BE4097" s="87"/>
      <c r="BF4097" s="87"/>
      <c r="BG4097" s="87"/>
      <c r="BH4097" s="87"/>
      <c r="BI4097" s="87"/>
    </row>
    <row r="4098" spans="1:61" x14ac:dyDescent="0.25">
      <c r="A4098" s="63" t="s">
        <v>1578</v>
      </c>
      <c r="B4098" s="63" t="s">
        <v>1578</v>
      </c>
      <c r="C4098" s="64"/>
      <c r="D4098" s="65"/>
      <c r="E4098" s="66"/>
      <c r="F4098" s="67"/>
      <c r="G4098" s="64"/>
      <c r="H4098" s="68"/>
      <c r="I4098" s="69"/>
      <c r="J4098" s="69"/>
      <c r="K4098" s="32"/>
      <c r="L4098" s="76">
        <v>4098</v>
      </c>
      <c r="M4098" s="76"/>
      <c r="N4098" s="71"/>
      <c r="O4098" s="87" t="s">
        <v>179</v>
      </c>
      <c r="P4098" s="90">
        <v>45175.596458333333</v>
      </c>
      <c r="Q4098" s="87" t="s">
        <v>5741</v>
      </c>
      <c r="R4098" s="87">
        <v>0</v>
      </c>
      <c r="S4098" s="87">
        <v>0</v>
      </c>
      <c r="T4098" s="87">
        <v>0</v>
      </c>
      <c r="U4098" s="87">
        <v>0</v>
      </c>
      <c r="V4098" s="87">
        <v>42</v>
      </c>
      <c r="W4098" s="93" t="s">
        <v>8279</v>
      </c>
      <c r="X4098" s="87"/>
      <c r="Y4098" s="87"/>
      <c r="Z4098" s="87"/>
      <c r="AA4098" s="87"/>
      <c r="AB4098" s="87"/>
      <c r="AC4098" s="93" t="s">
        <v>11458</v>
      </c>
      <c r="AD4098" s="87" t="s">
        <v>11519</v>
      </c>
      <c r="AE4098" s="92" t="str">
        <f>HYPERLINK("https://twitter.com/robbson/status/1699426954582114498")</f>
        <v>https://twitter.com/robbson/status/1699426954582114498</v>
      </c>
      <c r="AF4098" s="90">
        <v>45175.596458333333</v>
      </c>
      <c r="AG4098" s="99">
        <v>45175</v>
      </c>
      <c r="AH4098" s="93" t="s">
        <v>15094</v>
      </c>
      <c r="AI4098" s="87"/>
      <c r="AJ4098" s="87"/>
      <c r="AK4098" s="87"/>
      <c r="AL4098" s="87"/>
      <c r="AM4098" s="87"/>
      <c r="AN4098" s="87"/>
      <c r="AO4098" s="87"/>
      <c r="AP4098" s="87"/>
      <c r="AQ4098" s="87"/>
      <c r="AR4098" s="87"/>
      <c r="AS4098" s="87"/>
      <c r="AT4098" s="87"/>
      <c r="AU4098" s="87"/>
      <c r="AV4098" s="92" t="str">
        <f>HYPERLINK("https://pbs.twimg.com/profile_images/1428794169607208966/0DhywrO-_normal.jpg")</f>
        <v>https://pbs.twimg.com/profile_images/1428794169607208966/0DhywrO-_normal.jpg</v>
      </c>
      <c r="AW4098" s="93" t="s">
        <v>22198</v>
      </c>
      <c r="AX4098" s="93" t="s">
        <v>22198</v>
      </c>
      <c r="AY4098" s="87"/>
      <c r="AZ4098" s="93" t="s">
        <v>22668</v>
      </c>
      <c r="BA4098" s="93" t="s">
        <v>22668</v>
      </c>
      <c r="BB4098" s="93" t="s">
        <v>22668</v>
      </c>
      <c r="BC4098" s="93" t="s">
        <v>22198</v>
      </c>
      <c r="BD4098" s="87">
        <v>28832811</v>
      </c>
      <c r="BE4098" s="87"/>
      <c r="BF4098" s="87"/>
      <c r="BG4098" s="87"/>
      <c r="BH4098" s="87"/>
      <c r="BI4098" s="87"/>
    </row>
    <row r="4099" spans="1:61" x14ac:dyDescent="0.25">
      <c r="A4099" s="63" t="s">
        <v>1579</v>
      </c>
      <c r="B4099" s="63" t="s">
        <v>1579</v>
      </c>
      <c r="C4099" s="64"/>
      <c r="D4099" s="65"/>
      <c r="E4099" s="66"/>
      <c r="F4099" s="67"/>
      <c r="G4099" s="64"/>
      <c r="H4099" s="68"/>
      <c r="I4099" s="69"/>
      <c r="J4099" s="69"/>
      <c r="K4099" s="32"/>
      <c r="L4099" s="76">
        <v>4099</v>
      </c>
      <c r="M4099" s="76"/>
      <c r="N4099" s="71"/>
      <c r="O4099" s="87" t="s">
        <v>179</v>
      </c>
      <c r="P4099" s="90">
        <v>45111.576469907406</v>
      </c>
      <c r="Q4099" s="87" t="s">
        <v>5742</v>
      </c>
      <c r="R4099" s="87">
        <v>0</v>
      </c>
      <c r="S4099" s="87">
        <v>0</v>
      </c>
      <c r="T4099" s="87">
        <v>0</v>
      </c>
      <c r="U4099" s="87">
        <v>0</v>
      </c>
      <c r="V4099" s="87">
        <v>14</v>
      </c>
      <c r="W4099" s="93" t="s">
        <v>8280</v>
      </c>
      <c r="X4099" s="92" t="str">
        <f>HYPERLINK("http://growthmentoring.com.br")</f>
        <v>http://growthmentoring.com.br</v>
      </c>
      <c r="Y4099" s="87" t="s">
        <v>8373</v>
      </c>
      <c r="Z4099" s="87"/>
      <c r="AA4099" s="87" t="s">
        <v>11379</v>
      </c>
      <c r="AB4099" s="87" t="s">
        <v>11448</v>
      </c>
      <c r="AC4099" s="93" t="s">
        <v>11460</v>
      </c>
      <c r="AD4099" s="87" t="s">
        <v>11519</v>
      </c>
      <c r="AE4099" s="92" t="str">
        <f>HYPERLINK("https://twitter.com/vaniacolunista/status/1676226888266555392")</f>
        <v>https://twitter.com/vaniacolunista/status/1676226888266555392</v>
      </c>
      <c r="AF4099" s="90">
        <v>45111.576469907406</v>
      </c>
      <c r="AG4099" s="99">
        <v>45111</v>
      </c>
      <c r="AH4099" s="93" t="s">
        <v>15095</v>
      </c>
      <c r="AI4099" s="87" t="b">
        <v>0</v>
      </c>
      <c r="AJ4099" s="87"/>
      <c r="AK4099" s="87"/>
      <c r="AL4099" s="87"/>
      <c r="AM4099" s="87"/>
      <c r="AN4099" s="87"/>
      <c r="AO4099" s="87"/>
      <c r="AP4099" s="87"/>
      <c r="AQ4099" s="87" t="s">
        <v>18191</v>
      </c>
      <c r="AR4099" s="87"/>
      <c r="AS4099" s="87"/>
      <c r="AT4099" s="87"/>
      <c r="AU4099" s="87"/>
      <c r="AV4099" s="92" t="str">
        <f>HYPERLINK("https://pbs.twimg.com/media/F0MneJ6XsAU1hCk.jpg")</f>
        <v>https://pbs.twimg.com/media/F0MneJ6XsAU1hCk.jpg</v>
      </c>
      <c r="AW4099" s="93" t="s">
        <v>22199</v>
      </c>
      <c r="AX4099" s="93" t="s">
        <v>22199</v>
      </c>
      <c r="AY4099" s="87"/>
      <c r="AZ4099" s="93" t="s">
        <v>22668</v>
      </c>
      <c r="BA4099" s="93" t="s">
        <v>22668</v>
      </c>
      <c r="BB4099" s="93" t="s">
        <v>22668</v>
      </c>
      <c r="BC4099" s="93" t="s">
        <v>22199</v>
      </c>
      <c r="BD4099" s="87">
        <v>50761016</v>
      </c>
      <c r="BE4099" s="87"/>
      <c r="BF4099" s="87"/>
      <c r="BG4099" s="87"/>
      <c r="BH4099" s="87"/>
      <c r="BI4099" s="87"/>
    </row>
    <row r="4100" spans="1:61" x14ac:dyDescent="0.25">
      <c r="A4100" s="63" t="s">
        <v>1580</v>
      </c>
      <c r="B4100" s="63" t="s">
        <v>1580</v>
      </c>
      <c r="C4100" s="64"/>
      <c r="D4100" s="65"/>
      <c r="E4100" s="66"/>
      <c r="F4100" s="67"/>
      <c r="G4100" s="64"/>
      <c r="H4100" s="68"/>
      <c r="I4100" s="69"/>
      <c r="J4100" s="69"/>
      <c r="K4100" s="32"/>
      <c r="L4100" s="76">
        <v>4100</v>
      </c>
      <c r="M4100" s="76"/>
      <c r="N4100" s="71"/>
      <c r="O4100" s="87" t="s">
        <v>1840</v>
      </c>
      <c r="P4100" s="90">
        <v>45195.789895833332</v>
      </c>
      <c r="Q4100" s="87" t="s">
        <v>5743</v>
      </c>
      <c r="R4100" s="87">
        <v>0</v>
      </c>
      <c r="S4100" s="87">
        <v>1</v>
      </c>
      <c r="T4100" s="87">
        <v>0</v>
      </c>
      <c r="U4100" s="87">
        <v>0</v>
      </c>
      <c r="V4100" s="87">
        <v>8</v>
      </c>
      <c r="W4100" s="93" t="s">
        <v>8281</v>
      </c>
      <c r="X4100" s="92" t="str">
        <f>HYPERLINK("https://tinyurl.com/3zwf97er")</f>
        <v>https://tinyurl.com/3zwf97er</v>
      </c>
      <c r="Y4100" s="87" t="s">
        <v>8388</v>
      </c>
      <c r="Z4100" s="87"/>
      <c r="AA4100" s="87"/>
      <c r="AB4100" s="87"/>
      <c r="AC4100" s="93" t="s">
        <v>11457</v>
      </c>
      <c r="AD4100" s="87" t="s">
        <v>11519</v>
      </c>
      <c r="AE4100" s="92" t="str">
        <f>HYPERLINK("https://twitter.com/jucepar2/status/1706744811682755025")</f>
        <v>https://twitter.com/jucepar2/status/1706744811682755025</v>
      </c>
      <c r="AF4100" s="90">
        <v>45195.789895833332</v>
      </c>
      <c r="AG4100" s="99">
        <v>45195</v>
      </c>
      <c r="AH4100" s="93" t="s">
        <v>15096</v>
      </c>
      <c r="AI4100" s="87" t="b">
        <v>0</v>
      </c>
      <c r="AJ4100" s="87"/>
      <c r="AK4100" s="87"/>
      <c r="AL4100" s="87"/>
      <c r="AM4100" s="87"/>
      <c r="AN4100" s="87"/>
      <c r="AO4100" s="87"/>
      <c r="AP4100" s="87"/>
      <c r="AQ4100" s="87"/>
      <c r="AR4100" s="87"/>
      <c r="AS4100" s="87"/>
      <c r="AT4100" s="87"/>
      <c r="AU4100" s="87"/>
      <c r="AV4100" s="92" t="str">
        <f>HYPERLINK("https://pbs.twimg.com/profile_images/1587511791944630273/hEcAETFO_normal.jpg")</f>
        <v>https://pbs.twimg.com/profile_images/1587511791944630273/hEcAETFO_normal.jpg</v>
      </c>
      <c r="AW4100" s="93" t="s">
        <v>22200</v>
      </c>
      <c r="AX4100" s="93" t="s">
        <v>22510</v>
      </c>
      <c r="AY4100" s="93" t="s">
        <v>22663</v>
      </c>
      <c r="AZ4100" s="93" t="s">
        <v>22787</v>
      </c>
      <c r="BA4100" s="93" t="s">
        <v>22668</v>
      </c>
      <c r="BB4100" s="93" t="s">
        <v>22668</v>
      </c>
      <c r="BC4100" s="93" t="s">
        <v>22787</v>
      </c>
      <c r="BD4100" s="93" t="s">
        <v>22663</v>
      </c>
      <c r="BE4100" s="87"/>
      <c r="BF4100" s="87"/>
      <c r="BG4100" s="87"/>
      <c r="BH4100" s="87"/>
      <c r="BI4100" s="87"/>
    </row>
    <row r="4101" spans="1:61" x14ac:dyDescent="0.25">
      <c r="A4101" s="63" t="s">
        <v>1581</v>
      </c>
      <c r="B4101" s="63" t="s">
        <v>1581</v>
      </c>
      <c r="C4101" s="64"/>
      <c r="D4101" s="65"/>
      <c r="E4101" s="66"/>
      <c r="F4101" s="67"/>
      <c r="G4101" s="64"/>
      <c r="H4101" s="68"/>
      <c r="I4101" s="69"/>
      <c r="J4101" s="69"/>
      <c r="K4101" s="32"/>
      <c r="L4101" s="76">
        <v>4101</v>
      </c>
      <c r="M4101" s="76"/>
      <c r="N4101" s="71"/>
      <c r="O4101" s="87" t="s">
        <v>1840</v>
      </c>
      <c r="P4101" s="90">
        <v>45148.986886574072</v>
      </c>
      <c r="Q4101" s="87" t="s">
        <v>5744</v>
      </c>
      <c r="R4101" s="87">
        <v>0</v>
      </c>
      <c r="S4101" s="87">
        <v>0</v>
      </c>
      <c r="T4101" s="87">
        <v>0</v>
      </c>
      <c r="U4101" s="87">
        <v>0</v>
      </c>
      <c r="V4101" s="87">
        <v>32</v>
      </c>
      <c r="W4101" s="93" t="s">
        <v>8282</v>
      </c>
      <c r="X4101" s="87"/>
      <c r="Y4101" s="87"/>
      <c r="Z4101" s="87"/>
      <c r="AA4101" s="87"/>
      <c r="AB4101" s="87"/>
      <c r="AC4101" s="93" t="s">
        <v>11457</v>
      </c>
      <c r="AD4101" s="87" t="s">
        <v>11519</v>
      </c>
      <c r="AE4101" s="92" t="str">
        <f>HYPERLINK("https://twitter.com/mendes62071219/status/1689783968277659649")</f>
        <v>https://twitter.com/mendes62071219/status/1689783968277659649</v>
      </c>
      <c r="AF4101" s="90">
        <v>45148.986886574072</v>
      </c>
      <c r="AG4101" s="99">
        <v>45148</v>
      </c>
      <c r="AH4101" s="93" t="s">
        <v>15097</v>
      </c>
      <c r="AI4101" s="87"/>
      <c r="AJ4101" s="87"/>
      <c r="AK4101" s="87"/>
      <c r="AL4101" s="87"/>
      <c r="AM4101" s="87"/>
      <c r="AN4101" s="87"/>
      <c r="AO4101" s="87"/>
      <c r="AP4101" s="87"/>
      <c r="AQ4101" s="87"/>
      <c r="AR4101" s="87"/>
      <c r="AS4101" s="87"/>
      <c r="AT4101" s="87"/>
      <c r="AU4101" s="87"/>
      <c r="AV4101" s="92" t="str">
        <f>HYPERLINK("https://pbs.twimg.com/profile_images/1563213943795073024/dRcH4FQd_normal.jpg")</f>
        <v>https://pbs.twimg.com/profile_images/1563213943795073024/dRcH4FQd_normal.jpg</v>
      </c>
      <c r="AW4101" s="93" t="s">
        <v>22201</v>
      </c>
      <c r="AX4101" s="93" t="s">
        <v>22511</v>
      </c>
      <c r="AY4101" s="93" t="s">
        <v>22664</v>
      </c>
      <c r="AZ4101" s="93" t="s">
        <v>22788</v>
      </c>
      <c r="BA4101" s="93" t="s">
        <v>22668</v>
      </c>
      <c r="BB4101" s="93" t="s">
        <v>22668</v>
      </c>
      <c r="BC4101" s="93" t="s">
        <v>22788</v>
      </c>
      <c r="BD4101" s="93" t="s">
        <v>22664</v>
      </c>
      <c r="BE4101" s="87"/>
      <c r="BF4101" s="87"/>
      <c r="BG4101" s="87"/>
      <c r="BH4101" s="87"/>
      <c r="BI4101" s="87"/>
    </row>
    <row r="4102" spans="1:61" x14ac:dyDescent="0.25">
      <c r="A4102" s="63" t="s">
        <v>1582</v>
      </c>
      <c r="B4102" s="63" t="s">
        <v>1582</v>
      </c>
      <c r="C4102" s="64"/>
      <c r="D4102" s="65"/>
      <c r="E4102" s="66"/>
      <c r="F4102" s="67"/>
      <c r="G4102" s="64"/>
      <c r="H4102" s="68"/>
      <c r="I4102" s="69"/>
      <c r="J4102" s="69"/>
      <c r="K4102" s="32"/>
      <c r="L4102" s="76">
        <v>4102</v>
      </c>
      <c r="M4102" s="76"/>
      <c r="N4102" s="71"/>
      <c r="O4102" s="87" t="s">
        <v>179</v>
      </c>
      <c r="P4102" s="90">
        <v>45168.730474537035</v>
      </c>
      <c r="Q4102" s="87" t="s">
        <v>5745</v>
      </c>
      <c r="R4102" s="87">
        <v>0</v>
      </c>
      <c r="S4102" s="87">
        <v>2</v>
      </c>
      <c r="T4102" s="87">
        <v>1</v>
      </c>
      <c r="U4102" s="87">
        <v>0</v>
      </c>
      <c r="V4102" s="87">
        <v>35</v>
      </c>
      <c r="W4102" s="93" t="s">
        <v>8283</v>
      </c>
      <c r="X4102" s="87"/>
      <c r="Y4102" s="87"/>
      <c r="Z4102" s="87"/>
      <c r="AA4102" s="87" t="s">
        <v>11380</v>
      </c>
      <c r="AB4102" s="87" t="s">
        <v>11448</v>
      </c>
      <c r="AC4102" s="93" t="s">
        <v>11457</v>
      </c>
      <c r="AD4102" s="87" t="s">
        <v>11519</v>
      </c>
      <c r="AE4102" s="92" t="str">
        <f>HYPERLINK("https://twitter.com/jrhopf/status/1696938806346191110")</f>
        <v>https://twitter.com/jrhopf/status/1696938806346191110</v>
      </c>
      <c r="AF4102" s="90">
        <v>45168.730474537035</v>
      </c>
      <c r="AG4102" s="99">
        <v>45168</v>
      </c>
      <c r="AH4102" s="93" t="s">
        <v>15098</v>
      </c>
      <c r="AI4102" s="87" t="b">
        <v>0</v>
      </c>
      <c r="AJ4102" s="87"/>
      <c r="AK4102" s="87"/>
      <c r="AL4102" s="87"/>
      <c r="AM4102" s="87"/>
      <c r="AN4102" s="87"/>
      <c r="AO4102" s="87"/>
      <c r="AP4102" s="87"/>
      <c r="AQ4102" s="87" t="s">
        <v>18192</v>
      </c>
      <c r="AR4102" s="87"/>
      <c r="AS4102" s="87"/>
      <c r="AT4102" s="87"/>
      <c r="AU4102" s="87"/>
      <c r="AV4102" s="92" t="str">
        <f>HYPERLINK("https://pbs.twimg.com/media/F4y81ujXgAEz-e2.jpg")</f>
        <v>https://pbs.twimg.com/media/F4y81ujXgAEz-e2.jpg</v>
      </c>
      <c r="AW4102" s="93" t="s">
        <v>22202</v>
      </c>
      <c r="AX4102" s="93" t="s">
        <v>22202</v>
      </c>
      <c r="AY4102" s="87"/>
      <c r="AZ4102" s="93" t="s">
        <v>22668</v>
      </c>
      <c r="BA4102" s="93" t="s">
        <v>22668</v>
      </c>
      <c r="BB4102" s="93" t="s">
        <v>22668</v>
      </c>
      <c r="BC4102" s="93" t="s">
        <v>22202</v>
      </c>
      <c r="BD4102" s="87">
        <v>320462847</v>
      </c>
      <c r="BE4102" s="87"/>
      <c r="BF4102" s="87"/>
      <c r="BG4102" s="87"/>
      <c r="BH4102" s="87"/>
      <c r="BI4102" s="87"/>
    </row>
    <row r="4103" spans="1:61" x14ac:dyDescent="0.25">
      <c r="A4103" s="63" t="s">
        <v>1582</v>
      </c>
      <c r="B4103" s="63" t="s">
        <v>1582</v>
      </c>
      <c r="C4103" s="64"/>
      <c r="D4103" s="65"/>
      <c r="E4103" s="66"/>
      <c r="F4103" s="67"/>
      <c r="G4103" s="64"/>
      <c r="H4103" s="68"/>
      <c r="I4103" s="69"/>
      <c r="J4103" s="69"/>
      <c r="K4103" s="32"/>
      <c r="L4103" s="76">
        <v>4103</v>
      </c>
      <c r="M4103" s="76"/>
      <c r="N4103" s="71"/>
      <c r="O4103" s="87" t="s">
        <v>179</v>
      </c>
      <c r="P4103" s="90">
        <v>45154.747546296298</v>
      </c>
      <c r="Q4103" s="87" t="s">
        <v>5746</v>
      </c>
      <c r="R4103" s="87">
        <v>0</v>
      </c>
      <c r="S4103" s="87">
        <v>1</v>
      </c>
      <c r="T4103" s="87">
        <v>2</v>
      </c>
      <c r="U4103" s="87">
        <v>0</v>
      </c>
      <c r="V4103" s="87">
        <v>117</v>
      </c>
      <c r="W4103" s="93" t="s">
        <v>8284</v>
      </c>
      <c r="X4103" s="87"/>
      <c r="Y4103" s="87"/>
      <c r="Z4103" s="87"/>
      <c r="AA4103" s="87" t="s">
        <v>11381</v>
      </c>
      <c r="AB4103" s="87" t="s">
        <v>11448</v>
      </c>
      <c r="AC4103" s="93" t="s">
        <v>11457</v>
      </c>
      <c r="AD4103" s="87" t="s">
        <v>11519</v>
      </c>
      <c r="AE4103" s="92" t="str">
        <f>HYPERLINK("https://twitter.com/jrhopf/status/1691871561257496691")</f>
        <v>https://twitter.com/jrhopf/status/1691871561257496691</v>
      </c>
      <c r="AF4103" s="90">
        <v>45154.747546296298</v>
      </c>
      <c r="AG4103" s="99">
        <v>45154</v>
      </c>
      <c r="AH4103" s="93" t="s">
        <v>15099</v>
      </c>
      <c r="AI4103" s="87" t="b">
        <v>0</v>
      </c>
      <c r="AJ4103" s="87"/>
      <c r="AK4103" s="87"/>
      <c r="AL4103" s="87"/>
      <c r="AM4103" s="87"/>
      <c r="AN4103" s="87"/>
      <c r="AO4103" s="87"/>
      <c r="AP4103" s="87"/>
      <c r="AQ4103" s="87" t="s">
        <v>18193</v>
      </c>
      <c r="AR4103" s="87"/>
      <c r="AS4103" s="87"/>
      <c r="AT4103" s="87"/>
      <c r="AU4103" s="87"/>
      <c r="AV4103" s="92" t="str">
        <f>HYPERLINK("https://pbs.twimg.com/media/F3q78YHWwAAcKT2.jpg")</f>
        <v>https://pbs.twimg.com/media/F3q78YHWwAAcKT2.jpg</v>
      </c>
      <c r="AW4103" s="93" t="s">
        <v>22203</v>
      </c>
      <c r="AX4103" s="93" t="s">
        <v>22203</v>
      </c>
      <c r="AY4103" s="87"/>
      <c r="AZ4103" s="93" t="s">
        <v>22668</v>
      </c>
      <c r="BA4103" s="93" t="s">
        <v>22668</v>
      </c>
      <c r="BB4103" s="93" t="s">
        <v>22668</v>
      </c>
      <c r="BC4103" s="93" t="s">
        <v>22203</v>
      </c>
      <c r="BD4103" s="87">
        <v>320462847</v>
      </c>
      <c r="BE4103" s="87"/>
      <c r="BF4103" s="87"/>
      <c r="BG4103" s="87"/>
      <c r="BH4103" s="87"/>
      <c r="BI4103" s="87"/>
    </row>
    <row r="4104" spans="1:61" x14ac:dyDescent="0.25">
      <c r="A4104" s="63" t="s">
        <v>1582</v>
      </c>
      <c r="B4104" s="63" t="s">
        <v>1582</v>
      </c>
      <c r="C4104" s="64"/>
      <c r="D4104" s="65"/>
      <c r="E4104" s="66"/>
      <c r="F4104" s="67"/>
      <c r="G4104" s="64"/>
      <c r="H4104" s="68"/>
      <c r="I4104" s="69"/>
      <c r="J4104" s="69"/>
      <c r="K4104" s="32"/>
      <c r="L4104" s="76">
        <v>4104</v>
      </c>
      <c r="M4104" s="76"/>
      <c r="N4104" s="71"/>
      <c r="O4104" s="87" t="s">
        <v>179</v>
      </c>
      <c r="P4104" s="90">
        <v>45184.837858796294</v>
      </c>
      <c r="Q4104" s="87" t="s">
        <v>5747</v>
      </c>
      <c r="R4104" s="87">
        <v>0</v>
      </c>
      <c r="S4104" s="87">
        <v>1</v>
      </c>
      <c r="T4104" s="87">
        <v>1</v>
      </c>
      <c r="U4104" s="87">
        <v>0</v>
      </c>
      <c r="V4104" s="87">
        <v>20</v>
      </c>
      <c r="W4104" s="93" t="s">
        <v>8285</v>
      </c>
      <c r="X4104" s="87"/>
      <c r="Y4104" s="87"/>
      <c r="Z4104" s="87"/>
      <c r="AA4104" s="87" t="s">
        <v>11382</v>
      </c>
      <c r="AB4104" s="87" t="s">
        <v>11448</v>
      </c>
      <c r="AC4104" s="93" t="s">
        <v>11457</v>
      </c>
      <c r="AD4104" s="87" t="s">
        <v>11519</v>
      </c>
      <c r="AE4104" s="92" t="str">
        <f>HYPERLINK("https://twitter.com/jrhopf/status/1702775926814069096")</f>
        <v>https://twitter.com/jrhopf/status/1702775926814069096</v>
      </c>
      <c r="AF4104" s="90">
        <v>45184.837858796294</v>
      </c>
      <c r="AG4104" s="99">
        <v>45184</v>
      </c>
      <c r="AH4104" s="93" t="s">
        <v>15100</v>
      </c>
      <c r="AI4104" s="87" t="b">
        <v>0</v>
      </c>
      <c r="AJ4104" s="87"/>
      <c r="AK4104" s="87"/>
      <c r="AL4104" s="87"/>
      <c r="AM4104" s="87"/>
      <c r="AN4104" s="87"/>
      <c r="AO4104" s="87"/>
      <c r="AP4104" s="87"/>
      <c r="AQ4104" s="87" t="s">
        <v>18194</v>
      </c>
      <c r="AR4104" s="87"/>
      <c r="AS4104" s="87"/>
      <c r="AT4104" s="87"/>
      <c r="AU4104" s="87"/>
      <c r="AV4104" s="92" t="str">
        <f>HYPERLINK("https://pbs.twimg.com/media/F6F5N2QWAAA5ioT.jpg")</f>
        <v>https://pbs.twimg.com/media/F6F5N2QWAAA5ioT.jpg</v>
      </c>
      <c r="AW4104" s="93" t="s">
        <v>22204</v>
      </c>
      <c r="AX4104" s="93" t="s">
        <v>22204</v>
      </c>
      <c r="AY4104" s="87"/>
      <c r="AZ4104" s="93" t="s">
        <v>22668</v>
      </c>
      <c r="BA4104" s="93" t="s">
        <v>22668</v>
      </c>
      <c r="BB4104" s="93" t="s">
        <v>22668</v>
      </c>
      <c r="BC4104" s="93" t="s">
        <v>22204</v>
      </c>
      <c r="BD4104" s="87">
        <v>320462847</v>
      </c>
      <c r="BE4104" s="87"/>
      <c r="BF4104" s="87"/>
      <c r="BG4104" s="87"/>
      <c r="BH4104" s="87"/>
      <c r="BI4104" s="87"/>
    </row>
    <row r="4105" spans="1:61" x14ac:dyDescent="0.25">
      <c r="A4105" s="63" t="s">
        <v>1583</v>
      </c>
      <c r="B4105" s="63" t="s">
        <v>1583</v>
      </c>
      <c r="C4105" s="64"/>
      <c r="D4105" s="65"/>
      <c r="E4105" s="66"/>
      <c r="F4105" s="67"/>
      <c r="G4105" s="64"/>
      <c r="H4105" s="68"/>
      <c r="I4105" s="69"/>
      <c r="J4105" s="69"/>
      <c r="K4105" s="32"/>
      <c r="L4105" s="76">
        <v>4105</v>
      </c>
      <c r="M4105" s="76"/>
      <c r="N4105" s="71"/>
      <c r="O4105" s="87" t="s">
        <v>179</v>
      </c>
      <c r="P4105" s="90">
        <v>45191.199212962965</v>
      </c>
      <c r="Q4105" s="87" t="s">
        <v>5748</v>
      </c>
      <c r="R4105" s="87">
        <v>0</v>
      </c>
      <c r="S4105" s="87">
        <v>0</v>
      </c>
      <c r="T4105" s="87">
        <v>0</v>
      </c>
      <c r="U4105" s="87">
        <v>0</v>
      </c>
      <c r="V4105" s="87">
        <v>6</v>
      </c>
      <c r="W4105" s="93" t="s">
        <v>8286</v>
      </c>
      <c r="X4105" s="87"/>
      <c r="Y4105" s="87"/>
      <c r="Z4105" s="87"/>
      <c r="AA4105" s="87"/>
      <c r="AB4105" s="87"/>
      <c r="AC4105" s="93" t="s">
        <v>11459</v>
      </c>
      <c r="AD4105" s="87" t="s">
        <v>11519</v>
      </c>
      <c r="AE4105" s="92" t="str">
        <f>HYPERLINK("https://twitter.com/adilsonp10/status/1705081203366219863")</f>
        <v>https://twitter.com/adilsonp10/status/1705081203366219863</v>
      </c>
      <c r="AF4105" s="90">
        <v>45191.199212962965</v>
      </c>
      <c r="AG4105" s="99">
        <v>45191</v>
      </c>
      <c r="AH4105" s="93" t="s">
        <v>15101</v>
      </c>
      <c r="AI4105" s="87"/>
      <c r="AJ4105" s="87"/>
      <c r="AK4105" s="87"/>
      <c r="AL4105" s="87"/>
      <c r="AM4105" s="87"/>
      <c r="AN4105" s="87"/>
      <c r="AO4105" s="87"/>
      <c r="AP4105" s="87"/>
      <c r="AQ4105" s="87"/>
      <c r="AR4105" s="87"/>
      <c r="AS4105" s="87"/>
      <c r="AT4105" s="87"/>
      <c r="AU4105" s="87"/>
      <c r="AV4105" s="92" t="str">
        <f>HYPERLINK("https://pbs.twimg.com/profile_images/1705078919391563776/Sak7_XSG_normal.jpg")</f>
        <v>https://pbs.twimg.com/profile_images/1705078919391563776/Sak7_XSG_normal.jpg</v>
      </c>
      <c r="AW4105" s="93" t="s">
        <v>22205</v>
      </c>
      <c r="AX4105" s="93" t="s">
        <v>22205</v>
      </c>
      <c r="AY4105" s="87"/>
      <c r="AZ4105" s="93" t="s">
        <v>22668</v>
      </c>
      <c r="BA4105" s="93" t="s">
        <v>22668</v>
      </c>
      <c r="BB4105" s="93" t="s">
        <v>22668</v>
      </c>
      <c r="BC4105" s="93" t="s">
        <v>22205</v>
      </c>
      <c r="BD4105" s="87">
        <v>2809645026</v>
      </c>
      <c r="BE4105" s="87"/>
      <c r="BF4105" s="87"/>
      <c r="BG4105" s="87"/>
      <c r="BH4105" s="87"/>
      <c r="BI4105" s="87"/>
    </row>
    <row r="4106" spans="1:61" x14ac:dyDescent="0.25">
      <c r="A4106" s="63" t="s">
        <v>1584</v>
      </c>
      <c r="B4106" s="63" t="s">
        <v>1584</v>
      </c>
      <c r="C4106" s="64"/>
      <c r="D4106" s="65"/>
      <c r="E4106" s="66"/>
      <c r="F4106" s="67"/>
      <c r="G4106" s="64"/>
      <c r="H4106" s="68"/>
      <c r="I4106" s="69"/>
      <c r="J4106" s="69"/>
      <c r="K4106" s="32"/>
      <c r="L4106" s="76">
        <v>4106</v>
      </c>
      <c r="M4106" s="76"/>
      <c r="N4106" s="71"/>
      <c r="O4106" s="87" t="s">
        <v>179</v>
      </c>
      <c r="P4106" s="90">
        <v>45194.975069444445</v>
      </c>
      <c r="Q4106" s="87" t="s">
        <v>5749</v>
      </c>
      <c r="R4106" s="87">
        <v>0</v>
      </c>
      <c r="S4106" s="87">
        <v>0</v>
      </c>
      <c r="T4106" s="87">
        <v>0</v>
      </c>
      <c r="U4106" s="87">
        <v>0</v>
      </c>
      <c r="V4106" s="87">
        <v>40</v>
      </c>
      <c r="W4106" s="93" t="s">
        <v>5897</v>
      </c>
      <c r="X4106" s="87"/>
      <c r="Y4106" s="87"/>
      <c r="Z4106" s="87"/>
      <c r="AA4106" s="87"/>
      <c r="AB4106" s="87"/>
      <c r="AC4106" s="93" t="s">
        <v>11458</v>
      </c>
      <c r="AD4106" s="87" t="s">
        <v>11519</v>
      </c>
      <c r="AE4106" s="92" t="str">
        <f>HYPERLINK("https://twitter.com/andradegui19_/status/1706449527991890387")</f>
        <v>https://twitter.com/andradegui19_/status/1706449527991890387</v>
      </c>
      <c r="AF4106" s="90">
        <v>45194.975069444445</v>
      </c>
      <c r="AG4106" s="99">
        <v>45194</v>
      </c>
      <c r="AH4106" s="93" t="s">
        <v>15102</v>
      </c>
      <c r="AI4106" s="87"/>
      <c r="AJ4106" s="87"/>
      <c r="AK4106" s="87"/>
      <c r="AL4106" s="87"/>
      <c r="AM4106" s="87"/>
      <c r="AN4106" s="87"/>
      <c r="AO4106" s="87"/>
      <c r="AP4106" s="87"/>
      <c r="AQ4106" s="87"/>
      <c r="AR4106" s="87"/>
      <c r="AS4106" s="87"/>
      <c r="AT4106" s="87"/>
      <c r="AU4106" s="87"/>
      <c r="AV4106" s="92" t="str">
        <f>HYPERLINK("https://pbs.twimg.com/profile_images/1523328012233625604/Estgo6qL_normal.jpg")</f>
        <v>https://pbs.twimg.com/profile_images/1523328012233625604/Estgo6qL_normal.jpg</v>
      </c>
      <c r="AW4106" s="93" t="s">
        <v>22206</v>
      </c>
      <c r="AX4106" s="93" t="s">
        <v>22206</v>
      </c>
      <c r="AY4106" s="87"/>
      <c r="AZ4106" s="93" t="s">
        <v>22668</v>
      </c>
      <c r="BA4106" s="93" t="s">
        <v>22668</v>
      </c>
      <c r="BB4106" s="93" t="s">
        <v>22668</v>
      </c>
      <c r="BC4106" s="93" t="s">
        <v>22206</v>
      </c>
      <c r="BD4106" s="93" t="s">
        <v>23580</v>
      </c>
      <c r="BE4106" s="87"/>
      <c r="BF4106" s="87"/>
      <c r="BG4106" s="87"/>
      <c r="BH4106" s="87"/>
      <c r="BI4106" s="87"/>
    </row>
    <row r="4107" spans="1:61" x14ac:dyDescent="0.25">
      <c r="A4107" s="63" t="s">
        <v>1585</v>
      </c>
      <c r="B4107" s="63" t="s">
        <v>1585</v>
      </c>
      <c r="C4107" s="64"/>
      <c r="D4107" s="65"/>
      <c r="E4107" s="66"/>
      <c r="F4107" s="67"/>
      <c r="G4107" s="64"/>
      <c r="H4107" s="68"/>
      <c r="I4107" s="69"/>
      <c r="J4107" s="69"/>
      <c r="K4107" s="32"/>
      <c r="L4107" s="76">
        <v>4107</v>
      </c>
      <c r="M4107" s="76"/>
      <c r="N4107" s="71"/>
      <c r="O4107" s="87" t="s">
        <v>179</v>
      </c>
      <c r="P4107" s="90">
        <v>45155.09375</v>
      </c>
      <c r="Q4107" s="87" t="s">
        <v>5750</v>
      </c>
      <c r="R4107" s="87">
        <v>2</v>
      </c>
      <c r="S4107" s="87">
        <v>21</v>
      </c>
      <c r="T4107" s="87">
        <v>3</v>
      </c>
      <c r="U4107" s="87">
        <v>0</v>
      </c>
      <c r="V4107" s="87">
        <v>7455</v>
      </c>
      <c r="W4107" s="93" t="s">
        <v>8287</v>
      </c>
      <c r="X4107" s="87"/>
      <c r="Y4107" s="87"/>
      <c r="Z4107" s="87"/>
      <c r="AA4107" s="87" t="s">
        <v>11383</v>
      </c>
      <c r="AB4107" s="87" t="s">
        <v>11447</v>
      </c>
      <c r="AC4107" s="93" t="s">
        <v>11468</v>
      </c>
      <c r="AD4107" s="87" t="s">
        <v>11519</v>
      </c>
      <c r="AE4107" s="92" t="str">
        <f>HYPERLINK("https://twitter.com/jovempannews/status/1691997020796469637")</f>
        <v>https://twitter.com/jovempannews/status/1691997020796469637</v>
      </c>
      <c r="AF4107" s="90">
        <v>45155.09375</v>
      </c>
      <c r="AG4107" s="99">
        <v>45155</v>
      </c>
      <c r="AH4107" s="93" t="s">
        <v>15103</v>
      </c>
      <c r="AI4107" s="87" t="b">
        <v>0</v>
      </c>
      <c r="AJ4107" s="87"/>
      <c r="AK4107" s="87"/>
      <c r="AL4107" s="87"/>
      <c r="AM4107" s="87"/>
      <c r="AN4107" s="87"/>
      <c r="AO4107" s="87"/>
      <c r="AP4107" s="87"/>
      <c r="AQ4107" s="87" t="s">
        <v>18195</v>
      </c>
      <c r="AR4107" s="87">
        <v>292586</v>
      </c>
      <c r="AS4107" s="87"/>
      <c r="AT4107" s="87"/>
      <c r="AU4107" s="87"/>
      <c r="AV4107" s="92" t="str">
        <f>HYPERLINK("https://pbs.twimg.com/amplify_video_thumb/1691878036126445574/img/yH_Zz1ATt0ThpVRQ.jpg")</f>
        <v>https://pbs.twimg.com/amplify_video_thumb/1691878036126445574/img/yH_Zz1ATt0ThpVRQ.jpg</v>
      </c>
      <c r="AW4107" s="93" t="s">
        <v>22207</v>
      </c>
      <c r="AX4107" s="93" t="s">
        <v>22207</v>
      </c>
      <c r="AY4107" s="87"/>
      <c r="AZ4107" s="93" t="s">
        <v>22668</v>
      </c>
      <c r="BA4107" s="93" t="s">
        <v>22668</v>
      </c>
      <c r="BB4107" s="93" t="s">
        <v>22668</v>
      </c>
      <c r="BC4107" s="93" t="s">
        <v>22207</v>
      </c>
      <c r="BD4107" s="87">
        <v>106175018</v>
      </c>
      <c r="BE4107" s="87"/>
      <c r="BF4107" s="87"/>
      <c r="BG4107" s="87"/>
      <c r="BH4107" s="87"/>
      <c r="BI4107" s="87"/>
    </row>
    <row r="4108" spans="1:61" x14ac:dyDescent="0.25">
      <c r="A4108" s="63" t="s">
        <v>1585</v>
      </c>
      <c r="B4108" s="63" t="s">
        <v>1585</v>
      </c>
      <c r="C4108" s="64"/>
      <c r="D4108" s="65"/>
      <c r="E4108" s="66"/>
      <c r="F4108" s="67"/>
      <c r="G4108" s="64"/>
      <c r="H4108" s="68"/>
      <c r="I4108" s="69"/>
      <c r="J4108" s="69"/>
      <c r="K4108" s="32"/>
      <c r="L4108" s="76">
        <v>4108</v>
      </c>
      <c r="M4108" s="76"/>
      <c r="N4108" s="71"/>
      <c r="O4108" s="87" t="s">
        <v>179</v>
      </c>
      <c r="P4108" s="90">
        <v>45152.270833333336</v>
      </c>
      <c r="Q4108" s="87" t="s">
        <v>5751</v>
      </c>
      <c r="R4108" s="87">
        <v>4</v>
      </c>
      <c r="S4108" s="87">
        <v>63</v>
      </c>
      <c r="T4108" s="87">
        <v>7</v>
      </c>
      <c r="U4108" s="87">
        <v>0</v>
      </c>
      <c r="V4108" s="87">
        <v>8612</v>
      </c>
      <c r="W4108" s="93" t="s">
        <v>8288</v>
      </c>
      <c r="X4108" s="87"/>
      <c r="Y4108" s="87"/>
      <c r="Z4108" s="87"/>
      <c r="AA4108" s="87" t="s">
        <v>11384</v>
      </c>
      <c r="AB4108" s="87" t="s">
        <v>11447</v>
      </c>
      <c r="AC4108" s="93" t="s">
        <v>11468</v>
      </c>
      <c r="AD4108" s="87" t="s">
        <v>11519</v>
      </c>
      <c r="AE4108" s="92" t="str">
        <f>HYPERLINK("https://twitter.com/jovempannews/status/1690974030080425984")</f>
        <v>https://twitter.com/jovempannews/status/1690974030080425984</v>
      </c>
      <c r="AF4108" s="90">
        <v>45152.270833333336</v>
      </c>
      <c r="AG4108" s="99">
        <v>45152</v>
      </c>
      <c r="AH4108" s="93" t="s">
        <v>15104</v>
      </c>
      <c r="AI4108" s="87" t="b">
        <v>0</v>
      </c>
      <c r="AJ4108" s="87"/>
      <c r="AK4108" s="87"/>
      <c r="AL4108" s="87"/>
      <c r="AM4108" s="87"/>
      <c r="AN4108" s="87"/>
      <c r="AO4108" s="87"/>
      <c r="AP4108" s="87"/>
      <c r="AQ4108" s="87" t="s">
        <v>18196</v>
      </c>
      <c r="AR4108" s="87">
        <v>391525</v>
      </c>
      <c r="AS4108" s="87"/>
      <c r="AT4108" s="87"/>
      <c r="AU4108" s="87"/>
      <c r="AV4108" s="92" t="str">
        <f>HYPERLINK("https://pbs.twimg.com/amplify_video_thumb/1689664556610527232/img/JoB9biBUck40tLzL.jpg")</f>
        <v>https://pbs.twimg.com/amplify_video_thumb/1689664556610527232/img/JoB9biBUck40tLzL.jpg</v>
      </c>
      <c r="AW4108" s="93" t="s">
        <v>22208</v>
      </c>
      <c r="AX4108" s="93" t="s">
        <v>22208</v>
      </c>
      <c r="AY4108" s="87"/>
      <c r="AZ4108" s="93" t="s">
        <v>22668</v>
      </c>
      <c r="BA4108" s="93" t="s">
        <v>22668</v>
      </c>
      <c r="BB4108" s="93" t="s">
        <v>22668</v>
      </c>
      <c r="BC4108" s="93" t="s">
        <v>22208</v>
      </c>
      <c r="BD4108" s="87">
        <v>106175018</v>
      </c>
      <c r="BE4108" s="87"/>
      <c r="BF4108" s="87"/>
      <c r="BG4108" s="87"/>
      <c r="BH4108" s="87"/>
      <c r="BI4108" s="87"/>
    </row>
    <row r="4109" spans="1:61" x14ac:dyDescent="0.25">
      <c r="A4109" s="63" t="s">
        <v>1585</v>
      </c>
      <c r="B4109" s="63" t="s">
        <v>1585</v>
      </c>
      <c r="C4109" s="64"/>
      <c r="D4109" s="65"/>
      <c r="E4109" s="66"/>
      <c r="F4109" s="67"/>
      <c r="G4109" s="64"/>
      <c r="H4109" s="68"/>
      <c r="I4109" s="69"/>
      <c r="J4109" s="69"/>
      <c r="K4109" s="32"/>
      <c r="L4109" s="76">
        <v>4109</v>
      </c>
      <c r="M4109" s="76"/>
      <c r="N4109" s="71"/>
      <c r="O4109" s="87" t="s">
        <v>179</v>
      </c>
      <c r="P4109" s="90">
        <v>45151.270833333336</v>
      </c>
      <c r="Q4109" s="87" t="s">
        <v>5752</v>
      </c>
      <c r="R4109" s="87">
        <v>1</v>
      </c>
      <c r="S4109" s="87">
        <v>27</v>
      </c>
      <c r="T4109" s="87">
        <v>0</v>
      </c>
      <c r="U4109" s="87">
        <v>0</v>
      </c>
      <c r="V4109" s="87">
        <v>6960</v>
      </c>
      <c r="W4109" s="93" t="s">
        <v>8289</v>
      </c>
      <c r="X4109" s="87"/>
      <c r="Y4109" s="87"/>
      <c r="Z4109" s="87"/>
      <c r="AA4109" s="87" t="s">
        <v>11385</v>
      </c>
      <c r="AB4109" s="87" t="s">
        <v>11447</v>
      </c>
      <c r="AC4109" s="93" t="s">
        <v>11468</v>
      </c>
      <c r="AD4109" s="87" t="s">
        <v>11519</v>
      </c>
      <c r="AE4109" s="92" t="str">
        <f>HYPERLINK("https://twitter.com/jovempannews/status/1690611642692698113")</f>
        <v>https://twitter.com/jovempannews/status/1690611642692698113</v>
      </c>
      <c r="AF4109" s="90">
        <v>45151.270833333336</v>
      </c>
      <c r="AG4109" s="99">
        <v>45151</v>
      </c>
      <c r="AH4109" s="93" t="s">
        <v>15104</v>
      </c>
      <c r="AI4109" s="87" t="b">
        <v>0</v>
      </c>
      <c r="AJ4109" s="87"/>
      <c r="AK4109" s="87"/>
      <c r="AL4109" s="87"/>
      <c r="AM4109" s="87"/>
      <c r="AN4109" s="87"/>
      <c r="AO4109" s="87"/>
      <c r="AP4109" s="87"/>
      <c r="AQ4109" s="87" t="s">
        <v>18197</v>
      </c>
      <c r="AR4109" s="87">
        <v>547552</v>
      </c>
      <c r="AS4109" s="87"/>
      <c r="AT4109" s="87"/>
      <c r="AU4109" s="87"/>
      <c r="AV4109" s="92" t="str">
        <f>HYPERLINK("https://pbs.twimg.com/amplify_video_thumb/1689662300557332480/img/YKz5AQyQ1sRMNL5y.jpg")</f>
        <v>https://pbs.twimg.com/amplify_video_thumb/1689662300557332480/img/YKz5AQyQ1sRMNL5y.jpg</v>
      </c>
      <c r="AW4109" s="93" t="s">
        <v>22209</v>
      </c>
      <c r="AX4109" s="93" t="s">
        <v>22209</v>
      </c>
      <c r="AY4109" s="87"/>
      <c r="AZ4109" s="93" t="s">
        <v>22668</v>
      </c>
      <c r="BA4109" s="93" t="s">
        <v>22668</v>
      </c>
      <c r="BB4109" s="93" t="s">
        <v>22668</v>
      </c>
      <c r="BC4109" s="93" t="s">
        <v>22209</v>
      </c>
      <c r="BD4109" s="87">
        <v>106175018</v>
      </c>
      <c r="BE4109" s="87"/>
      <c r="BF4109" s="87"/>
      <c r="BG4109" s="87"/>
      <c r="BH4109" s="87"/>
      <c r="BI4109" s="87"/>
    </row>
    <row r="4110" spans="1:61" x14ac:dyDescent="0.25">
      <c r="A4110" s="63" t="s">
        <v>1585</v>
      </c>
      <c r="B4110" s="63" t="s">
        <v>1585</v>
      </c>
      <c r="C4110" s="64"/>
      <c r="D4110" s="65"/>
      <c r="E4110" s="66"/>
      <c r="F4110" s="67"/>
      <c r="G4110" s="64"/>
      <c r="H4110" s="68"/>
      <c r="I4110" s="69"/>
      <c r="J4110" s="69"/>
      <c r="K4110" s="32"/>
      <c r="L4110" s="76">
        <v>4110</v>
      </c>
      <c r="M4110" s="76"/>
      <c r="N4110" s="71"/>
      <c r="O4110" s="87" t="s">
        <v>179</v>
      </c>
      <c r="P4110" s="90">
        <v>45151.229166666664</v>
      </c>
      <c r="Q4110" s="87" t="s">
        <v>5753</v>
      </c>
      <c r="R4110" s="87">
        <v>4</v>
      </c>
      <c r="S4110" s="87">
        <v>33</v>
      </c>
      <c r="T4110" s="87">
        <v>1</v>
      </c>
      <c r="U4110" s="87">
        <v>0</v>
      </c>
      <c r="V4110" s="87">
        <v>6934</v>
      </c>
      <c r="W4110" s="93" t="s">
        <v>8290</v>
      </c>
      <c r="X4110" s="87"/>
      <c r="Y4110" s="87"/>
      <c r="Z4110" s="87"/>
      <c r="AA4110" s="87" t="s">
        <v>11386</v>
      </c>
      <c r="AB4110" s="87" t="s">
        <v>11447</v>
      </c>
      <c r="AC4110" s="93" t="s">
        <v>11468</v>
      </c>
      <c r="AD4110" s="87" t="s">
        <v>11519</v>
      </c>
      <c r="AE4110" s="92" t="str">
        <f>HYPERLINK("https://twitter.com/jovempannews/status/1690596542900781056")</f>
        <v>https://twitter.com/jovempannews/status/1690596542900781056</v>
      </c>
      <c r="AF4110" s="90">
        <v>45151.229166666664</v>
      </c>
      <c r="AG4110" s="99">
        <v>45151</v>
      </c>
      <c r="AH4110" s="93" t="s">
        <v>15105</v>
      </c>
      <c r="AI4110" s="87" t="b">
        <v>0</v>
      </c>
      <c r="AJ4110" s="87"/>
      <c r="AK4110" s="87"/>
      <c r="AL4110" s="87"/>
      <c r="AM4110" s="87"/>
      <c r="AN4110" s="87"/>
      <c r="AO4110" s="87"/>
      <c r="AP4110" s="87"/>
      <c r="AQ4110" s="87" t="s">
        <v>18198</v>
      </c>
      <c r="AR4110" s="87">
        <v>519919</v>
      </c>
      <c r="AS4110" s="87"/>
      <c r="AT4110" s="87"/>
      <c r="AU4110" s="87"/>
      <c r="AV4110" s="92" t="str">
        <f>HYPERLINK("https://pbs.twimg.com/amplify_video_thumb/1689661154279276545/img/Cq6IvBEDORiJ_5P2.jpg")</f>
        <v>https://pbs.twimg.com/amplify_video_thumb/1689661154279276545/img/Cq6IvBEDORiJ_5P2.jpg</v>
      </c>
      <c r="AW4110" s="93" t="s">
        <v>22210</v>
      </c>
      <c r="AX4110" s="93" t="s">
        <v>22210</v>
      </c>
      <c r="AY4110" s="87"/>
      <c r="AZ4110" s="93" t="s">
        <v>22668</v>
      </c>
      <c r="BA4110" s="93" t="s">
        <v>22668</v>
      </c>
      <c r="BB4110" s="93" t="s">
        <v>22668</v>
      </c>
      <c r="BC4110" s="93" t="s">
        <v>22210</v>
      </c>
      <c r="BD4110" s="87">
        <v>106175018</v>
      </c>
      <c r="BE4110" s="87"/>
      <c r="BF4110" s="87"/>
      <c r="BG4110" s="87"/>
      <c r="BH4110" s="87"/>
      <c r="BI4110" s="87"/>
    </row>
    <row r="4111" spans="1:61" x14ac:dyDescent="0.25">
      <c r="A4111" s="63" t="s">
        <v>1585</v>
      </c>
      <c r="B4111" s="63" t="s">
        <v>1585</v>
      </c>
      <c r="C4111" s="64"/>
      <c r="D4111" s="65"/>
      <c r="E4111" s="66"/>
      <c r="F4111" s="67"/>
      <c r="G4111" s="64"/>
      <c r="H4111" s="68"/>
      <c r="I4111" s="69"/>
      <c r="J4111" s="69"/>
      <c r="K4111" s="32"/>
      <c r="L4111" s="76">
        <v>4111</v>
      </c>
      <c r="M4111" s="76"/>
      <c r="N4111" s="71"/>
      <c r="O4111" s="87" t="s">
        <v>179</v>
      </c>
      <c r="P4111" s="90">
        <v>45150.270833333336</v>
      </c>
      <c r="Q4111" s="87" t="s">
        <v>5754</v>
      </c>
      <c r="R4111" s="87">
        <v>6</v>
      </c>
      <c r="S4111" s="87">
        <v>54</v>
      </c>
      <c r="T4111" s="87">
        <v>17</v>
      </c>
      <c r="U4111" s="87">
        <v>0</v>
      </c>
      <c r="V4111" s="87">
        <v>8070</v>
      </c>
      <c r="W4111" s="93" t="s">
        <v>8291</v>
      </c>
      <c r="X4111" s="87"/>
      <c r="Y4111" s="87"/>
      <c r="Z4111" s="87"/>
      <c r="AA4111" s="87" t="s">
        <v>11387</v>
      </c>
      <c r="AB4111" s="87" t="s">
        <v>11447</v>
      </c>
      <c r="AC4111" s="93" t="s">
        <v>11457</v>
      </c>
      <c r="AD4111" s="87" t="s">
        <v>11519</v>
      </c>
      <c r="AE4111" s="92" t="str">
        <f>HYPERLINK("https://twitter.com/jovempannews/status/1690249254567055360")</f>
        <v>https://twitter.com/jovempannews/status/1690249254567055360</v>
      </c>
      <c r="AF4111" s="90">
        <v>45150.270833333336</v>
      </c>
      <c r="AG4111" s="99">
        <v>45150</v>
      </c>
      <c r="AH4111" s="93" t="s">
        <v>15104</v>
      </c>
      <c r="AI4111" s="87" t="b">
        <v>0</v>
      </c>
      <c r="AJ4111" s="87"/>
      <c r="AK4111" s="87"/>
      <c r="AL4111" s="87"/>
      <c r="AM4111" s="87"/>
      <c r="AN4111" s="87"/>
      <c r="AO4111" s="87"/>
      <c r="AP4111" s="87"/>
      <c r="AQ4111" s="87" t="s">
        <v>18199</v>
      </c>
      <c r="AR4111" s="87">
        <v>764658</v>
      </c>
      <c r="AS4111" s="87"/>
      <c r="AT4111" s="87"/>
      <c r="AU4111" s="87"/>
      <c r="AV4111" s="92" t="str">
        <f>HYPERLINK("https://pbs.twimg.com/amplify_video_thumb/1689659827637624832/img/cQkWpsRawkj6mpG8.jpg")</f>
        <v>https://pbs.twimg.com/amplify_video_thumb/1689659827637624832/img/cQkWpsRawkj6mpG8.jpg</v>
      </c>
      <c r="AW4111" s="93" t="s">
        <v>22211</v>
      </c>
      <c r="AX4111" s="93" t="s">
        <v>22211</v>
      </c>
      <c r="AY4111" s="87"/>
      <c r="AZ4111" s="93" t="s">
        <v>22668</v>
      </c>
      <c r="BA4111" s="93" t="s">
        <v>22668</v>
      </c>
      <c r="BB4111" s="93" t="s">
        <v>22668</v>
      </c>
      <c r="BC4111" s="93" t="s">
        <v>22211</v>
      </c>
      <c r="BD4111" s="87">
        <v>106175018</v>
      </c>
      <c r="BE4111" s="87"/>
      <c r="BF4111" s="87"/>
      <c r="BG4111" s="87"/>
      <c r="BH4111" s="87"/>
      <c r="BI4111" s="87"/>
    </row>
    <row r="4112" spans="1:61" x14ac:dyDescent="0.25">
      <c r="A4112" s="63" t="s">
        <v>1585</v>
      </c>
      <c r="B4112" s="63" t="s">
        <v>1585</v>
      </c>
      <c r="C4112" s="64"/>
      <c r="D4112" s="65"/>
      <c r="E4112" s="66"/>
      <c r="F4112" s="67"/>
      <c r="G4112" s="64"/>
      <c r="H4112" s="68"/>
      <c r="I4112" s="69"/>
      <c r="J4112" s="69"/>
      <c r="K4112" s="32"/>
      <c r="L4112" s="76">
        <v>4112</v>
      </c>
      <c r="M4112" s="76"/>
      <c r="N4112" s="71"/>
      <c r="O4112" s="87" t="s">
        <v>179</v>
      </c>
      <c r="P4112" s="90">
        <v>45138.291678240741</v>
      </c>
      <c r="Q4112" s="87" t="s">
        <v>5755</v>
      </c>
      <c r="R4112" s="87">
        <v>4</v>
      </c>
      <c r="S4112" s="87">
        <v>33</v>
      </c>
      <c r="T4112" s="87">
        <v>0</v>
      </c>
      <c r="U4112" s="87">
        <v>0</v>
      </c>
      <c r="V4112" s="87">
        <v>8244</v>
      </c>
      <c r="W4112" s="93" t="s">
        <v>8292</v>
      </c>
      <c r="X4112" s="87"/>
      <c r="Y4112" s="87"/>
      <c r="Z4112" s="87"/>
      <c r="AA4112" s="87" t="s">
        <v>11388</v>
      </c>
      <c r="AB4112" s="87" t="s">
        <v>11447</v>
      </c>
      <c r="AC4112" s="93" t="s">
        <v>11468</v>
      </c>
      <c r="AD4112" s="87" t="s">
        <v>11519</v>
      </c>
      <c r="AE4112" s="92" t="str">
        <f>HYPERLINK("https://twitter.com/jovempannews/status/1685908156256239616")</f>
        <v>https://twitter.com/jovempannews/status/1685908156256239616</v>
      </c>
      <c r="AF4112" s="90">
        <v>45138.291678240741</v>
      </c>
      <c r="AG4112" s="99">
        <v>45138</v>
      </c>
      <c r="AH4112" s="93" t="s">
        <v>15106</v>
      </c>
      <c r="AI4112" s="87" t="b">
        <v>0</v>
      </c>
      <c r="AJ4112" s="87"/>
      <c r="AK4112" s="87"/>
      <c r="AL4112" s="87"/>
      <c r="AM4112" s="87"/>
      <c r="AN4112" s="87"/>
      <c r="AO4112" s="87"/>
      <c r="AP4112" s="87"/>
      <c r="AQ4112" s="87" t="s">
        <v>18200</v>
      </c>
      <c r="AR4112" s="87">
        <v>55955</v>
      </c>
      <c r="AS4112" s="87"/>
      <c r="AT4112" s="87"/>
      <c r="AU4112" s="87"/>
      <c r="AV4112" s="92" t="str">
        <f>HYPERLINK("https://pbs.twimg.com/amplify_video_thumb/1685016215876403202/img/zAx3Q_AUPb0dZi1K.jpg")</f>
        <v>https://pbs.twimg.com/amplify_video_thumb/1685016215876403202/img/zAx3Q_AUPb0dZi1K.jpg</v>
      </c>
      <c r="AW4112" s="93" t="s">
        <v>22212</v>
      </c>
      <c r="AX4112" s="93" t="s">
        <v>22212</v>
      </c>
      <c r="AY4112" s="87"/>
      <c r="AZ4112" s="93" t="s">
        <v>22668</v>
      </c>
      <c r="BA4112" s="93" t="s">
        <v>22668</v>
      </c>
      <c r="BB4112" s="93" t="s">
        <v>22668</v>
      </c>
      <c r="BC4112" s="93" t="s">
        <v>22212</v>
      </c>
      <c r="BD4112" s="87">
        <v>106175018</v>
      </c>
      <c r="BE4112" s="87"/>
      <c r="BF4112" s="87"/>
      <c r="BG4112" s="87"/>
      <c r="BH4112" s="87"/>
      <c r="BI4112" s="87"/>
    </row>
    <row r="4113" spans="1:61" x14ac:dyDescent="0.25">
      <c r="A4113" s="63" t="s">
        <v>1585</v>
      </c>
      <c r="B4113" s="63" t="s">
        <v>1585</v>
      </c>
      <c r="C4113" s="64"/>
      <c r="D4113" s="65"/>
      <c r="E4113" s="66"/>
      <c r="F4113" s="67"/>
      <c r="G4113" s="64"/>
      <c r="H4113" s="68"/>
      <c r="I4113" s="69"/>
      <c r="J4113" s="69"/>
      <c r="K4113" s="32"/>
      <c r="L4113" s="76">
        <v>4113</v>
      </c>
      <c r="M4113" s="76"/>
      <c r="N4113" s="71"/>
      <c r="O4113" s="87" t="s">
        <v>179</v>
      </c>
      <c r="P4113" s="90">
        <v>45165.677083333336</v>
      </c>
      <c r="Q4113" s="87" t="s">
        <v>5756</v>
      </c>
      <c r="R4113" s="87">
        <v>2</v>
      </c>
      <c r="S4113" s="87">
        <v>22</v>
      </c>
      <c r="T4113" s="87">
        <v>11</v>
      </c>
      <c r="U4113" s="87">
        <v>0</v>
      </c>
      <c r="V4113" s="87">
        <v>6832</v>
      </c>
      <c r="W4113" s="93" t="s">
        <v>8293</v>
      </c>
      <c r="X4113" s="87"/>
      <c r="Y4113" s="87"/>
      <c r="Z4113" s="87"/>
      <c r="AA4113" s="87" t="s">
        <v>11389</v>
      </c>
      <c r="AB4113" s="87" t="s">
        <v>11447</v>
      </c>
      <c r="AC4113" s="93" t="s">
        <v>11468</v>
      </c>
      <c r="AD4113" s="87" t="s">
        <v>11519</v>
      </c>
      <c r="AE4113" s="92" t="str">
        <f>HYPERLINK("https://twitter.com/jovempannews/status/1695832292722372878")</f>
        <v>https://twitter.com/jovempannews/status/1695832292722372878</v>
      </c>
      <c r="AF4113" s="90">
        <v>45165.677083333336</v>
      </c>
      <c r="AG4113" s="99">
        <v>45165</v>
      </c>
      <c r="AH4113" s="93" t="s">
        <v>14840</v>
      </c>
      <c r="AI4113" s="87" t="b">
        <v>0</v>
      </c>
      <c r="AJ4113" s="87"/>
      <c r="AK4113" s="87"/>
      <c r="AL4113" s="87"/>
      <c r="AM4113" s="87"/>
      <c r="AN4113" s="87"/>
      <c r="AO4113" s="87"/>
      <c r="AP4113" s="87"/>
      <c r="AQ4113" s="87" t="s">
        <v>18201</v>
      </c>
      <c r="AR4113" s="87">
        <v>144043</v>
      </c>
      <c r="AS4113" s="87"/>
      <c r="AT4113" s="87"/>
      <c r="AU4113" s="87"/>
      <c r="AV4113" s="92" t="str">
        <f>HYPERLINK("https://pbs.twimg.com/amplify_video_thumb/1695782382819794944/img/j7yWZjxW0WPwE7dx.jpg")</f>
        <v>https://pbs.twimg.com/amplify_video_thumb/1695782382819794944/img/j7yWZjxW0WPwE7dx.jpg</v>
      </c>
      <c r="AW4113" s="93" t="s">
        <v>22213</v>
      </c>
      <c r="AX4113" s="93" t="s">
        <v>22213</v>
      </c>
      <c r="AY4113" s="87"/>
      <c r="AZ4113" s="93" t="s">
        <v>22668</v>
      </c>
      <c r="BA4113" s="93" t="s">
        <v>22668</v>
      </c>
      <c r="BB4113" s="93" t="s">
        <v>22668</v>
      </c>
      <c r="BC4113" s="93" t="s">
        <v>22213</v>
      </c>
      <c r="BD4113" s="87">
        <v>106175018</v>
      </c>
      <c r="BE4113" s="87"/>
      <c r="BF4113" s="87"/>
      <c r="BG4113" s="87"/>
      <c r="BH4113" s="87"/>
      <c r="BI4113" s="87"/>
    </row>
    <row r="4114" spans="1:61" x14ac:dyDescent="0.25">
      <c r="A4114" s="63" t="s">
        <v>1585</v>
      </c>
      <c r="B4114" s="63" t="s">
        <v>1585</v>
      </c>
      <c r="C4114" s="64"/>
      <c r="D4114" s="65"/>
      <c r="E4114" s="66"/>
      <c r="F4114" s="67"/>
      <c r="G4114" s="64"/>
      <c r="H4114" s="68"/>
      <c r="I4114" s="69"/>
      <c r="J4114" s="69"/>
      <c r="K4114" s="32"/>
      <c r="L4114" s="76">
        <v>4114</v>
      </c>
      <c r="M4114" s="76"/>
      <c r="N4114" s="71"/>
      <c r="O4114" s="87" t="s">
        <v>179</v>
      </c>
      <c r="P4114" s="90">
        <v>45179.333344907405</v>
      </c>
      <c r="Q4114" s="87" t="s">
        <v>5757</v>
      </c>
      <c r="R4114" s="87">
        <v>2</v>
      </c>
      <c r="S4114" s="87">
        <v>23</v>
      </c>
      <c r="T4114" s="87">
        <v>2</v>
      </c>
      <c r="U4114" s="87">
        <v>0</v>
      </c>
      <c r="V4114" s="87">
        <v>6860</v>
      </c>
      <c r="W4114" s="93" t="s">
        <v>8294</v>
      </c>
      <c r="X4114" s="87"/>
      <c r="Y4114" s="87"/>
      <c r="Z4114" s="87"/>
      <c r="AA4114" s="87" t="s">
        <v>11390</v>
      </c>
      <c r="AB4114" s="87" t="s">
        <v>11447</v>
      </c>
      <c r="AC4114" s="93" t="s">
        <v>11468</v>
      </c>
      <c r="AD4114" s="87" t="s">
        <v>11519</v>
      </c>
      <c r="AE4114" s="92" t="str">
        <f>HYPERLINK("https://twitter.com/jovempannews/status/1700781157913383321")</f>
        <v>https://twitter.com/jovempannews/status/1700781157913383321</v>
      </c>
      <c r="AF4114" s="90">
        <v>45179.333344907405</v>
      </c>
      <c r="AG4114" s="99">
        <v>45179</v>
      </c>
      <c r="AH4114" s="93" t="s">
        <v>14352</v>
      </c>
      <c r="AI4114" s="87" t="b">
        <v>0</v>
      </c>
      <c r="AJ4114" s="87"/>
      <c r="AK4114" s="87"/>
      <c r="AL4114" s="87"/>
      <c r="AM4114" s="87"/>
      <c r="AN4114" s="87"/>
      <c r="AO4114" s="87"/>
      <c r="AP4114" s="87"/>
      <c r="AQ4114" s="87" t="s">
        <v>18202</v>
      </c>
      <c r="AR4114" s="87">
        <v>245866</v>
      </c>
      <c r="AS4114" s="87"/>
      <c r="AT4114" s="87"/>
      <c r="AU4114" s="87"/>
      <c r="AV4114" s="92" t="str">
        <f>HYPERLINK("https://pbs.twimg.com/amplify_video_thumb/1700237716284231680/img/G2Zw3SFANXqMkCZ7.jpg")</f>
        <v>https://pbs.twimg.com/amplify_video_thumb/1700237716284231680/img/G2Zw3SFANXqMkCZ7.jpg</v>
      </c>
      <c r="AW4114" s="93" t="s">
        <v>22214</v>
      </c>
      <c r="AX4114" s="93" t="s">
        <v>22214</v>
      </c>
      <c r="AY4114" s="87"/>
      <c r="AZ4114" s="93" t="s">
        <v>22668</v>
      </c>
      <c r="BA4114" s="93" t="s">
        <v>22668</v>
      </c>
      <c r="BB4114" s="93" t="s">
        <v>22668</v>
      </c>
      <c r="BC4114" s="93" t="s">
        <v>22214</v>
      </c>
      <c r="BD4114" s="87">
        <v>106175018</v>
      </c>
      <c r="BE4114" s="87"/>
      <c r="BF4114" s="87"/>
      <c r="BG4114" s="87"/>
      <c r="BH4114" s="87"/>
      <c r="BI4114" s="87"/>
    </row>
    <row r="4115" spans="1:61" x14ac:dyDescent="0.25">
      <c r="A4115" s="63" t="s">
        <v>1585</v>
      </c>
      <c r="B4115" s="63" t="s">
        <v>1585</v>
      </c>
      <c r="C4115" s="64"/>
      <c r="D4115" s="65"/>
      <c r="E4115" s="66"/>
      <c r="F4115" s="67"/>
      <c r="G4115" s="64"/>
      <c r="H4115" s="68"/>
      <c r="I4115" s="69"/>
      <c r="J4115" s="69"/>
      <c r="K4115" s="32"/>
      <c r="L4115" s="76">
        <v>4115</v>
      </c>
      <c r="M4115" s="76"/>
      <c r="N4115" s="71"/>
      <c r="O4115" s="87" t="s">
        <v>179</v>
      </c>
      <c r="P4115" s="90">
        <v>45179.3125</v>
      </c>
      <c r="Q4115" s="87" t="s">
        <v>5758</v>
      </c>
      <c r="R4115" s="87">
        <v>4</v>
      </c>
      <c r="S4115" s="87">
        <v>22</v>
      </c>
      <c r="T4115" s="87">
        <v>1</v>
      </c>
      <c r="U4115" s="87">
        <v>0</v>
      </c>
      <c r="V4115" s="87">
        <v>6274</v>
      </c>
      <c r="W4115" s="93" t="s">
        <v>8295</v>
      </c>
      <c r="X4115" s="87"/>
      <c r="Y4115" s="87"/>
      <c r="Z4115" s="87"/>
      <c r="AA4115" s="87" t="s">
        <v>11391</v>
      </c>
      <c r="AB4115" s="87" t="s">
        <v>11447</v>
      </c>
      <c r="AC4115" s="93" t="s">
        <v>11468</v>
      </c>
      <c r="AD4115" s="87" t="s">
        <v>11519</v>
      </c>
      <c r="AE4115" s="92" t="str">
        <f>HYPERLINK("https://twitter.com/jovempannews/status/1700773602302316946")</f>
        <v>https://twitter.com/jovempannews/status/1700773602302316946</v>
      </c>
      <c r="AF4115" s="90">
        <v>45179.3125</v>
      </c>
      <c r="AG4115" s="99">
        <v>45179</v>
      </c>
      <c r="AH4115" s="93" t="s">
        <v>15107</v>
      </c>
      <c r="AI4115" s="87" t="b">
        <v>0</v>
      </c>
      <c r="AJ4115" s="87"/>
      <c r="AK4115" s="87"/>
      <c r="AL4115" s="87"/>
      <c r="AM4115" s="87"/>
      <c r="AN4115" s="87"/>
      <c r="AO4115" s="87"/>
      <c r="AP4115" s="87"/>
      <c r="AQ4115" s="87" t="s">
        <v>18203</v>
      </c>
      <c r="AR4115" s="87">
        <v>425900</v>
      </c>
      <c r="AS4115" s="87"/>
      <c r="AT4115" s="87"/>
      <c r="AU4115" s="87"/>
      <c r="AV4115" s="92" t="str">
        <f>HYPERLINK("https://pbs.twimg.com/amplify_video_thumb/1699811448673771520/img/GPv_ewYkhlrkDtnk.jpg")</f>
        <v>https://pbs.twimg.com/amplify_video_thumb/1699811448673771520/img/GPv_ewYkhlrkDtnk.jpg</v>
      </c>
      <c r="AW4115" s="93" t="s">
        <v>22215</v>
      </c>
      <c r="AX4115" s="93" t="s">
        <v>22215</v>
      </c>
      <c r="AY4115" s="87"/>
      <c r="AZ4115" s="93" t="s">
        <v>22668</v>
      </c>
      <c r="BA4115" s="93" t="s">
        <v>22668</v>
      </c>
      <c r="BB4115" s="93" t="s">
        <v>22668</v>
      </c>
      <c r="BC4115" s="93" t="s">
        <v>22215</v>
      </c>
      <c r="BD4115" s="87">
        <v>106175018</v>
      </c>
      <c r="BE4115" s="87"/>
      <c r="BF4115" s="87"/>
      <c r="BG4115" s="87"/>
      <c r="BH4115" s="87"/>
      <c r="BI4115" s="87"/>
    </row>
    <row r="4116" spans="1:61" x14ac:dyDescent="0.25">
      <c r="A4116" s="63" t="s">
        <v>1585</v>
      </c>
      <c r="B4116" s="63" t="s">
        <v>1585</v>
      </c>
      <c r="C4116" s="64"/>
      <c r="D4116" s="65"/>
      <c r="E4116" s="66"/>
      <c r="F4116" s="67"/>
      <c r="G4116" s="64"/>
      <c r="H4116" s="68"/>
      <c r="I4116" s="69"/>
      <c r="J4116" s="69"/>
      <c r="K4116" s="32"/>
      <c r="L4116" s="76">
        <v>4116</v>
      </c>
      <c r="M4116" s="76"/>
      <c r="N4116" s="71"/>
      <c r="O4116" s="87" t="s">
        <v>179</v>
      </c>
      <c r="P4116" s="90">
        <v>45179.09375</v>
      </c>
      <c r="Q4116" s="87" t="s">
        <v>5759</v>
      </c>
      <c r="R4116" s="87">
        <v>2</v>
      </c>
      <c r="S4116" s="87">
        <v>37</v>
      </c>
      <c r="T4116" s="87">
        <v>1</v>
      </c>
      <c r="U4116" s="87">
        <v>0</v>
      </c>
      <c r="V4116" s="87">
        <v>10200</v>
      </c>
      <c r="W4116" s="93" t="s">
        <v>8296</v>
      </c>
      <c r="X4116" s="87"/>
      <c r="Y4116" s="87"/>
      <c r="Z4116" s="87"/>
      <c r="AA4116" s="87" t="s">
        <v>11392</v>
      </c>
      <c r="AB4116" s="87" t="s">
        <v>11447</v>
      </c>
      <c r="AC4116" s="93" t="s">
        <v>11457</v>
      </c>
      <c r="AD4116" s="87" t="s">
        <v>11519</v>
      </c>
      <c r="AE4116" s="92" t="str">
        <f>HYPERLINK("https://twitter.com/jovempannews/status/1700694329529106789")</f>
        <v>https://twitter.com/jovempannews/status/1700694329529106789</v>
      </c>
      <c r="AF4116" s="90">
        <v>45179.09375</v>
      </c>
      <c r="AG4116" s="99">
        <v>45179</v>
      </c>
      <c r="AH4116" s="93" t="s">
        <v>15103</v>
      </c>
      <c r="AI4116" s="87" t="b">
        <v>0</v>
      </c>
      <c r="AJ4116" s="87"/>
      <c r="AK4116" s="87"/>
      <c r="AL4116" s="87"/>
      <c r="AM4116" s="87"/>
      <c r="AN4116" s="87"/>
      <c r="AO4116" s="87"/>
      <c r="AP4116" s="87"/>
      <c r="AQ4116" s="87" t="s">
        <v>18204</v>
      </c>
      <c r="AR4116" s="87">
        <v>112478</v>
      </c>
      <c r="AS4116" s="87"/>
      <c r="AT4116" s="87"/>
      <c r="AU4116" s="87"/>
      <c r="AV4116" s="92" t="str">
        <f>HYPERLINK("https://pbs.twimg.com/amplify_video_thumb/1700177087879888896/img/N2Ua9PrHmyyyVNEt.jpg")</f>
        <v>https://pbs.twimg.com/amplify_video_thumb/1700177087879888896/img/N2Ua9PrHmyyyVNEt.jpg</v>
      </c>
      <c r="AW4116" s="93" t="s">
        <v>22216</v>
      </c>
      <c r="AX4116" s="93" t="s">
        <v>22216</v>
      </c>
      <c r="AY4116" s="87"/>
      <c r="AZ4116" s="93" t="s">
        <v>22668</v>
      </c>
      <c r="BA4116" s="93" t="s">
        <v>22668</v>
      </c>
      <c r="BB4116" s="93" t="s">
        <v>22668</v>
      </c>
      <c r="BC4116" s="93" t="s">
        <v>22216</v>
      </c>
      <c r="BD4116" s="87">
        <v>106175018</v>
      </c>
      <c r="BE4116" s="87"/>
      <c r="BF4116" s="87"/>
      <c r="BG4116" s="87"/>
      <c r="BH4116" s="87"/>
      <c r="BI4116" s="87"/>
    </row>
    <row r="4117" spans="1:61" x14ac:dyDescent="0.25">
      <c r="A4117" s="63" t="s">
        <v>1585</v>
      </c>
      <c r="B4117" s="63" t="s">
        <v>1585</v>
      </c>
      <c r="C4117" s="64"/>
      <c r="D4117" s="65"/>
      <c r="E4117" s="66"/>
      <c r="F4117" s="67"/>
      <c r="G4117" s="64"/>
      <c r="H4117" s="68"/>
      <c r="I4117" s="69"/>
      <c r="J4117" s="69"/>
      <c r="K4117" s="32"/>
      <c r="L4117" s="76">
        <v>4117</v>
      </c>
      <c r="M4117" s="76"/>
      <c r="N4117" s="71"/>
      <c r="O4117" s="87" t="s">
        <v>179</v>
      </c>
      <c r="P4117" s="90">
        <v>45117.302083333336</v>
      </c>
      <c r="Q4117" s="87" t="s">
        <v>5760</v>
      </c>
      <c r="R4117" s="87">
        <v>2</v>
      </c>
      <c r="S4117" s="87">
        <v>31</v>
      </c>
      <c r="T4117" s="87">
        <v>0</v>
      </c>
      <c r="U4117" s="87">
        <v>0</v>
      </c>
      <c r="V4117" s="87">
        <v>9007</v>
      </c>
      <c r="W4117" s="93" t="s">
        <v>8297</v>
      </c>
      <c r="X4117" s="87"/>
      <c r="Y4117" s="87"/>
      <c r="Z4117" s="87"/>
      <c r="AA4117" s="87" t="s">
        <v>11393</v>
      </c>
      <c r="AB4117" s="87" t="s">
        <v>11447</v>
      </c>
      <c r="AC4117" s="93" t="s">
        <v>11468</v>
      </c>
      <c r="AD4117" s="87" t="s">
        <v>11519</v>
      </c>
      <c r="AE4117" s="92" t="str">
        <f>HYPERLINK("https://twitter.com/jovempannews/status/1678301779379773441")</f>
        <v>https://twitter.com/jovempannews/status/1678301779379773441</v>
      </c>
      <c r="AF4117" s="90">
        <v>45117.302083333336</v>
      </c>
      <c r="AG4117" s="99">
        <v>45117</v>
      </c>
      <c r="AH4117" s="93" t="s">
        <v>15108</v>
      </c>
      <c r="AI4117" s="87" t="b">
        <v>0</v>
      </c>
      <c r="AJ4117" s="87"/>
      <c r="AK4117" s="87"/>
      <c r="AL4117" s="87"/>
      <c r="AM4117" s="87"/>
      <c r="AN4117" s="87"/>
      <c r="AO4117" s="87"/>
      <c r="AP4117" s="87"/>
      <c r="AQ4117" s="87" t="s">
        <v>18205</v>
      </c>
      <c r="AR4117" s="87">
        <v>526144</v>
      </c>
      <c r="AS4117" s="87"/>
      <c r="AT4117" s="87"/>
      <c r="AU4117" s="87"/>
      <c r="AV4117" s="92" t="str">
        <f>HYPERLINK("https://pbs.twimg.com/amplify_video_thumb/1677700621397291009/img/yemsUo5H0F3rucPz.jpg")</f>
        <v>https://pbs.twimg.com/amplify_video_thumb/1677700621397291009/img/yemsUo5H0F3rucPz.jpg</v>
      </c>
      <c r="AW4117" s="93" t="s">
        <v>22217</v>
      </c>
      <c r="AX4117" s="93" t="s">
        <v>22217</v>
      </c>
      <c r="AY4117" s="87"/>
      <c r="AZ4117" s="93" t="s">
        <v>22668</v>
      </c>
      <c r="BA4117" s="93" t="s">
        <v>22668</v>
      </c>
      <c r="BB4117" s="93" t="s">
        <v>22668</v>
      </c>
      <c r="BC4117" s="93" t="s">
        <v>22217</v>
      </c>
      <c r="BD4117" s="87">
        <v>106175018</v>
      </c>
      <c r="BE4117" s="87"/>
      <c r="BF4117" s="87"/>
      <c r="BG4117" s="87"/>
      <c r="BH4117" s="87"/>
      <c r="BI4117" s="87"/>
    </row>
    <row r="4118" spans="1:61" x14ac:dyDescent="0.25">
      <c r="A4118" s="63" t="s">
        <v>1585</v>
      </c>
      <c r="B4118" s="63" t="s">
        <v>1585</v>
      </c>
      <c r="C4118" s="64"/>
      <c r="D4118" s="65"/>
      <c r="E4118" s="66"/>
      <c r="F4118" s="67"/>
      <c r="G4118" s="64"/>
      <c r="H4118" s="68"/>
      <c r="I4118" s="69"/>
      <c r="J4118" s="69"/>
      <c r="K4118" s="32"/>
      <c r="L4118" s="76">
        <v>4118</v>
      </c>
      <c r="M4118" s="76"/>
      <c r="N4118" s="71"/>
      <c r="O4118" s="87" t="s">
        <v>179</v>
      </c>
      <c r="P4118" s="90">
        <v>45180.208333333336</v>
      </c>
      <c r="Q4118" s="87" t="s">
        <v>5761</v>
      </c>
      <c r="R4118" s="87">
        <v>0</v>
      </c>
      <c r="S4118" s="87">
        <v>20</v>
      </c>
      <c r="T4118" s="87">
        <v>5</v>
      </c>
      <c r="U4118" s="87">
        <v>0</v>
      </c>
      <c r="V4118" s="87">
        <v>6411</v>
      </c>
      <c r="W4118" s="93" t="s">
        <v>8298</v>
      </c>
      <c r="X4118" s="87"/>
      <c r="Y4118" s="87"/>
      <c r="Z4118" s="87"/>
      <c r="AA4118" s="87" t="s">
        <v>11394</v>
      </c>
      <c r="AB4118" s="87" t="s">
        <v>11447</v>
      </c>
      <c r="AC4118" s="93" t="s">
        <v>11468</v>
      </c>
      <c r="AD4118" s="87" t="s">
        <v>11519</v>
      </c>
      <c r="AE4118" s="92" t="str">
        <f>HYPERLINK("https://twitter.com/jovempannews/status/1701098243193708730")</f>
        <v>https://twitter.com/jovempannews/status/1701098243193708730</v>
      </c>
      <c r="AF4118" s="90">
        <v>45180.208333333336</v>
      </c>
      <c r="AG4118" s="99">
        <v>45180</v>
      </c>
      <c r="AH4118" s="93" t="s">
        <v>15109</v>
      </c>
      <c r="AI4118" s="87" t="b">
        <v>0</v>
      </c>
      <c r="AJ4118" s="87"/>
      <c r="AK4118" s="87"/>
      <c r="AL4118" s="87"/>
      <c r="AM4118" s="87"/>
      <c r="AN4118" s="87"/>
      <c r="AO4118" s="87"/>
      <c r="AP4118" s="87"/>
      <c r="AQ4118" s="87" t="s">
        <v>18206</v>
      </c>
      <c r="AR4118" s="87">
        <v>375700</v>
      </c>
      <c r="AS4118" s="87"/>
      <c r="AT4118" s="87"/>
      <c r="AU4118" s="87"/>
      <c r="AV4118" s="92" t="str">
        <f>HYPERLINK("https://pbs.twimg.com/amplify_video_thumb/1700237446904991744/img/v5FkNhsv264tBny9.jpg")</f>
        <v>https://pbs.twimg.com/amplify_video_thumb/1700237446904991744/img/v5FkNhsv264tBny9.jpg</v>
      </c>
      <c r="AW4118" s="93" t="s">
        <v>22218</v>
      </c>
      <c r="AX4118" s="93" t="s">
        <v>22218</v>
      </c>
      <c r="AY4118" s="87"/>
      <c r="AZ4118" s="93" t="s">
        <v>22668</v>
      </c>
      <c r="BA4118" s="93" t="s">
        <v>22668</v>
      </c>
      <c r="BB4118" s="93" t="s">
        <v>22668</v>
      </c>
      <c r="BC4118" s="93" t="s">
        <v>22218</v>
      </c>
      <c r="BD4118" s="87">
        <v>106175018</v>
      </c>
      <c r="BE4118" s="87"/>
      <c r="BF4118" s="87"/>
      <c r="BG4118" s="87"/>
      <c r="BH4118" s="87"/>
      <c r="BI4118" s="87"/>
    </row>
    <row r="4119" spans="1:61" x14ac:dyDescent="0.25">
      <c r="A4119" s="63" t="s">
        <v>1585</v>
      </c>
      <c r="B4119" s="63" t="s">
        <v>1585</v>
      </c>
      <c r="C4119" s="64"/>
      <c r="D4119" s="65"/>
      <c r="E4119" s="66"/>
      <c r="F4119" s="67"/>
      <c r="G4119" s="64"/>
      <c r="H4119" s="68"/>
      <c r="I4119" s="69"/>
      <c r="J4119" s="69"/>
      <c r="K4119" s="32"/>
      <c r="L4119" s="76">
        <v>4119</v>
      </c>
      <c r="M4119" s="76"/>
      <c r="N4119" s="71"/>
      <c r="O4119" s="87" t="s">
        <v>179</v>
      </c>
      <c r="P4119" s="90">
        <v>45189.614583333336</v>
      </c>
      <c r="Q4119" s="87" t="s">
        <v>5762</v>
      </c>
      <c r="R4119" s="87">
        <v>3</v>
      </c>
      <c r="S4119" s="87">
        <v>18</v>
      </c>
      <c r="T4119" s="87">
        <v>3</v>
      </c>
      <c r="U4119" s="87">
        <v>0</v>
      </c>
      <c r="V4119" s="87">
        <v>4347</v>
      </c>
      <c r="W4119" s="93" t="s">
        <v>8299</v>
      </c>
      <c r="X4119" s="87"/>
      <c r="Y4119" s="87"/>
      <c r="Z4119" s="87"/>
      <c r="AA4119" s="87" t="s">
        <v>11395</v>
      </c>
      <c r="AB4119" s="87" t="s">
        <v>11447</v>
      </c>
      <c r="AC4119" s="93" t="s">
        <v>11468</v>
      </c>
      <c r="AD4119" s="87" t="s">
        <v>11519</v>
      </c>
      <c r="AE4119" s="92" t="str">
        <f>HYPERLINK("https://twitter.com/jovempannews/status/1704506951802204364")</f>
        <v>https://twitter.com/jovempannews/status/1704506951802204364</v>
      </c>
      <c r="AF4119" s="90">
        <v>45189.614583333336</v>
      </c>
      <c r="AG4119" s="99">
        <v>45189</v>
      </c>
      <c r="AH4119" s="93" t="s">
        <v>15029</v>
      </c>
      <c r="AI4119" s="87" t="b">
        <v>0</v>
      </c>
      <c r="AJ4119" s="87"/>
      <c r="AK4119" s="87"/>
      <c r="AL4119" s="87"/>
      <c r="AM4119" s="87"/>
      <c r="AN4119" s="87"/>
      <c r="AO4119" s="87"/>
      <c r="AP4119" s="87"/>
      <c r="AQ4119" s="87" t="s">
        <v>18207</v>
      </c>
      <c r="AR4119" s="87">
        <v>191766</v>
      </c>
      <c r="AS4119" s="87"/>
      <c r="AT4119" s="87"/>
      <c r="AU4119" s="87"/>
      <c r="AV4119" s="92" t="str">
        <f>HYPERLINK("https://pbs.twimg.com/amplify_video_thumb/1704499331519184896/img/xItBZnYz0SKiAn5c.jpg")</f>
        <v>https://pbs.twimg.com/amplify_video_thumb/1704499331519184896/img/xItBZnYz0SKiAn5c.jpg</v>
      </c>
      <c r="AW4119" s="93" t="s">
        <v>22219</v>
      </c>
      <c r="AX4119" s="93" t="s">
        <v>22219</v>
      </c>
      <c r="AY4119" s="87"/>
      <c r="AZ4119" s="93" t="s">
        <v>22668</v>
      </c>
      <c r="BA4119" s="93" t="s">
        <v>22668</v>
      </c>
      <c r="BB4119" s="93" t="s">
        <v>22668</v>
      </c>
      <c r="BC4119" s="93" t="s">
        <v>22219</v>
      </c>
      <c r="BD4119" s="87">
        <v>106175018</v>
      </c>
      <c r="BE4119" s="87"/>
      <c r="BF4119" s="87"/>
      <c r="BG4119" s="87"/>
      <c r="BH4119" s="87"/>
      <c r="BI4119" s="87"/>
    </row>
    <row r="4120" spans="1:61" x14ac:dyDescent="0.25">
      <c r="A4120" s="63" t="s">
        <v>1585</v>
      </c>
      <c r="B4120" s="63" t="s">
        <v>1585</v>
      </c>
      <c r="C4120" s="64"/>
      <c r="D4120" s="65"/>
      <c r="E4120" s="66"/>
      <c r="F4120" s="67"/>
      <c r="G4120" s="64"/>
      <c r="H4120" s="68"/>
      <c r="I4120" s="69"/>
      <c r="J4120" s="69"/>
      <c r="K4120" s="32"/>
      <c r="L4120" s="76">
        <v>4120</v>
      </c>
      <c r="M4120" s="76"/>
      <c r="N4120" s="71"/>
      <c r="O4120" s="87" t="s">
        <v>179</v>
      </c>
      <c r="P4120" s="90">
        <v>45149.270833333336</v>
      </c>
      <c r="Q4120" s="87" t="s">
        <v>5763</v>
      </c>
      <c r="R4120" s="87">
        <v>3</v>
      </c>
      <c r="S4120" s="87">
        <v>29</v>
      </c>
      <c r="T4120" s="87">
        <v>1</v>
      </c>
      <c r="U4120" s="87">
        <v>0</v>
      </c>
      <c r="V4120" s="87">
        <v>7294</v>
      </c>
      <c r="W4120" s="93" t="s">
        <v>8300</v>
      </c>
      <c r="X4120" s="87"/>
      <c r="Y4120" s="87"/>
      <c r="Z4120" s="87"/>
      <c r="AA4120" s="87" t="s">
        <v>11396</v>
      </c>
      <c r="AB4120" s="87" t="s">
        <v>11447</v>
      </c>
      <c r="AC4120" s="93" t="s">
        <v>11468</v>
      </c>
      <c r="AD4120" s="87" t="s">
        <v>11519</v>
      </c>
      <c r="AE4120" s="92" t="str">
        <f>HYPERLINK("https://twitter.com/jovempannews/status/1689886866953084928")</f>
        <v>https://twitter.com/jovempannews/status/1689886866953084928</v>
      </c>
      <c r="AF4120" s="90">
        <v>45149.270833333336</v>
      </c>
      <c r="AG4120" s="99">
        <v>45149</v>
      </c>
      <c r="AH4120" s="93" t="s">
        <v>15104</v>
      </c>
      <c r="AI4120" s="87" t="b">
        <v>0</v>
      </c>
      <c r="AJ4120" s="87"/>
      <c r="AK4120" s="87"/>
      <c r="AL4120" s="87"/>
      <c r="AM4120" s="87"/>
      <c r="AN4120" s="87"/>
      <c r="AO4120" s="87"/>
      <c r="AP4120" s="87"/>
      <c r="AQ4120" s="87" t="s">
        <v>18208</v>
      </c>
      <c r="AR4120" s="87">
        <v>445848</v>
      </c>
      <c r="AS4120" s="87"/>
      <c r="AT4120" s="87"/>
      <c r="AU4120" s="87"/>
      <c r="AV4120" s="92" t="str">
        <f>HYPERLINK("https://pbs.twimg.com/amplify_video_thumb/1689657289773342720/img/ySb7KeQ8sZIFbGOz.jpg")</f>
        <v>https://pbs.twimg.com/amplify_video_thumb/1689657289773342720/img/ySb7KeQ8sZIFbGOz.jpg</v>
      </c>
      <c r="AW4120" s="93" t="s">
        <v>22220</v>
      </c>
      <c r="AX4120" s="93" t="s">
        <v>22220</v>
      </c>
      <c r="AY4120" s="87"/>
      <c r="AZ4120" s="93" t="s">
        <v>22668</v>
      </c>
      <c r="BA4120" s="93" t="s">
        <v>22668</v>
      </c>
      <c r="BB4120" s="93" t="s">
        <v>22668</v>
      </c>
      <c r="BC4120" s="93" t="s">
        <v>22220</v>
      </c>
      <c r="BD4120" s="87">
        <v>106175018</v>
      </c>
      <c r="BE4120" s="87"/>
      <c r="BF4120" s="87"/>
      <c r="BG4120" s="87"/>
      <c r="BH4120" s="87"/>
      <c r="BI4120" s="87"/>
    </row>
    <row r="4121" spans="1:61" x14ac:dyDescent="0.25">
      <c r="A4121" s="63" t="s">
        <v>1585</v>
      </c>
      <c r="B4121" s="63" t="s">
        <v>1585</v>
      </c>
      <c r="C4121" s="64"/>
      <c r="D4121" s="65"/>
      <c r="E4121" s="66"/>
      <c r="F4121" s="67"/>
      <c r="G4121" s="64"/>
      <c r="H4121" s="68"/>
      <c r="I4121" s="69"/>
      <c r="J4121" s="69"/>
      <c r="K4121" s="32"/>
      <c r="L4121" s="76">
        <v>4121</v>
      </c>
      <c r="M4121" s="76"/>
      <c r="N4121" s="71"/>
      <c r="O4121" s="87" t="s">
        <v>179</v>
      </c>
      <c r="P4121" s="90">
        <v>45149.229166666664</v>
      </c>
      <c r="Q4121" s="87" t="s">
        <v>5764</v>
      </c>
      <c r="R4121" s="87">
        <v>1</v>
      </c>
      <c r="S4121" s="87">
        <v>16</v>
      </c>
      <c r="T4121" s="87">
        <v>1</v>
      </c>
      <c r="U4121" s="87">
        <v>0</v>
      </c>
      <c r="V4121" s="87">
        <v>6714</v>
      </c>
      <c r="W4121" s="93" t="s">
        <v>8301</v>
      </c>
      <c r="X4121" s="87"/>
      <c r="Y4121" s="87"/>
      <c r="Z4121" s="87"/>
      <c r="AA4121" s="87" t="s">
        <v>11397</v>
      </c>
      <c r="AB4121" s="87" t="s">
        <v>11447</v>
      </c>
      <c r="AC4121" s="93" t="s">
        <v>11468</v>
      </c>
      <c r="AD4121" s="87" t="s">
        <v>11519</v>
      </c>
      <c r="AE4121" s="92" t="str">
        <f>HYPERLINK("https://twitter.com/jovempannews/status/1689871767408410625")</f>
        <v>https://twitter.com/jovempannews/status/1689871767408410625</v>
      </c>
      <c r="AF4121" s="90">
        <v>45149.229166666664</v>
      </c>
      <c r="AG4121" s="99">
        <v>45149</v>
      </c>
      <c r="AH4121" s="93" t="s">
        <v>15105</v>
      </c>
      <c r="AI4121" s="87" t="b">
        <v>0</v>
      </c>
      <c r="AJ4121" s="87"/>
      <c r="AK4121" s="87"/>
      <c r="AL4121" s="87"/>
      <c r="AM4121" s="87"/>
      <c r="AN4121" s="87"/>
      <c r="AO4121" s="87"/>
      <c r="AP4121" s="87"/>
      <c r="AQ4121" s="87" t="s">
        <v>18209</v>
      </c>
      <c r="AR4121" s="87">
        <v>454997</v>
      </c>
      <c r="AS4121" s="87"/>
      <c r="AT4121" s="87"/>
      <c r="AU4121" s="87"/>
      <c r="AV4121" s="92" t="str">
        <f>HYPERLINK("https://pbs.twimg.com/amplify_video_thumb/1689655833716563968/img/uByPLrL4hCnEj4tc.jpg")</f>
        <v>https://pbs.twimg.com/amplify_video_thumb/1689655833716563968/img/uByPLrL4hCnEj4tc.jpg</v>
      </c>
      <c r="AW4121" s="93" t="s">
        <v>22221</v>
      </c>
      <c r="AX4121" s="93" t="s">
        <v>22221</v>
      </c>
      <c r="AY4121" s="87"/>
      <c r="AZ4121" s="93" t="s">
        <v>22668</v>
      </c>
      <c r="BA4121" s="93" t="s">
        <v>22668</v>
      </c>
      <c r="BB4121" s="93" t="s">
        <v>22668</v>
      </c>
      <c r="BC4121" s="93" t="s">
        <v>22221</v>
      </c>
      <c r="BD4121" s="87">
        <v>106175018</v>
      </c>
      <c r="BE4121" s="87"/>
      <c r="BF4121" s="87"/>
      <c r="BG4121" s="87"/>
      <c r="BH4121" s="87"/>
      <c r="BI4121" s="87"/>
    </row>
    <row r="4122" spans="1:61" x14ac:dyDescent="0.25">
      <c r="A4122" s="63" t="s">
        <v>1586</v>
      </c>
      <c r="B4122" s="63" t="s">
        <v>1586</v>
      </c>
      <c r="C4122" s="64"/>
      <c r="D4122" s="65"/>
      <c r="E4122" s="66"/>
      <c r="F4122" s="67"/>
      <c r="G4122" s="64"/>
      <c r="H4122" s="68"/>
      <c r="I4122" s="69"/>
      <c r="J4122" s="69"/>
      <c r="K4122" s="32"/>
      <c r="L4122" s="76">
        <v>4122</v>
      </c>
      <c r="M4122" s="76"/>
      <c r="N4122" s="71"/>
      <c r="O4122" s="87" t="s">
        <v>179</v>
      </c>
      <c r="P4122" s="90">
        <v>45113.895833333336</v>
      </c>
      <c r="Q4122" s="87" t="s">
        <v>5765</v>
      </c>
      <c r="R4122" s="87">
        <v>0</v>
      </c>
      <c r="S4122" s="87">
        <v>0</v>
      </c>
      <c r="T4122" s="87">
        <v>0</v>
      </c>
      <c r="U4122" s="87">
        <v>0</v>
      </c>
      <c r="V4122" s="87">
        <v>19</v>
      </c>
      <c r="W4122" s="93" t="s">
        <v>8302</v>
      </c>
      <c r="X4122" s="92" t="str">
        <f>HYPERLINK("https://correiodeminas.com.br/2023/07/06/empreendedorismo-5-cursos-profissionalizantes-para-impulsionar-sua-carreira-no-segundo-semestre/")</f>
        <v>https://correiodeminas.com.br/2023/07/06/empreendedorismo-5-cursos-profissionalizantes-para-impulsionar-sua-carreira-no-segundo-semestre/</v>
      </c>
      <c r="Y4122" s="87" t="s">
        <v>8373</v>
      </c>
      <c r="Z4122" s="87"/>
      <c r="AA4122" s="87" t="s">
        <v>11398</v>
      </c>
      <c r="AB4122" s="87" t="s">
        <v>11448</v>
      </c>
      <c r="AC4122" s="93" t="s">
        <v>11457</v>
      </c>
      <c r="AD4122" s="87" t="s">
        <v>11519</v>
      </c>
      <c r="AE4122" s="92" t="str">
        <f>HYPERLINK("https://twitter.com/correiodeminas/status/1677067397482835968")</f>
        <v>https://twitter.com/correiodeminas/status/1677067397482835968</v>
      </c>
      <c r="AF4122" s="90">
        <v>45113.895833333336</v>
      </c>
      <c r="AG4122" s="99">
        <v>45113</v>
      </c>
      <c r="AH4122" s="93" t="s">
        <v>12292</v>
      </c>
      <c r="AI4122" s="87" t="b">
        <v>0</v>
      </c>
      <c r="AJ4122" s="87"/>
      <c r="AK4122" s="87"/>
      <c r="AL4122" s="87"/>
      <c r="AM4122" s="87"/>
      <c r="AN4122" s="87"/>
      <c r="AO4122" s="87"/>
      <c r="AP4122" s="87"/>
      <c r="AQ4122" s="87" t="s">
        <v>18210</v>
      </c>
      <c r="AR4122" s="87"/>
      <c r="AS4122" s="87"/>
      <c r="AT4122" s="87"/>
      <c r="AU4122" s="87"/>
      <c r="AV4122" s="92" t="str">
        <f>HYPERLINK("https://pbs.twimg.com/media/F0X_3GsXsAEtmib.jpg")</f>
        <v>https://pbs.twimg.com/media/F0X_3GsXsAEtmib.jpg</v>
      </c>
      <c r="AW4122" s="93" t="s">
        <v>22222</v>
      </c>
      <c r="AX4122" s="93" t="s">
        <v>22222</v>
      </c>
      <c r="AY4122" s="87"/>
      <c r="AZ4122" s="93" t="s">
        <v>22668</v>
      </c>
      <c r="BA4122" s="93" t="s">
        <v>22668</v>
      </c>
      <c r="BB4122" s="93" t="s">
        <v>22668</v>
      </c>
      <c r="BC4122" s="93" t="s">
        <v>22222</v>
      </c>
      <c r="BD4122" s="87">
        <v>119024617</v>
      </c>
      <c r="BE4122" s="87"/>
      <c r="BF4122" s="87"/>
      <c r="BG4122" s="87"/>
      <c r="BH4122" s="87"/>
      <c r="BI4122" s="87"/>
    </row>
    <row r="4123" spans="1:61" x14ac:dyDescent="0.25">
      <c r="A4123" s="63" t="s">
        <v>1586</v>
      </c>
      <c r="B4123" s="63" t="s">
        <v>1586</v>
      </c>
      <c r="C4123" s="64"/>
      <c r="D4123" s="65"/>
      <c r="E4123" s="66"/>
      <c r="F4123" s="67"/>
      <c r="G4123" s="64"/>
      <c r="H4123" s="68"/>
      <c r="I4123" s="69"/>
      <c r="J4123" s="69"/>
      <c r="K4123" s="32"/>
      <c r="L4123" s="76">
        <v>4123</v>
      </c>
      <c r="M4123" s="76"/>
      <c r="N4123" s="71"/>
      <c r="O4123" s="87" t="s">
        <v>179</v>
      </c>
      <c r="P4123" s="90">
        <v>45156.773969907408</v>
      </c>
      <c r="Q4123" s="87" t="s">
        <v>5766</v>
      </c>
      <c r="R4123" s="87">
        <v>0</v>
      </c>
      <c r="S4123" s="87">
        <v>1</v>
      </c>
      <c r="T4123" s="87">
        <v>0</v>
      </c>
      <c r="U4123" s="87">
        <v>0</v>
      </c>
      <c r="V4123" s="87">
        <v>65</v>
      </c>
      <c r="W4123" s="93" t="s">
        <v>8303</v>
      </c>
      <c r="X4123" s="92" t="str">
        <f>HYPERLINK("https://correiodeminas.com.br/2023/08/18/em-seu-centenario-itabirito-presenteia-populacao-e-empreendedores-com-a-maior-feira-ja-realizada-na-regiao-sao-esperados-mais-de-20-mil-visitantes/")</f>
        <v>https://correiodeminas.com.br/2023/08/18/em-seu-centenario-itabirito-presenteia-populacao-e-empreendedores-com-a-maior-feira-ja-realizada-na-regiao-sao-esperados-mais-de-20-mil-visitantes/</v>
      </c>
      <c r="Y4123" s="87" t="s">
        <v>8373</v>
      </c>
      <c r="Z4123" s="87"/>
      <c r="AA4123" s="87" t="s">
        <v>11399</v>
      </c>
      <c r="AB4123" s="87" t="s">
        <v>11449</v>
      </c>
      <c r="AC4123" s="93" t="s">
        <v>11457</v>
      </c>
      <c r="AD4123" s="87" t="s">
        <v>11519</v>
      </c>
      <c r="AE4123" s="92" t="str">
        <f>HYPERLINK("https://twitter.com/correiodeminas/status/1692605914870640772")</f>
        <v>https://twitter.com/correiodeminas/status/1692605914870640772</v>
      </c>
      <c r="AF4123" s="90">
        <v>45156.773969907408</v>
      </c>
      <c r="AG4123" s="99">
        <v>45156</v>
      </c>
      <c r="AH4123" s="93" t="s">
        <v>15110</v>
      </c>
      <c r="AI4123" s="87" t="b">
        <v>0</v>
      </c>
      <c r="AJ4123" s="87"/>
      <c r="AK4123" s="87"/>
      <c r="AL4123" s="87"/>
      <c r="AM4123" s="87"/>
      <c r="AN4123" s="87"/>
      <c r="AO4123" s="87"/>
      <c r="AP4123" s="87"/>
      <c r="AQ4123" s="87" t="s">
        <v>18211</v>
      </c>
      <c r="AR4123" s="87"/>
      <c r="AS4123" s="87"/>
      <c r="AT4123" s="87"/>
      <c r="AU4123" s="87"/>
      <c r="AV4123" s="92" t="str">
        <f>HYPERLINK("https://pbs.twimg.com/media/F31YGWSW4AAd1Ip.jpg")</f>
        <v>https://pbs.twimg.com/media/F31YGWSW4AAd1Ip.jpg</v>
      </c>
      <c r="AW4123" s="93" t="s">
        <v>22223</v>
      </c>
      <c r="AX4123" s="93" t="s">
        <v>22223</v>
      </c>
      <c r="AY4123" s="87"/>
      <c r="AZ4123" s="93" t="s">
        <v>22668</v>
      </c>
      <c r="BA4123" s="93" t="s">
        <v>22668</v>
      </c>
      <c r="BB4123" s="93" t="s">
        <v>22668</v>
      </c>
      <c r="BC4123" s="93" t="s">
        <v>22223</v>
      </c>
      <c r="BD4123" s="87">
        <v>119024617</v>
      </c>
      <c r="BE4123" s="87"/>
      <c r="BF4123" s="87"/>
      <c r="BG4123" s="87"/>
      <c r="BH4123" s="87"/>
      <c r="BI4123" s="87"/>
    </row>
    <row r="4124" spans="1:61" x14ac:dyDescent="0.25">
      <c r="A4124" s="63" t="s">
        <v>1587</v>
      </c>
      <c r="B4124" s="63" t="s">
        <v>1587</v>
      </c>
      <c r="C4124" s="64"/>
      <c r="D4124" s="65"/>
      <c r="E4124" s="66"/>
      <c r="F4124" s="67"/>
      <c r="G4124" s="64"/>
      <c r="H4124" s="68"/>
      <c r="I4124" s="69"/>
      <c r="J4124" s="69"/>
      <c r="K4124" s="32"/>
      <c r="L4124" s="76">
        <v>4124</v>
      </c>
      <c r="M4124" s="76"/>
      <c r="N4124" s="71"/>
      <c r="O4124" s="87" t="s">
        <v>1840</v>
      </c>
      <c r="P4124" s="90">
        <v>45168.988495370373</v>
      </c>
      <c r="Q4124" s="87" t="s">
        <v>5767</v>
      </c>
      <c r="R4124" s="87">
        <v>0</v>
      </c>
      <c r="S4124" s="87">
        <v>1</v>
      </c>
      <c r="T4124" s="87">
        <v>0</v>
      </c>
      <c r="U4124" s="87">
        <v>0</v>
      </c>
      <c r="V4124" s="87">
        <v>143</v>
      </c>
      <c r="W4124" s="93" t="s">
        <v>8304</v>
      </c>
      <c r="X4124" s="92" t="str">
        <f>HYPERLINK("https://www.youtube.com/watch?v=Mk8XfBz-VkI")</f>
        <v>https://www.youtube.com/watch?v=Mk8XfBz-VkI</v>
      </c>
      <c r="Y4124" s="87" t="s">
        <v>8380</v>
      </c>
      <c r="Z4124" s="87"/>
      <c r="AA4124" s="87"/>
      <c r="AB4124" s="87"/>
      <c r="AC4124" s="93" t="s">
        <v>11457</v>
      </c>
      <c r="AD4124" s="87" t="s">
        <v>11519</v>
      </c>
      <c r="AE4124" s="92" t="str">
        <f>HYPERLINK("https://twitter.com/romerorodrigues/status/1697032308065235096")</f>
        <v>https://twitter.com/romerorodrigues/status/1697032308065235096</v>
      </c>
      <c r="AF4124" s="90">
        <v>45168.988495370373</v>
      </c>
      <c r="AG4124" s="99">
        <v>45168</v>
      </c>
      <c r="AH4124" s="93" t="s">
        <v>15111</v>
      </c>
      <c r="AI4124" s="87" t="b">
        <v>0</v>
      </c>
      <c r="AJ4124" s="87"/>
      <c r="AK4124" s="87"/>
      <c r="AL4124" s="87"/>
      <c r="AM4124" s="87"/>
      <c r="AN4124" s="87"/>
      <c r="AO4124" s="87"/>
      <c r="AP4124" s="87"/>
      <c r="AQ4124" s="87"/>
      <c r="AR4124" s="87"/>
      <c r="AS4124" s="87"/>
      <c r="AT4124" s="87"/>
      <c r="AU4124" s="87"/>
      <c r="AV4124" s="92" t="str">
        <f>HYPERLINK("https://pbs.twimg.com/profile_images/1276235770613948417/e9H3CqAo_normal.jpg")</f>
        <v>https://pbs.twimg.com/profile_images/1276235770613948417/e9H3CqAo_normal.jpg</v>
      </c>
      <c r="AW4124" s="93" t="s">
        <v>22224</v>
      </c>
      <c r="AX4124" s="93" t="s">
        <v>22512</v>
      </c>
      <c r="AY4124" s="93" t="s">
        <v>22665</v>
      </c>
      <c r="AZ4124" s="93" t="s">
        <v>22789</v>
      </c>
      <c r="BA4124" s="93" t="s">
        <v>22668</v>
      </c>
      <c r="BB4124" s="93" t="s">
        <v>22668</v>
      </c>
      <c r="BC4124" s="93" t="s">
        <v>22789</v>
      </c>
      <c r="BD4124" s="87">
        <v>15345052</v>
      </c>
      <c r="BE4124" s="87"/>
      <c r="BF4124" s="87"/>
      <c r="BG4124" s="87"/>
      <c r="BH4124" s="87"/>
      <c r="BI4124" s="87"/>
    </row>
    <row r="4125" spans="1:61" x14ac:dyDescent="0.25">
      <c r="A4125" s="63" t="s">
        <v>1588</v>
      </c>
      <c r="B4125" s="63" t="s">
        <v>1836</v>
      </c>
      <c r="C4125" s="64"/>
      <c r="D4125" s="65"/>
      <c r="E4125" s="66"/>
      <c r="F4125" s="67"/>
      <c r="G4125" s="64"/>
      <c r="H4125" s="68"/>
      <c r="I4125" s="69"/>
      <c r="J4125" s="69"/>
      <c r="K4125" s="32"/>
      <c r="L4125" s="76">
        <v>4125</v>
      </c>
      <c r="M4125" s="76"/>
      <c r="N4125" s="71"/>
      <c r="O4125" s="87" t="s">
        <v>1839</v>
      </c>
      <c r="P4125" s="90">
        <v>45136.541458333333</v>
      </c>
      <c r="Q4125" s="87" t="s">
        <v>5768</v>
      </c>
      <c r="R4125" s="87">
        <v>0</v>
      </c>
      <c r="S4125" s="87">
        <v>0</v>
      </c>
      <c r="T4125" s="87">
        <v>0</v>
      </c>
      <c r="U4125" s="87">
        <v>0</v>
      </c>
      <c r="V4125" s="87">
        <v>15</v>
      </c>
      <c r="W4125" s="93" t="s">
        <v>8305</v>
      </c>
      <c r="X4125" s="87"/>
      <c r="Y4125" s="87"/>
      <c r="Z4125" s="87" t="s">
        <v>1836</v>
      </c>
      <c r="AA4125" s="87" t="s">
        <v>11400</v>
      </c>
      <c r="AB4125" s="87" t="s">
        <v>11448</v>
      </c>
      <c r="AC4125" s="93" t="s">
        <v>11458</v>
      </c>
      <c r="AD4125" s="87" t="s">
        <v>11519</v>
      </c>
      <c r="AE4125" s="92" t="str">
        <f>HYPERLINK("https://twitter.com/marcioitshow/status/1685273894603636736")</f>
        <v>https://twitter.com/marcioitshow/status/1685273894603636736</v>
      </c>
      <c r="AF4125" s="90">
        <v>45136.541458333333</v>
      </c>
      <c r="AG4125" s="99">
        <v>45136</v>
      </c>
      <c r="AH4125" s="93" t="s">
        <v>14956</v>
      </c>
      <c r="AI4125" s="87" t="b">
        <v>0</v>
      </c>
      <c r="AJ4125" s="87"/>
      <c r="AK4125" s="87"/>
      <c r="AL4125" s="87"/>
      <c r="AM4125" s="87"/>
      <c r="AN4125" s="87"/>
      <c r="AO4125" s="87"/>
      <c r="AP4125" s="87"/>
      <c r="AQ4125" s="87" t="s">
        <v>18212</v>
      </c>
      <c r="AR4125" s="87"/>
      <c r="AS4125" s="87"/>
      <c r="AT4125" s="87"/>
      <c r="AU4125" s="87"/>
      <c r="AV4125" s="92" t="str">
        <f>HYPERLINK("https://pbs.twimg.com/media/F2NLrHXX0AAocNy.jpg")</f>
        <v>https://pbs.twimg.com/media/F2NLrHXX0AAocNy.jpg</v>
      </c>
      <c r="AW4125" s="93" t="s">
        <v>22225</v>
      </c>
      <c r="AX4125" s="93" t="s">
        <v>22225</v>
      </c>
      <c r="AY4125" s="87"/>
      <c r="AZ4125" s="93" t="s">
        <v>22668</v>
      </c>
      <c r="BA4125" s="93" t="s">
        <v>22668</v>
      </c>
      <c r="BB4125" s="93" t="s">
        <v>22668</v>
      </c>
      <c r="BC4125" s="93" t="s">
        <v>22225</v>
      </c>
      <c r="BD4125" s="93" t="s">
        <v>23581</v>
      </c>
      <c r="BE4125" s="87"/>
      <c r="BF4125" s="87"/>
      <c r="BG4125" s="87"/>
      <c r="BH4125" s="87"/>
      <c r="BI4125" s="87"/>
    </row>
    <row r="4126" spans="1:61" x14ac:dyDescent="0.25">
      <c r="A4126" s="63" t="s">
        <v>1589</v>
      </c>
      <c r="B4126" s="63" t="s">
        <v>1589</v>
      </c>
      <c r="C4126" s="64"/>
      <c r="D4126" s="65"/>
      <c r="E4126" s="66"/>
      <c r="F4126" s="67"/>
      <c r="G4126" s="64"/>
      <c r="H4126" s="68"/>
      <c r="I4126" s="69"/>
      <c r="J4126" s="69"/>
      <c r="K4126" s="32"/>
      <c r="L4126" s="76">
        <v>4126</v>
      </c>
      <c r="M4126" s="76"/>
      <c r="N4126" s="71"/>
      <c r="O4126" s="87" t="s">
        <v>179</v>
      </c>
      <c r="P4126" s="90">
        <v>45125.507337962961</v>
      </c>
      <c r="Q4126" s="87" t="s">
        <v>5769</v>
      </c>
      <c r="R4126" s="87">
        <v>0</v>
      </c>
      <c r="S4126" s="87">
        <v>0</v>
      </c>
      <c r="T4126" s="87">
        <v>0</v>
      </c>
      <c r="U4126" s="87">
        <v>0</v>
      </c>
      <c r="V4126" s="87">
        <v>73</v>
      </c>
      <c r="W4126" s="93" t="s">
        <v>8306</v>
      </c>
      <c r="X4126" s="87"/>
      <c r="Y4126" s="87"/>
      <c r="Z4126" s="87"/>
      <c r="AA4126" s="87" t="s">
        <v>11401</v>
      </c>
      <c r="AB4126" s="87" t="s">
        <v>11447</v>
      </c>
      <c r="AC4126" s="93" t="s">
        <v>11460</v>
      </c>
      <c r="AD4126" s="87" t="s">
        <v>11519</v>
      </c>
      <c r="AE4126" s="92" t="str">
        <f>HYPERLINK("https://twitter.com/juheinakarina/status/1681275263638798337")</f>
        <v>https://twitter.com/juheinakarina/status/1681275263638798337</v>
      </c>
      <c r="AF4126" s="90">
        <v>45125.507337962961</v>
      </c>
      <c r="AG4126" s="99">
        <v>45125</v>
      </c>
      <c r="AH4126" s="93" t="s">
        <v>15112</v>
      </c>
      <c r="AI4126" s="87" t="b">
        <v>0</v>
      </c>
      <c r="AJ4126" s="87"/>
      <c r="AK4126" s="87"/>
      <c r="AL4126" s="87"/>
      <c r="AM4126" s="87"/>
      <c r="AN4126" s="87"/>
      <c r="AO4126" s="87"/>
      <c r="AP4126" s="87"/>
      <c r="AQ4126" s="87" t="s">
        <v>18213</v>
      </c>
      <c r="AR4126" s="87">
        <v>35000</v>
      </c>
      <c r="AS4126" s="87"/>
      <c r="AT4126" s="87"/>
      <c r="AU4126" s="87"/>
      <c r="AV4126" s="92" t="str">
        <f>HYPERLINK("https://pbs.twimg.com/ext_tw_video_thumb/1681275218218606592/pu/img/EWPlpbkN3SWcrLCL.jpg")</f>
        <v>https://pbs.twimg.com/ext_tw_video_thumb/1681275218218606592/pu/img/EWPlpbkN3SWcrLCL.jpg</v>
      </c>
      <c r="AW4126" s="93" t="s">
        <v>22226</v>
      </c>
      <c r="AX4126" s="93" t="s">
        <v>22226</v>
      </c>
      <c r="AY4126" s="87"/>
      <c r="AZ4126" s="93" t="s">
        <v>22668</v>
      </c>
      <c r="BA4126" s="93" t="s">
        <v>22668</v>
      </c>
      <c r="BB4126" s="93" t="s">
        <v>22668</v>
      </c>
      <c r="BC4126" s="93" t="s">
        <v>22226</v>
      </c>
      <c r="BD4126" s="87">
        <v>195049669</v>
      </c>
      <c r="BE4126" s="87"/>
      <c r="BF4126" s="87"/>
      <c r="BG4126" s="87"/>
      <c r="BH4126" s="87"/>
      <c r="BI4126" s="87"/>
    </row>
    <row r="4127" spans="1:61" x14ac:dyDescent="0.25">
      <c r="A4127" s="63" t="s">
        <v>1590</v>
      </c>
      <c r="B4127" s="63" t="s">
        <v>1590</v>
      </c>
      <c r="C4127" s="64"/>
      <c r="D4127" s="65"/>
      <c r="E4127" s="66"/>
      <c r="F4127" s="67"/>
      <c r="G4127" s="64"/>
      <c r="H4127" s="68"/>
      <c r="I4127" s="69"/>
      <c r="J4127" s="69"/>
      <c r="K4127" s="32"/>
      <c r="L4127" s="76">
        <v>4127</v>
      </c>
      <c r="M4127" s="76"/>
      <c r="N4127" s="71"/>
      <c r="O4127" s="87" t="s">
        <v>179</v>
      </c>
      <c r="P4127" s="90">
        <v>45115.776493055557</v>
      </c>
      <c r="Q4127" s="87" t="s">
        <v>5770</v>
      </c>
      <c r="R4127" s="87">
        <v>0</v>
      </c>
      <c r="S4127" s="87">
        <v>3</v>
      </c>
      <c r="T4127" s="87">
        <v>0</v>
      </c>
      <c r="U4127" s="87">
        <v>0</v>
      </c>
      <c r="V4127" s="87">
        <v>85</v>
      </c>
      <c r="W4127" s="93" t="s">
        <v>8307</v>
      </c>
      <c r="X4127" s="87"/>
      <c r="Y4127" s="87"/>
      <c r="Z4127" s="87"/>
      <c r="AA4127" s="87" t="s">
        <v>11402</v>
      </c>
      <c r="AB4127" s="87" t="s">
        <v>11447</v>
      </c>
      <c r="AC4127" s="93" t="s">
        <v>11458</v>
      </c>
      <c r="AD4127" s="87" t="s">
        <v>11519</v>
      </c>
      <c r="AE4127" s="92" t="str">
        <f>HYPERLINK("https://twitter.com/ricardosousapro/status/1677748923757215751")</f>
        <v>https://twitter.com/ricardosousapro/status/1677748923757215751</v>
      </c>
      <c r="AF4127" s="90">
        <v>45115.776493055557</v>
      </c>
      <c r="AG4127" s="99">
        <v>45115</v>
      </c>
      <c r="AH4127" s="93" t="s">
        <v>13426</v>
      </c>
      <c r="AI4127" s="87" t="b">
        <v>0</v>
      </c>
      <c r="AJ4127" s="87"/>
      <c r="AK4127" s="87"/>
      <c r="AL4127" s="87"/>
      <c r="AM4127" s="87"/>
      <c r="AN4127" s="87"/>
      <c r="AO4127" s="87"/>
      <c r="AP4127" s="87"/>
      <c r="AQ4127" s="87" t="s">
        <v>18214</v>
      </c>
      <c r="AR4127" s="87">
        <v>23313</v>
      </c>
      <c r="AS4127" s="87"/>
      <c r="AT4127" s="87"/>
      <c r="AU4127" s="87"/>
      <c r="AV4127" s="92" t="str">
        <f>HYPERLINK("https://pbs.twimg.com/ext_tw_video_thumb/1677748890643070977/pu/img/Qs2E6ON-2tlsvKtR.jpg")</f>
        <v>https://pbs.twimg.com/ext_tw_video_thumb/1677748890643070977/pu/img/Qs2E6ON-2tlsvKtR.jpg</v>
      </c>
      <c r="AW4127" s="93" t="s">
        <v>22227</v>
      </c>
      <c r="AX4127" s="93" t="s">
        <v>22227</v>
      </c>
      <c r="AY4127" s="87"/>
      <c r="AZ4127" s="93" t="s">
        <v>22668</v>
      </c>
      <c r="BA4127" s="93" t="s">
        <v>22668</v>
      </c>
      <c r="BB4127" s="93" t="s">
        <v>22668</v>
      </c>
      <c r="BC4127" s="93" t="s">
        <v>22227</v>
      </c>
      <c r="BD4127" s="93" t="s">
        <v>23582</v>
      </c>
      <c r="BE4127" s="87"/>
      <c r="BF4127" s="87"/>
      <c r="BG4127" s="87"/>
      <c r="BH4127" s="87"/>
      <c r="BI4127" s="87"/>
    </row>
    <row r="4128" spans="1:61" x14ac:dyDescent="0.25">
      <c r="A4128" s="63" t="s">
        <v>1591</v>
      </c>
      <c r="B4128" s="63" t="s">
        <v>1591</v>
      </c>
      <c r="C4128" s="64"/>
      <c r="D4128" s="65"/>
      <c r="E4128" s="66"/>
      <c r="F4128" s="67"/>
      <c r="G4128" s="64"/>
      <c r="H4128" s="68"/>
      <c r="I4128" s="69"/>
      <c r="J4128" s="69"/>
      <c r="K4128" s="32"/>
      <c r="L4128" s="76">
        <v>4128</v>
      </c>
      <c r="M4128" s="76"/>
      <c r="N4128" s="71"/>
      <c r="O4128" s="87" t="s">
        <v>179</v>
      </c>
      <c r="P4128" s="90">
        <v>45122.002164351848</v>
      </c>
      <c r="Q4128" s="87" t="s">
        <v>5771</v>
      </c>
      <c r="R4128" s="87">
        <v>0</v>
      </c>
      <c r="S4128" s="87">
        <v>1</v>
      </c>
      <c r="T4128" s="87">
        <v>0</v>
      </c>
      <c r="U4128" s="87">
        <v>0</v>
      </c>
      <c r="V4128" s="87">
        <v>219</v>
      </c>
      <c r="W4128" s="93" t="s">
        <v>8308</v>
      </c>
      <c r="X4128" s="87"/>
      <c r="Y4128" s="87"/>
      <c r="Z4128" s="87"/>
      <c r="AA4128" s="87" t="s">
        <v>11403</v>
      </c>
      <c r="AB4128" s="87" t="s">
        <v>11447</v>
      </c>
      <c r="AC4128" s="93" t="s">
        <v>11459</v>
      </c>
      <c r="AD4128" s="87" t="s">
        <v>11520</v>
      </c>
      <c r="AE4128" s="92" t="str">
        <f>HYPERLINK("https://twitter.com/lob_mau/status/1680005031041351684")</f>
        <v>https://twitter.com/lob_mau/status/1680005031041351684</v>
      </c>
      <c r="AF4128" s="90">
        <v>45122.002164351848</v>
      </c>
      <c r="AG4128" s="99">
        <v>45122</v>
      </c>
      <c r="AH4128" s="93" t="s">
        <v>15113</v>
      </c>
      <c r="AI4128" s="87" t="b">
        <v>0</v>
      </c>
      <c r="AJ4128" s="87"/>
      <c r="AK4128" s="87"/>
      <c r="AL4128" s="87"/>
      <c r="AM4128" s="87"/>
      <c r="AN4128" s="87"/>
      <c r="AO4128" s="87"/>
      <c r="AP4128" s="87"/>
      <c r="AQ4128" s="87" t="s">
        <v>18215</v>
      </c>
      <c r="AR4128" s="87">
        <v>8466</v>
      </c>
      <c r="AS4128" s="87"/>
      <c r="AT4128" s="87"/>
      <c r="AU4128" s="87"/>
      <c r="AV4128" s="92" t="str">
        <f>HYPERLINK("https://pbs.twimg.com/ext_tw_video_thumb/1680004978713276416/pu/img/ghCjC72Z8yp6wAyl.jpg")</f>
        <v>https://pbs.twimg.com/ext_tw_video_thumb/1680004978713276416/pu/img/ghCjC72Z8yp6wAyl.jpg</v>
      </c>
      <c r="AW4128" s="93" t="s">
        <v>22228</v>
      </c>
      <c r="AX4128" s="93" t="s">
        <v>22228</v>
      </c>
      <c r="AY4128" s="87"/>
      <c r="AZ4128" s="93" t="s">
        <v>22668</v>
      </c>
      <c r="BA4128" s="93" t="s">
        <v>22668</v>
      </c>
      <c r="BB4128" s="93" t="s">
        <v>22668</v>
      </c>
      <c r="BC4128" s="93" t="s">
        <v>22228</v>
      </c>
      <c r="BD4128" s="93" t="s">
        <v>23583</v>
      </c>
      <c r="BE4128" s="87"/>
      <c r="BF4128" s="87"/>
      <c r="BG4128" s="87"/>
      <c r="BH4128" s="87"/>
      <c r="BI4128" s="87"/>
    </row>
    <row r="4129" spans="1:61" x14ac:dyDescent="0.25">
      <c r="A4129" s="63" t="s">
        <v>1591</v>
      </c>
      <c r="B4129" s="63" t="s">
        <v>1591</v>
      </c>
      <c r="C4129" s="64"/>
      <c r="D4129" s="65"/>
      <c r="E4129" s="66"/>
      <c r="F4129" s="67"/>
      <c r="G4129" s="64"/>
      <c r="H4129" s="68"/>
      <c r="I4129" s="69"/>
      <c r="J4129" s="69"/>
      <c r="K4129" s="32"/>
      <c r="L4129" s="76">
        <v>4129</v>
      </c>
      <c r="M4129" s="76"/>
      <c r="N4129" s="71"/>
      <c r="O4129" s="87" t="s">
        <v>179</v>
      </c>
      <c r="P4129" s="90">
        <v>45122.001261574071</v>
      </c>
      <c r="Q4129" s="87" t="s">
        <v>5772</v>
      </c>
      <c r="R4129" s="87">
        <v>0</v>
      </c>
      <c r="S4129" s="87">
        <v>0</v>
      </c>
      <c r="T4129" s="87">
        <v>0</v>
      </c>
      <c r="U4129" s="87">
        <v>0</v>
      </c>
      <c r="V4129" s="87">
        <v>217</v>
      </c>
      <c r="W4129" s="93" t="s">
        <v>8309</v>
      </c>
      <c r="X4129" s="87"/>
      <c r="Y4129" s="87"/>
      <c r="Z4129" s="87"/>
      <c r="AA4129" s="87" t="s">
        <v>11404</v>
      </c>
      <c r="AB4129" s="87" t="s">
        <v>11447</v>
      </c>
      <c r="AC4129" s="93" t="s">
        <v>11459</v>
      </c>
      <c r="AD4129" s="87" t="s">
        <v>11520</v>
      </c>
      <c r="AE4129" s="92" t="str">
        <f>HYPERLINK("https://twitter.com/lob_mau/status/1680004705261330433")</f>
        <v>https://twitter.com/lob_mau/status/1680004705261330433</v>
      </c>
      <c r="AF4129" s="90">
        <v>45122.001261574071</v>
      </c>
      <c r="AG4129" s="99">
        <v>45122</v>
      </c>
      <c r="AH4129" s="93" t="s">
        <v>15114</v>
      </c>
      <c r="AI4129" s="87" t="b">
        <v>0</v>
      </c>
      <c r="AJ4129" s="87"/>
      <c r="AK4129" s="87"/>
      <c r="AL4129" s="87"/>
      <c r="AM4129" s="87"/>
      <c r="AN4129" s="87"/>
      <c r="AO4129" s="87"/>
      <c r="AP4129" s="87"/>
      <c r="AQ4129" s="87" t="s">
        <v>18216</v>
      </c>
      <c r="AR4129" s="87">
        <v>9241</v>
      </c>
      <c r="AS4129" s="87"/>
      <c r="AT4129" s="87"/>
      <c r="AU4129" s="87"/>
      <c r="AV4129" s="92" t="str">
        <f>HYPERLINK("https://pbs.twimg.com/ext_tw_video_thumb/1680004681089597442/pu/img/Ob0ciRph7NBnjpQs.jpg")</f>
        <v>https://pbs.twimg.com/ext_tw_video_thumb/1680004681089597442/pu/img/Ob0ciRph7NBnjpQs.jpg</v>
      </c>
      <c r="AW4129" s="93" t="s">
        <v>22229</v>
      </c>
      <c r="AX4129" s="93" t="s">
        <v>22229</v>
      </c>
      <c r="AY4129" s="87"/>
      <c r="AZ4129" s="93" t="s">
        <v>22668</v>
      </c>
      <c r="BA4129" s="93" t="s">
        <v>22668</v>
      </c>
      <c r="BB4129" s="93" t="s">
        <v>22668</v>
      </c>
      <c r="BC4129" s="93" t="s">
        <v>22229</v>
      </c>
      <c r="BD4129" s="93" t="s">
        <v>23583</v>
      </c>
      <c r="BE4129" s="87"/>
      <c r="BF4129" s="87"/>
      <c r="BG4129" s="87"/>
      <c r="BH4129" s="87"/>
      <c r="BI4129" s="87"/>
    </row>
    <row r="4130" spans="1:61" x14ac:dyDescent="0.25">
      <c r="A4130" s="63" t="s">
        <v>1592</v>
      </c>
      <c r="B4130" s="63" t="s">
        <v>1592</v>
      </c>
      <c r="C4130" s="64"/>
      <c r="D4130" s="65"/>
      <c r="E4130" s="66"/>
      <c r="F4130" s="67"/>
      <c r="G4130" s="64"/>
      <c r="H4130" s="68"/>
      <c r="I4130" s="69"/>
      <c r="J4130" s="69"/>
      <c r="K4130" s="32"/>
      <c r="L4130" s="76">
        <v>4130</v>
      </c>
      <c r="M4130" s="76"/>
      <c r="N4130" s="71"/>
      <c r="O4130" s="87" t="s">
        <v>179</v>
      </c>
      <c r="P4130" s="90">
        <v>45113.432523148149</v>
      </c>
      <c r="Q4130" s="87" t="s">
        <v>5773</v>
      </c>
      <c r="R4130" s="87">
        <v>0</v>
      </c>
      <c r="S4130" s="87">
        <v>0</v>
      </c>
      <c r="T4130" s="87">
        <v>0</v>
      </c>
      <c r="U4130" s="87">
        <v>0</v>
      </c>
      <c r="V4130" s="87">
        <v>4</v>
      </c>
      <c r="W4130" s="93" t="s">
        <v>8310</v>
      </c>
      <c r="X4130" s="92" t="str">
        <f>HYPERLINK("https://youtu.be/vcpBUiaBW4s")</f>
        <v>https://youtu.be/vcpBUiaBW4s</v>
      </c>
      <c r="Y4130" s="87" t="s">
        <v>8372</v>
      </c>
      <c r="Z4130" s="87"/>
      <c r="AA4130" s="87"/>
      <c r="AB4130" s="87"/>
      <c r="AC4130" s="93" t="s">
        <v>11457</v>
      </c>
      <c r="AD4130" s="87" t="s">
        <v>11519</v>
      </c>
      <c r="AE4130" s="92" t="str">
        <f>HYPERLINK("https://twitter.com/djpinvestimento/status/1676899497622765570")</f>
        <v>https://twitter.com/djpinvestimento/status/1676899497622765570</v>
      </c>
      <c r="AF4130" s="90">
        <v>45113.432523148149</v>
      </c>
      <c r="AG4130" s="99">
        <v>45113</v>
      </c>
      <c r="AH4130" s="93" t="s">
        <v>15115</v>
      </c>
      <c r="AI4130" s="87" t="b">
        <v>0</v>
      </c>
      <c r="AJ4130" s="87"/>
      <c r="AK4130" s="87"/>
      <c r="AL4130" s="87"/>
      <c r="AM4130" s="87"/>
      <c r="AN4130" s="87"/>
      <c r="AO4130" s="87"/>
      <c r="AP4130" s="87"/>
      <c r="AQ4130" s="87"/>
      <c r="AR4130" s="87"/>
      <c r="AS4130" s="87"/>
      <c r="AT4130" s="87"/>
      <c r="AU4130" s="87"/>
      <c r="AV4130" s="92" t="str">
        <f>HYPERLINK("https://pbs.twimg.com/profile_images/1676754090452287488/kji7bd7V_normal.jpg")</f>
        <v>https://pbs.twimg.com/profile_images/1676754090452287488/kji7bd7V_normal.jpg</v>
      </c>
      <c r="AW4130" s="93" t="s">
        <v>22230</v>
      </c>
      <c r="AX4130" s="93" t="s">
        <v>22230</v>
      </c>
      <c r="AY4130" s="87"/>
      <c r="AZ4130" s="93" t="s">
        <v>22668</v>
      </c>
      <c r="BA4130" s="93" t="s">
        <v>22668</v>
      </c>
      <c r="BB4130" s="93" t="s">
        <v>22668</v>
      </c>
      <c r="BC4130" s="93" t="s">
        <v>22230</v>
      </c>
      <c r="BD4130" s="93" t="s">
        <v>23584</v>
      </c>
      <c r="BE4130" s="87"/>
      <c r="BF4130" s="87"/>
      <c r="BG4130" s="87"/>
      <c r="BH4130" s="87"/>
      <c r="BI4130" s="87"/>
    </row>
    <row r="4131" spans="1:61" x14ac:dyDescent="0.25">
      <c r="A4131" s="63" t="s">
        <v>1593</v>
      </c>
      <c r="B4131" s="63" t="s">
        <v>1593</v>
      </c>
      <c r="C4131" s="64"/>
      <c r="D4131" s="65"/>
      <c r="E4131" s="66"/>
      <c r="F4131" s="67"/>
      <c r="G4131" s="64"/>
      <c r="H4131" s="68"/>
      <c r="I4131" s="69"/>
      <c r="J4131" s="69"/>
      <c r="K4131" s="32"/>
      <c r="L4131" s="76">
        <v>4131</v>
      </c>
      <c r="M4131" s="76"/>
      <c r="N4131" s="71"/>
      <c r="O4131" s="87" t="s">
        <v>179</v>
      </c>
      <c r="P4131" s="90">
        <v>45150.228136574071</v>
      </c>
      <c r="Q4131" s="87" t="s">
        <v>5774</v>
      </c>
      <c r="R4131" s="87">
        <v>0</v>
      </c>
      <c r="S4131" s="87">
        <v>0</v>
      </c>
      <c r="T4131" s="87">
        <v>0</v>
      </c>
      <c r="U4131" s="87">
        <v>0</v>
      </c>
      <c r="V4131" s="87">
        <v>43</v>
      </c>
      <c r="W4131" s="93" t="s">
        <v>8311</v>
      </c>
      <c r="X4131" s="87"/>
      <c r="Y4131" s="87"/>
      <c r="Z4131" s="87"/>
      <c r="AA4131" s="87" t="s">
        <v>11405</v>
      </c>
      <c r="AB4131" s="87" t="s">
        <v>11447</v>
      </c>
      <c r="AC4131" s="93" t="s">
        <v>11459</v>
      </c>
      <c r="AD4131" s="87" t="s">
        <v>11519</v>
      </c>
      <c r="AE4131" s="92" t="str">
        <f>HYPERLINK("https://twitter.com/srgioro66037268/status/1690233783650287616")</f>
        <v>https://twitter.com/srgioro66037268/status/1690233783650287616</v>
      </c>
      <c r="AF4131" s="90">
        <v>45150.228136574071</v>
      </c>
      <c r="AG4131" s="99">
        <v>45150</v>
      </c>
      <c r="AH4131" s="93" t="s">
        <v>15116</v>
      </c>
      <c r="AI4131" s="87" t="b">
        <v>0</v>
      </c>
      <c r="AJ4131" s="87"/>
      <c r="AK4131" s="87"/>
      <c r="AL4131" s="87"/>
      <c r="AM4131" s="87"/>
      <c r="AN4131" s="87"/>
      <c r="AO4131" s="87"/>
      <c r="AP4131" s="87"/>
      <c r="AQ4131" s="87" t="s">
        <v>18217</v>
      </c>
      <c r="AR4131" s="87">
        <v>26800</v>
      </c>
      <c r="AS4131" s="87"/>
      <c r="AT4131" s="87"/>
      <c r="AU4131" s="87"/>
      <c r="AV4131" s="92" t="str">
        <f>HYPERLINK("https://pbs.twimg.com/ext_tw_video_thumb/1690233743779201025/pu/img/3bY9CwiBqYJMUvZw.jpg")</f>
        <v>https://pbs.twimg.com/ext_tw_video_thumb/1690233743779201025/pu/img/3bY9CwiBqYJMUvZw.jpg</v>
      </c>
      <c r="AW4131" s="93" t="s">
        <v>22231</v>
      </c>
      <c r="AX4131" s="93" t="s">
        <v>22231</v>
      </c>
      <c r="AY4131" s="87"/>
      <c r="AZ4131" s="93" t="s">
        <v>22668</v>
      </c>
      <c r="BA4131" s="93" t="s">
        <v>22668</v>
      </c>
      <c r="BB4131" s="93" t="s">
        <v>22668</v>
      </c>
      <c r="BC4131" s="93" t="s">
        <v>22231</v>
      </c>
      <c r="BD4131" s="93" t="s">
        <v>23585</v>
      </c>
      <c r="BE4131" s="87"/>
      <c r="BF4131" s="87"/>
      <c r="BG4131" s="87"/>
      <c r="BH4131" s="87"/>
      <c r="BI4131" s="87"/>
    </row>
    <row r="4132" spans="1:61" x14ac:dyDescent="0.25">
      <c r="A4132" s="63" t="s">
        <v>1594</v>
      </c>
      <c r="B4132" s="63" t="s">
        <v>1594</v>
      </c>
      <c r="C4132" s="64"/>
      <c r="D4132" s="65"/>
      <c r="E4132" s="66"/>
      <c r="F4132" s="67"/>
      <c r="G4132" s="64"/>
      <c r="H4132" s="68"/>
      <c r="I4132" s="69"/>
      <c r="J4132" s="69"/>
      <c r="K4132" s="32"/>
      <c r="L4132" s="76">
        <v>4132</v>
      </c>
      <c r="M4132" s="76"/>
      <c r="N4132" s="71"/>
      <c r="O4132" s="87" t="s">
        <v>179</v>
      </c>
      <c r="P4132" s="90">
        <v>45146.277430555558</v>
      </c>
      <c r="Q4132" s="87" t="s">
        <v>5775</v>
      </c>
      <c r="R4132" s="87">
        <v>1</v>
      </c>
      <c r="S4132" s="87">
        <v>9</v>
      </c>
      <c r="T4132" s="87">
        <v>1</v>
      </c>
      <c r="U4132" s="87">
        <v>3</v>
      </c>
      <c r="V4132" s="87">
        <v>4495</v>
      </c>
      <c r="W4132" s="87"/>
      <c r="X4132" s="87"/>
      <c r="Y4132" s="87"/>
      <c r="Z4132" s="87"/>
      <c r="AA4132" s="87"/>
      <c r="AB4132" s="87"/>
      <c r="AC4132" s="93" t="s">
        <v>11458</v>
      </c>
      <c r="AD4132" s="87" t="s">
        <v>11519</v>
      </c>
      <c r="AE4132" s="92" t="str">
        <f>HYPERLINK("https://twitter.com/mwataimperador/status/1688802093191073792")</f>
        <v>https://twitter.com/mwataimperador/status/1688802093191073792</v>
      </c>
      <c r="AF4132" s="90">
        <v>45146.277430555558</v>
      </c>
      <c r="AG4132" s="99">
        <v>45146</v>
      </c>
      <c r="AH4132" s="93" t="s">
        <v>15117</v>
      </c>
      <c r="AI4132" s="87"/>
      <c r="AJ4132" s="87"/>
      <c r="AK4132" s="87"/>
      <c r="AL4132" s="87"/>
      <c r="AM4132" s="87"/>
      <c r="AN4132" s="87"/>
      <c r="AO4132" s="87"/>
      <c r="AP4132" s="87"/>
      <c r="AQ4132" s="87"/>
      <c r="AR4132" s="87"/>
      <c r="AS4132" s="87"/>
      <c r="AT4132" s="87"/>
      <c r="AU4132" s="87"/>
      <c r="AV4132" s="92" t="str">
        <f>HYPERLINK("https://pbs.twimg.com/profile_images/1660361163123695624/bRDx4ybi_normal.jpg")</f>
        <v>https://pbs.twimg.com/profile_images/1660361163123695624/bRDx4ybi_normal.jpg</v>
      </c>
      <c r="AW4132" s="93" t="s">
        <v>22232</v>
      </c>
      <c r="AX4132" s="93" t="s">
        <v>22232</v>
      </c>
      <c r="AY4132" s="87"/>
      <c r="AZ4132" s="93" t="s">
        <v>22668</v>
      </c>
      <c r="BA4132" s="93" t="s">
        <v>22668</v>
      </c>
      <c r="BB4132" s="93" t="s">
        <v>22668</v>
      </c>
      <c r="BC4132" s="93" t="s">
        <v>22232</v>
      </c>
      <c r="BD4132" s="87">
        <v>294299671</v>
      </c>
      <c r="BE4132" s="87"/>
      <c r="BF4132" s="87"/>
      <c r="BG4132" s="87"/>
      <c r="BH4132" s="87"/>
      <c r="BI4132" s="87"/>
    </row>
    <row r="4133" spans="1:61" x14ac:dyDescent="0.25">
      <c r="A4133" s="63" t="s">
        <v>1595</v>
      </c>
      <c r="B4133" s="63" t="s">
        <v>1595</v>
      </c>
      <c r="C4133" s="64"/>
      <c r="D4133" s="65"/>
      <c r="E4133" s="66"/>
      <c r="F4133" s="67"/>
      <c r="G4133" s="64"/>
      <c r="H4133" s="68"/>
      <c r="I4133" s="69"/>
      <c r="J4133" s="69"/>
      <c r="K4133" s="32"/>
      <c r="L4133" s="76">
        <v>4133</v>
      </c>
      <c r="M4133" s="76"/>
      <c r="N4133" s="71"/>
      <c r="O4133" s="87" t="s">
        <v>1840</v>
      </c>
      <c r="P4133" s="90">
        <v>45196.733067129629</v>
      </c>
      <c r="Q4133" s="87" t="s">
        <v>5776</v>
      </c>
      <c r="R4133" s="87">
        <v>0</v>
      </c>
      <c r="S4133" s="87">
        <v>0</v>
      </c>
      <c r="T4133" s="87">
        <v>0</v>
      </c>
      <c r="U4133" s="87">
        <v>0</v>
      </c>
      <c r="V4133" s="87">
        <v>3</v>
      </c>
      <c r="W4133" s="93" t="s">
        <v>8312</v>
      </c>
      <c r="X4133" s="92" t="str">
        <f>HYPERLINK("http://contasonline.com.br")</f>
        <v>http://contasonline.com.br</v>
      </c>
      <c r="Y4133" s="87" t="s">
        <v>8373</v>
      </c>
      <c r="Z4133" s="87"/>
      <c r="AA4133" s="87"/>
      <c r="AB4133" s="87"/>
      <c r="AC4133" s="93" t="s">
        <v>11457</v>
      </c>
      <c r="AD4133" s="87" t="s">
        <v>11519</v>
      </c>
      <c r="AE4133" s="92" t="str">
        <f>HYPERLINK("https://twitter.com/contas_online/status/1707086607046615399")</f>
        <v>https://twitter.com/contas_online/status/1707086607046615399</v>
      </c>
      <c r="AF4133" s="90">
        <v>45196.733067129629</v>
      </c>
      <c r="AG4133" s="99">
        <v>45196</v>
      </c>
      <c r="AH4133" s="93" t="s">
        <v>15118</v>
      </c>
      <c r="AI4133" s="87" t="b">
        <v>0</v>
      </c>
      <c r="AJ4133" s="87"/>
      <c r="AK4133" s="87"/>
      <c r="AL4133" s="87"/>
      <c r="AM4133" s="87"/>
      <c r="AN4133" s="87"/>
      <c r="AO4133" s="87"/>
      <c r="AP4133" s="87"/>
      <c r="AQ4133" s="87"/>
      <c r="AR4133" s="87"/>
      <c r="AS4133" s="87"/>
      <c r="AT4133" s="87"/>
      <c r="AU4133" s="87"/>
      <c r="AV4133" s="92" t="str">
        <f>HYPERLINK("https://pbs.twimg.com/profile_images/1691815575909986304/qGtxTEf6_normal.jpg")</f>
        <v>https://pbs.twimg.com/profile_images/1691815575909986304/qGtxTEf6_normal.jpg</v>
      </c>
      <c r="AW4133" s="93" t="s">
        <v>22233</v>
      </c>
      <c r="AX4133" s="93" t="s">
        <v>22513</v>
      </c>
      <c r="AY4133" s="93" t="s">
        <v>22666</v>
      </c>
      <c r="AZ4133" s="93" t="s">
        <v>22513</v>
      </c>
      <c r="BA4133" s="93" t="s">
        <v>22668</v>
      </c>
      <c r="BB4133" s="93" t="s">
        <v>22668</v>
      </c>
      <c r="BC4133" s="93" t="s">
        <v>22513</v>
      </c>
      <c r="BD4133" s="87">
        <v>274989938</v>
      </c>
      <c r="BE4133" s="87"/>
      <c r="BF4133" s="87"/>
      <c r="BG4133" s="87"/>
      <c r="BH4133" s="87"/>
      <c r="BI4133" s="87"/>
    </row>
    <row r="4134" spans="1:61" x14ac:dyDescent="0.25">
      <c r="A4134" s="63" t="s">
        <v>1595</v>
      </c>
      <c r="B4134" s="63" t="s">
        <v>1595</v>
      </c>
      <c r="C4134" s="64"/>
      <c r="D4134" s="65"/>
      <c r="E4134" s="66"/>
      <c r="F4134" s="67"/>
      <c r="G4134" s="64"/>
      <c r="H4134" s="68"/>
      <c r="I4134" s="69"/>
      <c r="J4134" s="69"/>
      <c r="K4134" s="32"/>
      <c r="L4134" s="76">
        <v>4134</v>
      </c>
      <c r="M4134" s="76"/>
      <c r="N4134" s="71"/>
      <c r="O4134" s="87" t="s">
        <v>1840</v>
      </c>
      <c r="P4134" s="90">
        <v>45154.74114583333</v>
      </c>
      <c r="Q4134" s="87" t="s">
        <v>5777</v>
      </c>
      <c r="R4134" s="87">
        <v>0</v>
      </c>
      <c r="S4134" s="87">
        <v>0</v>
      </c>
      <c r="T4134" s="87">
        <v>0</v>
      </c>
      <c r="U4134" s="87">
        <v>0</v>
      </c>
      <c r="V4134" s="87">
        <v>17</v>
      </c>
      <c r="W4134" s="93" t="s">
        <v>8313</v>
      </c>
      <c r="X4134" s="87"/>
      <c r="Y4134" s="87"/>
      <c r="Z4134" s="87"/>
      <c r="AA4134" s="87" t="s">
        <v>11406</v>
      </c>
      <c r="AB4134" s="87" t="s">
        <v>11450</v>
      </c>
      <c r="AC4134" s="93" t="s">
        <v>11457</v>
      </c>
      <c r="AD4134" s="87" t="s">
        <v>11520</v>
      </c>
      <c r="AE4134" s="92" t="str">
        <f>HYPERLINK("https://twitter.com/contas_online/status/1691869243053117821")</f>
        <v>https://twitter.com/contas_online/status/1691869243053117821</v>
      </c>
      <c r="AF4134" s="90">
        <v>45154.74114583333</v>
      </c>
      <c r="AG4134" s="99">
        <v>45154</v>
      </c>
      <c r="AH4134" s="93" t="s">
        <v>15119</v>
      </c>
      <c r="AI4134" s="87" t="b">
        <v>0</v>
      </c>
      <c r="AJ4134" s="87"/>
      <c r="AK4134" s="87"/>
      <c r="AL4134" s="87"/>
      <c r="AM4134" s="87"/>
      <c r="AN4134" s="87"/>
      <c r="AO4134" s="87"/>
      <c r="AP4134" s="87"/>
      <c r="AQ4134" s="87" t="s">
        <v>18218</v>
      </c>
      <c r="AR4134" s="87"/>
      <c r="AS4134" s="87"/>
      <c r="AT4134" s="87"/>
      <c r="AU4134" s="87"/>
      <c r="AV4134" s="92" t="str">
        <f>HYPERLINK("https://pbs.twimg.com/media/F3q6APmXUAAZwfw.jpg")</f>
        <v>https://pbs.twimg.com/media/F3q6APmXUAAZwfw.jpg</v>
      </c>
      <c r="AW4134" s="93" t="s">
        <v>22234</v>
      </c>
      <c r="AX4134" s="93" t="s">
        <v>22514</v>
      </c>
      <c r="AY4134" s="93" t="s">
        <v>22666</v>
      </c>
      <c r="AZ4134" s="93" t="s">
        <v>22790</v>
      </c>
      <c r="BA4134" s="93" t="s">
        <v>22668</v>
      </c>
      <c r="BB4134" s="93" t="s">
        <v>22668</v>
      </c>
      <c r="BC4134" s="93" t="s">
        <v>22790</v>
      </c>
      <c r="BD4134" s="87">
        <v>274989938</v>
      </c>
      <c r="BE4134" s="87"/>
      <c r="BF4134" s="87"/>
      <c r="BG4134" s="87"/>
      <c r="BH4134" s="87"/>
      <c r="BI4134" s="87"/>
    </row>
    <row r="4135" spans="1:61" x14ac:dyDescent="0.25">
      <c r="A4135" s="63" t="s">
        <v>1595</v>
      </c>
      <c r="B4135" s="63" t="s">
        <v>1595</v>
      </c>
      <c r="C4135" s="64"/>
      <c r="D4135" s="65"/>
      <c r="E4135" s="66"/>
      <c r="F4135" s="67"/>
      <c r="G4135" s="64"/>
      <c r="H4135" s="68"/>
      <c r="I4135" s="69"/>
      <c r="J4135" s="69"/>
      <c r="K4135" s="32"/>
      <c r="L4135" s="76">
        <v>4135</v>
      </c>
      <c r="M4135" s="76"/>
      <c r="N4135" s="71"/>
      <c r="O4135" s="87" t="s">
        <v>1840</v>
      </c>
      <c r="P4135" s="90">
        <v>45154.739629629628</v>
      </c>
      <c r="Q4135" s="87" t="s">
        <v>5778</v>
      </c>
      <c r="R4135" s="87">
        <v>0</v>
      </c>
      <c r="S4135" s="87">
        <v>0</v>
      </c>
      <c r="T4135" s="87">
        <v>0</v>
      </c>
      <c r="U4135" s="87">
        <v>0</v>
      </c>
      <c r="V4135" s="87">
        <v>10</v>
      </c>
      <c r="W4135" s="93" t="s">
        <v>8314</v>
      </c>
      <c r="X4135" s="92" t="str">
        <f>HYPERLINK("http://contasonline.com.br")</f>
        <v>http://contasonline.com.br</v>
      </c>
      <c r="Y4135" s="87" t="s">
        <v>8373</v>
      </c>
      <c r="Z4135" s="87"/>
      <c r="AA4135" s="87"/>
      <c r="AB4135" s="87"/>
      <c r="AC4135" s="93" t="s">
        <v>11457</v>
      </c>
      <c r="AD4135" s="87" t="s">
        <v>11519</v>
      </c>
      <c r="AE4135" s="92" t="str">
        <f>HYPERLINK("https://twitter.com/contas_online/status/1691868694983434514")</f>
        <v>https://twitter.com/contas_online/status/1691868694983434514</v>
      </c>
      <c r="AF4135" s="90">
        <v>45154.739629629628</v>
      </c>
      <c r="AG4135" s="99">
        <v>45154</v>
      </c>
      <c r="AH4135" s="93" t="s">
        <v>15120</v>
      </c>
      <c r="AI4135" s="87" t="b">
        <v>0</v>
      </c>
      <c r="AJ4135" s="87"/>
      <c r="AK4135" s="87"/>
      <c r="AL4135" s="87"/>
      <c r="AM4135" s="87"/>
      <c r="AN4135" s="87"/>
      <c r="AO4135" s="87"/>
      <c r="AP4135" s="87"/>
      <c r="AQ4135" s="87"/>
      <c r="AR4135" s="87"/>
      <c r="AS4135" s="87"/>
      <c r="AT4135" s="87"/>
      <c r="AU4135" s="87"/>
      <c r="AV4135" s="92" t="str">
        <f>HYPERLINK("https://pbs.twimg.com/profile_images/1691815575909986304/qGtxTEf6_normal.jpg")</f>
        <v>https://pbs.twimg.com/profile_images/1691815575909986304/qGtxTEf6_normal.jpg</v>
      </c>
      <c r="AW4135" s="93" t="s">
        <v>22235</v>
      </c>
      <c r="AX4135" s="93" t="s">
        <v>22515</v>
      </c>
      <c r="AY4135" s="93" t="s">
        <v>22666</v>
      </c>
      <c r="AZ4135" s="93" t="s">
        <v>22515</v>
      </c>
      <c r="BA4135" s="93" t="s">
        <v>22668</v>
      </c>
      <c r="BB4135" s="93" t="s">
        <v>22668</v>
      </c>
      <c r="BC4135" s="93" t="s">
        <v>22515</v>
      </c>
      <c r="BD4135" s="87">
        <v>274989938</v>
      </c>
      <c r="BE4135" s="87"/>
      <c r="BF4135" s="87"/>
      <c r="BG4135" s="87"/>
      <c r="BH4135" s="87"/>
      <c r="BI4135" s="87"/>
    </row>
    <row r="4136" spans="1:61" x14ac:dyDescent="0.25">
      <c r="A4136" s="63" t="s">
        <v>1596</v>
      </c>
      <c r="B4136" s="63" t="s">
        <v>1596</v>
      </c>
      <c r="C4136" s="64"/>
      <c r="D4136" s="65"/>
      <c r="E4136" s="66"/>
      <c r="F4136" s="67"/>
      <c r="G4136" s="64"/>
      <c r="H4136" s="68"/>
      <c r="I4136" s="69"/>
      <c r="J4136" s="69"/>
      <c r="K4136" s="32"/>
      <c r="L4136" s="76">
        <v>4136</v>
      </c>
      <c r="M4136" s="76"/>
      <c r="N4136" s="71"/>
      <c r="O4136" s="87" t="s">
        <v>179</v>
      </c>
      <c r="P4136" s="90">
        <v>45191.126354166663</v>
      </c>
      <c r="Q4136" s="87" t="s">
        <v>5779</v>
      </c>
      <c r="R4136" s="87">
        <v>0</v>
      </c>
      <c r="S4136" s="87">
        <v>0</v>
      </c>
      <c r="T4136" s="87">
        <v>0</v>
      </c>
      <c r="U4136" s="87">
        <v>0</v>
      </c>
      <c r="V4136" s="87">
        <v>100</v>
      </c>
      <c r="W4136" s="93" t="s">
        <v>8315</v>
      </c>
      <c r="X4136" s="87"/>
      <c r="Y4136" s="87"/>
      <c r="Z4136" s="87"/>
      <c r="AA4136" s="87" t="s">
        <v>11407</v>
      </c>
      <c r="AB4136" s="87" t="s">
        <v>11447</v>
      </c>
      <c r="AC4136" s="93" t="s">
        <v>11459</v>
      </c>
      <c r="AD4136" s="87" t="s">
        <v>11519</v>
      </c>
      <c r="AE4136" s="92" t="str">
        <f>HYPERLINK("https://twitter.com/risecluboficial/status/1705054801912889633")</f>
        <v>https://twitter.com/risecluboficial/status/1705054801912889633</v>
      </c>
      <c r="AF4136" s="90">
        <v>45191.126354166663</v>
      </c>
      <c r="AG4136" s="99">
        <v>45191</v>
      </c>
      <c r="AH4136" s="93" t="s">
        <v>15121</v>
      </c>
      <c r="AI4136" s="87" t="b">
        <v>0</v>
      </c>
      <c r="AJ4136" s="87" t="s">
        <v>15218</v>
      </c>
      <c r="AK4136" s="87" t="s">
        <v>15234</v>
      </c>
      <c r="AL4136" s="87" t="s">
        <v>15237</v>
      </c>
      <c r="AM4136" s="87" t="s">
        <v>15289</v>
      </c>
      <c r="AN4136" s="87" t="s">
        <v>15356</v>
      </c>
      <c r="AO4136" s="87" t="s">
        <v>15421</v>
      </c>
      <c r="AP4136" s="87" t="s">
        <v>15438</v>
      </c>
      <c r="AQ4136" s="87" t="s">
        <v>18219</v>
      </c>
      <c r="AR4136" s="87">
        <v>44906</v>
      </c>
      <c r="AS4136" s="87"/>
      <c r="AT4136" s="87"/>
      <c r="AU4136" s="87"/>
      <c r="AV4136" s="92" t="str">
        <f>HYPERLINK("https://pbs.twimg.com/ext_tw_video_thumb/1705054729850458112/pu/img/dnNCB-Spk48JGN6L.jpg")</f>
        <v>https://pbs.twimg.com/ext_tw_video_thumb/1705054729850458112/pu/img/dnNCB-Spk48JGN6L.jpg</v>
      </c>
      <c r="AW4136" s="93" t="s">
        <v>22236</v>
      </c>
      <c r="AX4136" s="93" t="s">
        <v>22236</v>
      </c>
      <c r="AY4136" s="87"/>
      <c r="AZ4136" s="93" t="s">
        <v>22668</v>
      </c>
      <c r="BA4136" s="93" t="s">
        <v>22668</v>
      </c>
      <c r="BB4136" s="93" t="s">
        <v>22668</v>
      </c>
      <c r="BC4136" s="93" t="s">
        <v>22236</v>
      </c>
      <c r="BD4136" s="93" t="s">
        <v>23586</v>
      </c>
      <c r="BE4136" s="87"/>
      <c r="BF4136" s="87"/>
      <c r="BG4136" s="87"/>
      <c r="BH4136" s="87"/>
      <c r="BI4136" s="87"/>
    </row>
    <row r="4137" spans="1:61" x14ac:dyDescent="0.25">
      <c r="A4137" s="63" t="s">
        <v>1597</v>
      </c>
      <c r="B4137" s="63" t="s">
        <v>1597</v>
      </c>
      <c r="C4137" s="64"/>
      <c r="D4137" s="65"/>
      <c r="E4137" s="66"/>
      <c r="F4137" s="67"/>
      <c r="G4137" s="64"/>
      <c r="H4137" s="68"/>
      <c r="I4137" s="69"/>
      <c r="J4137" s="69"/>
      <c r="K4137" s="32"/>
      <c r="L4137" s="76">
        <v>4137</v>
      </c>
      <c r="M4137" s="76"/>
      <c r="N4137" s="71"/>
      <c r="O4137" s="87" t="s">
        <v>179</v>
      </c>
      <c r="P4137" s="90">
        <v>45134.124907407408</v>
      </c>
      <c r="Q4137" s="87" t="s">
        <v>5780</v>
      </c>
      <c r="R4137" s="87">
        <v>1</v>
      </c>
      <c r="S4137" s="87">
        <v>3</v>
      </c>
      <c r="T4137" s="87">
        <v>0</v>
      </c>
      <c r="U4137" s="87">
        <v>0</v>
      </c>
      <c r="V4137" s="87">
        <v>28</v>
      </c>
      <c r="W4137" s="93" t="s">
        <v>8316</v>
      </c>
      <c r="X4137" s="87"/>
      <c r="Y4137" s="87"/>
      <c r="Z4137" s="87"/>
      <c r="AA4137" s="87" t="s">
        <v>11408</v>
      </c>
      <c r="AB4137" s="87" t="s">
        <v>11448</v>
      </c>
      <c r="AC4137" s="93" t="s">
        <v>11459</v>
      </c>
      <c r="AD4137" s="87" t="s">
        <v>11519</v>
      </c>
      <c r="AE4137" s="92" t="str">
        <f>HYPERLINK("https://twitter.com/claudiopalerm13/status/1684398169893785602")</f>
        <v>https://twitter.com/claudiopalerm13/status/1684398169893785602</v>
      </c>
      <c r="AF4137" s="90">
        <v>45134.124907407408</v>
      </c>
      <c r="AG4137" s="99">
        <v>45134</v>
      </c>
      <c r="AH4137" s="93" t="s">
        <v>15122</v>
      </c>
      <c r="AI4137" s="87" t="b">
        <v>0</v>
      </c>
      <c r="AJ4137" s="87"/>
      <c r="AK4137" s="87"/>
      <c r="AL4137" s="87"/>
      <c r="AM4137" s="87"/>
      <c r="AN4137" s="87"/>
      <c r="AO4137" s="87"/>
      <c r="AP4137" s="87"/>
      <c r="AQ4137" s="87" t="s">
        <v>18220</v>
      </c>
      <c r="AR4137" s="87"/>
      <c r="AS4137" s="87"/>
      <c r="AT4137" s="87"/>
      <c r="AU4137" s="87"/>
      <c r="AV4137" s="92" t="str">
        <f>HYPERLINK("https://pbs.twimg.com/media/F2AvNY_WIAUjPHI.jpg")</f>
        <v>https://pbs.twimg.com/media/F2AvNY_WIAUjPHI.jpg</v>
      </c>
      <c r="AW4137" s="93" t="s">
        <v>22237</v>
      </c>
      <c r="AX4137" s="93" t="s">
        <v>22237</v>
      </c>
      <c r="AY4137" s="87"/>
      <c r="AZ4137" s="93" t="s">
        <v>22668</v>
      </c>
      <c r="BA4137" s="93" t="s">
        <v>22668</v>
      </c>
      <c r="BB4137" s="93" t="s">
        <v>22668</v>
      </c>
      <c r="BC4137" s="93" t="s">
        <v>22237</v>
      </c>
      <c r="BD4137" s="93" t="s">
        <v>23587</v>
      </c>
      <c r="BE4137" s="87"/>
      <c r="BF4137" s="87"/>
      <c r="BG4137" s="87"/>
      <c r="BH4137" s="87"/>
      <c r="BI4137" s="87"/>
    </row>
    <row r="4138" spans="1:61" x14ac:dyDescent="0.25">
      <c r="A4138" s="63" t="s">
        <v>1598</v>
      </c>
      <c r="B4138" s="63" t="s">
        <v>1598</v>
      </c>
      <c r="C4138" s="64"/>
      <c r="D4138" s="65"/>
      <c r="E4138" s="66"/>
      <c r="F4138" s="67"/>
      <c r="G4138" s="64"/>
      <c r="H4138" s="68"/>
      <c r="I4138" s="69"/>
      <c r="J4138" s="69"/>
      <c r="K4138" s="32"/>
      <c r="L4138" s="76">
        <v>4138</v>
      </c>
      <c r="M4138" s="76"/>
      <c r="N4138" s="71"/>
      <c r="O4138" s="87" t="s">
        <v>179</v>
      </c>
      <c r="P4138" s="90">
        <v>45124.919027777774</v>
      </c>
      <c r="Q4138" s="87" t="s">
        <v>5781</v>
      </c>
      <c r="R4138" s="87">
        <v>0</v>
      </c>
      <c r="S4138" s="87">
        <v>2</v>
      </c>
      <c r="T4138" s="87">
        <v>0</v>
      </c>
      <c r="U4138" s="87">
        <v>0</v>
      </c>
      <c r="V4138" s="87">
        <v>159</v>
      </c>
      <c r="W4138" s="93" t="s">
        <v>8317</v>
      </c>
      <c r="X4138" s="87"/>
      <c r="Y4138" s="87"/>
      <c r="Z4138" s="87"/>
      <c r="AA4138" s="87" t="s">
        <v>11409</v>
      </c>
      <c r="AB4138" s="87" t="s">
        <v>11447</v>
      </c>
      <c r="AC4138" s="93" t="s">
        <v>11458</v>
      </c>
      <c r="AD4138" s="87" t="s">
        <v>11519</v>
      </c>
      <c r="AE4138" s="92" t="str">
        <f>HYPERLINK("https://twitter.com/helenanenachic/status/1681062068928098308")</f>
        <v>https://twitter.com/helenanenachic/status/1681062068928098308</v>
      </c>
      <c r="AF4138" s="90">
        <v>45124.919027777774</v>
      </c>
      <c r="AG4138" s="99">
        <v>45124</v>
      </c>
      <c r="AH4138" s="93" t="s">
        <v>14996</v>
      </c>
      <c r="AI4138" s="87" t="b">
        <v>0</v>
      </c>
      <c r="AJ4138" s="87"/>
      <c r="AK4138" s="87"/>
      <c r="AL4138" s="87"/>
      <c r="AM4138" s="87"/>
      <c r="AN4138" s="87"/>
      <c r="AO4138" s="87"/>
      <c r="AP4138" s="87"/>
      <c r="AQ4138" s="87" t="s">
        <v>18221</v>
      </c>
      <c r="AR4138" s="87">
        <v>10000</v>
      </c>
      <c r="AS4138" s="87"/>
      <c r="AT4138" s="87"/>
      <c r="AU4138" s="87"/>
      <c r="AV4138" s="92" t="str">
        <f>HYPERLINK("https://pbs.twimg.com/ext_tw_video_thumb/1681062030231367681/pu/img/aVVUSXCwatOlzmLL.jpg")</f>
        <v>https://pbs.twimg.com/ext_tw_video_thumb/1681062030231367681/pu/img/aVVUSXCwatOlzmLL.jpg</v>
      </c>
      <c r="AW4138" s="93" t="s">
        <v>22238</v>
      </c>
      <c r="AX4138" s="93" t="s">
        <v>22238</v>
      </c>
      <c r="AY4138" s="87"/>
      <c r="AZ4138" s="93" t="s">
        <v>22668</v>
      </c>
      <c r="BA4138" s="93" t="s">
        <v>22668</v>
      </c>
      <c r="BB4138" s="93" t="s">
        <v>22668</v>
      </c>
      <c r="BC4138" s="93" t="s">
        <v>22238</v>
      </c>
      <c r="BD4138" s="93" t="s">
        <v>23588</v>
      </c>
      <c r="BE4138" s="87"/>
      <c r="BF4138" s="87"/>
      <c r="BG4138" s="87"/>
      <c r="BH4138" s="87"/>
      <c r="BI4138" s="87"/>
    </row>
    <row r="4139" spans="1:61" x14ac:dyDescent="0.25">
      <c r="A4139" s="63" t="s">
        <v>1598</v>
      </c>
      <c r="B4139" s="63" t="s">
        <v>1598</v>
      </c>
      <c r="C4139" s="64"/>
      <c r="D4139" s="65"/>
      <c r="E4139" s="66"/>
      <c r="F4139" s="67"/>
      <c r="G4139" s="64"/>
      <c r="H4139" s="68"/>
      <c r="I4139" s="69"/>
      <c r="J4139" s="69"/>
      <c r="K4139" s="32"/>
      <c r="L4139" s="76">
        <v>4139</v>
      </c>
      <c r="M4139" s="76"/>
      <c r="N4139" s="71"/>
      <c r="O4139" s="87" t="s">
        <v>179</v>
      </c>
      <c r="P4139" s="90">
        <v>45115.483599537038</v>
      </c>
      <c r="Q4139" s="87" t="s">
        <v>5782</v>
      </c>
      <c r="R4139" s="87">
        <v>1</v>
      </c>
      <c r="S4139" s="87">
        <v>17</v>
      </c>
      <c r="T4139" s="87">
        <v>8</v>
      </c>
      <c r="U4139" s="87">
        <v>0</v>
      </c>
      <c r="V4139" s="87">
        <v>439</v>
      </c>
      <c r="W4139" s="93" t="s">
        <v>8318</v>
      </c>
      <c r="X4139" s="87"/>
      <c r="Y4139" s="87"/>
      <c r="Z4139" s="87"/>
      <c r="AA4139" s="87" t="s">
        <v>11410</v>
      </c>
      <c r="AB4139" s="87" t="s">
        <v>11447</v>
      </c>
      <c r="AC4139" s="93" t="s">
        <v>11458</v>
      </c>
      <c r="AD4139" s="87" t="s">
        <v>11519</v>
      </c>
      <c r="AE4139" s="92" t="str">
        <f>HYPERLINK("https://twitter.com/helenanenachic/status/1677642782901518338")</f>
        <v>https://twitter.com/helenanenachic/status/1677642782901518338</v>
      </c>
      <c r="AF4139" s="90">
        <v>45115.483599537038</v>
      </c>
      <c r="AG4139" s="99">
        <v>45115</v>
      </c>
      <c r="AH4139" s="93" t="s">
        <v>15123</v>
      </c>
      <c r="AI4139" s="87" t="b">
        <v>0</v>
      </c>
      <c r="AJ4139" s="87"/>
      <c r="AK4139" s="87"/>
      <c r="AL4139" s="87"/>
      <c r="AM4139" s="87"/>
      <c r="AN4139" s="87"/>
      <c r="AO4139" s="87"/>
      <c r="AP4139" s="87"/>
      <c r="AQ4139" s="87" t="s">
        <v>18222</v>
      </c>
      <c r="AR4139" s="87">
        <v>6000</v>
      </c>
      <c r="AS4139" s="87"/>
      <c r="AT4139" s="87"/>
      <c r="AU4139" s="87"/>
      <c r="AV4139" s="92" t="str">
        <f>HYPERLINK("https://pbs.twimg.com/ext_tw_video_thumb/1677642748596297728/pu/img/DiM0E0nHzhe8ySfv.jpg")</f>
        <v>https://pbs.twimg.com/ext_tw_video_thumb/1677642748596297728/pu/img/DiM0E0nHzhe8ySfv.jpg</v>
      </c>
      <c r="AW4139" s="93" t="s">
        <v>22239</v>
      </c>
      <c r="AX4139" s="93" t="s">
        <v>22239</v>
      </c>
      <c r="AY4139" s="87"/>
      <c r="AZ4139" s="93" t="s">
        <v>22668</v>
      </c>
      <c r="BA4139" s="93" t="s">
        <v>22668</v>
      </c>
      <c r="BB4139" s="93" t="s">
        <v>22668</v>
      </c>
      <c r="BC4139" s="93" t="s">
        <v>22239</v>
      </c>
      <c r="BD4139" s="93" t="s">
        <v>23588</v>
      </c>
      <c r="BE4139" s="87"/>
      <c r="BF4139" s="87"/>
      <c r="BG4139" s="87"/>
      <c r="BH4139" s="87"/>
      <c r="BI4139" s="87"/>
    </row>
    <row r="4140" spans="1:61" x14ac:dyDescent="0.25">
      <c r="A4140" s="63" t="s">
        <v>1598</v>
      </c>
      <c r="B4140" s="63" t="s">
        <v>1598</v>
      </c>
      <c r="C4140" s="64"/>
      <c r="D4140" s="65"/>
      <c r="E4140" s="66"/>
      <c r="F4140" s="67"/>
      <c r="G4140" s="64"/>
      <c r="H4140" s="68"/>
      <c r="I4140" s="69"/>
      <c r="J4140" s="69"/>
      <c r="K4140" s="32"/>
      <c r="L4140" s="76">
        <v>4140</v>
      </c>
      <c r="M4140" s="76"/>
      <c r="N4140" s="71"/>
      <c r="O4140" s="87" t="s">
        <v>179</v>
      </c>
      <c r="P4140" s="90">
        <v>45133.5940625</v>
      </c>
      <c r="Q4140" s="87" t="s">
        <v>5783</v>
      </c>
      <c r="R4140" s="87">
        <v>1</v>
      </c>
      <c r="S4140" s="87">
        <v>12</v>
      </c>
      <c r="T4140" s="87">
        <v>0</v>
      </c>
      <c r="U4140" s="87">
        <v>0</v>
      </c>
      <c r="V4140" s="87">
        <v>158</v>
      </c>
      <c r="W4140" s="93" t="s">
        <v>8319</v>
      </c>
      <c r="X4140" s="87"/>
      <c r="Y4140" s="87"/>
      <c r="Z4140" s="87"/>
      <c r="AA4140" s="87" t="s">
        <v>11411</v>
      </c>
      <c r="AB4140" s="87" t="s">
        <v>11448</v>
      </c>
      <c r="AC4140" s="93" t="s">
        <v>11458</v>
      </c>
      <c r="AD4140" s="87" t="s">
        <v>11519</v>
      </c>
      <c r="AE4140" s="92" t="str">
        <f>HYPERLINK("https://twitter.com/helenanenachic/status/1684205794114297858")</f>
        <v>https://twitter.com/helenanenachic/status/1684205794114297858</v>
      </c>
      <c r="AF4140" s="90">
        <v>45133.5940625</v>
      </c>
      <c r="AG4140" s="99">
        <v>45133</v>
      </c>
      <c r="AH4140" s="93" t="s">
        <v>15124</v>
      </c>
      <c r="AI4140" s="87" t="b">
        <v>0</v>
      </c>
      <c r="AJ4140" s="87"/>
      <c r="AK4140" s="87"/>
      <c r="AL4140" s="87"/>
      <c r="AM4140" s="87"/>
      <c r="AN4140" s="87"/>
      <c r="AO4140" s="87"/>
      <c r="AP4140" s="87"/>
      <c r="AQ4140" s="87" t="s">
        <v>18223</v>
      </c>
      <c r="AR4140" s="87"/>
      <c r="AS4140" s="87"/>
      <c r="AT4140" s="87"/>
      <c r="AU4140" s="87"/>
      <c r="AV4140" s="92" t="str">
        <f>HYPERLINK("https://pbs.twimg.com/media/F1-APcqWIAU1KIM.jpg")</f>
        <v>https://pbs.twimg.com/media/F1-APcqWIAU1KIM.jpg</v>
      </c>
      <c r="AW4140" s="93" t="s">
        <v>22240</v>
      </c>
      <c r="AX4140" s="93" t="s">
        <v>22240</v>
      </c>
      <c r="AY4140" s="87"/>
      <c r="AZ4140" s="93" t="s">
        <v>22668</v>
      </c>
      <c r="BA4140" s="93" t="s">
        <v>22668</v>
      </c>
      <c r="BB4140" s="93" t="s">
        <v>22668</v>
      </c>
      <c r="BC4140" s="93" t="s">
        <v>22240</v>
      </c>
      <c r="BD4140" s="93" t="s">
        <v>23588</v>
      </c>
      <c r="BE4140" s="87"/>
      <c r="BF4140" s="87"/>
      <c r="BG4140" s="87"/>
      <c r="BH4140" s="87"/>
      <c r="BI4140" s="87"/>
    </row>
    <row r="4141" spans="1:61" x14ac:dyDescent="0.25">
      <c r="A4141" s="63" t="s">
        <v>1599</v>
      </c>
      <c r="B4141" s="63" t="s">
        <v>1599</v>
      </c>
      <c r="C4141" s="64"/>
      <c r="D4141" s="65"/>
      <c r="E4141" s="66"/>
      <c r="F4141" s="67"/>
      <c r="G4141" s="64"/>
      <c r="H4141" s="68"/>
      <c r="I4141" s="69"/>
      <c r="J4141" s="69"/>
      <c r="K4141" s="32"/>
      <c r="L4141" s="76">
        <v>4141</v>
      </c>
      <c r="M4141" s="76"/>
      <c r="N4141" s="71"/>
      <c r="O4141" s="87" t="s">
        <v>179</v>
      </c>
      <c r="P4141" s="90">
        <v>45111.545613425929</v>
      </c>
      <c r="Q4141" s="87" t="s">
        <v>5784</v>
      </c>
      <c r="R4141" s="87">
        <v>0</v>
      </c>
      <c r="S4141" s="87">
        <v>0</v>
      </c>
      <c r="T4141" s="87">
        <v>0</v>
      </c>
      <c r="U4141" s="87">
        <v>0</v>
      </c>
      <c r="V4141" s="87">
        <v>22</v>
      </c>
      <c r="W4141" s="93" t="s">
        <v>8320</v>
      </c>
      <c r="X4141" s="87"/>
      <c r="Y4141" s="87"/>
      <c r="Z4141" s="87"/>
      <c r="AA4141" s="87" t="s">
        <v>11412</v>
      </c>
      <c r="AB4141" s="87" t="s">
        <v>11448</v>
      </c>
      <c r="AC4141" s="93" t="s">
        <v>11460</v>
      </c>
      <c r="AD4141" s="87" t="s">
        <v>11519</v>
      </c>
      <c r="AE4141" s="92" t="str">
        <f>HYPERLINK("https://twitter.com/portopublicidad/status/1676215706549989377")</f>
        <v>https://twitter.com/portopublicidad/status/1676215706549989377</v>
      </c>
      <c r="AF4141" s="90">
        <v>45111.545613425929</v>
      </c>
      <c r="AG4141" s="99">
        <v>45111</v>
      </c>
      <c r="AH4141" s="93" t="s">
        <v>15125</v>
      </c>
      <c r="AI4141" s="87" t="b">
        <v>0</v>
      </c>
      <c r="AJ4141" s="87"/>
      <c r="AK4141" s="87"/>
      <c r="AL4141" s="87"/>
      <c r="AM4141" s="87"/>
      <c r="AN4141" s="87"/>
      <c r="AO4141" s="87"/>
      <c r="AP4141" s="87"/>
      <c r="AQ4141" s="87" t="s">
        <v>18224</v>
      </c>
      <c r="AR4141" s="87"/>
      <c r="AS4141" s="87"/>
      <c r="AT4141" s="87"/>
      <c r="AU4141" s="87"/>
      <c r="AV4141" s="92" t="str">
        <f>HYPERLINK("https://pbs.twimg.com/media/F0MdTVGWIAQ446u.jpg")</f>
        <v>https://pbs.twimg.com/media/F0MdTVGWIAQ446u.jpg</v>
      </c>
      <c r="AW4141" s="93" t="s">
        <v>22241</v>
      </c>
      <c r="AX4141" s="93" t="s">
        <v>22241</v>
      </c>
      <c r="AY4141" s="87"/>
      <c r="AZ4141" s="93" t="s">
        <v>22668</v>
      </c>
      <c r="BA4141" s="93" t="s">
        <v>22668</v>
      </c>
      <c r="BB4141" s="93" t="s">
        <v>22668</v>
      </c>
      <c r="BC4141" s="93" t="s">
        <v>22241</v>
      </c>
      <c r="BD4141" s="93" t="s">
        <v>23589</v>
      </c>
      <c r="BE4141" s="87"/>
      <c r="BF4141" s="87"/>
      <c r="BG4141" s="87"/>
      <c r="BH4141" s="87"/>
      <c r="BI4141" s="87"/>
    </row>
    <row r="4142" spans="1:61" x14ac:dyDescent="0.25">
      <c r="A4142" s="63" t="s">
        <v>1599</v>
      </c>
      <c r="B4142" s="63" t="s">
        <v>1599</v>
      </c>
      <c r="C4142" s="64"/>
      <c r="D4142" s="65"/>
      <c r="E4142" s="66"/>
      <c r="F4142" s="67"/>
      <c r="G4142" s="64"/>
      <c r="H4142" s="68"/>
      <c r="I4142" s="69"/>
      <c r="J4142" s="69"/>
      <c r="K4142" s="32"/>
      <c r="L4142" s="76">
        <v>4142</v>
      </c>
      <c r="M4142" s="76"/>
      <c r="N4142" s="71"/>
      <c r="O4142" s="87" t="s">
        <v>179</v>
      </c>
      <c r="P4142" s="90">
        <v>45119.736168981479</v>
      </c>
      <c r="Q4142" s="87" t="s">
        <v>5785</v>
      </c>
      <c r="R4142" s="87">
        <v>0</v>
      </c>
      <c r="S4142" s="87">
        <v>0</v>
      </c>
      <c r="T4142" s="87">
        <v>0</v>
      </c>
      <c r="U4142" s="87">
        <v>0</v>
      </c>
      <c r="V4142" s="87">
        <v>44</v>
      </c>
      <c r="W4142" s="93" t="s">
        <v>8321</v>
      </c>
      <c r="X4142" s="87"/>
      <c r="Y4142" s="87"/>
      <c r="Z4142" s="87"/>
      <c r="AA4142" s="87" t="s">
        <v>11413</v>
      </c>
      <c r="AB4142" s="87" t="s">
        <v>11448</v>
      </c>
      <c r="AC4142" s="93" t="s">
        <v>11460</v>
      </c>
      <c r="AD4142" s="87" t="s">
        <v>11519</v>
      </c>
      <c r="AE4142" s="92" t="str">
        <f>HYPERLINK("https://twitter.com/portopublicidad/status/1679183864441487375")</f>
        <v>https://twitter.com/portopublicidad/status/1679183864441487375</v>
      </c>
      <c r="AF4142" s="90">
        <v>45119.736168981479</v>
      </c>
      <c r="AG4142" s="99">
        <v>45119</v>
      </c>
      <c r="AH4142" s="93" t="s">
        <v>15126</v>
      </c>
      <c r="AI4142" s="87" t="b">
        <v>0</v>
      </c>
      <c r="AJ4142" s="87"/>
      <c r="AK4142" s="87"/>
      <c r="AL4142" s="87"/>
      <c r="AM4142" s="87"/>
      <c r="AN4142" s="87"/>
      <c r="AO4142" s="87"/>
      <c r="AP4142" s="87"/>
      <c r="AQ4142" s="87" t="s">
        <v>18225</v>
      </c>
      <c r="AR4142" s="87"/>
      <c r="AS4142" s="87"/>
      <c r="AT4142" s="87"/>
      <c r="AU4142" s="87"/>
      <c r="AV4142" s="92" t="str">
        <f>HYPERLINK("https://pbs.twimg.com/media/F02o05aWwAA0mB3.jpg")</f>
        <v>https://pbs.twimg.com/media/F02o05aWwAA0mB3.jpg</v>
      </c>
      <c r="AW4142" s="93" t="s">
        <v>22242</v>
      </c>
      <c r="AX4142" s="93" t="s">
        <v>22242</v>
      </c>
      <c r="AY4142" s="87"/>
      <c r="AZ4142" s="93" t="s">
        <v>22668</v>
      </c>
      <c r="BA4142" s="93" t="s">
        <v>22668</v>
      </c>
      <c r="BB4142" s="93" t="s">
        <v>22668</v>
      </c>
      <c r="BC4142" s="93" t="s">
        <v>22242</v>
      </c>
      <c r="BD4142" s="93" t="s">
        <v>23589</v>
      </c>
      <c r="BE4142" s="87"/>
      <c r="BF4142" s="87"/>
      <c r="BG4142" s="87"/>
      <c r="BH4142" s="87"/>
      <c r="BI4142" s="87"/>
    </row>
    <row r="4143" spans="1:61" x14ac:dyDescent="0.25">
      <c r="A4143" s="63" t="s">
        <v>1600</v>
      </c>
      <c r="B4143" s="63" t="s">
        <v>1600</v>
      </c>
      <c r="C4143" s="64"/>
      <c r="D4143" s="65"/>
      <c r="E4143" s="66"/>
      <c r="F4143" s="67"/>
      <c r="G4143" s="64"/>
      <c r="H4143" s="68"/>
      <c r="I4143" s="69"/>
      <c r="J4143" s="69"/>
      <c r="K4143" s="32"/>
      <c r="L4143" s="76">
        <v>4143</v>
      </c>
      <c r="M4143" s="76"/>
      <c r="N4143" s="71"/>
      <c r="O4143" s="87" t="s">
        <v>179</v>
      </c>
      <c r="P4143" s="90">
        <v>45122.817245370374</v>
      </c>
      <c r="Q4143" s="87" t="s">
        <v>5786</v>
      </c>
      <c r="R4143" s="87">
        <v>0</v>
      </c>
      <c r="S4143" s="87">
        <v>6</v>
      </c>
      <c r="T4143" s="87">
        <v>0</v>
      </c>
      <c r="U4143" s="87">
        <v>0</v>
      </c>
      <c r="V4143" s="87">
        <v>1023</v>
      </c>
      <c r="W4143" s="93" t="s">
        <v>7565</v>
      </c>
      <c r="X4143" s="92" t="str">
        <f>HYPERLINK("https://cultura.uol.com.br/noticias/dw/66244596_interesse-em-empreendedorismo-em-queda-na-alemanha.html")</f>
        <v>https://cultura.uol.com.br/noticias/dw/66244596_interesse-em-empreendedorismo-em-queda-na-alemanha.html</v>
      </c>
      <c r="Y4143" s="87" t="s">
        <v>8373</v>
      </c>
      <c r="Z4143" s="87"/>
      <c r="AA4143" s="87"/>
      <c r="AB4143" s="87"/>
      <c r="AC4143" s="93" t="s">
        <v>11457</v>
      </c>
      <c r="AD4143" s="87" t="s">
        <v>11519</v>
      </c>
      <c r="AE4143" s="92" t="str">
        <f>HYPERLINK("https://twitter.com/jornal_cultura/status/1680300406612664322")</f>
        <v>https://twitter.com/jornal_cultura/status/1680300406612664322</v>
      </c>
      <c r="AF4143" s="90">
        <v>45122.817245370374</v>
      </c>
      <c r="AG4143" s="99">
        <v>45122</v>
      </c>
      <c r="AH4143" s="93" t="s">
        <v>15127</v>
      </c>
      <c r="AI4143" s="87" t="b">
        <v>0</v>
      </c>
      <c r="AJ4143" s="87"/>
      <c r="AK4143" s="87"/>
      <c r="AL4143" s="87"/>
      <c r="AM4143" s="87"/>
      <c r="AN4143" s="87"/>
      <c r="AO4143" s="87"/>
      <c r="AP4143" s="87"/>
      <c r="AQ4143" s="87"/>
      <c r="AR4143" s="87"/>
      <c r="AS4143" s="87"/>
      <c r="AT4143" s="87"/>
      <c r="AU4143" s="87"/>
      <c r="AV4143" s="92" t="str">
        <f>HYPERLINK("https://pbs.twimg.com/profile_images/1252333649548148737/tsuJ5rGh_normal.jpg")</f>
        <v>https://pbs.twimg.com/profile_images/1252333649548148737/tsuJ5rGh_normal.jpg</v>
      </c>
      <c r="AW4143" s="93" t="s">
        <v>22243</v>
      </c>
      <c r="AX4143" s="93" t="s">
        <v>22243</v>
      </c>
      <c r="AY4143" s="87"/>
      <c r="AZ4143" s="93" t="s">
        <v>22668</v>
      </c>
      <c r="BA4143" s="93" t="s">
        <v>22668</v>
      </c>
      <c r="BB4143" s="93" t="s">
        <v>22668</v>
      </c>
      <c r="BC4143" s="93" t="s">
        <v>22243</v>
      </c>
      <c r="BD4143" s="87">
        <v>126750296</v>
      </c>
      <c r="BE4143" s="87"/>
      <c r="BF4143" s="87"/>
      <c r="BG4143" s="87"/>
      <c r="BH4143" s="87"/>
      <c r="BI4143" s="87"/>
    </row>
    <row r="4144" spans="1:61" x14ac:dyDescent="0.25">
      <c r="A4144" s="63" t="s">
        <v>1600</v>
      </c>
      <c r="B4144" s="63" t="s">
        <v>1600</v>
      </c>
      <c r="C4144" s="64"/>
      <c r="D4144" s="65"/>
      <c r="E4144" s="66"/>
      <c r="F4144" s="67"/>
      <c r="G4144" s="64"/>
      <c r="H4144" s="68"/>
      <c r="I4144" s="69"/>
      <c r="J4144" s="69"/>
      <c r="K4144" s="32"/>
      <c r="L4144" s="76">
        <v>4144</v>
      </c>
      <c r="M4144" s="76"/>
      <c r="N4144" s="71"/>
      <c r="O4144" s="87" t="s">
        <v>179</v>
      </c>
      <c r="P4144" s="90">
        <v>45167.705636574072</v>
      </c>
      <c r="Q4144" s="87" t="s">
        <v>5787</v>
      </c>
      <c r="R4144" s="87">
        <v>0</v>
      </c>
      <c r="S4144" s="87">
        <v>4</v>
      </c>
      <c r="T4144" s="87">
        <v>0</v>
      </c>
      <c r="U4144" s="87">
        <v>0</v>
      </c>
      <c r="V4144" s="87">
        <v>638</v>
      </c>
      <c r="W4144" s="93" t="s">
        <v>7566</v>
      </c>
      <c r="X4144" s="92" t="str">
        <f>HYPERLINK("https://cultura.uol.com.br/noticias/60980_lula-anuncia-que-quer-criar-o-ministerio-da-pequena-e-media-empresa.html")</f>
        <v>https://cultura.uol.com.br/noticias/60980_lula-anuncia-que-quer-criar-o-ministerio-da-pequena-e-media-empresa.html</v>
      </c>
      <c r="Y4144" s="87" t="s">
        <v>8373</v>
      </c>
      <c r="Z4144" s="87"/>
      <c r="AA4144" s="87"/>
      <c r="AB4144" s="87"/>
      <c r="AC4144" s="93" t="s">
        <v>11457</v>
      </c>
      <c r="AD4144" s="87" t="s">
        <v>11519</v>
      </c>
      <c r="AE4144" s="92" t="str">
        <f>HYPERLINK("https://twitter.com/jornal_cultura/status/1696567417365819793")</f>
        <v>https://twitter.com/jornal_cultura/status/1696567417365819793</v>
      </c>
      <c r="AF4144" s="90">
        <v>45167.705636574072</v>
      </c>
      <c r="AG4144" s="99">
        <v>45167</v>
      </c>
      <c r="AH4144" s="93" t="s">
        <v>15128</v>
      </c>
      <c r="AI4144" s="87" t="b">
        <v>0</v>
      </c>
      <c r="AJ4144" s="87"/>
      <c r="AK4144" s="87"/>
      <c r="AL4144" s="87"/>
      <c r="AM4144" s="87"/>
      <c r="AN4144" s="87"/>
      <c r="AO4144" s="87"/>
      <c r="AP4144" s="87"/>
      <c r="AQ4144" s="87"/>
      <c r="AR4144" s="87"/>
      <c r="AS4144" s="87"/>
      <c r="AT4144" s="87"/>
      <c r="AU4144" s="87"/>
      <c r="AV4144" s="92" t="str">
        <f>HYPERLINK("https://pbs.twimg.com/profile_images/1252333649548148737/tsuJ5rGh_normal.jpg")</f>
        <v>https://pbs.twimg.com/profile_images/1252333649548148737/tsuJ5rGh_normal.jpg</v>
      </c>
      <c r="AW4144" s="93" t="s">
        <v>22244</v>
      </c>
      <c r="AX4144" s="93" t="s">
        <v>22244</v>
      </c>
      <c r="AY4144" s="87"/>
      <c r="AZ4144" s="93" t="s">
        <v>22668</v>
      </c>
      <c r="BA4144" s="93" t="s">
        <v>22668</v>
      </c>
      <c r="BB4144" s="93" t="s">
        <v>22668</v>
      </c>
      <c r="BC4144" s="93" t="s">
        <v>22244</v>
      </c>
      <c r="BD4144" s="87">
        <v>126750296</v>
      </c>
      <c r="BE4144" s="87"/>
      <c r="BF4144" s="87"/>
      <c r="BG4144" s="87"/>
      <c r="BH4144" s="87"/>
      <c r="BI4144" s="87"/>
    </row>
    <row r="4145" spans="1:61" x14ac:dyDescent="0.25">
      <c r="A4145" s="63" t="s">
        <v>1600</v>
      </c>
      <c r="B4145" s="63" t="s">
        <v>1600</v>
      </c>
      <c r="C4145" s="64"/>
      <c r="D4145" s="65"/>
      <c r="E4145" s="66"/>
      <c r="F4145" s="67"/>
      <c r="G4145" s="64"/>
      <c r="H4145" s="68"/>
      <c r="I4145" s="69"/>
      <c r="J4145" s="69"/>
      <c r="K4145" s="32"/>
      <c r="L4145" s="76">
        <v>4145</v>
      </c>
      <c r="M4145" s="76"/>
      <c r="N4145" s="71"/>
      <c r="O4145" s="87" t="s">
        <v>179</v>
      </c>
      <c r="P4145" s="90">
        <v>45110.951643518521</v>
      </c>
      <c r="Q4145" s="87" t="s">
        <v>5788</v>
      </c>
      <c r="R4145" s="87">
        <v>0</v>
      </c>
      <c r="S4145" s="87">
        <v>4</v>
      </c>
      <c r="T4145" s="87">
        <v>0</v>
      </c>
      <c r="U4145" s="87">
        <v>0</v>
      </c>
      <c r="V4145" s="87">
        <v>896</v>
      </c>
      <c r="W4145" s="93" t="s">
        <v>7567</v>
      </c>
      <c r="X4145" s="92" t="str">
        <f>HYPERLINK("https://cultura.uol.com.br/educacao/noticias/2023/07/03/74_com-palestrantes-de-renome-do-empreendedorismo-4-semana-da-educacao-comeca-na-proxima-terca-4.html")</f>
        <v>https://cultura.uol.com.br/educacao/noticias/2023/07/03/74_com-palestrantes-de-renome-do-empreendedorismo-4-semana-da-educacao-comeca-na-proxima-terca-4.html</v>
      </c>
      <c r="Y4145" s="87" t="s">
        <v>8373</v>
      </c>
      <c r="Z4145" s="87"/>
      <c r="AA4145" s="87"/>
      <c r="AB4145" s="87"/>
      <c r="AC4145" s="93" t="s">
        <v>11483</v>
      </c>
      <c r="AD4145" s="87" t="s">
        <v>11519</v>
      </c>
      <c r="AE4145" s="92" t="str">
        <f>HYPERLINK("https://twitter.com/jornal_cultura/status/1676000460308721665")</f>
        <v>https://twitter.com/jornal_cultura/status/1676000460308721665</v>
      </c>
      <c r="AF4145" s="90">
        <v>45110.951643518521</v>
      </c>
      <c r="AG4145" s="99">
        <v>45110</v>
      </c>
      <c r="AH4145" s="93" t="s">
        <v>15129</v>
      </c>
      <c r="AI4145" s="87" t="b">
        <v>0</v>
      </c>
      <c r="AJ4145" s="87"/>
      <c r="AK4145" s="87"/>
      <c r="AL4145" s="87"/>
      <c r="AM4145" s="87"/>
      <c r="AN4145" s="87"/>
      <c r="AO4145" s="87"/>
      <c r="AP4145" s="87"/>
      <c r="AQ4145" s="87"/>
      <c r="AR4145" s="87"/>
      <c r="AS4145" s="87"/>
      <c r="AT4145" s="87"/>
      <c r="AU4145" s="87"/>
      <c r="AV4145" s="92" t="str">
        <f>HYPERLINK("https://pbs.twimg.com/profile_images/1252333649548148737/tsuJ5rGh_normal.jpg")</f>
        <v>https://pbs.twimg.com/profile_images/1252333649548148737/tsuJ5rGh_normal.jpg</v>
      </c>
      <c r="AW4145" s="93" t="s">
        <v>22245</v>
      </c>
      <c r="AX4145" s="93" t="s">
        <v>22245</v>
      </c>
      <c r="AY4145" s="87"/>
      <c r="AZ4145" s="93" t="s">
        <v>22668</v>
      </c>
      <c r="BA4145" s="93" t="s">
        <v>22668</v>
      </c>
      <c r="BB4145" s="93" t="s">
        <v>22668</v>
      </c>
      <c r="BC4145" s="93" t="s">
        <v>22245</v>
      </c>
      <c r="BD4145" s="87">
        <v>126750296</v>
      </c>
      <c r="BE4145" s="87"/>
      <c r="BF4145" s="87"/>
      <c r="BG4145" s="87"/>
      <c r="BH4145" s="87"/>
      <c r="BI4145" s="87"/>
    </row>
    <row r="4146" spans="1:61" x14ac:dyDescent="0.25">
      <c r="A4146" s="63" t="s">
        <v>1601</v>
      </c>
      <c r="B4146" s="63" t="s">
        <v>1601</v>
      </c>
      <c r="C4146" s="64"/>
      <c r="D4146" s="65"/>
      <c r="E4146" s="66"/>
      <c r="F4146" s="67"/>
      <c r="G4146" s="64"/>
      <c r="H4146" s="68"/>
      <c r="I4146" s="69"/>
      <c r="J4146" s="69"/>
      <c r="K4146" s="32"/>
      <c r="L4146" s="76">
        <v>4146</v>
      </c>
      <c r="M4146" s="76"/>
      <c r="N4146" s="71"/>
      <c r="O4146" s="87" t="s">
        <v>179</v>
      </c>
      <c r="P4146" s="90">
        <v>45156.529745370368</v>
      </c>
      <c r="Q4146" s="87" t="s">
        <v>5789</v>
      </c>
      <c r="R4146" s="87">
        <v>0</v>
      </c>
      <c r="S4146" s="87">
        <v>1</v>
      </c>
      <c r="T4146" s="87">
        <v>0</v>
      </c>
      <c r="U4146" s="87">
        <v>0</v>
      </c>
      <c r="V4146" s="87">
        <v>177</v>
      </c>
      <c r="W4146" s="93" t="s">
        <v>8322</v>
      </c>
      <c r="X4146" s="92" t="str">
        <f>HYPERLINK("https://www.apostilasopcao.com.br/curso-online/mp-sp-oficial-promotoria?afiliado=13686")</f>
        <v>https://www.apostilasopcao.com.br/curso-online/mp-sp-oficial-promotoria?afiliado=13686</v>
      </c>
      <c r="Y4146" s="87" t="s">
        <v>8373</v>
      </c>
      <c r="Z4146" s="87"/>
      <c r="AA4146" s="87" t="s">
        <v>11414</v>
      </c>
      <c r="AB4146" s="87" t="s">
        <v>11448</v>
      </c>
      <c r="AC4146" s="93" t="s">
        <v>11457</v>
      </c>
      <c r="AD4146" s="87" t="s">
        <v>11519</v>
      </c>
      <c r="AE4146" s="92" t="str">
        <f>HYPERLINK("https://twitter.com/apostilac/status/1692517410023125411")</f>
        <v>https://twitter.com/apostilac/status/1692517410023125411</v>
      </c>
      <c r="AF4146" s="90">
        <v>45156.529745370368</v>
      </c>
      <c r="AG4146" s="99">
        <v>45156</v>
      </c>
      <c r="AH4146" s="93" t="s">
        <v>15130</v>
      </c>
      <c r="AI4146" s="87" t="b">
        <v>0</v>
      </c>
      <c r="AJ4146" s="87"/>
      <c r="AK4146" s="87"/>
      <c r="AL4146" s="87"/>
      <c r="AM4146" s="87"/>
      <c r="AN4146" s="87"/>
      <c r="AO4146" s="87"/>
      <c r="AP4146" s="87"/>
      <c r="AQ4146" s="87" t="s">
        <v>18226</v>
      </c>
      <c r="AR4146" s="87"/>
      <c r="AS4146" s="87"/>
      <c r="AT4146" s="87"/>
      <c r="AU4146" s="87"/>
      <c r="AV4146" s="92" t="str">
        <f>HYPERLINK("https://pbs.twimg.com/media/F30HdC9XIAAcS8y.png")</f>
        <v>https://pbs.twimg.com/media/F30HdC9XIAAcS8y.png</v>
      </c>
      <c r="AW4146" s="93" t="s">
        <v>22246</v>
      </c>
      <c r="AX4146" s="93" t="s">
        <v>22246</v>
      </c>
      <c r="AY4146" s="87"/>
      <c r="AZ4146" s="93" t="s">
        <v>22668</v>
      </c>
      <c r="BA4146" s="93" t="s">
        <v>22668</v>
      </c>
      <c r="BB4146" s="93" t="s">
        <v>22668</v>
      </c>
      <c r="BC4146" s="93" t="s">
        <v>22246</v>
      </c>
      <c r="BD4146" s="93" t="s">
        <v>23590</v>
      </c>
      <c r="BE4146" s="87"/>
      <c r="BF4146" s="87"/>
      <c r="BG4146" s="87"/>
      <c r="BH4146" s="87"/>
      <c r="BI4146" s="87"/>
    </row>
    <row r="4147" spans="1:61" x14ac:dyDescent="0.25">
      <c r="A4147" s="63" t="s">
        <v>1601</v>
      </c>
      <c r="B4147" s="63" t="s">
        <v>1601</v>
      </c>
      <c r="C4147" s="64"/>
      <c r="D4147" s="65"/>
      <c r="E4147" s="66"/>
      <c r="F4147" s="67"/>
      <c r="G4147" s="64"/>
      <c r="H4147" s="68"/>
      <c r="I4147" s="69"/>
      <c r="J4147" s="69"/>
      <c r="K4147" s="32"/>
      <c r="L4147" s="76">
        <v>4147</v>
      </c>
      <c r="M4147" s="76"/>
      <c r="N4147" s="71"/>
      <c r="O4147" s="87" t="s">
        <v>179</v>
      </c>
      <c r="P4147" s="90">
        <v>45146.37091435185</v>
      </c>
      <c r="Q4147" s="87" t="s">
        <v>5790</v>
      </c>
      <c r="R4147" s="87">
        <v>0</v>
      </c>
      <c r="S4147" s="87">
        <v>2</v>
      </c>
      <c r="T4147" s="87">
        <v>0</v>
      </c>
      <c r="U4147" s="87">
        <v>0</v>
      </c>
      <c r="V4147" s="87">
        <v>136</v>
      </c>
      <c r="W4147" s="93" t="s">
        <v>8323</v>
      </c>
      <c r="X4147" s="92" t="str">
        <f>HYPERLINK("https://www.novaconcursos.com.br/mapa-mental/tecnologia-informacao-linux-pdf?acc=8827d9409f995b396272a435bb9e770d")</f>
        <v>https://www.novaconcursos.com.br/mapa-mental/tecnologia-informacao-linux-pdf?acc=8827d9409f995b396272a435bb9e770d</v>
      </c>
      <c r="Y4147" s="87" t="s">
        <v>8373</v>
      </c>
      <c r="Z4147" s="87"/>
      <c r="AA4147" s="87" t="s">
        <v>11415</v>
      </c>
      <c r="AB4147" s="87" t="s">
        <v>11448</v>
      </c>
      <c r="AC4147" s="93" t="s">
        <v>11457</v>
      </c>
      <c r="AD4147" s="87" t="s">
        <v>11519</v>
      </c>
      <c r="AE4147" s="92" t="str">
        <f>HYPERLINK("https://twitter.com/apostilac/status/1688835971654029312")</f>
        <v>https://twitter.com/apostilac/status/1688835971654029312</v>
      </c>
      <c r="AF4147" s="90">
        <v>45146.37091435185</v>
      </c>
      <c r="AG4147" s="99">
        <v>45146</v>
      </c>
      <c r="AH4147" s="93" t="s">
        <v>15131</v>
      </c>
      <c r="AI4147" s="87" t="b">
        <v>0</v>
      </c>
      <c r="AJ4147" s="87"/>
      <c r="AK4147" s="87"/>
      <c r="AL4147" s="87"/>
      <c r="AM4147" s="87"/>
      <c r="AN4147" s="87"/>
      <c r="AO4147" s="87"/>
      <c r="AP4147" s="87"/>
      <c r="AQ4147" s="87" t="s">
        <v>18227</v>
      </c>
      <c r="AR4147" s="87"/>
      <c r="AS4147" s="87"/>
      <c r="AT4147" s="87"/>
      <c r="AU4147" s="87"/>
      <c r="AV4147" s="92" t="str">
        <f>HYPERLINK("https://pbs.twimg.com/media/F2_y2c6XkAAM5yC.jpg")</f>
        <v>https://pbs.twimg.com/media/F2_y2c6XkAAM5yC.jpg</v>
      </c>
      <c r="AW4147" s="93" t="s">
        <v>22247</v>
      </c>
      <c r="AX4147" s="93" t="s">
        <v>22247</v>
      </c>
      <c r="AY4147" s="87"/>
      <c r="AZ4147" s="93" t="s">
        <v>22668</v>
      </c>
      <c r="BA4147" s="93" t="s">
        <v>22668</v>
      </c>
      <c r="BB4147" s="93" t="s">
        <v>22668</v>
      </c>
      <c r="BC4147" s="93" t="s">
        <v>22247</v>
      </c>
      <c r="BD4147" s="93" t="s">
        <v>23590</v>
      </c>
      <c r="BE4147" s="87"/>
      <c r="BF4147" s="87"/>
      <c r="BG4147" s="87"/>
      <c r="BH4147" s="87"/>
      <c r="BI4147" s="87"/>
    </row>
    <row r="4148" spans="1:61" x14ac:dyDescent="0.25">
      <c r="A4148" s="63" t="s">
        <v>1601</v>
      </c>
      <c r="B4148" s="63" t="s">
        <v>1601</v>
      </c>
      <c r="C4148" s="64"/>
      <c r="D4148" s="65"/>
      <c r="E4148" s="66"/>
      <c r="F4148" s="67"/>
      <c r="G4148" s="64"/>
      <c r="H4148" s="68"/>
      <c r="I4148" s="69"/>
      <c r="J4148" s="69"/>
      <c r="K4148" s="32"/>
      <c r="L4148" s="76">
        <v>4148</v>
      </c>
      <c r="M4148" s="76"/>
      <c r="N4148" s="71"/>
      <c r="O4148" s="87" t="s">
        <v>179</v>
      </c>
      <c r="P4148" s="90">
        <v>45149.698900462965</v>
      </c>
      <c r="Q4148" s="87" t="s">
        <v>5791</v>
      </c>
      <c r="R4148" s="87">
        <v>0</v>
      </c>
      <c r="S4148" s="87">
        <v>1</v>
      </c>
      <c r="T4148" s="87">
        <v>1</v>
      </c>
      <c r="U4148" s="87">
        <v>0</v>
      </c>
      <c r="V4148" s="87">
        <v>78</v>
      </c>
      <c r="W4148" s="93" t="s">
        <v>8324</v>
      </c>
      <c r="X4148" s="92" t="str">
        <f>HYPERLINK("https://www.novaconcursos.com.br/mapa-mental/contabilidade-geral-conceitos-principios-pdf?acc=8827d9409f995b396272a435bb9e770d")</f>
        <v>https://www.novaconcursos.com.br/mapa-mental/contabilidade-geral-conceitos-principios-pdf?acc=8827d9409f995b396272a435bb9e770d</v>
      </c>
      <c r="Y4148" s="87" t="s">
        <v>8373</v>
      </c>
      <c r="Z4148" s="87"/>
      <c r="AA4148" s="87" t="s">
        <v>11416</v>
      </c>
      <c r="AB4148" s="87" t="s">
        <v>11448</v>
      </c>
      <c r="AC4148" s="93" t="s">
        <v>11457</v>
      </c>
      <c r="AD4148" s="87" t="s">
        <v>11519</v>
      </c>
      <c r="AE4148" s="92" t="str">
        <f>HYPERLINK("https://twitter.com/apostilac/status/1690041995153092626")</f>
        <v>https://twitter.com/apostilac/status/1690041995153092626</v>
      </c>
      <c r="AF4148" s="90">
        <v>45149.698900462965</v>
      </c>
      <c r="AG4148" s="99">
        <v>45149</v>
      </c>
      <c r="AH4148" s="93" t="s">
        <v>15132</v>
      </c>
      <c r="AI4148" s="87" t="b">
        <v>0</v>
      </c>
      <c r="AJ4148" s="87"/>
      <c r="AK4148" s="87"/>
      <c r="AL4148" s="87"/>
      <c r="AM4148" s="87"/>
      <c r="AN4148" s="87"/>
      <c r="AO4148" s="87"/>
      <c r="AP4148" s="87"/>
      <c r="AQ4148" s="87" t="s">
        <v>18228</v>
      </c>
      <c r="AR4148" s="87"/>
      <c r="AS4148" s="87"/>
      <c r="AT4148" s="87"/>
      <c r="AU4148" s="87"/>
      <c r="AV4148" s="92" t="str">
        <f>HYPERLINK("https://pbs.twimg.com/media/F3Q8B0gXsAEzo5V.jpg")</f>
        <v>https://pbs.twimg.com/media/F3Q8B0gXsAEzo5V.jpg</v>
      </c>
      <c r="AW4148" s="93" t="s">
        <v>22248</v>
      </c>
      <c r="AX4148" s="93" t="s">
        <v>22248</v>
      </c>
      <c r="AY4148" s="87"/>
      <c r="AZ4148" s="93" t="s">
        <v>22668</v>
      </c>
      <c r="BA4148" s="93" t="s">
        <v>22668</v>
      </c>
      <c r="BB4148" s="93" t="s">
        <v>22668</v>
      </c>
      <c r="BC4148" s="93" t="s">
        <v>22248</v>
      </c>
      <c r="BD4148" s="93" t="s">
        <v>23590</v>
      </c>
      <c r="BE4148" s="87"/>
      <c r="BF4148" s="87"/>
      <c r="BG4148" s="87"/>
      <c r="BH4148" s="87"/>
      <c r="BI4148" s="87"/>
    </row>
    <row r="4149" spans="1:61" x14ac:dyDescent="0.25">
      <c r="A4149" s="63" t="s">
        <v>1602</v>
      </c>
      <c r="B4149" s="63" t="s">
        <v>1837</v>
      </c>
      <c r="C4149" s="64"/>
      <c r="D4149" s="65"/>
      <c r="E4149" s="66"/>
      <c r="F4149" s="67"/>
      <c r="G4149" s="64"/>
      <c r="H4149" s="68"/>
      <c r="I4149" s="69"/>
      <c r="J4149" s="69"/>
      <c r="K4149" s="32"/>
      <c r="L4149" s="76">
        <v>4149</v>
      </c>
      <c r="M4149" s="76"/>
      <c r="N4149" s="71"/>
      <c r="O4149" s="87" t="s">
        <v>1839</v>
      </c>
      <c r="P4149" s="90">
        <v>45119.875011574077</v>
      </c>
      <c r="Q4149" s="87" t="s">
        <v>5792</v>
      </c>
      <c r="R4149" s="87">
        <v>0</v>
      </c>
      <c r="S4149" s="87">
        <v>1</v>
      </c>
      <c r="T4149" s="87">
        <v>0</v>
      </c>
      <c r="U4149" s="87">
        <v>0</v>
      </c>
      <c r="V4149" s="87">
        <v>27</v>
      </c>
      <c r="W4149" s="93" t="s">
        <v>5897</v>
      </c>
      <c r="X4149" s="92" t="str">
        <f>HYPERLINK("https://bit.ly/46If5wO")</f>
        <v>https://bit.ly/46If5wO</v>
      </c>
      <c r="Y4149" s="87" t="s">
        <v>8374</v>
      </c>
      <c r="Z4149" s="87" t="s">
        <v>1837</v>
      </c>
      <c r="AA4149" s="87"/>
      <c r="AB4149" s="87"/>
      <c r="AC4149" s="93" t="s">
        <v>11457</v>
      </c>
      <c r="AD4149" s="87" t="s">
        <v>11519</v>
      </c>
      <c r="AE4149" s="92" t="str">
        <f>HYPERLINK("https://twitter.com/lideglobal/status/1679234177412268033")</f>
        <v>https://twitter.com/lideglobal/status/1679234177412268033</v>
      </c>
      <c r="AF4149" s="90">
        <v>45119.875011574077</v>
      </c>
      <c r="AG4149" s="99">
        <v>45119</v>
      </c>
      <c r="AH4149" s="93" t="s">
        <v>11667</v>
      </c>
      <c r="AI4149" s="87" t="b">
        <v>0</v>
      </c>
      <c r="AJ4149" s="87"/>
      <c r="AK4149" s="87"/>
      <c r="AL4149" s="87"/>
      <c r="AM4149" s="87"/>
      <c r="AN4149" s="87"/>
      <c r="AO4149" s="87"/>
      <c r="AP4149" s="87"/>
      <c r="AQ4149" s="87"/>
      <c r="AR4149" s="87"/>
      <c r="AS4149" s="87"/>
      <c r="AT4149" s="87"/>
      <c r="AU4149" s="87"/>
      <c r="AV4149" s="92" t="str">
        <f>HYPERLINK("https://pbs.twimg.com/profile_images/1625179926197415936/qSJmiKhx_normal.jpg")</f>
        <v>https://pbs.twimg.com/profile_images/1625179926197415936/qSJmiKhx_normal.jpg</v>
      </c>
      <c r="AW4149" s="93" t="s">
        <v>22249</v>
      </c>
      <c r="AX4149" s="93" t="s">
        <v>22249</v>
      </c>
      <c r="AY4149" s="87"/>
      <c r="AZ4149" s="93" t="s">
        <v>22668</v>
      </c>
      <c r="BA4149" s="93" t="s">
        <v>22668</v>
      </c>
      <c r="BB4149" s="93" t="s">
        <v>22668</v>
      </c>
      <c r="BC4149" s="93" t="s">
        <v>22249</v>
      </c>
      <c r="BD4149" s="87">
        <v>207577470</v>
      </c>
      <c r="BE4149" s="87"/>
      <c r="BF4149" s="87"/>
      <c r="BG4149" s="87"/>
      <c r="BH4149" s="87"/>
      <c r="BI4149" s="87"/>
    </row>
    <row r="4150" spans="1:61" x14ac:dyDescent="0.25">
      <c r="A4150" s="63" t="s">
        <v>1602</v>
      </c>
      <c r="B4150" s="63" t="s">
        <v>1602</v>
      </c>
      <c r="C4150" s="64"/>
      <c r="D4150" s="65"/>
      <c r="E4150" s="66"/>
      <c r="F4150" s="67"/>
      <c r="G4150" s="64"/>
      <c r="H4150" s="68"/>
      <c r="I4150" s="69"/>
      <c r="J4150" s="69"/>
      <c r="K4150" s="32"/>
      <c r="L4150" s="76">
        <v>4150</v>
      </c>
      <c r="M4150" s="76"/>
      <c r="N4150" s="71"/>
      <c r="O4150" s="87" t="s">
        <v>179</v>
      </c>
      <c r="P4150" s="90">
        <v>45135.787094907406</v>
      </c>
      <c r="Q4150" s="87" t="s">
        <v>5793</v>
      </c>
      <c r="R4150" s="87">
        <v>0</v>
      </c>
      <c r="S4150" s="87">
        <v>0</v>
      </c>
      <c r="T4150" s="87">
        <v>0</v>
      </c>
      <c r="U4150" s="87">
        <v>0</v>
      </c>
      <c r="V4150" s="87">
        <v>17</v>
      </c>
      <c r="W4150" s="93" t="s">
        <v>5897</v>
      </c>
      <c r="X4150" s="92" t="str">
        <f>HYPERLINK("https://lide.me/3rVB17u")</f>
        <v>https://lide.me/3rVB17u</v>
      </c>
      <c r="Y4150" s="87" t="s">
        <v>8561</v>
      </c>
      <c r="Z4150" s="87"/>
      <c r="AA4150" s="87"/>
      <c r="AB4150" s="87"/>
      <c r="AC4150" s="93" t="s">
        <v>11457</v>
      </c>
      <c r="AD4150" s="87" t="s">
        <v>11519</v>
      </c>
      <c r="AE4150" s="92" t="str">
        <f>HYPERLINK("https://twitter.com/lideglobal/status/1685000526591664129")</f>
        <v>https://twitter.com/lideglobal/status/1685000526591664129</v>
      </c>
      <c r="AF4150" s="90">
        <v>45135.787094907406</v>
      </c>
      <c r="AG4150" s="99">
        <v>45135</v>
      </c>
      <c r="AH4150" s="93" t="s">
        <v>15133</v>
      </c>
      <c r="AI4150" s="87" t="b">
        <v>0</v>
      </c>
      <c r="AJ4150" s="87"/>
      <c r="AK4150" s="87"/>
      <c r="AL4150" s="87"/>
      <c r="AM4150" s="87"/>
      <c r="AN4150" s="87"/>
      <c r="AO4150" s="87"/>
      <c r="AP4150" s="87"/>
      <c r="AQ4150" s="87"/>
      <c r="AR4150" s="87"/>
      <c r="AS4150" s="87"/>
      <c r="AT4150" s="87"/>
      <c r="AU4150" s="87"/>
      <c r="AV4150" s="92" t="str">
        <f>HYPERLINK("https://pbs.twimg.com/profile_images/1625179926197415936/qSJmiKhx_normal.jpg")</f>
        <v>https://pbs.twimg.com/profile_images/1625179926197415936/qSJmiKhx_normal.jpg</v>
      </c>
      <c r="AW4150" s="93" t="s">
        <v>22250</v>
      </c>
      <c r="AX4150" s="93" t="s">
        <v>22250</v>
      </c>
      <c r="AY4150" s="87"/>
      <c r="AZ4150" s="93" t="s">
        <v>22668</v>
      </c>
      <c r="BA4150" s="93" t="s">
        <v>22668</v>
      </c>
      <c r="BB4150" s="93" t="s">
        <v>22668</v>
      </c>
      <c r="BC4150" s="93" t="s">
        <v>22250</v>
      </c>
      <c r="BD4150" s="87">
        <v>207577470</v>
      </c>
      <c r="BE4150" s="87"/>
      <c r="BF4150" s="87"/>
      <c r="BG4150" s="87"/>
      <c r="BH4150" s="87"/>
      <c r="BI4150" s="87"/>
    </row>
    <row r="4151" spans="1:61" x14ac:dyDescent="0.25">
      <c r="A4151" s="63" t="s">
        <v>1603</v>
      </c>
      <c r="B4151" s="63" t="s">
        <v>1603</v>
      </c>
      <c r="C4151" s="64"/>
      <c r="D4151" s="65"/>
      <c r="E4151" s="66"/>
      <c r="F4151" s="67"/>
      <c r="G4151" s="64"/>
      <c r="H4151" s="68"/>
      <c r="I4151" s="69"/>
      <c r="J4151" s="69"/>
      <c r="K4151" s="32"/>
      <c r="L4151" s="76">
        <v>4151</v>
      </c>
      <c r="M4151" s="76"/>
      <c r="N4151" s="71"/>
      <c r="O4151" s="87" t="s">
        <v>179</v>
      </c>
      <c r="P4151" s="90">
        <v>45112.54215277778</v>
      </c>
      <c r="Q4151" s="87" t="s">
        <v>5794</v>
      </c>
      <c r="R4151" s="87">
        <v>0</v>
      </c>
      <c r="S4151" s="87">
        <v>0</v>
      </c>
      <c r="T4151" s="87">
        <v>0</v>
      </c>
      <c r="U4151" s="87">
        <v>0</v>
      </c>
      <c r="V4151" s="87">
        <v>13</v>
      </c>
      <c r="W4151" s="93" t="s">
        <v>8325</v>
      </c>
      <c r="X4151" s="92" t="str">
        <f>HYPERLINK("https://economiaempreendedora.com.br/")</f>
        <v>https://economiaempreendedora.com.br/</v>
      </c>
      <c r="Y4151" s="87" t="s">
        <v>8373</v>
      </c>
      <c r="Z4151" s="87"/>
      <c r="AA4151" s="87" t="s">
        <v>11417</v>
      </c>
      <c r="AB4151" s="87" t="s">
        <v>11448</v>
      </c>
      <c r="AC4151" s="93" t="s">
        <v>11460</v>
      </c>
      <c r="AD4151" s="87" t="s">
        <v>11519</v>
      </c>
      <c r="AE4151" s="92" t="str">
        <f>HYPERLINK("https://twitter.com/funep/status/1676576840385798147")</f>
        <v>https://twitter.com/funep/status/1676576840385798147</v>
      </c>
      <c r="AF4151" s="90">
        <v>45112.54215277778</v>
      </c>
      <c r="AG4151" s="99">
        <v>45112</v>
      </c>
      <c r="AH4151" s="93" t="s">
        <v>15134</v>
      </c>
      <c r="AI4151" s="87" t="b">
        <v>0</v>
      </c>
      <c r="AJ4151" s="87"/>
      <c r="AK4151" s="87"/>
      <c r="AL4151" s="87"/>
      <c r="AM4151" s="87"/>
      <c r="AN4151" s="87"/>
      <c r="AO4151" s="87"/>
      <c r="AP4151" s="87"/>
      <c r="AQ4151" s="87" t="s">
        <v>18229</v>
      </c>
      <c r="AR4151" s="87"/>
      <c r="AS4151" s="87"/>
      <c r="AT4151" s="87"/>
      <c r="AU4151" s="87"/>
      <c r="AV4151" s="92" t="str">
        <f>HYPERLINK("https://pbs.twimg.com/media/F0Rlv_sXgAAZP8K.jpg")</f>
        <v>https://pbs.twimg.com/media/F0Rlv_sXgAAZP8K.jpg</v>
      </c>
      <c r="AW4151" s="93" t="s">
        <v>22251</v>
      </c>
      <c r="AX4151" s="93" t="s">
        <v>22251</v>
      </c>
      <c r="AY4151" s="87"/>
      <c r="AZ4151" s="93" t="s">
        <v>22668</v>
      </c>
      <c r="BA4151" s="93" t="s">
        <v>22668</v>
      </c>
      <c r="BB4151" s="93" t="s">
        <v>22668</v>
      </c>
      <c r="BC4151" s="93" t="s">
        <v>22251</v>
      </c>
      <c r="BD4151" s="87">
        <v>83854705</v>
      </c>
      <c r="BE4151" s="87"/>
      <c r="BF4151" s="87"/>
      <c r="BG4151" s="87"/>
      <c r="BH4151" s="87"/>
      <c r="BI4151" s="87"/>
    </row>
    <row r="4152" spans="1:61" x14ac:dyDescent="0.25">
      <c r="A4152" s="63" t="s">
        <v>1604</v>
      </c>
      <c r="B4152" s="63" t="s">
        <v>1604</v>
      </c>
      <c r="C4152" s="64"/>
      <c r="D4152" s="65"/>
      <c r="E4152" s="66"/>
      <c r="F4152" s="67"/>
      <c r="G4152" s="64"/>
      <c r="H4152" s="68"/>
      <c r="I4152" s="69"/>
      <c r="J4152" s="69"/>
      <c r="K4152" s="32"/>
      <c r="L4152" s="76">
        <v>4152</v>
      </c>
      <c r="M4152" s="76"/>
      <c r="N4152" s="71"/>
      <c r="O4152" s="87" t="s">
        <v>179</v>
      </c>
      <c r="P4152" s="90">
        <v>45147.116620370369</v>
      </c>
      <c r="Q4152" s="87" t="s">
        <v>5795</v>
      </c>
      <c r="R4152" s="87">
        <v>0</v>
      </c>
      <c r="S4152" s="87">
        <v>0</v>
      </c>
      <c r="T4152" s="87">
        <v>0</v>
      </c>
      <c r="U4152" s="87">
        <v>0</v>
      </c>
      <c r="V4152" s="87">
        <v>34</v>
      </c>
      <c r="W4152" s="93" t="s">
        <v>8326</v>
      </c>
      <c r="X4152" s="92" t="str">
        <f>HYPERLINK("https://promosdaerika.com.br/produto/p/7duVz")</f>
        <v>https://promosdaerika.com.br/produto/p/7duVz</v>
      </c>
      <c r="Y4152" s="87" t="s">
        <v>8373</v>
      </c>
      <c r="Z4152" s="87"/>
      <c r="AA4152" s="87" t="s">
        <v>11418</v>
      </c>
      <c r="AB4152" s="87" t="s">
        <v>11448</v>
      </c>
      <c r="AC4152" s="93" t="s">
        <v>11459</v>
      </c>
      <c r="AD4152" s="87" t="s">
        <v>11519</v>
      </c>
      <c r="AE4152" s="92" t="str">
        <f>HYPERLINK("https://twitter.com/erikasmotta/status/1689106207305285632")</f>
        <v>https://twitter.com/erikasmotta/status/1689106207305285632</v>
      </c>
      <c r="AF4152" s="90">
        <v>45147.116620370369</v>
      </c>
      <c r="AG4152" s="99">
        <v>45147</v>
      </c>
      <c r="AH4152" s="93" t="s">
        <v>15135</v>
      </c>
      <c r="AI4152" s="87" t="b">
        <v>0</v>
      </c>
      <c r="AJ4152" s="87" t="s">
        <v>15233</v>
      </c>
      <c r="AK4152" s="87" t="s">
        <v>15234</v>
      </c>
      <c r="AL4152" s="87" t="s">
        <v>15237</v>
      </c>
      <c r="AM4152" s="87" t="s">
        <v>15304</v>
      </c>
      <c r="AN4152" s="87" t="s">
        <v>15371</v>
      </c>
      <c r="AO4152" s="87" t="s">
        <v>15436</v>
      </c>
      <c r="AP4152" s="87" t="s">
        <v>15438</v>
      </c>
      <c r="AQ4152" s="87" t="s">
        <v>18230</v>
      </c>
      <c r="AR4152" s="87"/>
      <c r="AS4152" s="87"/>
      <c r="AT4152" s="87"/>
      <c r="AU4152" s="87"/>
      <c r="AV4152" s="92" t="str">
        <f>HYPERLINK("https://pbs.twimg.com/media/F3DpJOrXQAAqSUc.jpg")</f>
        <v>https://pbs.twimg.com/media/F3DpJOrXQAAqSUc.jpg</v>
      </c>
      <c r="AW4152" s="93" t="s">
        <v>22252</v>
      </c>
      <c r="AX4152" s="93" t="s">
        <v>22252</v>
      </c>
      <c r="AY4152" s="87"/>
      <c r="AZ4152" s="93" t="s">
        <v>22668</v>
      </c>
      <c r="BA4152" s="93" t="s">
        <v>22668</v>
      </c>
      <c r="BB4152" s="93" t="s">
        <v>22668</v>
      </c>
      <c r="BC4152" s="93" t="s">
        <v>22252</v>
      </c>
      <c r="BD4152" s="93" t="s">
        <v>23591</v>
      </c>
      <c r="BE4152" s="87"/>
      <c r="BF4152" s="87"/>
      <c r="BG4152" s="87"/>
      <c r="BH4152" s="87"/>
      <c r="BI4152" s="87"/>
    </row>
    <row r="4153" spans="1:61" x14ac:dyDescent="0.25">
      <c r="A4153" s="63" t="s">
        <v>1605</v>
      </c>
      <c r="B4153" s="63" t="s">
        <v>1605</v>
      </c>
      <c r="C4153" s="64"/>
      <c r="D4153" s="65"/>
      <c r="E4153" s="66"/>
      <c r="F4153" s="67"/>
      <c r="G4153" s="64"/>
      <c r="H4153" s="68"/>
      <c r="I4153" s="69"/>
      <c r="J4153" s="69"/>
      <c r="K4153" s="32"/>
      <c r="L4153" s="76">
        <v>4153</v>
      </c>
      <c r="M4153" s="76"/>
      <c r="N4153" s="71"/>
      <c r="O4153" s="87" t="s">
        <v>179</v>
      </c>
      <c r="P4153" s="90">
        <v>45189.657997685186</v>
      </c>
      <c r="Q4153" s="87" t="s">
        <v>5796</v>
      </c>
      <c r="R4153" s="87">
        <v>0</v>
      </c>
      <c r="S4153" s="87">
        <v>1</v>
      </c>
      <c r="T4153" s="87">
        <v>0</v>
      </c>
      <c r="U4153" s="87">
        <v>0</v>
      </c>
      <c r="V4153" s="87">
        <v>8</v>
      </c>
      <c r="W4153" s="93" t="s">
        <v>5897</v>
      </c>
      <c r="X4153" s="92" t="str">
        <f>HYPERLINK("https://culturaalternativa.com.br/empreendedorismo-em-transformacao/")</f>
        <v>https://culturaalternativa.com.br/empreendedorismo-em-transformacao/</v>
      </c>
      <c r="Y4153" s="87" t="s">
        <v>8373</v>
      </c>
      <c r="Z4153" s="87"/>
      <c r="AA4153" s="87"/>
      <c r="AB4153" s="87"/>
      <c r="AC4153" s="93" t="s">
        <v>11458</v>
      </c>
      <c r="AD4153" s="87" t="s">
        <v>11519</v>
      </c>
      <c r="AE4153" s="92" t="str">
        <f>HYPERLINK("https://twitter.com/culturaalterna5/status/1704522685860942188")</f>
        <v>https://twitter.com/culturaalterna5/status/1704522685860942188</v>
      </c>
      <c r="AF4153" s="90">
        <v>45189.657997685186</v>
      </c>
      <c r="AG4153" s="99">
        <v>45189</v>
      </c>
      <c r="AH4153" s="93" t="s">
        <v>15136</v>
      </c>
      <c r="AI4153" s="87" t="b">
        <v>0</v>
      </c>
      <c r="AJ4153" s="87" t="s">
        <v>15184</v>
      </c>
      <c r="AK4153" s="87" t="s">
        <v>15234</v>
      </c>
      <c r="AL4153" s="87" t="s">
        <v>15237</v>
      </c>
      <c r="AM4153" s="87" t="s">
        <v>15256</v>
      </c>
      <c r="AN4153" s="87" t="s">
        <v>15322</v>
      </c>
      <c r="AO4153" s="87" t="s">
        <v>15388</v>
      </c>
      <c r="AP4153" s="87" t="s">
        <v>15438</v>
      </c>
      <c r="AQ4153" s="87"/>
      <c r="AR4153" s="87"/>
      <c r="AS4153" s="87"/>
      <c r="AT4153" s="87"/>
      <c r="AU4153" s="87"/>
      <c r="AV4153" s="92" t="str">
        <f>HYPERLINK("https://pbs.twimg.com/profile_images/1087763209854038017/NW_ZZdsf_normal.jpg")</f>
        <v>https://pbs.twimg.com/profile_images/1087763209854038017/NW_ZZdsf_normal.jpg</v>
      </c>
      <c r="AW4153" s="93" t="s">
        <v>22253</v>
      </c>
      <c r="AX4153" s="93" t="s">
        <v>22253</v>
      </c>
      <c r="AY4153" s="87"/>
      <c r="AZ4153" s="93" t="s">
        <v>22668</v>
      </c>
      <c r="BA4153" s="93" t="s">
        <v>22668</v>
      </c>
      <c r="BB4153" s="93" t="s">
        <v>22668</v>
      </c>
      <c r="BC4153" s="93" t="s">
        <v>22253</v>
      </c>
      <c r="BD4153" s="93" t="s">
        <v>23592</v>
      </c>
      <c r="BE4153" s="87"/>
      <c r="BF4153" s="87"/>
      <c r="BG4153" s="87"/>
      <c r="BH4153" s="87"/>
      <c r="BI4153" s="87"/>
    </row>
    <row r="4154" spans="1:61" x14ac:dyDescent="0.25">
      <c r="A4154" s="63" t="s">
        <v>1606</v>
      </c>
      <c r="B4154" s="63" t="s">
        <v>1606</v>
      </c>
      <c r="C4154" s="64"/>
      <c r="D4154" s="65"/>
      <c r="E4154" s="66"/>
      <c r="F4154" s="67"/>
      <c r="G4154" s="64"/>
      <c r="H4154" s="68"/>
      <c r="I4154" s="69"/>
      <c r="J4154" s="69"/>
      <c r="K4154" s="32"/>
      <c r="L4154" s="76">
        <v>4154</v>
      </c>
      <c r="M4154" s="76"/>
      <c r="N4154" s="71"/>
      <c r="O4154" s="87" t="s">
        <v>179</v>
      </c>
      <c r="P4154" s="90">
        <v>45174.08761574074</v>
      </c>
      <c r="Q4154" s="87" t="s">
        <v>5797</v>
      </c>
      <c r="R4154" s="87">
        <v>0</v>
      </c>
      <c r="S4154" s="87">
        <v>0</v>
      </c>
      <c r="T4154" s="87">
        <v>0</v>
      </c>
      <c r="U4154" s="87">
        <v>0</v>
      </c>
      <c r="V4154" s="87">
        <v>11</v>
      </c>
      <c r="W4154" s="93" t="s">
        <v>7474</v>
      </c>
      <c r="X4154" s="87"/>
      <c r="Y4154" s="87"/>
      <c r="Z4154" s="87"/>
      <c r="AA4154" s="87" t="s">
        <v>11419</v>
      </c>
      <c r="AB4154" s="87" t="s">
        <v>11447</v>
      </c>
      <c r="AC4154" s="93" t="s">
        <v>11458</v>
      </c>
      <c r="AD4154" s="87" t="s">
        <v>11519</v>
      </c>
      <c r="AE4154" s="92" t="str">
        <f>HYPERLINK("https://twitter.com/onegotk/status/1698880170516508920")</f>
        <v>https://twitter.com/onegotk/status/1698880170516508920</v>
      </c>
      <c r="AF4154" s="90">
        <v>45174.08761574074</v>
      </c>
      <c r="AG4154" s="99">
        <v>45174</v>
      </c>
      <c r="AH4154" s="93" t="s">
        <v>15137</v>
      </c>
      <c r="AI4154" s="87" t="b">
        <v>0</v>
      </c>
      <c r="AJ4154" s="87"/>
      <c r="AK4154" s="87"/>
      <c r="AL4154" s="87"/>
      <c r="AM4154" s="87"/>
      <c r="AN4154" s="87"/>
      <c r="AO4154" s="87"/>
      <c r="AP4154" s="87"/>
      <c r="AQ4154" s="87" t="s">
        <v>18231</v>
      </c>
      <c r="AR4154" s="87">
        <v>10933</v>
      </c>
      <c r="AS4154" s="87"/>
      <c r="AT4154" s="87"/>
      <c r="AU4154" s="87"/>
      <c r="AV4154" s="92" t="str">
        <f>HYPERLINK("https://pbs.twimg.com/ext_tw_video_thumb/1698880117248856064/pu/img/34SOjx6GycW-wrpL.jpg")</f>
        <v>https://pbs.twimg.com/ext_tw_video_thumb/1698880117248856064/pu/img/34SOjx6GycW-wrpL.jpg</v>
      </c>
      <c r="AW4154" s="93" t="s">
        <v>22254</v>
      </c>
      <c r="AX4154" s="93" t="s">
        <v>22254</v>
      </c>
      <c r="AY4154" s="87"/>
      <c r="AZ4154" s="93" t="s">
        <v>22668</v>
      </c>
      <c r="BA4154" s="93" t="s">
        <v>22668</v>
      </c>
      <c r="BB4154" s="93" t="s">
        <v>22668</v>
      </c>
      <c r="BC4154" s="93" t="s">
        <v>22254</v>
      </c>
      <c r="BD4154" s="93" t="s">
        <v>23593</v>
      </c>
      <c r="BE4154" s="87"/>
      <c r="BF4154" s="87"/>
      <c r="BG4154" s="87"/>
      <c r="BH4154" s="87"/>
      <c r="BI4154" s="87"/>
    </row>
    <row r="4155" spans="1:61" x14ac:dyDescent="0.25">
      <c r="A4155" s="63" t="s">
        <v>1607</v>
      </c>
      <c r="B4155" s="63" t="s">
        <v>1607</v>
      </c>
      <c r="C4155" s="64"/>
      <c r="D4155" s="65"/>
      <c r="E4155" s="66"/>
      <c r="F4155" s="67"/>
      <c r="G4155" s="64"/>
      <c r="H4155" s="68"/>
      <c r="I4155" s="69"/>
      <c r="J4155" s="69"/>
      <c r="K4155" s="32"/>
      <c r="L4155" s="76">
        <v>4155</v>
      </c>
      <c r="M4155" s="76"/>
      <c r="N4155" s="71"/>
      <c r="O4155" s="87" t="s">
        <v>179</v>
      </c>
      <c r="P4155" s="90">
        <v>45145.495694444442</v>
      </c>
      <c r="Q4155" s="87" t="s">
        <v>5798</v>
      </c>
      <c r="R4155" s="87">
        <v>0</v>
      </c>
      <c r="S4155" s="87">
        <v>1</v>
      </c>
      <c r="T4155" s="87">
        <v>0</v>
      </c>
      <c r="U4155" s="87">
        <v>0</v>
      </c>
      <c r="V4155" s="87">
        <v>40</v>
      </c>
      <c r="W4155" s="93" t="s">
        <v>8327</v>
      </c>
      <c r="X4155" s="87"/>
      <c r="Y4155" s="87"/>
      <c r="Z4155" s="87"/>
      <c r="AA4155" s="87" t="s">
        <v>11420</v>
      </c>
      <c r="AB4155" s="87" t="s">
        <v>11448</v>
      </c>
      <c r="AC4155" s="93" t="s">
        <v>11457</v>
      </c>
      <c r="AD4155" s="87" t="s">
        <v>11520</v>
      </c>
      <c r="AE4155" s="92" t="str">
        <f>HYPERLINK("https://twitter.com/hdiasboss/status/1688518803687174144")</f>
        <v>https://twitter.com/hdiasboss/status/1688518803687174144</v>
      </c>
      <c r="AF4155" s="90">
        <v>45145.495694444442</v>
      </c>
      <c r="AG4155" s="99">
        <v>45145</v>
      </c>
      <c r="AH4155" s="93" t="s">
        <v>15138</v>
      </c>
      <c r="AI4155" s="87" t="b">
        <v>0</v>
      </c>
      <c r="AJ4155" s="87"/>
      <c r="AK4155" s="87"/>
      <c r="AL4155" s="87"/>
      <c r="AM4155" s="87"/>
      <c r="AN4155" s="87"/>
      <c r="AO4155" s="87"/>
      <c r="AP4155" s="87"/>
      <c r="AQ4155" s="87" t="s">
        <v>18232</v>
      </c>
      <c r="AR4155" s="87"/>
      <c r="AS4155" s="87"/>
      <c r="AT4155" s="87"/>
      <c r="AU4155" s="87"/>
      <c r="AV4155" s="92" t="str">
        <f>HYPERLINK("https://pbs.twimg.com/media/F27S26IXEAETvDc.jpg")</f>
        <v>https://pbs.twimg.com/media/F27S26IXEAETvDc.jpg</v>
      </c>
      <c r="AW4155" s="93" t="s">
        <v>22255</v>
      </c>
      <c r="AX4155" s="93" t="s">
        <v>22255</v>
      </c>
      <c r="AY4155" s="87"/>
      <c r="AZ4155" s="93" t="s">
        <v>22668</v>
      </c>
      <c r="BA4155" s="93" t="s">
        <v>22668</v>
      </c>
      <c r="BB4155" s="93" t="s">
        <v>22668</v>
      </c>
      <c r="BC4155" s="93" t="s">
        <v>22255</v>
      </c>
      <c r="BD4155" s="93" t="s">
        <v>23594</v>
      </c>
      <c r="BE4155" s="87"/>
      <c r="BF4155" s="87"/>
      <c r="BG4155" s="87"/>
      <c r="BH4155" s="87"/>
      <c r="BI4155" s="87"/>
    </row>
    <row r="4156" spans="1:61" x14ac:dyDescent="0.25">
      <c r="A4156" s="63" t="s">
        <v>1607</v>
      </c>
      <c r="B4156" s="63" t="s">
        <v>1607</v>
      </c>
      <c r="C4156" s="64"/>
      <c r="D4156" s="65"/>
      <c r="E4156" s="66"/>
      <c r="F4156" s="67"/>
      <c r="G4156" s="64"/>
      <c r="H4156" s="68"/>
      <c r="I4156" s="69"/>
      <c r="J4156" s="69"/>
      <c r="K4156" s="32"/>
      <c r="L4156" s="76">
        <v>4156</v>
      </c>
      <c r="M4156" s="76"/>
      <c r="N4156" s="71"/>
      <c r="O4156" s="87" t="s">
        <v>179</v>
      </c>
      <c r="P4156" s="90">
        <v>45145.495428240742</v>
      </c>
      <c r="Q4156" s="87" t="s">
        <v>5799</v>
      </c>
      <c r="R4156" s="87">
        <v>0</v>
      </c>
      <c r="S4156" s="87">
        <v>1</v>
      </c>
      <c r="T4156" s="87">
        <v>0</v>
      </c>
      <c r="U4156" s="87">
        <v>0</v>
      </c>
      <c r="V4156" s="87">
        <v>13</v>
      </c>
      <c r="W4156" s="93" t="s">
        <v>8327</v>
      </c>
      <c r="X4156" s="87"/>
      <c r="Y4156" s="87"/>
      <c r="Z4156" s="87"/>
      <c r="AA4156" s="87" t="s">
        <v>11421</v>
      </c>
      <c r="AB4156" s="87" t="s">
        <v>11448</v>
      </c>
      <c r="AC4156" s="93" t="s">
        <v>11457</v>
      </c>
      <c r="AD4156" s="87" t="s">
        <v>11520</v>
      </c>
      <c r="AE4156" s="92" t="str">
        <f>HYPERLINK("https://twitter.com/hdiasboss/status/1688518708296036352")</f>
        <v>https://twitter.com/hdiasboss/status/1688518708296036352</v>
      </c>
      <c r="AF4156" s="90">
        <v>45145.495428240742</v>
      </c>
      <c r="AG4156" s="99">
        <v>45145</v>
      </c>
      <c r="AH4156" s="93" t="s">
        <v>15139</v>
      </c>
      <c r="AI4156" s="87" t="b">
        <v>0</v>
      </c>
      <c r="AJ4156" s="87"/>
      <c r="AK4156" s="87"/>
      <c r="AL4156" s="87"/>
      <c r="AM4156" s="87"/>
      <c r="AN4156" s="87"/>
      <c r="AO4156" s="87"/>
      <c r="AP4156" s="87"/>
      <c r="AQ4156" s="87" t="s">
        <v>18233</v>
      </c>
      <c r="AR4156" s="87"/>
      <c r="AS4156" s="87"/>
      <c r="AT4156" s="87"/>
      <c r="AU4156" s="87"/>
      <c r="AV4156" s="92" t="str">
        <f>HYPERLINK("https://pbs.twimg.com/media/F27SzgPW0AEj2oV.jpg")</f>
        <v>https://pbs.twimg.com/media/F27SzgPW0AEj2oV.jpg</v>
      </c>
      <c r="AW4156" s="93" t="s">
        <v>22256</v>
      </c>
      <c r="AX4156" s="93" t="s">
        <v>22256</v>
      </c>
      <c r="AY4156" s="87"/>
      <c r="AZ4156" s="93" t="s">
        <v>22668</v>
      </c>
      <c r="BA4156" s="93" t="s">
        <v>22668</v>
      </c>
      <c r="BB4156" s="93" t="s">
        <v>22668</v>
      </c>
      <c r="BC4156" s="93" t="s">
        <v>22256</v>
      </c>
      <c r="BD4156" s="93" t="s">
        <v>23594</v>
      </c>
      <c r="BE4156" s="87"/>
      <c r="BF4156" s="87"/>
      <c r="BG4156" s="87"/>
      <c r="BH4156" s="87"/>
      <c r="BI4156" s="87"/>
    </row>
    <row r="4157" spans="1:61" x14ac:dyDescent="0.25">
      <c r="A4157" s="63" t="s">
        <v>1607</v>
      </c>
      <c r="B4157" s="63" t="s">
        <v>1607</v>
      </c>
      <c r="C4157" s="64"/>
      <c r="D4157" s="65"/>
      <c r="E4157" s="66"/>
      <c r="F4157" s="67"/>
      <c r="G4157" s="64"/>
      <c r="H4157" s="68"/>
      <c r="I4157" s="69"/>
      <c r="J4157" s="69"/>
      <c r="K4157" s="32"/>
      <c r="L4157" s="76">
        <v>4157</v>
      </c>
      <c r="M4157" s="76"/>
      <c r="N4157" s="71"/>
      <c r="O4157" s="87" t="s">
        <v>179</v>
      </c>
      <c r="P4157" s="90">
        <v>45145.495196759257</v>
      </c>
      <c r="Q4157" s="87" t="s">
        <v>5800</v>
      </c>
      <c r="R4157" s="87">
        <v>0</v>
      </c>
      <c r="S4157" s="87">
        <v>1</v>
      </c>
      <c r="T4157" s="87">
        <v>0</v>
      </c>
      <c r="U4157" s="87">
        <v>0</v>
      </c>
      <c r="V4157" s="87">
        <v>11</v>
      </c>
      <c r="W4157" s="93" t="s">
        <v>8327</v>
      </c>
      <c r="X4157" s="87"/>
      <c r="Y4157" s="87"/>
      <c r="Z4157" s="87"/>
      <c r="AA4157" s="87" t="s">
        <v>11422</v>
      </c>
      <c r="AB4157" s="87" t="s">
        <v>11448</v>
      </c>
      <c r="AC4157" s="93" t="s">
        <v>11457</v>
      </c>
      <c r="AD4157" s="87" t="s">
        <v>11520</v>
      </c>
      <c r="AE4157" s="92" t="str">
        <f>HYPERLINK("https://twitter.com/hdiasboss/status/1688518621352357888")</f>
        <v>https://twitter.com/hdiasboss/status/1688518621352357888</v>
      </c>
      <c r="AF4157" s="90">
        <v>45145.495196759257</v>
      </c>
      <c r="AG4157" s="99">
        <v>45145</v>
      </c>
      <c r="AH4157" s="93" t="s">
        <v>15140</v>
      </c>
      <c r="AI4157" s="87" t="b">
        <v>0</v>
      </c>
      <c r="AJ4157" s="87"/>
      <c r="AK4157" s="87"/>
      <c r="AL4157" s="87"/>
      <c r="AM4157" s="87"/>
      <c r="AN4157" s="87"/>
      <c r="AO4157" s="87"/>
      <c r="AP4157" s="87"/>
      <c r="AQ4157" s="87" t="s">
        <v>18234</v>
      </c>
      <c r="AR4157" s="87"/>
      <c r="AS4157" s="87"/>
      <c r="AT4157" s="87"/>
      <c r="AU4157" s="87"/>
      <c r="AV4157" s="92" t="str">
        <f>HYPERLINK("https://pbs.twimg.com/media/F27SufLWIAAhOKQ.jpg")</f>
        <v>https://pbs.twimg.com/media/F27SufLWIAAhOKQ.jpg</v>
      </c>
      <c r="AW4157" s="93" t="s">
        <v>22257</v>
      </c>
      <c r="AX4157" s="93" t="s">
        <v>22257</v>
      </c>
      <c r="AY4157" s="87"/>
      <c r="AZ4157" s="93" t="s">
        <v>22668</v>
      </c>
      <c r="BA4157" s="93" t="s">
        <v>22668</v>
      </c>
      <c r="BB4157" s="93" t="s">
        <v>22668</v>
      </c>
      <c r="BC4157" s="93" t="s">
        <v>22257</v>
      </c>
      <c r="BD4157" s="93" t="s">
        <v>23594</v>
      </c>
      <c r="BE4157" s="87"/>
      <c r="BF4157" s="87"/>
      <c r="BG4157" s="87"/>
      <c r="BH4157" s="87"/>
      <c r="BI4157" s="87"/>
    </row>
    <row r="4158" spans="1:61" x14ac:dyDescent="0.25">
      <c r="A4158" s="63" t="s">
        <v>1607</v>
      </c>
      <c r="B4158" s="63" t="s">
        <v>1607</v>
      </c>
      <c r="C4158" s="64"/>
      <c r="D4158" s="65"/>
      <c r="E4158" s="66"/>
      <c r="F4158" s="67"/>
      <c r="G4158" s="64"/>
      <c r="H4158" s="68"/>
      <c r="I4158" s="69"/>
      <c r="J4158" s="69"/>
      <c r="K4158" s="32"/>
      <c r="L4158" s="76">
        <v>4158</v>
      </c>
      <c r="M4158" s="76"/>
      <c r="N4158" s="71"/>
      <c r="O4158" s="87" t="s">
        <v>179</v>
      </c>
      <c r="P4158" s="90">
        <v>45145.495000000003</v>
      </c>
      <c r="Q4158" s="87" t="s">
        <v>5801</v>
      </c>
      <c r="R4158" s="87">
        <v>1</v>
      </c>
      <c r="S4158" s="87">
        <v>2</v>
      </c>
      <c r="T4158" s="87">
        <v>0</v>
      </c>
      <c r="U4158" s="87">
        <v>0</v>
      </c>
      <c r="V4158" s="87">
        <v>15</v>
      </c>
      <c r="W4158" s="93" t="s">
        <v>8327</v>
      </c>
      <c r="X4158" s="87"/>
      <c r="Y4158" s="87"/>
      <c r="Z4158" s="87"/>
      <c r="AA4158" s="87" t="s">
        <v>11423</v>
      </c>
      <c r="AB4158" s="87" t="s">
        <v>11448</v>
      </c>
      <c r="AC4158" s="93" t="s">
        <v>11457</v>
      </c>
      <c r="AD4158" s="87" t="s">
        <v>11520</v>
      </c>
      <c r="AE4158" s="92" t="str">
        <f>HYPERLINK("https://twitter.com/hdiasboss/status/1688518551080996864")</f>
        <v>https://twitter.com/hdiasboss/status/1688518551080996864</v>
      </c>
      <c r="AF4158" s="90">
        <v>45145.495000000003</v>
      </c>
      <c r="AG4158" s="99">
        <v>45145</v>
      </c>
      <c r="AH4158" s="93" t="s">
        <v>15141</v>
      </c>
      <c r="AI4158" s="87" t="b">
        <v>0</v>
      </c>
      <c r="AJ4158" s="87"/>
      <c r="AK4158" s="87"/>
      <c r="AL4158" s="87"/>
      <c r="AM4158" s="87"/>
      <c r="AN4158" s="87"/>
      <c r="AO4158" s="87"/>
      <c r="AP4158" s="87"/>
      <c r="AQ4158" s="87" t="s">
        <v>18235</v>
      </c>
      <c r="AR4158" s="87"/>
      <c r="AS4158" s="87"/>
      <c r="AT4158" s="87"/>
      <c r="AU4158" s="87"/>
      <c r="AV4158" s="92" t="str">
        <f>HYPERLINK("https://pbs.twimg.com/media/F27Sp-hX0AArwRu.jpg")</f>
        <v>https://pbs.twimg.com/media/F27Sp-hX0AArwRu.jpg</v>
      </c>
      <c r="AW4158" s="93" t="s">
        <v>22258</v>
      </c>
      <c r="AX4158" s="93" t="s">
        <v>22258</v>
      </c>
      <c r="AY4158" s="87"/>
      <c r="AZ4158" s="93" t="s">
        <v>22668</v>
      </c>
      <c r="BA4158" s="93" t="s">
        <v>22668</v>
      </c>
      <c r="BB4158" s="93" t="s">
        <v>22668</v>
      </c>
      <c r="BC4158" s="93" t="s">
        <v>22258</v>
      </c>
      <c r="BD4158" s="93" t="s">
        <v>23594</v>
      </c>
      <c r="BE4158" s="87"/>
      <c r="BF4158" s="87"/>
      <c r="BG4158" s="87"/>
      <c r="BH4158" s="87"/>
      <c r="BI4158" s="87"/>
    </row>
    <row r="4159" spans="1:61" x14ac:dyDescent="0.25">
      <c r="A4159" s="63" t="s">
        <v>1607</v>
      </c>
      <c r="B4159" s="63" t="s">
        <v>1607</v>
      </c>
      <c r="C4159" s="64"/>
      <c r="D4159" s="65"/>
      <c r="E4159" s="66"/>
      <c r="F4159" s="67"/>
      <c r="G4159" s="64"/>
      <c r="H4159" s="68"/>
      <c r="I4159" s="69"/>
      <c r="J4159" s="69"/>
      <c r="K4159" s="32"/>
      <c r="L4159" s="76">
        <v>4159</v>
      </c>
      <c r="M4159" s="76"/>
      <c r="N4159" s="71"/>
      <c r="O4159" s="87" t="s">
        <v>179</v>
      </c>
      <c r="P4159" s="90">
        <v>45145.494421296295</v>
      </c>
      <c r="Q4159" s="87" t="s">
        <v>5802</v>
      </c>
      <c r="R4159" s="87">
        <v>0</v>
      </c>
      <c r="S4159" s="87">
        <v>1</v>
      </c>
      <c r="T4159" s="87">
        <v>0</v>
      </c>
      <c r="U4159" s="87">
        <v>0</v>
      </c>
      <c r="V4159" s="87">
        <v>7</v>
      </c>
      <c r="W4159" s="93" t="s">
        <v>8327</v>
      </c>
      <c r="X4159" s="87"/>
      <c r="Y4159" s="87"/>
      <c r="Z4159" s="87"/>
      <c r="AA4159" s="87" t="s">
        <v>11424</v>
      </c>
      <c r="AB4159" s="87" t="s">
        <v>11448</v>
      </c>
      <c r="AC4159" s="93" t="s">
        <v>11457</v>
      </c>
      <c r="AD4159" s="87" t="s">
        <v>11520</v>
      </c>
      <c r="AE4159" s="92" t="str">
        <f>HYPERLINK("https://twitter.com/hdiasboss/status/1688518341906833408")</f>
        <v>https://twitter.com/hdiasboss/status/1688518341906833408</v>
      </c>
      <c r="AF4159" s="90">
        <v>45145.494421296295</v>
      </c>
      <c r="AG4159" s="99">
        <v>45145</v>
      </c>
      <c r="AH4159" s="93" t="s">
        <v>15142</v>
      </c>
      <c r="AI4159" s="87" t="b">
        <v>0</v>
      </c>
      <c r="AJ4159" s="87"/>
      <c r="AK4159" s="87"/>
      <c r="AL4159" s="87"/>
      <c r="AM4159" s="87"/>
      <c r="AN4159" s="87"/>
      <c r="AO4159" s="87"/>
      <c r="AP4159" s="87"/>
      <c r="AQ4159" s="87" t="s">
        <v>18236</v>
      </c>
      <c r="AR4159" s="87"/>
      <c r="AS4159" s="87"/>
      <c r="AT4159" s="87"/>
      <c r="AU4159" s="87"/>
      <c r="AV4159" s="92" t="str">
        <f>HYPERLINK("https://pbs.twimg.com/media/F27SeM-WIAANEIY.jpg")</f>
        <v>https://pbs.twimg.com/media/F27SeM-WIAANEIY.jpg</v>
      </c>
      <c r="AW4159" s="93" t="s">
        <v>22259</v>
      </c>
      <c r="AX4159" s="93" t="s">
        <v>22259</v>
      </c>
      <c r="AY4159" s="87"/>
      <c r="AZ4159" s="93" t="s">
        <v>22668</v>
      </c>
      <c r="BA4159" s="93" t="s">
        <v>22668</v>
      </c>
      <c r="BB4159" s="93" t="s">
        <v>22668</v>
      </c>
      <c r="BC4159" s="93" t="s">
        <v>22259</v>
      </c>
      <c r="BD4159" s="93" t="s">
        <v>23594</v>
      </c>
      <c r="BE4159" s="87"/>
      <c r="BF4159" s="87"/>
      <c r="BG4159" s="87"/>
      <c r="BH4159" s="87"/>
      <c r="BI4159" s="87"/>
    </row>
    <row r="4160" spans="1:61" x14ac:dyDescent="0.25">
      <c r="A4160" s="63" t="s">
        <v>1607</v>
      </c>
      <c r="B4160" s="63" t="s">
        <v>1607</v>
      </c>
      <c r="C4160" s="64"/>
      <c r="D4160" s="65"/>
      <c r="E4160" s="66"/>
      <c r="F4160" s="67"/>
      <c r="G4160" s="64"/>
      <c r="H4160" s="68"/>
      <c r="I4160" s="69"/>
      <c r="J4160" s="69"/>
      <c r="K4160" s="32"/>
      <c r="L4160" s="76">
        <v>4160</v>
      </c>
      <c r="M4160" s="76"/>
      <c r="N4160" s="71"/>
      <c r="O4160" s="87" t="s">
        <v>179</v>
      </c>
      <c r="P4160" s="90">
        <v>45145.494143518517</v>
      </c>
      <c r="Q4160" s="87" t="s">
        <v>5803</v>
      </c>
      <c r="R4160" s="87">
        <v>0</v>
      </c>
      <c r="S4160" s="87">
        <v>1</v>
      </c>
      <c r="T4160" s="87">
        <v>0</v>
      </c>
      <c r="U4160" s="87">
        <v>0</v>
      </c>
      <c r="V4160" s="87">
        <v>7</v>
      </c>
      <c r="W4160" s="93" t="s">
        <v>8327</v>
      </c>
      <c r="X4160" s="87"/>
      <c r="Y4160" s="87"/>
      <c r="Z4160" s="87"/>
      <c r="AA4160" s="87" t="s">
        <v>11425</v>
      </c>
      <c r="AB4160" s="87" t="s">
        <v>11448</v>
      </c>
      <c r="AC4160" s="93" t="s">
        <v>11457</v>
      </c>
      <c r="AD4160" s="87" t="s">
        <v>11520</v>
      </c>
      <c r="AE4160" s="92" t="str">
        <f>HYPERLINK("https://twitter.com/hdiasboss/status/1688518241298079744")</f>
        <v>https://twitter.com/hdiasboss/status/1688518241298079744</v>
      </c>
      <c r="AF4160" s="90">
        <v>45145.494143518517</v>
      </c>
      <c r="AG4160" s="99">
        <v>45145</v>
      </c>
      <c r="AH4160" s="93" t="s">
        <v>15143</v>
      </c>
      <c r="AI4160" s="87" t="b">
        <v>0</v>
      </c>
      <c r="AJ4160" s="87"/>
      <c r="AK4160" s="87"/>
      <c r="AL4160" s="87"/>
      <c r="AM4160" s="87"/>
      <c r="AN4160" s="87"/>
      <c r="AO4160" s="87"/>
      <c r="AP4160" s="87"/>
      <c r="AQ4160" s="87" t="s">
        <v>18237</v>
      </c>
      <c r="AR4160" s="87"/>
      <c r="AS4160" s="87"/>
      <c r="AT4160" s="87"/>
      <c r="AU4160" s="87"/>
      <c r="AV4160" s="92" t="str">
        <f>HYPERLINK("https://pbs.twimg.com/media/F27SYVQWUAEVKYs.jpg")</f>
        <v>https://pbs.twimg.com/media/F27SYVQWUAEVKYs.jpg</v>
      </c>
      <c r="AW4160" s="93" t="s">
        <v>22260</v>
      </c>
      <c r="AX4160" s="93" t="s">
        <v>22260</v>
      </c>
      <c r="AY4160" s="87"/>
      <c r="AZ4160" s="93" t="s">
        <v>22668</v>
      </c>
      <c r="BA4160" s="93" t="s">
        <v>22668</v>
      </c>
      <c r="BB4160" s="93" t="s">
        <v>22668</v>
      </c>
      <c r="BC4160" s="93" t="s">
        <v>22260</v>
      </c>
      <c r="BD4160" s="93" t="s">
        <v>23594</v>
      </c>
      <c r="BE4160" s="87"/>
      <c r="BF4160" s="87"/>
      <c r="BG4160" s="87"/>
      <c r="BH4160" s="87"/>
      <c r="BI4160" s="87"/>
    </row>
    <row r="4161" spans="1:61" x14ac:dyDescent="0.25">
      <c r="A4161" s="63" t="s">
        <v>1607</v>
      </c>
      <c r="B4161" s="63" t="s">
        <v>1607</v>
      </c>
      <c r="C4161" s="64"/>
      <c r="D4161" s="65"/>
      <c r="E4161" s="66"/>
      <c r="F4161" s="67"/>
      <c r="G4161" s="64"/>
      <c r="H4161" s="68"/>
      <c r="I4161" s="69"/>
      <c r="J4161" s="69"/>
      <c r="K4161" s="32"/>
      <c r="L4161" s="76">
        <v>4161</v>
      </c>
      <c r="M4161" s="76"/>
      <c r="N4161" s="71"/>
      <c r="O4161" s="87" t="s">
        <v>179</v>
      </c>
      <c r="P4161" s="90">
        <v>45145.493923611109</v>
      </c>
      <c r="Q4161" s="87" t="s">
        <v>5804</v>
      </c>
      <c r="R4161" s="87">
        <v>0</v>
      </c>
      <c r="S4161" s="87">
        <v>1</v>
      </c>
      <c r="T4161" s="87">
        <v>0</v>
      </c>
      <c r="U4161" s="87">
        <v>0</v>
      </c>
      <c r="V4161" s="87">
        <v>7</v>
      </c>
      <c r="W4161" s="93" t="s">
        <v>8327</v>
      </c>
      <c r="X4161" s="87"/>
      <c r="Y4161" s="87"/>
      <c r="Z4161" s="87"/>
      <c r="AA4161" s="87" t="s">
        <v>11426</v>
      </c>
      <c r="AB4161" s="87" t="s">
        <v>11448</v>
      </c>
      <c r="AC4161" s="93" t="s">
        <v>11457</v>
      </c>
      <c r="AD4161" s="87" t="s">
        <v>11520</v>
      </c>
      <c r="AE4161" s="92" t="str">
        <f>HYPERLINK("https://twitter.com/hdiasboss/status/1688518160603807744")</f>
        <v>https://twitter.com/hdiasboss/status/1688518160603807744</v>
      </c>
      <c r="AF4161" s="90">
        <v>45145.493923611109</v>
      </c>
      <c r="AG4161" s="99">
        <v>45145</v>
      </c>
      <c r="AH4161" s="93" t="s">
        <v>15144</v>
      </c>
      <c r="AI4161" s="87" t="b">
        <v>0</v>
      </c>
      <c r="AJ4161" s="87"/>
      <c r="AK4161" s="87"/>
      <c r="AL4161" s="87"/>
      <c r="AM4161" s="87"/>
      <c r="AN4161" s="87"/>
      <c r="AO4161" s="87"/>
      <c r="AP4161" s="87"/>
      <c r="AQ4161" s="87" t="s">
        <v>18238</v>
      </c>
      <c r="AR4161" s="87"/>
      <c r="AS4161" s="87"/>
      <c r="AT4161" s="87"/>
      <c r="AU4161" s="87"/>
      <c r="AV4161" s="92" t="str">
        <f>HYPERLINK("https://pbs.twimg.com/media/F27STrGWAAApyeK.jpg")</f>
        <v>https://pbs.twimg.com/media/F27STrGWAAApyeK.jpg</v>
      </c>
      <c r="AW4161" s="93" t="s">
        <v>22261</v>
      </c>
      <c r="AX4161" s="93" t="s">
        <v>22261</v>
      </c>
      <c r="AY4161" s="87"/>
      <c r="AZ4161" s="93" t="s">
        <v>22668</v>
      </c>
      <c r="BA4161" s="93" t="s">
        <v>22668</v>
      </c>
      <c r="BB4161" s="93" t="s">
        <v>22668</v>
      </c>
      <c r="BC4161" s="93" t="s">
        <v>22261</v>
      </c>
      <c r="BD4161" s="93" t="s">
        <v>23594</v>
      </c>
      <c r="BE4161" s="87"/>
      <c r="BF4161" s="87"/>
      <c r="BG4161" s="87"/>
      <c r="BH4161" s="87"/>
      <c r="BI4161" s="87"/>
    </row>
    <row r="4162" spans="1:61" x14ac:dyDescent="0.25">
      <c r="A4162" s="63" t="s">
        <v>1607</v>
      </c>
      <c r="B4162" s="63" t="s">
        <v>1607</v>
      </c>
      <c r="C4162" s="64"/>
      <c r="D4162" s="65"/>
      <c r="E4162" s="66"/>
      <c r="F4162" s="67"/>
      <c r="G4162" s="64"/>
      <c r="H4162" s="68"/>
      <c r="I4162" s="69"/>
      <c r="J4162" s="69"/>
      <c r="K4162" s="32"/>
      <c r="L4162" s="76">
        <v>4162</v>
      </c>
      <c r="M4162" s="76"/>
      <c r="N4162" s="71"/>
      <c r="O4162" s="87" t="s">
        <v>179</v>
      </c>
      <c r="P4162" s="90">
        <v>45145.493761574071</v>
      </c>
      <c r="Q4162" s="87" t="s">
        <v>5805</v>
      </c>
      <c r="R4162" s="87">
        <v>0</v>
      </c>
      <c r="S4162" s="87">
        <v>2</v>
      </c>
      <c r="T4162" s="87">
        <v>1</v>
      </c>
      <c r="U4162" s="87">
        <v>0</v>
      </c>
      <c r="V4162" s="87">
        <v>8</v>
      </c>
      <c r="W4162" s="93" t="s">
        <v>8327</v>
      </c>
      <c r="X4162" s="87"/>
      <c r="Y4162" s="87"/>
      <c r="Z4162" s="87"/>
      <c r="AA4162" s="87" t="s">
        <v>11427</v>
      </c>
      <c r="AB4162" s="87" t="s">
        <v>11448</v>
      </c>
      <c r="AC4162" s="93" t="s">
        <v>11457</v>
      </c>
      <c r="AD4162" s="87" t="s">
        <v>11520</v>
      </c>
      <c r="AE4162" s="92" t="str">
        <f>HYPERLINK("https://twitter.com/hdiasboss/status/1688518104135954432")</f>
        <v>https://twitter.com/hdiasboss/status/1688518104135954432</v>
      </c>
      <c r="AF4162" s="90">
        <v>45145.493761574071</v>
      </c>
      <c r="AG4162" s="99">
        <v>45145</v>
      </c>
      <c r="AH4162" s="93" t="s">
        <v>15145</v>
      </c>
      <c r="AI4162" s="87" t="b">
        <v>0</v>
      </c>
      <c r="AJ4162" s="87"/>
      <c r="AK4162" s="87"/>
      <c r="AL4162" s="87"/>
      <c r="AM4162" s="87"/>
      <c r="AN4162" s="87"/>
      <c r="AO4162" s="87"/>
      <c r="AP4162" s="87"/>
      <c r="AQ4162" s="87" t="s">
        <v>18239</v>
      </c>
      <c r="AR4162" s="87"/>
      <c r="AS4162" s="87"/>
      <c r="AT4162" s="87"/>
      <c r="AU4162" s="87"/>
      <c r="AV4162" s="92" t="str">
        <f>HYPERLINK("https://pbs.twimg.com/media/F27SQaJWkAE2Bm5.jpg")</f>
        <v>https://pbs.twimg.com/media/F27SQaJWkAE2Bm5.jpg</v>
      </c>
      <c r="AW4162" s="93" t="s">
        <v>22262</v>
      </c>
      <c r="AX4162" s="93" t="s">
        <v>22262</v>
      </c>
      <c r="AY4162" s="87"/>
      <c r="AZ4162" s="93" t="s">
        <v>22668</v>
      </c>
      <c r="BA4162" s="93" t="s">
        <v>22668</v>
      </c>
      <c r="BB4162" s="93" t="s">
        <v>22668</v>
      </c>
      <c r="BC4162" s="93" t="s">
        <v>22262</v>
      </c>
      <c r="BD4162" s="93" t="s">
        <v>23594</v>
      </c>
      <c r="BE4162" s="87"/>
      <c r="BF4162" s="87"/>
      <c r="BG4162" s="87"/>
      <c r="BH4162" s="87"/>
      <c r="BI4162" s="87"/>
    </row>
    <row r="4163" spans="1:61" x14ac:dyDescent="0.25">
      <c r="A4163" s="63" t="s">
        <v>1607</v>
      </c>
      <c r="B4163" s="63" t="s">
        <v>1607</v>
      </c>
      <c r="C4163" s="64"/>
      <c r="D4163" s="65"/>
      <c r="E4163" s="66"/>
      <c r="F4163" s="67"/>
      <c r="G4163" s="64"/>
      <c r="H4163" s="68"/>
      <c r="I4163" s="69"/>
      <c r="J4163" s="69"/>
      <c r="K4163" s="32"/>
      <c r="L4163" s="76">
        <v>4163</v>
      </c>
      <c r="M4163" s="76"/>
      <c r="N4163" s="71"/>
      <c r="O4163" s="87" t="s">
        <v>179</v>
      </c>
      <c r="P4163" s="90">
        <v>45145.49359953704</v>
      </c>
      <c r="Q4163" s="87" t="s">
        <v>5806</v>
      </c>
      <c r="R4163" s="87">
        <v>0</v>
      </c>
      <c r="S4163" s="87">
        <v>2</v>
      </c>
      <c r="T4163" s="87">
        <v>0</v>
      </c>
      <c r="U4163" s="87">
        <v>1</v>
      </c>
      <c r="V4163" s="87">
        <v>102</v>
      </c>
      <c r="W4163" s="93" t="s">
        <v>8327</v>
      </c>
      <c r="X4163" s="87"/>
      <c r="Y4163" s="87"/>
      <c r="Z4163" s="87"/>
      <c r="AA4163" s="87" t="s">
        <v>11428</v>
      </c>
      <c r="AB4163" s="87" t="s">
        <v>11448</v>
      </c>
      <c r="AC4163" s="93" t="s">
        <v>11457</v>
      </c>
      <c r="AD4163" s="87" t="s">
        <v>11520</v>
      </c>
      <c r="AE4163" s="92" t="str">
        <f>HYPERLINK("https://twitter.com/hdiasboss/status/1688518043075268609")</f>
        <v>https://twitter.com/hdiasboss/status/1688518043075268609</v>
      </c>
      <c r="AF4163" s="90">
        <v>45145.49359953704</v>
      </c>
      <c r="AG4163" s="99">
        <v>45145</v>
      </c>
      <c r="AH4163" s="93" t="s">
        <v>15146</v>
      </c>
      <c r="AI4163" s="87" t="b">
        <v>0</v>
      </c>
      <c r="AJ4163" s="87"/>
      <c r="AK4163" s="87"/>
      <c r="AL4163" s="87"/>
      <c r="AM4163" s="87"/>
      <c r="AN4163" s="87"/>
      <c r="AO4163" s="87"/>
      <c r="AP4163" s="87"/>
      <c r="AQ4163" s="87" t="s">
        <v>18240</v>
      </c>
      <c r="AR4163" s="87"/>
      <c r="AS4163" s="87"/>
      <c r="AT4163" s="87"/>
      <c r="AU4163" s="87"/>
      <c r="AV4163" s="92" t="str">
        <f>HYPERLINK("https://pbs.twimg.com/media/F27SEaJXkAAvnQk.jpg")</f>
        <v>https://pbs.twimg.com/media/F27SEaJXkAAvnQk.jpg</v>
      </c>
      <c r="AW4163" s="93" t="s">
        <v>22263</v>
      </c>
      <c r="AX4163" s="93" t="s">
        <v>22263</v>
      </c>
      <c r="AY4163" s="87"/>
      <c r="AZ4163" s="93" t="s">
        <v>22668</v>
      </c>
      <c r="BA4163" s="93" t="s">
        <v>22668</v>
      </c>
      <c r="BB4163" s="93" t="s">
        <v>22668</v>
      </c>
      <c r="BC4163" s="93" t="s">
        <v>22263</v>
      </c>
      <c r="BD4163" s="93" t="s">
        <v>23594</v>
      </c>
      <c r="BE4163" s="87"/>
      <c r="BF4163" s="87"/>
      <c r="BG4163" s="87"/>
      <c r="BH4163" s="87"/>
      <c r="BI4163" s="87"/>
    </row>
    <row r="4164" spans="1:61" x14ac:dyDescent="0.25">
      <c r="A4164" s="63" t="s">
        <v>1607</v>
      </c>
      <c r="B4164" s="63" t="s">
        <v>1607</v>
      </c>
      <c r="C4164" s="64"/>
      <c r="D4164" s="65"/>
      <c r="E4164" s="66"/>
      <c r="F4164" s="67"/>
      <c r="G4164" s="64"/>
      <c r="H4164" s="68"/>
      <c r="I4164" s="69"/>
      <c r="J4164" s="69"/>
      <c r="K4164" s="32"/>
      <c r="L4164" s="76">
        <v>4164</v>
      </c>
      <c r="M4164" s="76"/>
      <c r="N4164" s="71"/>
      <c r="O4164" s="87" t="s">
        <v>179</v>
      </c>
      <c r="P4164" s="90">
        <v>45145.491481481484</v>
      </c>
      <c r="Q4164" s="87" t="s">
        <v>5807</v>
      </c>
      <c r="R4164" s="87">
        <v>0</v>
      </c>
      <c r="S4164" s="87">
        <v>0</v>
      </c>
      <c r="T4164" s="87">
        <v>0</v>
      </c>
      <c r="U4164" s="87">
        <v>0</v>
      </c>
      <c r="V4164" s="87">
        <v>3</v>
      </c>
      <c r="W4164" s="93" t="s">
        <v>8327</v>
      </c>
      <c r="X4164" s="87"/>
      <c r="Y4164" s="87"/>
      <c r="Z4164" s="87"/>
      <c r="AA4164" s="87" t="s">
        <v>11429</v>
      </c>
      <c r="AB4164" s="87" t="s">
        <v>11448</v>
      </c>
      <c r="AC4164" s="93" t="s">
        <v>11457</v>
      </c>
      <c r="AD4164" s="87" t="s">
        <v>11520</v>
      </c>
      <c r="AE4164" s="92" t="str">
        <f>HYPERLINK("https://twitter.com/hdiasboss/status/1688517276398481408")</f>
        <v>https://twitter.com/hdiasboss/status/1688517276398481408</v>
      </c>
      <c r="AF4164" s="90">
        <v>45145.491481481484</v>
      </c>
      <c r="AG4164" s="99">
        <v>45145</v>
      </c>
      <c r="AH4164" s="93" t="s">
        <v>15147</v>
      </c>
      <c r="AI4164" s="87" t="b">
        <v>0</v>
      </c>
      <c r="AJ4164" s="87"/>
      <c r="AK4164" s="87"/>
      <c r="AL4164" s="87"/>
      <c r="AM4164" s="87"/>
      <c r="AN4164" s="87"/>
      <c r="AO4164" s="87"/>
      <c r="AP4164" s="87"/>
      <c r="AQ4164" s="87" t="s">
        <v>18241</v>
      </c>
      <c r="AR4164" s="87"/>
      <c r="AS4164" s="87"/>
      <c r="AT4164" s="87"/>
      <c r="AU4164" s="87"/>
      <c r="AV4164" s="92" t="str">
        <f>HYPERLINK("https://pbs.twimg.com/media/F27RgCnWAAAwgqP.jpg")</f>
        <v>https://pbs.twimg.com/media/F27RgCnWAAAwgqP.jpg</v>
      </c>
      <c r="AW4164" s="93" t="s">
        <v>22264</v>
      </c>
      <c r="AX4164" s="93" t="s">
        <v>22264</v>
      </c>
      <c r="AY4164" s="87"/>
      <c r="AZ4164" s="93" t="s">
        <v>22668</v>
      </c>
      <c r="BA4164" s="93" t="s">
        <v>22668</v>
      </c>
      <c r="BB4164" s="93" t="s">
        <v>22668</v>
      </c>
      <c r="BC4164" s="93" t="s">
        <v>22264</v>
      </c>
      <c r="BD4164" s="93" t="s">
        <v>23594</v>
      </c>
      <c r="BE4164" s="87"/>
      <c r="BF4164" s="87"/>
      <c r="BG4164" s="87"/>
      <c r="BH4164" s="87"/>
      <c r="BI4164" s="87"/>
    </row>
    <row r="4165" spans="1:61" x14ac:dyDescent="0.25">
      <c r="A4165" s="63" t="s">
        <v>1607</v>
      </c>
      <c r="B4165" s="63" t="s">
        <v>1607</v>
      </c>
      <c r="C4165" s="64"/>
      <c r="D4165" s="65"/>
      <c r="E4165" s="66"/>
      <c r="F4165" s="67"/>
      <c r="G4165" s="64"/>
      <c r="H4165" s="68"/>
      <c r="I4165" s="69"/>
      <c r="J4165" s="69"/>
      <c r="K4165" s="32"/>
      <c r="L4165" s="76">
        <v>4165</v>
      </c>
      <c r="M4165" s="76"/>
      <c r="N4165" s="71"/>
      <c r="O4165" s="87" t="s">
        <v>179</v>
      </c>
      <c r="P4165" s="90">
        <v>45145.491284722222</v>
      </c>
      <c r="Q4165" s="87" t="s">
        <v>5808</v>
      </c>
      <c r="R4165" s="87">
        <v>0</v>
      </c>
      <c r="S4165" s="87">
        <v>1</v>
      </c>
      <c r="T4165" s="87">
        <v>0</v>
      </c>
      <c r="U4165" s="87">
        <v>0</v>
      </c>
      <c r="V4165" s="87">
        <v>5</v>
      </c>
      <c r="W4165" s="93" t="s">
        <v>8327</v>
      </c>
      <c r="X4165" s="87"/>
      <c r="Y4165" s="87"/>
      <c r="Z4165" s="87"/>
      <c r="AA4165" s="87" t="s">
        <v>11430</v>
      </c>
      <c r="AB4165" s="87" t="s">
        <v>11448</v>
      </c>
      <c r="AC4165" s="93" t="s">
        <v>11457</v>
      </c>
      <c r="AD4165" s="87" t="s">
        <v>11520</v>
      </c>
      <c r="AE4165" s="92" t="str">
        <f>HYPERLINK("https://twitter.com/hdiasboss/status/1688517204487102464")</f>
        <v>https://twitter.com/hdiasboss/status/1688517204487102464</v>
      </c>
      <c r="AF4165" s="90">
        <v>45145.491284722222</v>
      </c>
      <c r="AG4165" s="99">
        <v>45145</v>
      </c>
      <c r="AH4165" s="93" t="s">
        <v>15148</v>
      </c>
      <c r="AI4165" s="87" t="b">
        <v>0</v>
      </c>
      <c r="AJ4165" s="87"/>
      <c r="AK4165" s="87"/>
      <c r="AL4165" s="87"/>
      <c r="AM4165" s="87"/>
      <c r="AN4165" s="87"/>
      <c r="AO4165" s="87"/>
      <c r="AP4165" s="87"/>
      <c r="AQ4165" s="87" t="s">
        <v>18242</v>
      </c>
      <c r="AR4165" s="87"/>
      <c r="AS4165" s="87"/>
      <c r="AT4165" s="87"/>
      <c r="AU4165" s="87"/>
      <c r="AV4165" s="92" t="str">
        <f>HYPERLINK("https://pbs.twimg.com/media/F27Rb9-XMAACpBL.jpg")</f>
        <v>https://pbs.twimg.com/media/F27Rb9-XMAACpBL.jpg</v>
      </c>
      <c r="AW4165" s="93" t="s">
        <v>22265</v>
      </c>
      <c r="AX4165" s="93" t="s">
        <v>22265</v>
      </c>
      <c r="AY4165" s="87"/>
      <c r="AZ4165" s="93" t="s">
        <v>22668</v>
      </c>
      <c r="BA4165" s="93" t="s">
        <v>22668</v>
      </c>
      <c r="BB4165" s="93" t="s">
        <v>22668</v>
      </c>
      <c r="BC4165" s="93" t="s">
        <v>22265</v>
      </c>
      <c r="BD4165" s="93" t="s">
        <v>23594</v>
      </c>
      <c r="BE4165" s="87"/>
      <c r="BF4165" s="87"/>
      <c r="BG4165" s="87"/>
      <c r="BH4165" s="87"/>
      <c r="BI4165" s="87"/>
    </row>
    <row r="4166" spans="1:61" x14ac:dyDescent="0.25">
      <c r="A4166" s="63" t="s">
        <v>1607</v>
      </c>
      <c r="B4166" s="63" t="s">
        <v>1607</v>
      </c>
      <c r="C4166" s="64"/>
      <c r="D4166" s="65"/>
      <c r="E4166" s="66"/>
      <c r="F4166" s="67"/>
      <c r="G4166" s="64"/>
      <c r="H4166" s="68"/>
      <c r="I4166" s="69"/>
      <c r="J4166" s="69"/>
      <c r="K4166" s="32"/>
      <c r="L4166" s="76">
        <v>4166</v>
      </c>
      <c r="M4166" s="76"/>
      <c r="N4166" s="71"/>
      <c r="O4166" s="87" t="s">
        <v>179</v>
      </c>
      <c r="P4166" s="90">
        <v>45145.490914351853</v>
      </c>
      <c r="Q4166" s="87" t="s">
        <v>5809</v>
      </c>
      <c r="R4166" s="87">
        <v>0</v>
      </c>
      <c r="S4166" s="87">
        <v>1</v>
      </c>
      <c r="T4166" s="87">
        <v>0</v>
      </c>
      <c r="U4166" s="87">
        <v>0</v>
      </c>
      <c r="V4166" s="87">
        <v>5</v>
      </c>
      <c r="W4166" s="93" t="s">
        <v>8327</v>
      </c>
      <c r="X4166" s="87"/>
      <c r="Y4166" s="87"/>
      <c r="Z4166" s="87"/>
      <c r="AA4166" s="87" t="s">
        <v>11431</v>
      </c>
      <c r="AB4166" s="87" t="s">
        <v>11448</v>
      </c>
      <c r="AC4166" s="93" t="s">
        <v>11457</v>
      </c>
      <c r="AD4166" s="87" t="s">
        <v>11520</v>
      </c>
      <c r="AE4166" s="92" t="str">
        <f>HYPERLINK("https://twitter.com/hdiasboss/status/1688517071959642113")</f>
        <v>https://twitter.com/hdiasboss/status/1688517071959642113</v>
      </c>
      <c r="AF4166" s="90">
        <v>45145.490914351853</v>
      </c>
      <c r="AG4166" s="99">
        <v>45145</v>
      </c>
      <c r="AH4166" s="93" t="s">
        <v>15149</v>
      </c>
      <c r="AI4166" s="87" t="b">
        <v>0</v>
      </c>
      <c r="AJ4166" s="87"/>
      <c r="AK4166" s="87"/>
      <c r="AL4166" s="87"/>
      <c r="AM4166" s="87"/>
      <c r="AN4166" s="87"/>
      <c r="AO4166" s="87"/>
      <c r="AP4166" s="87"/>
      <c r="AQ4166" s="87" t="s">
        <v>18243</v>
      </c>
      <c r="AR4166" s="87"/>
      <c r="AS4166" s="87"/>
      <c r="AT4166" s="87"/>
      <c r="AU4166" s="87"/>
      <c r="AV4166" s="92" t="str">
        <f>HYPERLINK("https://pbs.twimg.com/media/F27RUE5XoAESAPi.jpg")</f>
        <v>https://pbs.twimg.com/media/F27RUE5XoAESAPi.jpg</v>
      </c>
      <c r="AW4166" s="93" t="s">
        <v>22266</v>
      </c>
      <c r="AX4166" s="93" t="s">
        <v>22266</v>
      </c>
      <c r="AY4166" s="87"/>
      <c r="AZ4166" s="93" t="s">
        <v>22668</v>
      </c>
      <c r="BA4166" s="93" t="s">
        <v>22668</v>
      </c>
      <c r="BB4166" s="93" t="s">
        <v>22668</v>
      </c>
      <c r="BC4166" s="93" t="s">
        <v>22266</v>
      </c>
      <c r="BD4166" s="93" t="s">
        <v>23594</v>
      </c>
      <c r="BE4166" s="87"/>
      <c r="BF4166" s="87"/>
      <c r="BG4166" s="87"/>
      <c r="BH4166" s="87"/>
      <c r="BI4166" s="87"/>
    </row>
    <row r="4167" spans="1:61" x14ac:dyDescent="0.25">
      <c r="A4167" s="63" t="s">
        <v>1607</v>
      </c>
      <c r="B4167" s="63" t="s">
        <v>1607</v>
      </c>
      <c r="C4167" s="64"/>
      <c r="D4167" s="65"/>
      <c r="E4167" s="66"/>
      <c r="F4167" s="67"/>
      <c r="G4167" s="64"/>
      <c r="H4167" s="68"/>
      <c r="I4167" s="69"/>
      <c r="J4167" s="69"/>
      <c r="K4167" s="32"/>
      <c r="L4167" s="76">
        <v>4167</v>
      </c>
      <c r="M4167" s="76"/>
      <c r="N4167" s="71"/>
      <c r="O4167" s="87" t="s">
        <v>179</v>
      </c>
      <c r="P4167" s="90">
        <v>45145.490671296298</v>
      </c>
      <c r="Q4167" s="87" t="s">
        <v>5810</v>
      </c>
      <c r="R4167" s="87">
        <v>0</v>
      </c>
      <c r="S4167" s="87">
        <v>1</v>
      </c>
      <c r="T4167" s="87">
        <v>0</v>
      </c>
      <c r="U4167" s="87">
        <v>0</v>
      </c>
      <c r="V4167" s="87">
        <v>4</v>
      </c>
      <c r="W4167" s="93" t="s">
        <v>8327</v>
      </c>
      <c r="X4167" s="87"/>
      <c r="Y4167" s="87"/>
      <c r="Z4167" s="87"/>
      <c r="AA4167" s="87" t="s">
        <v>11432</v>
      </c>
      <c r="AB4167" s="87" t="s">
        <v>11448</v>
      </c>
      <c r="AC4167" s="93" t="s">
        <v>11457</v>
      </c>
      <c r="AD4167" s="87" t="s">
        <v>11520</v>
      </c>
      <c r="AE4167" s="92" t="str">
        <f>HYPERLINK("https://twitter.com/hdiasboss/status/1688516983199875072")</f>
        <v>https://twitter.com/hdiasboss/status/1688516983199875072</v>
      </c>
      <c r="AF4167" s="90">
        <v>45145.490671296298</v>
      </c>
      <c r="AG4167" s="99">
        <v>45145</v>
      </c>
      <c r="AH4167" s="93" t="s">
        <v>14527</v>
      </c>
      <c r="AI4167" s="87" t="b">
        <v>0</v>
      </c>
      <c r="AJ4167" s="87"/>
      <c r="AK4167" s="87"/>
      <c r="AL4167" s="87"/>
      <c r="AM4167" s="87"/>
      <c r="AN4167" s="87"/>
      <c r="AO4167" s="87"/>
      <c r="AP4167" s="87"/>
      <c r="AQ4167" s="87" t="s">
        <v>18244</v>
      </c>
      <c r="AR4167" s="87"/>
      <c r="AS4167" s="87"/>
      <c r="AT4167" s="87"/>
      <c r="AU4167" s="87"/>
      <c r="AV4167" s="92" t="str">
        <f>HYPERLINK("https://pbs.twimg.com/media/F27ROIOXYAAvOaw.jpg")</f>
        <v>https://pbs.twimg.com/media/F27ROIOXYAAvOaw.jpg</v>
      </c>
      <c r="AW4167" s="93" t="s">
        <v>22267</v>
      </c>
      <c r="AX4167" s="93" t="s">
        <v>22267</v>
      </c>
      <c r="AY4167" s="87"/>
      <c r="AZ4167" s="93" t="s">
        <v>22668</v>
      </c>
      <c r="BA4167" s="93" t="s">
        <v>22668</v>
      </c>
      <c r="BB4167" s="93" t="s">
        <v>22668</v>
      </c>
      <c r="BC4167" s="93" t="s">
        <v>22267</v>
      </c>
      <c r="BD4167" s="93" t="s">
        <v>23594</v>
      </c>
      <c r="BE4167" s="87"/>
      <c r="BF4167" s="87"/>
      <c r="BG4167" s="87"/>
      <c r="BH4167" s="87"/>
      <c r="BI4167" s="87"/>
    </row>
    <row r="4168" spans="1:61" x14ac:dyDescent="0.25">
      <c r="A4168" s="63" t="s">
        <v>1607</v>
      </c>
      <c r="B4168" s="63" t="s">
        <v>1607</v>
      </c>
      <c r="C4168" s="64"/>
      <c r="D4168" s="65"/>
      <c r="E4168" s="66"/>
      <c r="F4168" s="67"/>
      <c r="G4168" s="64"/>
      <c r="H4168" s="68"/>
      <c r="I4168" s="69"/>
      <c r="J4168" s="69"/>
      <c r="K4168" s="32"/>
      <c r="L4168" s="76">
        <v>4168</v>
      </c>
      <c r="M4168" s="76"/>
      <c r="N4168" s="71"/>
      <c r="O4168" s="87" t="s">
        <v>179</v>
      </c>
      <c r="P4168" s="90">
        <v>45141.511192129627</v>
      </c>
      <c r="Q4168" s="87" t="s">
        <v>5811</v>
      </c>
      <c r="R4168" s="87">
        <v>0</v>
      </c>
      <c r="S4168" s="87">
        <v>1</v>
      </c>
      <c r="T4168" s="87">
        <v>0</v>
      </c>
      <c r="U4168" s="87">
        <v>0</v>
      </c>
      <c r="V4168" s="87">
        <v>34</v>
      </c>
      <c r="W4168" s="93" t="s">
        <v>8328</v>
      </c>
      <c r="X4168" s="87"/>
      <c r="Y4168" s="87"/>
      <c r="Z4168" s="87"/>
      <c r="AA4168" s="87" t="s">
        <v>11433</v>
      </c>
      <c r="AB4168" s="87" t="s">
        <v>11448</v>
      </c>
      <c r="AC4168" s="93" t="s">
        <v>11457</v>
      </c>
      <c r="AD4168" s="87" t="s">
        <v>11520</v>
      </c>
      <c r="AE4168" s="92" t="str">
        <f>HYPERLINK("https://twitter.com/hdiasboss/status/1687074868167077888")</f>
        <v>https://twitter.com/hdiasboss/status/1687074868167077888</v>
      </c>
      <c r="AF4168" s="90">
        <v>45141.511192129627</v>
      </c>
      <c r="AG4168" s="99">
        <v>45141</v>
      </c>
      <c r="AH4168" s="93" t="s">
        <v>15150</v>
      </c>
      <c r="AI4168" s="87" t="b">
        <v>0</v>
      </c>
      <c r="AJ4168" s="87"/>
      <c r="AK4168" s="87"/>
      <c r="AL4168" s="87"/>
      <c r="AM4168" s="87"/>
      <c r="AN4168" s="87"/>
      <c r="AO4168" s="87"/>
      <c r="AP4168" s="87"/>
      <c r="AQ4168" s="87" t="s">
        <v>18245</v>
      </c>
      <c r="AR4168" s="87"/>
      <c r="AS4168" s="87"/>
      <c r="AT4168" s="87"/>
      <c r="AU4168" s="87"/>
      <c r="AV4168" s="92" t="str">
        <f>HYPERLINK("https://pbs.twimg.com/media/F2mxoYzWEAAWl6m.jpg")</f>
        <v>https://pbs.twimg.com/media/F2mxoYzWEAAWl6m.jpg</v>
      </c>
      <c r="AW4168" s="93" t="s">
        <v>22268</v>
      </c>
      <c r="AX4168" s="93" t="s">
        <v>22268</v>
      </c>
      <c r="AY4168" s="87"/>
      <c r="AZ4168" s="93" t="s">
        <v>22668</v>
      </c>
      <c r="BA4168" s="93" t="s">
        <v>22668</v>
      </c>
      <c r="BB4168" s="93" t="s">
        <v>22668</v>
      </c>
      <c r="BC4168" s="93" t="s">
        <v>22268</v>
      </c>
      <c r="BD4168" s="93" t="s">
        <v>23594</v>
      </c>
      <c r="BE4168" s="87"/>
      <c r="BF4168" s="87"/>
      <c r="BG4168" s="87"/>
      <c r="BH4168" s="87"/>
      <c r="BI4168" s="87"/>
    </row>
    <row r="4169" spans="1:61" x14ac:dyDescent="0.25">
      <c r="A4169" s="63" t="s">
        <v>1607</v>
      </c>
      <c r="B4169" s="63" t="s">
        <v>1607</v>
      </c>
      <c r="C4169" s="64"/>
      <c r="D4169" s="65"/>
      <c r="E4169" s="66"/>
      <c r="F4169" s="67"/>
      <c r="G4169" s="64"/>
      <c r="H4169" s="68"/>
      <c r="I4169" s="69"/>
      <c r="J4169" s="69"/>
      <c r="K4169" s="32"/>
      <c r="L4169" s="76">
        <v>4169</v>
      </c>
      <c r="M4169" s="76"/>
      <c r="N4169" s="71"/>
      <c r="O4169" s="87" t="s">
        <v>179</v>
      </c>
      <c r="P4169" s="90">
        <v>45141.510763888888</v>
      </c>
      <c r="Q4169" s="87" t="s">
        <v>5812</v>
      </c>
      <c r="R4169" s="87">
        <v>0</v>
      </c>
      <c r="S4169" s="87">
        <v>1</v>
      </c>
      <c r="T4169" s="87">
        <v>0</v>
      </c>
      <c r="U4169" s="87">
        <v>0</v>
      </c>
      <c r="V4169" s="87">
        <v>22</v>
      </c>
      <c r="W4169" s="93" t="s">
        <v>8328</v>
      </c>
      <c r="X4169" s="87"/>
      <c r="Y4169" s="87"/>
      <c r="Z4169" s="87"/>
      <c r="AA4169" s="87" t="s">
        <v>11434</v>
      </c>
      <c r="AB4169" s="87" t="s">
        <v>11448</v>
      </c>
      <c r="AC4169" s="93" t="s">
        <v>11457</v>
      </c>
      <c r="AD4169" s="87" t="s">
        <v>11520</v>
      </c>
      <c r="AE4169" s="92" t="str">
        <f>HYPERLINK("https://twitter.com/hdiasboss/status/1687074712793346048")</f>
        <v>https://twitter.com/hdiasboss/status/1687074712793346048</v>
      </c>
      <c r="AF4169" s="90">
        <v>45141.510763888888</v>
      </c>
      <c r="AG4169" s="99">
        <v>45141</v>
      </c>
      <c r="AH4169" s="93" t="s">
        <v>15151</v>
      </c>
      <c r="AI4169" s="87" t="b">
        <v>0</v>
      </c>
      <c r="AJ4169" s="87"/>
      <c r="AK4169" s="87"/>
      <c r="AL4169" s="87"/>
      <c r="AM4169" s="87"/>
      <c r="AN4169" s="87"/>
      <c r="AO4169" s="87"/>
      <c r="AP4169" s="87"/>
      <c r="AQ4169" s="87" t="s">
        <v>18246</v>
      </c>
      <c r="AR4169" s="87"/>
      <c r="AS4169" s="87"/>
      <c r="AT4169" s="87"/>
      <c r="AU4169" s="87"/>
      <c r="AV4169" s="92" t="str">
        <f>HYPERLINK("https://pbs.twimg.com/media/F2mxfqHXcAA2WsV.jpg")</f>
        <v>https://pbs.twimg.com/media/F2mxfqHXcAA2WsV.jpg</v>
      </c>
      <c r="AW4169" s="93" t="s">
        <v>22269</v>
      </c>
      <c r="AX4169" s="93" t="s">
        <v>22269</v>
      </c>
      <c r="AY4169" s="87"/>
      <c r="AZ4169" s="93" t="s">
        <v>22668</v>
      </c>
      <c r="BA4169" s="93" t="s">
        <v>22668</v>
      </c>
      <c r="BB4169" s="93" t="s">
        <v>22668</v>
      </c>
      <c r="BC4169" s="93" t="s">
        <v>22269</v>
      </c>
      <c r="BD4169" s="93" t="s">
        <v>23594</v>
      </c>
      <c r="BE4169" s="87"/>
      <c r="BF4169" s="87"/>
      <c r="BG4169" s="87"/>
      <c r="BH4169" s="87"/>
      <c r="BI4169" s="87"/>
    </row>
    <row r="4170" spans="1:61" x14ac:dyDescent="0.25">
      <c r="A4170" s="63" t="s">
        <v>1607</v>
      </c>
      <c r="B4170" s="63" t="s">
        <v>1607</v>
      </c>
      <c r="C4170" s="64"/>
      <c r="D4170" s="65"/>
      <c r="E4170" s="66"/>
      <c r="F4170" s="67"/>
      <c r="G4170" s="64"/>
      <c r="H4170" s="68"/>
      <c r="I4170" s="69"/>
      <c r="J4170" s="69"/>
      <c r="K4170" s="32"/>
      <c r="L4170" s="76">
        <v>4170</v>
      </c>
      <c r="M4170" s="76"/>
      <c r="N4170" s="71"/>
      <c r="O4170" s="87" t="s">
        <v>179</v>
      </c>
      <c r="P4170" s="90">
        <v>45141.510578703703</v>
      </c>
      <c r="Q4170" s="87" t="s">
        <v>5813</v>
      </c>
      <c r="R4170" s="87">
        <v>0</v>
      </c>
      <c r="S4170" s="87">
        <v>2</v>
      </c>
      <c r="T4170" s="87">
        <v>0</v>
      </c>
      <c r="U4170" s="87">
        <v>0</v>
      </c>
      <c r="V4170" s="87">
        <v>18</v>
      </c>
      <c r="W4170" s="93" t="s">
        <v>8328</v>
      </c>
      <c r="X4170" s="87"/>
      <c r="Y4170" s="87"/>
      <c r="Z4170" s="87"/>
      <c r="AA4170" s="87" t="s">
        <v>11435</v>
      </c>
      <c r="AB4170" s="87" t="s">
        <v>11448</v>
      </c>
      <c r="AC4170" s="93" t="s">
        <v>11457</v>
      </c>
      <c r="AD4170" s="87" t="s">
        <v>11520</v>
      </c>
      <c r="AE4170" s="92" t="str">
        <f>HYPERLINK("https://twitter.com/hdiasboss/status/1687074645420179456")</f>
        <v>https://twitter.com/hdiasboss/status/1687074645420179456</v>
      </c>
      <c r="AF4170" s="90">
        <v>45141.510578703703</v>
      </c>
      <c r="AG4170" s="99">
        <v>45141</v>
      </c>
      <c r="AH4170" s="93" t="s">
        <v>15152</v>
      </c>
      <c r="AI4170" s="87" t="b">
        <v>0</v>
      </c>
      <c r="AJ4170" s="87"/>
      <c r="AK4170" s="87"/>
      <c r="AL4170" s="87"/>
      <c r="AM4170" s="87"/>
      <c r="AN4170" s="87"/>
      <c r="AO4170" s="87"/>
      <c r="AP4170" s="87"/>
      <c r="AQ4170" s="87" t="s">
        <v>18247</v>
      </c>
      <c r="AR4170" s="87"/>
      <c r="AS4170" s="87"/>
      <c r="AT4170" s="87"/>
      <c r="AU4170" s="87"/>
      <c r="AV4170" s="92" t="str">
        <f>HYPERLINK("https://pbs.twimg.com/media/F2mxbdQXMAALSZb.jpg")</f>
        <v>https://pbs.twimg.com/media/F2mxbdQXMAALSZb.jpg</v>
      </c>
      <c r="AW4170" s="93" t="s">
        <v>22270</v>
      </c>
      <c r="AX4170" s="93" t="s">
        <v>22270</v>
      </c>
      <c r="AY4170" s="87"/>
      <c r="AZ4170" s="93" t="s">
        <v>22668</v>
      </c>
      <c r="BA4170" s="93" t="s">
        <v>22668</v>
      </c>
      <c r="BB4170" s="93" t="s">
        <v>22668</v>
      </c>
      <c r="BC4170" s="93" t="s">
        <v>22270</v>
      </c>
      <c r="BD4170" s="93" t="s">
        <v>23594</v>
      </c>
      <c r="BE4170" s="87"/>
      <c r="BF4170" s="87"/>
      <c r="BG4170" s="87"/>
      <c r="BH4170" s="87"/>
      <c r="BI4170" s="87"/>
    </row>
    <row r="4171" spans="1:61" x14ac:dyDescent="0.25">
      <c r="A4171" s="63" t="s">
        <v>1607</v>
      </c>
      <c r="B4171" s="63" t="s">
        <v>1607</v>
      </c>
      <c r="C4171" s="64"/>
      <c r="D4171" s="65"/>
      <c r="E4171" s="66"/>
      <c r="F4171" s="67"/>
      <c r="G4171" s="64"/>
      <c r="H4171" s="68"/>
      <c r="I4171" s="69"/>
      <c r="J4171" s="69"/>
      <c r="K4171" s="32"/>
      <c r="L4171" s="76">
        <v>4171</v>
      </c>
      <c r="M4171" s="76"/>
      <c r="N4171" s="71"/>
      <c r="O4171" s="87" t="s">
        <v>179</v>
      </c>
      <c r="P4171" s="90">
        <v>45141.510358796295</v>
      </c>
      <c r="Q4171" s="87" t="s">
        <v>5814</v>
      </c>
      <c r="R4171" s="87">
        <v>0</v>
      </c>
      <c r="S4171" s="87">
        <v>2</v>
      </c>
      <c r="T4171" s="87">
        <v>0</v>
      </c>
      <c r="U4171" s="87">
        <v>0</v>
      </c>
      <c r="V4171" s="87">
        <v>12</v>
      </c>
      <c r="W4171" s="93" t="s">
        <v>8328</v>
      </c>
      <c r="X4171" s="87"/>
      <c r="Y4171" s="87"/>
      <c r="Z4171" s="87"/>
      <c r="AA4171" s="87" t="s">
        <v>11436</v>
      </c>
      <c r="AB4171" s="87" t="s">
        <v>11448</v>
      </c>
      <c r="AC4171" s="93" t="s">
        <v>11457</v>
      </c>
      <c r="AD4171" s="87" t="s">
        <v>11520</v>
      </c>
      <c r="AE4171" s="92" t="str">
        <f>HYPERLINK("https://twitter.com/hdiasboss/status/1687074565426384897")</f>
        <v>https://twitter.com/hdiasboss/status/1687074565426384897</v>
      </c>
      <c r="AF4171" s="90">
        <v>45141.510358796295</v>
      </c>
      <c r="AG4171" s="99">
        <v>45141</v>
      </c>
      <c r="AH4171" s="93" t="s">
        <v>15153</v>
      </c>
      <c r="AI4171" s="87" t="b">
        <v>0</v>
      </c>
      <c r="AJ4171" s="87"/>
      <c r="AK4171" s="87"/>
      <c r="AL4171" s="87"/>
      <c r="AM4171" s="87"/>
      <c r="AN4171" s="87"/>
      <c r="AO4171" s="87"/>
      <c r="AP4171" s="87"/>
      <c r="AQ4171" s="87" t="s">
        <v>18248</v>
      </c>
      <c r="AR4171" s="87"/>
      <c r="AS4171" s="87"/>
      <c r="AT4171" s="87"/>
      <c r="AU4171" s="87"/>
      <c r="AV4171" s="92" t="str">
        <f>HYPERLINK("https://pbs.twimg.com/media/F2mxJNBWIAA5ocl.jpg")</f>
        <v>https://pbs.twimg.com/media/F2mxJNBWIAA5ocl.jpg</v>
      </c>
      <c r="AW4171" s="93" t="s">
        <v>22271</v>
      </c>
      <c r="AX4171" s="93" t="s">
        <v>22271</v>
      </c>
      <c r="AY4171" s="87"/>
      <c r="AZ4171" s="93" t="s">
        <v>22668</v>
      </c>
      <c r="BA4171" s="93" t="s">
        <v>22668</v>
      </c>
      <c r="BB4171" s="93" t="s">
        <v>22668</v>
      </c>
      <c r="BC4171" s="93" t="s">
        <v>22271</v>
      </c>
      <c r="BD4171" s="93" t="s">
        <v>23594</v>
      </c>
      <c r="BE4171" s="87"/>
      <c r="BF4171" s="87"/>
      <c r="BG4171" s="87"/>
      <c r="BH4171" s="87"/>
      <c r="BI4171" s="87"/>
    </row>
    <row r="4172" spans="1:61" x14ac:dyDescent="0.25">
      <c r="A4172" s="63" t="s">
        <v>1608</v>
      </c>
      <c r="B4172" s="63" t="s">
        <v>1608</v>
      </c>
      <c r="C4172" s="64"/>
      <c r="D4172" s="65"/>
      <c r="E4172" s="66"/>
      <c r="F4172" s="67"/>
      <c r="G4172" s="64"/>
      <c r="H4172" s="68"/>
      <c r="I4172" s="69"/>
      <c r="J4172" s="69"/>
      <c r="K4172" s="32"/>
      <c r="L4172" s="76">
        <v>4172</v>
      </c>
      <c r="M4172" s="76"/>
      <c r="N4172" s="71"/>
      <c r="O4172" s="87" t="s">
        <v>179</v>
      </c>
      <c r="P4172" s="90">
        <v>45134.765798611108</v>
      </c>
      <c r="Q4172" s="87" t="s">
        <v>5815</v>
      </c>
      <c r="R4172" s="87">
        <v>0</v>
      </c>
      <c r="S4172" s="87">
        <v>0</v>
      </c>
      <c r="T4172" s="87">
        <v>0</v>
      </c>
      <c r="U4172" s="87">
        <v>0</v>
      </c>
      <c r="V4172" s="87">
        <v>2</v>
      </c>
      <c r="W4172" s="93" t="s">
        <v>8329</v>
      </c>
      <c r="X4172" s="92" t="str">
        <f>HYPERLINK("https://www.instagram.com/reel/CvNO0v6Mt6-/?igshid=MTc4MmM1YmI2Ng==")</f>
        <v>https://www.instagram.com/reel/CvNO0v6Mt6-/?igshid=MTc4MmM1YmI2Ng==</v>
      </c>
      <c r="Y4172" s="87" t="s">
        <v>8383</v>
      </c>
      <c r="Z4172" s="87"/>
      <c r="AA4172" s="87"/>
      <c r="AB4172" s="87"/>
      <c r="AC4172" s="93" t="s">
        <v>11459</v>
      </c>
      <c r="AD4172" s="87" t="s">
        <v>11519</v>
      </c>
      <c r="AE4172" s="92" t="str">
        <f>HYPERLINK("https://twitter.com/luisfab85147320/status/1684630420388757504")</f>
        <v>https://twitter.com/luisfab85147320/status/1684630420388757504</v>
      </c>
      <c r="AF4172" s="90">
        <v>45134.765798611108</v>
      </c>
      <c r="AG4172" s="99">
        <v>45134</v>
      </c>
      <c r="AH4172" s="93" t="s">
        <v>15154</v>
      </c>
      <c r="AI4172" s="87" t="b">
        <v>0</v>
      </c>
      <c r="AJ4172" s="87"/>
      <c r="AK4172" s="87"/>
      <c r="AL4172" s="87"/>
      <c r="AM4172" s="87"/>
      <c r="AN4172" s="87"/>
      <c r="AO4172" s="87"/>
      <c r="AP4172" s="87"/>
      <c r="AQ4172" s="87"/>
      <c r="AR4172" s="87"/>
      <c r="AS4172" s="87"/>
      <c r="AT4172" s="87"/>
      <c r="AU4172" s="87"/>
      <c r="AV4172" s="92" t="str">
        <f>HYPERLINK("https://pbs.twimg.com/profile_images/1683672020431540225/Q9LsCFJc_normal.jpg")</f>
        <v>https://pbs.twimg.com/profile_images/1683672020431540225/Q9LsCFJc_normal.jpg</v>
      </c>
      <c r="AW4172" s="93" t="s">
        <v>22272</v>
      </c>
      <c r="AX4172" s="93" t="s">
        <v>22272</v>
      </c>
      <c r="AY4172" s="87"/>
      <c r="AZ4172" s="93" t="s">
        <v>22668</v>
      </c>
      <c r="BA4172" s="93" t="s">
        <v>22668</v>
      </c>
      <c r="BB4172" s="93" t="s">
        <v>22668</v>
      </c>
      <c r="BC4172" s="93" t="s">
        <v>22272</v>
      </c>
      <c r="BD4172" s="93" t="s">
        <v>23595</v>
      </c>
      <c r="BE4172" s="87"/>
      <c r="BF4172" s="87"/>
      <c r="BG4172" s="87"/>
      <c r="BH4172" s="87"/>
      <c r="BI4172" s="87"/>
    </row>
    <row r="4173" spans="1:61" x14ac:dyDescent="0.25">
      <c r="A4173" s="63" t="s">
        <v>1608</v>
      </c>
      <c r="B4173" s="63" t="s">
        <v>1608</v>
      </c>
      <c r="C4173" s="64"/>
      <c r="D4173" s="65"/>
      <c r="E4173" s="66"/>
      <c r="F4173" s="67"/>
      <c r="G4173" s="64"/>
      <c r="H4173" s="68"/>
      <c r="I4173" s="69"/>
      <c r="J4173" s="69"/>
      <c r="K4173" s="32"/>
      <c r="L4173" s="76">
        <v>4173</v>
      </c>
      <c r="M4173" s="76"/>
      <c r="N4173" s="71"/>
      <c r="O4173" s="87" t="s">
        <v>179</v>
      </c>
      <c r="P4173" s="90">
        <v>45141.501435185186</v>
      </c>
      <c r="Q4173" s="87" t="s">
        <v>5816</v>
      </c>
      <c r="R4173" s="87">
        <v>0</v>
      </c>
      <c r="S4173" s="87">
        <v>0</v>
      </c>
      <c r="T4173" s="87">
        <v>0</v>
      </c>
      <c r="U4173" s="87">
        <v>0</v>
      </c>
      <c r="V4173" s="87">
        <v>7</v>
      </c>
      <c r="W4173" s="93" t="s">
        <v>8330</v>
      </c>
      <c r="X4173" s="92" t="str">
        <f>HYPERLINK("https://www.instagram.com/reel/CvenzA_Ofy9/?igshid=MTc4MmM1YmI2Ng==")</f>
        <v>https://www.instagram.com/reel/CvenzA_Ofy9/?igshid=MTc4MmM1YmI2Ng==</v>
      </c>
      <c r="Y4173" s="87" t="s">
        <v>8383</v>
      </c>
      <c r="Z4173" s="87"/>
      <c r="AA4173" s="87"/>
      <c r="AB4173" s="87"/>
      <c r="AC4173" s="93" t="s">
        <v>11459</v>
      </c>
      <c r="AD4173" s="87" t="s">
        <v>11519</v>
      </c>
      <c r="AE4173" s="92" t="str">
        <f>HYPERLINK("https://twitter.com/luisfab85147320/status/1687071332746289152")</f>
        <v>https://twitter.com/luisfab85147320/status/1687071332746289152</v>
      </c>
      <c r="AF4173" s="90">
        <v>45141.501435185186</v>
      </c>
      <c r="AG4173" s="99">
        <v>45141</v>
      </c>
      <c r="AH4173" s="93" t="s">
        <v>15155</v>
      </c>
      <c r="AI4173" s="87" t="b">
        <v>0</v>
      </c>
      <c r="AJ4173" s="87"/>
      <c r="AK4173" s="87"/>
      <c r="AL4173" s="87"/>
      <c r="AM4173" s="87"/>
      <c r="AN4173" s="87"/>
      <c r="AO4173" s="87"/>
      <c r="AP4173" s="87"/>
      <c r="AQ4173" s="87"/>
      <c r="AR4173" s="87"/>
      <c r="AS4173" s="87"/>
      <c r="AT4173" s="87"/>
      <c r="AU4173" s="87"/>
      <c r="AV4173" s="92" t="str">
        <f>HYPERLINK("https://pbs.twimg.com/profile_images/1683672020431540225/Q9LsCFJc_normal.jpg")</f>
        <v>https://pbs.twimg.com/profile_images/1683672020431540225/Q9LsCFJc_normal.jpg</v>
      </c>
      <c r="AW4173" s="93" t="s">
        <v>22273</v>
      </c>
      <c r="AX4173" s="93" t="s">
        <v>22273</v>
      </c>
      <c r="AY4173" s="87"/>
      <c r="AZ4173" s="93" t="s">
        <v>22668</v>
      </c>
      <c r="BA4173" s="93" t="s">
        <v>22668</v>
      </c>
      <c r="BB4173" s="93" t="s">
        <v>22668</v>
      </c>
      <c r="BC4173" s="93" t="s">
        <v>22273</v>
      </c>
      <c r="BD4173" s="93" t="s">
        <v>23595</v>
      </c>
      <c r="BE4173" s="87"/>
      <c r="BF4173" s="87"/>
      <c r="BG4173" s="87"/>
      <c r="BH4173" s="87"/>
      <c r="BI4173" s="87"/>
    </row>
    <row r="4174" spans="1:61" x14ac:dyDescent="0.25">
      <c r="A4174" s="63" t="s">
        <v>1609</v>
      </c>
      <c r="B4174" s="63" t="s">
        <v>1609</v>
      </c>
      <c r="C4174" s="64"/>
      <c r="D4174" s="65"/>
      <c r="E4174" s="66"/>
      <c r="F4174" s="67"/>
      <c r="G4174" s="64"/>
      <c r="H4174" s="68"/>
      <c r="I4174" s="69"/>
      <c r="J4174" s="69"/>
      <c r="K4174" s="32"/>
      <c r="L4174" s="76">
        <v>4174</v>
      </c>
      <c r="M4174" s="76"/>
      <c r="N4174" s="71"/>
      <c r="O4174" s="87" t="s">
        <v>1840</v>
      </c>
      <c r="P4174" s="90">
        <v>45125.730324074073</v>
      </c>
      <c r="Q4174" s="87" t="s">
        <v>5817</v>
      </c>
      <c r="R4174" s="87">
        <v>0</v>
      </c>
      <c r="S4174" s="87">
        <v>0</v>
      </c>
      <c r="T4174" s="87">
        <v>0</v>
      </c>
      <c r="U4174" s="87">
        <v>0</v>
      </c>
      <c r="V4174" s="87">
        <v>156</v>
      </c>
      <c r="W4174" s="93" t="s">
        <v>8331</v>
      </c>
      <c r="X4174" s="92" t="str">
        <f>HYPERLINK("https://apexbrasil.com.br/content/apexbrasil/br/pt/conteudo/noticias/-elas-exportam---mdic-e-apexbrasil-abrem-inscricoes-para-segunda.html")</f>
        <v>https://apexbrasil.com.br/content/apexbrasil/br/pt/conteudo/noticias/-elas-exportam---mdic-e-apexbrasil-abrem-inscricoes-para-segunda.html</v>
      </c>
      <c r="Y4174" s="87" t="s">
        <v>8373</v>
      </c>
      <c r="Z4174" s="87"/>
      <c r="AA4174" s="87"/>
      <c r="AB4174" s="87"/>
      <c r="AC4174" s="93" t="s">
        <v>11459</v>
      </c>
      <c r="AD4174" s="87" t="s">
        <v>11519</v>
      </c>
      <c r="AE4174" s="92" t="str">
        <f>HYPERLINK("https://twitter.com/apexbrasil/status/1681356074199269401")</f>
        <v>https://twitter.com/apexbrasil/status/1681356074199269401</v>
      </c>
      <c r="AF4174" s="90">
        <v>45125.730324074073</v>
      </c>
      <c r="AG4174" s="99">
        <v>45125</v>
      </c>
      <c r="AH4174" s="93" t="s">
        <v>15156</v>
      </c>
      <c r="AI4174" s="87" t="b">
        <v>0</v>
      </c>
      <c r="AJ4174" s="87"/>
      <c r="AK4174" s="87"/>
      <c r="AL4174" s="87"/>
      <c r="AM4174" s="87"/>
      <c r="AN4174" s="87"/>
      <c r="AO4174" s="87"/>
      <c r="AP4174" s="87"/>
      <c r="AQ4174" s="87"/>
      <c r="AR4174" s="87"/>
      <c r="AS4174" s="87"/>
      <c r="AT4174" s="87"/>
      <c r="AU4174" s="87"/>
      <c r="AV4174" s="92" t="str">
        <f>HYPERLINK("https://pbs.twimg.com/profile_images/1451537163829534727/1CbGoUVp_normal.jpg")</f>
        <v>https://pbs.twimg.com/profile_images/1451537163829534727/1CbGoUVp_normal.jpg</v>
      </c>
      <c r="AW4174" s="93" t="s">
        <v>22274</v>
      </c>
      <c r="AX4174" s="93" t="s">
        <v>22516</v>
      </c>
      <c r="AY4174" s="93" t="s">
        <v>22667</v>
      </c>
      <c r="AZ4174" s="93" t="s">
        <v>22791</v>
      </c>
      <c r="BA4174" s="93" t="s">
        <v>22668</v>
      </c>
      <c r="BB4174" s="93" t="s">
        <v>22668</v>
      </c>
      <c r="BC4174" s="93" t="s">
        <v>22791</v>
      </c>
      <c r="BD4174" s="87">
        <v>43942831</v>
      </c>
      <c r="BE4174" s="87"/>
      <c r="BF4174" s="87"/>
      <c r="BG4174" s="87"/>
      <c r="BH4174" s="87"/>
      <c r="BI4174" s="87"/>
    </row>
    <row r="4175" spans="1:61" x14ac:dyDescent="0.25">
      <c r="A4175" s="63" t="s">
        <v>1610</v>
      </c>
      <c r="B4175" s="63" t="s">
        <v>1610</v>
      </c>
      <c r="C4175" s="64"/>
      <c r="D4175" s="65"/>
      <c r="E4175" s="66"/>
      <c r="F4175" s="67"/>
      <c r="G4175" s="64"/>
      <c r="H4175" s="68"/>
      <c r="I4175" s="69"/>
      <c r="J4175" s="69"/>
      <c r="K4175" s="32"/>
      <c r="L4175" s="76">
        <v>4175</v>
      </c>
      <c r="M4175" s="76"/>
      <c r="N4175" s="71"/>
      <c r="O4175" s="87" t="s">
        <v>179</v>
      </c>
      <c r="P4175" s="90">
        <v>45112.955787037034</v>
      </c>
      <c r="Q4175" s="87" t="s">
        <v>5818</v>
      </c>
      <c r="R4175" s="87">
        <v>0</v>
      </c>
      <c r="S4175" s="87">
        <v>0</v>
      </c>
      <c r="T4175" s="87">
        <v>0</v>
      </c>
      <c r="U4175" s="87">
        <v>0</v>
      </c>
      <c r="V4175" s="87">
        <v>7</v>
      </c>
      <c r="W4175" s="93" t="s">
        <v>8332</v>
      </c>
      <c r="X4175" s="92" t="str">
        <f>HYPERLINK("https://ey.smh.re/2xsb")</f>
        <v>https://ey.smh.re/2xsb</v>
      </c>
      <c r="Y4175" s="87" t="s">
        <v>8562</v>
      </c>
      <c r="Z4175" s="87"/>
      <c r="AA4175" s="87"/>
      <c r="AB4175" s="87"/>
      <c r="AC4175" s="93" t="s">
        <v>11517</v>
      </c>
      <c r="AD4175" s="87" t="s">
        <v>11519</v>
      </c>
      <c r="AE4175" s="92" t="str">
        <f>HYPERLINK("https://twitter.com/divyab_nyc/status/1676726733716828160")</f>
        <v>https://twitter.com/divyab_nyc/status/1676726733716828160</v>
      </c>
      <c r="AF4175" s="90">
        <v>45112.955787037034</v>
      </c>
      <c r="AG4175" s="99">
        <v>45112</v>
      </c>
      <c r="AH4175" s="93" t="s">
        <v>15157</v>
      </c>
      <c r="AI4175" s="87" t="b">
        <v>0</v>
      </c>
      <c r="AJ4175" s="87"/>
      <c r="AK4175" s="87"/>
      <c r="AL4175" s="87"/>
      <c r="AM4175" s="87"/>
      <c r="AN4175" s="87"/>
      <c r="AO4175" s="87"/>
      <c r="AP4175" s="87"/>
      <c r="AQ4175" s="87"/>
      <c r="AR4175" s="87"/>
      <c r="AS4175" s="87"/>
      <c r="AT4175" s="87"/>
      <c r="AU4175" s="87"/>
      <c r="AV4175" s="92" t="str">
        <f>HYPERLINK("https://pbs.twimg.com/profile_images/1098641906685349890/5ldrTyZQ_normal.jpg")</f>
        <v>https://pbs.twimg.com/profile_images/1098641906685349890/5ldrTyZQ_normal.jpg</v>
      </c>
      <c r="AW4175" s="93" t="s">
        <v>22275</v>
      </c>
      <c r="AX4175" s="93" t="s">
        <v>22275</v>
      </c>
      <c r="AY4175" s="87"/>
      <c r="AZ4175" s="93" t="s">
        <v>22668</v>
      </c>
      <c r="BA4175" s="93" t="s">
        <v>22668</v>
      </c>
      <c r="BB4175" s="93" t="s">
        <v>22668</v>
      </c>
      <c r="BC4175" s="93" t="s">
        <v>22275</v>
      </c>
      <c r="BD4175" s="93" t="s">
        <v>23596</v>
      </c>
      <c r="BE4175" s="87"/>
      <c r="BF4175" s="87"/>
      <c r="BG4175" s="87"/>
      <c r="BH4175" s="87"/>
      <c r="BI4175" s="87"/>
    </row>
    <row r="4176" spans="1:61" x14ac:dyDescent="0.25">
      <c r="A4176" s="63" t="s">
        <v>1611</v>
      </c>
      <c r="B4176" s="63" t="s">
        <v>1611</v>
      </c>
      <c r="C4176" s="64"/>
      <c r="D4176" s="65"/>
      <c r="E4176" s="66"/>
      <c r="F4176" s="67"/>
      <c r="G4176" s="64"/>
      <c r="H4176" s="68"/>
      <c r="I4176" s="69"/>
      <c r="J4176" s="69"/>
      <c r="K4176" s="32"/>
      <c r="L4176" s="76">
        <v>4176</v>
      </c>
      <c r="M4176" s="76"/>
      <c r="N4176" s="71"/>
      <c r="O4176" s="87" t="s">
        <v>179</v>
      </c>
      <c r="P4176" s="90">
        <v>45166.865335648145</v>
      </c>
      <c r="Q4176" s="87" t="s">
        <v>5819</v>
      </c>
      <c r="R4176" s="87">
        <v>0</v>
      </c>
      <c r="S4176" s="87">
        <v>0</v>
      </c>
      <c r="T4176" s="87">
        <v>0</v>
      </c>
      <c r="U4176" s="87">
        <v>0</v>
      </c>
      <c r="V4176" s="87">
        <v>8</v>
      </c>
      <c r="W4176" s="93" t="s">
        <v>8333</v>
      </c>
      <c r="X4176" s="87"/>
      <c r="Y4176" s="87"/>
      <c r="Z4176" s="87"/>
      <c r="AA4176" s="87" t="s">
        <v>11437</v>
      </c>
      <c r="AB4176" s="87" t="s">
        <v>11448</v>
      </c>
      <c r="AC4176" s="93" t="s">
        <v>11459</v>
      </c>
      <c r="AD4176" s="87" t="s">
        <v>11519</v>
      </c>
      <c r="AE4176" s="92" t="str">
        <f>HYPERLINK("https://twitter.com/pretonidacio/status/1696262901437227180")</f>
        <v>https://twitter.com/pretonidacio/status/1696262901437227180</v>
      </c>
      <c r="AF4176" s="90">
        <v>45166.865335648145</v>
      </c>
      <c r="AG4176" s="99">
        <v>45166</v>
      </c>
      <c r="AH4176" s="93" t="s">
        <v>15158</v>
      </c>
      <c r="AI4176" s="87" t="b">
        <v>0</v>
      </c>
      <c r="AJ4176" s="87"/>
      <c r="AK4176" s="87"/>
      <c r="AL4176" s="87"/>
      <c r="AM4176" s="87"/>
      <c r="AN4176" s="87"/>
      <c r="AO4176" s="87"/>
      <c r="AP4176" s="87"/>
      <c r="AQ4176" s="87" t="s">
        <v>18249</v>
      </c>
      <c r="AR4176" s="87"/>
      <c r="AS4176" s="87"/>
      <c r="AT4176" s="87"/>
      <c r="AU4176" s="87"/>
      <c r="AV4176" s="92" t="str">
        <f>HYPERLINK("https://pbs.twimg.com/media/F4pWHYWXsAAwqwk.jpg")</f>
        <v>https://pbs.twimg.com/media/F4pWHYWXsAAwqwk.jpg</v>
      </c>
      <c r="AW4176" s="93" t="s">
        <v>22276</v>
      </c>
      <c r="AX4176" s="93" t="s">
        <v>22276</v>
      </c>
      <c r="AY4176" s="87"/>
      <c r="AZ4176" s="93" t="s">
        <v>22668</v>
      </c>
      <c r="BA4176" s="93" t="s">
        <v>22668</v>
      </c>
      <c r="BB4176" s="93" t="s">
        <v>22668</v>
      </c>
      <c r="BC4176" s="93" t="s">
        <v>22276</v>
      </c>
      <c r="BD4176" s="93" t="s">
        <v>23597</v>
      </c>
      <c r="BE4176" s="87"/>
      <c r="BF4176" s="87"/>
      <c r="BG4176" s="87"/>
      <c r="BH4176" s="87"/>
      <c r="BI4176" s="87"/>
    </row>
    <row r="4177" spans="1:61" x14ac:dyDescent="0.25">
      <c r="A4177" s="63" t="s">
        <v>1612</v>
      </c>
      <c r="B4177" s="63" t="s">
        <v>1838</v>
      </c>
      <c r="C4177" s="64"/>
      <c r="D4177" s="65"/>
      <c r="E4177" s="66"/>
      <c r="F4177" s="67"/>
      <c r="G4177" s="64"/>
      <c r="H4177" s="68"/>
      <c r="I4177" s="69"/>
      <c r="J4177" s="69"/>
      <c r="K4177" s="32"/>
      <c r="L4177" s="76">
        <v>4177</v>
      </c>
      <c r="M4177" s="76"/>
      <c r="N4177" s="71"/>
      <c r="O4177" s="87" t="s">
        <v>1839</v>
      </c>
      <c r="P4177" s="90">
        <v>45151.543935185182</v>
      </c>
      <c r="Q4177" s="87" t="s">
        <v>5820</v>
      </c>
      <c r="R4177" s="87">
        <v>0</v>
      </c>
      <c r="S4177" s="87">
        <v>0</v>
      </c>
      <c r="T4177" s="87">
        <v>0</v>
      </c>
      <c r="U4177" s="87">
        <v>0</v>
      </c>
      <c r="V4177" s="87">
        <v>6</v>
      </c>
      <c r="W4177" s="93" t="s">
        <v>8334</v>
      </c>
      <c r="X4177" s="87"/>
      <c r="Y4177" s="87"/>
      <c r="Z4177" s="87" t="s">
        <v>1838</v>
      </c>
      <c r="AA4177" s="87" t="s">
        <v>11438</v>
      </c>
      <c r="AB4177" s="87" t="s">
        <v>11447</v>
      </c>
      <c r="AC4177" s="93" t="s">
        <v>11459</v>
      </c>
      <c r="AD4177" s="87" t="s">
        <v>11519</v>
      </c>
      <c r="AE4177" s="92" t="str">
        <f>HYPERLINK("https://twitter.com/rdconsultoria/status/1690710610739187712")</f>
        <v>https://twitter.com/rdconsultoria/status/1690710610739187712</v>
      </c>
      <c r="AF4177" s="90">
        <v>45151.543935185182</v>
      </c>
      <c r="AG4177" s="99">
        <v>45151</v>
      </c>
      <c r="AH4177" s="93" t="s">
        <v>15159</v>
      </c>
      <c r="AI4177" s="87" t="b">
        <v>0</v>
      </c>
      <c r="AJ4177" s="87"/>
      <c r="AK4177" s="87"/>
      <c r="AL4177" s="87"/>
      <c r="AM4177" s="87"/>
      <c r="AN4177" s="87"/>
      <c r="AO4177" s="87"/>
      <c r="AP4177" s="87"/>
      <c r="AQ4177" s="87" t="s">
        <v>18250</v>
      </c>
      <c r="AR4177" s="87">
        <v>15033</v>
      </c>
      <c r="AS4177" s="87"/>
      <c r="AT4177" s="87"/>
      <c r="AU4177" s="87"/>
      <c r="AV4177" s="92" t="str">
        <f>HYPERLINK("https://pbs.twimg.com/ext_tw_video_thumb/1690710557240745986/pu/img/fZmLXJ78s1eslGpf.jpg")</f>
        <v>https://pbs.twimg.com/ext_tw_video_thumb/1690710557240745986/pu/img/fZmLXJ78s1eslGpf.jpg</v>
      </c>
      <c r="AW4177" s="93" t="s">
        <v>22277</v>
      </c>
      <c r="AX4177" s="93" t="s">
        <v>22277</v>
      </c>
      <c r="AY4177" s="87"/>
      <c r="AZ4177" s="93" t="s">
        <v>22668</v>
      </c>
      <c r="BA4177" s="93" t="s">
        <v>22668</v>
      </c>
      <c r="BB4177" s="93" t="s">
        <v>22668</v>
      </c>
      <c r="BC4177" s="93" t="s">
        <v>22277</v>
      </c>
      <c r="BD4177" s="87">
        <v>226626305</v>
      </c>
      <c r="BE4177" s="87"/>
      <c r="BF4177" s="87"/>
      <c r="BG4177" s="87"/>
      <c r="BH4177" s="87"/>
      <c r="BI4177" s="87"/>
    </row>
    <row r="4178" spans="1:61" x14ac:dyDescent="0.25">
      <c r="A4178" s="63" t="s">
        <v>1613</v>
      </c>
      <c r="B4178" s="63" t="s">
        <v>1613</v>
      </c>
      <c r="C4178" s="64"/>
      <c r="D4178" s="65"/>
      <c r="E4178" s="66"/>
      <c r="F4178" s="67"/>
      <c r="G4178" s="64"/>
      <c r="H4178" s="68"/>
      <c r="I4178" s="69"/>
      <c r="J4178" s="69"/>
      <c r="K4178" s="32"/>
      <c r="L4178" s="76">
        <v>4178</v>
      </c>
      <c r="M4178" s="76"/>
      <c r="N4178" s="71"/>
      <c r="O4178" s="87" t="s">
        <v>179</v>
      </c>
      <c r="P4178" s="90">
        <v>45127.544108796297</v>
      </c>
      <c r="Q4178" s="87" t="s">
        <v>5821</v>
      </c>
      <c r="R4178" s="87">
        <v>0</v>
      </c>
      <c r="S4178" s="87">
        <v>0</v>
      </c>
      <c r="T4178" s="87">
        <v>0</v>
      </c>
      <c r="U4178" s="87">
        <v>0</v>
      </c>
      <c r="V4178" s="87">
        <v>60</v>
      </c>
      <c r="W4178" s="93" t="s">
        <v>8335</v>
      </c>
      <c r="X4178" s="87"/>
      <c r="Y4178" s="87"/>
      <c r="Z4178" s="87"/>
      <c r="AA4178" s="87" t="s">
        <v>11439</v>
      </c>
      <c r="AB4178" s="87" t="s">
        <v>11448</v>
      </c>
      <c r="AC4178" s="93" t="s">
        <v>11459</v>
      </c>
      <c r="AD4178" s="87" t="s">
        <v>11519</v>
      </c>
      <c r="AE4178" s="92" t="str">
        <f>HYPERLINK("https://twitter.com/fortalezaplanet/status/1682013365189632004")</f>
        <v>https://twitter.com/fortalezaplanet/status/1682013365189632004</v>
      </c>
      <c r="AF4178" s="90">
        <v>45127.544108796297</v>
      </c>
      <c r="AG4178" s="99">
        <v>45127</v>
      </c>
      <c r="AH4178" s="93" t="s">
        <v>15160</v>
      </c>
      <c r="AI4178" s="87" t="b">
        <v>0</v>
      </c>
      <c r="AJ4178" s="87"/>
      <c r="AK4178" s="87"/>
      <c r="AL4178" s="87"/>
      <c r="AM4178" s="87"/>
      <c r="AN4178" s="87"/>
      <c r="AO4178" s="87"/>
      <c r="AP4178" s="87"/>
      <c r="AQ4178" s="87" t="s">
        <v>18251</v>
      </c>
      <c r="AR4178" s="87"/>
      <c r="AS4178" s="87"/>
      <c r="AT4178" s="87"/>
      <c r="AU4178" s="87"/>
      <c r="AV4178" s="92" t="str">
        <f>HYPERLINK("https://pbs.twimg.com/media/F1e2PeoWYAIkyFe.jpg")</f>
        <v>https://pbs.twimg.com/media/F1e2PeoWYAIkyFe.jpg</v>
      </c>
      <c r="AW4178" s="93" t="s">
        <v>22278</v>
      </c>
      <c r="AX4178" s="93" t="s">
        <v>22278</v>
      </c>
      <c r="AY4178" s="87"/>
      <c r="AZ4178" s="93" t="s">
        <v>22668</v>
      </c>
      <c r="BA4178" s="93" t="s">
        <v>22668</v>
      </c>
      <c r="BB4178" s="93" t="s">
        <v>22668</v>
      </c>
      <c r="BC4178" s="93" t="s">
        <v>22278</v>
      </c>
      <c r="BD4178" s="93" t="s">
        <v>23598</v>
      </c>
      <c r="BE4178" s="87"/>
      <c r="BF4178" s="87"/>
      <c r="BG4178" s="87"/>
      <c r="BH4178" s="87"/>
      <c r="BI4178" s="87"/>
    </row>
    <row r="4179" spans="1:61" x14ac:dyDescent="0.25">
      <c r="A4179" s="63" t="s">
        <v>1613</v>
      </c>
      <c r="B4179" s="63" t="s">
        <v>1613</v>
      </c>
      <c r="C4179" s="64"/>
      <c r="D4179" s="65"/>
      <c r="E4179" s="66"/>
      <c r="F4179" s="67"/>
      <c r="G4179" s="64"/>
      <c r="H4179" s="68"/>
      <c r="I4179" s="69"/>
      <c r="J4179" s="69"/>
      <c r="K4179" s="32"/>
      <c r="L4179" s="76">
        <v>4179</v>
      </c>
      <c r="M4179" s="76"/>
      <c r="N4179" s="71"/>
      <c r="O4179" s="87" t="s">
        <v>179</v>
      </c>
      <c r="P4179" s="90">
        <v>45139.679282407407</v>
      </c>
      <c r="Q4179" s="87" t="s">
        <v>5822</v>
      </c>
      <c r="R4179" s="87">
        <v>0</v>
      </c>
      <c r="S4179" s="87">
        <v>0</v>
      </c>
      <c r="T4179" s="87">
        <v>0</v>
      </c>
      <c r="U4179" s="87">
        <v>0</v>
      </c>
      <c r="V4179" s="87">
        <v>19</v>
      </c>
      <c r="W4179" s="93" t="s">
        <v>8336</v>
      </c>
      <c r="X4179" s="87"/>
      <c r="Y4179" s="87"/>
      <c r="Z4179" s="87"/>
      <c r="AA4179" s="87" t="s">
        <v>11440</v>
      </c>
      <c r="AB4179" s="87" t="s">
        <v>11448</v>
      </c>
      <c r="AC4179" s="93" t="s">
        <v>11459</v>
      </c>
      <c r="AD4179" s="87" t="s">
        <v>11519</v>
      </c>
      <c r="AE4179" s="92" t="str">
        <f>HYPERLINK("https://twitter.com/fortalezaplanet/status/1686411004236664832")</f>
        <v>https://twitter.com/fortalezaplanet/status/1686411004236664832</v>
      </c>
      <c r="AF4179" s="90">
        <v>45139.679282407407</v>
      </c>
      <c r="AG4179" s="99">
        <v>45139</v>
      </c>
      <c r="AH4179" s="93" t="s">
        <v>15161</v>
      </c>
      <c r="AI4179" s="87" t="b">
        <v>0</v>
      </c>
      <c r="AJ4179" s="87"/>
      <c r="AK4179" s="87"/>
      <c r="AL4179" s="87"/>
      <c r="AM4179" s="87"/>
      <c r="AN4179" s="87"/>
      <c r="AO4179" s="87"/>
      <c r="AP4179" s="87"/>
      <c r="AQ4179" s="87" t="s">
        <v>18252</v>
      </c>
      <c r="AR4179" s="87"/>
      <c r="AS4179" s="87"/>
      <c r="AT4179" s="87"/>
      <c r="AU4179" s="87"/>
      <c r="AV4179" s="92" t="str">
        <f>HYPERLINK("https://pbs.twimg.com/media/F2dV3wCX0AUAjUk.jpg")</f>
        <v>https://pbs.twimg.com/media/F2dV3wCX0AUAjUk.jpg</v>
      </c>
      <c r="AW4179" s="93" t="s">
        <v>22279</v>
      </c>
      <c r="AX4179" s="93" t="s">
        <v>22279</v>
      </c>
      <c r="AY4179" s="87"/>
      <c r="AZ4179" s="93" t="s">
        <v>22668</v>
      </c>
      <c r="BA4179" s="93" t="s">
        <v>22668</v>
      </c>
      <c r="BB4179" s="93" t="s">
        <v>22668</v>
      </c>
      <c r="BC4179" s="93" t="s">
        <v>22279</v>
      </c>
      <c r="BD4179" s="93" t="s">
        <v>23598</v>
      </c>
      <c r="BE4179" s="87"/>
      <c r="BF4179" s="87"/>
      <c r="BG4179" s="87"/>
      <c r="BH4179" s="87"/>
      <c r="BI4179" s="87"/>
    </row>
    <row r="4180" spans="1:61" x14ac:dyDescent="0.25">
      <c r="A4180" s="63" t="s">
        <v>1614</v>
      </c>
      <c r="B4180" s="63" t="s">
        <v>1614</v>
      </c>
      <c r="C4180" s="64"/>
      <c r="D4180" s="65"/>
      <c r="E4180" s="66"/>
      <c r="F4180" s="67"/>
      <c r="G4180" s="64"/>
      <c r="H4180" s="68"/>
      <c r="I4180" s="69"/>
      <c r="J4180" s="69"/>
      <c r="K4180" s="32"/>
      <c r="L4180" s="76">
        <v>4180</v>
      </c>
      <c r="M4180" s="76"/>
      <c r="N4180" s="71"/>
      <c r="O4180" s="87" t="s">
        <v>179</v>
      </c>
      <c r="P4180" s="90">
        <v>45168.070289351854</v>
      </c>
      <c r="Q4180" s="87" t="s">
        <v>5823</v>
      </c>
      <c r="R4180" s="87">
        <v>0</v>
      </c>
      <c r="S4180" s="87">
        <v>0</v>
      </c>
      <c r="T4180" s="87">
        <v>0</v>
      </c>
      <c r="U4180" s="87">
        <v>0</v>
      </c>
      <c r="V4180" s="87">
        <v>44</v>
      </c>
      <c r="W4180" s="93" t="s">
        <v>8337</v>
      </c>
      <c r="X4180" s="87"/>
      <c r="Y4180" s="87"/>
      <c r="Z4180" s="87"/>
      <c r="AA4180" s="87" t="s">
        <v>11441</v>
      </c>
      <c r="AB4180" s="87" t="s">
        <v>11447</v>
      </c>
      <c r="AC4180" s="93" t="s">
        <v>11459</v>
      </c>
      <c r="AD4180" s="87" t="s">
        <v>11519</v>
      </c>
      <c r="AE4180" s="92" t="str">
        <f>HYPERLINK("https://twitter.com/danyelzin_anjs/status/1696699561853555178")</f>
        <v>https://twitter.com/danyelzin_anjs/status/1696699561853555178</v>
      </c>
      <c r="AF4180" s="90">
        <v>45168.070289351854</v>
      </c>
      <c r="AG4180" s="99">
        <v>45168</v>
      </c>
      <c r="AH4180" s="93" t="s">
        <v>15162</v>
      </c>
      <c r="AI4180" s="87" t="b">
        <v>0</v>
      </c>
      <c r="AJ4180" s="87"/>
      <c r="AK4180" s="87"/>
      <c r="AL4180" s="87"/>
      <c r="AM4180" s="87"/>
      <c r="AN4180" s="87"/>
      <c r="AO4180" s="87"/>
      <c r="AP4180" s="87"/>
      <c r="AQ4180" s="87" t="s">
        <v>18253</v>
      </c>
      <c r="AR4180" s="87">
        <v>60531</v>
      </c>
      <c r="AS4180" s="87"/>
      <c r="AT4180" s="87"/>
      <c r="AU4180" s="87"/>
      <c r="AV4180" s="92" t="str">
        <f>HYPERLINK("https://pbs.twimg.com/ext_tw_video_thumb/1696698719800844288/pu/img/p-z60lg4u5f2rJOq.jpg")</f>
        <v>https://pbs.twimg.com/ext_tw_video_thumb/1696698719800844288/pu/img/p-z60lg4u5f2rJOq.jpg</v>
      </c>
      <c r="AW4180" s="93" t="s">
        <v>22280</v>
      </c>
      <c r="AX4180" s="93" t="s">
        <v>22280</v>
      </c>
      <c r="AY4180" s="87"/>
      <c r="AZ4180" s="93" t="s">
        <v>22668</v>
      </c>
      <c r="BA4180" s="93" t="s">
        <v>22668</v>
      </c>
      <c r="BB4180" s="93" t="s">
        <v>22668</v>
      </c>
      <c r="BC4180" s="93" t="s">
        <v>22280</v>
      </c>
      <c r="BD4180" s="93" t="s">
        <v>23599</v>
      </c>
      <c r="BE4180" s="87"/>
      <c r="BF4180" s="87"/>
      <c r="BG4180" s="87"/>
      <c r="BH4180" s="87"/>
      <c r="BI4180" s="87"/>
    </row>
    <row r="4181" spans="1:61" x14ac:dyDescent="0.25">
      <c r="A4181" s="63" t="s">
        <v>1615</v>
      </c>
      <c r="B4181" s="63" t="s">
        <v>1615</v>
      </c>
      <c r="C4181" s="64"/>
      <c r="D4181" s="65"/>
      <c r="E4181" s="66"/>
      <c r="F4181" s="67"/>
      <c r="G4181" s="64"/>
      <c r="H4181" s="68"/>
      <c r="I4181" s="69"/>
      <c r="J4181" s="69"/>
      <c r="K4181" s="32"/>
      <c r="L4181" s="76">
        <v>4181</v>
      </c>
      <c r="M4181" s="76"/>
      <c r="N4181" s="71"/>
      <c r="O4181" s="87" t="s">
        <v>179</v>
      </c>
      <c r="P4181" s="90">
        <v>45136.764039351852</v>
      </c>
      <c r="Q4181" s="87" t="s">
        <v>5824</v>
      </c>
      <c r="R4181" s="87">
        <v>0</v>
      </c>
      <c r="S4181" s="87">
        <v>0</v>
      </c>
      <c r="T4181" s="87">
        <v>0</v>
      </c>
      <c r="U4181" s="87">
        <v>0</v>
      </c>
      <c r="V4181" s="87">
        <v>11</v>
      </c>
      <c r="W4181" s="93" t="s">
        <v>8338</v>
      </c>
      <c r="X4181" s="87"/>
      <c r="Y4181" s="87"/>
      <c r="Z4181" s="87"/>
      <c r="AA4181" s="87" t="s">
        <v>11442</v>
      </c>
      <c r="AB4181" s="87" t="s">
        <v>11447</v>
      </c>
      <c r="AC4181" s="93" t="s">
        <v>11458</v>
      </c>
      <c r="AD4181" s="87" t="s">
        <v>11523</v>
      </c>
      <c r="AE4181" s="92" t="str">
        <f>HYPERLINK("https://twitter.com/dinero_enaccion/status/1685354555607859200")</f>
        <v>https://twitter.com/dinero_enaccion/status/1685354555607859200</v>
      </c>
      <c r="AF4181" s="90">
        <v>45136.764039351852</v>
      </c>
      <c r="AG4181" s="99">
        <v>45136</v>
      </c>
      <c r="AH4181" s="93" t="s">
        <v>15163</v>
      </c>
      <c r="AI4181" s="87" t="b">
        <v>0</v>
      </c>
      <c r="AJ4181" s="87"/>
      <c r="AK4181" s="87"/>
      <c r="AL4181" s="87"/>
      <c r="AM4181" s="87"/>
      <c r="AN4181" s="87"/>
      <c r="AO4181" s="87"/>
      <c r="AP4181" s="87"/>
      <c r="AQ4181" s="87" t="s">
        <v>18254</v>
      </c>
      <c r="AR4181" s="87">
        <v>9066</v>
      </c>
      <c r="AS4181" s="87"/>
      <c r="AT4181" s="87"/>
      <c r="AU4181" s="87"/>
      <c r="AV4181" s="92" t="str">
        <f>HYPERLINK("https://pbs.twimg.com/ext_tw_video_thumb/1685354520677675008/pu/img/thXMwSqgklULT3nq.jpg")</f>
        <v>https://pbs.twimg.com/ext_tw_video_thumb/1685354520677675008/pu/img/thXMwSqgklULT3nq.jpg</v>
      </c>
      <c r="AW4181" s="93" t="s">
        <v>22281</v>
      </c>
      <c r="AX4181" s="93" t="s">
        <v>22281</v>
      </c>
      <c r="AY4181" s="87"/>
      <c r="AZ4181" s="93" t="s">
        <v>22668</v>
      </c>
      <c r="BA4181" s="93" t="s">
        <v>22668</v>
      </c>
      <c r="BB4181" s="93" t="s">
        <v>22668</v>
      </c>
      <c r="BC4181" s="93" t="s">
        <v>22281</v>
      </c>
      <c r="BD4181" s="93" t="s">
        <v>23600</v>
      </c>
      <c r="BE4181" s="87"/>
      <c r="BF4181" s="87"/>
      <c r="BG4181" s="87"/>
      <c r="BH4181" s="87"/>
      <c r="BI4181" s="87"/>
    </row>
    <row r="4182" spans="1:61" x14ac:dyDescent="0.25">
      <c r="A4182" s="63" t="s">
        <v>1616</v>
      </c>
      <c r="B4182" s="63" t="s">
        <v>1616</v>
      </c>
      <c r="C4182" s="64"/>
      <c r="D4182" s="65"/>
      <c r="E4182" s="66"/>
      <c r="F4182" s="67"/>
      <c r="G4182" s="64"/>
      <c r="H4182" s="68"/>
      <c r="I4182" s="69"/>
      <c r="J4182" s="69"/>
      <c r="K4182" s="32"/>
      <c r="L4182" s="76">
        <v>4182</v>
      </c>
      <c r="M4182" s="76"/>
      <c r="N4182" s="71"/>
      <c r="O4182" s="87" t="s">
        <v>179</v>
      </c>
      <c r="P4182" s="90">
        <v>45121.859479166669</v>
      </c>
      <c r="Q4182" s="87" t="s">
        <v>5825</v>
      </c>
      <c r="R4182" s="87">
        <v>0</v>
      </c>
      <c r="S4182" s="87">
        <v>0</v>
      </c>
      <c r="T4182" s="87">
        <v>0</v>
      </c>
      <c r="U4182" s="87">
        <v>0</v>
      </c>
      <c r="V4182" s="87">
        <v>10</v>
      </c>
      <c r="W4182" s="93" t="s">
        <v>8339</v>
      </c>
      <c r="X4182" s="92" t="str">
        <f>HYPERLINK("https://bit.ly/46MzxMZ")</f>
        <v>https://bit.ly/46MzxMZ</v>
      </c>
      <c r="Y4182" s="87" t="s">
        <v>8374</v>
      </c>
      <c r="Z4182" s="87"/>
      <c r="AA4182" s="87" t="s">
        <v>11443</v>
      </c>
      <c r="AB4182" s="87" t="s">
        <v>11451</v>
      </c>
      <c r="AC4182" s="93" t="s">
        <v>11464</v>
      </c>
      <c r="AD4182" s="87" t="s">
        <v>11519</v>
      </c>
      <c r="AE4182" s="92" t="str">
        <f>HYPERLINK("https://twitter.com/sectibahia/status/1679953324785774592")</f>
        <v>https://twitter.com/sectibahia/status/1679953324785774592</v>
      </c>
      <c r="AF4182" s="90">
        <v>45121.859479166669</v>
      </c>
      <c r="AG4182" s="99">
        <v>45121</v>
      </c>
      <c r="AH4182" s="93" t="s">
        <v>15164</v>
      </c>
      <c r="AI4182" s="87" t="b">
        <v>0</v>
      </c>
      <c r="AJ4182" s="87"/>
      <c r="AK4182" s="87"/>
      <c r="AL4182" s="87"/>
      <c r="AM4182" s="87"/>
      <c r="AN4182" s="87"/>
      <c r="AO4182" s="87"/>
      <c r="AP4182" s="87"/>
      <c r="AQ4182" s="87" t="s">
        <v>18255</v>
      </c>
      <c r="AR4182" s="87"/>
      <c r="AS4182" s="87"/>
      <c r="AT4182" s="87"/>
      <c r="AU4182" s="87"/>
      <c r="AV4182" s="92" t="str">
        <f>HYPERLINK("https://pbs.twimg.com/media/F1BkjRHWIAA-vFq.jpg")</f>
        <v>https://pbs.twimg.com/media/F1BkjRHWIAA-vFq.jpg</v>
      </c>
      <c r="AW4182" s="93" t="s">
        <v>22282</v>
      </c>
      <c r="AX4182" s="93" t="s">
        <v>22282</v>
      </c>
      <c r="AY4182" s="87"/>
      <c r="AZ4182" s="93" t="s">
        <v>22668</v>
      </c>
      <c r="BA4182" s="93" t="s">
        <v>22668</v>
      </c>
      <c r="BB4182" s="93" t="s">
        <v>22668</v>
      </c>
      <c r="BC4182" s="93" t="s">
        <v>22282</v>
      </c>
      <c r="BD4182" s="93" t="s">
        <v>23601</v>
      </c>
      <c r="BE4182" s="87"/>
      <c r="BF4182" s="87"/>
      <c r="BG4182" s="87"/>
      <c r="BH4182" s="87"/>
      <c r="BI4182" s="87"/>
    </row>
    <row r="4183" spans="1:61" x14ac:dyDescent="0.25">
      <c r="A4183" s="63" t="s">
        <v>1617</v>
      </c>
      <c r="B4183" s="63" t="s">
        <v>1617</v>
      </c>
      <c r="C4183" s="64"/>
      <c r="D4183" s="65"/>
      <c r="E4183" s="66"/>
      <c r="F4183" s="67"/>
      <c r="G4183" s="64"/>
      <c r="H4183" s="68"/>
      <c r="I4183" s="69"/>
      <c r="J4183" s="69"/>
      <c r="K4183" s="32"/>
      <c r="L4183" s="76">
        <v>4183</v>
      </c>
      <c r="M4183" s="76"/>
      <c r="N4183" s="71"/>
      <c r="O4183" s="87" t="s">
        <v>179</v>
      </c>
      <c r="P4183" s="90">
        <v>45121.80263888889</v>
      </c>
      <c r="Q4183" s="87" t="s">
        <v>5826</v>
      </c>
      <c r="R4183" s="87">
        <v>0</v>
      </c>
      <c r="S4183" s="87">
        <v>0</v>
      </c>
      <c r="T4183" s="87">
        <v>0</v>
      </c>
      <c r="U4183" s="87">
        <v>0</v>
      </c>
      <c r="V4183" s="87">
        <v>65</v>
      </c>
      <c r="W4183" s="93" t="s">
        <v>8340</v>
      </c>
      <c r="X4183" s="92" t="str">
        <f>HYPERLINK("https://www.jornaldeblumenau.com.br/n.php?ID=34566&amp;T=trilha-do-sebrae-delas-tem-foco-na-capacitacao-de-empresarias")</f>
        <v>https://www.jornaldeblumenau.com.br/n.php?ID=34566&amp;T=trilha-do-sebrae-delas-tem-foco-na-capacitacao-de-empresarias</v>
      </c>
      <c r="Y4183" s="87" t="s">
        <v>8373</v>
      </c>
      <c r="Z4183" s="87"/>
      <c r="AA4183" s="87" t="s">
        <v>11444</v>
      </c>
      <c r="AB4183" s="87" t="s">
        <v>11448</v>
      </c>
      <c r="AC4183" s="93" t="s">
        <v>11457</v>
      </c>
      <c r="AD4183" s="87" t="s">
        <v>11519</v>
      </c>
      <c r="AE4183" s="92" t="str">
        <f>HYPERLINK("https://twitter.com/jornal_blumenau/status/1679932727338909698")</f>
        <v>https://twitter.com/jornal_blumenau/status/1679932727338909698</v>
      </c>
      <c r="AF4183" s="90">
        <v>45121.80263888889</v>
      </c>
      <c r="AG4183" s="99">
        <v>45121</v>
      </c>
      <c r="AH4183" s="93" t="s">
        <v>15165</v>
      </c>
      <c r="AI4183" s="87" t="b">
        <v>0</v>
      </c>
      <c r="AJ4183" s="87"/>
      <c r="AK4183" s="87"/>
      <c r="AL4183" s="87"/>
      <c r="AM4183" s="87"/>
      <c r="AN4183" s="87"/>
      <c r="AO4183" s="87"/>
      <c r="AP4183" s="87"/>
      <c r="AQ4183" s="87" t="s">
        <v>18256</v>
      </c>
      <c r="AR4183" s="87"/>
      <c r="AS4183" s="87"/>
      <c r="AT4183" s="87"/>
      <c r="AU4183" s="87"/>
      <c r="AV4183" s="92" t="str">
        <f>HYPERLINK("https://pbs.twimg.com/media/F1BR5ZHWwA4dsm3.jpg")</f>
        <v>https://pbs.twimg.com/media/F1BR5ZHWwA4dsm3.jpg</v>
      </c>
      <c r="AW4183" s="93" t="s">
        <v>22283</v>
      </c>
      <c r="AX4183" s="93" t="s">
        <v>22283</v>
      </c>
      <c r="AY4183" s="87"/>
      <c r="AZ4183" s="93" t="s">
        <v>22668</v>
      </c>
      <c r="BA4183" s="93" t="s">
        <v>22668</v>
      </c>
      <c r="BB4183" s="93" t="s">
        <v>22668</v>
      </c>
      <c r="BC4183" s="93" t="s">
        <v>22283</v>
      </c>
      <c r="BD4183" s="87">
        <v>206473907</v>
      </c>
      <c r="BE4183" s="87"/>
      <c r="BF4183" s="87"/>
      <c r="BG4183" s="87"/>
      <c r="BH4183" s="87"/>
      <c r="BI4183" s="87"/>
    </row>
    <row r="4184" spans="1:61" x14ac:dyDescent="0.25">
      <c r="A4184" s="63" t="s">
        <v>1617</v>
      </c>
      <c r="B4184" s="63" t="s">
        <v>1617</v>
      </c>
      <c r="C4184" s="64"/>
      <c r="D4184" s="65"/>
      <c r="E4184" s="66"/>
      <c r="F4184" s="67"/>
      <c r="G4184" s="64"/>
      <c r="H4184" s="68"/>
      <c r="I4184" s="69"/>
      <c r="J4184" s="69"/>
      <c r="K4184" s="32"/>
      <c r="L4184" s="76">
        <v>4184</v>
      </c>
      <c r="M4184" s="76"/>
      <c r="N4184" s="71"/>
      <c r="O4184" s="87" t="s">
        <v>179</v>
      </c>
      <c r="P4184" s="90">
        <v>45139.849918981483</v>
      </c>
      <c r="Q4184" s="87" t="s">
        <v>5827</v>
      </c>
      <c r="R4184" s="87">
        <v>0</v>
      </c>
      <c r="S4184" s="87">
        <v>0</v>
      </c>
      <c r="T4184" s="87">
        <v>0</v>
      </c>
      <c r="U4184" s="87">
        <v>0</v>
      </c>
      <c r="V4184" s="87">
        <v>110</v>
      </c>
      <c r="W4184" s="93" t="s">
        <v>8341</v>
      </c>
      <c r="X4184" s="92" t="str">
        <f>HYPERLINK("https://www.jornaldeblumenau.com.br/n.php?ID=34760&amp;T=praca-do-empreendedor-de-blumenau-e-case-de-referencia-em-evento-nacional")</f>
        <v>https://www.jornaldeblumenau.com.br/n.php?ID=34760&amp;T=praca-do-empreendedor-de-blumenau-e-case-de-referencia-em-evento-nacional</v>
      </c>
      <c r="Y4184" s="87" t="s">
        <v>8373</v>
      </c>
      <c r="Z4184" s="87"/>
      <c r="AA4184" s="87" t="s">
        <v>11445</v>
      </c>
      <c r="AB4184" s="87" t="s">
        <v>11448</v>
      </c>
      <c r="AC4184" s="93" t="s">
        <v>11457</v>
      </c>
      <c r="AD4184" s="87" t="s">
        <v>11519</v>
      </c>
      <c r="AE4184" s="92" t="str">
        <f>HYPERLINK("https://twitter.com/jornal_blumenau/status/1686472842420879360")</f>
        <v>https://twitter.com/jornal_blumenau/status/1686472842420879360</v>
      </c>
      <c r="AF4184" s="90">
        <v>45139.849918981483</v>
      </c>
      <c r="AG4184" s="99">
        <v>45139</v>
      </c>
      <c r="AH4184" s="93" t="s">
        <v>15166</v>
      </c>
      <c r="AI4184" s="87" t="b">
        <v>0</v>
      </c>
      <c r="AJ4184" s="87"/>
      <c r="AK4184" s="87"/>
      <c r="AL4184" s="87"/>
      <c r="AM4184" s="87"/>
      <c r="AN4184" s="87"/>
      <c r="AO4184" s="87"/>
      <c r="AP4184" s="87"/>
      <c r="AQ4184" s="87" t="s">
        <v>18257</v>
      </c>
      <c r="AR4184" s="87"/>
      <c r="AS4184" s="87"/>
      <c r="AT4184" s="87"/>
      <c r="AU4184" s="87"/>
      <c r="AV4184" s="92" t="str">
        <f>HYPERLINK("https://pbs.twimg.com/media/F2eOGi8aAAITMgl.jpg")</f>
        <v>https://pbs.twimg.com/media/F2eOGi8aAAITMgl.jpg</v>
      </c>
      <c r="AW4184" s="93" t="s">
        <v>22284</v>
      </c>
      <c r="AX4184" s="93" t="s">
        <v>22284</v>
      </c>
      <c r="AY4184" s="87"/>
      <c r="AZ4184" s="93" t="s">
        <v>22668</v>
      </c>
      <c r="BA4184" s="93" t="s">
        <v>22668</v>
      </c>
      <c r="BB4184" s="93" t="s">
        <v>22668</v>
      </c>
      <c r="BC4184" s="93" t="s">
        <v>22284</v>
      </c>
      <c r="BD4184" s="87">
        <v>206473907</v>
      </c>
      <c r="BE4184" s="87"/>
      <c r="BF4184" s="87"/>
      <c r="BG4184" s="87"/>
      <c r="BH4184" s="87"/>
      <c r="BI4184" s="87"/>
    </row>
    <row r="4185" spans="1:61" x14ac:dyDescent="0.25">
      <c r="A4185" s="77" t="s">
        <v>1617</v>
      </c>
      <c r="B4185" s="77" t="s">
        <v>1617</v>
      </c>
      <c r="C4185" s="78"/>
      <c r="D4185" s="79"/>
      <c r="E4185" s="80"/>
      <c r="F4185" s="81"/>
      <c r="G4185" s="78"/>
      <c r="H4185" s="82"/>
      <c r="I4185" s="83"/>
      <c r="J4185" s="83"/>
      <c r="K4185" s="62"/>
      <c r="L4185" s="84">
        <v>4185</v>
      </c>
      <c r="M4185" s="84"/>
      <c r="N4185" s="85"/>
      <c r="O4185" s="88" t="s">
        <v>179</v>
      </c>
      <c r="P4185" s="91">
        <v>45154.596643518518</v>
      </c>
      <c r="Q4185" s="88" t="s">
        <v>5828</v>
      </c>
      <c r="R4185" s="88">
        <v>0</v>
      </c>
      <c r="S4185" s="88">
        <v>0</v>
      </c>
      <c r="T4185" s="88">
        <v>0</v>
      </c>
      <c r="U4185" s="88">
        <v>0</v>
      </c>
      <c r="V4185" s="88">
        <v>60</v>
      </c>
      <c r="W4185" s="95" t="s">
        <v>8342</v>
      </c>
      <c r="X4185" s="97" t="str">
        <f>HYPERLINK("https://www.jornaldeblumenau.com.br/n.php?ID=34928&amp;T=o-que-aprendi-em-15-anos-de-empreendedorismo-erros-e-acertos-da-jornada")</f>
        <v>https://www.jornaldeblumenau.com.br/n.php?ID=34928&amp;T=o-que-aprendi-em-15-anos-de-empreendedorismo-erros-e-acertos-da-jornada</v>
      </c>
      <c r="Y4185" s="88" t="s">
        <v>8373</v>
      </c>
      <c r="Z4185" s="88"/>
      <c r="AA4185" s="88" t="s">
        <v>11446</v>
      </c>
      <c r="AB4185" s="88" t="s">
        <v>11448</v>
      </c>
      <c r="AC4185" s="95" t="s">
        <v>11457</v>
      </c>
      <c r="AD4185" s="88" t="s">
        <v>11519</v>
      </c>
      <c r="AE4185" s="97" t="str">
        <f>HYPERLINK("https://twitter.com/jornal_blumenau/status/1691816875867410747")</f>
        <v>https://twitter.com/jornal_blumenau/status/1691816875867410747</v>
      </c>
      <c r="AF4185" s="91">
        <v>45154.596643518518</v>
      </c>
      <c r="AG4185" s="100">
        <v>45154</v>
      </c>
      <c r="AH4185" s="95" t="s">
        <v>14589</v>
      </c>
      <c r="AI4185" s="88" t="b">
        <v>0</v>
      </c>
      <c r="AJ4185" s="88"/>
      <c r="AK4185" s="88"/>
      <c r="AL4185" s="88"/>
      <c r="AM4185" s="88"/>
      <c r="AN4185" s="88"/>
      <c r="AO4185" s="88"/>
      <c r="AP4185" s="88"/>
      <c r="AQ4185" s="88" t="s">
        <v>18258</v>
      </c>
      <c r="AR4185" s="88"/>
      <c r="AS4185" s="88"/>
      <c r="AT4185" s="88"/>
      <c r="AU4185" s="88"/>
      <c r="AV4185" s="97" t="str">
        <f>HYPERLINK("https://pbs.twimg.com/media/F3qKeDUXQAAsJBh.jpg")</f>
        <v>https://pbs.twimg.com/media/F3qKeDUXQAAsJBh.jpg</v>
      </c>
      <c r="AW4185" s="95" t="s">
        <v>22285</v>
      </c>
      <c r="AX4185" s="95" t="s">
        <v>22285</v>
      </c>
      <c r="AY4185" s="88"/>
      <c r="AZ4185" s="95" t="s">
        <v>22668</v>
      </c>
      <c r="BA4185" s="95" t="s">
        <v>22668</v>
      </c>
      <c r="BB4185" s="95" t="s">
        <v>22668</v>
      </c>
      <c r="BC4185" s="95" t="s">
        <v>22285</v>
      </c>
      <c r="BD4185" s="88">
        <v>206473907</v>
      </c>
      <c r="BE4185" s="88"/>
      <c r="BF4185" s="88"/>
      <c r="BG4185" s="88"/>
      <c r="BH4185" s="88"/>
      <c r="BI4185" s="88"/>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4185"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4185" xr:uid="{00000000-0002-0000-0000-000001000000}"/>
    <dataValidation allowBlank="1" showErrorMessage="1" sqref="N2:N4185"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4185"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4185" xr:uid="{00000000-0002-0000-0000-000004000000}"/>
    <dataValidation allowBlank="1" showInputMessage="1" promptTitle="Edge Color" prompt="To select an optional edge color, right-click and select Select Color on the right-click menu." sqref="C3:C4185" xr:uid="{00000000-0002-0000-0000-000005000000}"/>
    <dataValidation allowBlank="1" showInputMessage="1" errorTitle="Invalid Edge Width" error="The optional edge width must be a whole number between 1 and 10." promptTitle="Edge Width" prompt="Enter an optional edge width between 1 and 10." sqref="D3:D4185"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4185"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4185" xr:uid="{00000000-0002-0000-0000-000008000000}">
      <formula1>ValidEdgeVisibilities</formula1>
    </dataValidation>
    <dataValidation allowBlank="1" showInputMessage="1" showErrorMessage="1" promptTitle="Vertex 1 Name" prompt="Enter the name of the edge's first vertex." sqref="A3:A4185" xr:uid="{00000000-0002-0000-0000-000009000000}"/>
    <dataValidation allowBlank="1" showInputMessage="1" showErrorMessage="1" promptTitle="Vertex 2 Name" prompt="Enter the name of the edge's second vertex." sqref="B3:B4185"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4185"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4185"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4185"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P1627"/>
  <sheetViews>
    <sheetView workbookViewId="0">
      <pane xSplit="1" ySplit="2" topLeftCell="B3" activePane="bottomRight" state="frozen"/>
      <selection pane="topRight" activeCell="B1" sqref="B1"/>
      <selection pane="bottomLeft" activeCell="A3" sqref="A3"/>
      <selection pane="bottomRight" activeCell="A2" sqref="A2:AD2"/>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hidden="1" customWidth="1"/>
    <col min="28" max="28" width="16" hidden="1" customWidth="1"/>
    <col min="29" max="29" width="16" style="5" bestFit="1" customWidth="1"/>
    <col min="30" max="30" width="8.5703125" style="2" bestFit="1" customWidth="1"/>
    <col min="31" max="31" width="9.5703125" bestFit="1" customWidth="1"/>
    <col min="32" max="32" width="12" bestFit="1" customWidth="1"/>
    <col min="33" max="33" width="11.5703125" bestFit="1" customWidth="1"/>
    <col min="34" max="34" width="9.7109375" bestFit="1" customWidth="1"/>
    <col min="35" max="35" width="9" bestFit="1" customWidth="1"/>
    <col min="36" max="36" width="13" bestFit="1" customWidth="1"/>
    <col min="37" max="37" width="14.5703125" bestFit="1" customWidth="1"/>
    <col min="38" max="38" width="10.5703125" bestFit="1" customWidth="1"/>
    <col min="39" max="39" width="16.5703125" bestFit="1" customWidth="1"/>
    <col min="40" max="40" width="10.7109375" bestFit="1" customWidth="1"/>
    <col min="41" max="41" width="13.42578125" bestFit="1" customWidth="1"/>
    <col min="42" max="42" width="10.85546875" bestFit="1" customWidth="1"/>
    <col min="43" max="43" width="17.140625" bestFit="1" customWidth="1"/>
    <col min="44" max="44" width="14.7109375" bestFit="1" customWidth="1"/>
    <col min="45" max="45" width="15.5703125" bestFit="1" customWidth="1"/>
    <col min="46" max="46" width="23.28515625" bestFit="1" customWidth="1"/>
    <col min="47" max="47" width="21" bestFit="1" customWidth="1"/>
    <col min="48" max="48" width="11.140625" bestFit="1" customWidth="1"/>
    <col min="49" max="49" width="6.5703125" bestFit="1" customWidth="1"/>
    <col min="50" max="50" width="10.5703125" bestFit="1" customWidth="1"/>
    <col min="51" max="51" width="14.140625" bestFit="1" customWidth="1"/>
    <col min="52" max="52" width="12" bestFit="1" customWidth="1"/>
    <col min="53" max="53" width="10" bestFit="1" customWidth="1"/>
    <col min="54" max="54" width="13" bestFit="1" customWidth="1"/>
    <col min="55" max="55" width="10.28515625" bestFit="1" customWidth="1"/>
    <col min="56" max="56" width="16.85546875" bestFit="1" customWidth="1"/>
    <col min="57" max="58" width="14" bestFit="1" customWidth="1"/>
    <col min="59" max="59" width="11.42578125" bestFit="1" customWidth="1"/>
    <col min="60" max="60" width="13.28515625" bestFit="1" customWidth="1"/>
    <col min="61" max="61" width="19.7109375" bestFit="1" customWidth="1"/>
    <col min="62" max="62" width="12.5703125" bestFit="1" customWidth="1"/>
    <col min="63" max="63" width="11.7109375" bestFit="1" customWidth="1"/>
    <col min="64" max="64" width="11.5703125" bestFit="1" customWidth="1"/>
    <col min="65" max="65" width="15.140625" bestFit="1" customWidth="1"/>
    <col min="66" max="67" width="16.140625" bestFit="1" customWidth="1"/>
  </cols>
  <sheetData>
    <row r="1" spans="1:68" x14ac:dyDescent="0.25">
      <c r="B1" s="22" t="s">
        <v>39</v>
      </c>
      <c r="C1" s="15"/>
      <c r="D1" s="15"/>
      <c r="E1" s="15"/>
      <c r="F1" s="15"/>
      <c r="G1" s="15"/>
      <c r="H1" s="24" t="s">
        <v>43</v>
      </c>
      <c r="I1" s="23"/>
      <c r="J1" s="23"/>
      <c r="K1" s="23"/>
      <c r="L1" s="26" t="s">
        <v>44</v>
      </c>
      <c r="M1" s="25"/>
      <c r="N1" s="25"/>
      <c r="O1" s="25"/>
      <c r="P1" s="25"/>
      <c r="Q1" s="25"/>
      <c r="R1" s="21" t="s">
        <v>42</v>
      </c>
      <c r="S1" s="18"/>
      <c r="T1" s="19"/>
      <c r="U1" s="20"/>
      <c r="V1" s="18"/>
      <c r="W1" s="18"/>
      <c r="X1" s="18"/>
      <c r="Y1" s="18"/>
      <c r="Z1" s="18"/>
      <c r="AA1" s="27" t="s">
        <v>40</v>
      </c>
      <c r="AB1" s="17"/>
      <c r="AC1" s="28" t="s">
        <v>41</v>
      </c>
      <c r="AD1"/>
    </row>
    <row r="2" spans="1:68" ht="30" customHeight="1" x14ac:dyDescent="0.25">
      <c r="A2" s="10" t="s">
        <v>5</v>
      </c>
      <c r="B2" s="7" t="s">
        <v>2</v>
      </c>
      <c r="C2" s="7" t="s">
        <v>8</v>
      </c>
      <c r="D2" s="8" t="s">
        <v>45</v>
      </c>
      <c r="E2" s="9" t="s">
        <v>4</v>
      </c>
      <c r="F2" s="7" t="s">
        <v>48</v>
      </c>
      <c r="G2" s="7" t="s">
        <v>11</v>
      </c>
      <c r="H2" s="7" t="s">
        <v>46</v>
      </c>
      <c r="I2" s="7" t="s">
        <v>47</v>
      </c>
      <c r="J2" s="7" t="s">
        <v>77</v>
      </c>
      <c r="K2" s="7" t="s">
        <v>10</v>
      </c>
      <c r="L2" s="7" t="s">
        <v>27</v>
      </c>
      <c r="M2" s="7" t="s">
        <v>15</v>
      </c>
      <c r="N2" s="7" t="s">
        <v>16</v>
      </c>
      <c r="O2" s="7" t="s">
        <v>13</v>
      </c>
      <c r="P2" s="7" t="s">
        <v>28</v>
      </c>
      <c r="Q2" s="7" t="s">
        <v>29</v>
      </c>
      <c r="R2" s="7" t="s">
        <v>31</v>
      </c>
      <c r="S2" s="7" t="s">
        <v>32</v>
      </c>
      <c r="T2" s="7" t="s">
        <v>33</v>
      </c>
      <c r="U2" s="7" t="s">
        <v>34</v>
      </c>
      <c r="V2" s="7" t="s">
        <v>35</v>
      </c>
      <c r="W2" s="7" t="s">
        <v>36</v>
      </c>
      <c r="X2" s="7" t="s">
        <v>137</v>
      </c>
      <c r="Y2" s="7" t="s">
        <v>37</v>
      </c>
      <c r="Z2" s="7" t="s">
        <v>170</v>
      </c>
      <c r="AA2" s="10" t="s">
        <v>12</v>
      </c>
      <c r="AB2" s="10" t="s">
        <v>38</v>
      </c>
      <c r="AC2" s="7" t="s">
        <v>26</v>
      </c>
      <c r="AD2" s="7" t="s">
        <v>23607</v>
      </c>
      <c r="AE2" s="7" t="s">
        <v>23608</v>
      </c>
      <c r="AF2" s="7" t="s">
        <v>23609</v>
      </c>
      <c r="AG2" s="7" t="s">
        <v>23610</v>
      </c>
      <c r="AH2" s="7" t="s">
        <v>23611</v>
      </c>
      <c r="AI2" s="7" t="s">
        <v>23612</v>
      </c>
      <c r="AJ2" s="7" t="s">
        <v>23613</v>
      </c>
      <c r="AK2" s="7" t="s">
        <v>23614</v>
      </c>
      <c r="AL2" s="7" t="s">
        <v>23615</v>
      </c>
      <c r="AM2" s="7" t="s">
        <v>23616</v>
      </c>
      <c r="AN2" s="7" t="s">
        <v>23617</v>
      </c>
      <c r="AO2" s="7" t="s">
        <v>23618</v>
      </c>
      <c r="AP2" s="7" t="s">
        <v>23619</v>
      </c>
      <c r="AQ2" s="7" t="s">
        <v>23620</v>
      </c>
      <c r="AR2" s="7" t="s">
        <v>23621</v>
      </c>
      <c r="AS2" s="7" t="s">
        <v>23622</v>
      </c>
      <c r="AT2" s="7" t="s">
        <v>23623</v>
      </c>
      <c r="AU2" s="7" t="s">
        <v>23624</v>
      </c>
      <c r="AV2" s="7" t="s">
        <v>23625</v>
      </c>
      <c r="AW2" s="7" t="s">
        <v>23626</v>
      </c>
      <c r="AX2" s="7" t="s">
        <v>23627</v>
      </c>
      <c r="AY2" s="7" t="s">
        <v>23628</v>
      </c>
      <c r="AZ2" s="7" t="s">
        <v>23629</v>
      </c>
      <c r="BA2" s="7" t="s">
        <v>23630</v>
      </c>
      <c r="BB2" s="7" t="s">
        <v>23631</v>
      </c>
      <c r="BC2" s="7" t="s">
        <v>23632</v>
      </c>
      <c r="BD2" s="7" t="s">
        <v>23633</v>
      </c>
      <c r="BE2" s="7" t="s">
        <v>23634</v>
      </c>
      <c r="BF2" s="7" t="s">
        <v>23635</v>
      </c>
      <c r="BG2" s="7" t="s">
        <v>197</v>
      </c>
      <c r="BH2" s="7" t="s">
        <v>23636</v>
      </c>
      <c r="BI2" s="7" t="s">
        <v>23637</v>
      </c>
      <c r="BJ2" s="7" t="s">
        <v>23638</v>
      </c>
      <c r="BK2" s="7" t="s">
        <v>23639</v>
      </c>
      <c r="BL2" s="7" t="s">
        <v>23640</v>
      </c>
      <c r="BM2" s="7" t="s">
        <v>23641</v>
      </c>
      <c r="BN2" s="7" t="s">
        <v>23642</v>
      </c>
      <c r="BO2" s="7" t="s">
        <v>23643</v>
      </c>
    </row>
    <row r="3" spans="1:68" ht="15" customHeight="1" x14ac:dyDescent="0.25">
      <c r="A3" s="63" t="s">
        <v>1618</v>
      </c>
      <c r="B3" s="64"/>
      <c r="C3" s="64"/>
      <c r="D3" s="65"/>
      <c r="E3" s="67"/>
      <c r="F3" s="111" t="str">
        <f>HYPERLINK("https://pbs.twimg.com/profile_images/1610767945189269509/PSltd92g_normal.jpg")</f>
        <v>https://pbs.twimg.com/profile_images/1610767945189269509/PSltd92g_normal.jpg</v>
      </c>
      <c r="G3" s="64"/>
      <c r="H3" s="68"/>
      <c r="I3" s="69"/>
      <c r="J3" s="69"/>
      <c r="K3" s="68" t="s">
        <v>30761</v>
      </c>
      <c r="L3" s="72"/>
      <c r="M3" s="73"/>
      <c r="N3" s="73"/>
      <c r="O3" s="74"/>
      <c r="P3" s="75"/>
      <c r="Q3" s="75"/>
      <c r="R3" s="46"/>
      <c r="S3" s="46"/>
      <c r="T3" s="46"/>
      <c r="U3" s="46"/>
      <c r="V3" s="47"/>
      <c r="W3" s="47"/>
      <c r="X3" s="48"/>
      <c r="Y3" s="47"/>
      <c r="Z3" s="47"/>
      <c r="AA3" s="70">
        <v>3</v>
      </c>
      <c r="AB3" s="70"/>
      <c r="AC3" s="71"/>
      <c r="AD3" s="86" t="s">
        <v>25214</v>
      </c>
      <c r="AE3" s="94" t="s">
        <v>25879</v>
      </c>
      <c r="AF3" s="86">
        <v>1507</v>
      </c>
      <c r="AG3" s="86">
        <v>36</v>
      </c>
      <c r="AH3" s="86">
        <v>73486</v>
      </c>
      <c r="AI3" s="86">
        <v>3</v>
      </c>
      <c r="AJ3" s="86">
        <v>13</v>
      </c>
      <c r="AK3" s="86">
        <v>1859</v>
      </c>
      <c r="AL3" s="86" t="b">
        <v>0</v>
      </c>
      <c r="AM3" s="89">
        <v>40585.875914351855</v>
      </c>
      <c r="AN3" s="86" t="s">
        <v>26425</v>
      </c>
      <c r="AO3" s="86" t="s">
        <v>27902</v>
      </c>
      <c r="AP3" s="96" t="str">
        <f>HYPERLINK("https://t.co/gIeetgoGn5")</f>
        <v>https://t.co/gIeetgoGn5</v>
      </c>
      <c r="AQ3" s="96" t="str">
        <f>HYPERLINK("http://www.chicosabetudo.com.br")</f>
        <v>http://www.chicosabetudo.com.br</v>
      </c>
      <c r="AR3" s="86" t="s">
        <v>28994</v>
      </c>
      <c r="AS3" s="86"/>
      <c r="AT3" s="86"/>
      <c r="AU3" s="86"/>
      <c r="AV3" s="86"/>
      <c r="AW3" s="96" t="str">
        <f>HYPERLINK("https://t.co/gIeetgoGn5")</f>
        <v>https://t.co/gIeetgoGn5</v>
      </c>
      <c r="AX3" s="86" t="b">
        <v>0</v>
      </c>
      <c r="AY3" s="86"/>
      <c r="AZ3" s="86"/>
      <c r="BA3" s="86" t="b">
        <v>1</v>
      </c>
      <c r="BB3" s="86" t="b">
        <v>1</v>
      </c>
      <c r="BC3" s="86" t="b">
        <v>0</v>
      </c>
      <c r="BD3" s="86" t="b">
        <v>0</v>
      </c>
      <c r="BE3" s="86" t="b">
        <v>1</v>
      </c>
      <c r="BF3" s="86" t="b">
        <v>0</v>
      </c>
      <c r="BG3" s="86" t="b">
        <v>0</v>
      </c>
      <c r="BH3" s="96" t="str">
        <f>HYPERLINK("https://pbs.twimg.com/profile_banners/250804213/1672868077")</f>
        <v>https://pbs.twimg.com/profile_banners/250804213/1672868077</v>
      </c>
      <c r="BI3" s="86"/>
      <c r="BJ3" s="86" t="s">
        <v>29134</v>
      </c>
      <c r="BK3" s="86" t="b">
        <v>0</v>
      </c>
      <c r="BL3" s="86"/>
      <c r="BM3" s="86" t="s">
        <v>66</v>
      </c>
      <c r="BN3" s="86" t="s">
        <v>29136</v>
      </c>
      <c r="BO3" s="96" t="str">
        <f>HYPERLINK("https://twitter.com/chicosabetudo")</f>
        <v>https://twitter.com/chicosabetudo</v>
      </c>
    </row>
    <row r="4" spans="1:68" x14ac:dyDescent="0.25">
      <c r="A4" s="63" t="s">
        <v>224</v>
      </c>
      <c r="B4" s="64"/>
      <c r="C4" s="64"/>
      <c r="D4" s="65"/>
      <c r="E4" s="67"/>
      <c r="F4" s="111" t="str">
        <f>HYPERLINK("https://pbs.twimg.com/profile_images/1675816015740149762/wUqDcwEo_normal.jpg")</f>
        <v>https://pbs.twimg.com/profile_images/1675816015740149762/wUqDcwEo_normal.jpg</v>
      </c>
      <c r="G4" s="64"/>
      <c r="H4" s="68"/>
      <c r="I4" s="69"/>
      <c r="J4" s="69"/>
      <c r="K4" s="68" t="s">
        <v>29137</v>
      </c>
      <c r="L4" s="72"/>
      <c r="M4" s="73"/>
      <c r="N4" s="73"/>
      <c r="O4" s="74"/>
      <c r="P4" s="75"/>
      <c r="Q4" s="75"/>
      <c r="R4" s="102"/>
      <c r="S4" s="102"/>
      <c r="T4" s="102"/>
      <c r="U4" s="102"/>
      <c r="V4" s="48"/>
      <c r="W4" s="48"/>
      <c r="X4" s="48"/>
      <c r="Y4" s="48"/>
      <c r="Z4" s="47"/>
      <c r="AA4" s="70">
        <v>4</v>
      </c>
      <c r="AB4" s="70"/>
      <c r="AC4" s="71"/>
      <c r="AD4" s="86" t="s">
        <v>23644</v>
      </c>
      <c r="AE4" s="94" t="s">
        <v>22793</v>
      </c>
      <c r="AF4" s="86">
        <v>2</v>
      </c>
      <c r="AG4" s="86">
        <v>1</v>
      </c>
      <c r="AH4" s="86">
        <v>12</v>
      </c>
      <c r="AI4" s="86">
        <v>0</v>
      </c>
      <c r="AJ4" s="86">
        <v>0</v>
      </c>
      <c r="AK4" s="86">
        <v>12</v>
      </c>
      <c r="AL4" s="86" t="b">
        <v>0</v>
      </c>
      <c r="AM4" s="89">
        <v>45110.433993055558</v>
      </c>
      <c r="AN4" s="86"/>
      <c r="AO4" s="86" t="s">
        <v>26426</v>
      </c>
      <c r="AP4" s="96" t="str">
        <f>HYPERLINK("https://t.co/8p49wMnsGc")</f>
        <v>https://t.co/8p49wMnsGc</v>
      </c>
      <c r="AQ4" s="96" t="str">
        <f>HYPERLINK("http://autobahn-ev.com")</f>
        <v>http://autobahn-ev.com</v>
      </c>
      <c r="AR4" s="86" t="s">
        <v>27903</v>
      </c>
      <c r="AS4" s="86"/>
      <c r="AT4" s="86"/>
      <c r="AU4" s="86"/>
      <c r="AV4" s="86"/>
      <c r="AW4" s="96" t="str">
        <f>HYPERLINK("https://t.co/8p49wMnsGc")</f>
        <v>https://t.co/8p49wMnsGc</v>
      </c>
      <c r="AX4" s="86" t="b">
        <v>0</v>
      </c>
      <c r="AY4" s="86"/>
      <c r="AZ4" s="86"/>
      <c r="BA4" s="86" t="b">
        <v>0</v>
      </c>
      <c r="BB4" s="86" t="b">
        <v>1</v>
      </c>
      <c r="BC4" s="86" t="b">
        <v>1</v>
      </c>
      <c r="BD4" s="86" t="b">
        <v>0</v>
      </c>
      <c r="BE4" s="86" t="b">
        <v>0</v>
      </c>
      <c r="BF4" s="86" t="b">
        <v>0</v>
      </c>
      <c r="BG4" s="86" t="b">
        <v>0</v>
      </c>
      <c r="BH4" s="96" t="str">
        <f>HYPERLINK("https://pbs.twimg.com/profile_banners/1675812810729885697/1688380669")</f>
        <v>https://pbs.twimg.com/profile_banners/1675812810729885697/1688380669</v>
      </c>
      <c r="BI4" s="86"/>
      <c r="BJ4" s="86" t="s">
        <v>29134</v>
      </c>
      <c r="BK4" s="86" t="b">
        <v>0</v>
      </c>
      <c r="BL4" s="86"/>
      <c r="BM4" s="86" t="s">
        <v>66</v>
      </c>
      <c r="BN4" s="86" t="s">
        <v>29136</v>
      </c>
      <c r="BO4" s="96" t="str">
        <f>HYPERLINK("https://twitter.com/autobahn1872094")</f>
        <v>https://twitter.com/autobahn1872094</v>
      </c>
      <c r="BP4" s="2"/>
    </row>
    <row r="5" spans="1:68" x14ac:dyDescent="0.25">
      <c r="A5" s="63" t="s">
        <v>225</v>
      </c>
      <c r="B5" s="64"/>
      <c r="C5" s="64"/>
      <c r="D5" s="65"/>
      <c r="E5" s="67"/>
      <c r="F5" s="111" t="str">
        <f>HYPERLINK("https://pbs.twimg.com/profile_images/1686856405012160512/CubNjEi5_normal.jpg")</f>
        <v>https://pbs.twimg.com/profile_images/1686856405012160512/CubNjEi5_normal.jpg</v>
      </c>
      <c r="G5" s="64"/>
      <c r="H5" s="68"/>
      <c r="I5" s="69"/>
      <c r="J5" s="69"/>
      <c r="K5" s="68" t="s">
        <v>29138</v>
      </c>
      <c r="L5" s="72"/>
      <c r="M5" s="73"/>
      <c r="N5" s="73"/>
      <c r="O5" s="74"/>
      <c r="P5" s="75"/>
      <c r="Q5" s="75"/>
      <c r="R5" s="102"/>
      <c r="S5" s="102"/>
      <c r="T5" s="102"/>
      <c r="U5" s="102"/>
      <c r="V5" s="48"/>
      <c r="W5" s="48"/>
      <c r="X5" s="48"/>
      <c r="Y5" s="48"/>
      <c r="Z5" s="47"/>
      <c r="AA5" s="70">
        <v>5</v>
      </c>
      <c r="AB5" s="70"/>
      <c r="AC5" s="71"/>
      <c r="AD5" s="86" t="s">
        <v>23645</v>
      </c>
      <c r="AE5" s="94" t="s">
        <v>22794</v>
      </c>
      <c r="AF5" s="86">
        <v>9</v>
      </c>
      <c r="AG5" s="86">
        <v>2</v>
      </c>
      <c r="AH5" s="86">
        <v>13</v>
      </c>
      <c r="AI5" s="86">
        <v>0</v>
      </c>
      <c r="AJ5" s="86">
        <v>14</v>
      </c>
      <c r="AK5" s="86">
        <v>13</v>
      </c>
      <c r="AL5" s="86" t="b">
        <v>0</v>
      </c>
      <c r="AM5" s="89">
        <v>45140.840381944443</v>
      </c>
      <c r="AN5" s="86"/>
      <c r="AO5" s="86" t="s">
        <v>26427</v>
      </c>
      <c r="AP5" s="86"/>
      <c r="AQ5" s="86"/>
      <c r="AR5" s="86"/>
      <c r="AS5" s="86"/>
      <c r="AT5" s="86"/>
      <c r="AU5" s="86"/>
      <c r="AV5" s="86"/>
      <c r="AW5" s="86"/>
      <c r="AX5" s="86" t="b">
        <v>0</v>
      </c>
      <c r="AY5" s="86"/>
      <c r="AZ5" s="86"/>
      <c r="BA5" s="86" t="b">
        <v>0</v>
      </c>
      <c r="BB5" s="86" t="b">
        <v>1</v>
      </c>
      <c r="BC5" s="86" t="b">
        <v>1</v>
      </c>
      <c r="BD5" s="86" t="b">
        <v>0</v>
      </c>
      <c r="BE5" s="86" t="b">
        <v>0</v>
      </c>
      <c r="BF5" s="86" t="b">
        <v>0</v>
      </c>
      <c r="BG5" s="86" t="b">
        <v>0</v>
      </c>
      <c r="BH5" s="86"/>
      <c r="BI5" s="86"/>
      <c r="BJ5" s="86" t="s">
        <v>29134</v>
      </c>
      <c r="BK5" s="86" t="b">
        <v>0</v>
      </c>
      <c r="BL5" s="86"/>
      <c r="BM5" s="86" t="s">
        <v>66</v>
      </c>
      <c r="BN5" s="86" t="s">
        <v>29136</v>
      </c>
      <c r="BO5" s="96" t="str">
        <f>HYPERLINK("https://twitter.com/tioferini")</f>
        <v>https://twitter.com/tioferini</v>
      </c>
      <c r="BP5" s="2"/>
    </row>
    <row r="6" spans="1:68" x14ac:dyDescent="0.25">
      <c r="A6" s="63" t="s">
        <v>226</v>
      </c>
      <c r="B6" s="64"/>
      <c r="C6" s="64"/>
      <c r="D6" s="65"/>
      <c r="E6" s="67"/>
      <c r="F6" s="111" t="str">
        <f>HYPERLINK("https://pbs.twimg.com/profile_images/934941987320496129/6jq-VTP8_normal.jpg")</f>
        <v>https://pbs.twimg.com/profile_images/934941987320496129/6jq-VTP8_normal.jpg</v>
      </c>
      <c r="G6" s="64"/>
      <c r="H6" s="68"/>
      <c r="I6" s="69"/>
      <c r="J6" s="69"/>
      <c r="K6" s="68" t="s">
        <v>29139</v>
      </c>
      <c r="L6" s="72"/>
      <c r="M6" s="73"/>
      <c r="N6" s="73"/>
      <c r="O6" s="74"/>
      <c r="P6" s="75"/>
      <c r="Q6" s="75"/>
      <c r="R6" s="102"/>
      <c r="S6" s="102"/>
      <c r="T6" s="102"/>
      <c r="U6" s="102"/>
      <c r="V6" s="48"/>
      <c r="W6" s="48"/>
      <c r="X6" s="48"/>
      <c r="Y6" s="48"/>
      <c r="Z6" s="47"/>
      <c r="AA6" s="70">
        <v>6</v>
      </c>
      <c r="AB6" s="70"/>
      <c r="AC6" s="71"/>
      <c r="AD6" s="86" t="s">
        <v>23646</v>
      </c>
      <c r="AE6" s="94" t="s">
        <v>25215</v>
      </c>
      <c r="AF6" s="86">
        <v>1645</v>
      </c>
      <c r="AG6" s="86">
        <v>514</v>
      </c>
      <c r="AH6" s="86">
        <v>1715</v>
      </c>
      <c r="AI6" s="86">
        <v>37</v>
      </c>
      <c r="AJ6" s="86">
        <v>30785</v>
      </c>
      <c r="AK6" s="86">
        <v>1582</v>
      </c>
      <c r="AL6" s="86" t="b">
        <v>0</v>
      </c>
      <c r="AM6" s="89">
        <v>39839.60052083333</v>
      </c>
      <c r="AN6" s="86" t="s">
        <v>15417</v>
      </c>
      <c r="AO6" s="86" t="s">
        <v>26428</v>
      </c>
      <c r="AP6" s="96" t="str">
        <f>HYPERLINK("https://t.co/n127GrmcZX")</f>
        <v>https://t.co/n127GrmcZX</v>
      </c>
      <c r="AQ6" s="96" t="str">
        <f>HYPERLINK("http://raphaelcorrea.net")</f>
        <v>http://raphaelcorrea.net</v>
      </c>
      <c r="AR6" s="86" t="s">
        <v>27904</v>
      </c>
      <c r="AS6" s="86"/>
      <c r="AT6" s="86"/>
      <c r="AU6" s="86"/>
      <c r="AV6" s="86">
        <v>1.6365330025188301E+18</v>
      </c>
      <c r="AW6" s="96" t="str">
        <f>HYPERLINK("https://t.co/n127GrmcZX")</f>
        <v>https://t.co/n127GrmcZX</v>
      </c>
      <c r="AX6" s="86" t="b">
        <v>0</v>
      </c>
      <c r="AY6" s="86"/>
      <c r="AZ6" s="86"/>
      <c r="BA6" s="86" t="b">
        <v>1</v>
      </c>
      <c r="BB6" s="86" t="b">
        <v>0</v>
      </c>
      <c r="BC6" s="86" t="b">
        <v>0</v>
      </c>
      <c r="BD6" s="86" t="b">
        <v>0</v>
      </c>
      <c r="BE6" s="86" t="b">
        <v>1</v>
      </c>
      <c r="BF6" s="86" t="b">
        <v>0</v>
      </c>
      <c r="BG6" s="86" t="b">
        <v>0</v>
      </c>
      <c r="BH6" s="96" t="str">
        <f>HYPERLINK("https://pbs.twimg.com/profile_banners/19536137/1607406308")</f>
        <v>https://pbs.twimg.com/profile_banners/19536137/1607406308</v>
      </c>
      <c r="BI6" s="86"/>
      <c r="BJ6" s="86" t="s">
        <v>29134</v>
      </c>
      <c r="BK6" s="86" t="b">
        <v>0</v>
      </c>
      <c r="BL6" s="86"/>
      <c r="BM6" s="86" t="s">
        <v>66</v>
      </c>
      <c r="BN6" s="86" t="s">
        <v>29136</v>
      </c>
      <c r="BO6" s="96" t="str">
        <f>HYPERLINK("https://twitter.com/raph4")</f>
        <v>https://twitter.com/raph4</v>
      </c>
      <c r="BP6" s="2"/>
    </row>
    <row r="7" spans="1:68" x14ac:dyDescent="0.25">
      <c r="A7" s="63" t="s">
        <v>1619</v>
      </c>
      <c r="B7" s="64"/>
      <c r="C7" s="64"/>
      <c r="D7" s="65"/>
      <c r="E7" s="67"/>
      <c r="F7" s="111" t="str">
        <f>HYPERLINK("https://pbs.twimg.com/profile_images/1510802601843044356/vMAKhcpY_normal.jpg")</f>
        <v>https://pbs.twimg.com/profile_images/1510802601843044356/vMAKhcpY_normal.jpg</v>
      </c>
      <c r="G7" s="64"/>
      <c r="H7" s="68"/>
      <c r="I7" s="69"/>
      <c r="J7" s="69"/>
      <c r="K7" s="68" t="s">
        <v>29140</v>
      </c>
      <c r="L7" s="72"/>
      <c r="M7" s="73"/>
      <c r="N7" s="73"/>
      <c r="O7" s="74"/>
      <c r="P7" s="75"/>
      <c r="Q7" s="75"/>
      <c r="R7" s="102"/>
      <c r="S7" s="102"/>
      <c r="T7" s="102"/>
      <c r="U7" s="102"/>
      <c r="V7" s="48"/>
      <c r="W7" s="48"/>
      <c r="X7" s="48"/>
      <c r="Y7" s="48"/>
      <c r="Z7" s="47"/>
      <c r="AA7" s="70">
        <v>7</v>
      </c>
      <c r="AB7" s="70"/>
      <c r="AC7" s="71"/>
      <c r="AD7" s="86" t="s">
        <v>23647</v>
      </c>
      <c r="AE7" s="94" t="s">
        <v>25216</v>
      </c>
      <c r="AF7" s="86">
        <v>366</v>
      </c>
      <c r="AG7" s="86">
        <v>120</v>
      </c>
      <c r="AH7" s="86">
        <v>1751</v>
      </c>
      <c r="AI7" s="86">
        <v>4</v>
      </c>
      <c r="AJ7" s="86">
        <v>341</v>
      </c>
      <c r="AK7" s="86">
        <v>39</v>
      </c>
      <c r="AL7" s="86" t="b">
        <v>0</v>
      </c>
      <c r="AM7" s="89">
        <v>39895.698136574072</v>
      </c>
      <c r="AN7" s="86"/>
      <c r="AO7" s="86" t="s">
        <v>26429</v>
      </c>
      <c r="AP7" s="96" t="str">
        <f>HYPERLINK("https://t.co/JgTI1NKTnE")</f>
        <v>https://t.co/JgTI1NKTnE</v>
      </c>
      <c r="AQ7" s="96" t="str">
        <f>HYPERLINK("http://nunih.com")</f>
        <v>http://nunih.com</v>
      </c>
      <c r="AR7" s="86" t="s">
        <v>27905</v>
      </c>
      <c r="AS7" s="86"/>
      <c r="AT7" s="86"/>
      <c r="AU7" s="86"/>
      <c r="AV7" s="86"/>
      <c r="AW7" s="96" t="str">
        <f>HYPERLINK("https://t.co/JgTI1NKTnE")</f>
        <v>https://t.co/JgTI1NKTnE</v>
      </c>
      <c r="AX7" s="86" t="b">
        <v>0</v>
      </c>
      <c r="AY7" s="86"/>
      <c r="AZ7" s="86"/>
      <c r="BA7" s="86" t="b">
        <v>0</v>
      </c>
      <c r="BB7" s="86" t="b">
        <v>1</v>
      </c>
      <c r="BC7" s="86" t="b">
        <v>0</v>
      </c>
      <c r="BD7" s="86" t="b">
        <v>0</v>
      </c>
      <c r="BE7" s="86" t="b">
        <v>1</v>
      </c>
      <c r="BF7" s="86" t="b">
        <v>0</v>
      </c>
      <c r="BG7" s="86" t="b">
        <v>0</v>
      </c>
      <c r="BH7" s="96" t="str">
        <f>HYPERLINK("https://pbs.twimg.com/profile_banners/26036912/1631111241")</f>
        <v>https://pbs.twimg.com/profile_banners/26036912/1631111241</v>
      </c>
      <c r="BI7" s="86"/>
      <c r="BJ7" s="86" t="s">
        <v>29134</v>
      </c>
      <c r="BK7" s="86" t="b">
        <v>0</v>
      </c>
      <c r="BL7" s="86"/>
      <c r="BM7" s="86" t="s">
        <v>65</v>
      </c>
      <c r="BN7" s="86" t="s">
        <v>29136</v>
      </c>
      <c r="BO7" s="96" t="str">
        <f>HYPERLINK("https://twitter.com/nunih")</f>
        <v>https://twitter.com/nunih</v>
      </c>
      <c r="BP7" s="2"/>
    </row>
    <row r="8" spans="1:68" x14ac:dyDescent="0.25">
      <c r="A8" s="63" t="s">
        <v>1620</v>
      </c>
      <c r="B8" s="64"/>
      <c r="C8" s="64"/>
      <c r="D8" s="65"/>
      <c r="E8" s="67"/>
      <c r="F8" s="111" t="str">
        <f>HYPERLINK("https://pbs.twimg.com/profile_images/1638132641542053888/GIaFlmqM_normal.jpg")</f>
        <v>https://pbs.twimg.com/profile_images/1638132641542053888/GIaFlmqM_normal.jpg</v>
      </c>
      <c r="G8" s="64"/>
      <c r="H8" s="68"/>
      <c r="I8" s="69"/>
      <c r="J8" s="69"/>
      <c r="K8" s="68" t="s">
        <v>29141</v>
      </c>
      <c r="L8" s="72"/>
      <c r="M8" s="73"/>
      <c r="N8" s="73"/>
      <c r="O8" s="74"/>
      <c r="P8" s="75"/>
      <c r="Q8" s="75"/>
      <c r="R8" s="102"/>
      <c r="S8" s="102"/>
      <c r="T8" s="102"/>
      <c r="U8" s="102"/>
      <c r="V8" s="48"/>
      <c r="W8" s="48"/>
      <c r="X8" s="48"/>
      <c r="Y8" s="48"/>
      <c r="Z8" s="47"/>
      <c r="AA8" s="70">
        <v>8</v>
      </c>
      <c r="AB8" s="70"/>
      <c r="AC8" s="71"/>
      <c r="AD8" s="86" t="s">
        <v>23648</v>
      </c>
      <c r="AE8" s="94" t="s">
        <v>25217</v>
      </c>
      <c r="AF8" s="86">
        <v>128282</v>
      </c>
      <c r="AG8" s="86">
        <v>565</v>
      </c>
      <c r="AH8" s="86">
        <v>7109</v>
      </c>
      <c r="AI8" s="86">
        <v>485</v>
      </c>
      <c r="AJ8" s="86">
        <v>5915</v>
      </c>
      <c r="AK8" s="86">
        <v>1410</v>
      </c>
      <c r="AL8" s="86" t="b">
        <v>0</v>
      </c>
      <c r="AM8" s="89">
        <v>40823.993831018517</v>
      </c>
      <c r="AN8" s="86" t="s">
        <v>15242</v>
      </c>
      <c r="AO8" s="86" t="s">
        <v>26430</v>
      </c>
      <c r="AP8" s="96" t="str">
        <f>HYPERLINK("https://t.co/EELMtXSe8E")</f>
        <v>https://t.co/EELMtXSe8E</v>
      </c>
      <c r="AQ8" s="96" t="str">
        <f>HYPERLINK("https://linktr.ee/assimdisseojoao")</f>
        <v>https://linktr.ee/assimdisseojoao</v>
      </c>
      <c r="AR8" s="86" t="s">
        <v>27906</v>
      </c>
      <c r="AS8" s="86"/>
      <c r="AT8" s="86"/>
      <c r="AU8" s="86"/>
      <c r="AV8" s="86">
        <v>1.6965389368632699E+18</v>
      </c>
      <c r="AW8" s="96" t="str">
        <f>HYPERLINK("https://t.co/EELMtXSe8E")</f>
        <v>https://t.co/EELMtXSe8E</v>
      </c>
      <c r="AX8" s="86" t="b">
        <v>1</v>
      </c>
      <c r="AY8" s="86"/>
      <c r="AZ8" s="86"/>
      <c r="BA8" s="86" t="b">
        <v>1</v>
      </c>
      <c r="BB8" s="86" t="b">
        <v>0</v>
      </c>
      <c r="BC8" s="86" t="b">
        <v>0</v>
      </c>
      <c r="BD8" s="86" t="b">
        <v>0</v>
      </c>
      <c r="BE8" s="86" t="b">
        <v>1</v>
      </c>
      <c r="BF8" s="86" t="b">
        <v>0</v>
      </c>
      <c r="BG8" s="86" t="b">
        <v>1</v>
      </c>
      <c r="BH8" s="96" t="str">
        <f>HYPERLINK("https://pbs.twimg.com/profile_banners/386820805/1689356815")</f>
        <v>https://pbs.twimg.com/profile_banners/386820805/1689356815</v>
      </c>
      <c r="BI8" s="86"/>
      <c r="BJ8" s="86" t="s">
        <v>29135</v>
      </c>
      <c r="BK8" s="86" t="b">
        <v>0</v>
      </c>
      <c r="BL8" s="86"/>
      <c r="BM8" s="86" t="s">
        <v>65</v>
      </c>
      <c r="BN8" s="86" t="s">
        <v>29136</v>
      </c>
      <c r="BO8" s="96" t="str">
        <f>HYPERLINK("https://twitter.com/assimdisseojoao")</f>
        <v>https://twitter.com/assimdisseojoao</v>
      </c>
      <c r="BP8" s="2"/>
    </row>
    <row r="9" spans="1:68" x14ac:dyDescent="0.25">
      <c r="A9" s="63" t="s">
        <v>227</v>
      </c>
      <c r="B9" s="64"/>
      <c r="C9" s="64"/>
      <c r="D9" s="65"/>
      <c r="E9" s="67"/>
      <c r="F9" s="111" t="str">
        <f>HYPERLINK("https://pbs.twimg.com/profile_images/1698832431527108609/moXL7YxH_normal.jpg")</f>
        <v>https://pbs.twimg.com/profile_images/1698832431527108609/moXL7YxH_normal.jpg</v>
      </c>
      <c r="G9" s="64"/>
      <c r="H9" s="68"/>
      <c r="I9" s="69"/>
      <c r="J9" s="69"/>
      <c r="K9" s="68" t="s">
        <v>29142</v>
      </c>
      <c r="L9" s="72"/>
      <c r="M9" s="73"/>
      <c r="N9" s="73"/>
      <c r="O9" s="74"/>
      <c r="P9" s="75"/>
      <c r="Q9" s="75"/>
      <c r="R9" s="102"/>
      <c r="S9" s="102"/>
      <c r="T9" s="102"/>
      <c r="U9" s="102"/>
      <c r="V9" s="48"/>
      <c r="W9" s="48"/>
      <c r="X9" s="48"/>
      <c r="Y9" s="48"/>
      <c r="Z9" s="47"/>
      <c r="AA9" s="70">
        <v>9</v>
      </c>
      <c r="AB9" s="70"/>
      <c r="AC9" s="71"/>
      <c r="AD9" s="86" t="s">
        <v>23649</v>
      </c>
      <c r="AE9" s="94" t="s">
        <v>22795</v>
      </c>
      <c r="AF9" s="86">
        <v>619</v>
      </c>
      <c r="AG9" s="86">
        <v>254</v>
      </c>
      <c r="AH9" s="86">
        <v>1096</v>
      </c>
      <c r="AI9" s="86">
        <v>0</v>
      </c>
      <c r="AJ9" s="86">
        <v>4187</v>
      </c>
      <c r="AK9" s="86">
        <v>146</v>
      </c>
      <c r="AL9" s="86" t="b">
        <v>0</v>
      </c>
      <c r="AM9" s="89">
        <v>44621.827835648146</v>
      </c>
      <c r="AN9" s="86"/>
      <c r="AO9" s="86" t="s">
        <v>26431</v>
      </c>
      <c r="AP9" s="96" t="str">
        <f>HYPERLINK("https://t.co/N1tDQTSwTH")</f>
        <v>https://t.co/N1tDQTSwTH</v>
      </c>
      <c r="AQ9" s="96" t="str">
        <f>HYPERLINK("https://linktr.ee/iberoam")</f>
        <v>https://linktr.ee/iberoam</v>
      </c>
      <c r="AR9" s="86" t="s">
        <v>27907</v>
      </c>
      <c r="AS9" s="96" t="str">
        <f>HYPERLINK("https://t.co/lz06Vpz7mS")</f>
        <v>https://t.co/lz06Vpz7mS</v>
      </c>
      <c r="AT9" s="96" t="str">
        <f>HYPERLINK("http://t.me/+1OQV2dYwNAxjY")</f>
        <v>http://t.me/+1OQV2dYwNAxjY</v>
      </c>
      <c r="AU9" s="86" t="s">
        <v>29027</v>
      </c>
      <c r="AV9" s="86"/>
      <c r="AW9" s="96" t="str">
        <f>HYPERLINK("https://t.co/N1tDQTSwTH")</f>
        <v>https://t.co/N1tDQTSwTH</v>
      </c>
      <c r="AX9" s="86" t="b">
        <v>0</v>
      </c>
      <c r="AY9" s="86"/>
      <c r="AZ9" s="86"/>
      <c r="BA9" s="86" t="b">
        <v>1</v>
      </c>
      <c r="BB9" s="86" t="b">
        <v>1</v>
      </c>
      <c r="BC9" s="86" t="b">
        <v>1</v>
      </c>
      <c r="BD9" s="86" t="b">
        <v>0</v>
      </c>
      <c r="BE9" s="86" t="b">
        <v>0</v>
      </c>
      <c r="BF9" s="86" t="b">
        <v>0</v>
      </c>
      <c r="BG9" s="86" t="b">
        <v>0</v>
      </c>
      <c r="BH9" s="96" t="str">
        <f>HYPERLINK("https://pbs.twimg.com/profile_banners/1498747772387926020/1695209880")</f>
        <v>https://pbs.twimg.com/profile_banners/1498747772387926020/1695209880</v>
      </c>
      <c r="BI9" s="86"/>
      <c r="BJ9" s="86" t="s">
        <v>29134</v>
      </c>
      <c r="BK9" s="86" t="b">
        <v>0</v>
      </c>
      <c r="BL9" s="86"/>
      <c r="BM9" s="86" t="s">
        <v>66</v>
      </c>
      <c r="BN9" s="86" t="s">
        <v>29136</v>
      </c>
      <c r="BO9" s="96" t="str">
        <f>HYPERLINK("https://twitter.com/iberoam_xyz")</f>
        <v>https://twitter.com/iberoam_xyz</v>
      </c>
      <c r="BP9" s="2"/>
    </row>
    <row r="10" spans="1:68" x14ac:dyDescent="0.25">
      <c r="A10" s="63" t="s">
        <v>1621</v>
      </c>
      <c r="B10" s="64"/>
      <c r="C10" s="64"/>
      <c r="D10" s="65"/>
      <c r="E10" s="67"/>
      <c r="F10" s="111" t="str">
        <f>HYPERLINK("https://pbs.twimg.com/profile_images/1690122376766271488/8pox-loc_normal.jpg")</f>
        <v>https://pbs.twimg.com/profile_images/1690122376766271488/8pox-loc_normal.jpg</v>
      </c>
      <c r="G10" s="64"/>
      <c r="H10" s="68"/>
      <c r="I10" s="69"/>
      <c r="J10" s="69"/>
      <c r="K10" s="68" t="s">
        <v>29143</v>
      </c>
      <c r="L10" s="72"/>
      <c r="M10" s="73"/>
      <c r="N10" s="73"/>
      <c r="O10" s="74"/>
      <c r="P10" s="75"/>
      <c r="Q10" s="75"/>
      <c r="R10" s="102"/>
      <c r="S10" s="102"/>
      <c r="T10" s="102"/>
      <c r="U10" s="102"/>
      <c r="V10" s="48"/>
      <c r="W10" s="48"/>
      <c r="X10" s="48"/>
      <c r="Y10" s="48"/>
      <c r="Z10" s="47"/>
      <c r="AA10" s="70">
        <v>10</v>
      </c>
      <c r="AB10" s="70"/>
      <c r="AC10" s="71"/>
      <c r="AD10" s="86" t="s">
        <v>23650</v>
      </c>
      <c r="AE10" s="94" t="s">
        <v>25218</v>
      </c>
      <c r="AF10" s="86">
        <v>1267</v>
      </c>
      <c r="AG10" s="86">
        <v>9</v>
      </c>
      <c r="AH10" s="86">
        <v>684</v>
      </c>
      <c r="AI10" s="86">
        <v>4</v>
      </c>
      <c r="AJ10" s="86">
        <v>22</v>
      </c>
      <c r="AK10" s="86">
        <v>677</v>
      </c>
      <c r="AL10" s="86" t="b">
        <v>0</v>
      </c>
      <c r="AM10" s="89">
        <v>44677.948680555557</v>
      </c>
      <c r="AN10" s="86" t="s">
        <v>25880</v>
      </c>
      <c r="AO10" s="86" t="s">
        <v>26432</v>
      </c>
      <c r="AP10" s="96" t="str">
        <f>HYPERLINK("https://t.co/Lyg3rMiH2D")</f>
        <v>https://t.co/Lyg3rMiH2D</v>
      </c>
      <c r="AQ10" s="96" t="str">
        <f>HYPERLINK("http://blockchainfestival.io")</f>
        <v>http://blockchainfestival.io</v>
      </c>
      <c r="AR10" s="86" t="s">
        <v>27908</v>
      </c>
      <c r="AS10" s="86"/>
      <c r="AT10" s="86"/>
      <c r="AU10" s="86"/>
      <c r="AV10" s="86"/>
      <c r="AW10" s="96" t="str">
        <f>HYPERLINK("https://t.co/Lyg3rMiH2D")</f>
        <v>https://t.co/Lyg3rMiH2D</v>
      </c>
      <c r="AX10" s="86" t="b">
        <v>0</v>
      </c>
      <c r="AY10" s="86"/>
      <c r="AZ10" s="86"/>
      <c r="BA10" s="86" t="b">
        <v>0</v>
      </c>
      <c r="BB10" s="86" t="b">
        <v>1</v>
      </c>
      <c r="BC10" s="86" t="b">
        <v>1</v>
      </c>
      <c r="BD10" s="86" t="b">
        <v>0</v>
      </c>
      <c r="BE10" s="86" t="b">
        <v>0</v>
      </c>
      <c r="BF10" s="86" t="b">
        <v>0</v>
      </c>
      <c r="BG10" s="86" t="b">
        <v>0</v>
      </c>
      <c r="BH10" s="96" t="str">
        <f>HYPERLINK("https://pbs.twimg.com/profile_banners/1519085396017225728/1691791650")</f>
        <v>https://pbs.twimg.com/profile_banners/1519085396017225728/1691791650</v>
      </c>
      <c r="BI10" s="86"/>
      <c r="BJ10" s="86" t="s">
        <v>29134</v>
      </c>
      <c r="BK10" s="86" t="b">
        <v>0</v>
      </c>
      <c r="BL10" s="86"/>
      <c r="BM10" s="86" t="s">
        <v>65</v>
      </c>
      <c r="BN10" s="86" t="s">
        <v>29136</v>
      </c>
      <c r="BO10" s="96" t="str">
        <f>HYPERLINK("https://twitter.com/blockchain_rio")</f>
        <v>https://twitter.com/blockchain_rio</v>
      </c>
      <c r="BP10" s="2"/>
    </row>
    <row r="11" spans="1:68" x14ac:dyDescent="0.25">
      <c r="A11" s="63" t="s">
        <v>228</v>
      </c>
      <c r="B11" s="64"/>
      <c r="C11" s="64"/>
      <c r="D11" s="65"/>
      <c r="E11" s="67"/>
      <c r="F11" s="111" t="str">
        <f>HYPERLINK("https://pbs.twimg.com/profile_images/1681990442760503302/DXI_bqyK_normal.jpg")</f>
        <v>https://pbs.twimg.com/profile_images/1681990442760503302/DXI_bqyK_normal.jpg</v>
      </c>
      <c r="G11" s="64"/>
      <c r="H11" s="68"/>
      <c r="I11" s="69"/>
      <c r="J11" s="69"/>
      <c r="K11" s="68" t="s">
        <v>29144</v>
      </c>
      <c r="L11" s="72"/>
      <c r="M11" s="73"/>
      <c r="N11" s="73"/>
      <c r="O11" s="74"/>
      <c r="P11" s="75"/>
      <c r="Q11" s="75"/>
      <c r="R11" s="102"/>
      <c r="S11" s="102"/>
      <c r="T11" s="102"/>
      <c r="U11" s="102"/>
      <c r="V11" s="48"/>
      <c r="W11" s="48"/>
      <c r="X11" s="48"/>
      <c r="Y11" s="48"/>
      <c r="Z11" s="47"/>
      <c r="AA11" s="70">
        <v>11</v>
      </c>
      <c r="AB11" s="70"/>
      <c r="AC11" s="71"/>
      <c r="AD11" s="86" t="s">
        <v>23651</v>
      </c>
      <c r="AE11" s="94" t="s">
        <v>22517</v>
      </c>
      <c r="AF11" s="86">
        <v>0</v>
      </c>
      <c r="AG11" s="86">
        <v>0</v>
      </c>
      <c r="AH11" s="86">
        <v>4</v>
      </c>
      <c r="AI11" s="86">
        <v>0</v>
      </c>
      <c r="AJ11" s="86">
        <v>0</v>
      </c>
      <c r="AK11" s="86">
        <v>0</v>
      </c>
      <c r="AL11" s="86" t="b">
        <v>0</v>
      </c>
      <c r="AM11" s="89">
        <v>45127.478946759256</v>
      </c>
      <c r="AN11" s="86"/>
      <c r="AO11" s="86"/>
      <c r="AP11" s="86"/>
      <c r="AQ11" s="86"/>
      <c r="AR11" s="86"/>
      <c r="AS11" s="86"/>
      <c r="AT11" s="86"/>
      <c r="AU11" s="86"/>
      <c r="AV11" s="86"/>
      <c r="AW11" s="86"/>
      <c r="AX11" s="86" t="b">
        <v>0</v>
      </c>
      <c r="AY11" s="86"/>
      <c r="AZ11" s="86"/>
      <c r="BA11" s="86" t="b">
        <v>0</v>
      </c>
      <c r="BB11" s="86" t="b">
        <v>1</v>
      </c>
      <c r="BC11" s="86" t="b">
        <v>1</v>
      </c>
      <c r="BD11" s="86" t="b">
        <v>0</v>
      </c>
      <c r="BE11" s="86" t="b">
        <v>0</v>
      </c>
      <c r="BF11" s="86" t="b">
        <v>0</v>
      </c>
      <c r="BG11" s="86" t="b">
        <v>0</v>
      </c>
      <c r="BH11" s="86"/>
      <c r="BI11" s="86"/>
      <c r="BJ11" s="86" t="s">
        <v>29134</v>
      </c>
      <c r="BK11" s="86" t="b">
        <v>0</v>
      </c>
      <c r="BL11" s="86"/>
      <c r="BM11" s="86" t="s">
        <v>66</v>
      </c>
      <c r="BN11" s="86" t="s">
        <v>29136</v>
      </c>
      <c r="BO11" s="96" t="str">
        <f>HYPERLINK("https://twitter.com/leonardope36474")</f>
        <v>https://twitter.com/leonardope36474</v>
      </c>
      <c r="BP11" s="2"/>
    </row>
    <row r="12" spans="1:68" x14ac:dyDescent="0.25">
      <c r="A12" s="63" t="s">
        <v>229</v>
      </c>
      <c r="B12" s="64"/>
      <c r="C12" s="64"/>
      <c r="D12" s="65"/>
      <c r="E12" s="67"/>
      <c r="F12" s="111" t="str">
        <f>HYPERLINK("https://pbs.twimg.com/profile_images/1678551674288218112/UkI7YeWE_normal.jpg")</f>
        <v>https://pbs.twimg.com/profile_images/1678551674288218112/UkI7YeWE_normal.jpg</v>
      </c>
      <c r="G12" s="64"/>
      <c r="H12" s="68"/>
      <c r="I12" s="69"/>
      <c r="J12" s="69"/>
      <c r="K12" s="68" t="s">
        <v>29145</v>
      </c>
      <c r="L12" s="72"/>
      <c r="M12" s="73"/>
      <c r="N12" s="73"/>
      <c r="O12" s="74"/>
      <c r="P12" s="75"/>
      <c r="Q12" s="75"/>
      <c r="R12" s="102"/>
      <c r="S12" s="102"/>
      <c r="T12" s="102"/>
      <c r="U12" s="102"/>
      <c r="V12" s="48"/>
      <c r="W12" s="48"/>
      <c r="X12" s="48"/>
      <c r="Y12" s="48"/>
      <c r="Z12" s="47"/>
      <c r="AA12" s="70">
        <v>12</v>
      </c>
      <c r="AB12" s="70"/>
      <c r="AC12" s="71"/>
      <c r="AD12" s="86" t="s">
        <v>23652</v>
      </c>
      <c r="AE12" s="94" t="s">
        <v>25219</v>
      </c>
      <c r="AF12" s="86">
        <v>656</v>
      </c>
      <c r="AG12" s="86">
        <v>1919</v>
      </c>
      <c r="AH12" s="86">
        <v>3413</v>
      </c>
      <c r="AI12" s="86">
        <v>5</v>
      </c>
      <c r="AJ12" s="86">
        <v>110</v>
      </c>
      <c r="AK12" s="86">
        <v>280</v>
      </c>
      <c r="AL12" s="86" t="b">
        <v>0</v>
      </c>
      <c r="AM12" s="89">
        <v>40389.210486111115</v>
      </c>
      <c r="AN12" s="86" t="s">
        <v>25881</v>
      </c>
      <c r="AO12" s="86" t="s">
        <v>26433</v>
      </c>
      <c r="AP12" s="96" t="str">
        <f>HYPERLINK("https://t.co/GQomeuvtea")</f>
        <v>https://t.co/GQomeuvtea</v>
      </c>
      <c r="AQ12" s="96" t="str">
        <f>HYPERLINK("http://www.qsco.com.br")</f>
        <v>http://www.qsco.com.br</v>
      </c>
      <c r="AR12" s="86" t="s">
        <v>27909</v>
      </c>
      <c r="AS12" s="86"/>
      <c r="AT12" s="86"/>
      <c r="AU12" s="86"/>
      <c r="AV12" s="86">
        <v>1.49913157198254E+18</v>
      </c>
      <c r="AW12" s="96" t="str">
        <f>HYPERLINK("https://t.co/GQomeuvtea")</f>
        <v>https://t.co/GQomeuvtea</v>
      </c>
      <c r="AX12" s="86" t="b">
        <v>0</v>
      </c>
      <c r="AY12" s="86"/>
      <c r="AZ12" s="86"/>
      <c r="BA12" s="86" t="b">
        <v>0</v>
      </c>
      <c r="BB12" s="86" t="b">
        <v>0</v>
      </c>
      <c r="BC12" s="86" t="b">
        <v>0</v>
      </c>
      <c r="BD12" s="86" t="b">
        <v>0</v>
      </c>
      <c r="BE12" s="86" t="b">
        <v>0</v>
      </c>
      <c r="BF12" s="86" t="b">
        <v>0</v>
      </c>
      <c r="BG12" s="86" t="b">
        <v>0</v>
      </c>
      <c r="BH12" s="96" t="str">
        <f>HYPERLINK("https://pbs.twimg.com/profile_banners/172628020/1690949642")</f>
        <v>https://pbs.twimg.com/profile_banners/172628020/1690949642</v>
      </c>
      <c r="BI12" s="86"/>
      <c r="BJ12" s="86" t="s">
        <v>29134</v>
      </c>
      <c r="BK12" s="86" t="b">
        <v>0</v>
      </c>
      <c r="BL12" s="86"/>
      <c r="BM12" s="86" t="s">
        <v>66</v>
      </c>
      <c r="BN12" s="86" t="s">
        <v>29136</v>
      </c>
      <c r="BO12" s="96" t="str">
        <f>HYPERLINK("https://twitter.com/luizfabcruz")</f>
        <v>https://twitter.com/luizfabcruz</v>
      </c>
      <c r="BP12" s="2"/>
    </row>
    <row r="13" spans="1:68" x14ac:dyDescent="0.25">
      <c r="A13" s="63" t="s">
        <v>230</v>
      </c>
      <c r="B13" s="64"/>
      <c r="C13" s="64"/>
      <c r="D13" s="65"/>
      <c r="E13" s="67"/>
      <c r="F13" s="111" t="str">
        <f>HYPERLINK("https://pbs.twimg.com/profile_images/1434869376063315968/nLsSe62u_normal.jpg")</f>
        <v>https://pbs.twimg.com/profile_images/1434869376063315968/nLsSe62u_normal.jpg</v>
      </c>
      <c r="G13" s="64"/>
      <c r="H13" s="68"/>
      <c r="I13" s="69"/>
      <c r="J13" s="69"/>
      <c r="K13" s="68" t="s">
        <v>29146</v>
      </c>
      <c r="L13" s="72"/>
      <c r="M13" s="73"/>
      <c r="N13" s="73"/>
      <c r="O13" s="74"/>
      <c r="P13" s="75"/>
      <c r="Q13" s="75"/>
      <c r="R13" s="102"/>
      <c r="S13" s="102"/>
      <c r="T13" s="102"/>
      <c r="U13" s="102"/>
      <c r="V13" s="48"/>
      <c r="W13" s="48"/>
      <c r="X13" s="48"/>
      <c r="Y13" s="48"/>
      <c r="Z13" s="47"/>
      <c r="AA13" s="70">
        <v>13</v>
      </c>
      <c r="AB13" s="70"/>
      <c r="AC13" s="71"/>
      <c r="AD13" s="86" t="s">
        <v>23653</v>
      </c>
      <c r="AE13" s="94" t="s">
        <v>25220</v>
      </c>
      <c r="AF13" s="86">
        <v>2895</v>
      </c>
      <c r="AG13" s="86">
        <v>320</v>
      </c>
      <c r="AH13" s="86">
        <v>43420</v>
      </c>
      <c r="AI13" s="86">
        <v>17</v>
      </c>
      <c r="AJ13" s="86">
        <v>8811</v>
      </c>
      <c r="AK13" s="86">
        <v>8013</v>
      </c>
      <c r="AL13" s="86" t="b">
        <v>0</v>
      </c>
      <c r="AM13" s="89">
        <v>40715.673101851855</v>
      </c>
      <c r="AN13" s="86" t="s">
        <v>15420</v>
      </c>
      <c r="AO13" s="86" t="s">
        <v>26434</v>
      </c>
      <c r="AP13" s="86"/>
      <c r="AQ13" s="86"/>
      <c r="AR13" s="86"/>
      <c r="AS13" s="86"/>
      <c r="AT13" s="86"/>
      <c r="AU13" s="86"/>
      <c r="AV13" s="86"/>
      <c r="AW13" s="86"/>
      <c r="AX13" s="86" t="b">
        <v>0</v>
      </c>
      <c r="AY13" s="86"/>
      <c r="AZ13" s="86"/>
      <c r="BA13" s="86" t="b">
        <v>0</v>
      </c>
      <c r="BB13" s="86" t="b">
        <v>1</v>
      </c>
      <c r="BC13" s="86" t="b">
        <v>0</v>
      </c>
      <c r="BD13" s="86" t="b">
        <v>0</v>
      </c>
      <c r="BE13" s="86" t="b">
        <v>0</v>
      </c>
      <c r="BF13" s="86" t="b">
        <v>0</v>
      </c>
      <c r="BG13" s="86" t="b">
        <v>0</v>
      </c>
      <c r="BH13" s="96" t="str">
        <f>HYPERLINK("https://pbs.twimg.com/profile_banners/321453965/1684774115")</f>
        <v>https://pbs.twimg.com/profile_banners/321453965/1684774115</v>
      </c>
      <c r="BI13" s="86"/>
      <c r="BJ13" s="86" t="s">
        <v>29134</v>
      </c>
      <c r="BK13" s="86" t="b">
        <v>0</v>
      </c>
      <c r="BL13" s="86"/>
      <c r="BM13" s="86" t="s">
        <v>66</v>
      </c>
      <c r="BN13" s="86" t="s">
        <v>29136</v>
      </c>
      <c r="BO13" s="96" t="str">
        <f>HYPERLINK("https://twitter.com/damasiobaixada")</f>
        <v>https://twitter.com/damasiobaixada</v>
      </c>
      <c r="BP13" s="2"/>
    </row>
    <row r="14" spans="1:68" x14ac:dyDescent="0.25">
      <c r="A14" s="63" t="s">
        <v>231</v>
      </c>
      <c r="B14" s="64"/>
      <c r="C14" s="64"/>
      <c r="D14" s="65"/>
      <c r="E14" s="67"/>
      <c r="F14" s="111" t="str">
        <f>HYPERLINK("https://pbs.twimg.com/profile_images/1661395877150294016/LJyIv-B6_normal.png")</f>
        <v>https://pbs.twimg.com/profile_images/1661395877150294016/LJyIv-B6_normal.png</v>
      </c>
      <c r="G14" s="64"/>
      <c r="H14" s="68"/>
      <c r="I14" s="69"/>
      <c r="J14" s="69"/>
      <c r="K14" s="68" t="s">
        <v>29147</v>
      </c>
      <c r="L14" s="72"/>
      <c r="M14" s="73"/>
      <c r="N14" s="73"/>
      <c r="O14" s="74"/>
      <c r="P14" s="75"/>
      <c r="Q14" s="75"/>
      <c r="R14" s="102"/>
      <c r="S14" s="102"/>
      <c r="T14" s="102"/>
      <c r="U14" s="102"/>
      <c r="V14" s="48"/>
      <c r="W14" s="48"/>
      <c r="X14" s="48"/>
      <c r="Y14" s="48"/>
      <c r="Z14" s="47"/>
      <c r="AA14" s="70">
        <v>14</v>
      </c>
      <c r="AB14" s="70"/>
      <c r="AC14" s="71"/>
      <c r="AD14" s="86" t="s">
        <v>23654</v>
      </c>
      <c r="AE14" s="94" t="s">
        <v>22796</v>
      </c>
      <c r="AF14" s="86">
        <v>10</v>
      </c>
      <c r="AG14" s="86">
        <v>10</v>
      </c>
      <c r="AH14" s="86">
        <v>239</v>
      </c>
      <c r="AI14" s="86">
        <v>0</v>
      </c>
      <c r="AJ14" s="86">
        <v>0</v>
      </c>
      <c r="AK14" s="86">
        <v>231</v>
      </c>
      <c r="AL14" s="86" t="b">
        <v>0</v>
      </c>
      <c r="AM14" s="89">
        <v>43617.039641203701</v>
      </c>
      <c r="AN14" s="86" t="s">
        <v>15234</v>
      </c>
      <c r="AO14" s="86" t="s">
        <v>26435</v>
      </c>
      <c r="AP14" s="96" t="str">
        <f>HYPERLINK("https://t.co/VswFg2L0uT")</f>
        <v>https://t.co/VswFg2L0uT</v>
      </c>
      <c r="AQ14" s="96" t="str">
        <f>HYPERLINK("https://luhao.com.br/")</f>
        <v>https://luhao.com.br/</v>
      </c>
      <c r="AR14" s="86" t="s">
        <v>27910</v>
      </c>
      <c r="AS14" s="86"/>
      <c r="AT14" s="86"/>
      <c r="AU14" s="86"/>
      <c r="AV14" s="86"/>
      <c r="AW14" s="96" t="str">
        <f>HYPERLINK("https://t.co/VswFg2L0uT")</f>
        <v>https://t.co/VswFg2L0uT</v>
      </c>
      <c r="AX14" s="86" t="b">
        <v>0</v>
      </c>
      <c r="AY14" s="86"/>
      <c r="AZ14" s="86"/>
      <c r="BA14" s="86" t="b">
        <v>0</v>
      </c>
      <c r="BB14" s="86" t="b">
        <v>1</v>
      </c>
      <c r="BC14" s="86" t="b">
        <v>1</v>
      </c>
      <c r="BD14" s="86" t="b">
        <v>0</v>
      </c>
      <c r="BE14" s="86" t="b">
        <v>0</v>
      </c>
      <c r="BF14" s="86" t="b">
        <v>0</v>
      </c>
      <c r="BG14" s="86" t="b">
        <v>0</v>
      </c>
      <c r="BH14" s="96" t="str">
        <f>HYPERLINK("https://pbs.twimg.com/profile_banners/1134624874817904642/1690987597")</f>
        <v>https://pbs.twimg.com/profile_banners/1134624874817904642/1690987597</v>
      </c>
      <c r="BI14" s="86"/>
      <c r="BJ14" s="86" t="s">
        <v>29134</v>
      </c>
      <c r="BK14" s="86" t="b">
        <v>0</v>
      </c>
      <c r="BL14" s="86"/>
      <c r="BM14" s="86" t="s">
        <v>66</v>
      </c>
      <c r="BN14" s="86" t="s">
        <v>29136</v>
      </c>
      <c r="BO14" s="96" t="str">
        <f>HYPERLINK("https://twitter.com/luhaoshop")</f>
        <v>https://twitter.com/luhaoshop</v>
      </c>
      <c r="BP14" s="2"/>
    </row>
    <row r="15" spans="1:68" x14ac:dyDescent="0.25">
      <c r="A15" s="63" t="s">
        <v>232</v>
      </c>
      <c r="B15" s="64"/>
      <c r="C15" s="64"/>
      <c r="D15" s="65"/>
      <c r="E15" s="67"/>
      <c r="F15" s="111" t="str">
        <f>HYPERLINK("https://pbs.twimg.com/profile_images/1659560694843416579/xkmbdYpp_normal.jpg")</f>
        <v>https://pbs.twimg.com/profile_images/1659560694843416579/xkmbdYpp_normal.jpg</v>
      </c>
      <c r="G15" s="64"/>
      <c r="H15" s="68"/>
      <c r="I15" s="69"/>
      <c r="J15" s="69"/>
      <c r="K15" s="68" t="s">
        <v>29148</v>
      </c>
      <c r="L15" s="72"/>
      <c r="M15" s="73"/>
      <c r="N15" s="73"/>
      <c r="O15" s="74"/>
      <c r="P15" s="75"/>
      <c r="Q15" s="75"/>
      <c r="R15" s="102"/>
      <c r="S15" s="102"/>
      <c r="T15" s="102"/>
      <c r="U15" s="102"/>
      <c r="V15" s="48"/>
      <c r="W15" s="48"/>
      <c r="X15" s="48"/>
      <c r="Y15" s="48"/>
      <c r="Z15" s="47"/>
      <c r="AA15" s="70">
        <v>15</v>
      </c>
      <c r="AB15" s="70"/>
      <c r="AC15" s="71"/>
      <c r="AD15" s="86" t="s">
        <v>23655</v>
      </c>
      <c r="AE15" s="94" t="s">
        <v>22518</v>
      </c>
      <c r="AF15" s="86">
        <v>138689</v>
      </c>
      <c r="AG15" s="86">
        <v>83</v>
      </c>
      <c r="AH15" s="86">
        <v>47489</v>
      </c>
      <c r="AI15" s="86">
        <v>159</v>
      </c>
      <c r="AJ15" s="86">
        <v>6318</v>
      </c>
      <c r="AK15" s="86">
        <v>7085</v>
      </c>
      <c r="AL15" s="86" t="b">
        <v>0</v>
      </c>
      <c r="AM15" s="89">
        <v>39993.850370370368</v>
      </c>
      <c r="AN15" s="86" t="s">
        <v>25882</v>
      </c>
      <c r="AO15" s="86" t="s">
        <v>26436</v>
      </c>
      <c r="AP15" s="96" t="str">
        <f>HYPERLINK("https://t.co/MMREa1UWcP")</f>
        <v>https://t.co/MMREa1UWcP</v>
      </c>
      <c r="AQ15" s="96" t="str">
        <f>HYPERLINK("http://www.tvliberal.com.br")</f>
        <v>http://www.tvliberal.com.br</v>
      </c>
      <c r="AR15" s="86" t="s">
        <v>27911</v>
      </c>
      <c r="AS15" s="86"/>
      <c r="AT15" s="86"/>
      <c r="AU15" s="86"/>
      <c r="AV15" s="86"/>
      <c r="AW15" s="96" t="str">
        <f>HYPERLINK("https://t.co/MMREa1UWcP")</f>
        <v>https://t.co/MMREa1UWcP</v>
      </c>
      <c r="AX15" s="86" t="b">
        <v>0</v>
      </c>
      <c r="AY15" s="86"/>
      <c r="AZ15" s="86"/>
      <c r="BA15" s="86" t="b">
        <v>0</v>
      </c>
      <c r="BB15" s="86" t="b">
        <v>0</v>
      </c>
      <c r="BC15" s="86" t="b">
        <v>0</v>
      </c>
      <c r="BD15" s="86" t="b">
        <v>0</v>
      </c>
      <c r="BE15" s="86" t="b">
        <v>1</v>
      </c>
      <c r="BF15" s="86" t="b">
        <v>0</v>
      </c>
      <c r="BG15" s="86" t="b">
        <v>0</v>
      </c>
      <c r="BH15" s="96" t="str">
        <f>HYPERLINK("https://pbs.twimg.com/profile_banners/52176846/1693945671")</f>
        <v>https://pbs.twimg.com/profile_banners/52176846/1693945671</v>
      </c>
      <c r="BI15" s="86"/>
      <c r="BJ15" s="86" t="s">
        <v>29134</v>
      </c>
      <c r="BK15" s="86" t="b">
        <v>0</v>
      </c>
      <c r="BL15" s="86"/>
      <c r="BM15" s="86" t="s">
        <v>66</v>
      </c>
      <c r="BN15" s="86" t="s">
        <v>29136</v>
      </c>
      <c r="BO15" s="96" t="str">
        <f>HYPERLINK("https://twitter.com/tvliberal")</f>
        <v>https://twitter.com/tvliberal</v>
      </c>
      <c r="BP15" s="2"/>
    </row>
    <row r="16" spans="1:68" x14ac:dyDescent="0.25">
      <c r="A16" s="63" t="s">
        <v>233</v>
      </c>
      <c r="B16" s="64"/>
      <c r="C16" s="64"/>
      <c r="D16" s="65"/>
      <c r="E16" s="67"/>
      <c r="F16" s="111" t="str">
        <f>HYPERLINK("https://pbs.twimg.com/profile_images/1650655226917945346/AJt568A0_normal.jpg")</f>
        <v>https://pbs.twimg.com/profile_images/1650655226917945346/AJt568A0_normal.jpg</v>
      </c>
      <c r="G16" s="64"/>
      <c r="H16" s="68"/>
      <c r="I16" s="69"/>
      <c r="J16" s="69"/>
      <c r="K16" s="68" t="s">
        <v>29149</v>
      </c>
      <c r="L16" s="72"/>
      <c r="M16" s="73"/>
      <c r="N16" s="73"/>
      <c r="O16" s="74"/>
      <c r="P16" s="75"/>
      <c r="Q16" s="75"/>
      <c r="R16" s="102"/>
      <c r="S16" s="102"/>
      <c r="T16" s="102"/>
      <c r="U16" s="102"/>
      <c r="V16" s="48"/>
      <c r="W16" s="48"/>
      <c r="X16" s="48"/>
      <c r="Y16" s="48"/>
      <c r="Z16" s="47"/>
      <c r="AA16" s="70">
        <v>16</v>
      </c>
      <c r="AB16" s="70"/>
      <c r="AC16" s="71"/>
      <c r="AD16" s="86" t="s">
        <v>23656</v>
      </c>
      <c r="AE16" s="94" t="s">
        <v>22797</v>
      </c>
      <c r="AF16" s="86">
        <v>6</v>
      </c>
      <c r="AG16" s="86">
        <v>51</v>
      </c>
      <c r="AH16" s="86">
        <v>59</v>
      </c>
      <c r="AI16" s="86">
        <v>0</v>
      </c>
      <c r="AJ16" s="86">
        <v>1844</v>
      </c>
      <c r="AK16" s="86">
        <v>18</v>
      </c>
      <c r="AL16" s="86" t="b">
        <v>0</v>
      </c>
      <c r="AM16" s="89">
        <v>45041.012129629627</v>
      </c>
      <c r="AN16" s="86" t="s">
        <v>15421</v>
      </c>
      <c r="AO16" s="86" t="s">
        <v>26437</v>
      </c>
      <c r="AP16" s="96" t="str">
        <f>HYPERLINK("https://t.co/BvEA9ZjQqs")</f>
        <v>https://t.co/BvEA9ZjQqs</v>
      </c>
      <c r="AQ16" s="96" t="str">
        <f>HYPERLINK("https://elkesoaresdesign.com/")</f>
        <v>https://elkesoaresdesign.com/</v>
      </c>
      <c r="AR16" s="86" t="s">
        <v>27912</v>
      </c>
      <c r="AS16" s="86"/>
      <c r="AT16" s="86"/>
      <c r="AU16" s="86"/>
      <c r="AV16" s="86">
        <v>1.6843787453715999E+18</v>
      </c>
      <c r="AW16" s="96" t="str">
        <f>HYPERLINK("https://t.co/BvEA9ZjQqs")</f>
        <v>https://t.co/BvEA9ZjQqs</v>
      </c>
      <c r="AX16" s="86" t="b">
        <v>0</v>
      </c>
      <c r="AY16" s="86"/>
      <c r="AZ16" s="86"/>
      <c r="BA16" s="86" t="b">
        <v>0</v>
      </c>
      <c r="BB16" s="86" t="b">
        <v>1</v>
      </c>
      <c r="BC16" s="86" t="b">
        <v>1</v>
      </c>
      <c r="BD16" s="86" t="b">
        <v>0</v>
      </c>
      <c r="BE16" s="86" t="b">
        <v>0</v>
      </c>
      <c r="BF16" s="86" t="b">
        <v>0</v>
      </c>
      <c r="BG16" s="86" t="b">
        <v>0</v>
      </c>
      <c r="BH16" s="86"/>
      <c r="BI16" s="86"/>
      <c r="BJ16" s="86" t="s">
        <v>29134</v>
      </c>
      <c r="BK16" s="86" t="b">
        <v>0</v>
      </c>
      <c r="BL16" s="86"/>
      <c r="BM16" s="86" t="s">
        <v>66</v>
      </c>
      <c r="BN16" s="86" t="s">
        <v>29136</v>
      </c>
      <c r="BO16" s="96" t="str">
        <f>HYPERLINK("https://twitter.com/elkedesigner")</f>
        <v>https://twitter.com/elkedesigner</v>
      </c>
      <c r="BP16" s="2"/>
    </row>
    <row r="17" spans="1:68" x14ac:dyDescent="0.25">
      <c r="A17" s="63" t="s">
        <v>234</v>
      </c>
      <c r="B17" s="64"/>
      <c r="C17" s="64"/>
      <c r="D17" s="65"/>
      <c r="E17" s="67"/>
      <c r="F17" s="111" t="str">
        <f>HYPERLINK("https://pbs.twimg.com/profile_images/1668737872558538752/t12okw-8_normal.jpg")</f>
        <v>https://pbs.twimg.com/profile_images/1668737872558538752/t12okw-8_normal.jpg</v>
      </c>
      <c r="G17" s="64"/>
      <c r="H17" s="68"/>
      <c r="I17" s="69"/>
      <c r="J17" s="69"/>
      <c r="K17" s="68" t="s">
        <v>29150</v>
      </c>
      <c r="L17" s="72"/>
      <c r="M17" s="73"/>
      <c r="N17" s="73"/>
      <c r="O17" s="74"/>
      <c r="P17" s="75"/>
      <c r="Q17" s="75"/>
      <c r="R17" s="102"/>
      <c r="S17" s="102"/>
      <c r="T17" s="102"/>
      <c r="U17" s="102"/>
      <c r="V17" s="48"/>
      <c r="W17" s="48"/>
      <c r="X17" s="48"/>
      <c r="Y17" s="48"/>
      <c r="Z17" s="47"/>
      <c r="AA17" s="70">
        <v>17</v>
      </c>
      <c r="AB17" s="70"/>
      <c r="AC17" s="71"/>
      <c r="AD17" s="86" t="s">
        <v>23657</v>
      </c>
      <c r="AE17" s="94" t="s">
        <v>25221</v>
      </c>
      <c r="AF17" s="86">
        <v>478</v>
      </c>
      <c r="AG17" s="86">
        <v>303</v>
      </c>
      <c r="AH17" s="86">
        <v>1011</v>
      </c>
      <c r="AI17" s="86">
        <v>28</v>
      </c>
      <c r="AJ17" s="86">
        <v>75</v>
      </c>
      <c r="AK17" s="86">
        <v>138</v>
      </c>
      <c r="AL17" s="86" t="b">
        <v>0</v>
      </c>
      <c r="AM17" s="89">
        <v>40049.019490740742</v>
      </c>
      <c r="AN17" s="86" t="s">
        <v>15234</v>
      </c>
      <c r="AO17" s="86" t="s">
        <v>26438</v>
      </c>
      <c r="AP17" s="96" t="str">
        <f>HYPERLINK("https://t.co/RyyFRmBXIS")</f>
        <v>https://t.co/RyyFRmBXIS</v>
      </c>
      <c r="AQ17" s="96" t="str">
        <f>HYPERLINK("http://www.40anos.fernandozaidan.com.br")</f>
        <v>http://www.40anos.fernandozaidan.com.br</v>
      </c>
      <c r="AR17" s="86" t="s">
        <v>27913</v>
      </c>
      <c r="AS17" s="86"/>
      <c r="AT17" s="86"/>
      <c r="AU17" s="86"/>
      <c r="AV17" s="86"/>
      <c r="AW17" s="96" t="str">
        <f>HYPERLINK("https://t.co/RyyFRmBXIS")</f>
        <v>https://t.co/RyyFRmBXIS</v>
      </c>
      <c r="AX17" s="86" t="b">
        <v>0</v>
      </c>
      <c r="AY17" s="86"/>
      <c r="AZ17" s="86"/>
      <c r="BA17" s="86" t="b">
        <v>0</v>
      </c>
      <c r="BB17" s="86" t="b">
        <v>1</v>
      </c>
      <c r="BC17" s="86" t="b">
        <v>1</v>
      </c>
      <c r="BD17" s="86" t="b">
        <v>0</v>
      </c>
      <c r="BE17" s="86" t="b">
        <v>0</v>
      </c>
      <c r="BF17" s="86" t="b">
        <v>0</v>
      </c>
      <c r="BG17" s="86" t="b">
        <v>0</v>
      </c>
      <c r="BH17" s="96" t="str">
        <f>HYPERLINK("https://pbs.twimg.com/profile_banners/68277399/1686693089")</f>
        <v>https://pbs.twimg.com/profile_banners/68277399/1686693089</v>
      </c>
      <c r="BI17" s="86"/>
      <c r="BJ17" s="86" t="s">
        <v>29134</v>
      </c>
      <c r="BK17" s="86" t="b">
        <v>0</v>
      </c>
      <c r="BL17" s="86"/>
      <c r="BM17" s="86" t="s">
        <v>66</v>
      </c>
      <c r="BN17" s="86" t="s">
        <v>29136</v>
      </c>
      <c r="BO17" s="96" t="str">
        <f>HYPERLINK("https://twitter.com/fernandozaidan")</f>
        <v>https://twitter.com/fernandozaidan</v>
      </c>
      <c r="BP17" s="2"/>
    </row>
    <row r="18" spans="1:68" x14ac:dyDescent="0.25">
      <c r="A18" s="63" t="s">
        <v>235</v>
      </c>
      <c r="B18" s="64"/>
      <c r="C18" s="64"/>
      <c r="D18" s="65"/>
      <c r="E18" s="67"/>
      <c r="F18" s="111" t="str">
        <f>HYPERLINK("https://pbs.twimg.com/profile_images/1688388845987930113/Nxy6aWex_normal.jpg")</f>
        <v>https://pbs.twimg.com/profile_images/1688388845987930113/Nxy6aWex_normal.jpg</v>
      </c>
      <c r="G18" s="64"/>
      <c r="H18" s="68"/>
      <c r="I18" s="69"/>
      <c r="J18" s="69"/>
      <c r="K18" s="68" t="s">
        <v>29151</v>
      </c>
      <c r="L18" s="72"/>
      <c r="M18" s="73"/>
      <c r="N18" s="73"/>
      <c r="O18" s="74"/>
      <c r="P18" s="75"/>
      <c r="Q18" s="75"/>
      <c r="R18" s="102"/>
      <c r="S18" s="102"/>
      <c r="T18" s="102"/>
      <c r="U18" s="102"/>
      <c r="V18" s="48"/>
      <c r="W18" s="48"/>
      <c r="X18" s="48"/>
      <c r="Y18" s="48"/>
      <c r="Z18" s="47"/>
      <c r="AA18" s="70">
        <v>18</v>
      </c>
      <c r="AB18" s="70"/>
      <c r="AC18" s="71"/>
      <c r="AD18" s="86" t="s">
        <v>23658</v>
      </c>
      <c r="AE18" s="94" t="s">
        <v>25222</v>
      </c>
      <c r="AF18" s="86">
        <v>85</v>
      </c>
      <c r="AG18" s="86">
        <v>139</v>
      </c>
      <c r="AH18" s="86">
        <v>459</v>
      </c>
      <c r="AI18" s="86">
        <v>0</v>
      </c>
      <c r="AJ18" s="86">
        <v>345</v>
      </c>
      <c r="AK18" s="86">
        <v>46</v>
      </c>
      <c r="AL18" s="86" t="b">
        <v>0</v>
      </c>
      <c r="AM18" s="89">
        <v>40810.181435185186</v>
      </c>
      <c r="AN18" s="86" t="s">
        <v>25883</v>
      </c>
      <c r="AO18" s="86" t="s">
        <v>26439</v>
      </c>
      <c r="AP18" s="96" t="str">
        <f>HYPERLINK("https://t.co/cZZNtkNJcN")</f>
        <v>https://t.co/cZZNtkNJcN</v>
      </c>
      <c r="AQ18" s="96" t="str">
        <f>HYPERLINK("http://www.wictorbispo.com.br")</f>
        <v>http://www.wictorbispo.com.br</v>
      </c>
      <c r="AR18" s="86" t="s">
        <v>27914</v>
      </c>
      <c r="AS18" s="86" t="s">
        <v>28995</v>
      </c>
      <c r="AT18" s="86" t="s">
        <v>29011</v>
      </c>
      <c r="AU18" s="86" t="s">
        <v>29028</v>
      </c>
      <c r="AV18" s="86"/>
      <c r="AW18" s="96" t="str">
        <f>HYPERLINK("https://t.co/cZZNtkNJcN")</f>
        <v>https://t.co/cZZNtkNJcN</v>
      </c>
      <c r="AX18" s="86" t="b">
        <v>0</v>
      </c>
      <c r="AY18" s="86"/>
      <c r="AZ18" s="86"/>
      <c r="BA18" s="86" t="b">
        <v>0</v>
      </c>
      <c r="BB18" s="86" t="b">
        <v>1</v>
      </c>
      <c r="BC18" s="86" t="b">
        <v>1</v>
      </c>
      <c r="BD18" s="86" t="b">
        <v>0</v>
      </c>
      <c r="BE18" s="86" t="b">
        <v>0</v>
      </c>
      <c r="BF18" s="86" t="b">
        <v>0</v>
      </c>
      <c r="BG18" s="86" t="b">
        <v>0</v>
      </c>
      <c r="BH18" s="96" t="str">
        <f>HYPERLINK("https://pbs.twimg.com/profile_banners/378974499/1674836653")</f>
        <v>https://pbs.twimg.com/profile_banners/378974499/1674836653</v>
      </c>
      <c r="BI18" s="86"/>
      <c r="BJ18" s="86" t="s">
        <v>29134</v>
      </c>
      <c r="BK18" s="86" t="b">
        <v>0</v>
      </c>
      <c r="BL18" s="86"/>
      <c r="BM18" s="86" t="s">
        <v>66</v>
      </c>
      <c r="BN18" s="86" t="s">
        <v>29136</v>
      </c>
      <c r="BO18" s="96" t="str">
        <f>HYPERLINK("https://twitter.com/wictorbispo2020")</f>
        <v>https://twitter.com/wictorbispo2020</v>
      </c>
      <c r="BP18" s="2"/>
    </row>
    <row r="19" spans="1:68" x14ac:dyDescent="0.25">
      <c r="A19" s="63" t="s">
        <v>236</v>
      </c>
      <c r="B19" s="64"/>
      <c r="C19" s="64"/>
      <c r="D19" s="65"/>
      <c r="E19" s="67"/>
      <c r="F19" s="111" t="str">
        <f>HYPERLINK("https://pbs.twimg.com/profile_images/1420833856333262849/dIn2JOkV_normal.jpg")</f>
        <v>https://pbs.twimg.com/profile_images/1420833856333262849/dIn2JOkV_normal.jpg</v>
      </c>
      <c r="G19" s="64"/>
      <c r="H19" s="68"/>
      <c r="I19" s="69"/>
      <c r="J19" s="69"/>
      <c r="K19" s="68" t="s">
        <v>29152</v>
      </c>
      <c r="L19" s="72"/>
      <c r="M19" s="73"/>
      <c r="N19" s="73"/>
      <c r="O19" s="74"/>
      <c r="P19" s="75"/>
      <c r="Q19" s="75"/>
      <c r="R19" s="102"/>
      <c r="S19" s="102"/>
      <c r="T19" s="102"/>
      <c r="U19" s="102"/>
      <c r="V19" s="48"/>
      <c r="W19" s="48"/>
      <c r="X19" s="48"/>
      <c r="Y19" s="48"/>
      <c r="Z19" s="47"/>
      <c r="AA19" s="70">
        <v>19</v>
      </c>
      <c r="AB19" s="70"/>
      <c r="AC19" s="71"/>
      <c r="AD19" s="86" t="s">
        <v>23659</v>
      </c>
      <c r="AE19" s="94" t="s">
        <v>22798</v>
      </c>
      <c r="AF19" s="86">
        <v>325</v>
      </c>
      <c r="AG19" s="86">
        <v>968</v>
      </c>
      <c r="AH19" s="86">
        <v>1047</v>
      </c>
      <c r="AI19" s="86">
        <v>3</v>
      </c>
      <c r="AJ19" s="86">
        <v>11755</v>
      </c>
      <c r="AK19" s="86">
        <v>55</v>
      </c>
      <c r="AL19" s="86" t="b">
        <v>0</v>
      </c>
      <c r="AM19" s="89">
        <v>42421.592013888891</v>
      </c>
      <c r="AN19" s="86" t="s">
        <v>15234</v>
      </c>
      <c r="AO19" s="86" t="s">
        <v>26440</v>
      </c>
      <c r="AP19" s="96" t="str">
        <f>HYPERLINK("https://t.co/173JWbRX3f")</f>
        <v>https://t.co/173JWbRX3f</v>
      </c>
      <c r="AQ19" s="96" t="str">
        <f>HYPERLINK("https://comprecripto.io")</f>
        <v>https://comprecripto.io</v>
      </c>
      <c r="AR19" s="86" t="s">
        <v>27915</v>
      </c>
      <c r="AS19" s="86"/>
      <c r="AT19" s="86"/>
      <c r="AU19" s="86"/>
      <c r="AV19" s="86">
        <v>1.6831025514349801E+18</v>
      </c>
      <c r="AW19" s="96" t="str">
        <f>HYPERLINK("https://t.co/173JWbRX3f")</f>
        <v>https://t.co/173JWbRX3f</v>
      </c>
      <c r="AX19" s="86" t="b">
        <v>0</v>
      </c>
      <c r="AY19" s="86"/>
      <c r="AZ19" s="86"/>
      <c r="BA19" s="86" t="b">
        <v>0</v>
      </c>
      <c r="BB19" s="86" t="b">
        <v>0</v>
      </c>
      <c r="BC19" s="86" t="b">
        <v>1</v>
      </c>
      <c r="BD19" s="86" t="b">
        <v>0</v>
      </c>
      <c r="BE19" s="86" t="b">
        <v>1</v>
      </c>
      <c r="BF19" s="86" t="b">
        <v>0</v>
      </c>
      <c r="BG19" s="86" t="b">
        <v>0</v>
      </c>
      <c r="BH19" s="96" t="str">
        <f>HYPERLINK("https://pbs.twimg.com/profile_banners/701409160164937729/1651103061")</f>
        <v>https://pbs.twimg.com/profile_banners/701409160164937729/1651103061</v>
      </c>
      <c r="BI19" s="86"/>
      <c r="BJ19" s="86" t="s">
        <v>29134</v>
      </c>
      <c r="BK19" s="86" t="b">
        <v>0</v>
      </c>
      <c r="BL19" s="86"/>
      <c r="BM19" s="86" t="s">
        <v>66</v>
      </c>
      <c r="BN19" s="86" t="s">
        <v>29136</v>
      </c>
      <c r="BO19" s="96" t="str">
        <f>HYPERLINK("https://twitter.com/joxj0hn")</f>
        <v>https://twitter.com/joxj0hn</v>
      </c>
      <c r="BP19" s="2"/>
    </row>
    <row r="20" spans="1:68" x14ac:dyDescent="0.25">
      <c r="A20" s="63" t="s">
        <v>237</v>
      </c>
      <c r="B20" s="64"/>
      <c r="C20" s="64"/>
      <c r="D20" s="65"/>
      <c r="E20" s="67"/>
      <c r="F20" s="111" t="str">
        <f>HYPERLINK("https://pbs.twimg.com/profile_images/1177212695776518144/61vDUE-Q_normal.jpg")</f>
        <v>https://pbs.twimg.com/profile_images/1177212695776518144/61vDUE-Q_normal.jpg</v>
      </c>
      <c r="G20" s="64"/>
      <c r="H20" s="68"/>
      <c r="I20" s="69"/>
      <c r="J20" s="69"/>
      <c r="K20" s="68" t="s">
        <v>29153</v>
      </c>
      <c r="L20" s="72"/>
      <c r="M20" s="73"/>
      <c r="N20" s="73"/>
      <c r="O20" s="74"/>
      <c r="P20" s="75"/>
      <c r="Q20" s="75"/>
      <c r="R20" s="102"/>
      <c r="S20" s="102"/>
      <c r="T20" s="102"/>
      <c r="U20" s="102"/>
      <c r="V20" s="48"/>
      <c r="W20" s="48"/>
      <c r="X20" s="48"/>
      <c r="Y20" s="48"/>
      <c r="Z20" s="47"/>
      <c r="AA20" s="70">
        <v>20</v>
      </c>
      <c r="AB20" s="70"/>
      <c r="AC20" s="71"/>
      <c r="AD20" s="86" t="s">
        <v>23660</v>
      </c>
      <c r="AE20" s="94" t="s">
        <v>25223</v>
      </c>
      <c r="AF20" s="86">
        <v>5407</v>
      </c>
      <c r="AG20" s="86">
        <v>301</v>
      </c>
      <c r="AH20" s="86">
        <v>19522</v>
      </c>
      <c r="AI20" s="86">
        <v>74</v>
      </c>
      <c r="AJ20" s="86">
        <v>106</v>
      </c>
      <c r="AK20" s="86">
        <v>7593</v>
      </c>
      <c r="AL20" s="86" t="b">
        <v>0</v>
      </c>
      <c r="AM20" s="89">
        <v>40056.621666666666</v>
      </c>
      <c r="AN20" s="86" t="s">
        <v>25884</v>
      </c>
      <c r="AO20" s="86" t="s">
        <v>26441</v>
      </c>
      <c r="AP20" s="96" t="str">
        <f>HYPERLINK("https://t.co/sODD7O12qo")</f>
        <v>https://t.co/sODD7O12qo</v>
      </c>
      <c r="AQ20" s="96" t="str">
        <f>HYPERLINK("https://guarulhosonline.com.br/")</f>
        <v>https://guarulhosonline.com.br/</v>
      </c>
      <c r="AR20" s="86" t="s">
        <v>27916</v>
      </c>
      <c r="AS20" s="86"/>
      <c r="AT20" s="86"/>
      <c r="AU20" s="86"/>
      <c r="AV20" s="86"/>
      <c r="AW20" s="96" t="str">
        <f>HYPERLINK("https://t.co/sODD7O12qo")</f>
        <v>https://t.co/sODD7O12qo</v>
      </c>
      <c r="AX20" s="86" t="b">
        <v>0</v>
      </c>
      <c r="AY20" s="86"/>
      <c r="AZ20" s="86"/>
      <c r="BA20" s="86" t="b">
        <v>1</v>
      </c>
      <c r="BB20" s="86" t="b">
        <v>0</v>
      </c>
      <c r="BC20" s="86" t="b">
        <v>0</v>
      </c>
      <c r="BD20" s="86" t="b">
        <v>0</v>
      </c>
      <c r="BE20" s="86" t="b">
        <v>1</v>
      </c>
      <c r="BF20" s="86" t="b">
        <v>0</v>
      </c>
      <c r="BG20" s="86" t="b">
        <v>0</v>
      </c>
      <c r="BH20" s="96" t="str">
        <f>HYPERLINK("https://pbs.twimg.com/profile_banners/70411503/1569504354")</f>
        <v>https://pbs.twimg.com/profile_banners/70411503/1569504354</v>
      </c>
      <c r="BI20" s="86"/>
      <c r="BJ20" s="86" t="s">
        <v>29134</v>
      </c>
      <c r="BK20" s="86" t="b">
        <v>0</v>
      </c>
      <c r="BL20" s="86"/>
      <c r="BM20" s="86" t="s">
        <v>66</v>
      </c>
      <c r="BN20" s="86" t="s">
        <v>29136</v>
      </c>
      <c r="BO20" s="96" t="str">
        <f>HYPERLINK("https://twitter.com/guarulhosonline")</f>
        <v>https://twitter.com/guarulhosonline</v>
      </c>
      <c r="BP20" s="2"/>
    </row>
    <row r="21" spans="1:68" x14ac:dyDescent="0.25">
      <c r="A21" s="63" t="s">
        <v>238</v>
      </c>
      <c r="B21" s="64"/>
      <c r="C21" s="64"/>
      <c r="D21" s="65"/>
      <c r="E21" s="67"/>
      <c r="F21" s="111" t="str">
        <f>HYPERLINK("https://pbs.twimg.com/profile_images/1248847293/eu_normal.jpg")</f>
        <v>https://pbs.twimg.com/profile_images/1248847293/eu_normal.jpg</v>
      </c>
      <c r="G21" s="64"/>
      <c r="H21" s="68"/>
      <c r="I21" s="69"/>
      <c r="J21" s="69"/>
      <c r="K21" s="68" t="s">
        <v>29154</v>
      </c>
      <c r="L21" s="72"/>
      <c r="M21" s="73"/>
      <c r="N21" s="73"/>
      <c r="O21" s="74"/>
      <c r="P21" s="75"/>
      <c r="Q21" s="75"/>
      <c r="R21" s="102"/>
      <c r="S21" s="102"/>
      <c r="T21" s="102"/>
      <c r="U21" s="102"/>
      <c r="V21" s="48"/>
      <c r="W21" s="48"/>
      <c r="X21" s="48"/>
      <c r="Y21" s="48"/>
      <c r="Z21" s="47"/>
      <c r="AA21" s="70">
        <v>21</v>
      </c>
      <c r="AB21" s="70"/>
      <c r="AC21" s="71"/>
      <c r="AD21" s="86" t="s">
        <v>23661</v>
      </c>
      <c r="AE21" s="94" t="s">
        <v>25224</v>
      </c>
      <c r="AF21" s="86">
        <v>168</v>
      </c>
      <c r="AG21" s="86">
        <v>70</v>
      </c>
      <c r="AH21" s="86">
        <v>1151</v>
      </c>
      <c r="AI21" s="86">
        <v>1</v>
      </c>
      <c r="AJ21" s="86">
        <v>59</v>
      </c>
      <c r="AK21" s="86">
        <v>794</v>
      </c>
      <c r="AL21" s="86" t="b">
        <v>0</v>
      </c>
      <c r="AM21" s="89">
        <v>39942.956504629627</v>
      </c>
      <c r="AN21" s="86" t="s">
        <v>25885</v>
      </c>
      <c r="AO21" s="86"/>
      <c r="AP21" s="96" t="str">
        <f>HYPERLINK("http://t.co/HLkBSWyQKk")</f>
        <v>http://t.co/HLkBSWyQKk</v>
      </c>
      <c r="AQ21" s="96" t="str">
        <f>HYPERLINK("http://www.fmhits.com.br")</f>
        <v>http://www.fmhits.com.br</v>
      </c>
      <c r="AR21" s="86" t="s">
        <v>27917</v>
      </c>
      <c r="AS21" s="86"/>
      <c r="AT21" s="86"/>
      <c r="AU21" s="86"/>
      <c r="AV21" s="86"/>
      <c r="AW21" s="96" t="str">
        <f>HYPERLINK("http://t.co/HLkBSWyQKk")</f>
        <v>http://t.co/HLkBSWyQKk</v>
      </c>
      <c r="AX21" s="86" t="b">
        <v>0</v>
      </c>
      <c r="AY21" s="86"/>
      <c r="AZ21" s="86"/>
      <c r="BA21" s="86" t="b">
        <v>0</v>
      </c>
      <c r="BB21" s="86" t="b">
        <v>1</v>
      </c>
      <c r="BC21" s="86" t="b">
        <v>0</v>
      </c>
      <c r="BD21" s="86" t="b">
        <v>0</v>
      </c>
      <c r="BE21" s="86" t="b">
        <v>0</v>
      </c>
      <c r="BF21" s="86" t="b">
        <v>0</v>
      </c>
      <c r="BG21" s="86" t="b">
        <v>0</v>
      </c>
      <c r="BH21" s="86"/>
      <c r="BI21" s="86"/>
      <c r="BJ21" s="86" t="s">
        <v>29134</v>
      </c>
      <c r="BK21" s="86" t="b">
        <v>0</v>
      </c>
      <c r="BL21" s="86"/>
      <c r="BM21" s="86" t="s">
        <v>66</v>
      </c>
      <c r="BN21" s="86" t="s">
        <v>29136</v>
      </c>
      <c r="BO21" s="96" t="str">
        <f>HYPERLINK("https://twitter.com/gfpandolfo")</f>
        <v>https://twitter.com/gfpandolfo</v>
      </c>
      <c r="BP21" s="2"/>
    </row>
    <row r="22" spans="1:68" x14ac:dyDescent="0.25">
      <c r="A22" s="63" t="s">
        <v>239</v>
      </c>
      <c r="B22" s="64"/>
      <c r="C22" s="64"/>
      <c r="D22" s="65"/>
      <c r="E22" s="67"/>
      <c r="F22" s="111" t="str">
        <f>HYPERLINK("https://abs.twimg.com/sticky/default_profile_images/default_profile_normal.png")</f>
        <v>https://abs.twimg.com/sticky/default_profile_images/default_profile_normal.png</v>
      </c>
      <c r="G22" s="64"/>
      <c r="H22" s="68"/>
      <c r="I22" s="69"/>
      <c r="J22" s="69"/>
      <c r="K22" s="68" t="s">
        <v>29155</v>
      </c>
      <c r="L22" s="72"/>
      <c r="M22" s="73"/>
      <c r="N22" s="73"/>
      <c r="O22" s="74"/>
      <c r="P22" s="75"/>
      <c r="Q22" s="75"/>
      <c r="R22" s="102"/>
      <c r="S22" s="102"/>
      <c r="T22" s="102"/>
      <c r="U22" s="102"/>
      <c r="V22" s="48"/>
      <c r="W22" s="48"/>
      <c r="X22" s="48"/>
      <c r="Y22" s="48"/>
      <c r="Z22" s="47"/>
      <c r="AA22" s="70">
        <v>22</v>
      </c>
      <c r="AB22" s="70"/>
      <c r="AC22" s="71"/>
      <c r="AD22" s="86" t="s">
        <v>23662</v>
      </c>
      <c r="AE22" s="94" t="s">
        <v>25225</v>
      </c>
      <c r="AF22" s="86">
        <v>7</v>
      </c>
      <c r="AG22" s="86">
        <v>84</v>
      </c>
      <c r="AH22" s="86">
        <v>1483</v>
      </c>
      <c r="AI22" s="86">
        <v>0</v>
      </c>
      <c r="AJ22" s="86">
        <v>5</v>
      </c>
      <c r="AK22" s="86">
        <v>704</v>
      </c>
      <c r="AL22" s="86" t="b">
        <v>0</v>
      </c>
      <c r="AM22" s="89">
        <v>40150.797893518517</v>
      </c>
      <c r="AN22" s="86"/>
      <c r="AO22" s="86"/>
      <c r="AP22" s="86"/>
      <c r="AQ22" s="86"/>
      <c r="AR22" s="86"/>
      <c r="AS22" s="86"/>
      <c r="AT22" s="86"/>
      <c r="AU22" s="86"/>
      <c r="AV22" s="86"/>
      <c r="AW22" s="86"/>
      <c r="AX22" s="86" t="b">
        <v>0</v>
      </c>
      <c r="AY22" s="86"/>
      <c r="AZ22" s="86"/>
      <c r="BA22" s="86" t="b">
        <v>0</v>
      </c>
      <c r="BB22" s="86" t="b">
        <v>1</v>
      </c>
      <c r="BC22" s="86" t="b">
        <v>1</v>
      </c>
      <c r="BD22" s="86" t="b">
        <v>1</v>
      </c>
      <c r="BE22" s="86" t="b">
        <v>1</v>
      </c>
      <c r="BF22" s="86" t="b">
        <v>0</v>
      </c>
      <c r="BG22" s="86" t="b">
        <v>0</v>
      </c>
      <c r="BH22" s="86"/>
      <c r="BI22" s="86"/>
      <c r="BJ22" s="86" t="s">
        <v>29134</v>
      </c>
      <c r="BK22" s="86" t="b">
        <v>0</v>
      </c>
      <c r="BL22" s="86"/>
      <c r="BM22" s="86" t="s">
        <v>66</v>
      </c>
      <c r="BN22" s="86" t="s">
        <v>29136</v>
      </c>
      <c r="BO22" s="96" t="str">
        <f>HYPERLINK("https://twitter.com/falecomromulo")</f>
        <v>https://twitter.com/falecomromulo</v>
      </c>
      <c r="BP22" s="2"/>
    </row>
    <row r="23" spans="1:68" x14ac:dyDescent="0.25">
      <c r="A23" s="63" t="s">
        <v>240</v>
      </c>
      <c r="B23" s="64"/>
      <c r="C23" s="64"/>
      <c r="D23" s="65"/>
      <c r="E23" s="67"/>
      <c r="F23" s="111" t="str">
        <f>HYPERLINK("https://pbs.twimg.com/profile_images/528585090/logo_nova-2_normal.JPG")</f>
        <v>https://pbs.twimg.com/profile_images/528585090/logo_nova-2_normal.JPG</v>
      </c>
      <c r="G23" s="64"/>
      <c r="H23" s="68"/>
      <c r="I23" s="69"/>
      <c r="J23" s="69"/>
      <c r="K23" s="68" t="s">
        <v>29156</v>
      </c>
      <c r="L23" s="72"/>
      <c r="M23" s="73"/>
      <c r="N23" s="73"/>
      <c r="O23" s="74"/>
      <c r="P23" s="75"/>
      <c r="Q23" s="75"/>
      <c r="R23" s="102"/>
      <c r="S23" s="102"/>
      <c r="T23" s="102"/>
      <c r="U23" s="102"/>
      <c r="V23" s="48"/>
      <c r="W23" s="48"/>
      <c r="X23" s="48"/>
      <c r="Y23" s="48"/>
      <c r="Z23" s="47"/>
      <c r="AA23" s="70">
        <v>23</v>
      </c>
      <c r="AB23" s="70"/>
      <c r="AC23" s="71"/>
      <c r="AD23" s="86" t="s">
        <v>23663</v>
      </c>
      <c r="AE23" s="94" t="s">
        <v>25226</v>
      </c>
      <c r="AF23" s="86">
        <v>264</v>
      </c>
      <c r="AG23" s="86">
        <v>453</v>
      </c>
      <c r="AH23" s="86">
        <v>598</v>
      </c>
      <c r="AI23" s="86">
        <v>11</v>
      </c>
      <c r="AJ23" s="86">
        <v>231</v>
      </c>
      <c r="AK23" s="86">
        <v>243</v>
      </c>
      <c r="AL23" s="86" t="b">
        <v>0</v>
      </c>
      <c r="AM23" s="89">
        <v>40133.007488425923</v>
      </c>
      <c r="AN23" s="86" t="s">
        <v>25886</v>
      </c>
      <c r="AO23" s="86" t="s">
        <v>26442</v>
      </c>
      <c r="AP23" s="96" t="str">
        <f>HYPERLINK("https://t.co/0V5eymI7fY")</f>
        <v>https://t.co/0V5eymI7fY</v>
      </c>
      <c r="AQ23" s="96" t="str">
        <f>HYPERLINK("https://www.facebook.com/idealprojetosarquitetura")</f>
        <v>https://www.facebook.com/idealprojetosarquitetura</v>
      </c>
      <c r="AR23" s="86" t="s">
        <v>27918</v>
      </c>
      <c r="AS23" s="86"/>
      <c r="AT23" s="86"/>
      <c r="AU23" s="86"/>
      <c r="AV23" s="86"/>
      <c r="AW23" s="96" t="str">
        <f>HYPERLINK("https://t.co/0V5eymI7fY")</f>
        <v>https://t.co/0V5eymI7fY</v>
      </c>
      <c r="AX23" s="86" t="b">
        <v>0</v>
      </c>
      <c r="AY23" s="86"/>
      <c r="AZ23" s="86"/>
      <c r="BA23" s="86" t="b">
        <v>0</v>
      </c>
      <c r="BB23" s="86" t="b">
        <v>1</v>
      </c>
      <c r="BC23" s="86" t="b">
        <v>0</v>
      </c>
      <c r="BD23" s="86" t="b">
        <v>0</v>
      </c>
      <c r="BE23" s="86" t="b">
        <v>1</v>
      </c>
      <c r="BF23" s="86" t="b">
        <v>0</v>
      </c>
      <c r="BG23" s="86" t="b">
        <v>0</v>
      </c>
      <c r="BH23" s="96" t="str">
        <f>HYPERLINK("https://pbs.twimg.com/profile_banners/90280668/1568323907")</f>
        <v>https://pbs.twimg.com/profile_banners/90280668/1568323907</v>
      </c>
      <c r="BI23" s="86"/>
      <c r="BJ23" s="86" t="s">
        <v>29134</v>
      </c>
      <c r="BK23" s="86" t="b">
        <v>0</v>
      </c>
      <c r="BL23" s="86"/>
      <c r="BM23" s="86" t="s">
        <v>66</v>
      </c>
      <c r="BN23" s="86" t="s">
        <v>29136</v>
      </c>
      <c r="BO23" s="96" t="str">
        <f>HYPERLINK("https://twitter.com/idealprojetos")</f>
        <v>https://twitter.com/idealprojetos</v>
      </c>
      <c r="BP23" s="2"/>
    </row>
    <row r="24" spans="1:68" x14ac:dyDescent="0.25">
      <c r="A24" s="63" t="s">
        <v>241</v>
      </c>
      <c r="B24" s="64"/>
      <c r="C24" s="64"/>
      <c r="D24" s="65"/>
      <c r="E24" s="67"/>
      <c r="F24" s="111" t="str">
        <f>HYPERLINK("https://pbs.twimg.com/profile_images/1463436562050555908/Tkwc98k2_normal.jpg")</f>
        <v>https://pbs.twimg.com/profile_images/1463436562050555908/Tkwc98k2_normal.jpg</v>
      </c>
      <c r="G24" s="64"/>
      <c r="H24" s="68"/>
      <c r="I24" s="69"/>
      <c r="J24" s="69"/>
      <c r="K24" s="68" t="s">
        <v>29157</v>
      </c>
      <c r="L24" s="72"/>
      <c r="M24" s="73"/>
      <c r="N24" s="73"/>
      <c r="O24" s="74"/>
      <c r="P24" s="75"/>
      <c r="Q24" s="75"/>
      <c r="R24" s="102"/>
      <c r="S24" s="102"/>
      <c r="T24" s="102"/>
      <c r="U24" s="102"/>
      <c r="V24" s="48"/>
      <c r="W24" s="48"/>
      <c r="X24" s="48"/>
      <c r="Y24" s="48"/>
      <c r="Z24" s="47"/>
      <c r="AA24" s="70">
        <v>24</v>
      </c>
      <c r="AB24" s="70"/>
      <c r="AC24" s="71"/>
      <c r="AD24" s="86" t="s">
        <v>23664</v>
      </c>
      <c r="AE24" s="94" t="s">
        <v>22799</v>
      </c>
      <c r="AF24" s="86">
        <v>10</v>
      </c>
      <c r="AG24" s="86">
        <v>25</v>
      </c>
      <c r="AH24" s="86">
        <v>392</v>
      </c>
      <c r="AI24" s="86">
        <v>0</v>
      </c>
      <c r="AJ24" s="86">
        <v>456</v>
      </c>
      <c r="AK24" s="86">
        <v>19</v>
      </c>
      <c r="AL24" s="86" t="b">
        <v>0</v>
      </c>
      <c r="AM24" s="89">
        <v>44524.385694444441</v>
      </c>
      <c r="AN24" s="86" t="s">
        <v>25887</v>
      </c>
      <c r="AO24" s="86" t="s">
        <v>26443</v>
      </c>
      <c r="AP24" s="86"/>
      <c r="AQ24" s="86"/>
      <c r="AR24" s="86"/>
      <c r="AS24" s="86"/>
      <c r="AT24" s="86"/>
      <c r="AU24" s="86"/>
      <c r="AV24" s="86"/>
      <c r="AW24" s="86"/>
      <c r="AX24" s="86" t="b">
        <v>0</v>
      </c>
      <c r="AY24" s="86"/>
      <c r="AZ24" s="86"/>
      <c r="BA24" s="86" t="b">
        <v>0</v>
      </c>
      <c r="BB24" s="86" t="b">
        <v>1</v>
      </c>
      <c r="BC24" s="86" t="b">
        <v>1</v>
      </c>
      <c r="BD24" s="86" t="b">
        <v>0</v>
      </c>
      <c r="BE24" s="86" t="b">
        <v>0</v>
      </c>
      <c r="BF24" s="86" t="b">
        <v>0</v>
      </c>
      <c r="BG24" s="86" t="b">
        <v>0</v>
      </c>
      <c r="BH24" s="96" t="str">
        <f>HYPERLINK("https://pbs.twimg.com/profile_banners/1463435846162472965/1637745469")</f>
        <v>https://pbs.twimg.com/profile_banners/1463435846162472965/1637745469</v>
      </c>
      <c r="BI24" s="86"/>
      <c r="BJ24" s="86" t="s">
        <v>29134</v>
      </c>
      <c r="BK24" s="86" t="b">
        <v>0</v>
      </c>
      <c r="BL24" s="86"/>
      <c r="BM24" s="86" t="s">
        <v>66</v>
      </c>
      <c r="BN24" s="86" t="s">
        <v>29136</v>
      </c>
      <c r="BO24" s="96" t="str">
        <f>HYPERLINK("https://twitter.com/linkarbio")</f>
        <v>https://twitter.com/linkarbio</v>
      </c>
      <c r="BP24" s="2"/>
    </row>
    <row r="25" spans="1:68" x14ac:dyDescent="0.25">
      <c r="A25" s="63" t="s">
        <v>242</v>
      </c>
      <c r="B25" s="64"/>
      <c r="C25" s="64"/>
      <c r="D25" s="65"/>
      <c r="E25" s="67"/>
      <c r="F25" s="111" t="str">
        <f>HYPERLINK("https://pbs.twimg.com/profile_images/1565737778649784321/-NkVsP9q_normal.png")</f>
        <v>https://pbs.twimg.com/profile_images/1565737778649784321/-NkVsP9q_normal.png</v>
      </c>
      <c r="G25" s="64"/>
      <c r="H25" s="68"/>
      <c r="I25" s="69"/>
      <c r="J25" s="69"/>
      <c r="K25" s="68" t="s">
        <v>29158</v>
      </c>
      <c r="L25" s="72"/>
      <c r="M25" s="73"/>
      <c r="N25" s="73"/>
      <c r="O25" s="74"/>
      <c r="P25" s="75"/>
      <c r="Q25" s="75"/>
      <c r="R25" s="102"/>
      <c r="S25" s="102"/>
      <c r="T25" s="102"/>
      <c r="U25" s="102"/>
      <c r="V25" s="48"/>
      <c r="W25" s="48"/>
      <c r="X25" s="48"/>
      <c r="Y25" s="48"/>
      <c r="Z25" s="47"/>
      <c r="AA25" s="70">
        <v>25</v>
      </c>
      <c r="AB25" s="70"/>
      <c r="AC25" s="71"/>
      <c r="AD25" s="86" t="s">
        <v>23665</v>
      </c>
      <c r="AE25" s="94" t="s">
        <v>25227</v>
      </c>
      <c r="AF25" s="86">
        <v>1966</v>
      </c>
      <c r="AG25" s="86">
        <v>1966</v>
      </c>
      <c r="AH25" s="86">
        <v>3074</v>
      </c>
      <c r="AI25" s="86">
        <v>1</v>
      </c>
      <c r="AJ25" s="86">
        <v>2225</v>
      </c>
      <c r="AK25" s="86">
        <v>1462</v>
      </c>
      <c r="AL25" s="86" t="b">
        <v>0</v>
      </c>
      <c r="AM25" s="89">
        <v>41372.853460648148</v>
      </c>
      <c r="AN25" s="86" t="s">
        <v>25888</v>
      </c>
      <c r="AO25" s="86" t="s">
        <v>26444</v>
      </c>
      <c r="AP25" s="86"/>
      <c r="AQ25" s="86"/>
      <c r="AR25" s="86"/>
      <c r="AS25" s="86"/>
      <c r="AT25" s="86"/>
      <c r="AU25" s="86"/>
      <c r="AV25" s="86"/>
      <c r="AW25" s="86"/>
      <c r="AX25" s="86" t="b">
        <v>0</v>
      </c>
      <c r="AY25" s="86"/>
      <c r="AZ25" s="86"/>
      <c r="BA25" s="86" t="b">
        <v>0</v>
      </c>
      <c r="BB25" s="86" t="b">
        <v>1</v>
      </c>
      <c r="BC25" s="86" t="b">
        <v>0</v>
      </c>
      <c r="BD25" s="86" t="b">
        <v>0</v>
      </c>
      <c r="BE25" s="86" t="b">
        <v>1</v>
      </c>
      <c r="BF25" s="86" t="b">
        <v>0</v>
      </c>
      <c r="BG25" s="86" t="b">
        <v>0</v>
      </c>
      <c r="BH25" s="96" t="str">
        <f>HYPERLINK("https://pbs.twimg.com/profile_banners/1337546527/1626722477")</f>
        <v>https://pbs.twimg.com/profile_banners/1337546527/1626722477</v>
      </c>
      <c r="BI25" s="86"/>
      <c r="BJ25" s="86" t="s">
        <v>29134</v>
      </c>
      <c r="BK25" s="86" t="b">
        <v>0</v>
      </c>
      <c r="BL25" s="86"/>
      <c r="BM25" s="86" t="s">
        <v>66</v>
      </c>
      <c r="BN25" s="86" t="s">
        <v>29136</v>
      </c>
      <c r="BO25" s="96" t="str">
        <f>HYPERLINK("https://twitter.com/wmjm1234")</f>
        <v>https://twitter.com/wmjm1234</v>
      </c>
      <c r="BP25" s="2"/>
    </row>
    <row r="26" spans="1:68" x14ac:dyDescent="0.25">
      <c r="A26" s="63" t="s">
        <v>243</v>
      </c>
      <c r="B26" s="64"/>
      <c r="C26" s="64"/>
      <c r="D26" s="65"/>
      <c r="E26" s="67"/>
      <c r="F26" s="111" t="str">
        <f>HYPERLINK("https://pbs.twimg.com/profile_images/1550895302500040704/7IOfIapt_normal.jpg")</f>
        <v>https://pbs.twimg.com/profile_images/1550895302500040704/7IOfIapt_normal.jpg</v>
      </c>
      <c r="G26" s="64"/>
      <c r="H26" s="68"/>
      <c r="I26" s="69"/>
      <c r="J26" s="69"/>
      <c r="K26" s="68" t="s">
        <v>29159</v>
      </c>
      <c r="L26" s="72"/>
      <c r="M26" s="73"/>
      <c r="N26" s="73"/>
      <c r="O26" s="74"/>
      <c r="P26" s="75"/>
      <c r="Q26" s="75"/>
      <c r="R26" s="102"/>
      <c r="S26" s="102"/>
      <c r="T26" s="102"/>
      <c r="U26" s="102"/>
      <c r="V26" s="48"/>
      <c r="W26" s="48"/>
      <c r="X26" s="48"/>
      <c r="Y26" s="48"/>
      <c r="Z26" s="47"/>
      <c r="AA26" s="70">
        <v>26</v>
      </c>
      <c r="AB26" s="70"/>
      <c r="AC26" s="71"/>
      <c r="AD26" s="86" t="s">
        <v>23666</v>
      </c>
      <c r="AE26" s="94" t="s">
        <v>22800</v>
      </c>
      <c r="AF26" s="86">
        <v>0</v>
      </c>
      <c r="AG26" s="86">
        <v>11</v>
      </c>
      <c r="AH26" s="86">
        <v>4</v>
      </c>
      <c r="AI26" s="86">
        <v>0</v>
      </c>
      <c r="AJ26" s="86">
        <v>0</v>
      </c>
      <c r="AK26" s="86">
        <v>2</v>
      </c>
      <c r="AL26" s="86" t="b">
        <v>0</v>
      </c>
      <c r="AM26" s="89">
        <v>44765.727175925924</v>
      </c>
      <c r="AN26" s="86"/>
      <c r="AO26" s="86" t="s">
        <v>26445</v>
      </c>
      <c r="AP26" s="86"/>
      <c r="AQ26" s="86"/>
      <c r="AR26" s="86"/>
      <c r="AS26" s="86"/>
      <c r="AT26" s="86"/>
      <c r="AU26" s="86"/>
      <c r="AV26" s="86"/>
      <c r="AW26" s="86"/>
      <c r="AX26" s="86" t="b">
        <v>0</v>
      </c>
      <c r="AY26" s="86"/>
      <c r="AZ26" s="86"/>
      <c r="BA26" s="86" t="b">
        <v>1</v>
      </c>
      <c r="BB26" s="86" t="b">
        <v>1</v>
      </c>
      <c r="BC26" s="86" t="b">
        <v>1</v>
      </c>
      <c r="BD26" s="86" t="b">
        <v>0</v>
      </c>
      <c r="BE26" s="86" t="b">
        <v>0</v>
      </c>
      <c r="BF26" s="86" t="b">
        <v>0</v>
      </c>
      <c r="BG26" s="86" t="b">
        <v>0</v>
      </c>
      <c r="BH26" s="86"/>
      <c r="BI26" s="86"/>
      <c r="BJ26" s="86" t="s">
        <v>29134</v>
      </c>
      <c r="BK26" s="86" t="b">
        <v>0</v>
      </c>
      <c r="BL26" s="86"/>
      <c r="BM26" s="86" t="s">
        <v>66</v>
      </c>
      <c r="BN26" s="86" t="s">
        <v>29136</v>
      </c>
      <c r="BO26" s="96" t="str">
        <f>HYPERLINK("https://twitter.com/night7xr")</f>
        <v>https://twitter.com/night7xr</v>
      </c>
      <c r="BP26" s="2"/>
    </row>
    <row r="27" spans="1:68" x14ac:dyDescent="0.25">
      <c r="A27" s="63" t="s">
        <v>244</v>
      </c>
      <c r="B27" s="64"/>
      <c r="C27" s="64"/>
      <c r="D27" s="65"/>
      <c r="E27" s="67"/>
      <c r="F27" s="111" t="str">
        <f>HYPERLINK("https://pbs.twimg.com/profile_images/1602479494660587524/OMFG8dn6_normal.jpg")</f>
        <v>https://pbs.twimg.com/profile_images/1602479494660587524/OMFG8dn6_normal.jpg</v>
      </c>
      <c r="G27" s="64"/>
      <c r="H27" s="68"/>
      <c r="I27" s="69"/>
      <c r="J27" s="69"/>
      <c r="K27" s="68" t="s">
        <v>29160</v>
      </c>
      <c r="L27" s="72"/>
      <c r="M27" s="73"/>
      <c r="N27" s="73"/>
      <c r="O27" s="74"/>
      <c r="P27" s="75"/>
      <c r="Q27" s="75"/>
      <c r="R27" s="102"/>
      <c r="S27" s="102"/>
      <c r="T27" s="102"/>
      <c r="U27" s="102"/>
      <c r="V27" s="48"/>
      <c r="W27" s="48"/>
      <c r="X27" s="48"/>
      <c r="Y27" s="48"/>
      <c r="Z27" s="47"/>
      <c r="AA27" s="70">
        <v>27</v>
      </c>
      <c r="AB27" s="70"/>
      <c r="AC27" s="71"/>
      <c r="AD27" s="86" t="s">
        <v>244</v>
      </c>
      <c r="AE27" s="94" t="s">
        <v>22801</v>
      </c>
      <c r="AF27" s="86">
        <v>13</v>
      </c>
      <c r="AG27" s="86">
        <v>1</v>
      </c>
      <c r="AH27" s="86">
        <v>94</v>
      </c>
      <c r="AI27" s="86">
        <v>0</v>
      </c>
      <c r="AJ27" s="86">
        <v>5</v>
      </c>
      <c r="AK27" s="86">
        <v>87</v>
      </c>
      <c r="AL27" s="86" t="b">
        <v>0</v>
      </c>
      <c r="AM27" s="89">
        <v>44908.071655092594</v>
      </c>
      <c r="AN27" s="86" t="s">
        <v>15234</v>
      </c>
      <c r="AO27" s="86" t="s">
        <v>26446</v>
      </c>
      <c r="AP27" s="96" t="str">
        <f>HYPERLINK("https://t.co/eUVkzFJDtE")</f>
        <v>https://t.co/eUVkzFJDtE</v>
      </c>
      <c r="AQ27" s="96" t="str">
        <f>HYPERLINK("http://www.vtpodcast.com.br")</f>
        <v>http://www.vtpodcast.com.br</v>
      </c>
      <c r="AR27" s="86" t="s">
        <v>27919</v>
      </c>
      <c r="AS27" s="86"/>
      <c r="AT27" s="86"/>
      <c r="AU27" s="86"/>
      <c r="AV27" s="86"/>
      <c r="AW27" s="96" t="str">
        <f>HYPERLINK("https://t.co/eUVkzFJDtE")</f>
        <v>https://t.co/eUVkzFJDtE</v>
      </c>
      <c r="AX27" s="86" t="b">
        <v>0</v>
      </c>
      <c r="AY27" s="86"/>
      <c r="AZ27" s="86"/>
      <c r="BA27" s="86" t="b">
        <v>0</v>
      </c>
      <c r="BB27" s="86" t="b">
        <v>1</v>
      </c>
      <c r="BC27" s="86" t="b">
        <v>1</v>
      </c>
      <c r="BD27" s="86" t="b">
        <v>0</v>
      </c>
      <c r="BE27" s="86" t="b">
        <v>0</v>
      </c>
      <c r="BF27" s="86" t="b">
        <v>0</v>
      </c>
      <c r="BG27" s="86" t="b">
        <v>0</v>
      </c>
      <c r="BH27" s="96" t="str">
        <f>HYPERLINK("https://pbs.twimg.com/profile_banners/1602479142225809408/1684011524")</f>
        <v>https://pbs.twimg.com/profile_banners/1602479142225809408/1684011524</v>
      </c>
      <c r="BI27" s="86"/>
      <c r="BJ27" s="86" t="s">
        <v>29134</v>
      </c>
      <c r="BK27" s="86" t="b">
        <v>0</v>
      </c>
      <c r="BL27" s="86"/>
      <c r="BM27" s="86" t="s">
        <v>66</v>
      </c>
      <c r="BN27" s="86" t="s">
        <v>29136</v>
      </c>
      <c r="BO27" s="96" t="str">
        <f>HYPERLINK("https://twitter.com/vtpodcast_")</f>
        <v>https://twitter.com/vtpodcast_</v>
      </c>
      <c r="BP27" s="2"/>
    </row>
    <row r="28" spans="1:68" x14ac:dyDescent="0.25">
      <c r="A28" s="63" t="s">
        <v>245</v>
      </c>
      <c r="B28" s="64"/>
      <c r="C28" s="64"/>
      <c r="D28" s="65"/>
      <c r="E28" s="67"/>
      <c r="F28" s="111" t="str">
        <f>HYPERLINK("https://pbs.twimg.com/profile_images/1663320637748723713/gRpchFUc_normal.jpg")</f>
        <v>https://pbs.twimg.com/profile_images/1663320637748723713/gRpchFUc_normal.jpg</v>
      </c>
      <c r="G28" s="64"/>
      <c r="H28" s="68"/>
      <c r="I28" s="69"/>
      <c r="J28" s="69"/>
      <c r="K28" s="68" t="s">
        <v>29161</v>
      </c>
      <c r="L28" s="72"/>
      <c r="M28" s="73"/>
      <c r="N28" s="73"/>
      <c r="O28" s="74"/>
      <c r="P28" s="75"/>
      <c r="Q28" s="75"/>
      <c r="R28" s="102"/>
      <c r="S28" s="102"/>
      <c r="T28" s="102"/>
      <c r="U28" s="102"/>
      <c r="V28" s="48"/>
      <c r="W28" s="48"/>
      <c r="X28" s="48"/>
      <c r="Y28" s="48"/>
      <c r="Z28" s="47"/>
      <c r="AA28" s="70">
        <v>28</v>
      </c>
      <c r="AB28" s="70"/>
      <c r="AC28" s="71"/>
      <c r="AD28" s="86" t="s">
        <v>23667</v>
      </c>
      <c r="AE28" s="94" t="s">
        <v>25228</v>
      </c>
      <c r="AF28" s="86">
        <v>93</v>
      </c>
      <c r="AG28" s="86">
        <v>269</v>
      </c>
      <c r="AH28" s="86">
        <v>3765</v>
      </c>
      <c r="AI28" s="86">
        <v>4</v>
      </c>
      <c r="AJ28" s="86">
        <v>2238</v>
      </c>
      <c r="AK28" s="86">
        <v>909</v>
      </c>
      <c r="AL28" s="86" t="b">
        <v>0</v>
      </c>
      <c r="AM28" s="89">
        <v>40649.828958333332</v>
      </c>
      <c r="AN28" s="86" t="s">
        <v>15249</v>
      </c>
      <c r="AO28" s="86" t="s">
        <v>26447</v>
      </c>
      <c r="AP28" s="96" t="str">
        <f>HYPERLINK("https://t.co/11xPT6E2vs")</f>
        <v>https://t.co/11xPT6E2vs</v>
      </c>
      <c r="AQ28" s="96" t="str">
        <f>HYPERLINK("https://ocriadordeideias.com.br/")</f>
        <v>https://ocriadordeideias.com.br/</v>
      </c>
      <c r="AR28" s="86" t="s">
        <v>27920</v>
      </c>
      <c r="AS28" s="86"/>
      <c r="AT28" s="86"/>
      <c r="AU28" s="86"/>
      <c r="AV28" s="86">
        <v>1.68725840914434E+18</v>
      </c>
      <c r="AW28" s="96" t="str">
        <f>HYPERLINK("https://t.co/11xPT6E2vs")</f>
        <v>https://t.co/11xPT6E2vs</v>
      </c>
      <c r="AX28" s="86" t="b">
        <v>0</v>
      </c>
      <c r="AY28" s="86"/>
      <c r="AZ28" s="86"/>
      <c r="BA28" s="86" t="b">
        <v>1</v>
      </c>
      <c r="BB28" s="86" t="b">
        <v>1</v>
      </c>
      <c r="BC28" s="86" t="b">
        <v>0</v>
      </c>
      <c r="BD28" s="86" t="b">
        <v>0</v>
      </c>
      <c r="BE28" s="86" t="b">
        <v>1</v>
      </c>
      <c r="BF28" s="86" t="b">
        <v>0</v>
      </c>
      <c r="BG28" s="86" t="b">
        <v>0</v>
      </c>
      <c r="BH28" s="96" t="str">
        <f>HYPERLINK("https://pbs.twimg.com/profile_banners/283197263/1688931205")</f>
        <v>https://pbs.twimg.com/profile_banners/283197263/1688931205</v>
      </c>
      <c r="BI28" s="86"/>
      <c r="BJ28" s="86" t="s">
        <v>29134</v>
      </c>
      <c r="BK28" s="86" t="b">
        <v>0</v>
      </c>
      <c r="BL28" s="86"/>
      <c r="BM28" s="86" t="s">
        <v>66</v>
      </c>
      <c r="BN28" s="86" t="s">
        <v>29136</v>
      </c>
      <c r="BO28" s="96" t="str">
        <f>HYPERLINK("https://twitter.com/criadordeideias")</f>
        <v>https://twitter.com/criadordeideias</v>
      </c>
      <c r="BP28" s="2"/>
    </row>
    <row r="29" spans="1:68" x14ac:dyDescent="0.25">
      <c r="A29" s="63" t="s">
        <v>246</v>
      </c>
      <c r="B29" s="64"/>
      <c r="C29" s="64"/>
      <c r="D29" s="65"/>
      <c r="E29" s="67"/>
      <c r="F29" s="111" t="str">
        <f>HYPERLINK("https://pbs.twimg.com/profile_images/1697036144842539008/AYykvCJH_normal.jpg")</f>
        <v>https://pbs.twimg.com/profile_images/1697036144842539008/AYykvCJH_normal.jpg</v>
      </c>
      <c r="G29" s="64"/>
      <c r="H29" s="68"/>
      <c r="I29" s="69"/>
      <c r="J29" s="69"/>
      <c r="K29" s="68" t="s">
        <v>29162</v>
      </c>
      <c r="L29" s="72"/>
      <c r="M29" s="73"/>
      <c r="N29" s="73"/>
      <c r="O29" s="74"/>
      <c r="P29" s="75"/>
      <c r="Q29" s="75"/>
      <c r="R29" s="102"/>
      <c r="S29" s="102"/>
      <c r="T29" s="102"/>
      <c r="U29" s="102"/>
      <c r="V29" s="48"/>
      <c r="W29" s="48"/>
      <c r="X29" s="48"/>
      <c r="Y29" s="48"/>
      <c r="Z29" s="47"/>
      <c r="AA29" s="70">
        <v>29</v>
      </c>
      <c r="AB29" s="70"/>
      <c r="AC29" s="71"/>
      <c r="AD29" s="86" t="s">
        <v>23668</v>
      </c>
      <c r="AE29" s="94" t="s">
        <v>22802</v>
      </c>
      <c r="AF29" s="86">
        <v>40</v>
      </c>
      <c r="AG29" s="86">
        <v>1</v>
      </c>
      <c r="AH29" s="86">
        <v>33</v>
      </c>
      <c r="AI29" s="86">
        <v>0</v>
      </c>
      <c r="AJ29" s="86">
        <v>0</v>
      </c>
      <c r="AK29" s="86">
        <v>10</v>
      </c>
      <c r="AL29" s="86" t="b">
        <v>0</v>
      </c>
      <c r="AM29" s="89">
        <v>45168.888888888891</v>
      </c>
      <c r="AN29" s="86"/>
      <c r="AO29" s="86" t="s">
        <v>26448</v>
      </c>
      <c r="AP29" s="96" t="str">
        <f>HYPERLINK("https://t.co/JqwrND4bQM")</f>
        <v>https://t.co/JqwrND4bQM</v>
      </c>
      <c r="AQ29" s="96" t="str">
        <f>HYPERLINK("https://linklist.bio/mangabeiraunger")</f>
        <v>https://linklist.bio/mangabeiraunger</v>
      </c>
      <c r="AR29" s="86" t="s">
        <v>27921</v>
      </c>
      <c r="AS29" s="86"/>
      <c r="AT29" s="86"/>
      <c r="AU29" s="86"/>
      <c r="AV29" s="86"/>
      <c r="AW29" s="96" t="str">
        <f>HYPERLINK("https://t.co/JqwrND4bQM")</f>
        <v>https://t.co/JqwrND4bQM</v>
      </c>
      <c r="AX29" s="86" t="b">
        <v>0</v>
      </c>
      <c r="AY29" s="86"/>
      <c r="AZ29" s="86"/>
      <c r="BA29" s="86" t="b">
        <v>0</v>
      </c>
      <c r="BB29" s="86" t="b">
        <v>1</v>
      </c>
      <c r="BC29" s="86" t="b">
        <v>1</v>
      </c>
      <c r="BD29" s="86" t="b">
        <v>0</v>
      </c>
      <c r="BE29" s="86" t="b">
        <v>0</v>
      </c>
      <c r="BF29" s="86" t="b">
        <v>0</v>
      </c>
      <c r="BG29" s="86" t="b">
        <v>0</v>
      </c>
      <c r="BH29" s="96" t="str">
        <f>HYPERLINK("https://pbs.twimg.com/profile_banners/1696995956279963648/1693440057")</f>
        <v>https://pbs.twimg.com/profile_banners/1696995956279963648/1693440057</v>
      </c>
      <c r="BI29" s="86"/>
      <c r="BJ29" s="86" t="s">
        <v>29134</v>
      </c>
      <c r="BK29" s="86" t="b">
        <v>0</v>
      </c>
      <c r="BL29" s="86"/>
      <c r="BM29" s="86" t="s">
        <v>66</v>
      </c>
      <c r="BN29" s="86" t="s">
        <v>29136</v>
      </c>
      <c r="BO29" s="96" t="str">
        <f>HYPERLINK("https://twitter.com/roberto_unger_")</f>
        <v>https://twitter.com/roberto_unger_</v>
      </c>
      <c r="BP29" s="2"/>
    </row>
    <row r="30" spans="1:68" x14ac:dyDescent="0.25">
      <c r="A30" s="63" t="s">
        <v>247</v>
      </c>
      <c r="B30" s="64"/>
      <c r="C30" s="64"/>
      <c r="D30" s="65"/>
      <c r="E30" s="67"/>
      <c r="F30" s="111" t="str">
        <f>HYPERLINK("https://pbs.twimg.com/profile_images/1080667174027579393/dtbEyeJd_normal.jpg")</f>
        <v>https://pbs.twimg.com/profile_images/1080667174027579393/dtbEyeJd_normal.jpg</v>
      </c>
      <c r="G30" s="64"/>
      <c r="H30" s="68"/>
      <c r="I30" s="69"/>
      <c r="J30" s="69"/>
      <c r="K30" s="68" t="s">
        <v>29163</v>
      </c>
      <c r="L30" s="72"/>
      <c r="M30" s="73"/>
      <c r="N30" s="73"/>
      <c r="O30" s="74"/>
      <c r="P30" s="75"/>
      <c r="Q30" s="75"/>
      <c r="R30" s="102"/>
      <c r="S30" s="102"/>
      <c r="T30" s="102"/>
      <c r="U30" s="102"/>
      <c r="V30" s="48"/>
      <c r="W30" s="48"/>
      <c r="X30" s="48"/>
      <c r="Y30" s="48"/>
      <c r="Z30" s="47"/>
      <c r="AA30" s="70">
        <v>30</v>
      </c>
      <c r="AB30" s="70"/>
      <c r="AC30" s="71"/>
      <c r="AD30" s="86" t="s">
        <v>23669</v>
      </c>
      <c r="AE30" s="94" t="s">
        <v>25229</v>
      </c>
      <c r="AF30" s="86">
        <v>738</v>
      </c>
      <c r="AG30" s="86">
        <v>99</v>
      </c>
      <c r="AH30" s="86">
        <v>7425</v>
      </c>
      <c r="AI30" s="86">
        <v>5</v>
      </c>
      <c r="AJ30" s="86">
        <v>10562</v>
      </c>
      <c r="AK30" s="86">
        <v>282</v>
      </c>
      <c r="AL30" s="86" t="b">
        <v>0</v>
      </c>
      <c r="AM30" s="89">
        <v>39767.772905092592</v>
      </c>
      <c r="AN30" s="86" t="s">
        <v>15246</v>
      </c>
      <c r="AO30" s="86" t="s">
        <v>26449</v>
      </c>
      <c r="AP30" s="96" t="str">
        <f>HYPERLINK("https://t.co/bxjYiSdRxU")</f>
        <v>https://t.co/bxjYiSdRxU</v>
      </c>
      <c r="AQ30" s="96" t="str">
        <f>HYPERLINK("https://accurateadvice.com.br")</f>
        <v>https://accurateadvice.com.br</v>
      </c>
      <c r="AR30" s="86" t="s">
        <v>27922</v>
      </c>
      <c r="AS30" s="86"/>
      <c r="AT30" s="86"/>
      <c r="AU30" s="86"/>
      <c r="AV30" s="86">
        <v>1.6828120502028401E+18</v>
      </c>
      <c r="AW30" s="96" t="str">
        <f>HYPERLINK("https://t.co/bxjYiSdRxU")</f>
        <v>https://t.co/bxjYiSdRxU</v>
      </c>
      <c r="AX30" s="86" t="b">
        <v>1</v>
      </c>
      <c r="AY30" s="86"/>
      <c r="AZ30" s="86"/>
      <c r="BA30" s="86" t="b">
        <v>0</v>
      </c>
      <c r="BB30" s="86" t="b">
        <v>0</v>
      </c>
      <c r="BC30" s="86" t="b">
        <v>0</v>
      </c>
      <c r="BD30" s="86" t="b">
        <v>0</v>
      </c>
      <c r="BE30" s="86" t="b">
        <v>1</v>
      </c>
      <c r="BF30" s="86" t="b">
        <v>0</v>
      </c>
      <c r="BG30" s="86" t="b">
        <v>0</v>
      </c>
      <c r="BH30" s="96" t="str">
        <f>HYPERLINK("https://pbs.twimg.com/profile_banners/17410939/1663293627")</f>
        <v>https://pbs.twimg.com/profile_banners/17410939/1663293627</v>
      </c>
      <c r="BI30" s="86"/>
      <c r="BJ30" s="86" t="s">
        <v>29134</v>
      </c>
      <c r="BK30" s="86" t="b">
        <v>0</v>
      </c>
      <c r="BL30" s="86"/>
      <c r="BM30" s="86" t="s">
        <v>66</v>
      </c>
      <c r="BN30" s="86" t="s">
        <v>29136</v>
      </c>
      <c r="BO30" s="96" t="str">
        <f>HYPERLINK("https://twitter.com/wagner3m")</f>
        <v>https://twitter.com/wagner3m</v>
      </c>
      <c r="BP30" s="2"/>
    </row>
    <row r="31" spans="1:68" x14ac:dyDescent="0.25">
      <c r="A31" s="63" t="s">
        <v>248</v>
      </c>
      <c r="B31" s="64"/>
      <c r="C31" s="64"/>
      <c r="D31" s="65"/>
      <c r="E31" s="67"/>
      <c r="F31" s="111" t="str">
        <f>HYPERLINK("https://pbs.twimg.com/profile_images/1519721258103021569/ALVPDldd_normal.jpg")</f>
        <v>https://pbs.twimg.com/profile_images/1519721258103021569/ALVPDldd_normal.jpg</v>
      </c>
      <c r="G31" s="64"/>
      <c r="H31" s="68"/>
      <c r="I31" s="69"/>
      <c r="J31" s="69"/>
      <c r="K31" s="68" t="s">
        <v>29164</v>
      </c>
      <c r="L31" s="72"/>
      <c r="M31" s="73"/>
      <c r="N31" s="73"/>
      <c r="O31" s="74"/>
      <c r="P31" s="75"/>
      <c r="Q31" s="75"/>
      <c r="R31" s="102"/>
      <c r="S31" s="102"/>
      <c r="T31" s="102"/>
      <c r="U31" s="102"/>
      <c r="V31" s="48"/>
      <c r="W31" s="48"/>
      <c r="X31" s="48"/>
      <c r="Y31" s="48"/>
      <c r="Z31" s="47"/>
      <c r="AA31" s="70">
        <v>31</v>
      </c>
      <c r="AB31" s="70"/>
      <c r="AC31" s="71"/>
      <c r="AD31" s="86" t="s">
        <v>23670</v>
      </c>
      <c r="AE31" s="94" t="s">
        <v>25230</v>
      </c>
      <c r="AF31" s="86">
        <v>8376</v>
      </c>
      <c r="AG31" s="86">
        <v>1141</v>
      </c>
      <c r="AH31" s="86">
        <v>10509</v>
      </c>
      <c r="AI31" s="86">
        <v>332</v>
      </c>
      <c r="AJ31" s="86">
        <v>4345</v>
      </c>
      <c r="AK31" s="86">
        <v>3456</v>
      </c>
      <c r="AL31" s="86" t="b">
        <v>0</v>
      </c>
      <c r="AM31" s="89">
        <v>40878.404606481483</v>
      </c>
      <c r="AN31" s="86"/>
      <c r="AO31" s="86" t="s">
        <v>26450</v>
      </c>
      <c r="AP31" s="96" t="str">
        <f>HYPERLINK("https://t.co/uF5X3AP6Ob")</f>
        <v>https://t.co/uF5X3AP6Ob</v>
      </c>
      <c r="AQ31" s="96" t="str">
        <f>HYPERLINK("http://www.innovatorsunder35.com")</f>
        <v>http://www.innovatorsunder35.com</v>
      </c>
      <c r="AR31" s="86" t="s">
        <v>27923</v>
      </c>
      <c r="AS31" s="86"/>
      <c r="AT31" s="86"/>
      <c r="AU31" s="86"/>
      <c r="AV31" s="86"/>
      <c r="AW31" s="96" t="str">
        <f>HYPERLINK("https://t.co/uF5X3AP6Ob")</f>
        <v>https://t.co/uF5X3AP6Ob</v>
      </c>
      <c r="AX31" s="86" t="b">
        <v>0</v>
      </c>
      <c r="AY31" s="86"/>
      <c r="AZ31" s="86"/>
      <c r="BA31" s="86" t="b">
        <v>0</v>
      </c>
      <c r="BB31" s="86" t="b">
        <v>1</v>
      </c>
      <c r="BC31" s="86" t="b">
        <v>0</v>
      </c>
      <c r="BD31" s="86" t="b">
        <v>0</v>
      </c>
      <c r="BE31" s="86" t="b">
        <v>0</v>
      </c>
      <c r="BF31" s="86" t="b">
        <v>0</v>
      </c>
      <c r="BG31" s="86" t="b">
        <v>0</v>
      </c>
      <c r="BH31" s="96" t="str">
        <f>HYPERLINK("https://pbs.twimg.com/profile_banners/425695928/1585579865")</f>
        <v>https://pbs.twimg.com/profile_banners/425695928/1585579865</v>
      </c>
      <c r="BI31" s="86"/>
      <c r="BJ31" s="86" t="s">
        <v>29134</v>
      </c>
      <c r="BK31" s="86" t="b">
        <v>0</v>
      </c>
      <c r="BL31" s="86"/>
      <c r="BM31" s="86" t="s">
        <v>66</v>
      </c>
      <c r="BN31" s="86" t="s">
        <v>29136</v>
      </c>
      <c r="BO31" s="96" t="str">
        <f>HYPERLINK("https://twitter.com/innovadores35")</f>
        <v>https://twitter.com/innovadores35</v>
      </c>
      <c r="BP31" s="2"/>
    </row>
    <row r="32" spans="1:68" x14ac:dyDescent="0.25">
      <c r="A32" s="63" t="s">
        <v>1622</v>
      </c>
      <c r="B32" s="64"/>
      <c r="C32" s="64"/>
      <c r="D32" s="65"/>
      <c r="E32" s="67"/>
      <c r="F32" s="111" t="str">
        <f>HYPERLINK("https://pbs.twimg.com/profile_images/1042422999545270272/wBzr8QWx_normal.jpg")</f>
        <v>https://pbs.twimg.com/profile_images/1042422999545270272/wBzr8QWx_normal.jpg</v>
      </c>
      <c r="G32" s="64"/>
      <c r="H32" s="68"/>
      <c r="I32" s="69"/>
      <c r="J32" s="69"/>
      <c r="K32" s="68" t="s">
        <v>29165</v>
      </c>
      <c r="L32" s="72"/>
      <c r="M32" s="73"/>
      <c r="N32" s="73"/>
      <c r="O32" s="74"/>
      <c r="P32" s="75"/>
      <c r="Q32" s="75"/>
      <c r="R32" s="102"/>
      <c r="S32" s="102"/>
      <c r="T32" s="102"/>
      <c r="U32" s="102"/>
      <c r="V32" s="48"/>
      <c r="W32" s="48"/>
      <c r="X32" s="48"/>
      <c r="Y32" s="48"/>
      <c r="Z32" s="47"/>
      <c r="AA32" s="70">
        <v>32</v>
      </c>
      <c r="AB32" s="70"/>
      <c r="AC32" s="71"/>
      <c r="AD32" s="86" t="s">
        <v>23671</v>
      </c>
      <c r="AE32" s="94" t="s">
        <v>25231</v>
      </c>
      <c r="AF32" s="86">
        <v>37242</v>
      </c>
      <c r="AG32" s="86">
        <v>306</v>
      </c>
      <c r="AH32" s="86">
        <v>38379</v>
      </c>
      <c r="AI32" s="86">
        <v>1762</v>
      </c>
      <c r="AJ32" s="86">
        <v>13486</v>
      </c>
      <c r="AK32" s="86">
        <v>20338</v>
      </c>
      <c r="AL32" s="86" t="b">
        <v>0</v>
      </c>
      <c r="AM32" s="89">
        <v>39839.945335648146</v>
      </c>
      <c r="AN32" s="86"/>
      <c r="AO32" s="86" t="s">
        <v>26451</v>
      </c>
      <c r="AP32" s="96" t="str">
        <f>HYPERLINK("http://t.co/nAWaAEuiCE")</f>
        <v>http://t.co/nAWaAEuiCE</v>
      </c>
      <c r="AQ32" s="96" t="str">
        <f>HYPERLINK("http://www.technologyreview.es")</f>
        <v>http://www.technologyreview.es</v>
      </c>
      <c r="AR32" s="86" t="s">
        <v>27924</v>
      </c>
      <c r="AS32" s="86"/>
      <c r="AT32" s="86"/>
      <c r="AU32" s="86"/>
      <c r="AV32" s="86">
        <v>1.6131778993218801E+18</v>
      </c>
      <c r="AW32" s="96" t="str">
        <f>HYPERLINK("http://t.co/nAWaAEuiCE")</f>
        <v>http://t.co/nAWaAEuiCE</v>
      </c>
      <c r="AX32" s="86" t="b">
        <v>0</v>
      </c>
      <c r="AY32" s="86"/>
      <c r="AZ32" s="86"/>
      <c r="BA32" s="86" t="b">
        <v>1</v>
      </c>
      <c r="BB32" s="86" t="b">
        <v>1</v>
      </c>
      <c r="BC32" s="86" t="b">
        <v>0</v>
      </c>
      <c r="BD32" s="86" t="b">
        <v>0</v>
      </c>
      <c r="BE32" s="86" t="b">
        <v>1</v>
      </c>
      <c r="BF32" s="86" t="b">
        <v>0</v>
      </c>
      <c r="BG32" s="86" t="b">
        <v>0</v>
      </c>
      <c r="BH32" s="96" t="str">
        <f>HYPERLINK("https://pbs.twimg.com/profile_banners/19563358/1554114841")</f>
        <v>https://pbs.twimg.com/profile_banners/19563358/1554114841</v>
      </c>
      <c r="BI32" s="86"/>
      <c r="BJ32" s="86" t="s">
        <v>29134</v>
      </c>
      <c r="BK32" s="86" t="b">
        <v>0</v>
      </c>
      <c r="BL32" s="86"/>
      <c r="BM32" s="86" t="s">
        <v>65</v>
      </c>
      <c r="BN32" s="86" t="s">
        <v>29136</v>
      </c>
      <c r="BO32" s="96" t="str">
        <f>HYPERLINK("https://twitter.com/techreview_es")</f>
        <v>https://twitter.com/techreview_es</v>
      </c>
      <c r="BP32" s="2"/>
    </row>
    <row r="33" spans="1:68" x14ac:dyDescent="0.25">
      <c r="A33" s="63" t="s">
        <v>249</v>
      </c>
      <c r="B33" s="64"/>
      <c r="C33" s="64"/>
      <c r="D33" s="65"/>
      <c r="E33" s="67"/>
      <c r="F33" s="111" t="str">
        <f>HYPERLINK("https://pbs.twimg.com/profile_images/1511776419281518598/xXJEoPim_normal.jpg")</f>
        <v>https://pbs.twimg.com/profile_images/1511776419281518598/xXJEoPim_normal.jpg</v>
      </c>
      <c r="G33" s="64"/>
      <c r="H33" s="68"/>
      <c r="I33" s="69"/>
      <c r="J33" s="69"/>
      <c r="K33" s="68" t="s">
        <v>29166</v>
      </c>
      <c r="L33" s="72"/>
      <c r="M33" s="73"/>
      <c r="N33" s="73"/>
      <c r="O33" s="74"/>
      <c r="P33" s="75"/>
      <c r="Q33" s="75"/>
      <c r="R33" s="102"/>
      <c r="S33" s="102"/>
      <c r="T33" s="102"/>
      <c r="U33" s="102"/>
      <c r="V33" s="48"/>
      <c r="W33" s="48"/>
      <c r="X33" s="48"/>
      <c r="Y33" s="48"/>
      <c r="Z33" s="47"/>
      <c r="AA33" s="70">
        <v>33</v>
      </c>
      <c r="AB33" s="70"/>
      <c r="AC33" s="71"/>
      <c r="AD33" s="86" t="s">
        <v>23672</v>
      </c>
      <c r="AE33" s="94" t="s">
        <v>22803</v>
      </c>
      <c r="AF33" s="86">
        <v>1653</v>
      </c>
      <c r="AG33" s="86">
        <v>14</v>
      </c>
      <c r="AH33" s="86">
        <v>60</v>
      </c>
      <c r="AI33" s="86">
        <v>3</v>
      </c>
      <c r="AJ33" s="86">
        <v>43</v>
      </c>
      <c r="AK33" s="86">
        <v>31</v>
      </c>
      <c r="AL33" s="86" t="b">
        <v>0</v>
      </c>
      <c r="AM33" s="89">
        <v>44657.743333333332</v>
      </c>
      <c r="AN33" s="86" t="s">
        <v>25889</v>
      </c>
      <c r="AO33" s="86" t="s">
        <v>26452</v>
      </c>
      <c r="AP33" s="96" t="str">
        <f>HYPERLINK("https://t.co/kEwSzTt1vb")</f>
        <v>https://t.co/kEwSzTt1vb</v>
      </c>
      <c r="AQ33" s="96" t="str">
        <f>HYPERLINK("https://youtube.com/c/gemeosinvestem")</f>
        <v>https://youtube.com/c/gemeosinvestem</v>
      </c>
      <c r="AR33" s="86" t="s">
        <v>27925</v>
      </c>
      <c r="AS33" s="86"/>
      <c r="AT33" s="86"/>
      <c r="AU33" s="86"/>
      <c r="AV33" s="86"/>
      <c r="AW33" s="96" t="str">
        <f>HYPERLINK("https://t.co/kEwSzTt1vb")</f>
        <v>https://t.co/kEwSzTt1vb</v>
      </c>
      <c r="AX33" s="86" t="b">
        <v>1</v>
      </c>
      <c r="AY33" s="86"/>
      <c r="AZ33" s="86"/>
      <c r="BA33" s="86" t="b">
        <v>0</v>
      </c>
      <c r="BB33" s="86" t="b">
        <v>1</v>
      </c>
      <c r="BC33" s="86" t="b">
        <v>1</v>
      </c>
      <c r="BD33" s="86" t="b">
        <v>0</v>
      </c>
      <c r="BE33" s="86" t="b">
        <v>0</v>
      </c>
      <c r="BF33" s="86" t="b">
        <v>0</v>
      </c>
      <c r="BG33" s="86" t="b">
        <v>0</v>
      </c>
      <c r="BH33" s="96" t="str">
        <f>HYPERLINK("https://pbs.twimg.com/profile_banners/1511763165427732592/1650662061")</f>
        <v>https://pbs.twimg.com/profile_banners/1511763165427732592/1650662061</v>
      </c>
      <c r="BI33" s="86"/>
      <c r="BJ33" s="86" t="s">
        <v>29134</v>
      </c>
      <c r="BK33" s="86" t="b">
        <v>0</v>
      </c>
      <c r="BL33" s="86"/>
      <c r="BM33" s="86" t="s">
        <v>66</v>
      </c>
      <c r="BN33" s="86" t="s">
        <v>29136</v>
      </c>
      <c r="BO33" s="96" t="str">
        <f>HYPERLINK("https://twitter.com/gemeosinvestem")</f>
        <v>https://twitter.com/gemeosinvestem</v>
      </c>
      <c r="BP33" s="2"/>
    </row>
    <row r="34" spans="1:68" x14ac:dyDescent="0.25">
      <c r="A34" s="63" t="s">
        <v>250</v>
      </c>
      <c r="B34" s="64"/>
      <c r="C34" s="64"/>
      <c r="D34" s="65"/>
      <c r="E34" s="67"/>
      <c r="F34" s="111" t="str">
        <f>HYPERLINK("https://pbs.twimg.com/profile_images/496005777325166592/5Q-VWtvs_normal.jpeg")</f>
        <v>https://pbs.twimg.com/profile_images/496005777325166592/5Q-VWtvs_normal.jpeg</v>
      </c>
      <c r="G34" s="64"/>
      <c r="H34" s="68"/>
      <c r="I34" s="69"/>
      <c r="J34" s="69"/>
      <c r="K34" s="68" t="s">
        <v>29167</v>
      </c>
      <c r="L34" s="72"/>
      <c r="M34" s="73"/>
      <c r="N34" s="73"/>
      <c r="O34" s="74"/>
      <c r="P34" s="75"/>
      <c r="Q34" s="75"/>
      <c r="R34" s="102"/>
      <c r="S34" s="102"/>
      <c r="T34" s="102"/>
      <c r="U34" s="102"/>
      <c r="V34" s="48"/>
      <c r="W34" s="48"/>
      <c r="X34" s="48"/>
      <c r="Y34" s="48"/>
      <c r="Z34" s="47"/>
      <c r="AA34" s="70">
        <v>34</v>
      </c>
      <c r="AB34" s="70"/>
      <c r="AC34" s="71"/>
      <c r="AD34" s="86" t="s">
        <v>23673</v>
      </c>
      <c r="AE34" s="94" t="s">
        <v>25232</v>
      </c>
      <c r="AF34" s="86">
        <v>7044</v>
      </c>
      <c r="AG34" s="86">
        <v>3044</v>
      </c>
      <c r="AH34" s="86">
        <v>51523</v>
      </c>
      <c r="AI34" s="86">
        <v>100</v>
      </c>
      <c r="AJ34" s="86">
        <v>121</v>
      </c>
      <c r="AK34" s="86">
        <v>684</v>
      </c>
      <c r="AL34" s="86" t="b">
        <v>0</v>
      </c>
      <c r="AM34" s="89">
        <v>40230.742592592593</v>
      </c>
      <c r="AN34" s="86" t="s">
        <v>25890</v>
      </c>
      <c r="AO34" s="86" t="s">
        <v>26453</v>
      </c>
      <c r="AP34" s="96" t="str">
        <f>HYPERLINK("https://t.co/wyXpaebsvI")</f>
        <v>https://t.co/wyXpaebsvI</v>
      </c>
      <c r="AQ34" s="96" t="str">
        <f>HYPERLINK("https://www.facebook.com/pages/Blumenau-Agora/366196200075955")</f>
        <v>https://www.facebook.com/pages/Blumenau-Agora/366196200075955</v>
      </c>
      <c r="AR34" s="86" t="s">
        <v>27926</v>
      </c>
      <c r="AS34" s="86"/>
      <c r="AT34" s="86"/>
      <c r="AU34" s="86"/>
      <c r="AV34" s="86"/>
      <c r="AW34" s="96" t="str">
        <f>HYPERLINK("https://t.co/wyXpaebsvI")</f>
        <v>https://t.co/wyXpaebsvI</v>
      </c>
      <c r="AX34" s="86" t="b">
        <v>0</v>
      </c>
      <c r="AY34" s="86"/>
      <c r="AZ34" s="86"/>
      <c r="BA34" s="86" t="b">
        <v>0</v>
      </c>
      <c r="BB34" s="86" t="b">
        <v>1</v>
      </c>
      <c r="BC34" s="86" t="b">
        <v>0</v>
      </c>
      <c r="BD34" s="86" t="b">
        <v>0</v>
      </c>
      <c r="BE34" s="86" t="b">
        <v>0</v>
      </c>
      <c r="BF34" s="86" t="b">
        <v>0</v>
      </c>
      <c r="BG34" s="86" t="b">
        <v>0</v>
      </c>
      <c r="BH34" s="96" t="str">
        <f>HYPERLINK("https://pbs.twimg.com/profile_banners/116233438/1401557484")</f>
        <v>https://pbs.twimg.com/profile_banners/116233438/1401557484</v>
      </c>
      <c r="BI34" s="86"/>
      <c r="BJ34" s="86" t="s">
        <v>29134</v>
      </c>
      <c r="BK34" s="86" t="b">
        <v>0</v>
      </c>
      <c r="BL34" s="86"/>
      <c r="BM34" s="86" t="s">
        <v>66</v>
      </c>
      <c r="BN34" s="86" t="s">
        <v>29136</v>
      </c>
      <c r="BO34" s="96" t="str">
        <f>HYPERLINK("https://twitter.com/blumenauagora")</f>
        <v>https://twitter.com/blumenauagora</v>
      </c>
      <c r="BP34" s="2"/>
    </row>
    <row r="35" spans="1:68" x14ac:dyDescent="0.25">
      <c r="A35" s="63" t="s">
        <v>251</v>
      </c>
      <c r="B35" s="64"/>
      <c r="C35" s="64"/>
      <c r="D35" s="65"/>
      <c r="E35" s="67"/>
      <c r="F35" s="111" t="str">
        <f>HYPERLINK("https://pbs.twimg.com/profile_images/1668695481570959366/2SoEMXBR_normal.jpg")</f>
        <v>https://pbs.twimg.com/profile_images/1668695481570959366/2SoEMXBR_normal.jpg</v>
      </c>
      <c r="G35" s="64"/>
      <c r="H35" s="68"/>
      <c r="I35" s="69"/>
      <c r="J35" s="69"/>
      <c r="K35" s="68" t="s">
        <v>29168</v>
      </c>
      <c r="L35" s="72"/>
      <c r="M35" s="73"/>
      <c r="N35" s="73"/>
      <c r="O35" s="74"/>
      <c r="P35" s="75"/>
      <c r="Q35" s="75"/>
      <c r="R35" s="102"/>
      <c r="S35" s="102"/>
      <c r="T35" s="102"/>
      <c r="U35" s="102"/>
      <c r="V35" s="48"/>
      <c r="W35" s="48"/>
      <c r="X35" s="48"/>
      <c r="Y35" s="48"/>
      <c r="Z35" s="47"/>
      <c r="AA35" s="70">
        <v>35</v>
      </c>
      <c r="AB35" s="70"/>
      <c r="AC35" s="71"/>
      <c r="AD35" s="86" t="s">
        <v>23674</v>
      </c>
      <c r="AE35" s="94" t="s">
        <v>22519</v>
      </c>
      <c r="AF35" s="86">
        <v>8</v>
      </c>
      <c r="AG35" s="86">
        <v>29</v>
      </c>
      <c r="AH35" s="86">
        <v>395</v>
      </c>
      <c r="AI35" s="86">
        <v>1</v>
      </c>
      <c r="AJ35" s="86">
        <v>2</v>
      </c>
      <c r="AK35" s="86">
        <v>182</v>
      </c>
      <c r="AL35" s="86" t="b">
        <v>0</v>
      </c>
      <c r="AM35" s="89">
        <v>45078.714884259258</v>
      </c>
      <c r="AN35" s="86"/>
      <c r="AO35" s="86" t="s">
        <v>26454</v>
      </c>
      <c r="AP35" s="96" t="str">
        <f>HYPERLINK("https://t.co/AiZrFGTjbl")</f>
        <v>https://t.co/AiZrFGTjbl</v>
      </c>
      <c r="AQ35" s="96" t="str">
        <f>HYPERLINK("https://beacons.ai/taniazambon")</f>
        <v>https://beacons.ai/taniazambon</v>
      </c>
      <c r="AR35" s="86" t="s">
        <v>27927</v>
      </c>
      <c r="AS35" s="86"/>
      <c r="AT35" s="86"/>
      <c r="AU35" s="86"/>
      <c r="AV35" s="86"/>
      <c r="AW35" s="96" t="str">
        <f>HYPERLINK("https://t.co/AiZrFGTjbl")</f>
        <v>https://t.co/AiZrFGTjbl</v>
      </c>
      <c r="AX35" s="86" t="b">
        <v>0</v>
      </c>
      <c r="AY35" s="86"/>
      <c r="AZ35" s="86"/>
      <c r="BA35" s="86" t="b">
        <v>0</v>
      </c>
      <c r="BB35" s="86" t="b">
        <v>1</v>
      </c>
      <c r="BC35" s="86" t="b">
        <v>1</v>
      </c>
      <c r="BD35" s="86" t="b">
        <v>0</v>
      </c>
      <c r="BE35" s="86" t="b">
        <v>0</v>
      </c>
      <c r="BF35" s="86" t="b">
        <v>0</v>
      </c>
      <c r="BG35" s="86" t="b">
        <v>0</v>
      </c>
      <c r="BH35" s="96" t="str">
        <f>HYPERLINK("https://pbs.twimg.com/profile_banners/1664318205161005057/1686756698")</f>
        <v>https://pbs.twimg.com/profile_banners/1664318205161005057/1686756698</v>
      </c>
      <c r="BI35" s="86"/>
      <c r="BJ35" s="86" t="s">
        <v>29134</v>
      </c>
      <c r="BK35" s="86" t="b">
        <v>0</v>
      </c>
      <c r="BL35" s="86"/>
      <c r="BM35" s="86" t="s">
        <v>66</v>
      </c>
      <c r="BN35" s="86" t="s">
        <v>29136</v>
      </c>
      <c r="BO35" s="96" t="str">
        <f>HYPERLINK("https://twitter.com/taniazambon_itz")</f>
        <v>https://twitter.com/taniazambon_itz</v>
      </c>
      <c r="BP35" s="2"/>
    </row>
    <row r="36" spans="1:68" x14ac:dyDescent="0.25">
      <c r="A36" s="63" t="s">
        <v>252</v>
      </c>
      <c r="B36" s="64"/>
      <c r="C36" s="64"/>
      <c r="D36" s="65"/>
      <c r="E36" s="67"/>
      <c r="F36" s="111" t="str">
        <f>HYPERLINK("https://pbs.twimg.com/profile_images/1698469176434737152/sNabsA4g_normal.jpg")</f>
        <v>https://pbs.twimg.com/profile_images/1698469176434737152/sNabsA4g_normal.jpg</v>
      </c>
      <c r="G36" s="64"/>
      <c r="H36" s="68"/>
      <c r="I36" s="69"/>
      <c r="J36" s="69"/>
      <c r="K36" s="68" t="s">
        <v>29169</v>
      </c>
      <c r="L36" s="72"/>
      <c r="M36" s="73"/>
      <c r="N36" s="73"/>
      <c r="O36" s="74"/>
      <c r="P36" s="75"/>
      <c r="Q36" s="75"/>
      <c r="R36" s="102"/>
      <c r="S36" s="102"/>
      <c r="T36" s="102"/>
      <c r="U36" s="102"/>
      <c r="V36" s="48"/>
      <c r="W36" s="48"/>
      <c r="X36" s="48"/>
      <c r="Y36" s="48"/>
      <c r="Z36" s="47"/>
      <c r="AA36" s="70">
        <v>36</v>
      </c>
      <c r="AB36" s="70"/>
      <c r="AC36" s="71"/>
      <c r="AD36" s="86" t="s">
        <v>23675</v>
      </c>
      <c r="AE36" s="94" t="s">
        <v>22804</v>
      </c>
      <c r="AF36" s="86">
        <v>32</v>
      </c>
      <c r="AG36" s="86">
        <v>193</v>
      </c>
      <c r="AH36" s="86">
        <v>648</v>
      </c>
      <c r="AI36" s="86">
        <v>0</v>
      </c>
      <c r="AJ36" s="86">
        <v>2340</v>
      </c>
      <c r="AK36" s="86">
        <v>17</v>
      </c>
      <c r="AL36" s="86" t="b">
        <v>0</v>
      </c>
      <c r="AM36" s="89">
        <v>44377.497314814813</v>
      </c>
      <c r="AN36" s="86"/>
      <c r="AO36" s="86" t="s">
        <v>26455</v>
      </c>
      <c r="AP36" s="86"/>
      <c r="AQ36" s="86"/>
      <c r="AR36" s="86"/>
      <c r="AS36" s="86"/>
      <c r="AT36" s="86"/>
      <c r="AU36" s="86"/>
      <c r="AV36" s="86"/>
      <c r="AW36" s="86"/>
      <c r="AX36" s="86" t="b">
        <v>0</v>
      </c>
      <c r="AY36" s="86"/>
      <c r="AZ36" s="86"/>
      <c r="BA36" s="86" t="b">
        <v>0</v>
      </c>
      <c r="BB36" s="86" t="b">
        <v>0</v>
      </c>
      <c r="BC36" s="86" t="b">
        <v>1</v>
      </c>
      <c r="BD36" s="86" t="b">
        <v>0</v>
      </c>
      <c r="BE36" s="86" t="b">
        <v>0</v>
      </c>
      <c r="BF36" s="86" t="b">
        <v>0</v>
      </c>
      <c r="BG36" s="86" t="b">
        <v>0</v>
      </c>
      <c r="BH36" s="96" t="str">
        <f>HYPERLINK("https://pbs.twimg.com/profile_banners/1410205458430935042/1642782521")</f>
        <v>https://pbs.twimg.com/profile_banners/1410205458430935042/1642782521</v>
      </c>
      <c r="BI36" s="86"/>
      <c r="BJ36" s="86" t="s">
        <v>29134</v>
      </c>
      <c r="BK36" s="86" t="b">
        <v>0</v>
      </c>
      <c r="BL36" s="86"/>
      <c r="BM36" s="86" t="s">
        <v>66</v>
      </c>
      <c r="BN36" s="86" t="s">
        <v>29136</v>
      </c>
      <c r="BO36" s="96" t="str">
        <f>HYPERLINK("https://twitter.com/joaozinhodobeck")</f>
        <v>https://twitter.com/joaozinhodobeck</v>
      </c>
      <c r="BP36" s="2"/>
    </row>
    <row r="37" spans="1:68" x14ac:dyDescent="0.25">
      <c r="A37" s="63" t="s">
        <v>253</v>
      </c>
      <c r="B37" s="64"/>
      <c r="C37" s="64"/>
      <c r="D37" s="65"/>
      <c r="E37" s="67"/>
      <c r="F37" s="111" t="str">
        <f>HYPERLINK("https://pbs.twimg.com/profile_images/1664217461443424257/eaE7nI9E_normal.jpg")</f>
        <v>https://pbs.twimg.com/profile_images/1664217461443424257/eaE7nI9E_normal.jpg</v>
      </c>
      <c r="G37" s="64"/>
      <c r="H37" s="68"/>
      <c r="I37" s="69"/>
      <c r="J37" s="69"/>
      <c r="K37" s="68" t="s">
        <v>29170</v>
      </c>
      <c r="L37" s="72"/>
      <c r="M37" s="73"/>
      <c r="N37" s="73"/>
      <c r="O37" s="74"/>
      <c r="P37" s="75"/>
      <c r="Q37" s="75"/>
      <c r="R37" s="102"/>
      <c r="S37" s="102"/>
      <c r="T37" s="102"/>
      <c r="U37" s="102"/>
      <c r="V37" s="48"/>
      <c r="W37" s="48"/>
      <c r="X37" s="48"/>
      <c r="Y37" s="48"/>
      <c r="Z37" s="47"/>
      <c r="AA37" s="70">
        <v>37</v>
      </c>
      <c r="AB37" s="70"/>
      <c r="AC37" s="71"/>
      <c r="AD37" s="86" t="s">
        <v>23676</v>
      </c>
      <c r="AE37" s="94" t="s">
        <v>22805</v>
      </c>
      <c r="AF37" s="86">
        <v>454</v>
      </c>
      <c r="AG37" s="86">
        <v>812</v>
      </c>
      <c r="AH37" s="86">
        <v>101</v>
      </c>
      <c r="AI37" s="86">
        <v>0</v>
      </c>
      <c r="AJ37" s="86">
        <v>4</v>
      </c>
      <c r="AK37" s="86">
        <v>101</v>
      </c>
      <c r="AL37" s="86" t="b">
        <v>0</v>
      </c>
      <c r="AM37" s="89">
        <v>44959.771516203706</v>
      </c>
      <c r="AN37" s="86" t="s">
        <v>25891</v>
      </c>
      <c r="AO37" s="86" t="s">
        <v>26456</v>
      </c>
      <c r="AP37" s="86"/>
      <c r="AQ37" s="86"/>
      <c r="AR37" s="86"/>
      <c r="AS37" s="86"/>
      <c r="AT37" s="86"/>
      <c r="AU37" s="86"/>
      <c r="AV37" s="86">
        <v>1.7070728093634501E+18</v>
      </c>
      <c r="AW37" s="86"/>
      <c r="AX37" s="86" t="b">
        <v>0</v>
      </c>
      <c r="AY37" s="86"/>
      <c r="AZ37" s="86"/>
      <c r="BA37" s="86" t="b">
        <v>0</v>
      </c>
      <c r="BB37" s="86" t="b">
        <v>1</v>
      </c>
      <c r="BC37" s="86" t="b">
        <v>1</v>
      </c>
      <c r="BD37" s="86" t="b">
        <v>0</v>
      </c>
      <c r="BE37" s="86" t="b">
        <v>0</v>
      </c>
      <c r="BF37" s="86" t="b">
        <v>0</v>
      </c>
      <c r="BG37" s="86" t="b">
        <v>0</v>
      </c>
      <c r="BH37" s="96" t="str">
        <f>HYPERLINK("https://pbs.twimg.com/profile_banners/1621214472814616576/1685615337")</f>
        <v>https://pbs.twimg.com/profile_banners/1621214472814616576/1685615337</v>
      </c>
      <c r="BI37" s="86"/>
      <c r="BJ37" s="86" t="s">
        <v>29134</v>
      </c>
      <c r="BK37" s="86" t="b">
        <v>0</v>
      </c>
      <c r="BL37" s="86"/>
      <c r="BM37" s="86" t="s">
        <v>66</v>
      </c>
      <c r="BN37" s="86" t="s">
        <v>29136</v>
      </c>
      <c r="BO37" s="96" t="str">
        <f>HYPERLINK("https://twitter.com/comatletas_l")</f>
        <v>https://twitter.com/comatletas_l</v>
      </c>
      <c r="BP37" s="2"/>
    </row>
    <row r="38" spans="1:68" x14ac:dyDescent="0.25">
      <c r="A38" s="63" t="s">
        <v>254</v>
      </c>
      <c r="B38" s="64"/>
      <c r="C38" s="64"/>
      <c r="D38" s="65"/>
      <c r="E38" s="67"/>
      <c r="F38" s="111" t="str">
        <f>HYPERLINK("https://pbs.twimg.com/profile_images/1702087694174605312/wIBn99EO_normal.jpg")</f>
        <v>https://pbs.twimg.com/profile_images/1702087694174605312/wIBn99EO_normal.jpg</v>
      </c>
      <c r="G38" s="64"/>
      <c r="H38" s="68"/>
      <c r="I38" s="69"/>
      <c r="J38" s="69"/>
      <c r="K38" s="68" t="s">
        <v>29171</v>
      </c>
      <c r="L38" s="72"/>
      <c r="M38" s="73"/>
      <c r="N38" s="73"/>
      <c r="O38" s="74"/>
      <c r="P38" s="75"/>
      <c r="Q38" s="75"/>
      <c r="R38" s="102"/>
      <c r="S38" s="102"/>
      <c r="T38" s="102"/>
      <c r="U38" s="102"/>
      <c r="V38" s="48"/>
      <c r="W38" s="48"/>
      <c r="X38" s="48"/>
      <c r="Y38" s="48"/>
      <c r="Z38" s="47"/>
      <c r="AA38" s="70">
        <v>38</v>
      </c>
      <c r="AB38" s="70"/>
      <c r="AC38" s="71"/>
      <c r="AD38" s="86" t="s">
        <v>23677</v>
      </c>
      <c r="AE38" s="94" t="s">
        <v>22626</v>
      </c>
      <c r="AF38" s="86">
        <v>447852</v>
      </c>
      <c r="AG38" s="86">
        <v>896</v>
      </c>
      <c r="AH38" s="86">
        <v>54828</v>
      </c>
      <c r="AI38" s="86">
        <v>1783</v>
      </c>
      <c r="AJ38" s="86">
        <v>12301</v>
      </c>
      <c r="AK38" s="86">
        <v>25381</v>
      </c>
      <c r="AL38" s="86" t="b">
        <v>0</v>
      </c>
      <c r="AM38" s="89">
        <v>39567.577916666669</v>
      </c>
      <c r="AN38" s="86"/>
      <c r="AO38" s="86" t="s">
        <v>26457</v>
      </c>
      <c r="AP38" s="96" t="str">
        <f>HYPERLINK("https://t.co/Fw56aEqW9I")</f>
        <v>https://t.co/Fw56aEqW9I</v>
      </c>
      <c r="AQ38" s="96" t="str">
        <f>HYPERLINK("http://www.sebrae.com.br")</f>
        <v>http://www.sebrae.com.br</v>
      </c>
      <c r="AR38" s="86" t="s">
        <v>27928</v>
      </c>
      <c r="AS38" s="86"/>
      <c r="AT38" s="86"/>
      <c r="AU38" s="86"/>
      <c r="AV38" s="86">
        <v>1.7062623414810801E+18</v>
      </c>
      <c r="AW38" s="96" t="str">
        <f>HYPERLINK("https://t.co/Fw56aEqW9I")</f>
        <v>https://t.co/Fw56aEqW9I</v>
      </c>
      <c r="AX38" s="86" t="b">
        <v>0</v>
      </c>
      <c r="AY38" s="86"/>
      <c r="AZ38" s="86"/>
      <c r="BA38" s="86" t="b">
        <v>1</v>
      </c>
      <c r="BB38" s="86" t="b">
        <v>1</v>
      </c>
      <c r="BC38" s="86" t="b">
        <v>0</v>
      </c>
      <c r="BD38" s="86" t="b">
        <v>0</v>
      </c>
      <c r="BE38" s="86" t="b">
        <v>1</v>
      </c>
      <c r="BF38" s="86" t="b">
        <v>0</v>
      </c>
      <c r="BG38" s="86" t="b">
        <v>0</v>
      </c>
      <c r="BH38" s="96" t="str">
        <f>HYPERLINK("https://pbs.twimg.com/profile_banners/14584765/1694644322")</f>
        <v>https://pbs.twimg.com/profile_banners/14584765/1694644322</v>
      </c>
      <c r="BI38" s="86"/>
      <c r="BJ38" s="86" t="s">
        <v>29135</v>
      </c>
      <c r="BK38" s="86" t="b">
        <v>0</v>
      </c>
      <c r="BL38" s="86"/>
      <c r="BM38" s="86" t="s">
        <v>66</v>
      </c>
      <c r="BN38" s="86" t="s">
        <v>29136</v>
      </c>
      <c r="BO38" s="96" t="str">
        <f>HYPERLINK("https://twitter.com/sebrae")</f>
        <v>https://twitter.com/sebrae</v>
      </c>
      <c r="BP38" s="2"/>
    </row>
    <row r="39" spans="1:68" x14ac:dyDescent="0.25">
      <c r="A39" s="63" t="s">
        <v>1623</v>
      </c>
      <c r="B39" s="64"/>
      <c r="C39" s="64"/>
      <c r="D39" s="65"/>
      <c r="E39" s="67"/>
      <c r="F39" s="111" t="str">
        <f>HYPERLINK("https://pbs.twimg.com/profile_images/1680219462044188680/GLWRjUCL_normal.jpg")</f>
        <v>https://pbs.twimg.com/profile_images/1680219462044188680/GLWRjUCL_normal.jpg</v>
      </c>
      <c r="G39" s="64"/>
      <c r="H39" s="68"/>
      <c r="I39" s="69"/>
      <c r="J39" s="69"/>
      <c r="K39" s="68" t="s">
        <v>29172</v>
      </c>
      <c r="L39" s="72"/>
      <c r="M39" s="73"/>
      <c r="N39" s="73"/>
      <c r="O39" s="74"/>
      <c r="P39" s="75"/>
      <c r="Q39" s="75"/>
      <c r="R39" s="102"/>
      <c r="S39" s="102"/>
      <c r="T39" s="102"/>
      <c r="U39" s="102"/>
      <c r="V39" s="48"/>
      <c r="W39" s="48"/>
      <c r="X39" s="48"/>
      <c r="Y39" s="48"/>
      <c r="Z39" s="47"/>
      <c r="AA39" s="70">
        <v>39</v>
      </c>
      <c r="AB39" s="70"/>
      <c r="AC39" s="71"/>
      <c r="AD39" s="86" t="s">
        <v>23678</v>
      </c>
      <c r="AE39" s="94" t="s">
        <v>25233</v>
      </c>
      <c r="AF39" s="86">
        <v>21313</v>
      </c>
      <c r="AG39" s="86">
        <v>6063</v>
      </c>
      <c r="AH39" s="86">
        <v>34382</v>
      </c>
      <c r="AI39" s="86">
        <v>162</v>
      </c>
      <c r="AJ39" s="86">
        <v>11259</v>
      </c>
      <c r="AK39" s="86">
        <v>3735</v>
      </c>
      <c r="AL39" s="86" t="b">
        <v>0</v>
      </c>
      <c r="AM39" s="89">
        <v>40156.760208333333</v>
      </c>
      <c r="AN39" s="86" t="s">
        <v>25892</v>
      </c>
      <c r="AO39" s="86" t="s">
        <v>26458</v>
      </c>
      <c r="AP39" s="86"/>
      <c r="AQ39" s="86"/>
      <c r="AR39" s="86"/>
      <c r="AS39" s="86"/>
      <c r="AT39" s="86"/>
      <c r="AU39" s="86"/>
      <c r="AV39" s="86">
        <v>1.7070506535062899E+18</v>
      </c>
      <c r="AW39" s="86"/>
      <c r="AX39" s="86" t="b">
        <v>0</v>
      </c>
      <c r="AY39" s="86"/>
      <c r="AZ39" s="86"/>
      <c r="BA39" s="86" t="b">
        <v>0</v>
      </c>
      <c r="BB39" s="86" t="b">
        <v>1</v>
      </c>
      <c r="BC39" s="86" t="b">
        <v>0</v>
      </c>
      <c r="BD39" s="86" t="b">
        <v>0</v>
      </c>
      <c r="BE39" s="86" t="b">
        <v>1</v>
      </c>
      <c r="BF39" s="86" t="b">
        <v>0</v>
      </c>
      <c r="BG39" s="86" t="b">
        <v>0</v>
      </c>
      <c r="BH39" s="96" t="str">
        <f>HYPERLINK("https://pbs.twimg.com/profile_banners/95699837/1668073217")</f>
        <v>https://pbs.twimg.com/profile_banners/95699837/1668073217</v>
      </c>
      <c r="BI39" s="86"/>
      <c r="BJ39" s="86" t="s">
        <v>29134</v>
      </c>
      <c r="BK39" s="86" t="b">
        <v>0</v>
      </c>
      <c r="BL39" s="86"/>
      <c r="BM39" s="86" t="s">
        <v>65</v>
      </c>
      <c r="BN39" s="86" t="s">
        <v>29136</v>
      </c>
      <c r="BO39" s="96" t="str">
        <f>HYPERLINK("https://twitter.com/deciolimapt")</f>
        <v>https://twitter.com/deciolimapt</v>
      </c>
      <c r="BP39" s="2"/>
    </row>
    <row r="40" spans="1:68" x14ac:dyDescent="0.25">
      <c r="A40" s="63" t="s">
        <v>255</v>
      </c>
      <c r="B40" s="64"/>
      <c r="C40" s="64"/>
      <c r="D40" s="65"/>
      <c r="E40" s="67"/>
      <c r="F40" s="111" t="str">
        <f>HYPERLINK("https://pbs.twimg.com/profile_images/1425290114482282496/hAKPulzd_normal.jpg")</f>
        <v>https://pbs.twimg.com/profile_images/1425290114482282496/hAKPulzd_normal.jpg</v>
      </c>
      <c r="G40" s="64"/>
      <c r="H40" s="68"/>
      <c r="I40" s="69"/>
      <c r="J40" s="69"/>
      <c r="K40" s="68" t="s">
        <v>29173</v>
      </c>
      <c r="L40" s="72"/>
      <c r="M40" s="73"/>
      <c r="N40" s="73"/>
      <c r="O40" s="74"/>
      <c r="P40" s="75"/>
      <c r="Q40" s="75"/>
      <c r="R40" s="102"/>
      <c r="S40" s="102"/>
      <c r="T40" s="102"/>
      <c r="U40" s="102"/>
      <c r="V40" s="48"/>
      <c r="W40" s="48"/>
      <c r="X40" s="48"/>
      <c r="Y40" s="48"/>
      <c r="Z40" s="47"/>
      <c r="AA40" s="70">
        <v>40</v>
      </c>
      <c r="AB40" s="70"/>
      <c r="AC40" s="71"/>
      <c r="AD40" s="86" t="s">
        <v>23679</v>
      </c>
      <c r="AE40" s="94" t="s">
        <v>25234</v>
      </c>
      <c r="AF40" s="86">
        <v>1118</v>
      </c>
      <c r="AG40" s="86">
        <v>885</v>
      </c>
      <c r="AH40" s="86">
        <v>19761</v>
      </c>
      <c r="AI40" s="86">
        <v>21</v>
      </c>
      <c r="AJ40" s="86">
        <v>4694</v>
      </c>
      <c r="AK40" s="86">
        <v>4018</v>
      </c>
      <c r="AL40" s="86" t="b">
        <v>0</v>
      </c>
      <c r="AM40" s="89">
        <v>39942.219907407409</v>
      </c>
      <c r="AN40" s="86" t="s">
        <v>25893</v>
      </c>
      <c r="AO40" s="86" t="s">
        <v>26459</v>
      </c>
      <c r="AP40" s="86"/>
      <c r="AQ40" s="86"/>
      <c r="AR40" s="86"/>
      <c r="AS40" s="86"/>
      <c r="AT40" s="86"/>
      <c r="AU40" s="86"/>
      <c r="AV40" s="86"/>
      <c r="AW40" s="86"/>
      <c r="AX40" s="86" t="b">
        <v>0</v>
      </c>
      <c r="AY40" s="86"/>
      <c r="AZ40" s="86"/>
      <c r="BA40" s="86" t="b">
        <v>1</v>
      </c>
      <c r="BB40" s="86" t="b">
        <v>1</v>
      </c>
      <c r="BC40" s="86" t="b">
        <v>0</v>
      </c>
      <c r="BD40" s="86" t="b">
        <v>0</v>
      </c>
      <c r="BE40" s="86" t="b">
        <v>1</v>
      </c>
      <c r="BF40" s="86" t="b">
        <v>0</v>
      </c>
      <c r="BG40" s="86" t="b">
        <v>0</v>
      </c>
      <c r="BH40" s="96" t="str">
        <f>HYPERLINK("https://pbs.twimg.com/profile_banners/38803932/1667984096")</f>
        <v>https://pbs.twimg.com/profile_banners/38803932/1667984096</v>
      </c>
      <c r="BI40" s="86"/>
      <c r="BJ40" s="86" t="s">
        <v>29134</v>
      </c>
      <c r="BK40" s="86" t="b">
        <v>0</v>
      </c>
      <c r="BL40" s="86"/>
      <c r="BM40" s="86" t="s">
        <v>66</v>
      </c>
      <c r="BN40" s="86" t="s">
        <v>29136</v>
      </c>
      <c r="BO40" s="96" t="str">
        <f>HYPERLINK("https://twitter.com/luizalvaro")</f>
        <v>https://twitter.com/luizalvaro</v>
      </c>
      <c r="BP40" s="2"/>
    </row>
    <row r="41" spans="1:68" x14ac:dyDescent="0.25">
      <c r="A41" s="63" t="s">
        <v>256</v>
      </c>
      <c r="B41" s="64"/>
      <c r="C41" s="64"/>
      <c r="D41" s="65"/>
      <c r="E41" s="67"/>
      <c r="F41" s="111" t="str">
        <f>HYPERLINK("https://pbs.twimg.com/profile_images/1681674763922538503/1s7V5fFS_normal.jpg")</f>
        <v>https://pbs.twimg.com/profile_images/1681674763922538503/1s7V5fFS_normal.jpg</v>
      </c>
      <c r="G41" s="64"/>
      <c r="H41" s="68"/>
      <c r="I41" s="69"/>
      <c r="J41" s="69"/>
      <c r="K41" s="68" t="s">
        <v>29174</v>
      </c>
      <c r="L41" s="72"/>
      <c r="M41" s="73"/>
      <c r="N41" s="73"/>
      <c r="O41" s="74"/>
      <c r="P41" s="75"/>
      <c r="Q41" s="75"/>
      <c r="R41" s="102"/>
      <c r="S41" s="102"/>
      <c r="T41" s="102"/>
      <c r="U41" s="102"/>
      <c r="V41" s="48"/>
      <c r="W41" s="48"/>
      <c r="X41" s="48"/>
      <c r="Y41" s="48"/>
      <c r="Z41" s="47"/>
      <c r="AA41" s="70">
        <v>41</v>
      </c>
      <c r="AB41" s="70"/>
      <c r="AC41" s="71"/>
      <c r="AD41" s="86" t="s">
        <v>23680</v>
      </c>
      <c r="AE41" s="94" t="s">
        <v>25235</v>
      </c>
      <c r="AF41" s="86">
        <v>691</v>
      </c>
      <c r="AG41" s="86">
        <v>58</v>
      </c>
      <c r="AH41" s="86">
        <v>3078</v>
      </c>
      <c r="AI41" s="86">
        <v>2</v>
      </c>
      <c r="AJ41" s="86">
        <v>13</v>
      </c>
      <c r="AK41" s="86">
        <v>778</v>
      </c>
      <c r="AL41" s="86" t="b">
        <v>0</v>
      </c>
      <c r="AM41" s="89">
        <v>39901.582719907405</v>
      </c>
      <c r="AN41" s="86" t="s">
        <v>15234</v>
      </c>
      <c r="AO41" s="86" t="s">
        <v>26460</v>
      </c>
      <c r="AP41" s="96" t="str">
        <f>HYPERLINK("https://t.co/4MvGE7PGHP")</f>
        <v>https://t.co/4MvGE7PGHP</v>
      </c>
      <c r="AQ41" s="96" t="str">
        <f>HYPERLINK("https://www.agitomais.com.br")</f>
        <v>https://www.agitomais.com.br</v>
      </c>
      <c r="AR41" s="86" t="s">
        <v>27929</v>
      </c>
      <c r="AS41" s="86"/>
      <c r="AT41" s="86"/>
      <c r="AU41" s="86"/>
      <c r="AV41" s="86"/>
      <c r="AW41" s="96" t="str">
        <f>HYPERLINK("https://t.co/4MvGE7PGHP")</f>
        <v>https://t.co/4MvGE7PGHP</v>
      </c>
      <c r="AX41" s="86" t="b">
        <v>0</v>
      </c>
      <c r="AY41" s="86"/>
      <c r="AZ41" s="86"/>
      <c r="BA41" s="86" t="b">
        <v>0</v>
      </c>
      <c r="BB41" s="86" t="b">
        <v>1</v>
      </c>
      <c r="BC41" s="86" t="b">
        <v>0</v>
      </c>
      <c r="BD41" s="86" t="b">
        <v>0</v>
      </c>
      <c r="BE41" s="86" t="b">
        <v>0</v>
      </c>
      <c r="BF41" s="86" t="b">
        <v>0</v>
      </c>
      <c r="BG41" s="86" t="b">
        <v>0</v>
      </c>
      <c r="BH41" s="96" t="str">
        <f>HYPERLINK("https://pbs.twimg.com/profile_banners/27427265/1668263899")</f>
        <v>https://pbs.twimg.com/profile_banners/27427265/1668263899</v>
      </c>
      <c r="BI41" s="86"/>
      <c r="BJ41" s="86" t="s">
        <v>29134</v>
      </c>
      <c r="BK41" s="86" t="b">
        <v>0</v>
      </c>
      <c r="BL41" s="86"/>
      <c r="BM41" s="86" t="s">
        <v>66</v>
      </c>
      <c r="BN41" s="86" t="s">
        <v>29136</v>
      </c>
      <c r="BO41" s="96" t="str">
        <f>HYPERLINK("https://twitter.com/agitomais")</f>
        <v>https://twitter.com/agitomais</v>
      </c>
      <c r="BP41" s="2"/>
    </row>
    <row r="42" spans="1:68" x14ac:dyDescent="0.25">
      <c r="A42" s="63" t="s">
        <v>257</v>
      </c>
      <c r="B42" s="64"/>
      <c r="C42" s="64"/>
      <c r="D42" s="65"/>
      <c r="E42" s="67"/>
      <c r="F42" s="111" t="str">
        <f>HYPERLINK("https://pbs.twimg.com/profile_images/1214849050379538434/hmYRV16O_normal.jpg")</f>
        <v>https://pbs.twimg.com/profile_images/1214849050379538434/hmYRV16O_normal.jpg</v>
      </c>
      <c r="G42" s="64"/>
      <c r="H42" s="68"/>
      <c r="I42" s="69"/>
      <c r="J42" s="69"/>
      <c r="K42" s="68" t="s">
        <v>29175</v>
      </c>
      <c r="L42" s="72"/>
      <c r="M42" s="73"/>
      <c r="N42" s="73"/>
      <c r="O42" s="74"/>
      <c r="P42" s="75"/>
      <c r="Q42" s="75"/>
      <c r="R42" s="102"/>
      <c r="S42" s="102"/>
      <c r="T42" s="102"/>
      <c r="U42" s="102"/>
      <c r="V42" s="48"/>
      <c r="W42" s="48"/>
      <c r="X42" s="48"/>
      <c r="Y42" s="48"/>
      <c r="Z42" s="47"/>
      <c r="AA42" s="70">
        <v>42</v>
      </c>
      <c r="AB42" s="70"/>
      <c r="AC42" s="71"/>
      <c r="AD42" s="86" t="s">
        <v>23681</v>
      </c>
      <c r="AE42" s="94" t="s">
        <v>25236</v>
      </c>
      <c r="AF42" s="86">
        <v>810</v>
      </c>
      <c r="AG42" s="86">
        <v>568</v>
      </c>
      <c r="AH42" s="86">
        <v>1399</v>
      </c>
      <c r="AI42" s="86">
        <v>10</v>
      </c>
      <c r="AJ42" s="86">
        <v>4</v>
      </c>
      <c r="AK42" s="86">
        <v>601</v>
      </c>
      <c r="AL42" s="86" t="b">
        <v>0</v>
      </c>
      <c r="AM42" s="89">
        <v>40114.73878472222</v>
      </c>
      <c r="AN42" s="86" t="s">
        <v>25894</v>
      </c>
      <c r="AO42" s="86" t="s">
        <v>26461</v>
      </c>
      <c r="AP42" s="96" t="str">
        <f>HYPERLINK("https://t.co/RD2uxenwM9")</f>
        <v>https://t.co/RD2uxenwM9</v>
      </c>
      <c r="AQ42" s="96" t="str">
        <f>HYPERLINK("http://www.acisantacruz.org.br")</f>
        <v>http://www.acisantacruz.org.br</v>
      </c>
      <c r="AR42" s="86" t="s">
        <v>27930</v>
      </c>
      <c r="AS42" s="86"/>
      <c r="AT42" s="86"/>
      <c r="AU42" s="86"/>
      <c r="AV42" s="86"/>
      <c r="AW42" s="96" t="str">
        <f>HYPERLINK("https://t.co/RD2uxenwM9")</f>
        <v>https://t.co/RD2uxenwM9</v>
      </c>
      <c r="AX42" s="86" t="b">
        <v>0</v>
      </c>
      <c r="AY42" s="86"/>
      <c r="AZ42" s="86"/>
      <c r="BA42" s="86" t="b">
        <v>0</v>
      </c>
      <c r="BB42" s="86" t="b">
        <v>1</v>
      </c>
      <c r="BC42" s="86" t="b">
        <v>0</v>
      </c>
      <c r="BD42" s="86" t="b">
        <v>0</v>
      </c>
      <c r="BE42" s="86" t="b">
        <v>0</v>
      </c>
      <c r="BF42" s="86" t="b">
        <v>0</v>
      </c>
      <c r="BG42" s="86" t="b">
        <v>0</v>
      </c>
      <c r="BH42" s="96" t="str">
        <f>HYPERLINK("https://pbs.twimg.com/profile_banners/85869416/1661955773")</f>
        <v>https://pbs.twimg.com/profile_banners/85869416/1661955773</v>
      </c>
      <c r="BI42" s="86"/>
      <c r="BJ42" s="86" t="s">
        <v>29134</v>
      </c>
      <c r="BK42" s="86" t="b">
        <v>0</v>
      </c>
      <c r="BL42" s="86"/>
      <c r="BM42" s="86" t="s">
        <v>66</v>
      </c>
      <c r="BN42" s="86" t="s">
        <v>29136</v>
      </c>
      <c r="BO42" s="96" t="str">
        <f>HYPERLINK("https://twitter.com/aci_scs")</f>
        <v>https://twitter.com/aci_scs</v>
      </c>
      <c r="BP42" s="2"/>
    </row>
    <row r="43" spans="1:68" x14ac:dyDescent="0.25">
      <c r="A43" s="63" t="s">
        <v>258</v>
      </c>
      <c r="B43" s="64"/>
      <c r="C43" s="64"/>
      <c r="D43" s="65"/>
      <c r="E43" s="67"/>
      <c r="F43" s="111" t="str">
        <f>HYPERLINK("https://pbs.twimg.com/profile_images/1677842963827703808/dJl-mTm6_normal.jpg")</f>
        <v>https://pbs.twimg.com/profile_images/1677842963827703808/dJl-mTm6_normal.jpg</v>
      </c>
      <c r="G43" s="64"/>
      <c r="H43" s="68"/>
      <c r="I43" s="69"/>
      <c r="J43" s="69"/>
      <c r="K43" s="68" t="s">
        <v>29176</v>
      </c>
      <c r="L43" s="72"/>
      <c r="M43" s="73"/>
      <c r="N43" s="73"/>
      <c r="O43" s="74"/>
      <c r="P43" s="75"/>
      <c r="Q43" s="75"/>
      <c r="R43" s="102"/>
      <c r="S43" s="102"/>
      <c r="T43" s="102"/>
      <c r="U43" s="102"/>
      <c r="V43" s="48"/>
      <c r="W43" s="48"/>
      <c r="X43" s="48"/>
      <c r="Y43" s="48"/>
      <c r="Z43" s="47"/>
      <c r="AA43" s="70">
        <v>43</v>
      </c>
      <c r="AB43" s="70"/>
      <c r="AC43" s="71"/>
      <c r="AD43" s="86" t="s">
        <v>23682</v>
      </c>
      <c r="AE43" s="94" t="s">
        <v>22806</v>
      </c>
      <c r="AF43" s="86">
        <v>4</v>
      </c>
      <c r="AG43" s="86">
        <v>2</v>
      </c>
      <c r="AH43" s="86">
        <v>117</v>
      </c>
      <c r="AI43" s="86">
        <v>0</v>
      </c>
      <c r="AJ43" s="86">
        <v>74</v>
      </c>
      <c r="AK43" s="86">
        <v>53</v>
      </c>
      <c r="AL43" s="86" t="b">
        <v>0</v>
      </c>
      <c r="AM43" s="89">
        <v>44057.770543981482</v>
      </c>
      <c r="AN43" s="86" t="s">
        <v>15240</v>
      </c>
      <c r="AO43" s="86" t="s">
        <v>26462</v>
      </c>
      <c r="AP43" s="86"/>
      <c r="AQ43" s="86"/>
      <c r="AR43" s="86"/>
      <c r="AS43" s="86"/>
      <c r="AT43" s="86"/>
      <c r="AU43" s="86"/>
      <c r="AV43" s="86"/>
      <c r="AW43" s="86"/>
      <c r="AX43" s="86" t="b">
        <v>0</v>
      </c>
      <c r="AY43" s="86"/>
      <c r="AZ43" s="86"/>
      <c r="BA43" s="86" t="b">
        <v>0</v>
      </c>
      <c r="BB43" s="86" t="b">
        <v>1</v>
      </c>
      <c r="BC43" s="86" t="b">
        <v>1</v>
      </c>
      <c r="BD43" s="86" t="b">
        <v>0</v>
      </c>
      <c r="BE43" s="86" t="b">
        <v>0</v>
      </c>
      <c r="BF43" s="86" t="b">
        <v>0</v>
      </c>
      <c r="BG43" s="86" t="b">
        <v>0</v>
      </c>
      <c r="BH43" s="96" t="str">
        <f>HYPERLINK("https://pbs.twimg.com/profile_banners/1294340349670957057/1688864206")</f>
        <v>https://pbs.twimg.com/profile_banners/1294340349670957057/1688864206</v>
      </c>
      <c r="BI43" s="86"/>
      <c r="BJ43" s="86" t="s">
        <v>29134</v>
      </c>
      <c r="BK43" s="86" t="b">
        <v>0</v>
      </c>
      <c r="BL43" s="86"/>
      <c r="BM43" s="86" t="s">
        <v>66</v>
      </c>
      <c r="BN43" s="86" t="s">
        <v>29136</v>
      </c>
      <c r="BO43" s="96" t="str">
        <f>HYPERLINK("https://twitter.com/dqapevidracaria")</f>
        <v>https://twitter.com/dqapevidracaria</v>
      </c>
      <c r="BP43" s="2"/>
    </row>
    <row r="44" spans="1:68" x14ac:dyDescent="0.25">
      <c r="A44" s="63" t="s">
        <v>259</v>
      </c>
      <c r="B44" s="64"/>
      <c r="C44" s="64"/>
      <c r="D44" s="65"/>
      <c r="E44" s="67"/>
      <c r="F44" s="111" t="str">
        <f>HYPERLINK("https://pbs.twimg.com/profile_images/1644682709296377858/4bXZHdf4_normal.jpg")</f>
        <v>https://pbs.twimg.com/profile_images/1644682709296377858/4bXZHdf4_normal.jpg</v>
      </c>
      <c r="G44" s="64"/>
      <c r="H44" s="68"/>
      <c r="I44" s="69"/>
      <c r="J44" s="69"/>
      <c r="K44" s="68" t="s">
        <v>29177</v>
      </c>
      <c r="L44" s="72"/>
      <c r="M44" s="73"/>
      <c r="N44" s="73"/>
      <c r="O44" s="74"/>
      <c r="P44" s="75"/>
      <c r="Q44" s="75"/>
      <c r="R44" s="102"/>
      <c r="S44" s="102"/>
      <c r="T44" s="102"/>
      <c r="U44" s="102"/>
      <c r="V44" s="48"/>
      <c r="W44" s="48"/>
      <c r="X44" s="48"/>
      <c r="Y44" s="48"/>
      <c r="Z44" s="47"/>
      <c r="AA44" s="70">
        <v>44</v>
      </c>
      <c r="AB44" s="70"/>
      <c r="AC44" s="71"/>
      <c r="AD44" s="86" t="s">
        <v>23683</v>
      </c>
      <c r="AE44" s="94" t="s">
        <v>22807</v>
      </c>
      <c r="AF44" s="86">
        <v>1</v>
      </c>
      <c r="AG44" s="86">
        <v>42</v>
      </c>
      <c r="AH44" s="86">
        <v>132</v>
      </c>
      <c r="AI44" s="86">
        <v>0</v>
      </c>
      <c r="AJ44" s="86">
        <v>97</v>
      </c>
      <c r="AK44" s="86">
        <v>9</v>
      </c>
      <c r="AL44" s="86" t="b">
        <v>0</v>
      </c>
      <c r="AM44" s="89">
        <v>44547.103449074071</v>
      </c>
      <c r="AN44" s="86"/>
      <c r="AO44" s="86"/>
      <c r="AP44" s="86"/>
      <c r="AQ44" s="86"/>
      <c r="AR44" s="86"/>
      <c r="AS44" s="86"/>
      <c r="AT44" s="86"/>
      <c r="AU44" s="86"/>
      <c r="AV44" s="86"/>
      <c r="AW44" s="86"/>
      <c r="AX44" s="86" t="b">
        <v>0</v>
      </c>
      <c r="AY44" s="86"/>
      <c r="AZ44" s="86"/>
      <c r="BA44" s="86" t="b">
        <v>0</v>
      </c>
      <c r="BB44" s="86" t="b">
        <v>1</v>
      </c>
      <c r="BC44" s="86" t="b">
        <v>1</v>
      </c>
      <c r="BD44" s="86" t="b">
        <v>0</v>
      </c>
      <c r="BE44" s="86" t="b">
        <v>1</v>
      </c>
      <c r="BF44" s="86" t="b">
        <v>0</v>
      </c>
      <c r="BG44" s="86" t="b">
        <v>0</v>
      </c>
      <c r="BH44" s="86"/>
      <c r="BI44" s="86"/>
      <c r="BJ44" s="86" t="s">
        <v>29134</v>
      </c>
      <c r="BK44" s="86" t="b">
        <v>0</v>
      </c>
      <c r="BL44" s="86"/>
      <c r="BM44" s="86" t="s">
        <v>66</v>
      </c>
      <c r="BN44" s="86" t="s">
        <v>29136</v>
      </c>
      <c r="BO44" s="96" t="str">
        <f>HYPERLINK("https://twitter.com/_wsreis")</f>
        <v>https://twitter.com/_wsreis</v>
      </c>
      <c r="BP44" s="2"/>
    </row>
    <row r="45" spans="1:68" x14ac:dyDescent="0.25">
      <c r="A45" s="63" t="s">
        <v>260</v>
      </c>
      <c r="B45" s="64"/>
      <c r="C45" s="64"/>
      <c r="D45" s="65"/>
      <c r="E45" s="67"/>
      <c r="F45" s="111" t="str">
        <f>HYPERLINK("https://pbs.twimg.com/profile_images/1420529588036415489/Ts9ms-gL_normal.jpg")</f>
        <v>https://pbs.twimg.com/profile_images/1420529588036415489/Ts9ms-gL_normal.jpg</v>
      </c>
      <c r="G45" s="64"/>
      <c r="H45" s="68"/>
      <c r="I45" s="69"/>
      <c r="J45" s="69"/>
      <c r="K45" s="68" t="s">
        <v>29178</v>
      </c>
      <c r="L45" s="72"/>
      <c r="M45" s="73"/>
      <c r="N45" s="73"/>
      <c r="O45" s="74"/>
      <c r="P45" s="75"/>
      <c r="Q45" s="75"/>
      <c r="R45" s="102"/>
      <c r="S45" s="102"/>
      <c r="T45" s="102"/>
      <c r="U45" s="102"/>
      <c r="V45" s="48"/>
      <c r="W45" s="48"/>
      <c r="X45" s="48"/>
      <c r="Y45" s="48"/>
      <c r="Z45" s="47"/>
      <c r="AA45" s="70">
        <v>45</v>
      </c>
      <c r="AB45" s="70"/>
      <c r="AC45" s="71"/>
      <c r="AD45" s="86" t="s">
        <v>23684</v>
      </c>
      <c r="AE45" s="94" t="s">
        <v>22808</v>
      </c>
      <c r="AF45" s="86">
        <v>390</v>
      </c>
      <c r="AG45" s="86">
        <v>1941</v>
      </c>
      <c r="AH45" s="86">
        <v>1744</v>
      </c>
      <c r="AI45" s="86">
        <v>1</v>
      </c>
      <c r="AJ45" s="86">
        <v>1798</v>
      </c>
      <c r="AK45" s="86">
        <v>899</v>
      </c>
      <c r="AL45" s="86" t="b">
        <v>0</v>
      </c>
      <c r="AM45" s="89">
        <v>43567.693854166668</v>
      </c>
      <c r="AN45" s="86" t="s">
        <v>25895</v>
      </c>
      <c r="AO45" s="86" t="s">
        <v>26463</v>
      </c>
      <c r="AP45" s="96" t="str">
        <f>HYPERLINK("https://t.co/CmkuxL5Y70")</f>
        <v>https://t.co/CmkuxL5Y70</v>
      </c>
      <c r="AQ45" s="96" t="str">
        <f>HYPERLINK("http://www.alfagates.com.br")</f>
        <v>http://www.alfagates.com.br</v>
      </c>
      <c r="AR45" s="86" t="s">
        <v>27931</v>
      </c>
      <c r="AS45" s="86"/>
      <c r="AT45" s="86"/>
      <c r="AU45" s="86"/>
      <c r="AV45" s="86"/>
      <c r="AW45" s="96" t="str">
        <f>HYPERLINK("https://t.co/CmkuxL5Y70")</f>
        <v>https://t.co/CmkuxL5Y70</v>
      </c>
      <c r="AX45" s="86" t="b">
        <v>0</v>
      </c>
      <c r="AY45" s="86"/>
      <c r="AZ45" s="86"/>
      <c r="BA45" s="86" t="b">
        <v>0</v>
      </c>
      <c r="BB45" s="86" t="b">
        <v>1</v>
      </c>
      <c r="BC45" s="86" t="b">
        <v>0</v>
      </c>
      <c r="BD45" s="86" t="b">
        <v>0</v>
      </c>
      <c r="BE45" s="86" t="b">
        <v>0</v>
      </c>
      <c r="BF45" s="86" t="b">
        <v>0</v>
      </c>
      <c r="BG45" s="86" t="b">
        <v>0</v>
      </c>
      <c r="BH45" s="96" t="str">
        <f>HYPERLINK("https://pbs.twimg.com/profile_banners/1116742562822414336/1627580862")</f>
        <v>https://pbs.twimg.com/profile_banners/1116742562822414336/1627580862</v>
      </c>
      <c r="BI45" s="86"/>
      <c r="BJ45" s="86" t="s">
        <v>29134</v>
      </c>
      <c r="BK45" s="86" t="b">
        <v>0</v>
      </c>
      <c r="BL45" s="86"/>
      <c r="BM45" s="86" t="s">
        <v>66</v>
      </c>
      <c r="BN45" s="86" t="s">
        <v>29136</v>
      </c>
      <c r="BO45" s="96" t="str">
        <f>HYPERLINK("https://twitter.com/alfagates")</f>
        <v>https://twitter.com/alfagates</v>
      </c>
      <c r="BP45" s="2"/>
    </row>
    <row r="46" spans="1:68" x14ac:dyDescent="0.25">
      <c r="A46" s="63" t="s">
        <v>261</v>
      </c>
      <c r="B46" s="64"/>
      <c r="C46" s="64"/>
      <c r="D46" s="65"/>
      <c r="E46" s="67"/>
      <c r="F46" s="111" t="str">
        <f>HYPERLINK("https://pbs.twimg.com/profile_images/1590896190048043008/103ipDvX_normal.jpg")</f>
        <v>https://pbs.twimg.com/profile_images/1590896190048043008/103ipDvX_normal.jpg</v>
      </c>
      <c r="G46" s="64"/>
      <c r="H46" s="68"/>
      <c r="I46" s="69"/>
      <c r="J46" s="69"/>
      <c r="K46" s="68" t="s">
        <v>29179</v>
      </c>
      <c r="L46" s="72"/>
      <c r="M46" s="73"/>
      <c r="N46" s="73"/>
      <c r="O46" s="74"/>
      <c r="P46" s="75"/>
      <c r="Q46" s="75"/>
      <c r="R46" s="102"/>
      <c r="S46" s="102"/>
      <c r="T46" s="102"/>
      <c r="U46" s="102"/>
      <c r="V46" s="48"/>
      <c r="W46" s="48"/>
      <c r="X46" s="48"/>
      <c r="Y46" s="48"/>
      <c r="Z46" s="47"/>
      <c r="AA46" s="70">
        <v>46</v>
      </c>
      <c r="AB46" s="70"/>
      <c r="AC46" s="71"/>
      <c r="AD46" s="86" t="s">
        <v>23685</v>
      </c>
      <c r="AE46" s="94" t="s">
        <v>22809</v>
      </c>
      <c r="AF46" s="86">
        <v>3</v>
      </c>
      <c r="AG46" s="86">
        <v>33</v>
      </c>
      <c r="AH46" s="86">
        <v>49</v>
      </c>
      <c r="AI46" s="86">
        <v>0</v>
      </c>
      <c r="AJ46" s="86">
        <v>227</v>
      </c>
      <c r="AK46" s="86">
        <v>32</v>
      </c>
      <c r="AL46" s="86" t="b">
        <v>0</v>
      </c>
      <c r="AM46" s="89">
        <v>44876.108252314814</v>
      </c>
      <c r="AN46" s="86" t="s">
        <v>15234</v>
      </c>
      <c r="AO46" s="86" t="s">
        <v>26464</v>
      </c>
      <c r="AP46" s="96" t="str">
        <f>HYPERLINK("https://t.co/lwNdaxwnHM")</f>
        <v>https://t.co/lwNdaxwnHM</v>
      </c>
      <c r="AQ46" s="96" t="str">
        <f>HYPERLINK("http://flow.page/ogabriel.aparecido/")</f>
        <v>http://flow.page/ogabriel.aparecido/</v>
      </c>
      <c r="AR46" s="86" t="s">
        <v>27932</v>
      </c>
      <c r="AS46" s="86"/>
      <c r="AT46" s="86"/>
      <c r="AU46" s="86"/>
      <c r="AV46" s="86"/>
      <c r="AW46" s="96" t="str">
        <f>HYPERLINK("https://t.co/lwNdaxwnHM")</f>
        <v>https://t.co/lwNdaxwnHM</v>
      </c>
      <c r="AX46" s="86" t="b">
        <v>0</v>
      </c>
      <c r="AY46" s="86"/>
      <c r="AZ46" s="86"/>
      <c r="BA46" s="86" t="b">
        <v>0</v>
      </c>
      <c r="BB46" s="86" t="b">
        <v>1</v>
      </c>
      <c r="BC46" s="86" t="b">
        <v>1</v>
      </c>
      <c r="BD46" s="86" t="b">
        <v>0</v>
      </c>
      <c r="BE46" s="86" t="b">
        <v>0</v>
      </c>
      <c r="BF46" s="86" t="b">
        <v>0</v>
      </c>
      <c r="BG46" s="86" t="b">
        <v>0</v>
      </c>
      <c r="BH46" s="96" t="str">
        <f>HYPERLINK("https://pbs.twimg.com/profile_banners/1590895990072119296/1668135530")</f>
        <v>https://pbs.twimg.com/profile_banners/1590895990072119296/1668135530</v>
      </c>
      <c r="BI46" s="86"/>
      <c r="BJ46" s="86" t="s">
        <v>29134</v>
      </c>
      <c r="BK46" s="86" t="b">
        <v>0</v>
      </c>
      <c r="BL46" s="86"/>
      <c r="BM46" s="86" t="s">
        <v>66</v>
      </c>
      <c r="BN46" s="86" t="s">
        <v>29136</v>
      </c>
      <c r="BO46" s="96" t="str">
        <f>HYPERLINK("https://twitter.com/gabriel97ap")</f>
        <v>https://twitter.com/gabriel97ap</v>
      </c>
      <c r="BP46" s="2"/>
    </row>
    <row r="47" spans="1:68" x14ac:dyDescent="0.25">
      <c r="A47" s="63" t="s">
        <v>262</v>
      </c>
      <c r="B47" s="64"/>
      <c r="C47" s="64"/>
      <c r="D47" s="65"/>
      <c r="E47" s="67"/>
      <c r="F47" s="111" t="str">
        <f>HYPERLINK("https://pbs.twimg.com/profile_images/1520801201792729090/BHka_KDn_normal.jpg")</f>
        <v>https://pbs.twimg.com/profile_images/1520801201792729090/BHka_KDn_normal.jpg</v>
      </c>
      <c r="G47" s="64"/>
      <c r="H47" s="68"/>
      <c r="I47" s="69"/>
      <c r="J47" s="69"/>
      <c r="K47" s="68" t="s">
        <v>29180</v>
      </c>
      <c r="L47" s="72"/>
      <c r="M47" s="73"/>
      <c r="N47" s="73"/>
      <c r="O47" s="74"/>
      <c r="P47" s="75"/>
      <c r="Q47" s="75"/>
      <c r="R47" s="102"/>
      <c r="S47" s="102"/>
      <c r="T47" s="102"/>
      <c r="U47" s="102"/>
      <c r="V47" s="48"/>
      <c r="W47" s="48"/>
      <c r="X47" s="48"/>
      <c r="Y47" s="48"/>
      <c r="Z47" s="47"/>
      <c r="AA47" s="70">
        <v>47</v>
      </c>
      <c r="AB47" s="70"/>
      <c r="AC47" s="71"/>
      <c r="AD47" s="86" t="s">
        <v>23686</v>
      </c>
      <c r="AE47" s="94" t="s">
        <v>22810</v>
      </c>
      <c r="AF47" s="86">
        <v>56</v>
      </c>
      <c r="AG47" s="86">
        <v>631</v>
      </c>
      <c r="AH47" s="86">
        <v>1854</v>
      </c>
      <c r="AI47" s="86">
        <v>0</v>
      </c>
      <c r="AJ47" s="86">
        <v>85</v>
      </c>
      <c r="AK47" s="86">
        <v>197</v>
      </c>
      <c r="AL47" s="86" t="b">
        <v>0</v>
      </c>
      <c r="AM47" s="89">
        <v>42533.956365740742</v>
      </c>
      <c r="AN47" s="86" t="s">
        <v>15242</v>
      </c>
      <c r="AO47" s="86" t="s">
        <v>26465</v>
      </c>
      <c r="AP47" s="96" t="str">
        <f>HYPERLINK("https://t.co/HpK4GUs0oa")</f>
        <v>https://t.co/HpK4GUs0oa</v>
      </c>
      <c r="AQ47" s="96" t="str">
        <f>HYPERLINK("http://www.renatolisboa.com.br")</f>
        <v>http://www.renatolisboa.com.br</v>
      </c>
      <c r="AR47" s="86" t="s">
        <v>27933</v>
      </c>
      <c r="AS47" s="86"/>
      <c r="AT47" s="86"/>
      <c r="AU47" s="86"/>
      <c r="AV47" s="86"/>
      <c r="AW47" s="96" t="str">
        <f>HYPERLINK("https://t.co/HpK4GUs0oa")</f>
        <v>https://t.co/HpK4GUs0oa</v>
      </c>
      <c r="AX47" s="86" t="b">
        <v>0</v>
      </c>
      <c r="AY47" s="86"/>
      <c r="AZ47" s="86"/>
      <c r="BA47" s="86" t="b">
        <v>0</v>
      </c>
      <c r="BB47" s="86" t="b">
        <v>1</v>
      </c>
      <c r="BC47" s="86" t="b">
        <v>1</v>
      </c>
      <c r="BD47" s="86" t="b">
        <v>0</v>
      </c>
      <c r="BE47" s="86" t="b">
        <v>0</v>
      </c>
      <c r="BF47" s="86" t="b">
        <v>0</v>
      </c>
      <c r="BG47" s="86" t="b">
        <v>0</v>
      </c>
      <c r="BH47" s="96" t="str">
        <f>HYPERLINK("https://pbs.twimg.com/profile_banners/742128640226426880/1656641603")</f>
        <v>https://pbs.twimg.com/profile_banners/742128640226426880/1656641603</v>
      </c>
      <c r="BI47" s="86"/>
      <c r="BJ47" s="86" t="s">
        <v>29134</v>
      </c>
      <c r="BK47" s="86" t="b">
        <v>0</v>
      </c>
      <c r="BL47" s="86"/>
      <c r="BM47" s="86" t="s">
        <v>66</v>
      </c>
      <c r="BN47" s="86" t="s">
        <v>29136</v>
      </c>
      <c r="BO47" s="96" t="str">
        <f>HYPERLINK("https://twitter.com/dr_renatolisboa")</f>
        <v>https://twitter.com/dr_renatolisboa</v>
      </c>
      <c r="BP47" s="2"/>
    </row>
    <row r="48" spans="1:68" x14ac:dyDescent="0.25">
      <c r="A48" s="63" t="s">
        <v>263</v>
      </c>
      <c r="B48" s="64"/>
      <c r="C48" s="64"/>
      <c r="D48" s="65"/>
      <c r="E48" s="67"/>
      <c r="F48" s="111" t="str">
        <f>HYPERLINK("https://pbs.twimg.com/profile_images/887352934660550660/NSAduCWF_normal.jpg")</f>
        <v>https://pbs.twimg.com/profile_images/887352934660550660/NSAduCWF_normal.jpg</v>
      </c>
      <c r="G48" s="64"/>
      <c r="H48" s="68"/>
      <c r="I48" s="69"/>
      <c r="J48" s="69"/>
      <c r="K48" s="68" t="s">
        <v>29181</v>
      </c>
      <c r="L48" s="72"/>
      <c r="M48" s="73"/>
      <c r="N48" s="73"/>
      <c r="O48" s="74"/>
      <c r="P48" s="75"/>
      <c r="Q48" s="75"/>
      <c r="R48" s="102"/>
      <c r="S48" s="102"/>
      <c r="T48" s="102"/>
      <c r="U48" s="102"/>
      <c r="V48" s="48"/>
      <c r="W48" s="48"/>
      <c r="X48" s="48"/>
      <c r="Y48" s="48"/>
      <c r="Z48" s="47"/>
      <c r="AA48" s="70">
        <v>48</v>
      </c>
      <c r="AB48" s="70"/>
      <c r="AC48" s="71"/>
      <c r="AD48" s="86" t="s">
        <v>23687</v>
      </c>
      <c r="AE48" s="94" t="s">
        <v>22811</v>
      </c>
      <c r="AF48" s="86">
        <v>16</v>
      </c>
      <c r="AG48" s="86">
        <v>11</v>
      </c>
      <c r="AH48" s="86">
        <v>123</v>
      </c>
      <c r="AI48" s="86">
        <v>0</v>
      </c>
      <c r="AJ48" s="86">
        <v>2</v>
      </c>
      <c r="AK48" s="86">
        <v>115</v>
      </c>
      <c r="AL48" s="86" t="b">
        <v>0</v>
      </c>
      <c r="AM48" s="89">
        <v>42827.872002314813</v>
      </c>
      <c r="AN48" s="86"/>
      <c r="AO48" s="86"/>
      <c r="AP48" s="86"/>
      <c r="AQ48" s="86"/>
      <c r="AR48" s="86"/>
      <c r="AS48" s="86"/>
      <c r="AT48" s="86"/>
      <c r="AU48" s="86"/>
      <c r="AV48" s="86"/>
      <c r="AW48" s="86"/>
      <c r="AX48" s="86" t="b">
        <v>0</v>
      </c>
      <c r="AY48" s="86"/>
      <c r="AZ48" s="86"/>
      <c r="BA48" s="86" t="b">
        <v>0</v>
      </c>
      <c r="BB48" s="86" t="b">
        <v>1</v>
      </c>
      <c r="BC48" s="86" t="b">
        <v>1</v>
      </c>
      <c r="BD48" s="86" t="b">
        <v>0</v>
      </c>
      <c r="BE48" s="86" t="b">
        <v>0</v>
      </c>
      <c r="BF48" s="86" t="b">
        <v>0</v>
      </c>
      <c r="BG48" s="86" t="b">
        <v>0</v>
      </c>
      <c r="BH48" s="96" t="str">
        <f>HYPERLINK("https://pbs.twimg.com/profile_banners/848640097742467072/1500396262")</f>
        <v>https://pbs.twimg.com/profile_banners/848640097742467072/1500396262</v>
      </c>
      <c r="BI48" s="86"/>
      <c r="BJ48" s="86" t="s">
        <v>29134</v>
      </c>
      <c r="BK48" s="86" t="b">
        <v>0</v>
      </c>
      <c r="BL48" s="86"/>
      <c r="BM48" s="86" t="s">
        <v>66</v>
      </c>
      <c r="BN48" s="86" t="s">
        <v>29136</v>
      </c>
      <c r="BO48" s="96" t="str">
        <f>HYPERLINK("https://twitter.com/andrebianchim8")</f>
        <v>https://twitter.com/andrebianchim8</v>
      </c>
      <c r="BP48" s="2"/>
    </row>
    <row r="49" spans="1:68" x14ac:dyDescent="0.25">
      <c r="A49" s="63" t="s">
        <v>264</v>
      </c>
      <c r="B49" s="64"/>
      <c r="C49" s="64"/>
      <c r="D49" s="65"/>
      <c r="E49" s="67"/>
      <c r="F49" s="111" t="str">
        <f>HYPERLINK("https://pbs.twimg.com/profile_images/1544332235284832258/j-6CK29S_normal.jpg")</f>
        <v>https://pbs.twimg.com/profile_images/1544332235284832258/j-6CK29S_normal.jpg</v>
      </c>
      <c r="G49" s="64"/>
      <c r="H49" s="68"/>
      <c r="I49" s="69"/>
      <c r="J49" s="69"/>
      <c r="K49" s="68" t="s">
        <v>29182</v>
      </c>
      <c r="L49" s="72"/>
      <c r="M49" s="73"/>
      <c r="N49" s="73"/>
      <c r="O49" s="74"/>
      <c r="P49" s="75"/>
      <c r="Q49" s="75"/>
      <c r="R49" s="102"/>
      <c r="S49" s="102"/>
      <c r="T49" s="102"/>
      <c r="U49" s="102"/>
      <c r="V49" s="48"/>
      <c r="W49" s="48"/>
      <c r="X49" s="48"/>
      <c r="Y49" s="48"/>
      <c r="Z49" s="47"/>
      <c r="AA49" s="70">
        <v>49</v>
      </c>
      <c r="AB49" s="70"/>
      <c r="AC49" s="71"/>
      <c r="AD49" s="86" t="s">
        <v>23688</v>
      </c>
      <c r="AE49" s="94" t="s">
        <v>22812</v>
      </c>
      <c r="AF49" s="86">
        <v>33</v>
      </c>
      <c r="AG49" s="86">
        <v>17</v>
      </c>
      <c r="AH49" s="86">
        <v>584</v>
      </c>
      <c r="AI49" s="86">
        <v>0</v>
      </c>
      <c r="AJ49" s="86">
        <v>3</v>
      </c>
      <c r="AK49" s="86">
        <v>492</v>
      </c>
      <c r="AL49" s="86" t="b">
        <v>0</v>
      </c>
      <c r="AM49" s="89">
        <v>43396.934814814813</v>
      </c>
      <c r="AN49" s="86" t="s">
        <v>25896</v>
      </c>
      <c r="AO49" s="86" t="s">
        <v>26466</v>
      </c>
      <c r="AP49" s="96" t="str">
        <f>HYPERLINK("https://t.co/tEBZU8yByx")</f>
        <v>https://t.co/tEBZU8yByx</v>
      </c>
      <c r="AQ49" s="96" t="str">
        <f>HYPERLINK("https://www.youtube.com/channel/UCNqChDJibFwpEDkfERmo00A")</f>
        <v>https://www.youtube.com/channel/UCNqChDJibFwpEDkfERmo00A</v>
      </c>
      <c r="AR49" s="86" t="s">
        <v>27934</v>
      </c>
      <c r="AS49" s="86"/>
      <c r="AT49" s="86"/>
      <c r="AU49" s="86"/>
      <c r="AV49" s="86"/>
      <c r="AW49" s="96" t="str">
        <f>HYPERLINK("https://t.co/tEBZU8yByx")</f>
        <v>https://t.co/tEBZU8yByx</v>
      </c>
      <c r="AX49" s="86" t="b">
        <v>0</v>
      </c>
      <c r="AY49" s="86"/>
      <c r="AZ49" s="86"/>
      <c r="BA49" s="86" t="b">
        <v>0</v>
      </c>
      <c r="BB49" s="86" t="b">
        <v>1</v>
      </c>
      <c r="BC49" s="86" t="b">
        <v>1</v>
      </c>
      <c r="BD49" s="86" t="b">
        <v>0</v>
      </c>
      <c r="BE49" s="86" t="b">
        <v>0</v>
      </c>
      <c r="BF49" s="86" t="b">
        <v>0</v>
      </c>
      <c r="BG49" s="86" t="b">
        <v>0</v>
      </c>
      <c r="BH49" s="96" t="str">
        <f>HYPERLINK("https://pbs.twimg.com/profile_banners/1054861559296675841/1613508269")</f>
        <v>https://pbs.twimg.com/profile_banners/1054861559296675841/1613508269</v>
      </c>
      <c r="BI49" s="86"/>
      <c r="BJ49" s="86" t="s">
        <v>29134</v>
      </c>
      <c r="BK49" s="86" t="b">
        <v>0</v>
      </c>
      <c r="BL49" s="86"/>
      <c r="BM49" s="86" t="s">
        <v>66</v>
      </c>
      <c r="BN49" s="86" t="s">
        <v>29136</v>
      </c>
      <c r="BO49" s="96" t="str">
        <f>HYPERLINK("https://twitter.com/jfugice")</f>
        <v>https://twitter.com/jfugice</v>
      </c>
      <c r="BP49" s="2"/>
    </row>
    <row r="50" spans="1:68" x14ac:dyDescent="0.25">
      <c r="A50" s="63" t="s">
        <v>265</v>
      </c>
      <c r="B50" s="64"/>
      <c r="C50" s="64"/>
      <c r="D50" s="65"/>
      <c r="E50" s="67"/>
      <c r="F50" s="111" t="str">
        <f>HYPERLINK("https://pbs.twimg.com/profile_images/1664131120999579649/25z-CoHS_normal.jpg")</f>
        <v>https://pbs.twimg.com/profile_images/1664131120999579649/25z-CoHS_normal.jpg</v>
      </c>
      <c r="G50" s="64"/>
      <c r="H50" s="68"/>
      <c r="I50" s="69"/>
      <c r="J50" s="69"/>
      <c r="K50" s="68" t="s">
        <v>29183</v>
      </c>
      <c r="L50" s="72"/>
      <c r="M50" s="73"/>
      <c r="N50" s="73"/>
      <c r="O50" s="74"/>
      <c r="P50" s="75"/>
      <c r="Q50" s="75"/>
      <c r="R50" s="102"/>
      <c r="S50" s="102"/>
      <c r="T50" s="102"/>
      <c r="U50" s="102"/>
      <c r="V50" s="48"/>
      <c r="W50" s="48"/>
      <c r="X50" s="48"/>
      <c r="Y50" s="48"/>
      <c r="Z50" s="47"/>
      <c r="AA50" s="70">
        <v>50</v>
      </c>
      <c r="AB50" s="70"/>
      <c r="AC50" s="71"/>
      <c r="AD50" s="86" t="s">
        <v>23689</v>
      </c>
      <c r="AE50" s="94" t="s">
        <v>25237</v>
      </c>
      <c r="AF50" s="86">
        <v>73</v>
      </c>
      <c r="AG50" s="86">
        <v>32</v>
      </c>
      <c r="AH50" s="86">
        <v>62</v>
      </c>
      <c r="AI50" s="86">
        <v>0</v>
      </c>
      <c r="AJ50" s="86">
        <v>153</v>
      </c>
      <c r="AK50" s="86">
        <v>23</v>
      </c>
      <c r="AL50" s="86" t="b">
        <v>0</v>
      </c>
      <c r="AM50" s="89">
        <v>41252.894490740742</v>
      </c>
      <c r="AN50" s="86"/>
      <c r="AO50" s="86" t="s">
        <v>26467</v>
      </c>
      <c r="AP50" s="96" t="str">
        <f>HYPERLINK("https://t.co/eWMRQ8us2o")</f>
        <v>https://t.co/eWMRQ8us2o</v>
      </c>
      <c r="AQ50" s="96" t="str">
        <f>HYPERLINK("http://www.instagram.com/businesslifeadventure")</f>
        <v>http://www.instagram.com/businesslifeadventure</v>
      </c>
      <c r="AR50" s="86" t="s">
        <v>27935</v>
      </c>
      <c r="AS50" s="86"/>
      <c r="AT50" s="86"/>
      <c r="AU50" s="86"/>
      <c r="AV50" s="86"/>
      <c r="AW50" s="96" t="str">
        <f>HYPERLINK("https://t.co/eWMRQ8us2o")</f>
        <v>https://t.co/eWMRQ8us2o</v>
      </c>
      <c r="AX50" s="86" t="b">
        <v>0</v>
      </c>
      <c r="AY50" s="86"/>
      <c r="AZ50" s="86"/>
      <c r="BA50" s="86" t="b">
        <v>1</v>
      </c>
      <c r="BB50" s="86" t="b">
        <v>0</v>
      </c>
      <c r="BC50" s="86" t="b">
        <v>0</v>
      </c>
      <c r="BD50" s="86" t="b">
        <v>0</v>
      </c>
      <c r="BE50" s="86" t="b">
        <v>0</v>
      </c>
      <c r="BF50" s="86" t="b">
        <v>0</v>
      </c>
      <c r="BG50" s="86" t="b">
        <v>0</v>
      </c>
      <c r="BH50" s="96" t="str">
        <f>HYPERLINK("https://pbs.twimg.com/profile_banners/1000215114/1687119496")</f>
        <v>https://pbs.twimg.com/profile_banners/1000215114/1687119496</v>
      </c>
      <c r="BI50" s="86"/>
      <c r="BJ50" s="86" t="s">
        <v>29134</v>
      </c>
      <c r="BK50" s="86" t="b">
        <v>0</v>
      </c>
      <c r="BL50" s="86"/>
      <c r="BM50" s="86" t="s">
        <v>66</v>
      </c>
      <c r="BN50" s="86" t="s">
        <v>29136</v>
      </c>
      <c r="BO50" s="96" t="str">
        <f>HYPERLINK("https://twitter.com/alexbucefalo90")</f>
        <v>https://twitter.com/alexbucefalo90</v>
      </c>
      <c r="BP50" s="2"/>
    </row>
    <row r="51" spans="1:68" x14ac:dyDescent="0.25">
      <c r="A51" s="63" t="s">
        <v>266</v>
      </c>
      <c r="B51" s="64"/>
      <c r="C51" s="64"/>
      <c r="D51" s="65"/>
      <c r="E51" s="67"/>
      <c r="F51" s="111" t="str">
        <f>HYPERLINK("https://pbs.twimg.com/profile_images/1672448335641190400/uyzOSAJM_normal.png")</f>
        <v>https://pbs.twimg.com/profile_images/1672448335641190400/uyzOSAJM_normal.png</v>
      </c>
      <c r="G51" s="64"/>
      <c r="H51" s="68"/>
      <c r="I51" s="69"/>
      <c r="J51" s="69"/>
      <c r="K51" s="68" t="s">
        <v>29184</v>
      </c>
      <c r="L51" s="72"/>
      <c r="M51" s="73"/>
      <c r="N51" s="73"/>
      <c r="O51" s="74"/>
      <c r="P51" s="75"/>
      <c r="Q51" s="75"/>
      <c r="R51" s="102"/>
      <c r="S51" s="102"/>
      <c r="T51" s="102"/>
      <c r="U51" s="102"/>
      <c r="V51" s="48"/>
      <c r="W51" s="48"/>
      <c r="X51" s="48"/>
      <c r="Y51" s="48"/>
      <c r="Z51" s="47"/>
      <c r="AA51" s="70">
        <v>51</v>
      </c>
      <c r="AB51" s="70"/>
      <c r="AC51" s="71"/>
      <c r="AD51" s="86" t="s">
        <v>23690</v>
      </c>
      <c r="AE51" s="94" t="s">
        <v>22813</v>
      </c>
      <c r="AF51" s="86">
        <v>4</v>
      </c>
      <c r="AG51" s="86">
        <v>33</v>
      </c>
      <c r="AH51" s="86">
        <v>132</v>
      </c>
      <c r="AI51" s="86">
        <v>0</v>
      </c>
      <c r="AJ51" s="86">
        <v>42</v>
      </c>
      <c r="AK51" s="86">
        <v>84</v>
      </c>
      <c r="AL51" s="86" t="b">
        <v>0</v>
      </c>
      <c r="AM51" s="89">
        <v>45101.149652777778</v>
      </c>
      <c r="AN51" s="86"/>
      <c r="AO51" s="86" t="s">
        <v>26468</v>
      </c>
      <c r="AP51" s="96" t="str">
        <f>HYPERLINK("https://t.co/BQ0ank0KYD")</f>
        <v>https://t.co/BQ0ank0KYD</v>
      </c>
      <c r="AQ51" s="96" t="str">
        <f>HYPERLINK("https://motivandoleoes.com/")</f>
        <v>https://motivandoleoes.com/</v>
      </c>
      <c r="AR51" s="86" t="s">
        <v>27936</v>
      </c>
      <c r="AS51" s="86"/>
      <c r="AT51" s="86"/>
      <c r="AU51" s="86"/>
      <c r="AV51" s="86"/>
      <c r="AW51" s="96" t="str">
        <f>HYPERLINK("https://t.co/BQ0ank0KYD")</f>
        <v>https://t.co/BQ0ank0KYD</v>
      </c>
      <c r="AX51" s="86" t="b">
        <v>0</v>
      </c>
      <c r="AY51" s="86"/>
      <c r="AZ51" s="86"/>
      <c r="BA51" s="86" t="b">
        <v>0</v>
      </c>
      <c r="BB51" s="86" t="b">
        <v>1</v>
      </c>
      <c r="BC51" s="86" t="b">
        <v>1</v>
      </c>
      <c r="BD51" s="86" t="b">
        <v>0</v>
      </c>
      <c r="BE51" s="86" t="b">
        <v>0</v>
      </c>
      <c r="BF51" s="86" t="b">
        <v>0</v>
      </c>
      <c r="BG51" s="86" t="b">
        <v>0</v>
      </c>
      <c r="BH51" s="96" t="str">
        <f>HYPERLINK("https://pbs.twimg.com/profile_banners/1672448271996911619/1687577894")</f>
        <v>https://pbs.twimg.com/profile_banners/1672448271996911619/1687577894</v>
      </c>
      <c r="BI51" s="86"/>
      <c r="BJ51" s="86" t="s">
        <v>29134</v>
      </c>
      <c r="BK51" s="86" t="b">
        <v>0</v>
      </c>
      <c r="BL51" s="86"/>
      <c r="BM51" s="86" t="s">
        <v>66</v>
      </c>
      <c r="BN51" s="86" t="s">
        <v>29136</v>
      </c>
      <c r="BO51" s="96" t="str">
        <f>HYPERLINK("https://twitter.com/motivandoleoes")</f>
        <v>https://twitter.com/motivandoleoes</v>
      </c>
      <c r="BP51" s="2"/>
    </row>
    <row r="52" spans="1:68" x14ac:dyDescent="0.25">
      <c r="A52" s="63" t="s">
        <v>267</v>
      </c>
      <c r="B52" s="64"/>
      <c r="C52" s="64"/>
      <c r="D52" s="65"/>
      <c r="E52" s="67"/>
      <c r="F52" s="111" t="str">
        <f>HYPERLINK("https://pbs.twimg.com/profile_images/1573291727489843200/VGxuKwDI_normal.png")</f>
        <v>https://pbs.twimg.com/profile_images/1573291727489843200/VGxuKwDI_normal.png</v>
      </c>
      <c r="G52" s="64"/>
      <c r="H52" s="68"/>
      <c r="I52" s="69"/>
      <c r="J52" s="69"/>
      <c r="K52" s="68" t="s">
        <v>29185</v>
      </c>
      <c r="L52" s="72"/>
      <c r="M52" s="73"/>
      <c r="N52" s="73"/>
      <c r="O52" s="74"/>
      <c r="P52" s="75"/>
      <c r="Q52" s="75"/>
      <c r="R52" s="102"/>
      <c r="S52" s="102"/>
      <c r="T52" s="102"/>
      <c r="U52" s="102"/>
      <c r="V52" s="48"/>
      <c r="W52" s="48"/>
      <c r="X52" s="48"/>
      <c r="Y52" s="48"/>
      <c r="Z52" s="47"/>
      <c r="AA52" s="70">
        <v>52</v>
      </c>
      <c r="AB52" s="70"/>
      <c r="AC52" s="71"/>
      <c r="AD52" s="86" t="s">
        <v>23691</v>
      </c>
      <c r="AE52" s="94" t="s">
        <v>22814</v>
      </c>
      <c r="AF52" s="86">
        <v>5</v>
      </c>
      <c r="AG52" s="86">
        <v>31</v>
      </c>
      <c r="AH52" s="86">
        <v>5</v>
      </c>
      <c r="AI52" s="86">
        <v>0</v>
      </c>
      <c r="AJ52" s="86">
        <v>2</v>
      </c>
      <c r="AK52" s="86">
        <v>5</v>
      </c>
      <c r="AL52" s="86" t="b">
        <v>0</v>
      </c>
      <c r="AM52" s="89">
        <v>44827.529537037037</v>
      </c>
      <c r="AN52" s="86" t="s">
        <v>15378</v>
      </c>
      <c r="AO52" s="86" t="s">
        <v>26469</v>
      </c>
      <c r="AP52" s="96" t="str">
        <f>HYPERLINK("https://t.co/bOaDbOobeL")</f>
        <v>https://t.co/bOaDbOobeL</v>
      </c>
      <c r="AQ52" s="96" t="str">
        <f>HYPERLINK("https://linkedin.com/in/williansantos/")</f>
        <v>https://linkedin.com/in/williansantos/</v>
      </c>
      <c r="AR52" s="86" t="s">
        <v>27937</v>
      </c>
      <c r="AS52" s="86"/>
      <c r="AT52" s="86"/>
      <c r="AU52" s="86"/>
      <c r="AV52" s="86"/>
      <c r="AW52" s="96" t="str">
        <f>HYPERLINK("https://t.co/bOaDbOobeL")</f>
        <v>https://t.co/bOaDbOobeL</v>
      </c>
      <c r="AX52" s="86" t="b">
        <v>0</v>
      </c>
      <c r="AY52" s="86"/>
      <c r="AZ52" s="86"/>
      <c r="BA52" s="86" t="b">
        <v>0</v>
      </c>
      <c r="BB52" s="86" t="b">
        <v>1</v>
      </c>
      <c r="BC52" s="86" t="b">
        <v>1</v>
      </c>
      <c r="BD52" s="86" t="b">
        <v>0</v>
      </c>
      <c r="BE52" s="86" t="b">
        <v>0</v>
      </c>
      <c r="BF52" s="86" t="b">
        <v>0</v>
      </c>
      <c r="BG52" s="86" t="b">
        <v>0</v>
      </c>
      <c r="BH52" s="96" t="str">
        <f>HYPERLINK("https://pbs.twimg.com/profile_banners/1573291611731251200/1663941514")</f>
        <v>https://pbs.twimg.com/profile_banners/1573291611731251200/1663941514</v>
      </c>
      <c r="BI52" s="86"/>
      <c r="BJ52" s="86" t="s">
        <v>29134</v>
      </c>
      <c r="BK52" s="86" t="b">
        <v>0</v>
      </c>
      <c r="BL52" s="86"/>
      <c r="BM52" s="86" t="s">
        <v>66</v>
      </c>
      <c r="BN52" s="86" t="s">
        <v>29136</v>
      </c>
      <c r="BO52" s="96" t="str">
        <f>HYPERLINK("https://twitter.com/williansantos__")</f>
        <v>https://twitter.com/williansantos__</v>
      </c>
      <c r="BP52" s="2"/>
    </row>
    <row r="53" spans="1:68" x14ac:dyDescent="0.25">
      <c r="A53" s="63" t="s">
        <v>268</v>
      </c>
      <c r="B53" s="64"/>
      <c r="C53" s="64"/>
      <c r="D53" s="65"/>
      <c r="E53" s="67"/>
      <c r="F53" s="111" t="str">
        <f>HYPERLINK("https://pbs.twimg.com/profile_images/1699991969240334336/6zuW0ACW_normal.jpg")</f>
        <v>https://pbs.twimg.com/profile_images/1699991969240334336/6zuW0ACW_normal.jpg</v>
      </c>
      <c r="G53" s="64"/>
      <c r="H53" s="68"/>
      <c r="I53" s="69"/>
      <c r="J53" s="69"/>
      <c r="K53" s="68" t="s">
        <v>29186</v>
      </c>
      <c r="L53" s="72"/>
      <c r="M53" s="73"/>
      <c r="N53" s="73"/>
      <c r="O53" s="74"/>
      <c r="P53" s="75"/>
      <c r="Q53" s="75"/>
      <c r="R53" s="102"/>
      <c r="S53" s="102"/>
      <c r="T53" s="102"/>
      <c r="U53" s="102"/>
      <c r="V53" s="48"/>
      <c r="W53" s="48"/>
      <c r="X53" s="48"/>
      <c r="Y53" s="48"/>
      <c r="Z53" s="47"/>
      <c r="AA53" s="70">
        <v>53</v>
      </c>
      <c r="AB53" s="70"/>
      <c r="AC53" s="71"/>
      <c r="AD53" s="86" t="s">
        <v>23692</v>
      </c>
      <c r="AE53" s="94" t="s">
        <v>22815</v>
      </c>
      <c r="AF53" s="86">
        <v>812</v>
      </c>
      <c r="AG53" s="86">
        <v>404</v>
      </c>
      <c r="AH53" s="86">
        <v>6339</v>
      </c>
      <c r="AI53" s="86">
        <v>0</v>
      </c>
      <c r="AJ53" s="86">
        <v>12072</v>
      </c>
      <c r="AK53" s="86">
        <v>0</v>
      </c>
      <c r="AL53" s="86" t="b">
        <v>0</v>
      </c>
      <c r="AM53" s="89">
        <v>42861.091377314813</v>
      </c>
      <c r="AN53" s="86" t="s">
        <v>25897</v>
      </c>
      <c r="AO53" s="86" t="s">
        <v>26470</v>
      </c>
      <c r="AP53" s="96" t="str">
        <f>HYPERLINK("https://t.co/FqPiZ9KVOx")</f>
        <v>https://t.co/FqPiZ9KVOx</v>
      </c>
      <c r="AQ53" s="96" t="str">
        <f>HYPERLINK("https://instagram.com/mariafernandafeldmann?igshid=1q6u4eq75q1ay")</f>
        <v>https://instagram.com/mariafernandafeldmann?igshid=1q6u4eq75q1ay</v>
      </c>
      <c r="AR53" s="86" t="s">
        <v>27938</v>
      </c>
      <c r="AS53" s="86"/>
      <c r="AT53" s="86"/>
      <c r="AU53" s="86"/>
      <c r="AV53" s="86"/>
      <c r="AW53" s="96" t="str">
        <f>HYPERLINK("https://t.co/FqPiZ9KVOx")</f>
        <v>https://t.co/FqPiZ9KVOx</v>
      </c>
      <c r="AX53" s="86" t="b">
        <v>0</v>
      </c>
      <c r="AY53" s="86"/>
      <c r="AZ53" s="86"/>
      <c r="BA53" s="86" t="b">
        <v>1</v>
      </c>
      <c r="BB53" s="86" t="b">
        <v>0</v>
      </c>
      <c r="BC53" s="86" t="b">
        <v>1</v>
      </c>
      <c r="BD53" s="86" t="b">
        <v>0</v>
      </c>
      <c r="BE53" s="86" t="b">
        <v>1</v>
      </c>
      <c r="BF53" s="86" t="b">
        <v>0</v>
      </c>
      <c r="BG53" s="86" t="b">
        <v>0</v>
      </c>
      <c r="BH53" s="96" t="str">
        <f>HYPERLINK("https://pbs.twimg.com/profile_banners/860678395834847237/1694144657")</f>
        <v>https://pbs.twimg.com/profile_banners/860678395834847237/1694144657</v>
      </c>
      <c r="BI53" s="86"/>
      <c r="BJ53" s="86" t="s">
        <v>29134</v>
      </c>
      <c r="BK53" s="86" t="b">
        <v>0</v>
      </c>
      <c r="BL53" s="86"/>
      <c r="BM53" s="86" t="s">
        <v>66</v>
      </c>
      <c r="BN53" s="86" t="s">
        <v>29136</v>
      </c>
      <c r="BO53" s="96" t="str">
        <f>HYPERLINK("https://twitter.com/maaria__fer")</f>
        <v>https://twitter.com/maaria__fer</v>
      </c>
      <c r="BP53" s="2"/>
    </row>
    <row r="54" spans="1:68" x14ac:dyDescent="0.25">
      <c r="A54" s="63" t="s">
        <v>269</v>
      </c>
      <c r="B54" s="64"/>
      <c r="C54" s="64"/>
      <c r="D54" s="65"/>
      <c r="E54" s="67"/>
      <c r="F54" s="111" t="str">
        <f>HYPERLINK("https://pbs.twimg.com/profile_images/1686163878537752576/OVdOC0bK_normal.jpg")</f>
        <v>https://pbs.twimg.com/profile_images/1686163878537752576/OVdOC0bK_normal.jpg</v>
      </c>
      <c r="G54" s="64"/>
      <c r="H54" s="68"/>
      <c r="I54" s="69"/>
      <c r="J54" s="69"/>
      <c r="K54" s="68" t="s">
        <v>29187</v>
      </c>
      <c r="L54" s="72"/>
      <c r="M54" s="73"/>
      <c r="N54" s="73"/>
      <c r="O54" s="74"/>
      <c r="P54" s="75"/>
      <c r="Q54" s="75"/>
      <c r="R54" s="102"/>
      <c r="S54" s="102"/>
      <c r="T54" s="102"/>
      <c r="U54" s="102"/>
      <c r="V54" s="48"/>
      <c r="W54" s="48"/>
      <c r="X54" s="48"/>
      <c r="Y54" s="48"/>
      <c r="Z54" s="47"/>
      <c r="AA54" s="70">
        <v>54</v>
      </c>
      <c r="AB54" s="70"/>
      <c r="AC54" s="71"/>
      <c r="AD54" s="86" t="s">
        <v>23693</v>
      </c>
      <c r="AE54" s="94" t="s">
        <v>22816</v>
      </c>
      <c r="AF54" s="86">
        <v>42</v>
      </c>
      <c r="AG54" s="86">
        <v>132</v>
      </c>
      <c r="AH54" s="86">
        <v>572</v>
      </c>
      <c r="AI54" s="86">
        <v>1</v>
      </c>
      <c r="AJ54" s="86">
        <v>909</v>
      </c>
      <c r="AK54" s="86">
        <v>4</v>
      </c>
      <c r="AL54" s="86" t="b">
        <v>0</v>
      </c>
      <c r="AM54" s="89">
        <v>45137.817175925928</v>
      </c>
      <c r="AN54" s="86"/>
      <c r="AO54" s="86" t="s">
        <v>26471</v>
      </c>
      <c r="AP54" s="96" t="str">
        <f>HYPERLINK("https://t.co/QmrEp2xXKN")</f>
        <v>https://t.co/QmrEp2xXKN</v>
      </c>
      <c r="AQ54" s="96" t="str">
        <f>HYPERLINK("https://ocapital.digital")</f>
        <v>https://ocapital.digital</v>
      </c>
      <c r="AR54" s="86" t="s">
        <v>27939</v>
      </c>
      <c r="AS54" s="86"/>
      <c r="AT54" s="86"/>
      <c r="AU54" s="86"/>
      <c r="AV54" s="86">
        <v>1.69908026765727E+18</v>
      </c>
      <c r="AW54" s="96" t="str">
        <f>HYPERLINK("https://t.co/QmrEp2xXKN")</f>
        <v>https://t.co/QmrEp2xXKN</v>
      </c>
      <c r="AX54" s="86" t="b">
        <v>0</v>
      </c>
      <c r="AY54" s="86"/>
      <c r="AZ54" s="86"/>
      <c r="BA54" s="86" t="b">
        <v>0</v>
      </c>
      <c r="BB54" s="86" t="b">
        <v>1</v>
      </c>
      <c r="BC54" s="86" t="b">
        <v>1</v>
      </c>
      <c r="BD54" s="86" t="b">
        <v>0</v>
      </c>
      <c r="BE54" s="86" t="b">
        <v>0</v>
      </c>
      <c r="BF54" s="86" t="b">
        <v>0</v>
      </c>
      <c r="BG54" s="86" t="b">
        <v>0</v>
      </c>
      <c r="BH54" s="96" t="str">
        <f>HYPERLINK("https://pbs.twimg.com/profile_banners/1685736119474786304/1690760538")</f>
        <v>https://pbs.twimg.com/profile_banners/1685736119474786304/1690760538</v>
      </c>
      <c r="BI54" s="86"/>
      <c r="BJ54" s="86" t="s">
        <v>29134</v>
      </c>
      <c r="BK54" s="86" t="b">
        <v>0</v>
      </c>
      <c r="BL54" s="86"/>
      <c r="BM54" s="86" t="s">
        <v>66</v>
      </c>
      <c r="BN54" s="86" t="s">
        <v>29136</v>
      </c>
      <c r="BO54" s="96" t="str">
        <f>HYPERLINK("https://twitter.com/ocapitaldigital")</f>
        <v>https://twitter.com/ocapitaldigital</v>
      </c>
      <c r="BP54" s="2"/>
    </row>
    <row r="55" spans="1:68" x14ac:dyDescent="0.25">
      <c r="A55" s="63" t="s">
        <v>270</v>
      </c>
      <c r="B55" s="64"/>
      <c r="C55" s="64"/>
      <c r="D55" s="65"/>
      <c r="E55" s="67"/>
      <c r="F55" s="111" t="str">
        <f>HYPERLINK("https://pbs.twimg.com/profile_images/1053554916470472704/ZwoL0Ji-_normal.jpg")</f>
        <v>https://pbs.twimg.com/profile_images/1053554916470472704/ZwoL0Ji-_normal.jpg</v>
      </c>
      <c r="G55" s="64"/>
      <c r="H55" s="68"/>
      <c r="I55" s="69"/>
      <c r="J55" s="69"/>
      <c r="K55" s="68" t="s">
        <v>29188</v>
      </c>
      <c r="L55" s="72"/>
      <c r="M55" s="73"/>
      <c r="N55" s="73"/>
      <c r="O55" s="74"/>
      <c r="P55" s="75"/>
      <c r="Q55" s="75"/>
      <c r="R55" s="102"/>
      <c r="S55" s="102"/>
      <c r="T55" s="102"/>
      <c r="U55" s="102"/>
      <c r="V55" s="48"/>
      <c r="W55" s="48"/>
      <c r="X55" s="48"/>
      <c r="Y55" s="48"/>
      <c r="Z55" s="47"/>
      <c r="AA55" s="70">
        <v>55</v>
      </c>
      <c r="AB55" s="70"/>
      <c r="AC55" s="71"/>
      <c r="AD55" s="86" t="s">
        <v>23694</v>
      </c>
      <c r="AE55" s="94" t="s">
        <v>25238</v>
      </c>
      <c r="AF55" s="86">
        <v>254450</v>
      </c>
      <c r="AG55" s="86">
        <v>0</v>
      </c>
      <c r="AH55" s="86">
        <v>101864</v>
      </c>
      <c r="AI55" s="86">
        <v>2388</v>
      </c>
      <c r="AJ55" s="86">
        <v>15</v>
      </c>
      <c r="AK55" s="86">
        <v>2015</v>
      </c>
      <c r="AL55" s="86" t="b">
        <v>0</v>
      </c>
      <c r="AM55" s="89">
        <v>39850.341319444444</v>
      </c>
      <c r="AN55" s="86" t="s">
        <v>15234</v>
      </c>
      <c r="AO55" s="86"/>
      <c r="AP55" s="96" t="str">
        <f>HYPERLINK("https://t.co/ndVM7c2kwK")</f>
        <v>https://t.co/ndVM7c2kwK</v>
      </c>
      <c r="AQ55" s="96" t="str">
        <f>HYPERLINK("https://www.pciconcursos.com.br/")</f>
        <v>https://www.pciconcursos.com.br/</v>
      </c>
      <c r="AR55" s="86" t="s">
        <v>27940</v>
      </c>
      <c r="AS55" s="86"/>
      <c r="AT55" s="86"/>
      <c r="AU55" s="86"/>
      <c r="AV55" s="86"/>
      <c r="AW55" s="96" t="str">
        <f>HYPERLINK("https://t.co/ndVM7c2kwK")</f>
        <v>https://t.co/ndVM7c2kwK</v>
      </c>
      <c r="AX55" s="86" t="b">
        <v>0</v>
      </c>
      <c r="AY55" s="86"/>
      <c r="AZ55" s="86"/>
      <c r="BA55" s="86" t="b">
        <v>0</v>
      </c>
      <c r="BB55" s="86" t="b">
        <v>1</v>
      </c>
      <c r="BC55" s="86" t="b">
        <v>1</v>
      </c>
      <c r="BD55" s="86" t="b">
        <v>0</v>
      </c>
      <c r="BE55" s="86" t="b">
        <v>0</v>
      </c>
      <c r="BF55" s="86" t="b">
        <v>0</v>
      </c>
      <c r="BG55" s="86" t="b">
        <v>0</v>
      </c>
      <c r="BH55" s="96" t="str">
        <f>HYPERLINK("https://pbs.twimg.com/profile_banners/20222718/1540022291")</f>
        <v>https://pbs.twimg.com/profile_banners/20222718/1540022291</v>
      </c>
      <c r="BI55" s="86"/>
      <c r="BJ55" s="86" t="s">
        <v>29134</v>
      </c>
      <c r="BK55" s="86" t="b">
        <v>0</v>
      </c>
      <c r="BL55" s="86"/>
      <c r="BM55" s="86" t="s">
        <v>66</v>
      </c>
      <c r="BN55" s="86" t="s">
        <v>29136</v>
      </c>
      <c r="BO55" s="96" t="str">
        <f>HYPERLINK("https://twitter.com/pciconcursos")</f>
        <v>https://twitter.com/pciconcursos</v>
      </c>
      <c r="BP55" s="2"/>
    </row>
    <row r="56" spans="1:68" x14ac:dyDescent="0.25">
      <c r="A56" s="63" t="s">
        <v>271</v>
      </c>
      <c r="B56" s="64"/>
      <c r="C56" s="64"/>
      <c r="D56" s="65"/>
      <c r="E56" s="67"/>
      <c r="F56" s="111" t="str">
        <f>HYPERLINK("https://pbs.twimg.com/profile_images/1686537090723389440/ofzxA1XS_normal.jpg")</f>
        <v>https://pbs.twimg.com/profile_images/1686537090723389440/ofzxA1XS_normal.jpg</v>
      </c>
      <c r="G56" s="64"/>
      <c r="H56" s="68"/>
      <c r="I56" s="69"/>
      <c r="J56" s="69"/>
      <c r="K56" s="68" t="s">
        <v>29189</v>
      </c>
      <c r="L56" s="72"/>
      <c r="M56" s="73"/>
      <c r="N56" s="73"/>
      <c r="O56" s="74"/>
      <c r="P56" s="75"/>
      <c r="Q56" s="75"/>
      <c r="R56" s="102"/>
      <c r="S56" s="102"/>
      <c r="T56" s="102"/>
      <c r="U56" s="102"/>
      <c r="V56" s="48"/>
      <c r="W56" s="48"/>
      <c r="X56" s="48"/>
      <c r="Y56" s="48"/>
      <c r="Z56" s="47"/>
      <c r="AA56" s="70">
        <v>56</v>
      </c>
      <c r="AB56" s="70"/>
      <c r="AC56" s="71"/>
      <c r="AD56" s="86" t="s">
        <v>23695</v>
      </c>
      <c r="AE56" s="94" t="s">
        <v>22817</v>
      </c>
      <c r="AF56" s="86">
        <v>1394</v>
      </c>
      <c r="AG56" s="86">
        <v>3797</v>
      </c>
      <c r="AH56" s="86">
        <v>26534</v>
      </c>
      <c r="AI56" s="86">
        <v>4</v>
      </c>
      <c r="AJ56" s="86">
        <v>5468</v>
      </c>
      <c r="AK56" s="86">
        <v>2374</v>
      </c>
      <c r="AL56" s="86" t="b">
        <v>0</v>
      </c>
      <c r="AM56" s="89">
        <v>42721.002592592595</v>
      </c>
      <c r="AN56" s="86" t="s">
        <v>25898</v>
      </c>
      <c r="AO56" s="86" t="s">
        <v>26472</v>
      </c>
      <c r="AP56" s="96" t="str">
        <f>HYPERLINK("https://t.co/Z7FAtYKjij")</f>
        <v>https://t.co/Z7FAtYKjij</v>
      </c>
      <c r="AQ56" s="96" t="str">
        <f>HYPERLINK("https://www.facebook.com/noimd2016/")</f>
        <v>https://www.facebook.com/noimd2016/</v>
      </c>
      <c r="AR56" s="86" t="s">
        <v>27941</v>
      </c>
      <c r="AS56" s="96" t="str">
        <f>HYPERLINK("https://t.co/3TFDcPGFb7")</f>
        <v>https://t.co/3TFDcPGFb7</v>
      </c>
      <c r="AT56" s="96" t="str">
        <f>HYPERLINK("http://linkedin.com/company/agenci")</f>
        <v>http://linkedin.com/company/agenci</v>
      </c>
      <c r="AU56" s="86" t="s">
        <v>29029</v>
      </c>
      <c r="AV56" s="86"/>
      <c r="AW56" s="96" t="str">
        <f>HYPERLINK("https://t.co/Z7FAtYKjij")</f>
        <v>https://t.co/Z7FAtYKjij</v>
      </c>
      <c r="AX56" s="86" t="b">
        <v>0</v>
      </c>
      <c r="AY56" s="86"/>
      <c r="AZ56" s="86"/>
      <c r="BA56" s="86" t="b">
        <v>0</v>
      </c>
      <c r="BB56" s="86" t="b">
        <v>1</v>
      </c>
      <c r="BC56" s="86" t="b">
        <v>0</v>
      </c>
      <c r="BD56" s="86" t="b">
        <v>0</v>
      </c>
      <c r="BE56" s="86" t="b">
        <v>1</v>
      </c>
      <c r="BF56" s="86" t="b">
        <v>0</v>
      </c>
      <c r="BG56" s="86" t="b">
        <v>0</v>
      </c>
      <c r="BH56" s="96" t="str">
        <f>HYPERLINK("https://pbs.twimg.com/profile_banners/809911922564993024/1693837861")</f>
        <v>https://pbs.twimg.com/profile_banners/809911922564993024/1693837861</v>
      </c>
      <c r="BI56" s="86"/>
      <c r="BJ56" s="86" t="s">
        <v>29134</v>
      </c>
      <c r="BK56" s="86" t="b">
        <v>0</v>
      </c>
      <c r="BL56" s="86"/>
      <c r="BM56" s="86" t="s">
        <v>66</v>
      </c>
      <c r="BN56" s="86" t="s">
        <v>29136</v>
      </c>
      <c r="BO56" s="96" t="str">
        <f>HYPERLINK("https://twitter.com/agencia_noimd")</f>
        <v>https://twitter.com/agencia_noimd</v>
      </c>
      <c r="BP56" s="2"/>
    </row>
    <row r="57" spans="1:68" x14ac:dyDescent="0.25">
      <c r="A57" s="63" t="s">
        <v>272</v>
      </c>
      <c r="B57" s="64"/>
      <c r="C57" s="64"/>
      <c r="D57" s="65"/>
      <c r="E57" s="67"/>
      <c r="F57" s="111" t="str">
        <f>HYPERLINK("https://pbs.twimg.com/profile_images/1616414285231529986/lFp3M6x1_normal.jpg")</f>
        <v>https://pbs.twimg.com/profile_images/1616414285231529986/lFp3M6x1_normal.jpg</v>
      </c>
      <c r="G57" s="64"/>
      <c r="H57" s="68"/>
      <c r="I57" s="69"/>
      <c r="J57" s="69"/>
      <c r="K57" s="68" t="s">
        <v>29190</v>
      </c>
      <c r="L57" s="72"/>
      <c r="M57" s="73"/>
      <c r="N57" s="73"/>
      <c r="O57" s="74"/>
      <c r="P57" s="75"/>
      <c r="Q57" s="75"/>
      <c r="R57" s="102"/>
      <c r="S57" s="102"/>
      <c r="T57" s="102"/>
      <c r="U57" s="102"/>
      <c r="V57" s="48"/>
      <c r="W57" s="48"/>
      <c r="X57" s="48"/>
      <c r="Y57" s="48"/>
      <c r="Z57" s="47"/>
      <c r="AA57" s="70">
        <v>57</v>
      </c>
      <c r="AB57" s="70"/>
      <c r="AC57" s="71"/>
      <c r="AD57" s="86" t="s">
        <v>23696</v>
      </c>
      <c r="AE57" s="94" t="s">
        <v>22818</v>
      </c>
      <c r="AF57" s="86">
        <v>15</v>
      </c>
      <c r="AG57" s="86">
        <v>90</v>
      </c>
      <c r="AH57" s="86">
        <v>574</v>
      </c>
      <c r="AI57" s="86">
        <v>0</v>
      </c>
      <c r="AJ57" s="86">
        <v>117</v>
      </c>
      <c r="AK57" s="86">
        <v>226</v>
      </c>
      <c r="AL57" s="86" t="b">
        <v>0</v>
      </c>
      <c r="AM57" s="89">
        <v>44638.581944444442</v>
      </c>
      <c r="AN57" s="86" t="s">
        <v>15256</v>
      </c>
      <c r="AO57" s="86" t="s">
        <v>26473</v>
      </c>
      <c r="AP57" s="86"/>
      <c r="AQ57" s="86"/>
      <c r="AR57" s="86"/>
      <c r="AS57" s="86"/>
      <c r="AT57" s="86"/>
      <c r="AU57" s="86"/>
      <c r="AV57" s="86">
        <v>1.61641533732655E+18</v>
      </c>
      <c r="AW57" s="86"/>
      <c r="AX57" s="86" t="b">
        <v>0</v>
      </c>
      <c r="AY57" s="86"/>
      <c r="AZ57" s="86"/>
      <c r="BA57" s="86" t="b">
        <v>0</v>
      </c>
      <c r="BB57" s="86" t="b">
        <v>1</v>
      </c>
      <c r="BC57" s="86" t="b">
        <v>1</v>
      </c>
      <c r="BD57" s="86" t="b">
        <v>0</v>
      </c>
      <c r="BE57" s="86" t="b">
        <v>0</v>
      </c>
      <c r="BF57" s="86" t="b">
        <v>0</v>
      </c>
      <c r="BG57" s="86" t="b">
        <v>0</v>
      </c>
      <c r="BH57" s="96" t="str">
        <f>HYPERLINK("https://pbs.twimg.com/profile_banners/1504819270525538307/1647612390")</f>
        <v>https://pbs.twimg.com/profile_banners/1504819270525538307/1647612390</v>
      </c>
      <c r="BI57" s="86"/>
      <c r="BJ57" s="86" t="s">
        <v>29134</v>
      </c>
      <c r="BK57" s="86" t="b">
        <v>0</v>
      </c>
      <c r="BL57" s="86"/>
      <c r="BM57" s="86" t="s">
        <v>66</v>
      </c>
      <c r="BN57" s="86" t="s">
        <v>29136</v>
      </c>
      <c r="BO57" s="96" t="str">
        <f>HYPERLINK("https://twitter.com/drwrocha")</f>
        <v>https://twitter.com/drwrocha</v>
      </c>
      <c r="BP57" s="2"/>
    </row>
    <row r="58" spans="1:68" x14ac:dyDescent="0.25">
      <c r="A58" s="63" t="s">
        <v>1624</v>
      </c>
      <c r="B58" s="64"/>
      <c r="C58" s="64"/>
      <c r="D58" s="65"/>
      <c r="E58" s="67"/>
      <c r="F58" s="111" t="str">
        <f>HYPERLINK("https://pbs.twimg.com/profile_images/1427292844612595720/RC1YSvuT_normal.jpg")</f>
        <v>https://pbs.twimg.com/profile_images/1427292844612595720/RC1YSvuT_normal.jpg</v>
      </c>
      <c r="G58" s="64"/>
      <c r="H58" s="68"/>
      <c r="I58" s="69"/>
      <c r="J58" s="69"/>
      <c r="K58" s="68" t="s">
        <v>29191</v>
      </c>
      <c r="L58" s="72"/>
      <c r="M58" s="73"/>
      <c r="N58" s="73"/>
      <c r="O58" s="74"/>
      <c r="P58" s="75"/>
      <c r="Q58" s="75"/>
      <c r="R58" s="102"/>
      <c r="S58" s="102"/>
      <c r="T58" s="102"/>
      <c r="U58" s="102"/>
      <c r="V58" s="48"/>
      <c r="W58" s="48"/>
      <c r="X58" s="48"/>
      <c r="Y58" s="48"/>
      <c r="Z58" s="47"/>
      <c r="AA58" s="70">
        <v>58</v>
      </c>
      <c r="AB58" s="70"/>
      <c r="AC58" s="71"/>
      <c r="AD58" s="86" t="s">
        <v>23697</v>
      </c>
      <c r="AE58" s="94" t="s">
        <v>25239</v>
      </c>
      <c r="AF58" s="86">
        <v>79306000</v>
      </c>
      <c r="AG58" s="86">
        <v>1179</v>
      </c>
      <c r="AH58" s="86">
        <v>56599</v>
      </c>
      <c r="AI58" s="86">
        <v>79875</v>
      </c>
      <c r="AJ58" s="86">
        <v>6178</v>
      </c>
      <c r="AK58" s="86">
        <v>15682</v>
      </c>
      <c r="AL58" s="86" t="b">
        <v>0</v>
      </c>
      <c r="AM58" s="89">
        <v>39399.905393518522</v>
      </c>
      <c r="AN58" s="86" t="s">
        <v>25899</v>
      </c>
      <c r="AO58" s="86" t="s">
        <v>26474</v>
      </c>
      <c r="AP58" s="96" t="str">
        <f>HYPERLINK("https://t.co/bUisN3Y1A6")</f>
        <v>https://t.co/bUisN3Y1A6</v>
      </c>
      <c r="AQ58" s="96" t="str">
        <f>HYPERLINK("http://youtube.com")</f>
        <v>http://youtube.com</v>
      </c>
      <c r="AR58" s="86" t="s">
        <v>8380</v>
      </c>
      <c r="AS58" s="86"/>
      <c r="AT58" s="86"/>
      <c r="AU58" s="86"/>
      <c r="AV58" s="86"/>
      <c r="AW58" s="96" t="str">
        <f>HYPERLINK("https://t.co/bUisN3Y1A6")</f>
        <v>https://t.co/bUisN3Y1A6</v>
      </c>
      <c r="AX58" s="86" t="b">
        <v>1</v>
      </c>
      <c r="AY58" s="86"/>
      <c r="AZ58" s="86"/>
      <c r="BA58" s="86" t="b">
        <v>0</v>
      </c>
      <c r="BB58" s="86" t="b">
        <v>1</v>
      </c>
      <c r="BC58" s="86" t="b">
        <v>0</v>
      </c>
      <c r="BD58" s="86" t="b">
        <v>0</v>
      </c>
      <c r="BE58" s="86" t="b">
        <v>1</v>
      </c>
      <c r="BF58" s="86" t="b">
        <v>0</v>
      </c>
      <c r="BG58" s="86" t="b">
        <v>0</v>
      </c>
      <c r="BH58" s="96" t="str">
        <f>HYPERLINK("https://pbs.twimg.com/profile_banners/10228272/1694793799")</f>
        <v>https://pbs.twimg.com/profile_banners/10228272/1694793799</v>
      </c>
      <c r="BI58" s="86"/>
      <c r="BJ58" s="86" t="s">
        <v>29135</v>
      </c>
      <c r="BK58" s="86" t="b">
        <v>0</v>
      </c>
      <c r="BL58" s="86"/>
      <c r="BM58" s="86" t="s">
        <v>65</v>
      </c>
      <c r="BN58" s="86" t="s">
        <v>29136</v>
      </c>
      <c r="BO58" s="96" t="str">
        <f>HYPERLINK("https://twitter.com/youtube")</f>
        <v>https://twitter.com/youtube</v>
      </c>
      <c r="BP58" s="2"/>
    </row>
    <row r="59" spans="1:68" x14ac:dyDescent="0.25">
      <c r="A59" s="63" t="s">
        <v>273</v>
      </c>
      <c r="B59" s="64"/>
      <c r="C59" s="64"/>
      <c r="D59" s="65"/>
      <c r="E59" s="67"/>
      <c r="F59" s="111" t="str">
        <f>HYPERLINK("https://pbs.twimg.com/profile_images/1570481566039539715/leEExsEx_normal.jpg")</f>
        <v>https://pbs.twimg.com/profile_images/1570481566039539715/leEExsEx_normal.jpg</v>
      </c>
      <c r="G59" s="64"/>
      <c r="H59" s="68"/>
      <c r="I59" s="69"/>
      <c r="J59" s="69"/>
      <c r="K59" s="68" t="s">
        <v>29192</v>
      </c>
      <c r="L59" s="72"/>
      <c r="M59" s="73"/>
      <c r="N59" s="73"/>
      <c r="O59" s="74"/>
      <c r="P59" s="75"/>
      <c r="Q59" s="75"/>
      <c r="R59" s="102"/>
      <c r="S59" s="102"/>
      <c r="T59" s="102"/>
      <c r="U59" s="102"/>
      <c r="V59" s="48"/>
      <c r="W59" s="48"/>
      <c r="X59" s="48"/>
      <c r="Y59" s="48"/>
      <c r="Z59" s="47"/>
      <c r="AA59" s="70">
        <v>59</v>
      </c>
      <c r="AB59" s="70"/>
      <c r="AC59" s="71"/>
      <c r="AD59" s="86" t="s">
        <v>23698</v>
      </c>
      <c r="AE59" s="94" t="s">
        <v>22520</v>
      </c>
      <c r="AF59" s="86">
        <v>203</v>
      </c>
      <c r="AG59" s="86">
        <v>580</v>
      </c>
      <c r="AH59" s="86">
        <v>12201</v>
      </c>
      <c r="AI59" s="86">
        <v>1</v>
      </c>
      <c r="AJ59" s="86">
        <v>11228</v>
      </c>
      <c r="AK59" s="86">
        <v>966</v>
      </c>
      <c r="AL59" s="86" t="b">
        <v>0</v>
      </c>
      <c r="AM59" s="89">
        <v>44172.557199074072</v>
      </c>
      <c r="AN59" s="86" t="s">
        <v>25900</v>
      </c>
      <c r="AO59" s="86" t="s">
        <v>26475</v>
      </c>
      <c r="AP59" s="96" t="str">
        <f>HYPERLINK("https://t.co/ApOjm08EDx")</f>
        <v>https://t.co/ApOjm08EDx</v>
      </c>
      <c r="AQ59" s="96" t="str">
        <f>HYPERLINK("http://www.vagasdeempregosemsalvador.blogspot.com")</f>
        <v>http://www.vagasdeempregosemsalvador.blogspot.com</v>
      </c>
      <c r="AR59" s="86" t="s">
        <v>27942</v>
      </c>
      <c r="AS59" s="96" t="str">
        <f>HYPERLINK("https://t.co/O27gXsXiXF")</f>
        <v>https://t.co/O27gXsXiXF</v>
      </c>
      <c r="AT59" s="96" t="str">
        <f>HYPERLINK("https://salvadorfolhetim.blogspot.com/?m=0")</f>
        <v>https://salvadorfolhetim.blogspot.com/?m=0</v>
      </c>
      <c r="AU59" s="86" t="s">
        <v>29030</v>
      </c>
      <c r="AV59" s="86">
        <v>1.69119467260387E+18</v>
      </c>
      <c r="AW59" s="96" t="str">
        <f>HYPERLINK("https://t.co/ApOjm08EDx")</f>
        <v>https://t.co/ApOjm08EDx</v>
      </c>
      <c r="AX59" s="86" t="b">
        <v>0</v>
      </c>
      <c r="AY59" s="86"/>
      <c r="AZ59" s="86"/>
      <c r="BA59" s="86" t="b">
        <v>0</v>
      </c>
      <c r="BB59" s="86" t="b">
        <v>1</v>
      </c>
      <c r="BC59" s="86" t="b">
        <v>1</v>
      </c>
      <c r="BD59" s="86" t="b">
        <v>0</v>
      </c>
      <c r="BE59" s="86" t="b">
        <v>0</v>
      </c>
      <c r="BF59" s="86" t="b">
        <v>0</v>
      </c>
      <c r="BG59" s="86" t="b">
        <v>0</v>
      </c>
      <c r="BH59" s="96" t="str">
        <f>HYPERLINK("https://pbs.twimg.com/profile_banners/1335937657474527233/1692294290")</f>
        <v>https://pbs.twimg.com/profile_banners/1335937657474527233/1692294290</v>
      </c>
      <c r="BI59" s="86"/>
      <c r="BJ59" s="86" t="s">
        <v>29134</v>
      </c>
      <c r="BK59" s="86" t="b">
        <v>0</v>
      </c>
      <c r="BL59" s="86"/>
      <c r="BM59" s="86" t="s">
        <v>66</v>
      </c>
      <c r="BN59" s="86" t="s">
        <v>29136</v>
      </c>
      <c r="BO59" s="96" t="str">
        <f>HYPERLINK("https://twitter.com/vagasdesalvador")</f>
        <v>https://twitter.com/vagasdesalvador</v>
      </c>
      <c r="BP59" s="2"/>
    </row>
    <row r="60" spans="1:68" x14ac:dyDescent="0.25">
      <c r="A60" s="63" t="s">
        <v>274</v>
      </c>
      <c r="B60" s="64"/>
      <c r="C60" s="64"/>
      <c r="D60" s="65"/>
      <c r="E60" s="67"/>
      <c r="F60" s="111" t="str">
        <f>HYPERLINK("https://pbs.twimg.com/profile_images/1697588735494533120/Jm6n6EPa_normal.jpg")</f>
        <v>https://pbs.twimg.com/profile_images/1697588735494533120/Jm6n6EPa_normal.jpg</v>
      </c>
      <c r="G60" s="64"/>
      <c r="H60" s="68"/>
      <c r="I60" s="69"/>
      <c r="J60" s="69"/>
      <c r="K60" s="68" t="s">
        <v>29193</v>
      </c>
      <c r="L60" s="72"/>
      <c r="M60" s="73"/>
      <c r="N60" s="73"/>
      <c r="O60" s="74"/>
      <c r="P60" s="75"/>
      <c r="Q60" s="75"/>
      <c r="R60" s="102"/>
      <c r="S60" s="102"/>
      <c r="T60" s="102"/>
      <c r="U60" s="102"/>
      <c r="V60" s="48"/>
      <c r="W60" s="48"/>
      <c r="X60" s="48"/>
      <c r="Y60" s="48"/>
      <c r="Z60" s="47"/>
      <c r="AA60" s="70">
        <v>60</v>
      </c>
      <c r="AB60" s="70"/>
      <c r="AC60" s="71"/>
      <c r="AD60" s="86" t="s">
        <v>23699</v>
      </c>
      <c r="AE60" s="94" t="s">
        <v>22819</v>
      </c>
      <c r="AF60" s="86">
        <v>532</v>
      </c>
      <c r="AG60" s="86">
        <v>521</v>
      </c>
      <c r="AH60" s="86">
        <v>84</v>
      </c>
      <c r="AI60" s="86">
        <v>0</v>
      </c>
      <c r="AJ60" s="86">
        <v>23</v>
      </c>
      <c r="AK60" s="86">
        <v>2</v>
      </c>
      <c r="AL60" s="86" t="b">
        <v>0</v>
      </c>
      <c r="AM60" s="89">
        <v>45070.495891203704</v>
      </c>
      <c r="AN60" s="86" t="s">
        <v>25901</v>
      </c>
      <c r="AO60" s="86" t="s">
        <v>26476</v>
      </c>
      <c r="AP60" s="96" t="str">
        <f>HYPERLINK("https://t.co/GqxKrzRYyc")</f>
        <v>https://t.co/GqxKrzRYyc</v>
      </c>
      <c r="AQ60" s="96" t="str">
        <f>HYPERLINK("https://www.facebook.com/amnaxtrax?mibextid=ZbWKwL")</f>
        <v>https://www.facebook.com/amnaxtrax?mibextid=ZbWKwL</v>
      </c>
      <c r="AR60" s="86" t="s">
        <v>27943</v>
      </c>
      <c r="AS60" s="86"/>
      <c r="AT60" s="86"/>
      <c r="AU60" s="86"/>
      <c r="AV60" s="86">
        <v>1.70006460906174E+18</v>
      </c>
      <c r="AW60" s="96" t="str">
        <f>HYPERLINK("https://t.co/GqxKrzRYyc")</f>
        <v>https://t.co/GqxKrzRYyc</v>
      </c>
      <c r="AX60" s="86" t="b">
        <v>0</v>
      </c>
      <c r="AY60" s="86"/>
      <c r="AZ60" s="86"/>
      <c r="BA60" s="86" t="b">
        <v>0</v>
      </c>
      <c r="BB60" s="86" t="b">
        <v>1</v>
      </c>
      <c r="BC60" s="86" t="b">
        <v>1</v>
      </c>
      <c r="BD60" s="86" t="b">
        <v>0</v>
      </c>
      <c r="BE60" s="86" t="b">
        <v>0</v>
      </c>
      <c r="BF60" s="86" t="b">
        <v>0</v>
      </c>
      <c r="BG60" s="86" t="b">
        <v>0</v>
      </c>
      <c r="BH60" s="96" t="str">
        <f>HYPERLINK("https://pbs.twimg.com/profile_banners/1661339662261309440/1693571674")</f>
        <v>https://pbs.twimg.com/profile_banners/1661339662261309440/1693571674</v>
      </c>
      <c r="BI60" s="86"/>
      <c r="BJ60" s="86" t="s">
        <v>29134</v>
      </c>
      <c r="BK60" s="86" t="b">
        <v>0</v>
      </c>
      <c r="BL60" s="86"/>
      <c r="BM60" s="86" t="s">
        <v>66</v>
      </c>
      <c r="BN60" s="86" t="s">
        <v>29136</v>
      </c>
      <c r="BO60" s="96" t="str">
        <f>HYPERLINK("https://twitter.com/digital4grow")</f>
        <v>https://twitter.com/digital4grow</v>
      </c>
      <c r="BP60" s="2"/>
    </row>
    <row r="61" spans="1:68" x14ac:dyDescent="0.25">
      <c r="A61" s="63" t="s">
        <v>275</v>
      </c>
      <c r="B61" s="64"/>
      <c r="C61" s="64"/>
      <c r="D61" s="65"/>
      <c r="E61" s="67"/>
      <c r="F61" s="111" t="str">
        <f>HYPERLINK("https://pbs.twimg.com/profile_images/1576923164260663296/6Xauuine_normal.jpg")</f>
        <v>https://pbs.twimg.com/profile_images/1576923164260663296/6Xauuine_normal.jpg</v>
      </c>
      <c r="G61" s="64"/>
      <c r="H61" s="68"/>
      <c r="I61" s="69"/>
      <c r="J61" s="69"/>
      <c r="K61" s="68" t="s">
        <v>29194</v>
      </c>
      <c r="L61" s="72"/>
      <c r="M61" s="73"/>
      <c r="N61" s="73"/>
      <c r="O61" s="74"/>
      <c r="P61" s="75"/>
      <c r="Q61" s="75"/>
      <c r="R61" s="102"/>
      <c r="S61" s="102"/>
      <c r="T61" s="102"/>
      <c r="U61" s="102"/>
      <c r="V61" s="48"/>
      <c r="W61" s="48"/>
      <c r="X61" s="48"/>
      <c r="Y61" s="48"/>
      <c r="Z61" s="47"/>
      <c r="AA61" s="70">
        <v>61</v>
      </c>
      <c r="AB61" s="70"/>
      <c r="AC61" s="71"/>
      <c r="AD61" s="86" t="s">
        <v>23700</v>
      </c>
      <c r="AE61" s="94" t="s">
        <v>25240</v>
      </c>
      <c r="AF61" s="86">
        <v>788</v>
      </c>
      <c r="AG61" s="86">
        <v>4933</v>
      </c>
      <c r="AH61" s="86">
        <v>40711</v>
      </c>
      <c r="AI61" s="86">
        <v>9</v>
      </c>
      <c r="AJ61" s="86">
        <v>4354</v>
      </c>
      <c r="AK61" s="86">
        <v>2919</v>
      </c>
      <c r="AL61" s="86" t="b">
        <v>0</v>
      </c>
      <c r="AM61" s="89">
        <v>41186.606157407405</v>
      </c>
      <c r="AN61" s="86" t="s">
        <v>15241</v>
      </c>
      <c r="AO61" s="86" t="s">
        <v>26477</v>
      </c>
      <c r="AP61" s="96" t="str">
        <f>HYPERLINK("https://t.co/oJhzEr1ftv")</f>
        <v>https://t.co/oJhzEr1ftv</v>
      </c>
      <c r="AQ61" s="96" t="str">
        <f>HYPERLINK("https://kwai-video.com/u/@linssdoceara/e9JCWLu0")</f>
        <v>https://kwai-video.com/u/@linssdoceara/e9JCWLu0</v>
      </c>
      <c r="AR61" s="86" t="s">
        <v>27944</v>
      </c>
      <c r="AS61" s="96" t="str">
        <f>HYPERLINK("https://t.co/oJhzEr1ftv")</f>
        <v>https://t.co/oJhzEr1ftv</v>
      </c>
      <c r="AT61" s="96" t="str">
        <f>HYPERLINK("https://kwai-video.com/u/@linssdoceara/e9JCWLu0")</f>
        <v>https://kwai-video.com/u/@linssdoceara/e9JCWLu0</v>
      </c>
      <c r="AU61" s="86" t="s">
        <v>27944</v>
      </c>
      <c r="AV61" s="86">
        <v>1.5993480341730099E+18</v>
      </c>
      <c r="AW61" s="96" t="str">
        <f>HYPERLINK("https://t.co/oJhzEr1ftv")</f>
        <v>https://t.co/oJhzEr1ftv</v>
      </c>
      <c r="AX61" s="86" t="b">
        <v>0</v>
      </c>
      <c r="AY61" s="86"/>
      <c r="AZ61" s="86"/>
      <c r="BA61" s="86" t="b">
        <v>0</v>
      </c>
      <c r="BB61" s="86" t="b">
        <v>0</v>
      </c>
      <c r="BC61" s="86" t="b">
        <v>0</v>
      </c>
      <c r="BD61" s="86" t="b">
        <v>0</v>
      </c>
      <c r="BE61" s="86" t="b">
        <v>0</v>
      </c>
      <c r="BF61" s="86" t="b">
        <v>0</v>
      </c>
      <c r="BG61" s="86" t="b">
        <v>0</v>
      </c>
      <c r="BH61" s="96" t="str">
        <f>HYPERLINK("https://pbs.twimg.com/profile_banners/861499507/1666307677")</f>
        <v>https://pbs.twimg.com/profile_banners/861499507/1666307677</v>
      </c>
      <c r="BI61" s="86"/>
      <c r="BJ61" s="86" t="s">
        <v>29134</v>
      </c>
      <c r="BK61" s="86" t="b">
        <v>0</v>
      </c>
      <c r="BL61" s="86"/>
      <c r="BM61" s="86" t="s">
        <v>66</v>
      </c>
      <c r="BN61" s="86" t="s">
        <v>29136</v>
      </c>
      <c r="BO61" s="96" t="str">
        <f>HYPERLINK("https://twitter.com/linsdoceara")</f>
        <v>https://twitter.com/linsdoceara</v>
      </c>
      <c r="BP61" s="2"/>
    </row>
    <row r="62" spans="1:68" x14ac:dyDescent="0.25">
      <c r="A62" s="63" t="s">
        <v>276</v>
      </c>
      <c r="B62" s="64"/>
      <c r="C62" s="64"/>
      <c r="D62" s="65"/>
      <c r="E62" s="67"/>
      <c r="F62" s="111" t="str">
        <f>HYPERLINK("https://pbs.twimg.com/profile_images/1656004536211841032/HRnhFWb4_normal.jpg")</f>
        <v>https://pbs.twimg.com/profile_images/1656004536211841032/HRnhFWb4_normal.jpg</v>
      </c>
      <c r="G62" s="64"/>
      <c r="H62" s="68"/>
      <c r="I62" s="69"/>
      <c r="J62" s="69"/>
      <c r="K62" s="68" t="s">
        <v>29195</v>
      </c>
      <c r="L62" s="72"/>
      <c r="M62" s="73"/>
      <c r="N62" s="73"/>
      <c r="O62" s="74"/>
      <c r="P62" s="75"/>
      <c r="Q62" s="75"/>
      <c r="R62" s="102"/>
      <c r="S62" s="102"/>
      <c r="T62" s="102"/>
      <c r="U62" s="102"/>
      <c r="V62" s="48"/>
      <c r="W62" s="48"/>
      <c r="X62" s="48"/>
      <c r="Y62" s="48"/>
      <c r="Z62" s="47"/>
      <c r="AA62" s="70">
        <v>62</v>
      </c>
      <c r="AB62" s="70"/>
      <c r="AC62" s="71"/>
      <c r="AD62" s="86" t="s">
        <v>23701</v>
      </c>
      <c r="AE62" s="94" t="s">
        <v>22820</v>
      </c>
      <c r="AF62" s="86">
        <v>1</v>
      </c>
      <c r="AG62" s="86">
        <v>19</v>
      </c>
      <c r="AH62" s="86">
        <v>112</v>
      </c>
      <c r="AI62" s="86">
        <v>0</v>
      </c>
      <c r="AJ62" s="86">
        <v>19</v>
      </c>
      <c r="AK62" s="86">
        <v>27</v>
      </c>
      <c r="AL62" s="86" t="b">
        <v>0</v>
      </c>
      <c r="AM62" s="89">
        <v>45055.065381944441</v>
      </c>
      <c r="AN62" s="86"/>
      <c r="AO62" s="86" t="s">
        <v>26478</v>
      </c>
      <c r="AP62" s="96" t="str">
        <f>HYPERLINK("https://t.co/NtAsymS1yx")</f>
        <v>https://t.co/NtAsymS1yx</v>
      </c>
      <c r="AQ62" s="96" t="str">
        <f>HYPERLINK("https://www.aflawgovernancatributaria.com/home")</f>
        <v>https://www.aflawgovernancatributaria.com/home</v>
      </c>
      <c r="AR62" s="86" t="s">
        <v>27945</v>
      </c>
      <c r="AS62" s="86"/>
      <c r="AT62" s="86"/>
      <c r="AU62" s="86"/>
      <c r="AV62" s="86">
        <v>1.6635392480272901E+18</v>
      </c>
      <c r="AW62" s="96" t="str">
        <f>HYPERLINK("https://t.co/NtAsymS1yx")</f>
        <v>https://t.co/NtAsymS1yx</v>
      </c>
      <c r="AX62" s="86" t="b">
        <v>0</v>
      </c>
      <c r="AY62" s="86"/>
      <c r="AZ62" s="86"/>
      <c r="BA62" s="86" t="b">
        <v>0</v>
      </c>
      <c r="BB62" s="86" t="b">
        <v>1</v>
      </c>
      <c r="BC62" s="86" t="b">
        <v>1</v>
      </c>
      <c r="BD62" s="86" t="b">
        <v>0</v>
      </c>
      <c r="BE62" s="86" t="b">
        <v>0</v>
      </c>
      <c r="BF62" s="86" t="b">
        <v>0</v>
      </c>
      <c r="BG62" s="86" t="b">
        <v>0</v>
      </c>
      <c r="BH62" s="96" t="str">
        <f>HYPERLINK("https://pbs.twimg.com/profile_banners/1655747852386050049/1683657376")</f>
        <v>https://pbs.twimg.com/profile_banners/1655747852386050049/1683657376</v>
      </c>
      <c r="BI62" s="86"/>
      <c r="BJ62" s="86" t="s">
        <v>29134</v>
      </c>
      <c r="BK62" s="86" t="b">
        <v>0</v>
      </c>
      <c r="BL62" s="86"/>
      <c r="BM62" s="86" t="s">
        <v>66</v>
      </c>
      <c r="BN62" s="86" t="s">
        <v>29136</v>
      </c>
      <c r="BO62" s="96" t="str">
        <f>HYPERLINK("https://twitter.com/focanoimposto")</f>
        <v>https://twitter.com/focanoimposto</v>
      </c>
      <c r="BP62" s="2"/>
    </row>
    <row r="63" spans="1:68" x14ac:dyDescent="0.25">
      <c r="A63" s="63" t="s">
        <v>277</v>
      </c>
      <c r="B63" s="64"/>
      <c r="C63" s="64"/>
      <c r="D63" s="65"/>
      <c r="E63" s="67"/>
      <c r="F63" s="111" t="str">
        <f>HYPERLINK("https://pbs.twimg.com/profile_images/1632729492807450631/DfWwVY_N_normal.jpg")</f>
        <v>https://pbs.twimg.com/profile_images/1632729492807450631/DfWwVY_N_normal.jpg</v>
      </c>
      <c r="G63" s="64"/>
      <c r="H63" s="68"/>
      <c r="I63" s="69"/>
      <c r="J63" s="69"/>
      <c r="K63" s="68" t="s">
        <v>29196</v>
      </c>
      <c r="L63" s="72"/>
      <c r="M63" s="73"/>
      <c r="N63" s="73"/>
      <c r="O63" s="74"/>
      <c r="P63" s="75"/>
      <c r="Q63" s="75"/>
      <c r="R63" s="102"/>
      <c r="S63" s="102"/>
      <c r="T63" s="102"/>
      <c r="U63" s="102"/>
      <c r="V63" s="48"/>
      <c r="W63" s="48"/>
      <c r="X63" s="48"/>
      <c r="Y63" s="48"/>
      <c r="Z63" s="47"/>
      <c r="AA63" s="70">
        <v>63</v>
      </c>
      <c r="AB63" s="70"/>
      <c r="AC63" s="71"/>
      <c r="AD63" s="86" t="s">
        <v>23702</v>
      </c>
      <c r="AE63" s="94" t="s">
        <v>22521</v>
      </c>
      <c r="AF63" s="86">
        <v>9</v>
      </c>
      <c r="AG63" s="86">
        <v>32</v>
      </c>
      <c r="AH63" s="86">
        <v>40</v>
      </c>
      <c r="AI63" s="86">
        <v>0</v>
      </c>
      <c r="AJ63" s="86">
        <v>20</v>
      </c>
      <c r="AK63" s="86">
        <v>28</v>
      </c>
      <c r="AL63" s="86" t="b">
        <v>0</v>
      </c>
      <c r="AM63" s="89">
        <v>44988.583136574074</v>
      </c>
      <c r="AN63" s="86" t="s">
        <v>25902</v>
      </c>
      <c r="AO63" s="86" t="s">
        <v>26479</v>
      </c>
      <c r="AP63" s="86"/>
      <c r="AQ63" s="86"/>
      <c r="AR63" s="86"/>
      <c r="AS63" s="86"/>
      <c r="AT63" s="86"/>
      <c r="AU63" s="86"/>
      <c r="AV63" s="86">
        <v>1.65854437175763E+18</v>
      </c>
      <c r="AW63" s="86"/>
      <c r="AX63" s="86" t="b">
        <v>0</v>
      </c>
      <c r="AY63" s="86"/>
      <c r="AZ63" s="86"/>
      <c r="BA63" s="86" t="b">
        <v>0</v>
      </c>
      <c r="BB63" s="86" t="b">
        <v>1</v>
      </c>
      <c r="BC63" s="86" t="b">
        <v>1</v>
      </c>
      <c r="BD63" s="86" t="b">
        <v>0</v>
      </c>
      <c r="BE63" s="86" t="b">
        <v>0</v>
      </c>
      <c r="BF63" s="86" t="b">
        <v>0</v>
      </c>
      <c r="BG63" s="86" t="b">
        <v>0</v>
      </c>
      <c r="BH63" s="96" t="str">
        <f>HYPERLINK("https://pbs.twimg.com/profile_banners/1631655525044682756/1678123441")</f>
        <v>https://pbs.twimg.com/profile_banners/1631655525044682756/1678123441</v>
      </c>
      <c r="BI63" s="86"/>
      <c r="BJ63" s="86" t="s">
        <v>29134</v>
      </c>
      <c r="BK63" s="86" t="b">
        <v>0</v>
      </c>
      <c r="BL63" s="86"/>
      <c r="BM63" s="86" t="s">
        <v>66</v>
      </c>
      <c r="BN63" s="86" t="s">
        <v>29136</v>
      </c>
      <c r="BO63" s="96" t="str">
        <f>HYPERLINK("https://twitter.com/ciem_sde")</f>
        <v>https://twitter.com/ciem_sde</v>
      </c>
      <c r="BP63" s="2"/>
    </row>
    <row r="64" spans="1:68" x14ac:dyDescent="0.25">
      <c r="A64" s="63" t="s">
        <v>278</v>
      </c>
      <c r="B64" s="64"/>
      <c r="C64" s="64"/>
      <c r="D64" s="65"/>
      <c r="E64" s="67"/>
      <c r="F64" s="111" t="str">
        <f>HYPERLINK("https://pbs.twimg.com/profile_images/1669099171729530880/e4CkwKON_normal.jpg")</f>
        <v>https://pbs.twimg.com/profile_images/1669099171729530880/e4CkwKON_normal.jpg</v>
      </c>
      <c r="G64" s="64"/>
      <c r="H64" s="68"/>
      <c r="I64" s="69"/>
      <c r="J64" s="69"/>
      <c r="K64" s="68" t="s">
        <v>29197</v>
      </c>
      <c r="L64" s="72"/>
      <c r="M64" s="73"/>
      <c r="N64" s="73"/>
      <c r="O64" s="74"/>
      <c r="P64" s="75"/>
      <c r="Q64" s="75"/>
      <c r="R64" s="102"/>
      <c r="S64" s="102"/>
      <c r="T64" s="102"/>
      <c r="U64" s="102"/>
      <c r="V64" s="48"/>
      <c r="W64" s="48"/>
      <c r="X64" s="48"/>
      <c r="Y64" s="48"/>
      <c r="Z64" s="47"/>
      <c r="AA64" s="70">
        <v>64</v>
      </c>
      <c r="AB64" s="70"/>
      <c r="AC64" s="71"/>
      <c r="AD64" s="86" t="s">
        <v>23703</v>
      </c>
      <c r="AE64" s="94" t="s">
        <v>25241</v>
      </c>
      <c r="AF64" s="86">
        <v>620</v>
      </c>
      <c r="AG64" s="86">
        <v>697</v>
      </c>
      <c r="AH64" s="86">
        <v>4277</v>
      </c>
      <c r="AI64" s="86">
        <v>31</v>
      </c>
      <c r="AJ64" s="86">
        <v>2081</v>
      </c>
      <c r="AK64" s="86">
        <v>130</v>
      </c>
      <c r="AL64" s="86" t="b">
        <v>0</v>
      </c>
      <c r="AM64" s="89">
        <v>40103.023217592592</v>
      </c>
      <c r="AN64" s="86" t="s">
        <v>25903</v>
      </c>
      <c r="AO64" s="86" t="s">
        <v>26480</v>
      </c>
      <c r="AP64" s="96" t="str">
        <f>HYPERLINK("https://t.co/vY7LJx516t")</f>
        <v>https://t.co/vY7LJx516t</v>
      </c>
      <c r="AQ64" s="96" t="str">
        <f>HYPERLINK("https://nexthof.com.br")</f>
        <v>https://nexthof.com.br</v>
      </c>
      <c r="AR64" s="86" t="s">
        <v>27946</v>
      </c>
      <c r="AS64" s="86"/>
      <c r="AT64" s="86"/>
      <c r="AU64" s="86"/>
      <c r="AV64" s="86"/>
      <c r="AW64" s="96" t="str">
        <f>HYPERLINK("https://t.co/vY7LJx516t")</f>
        <v>https://t.co/vY7LJx516t</v>
      </c>
      <c r="AX64" s="86" t="b">
        <v>0</v>
      </c>
      <c r="AY64" s="86"/>
      <c r="AZ64" s="86"/>
      <c r="BA64" s="86" t="b">
        <v>0</v>
      </c>
      <c r="BB64" s="86" t="b">
        <v>0</v>
      </c>
      <c r="BC64" s="86" t="b">
        <v>0</v>
      </c>
      <c r="BD64" s="86" t="b">
        <v>0</v>
      </c>
      <c r="BE64" s="86" t="b">
        <v>1</v>
      </c>
      <c r="BF64" s="86" t="b">
        <v>0</v>
      </c>
      <c r="BG64" s="86" t="b">
        <v>0</v>
      </c>
      <c r="BH64" s="96" t="str">
        <f>HYPERLINK("https://pbs.twimg.com/profile_banners/83014310/1686779192")</f>
        <v>https://pbs.twimg.com/profile_banners/83014310/1686779192</v>
      </c>
      <c r="BI64" s="86"/>
      <c r="BJ64" s="86" t="s">
        <v>29134</v>
      </c>
      <c r="BK64" s="86" t="b">
        <v>0</v>
      </c>
      <c r="BL64" s="86"/>
      <c r="BM64" s="86" t="s">
        <v>66</v>
      </c>
      <c r="BN64" s="86" t="s">
        <v>29136</v>
      </c>
      <c r="BO64" s="96" t="str">
        <f>HYPERLINK("https://twitter.com/flaviopavanelli")</f>
        <v>https://twitter.com/flaviopavanelli</v>
      </c>
      <c r="BP64" s="2"/>
    </row>
    <row r="65" spans="1:68" x14ac:dyDescent="0.25">
      <c r="A65" s="63" t="s">
        <v>279</v>
      </c>
      <c r="B65" s="64"/>
      <c r="C65" s="64"/>
      <c r="D65" s="65"/>
      <c r="E65" s="67"/>
      <c r="F65" s="111" t="str">
        <f>HYPERLINK("https://pbs.twimg.com/profile_images/1573711793372930050/lhbEmeJi_normal.jpg")</f>
        <v>https://pbs.twimg.com/profile_images/1573711793372930050/lhbEmeJi_normal.jpg</v>
      </c>
      <c r="G65" s="64"/>
      <c r="H65" s="68"/>
      <c r="I65" s="69"/>
      <c r="J65" s="69"/>
      <c r="K65" s="68" t="s">
        <v>29198</v>
      </c>
      <c r="L65" s="72"/>
      <c r="M65" s="73"/>
      <c r="N65" s="73"/>
      <c r="O65" s="74"/>
      <c r="P65" s="75"/>
      <c r="Q65" s="75"/>
      <c r="R65" s="102"/>
      <c r="S65" s="102"/>
      <c r="T65" s="102"/>
      <c r="U65" s="102"/>
      <c r="V65" s="48"/>
      <c r="W65" s="48"/>
      <c r="X65" s="48"/>
      <c r="Y65" s="48"/>
      <c r="Z65" s="47"/>
      <c r="AA65" s="70">
        <v>65</v>
      </c>
      <c r="AB65" s="70"/>
      <c r="AC65" s="71"/>
      <c r="AD65" s="86" t="s">
        <v>23704</v>
      </c>
      <c r="AE65" s="94" t="s">
        <v>25242</v>
      </c>
      <c r="AF65" s="86">
        <v>1037</v>
      </c>
      <c r="AG65" s="86">
        <v>288</v>
      </c>
      <c r="AH65" s="86">
        <v>28450</v>
      </c>
      <c r="AI65" s="86">
        <v>0</v>
      </c>
      <c r="AJ65" s="86">
        <v>16452</v>
      </c>
      <c r="AK65" s="86">
        <v>470</v>
      </c>
      <c r="AL65" s="86" t="b">
        <v>0</v>
      </c>
      <c r="AM65" s="89">
        <v>40410.741168981483</v>
      </c>
      <c r="AN65" s="86" t="s">
        <v>25904</v>
      </c>
      <c r="AO65" s="86" t="s">
        <v>26481</v>
      </c>
      <c r="AP65" s="86"/>
      <c r="AQ65" s="86"/>
      <c r="AR65" s="86"/>
      <c r="AS65" s="86"/>
      <c r="AT65" s="86"/>
      <c r="AU65" s="86"/>
      <c r="AV65" s="86">
        <v>1.5103722115631501E+18</v>
      </c>
      <c r="AW65" s="86"/>
      <c r="AX65" s="86" t="b">
        <v>0</v>
      </c>
      <c r="AY65" s="86"/>
      <c r="AZ65" s="86"/>
      <c r="BA65" s="86" t="b">
        <v>0</v>
      </c>
      <c r="BB65" s="86" t="b">
        <v>1</v>
      </c>
      <c r="BC65" s="86" t="b">
        <v>0</v>
      </c>
      <c r="BD65" s="86" t="b">
        <v>0</v>
      </c>
      <c r="BE65" s="86" t="b">
        <v>1</v>
      </c>
      <c r="BF65" s="86" t="b">
        <v>0</v>
      </c>
      <c r="BG65" s="86" t="b">
        <v>0</v>
      </c>
      <c r="BH65" s="96" t="str">
        <f>HYPERLINK("https://pbs.twimg.com/profile_banners/180862179/1664248846")</f>
        <v>https://pbs.twimg.com/profile_banners/180862179/1664248846</v>
      </c>
      <c r="BI65" s="86"/>
      <c r="BJ65" s="86" t="s">
        <v>29134</v>
      </c>
      <c r="BK65" s="86" t="b">
        <v>0</v>
      </c>
      <c r="BL65" s="86"/>
      <c r="BM65" s="86" t="s">
        <v>66</v>
      </c>
      <c r="BN65" s="86" t="s">
        <v>29136</v>
      </c>
      <c r="BO65" s="96" t="str">
        <f>HYPERLINK("https://twitter.com/ysllaoliveira")</f>
        <v>https://twitter.com/ysllaoliveira</v>
      </c>
      <c r="BP65" s="2"/>
    </row>
    <row r="66" spans="1:68" x14ac:dyDescent="0.25">
      <c r="A66" s="63" t="s">
        <v>617</v>
      </c>
      <c r="B66" s="64"/>
      <c r="C66" s="64"/>
      <c r="D66" s="65"/>
      <c r="E66" s="67"/>
      <c r="F66" s="111" t="str">
        <f>HYPERLINK("https://pbs.twimg.com/profile_images/1697801205999628288/lH_PeBrQ_normal.jpg")</f>
        <v>https://pbs.twimg.com/profile_images/1697801205999628288/lH_PeBrQ_normal.jpg</v>
      </c>
      <c r="G66" s="64"/>
      <c r="H66" s="68"/>
      <c r="I66" s="69"/>
      <c r="J66" s="69"/>
      <c r="K66" s="68" t="s">
        <v>29199</v>
      </c>
      <c r="L66" s="72"/>
      <c r="M66" s="73"/>
      <c r="N66" s="73"/>
      <c r="O66" s="74"/>
      <c r="P66" s="75"/>
      <c r="Q66" s="75"/>
      <c r="R66" s="102"/>
      <c r="S66" s="102"/>
      <c r="T66" s="102"/>
      <c r="U66" s="102"/>
      <c r="V66" s="48"/>
      <c r="W66" s="48"/>
      <c r="X66" s="48"/>
      <c r="Y66" s="48"/>
      <c r="Z66" s="47"/>
      <c r="AA66" s="70">
        <v>66</v>
      </c>
      <c r="AB66" s="70"/>
      <c r="AC66" s="71"/>
      <c r="AD66" s="86" t="s">
        <v>23705</v>
      </c>
      <c r="AE66" s="94" t="s">
        <v>23019</v>
      </c>
      <c r="AF66" s="86">
        <v>597</v>
      </c>
      <c r="AG66" s="86">
        <v>711</v>
      </c>
      <c r="AH66" s="86">
        <v>2482</v>
      </c>
      <c r="AI66" s="86">
        <v>1</v>
      </c>
      <c r="AJ66" s="86">
        <v>5341</v>
      </c>
      <c r="AK66" s="86">
        <v>317</v>
      </c>
      <c r="AL66" s="86" t="b">
        <v>0</v>
      </c>
      <c r="AM66" s="89">
        <v>44446.066319444442</v>
      </c>
      <c r="AN66" s="86"/>
      <c r="AO66" s="86" t="s">
        <v>26482</v>
      </c>
      <c r="AP66" s="86"/>
      <c r="AQ66" s="86"/>
      <c r="AR66" s="86"/>
      <c r="AS66" s="86"/>
      <c r="AT66" s="86"/>
      <c r="AU66" s="86"/>
      <c r="AV66" s="86"/>
      <c r="AW66" s="86"/>
      <c r="AX66" s="86" t="b">
        <v>0</v>
      </c>
      <c r="AY66" s="86"/>
      <c r="AZ66" s="86"/>
      <c r="BA66" s="86" t="b">
        <v>0</v>
      </c>
      <c r="BB66" s="86" t="b">
        <v>1</v>
      </c>
      <c r="BC66" s="86" t="b">
        <v>1</v>
      </c>
      <c r="BD66" s="86" t="b">
        <v>0</v>
      </c>
      <c r="BE66" s="86" t="b">
        <v>0</v>
      </c>
      <c r="BF66" s="86" t="b">
        <v>0</v>
      </c>
      <c r="BG66" s="86" t="b">
        <v>0</v>
      </c>
      <c r="BH66" s="96" t="str">
        <f>HYPERLINK("https://pbs.twimg.com/profile_banners/1435054021564420097/1630979221")</f>
        <v>https://pbs.twimg.com/profile_banners/1435054021564420097/1630979221</v>
      </c>
      <c r="BI66" s="86"/>
      <c r="BJ66" s="86" t="s">
        <v>29134</v>
      </c>
      <c r="BK66" s="86" t="b">
        <v>0</v>
      </c>
      <c r="BL66" s="86"/>
      <c r="BM66" s="86" t="s">
        <v>66</v>
      </c>
      <c r="BN66" s="86" t="s">
        <v>29136</v>
      </c>
      <c r="BO66" s="96" t="str">
        <f>HYPERLINK("https://twitter.com/mere_lani")</f>
        <v>https://twitter.com/mere_lani</v>
      </c>
      <c r="BP66" s="2"/>
    </row>
    <row r="67" spans="1:68" x14ac:dyDescent="0.25">
      <c r="A67" s="63" t="s">
        <v>280</v>
      </c>
      <c r="B67" s="64"/>
      <c r="C67" s="64"/>
      <c r="D67" s="65"/>
      <c r="E67" s="67"/>
      <c r="F67" s="111" t="str">
        <f>HYPERLINK("https://pbs.twimg.com/profile_images/1563628294628642821/1pf0Abjz_normal.jpg")</f>
        <v>https://pbs.twimg.com/profile_images/1563628294628642821/1pf0Abjz_normal.jpg</v>
      </c>
      <c r="G67" s="64"/>
      <c r="H67" s="68"/>
      <c r="I67" s="69"/>
      <c r="J67" s="69"/>
      <c r="K67" s="68" t="s">
        <v>29200</v>
      </c>
      <c r="L67" s="72"/>
      <c r="M67" s="73"/>
      <c r="N67" s="73"/>
      <c r="O67" s="74"/>
      <c r="P67" s="75"/>
      <c r="Q67" s="75"/>
      <c r="R67" s="102"/>
      <c r="S67" s="102"/>
      <c r="T67" s="102"/>
      <c r="U67" s="102"/>
      <c r="V67" s="48"/>
      <c r="W67" s="48"/>
      <c r="X67" s="48"/>
      <c r="Y67" s="48"/>
      <c r="Z67" s="47"/>
      <c r="AA67" s="70">
        <v>67</v>
      </c>
      <c r="AB67" s="70"/>
      <c r="AC67" s="71"/>
      <c r="AD67" s="86" t="s">
        <v>23706</v>
      </c>
      <c r="AE67" s="94" t="s">
        <v>22821</v>
      </c>
      <c r="AF67" s="86">
        <v>27</v>
      </c>
      <c r="AG67" s="86">
        <v>0</v>
      </c>
      <c r="AH67" s="86">
        <v>523</v>
      </c>
      <c r="AI67" s="86">
        <v>0</v>
      </c>
      <c r="AJ67" s="86">
        <v>53</v>
      </c>
      <c r="AK67" s="86">
        <v>522</v>
      </c>
      <c r="AL67" s="86" t="b">
        <v>0</v>
      </c>
      <c r="AM67" s="89">
        <v>44220.671527777777</v>
      </c>
      <c r="AN67" s="86"/>
      <c r="AO67" s="86" t="s">
        <v>26483</v>
      </c>
      <c r="AP67" s="96" t="str">
        <f>HYPERLINK("https://t.co/vc3GhvRmoP")</f>
        <v>https://t.co/vc3GhvRmoP</v>
      </c>
      <c r="AQ67" s="96" t="str">
        <f>HYPERLINK("http://youtube.com/@sejatuavontade")</f>
        <v>http://youtube.com/@sejatuavontade</v>
      </c>
      <c r="AR67" s="86" t="s">
        <v>27947</v>
      </c>
      <c r="AS67" s="86"/>
      <c r="AT67" s="86"/>
      <c r="AU67" s="86"/>
      <c r="AV67" s="86"/>
      <c r="AW67" s="96" t="str">
        <f>HYPERLINK("https://t.co/vc3GhvRmoP")</f>
        <v>https://t.co/vc3GhvRmoP</v>
      </c>
      <c r="AX67" s="86" t="b">
        <v>0</v>
      </c>
      <c r="AY67" s="86"/>
      <c r="AZ67" s="86"/>
      <c r="BA67" s="86" t="b">
        <v>0</v>
      </c>
      <c r="BB67" s="86" t="b">
        <v>1</v>
      </c>
      <c r="BC67" s="86" t="b">
        <v>1</v>
      </c>
      <c r="BD67" s="86" t="b">
        <v>0</v>
      </c>
      <c r="BE67" s="86" t="b">
        <v>0</v>
      </c>
      <c r="BF67" s="86" t="b">
        <v>0</v>
      </c>
      <c r="BG67" s="86" t="b">
        <v>0</v>
      </c>
      <c r="BH67" s="96" t="str">
        <f>HYPERLINK("https://pbs.twimg.com/profile_banners/1353373316375973890/1691504862")</f>
        <v>https://pbs.twimg.com/profile_banners/1353373316375973890/1691504862</v>
      </c>
      <c r="BI67" s="86"/>
      <c r="BJ67" s="86" t="s">
        <v>29134</v>
      </c>
      <c r="BK67" s="86" t="b">
        <v>0</v>
      </c>
      <c r="BL67" s="86"/>
      <c r="BM67" s="86" t="s">
        <v>66</v>
      </c>
      <c r="BN67" s="86" t="s">
        <v>29136</v>
      </c>
      <c r="BO67" s="96" t="str">
        <f>HYPERLINK("https://twitter.com/sejatuavontade")</f>
        <v>https://twitter.com/sejatuavontade</v>
      </c>
      <c r="BP67" s="2"/>
    </row>
    <row r="68" spans="1:68" x14ac:dyDescent="0.25">
      <c r="A68" s="63" t="s">
        <v>281</v>
      </c>
      <c r="B68" s="64"/>
      <c r="C68" s="64"/>
      <c r="D68" s="65"/>
      <c r="E68" s="67"/>
      <c r="F68" s="111" t="str">
        <f>HYPERLINK("https://pbs.twimg.com/profile_images/1285309208351715338/fsDJCU3y_normal.jpg")</f>
        <v>https://pbs.twimg.com/profile_images/1285309208351715338/fsDJCU3y_normal.jpg</v>
      </c>
      <c r="G68" s="64"/>
      <c r="H68" s="68"/>
      <c r="I68" s="69"/>
      <c r="J68" s="69"/>
      <c r="K68" s="68" t="s">
        <v>29201</v>
      </c>
      <c r="L68" s="72"/>
      <c r="M68" s="73"/>
      <c r="N68" s="73"/>
      <c r="O68" s="74"/>
      <c r="P68" s="75"/>
      <c r="Q68" s="75"/>
      <c r="R68" s="102"/>
      <c r="S68" s="102"/>
      <c r="T68" s="102"/>
      <c r="U68" s="102"/>
      <c r="V68" s="48"/>
      <c r="W68" s="48"/>
      <c r="X68" s="48"/>
      <c r="Y68" s="48"/>
      <c r="Z68" s="47"/>
      <c r="AA68" s="70">
        <v>68</v>
      </c>
      <c r="AB68" s="70"/>
      <c r="AC68" s="71"/>
      <c r="AD68" s="86" t="s">
        <v>23707</v>
      </c>
      <c r="AE68" s="94" t="s">
        <v>25243</v>
      </c>
      <c r="AF68" s="86">
        <v>92</v>
      </c>
      <c r="AG68" s="86">
        <v>312</v>
      </c>
      <c r="AH68" s="86">
        <v>7455</v>
      </c>
      <c r="AI68" s="86">
        <v>1</v>
      </c>
      <c r="AJ68" s="86">
        <v>363</v>
      </c>
      <c r="AK68" s="86">
        <v>1284</v>
      </c>
      <c r="AL68" s="86" t="b">
        <v>0</v>
      </c>
      <c r="AM68" s="89">
        <v>40044.696145833332</v>
      </c>
      <c r="AN68" s="86" t="s">
        <v>25905</v>
      </c>
      <c r="AO68" s="86" t="s">
        <v>26484</v>
      </c>
      <c r="AP68" s="86"/>
      <c r="AQ68" s="86"/>
      <c r="AR68" s="86"/>
      <c r="AS68" s="86"/>
      <c r="AT68" s="86"/>
      <c r="AU68" s="86"/>
      <c r="AV68" s="86"/>
      <c r="AW68" s="86"/>
      <c r="AX68" s="86" t="b">
        <v>0</v>
      </c>
      <c r="AY68" s="86"/>
      <c r="AZ68" s="86"/>
      <c r="BA68" s="86" t="b">
        <v>0</v>
      </c>
      <c r="BB68" s="86" t="b">
        <v>1</v>
      </c>
      <c r="BC68" s="86" t="b">
        <v>0</v>
      </c>
      <c r="BD68" s="86" t="b">
        <v>0</v>
      </c>
      <c r="BE68" s="86" t="b">
        <v>1</v>
      </c>
      <c r="BF68" s="86" t="b">
        <v>0</v>
      </c>
      <c r="BG68" s="86" t="b">
        <v>0</v>
      </c>
      <c r="BH68" s="86"/>
      <c r="BI68" s="86"/>
      <c r="BJ68" s="86" t="s">
        <v>29134</v>
      </c>
      <c r="BK68" s="86" t="b">
        <v>0</v>
      </c>
      <c r="BL68" s="86"/>
      <c r="BM68" s="86" t="s">
        <v>66</v>
      </c>
      <c r="BN68" s="86" t="s">
        <v>29136</v>
      </c>
      <c r="BO68" s="96" t="str">
        <f>HYPERLINK("https://twitter.com/ppspencersoares")</f>
        <v>https://twitter.com/ppspencersoares</v>
      </c>
      <c r="BP68" s="2"/>
    </row>
    <row r="69" spans="1:68" x14ac:dyDescent="0.25">
      <c r="A69" s="63" t="s">
        <v>282</v>
      </c>
      <c r="B69" s="64"/>
      <c r="C69" s="64"/>
      <c r="D69" s="65"/>
      <c r="E69" s="67"/>
      <c r="F69" s="111" t="str">
        <f>HYPERLINK("https://pbs.twimg.com/profile_images/1620306899370401792/9sD-M9fb_normal.jpg")</f>
        <v>https://pbs.twimg.com/profile_images/1620306899370401792/9sD-M9fb_normal.jpg</v>
      </c>
      <c r="G69" s="64"/>
      <c r="H69" s="68"/>
      <c r="I69" s="69"/>
      <c r="J69" s="69"/>
      <c r="K69" s="68" t="s">
        <v>29202</v>
      </c>
      <c r="L69" s="72"/>
      <c r="M69" s="73"/>
      <c r="N69" s="73"/>
      <c r="O69" s="74"/>
      <c r="P69" s="75"/>
      <c r="Q69" s="75"/>
      <c r="R69" s="102"/>
      <c r="S69" s="102"/>
      <c r="T69" s="102"/>
      <c r="U69" s="102"/>
      <c r="V69" s="48"/>
      <c r="W69" s="48"/>
      <c r="X69" s="48"/>
      <c r="Y69" s="48"/>
      <c r="Z69" s="47"/>
      <c r="AA69" s="70">
        <v>69</v>
      </c>
      <c r="AB69" s="70"/>
      <c r="AC69" s="71"/>
      <c r="AD69" s="86" t="s">
        <v>23708</v>
      </c>
      <c r="AE69" s="94" t="s">
        <v>22822</v>
      </c>
      <c r="AF69" s="86">
        <v>6</v>
      </c>
      <c r="AG69" s="86">
        <v>128</v>
      </c>
      <c r="AH69" s="86">
        <v>96</v>
      </c>
      <c r="AI69" s="86">
        <v>0</v>
      </c>
      <c r="AJ69" s="86">
        <v>360</v>
      </c>
      <c r="AK69" s="86">
        <v>8</v>
      </c>
      <c r="AL69" s="86" t="b">
        <v>0</v>
      </c>
      <c r="AM69" s="89">
        <v>44910.267881944441</v>
      </c>
      <c r="AN69" s="86"/>
      <c r="AO69" s="86" t="s">
        <v>26485</v>
      </c>
      <c r="AP69" s="96" t="str">
        <f>HYPERLINK("https://t.co/UmcMnISl9v")</f>
        <v>https://t.co/UmcMnISl9v</v>
      </c>
      <c r="AQ69" s="96" t="str">
        <f>HYPERLINK("https://linkr.bio/grasimancini")</f>
        <v>https://linkr.bio/grasimancini</v>
      </c>
      <c r="AR69" s="86" t="s">
        <v>27948</v>
      </c>
      <c r="AS69" s="86"/>
      <c r="AT69" s="86"/>
      <c r="AU69" s="86"/>
      <c r="AV69" s="86"/>
      <c r="AW69" s="96" t="str">
        <f>HYPERLINK("https://t.co/UmcMnISl9v")</f>
        <v>https://t.co/UmcMnISl9v</v>
      </c>
      <c r="AX69" s="86" t="b">
        <v>0</v>
      </c>
      <c r="AY69" s="86"/>
      <c r="AZ69" s="86"/>
      <c r="BA69" s="86" t="b">
        <v>0</v>
      </c>
      <c r="BB69" s="86" t="b">
        <v>1</v>
      </c>
      <c r="BC69" s="86" t="b">
        <v>1</v>
      </c>
      <c r="BD69" s="86" t="b">
        <v>0</v>
      </c>
      <c r="BE69" s="86" t="b">
        <v>0</v>
      </c>
      <c r="BF69" s="86" t="b">
        <v>0</v>
      </c>
      <c r="BG69" s="86" t="b">
        <v>0</v>
      </c>
      <c r="BH69" s="96" t="str">
        <f>HYPERLINK("https://pbs.twimg.com/profile_banners/1603275036458160130/1680419689")</f>
        <v>https://pbs.twimg.com/profile_banners/1603275036458160130/1680419689</v>
      </c>
      <c r="BI69" s="86"/>
      <c r="BJ69" s="86" t="s">
        <v>29134</v>
      </c>
      <c r="BK69" s="86" t="b">
        <v>0</v>
      </c>
      <c r="BL69" s="86"/>
      <c r="BM69" s="86" t="s">
        <v>66</v>
      </c>
      <c r="BN69" s="86" t="s">
        <v>29136</v>
      </c>
      <c r="BO69" s="96" t="str">
        <f>HYPERLINK("https://twitter.com/grasimancini")</f>
        <v>https://twitter.com/grasimancini</v>
      </c>
      <c r="BP69" s="2"/>
    </row>
    <row r="70" spans="1:68" x14ac:dyDescent="0.25">
      <c r="A70" s="63" t="s">
        <v>283</v>
      </c>
      <c r="B70" s="64"/>
      <c r="C70" s="64"/>
      <c r="D70" s="65"/>
      <c r="E70" s="67"/>
      <c r="F70" s="111" t="str">
        <f>HYPERLINK("https://pbs.twimg.com/profile_images/1662598753335885825/eAy_iM7r_normal.jpg")</f>
        <v>https://pbs.twimg.com/profile_images/1662598753335885825/eAy_iM7r_normal.jpg</v>
      </c>
      <c r="G70" s="64"/>
      <c r="H70" s="68"/>
      <c r="I70" s="69"/>
      <c r="J70" s="69"/>
      <c r="K70" s="68" t="s">
        <v>29203</v>
      </c>
      <c r="L70" s="72"/>
      <c r="M70" s="73"/>
      <c r="N70" s="73"/>
      <c r="O70" s="74"/>
      <c r="P70" s="75"/>
      <c r="Q70" s="75"/>
      <c r="R70" s="102"/>
      <c r="S70" s="102"/>
      <c r="T70" s="102"/>
      <c r="U70" s="102"/>
      <c r="V70" s="48"/>
      <c r="W70" s="48"/>
      <c r="X70" s="48"/>
      <c r="Y70" s="48"/>
      <c r="Z70" s="47"/>
      <c r="AA70" s="70">
        <v>70</v>
      </c>
      <c r="AB70" s="70"/>
      <c r="AC70" s="71"/>
      <c r="AD70" s="86" t="s">
        <v>23709</v>
      </c>
      <c r="AE70" s="94" t="s">
        <v>22823</v>
      </c>
      <c r="AF70" s="86">
        <v>15</v>
      </c>
      <c r="AG70" s="86">
        <v>28</v>
      </c>
      <c r="AH70" s="86">
        <v>735</v>
      </c>
      <c r="AI70" s="86">
        <v>0</v>
      </c>
      <c r="AJ70" s="86">
        <v>499</v>
      </c>
      <c r="AK70" s="86">
        <v>225</v>
      </c>
      <c r="AL70" s="86" t="b">
        <v>0</v>
      </c>
      <c r="AM70" s="89">
        <v>44120.634965277779</v>
      </c>
      <c r="AN70" s="86" t="s">
        <v>15246</v>
      </c>
      <c r="AO70" s="86" t="s">
        <v>26486</v>
      </c>
      <c r="AP70" s="96" t="str">
        <f>HYPERLINK("https://t.co/vmRMpiFdg2")</f>
        <v>https://t.co/vmRMpiFdg2</v>
      </c>
      <c r="AQ70" s="96" t="str">
        <f>HYPERLINK("https://www.youtube.com/channel/UCFsg7A-d99DusNrsDA6Fj8A?view_as=subscriber")</f>
        <v>https://www.youtube.com/channel/UCFsg7A-d99DusNrsDA6Fj8A?view_as=subscriber</v>
      </c>
      <c r="AR70" s="86" t="s">
        <v>27949</v>
      </c>
      <c r="AS70" s="86"/>
      <c r="AT70" s="86"/>
      <c r="AU70" s="86"/>
      <c r="AV70" s="86"/>
      <c r="AW70" s="96" t="str">
        <f>HYPERLINK("https://t.co/vmRMpiFdg2")</f>
        <v>https://t.co/vmRMpiFdg2</v>
      </c>
      <c r="AX70" s="86" t="b">
        <v>0</v>
      </c>
      <c r="AY70" s="86"/>
      <c r="AZ70" s="86"/>
      <c r="BA70" s="86" t="b">
        <v>0</v>
      </c>
      <c r="BB70" s="86" t="b">
        <v>1</v>
      </c>
      <c r="BC70" s="86" t="b">
        <v>1</v>
      </c>
      <c r="BD70" s="86" t="b">
        <v>0</v>
      </c>
      <c r="BE70" s="86" t="b">
        <v>1</v>
      </c>
      <c r="BF70" s="86" t="b">
        <v>0</v>
      </c>
      <c r="BG70" s="86" t="b">
        <v>0</v>
      </c>
      <c r="BH70" s="96" t="str">
        <f>HYPERLINK("https://pbs.twimg.com/profile_banners/1317121674316292096/1670517828")</f>
        <v>https://pbs.twimg.com/profile_banners/1317121674316292096/1670517828</v>
      </c>
      <c r="BI70" s="86"/>
      <c r="BJ70" s="86" t="s">
        <v>29134</v>
      </c>
      <c r="BK70" s="86" t="b">
        <v>0</v>
      </c>
      <c r="BL70" s="86"/>
      <c r="BM70" s="86" t="s">
        <v>66</v>
      </c>
      <c r="BN70" s="86" t="s">
        <v>29136</v>
      </c>
      <c r="BO70" s="96" t="str">
        <f>HYPERLINK("https://twitter.com/thiag0_sillva")</f>
        <v>https://twitter.com/thiag0_sillva</v>
      </c>
      <c r="BP70" s="2"/>
    </row>
    <row r="71" spans="1:68" x14ac:dyDescent="0.25">
      <c r="A71" s="63" t="s">
        <v>284</v>
      </c>
      <c r="B71" s="64"/>
      <c r="C71" s="64"/>
      <c r="D71" s="65"/>
      <c r="E71" s="67"/>
      <c r="F71" s="111" t="str">
        <f>HYPERLINK("https://pbs.twimg.com/profile_images/1629615809248075777/vsgkv-Tr_normal.jpg")</f>
        <v>https://pbs.twimg.com/profile_images/1629615809248075777/vsgkv-Tr_normal.jpg</v>
      </c>
      <c r="G71" s="64"/>
      <c r="H71" s="68"/>
      <c r="I71" s="69"/>
      <c r="J71" s="69"/>
      <c r="K71" s="68" t="s">
        <v>29204</v>
      </c>
      <c r="L71" s="72"/>
      <c r="M71" s="73"/>
      <c r="N71" s="73"/>
      <c r="O71" s="74"/>
      <c r="P71" s="75"/>
      <c r="Q71" s="75"/>
      <c r="R71" s="102"/>
      <c r="S71" s="102"/>
      <c r="T71" s="102"/>
      <c r="U71" s="102"/>
      <c r="V71" s="48"/>
      <c r="W71" s="48"/>
      <c r="X71" s="48"/>
      <c r="Y71" s="48"/>
      <c r="Z71" s="47"/>
      <c r="AA71" s="70">
        <v>71</v>
      </c>
      <c r="AB71" s="70"/>
      <c r="AC71" s="71"/>
      <c r="AD71" s="86" t="s">
        <v>23710</v>
      </c>
      <c r="AE71" s="94" t="s">
        <v>22824</v>
      </c>
      <c r="AF71" s="86">
        <v>21</v>
      </c>
      <c r="AG71" s="86">
        <v>100</v>
      </c>
      <c r="AH71" s="86">
        <v>891</v>
      </c>
      <c r="AI71" s="86">
        <v>0</v>
      </c>
      <c r="AJ71" s="86">
        <v>41</v>
      </c>
      <c r="AK71" s="86">
        <v>148</v>
      </c>
      <c r="AL71" s="86" t="b">
        <v>0</v>
      </c>
      <c r="AM71" s="89">
        <v>44241.869259259256</v>
      </c>
      <c r="AN71" s="86"/>
      <c r="AO71" s="86" t="s">
        <v>26487</v>
      </c>
      <c r="AP71" s="96" t="str">
        <f>HYPERLINK("https://t.co/V5lvEEQa45")</f>
        <v>https://t.co/V5lvEEQa45</v>
      </c>
      <c r="AQ71" s="96" t="str">
        <f>HYPERLINK("https://portalconvenios.com/")</f>
        <v>https://portalconvenios.com/</v>
      </c>
      <c r="AR71" s="86" t="s">
        <v>27950</v>
      </c>
      <c r="AS71" s="86"/>
      <c r="AT71" s="86"/>
      <c r="AU71" s="86"/>
      <c r="AV71" s="86"/>
      <c r="AW71" s="96" t="str">
        <f>HYPERLINK("https://t.co/V5lvEEQa45")</f>
        <v>https://t.co/V5lvEEQa45</v>
      </c>
      <c r="AX71" s="86" t="b">
        <v>0</v>
      </c>
      <c r="AY71" s="86"/>
      <c r="AZ71" s="86"/>
      <c r="BA71" s="86" t="b">
        <v>0</v>
      </c>
      <c r="BB71" s="86" t="b">
        <v>1</v>
      </c>
      <c r="BC71" s="86" t="b">
        <v>1</v>
      </c>
      <c r="BD71" s="86" t="b">
        <v>0</v>
      </c>
      <c r="BE71" s="86" t="b">
        <v>0</v>
      </c>
      <c r="BF71" s="86" t="b">
        <v>0</v>
      </c>
      <c r="BG71" s="86" t="b">
        <v>0</v>
      </c>
      <c r="BH71" s="96" t="str">
        <f>HYPERLINK("https://pbs.twimg.com/profile_banners/1361055492831928325/1677365661")</f>
        <v>https://pbs.twimg.com/profile_banners/1361055492831928325/1677365661</v>
      </c>
      <c r="BI71" s="86"/>
      <c r="BJ71" s="86" t="s">
        <v>29134</v>
      </c>
      <c r="BK71" s="86" t="b">
        <v>0</v>
      </c>
      <c r="BL71" s="86"/>
      <c r="BM71" s="86" t="s">
        <v>66</v>
      </c>
      <c r="BN71" s="86" t="s">
        <v>29136</v>
      </c>
      <c r="BO71" s="96" t="str">
        <f>HYPERLINK("https://twitter.com/portalconvenios")</f>
        <v>https://twitter.com/portalconvenios</v>
      </c>
      <c r="BP71" s="2"/>
    </row>
    <row r="72" spans="1:68" x14ac:dyDescent="0.25">
      <c r="A72" s="63" t="s">
        <v>285</v>
      </c>
      <c r="B72" s="64"/>
      <c r="C72" s="64"/>
      <c r="D72" s="65"/>
      <c r="E72" s="67"/>
      <c r="F72" s="111" t="str">
        <f>HYPERLINK("https://pbs.twimg.com/profile_images/1705647955418484736/5hL6DhZf_normal.jpg")</f>
        <v>https://pbs.twimg.com/profile_images/1705647955418484736/5hL6DhZf_normal.jpg</v>
      </c>
      <c r="G72" s="64"/>
      <c r="H72" s="68"/>
      <c r="I72" s="69"/>
      <c r="J72" s="69"/>
      <c r="K72" s="68" t="s">
        <v>29205</v>
      </c>
      <c r="L72" s="72"/>
      <c r="M72" s="73"/>
      <c r="N72" s="73"/>
      <c r="O72" s="74"/>
      <c r="P72" s="75"/>
      <c r="Q72" s="75"/>
      <c r="R72" s="102"/>
      <c r="S72" s="102"/>
      <c r="T72" s="102"/>
      <c r="U72" s="102"/>
      <c r="V72" s="48"/>
      <c r="W72" s="48"/>
      <c r="X72" s="48"/>
      <c r="Y72" s="48"/>
      <c r="Z72" s="47"/>
      <c r="AA72" s="70">
        <v>72</v>
      </c>
      <c r="AB72" s="70"/>
      <c r="AC72" s="71"/>
      <c r="AD72" s="86" t="s">
        <v>23711</v>
      </c>
      <c r="AE72" s="94" t="s">
        <v>22825</v>
      </c>
      <c r="AF72" s="86">
        <v>686</v>
      </c>
      <c r="AG72" s="86">
        <v>389</v>
      </c>
      <c r="AH72" s="86">
        <v>15597</v>
      </c>
      <c r="AI72" s="86">
        <v>0</v>
      </c>
      <c r="AJ72" s="86">
        <v>27250</v>
      </c>
      <c r="AK72" s="86">
        <v>32</v>
      </c>
      <c r="AL72" s="86" t="b">
        <v>0</v>
      </c>
      <c r="AM72" s="89">
        <v>44838.89508101852</v>
      </c>
      <c r="AN72" s="86" t="s">
        <v>25906</v>
      </c>
      <c r="AO72" s="86" t="s">
        <v>26488</v>
      </c>
      <c r="AP72" s="86"/>
      <c r="AQ72" s="86"/>
      <c r="AR72" s="86"/>
      <c r="AS72" s="86"/>
      <c r="AT72" s="86"/>
      <c r="AU72" s="86"/>
      <c r="AV72" s="86">
        <v>1.5836745799855201E+18</v>
      </c>
      <c r="AW72" s="86"/>
      <c r="AX72" s="86" t="b">
        <v>0</v>
      </c>
      <c r="AY72" s="86"/>
      <c r="AZ72" s="86"/>
      <c r="BA72" s="86" t="b">
        <v>1</v>
      </c>
      <c r="BB72" s="86" t="b">
        <v>0</v>
      </c>
      <c r="BC72" s="86" t="b">
        <v>1</v>
      </c>
      <c r="BD72" s="86" t="b">
        <v>0</v>
      </c>
      <c r="BE72" s="86" t="b">
        <v>1</v>
      </c>
      <c r="BF72" s="86" t="b">
        <v>0</v>
      </c>
      <c r="BG72" s="86" t="b">
        <v>0</v>
      </c>
      <c r="BH72" s="96" t="str">
        <f>HYPERLINK("https://pbs.twimg.com/profile_banners/1577410418397642756/1676749071")</f>
        <v>https://pbs.twimg.com/profile_banners/1577410418397642756/1676749071</v>
      </c>
      <c r="BI72" s="86"/>
      <c r="BJ72" s="86" t="s">
        <v>29134</v>
      </c>
      <c r="BK72" s="86" t="b">
        <v>0</v>
      </c>
      <c r="BL72" s="86"/>
      <c r="BM72" s="86" t="s">
        <v>66</v>
      </c>
      <c r="BN72" s="86" t="s">
        <v>29136</v>
      </c>
      <c r="BO72" s="96" t="str">
        <f>HYPERLINK("https://twitter.com/lu_ravi2")</f>
        <v>https://twitter.com/lu_ravi2</v>
      </c>
      <c r="BP72" s="2"/>
    </row>
    <row r="73" spans="1:68" x14ac:dyDescent="0.25">
      <c r="A73" s="63" t="s">
        <v>286</v>
      </c>
      <c r="B73" s="64"/>
      <c r="C73" s="64"/>
      <c r="D73" s="65"/>
      <c r="E73" s="67"/>
      <c r="F73" s="111" t="str">
        <f>HYPERLINK("https://pbs.twimg.com/profile_images/1686199676532396032/GzCdSGEh_normal.jpg")</f>
        <v>https://pbs.twimg.com/profile_images/1686199676532396032/GzCdSGEh_normal.jpg</v>
      </c>
      <c r="G73" s="64"/>
      <c r="H73" s="68"/>
      <c r="I73" s="69"/>
      <c r="J73" s="69"/>
      <c r="K73" s="68" t="s">
        <v>29206</v>
      </c>
      <c r="L73" s="72"/>
      <c r="M73" s="73"/>
      <c r="N73" s="73"/>
      <c r="O73" s="74"/>
      <c r="P73" s="75"/>
      <c r="Q73" s="75"/>
      <c r="R73" s="102"/>
      <c r="S73" s="102"/>
      <c r="T73" s="102"/>
      <c r="U73" s="102"/>
      <c r="V73" s="48"/>
      <c r="W73" s="48"/>
      <c r="X73" s="48"/>
      <c r="Y73" s="48"/>
      <c r="Z73" s="47"/>
      <c r="AA73" s="70">
        <v>73</v>
      </c>
      <c r="AB73" s="70"/>
      <c r="AC73" s="71"/>
      <c r="AD73" s="86" t="s">
        <v>23712</v>
      </c>
      <c r="AE73" s="94" t="s">
        <v>22826</v>
      </c>
      <c r="AF73" s="86">
        <v>2</v>
      </c>
      <c r="AG73" s="86">
        <v>69</v>
      </c>
      <c r="AH73" s="86">
        <v>20</v>
      </c>
      <c r="AI73" s="86">
        <v>0</v>
      </c>
      <c r="AJ73" s="86">
        <v>5</v>
      </c>
      <c r="AK73" s="86">
        <v>18</v>
      </c>
      <c r="AL73" s="86" t="b">
        <v>0</v>
      </c>
      <c r="AM73" s="89">
        <v>45139.093622685185</v>
      </c>
      <c r="AN73" s="86" t="s">
        <v>15242</v>
      </c>
      <c r="AO73" s="86" t="s">
        <v>26489</v>
      </c>
      <c r="AP73" s="96" t="str">
        <f>HYPERLINK("https://t.co/fUEo3biQTa")</f>
        <v>https://t.co/fUEo3biQTa</v>
      </c>
      <c r="AQ73" s="96" t="str">
        <f>HYPERLINK("https://youtube.com/live/J7rxP04NG-k?feature=share")</f>
        <v>https://youtube.com/live/J7rxP04NG-k?feature=share</v>
      </c>
      <c r="AR73" s="86" t="s">
        <v>27951</v>
      </c>
      <c r="AS73" s="86"/>
      <c r="AT73" s="86"/>
      <c r="AU73" s="86"/>
      <c r="AV73" s="86"/>
      <c r="AW73" s="96" t="str">
        <f>HYPERLINK("https://t.co/fUEo3biQTa")</f>
        <v>https://t.co/fUEo3biQTa</v>
      </c>
      <c r="AX73" s="86" t="b">
        <v>0</v>
      </c>
      <c r="AY73" s="86"/>
      <c r="AZ73" s="86"/>
      <c r="BA73" s="86" t="b">
        <v>0</v>
      </c>
      <c r="BB73" s="86" t="b">
        <v>1</v>
      </c>
      <c r="BC73" s="86" t="b">
        <v>1</v>
      </c>
      <c r="BD73" s="86" t="b">
        <v>0</v>
      </c>
      <c r="BE73" s="86" t="b">
        <v>0</v>
      </c>
      <c r="BF73" s="86" t="b">
        <v>0</v>
      </c>
      <c r="BG73" s="86" t="b">
        <v>0</v>
      </c>
      <c r="BH73" s="96" t="str">
        <f>HYPERLINK("https://pbs.twimg.com/profile_banners/1686198578883014656/1690856306")</f>
        <v>https://pbs.twimg.com/profile_banners/1686198578883014656/1690856306</v>
      </c>
      <c r="BI73" s="86"/>
      <c r="BJ73" s="86" t="s">
        <v>29134</v>
      </c>
      <c r="BK73" s="86" t="b">
        <v>0</v>
      </c>
      <c r="BL73" s="86"/>
      <c r="BM73" s="86" t="s">
        <v>66</v>
      </c>
      <c r="BN73" s="86" t="s">
        <v>29136</v>
      </c>
      <c r="BO73" s="96" t="str">
        <f>HYPERLINK("https://twitter.com/agoratalks")</f>
        <v>https://twitter.com/agoratalks</v>
      </c>
      <c r="BP73" s="2"/>
    </row>
    <row r="74" spans="1:68" x14ac:dyDescent="0.25">
      <c r="A74" s="63" t="s">
        <v>287</v>
      </c>
      <c r="B74" s="64"/>
      <c r="C74" s="64"/>
      <c r="D74" s="65"/>
      <c r="E74" s="67"/>
      <c r="F74" s="111" t="str">
        <f>HYPERLINK("https://pbs.twimg.com/profile_images/1697062196226748416/__BTzucK_normal.jpg")</f>
        <v>https://pbs.twimg.com/profile_images/1697062196226748416/__BTzucK_normal.jpg</v>
      </c>
      <c r="G74" s="64"/>
      <c r="H74" s="68"/>
      <c r="I74" s="69"/>
      <c r="J74" s="69"/>
      <c r="K74" s="68" t="s">
        <v>29207</v>
      </c>
      <c r="L74" s="72"/>
      <c r="M74" s="73"/>
      <c r="N74" s="73"/>
      <c r="O74" s="74"/>
      <c r="P74" s="75"/>
      <c r="Q74" s="75"/>
      <c r="R74" s="102"/>
      <c r="S74" s="102"/>
      <c r="T74" s="102"/>
      <c r="U74" s="102"/>
      <c r="V74" s="48"/>
      <c r="W74" s="48"/>
      <c r="X74" s="48"/>
      <c r="Y74" s="48"/>
      <c r="Z74" s="47"/>
      <c r="AA74" s="70">
        <v>74</v>
      </c>
      <c r="AB74" s="70"/>
      <c r="AC74" s="71"/>
      <c r="AD74" s="86" t="s">
        <v>23713</v>
      </c>
      <c r="AE74" s="94" t="s">
        <v>22827</v>
      </c>
      <c r="AF74" s="86">
        <v>0</v>
      </c>
      <c r="AG74" s="86">
        <v>35</v>
      </c>
      <c r="AH74" s="86">
        <v>128</v>
      </c>
      <c r="AI74" s="86">
        <v>0</v>
      </c>
      <c r="AJ74" s="86">
        <v>76</v>
      </c>
      <c r="AK74" s="86">
        <v>61</v>
      </c>
      <c r="AL74" s="86" t="b">
        <v>0</v>
      </c>
      <c r="AM74" s="89">
        <v>43936.758773148147</v>
      </c>
      <c r="AN74" s="86"/>
      <c r="AO74" s="86"/>
      <c r="AP74" s="86"/>
      <c r="AQ74" s="86"/>
      <c r="AR74" s="86"/>
      <c r="AS74" s="86"/>
      <c r="AT74" s="86"/>
      <c r="AU74" s="86"/>
      <c r="AV74" s="86"/>
      <c r="AW74" s="86"/>
      <c r="AX74" s="86" t="b">
        <v>0</v>
      </c>
      <c r="AY74" s="86"/>
      <c r="AZ74" s="86"/>
      <c r="BA74" s="86" t="b">
        <v>0</v>
      </c>
      <c r="BB74" s="86" t="b">
        <v>1</v>
      </c>
      <c r="BC74" s="86" t="b">
        <v>1</v>
      </c>
      <c r="BD74" s="86" t="b">
        <v>0</v>
      </c>
      <c r="BE74" s="86" t="b">
        <v>0</v>
      </c>
      <c r="BF74" s="86" t="b">
        <v>0</v>
      </c>
      <c r="BG74" s="86" t="b">
        <v>0</v>
      </c>
      <c r="BH74" s="96" t="str">
        <f>HYPERLINK("https://pbs.twimg.com/profile_banners/1250487151231406081/1693446166")</f>
        <v>https://pbs.twimg.com/profile_banners/1250487151231406081/1693446166</v>
      </c>
      <c r="BI74" s="86"/>
      <c r="BJ74" s="86" t="s">
        <v>29134</v>
      </c>
      <c r="BK74" s="86" t="b">
        <v>0</v>
      </c>
      <c r="BL74" s="86"/>
      <c r="BM74" s="86" t="s">
        <v>66</v>
      </c>
      <c r="BN74" s="86" t="s">
        <v>29136</v>
      </c>
      <c r="BO74" s="96" t="str">
        <f>HYPERLINK("https://twitter.com/antonellampaiva")</f>
        <v>https://twitter.com/antonellampaiva</v>
      </c>
      <c r="BP74" s="2"/>
    </row>
    <row r="75" spans="1:68" x14ac:dyDescent="0.25">
      <c r="A75" s="63" t="s">
        <v>288</v>
      </c>
      <c r="B75" s="64"/>
      <c r="C75" s="64"/>
      <c r="D75" s="65"/>
      <c r="E75" s="67"/>
      <c r="F75" s="111" t="str">
        <f>HYPERLINK("https://pbs.twimg.com/profile_images/1698470227904716800/MVWqCGvp_normal.jpg")</f>
        <v>https://pbs.twimg.com/profile_images/1698470227904716800/MVWqCGvp_normal.jpg</v>
      </c>
      <c r="G75" s="64"/>
      <c r="H75" s="68"/>
      <c r="I75" s="69"/>
      <c r="J75" s="69"/>
      <c r="K75" s="68" t="s">
        <v>29208</v>
      </c>
      <c r="L75" s="72"/>
      <c r="M75" s="73"/>
      <c r="N75" s="73"/>
      <c r="O75" s="74"/>
      <c r="P75" s="75"/>
      <c r="Q75" s="75"/>
      <c r="R75" s="102"/>
      <c r="S75" s="102"/>
      <c r="T75" s="102"/>
      <c r="U75" s="102"/>
      <c r="V75" s="48"/>
      <c r="W75" s="48"/>
      <c r="X75" s="48"/>
      <c r="Y75" s="48"/>
      <c r="Z75" s="47"/>
      <c r="AA75" s="70">
        <v>75</v>
      </c>
      <c r="AB75" s="70"/>
      <c r="AC75" s="71"/>
      <c r="AD75" s="86" t="s">
        <v>23714</v>
      </c>
      <c r="AE75" s="94" t="s">
        <v>25244</v>
      </c>
      <c r="AF75" s="86">
        <v>685</v>
      </c>
      <c r="AG75" s="86">
        <v>409</v>
      </c>
      <c r="AH75" s="86">
        <v>12976</v>
      </c>
      <c r="AI75" s="86">
        <v>16</v>
      </c>
      <c r="AJ75" s="86">
        <v>709</v>
      </c>
      <c r="AK75" s="86">
        <v>611</v>
      </c>
      <c r="AL75" s="86" t="b">
        <v>0</v>
      </c>
      <c r="AM75" s="89">
        <v>40041.780543981484</v>
      </c>
      <c r="AN75" s="86" t="s">
        <v>25907</v>
      </c>
      <c r="AO75" s="86" t="s">
        <v>26490</v>
      </c>
      <c r="AP75" s="86"/>
      <c r="AQ75" s="86"/>
      <c r="AR75" s="86"/>
      <c r="AS75" s="86"/>
      <c r="AT75" s="86"/>
      <c r="AU75" s="86"/>
      <c r="AV75" s="86">
        <v>1.2998486155616499E+18</v>
      </c>
      <c r="AW75" s="86"/>
      <c r="AX75" s="86" t="b">
        <v>0</v>
      </c>
      <c r="AY75" s="86"/>
      <c r="AZ75" s="86"/>
      <c r="BA75" s="86" t="b">
        <v>0</v>
      </c>
      <c r="BB75" s="86" t="b">
        <v>1</v>
      </c>
      <c r="BC75" s="86" t="b">
        <v>0</v>
      </c>
      <c r="BD75" s="86" t="b">
        <v>0</v>
      </c>
      <c r="BE75" s="86" t="b">
        <v>0</v>
      </c>
      <c r="BF75" s="86" t="b">
        <v>0</v>
      </c>
      <c r="BG75" s="86" t="b">
        <v>0</v>
      </c>
      <c r="BH75" s="96" t="str">
        <f>HYPERLINK("https://pbs.twimg.com/profile_banners/66166769/1677103177")</f>
        <v>https://pbs.twimg.com/profile_banners/66166769/1677103177</v>
      </c>
      <c r="BI75" s="86"/>
      <c r="BJ75" s="86" t="s">
        <v>29134</v>
      </c>
      <c r="BK75" s="86" t="b">
        <v>0</v>
      </c>
      <c r="BL75" s="86"/>
      <c r="BM75" s="86" t="s">
        <v>66</v>
      </c>
      <c r="BN75" s="86" t="s">
        <v>29136</v>
      </c>
      <c r="BO75" s="96" t="str">
        <f>HYPERLINK("https://twitter.com/isabellampassos")</f>
        <v>https://twitter.com/isabellampassos</v>
      </c>
      <c r="BP75" s="2"/>
    </row>
    <row r="76" spans="1:68" x14ac:dyDescent="0.25">
      <c r="A76" s="63" t="s">
        <v>289</v>
      </c>
      <c r="B76" s="64"/>
      <c r="C76" s="64"/>
      <c r="D76" s="65"/>
      <c r="E76" s="67"/>
      <c r="F76" s="111" t="str">
        <f>HYPERLINK("https://pbs.twimg.com/profile_images/1687299513180954625/-xuwuubg_normal.jpg")</f>
        <v>https://pbs.twimg.com/profile_images/1687299513180954625/-xuwuubg_normal.jpg</v>
      </c>
      <c r="G76" s="64"/>
      <c r="H76" s="68"/>
      <c r="I76" s="69"/>
      <c r="J76" s="69"/>
      <c r="K76" s="68" t="s">
        <v>29209</v>
      </c>
      <c r="L76" s="72"/>
      <c r="M76" s="73"/>
      <c r="N76" s="73"/>
      <c r="O76" s="74"/>
      <c r="P76" s="75"/>
      <c r="Q76" s="75"/>
      <c r="R76" s="102"/>
      <c r="S76" s="102"/>
      <c r="T76" s="102"/>
      <c r="U76" s="102"/>
      <c r="V76" s="48"/>
      <c r="W76" s="48"/>
      <c r="X76" s="48"/>
      <c r="Y76" s="48"/>
      <c r="Z76" s="47"/>
      <c r="AA76" s="70">
        <v>76</v>
      </c>
      <c r="AB76" s="70"/>
      <c r="AC76" s="71"/>
      <c r="AD76" s="86" t="s">
        <v>23715</v>
      </c>
      <c r="AE76" s="94" t="s">
        <v>22828</v>
      </c>
      <c r="AF76" s="86">
        <v>0</v>
      </c>
      <c r="AG76" s="86">
        <v>1</v>
      </c>
      <c r="AH76" s="86">
        <v>2</v>
      </c>
      <c r="AI76" s="86">
        <v>0</v>
      </c>
      <c r="AJ76" s="86">
        <v>1</v>
      </c>
      <c r="AK76" s="86">
        <v>2</v>
      </c>
      <c r="AL76" s="86" t="b">
        <v>0</v>
      </c>
      <c r="AM76" s="89">
        <v>44959.847048611111</v>
      </c>
      <c r="AN76" s="86"/>
      <c r="AO76" s="86" t="s">
        <v>26491</v>
      </c>
      <c r="AP76" s="96" t="str">
        <f>HYPERLINK("https://t.co/omqyFpnYHe")</f>
        <v>https://t.co/omqyFpnYHe</v>
      </c>
      <c r="AQ76" s="96" t="str">
        <f>HYPERLINK("https://linklist.bio/cnpjlucrativo")</f>
        <v>https://linklist.bio/cnpjlucrativo</v>
      </c>
      <c r="AR76" s="86" t="s">
        <v>27952</v>
      </c>
      <c r="AS76" s="86"/>
      <c r="AT76" s="86"/>
      <c r="AU76" s="86"/>
      <c r="AV76" s="86"/>
      <c r="AW76" s="96" t="str">
        <f>HYPERLINK("https://t.co/omqyFpnYHe")</f>
        <v>https://t.co/omqyFpnYHe</v>
      </c>
      <c r="AX76" s="86" t="b">
        <v>0</v>
      </c>
      <c r="AY76" s="86"/>
      <c r="AZ76" s="86"/>
      <c r="BA76" s="86" t="b">
        <v>0</v>
      </c>
      <c r="BB76" s="86" t="b">
        <v>1</v>
      </c>
      <c r="BC76" s="86" t="b">
        <v>1</v>
      </c>
      <c r="BD76" s="86" t="b">
        <v>0</v>
      </c>
      <c r="BE76" s="86" t="b">
        <v>0</v>
      </c>
      <c r="BF76" s="86" t="b">
        <v>0</v>
      </c>
      <c r="BG76" s="86" t="b">
        <v>0</v>
      </c>
      <c r="BH76" s="96" t="str">
        <f>HYPERLINK("https://pbs.twimg.com/profile_banners/1621241912496644100/1691188713")</f>
        <v>https://pbs.twimg.com/profile_banners/1621241912496644100/1691188713</v>
      </c>
      <c r="BI76" s="86"/>
      <c r="BJ76" s="86" t="s">
        <v>29134</v>
      </c>
      <c r="BK76" s="86" t="b">
        <v>0</v>
      </c>
      <c r="BL76" s="86"/>
      <c r="BM76" s="86" t="s">
        <v>66</v>
      </c>
      <c r="BN76" s="86" t="s">
        <v>29136</v>
      </c>
      <c r="BO76" s="96" t="str">
        <f>HYPERLINK("https://twitter.com/cnpjlucrativo")</f>
        <v>https://twitter.com/cnpjlucrativo</v>
      </c>
      <c r="BP76" s="2"/>
    </row>
    <row r="77" spans="1:68" x14ac:dyDescent="0.25">
      <c r="A77" s="63" t="s">
        <v>290</v>
      </c>
      <c r="B77" s="64"/>
      <c r="C77" s="64"/>
      <c r="D77" s="65"/>
      <c r="E77" s="67"/>
      <c r="F77" s="111" t="str">
        <f>HYPERLINK("https://pbs.twimg.com/profile_images/1652950682452754437/BEjFf5LA_normal.jpg")</f>
        <v>https://pbs.twimg.com/profile_images/1652950682452754437/BEjFf5LA_normal.jpg</v>
      </c>
      <c r="G77" s="64"/>
      <c r="H77" s="68"/>
      <c r="I77" s="69"/>
      <c r="J77" s="69"/>
      <c r="K77" s="68" t="s">
        <v>29210</v>
      </c>
      <c r="L77" s="72"/>
      <c r="M77" s="73"/>
      <c r="N77" s="73"/>
      <c r="O77" s="74"/>
      <c r="P77" s="75"/>
      <c r="Q77" s="75"/>
      <c r="R77" s="102"/>
      <c r="S77" s="102"/>
      <c r="T77" s="102"/>
      <c r="U77" s="102"/>
      <c r="V77" s="48"/>
      <c r="W77" s="48"/>
      <c r="X77" s="48"/>
      <c r="Y77" s="48"/>
      <c r="Z77" s="47"/>
      <c r="AA77" s="70">
        <v>77</v>
      </c>
      <c r="AB77" s="70"/>
      <c r="AC77" s="71"/>
      <c r="AD77" s="86" t="s">
        <v>23716</v>
      </c>
      <c r="AE77" s="94" t="s">
        <v>22829</v>
      </c>
      <c r="AF77" s="86">
        <v>11</v>
      </c>
      <c r="AG77" s="86">
        <v>245</v>
      </c>
      <c r="AH77" s="86">
        <v>204</v>
      </c>
      <c r="AI77" s="86">
        <v>0</v>
      </c>
      <c r="AJ77" s="86">
        <v>15</v>
      </c>
      <c r="AK77" s="86">
        <v>165</v>
      </c>
      <c r="AL77" s="86" t="b">
        <v>0</v>
      </c>
      <c r="AM77" s="89">
        <v>44922.546423611115</v>
      </c>
      <c r="AN77" s="86" t="s">
        <v>25908</v>
      </c>
      <c r="AO77" s="86" t="s">
        <v>26492</v>
      </c>
      <c r="AP77" s="86"/>
      <c r="AQ77" s="86"/>
      <c r="AR77" s="86"/>
      <c r="AS77" s="86"/>
      <c r="AT77" s="86"/>
      <c r="AU77" s="86"/>
      <c r="AV77" s="86"/>
      <c r="AW77" s="86"/>
      <c r="AX77" s="86" t="b">
        <v>0</v>
      </c>
      <c r="AY77" s="86"/>
      <c r="AZ77" s="86"/>
      <c r="BA77" s="86" t="b">
        <v>0</v>
      </c>
      <c r="BB77" s="86" t="b">
        <v>1</v>
      </c>
      <c r="BC77" s="86" t="b">
        <v>1</v>
      </c>
      <c r="BD77" s="86" t="b">
        <v>0</v>
      </c>
      <c r="BE77" s="86" t="b">
        <v>0</v>
      </c>
      <c r="BF77" s="86" t="b">
        <v>0</v>
      </c>
      <c r="BG77" s="86" t="b">
        <v>0</v>
      </c>
      <c r="BH77" s="96" t="str">
        <f>HYPERLINK("https://pbs.twimg.com/profile_banners/1607724623193415687/1672152663")</f>
        <v>https://pbs.twimg.com/profile_banners/1607724623193415687/1672152663</v>
      </c>
      <c r="BI77" s="86"/>
      <c r="BJ77" s="86" t="s">
        <v>29134</v>
      </c>
      <c r="BK77" s="86" t="b">
        <v>0</v>
      </c>
      <c r="BL77" s="86"/>
      <c r="BM77" s="86" t="s">
        <v>66</v>
      </c>
      <c r="BN77" s="86" t="s">
        <v>29136</v>
      </c>
      <c r="BO77" s="96" t="str">
        <f>HYPERLINK("https://twitter.com/markusvital11")</f>
        <v>https://twitter.com/markusvital11</v>
      </c>
      <c r="BP77" s="2"/>
    </row>
    <row r="78" spans="1:68" x14ac:dyDescent="0.25">
      <c r="A78" s="63" t="s">
        <v>291</v>
      </c>
      <c r="B78" s="64"/>
      <c r="C78" s="64"/>
      <c r="D78" s="65"/>
      <c r="E78" s="67"/>
      <c r="F78" s="111" t="str">
        <f>HYPERLINK("https://pbs.twimg.com/profile_images/1454199045556162562/uMm2G6Iu_normal.jpg")</f>
        <v>https://pbs.twimg.com/profile_images/1454199045556162562/uMm2G6Iu_normal.jpg</v>
      </c>
      <c r="G78" s="64"/>
      <c r="H78" s="68"/>
      <c r="I78" s="69"/>
      <c r="J78" s="69"/>
      <c r="K78" s="68" t="s">
        <v>29211</v>
      </c>
      <c r="L78" s="72"/>
      <c r="M78" s="73"/>
      <c r="N78" s="73"/>
      <c r="O78" s="74"/>
      <c r="P78" s="75"/>
      <c r="Q78" s="75"/>
      <c r="R78" s="102"/>
      <c r="S78" s="102"/>
      <c r="T78" s="102"/>
      <c r="U78" s="102"/>
      <c r="V78" s="48"/>
      <c r="W78" s="48"/>
      <c r="X78" s="48"/>
      <c r="Y78" s="48"/>
      <c r="Z78" s="47"/>
      <c r="AA78" s="70">
        <v>78</v>
      </c>
      <c r="AB78" s="70"/>
      <c r="AC78" s="71"/>
      <c r="AD78" s="86" t="s">
        <v>23717</v>
      </c>
      <c r="AE78" s="94" t="s">
        <v>22830</v>
      </c>
      <c r="AF78" s="86">
        <v>8</v>
      </c>
      <c r="AG78" s="86">
        <v>42</v>
      </c>
      <c r="AH78" s="86">
        <v>707</v>
      </c>
      <c r="AI78" s="86">
        <v>1</v>
      </c>
      <c r="AJ78" s="86">
        <v>641</v>
      </c>
      <c r="AK78" s="86">
        <v>285</v>
      </c>
      <c r="AL78" s="86" t="b">
        <v>0</v>
      </c>
      <c r="AM78" s="89">
        <v>44498.89634259259</v>
      </c>
      <c r="AN78" s="86"/>
      <c r="AO78" s="86" t="s">
        <v>26493</v>
      </c>
      <c r="AP78" s="86"/>
      <c r="AQ78" s="86"/>
      <c r="AR78" s="86"/>
      <c r="AS78" s="86"/>
      <c r="AT78" s="86"/>
      <c r="AU78" s="86"/>
      <c r="AV78" s="86">
        <v>1.68457369125298E+18</v>
      </c>
      <c r="AW78" s="86"/>
      <c r="AX78" s="86" t="b">
        <v>0</v>
      </c>
      <c r="AY78" s="86"/>
      <c r="AZ78" s="86"/>
      <c r="BA78" s="86" t="b">
        <v>0</v>
      </c>
      <c r="BB78" s="86" t="b">
        <v>1</v>
      </c>
      <c r="BC78" s="86" t="b">
        <v>1</v>
      </c>
      <c r="BD78" s="86" t="b">
        <v>0</v>
      </c>
      <c r="BE78" s="86" t="b">
        <v>0</v>
      </c>
      <c r="BF78" s="86" t="b">
        <v>0</v>
      </c>
      <c r="BG78" s="86" t="b">
        <v>0</v>
      </c>
      <c r="BH78" s="86"/>
      <c r="BI78" s="86"/>
      <c r="BJ78" s="86" t="s">
        <v>29134</v>
      </c>
      <c r="BK78" s="86" t="b">
        <v>0</v>
      </c>
      <c r="BL78" s="86"/>
      <c r="BM78" s="86" t="s">
        <v>66</v>
      </c>
      <c r="BN78" s="86" t="s">
        <v>29136</v>
      </c>
      <c r="BO78" s="96" t="str">
        <f>HYPERLINK("https://twitter.com/gilsonc59351308")</f>
        <v>https://twitter.com/gilsonc59351308</v>
      </c>
      <c r="BP78" s="2"/>
    </row>
    <row r="79" spans="1:68" x14ac:dyDescent="0.25">
      <c r="A79" s="63" t="s">
        <v>292</v>
      </c>
      <c r="B79" s="64"/>
      <c r="C79" s="64"/>
      <c r="D79" s="65"/>
      <c r="E79" s="67"/>
      <c r="F79" s="111" t="str">
        <f>HYPERLINK("https://pbs.twimg.com/profile_images/1681320842687332352/5SWEz6Q4_normal.jpg")</f>
        <v>https://pbs.twimg.com/profile_images/1681320842687332352/5SWEz6Q4_normal.jpg</v>
      </c>
      <c r="G79" s="64"/>
      <c r="H79" s="68"/>
      <c r="I79" s="69"/>
      <c r="J79" s="69"/>
      <c r="K79" s="68" t="s">
        <v>29212</v>
      </c>
      <c r="L79" s="72"/>
      <c r="M79" s="73"/>
      <c r="N79" s="73"/>
      <c r="O79" s="74"/>
      <c r="P79" s="75"/>
      <c r="Q79" s="75"/>
      <c r="R79" s="102"/>
      <c r="S79" s="102"/>
      <c r="T79" s="102"/>
      <c r="U79" s="102"/>
      <c r="V79" s="48"/>
      <c r="W79" s="48"/>
      <c r="X79" s="48"/>
      <c r="Y79" s="48"/>
      <c r="Z79" s="47"/>
      <c r="AA79" s="70">
        <v>79</v>
      </c>
      <c r="AB79" s="70"/>
      <c r="AC79" s="71"/>
      <c r="AD79" s="86" t="s">
        <v>23718</v>
      </c>
      <c r="AE79" s="94" t="s">
        <v>22831</v>
      </c>
      <c r="AF79" s="86">
        <v>4</v>
      </c>
      <c r="AG79" s="86">
        <v>7</v>
      </c>
      <c r="AH79" s="86">
        <v>100</v>
      </c>
      <c r="AI79" s="86">
        <v>0</v>
      </c>
      <c r="AJ79" s="86">
        <v>3</v>
      </c>
      <c r="AK79" s="86">
        <v>3</v>
      </c>
      <c r="AL79" s="86" t="b">
        <v>0</v>
      </c>
      <c r="AM79" s="89">
        <v>45125.629386574074</v>
      </c>
      <c r="AN79" s="86"/>
      <c r="AO79" s="86" t="s">
        <v>26494</v>
      </c>
      <c r="AP79" s="86"/>
      <c r="AQ79" s="86"/>
      <c r="AR79" s="86"/>
      <c r="AS79" s="96" t="str">
        <f>HYPERLINK("https://t.co/pBrgQnIk7C")</f>
        <v>https://t.co/pBrgQnIk7C</v>
      </c>
      <c r="AT79" s="96" t="str">
        <f>HYPERLINK("http://homemlapidado.gumroad.com/?_gl=1*u7qhdx")</f>
        <v>http://homemlapidado.gumroad.com/?_gl=1*u7qhdx</v>
      </c>
      <c r="AU79" s="86" t="s">
        <v>29031</v>
      </c>
      <c r="AV79" s="86">
        <v>1.6864225836363799E+18</v>
      </c>
      <c r="AW79" s="86"/>
      <c r="AX79" s="86" t="b">
        <v>0</v>
      </c>
      <c r="AY79" s="86"/>
      <c r="AZ79" s="86"/>
      <c r="BA79" s="86" t="b">
        <v>0</v>
      </c>
      <c r="BB79" s="86" t="b">
        <v>1</v>
      </c>
      <c r="BC79" s="86" t="b">
        <v>1</v>
      </c>
      <c r="BD79" s="86" t="b">
        <v>0</v>
      </c>
      <c r="BE79" s="86" t="b">
        <v>0</v>
      </c>
      <c r="BF79" s="86" t="b">
        <v>0</v>
      </c>
      <c r="BG79" s="86" t="b">
        <v>0</v>
      </c>
      <c r="BH79" s="96" t="str">
        <f>HYPERLINK("https://pbs.twimg.com/profile_banners/1681319448932941824/1691163308")</f>
        <v>https://pbs.twimg.com/profile_banners/1681319448932941824/1691163308</v>
      </c>
      <c r="BI79" s="86"/>
      <c r="BJ79" s="86" t="s">
        <v>29134</v>
      </c>
      <c r="BK79" s="86" t="b">
        <v>0</v>
      </c>
      <c r="BL79" s="86"/>
      <c r="BM79" s="86" t="s">
        <v>66</v>
      </c>
      <c r="BN79" s="86" t="s">
        <v>29136</v>
      </c>
      <c r="BO79" s="96" t="str">
        <f>HYPERLINK("https://twitter.com/manframing")</f>
        <v>https://twitter.com/manframing</v>
      </c>
      <c r="BP79" s="2"/>
    </row>
    <row r="80" spans="1:68" x14ac:dyDescent="0.25">
      <c r="A80" s="63" t="s">
        <v>293</v>
      </c>
      <c r="B80" s="64"/>
      <c r="C80" s="64"/>
      <c r="D80" s="65"/>
      <c r="E80" s="67"/>
      <c r="F80" s="111" t="str">
        <f>HYPERLINK("https://pbs.twimg.com/profile_images/1526019969133293568/hCebhfh6_normal.jpg")</f>
        <v>https://pbs.twimg.com/profile_images/1526019969133293568/hCebhfh6_normal.jpg</v>
      </c>
      <c r="G80" s="64"/>
      <c r="H80" s="68"/>
      <c r="I80" s="69"/>
      <c r="J80" s="69"/>
      <c r="K80" s="68" t="s">
        <v>29213</v>
      </c>
      <c r="L80" s="72"/>
      <c r="M80" s="73"/>
      <c r="N80" s="73"/>
      <c r="O80" s="74"/>
      <c r="P80" s="75"/>
      <c r="Q80" s="75"/>
      <c r="R80" s="102"/>
      <c r="S80" s="102"/>
      <c r="T80" s="102"/>
      <c r="U80" s="102"/>
      <c r="V80" s="48"/>
      <c r="W80" s="48"/>
      <c r="X80" s="48"/>
      <c r="Y80" s="48"/>
      <c r="Z80" s="47"/>
      <c r="AA80" s="70">
        <v>80</v>
      </c>
      <c r="AB80" s="70"/>
      <c r="AC80" s="71"/>
      <c r="AD80" s="86" t="s">
        <v>23719</v>
      </c>
      <c r="AE80" s="94" t="s">
        <v>22832</v>
      </c>
      <c r="AF80" s="86">
        <v>29</v>
      </c>
      <c r="AG80" s="86">
        <v>161</v>
      </c>
      <c r="AH80" s="86">
        <v>81</v>
      </c>
      <c r="AI80" s="86">
        <v>0</v>
      </c>
      <c r="AJ80" s="86">
        <v>172</v>
      </c>
      <c r="AK80" s="86">
        <v>2</v>
      </c>
      <c r="AL80" s="86" t="b">
        <v>0</v>
      </c>
      <c r="AM80" s="89">
        <v>44113.986076388886</v>
      </c>
      <c r="AN80" s="86" t="s">
        <v>25909</v>
      </c>
      <c r="AO80" s="86" t="s">
        <v>26495</v>
      </c>
      <c r="AP80" s="96" t="str">
        <f>HYPERLINK("https://t.co/Co83LXEENA")</f>
        <v>https://t.co/Co83LXEENA</v>
      </c>
      <c r="AQ80" s="96" t="str">
        <f>HYPERLINK("http://www.roddrigomoraes.com")</f>
        <v>http://www.roddrigomoraes.com</v>
      </c>
      <c r="AR80" s="86" t="s">
        <v>27953</v>
      </c>
      <c r="AS80" s="86"/>
      <c r="AT80" s="86"/>
      <c r="AU80" s="86"/>
      <c r="AV80" s="86"/>
      <c r="AW80" s="96" t="str">
        <f>HYPERLINK("https://t.co/Co83LXEENA")</f>
        <v>https://t.co/Co83LXEENA</v>
      </c>
      <c r="AX80" s="86" t="b">
        <v>1</v>
      </c>
      <c r="AY80" s="86"/>
      <c r="AZ80" s="86"/>
      <c r="BA80" s="86" t="b">
        <v>0</v>
      </c>
      <c r="BB80" s="86" t="b">
        <v>1</v>
      </c>
      <c r="BC80" s="86" t="b">
        <v>1</v>
      </c>
      <c r="BD80" s="86" t="b">
        <v>0</v>
      </c>
      <c r="BE80" s="86" t="b">
        <v>1</v>
      </c>
      <c r="BF80" s="86" t="b">
        <v>0</v>
      </c>
      <c r="BG80" s="86" t="b">
        <v>0</v>
      </c>
      <c r="BH80" s="96" t="str">
        <f>HYPERLINK("https://pbs.twimg.com/profile_banners/1314712162506551297/1620496013")</f>
        <v>https://pbs.twimg.com/profile_banners/1314712162506551297/1620496013</v>
      </c>
      <c r="BI80" s="86"/>
      <c r="BJ80" s="86" t="s">
        <v>29134</v>
      </c>
      <c r="BK80" s="86" t="b">
        <v>0</v>
      </c>
      <c r="BL80" s="86"/>
      <c r="BM80" s="86" t="s">
        <v>66</v>
      </c>
      <c r="BN80" s="86" t="s">
        <v>29136</v>
      </c>
      <c r="BO80" s="96" t="str">
        <f>HYPERLINK("https://twitter.com/roddrigomoraes1")</f>
        <v>https://twitter.com/roddrigomoraes1</v>
      </c>
      <c r="BP80" s="2"/>
    </row>
    <row r="81" spans="1:68" x14ac:dyDescent="0.25">
      <c r="A81" s="63" t="s">
        <v>294</v>
      </c>
      <c r="B81" s="64"/>
      <c r="C81" s="64"/>
      <c r="D81" s="65"/>
      <c r="E81" s="67"/>
      <c r="F81" s="111" t="str">
        <f>HYPERLINK("https://pbs.twimg.com/profile_images/1643015123278217219/sCeUhfU7_normal.jpg")</f>
        <v>https://pbs.twimg.com/profile_images/1643015123278217219/sCeUhfU7_normal.jpg</v>
      </c>
      <c r="G81" s="64"/>
      <c r="H81" s="68"/>
      <c r="I81" s="69"/>
      <c r="J81" s="69"/>
      <c r="K81" s="68" t="s">
        <v>29214</v>
      </c>
      <c r="L81" s="72"/>
      <c r="M81" s="73"/>
      <c r="N81" s="73"/>
      <c r="O81" s="74"/>
      <c r="P81" s="75"/>
      <c r="Q81" s="75"/>
      <c r="R81" s="102"/>
      <c r="S81" s="102"/>
      <c r="T81" s="102"/>
      <c r="U81" s="102"/>
      <c r="V81" s="48"/>
      <c r="W81" s="48"/>
      <c r="X81" s="48"/>
      <c r="Y81" s="48"/>
      <c r="Z81" s="47"/>
      <c r="AA81" s="70">
        <v>81</v>
      </c>
      <c r="AB81" s="70"/>
      <c r="AC81" s="71"/>
      <c r="AD81" s="86" t="s">
        <v>23720</v>
      </c>
      <c r="AE81" s="94" t="s">
        <v>22833</v>
      </c>
      <c r="AF81" s="86">
        <v>5</v>
      </c>
      <c r="AG81" s="86">
        <v>129</v>
      </c>
      <c r="AH81" s="86">
        <v>2092</v>
      </c>
      <c r="AI81" s="86">
        <v>0</v>
      </c>
      <c r="AJ81" s="86">
        <v>454</v>
      </c>
      <c r="AK81" s="86">
        <v>1982</v>
      </c>
      <c r="AL81" s="86" t="b">
        <v>0</v>
      </c>
      <c r="AM81" s="89">
        <v>44475.526412037034</v>
      </c>
      <c r="AN81" s="86"/>
      <c r="AO81" s="86" t="s">
        <v>26496</v>
      </c>
      <c r="AP81" s="86"/>
      <c r="AQ81" s="86"/>
      <c r="AR81" s="86"/>
      <c r="AS81" s="86"/>
      <c r="AT81" s="86"/>
      <c r="AU81" s="86"/>
      <c r="AV81" s="86"/>
      <c r="AW81" s="86"/>
      <c r="AX81" s="86" t="b">
        <v>0</v>
      </c>
      <c r="AY81" s="86"/>
      <c r="AZ81" s="86"/>
      <c r="BA81" s="86" t="b">
        <v>0</v>
      </c>
      <c r="BB81" s="86" t="b">
        <v>1</v>
      </c>
      <c r="BC81" s="86" t="b">
        <v>1</v>
      </c>
      <c r="BD81" s="86" t="b">
        <v>0</v>
      </c>
      <c r="BE81" s="86" t="b">
        <v>0</v>
      </c>
      <c r="BF81" s="86" t="b">
        <v>0</v>
      </c>
      <c r="BG81" s="86" t="b">
        <v>0</v>
      </c>
      <c r="BH81" s="86"/>
      <c r="BI81" s="86"/>
      <c r="BJ81" s="86" t="s">
        <v>29134</v>
      </c>
      <c r="BK81" s="86" t="b">
        <v>0</v>
      </c>
      <c r="BL81" s="86"/>
      <c r="BM81" s="86" t="s">
        <v>66</v>
      </c>
      <c r="BN81" s="86" t="s">
        <v>29136</v>
      </c>
      <c r="BO81" s="96" t="str">
        <f>HYPERLINK("https://twitter.com/victorb_l")</f>
        <v>https://twitter.com/victorb_l</v>
      </c>
      <c r="BP81" s="2"/>
    </row>
    <row r="82" spans="1:68" x14ac:dyDescent="0.25">
      <c r="A82" s="63" t="s">
        <v>295</v>
      </c>
      <c r="B82" s="64"/>
      <c r="C82" s="64"/>
      <c r="D82" s="65"/>
      <c r="E82" s="67"/>
      <c r="F82" s="111" t="str">
        <f>HYPERLINK("https://pbs.twimg.com/profile_images/1299039010002796557/V5CCfCnO_normal.jpg")</f>
        <v>https://pbs.twimg.com/profile_images/1299039010002796557/V5CCfCnO_normal.jpg</v>
      </c>
      <c r="G82" s="64"/>
      <c r="H82" s="68"/>
      <c r="I82" s="69"/>
      <c r="J82" s="69"/>
      <c r="K82" s="68" t="s">
        <v>29215</v>
      </c>
      <c r="L82" s="72"/>
      <c r="M82" s="73"/>
      <c r="N82" s="73"/>
      <c r="O82" s="74"/>
      <c r="P82" s="75"/>
      <c r="Q82" s="75"/>
      <c r="R82" s="102"/>
      <c r="S82" s="102"/>
      <c r="T82" s="102"/>
      <c r="U82" s="102"/>
      <c r="V82" s="48"/>
      <c r="W82" s="48"/>
      <c r="X82" s="48"/>
      <c r="Y82" s="48"/>
      <c r="Z82" s="47"/>
      <c r="AA82" s="70">
        <v>82</v>
      </c>
      <c r="AB82" s="70"/>
      <c r="AC82" s="71"/>
      <c r="AD82" s="86" t="s">
        <v>23721</v>
      </c>
      <c r="AE82" s="94" t="s">
        <v>22834</v>
      </c>
      <c r="AF82" s="86">
        <v>3</v>
      </c>
      <c r="AG82" s="86">
        <v>0</v>
      </c>
      <c r="AH82" s="86">
        <v>332</v>
      </c>
      <c r="AI82" s="86">
        <v>0</v>
      </c>
      <c r="AJ82" s="86">
        <v>1</v>
      </c>
      <c r="AK82" s="86">
        <v>332</v>
      </c>
      <c r="AL82" s="86" t="b">
        <v>0</v>
      </c>
      <c r="AM82" s="89">
        <v>44070.735821759263</v>
      </c>
      <c r="AN82" s="86" t="s">
        <v>25910</v>
      </c>
      <c r="AO82" s="86" t="s">
        <v>26497</v>
      </c>
      <c r="AP82" s="96" t="str">
        <f>HYPERLINK("https://t.co/0cmui1pKIu")</f>
        <v>https://t.co/0cmui1pKIu</v>
      </c>
      <c r="AQ82" s="96" t="str">
        <f>HYPERLINK("http://qualificaeducamais.com.br")</f>
        <v>http://qualificaeducamais.com.br</v>
      </c>
      <c r="AR82" s="86" t="s">
        <v>27954</v>
      </c>
      <c r="AS82" s="86"/>
      <c r="AT82" s="86"/>
      <c r="AU82" s="86"/>
      <c r="AV82" s="86"/>
      <c r="AW82" s="96" t="str">
        <f>HYPERLINK("https://t.co/0cmui1pKIu")</f>
        <v>https://t.co/0cmui1pKIu</v>
      </c>
      <c r="AX82" s="86" t="b">
        <v>0</v>
      </c>
      <c r="AY82" s="86"/>
      <c r="AZ82" s="86"/>
      <c r="BA82" s="86" t="b">
        <v>1</v>
      </c>
      <c r="BB82" s="86" t="b">
        <v>1</v>
      </c>
      <c r="BC82" s="86" t="b">
        <v>1</v>
      </c>
      <c r="BD82" s="86" t="b">
        <v>0</v>
      </c>
      <c r="BE82" s="86" t="b">
        <v>0</v>
      </c>
      <c r="BF82" s="86" t="b">
        <v>0</v>
      </c>
      <c r="BG82" s="86" t="b">
        <v>0</v>
      </c>
      <c r="BH82" s="96" t="str">
        <f>HYPERLINK("https://pbs.twimg.com/profile_banners/1299038801013112834/1598550211")</f>
        <v>https://pbs.twimg.com/profile_banners/1299038801013112834/1598550211</v>
      </c>
      <c r="BI82" s="86"/>
      <c r="BJ82" s="86" t="s">
        <v>29134</v>
      </c>
      <c r="BK82" s="86" t="b">
        <v>0</v>
      </c>
      <c r="BL82" s="86"/>
      <c r="BM82" s="86" t="s">
        <v>66</v>
      </c>
      <c r="BN82" s="86" t="s">
        <v>29136</v>
      </c>
      <c r="BO82" s="96" t="str">
        <f>HYPERLINK("https://twitter.com/qualificae")</f>
        <v>https://twitter.com/qualificae</v>
      </c>
      <c r="BP82" s="2"/>
    </row>
    <row r="83" spans="1:68" x14ac:dyDescent="0.25">
      <c r="A83" s="63" t="s">
        <v>296</v>
      </c>
      <c r="B83" s="64"/>
      <c r="C83" s="64"/>
      <c r="D83" s="65"/>
      <c r="E83" s="67"/>
      <c r="F83" s="111" t="str">
        <f>HYPERLINK("https://pbs.twimg.com/profile_images/1586035281744068608/UzE2VLX4_normal.jpg")</f>
        <v>https://pbs.twimg.com/profile_images/1586035281744068608/UzE2VLX4_normal.jpg</v>
      </c>
      <c r="G83" s="64"/>
      <c r="H83" s="68"/>
      <c r="I83" s="69"/>
      <c r="J83" s="69"/>
      <c r="K83" s="68" t="s">
        <v>29216</v>
      </c>
      <c r="L83" s="72"/>
      <c r="M83" s="73"/>
      <c r="N83" s="73"/>
      <c r="O83" s="74"/>
      <c r="P83" s="75"/>
      <c r="Q83" s="75"/>
      <c r="R83" s="102"/>
      <c r="S83" s="102"/>
      <c r="T83" s="102"/>
      <c r="U83" s="102"/>
      <c r="V83" s="48"/>
      <c r="W83" s="48"/>
      <c r="X83" s="48"/>
      <c r="Y83" s="48"/>
      <c r="Z83" s="47"/>
      <c r="AA83" s="70">
        <v>83</v>
      </c>
      <c r="AB83" s="70"/>
      <c r="AC83" s="71"/>
      <c r="AD83" s="86" t="s">
        <v>23722</v>
      </c>
      <c r="AE83" s="94" t="s">
        <v>22835</v>
      </c>
      <c r="AF83" s="86">
        <v>1</v>
      </c>
      <c r="AG83" s="86">
        <v>59</v>
      </c>
      <c r="AH83" s="86">
        <v>278</v>
      </c>
      <c r="AI83" s="86">
        <v>2</v>
      </c>
      <c r="AJ83" s="86">
        <v>93</v>
      </c>
      <c r="AK83" s="86">
        <v>139</v>
      </c>
      <c r="AL83" s="86" t="b">
        <v>0</v>
      </c>
      <c r="AM83" s="89">
        <v>44858.124560185184</v>
      </c>
      <c r="AN83" s="86" t="s">
        <v>15243</v>
      </c>
      <c r="AO83" s="86" t="s">
        <v>26498</v>
      </c>
      <c r="AP83" s="96" t="str">
        <f>HYPERLINK("https://t.co/dzPgRUmTYI")</f>
        <v>https://t.co/dzPgRUmTYI</v>
      </c>
      <c r="AQ83" s="96" t="str">
        <f>HYPERLINK("https://keepo.io/mah")</f>
        <v>https://keepo.io/mah</v>
      </c>
      <c r="AR83" s="86" t="s">
        <v>27955</v>
      </c>
      <c r="AS83" s="86"/>
      <c r="AT83" s="86"/>
      <c r="AU83" s="86"/>
      <c r="AV83" s="86">
        <v>1.6756252026280399E+18</v>
      </c>
      <c r="AW83" s="96" t="str">
        <f>HYPERLINK("https://t.co/dzPgRUmTYI")</f>
        <v>https://t.co/dzPgRUmTYI</v>
      </c>
      <c r="AX83" s="86" t="b">
        <v>0</v>
      </c>
      <c r="AY83" s="86"/>
      <c r="AZ83" s="86"/>
      <c r="BA83" s="86" t="b">
        <v>1</v>
      </c>
      <c r="BB83" s="86" t="b">
        <v>1</v>
      </c>
      <c r="BC83" s="86" t="b">
        <v>1</v>
      </c>
      <c r="BD83" s="86" t="b">
        <v>0</v>
      </c>
      <c r="BE83" s="86" t="b">
        <v>1</v>
      </c>
      <c r="BF83" s="86" t="b">
        <v>0</v>
      </c>
      <c r="BG83" s="86" t="b">
        <v>0</v>
      </c>
      <c r="BH83" s="96" t="str">
        <f>HYPERLINK("https://pbs.twimg.com/profile_banners/1584378871046197248/1666975264")</f>
        <v>https://pbs.twimg.com/profile_banners/1584378871046197248/1666975264</v>
      </c>
      <c r="BI83" s="86"/>
      <c r="BJ83" s="86" t="s">
        <v>29134</v>
      </c>
      <c r="BK83" s="86" t="b">
        <v>0</v>
      </c>
      <c r="BL83" s="86"/>
      <c r="BM83" s="86" t="s">
        <v>66</v>
      </c>
      <c r="BN83" s="86" t="s">
        <v>29136</v>
      </c>
      <c r="BO83" s="96" t="str">
        <f>HYPERLINK("https://twitter.com/maradib10")</f>
        <v>https://twitter.com/maradib10</v>
      </c>
      <c r="BP83" s="2"/>
    </row>
    <row r="84" spans="1:68" x14ac:dyDescent="0.25">
      <c r="A84" s="63" t="s">
        <v>297</v>
      </c>
      <c r="B84" s="64"/>
      <c r="C84" s="64"/>
      <c r="D84" s="65"/>
      <c r="E84" s="67"/>
      <c r="F84" s="111" t="str">
        <f>HYPERLINK("https://pbs.twimg.com/profile_images/1080875676574593030/MRPiRPh6_normal.jpg")</f>
        <v>https://pbs.twimg.com/profile_images/1080875676574593030/MRPiRPh6_normal.jpg</v>
      </c>
      <c r="G84" s="64"/>
      <c r="H84" s="68"/>
      <c r="I84" s="69"/>
      <c r="J84" s="69"/>
      <c r="K84" s="68" t="s">
        <v>29217</v>
      </c>
      <c r="L84" s="72"/>
      <c r="M84" s="73"/>
      <c r="N84" s="73"/>
      <c r="O84" s="74"/>
      <c r="P84" s="75"/>
      <c r="Q84" s="75"/>
      <c r="R84" s="102"/>
      <c r="S84" s="102"/>
      <c r="T84" s="102"/>
      <c r="U84" s="102"/>
      <c r="V84" s="48"/>
      <c r="W84" s="48"/>
      <c r="X84" s="48"/>
      <c r="Y84" s="48"/>
      <c r="Z84" s="47"/>
      <c r="AA84" s="70">
        <v>84</v>
      </c>
      <c r="AB84" s="70"/>
      <c r="AC84" s="71"/>
      <c r="AD84" s="86" t="s">
        <v>23723</v>
      </c>
      <c r="AE84" s="94" t="s">
        <v>22836</v>
      </c>
      <c r="AF84" s="86">
        <v>747</v>
      </c>
      <c r="AG84" s="86">
        <v>29</v>
      </c>
      <c r="AH84" s="86">
        <v>3049</v>
      </c>
      <c r="AI84" s="86">
        <v>1</v>
      </c>
      <c r="AJ84" s="86">
        <v>155</v>
      </c>
      <c r="AK84" s="86">
        <v>2780</v>
      </c>
      <c r="AL84" s="86" t="b">
        <v>0</v>
      </c>
      <c r="AM84" s="89">
        <v>43399.980370370373</v>
      </c>
      <c r="AN84" s="86" t="s">
        <v>25911</v>
      </c>
      <c r="AO84" s="86" t="s">
        <v>26499</v>
      </c>
      <c r="AP84" s="96" t="str">
        <f>HYPERLINK("https://t.co/QoGRh5Wwmi")</f>
        <v>https://t.co/QoGRh5Wwmi</v>
      </c>
      <c r="AQ84" s="96" t="str">
        <f>HYPERLINK("http://www.facebook.com/sonogama")</f>
        <v>http://www.facebook.com/sonogama</v>
      </c>
      <c r="AR84" s="86" t="s">
        <v>27956</v>
      </c>
      <c r="AS84" s="86"/>
      <c r="AT84" s="86"/>
      <c r="AU84" s="86"/>
      <c r="AV84" s="86"/>
      <c r="AW84" s="96" t="str">
        <f>HYPERLINK("https://t.co/QoGRh5Wwmi")</f>
        <v>https://t.co/QoGRh5Wwmi</v>
      </c>
      <c r="AX84" s="86" t="b">
        <v>0</v>
      </c>
      <c r="AY84" s="86"/>
      <c r="AZ84" s="86"/>
      <c r="BA84" s="86" t="b">
        <v>0</v>
      </c>
      <c r="BB84" s="86" t="b">
        <v>1</v>
      </c>
      <c r="BC84" s="86" t="b">
        <v>1</v>
      </c>
      <c r="BD84" s="86" t="b">
        <v>0</v>
      </c>
      <c r="BE84" s="86" t="b">
        <v>0</v>
      </c>
      <c r="BF84" s="86" t="b">
        <v>0</v>
      </c>
      <c r="BG84" s="86" t="b">
        <v>0</v>
      </c>
      <c r="BH84" s="96" t="str">
        <f>HYPERLINK("https://pbs.twimg.com/profile_banners/1055965231736860673/1546536163")</f>
        <v>https://pbs.twimg.com/profile_banners/1055965231736860673/1546536163</v>
      </c>
      <c r="BI84" s="86"/>
      <c r="BJ84" s="86" t="s">
        <v>29134</v>
      </c>
      <c r="BK84" s="86" t="b">
        <v>0</v>
      </c>
      <c r="BL84" s="86"/>
      <c r="BM84" s="86" t="s">
        <v>66</v>
      </c>
      <c r="BN84" s="86" t="s">
        <v>29136</v>
      </c>
      <c r="BO84" s="96" t="str">
        <f>HYPERLINK("https://twitter.com/sonogama")</f>
        <v>https://twitter.com/sonogama</v>
      </c>
      <c r="BP84" s="2"/>
    </row>
    <row r="85" spans="1:68" x14ac:dyDescent="0.25">
      <c r="A85" s="63" t="s">
        <v>298</v>
      </c>
      <c r="B85" s="64"/>
      <c r="C85" s="64"/>
      <c r="D85" s="65"/>
      <c r="E85" s="67"/>
      <c r="F85" s="111" t="str">
        <f>HYPERLINK("https://pbs.twimg.com/profile_images/1665445576748552193/ICeb71cu_normal.jpg")</f>
        <v>https://pbs.twimg.com/profile_images/1665445576748552193/ICeb71cu_normal.jpg</v>
      </c>
      <c r="G85" s="64"/>
      <c r="H85" s="68"/>
      <c r="I85" s="69"/>
      <c r="J85" s="69"/>
      <c r="K85" s="68" t="s">
        <v>29218</v>
      </c>
      <c r="L85" s="72"/>
      <c r="M85" s="73"/>
      <c r="N85" s="73"/>
      <c r="O85" s="74"/>
      <c r="P85" s="75"/>
      <c r="Q85" s="75"/>
      <c r="R85" s="102"/>
      <c r="S85" s="102"/>
      <c r="T85" s="102"/>
      <c r="U85" s="102"/>
      <c r="V85" s="48"/>
      <c r="W85" s="48"/>
      <c r="X85" s="48"/>
      <c r="Y85" s="48"/>
      <c r="Z85" s="47"/>
      <c r="AA85" s="70">
        <v>85</v>
      </c>
      <c r="AB85" s="70"/>
      <c r="AC85" s="71"/>
      <c r="AD85" s="86" t="s">
        <v>23724</v>
      </c>
      <c r="AE85" s="94" t="s">
        <v>25245</v>
      </c>
      <c r="AF85" s="86">
        <v>259</v>
      </c>
      <c r="AG85" s="86">
        <v>282</v>
      </c>
      <c r="AH85" s="86">
        <v>15687</v>
      </c>
      <c r="AI85" s="86">
        <v>2</v>
      </c>
      <c r="AJ85" s="86">
        <v>32426</v>
      </c>
      <c r="AK85" s="86">
        <v>1074</v>
      </c>
      <c r="AL85" s="86" t="b">
        <v>0</v>
      </c>
      <c r="AM85" s="89">
        <v>40165.790868055556</v>
      </c>
      <c r="AN85" s="86"/>
      <c r="AO85" s="86" t="s">
        <v>26500</v>
      </c>
      <c r="AP85" s="86"/>
      <c r="AQ85" s="86"/>
      <c r="AR85" s="86"/>
      <c r="AS85" s="86"/>
      <c r="AT85" s="86"/>
      <c r="AU85" s="86"/>
      <c r="AV85" s="86"/>
      <c r="AW85" s="86"/>
      <c r="AX85" s="86" t="b">
        <v>0</v>
      </c>
      <c r="AY85" s="86"/>
      <c r="AZ85" s="86"/>
      <c r="BA85" s="86" t="b">
        <v>0</v>
      </c>
      <c r="BB85" s="86" t="b">
        <v>0</v>
      </c>
      <c r="BC85" s="86" t="b">
        <v>0</v>
      </c>
      <c r="BD85" s="86" t="b">
        <v>0</v>
      </c>
      <c r="BE85" s="86" t="b">
        <v>1</v>
      </c>
      <c r="BF85" s="86" t="b">
        <v>0</v>
      </c>
      <c r="BG85" s="86" t="b">
        <v>0</v>
      </c>
      <c r="BH85" s="96" t="str">
        <f>HYPERLINK("https://pbs.twimg.com/profile_banners/97727197/1665092847")</f>
        <v>https://pbs.twimg.com/profile_banners/97727197/1665092847</v>
      </c>
      <c r="BI85" s="86"/>
      <c r="BJ85" s="86" t="s">
        <v>29134</v>
      </c>
      <c r="BK85" s="86" t="b">
        <v>0</v>
      </c>
      <c r="BL85" s="86"/>
      <c r="BM85" s="86" t="s">
        <v>66</v>
      </c>
      <c r="BN85" s="86" t="s">
        <v>29136</v>
      </c>
      <c r="BO85" s="96" t="str">
        <f>HYPERLINK("https://twitter.com/jqlntls")</f>
        <v>https://twitter.com/jqlntls</v>
      </c>
      <c r="BP85" s="2"/>
    </row>
    <row r="86" spans="1:68" x14ac:dyDescent="0.25">
      <c r="A86" s="63" t="s">
        <v>299</v>
      </c>
      <c r="B86" s="64"/>
      <c r="C86" s="64"/>
      <c r="D86" s="65"/>
      <c r="E86" s="67"/>
      <c r="F86" s="111" t="str">
        <f>HYPERLINK("https://pbs.twimg.com/profile_images/1679277080784035841/KpIon8Y1_normal.jpg")</f>
        <v>https://pbs.twimg.com/profile_images/1679277080784035841/KpIon8Y1_normal.jpg</v>
      </c>
      <c r="G86" s="64"/>
      <c r="H86" s="68"/>
      <c r="I86" s="69"/>
      <c r="J86" s="69"/>
      <c r="K86" s="68" t="s">
        <v>29219</v>
      </c>
      <c r="L86" s="72"/>
      <c r="M86" s="73"/>
      <c r="N86" s="73"/>
      <c r="O86" s="74"/>
      <c r="P86" s="75"/>
      <c r="Q86" s="75"/>
      <c r="R86" s="102"/>
      <c r="S86" s="102"/>
      <c r="T86" s="102"/>
      <c r="U86" s="102"/>
      <c r="V86" s="48"/>
      <c r="W86" s="48"/>
      <c r="X86" s="48"/>
      <c r="Y86" s="48"/>
      <c r="Z86" s="47"/>
      <c r="AA86" s="70">
        <v>86</v>
      </c>
      <c r="AB86" s="70"/>
      <c r="AC86" s="71"/>
      <c r="AD86" s="86" t="s">
        <v>23725</v>
      </c>
      <c r="AE86" s="94" t="s">
        <v>22837</v>
      </c>
      <c r="AF86" s="86">
        <v>3</v>
      </c>
      <c r="AG86" s="86">
        <v>5</v>
      </c>
      <c r="AH86" s="86">
        <v>146</v>
      </c>
      <c r="AI86" s="86">
        <v>0</v>
      </c>
      <c r="AJ86" s="86">
        <v>168</v>
      </c>
      <c r="AK86" s="86">
        <v>92</v>
      </c>
      <c r="AL86" s="86" t="b">
        <v>0</v>
      </c>
      <c r="AM86" s="89">
        <v>45040.674571759257</v>
      </c>
      <c r="AN86" s="86" t="s">
        <v>25912</v>
      </c>
      <c r="AO86" s="86" t="s">
        <v>26501</v>
      </c>
      <c r="AP86" s="96" t="str">
        <f>HYPERLINK("https://t.co/1TDqafER7j")</f>
        <v>https://t.co/1TDqafER7j</v>
      </c>
      <c r="AQ86" s="96" t="str">
        <f>HYPERLINK("https://wa.me/message/46D2PRVSS2Y2I1")</f>
        <v>https://wa.me/message/46D2PRVSS2Y2I1</v>
      </c>
      <c r="AR86" s="86" t="s">
        <v>27957</v>
      </c>
      <c r="AS86" s="86"/>
      <c r="AT86" s="86"/>
      <c r="AU86" s="86"/>
      <c r="AV86" s="86"/>
      <c r="AW86" s="96" t="str">
        <f>HYPERLINK("https://t.co/1TDqafER7j")</f>
        <v>https://t.co/1TDqafER7j</v>
      </c>
      <c r="AX86" s="86" t="b">
        <v>0</v>
      </c>
      <c r="AY86" s="86"/>
      <c r="AZ86" s="86"/>
      <c r="BA86" s="86" t="b">
        <v>0</v>
      </c>
      <c r="BB86" s="86" t="b">
        <v>1</v>
      </c>
      <c r="BC86" s="86" t="b">
        <v>1</v>
      </c>
      <c r="BD86" s="86" t="b">
        <v>0</v>
      </c>
      <c r="BE86" s="86" t="b">
        <v>0</v>
      </c>
      <c r="BF86" s="86" t="b">
        <v>0</v>
      </c>
      <c r="BG86" s="86" t="b">
        <v>0</v>
      </c>
      <c r="BH86" s="86"/>
      <c r="BI86" s="86"/>
      <c r="BJ86" s="86" t="s">
        <v>29134</v>
      </c>
      <c r="BK86" s="86" t="b">
        <v>0</v>
      </c>
      <c r="BL86" s="86"/>
      <c r="BM86" s="86" t="s">
        <v>66</v>
      </c>
      <c r="BN86" s="86" t="s">
        <v>29136</v>
      </c>
      <c r="BO86" s="96" t="str">
        <f>HYPERLINK("https://twitter.com/nalydja_gomes")</f>
        <v>https://twitter.com/nalydja_gomes</v>
      </c>
      <c r="BP86" s="2"/>
    </row>
    <row r="87" spans="1:68" x14ac:dyDescent="0.25">
      <c r="A87" s="63" t="s">
        <v>300</v>
      </c>
      <c r="B87" s="64"/>
      <c r="C87" s="64"/>
      <c r="D87" s="65"/>
      <c r="E87" s="67"/>
      <c r="F87" s="111" t="str">
        <f>HYPERLINK("https://pbs.twimg.com/profile_images/1518774855247843329/kwEmQVlH_normal.jpg")</f>
        <v>https://pbs.twimg.com/profile_images/1518774855247843329/kwEmQVlH_normal.jpg</v>
      </c>
      <c r="G87" s="64"/>
      <c r="H87" s="68"/>
      <c r="I87" s="69"/>
      <c r="J87" s="69"/>
      <c r="K87" s="68" t="s">
        <v>29220</v>
      </c>
      <c r="L87" s="72"/>
      <c r="M87" s="73"/>
      <c r="N87" s="73"/>
      <c r="O87" s="74"/>
      <c r="P87" s="75"/>
      <c r="Q87" s="75"/>
      <c r="R87" s="102"/>
      <c r="S87" s="102"/>
      <c r="T87" s="102"/>
      <c r="U87" s="102"/>
      <c r="V87" s="48"/>
      <c r="W87" s="48"/>
      <c r="X87" s="48"/>
      <c r="Y87" s="48"/>
      <c r="Z87" s="47"/>
      <c r="AA87" s="70">
        <v>87</v>
      </c>
      <c r="AB87" s="70"/>
      <c r="AC87" s="71"/>
      <c r="AD87" s="86" t="s">
        <v>23726</v>
      </c>
      <c r="AE87" s="94" t="s">
        <v>22838</v>
      </c>
      <c r="AF87" s="86">
        <v>2</v>
      </c>
      <c r="AG87" s="86">
        <v>34</v>
      </c>
      <c r="AH87" s="86">
        <v>74</v>
      </c>
      <c r="AI87" s="86">
        <v>0</v>
      </c>
      <c r="AJ87" s="86">
        <v>465</v>
      </c>
      <c r="AK87" s="86">
        <v>8</v>
      </c>
      <c r="AL87" s="86" t="b">
        <v>0</v>
      </c>
      <c r="AM87" s="89">
        <v>44677.084467592591</v>
      </c>
      <c r="AN87" s="86"/>
      <c r="AO87" s="86"/>
      <c r="AP87" s="86"/>
      <c r="AQ87" s="86"/>
      <c r="AR87" s="86"/>
      <c r="AS87" s="86"/>
      <c r="AT87" s="86"/>
      <c r="AU87" s="86"/>
      <c r="AV87" s="86"/>
      <c r="AW87" s="86"/>
      <c r="AX87" s="86" t="b">
        <v>0</v>
      </c>
      <c r="AY87" s="86"/>
      <c r="AZ87" s="86"/>
      <c r="BA87" s="86" t="b">
        <v>0</v>
      </c>
      <c r="BB87" s="86" t="b">
        <v>1</v>
      </c>
      <c r="BC87" s="86" t="b">
        <v>1</v>
      </c>
      <c r="BD87" s="86" t="b">
        <v>0</v>
      </c>
      <c r="BE87" s="86" t="b">
        <v>0</v>
      </c>
      <c r="BF87" s="86" t="b">
        <v>0</v>
      </c>
      <c r="BG87" s="86" t="b">
        <v>0</v>
      </c>
      <c r="BH87" s="96" t="str">
        <f>HYPERLINK("https://pbs.twimg.com/profile_banners/1518772123489165314/1650939128")</f>
        <v>https://pbs.twimg.com/profile_banners/1518772123489165314/1650939128</v>
      </c>
      <c r="BI87" s="86"/>
      <c r="BJ87" s="86" t="s">
        <v>29134</v>
      </c>
      <c r="BK87" s="86" t="b">
        <v>0</v>
      </c>
      <c r="BL87" s="86"/>
      <c r="BM87" s="86" t="s">
        <v>66</v>
      </c>
      <c r="BN87" s="86" t="s">
        <v>29136</v>
      </c>
      <c r="BO87" s="96" t="str">
        <f>HYPERLINK("https://twitter.com/beckamaced0")</f>
        <v>https://twitter.com/beckamaced0</v>
      </c>
      <c r="BP87" s="2"/>
    </row>
    <row r="88" spans="1:68" x14ac:dyDescent="0.25">
      <c r="A88" s="63" t="s">
        <v>301</v>
      </c>
      <c r="B88" s="64"/>
      <c r="C88" s="64"/>
      <c r="D88" s="65"/>
      <c r="E88" s="67"/>
      <c r="F88" s="111" t="str">
        <f>HYPERLINK("https://pbs.twimg.com/profile_images/1689019235555504128/9dvlO7GU_normal.png")</f>
        <v>https://pbs.twimg.com/profile_images/1689019235555504128/9dvlO7GU_normal.png</v>
      </c>
      <c r="G88" s="64"/>
      <c r="H88" s="68"/>
      <c r="I88" s="69"/>
      <c r="J88" s="69"/>
      <c r="K88" s="68" t="s">
        <v>29221</v>
      </c>
      <c r="L88" s="72"/>
      <c r="M88" s="73"/>
      <c r="N88" s="73"/>
      <c r="O88" s="74"/>
      <c r="P88" s="75"/>
      <c r="Q88" s="75"/>
      <c r="R88" s="102"/>
      <c r="S88" s="102"/>
      <c r="T88" s="102"/>
      <c r="U88" s="102"/>
      <c r="V88" s="48"/>
      <c r="W88" s="48"/>
      <c r="X88" s="48"/>
      <c r="Y88" s="48"/>
      <c r="Z88" s="47"/>
      <c r="AA88" s="70">
        <v>88</v>
      </c>
      <c r="AB88" s="70"/>
      <c r="AC88" s="71"/>
      <c r="AD88" s="86" t="s">
        <v>23727</v>
      </c>
      <c r="AE88" s="94" t="s">
        <v>22839</v>
      </c>
      <c r="AF88" s="86">
        <v>3</v>
      </c>
      <c r="AG88" s="86">
        <v>2</v>
      </c>
      <c r="AH88" s="86">
        <v>29</v>
      </c>
      <c r="AI88" s="86">
        <v>0</v>
      </c>
      <c r="AJ88" s="86">
        <v>0</v>
      </c>
      <c r="AK88" s="86">
        <v>14</v>
      </c>
      <c r="AL88" s="86" t="b">
        <v>0</v>
      </c>
      <c r="AM88" s="89">
        <v>45146.876620370371</v>
      </c>
      <c r="AN88" s="86"/>
      <c r="AO88" s="86"/>
      <c r="AP88" s="86"/>
      <c r="AQ88" s="86"/>
      <c r="AR88" s="86"/>
      <c r="AS88" s="86"/>
      <c r="AT88" s="86"/>
      <c r="AU88" s="86"/>
      <c r="AV88" s="86"/>
      <c r="AW88" s="86"/>
      <c r="AX88" s="86" t="b">
        <v>0</v>
      </c>
      <c r="AY88" s="86"/>
      <c r="AZ88" s="86"/>
      <c r="BA88" s="86" t="b">
        <v>0</v>
      </c>
      <c r="BB88" s="86" t="b">
        <v>1</v>
      </c>
      <c r="BC88" s="86" t="b">
        <v>1</v>
      </c>
      <c r="BD88" s="86" t="b">
        <v>0</v>
      </c>
      <c r="BE88" s="86" t="b">
        <v>0</v>
      </c>
      <c r="BF88" s="86" t="b">
        <v>0</v>
      </c>
      <c r="BG88" s="86" t="b">
        <v>0</v>
      </c>
      <c r="BH88" s="86"/>
      <c r="BI88" s="86"/>
      <c r="BJ88" s="86" t="s">
        <v>29134</v>
      </c>
      <c r="BK88" s="86" t="b">
        <v>0</v>
      </c>
      <c r="BL88" s="86"/>
      <c r="BM88" s="86" t="s">
        <v>66</v>
      </c>
      <c r="BN88" s="86" t="s">
        <v>29136</v>
      </c>
      <c r="BO88" s="96" t="str">
        <f>HYPERLINK("https://twitter.com/sucessoativado")</f>
        <v>https://twitter.com/sucessoativado</v>
      </c>
      <c r="BP88" s="2"/>
    </row>
    <row r="89" spans="1:68" x14ac:dyDescent="0.25">
      <c r="A89" s="63" t="s">
        <v>302</v>
      </c>
      <c r="B89" s="64"/>
      <c r="C89" s="64"/>
      <c r="D89" s="65"/>
      <c r="E89" s="67"/>
      <c r="F89" s="111" t="str">
        <f>HYPERLINK("https://pbs.twimg.com/profile_images/1587780582670585857/6Ji54Fj6_normal.jpg")</f>
        <v>https://pbs.twimg.com/profile_images/1587780582670585857/6Ji54Fj6_normal.jpg</v>
      </c>
      <c r="G89" s="64"/>
      <c r="H89" s="68"/>
      <c r="I89" s="69"/>
      <c r="J89" s="69"/>
      <c r="K89" s="68" t="s">
        <v>29222</v>
      </c>
      <c r="L89" s="72"/>
      <c r="M89" s="73"/>
      <c r="N89" s="73"/>
      <c r="O89" s="74"/>
      <c r="P89" s="75"/>
      <c r="Q89" s="75"/>
      <c r="R89" s="102"/>
      <c r="S89" s="102"/>
      <c r="T89" s="102"/>
      <c r="U89" s="102"/>
      <c r="V89" s="48"/>
      <c r="W89" s="48"/>
      <c r="X89" s="48"/>
      <c r="Y89" s="48"/>
      <c r="Z89" s="47"/>
      <c r="AA89" s="70">
        <v>89</v>
      </c>
      <c r="AB89" s="70"/>
      <c r="AC89" s="71"/>
      <c r="AD89" s="86" t="s">
        <v>23728</v>
      </c>
      <c r="AE89" s="94" t="s">
        <v>25246</v>
      </c>
      <c r="AF89" s="86">
        <v>769</v>
      </c>
      <c r="AG89" s="86">
        <v>1367</v>
      </c>
      <c r="AH89" s="86">
        <v>13017</v>
      </c>
      <c r="AI89" s="86">
        <v>56</v>
      </c>
      <c r="AJ89" s="86">
        <v>19922</v>
      </c>
      <c r="AK89" s="86">
        <v>594</v>
      </c>
      <c r="AL89" s="86" t="b">
        <v>0</v>
      </c>
      <c r="AM89" s="89">
        <v>39890.017997685187</v>
      </c>
      <c r="AN89" s="86"/>
      <c r="AO89" s="86" t="s">
        <v>26502</v>
      </c>
      <c r="AP89" s="86"/>
      <c r="AQ89" s="86"/>
      <c r="AR89" s="86"/>
      <c r="AS89" s="86"/>
      <c r="AT89" s="86"/>
      <c r="AU89" s="86"/>
      <c r="AV89" s="86">
        <v>1.6180873649367199E+18</v>
      </c>
      <c r="AW89" s="86"/>
      <c r="AX89" s="86" t="b">
        <v>0</v>
      </c>
      <c r="AY89" s="86"/>
      <c r="AZ89" s="86"/>
      <c r="BA89" s="86" t="b">
        <v>0</v>
      </c>
      <c r="BB89" s="86" t="b">
        <v>0</v>
      </c>
      <c r="BC89" s="86" t="b">
        <v>0</v>
      </c>
      <c r="BD89" s="86" t="b">
        <v>0</v>
      </c>
      <c r="BE89" s="86" t="b">
        <v>1</v>
      </c>
      <c r="BF89" s="86" t="b">
        <v>0</v>
      </c>
      <c r="BG89" s="86" t="b">
        <v>0</v>
      </c>
      <c r="BH89" s="96" t="str">
        <f>HYPERLINK("https://pbs.twimg.com/profile_banners/24990422/1666275715")</f>
        <v>https://pbs.twimg.com/profile_banners/24990422/1666275715</v>
      </c>
      <c r="BI89" s="86"/>
      <c r="BJ89" s="86" t="s">
        <v>29134</v>
      </c>
      <c r="BK89" s="86" t="b">
        <v>0</v>
      </c>
      <c r="BL89" s="86"/>
      <c r="BM89" s="86" t="s">
        <v>66</v>
      </c>
      <c r="BN89" s="86" t="s">
        <v>29136</v>
      </c>
      <c r="BO89" s="96" t="str">
        <f>HYPERLINK("https://twitter.com/megeam")</f>
        <v>https://twitter.com/megeam</v>
      </c>
      <c r="BP89" s="2"/>
    </row>
    <row r="90" spans="1:68" x14ac:dyDescent="0.25">
      <c r="A90" s="63" t="s">
        <v>1086</v>
      </c>
      <c r="B90" s="64"/>
      <c r="C90" s="64"/>
      <c r="D90" s="65"/>
      <c r="E90" s="67"/>
      <c r="F90" s="111" t="str">
        <f>HYPERLINK("https://pbs.twimg.com/profile_images/1371334193653936131/dMcIK9eG_normal.jpg")</f>
        <v>https://pbs.twimg.com/profile_images/1371334193653936131/dMcIK9eG_normal.jpg</v>
      </c>
      <c r="G90" s="64"/>
      <c r="H90" s="68"/>
      <c r="I90" s="69"/>
      <c r="J90" s="69"/>
      <c r="K90" s="68" t="s">
        <v>29223</v>
      </c>
      <c r="L90" s="72"/>
      <c r="M90" s="73"/>
      <c r="N90" s="73"/>
      <c r="O90" s="74"/>
      <c r="P90" s="75"/>
      <c r="Q90" s="75"/>
      <c r="R90" s="102"/>
      <c r="S90" s="102"/>
      <c r="T90" s="102"/>
      <c r="U90" s="102"/>
      <c r="V90" s="48"/>
      <c r="W90" s="48"/>
      <c r="X90" s="48"/>
      <c r="Y90" s="48"/>
      <c r="Z90" s="47"/>
      <c r="AA90" s="70">
        <v>90</v>
      </c>
      <c r="AB90" s="70"/>
      <c r="AC90" s="71"/>
      <c r="AD90" s="86" t="s">
        <v>23729</v>
      </c>
      <c r="AE90" s="94" t="s">
        <v>25247</v>
      </c>
      <c r="AF90" s="86">
        <v>86396</v>
      </c>
      <c r="AG90" s="86">
        <v>905</v>
      </c>
      <c r="AH90" s="86">
        <v>4516</v>
      </c>
      <c r="AI90" s="86">
        <v>112</v>
      </c>
      <c r="AJ90" s="86">
        <v>179</v>
      </c>
      <c r="AK90" s="86">
        <v>1019</v>
      </c>
      <c r="AL90" s="86" t="b">
        <v>0</v>
      </c>
      <c r="AM90" s="89">
        <v>41834.598275462966</v>
      </c>
      <c r="AN90" s="86" t="s">
        <v>25913</v>
      </c>
      <c r="AO90" s="86" t="s">
        <v>26503</v>
      </c>
      <c r="AP90" s="96" t="str">
        <f>HYPERLINK("https://t.co/mOWqXjaiSF")</f>
        <v>https://t.co/mOWqXjaiSF</v>
      </c>
      <c r="AQ90" s="96" t="str">
        <f>HYPERLINK("http://www.andrelajst.com")</f>
        <v>http://www.andrelajst.com</v>
      </c>
      <c r="AR90" s="86" t="s">
        <v>27958</v>
      </c>
      <c r="AS90" s="86"/>
      <c r="AT90" s="86"/>
      <c r="AU90" s="86"/>
      <c r="AV90" s="86">
        <v>1.4222035457685601E+18</v>
      </c>
      <c r="AW90" s="96" t="str">
        <f>HYPERLINK("https://t.co/mOWqXjaiSF")</f>
        <v>https://t.co/mOWqXjaiSF</v>
      </c>
      <c r="AX90" s="86" t="b">
        <v>1</v>
      </c>
      <c r="AY90" s="86"/>
      <c r="AZ90" s="86"/>
      <c r="BA90" s="86" t="b">
        <v>1</v>
      </c>
      <c r="BB90" s="86" t="b">
        <v>1</v>
      </c>
      <c r="BC90" s="86" t="b">
        <v>1</v>
      </c>
      <c r="BD90" s="86" t="b">
        <v>0</v>
      </c>
      <c r="BE90" s="86" t="b">
        <v>0</v>
      </c>
      <c r="BF90" s="86" t="b">
        <v>0</v>
      </c>
      <c r="BG90" s="86" t="b">
        <v>0</v>
      </c>
      <c r="BH90" s="96" t="str">
        <f>HYPERLINK("https://pbs.twimg.com/profile_banners/2645566484/1590085150")</f>
        <v>https://pbs.twimg.com/profile_banners/2645566484/1590085150</v>
      </c>
      <c r="BI90" s="86"/>
      <c r="BJ90" s="86" t="s">
        <v>29134</v>
      </c>
      <c r="BK90" s="86" t="b">
        <v>0</v>
      </c>
      <c r="BL90" s="86"/>
      <c r="BM90" s="86" t="s">
        <v>66</v>
      </c>
      <c r="BN90" s="86" t="s">
        <v>29136</v>
      </c>
      <c r="BO90" s="96" t="str">
        <f>HYPERLINK("https://twitter.com/andrelajst")</f>
        <v>https://twitter.com/andrelajst</v>
      </c>
      <c r="BP90" s="2"/>
    </row>
    <row r="91" spans="1:68" x14ac:dyDescent="0.25">
      <c r="A91" s="63" t="s">
        <v>303</v>
      </c>
      <c r="B91" s="64"/>
      <c r="C91" s="64"/>
      <c r="D91" s="65"/>
      <c r="E91" s="67"/>
      <c r="F91" s="111" t="str">
        <f>HYPERLINK("https://pbs.twimg.com/profile_images/1469017865487630339/53d4she9_normal.jpg")</f>
        <v>https://pbs.twimg.com/profile_images/1469017865487630339/53d4she9_normal.jpg</v>
      </c>
      <c r="G91" s="64"/>
      <c r="H91" s="68"/>
      <c r="I91" s="69"/>
      <c r="J91" s="69"/>
      <c r="K91" s="68" t="s">
        <v>29224</v>
      </c>
      <c r="L91" s="72"/>
      <c r="M91" s="73"/>
      <c r="N91" s="73"/>
      <c r="O91" s="74"/>
      <c r="P91" s="75"/>
      <c r="Q91" s="75"/>
      <c r="R91" s="102"/>
      <c r="S91" s="102"/>
      <c r="T91" s="102"/>
      <c r="U91" s="102"/>
      <c r="V91" s="48"/>
      <c r="W91" s="48"/>
      <c r="X91" s="48"/>
      <c r="Y91" s="48"/>
      <c r="Z91" s="47"/>
      <c r="AA91" s="70">
        <v>91</v>
      </c>
      <c r="AB91" s="70"/>
      <c r="AC91" s="71"/>
      <c r="AD91" s="86" t="s">
        <v>23730</v>
      </c>
      <c r="AE91" s="94" t="s">
        <v>22840</v>
      </c>
      <c r="AF91" s="86">
        <v>8</v>
      </c>
      <c r="AG91" s="86">
        <v>65</v>
      </c>
      <c r="AH91" s="86">
        <v>557</v>
      </c>
      <c r="AI91" s="86">
        <v>0</v>
      </c>
      <c r="AJ91" s="86">
        <v>114</v>
      </c>
      <c r="AK91" s="86">
        <v>422</v>
      </c>
      <c r="AL91" s="86" t="b">
        <v>0</v>
      </c>
      <c r="AM91" s="89">
        <v>43384.684895833336</v>
      </c>
      <c r="AN91" s="86" t="s">
        <v>15244</v>
      </c>
      <c r="AO91" s="86" t="s">
        <v>26504</v>
      </c>
      <c r="AP91" s="96" t="str">
        <f>HYPERLINK("https://t.co/JGSp9P2on8")</f>
        <v>https://t.co/JGSp9P2on8</v>
      </c>
      <c r="AQ91" s="96" t="str">
        <f>HYPERLINK("https://linktr.ee/panthermkt")</f>
        <v>https://linktr.ee/panthermkt</v>
      </c>
      <c r="AR91" s="86" t="s">
        <v>27959</v>
      </c>
      <c r="AS91" s="86"/>
      <c r="AT91" s="86"/>
      <c r="AU91" s="86"/>
      <c r="AV91" s="86">
        <v>1.14356877113264E+18</v>
      </c>
      <c r="AW91" s="96" t="str">
        <f>HYPERLINK("https://t.co/JGSp9P2on8")</f>
        <v>https://t.co/JGSp9P2on8</v>
      </c>
      <c r="AX91" s="86" t="b">
        <v>0</v>
      </c>
      <c r="AY91" s="86"/>
      <c r="AZ91" s="86"/>
      <c r="BA91" s="86" t="b">
        <v>0</v>
      </c>
      <c r="BB91" s="86" t="b">
        <v>1</v>
      </c>
      <c r="BC91" s="86" t="b">
        <v>0</v>
      </c>
      <c r="BD91" s="86" t="b">
        <v>0</v>
      </c>
      <c r="BE91" s="86" t="b">
        <v>0</v>
      </c>
      <c r="BF91" s="86" t="b">
        <v>0</v>
      </c>
      <c r="BG91" s="86" t="b">
        <v>0</v>
      </c>
      <c r="BH91" s="96" t="str">
        <f>HYPERLINK("https://pbs.twimg.com/profile_banners/1050422335445057536/1560530657")</f>
        <v>https://pbs.twimg.com/profile_banners/1050422335445057536/1560530657</v>
      </c>
      <c r="BI91" s="86"/>
      <c r="BJ91" s="86" t="s">
        <v>29134</v>
      </c>
      <c r="BK91" s="86" t="b">
        <v>0</v>
      </c>
      <c r="BL91" s="86"/>
      <c r="BM91" s="86" t="s">
        <v>66</v>
      </c>
      <c r="BN91" s="86" t="s">
        <v>29136</v>
      </c>
      <c r="BO91" s="96" t="str">
        <f>HYPERLINK("https://twitter.com/panthermkt")</f>
        <v>https://twitter.com/panthermkt</v>
      </c>
      <c r="BP91" s="2"/>
    </row>
    <row r="92" spans="1:68" x14ac:dyDescent="0.25">
      <c r="A92" s="63" t="s">
        <v>304</v>
      </c>
      <c r="B92" s="64"/>
      <c r="C92" s="64"/>
      <c r="D92" s="65"/>
      <c r="E92" s="67"/>
      <c r="F92" s="111" t="str">
        <f>HYPERLINK("https://pbs.twimg.com/profile_images/1697200606312607744/JFIYrC5Z_normal.jpg")</f>
        <v>https://pbs.twimg.com/profile_images/1697200606312607744/JFIYrC5Z_normal.jpg</v>
      </c>
      <c r="G92" s="64"/>
      <c r="H92" s="68"/>
      <c r="I92" s="69"/>
      <c r="J92" s="69"/>
      <c r="K92" s="68" t="s">
        <v>29225</v>
      </c>
      <c r="L92" s="72"/>
      <c r="M92" s="73"/>
      <c r="N92" s="73"/>
      <c r="O92" s="74"/>
      <c r="P92" s="75"/>
      <c r="Q92" s="75"/>
      <c r="R92" s="102"/>
      <c r="S92" s="102"/>
      <c r="T92" s="102"/>
      <c r="U92" s="102"/>
      <c r="V92" s="48"/>
      <c r="W92" s="48"/>
      <c r="X92" s="48"/>
      <c r="Y92" s="48"/>
      <c r="Z92" s="47"/>
      <c r="AA92" s="70">
        <v>92</v>
      </c>
      <c r="AB92" s="70"/>
      <c r="AC92" s="71"/>
      <c r="AD92" s="86" t="s">
        <v>23731</v>
      </c>
      <c r="AE92" s="94" t="s">
        <v>22841</v>
      </c>
      <c r="AF92" s="86">
        <v>1</v>
      </c>
      <c r="AG92" s="86">
        <v>7</v>
      </c>
      <c r="AH92" s="86">
        <v>22</v>
      </c>
      <c r="AI92" s="86">
        <v>0</v>
      </c>
      <c r="AJ92" s="86">
        <v>44</v>
      </c>
      <c r="AK92" s="86">
        <v>9</v>
      </c>
      <c r="AL92" s="86" t="b">
        <v>0</v>
      </c>
      <c r="AM92" s="89">
        <v>45160.859976851854</v>
      </c>
      <c r="AN92" s="86" t="s">
        <v>15234</v>
      </c>
      <c r="AO92" s="86" t="s">
        <v>26505</v>
      </c>
      <c r="AP92" s="96" t="str">
        <f>HYPERLINK("https://t.co/XAYkGyN16U")</f>
        <v>https://t.co/XAYkGyN16U</v>
      </c>
      <c r="AQ92" s="96" t="str">
        <f>HYPERLINK("https://www.basicosstore.com.br/")</f>
        <v>https://www.basicosstore.com.br/</v>
      </c>
      <c r="AR92" s="86" t="s">
        <v>27960</v>
      </c>
      <c r="AS92" s="86"/>
      <c r="AT92" s="86"/>
      <c r="AU92" s="86"/>
      <c r="AV92" s="86"/>
      <c r="AW92" s="96" t="str">
        <f>HYPERLINK("https://t.co/XAYkGyN16U")</f>
        <v>https://t.co/XAYkGyN16U</v>
      </c>
      <c r="AX92" s="86" t="b">
        <v>0</v>
      </c>
      <c r="AY92" s="86"/>
      <c r="AZ92" s="86"/>
      <c r="BA92" s="86" t="b">
        <v>0</v>
      </c>
      <c r="BB92" s="86" t="b">
        <v>1</v>
      </c>
      <c r="BC92" s="86" t="b">
        <v>1</v>
      </c>
      <c r="BD92" s="86" t="b">
        <v>0</v>
      </c>
      <c r="BE92" s="86" t="b">
        <v>0</v>
      </c>
      <c r="BF92" s="86" t="b">
        <v>0</v>
      </c>
      <c r="BG92" s="86" t="b">
        <v>0</v>
      </c>
      <c r="BH92" s="96" t="str">
        <f>HYPERLINK("https://pbs.twimg.com/profile_banners/1694086446498414594/1693480183")</f>
        <v>https://pbs.twimg.com/profile_banners/1694086446498414594/1693480183</v>
      </c>
      <c r="BI92" s="86"/>
      <c r="BJ92" s="86" t="s">
        <v>29134</v>
      </c>
      <c r="BK92" s="86" t="b">
        <v>0</v>
      </c>
      <c r="BL92" s="86"/>
      <c r="BM92" s="86" t="s">
        <v>66</v>
      </c>
      <c r="BN92" s="86" t="s">
        <v>29136</v>
      </c>
      <c r="BO92" s="96" t="str">
        <f>HYPERLINK("https://twitter.com/divulgabasicos")</f>
        <v>https://twitter.com/divulgabasicos</v>
      </c>
      <c r="BP92" s="2"/>
    </row>
    <row r="93" spans="1:68" x14ac:dyDescent="0.25">
      <c r="A93" s="63" t="s">
        <v>305</v>
      </c>
      <c r="B93" s="64"/>
      <c r="C93" s="64"/>
      <c r="D93" s="65"/>
      <c r="E93" s="67"/>
      <c r="F93" s="111" t="str">
        <f>HYPERLINK("https://pbs.twimg.com/profile_images/1539649571323887619/Ucm7lQdm_normal.jpg")</f>
        <v>https://pbs.twimg.com/profile_images/1539649571323887619/Ucm7lQdm_normal.jpg</v>
      </c>
      <c r="G93" s="64"/>
      <c r="H93" s="68"/>
      <c r="I93" s="69"/>
      <c r="J93" s="69"/>
      <c r="K93" s="68" t="s">
        <v>29226</v>
      </c>
      <c r="L93" s="72"/>
      <c r="M93" s="73"/>
      <c r="N93" s="73"/>
      <c r="O93" s="74"/>
      <c r="P93" s="75"/>
      <c r="Q93" s="75"/>
      <c r="R93" s="102"/>
      <c r="S93" s="102"/>
      <c r="T93" s="102"/>
      <c r="U93" s="102"/>
      <c r="V93" s="48"/>
      <c r="W93" s="48"/>
      <c r="X93" s="48"/>
      <c r="Y93" s="48"/>
      <c r="Z93" s="47"/>
      <c r="AA93" s="70">
        <v>93</v>
      </c>
      <c r="AB93" s="70"/>
      <c r="AC93" s="71"/>
      <c r="AD93" s="86" t="s">
        <v>23732</v>
      </c>
      <c r="AE93" s="94" t="s">
        <v>22842</v>
      </c>
      <c r="AF93" s="86">
        <v>241</v>
      </c>
      <c r="AG93" s="86">
        <v>35</v>
      </c>
      <c r="AH93" s="86">
        <v>522</v>
      </c>
      <c r="AI93" s="86">
        <v>0</v>
      </c>
      <c r="AJ93" s="86">
        <v>67</v>
      </c>
      <c r="AK93" s="86">
        <v>506</v>
      </c>
      <c r="AL93" s="86" t="b">
        <v>0</v>
      </c>
      <c r="AM93" s="89">
        <v>43749.478576388887</v>
      </c>
      <c r="AN93" s="86" t="s">
        <v>15235</v>
      </c>
      <c r="AO93" s="86" t="s">
        <v>26506</v>
      </c>
      <c r="AP93" s="96" t="str">
        <f>HYPERLINK("https://t.co/tkuZfBD3UG")</f>
        <v>https://t.co/tkuZfBD3UG</v>
      </c>
      <c r="AQ93" s="96" t="str">
        <f>HYPERLINK("https://summit.bitalk.pt/")</f>
        <v>https://summit.bitalk.pt/</v>
      </c>
      <c r="AR93" s="86" t="s">
        <v>27961</v>
      </c>
      <c r="AS93" s="86"/>
      <c r="AT93" s="86"/>
      <c r="AU93" s="86"/>
      <c r="AV93" s="86"/>
      <c r="AW93" s="96" t="str">
        <f>HYPERLINK("https://t.co/tkuZfBD3UG")</f>
        <v>https://t.co/tkuZfBD3UG</v>
      </c>
      <c r="AX93" s="86" t="b">
        <v>0</v>
      </c>
      <c r="AY93" s="86"/>
      <c r="AZ93" s="86"/>
      <c r="BA93" s="86" t="b">
        <v>0</v>
      </c>
      <c r="BB93" s="86" t="b">
        <v>1</v>
      </c>
      <c r="BC93" s="86" t="b">
        <v>1</v>
      </c>
      <c r="BD93" s="86" t="b">
        <v>0</v>
      </c>
      <c r="BE93" s="86" t="b">
        <v>0</v>
      </c>
      <c r="BF93" s="86" t="b">
        <v>0</v>
      </c>
      <c r="BG93" s="86" t="b">
        <v>0</v>
      </c>
      <c r="BH93" s="96" t="str">
        <f>HYPERLINK("https://pbs.twimg.com/profile_banners/1182619082266423296/1655916038")</f>
        <v>https://pbs.twimg.com/profile_banners/1182619082266423296/1655916038</v>
      </c>
      <c r="BI93" s="86"/>
      <c r="BJ93" s="86" t="s">
        <v>29134</v>
      </c>
      <c r="BK93" s="86" t="b">
        <v>0</v>
      </c>
      <c r="BL93" s="86"/>
      <c r="BM93" s="86" t="s">
        <v>66</v>
      </c>
      <c r="BN93" s="86" t="s">
        <v>29136</v>
      </c>
      <c r="BO93" s="96" t="str">
        <f>HYPERLINK("https://twitter.com/bitalk_podcast")</f>
        <v>https://twitter.com/bitalk_podcast</v>
      </c>
      <c r="BP93" s="2"/>
    </row>
    <row r="94" spans="1:68" x14ac:dyDescent="0.25">
      <c r="A94" s="63" t="s">
        <v>1625</v>
      </c>
      <c r="B94" s="64"/>
      <c r="C94" s="64"/>
      <c r="D94" s="65"/>
      <c r="E94" s="67"/>
      <c r="F94" s="111" t="str">
        <f>HYPERLINK("https://pbs.twimg.com/profile_images/1113142652231389187/VjwZo-37_normal.jpg")</f>
        <v>https://pbs.twimg.com/profile_images/1113142652231389187/VjwZo-37_normal.jpg</v>
      </c>
      <c r="G94" s="64"/>
      <c r="H94" s="68"/>
      <c r="I94" s="69"/>
      <c r="J94" s="69"/>
      <c r="K94" s="68" t="s">
        <v>29227</v>
      </c>
      <c r="L94" s="72"/>
      <c r="M94" s="73"/>
      <c r="N94" s="73"/>
      <c r="O94" s="74"/>
      <c r="P94" s="75"/>
      <c r="Q94" s="75"/>
      <c r="R94" s="102"/>
      <c r="S94" s="102"/>
      <c r="T94" s="102"/>
      <c r="U94" s="102"/>
      <c r="V94" s="48"/>
      <c r="W94" s="48"/>
      <c r="X94" s="48"/>
      <c r="Y94" s="48"/>
      <c r="Z94" s="47"/>
      <c r="AA94" s="70">
        <v>94</v>
      </c>
      <c r="AB94" s="70"/>
      <c r="AC94" s="71"/>
      <c r="AD94" s="86" t="s">
        <v>23733</v>
      </c>
      <c r="AE94" s="94" t="s">
        <v>25248</v>
      </c>
      <c r="AF94" s="86">
        <v>4024</v>
      </c>
      <c r="AG94" s="86">
        <v>331</v>
      </c>
      <c r="AH94" s="86">
        <v>4016</v>
      </c>
      <c r="AI94" s="86">
        <v>24</v>
      </c>
      <c r="AJ94" s="86">
        <v>1502</v>
      </c>
      <c r="AK94" s="86">
        <v>1841</v>
      </c>
      <c r="AL94" s="86" t="b">
        <v>0</v>
      </c>
      <c r="AM94" s="89">
        <v>40759.364178240743</v>
      </c>
      <c r="AN94" s="86" t="s">
        <v>15235</v>
      </c>
      <c r="AO94" s="86" t="s">
        <v>26507</v>
      </c>
      <c r="AP94" s="86"/>
      <c r="AQ94" s="86"/>
      <c r="AR94" s="86"/>
      <c r="AS94" s="96" t="str">
        <f>HYPERLINK("https://t.co/PKmPP7HMt5")</f>
        <v>https://t.co/PKmPP7HMt5</v>
      </c>
      <c r="AT94" s="96" t="str">
        <f>HYPERLINK("http://qplay.pt")</f>
        <v>http://qplay.pt</v>
      </c>
      <c r="AU94" s="86" t="s">
        <v>29032</v>
      </c>
      <c r="AV94" s="86"/>
      <c r="AW94" s="86"/>
      <c r="AX94" s="86" t="b">
        <v>0</v>
      </c>
      <c r="AY94" s="86"/>
      <c r="AZ94" s="86"/>
      <c r="BA94" s="86" t="b">
        <v>0</v>
      </c>
      <c r="BB94" s="86" t="b">
        <v>0</v>
      </c>
      <c r="BC94" s="86" t="b">
        <v>0</v>
      </c>
      <c r="BD94" s="86" t="b">
        <v>0</v>
      </c>
      <c r="BE94" s="86" t="b">
        <v>1</v>
      </c>
      <c r="BF94" s="86" t="b">
        <v>0</v>
      </c>
      <c r="BG94" s="86" t="b">
        <v>0</v>
      </c>
      <c r="BH94" s="96" t="str">
        <f>HYPERLINK("https://pbs.twimg.com/profile_banners/348353369/1554380318")</f>
        <v>https://pbs.twimg.com/profile_banners/348353369/1554380318</v>
      </c>
      <c r="BI94" s="86"/>
      <c r="BJ94" s="86" t="s">
        <v>29134</v>
      </c>
      <c r="BK94" s="86" t="b">
        <v>0</v>
      </c>
      <c r="BL94" s="86"/>
      <c r="BM94" s="86" t="s">
        <v>65</v>
      </c>
      <c r="BN94" s="86" t="s">
        <v>29136</v>
      </c>
      <c r="BO94" s="96" t="str">
        <f>HYPERLINK("https://twitter.com/canalq")</f>
        <v>https://twitter.com/canalq</v>
      </c>
      <c r="BP94" s="2"/>
    </row>
    <row r="95" spans="1:68" x14ac:dyDescent="0.25">
      <c r="A95" s="63" t="s">
        <v>306</v>
      </c>
      <c r="B95" s="64"/>
      <c r="C95" s="64"/>
      <c r="D95" s="65"/>
      <c r="E95" s="67"/>
      <c r="F95" s="111" t="str">
        <f>HYPERLINK("https://pbs.twimg.com/profile_images/1147925101687508997/rKN80d2X_normal.jpg")</f>
        <v>https://pbs.twimg.com/profile_images/1147925101687508997/rKN80d2X_normal.jpg</v>
      </c>
      <c r="G95" s="64"/>
      <c r="H95" s="68"/>
      <c r="I95" s="69"/>
      <c r="J95" s="69"/>
      <c r="K95" s="68" t="s">
        <v>29228</v>
      </c>
      <c r="L95" s="72"/>
      <c r="M95" s="73"/>
      <c r="N95" s="73"/>
      <c r="O95" s="74"/>
      <c r="P95" s="75"/>
      <c r="Q95" s="75"/>
      <c r="R95" s="102"/>
      <c r="S95" s="102"/>
      <c r="T95" s="102"/>
      <c r="U95" s="102"/>
      <c r="V95" s="48"/>
      <c r="W95" s="48"/>
      <c r="X95" s="48"/>
      <c r="Y95" s="48"/>
      <c r="Z95" s="47"/>
      <c r="AA95" s="70">
        <v>95</v>
      </c>
      <c r="AB95" s="70"/>
      <c r="AC95" s="71"/>
      <c r="AD95" s="86" t="s">
        <v>23734</v>
      </c>
      <c r="AE95" s="94" t="s">
        <v>25249</v>
      </c>
      <c r="AF95" s="86">
        <v>137</v>
      </c>
      <c r="AG95" s="86">
        <v>410</v>
      </c>
      <c r="AH95" s="86">
        <v>1367</v>
      </c>
      <c r="AI95" s="86">
        <v>1</v>
      </c>
      <c r="AJ95" s="86">
        <v>2230</v>
      </c>
      <c r="AK95" s="86">
        <v>73</v>
      </c>
      <c r="AL95" s="86" t="b">
        <v>0</v>
      </c>
      <c r="AM95" s="89">
        <v>42347.944849537038</v>
      </c>
      <c r="AN95" s="86" t="s">
        <v>15246</v>
      </c>
      <c r="AO95" s="86" t="s">
        <v>26508</v>
      </c>
      <c r="AP95" s="96" t="str">
        <f>HYPERLINK("https://t.co/Nhgziwrqxx")</f>
        <v>https://t.co/Nhgziwrqxx</v>
      </c>
      <c r="AQ95" s="96" t="str">
        <f>HYPERLINK("http://www.qfreitas.adv.br")</f>
        <v>http://www.qfreitas.adv.br</v>
      </c>
      <c r="AR95" s="86" t="s">
        <v>27962</v>
      </c>
      <c r="AS95" s="86"/>
      <c r="AT95" s="86"/>
      <c r="AU95" s="86"/>
      <c r="AV95" s="86">
        <v>1.62752922782944E+18</v>
      </c>
      <c r="AW95" s="96" t="str">
        <f>HYPERLINK("https://t.co/Nhgziwrqxx")</f>
        <v>https://t.co/Nhgziwrqxx</v>
      </c>
      <c r="AX95" s="86" t="b">
        <v>0</v>
      </c>
      <c r="AY95" s="86"/>
      <c r="AZ95" s="86"/>
      <c r="BA95" s="86" t="b">
        <v>1</v>
      </c>
      <c r="BB95" s="86" t="b">
        <v>1</v>
      </c>
      <c r="BC95" s="86" t="b">
        <v>1</v>
      </c>
      <c r="BD95" s="86" t="b">
        <v>0</v>
      </c>
      <c r="BE95" s="86" t="b">
        <v>1</v>
      </c>
      <c r="BF95" s="86" t="b">
        <v>0</v>
      </c>
      <c r="BG95" s="86" t="b">
        <v>0</v>
      </c>
      <c r="BH95" s="96" t="str">
        <f>HYPERLINK("https://pbs.twimg.com/profile_banners/4431246988/1562521648")</f>
        <v>https://pbs.twimg.com/profile_banners/4431246988/1562521648</v>
      </c>
      <c r="BI95" s="86"/>
      <c r="BJ95" s="86" t="s">
        <v>29134</v>
      </c>
      <c r="BK95" s="86" t="b">
        <v>0</v>
      </c>
      <c r="BL95" s="86"/>
      <c r="BM95" s="86" t="s">
        <v>66</v>
      </c>
      <c r="BN95" s="86" t="s">
        <v>29136</v>
      </c>
      <c r="BO95" s="96" t="str">
        <f>HYPERLINK("https://twitter.com/drleandroq")</f>
        <v>https://twitter.com/drleandroq</v>
      </c>
      <c r="BP95" s="2"/>
    </row>
    <row r="96" spans="1:68" x14ac:dyDescent="0.25">
      <c r="A96" s="63" t="s">
        <v>1367</v>
      </c>
      <c r="B96" s="64"/>
      <c r="C96" s="64"/>
      <c r="D96" s="65"/>
      <c r="E96" s="67"/>
      <c r="F96" s="111" t="str">
        <f>HYPERLINK("https://pbs.twimg.com/profile_images/1334211682235768834/iQOE8aBe_normal.jpg")</f>
        <v>https://pbs.twimg.com/profile_images/1334211682235768834/iQOE8aBe_normal.jpg</v>
      </c>
      <c r="G96" s="64"/>
      <c r="H96" s="68"/>
      <c r="I96" s="69"/>
      <c r="J96" s="69"/>
      <c r="K96" s="68" t="s">
        <v>29229</v>
      </c>
      <c r="L96" s="72"/>
      <c r="M96" s="73"/>
      <c r="N96" s="73"/>
      <c r="O96" s="74"/>
      <c r="P96" s="75"/>
      <c r="Q96" s="75"/>
      <c r="R96" s="102"/>
      <c r="S96" s="102"/>
      <c r="T96" s="102"/>
      <c r="U96" s="102"/>
      <c r="V96" s="48"/>
      <c r="W96" s="48"/>
      <c r="X96" s="48"/>
      <c r="Y96" s="48"/>
      <c r="Z96" s="47"/>
      <c r="AA96" s="70">
        <v>96</v>
      </c>
      <c r="AB96" s="70"/>
      <c r="AC96" s="71"/>
      <c r="AD96" s="86" t="s">
        <v>23735</v>
      </c>
      <c r="AE96" s="94" t="s">
        <v>25250</v>
      </c>
      <c r="AF96" s="86">
        <v>83710</v>
      </c>
      <c r="AG96" s="86">
        <v>330</v>
      </c>
      <c r="AH96" s="86">
        <v>47074</v>
      </c>
      <c r="AI96" s="86">
        <v>409</v>
      </c>
      <c r="AJ96" s="86">
        <v>249</v>
      </c>
      <c r="AK96" s="86">
        <v>32002</v>
      </c>
      <c r="AL96" s="86" t="b">
        <v>0</v>
      </c>
      <c r="AM96" s="89">
        <v>40969.578483796293</v>
      </c>
      <c r="AN96" s="86"/>
      <c r="AO96" s="86" t="s">
        <v>26509</v>
      </c>
      <c r="AP96" s="96" t="str">
        <f>HYPERLINK("https://t.co/jDvoGHSjb7")</f>
        <v>https://t.co/jDvoGHSjb7</v>
      </c>
      <c r="AQ96" s="96" t="str">
        <f>HYPERLINK("http://www.forbes.com.br")</f>
        <v>http://www.forbes.com.br</v>
      </c>
      <c r="AR96" s="86" t="s">
        <v>27963</v>
      </c>
      <c r="AS96" s="86"/>
      <c r="AT96" s="86"/>
      <c r="AU96" s="86"/>
      <c r="AV96" s="86"/>
      <c r="AW96" s="96" t="str">
        <f>HYPERLINK("https://t.co/jDvoGHSjb7")</f>
        <v>https://t.co/jDvoGHSjb7</v>
      </c>
      <c r="AX96" s="86" t="b">
        <v>1</v>
      </c>
      <c r="AY96" s="86"/>
      <c r="AZ96" s="86"/>
      <c r="BA96" s="86" t="b">
        <v>0</v>
      </c>
      <c r="BB96" s="86" t="b">
        <v>1</v>
      </c>
      <c r="BC96" s="86" t="b">
        <v>0</v>
      </c>
      <c r="BD96" s="86" t="b">
        <v>0</v>
      </c>
      <c r="BE96" s="86" t="b">
        <v>0</v>
      </c>
      <c r="BF96" s="86" t="b">
        <v>0</v>
      </c>
      <c r="BG96" s="86" t="b">
        <v>0</v>
      </c>
      <c r="BH96" s="96" t="str">
        <f>HYPERLINK("https://pbs.twimg.com/profile_banners/510272910/1626215556")</f>
        <v>https://pbs.twimg.com/profile_banners/510272910/1626215556</v>
      </c>
      <c r="BI96" s="86"/>
      <c r="BJ96" s="86" t="s">
        <v>29134</v>
      </c>
      <c r="BK96" s="86" t="b">
        <v>0</v>
      </c>
      <c r="BL96" s="86"/>
      <c r="BM96" s="86" t="s">
        <v>66</v>
      </c>
      <c r="BN96" s="86" t="s">
        <v>29136</v>
      </c>
      <c r="BO96" s="96" t="str">
        <f>HYPERLINK("https://twitter.com/forbesbr")</f>
        <v>https://twitter.com/forbesbr</v>
      </c>
      <c r="BP96" s="2"/>
    </row>
    <row r="97" spans="1:68" x14ac:dyDescent="0.25">
      <c r="A97" s="63" t="s">
        <v>307</v>
      </c>
      <c r="B97" s="64"/>
      <c r="C97" s="64"/>
      <c r="D97" s="65"/>
      <c r="E97" s="67"/>
      <c r="F97" s="111" t="str">
        <f>HYPERLINK("https://pbs.twimg.com/profile_images/1688163821578297344/bKPgqWJF_normal.jpg")</f>
        <v>https://pbs.twimg.com/profile_images/1688163821578297344/bKPgqWJF_normal.jpg</v>
      </c>
      <c r="G97" s="64"/>
      <c r="H97" s="68"/>
      <c r="I97" s="69"/>
      <c r="J97" s="69"/>
      <c r="K97" s="68" t="s">
        <v>29230</v>
      </c>
      <c r="L97" s="72"/>
      <c r="M97" s="73"/>
      <c r="N97" s="73"/>
      <c r="O97" s="74"/>
      <c r="P97" s="75"/>
      <c r="Q97" s="75"/>
      <c r="R97" s="102"/>
      <c r="S97" s="102"/>
      <c r="T97" s="102"/>
      <c r="U97" s="102"/>
      <c r="V97" s="48"/>
      <c r="W97" s="48"/>
      <c r="X97" s="48"/>
      <c r="Y97" s="48"/>
      <c r="Z97" s="47"/>
      <c r="AA97" s="70">
        <v>97</v>
      </c>
      <c r="AB97" s="70"/>
      <c r="AC97" s="71"/>
      <c r="AD97" s="86" t="s">
        <v>23736</v>
      </c>
      <c r="AE97" s="94" t="s">
        <v>22843</v>
      </c>
      <c r="AF97" s="86">
        <v>1</v>
      </c>
      <c r="AG97" s="86">
        <v>1</v>
      </c>
      <c r="AH97" s="86">
        <v>10</v>
      </c>
      <c r="AI97" s="86">
        <v>0</v>
      </c>
      <c r="AJ97" s="86">
        <v>0</v>
      </c>
      <c r="AK97" s="86">
        <v>2</v>
      </c>
      <c r="AL97" s="86" t="b">
        <v>0</v>
      </c>
      <c r="AM97" s="89">
        <v>44136.921307870369</v>
      </c>
      <c r="AN97" s="86"/>
      <c r="AO97" s="86"/>
      <c r="AP97" s="86"/>
      <c r="AQ97" s="86"/>
      <c r="AR97" s="86"/>
      <c r="AS97" s="86"/>
      <c r="AT97" s="86"/>
      <c r="AU97" s="86"/>
      <c r="AV97" s="86"/>
      <c r="AW97" s="86"/>
      <c r="AX97" s="86" t="b">
        <v>0</v>
      </c>
      <c r="AY97" s="86"/>
      <c r="AZ97" s="86"/>
      <c r="BA97" s="86" t="b">
        <v>0</v>
      </c>
      <c r="BB97" s="86" t="b">
        <v>1</v>
      </c>
      <c r="BC97" s="86" t="b">
        <v>1</v>
      </c>
      <c r="BD97" s="86" t="b">
        <v>0</v>
      </c>
      <c r="BE97" s="86" t="b">
        <v>0</v>
      </c>
      <c r="BF97" s="86" t="b">
        <v>0</v>
      </c>
      <c r="BG97" s="86" t="b">
        <v>0</v>
      </c>
      <c r="BH97" s="96" t="str">
        <f>HYPERLINK("https://pbs.twimg.com/profile_banners/1323023574245015562/1691324705")</f>
        <v>https://pbs.twimg.com/profile_banners/1323023574245015562/1691324705</v>
      </c>
      <c r="BI97" s="86"/>
      <c r="BJ97" s="86" t="s">
        <v>29134</v>
      </c>
      <c r="BK97" s="86" t="b">
        <v>0</v>
      </c>
      <c r="BL97" s="86"/>
      <c r="BM97" s="86" t="s">
        <v>66</v>
      </c>
      <c r="BN97" s="86" t="s">
        <v>29136</v>
      </c>
      <c r="BO97" s="96" t="str">
        <f>HYPERLINK("https://twitter.com/odileygoncalves")</f>
        <v>https://twitter.com/odileygoncalves</v>
      </c>
      <c r="BP97" s="2"/>
    </row>
    <row r="98" spans="1:68" x14ac:dyDescent="0.25">
      <c r="A98" s="63" t="s">
        <v>308</v>
      </c>
      <c r="B98" s="64"/>
      <c r="C98" s="64"/>
      <c r="D98" s="65"/>
      <c r="E98" s="67"/>
      <c r="F98" s="111" t="str">
        <f>HYPERLINK("https://pbs.twimg.com/profile_images/1694734723740770304/jAdQ9Udu_normal.jpg")</f>
        <v>https://pbs.twimg.com/profile_images/1694734723740770304/jAdQ9Udu_normal.jpg</v>
      </c>
      <c r="G98" s="64"/>
      <c r="H98" s="68"/>
      <c r="I98" s="69"/>
      <c r="J98" s="69"/>
      <c r="K98" s="68" t="s">
        <v>29231</v>
      </c>
      <c r="L98" s="72"/>
      <c r="M98" s="73"/>
      <c r="N98" s="73"/>
      <c r="O98" s="74"/>
      <c r="P98" s="75"/>
      <c r="Q98" s="75"/>
      <c r="R98" s="102"/>
      <c r="S98" s="102"/>
      <c r="T98" s="102"/>
      <c r="U98" s="102"/>
      <c r="V98" s="48"/>
      <c r="W98" s="48"/>
      <c r="X98" s="48"/>
      <c r="Y98" s="48"/>
      <c r="Z98" s="47"/>
      <c r="AA98" s="70">
        <v>98</v>
      </c>
      <c r="AB98" s="70"/>
      <c r="AC98" s="71"/>
      <c r="AD98" s="86" t="s">
        <v>23737</v>
      </c>
      <c r="AE98" s="94" t="s">
        <v>25251</v>
      </c>
      <c r="AF98" s="86">
        <v>271</v>
      </c>
      <c r="AG98" s="86">
        <v>5</v>
      </c>
      <c r="AH98" s="86">
        <v>1297</v>
      </c>
      <c r="AI98" s="86">
        <v>6</v>
      </c>
      <c r="AJ98" s="86">
        <v>19</v>
      </c>
      <c r="AK98" s="86">
        <v>341</v>
      </c>
      <c r="AL98" s="86" t="b">
        <v>0</v>
      </c>
      <c r="AM98" s="89">
        <v>40988.860833333332</v>
      </c>
      <c r="AN98" s="86" t="s">
        <v>15234</v>
      </c>
      <c r="AO98" s="86" t="s">
        <v>26510</v>
      </c>
      <c r="AP98" s="96" t="str">
        <f>HYPERLINK("https://t.co/ACujxOWrR2")</f>
        <v>https://t.co/ACujxOWrR2</v>
      </c>
      <c r="AQ98" s="96" t="str">
        <f>HYPERLINK("http://www.portaldofranchising.com.br")</f>
        <v>http://www.portaldofranchising.com.br</v>
      </c>
      <c r="AR98" s="86" t="s">
        <v>27964</v>
      </c>
      <c r="AS98" s="86"/>
      <c r="AT98" s="86"/>
      <c r="AU98" s="86"/>
      <c r="AV98" s="86"/>
      <c r="AW98" s="96" t="str">
        <f>HYPERLINK("https://t.co/ACujxOWrR2")</f>
        <v>https://t.co/ACujxOWrR2</v>
      </c>
      <c r="AX98" s="86" t="b">
        <v>0</v>
      </c>
      <c r="AY98" s="86"/>
      <c r="AZ98" s="86"/>
      <c r="BA98" s="86" t="b">
        <v>0</v>
      </c>
      <c r="BB98" s="86" t="b">
        <v>0</v>
      </c>
      <c r="BC98" s="86" t="b">
        <v>0</v>
      </c>
      <c r="BD98" s="86" t="b">
        <v>0</v>
      </c>
      <c r="BE98" s="86" t="b">
        <v>0</v>
      </c>
      <c r="BF98" s="86" t="b">
        <v>0</v>
      </c>
      <c r="BG98" s="86" t="b">
        <v>0</v>
      </c>
      <c r="BH98" s="96" t="str">
        <f>HYPERLINK("https://pbs.twimg.com/profile_banners/531619346/1519919451")</f>
        <v>https://pbs.twimg.com/profile_banners/531619346/1519919451</v>
      </c>
      <c r="BI98" s="86"/>
      <c r="BJ98" s="86" t="s">
        <v>29134</v>
      </c>
      <c r="BK98" s="86" t="b">
        <v>0</v>
      </c>
      <c r="BL98" s="86"/>
      <c r="BM98" s="86" t="s">
        <v>66</v>
      </c>
      <c r="BN98" s="86" t="s">
        <v>29136</v>
      </c>
      <c r="BO98" s="96" t="str">
        <f>HYPERLINK("https://twitter.com/pdofranchising")</f>
        <v>https://twitter.com/pdofranchising</v>
      </c>
      <c r="BP98" s="2"/>
    </row>
    <row r="99" spans="1:68" x14ac:dyDescent="0.25">
      <c r="A99" s="63" t="s">
        <v>309</v>
      </c>
      <c r="B99" s="64"/>
      <c r="C99" s="64"/>
      <c r="D99" s="65"/>
      <c r="E99" s="67"/>
      <c r="F99" s="111" t="str">
        <f>HYPERLINK("https://pbs.twimg.com/profile_images/1329530048127373317/tdtMASp0_normal.jpg")</f>
        <v>https://pbs.twimg.com/profile_images/1329530048127373317/tdtMASp0_normal.jpg</v>
      </c>
      <c r="G99" s="64"/>
      <c r="H99" s="68"/>
      <c r="I99" s="69"/>
      <c r="J99" s="69"/>
      <c r="K99" s="68" t="s">
        <v>29232</v>
      </c>
      <c r="L99" s="72"/>
      <c r="M99" s="73"/>
      <c r="N99" s="73"/>
      <c r="O99" s="74"/>
      <c r="P99" s="75"/>
      <c r="Q99" s="75"/>
      <c r="R99" s="102"/>
      <c r="S99" s="102"/>
      <c r="T99" s="102"/>
      <c r="U99" s="102"/>
      <c r="V99" s="48"/>
      <c r="W99" s="48"/>
      <c r="X99" s="48"/>
      <c r="Y99" s="48"/>
      <c r="Z99" s="47"/>
      <c r="AA99" s="70">
        <v>99</v>
      </c>
      <c r="AB99" s="70"/>
      <c r="AC99" s="71"/>
      <c r="AD99" s="86" t="s">
        <v>23738</v>
      </c>
      <c r="AE99" s="94" t="s">
        <v>22844</v>
      </c>
      <c r="AF99" s="86">
        <v>10220</v>
      </c>
      <c r="AG99" s="86">
        <v>33</v>
      </c>
      <c r="AH99" s="86">
        <v>8035</v>
      </c>
      <c r="AI99" s="86">
        <v>18</v>
      </c>
      <c r="AJ99" s="86">
        <v>441</v>
      </c>
      <c r="AK99" s="86">
        <v>6411</v>
      </c>
      <c r="AL99" s="86" t="b">
        <v>0</v>
      </c>
      <c r="AM99" s="89">
        <v>44154.875173611108</v>
      </c>
      <c r="AN99" s="86" t="s">
        <v>15378</v>
      </c>
      <c r="AO99" s="86" t="s">
        <v>26511</v>
      </c>
      <c r="AP99" s="96" t="str">
        <f>HYPERLINK("https://t.co/09q8FY0geK")</f>
        <v>https://t.co/09q8FY0geK</v>
      </c>
      <c r="AQ99" s="96" t="str">
        <f>HYPERLINK("http://www.panflix.com.br")</f>
        <v>http://www.panflix.com.br</v>
      </c>
      <c r="AR99" s="86" t="s">
        <v>27965</v>
      </c>
      <c r="AS99" s="96" t="str">
        <f>HYPERLINK("https://t.co/a2vsR5231R")</f>
        <v>https://t.co/a2vsR5231R</v>
      </c>
      <c r="AT99" s="96" t="str">
        <f>HYPERLINK("https://www.panflix.com.br/")</f>
        <v>https://www.panflix.com.br/</v>
      </c>
      <c r="AU99" s="86" t="s">
        <v>27965</v>
      </c>
      <c r="AV99" s="86"/>
      <c r="AW99" s="96" t="str">
        <f>HYPERLINK("https://t.co/09q8FY0geK")</f>
        <v>https://t.co/09q8FY0geK</v>
      </c>
      <c r="AX99" s="86" t="b">
        <v>0</v>
      </c>
      <c r="AY99" s="86"/>
      <c r="AZ99" s="86"/>
      <c r="BA99" s="86" t="b">
        <v>0</v>
      </c>
      <c r="BB99" s="86" t="b">
        <v>1</v>
      </c>
      <c r="BC99" s="86" t="b">
        <v>1</v>
      </c>
      <c r="BD99" s="86" t="b">
        <v>0</v>
      </c>
      <c r="BE99" s="86" t="b">
        <v>0</v>
      </c>
      <c r="BF99" s="86" t="b">
        <v>0</v>
      </c>
      <c r="BG99" s="86" t="b">
        <v>0</v>
      </c>
      <c r="BH99" s="96" t="str">
        <f>HYPERLINK("https://pbs.twimg.com/profile_banners/1329529913016193027/1605819708")</f>
        <v>https://pbs.twimg.com/profile_banners/1329529913016193027/1605819708</v>
      </c>
      <c r="BI99" s="86"/>
      <c r="BJ99" s="86" t="s">
        <v>29134</v>
      </c>
      <c r="BK99" s="86" t="b">
        <v>0</v>
      </c>
      <c r="BL99" s="86"/>
      <c r="BM99" s="86" t="s">
        <v>66</v>
      </c>
      <c r="BN99" s="86" t="s">
        <v>29136</v>
      </c>
      <c r="BO99" s="96" t="str">
        <f>HYPERLINK("https://twitter.com/panflixoficial")</f>
        <v>https://twitter.com/panflixoficial</v>
      </c>
      <c r="BP99" s="2"/>
    </row>
    <row r="100" spans="1:68" x14ac:dyDescent="0.25">
      <c r="A100" s="63" t="s">
        <v>310</v>
      </c>
      <c r="B100" s="64"/>
      <c r="C100" s="64"/>
      <c r="D100" s="65"/>
      <c r="E100" s="67"/>
      <c r="F100" s="111" t="str">
        <f>HYPERLINK("https://pbs.twimg.com/profile_images/1681011874056355842/0eRVhW8d_normal.jpg")</f>
        <v>https://pbs.twimg.com/profile_images/1681011874056355842/0eRVhW8d_normal.jpg</v>
      </c>
      <c r="G100" s="64"/>
      <c r="H100" s="68"/>
      <c r="I100" s="69"/>
      <c r="J100" s="69"/>
      <c r="K100" s="68" t="s">
        <v>29233</v>
      </c>
      <c r="L100" s="72"/>
      <c r="M100" s="73"/>
      <c r="N100" s="73"/>
      <c r="O100" s="74"/>
      <c r="P100" s="75"/>
      <c r="Q100" s="75"/>
      <c r="R100" s="102"/>
      <c r="S100" s="102"/>
      <c r="T100" s="102"/>
      <c r="U100" s="102"/>
      <c r="V100" s="48"/>
      <c r="W100" s="48"/>
      <c r="X100" s="48"/>
      <c r="Y100" s="48"/>
      <c r="Z100" s="47"/>
      <c r="AA100" s="70">
        <v>100</v>
      </c>
      <c r="AB100" s="70"/>
      <c r="AC100" s="71"/>
      <c r="AD100" s="86" t="s">
        <v>23739</v>
      </c>
      <c r="AE100" s="94" t="s">
        <v>22845</v>
      </c>
      <c r="AF100" s="86">
        <v>5</v>
      </c>
      <c r="AG100" s="86">
        <v>11</v>
      </c>
      <c r="AH100" s="86">
        <v>20</v>
      </c>
      <c r="AI100" s="86">
        <v>0</v>
      </c>
      <c r="AJ100" s="86">
        <v>81</v>
      </c>
      <c r="AK100" s="86">
        <v>2</v>
      </c>
      <c r="AL100" s="86" t="b">
        <v>0</v>
      </c>
      <c r="AM100" s="89">
        <v>45124.76421296296</v>
      </c>
      <c r="AN100" s="86" t="s">
        <v>25914</v>
      </c>
      <c r="AO100" s="86" t="s">
        <v>26512</v>
      </c>
      <c r="AP100" s="96" t="str">
        <f>HYPERLINK("https://t.co/59nvAKDF79")</f>
        <v>https://t.co/59nvAKDF79</v>
      </c>
      <c r="AQ100" s="96" t="str">
        <f>HYPERLINK("https://nomosapp.com.br/")</f>
        <v>https://nomosapp.com.br/</v>
      </c>
      <c r="AR100" s="86" t="s">
        <v>27966</v>
      </c>
      <c r="AS100" s="86"/>
      <c r="AT100" s="86"/>
      <c r="AU100" s="86"/>
      <c r="AV100" s="86">
        <v>1.6849501698616901E+18</v>
      </c>
      <c r="AW100" s="96" t="str">
        <f>HYPERLINK("https://t.co/59nvAKDF79")</f>
        <v>https://t.co/59nvAKDF79</v>
      </c>
      <c r="AX100" s="86" t="b">
        <v>0</v>
      </c>
      <c r="AY100" s="86"/>
      <c r="AZ100" s="86"/>
      <c r="BA100" s="86" t="b">
        <v>0</v>
      </c>
      <c r="BB100" s="86" t="b">
        <v>1</v>
      </c>
      <c r="BC100" s="86" t="b">
        <v>1</v>
      </c>
      <c r="BD100" s="86" t="b">
        <v>0</v>
      </c>
      <c r="BE100" s="86" t="b">
        <v>0</v>
      </c>
      <c r="BF100" s="86" t="b">
        <v>0</v>
      </c>
      <c r="BG100" s="86" t="b">
        <v>0</v>
      </c>
      <c r="BH100" s="96" t="str">
        <f>HYPERLINK("https://pbs.twimg.com/profile_banners/1681005794282668034/1689619438")</f>
        <v>https://pbs.twimg.com/profile_banners/1681005794282668034/1689619438</v>
      </c>
      <c r="BI100" s="86"/>
      <c r="BJ100" s="86" t="s">
        <v>29134</v>
      </c>
      <c r="BK100" s="86" t="b">
        <v>0</v>
      </c>
      <c r="BL100" s="86"/>
      <c r="BM100" s="86" t="s">
        <v>66</v>
      </c>
      <c r="BN100" s="86" t="s">
        <v>29136</v>
      </c>
      <c r="BO100" s="96" t="str">
        <f>HYPERLINK("https://twitter.com/vrmarson")</f>
        <v>https://twitter.com/vrmarson</v>
      </c>
      <c r="BP100" s="2"/>
    </row>
    <row r="101" spans="1:68" x14ac:dyDescent="0.25">
      <c r="A101" s="63" t="s">
        <v>311</v>
      </c>
      <c r="B101" s="64"/>
      <c r="C101" s="64"/>
      <c r="D101" s="65"/>
      <c r="E101" s="67"/>
      <c r="F101" s="111" t="str">
        <f>HYPERLINK("https://pbs.twimg.com/profile_images/1617945691770261520/NYUjO_bX_normal.jpg")</f>
        <v>https://pbs.twimg.com/profile_images/1617945691770261520/NYUjO_bX_normal.jpg</v>
      </c>
      <c r="G101" s="64"/>
      <c r="H101" s="68"/>
      <c r="I101" s="69"/>
      <c r="J101" s="69"/>
      <c r="K101" s="68" t="s">
        <v>29234</v>
      </c>
      <c r="L101" s="72"/>
      <c r="M101" s="73"/>
      <c r="N101" s="73"/>
      <c r="O101" s="74"/>
      <c r="P101" s="75"/>
      <c r="Q101" s="75"/>
      <c r="R101" s="102"/>
      <c r="S101" s="102"/>
      <c r="T101" s="102"/>
      <c r="U101" s="102"/>
      <c r="V101" s="48"/>
      <c r="W101" s="48"/>
      <c r="X101" s="48"/>
      <c r="Y101" s="48"/>
      <c r="Z101" s="47"/>
      <c r="AA101" s="70">
        <v>101</v>
      </c>
      <c r="AB101" s="70"/>
      <c r="AC101" s="71"/>
      <c r="AD101" s="86" t="s">
        <v>23740</v>
      </c>
      <c r="AE101" s="94" t="s">
        <v>25252</v>
      </c>
      <c r="AF101" s="86">
        <v>3635</v>
      </c>
      <c r="AG101" s="86">
        <v>305</v>
      </c>
      <c r="AH101" s="86">
        <v>29658</v>
      </c>
      <c r="AI101" s="86">
        <v>43</v>
      </c>
      <c r="AJ101" s="86">
        <v>1263</v>
      </c>
      <c r="AK101" s="86">
        <v>1464</v>
      </c>
      <c r="AL101" s="86" t="b">
        <v>0</v>
      </c>
      <c r="AM101" s="89">
        <v>39973.018796296295</v>
      </c>
      <c r="AN101" s="86" t="s">
        <v>25915</v>
      </c>
      <c r="AO101" s="86" t="s">
        <v>26513</v>
      </c>
      <c r="AP101" s="96" t="str">
        <f>HYPERLINK("https://t.co/EIfqEKOcNF")</f>
        <v>https://t.co/EIfqEKOcNF</v>
      </c>
      <c r="AQ101" s="96" t="str">
        <f>HYPERLINK("http://rcnonline.com.br")</f>
        <v>http://rcnonline.com.br</v>
      </c>
      <c r="AR101" s="86" t="s">
        <v>27967</v>
      </c>
      <c r="AS101" s="86"/>
      <c r="AT101" s="86"/>
      <c r="AU101" s="86"/>
      <c r="AV101" s="86">
        <v>1.70702206827168E+18</v>
      </c>
      <c r="AW101" s="96" t="str">
        <f>HYPERLINK("https://t.co/EIfqEKOcNF")</f>
        <v>https://t.co/EIfqEKOcNF</v>
      </c>
      <c r="AX101" s="86" t="b">
        <v>0</v>
      </c>
      <c r="AY101" s="86"/>
      <c r="AZ101" s="86"/>
      <c r="BA101" s="86" t="b">
        <v>0</v>
      </c>
      <c r="BB101" s="86" t="b">
        <v>1</v>
      </c>
      <c r="BC101" s="86" t="b">
        <v>0</v>
      </c>
      <c r="BD101" s="86" t="b">
        <v>0</v>
      </c>
      <c r="BE101" s="86" t="b">
        <v>0</v>
      </c>
      <c r="BF101" s="86" t="b">
        <v>0</v>
      </c>
      <c r="BG101" s="86" t="b">
        <v>0</v>
      </c>
      <c r="BH101" s="96" t="str">
        <f>HYPERLINK("https://pbs.twimg.com/profile_banners/45715530/1674583289")</f>
        <v>https://pbs.twimg.com/profile_banners/45715530/1674583289</v>
      </c>
      <c r="BI101" s="86"/>
      <c r="BJ101" s="86" t="s">
        <v>29134</v>
      </c>
      <c r="BK101" s="86" t="b">
        <v>0</v>
      </c>
      <c r="BL101" s="86"/>
      <c r="BM101" s="86" t="s">
        <v>66</v>
      </c>
      <c r="BN101" s="86" t="s">
        <v>29136</v>
      </c>
      <c r="BO101" s="96" t="str">
        <f>HYPERLINK("https://twitter.com/rcnonline_sc")</f>
        <v>https://twitter.com/rcnonline_sc</v>
      </c>
      <c r="BP101" s="2"/>
    </row>
    <row r="102" spans="1:68" x14ac:dyDescent="0.25">
      <c r="A102" s="63" t="s">
        <v>312</v>
      </c>
      <c r="B102" s="64"/>
      <c r="C102" s="64"/>
      <c r="D102" s="65"/>
      <c r="E102" s="67"/>
      <c r="F102" s="111" t="str">
        <f>HYPERLINK("https://pbs.twimg.com/profile_images/1678468921886748672/SdBwflTc_normal.jpg")</f>
        <v>https://pbs.twimg.com/profile_images/1678468921886748672/SdBwflTc_normal.jpg</v>
      </c>
      <c r="G102" s="64"/>
      <c r="H102" s="68"/>
      <c r="I102" s="69"/>
      <c r="J102" s="69"/>
      <c r="K102" s="68" t="s">
        <v>29235</v>
      </c>
      <c r="L102" s="72"/>
      <c r="M102" s="73"/>
      <c r="N102" s="73"/>
      <c r="O102" s="74"/>
      <c r="P102" s="75"/>
      <c r="Q102" s="75"/>
      <c r="R102" s="102"/>
      <c r="S102" s="102"/>
      <c r="T102" s="102"/>
      <c r="U102" s="102"/>
      <c r="V102" s="48"/>
      <c r="W102" s="48"/>
      <c r="X102" s="48"/>
      <c r="Y102" s="48"/>
      <c r="Z102" s="47"/>
      <c r="AA102" s="70">
        <v>102</v>
      </c>
      <c r="AB102" s="70"/>
      <c r="AC102" s="71"/>
      <c r="AD102" s="86" t="s">
        <v>23741</v>
      </c>
      <c r="AE102" s="94" t="s">
        <v>22846</v>
      </c>
      <c r="AF102" s="86">
        <v>6</v>
      </c>
      <c r="AG102" s="86">
        <v>30</v>
      </c>
      <c r="AH102" s="86">
        <v>29</v>
      </c>
      <c r="AI102" s="86">
        <v>1</v>
      </c>
      <c r="AJ102" s="86">
        <v>26</v>
      </c>
      <c r="AK102" s="86">
        <v>27</v>
      </c>
      <c r="AL102" s="86" t="b">
        <v>0</v>
      </c>
      <c r="AM102" s="89">
        <v>45064.744930555556</v>
      </c>
      <c r="AN102" s="86" t="s">
        <v>25889</v>
      </c>
      <c r="AO102" s="86" t="s">
        <v>26514</v>
      </c>
      <c r="AP102" s="96" t="str">
        <f>HYPERLINK("https://t.co/wmXHmbEiVg")</f>
        <v>https://t.co/wmXHmbEiVg</v>
      </c>
      <c r="AQ102" s="96" t="str">
        <f>HYPERLINK("https://fabiosr.me")</f>
        <v>https://fabiosr.me</v>
      </c>
      <c r="AR102" s="86" t="s">
        <v>27968</v>
      </c>
      <c r="AS102" s="86"/>
      <c r="AT102" s="86"/>
      <c r="AU102" s="86"/>
      <c r="AV102" s="86"/>
      <c r="AW102" s="96" t="str">
        <f>HYPERLINK("https://t.co/wmXHmbEiVg")</f>
        <v>https://t.co/wmXHmbEiVg</v>
      </c>
      <c r="AX102" s="86" t="b">
        <v>0</v>
      </c>
      <c r="AY102" s="86"/>
      <c r="AZ102" s="86"/>
      <c r="BA102" s="86" t="b">
        <v>0</v>
      </c>
      <c r="BB102" s="86" t="b">
        <v>1</v>
      </c>
      <c r="BC102" s="86" t="b">
        <v>1</v>
      </c>
      <c r="BD102" s="86" t="b">
        <v>0</v>
      </c>
      <c r="BE102" s="86" t="b">
        <v>0</v>
      </c>
      <c r="BF102" s="86" t="b">
        <v>0</v>
      </c>
      <c r="BG102" s="86" t="b">
        <v>0</v>
      </c>
      <c r="BH102" s="96" t="str">
        <f>HYPERLINK("https://pbs.twimg.com/profile_banners/1659255560477327360/1689101636")</f>
        <v>https://pbs.twimg.com/profile_banners/1659255560477327360/1689101636</v>
      </c>
      <c r="BI102" s="86"/>
      <c r="BJ102" s="86" t="s">
        <v>29134</v>
      </c>
      <c r="BK102" s="86" t="b">
        <v>0</v>
      </c>
      <c r="BL102" s="86"/>
      <c r="BM102" s="86" t="s">
        <v>66</v>
      </c>
      <c r="BN102" s="86" t="s">
        <v>29136</v>
      </c>
      <c r="BO102" s="96" t="str">
        <f>HYPERLINK("https://twitter.com/fabiosrme")</f>
        <v>https://twitter.com/fabiosrme</v>
      </c>
      <c r="BP102" s="2"/>
    </row>
    <row r="103" spans="1:68" x14ac:dyDescent="0.25">
      <c r="A103" s="63" t="s">
        <v>313</v>
      </c>
      <c r="B103" s="64"/>
      <c r="C103" s="64"/>
      <c r="D103" s="65"/>
      <c r="E103" s="67"/>
      <c r="F103" s="111" t="str">
        <f>HYPERLINK("https://pbs.twimg.com/profile_images/1669545341656473608/_siJx72u_normal.jpg")</f>
        <v>https://pbs.twimg.com/profile_images/1669545341656473608/_siJx72u_normal.jpg</v>
      </c>
      <c r="G103" s="64"/>
      <c r="H103" s="68"/>
      <c r="I103" s="69"/>
      <c r="J103" s="69"/>
      <c r="K103" s="68" t="s">
        <v>29236</v>
      </c>
      <c r="L103" s="72"/>
      <c r="M103" s="73"/>
      <c r="N103" s="73"/>
      <c r="O103" s="74"/>
      <c r="P103" s="75"/>
      <c r="Q103" s="75"/>
      <c r="R103" s="102"/>
      <c r="S103" s="102"/>
      <c r="T103" s="102"/>
      <c r="U103" s="102"/>
      <c r="V103" s="48"/>
      <c r="W103" s="48"/>
      <c r="X103" s="48"/>
      <c r="Y103" s="48"/>
      <c r="Z103" s="47"/>
      <c r="AA103" s="70">
        <v>103</v>
      </c>
      <c r="AB103" s="70"/>
      <c r="AC103" s="71"/>
      <c r="AD103" s="86" t="s">
        <v>23742</v>
      </c>
      <c r="AE103" s="94" t="s">
        <v>22847</v>
      </c>
      <c r="AF103" s="86">
        <v>63</v>
      </c>
      <c r="AG103" s="86">
        <v>74</v>
      </c>
      <c r="AH103" s="86">
        <v>609</v>
      </c>
      <c r="AI103" s="86">
        <v>1</v>
      </c>
      <c r="AJ103" s="86">
        <v>18</v>
      </c>
      <c r="AK103" s="86">
        <v>589</v>
      </c>
      <c r="AL103" s="86" t="b">
        <v>0</v>
      </c>
      <c r="AM103" s="89">
        <v>44489.585011574076</v>
      </c>
      <c r="AN103" s="86" t="s">
        <v>25916</v>
      </c>
      <c r="AO103" s="86" t="s">
        <v>26515</v>
      </c>
      <c r="AP103" s="96" t="str">
        <f>HYPERLINK("https://t.co/zQNvCSlLI0")</f>
        <v>https://t.co/zQNvCSlLI0</v>
      </c>
      <c r="AQ103" s="96" t="str">
        <f>HYPERLINK("http://www.lucianogaliotto.com")</f>
        <v>http://www.lucianogaliotto.com</v>
      </c>
      <c r="AR103" s="86" t="s">
        <v>27969</v>
      </c>
      <c r="AS103" s="86"/>
      <c r="AT103" s="86"/>
      <c r="AU103" s="86"/>
      <c r="AV103" s="86"/>
      <c r="AW103" s="96" t="str">
        <f>HYPERLINK("https://t.co/zQNvCSlLI0")</f>
        <v>https://t.co/zQNvCSlLI0</v>
      </c>
      <c r="AX103" s="86" t="b">
        <v>0</v>
      </c>
      <c r="AY103" s="86"/>
      <c r="AZ103" s="86"/>
      <c r="BA103" s="86" t="b">
        <v>0</v>
      </c>
      <c r="BB103" s="86" t="b">
        <v>1</v>
      </c>
      <c r="BC103" s="86" t="b">
        <v>1</v>
      </c>
      <c r="BD103" s="86" t="b">
        <v>0</v>
      </c>
      <c r="BE103" s="86" t="b">
        <v>0</v>
      </c>
      <c r="BF103" s="86" t="b">
        <v>0</v>
      </c>
      <c r="BG103" s="86" t="b">
        <v>0</v>
      </c>
      <c r="BH103" s="96" t="str">
        <f>HYPERLINK("https://pbs.twimg.com/profile_banners/1450824626444066824/1636387917")</f>
        <v>https://pbs.twimg.com/profile_banners/1450824626444066824/1636387917</v>
      </c>
      <c r="BI103" s="86"/>
      <c r="BJ103" s="86" t="s">
        <v>29134</v>
      </c>
      <c r="BK103" s="86" t="b">
        <v>0</v>
      </c>
      <c r="BL103" s="86"/>
      <c r="BM103" s="86" t="s">
        <v>66</v>
      </c>
      <c r="BN103" s="86" t="s">
        <v>29136</v>
      </c>
      <c r="BO103" s="96" t="str">
        <f>HYPERLINK("https://twitter.com/lucianogaliotto")</f>
        <v>https://twitter.com/lucianogaliotto</v>
      </c>
      <c r="BP103" s="2"/>
    </row>
    <row r="104" spans="1:68" x14ac:dyDescent="0.25">
      <c r="A104" s="63" t="s">
        <v>314</v>
      </c>
      <c r="B104" s="64"/>
      <c r="C104" s="64"/>
      <c r="D104" s="65"/>
      <c r="E104" s="67"/>
      <c r="F104" s="111" t="str">
        <f>HYPERLINK("https://pbs.twimg.com/profile_images/2226889686/Ita_Discursando_Bovespa_normal.JPG")</f>
        <v>https://pbs.twimg.com/profile_images/2226889686/Ita_Discursando_Bovespa_normal.JPG</v>
      </c>
      <c r="G104" s="64"/>
      <c r="H104" s="68"/>
      <c r="I104" s="69"/>
      <c r="J104" s="69"/>
      <c r="K104" s="68" t="s">
        <v>29237</v>
      </c>
      <c r="L104" s="72"/>
      <c r="M104" s="73"/>
      <c r="N104" s="73"/>
      <c r="O104" s="74"/>
      <c r="P104" s="75"/>
      <c r="Q104" s="75"/>
      <c r="R104" s="102"/>
      <c r="S104" s="102"/>
      <c r="T104" s="102"/>
      <c r="U104" s="102"/>
      <c r="V104" s="48"/>
      <c r="W104" s="48"/>
      <c r="X104" s="48"/>
      <c r="Y104" s="48"/>
      <c r="Z104" s="47"/>
      <c r="AA104" s="70">
        <v>104</v>
      </c>
      <c r="AB104" s="70"/>
      <c r="AC104" s="71"/>
      <c r="AD104" s="86" t="s">
        <v>23743</v>
      </c>
      <c r="AE104" s="94" t="s">
        <v>25253</v>
      </c>
      <c r="AF104" s="86">
        <v>362</v>
      </c>
      <c r="AG104" s="86">
        <v>2464</v>
      </c>
      <c r="AH104" s="86">
        <v>1748</v>
      </c>
      <c r="AI104" s="86">
        <v>1</v>
      </c>
      <c r="AJ104" s="86">
        <v>220</v>
      </c>
      <c r="AK104" s="86">
        <v>576</v>
      </c>
      <c r="AL104" s="86" t="b">
        <v>0</v>
      </c>
      <c r="AM104" s="89">
        <v>41046.772650462961</v>
      </c>
      <c r="AN104" s="86"/>
      <c r="AO104" s="86" t="s">
        <v>26516</v>
      </c>
      <c r="AP104" s="86"/>
      <c r="AQ104" s="86"/>
      <c r="AR104" s="86"/>
      <c r="AS104" s="96" t="str">
        <f>HYPERLINK("https://t.co/LgrA3FX514")</f>
        <v>https://t.co/LgrA3FX514</v>
      </c>
      <c r="AT104" s="96" t="str">
        <f>HYPERLINK("https://www.instagram.com/horadotrader/")</f>
        <v>https://www.instagram.com/horadotrader/</v>
      </c>
      <c r="AU104" s="86" t="s">
        <v>29033</v>
      </c>
      <c r="AV104" s="86"/>
      <c r="AW104" s="86"/>
      <c r="AX104" s="86" t="b">
        <v>0</v>
      </c>
      <c r="AY104" s="86"/>
      <c r="AZ104" s="86"/>
      <c r="BA104" s="86" t="b">
        <v>0</v>
      </c>
      <c r="BB104" s="86" t="b">
        <v>1</v>
      </c>
      <c r="BC104" s="86" t="b">
        <v>1</v>
      </c>
      <c r="BD104" s="86" t="b">
        <v>0</v>
      </c>
      <c r="BE104" s="86" t="b">
        <v>0</v>
      </c>
      <c r="BF104" s="86" t="b">
        <v>0</v>
      </c>
      <c r="BG104" s="86" t="b">
        <v>0</v>
      </c>
      <c r="BH104" s="96" t="str">
        <f>HYPERLINK("https://pbs.twimg.com/profile_banners/583023355/1586439847")</f>
        <v>https://pbs.twimg.com/profile_banners/583023355/1586439847</v>
      </c>
      <c r="BI104" s="86"/>
      <c r="BJ104" s="86" t="s">
        <v>29134</v>
      </c>
      <c r="BK104" s="86" t="b">
        <v>0</v>
      </c>
      <c r="BL104" s="86"/>
      <c r="BM104" s="86" t="s">
        <v>66</v>
      </c>
      <c r="BN104" s="86" t="s">
        <v>29136</v>
      </c>
      <c r="BO104" s="96" t="str">
        <f>HYPERLINK("https://twitter.com/itaboraisantos")</f>
        <v>https://twitter.com/itaboraisantos</v>
      </c>
      <c r="BP104" s="2"/>
    </row>
    <row r="105" spans="1:68" x14ac:dyDescent="0.25">
      <c r="A105" s="63" t="s">
        <v>315</v>
      </c>
      <c r="B105" s="64"/>
      <c r="C105" s="64"/>
      <c r="D105" s="65"/>
      <c r="E105" s="67"/>
      <c r="F105" s="111" t="str">
        <f>HYPERLINK("https://pbs.twimg.com/profile_images/1702416695212605440/VVb-Xdqt_normal.png")</f>
        <v>https://pbs.twimg.com/profile_images/1702416695212605440/VVb-Xdqt_normal.png</v>
      </c>
      <c r="G105" s="64"/>
      <c r="H105" s="68"/>
      <c r="I105" s="69"/>
      <c r="J105" s="69"/>
      <c r="K105" s="68" t="s">
        <v>29238</v>
      </c>
      <c r="L105" s="72"/>
      <c r="M105" s="73"/>
      <c r="N105" s="73"/>
      <c r="O105" s="74"/>
      <c r="P105" s="75"/>
      <c r="Q105" s="75"/>
      <c r="R105" s="102"/>
      <c r="S105" s="102"/>
      <c r="T105" s="102"/>
      <c r="U105" s="102"/>
      <c r="V105" s="48"/>
      <c r="W105" s="48"/>
      <c r="X105" s="48"/>
      <c r="Y105" s="48"/>
      <c r="Z105" s="47"/>
      <c r="AA105" s="70">
        <v>105</v>
      </c>
      <c r="AB105" s="70"/>
      <c r="AC105" s="71"/>
      <c r="AD105" s="86" t="s">
        <v>23744</v>
      </c>
      <c r="AE105" s="94" t="s">
        <v>22848</v>
      </c>
      <c r="AF105" s="86">
        <v>1</v>
      </c>
      <c r="AG105" s="86">
        <v>61</v>
      </c>
      <c r="AH105" s="86">
        <v>9</v>
      </c>
      <c r="AI105" s="86">
        <v>0</v>
      </c>
      <c r="AJ105" s="86">
        <v>221</v>
      </c>
      <c r="AK105" s="86">
        <v>6</v>
      </c>
      <c r="AL105" s="86" t="b">
        <v>0</v>
      </c>
      <c r="AM105" s="89">
        <v>45183.846562500003</v>
      </c>
      <c r="AN105" s="86" t="s">
        <v>25917</v>
      </c>
      <c r="AO105" s="86" t="s">
        <v>26517</v>
      </c>
      <c r="AP105" s="96" t="str">
        <f>HYPERLINK("https://t.co/ZnIl5fRATy")</f>
        <v>https://t.co/ZnIl5fRATy</v>
      </c>
      <c r="AQ105" s="96" t="str">
        <f>HYPERLINK("https://jinggaweb.com.br/")</f>
        <v>https://jinggaweb.com.br/</v>
      </c>
      <c r="AR105" s="86" t="s">
        <v>27970</v>
      </c>
      <c r="AS105" s="86"/>
      <c r="AT105" s="86"/>
      <c r="AU105" s="86"/>
      <c r="AV105" s="86"/>
      <c r="AW105" s="96" t="str">
        <f>HYPERLINK("https://t.co/ZnIl5fRATy")</f>
        <v>https://t.co/ZnIl5fRATy</v>
      </c>
      <c r="AX105" s="86" t="b">
        <v>0</v>
      </c>
      <c r="AY105" s="86"/>
      <c r="AZ105" s="86"/>
      <c r="BA105" s="86" t="b">
        <v>0</v>
      </c>
      <c r="BB105" s="86" t="b">
        <v>1</v>
      </c>
      <c r="BC105" s="86" t="b">
        <v>1</v>
      </c>
      <c r="BD105" s="86" t="b">
        <v>0</v>
      </c>
      <c r="BE105" s="86" t="b">
        <v>0</v>
      </c>
      <c r="BF105" s="86" t="b">
        <v>0</v>
      </c>
      <c r="BG105" s="86" t="b">
        <v>0</v>
      </c>
      <c r="BH105" s="96" t="str">
        <f>HYPERLINK("https://pbs.twimg.com/profile_banners/1702416598185738240/1694724020")</f>
        <v>https://pbs.twimg.com/profile_banners/1702416598185738240/1694724020</v>
      </c>
      <c r="BI105" s="86"/>
      <c r="BJ105" s="86" t="s">
        <v>29134</v>
      </c>
      <c r="BK105" s="86" t="b">
        <v>0</v>
      </c>
      <c r="BL105" s="86"/>
      <c r="BM105" s="86" t="s">
        <v>66</v>
      </c>
      <c r="BN105" s="86" t="s">
        <v>29136</v>
      </c>
      <c r="BO105" s="96" t="str">
        <f>HYPERLINK("https://twitter.com/jinggaweb_br")</f>
        <v>https://twitter.com/jinggaweb_br</v>
      </c>
      <c r="BP105" s="2"/>
    </row>
    <row r="106" spans="1:68" x14ac:dyDescent="0.25">
      <c r="A106" s="63" t="s">
        <v>316</v>
      </c>
      <c r="B106" s="64"/>
      <c r="C106" s="64"/>
      <c r="D106" s="65"/>
      <c r="E106" s="67"/>
      <c r="F106" s="111" t="str">
        <f>HYPERLINK("https://pbs.twimg.com/profile_images/824599140302811136/SZ6VQJwb_normal.jpg")</f>
        <v>https://pbs.twimg.com/profile_images/824599140302811136/SZ6VQJwb_normal.jpg</v>
      </c>
      <c r="G106" s="64"/>
      <c r="H106" s="68"/>
      <c r="I106" s="69"/>
      <c r="J106" s="69"/>
      <c r="K106" s="68" t="s">
        <v>29239</v>
      </c>
      <c r="L106" s="72"/>
      <c r="M106" s="73"/>
      <c r="N106" s="73"/>
      <c r="O106" s="74"/>
      <c r="P106" s="75"/>
      <c r="Q106" s="75"/>
      <c r="R106" s="102"/>
      <c r="S106" s="102"/>
      <c r="T106" s="102"/>
      <c r="U106" s="102"/>
      <c r="V106" s="48"/>
      <c r="W106" s="48"/>
      <c r="X106" s="48"/>
      <c r="Y106" s="48"/>
      <c r="Z106" s="47"/>
      <c r="AA106" s="70">
        <v>106</v>
      </c>
      <c r="AB106" s="70"/>
      <c r="AC106" s="71"/>
      <c r="AD106" s="86" t="s">
        <v>23745</v>
      </c>
      <c r="AE106" s="94" t="s">
        <v>22849</v>
      </c>
      <c r="AF106" s="86">
        <v>217</v>
      </c>
      <c r="AG106" s="86">
        <v>105</v>
      </c>
      <c r="AH106" s="86">
        <v>2596</v>
      </c>
      <c r="AI106" s="86">
        <v>0</v>
      </c>
      <c r="AJ106" s="86">
        <v>38</v>
      </c>
      <c r="AK106" s="86">
        <v>7</v>
      </c>
      <c r="AL106" s="86" t="b">
        <v>0</v>
      </c>
      <c r="AM106" s="89">
        <v>42714.549363425926</v>
      </c>
      <c r="AN106" s="86" t="s">
        <v>25918</v>
      </c>
      <c r="AO106" s="86"/>
      <c r="AP106" s="86"/>
      <c r="AQ106" s="86"/>
      <c r="AR106" s="86"/>
      <c r="AS106" s="86"/>
      <c r="AT106" s="86"/>
      <c r="AU106" s="86"/>
      <c r="AV106" s="86"/>
      <c r="AW106" s="86"/>
      <c r="AX106" s="86" t="b">
        <v>0</v>
      </c>
      <c r="AY106" s="86"/>
      <c r="AZ106" s="86"/>
      <c r="BA106" s="86" t="b">
        <v>0</v>
      </c>
      <c r="BB106" s="86" t="b">
        <v>1</v>
      </c>
      <c r="BC106" s="86" t="b">
        <v>0</v>
      </c>
      <c r="BD106" s="86" t="b">
        <v>0</v>
      </c>
      <c r="BE106" s="86" t="b">
        <v>0</v>
      </c>
      <c r="BF106" s="86" t="b">
        <v>0</v>
      </c>
      <c r="BG106" s="86" t="b">
        <v>0</v>
      </c>
      <c r="BH106" s="96" t="str">
        <f>HYPERLINK("https://pbs.twimg.com/profile_banners/807573349815767040/1485434688")</f>
        <v>https://pbs.twimg.com/profile_banners/807573349815767040/1485434688</v>
      </c>
      <c r="BI106" s="86"/>
      <c r="BJ106" s="86" t="s">
        <v>29134</v>
      </c>
      <c r="BK106" s="86" t="b">
        <v>0</v>
      </c>
      <c r="BL106" s="86"/>
      <c r="BM106" s="86" t="s">
        <v>66</v>
      </c>
      <c r="BN106" s="86" t="s">
        <v>29136</v>
      </c>
      <c r="BO106" s="96" t="str">
        <f>HYPERLINK("https://twitter.com/empreendegoias")</f>
        <v>https://twitter.com/empreendegoias</v>
      </c>
      <c r="BP106" s="2"/>
    </row>
    <row r="107" spans="1:68" x14ac:dyDescent="0.25">
      <c r="A107" s="63" t="s">
        <v>317</v>
      </c>
      <c r="B107" s="64"/>
      <c r="C107" s="64"/>
      <c r="D107" s="65"/>
      <c r="E107" s="67"/>
      <c r="F107" s="111" t="str">
        <f>HYPERLINK("https://pbs.twimg.com/profile_images/1586870796064116740/nAZohRyF_normal.jpg")</f>
        <v>https://pbs.twimg.com/profile_images/1586870796064116740/nAZohRyF_normal.jpg</v>
      </c>
      <c r="G107" s="64"/>
      <c r="H107" s="68"/>
      <c r="I107" s="69"/>
      <c r="J107" s="69"/>
      <c r="K107" s="68" t="s">
        <v>29240</v>
      </c>
      <c r="L107" s="72"/>
      <c r="M107" s="73"/>
      <c r="N107" s="73"/>
      <c r="O107" s="74"/>
      <c r="P107" s="75"/>
      <c r="Q107" s="75"/>
      <c r="R107" s="102"/>
      <c r="S107" s="102"/>
      <c r="T107" s="102"/>
      <c r="U107" s="102"/>
      <c r="V107" s="48"/>
      <c r="W107" s="48"/>
      <c r="X107" s="48"/>
      <c r="Y107" s="48"/>
      <c r="Z107" s="47"/>
      <c r="AA107" s="70">
        <v>107</v>
      </c>
      <c r="AB107" s="70"/>
      <c r="AC107" s="71"/>
      <c r="AD107" s="86" t="s">
        <v>23746</v>
      </c>
      <c r="AE107" s="94" t="s">
        <v>25254</v>
      </c>
      <c r="AF107" s="86">
        <v>2217</v>
      </c>
      <c r="AG107" s="86">
        <v>3156</v>
      </c>
      <c r="AH107" s="86">
        <v>5432</v>
      </c>
      <c r="AI107" s="86">
        <v>0</v>
      </c>
      <c r="AJ107" s="86">
        <v>2287</v>
      </c>
      <c r="AK107" s="86">
        <v>1430</v>
      </c>
      <c r="AL107" s="86" t="b">
        <v>0</v>
      </c>
      <c r="AM107" s="89">
        <v>41951.989479166667</v>
      </c>
      <c r="AN107" s="86"/>
      <c r="AO107" s="86" t="s">
        <v>26518</v>
      </c>
      <c r="AP107" s="86"/>
      <c r="AQ107" s="86"/>
      <c r="AR107" s="86"/>
      <c r="AS107" s="86"/>
      <c r="AT107" s="86"/>
      <c r="AU107" s="86"/>
      <c r="AV107" s="86">
        <v>1.58126279848653E+18</v>
      </c>
      <c r="AW107" s="86"/>
      <c r="AX107" s="86" t="b">
        <v>0</v>
      </c>
      <c r="AY107" s="86"/>
      <c r="AZ107" s="86"/>
      <c r="BA107" s="86" t="b">
        <v>0</v>
      </c>
      <c r="BB107" s="86" t="b">
        <v>1</v>
      </c>
      <c r="BC107" s="86" t="b">
        <v>0</v>
      </c>
      <c r="BD107" s="86" t="b">
        <v>0</v>
      </c>
      <c r="BE107" s="86" t="b">
        <v>1</v>
      </c>
      <c r="BF107" s="86" t="b">
        <v>0</v>
      </c>
      <c r="BG107" s="86" t="b">
        <v>0</v>
      </c>
      <c r="BH107" s="96" t="str">
        <f>HYPERLINK("https://pbs.twimg.com/profile_banners/2868134025/1674810434")</f>
        <v>https://pbs.twimg.com/profile_banners/2868134025/1674810434</v>
      </c>
      <c r="BI107" s="86"/>
      <c r="BJ107" s="86" t="s">
        <v>29134</v>
      </c>
      <c r="BK107" s="86" t="b">
        <v>0</v>
      </c>
      <c r="BL107" s="86"/>
      <c r="BM107" s="86" t="s">
        <v>66</v>
      </c>
      <c r="BN107" s="86" t="s">
        <v>29136</v>
      </c>
      <c r="BO107" s="96" t="str">
        <f>HYPERLINK("https://twitter.com/sandroveiga_")</f>
        <v>https://twitter.com/sandroveiga_</v>
      </c>
      <c r="BP107" s="2"/>
    </row>
    <row r="108" spans="1:68" x14ac:dyDescent="0.25">
      <c r="A108" s="63" t="s">
        <v>318</v>
      </c>
      <c r="B108" s="64"/>
      <c r="C108" s="64"/>
      <c r="D108" s="65"/>
      <c r="E108" s="67"/>
      <c r="F108" s="111" t="str">
        <f>HYPERLINK("https://pbs.twimg.com/profile_images/1610760133201563666/td2jelEG_normal.jpg")</f>
        <v>https://pbs.twimg.com/profile_images/1610760133201563666/td2jelEG_normal.jpg</v>
      </c>
      <c r="G108" s="64"/>
      <c r="H108" s="68"/>
      <c r="I108" s="69"/>
      <c r="J108" s="69"/>
      <c r="K108" s="68" t="s">
        <v>29241</v>
      </c>
      <c r="L108" s="72"/>
      <c r="M108" s="73"/>
      <c r="N108" s="73"/>
      <c r="O108" s="74"/>
      <c r="P108" s="75"/>
      <c r="Q108" s="75"/>
      <c r="R108" s="102"/>
      <c r="S108" s="102"/>
      <c r="T108" s="102"/>
      <c r="U108" s="102"/>
      <c r="V108" s="48"/>
      <c r="W108" s="48"/>
      <c r="X108" s="48"/>
      <c r="Y108" s="48"/>
      <c r="Z108" s="47"/>
      <c r="AA108" s="70">
        <v>108</v>
      </c>
      <c r="AB108" s="70"/>
      <c r="AC108" s="71"/>
      <c r="AD108" s="86" t="s">
        <v>23747</v>
      </c>
      <c r="AE108" s="94" t="s">
        <v>25255</v>
      </c>
      <c r="AF108" s="86">
        <v>103</v>
      </c>
      <c r="AG108" s="86">
        <v>91</v>
      </c>
      <c r="AH108" s="86">
        <v>269</v>
      </c>
      <c r="AI108" s="86">
        <v>0</v>
      </c>
      <c r="AJ108" s="86">
        <v>86</v>
      </c>
      <c r="AK108" s="86">
        <v>136</v>
      </c>
      <c r="AL108" s="86" t="b">
        <v>0</v>
      </c>
      <c r="AM108" s="89">
        <v>40262.899756944447</v>
      </c>
      <c r="AN108" s="86"/>
      <c r="AO108" s="86" t="s">
        <v>26519</v>
      </c>
      <c r="AP108" s="96" t="str">
        <f>HYPERLINK("https://t.co/ldpVPe7zAF")</f>
        <v>https://t.co/ldpVPe7zAF</v>
      </c>
      <c r="AQ108" s="96" t="str">
        <f>HYPERLINK("http://www.tutormundi.com")</f>
        <v>http://www.tutormundi.com</v>
      </c>
      <c r="AR108" s="86" t="s">
        <v>27971</v>
      </c>
      <c r="AS108" s="86"/>
      <c r="AT108" s="86"/>
      <c r="AU108" s="86"/>
      <c r="AV108" s="86"/>
      <c r="AW108" s="96" t="str">
        <f>HYPERLINK("https://t.co/ldpVPe7zAF")</f>
        <v>https://t.co/ldpVPe7zAF</v>
      </c>
      <c r="AX108" s="86" t="b">
        <v>0</v>
      </c>
      <c r="AY108" s="86"/>
      <c r="AZ108" s="86"/>
      <c r="BA108" s="86" t="b">
        <v>0</v>
      </c>
      <c r="BB108" s="86" t="b">
        <v>0</v>
      </c>
      <c r="BC108" s="86" t="b">
        <v>1</v>
      </c>
      <c r="BD108" s="86" t="b">
        <v>0</v>
      </c>
      <c r="BE108" s="86" t="b">
        <v>1</v>
      </c>
      <c r="BF108" s="86" t="b">
        <v>0</v>
      </c>
      <c r="BG108" s="86" t="b">
        <v>0</v>
      </c>
      <c r="BH108" s="86"/>
      <c r="BI108" s="86"/>
      <c r="BJ108" s="86" t="s">
        <v>29134</v>
      </c>
      <c r="BK108" s="86" t="b">
        <v>0</v>
      </c>
      <c r="BL108" s="86"/>
      <c r="BM108" s="86" t="s">
        <v>66</v>
      </c>
      <c r="BN108" s="86" t="s">
        <v>29136</v>
      </c>
      <c r="BO108" s="96" t="str">
        <f>HYPERLINK("https://twitter.com/raphacoe")</f>
        <v>https://twitter.com/raphacoe</v>
      </c>
      <c r="BP108" s="2"/>
    </row>
    <row r="109" spans="1:68" x14ac:dyDescent="0.25">
      <c r="A109" s="63" t="s">
        <v>319</v>
      </c>
      <c r="B109" s="64"/>
      <c r="C109" s="64"/>
      <c r="D109" s="65"/>
      <c r="E109" s="67"/>
      <c r="F109" s="111" t="str">
        <f>HYPERLINK("https://pbs.twimg.com/profile_images/1675867079139033089/RnVUs3eP_normal.jpg")</f>
        <v>https://pbs.twimg.com/profile_images/1675867079139033089/RnVUs3eP_normal.jpg</v>
      </c>
      <c r="G109" s="64"/>
      <c r="H109" s="68"/>
      <c r="I109" s="69"/>
      <c r="J109" s="69"/>
      <c r="K109" s="68" t="s">
        <v>29242</v>
      </c>
      <c r="L109" s="72"/>
      <c r="M109" s="73"/>
      <c r="N109" s="73"/>
      <c r="O109" s="74"/>
      <c r="P109" s="75"/>
      <c r="Q109" s="75"/>
      <c r="R109" s="102"/>
      <c r="S109" s="102"/>
      <c r="T109" s="102"/>
      <c r="U109" s="102"/>
      <c r="V109" s="48"/>
      <c r="W109" s="48"/>
      <c r="X109" s="48"/>
      <c r="Y109" s="48"/>
      <c r="Z109" s="47"/>
      <c r="AA109" s="70">
        <v>109</v>
      </c>
      <c r="AB109" s="70"/>
      <c r="AC109" s="71"/>
      <c r="AD109" s="86" t="s">
        <v>23748</v>
      </c>
      <c r="AE109" s="94" t="s">
        <v>22850</v>
      </c>
      <c r="AF109" s="86">
        <v>3</v>
      </c>
      <c r="AG109" s="86">
        <v>6</v>
      </c>
      <c r="AH109" s="86">
        <v>38</v>
      </c>
      <c r="AI109" s="86">
        <v>0</v>
      </c>
      <c r="AJ109" s="86">
        <v>10</v>
      </c>
      <c r="AK109" s="86">
        <v>38</v>
      </c>
      <c r="AL109" s="86" t="b">
        <v>0</v>
      </c>
      <c r="AM109" s="89">
        <v>45110.581400462965</v>
      </c>
      <c r="AN109" s="86" t="s">
        <v>25919</v>
      </c>
      <c r="AO109" s="86" t="s">
        <v>26520</v>
      </c>
      <c r="AP109" s="96" t="str">
        <f>HYPERLINK("https://t.co/lN4Wm9unls")</f>
        <v>https://t.co/lN4Wm9unls</v>
      </c>
      <c r="AQ109" s="96" t="str">
        <f>HYPERLINK("https://www.facebook.com/Bazardot1")</f>
        <v>https://www.facebook.com/Bazardot1</v>
      </c>
      <c r="AR109" s="86" t="s">
        <v>27972</v>
      </c>
      <c r="AS109" s="86"/>
      <c r="AT109" s="86"/>
      <c r="AU109" s="86"/>
      <c r="AV109" s="86"/>
      <c r="AW109" s="96" t="str">
        <f>HYPERLINK("https://t.co/lN4Wm9unls")</f>
        <v>https://t.co/lN4Wm9unls</v>
      </c>
      <c r="AX109" s="86" t="b">
        <v>0</v>
      </c>
      <c r="AY109" s="86"/>
      <c r="AZ109" s="86"/>
      <c r="BA109" s="86" t="b">
        <v>0</v>
      </c>
      <c r="BB109" s="86" t="b">
        <v>1</v>
      </c>
      <c r="BC109" s="86" t="b">
        <v>1</v>
      </c>
      <c r="BD109" s="86" t="b">
        <v>0</v>
      </c>
      <c r="BE109" s="86" t="b">
        <v>0</v>
      </c>
      <c r="BF109" s="86" t="b">
        <v>0</v>
      </c>
      <c r="BG109" s="86" t="b">
        <v>0</v>
      </c>
      <c r="BH109" s="96" t="str">
        <f>HYPERLINK("https://pbs.twimg.com/profile_banners/1675866212654518273/1691347922")</f>
        <v>https://pbs.twimg.com/profile_banners/1675866212654518273/1691347922</v>
      </c>
      <c r="BI109" s="86"/>
      <c r="BJ109" s="86" t="s">
        <v>29134</v>
      </c>
      <c r="BK109" s="86" t="b">
        <v>0</v>
      </c>
      <c r="BL109" s="86"/>
      <c r="BM109" s="86" t="s">
        <v>66</v>
      </c>
      <c r="BN109" s="86" t="s">
        <v>29136</v>
      </c>
      <c r="BO109" s="96" t="str">
        <f>HYPERLINK("https://twitter.com/bazardot")</f>
        <v>https://twitter.com/bazardot</v>
      </c>
      <c r="BP109" s="2"/>
    </row>
    <row r="110" spans="1:68" x14ac:dyDescent="0.25">
      <c r="A110" s="63" t="s">
        <v>320</v>
      </c>
      <c r="B110" s="64"/>
      <c r="C110" s="64"/>
      <c r="D110" s="65"/>
      <c r="E110" s="67"/>
      <c r="F110" s="111" t="str">
        <f>HYPERLINK("https://pbs.twimg.com/profile_images/1677291741915881472/80YAd9CJ_normal.jpg")</f>
        <v>https://pbs.twimg.com/profile_images/1677291741915881472/80YAd9CJ_normal.jpg</v>
      </c>
      <c r="G110" s="64"/>
      <c r="H110" s="68"/>
      <c r="I110" s="69"/>
      <c r="J110" s="69"/>
      <c r="K110" s="68" t="s">
        <v>29243</v>
      </c>
      <c r="L110" s="72"/>
      <c r="M110" s="73"/>
      <c r="N110" s="73"/>
      <c r="O110" s="74"/>
      <c r="P110" s="75"/>
      <c r="Q110" s="75"/>
      <c r="R110" s="102"/>
      <c r="S110" s="102"/>
      <c r="T110" s="102"/>
      <c r="U110" s="102"/>
      <c r="V110" s="48"/>
      <c r="W110" s="48"/>
      <c r="X110" s="48"/>
      <c r="Y110" s="48"/>
      <c r="Z110" s="47"/>
      <c r="AA110" s="70">
        <v>110</v>
      </c>
      <c r="AB110" s="70"/>
      <c r="AC110" s="71"/>
      <c r="AD110" s="86" t="s">
        <v>23749</v>
      </c>
      <c r="AE110" s="94" t="s">
        <v>25256</v>
      </c>
      <c r="AF110" s="86">
        <v>1641</v>
      </c>
      <c r="AG110" s="86">
        <v>1527</v>
      </c>
      <c r="AH110" s="86">
        <v>58385</v>
      </c>
      <c r="AI110" s="86">
        <v>9</v>
      </c>
      <c r="AJ110" s="86">
        <v>99594</v>
      </c>
      <c r="AK110" s="86">
        <v>5069</v>
      </c>
      <c r="AL110" s="86" t="b">
        <v>0</v>
      </c>
      <c r="AM110" s="89">
        <v>40478.892118055555</v>
      </c>
      <c r="AN110" s="86" t="s">
        <v>15246</v>
      </c>
      <c r="AO110" s="86" t="s">
        <v>26521</v>
      </c>
      <c r="AP110" s="96" t="str">
        <f>HYPERLINK("https://t.co/v7lPd6UHPH")</f>
        <v>https://t.co/v7lPd6UHPH</v>
      </c>
      <c r="AQ110" s="96" t="str">
        <f>HYPERLINK("http://instagr.am/igornorado")</f>
        <v>http://instagr.am/igornorado</v>
      </c>
      <c r="AR110" s="86" t="s">
        <v>27973</v>
      </c>
      <c r="AS110" s="86"/>
      <c r="AT110" s="86"/>
      <c r="AU110" s="86"/>
      <c r="AV110" s="86">
        <v>1.4489903322056E+18</v>
      </c>
      <c r="AW110" s="96" t="str">
        <f>HYPERLINK("https://t.co/v7lPd6UHPH")</f>
        <v>https://t.co/v7lPd6UHPH</v>
      </c>
      <c r="AX110" s="86" t="b">
        <v>0</v>
      </c>
      <c r="AY110" s="86"/>
      <c r="AZ110" s="86"/>
      <c r="BA110" s="86" t="b">
        <v>1</v>
      </c>
      <c r="BB110" s="86" t="b">
        <v>0</v>
      </c>
      <c r="BC110" s="86" t="b">
        <v>0</v>
      </c>
      <c r="BD110" s="86" t="b">
        <v>0</v>
      </c>
      <c r="BE110" s="86" t="b">
        <v>1</v>
      </c>
      <c r="BF110" s="86" t="b">
        <v>0</v>
      </c>
      <c r="BG110" s="86" t="b">
        <v>0</v>
      </c>
      <c r="BH110" s="96" t="str">
        <f>HYPERLINK("https://pbs.twimg.com/profile_banners/208741721/1678719469")</f>
        <v>https://pbs.twimg.com/profile_banners/208741721/1678719469</v>
      </c>
      <c r="BI110" s="86"/>
      <c r="BJ110" s="86" t="s">
        <v>29134</v>
      </c>
      <c r="BK110" s="86" t="b">
        <v>0</v>
      </c>
      <c r="BL110" s="86"/>
      <c r="BM110" s="86" t="s">
        <v>66</v>
      </c>
      <c r="BN110" s="86" t="s">
        <v>29136</v>
      </c>
      <c r="BO110" s="96" t="str">
        <f>HYPERLINK("https://twitter.com/igornorado")</f>
        <v>https://twitter.com/igornorado</v>
      </c>
      <c r="BP110" s="2"/>
    </row>
    <row r="111" spans="1:68" x14ac:dyDescent="0.25">
      <c r="A111" s="63" t="s">
        <v>1626</v>
      </c>
      <c r="B111" s="64"/>
      <c r="C111" s="64"/>
      <c r="D111" s="65"/>
      <c r="E111" s="67"/>
      <c r="F111" s="111" t="str">
        <f>HYPERLINK("https://pbs.twimg.com/profile_images/1630739125216112646/0_ruy9_I_normal.jpg")</f>
        <v>https://pbs.twimg.com/profile_images/1630739125216112646/0_ruy9_I_normal.jpg</v>
      </c>
      <c r="G111" s="64"/>
      <c r="H111" s="68"/>
      <c r="I111" s="69"/>
      <c r="J111" s="69"/>
      <c r="K111" s="68" t="s">
        <v>29244</v>
      </c>
      <c r="L111" s="72"/>
      <c r="M111" s="73"/>
      <c r="N111" s="73"/>
      <c r="O111" s="74"/>
      <c r="P111" s="75"/>
      <c r="Q111" s="75"/>
      <c r="R111" s="102"/>
      <c r="S111" s="102"/>
      <c r="T111" s="102"/>
      <c r="U111" s="102"/>
      <c r="V111" s="48"/>
      <c r="W111" s="48"/>
      <c r="X111" s="48"/>
      <c r="Y111" s="48"/>
      <c r="Z111" s="47"/>
      <c r="AA111" s="70">
        <v>111</v>
      </c>
      <c r="AB111" s="70"/>
      <c r="AC111" s="71"/>
      <c r="AD111" s="86" t="s">
        <v>23750</v>
      </c>
      <c r="AE111" s="94" t="s">
        <v>22522</v>
      </c>
      <c r="AF111" s="86">
        <v>5797</v>
      </c>
      <c r="AG111" s="86">
        <v>2187</v>
      </c>
      <c r="AH111" s="86">
        <v>27346</v>
      </c>
      <c r="AI111" s="86">
        <v>4</v>
      </c>
      <c r="AJ111" s="86">
        <v>88696</v>
      </c>
      <c r="AK111" s="86">
        <v>4835</v>
      </c>
      <c r="AL111" s="86" t="b">
        <v>0</v>
      </c>
      <c r="AM111" s="89">
        <v>39985.580636574072</v>
      </c>
      <c r="AN111" s="86" t="s">
        <v>25920</v>
      </c>
      <c r="AO111" s="86" t="s">
        <v>26522</v>
      </c>
      <c r="AP111" s="86"/>
      <c r="AQ111" s="86"/>
      <c r="AR111" s="86"/>
      <c r="AS111" s="96" t="str">
        <f>HYPERLINK("https://t.co/8JtquDKKWj")</f>
        <v>https://t.co/8JtquDKKWj</v>
      </c>
      <c r="AT111" s="96" t="str">
        <f>HYPERLINK("http://Instagram.com/brgomes90")</f>
        <v>http://Instagram.com/brgomes90</v>
      </c>
      <c r="AU111" s="86" t="s">
        <v>29034</v>
      </c>
      <c r="AV111" s="86">
        <v>1.5281074269515899E+18</v>
      </c>
      <c r="AW111" s="86"/>
      <c r="AX111" s="86" t="b">
        <v>0</v>
      </c>
      <c r="AY111" s="86"/>
      <c r="AZ111" s="86"/>
      <c r="BA111" s="86" t="b">
        <v>0</v>
      </c>
      <c r="BB111" s="86" t="b">
        <v>0</v>
      </c>
      <c r="BC111" s="86" t="b">
        <v>0</v>
      </c>
      <c r="BD111" s="86" t="b">
        <v>0</v>
      </c>
      <c r="BE111" s="86" t="b">
        <v>1</v>
      </c>
      <c r="BF111" s="86" t="b">
        <v>0</v>
      </c>
      <c r="BG111" s="86" t="b">
        <v>0</v>
      </c>
      <c r="BH111" s="96" t="str">
        <f>HYPERLINK("https://pbs.twimg.com/profile_banners/49319290/1643452563")</f>
        <v>https://pbs.twimg.com/profile_banners/49319290/1643452563</v>
      </c>
      <c r="BI111" s="86"/>
      <c r="BJ111" s="86" t="s">
        <v>29134</v>
      </c>
      <c r="BK111" s="86" t="b">
        <v>0</v>
      </c>
      <c r="BL111" s="86"/>
      <c r="BM111" s="86" t="s">
        <v>65</v>
      </c>
      <c r="BN111" s="86" t="s">
        <v>29136</v>
      </c>
      <c r="BO111" s="96" t="str">
        <f>HYPERLINK("https://twitter.com/obruneus")</f>
        <v>https://twitter.com/obruneus</v>
      </c>
      <c r="BP111" s="2"/>
    </row>
    <row r="112" spans="1:68" x14ac:dyDescent="0.25">
      <c r="A112" s="63" t="s">
        <v>321</v>
      </c>
      <c r="B112" s="64"/>
      <c r="C112" s="64"/>
      <c r="D112" s="65"/>
      <c r="E112" s="67"/>
      <c r="F112" s="111" t="str">
        <f>HYPERLINK("https://pbs.twimg.com/profile_images/1643072171235786753/vTMBH-Ki_normal.jpg")</f>
        <v>https://pbs.twimg.com/profile_images/1643072171235786753/vTMBH-Ki_normal.jpg</v>
      </c>
      <c r="G112" s="64"/>
      <c r="H112" s="68"/>
      <c r="I112" s="69"/>
      <c r="J112" s="69"/>
      <c r="K112" s="68" t="s">
        <v>29245</v>
      </c>
      <c r="L112" s="72"/>
      <c r="M112" s="73"/>
      <c r="N112" s="73"/>
      <c r="O112" s="74"/>
      <c r="P112" s="75"/>
      <c r="Q112" s="75"/>
      <c r="R112" s="102"/>
      <c r="S112" s="102"/>
      <c r="T112" s="102"/>
      <c r="U112" s="102"/>
      <c r="V112" s="48"/>
      <c r="W112" s="48"/>
      <c r="X112" s="48"/>
      <c r="Y112" s="48"/>
      <c r="Z112" s="47"/>
      <c r="AA112" s="70">
        <v>112</v>
      </c>
      <c r="AB112" s="70"/>
      <c r="AC112" s="71"/>
      <c r="AD112" s="86" t="s">
        <v>23751</v>
      </c>
      <c r="AE112" s="94" t="s">
        <v>25257</v>
      </c>
      <c r="AF112" s="86">
        <v>32</v>
      </c>
      <c r="AG112" s="86">
        <v>48</v>
      </c>
      <c r="AH112" s="86">
        <v>1133</v>
      </c>
      <c r="AI112" s="86">
        <v>0</v>
      </c>
      <c r="AJ112" s="86">
        <v>8</v>
      </c>
      <c r="AK112" s="86">
        <v>674</v>
      </c>
      <c r="AL112" s="86" t="b">
        <v>0</v>
      </c>
      <c r="AM112" s="89">
        <v>41208.004062499997</v>
      </c>
      <c r="AN112" s="86" t="s">
        <v>25913</v>
      </c>
      <c r="AO112" s="86" t="s">
        <v>26523</v>
      </c>
      <c r="AP112" s="96" t="str">
        <f>HYPERLINK("https://t.co/hSbWcEM3Lg")</f>
        <v>https://t.co/hSbWcEM3Lg</v>
      </c>
      <c r="AQ112" s="96" t="str">
        <f>HYPERLINK("http://www.goakira.com.br")</f>
        <v>http://www.goakira.com.br</v>
      </c>
      <c r="AR112" s="86" t="s">
        <v>27974</v>
      </c>
      <c r="AS112" s="86"/>
      <c r="AT112" s="86"/>
      <c r="AU112" s="86"/>
      <c r="AV112" s="86"/>
      <c r="AW112" s="96" t="str">
        <f>HYPERLINK("https://t.co/hSbWcEM3Lg")</f>
        <v>https://t.co/hSbWcEM3Lg</v>
      </c>
      <c r="AX112" s="86" t="b">
        <v>0</v>
      </c>
      <c r="AY112" s="86"/>
      <c r="AZ112" s="86"/>
      <c r="BA112" s="86" t="b">
        <v>0</v>
      </c>
      <c r="BB112" s="86" t="b">
        <v>1</v>
      </c>
      <c r="BC112" s="86" t="b">
        <v>0</v>
      </c>
      <c r="BD112" s="86" t="b">
        <v>0</v>
      </c>
      <c r="BE112" s="86" t="b">
        <v>0</v>
      </c>
      <c r="BF112" s="86" t="b">
        <v>0</v>
      </c>
      <c r="BG112" s="86" t="b">
        <v>0</v>
      </c>
      <c r="BH112" s="96" t="str">
        <f>HYPERLINK("https://pbs.twimg.com/profile_banners/904929306/1680573909")</f>
        <v>https://pbs.twimg.com/profile_banners/904929306/1680573909</v>
      </c>
      <c r="BI112" s="86"/>
      <c r="BJ112" s="86" t="s">
        <v>29134</v>
      </c>
      <c r="BK112" s="86" t="b">
        <v>0</v>
      </c>
      <c r="BL112" s="86"/>
      <c r="BM112" s="86" t="s">
        <v>66</v>
      </c>
      <c r="BN112" s="86" t="s">
        <v>29136</v>
      </c>
      <c r="BO112" s="96" t="str">
        <f>HYPERLINK("https://twitter.com/goakira_")</f>
        <v>https://twitter.com/goakira_</v>
      </c>
      <c r="BP112" s="2"/>
    </row>
    <row r="113" spans="1:68" x14ac:dyDescent="0.25">
      <c r="A113" s="63" t="s">
        <v>322</v>
      </c>
      <c r="B113" s="64"/>
      <c r="C113" s="64"/>
      <c r="D113" s="65"/>
      <c r="E113" s="67"/>
      <c r="F113" s="111" t="str">
        <f>HYPERLINK("https://pbs.twimg.com/profile_images/1678089270089641985/v5pxaWWB_normal.jpg")</f>
        <v>https://pbs.twimg.com/profile_images/1678089270089641985/v5pxaWWB_normal.jpg</v>
      </c>
      <c r="G113" s="64"/>
      <c r="H113" s="68"/>
      <c r="I113" s="69"/>
      <c r="J113" s="69"/>
      <c r="K113" s="68" t="s">
        <v>29246</v>
      </c>
      <c r="L113" s="72"/>
      <c r="M113" s="73"/>
      <c r="N113" s="73"/>
      <c r="O113" s="74"/>
      <c r="P113" s="75"/>
      <c r="Q113" s="75"/>
      <c r="R113" s="102"/>
      <c r="S113" s="102"/>
      <c r="T113" s="102"/>
      <c r="U113" s="102"/>
      <c r="V113" s="48"/>
      <c r="W113" s="48"/>
      <c r="X113" s="48"/>
      <c r="Y113" s="48"/>
      <c r="Z113" s="47"/>
      <c r="AA113" s="70">
        <v>113</v>
      </c>
      <c r="AB113" s="70"/>
      <c r="AC113" s="71"/>
      <c r="AD113" s="86" t="s">
        <v>23752</v>
      </c>
      <c r="AE113" s="94" t="s">
        <v>22523</v>
      </c>
      <c r="AF113" s="86">
        <v>9</v>
      </c>
      <c r="AG113" s="86">
        <v>7</v>
      </c>
      <c r="AH113" s="86">
        <v>15</v>
      </c>
      <c r="AI113" s="86">
        <v>0</v>
      </c>
      <c r="AJ113" s="86">
        <v>4</v>
      </c>
      <c r="AK113" s="86">
        <v>12</v>
      </c>
      <c r="AL113" s="86" t="b">
        <v>0</v>
      </c>
      <c r="AM113" s="89">
        <v>45116.713125000002</v>
      </c>
      <c r="AN113" s="86" t="s">
        <v>25921</v>
      </c>
      <c r="AO113" s="86" t="s">
        <v>26524</v>
      </c>
      <c r="AP113" s="86"/>
      <c r="AQ113" s="86"/>
      <c r="AR113" s="86"/>
      <c r="AS113" s="86"/>
      <c r="AT113" s="86"/>
      <c r="AU113" s="86"/>
      <c r="AV113" s="86">
        <v>1.67811349325648E+18</v>
      </c>
      <c r="AW113" s="86"/>
      <c r="AX113" s="86" t="b">
        <v>0</v>
      </c>
      <c r="AY113" s="86"/>
      <c r="AZ113" s="86"/>
      <c r="BA113" s="86" t="b">
        <v>0</v>
      </c>
      <c r="BB113" s="86" t="b">
        <v>1</v>
      </c>
      <c r="BC113" s="86" t="b">
        <v>1</v>
      </c>
      <c r="BD113" s="86" t="b">
        <v>0</v>
      </c>
      <c r="BE113" s="86" t="b">
        <v>0</v>
      </c>
      <c r="BF113" s="86" t="b">
        <v>0</v>
      </c>
      <c r="BG113" s="86" t="b">
        <v>0</v>
      </c>
      <c r="BH113" s="96" t="str">
        <f>HYPERLINK("https://pbs.twimg.com/profile_banners/1678088236042788864/1688925054")</f>
        <v>https://pbs.twimg.com/profile_banners/1678088236042788864/1688925054</v>
      </c>
      <c r="BI113" s="86"/>
      <c r="BJ113" s="86" t="s">
        <v>29134</v>
      </c>
      <c r="BK113" s="86" t="b">
        <v>0</v>
      </c>
      <c r="BL113" s="86"/>
      <c r="BM113" s="86" t="s">
        <v>66</v>
      </c>
      <c r="BN113" s="86" t="s">
        <v>29136</v>
      </c>
      <c r="BO113" s="96" t="str">
        <f>HYPERLINK("https://twitter.com/expoedite")</f>
        <v>https://twitter.com/expoedite</v>
      </c>
      <c r="BP113" s="2"/>
    </row>
    <row r="114" spans="1:68" x14ac:dyDescent="0.25">
      <c r="A114" s="63" t="s">
        <v>323</v>
      </c>
      <c r="B114" s="64"/>
      <c r="C114" s="64"/>
      <c r="D114" s="65"/>
      <c r="E114" s="67"/>
      <c r="F114" s="111" t="str">
        <f>HYPERLINK("https://pbs.twimg.com/profile_images/1680193293739597826/CssDDNfK_normal.jpg")</f>
        <v>https://pbs.twimg.com/profile_images/1680193293739597826/CssDDNfK_normal.jpg</v>
      </c>
      <c r="G114" s="64"/>
      <c r="H114" s="68"/>
      <c r="I114" s="69"/>
      <c r="J114" s="69"/>
      <c r="K114" s="68" t="s">
        <v>29247</v>
      </c>
      <c r="L114" s="72"/>
      <c r="M114" s="73"/>
      <c r="N114" s="73"/>
      <c r="O114" s="74"/>
      <c r="P114" s="75"/>
      <c r="Q114" s="75"/>
      <c r="R114" s="102"/>
      <c r="S114" s="102"/>
      <c r="T114" s="102"/>
      <c r="U114" s="102"/>
      <c r="V114" s="48"/>
      <c r="W114" s="48"/>
      <c r="X114" s="48"/>
      <c r="Y114" s="48"/>
      <c r="Z114" s="47"/>
      <c r="AA114" s="70">
        <v>114</v>
      </c>
      <c r="AB114" s="70"/>
      <c r="AC114" s="71"/>
      <c r="AD114" s="86" t="s">
        <v>23753</v>
      </c>
      <c r="AE114" s="94" t="s">
        <v>22851</v>
      </c>
      <c r="AF114" s="86">
        <v>38</v>
      </c>
      <c r="AG114" s="86">
        <v>118</v>
      </c>
      <c r="AH114" s="86">
        <v>110</v>
      </c>
      <c r="AI114" s="86">
        <v>0</v>
      </c>
      <c r="AJ114" s="86">
        <v>119</v>
      </c>
      <c r="AK114" s="86">
        <v>12</v>
      </c>
      <c r="AL114" s="86" t="b">
        <v>0</v>
      </c>
      <c r="AM114" s="89">
        <v>45110.99291666667</v>
      </c>
      <c r="AN114" s="86" t="s">
        <v>15245</v>
      </c>
      <c r="AO114" s="86" t="s">
        <v>26525</v>
      </c>
      <c r="AP114" s="86"/>
      <c r="AQ114" s="86"/>
      <c r="AR114" s="86"/>
      <c r="AS114" s="86"/>
      <c r="AT114" s="86"/>
      <c r="AU114" s="86"/>
      <c r="AV114" s="86"/>
      <c r="AW114" s="86"/>
      <c r="AX114" s="86" t="b">
        <v>0</v>
      </c>
      <c r="AY114" s="86"/>
      <c r="AZ114" s="86"/>
      <c r="BA114" s="86" t="b">
        <v>0</v>
      </c>
      <c r="BB114" s="86" t="b">
        <v>1</v>
      </c>
      <c r="BC114" s="86" t="b">
        <v>1</v>
      </c>
      <c r="BD114" s="86" t="b">
        <v>0</v>
      </c>
      <c r="BE114" s="86" t="b">
        <v>0</v>
      </c>
      <c r="BF114" s="86" t="b">
        <v>0</v>
      </c>
      <c r="BG114" s="86" t="b">
        <v>0</v>
      </c>
      <c r="BH114" s="96" t="str">
        <f>HYPERLINK("https://pbs.twimg.com/profile_banners/1676015326952079362/1688489703")</f>
        <v>https://pbs.twimg.com/profile_banners/1676015326952079362/1688489703</v>
      </c>
      <c r="BI114" s="86"/>
      <c r="BJ114" s="86" t="s">
        <v>29134</v>
      </c>
      <c r="BK114" s="86" t="b">
        <v>0</v>
      </c>
      <c r="BL114" s="86"/>
      <c r="BM114" s="86" t="s">
        <v>66</v>
      </c>
      <c r="BN114" s="86" t="s">
        <v>29136</v>
      </c>
      <c r="BO114" s="96" t="str">
        <f>HYPERLINK("https://twitter.com/maismillionario")</f>
        <v>https://twitter.com/maismillionario</v>
      </c>
      <c r="BP114" s="2"/>
    </row>
    <row r="115" spans="1:68" x14ac:dyDescent="0.25">
      <c r="A115" s="63" t="s">
        <v>1627</v>
      </c>
      <c r="B115" s="64"/>
      <c r="C115" s="64"/>
      <c r="D115" s="65"/>
      <c r="E115" s="67"/>
      <c r="F115" s="111" t="str">
        <f>HYPERLINK("https://pbs.twimg.com/profile_images/458619684502241280/UC5wrec9_normal.jpeg")</f>
        <v>https://pbs.twimg.com/profile_images/458619684502241280/UC5wrec9_normal.jpeg</v>
      </c>
      <c r="G115" s="64"/>
      <c r="H115" s="68"/>
      <c r="I115" s="69"/>
      <c r="J115" s="69"/>
      <c r="K115" s="68" t="s">
        <v>29248</v>
      </c>
      <c r="L115" s="72"/>
      <c r="M115" s="73"/>
      <c r="N115" s="73"/>
      <c r="O115" s="74"/>
      <c r="P115" s="75"/>
      <c r="Q115" s="75"/>
      <c r="R115" s="102"/>
      <c r="S115" s="102"/>
      <c r="T115" s="102"/>
      <c r="U115" s="102"/>
      <c r="V115" s="48"/>
      <c r="W115" s="48"/>
      <c r="X115" s="48"/>
      <c r="Y115" s="48"/>
      <c r="Z115" s="47"/>
      <c r="AA115" s="70">
        <v>115</v>
      </c>
      <c r="AB115" s="70"/>
      <c r="AC115" s="71"/>
      <c r="AD115" s="86" t="s">
        <v>23754</v>
      </c>
      <c r="AE115" s="94" t="s">
        <v>25258</v>
      </c>
      <c r="AF115" s="86">
        <v>2899</v>
      </c>
      <c r="AG115" s="86">
        <v>66</v>
      </c>
      <c r="AH115" s="86">
        <v>1264</v>
      </c>
      <c r="AI115" s="86">
        <v>52</v>
      </c>
      <c r="AJ115" s="86">
        <v>44</v>
      </c>
      <c r="AK115" s="86">
        <v>279</v>
      </c>
      <c r="AL115" s="86" t="b">
        <v>0</v>
      </c>
      <c r="AM115" s="89">
        <v>40374.851354166669</v>
      </c>
      <c r="AN115" s="86"/>
      <c r="AO115" s="86" t="s">
        <v>26526</v>
      </c>
      <c r="AP115" s="96" t="str">
        <f>HYPERLINK("https://t.co/u19ys9fNcZ")</f>
        <v>https://t.co/u19ys9fNcZ</v>
      </c>
      <c r="AQ115" s="96" t="str">
        <f>HYPERLINK("http://linktr.ee/editorasenacsp")</f>
        <v>http://linktr.ee/editorasenacsp</v>
      </c>
      <c r="AR115" s="86" t="s">
        <v>27975</v>
      </c>
      <c r="AS115" s="86"/>
      <c r="AT115" s="86"/>
      <c r="AU115" s="86"/>
      <c r="AV115" s="86"/>
      <c r="AW115" s="96" t="str">
        <f>HYPERLINK("https://t.co/u19ys9fNcZ")</f>
        <v>https://t.co/u19ys9fNcZ</v>
      </c>
      <c r="AX115" s="86" t="b">
        <v>0</v>
      </c>
      <c r="AY115" s="86"/>
      <c r="AZ115" s="86"/>
      <c r="BA115" s="86" t="b">
        <v>0</v>
      </c>
      <c r="BB115" s="86" t="b">
        <v>1</v>
      </c>
      <c r="BC115" s="86" t="b">
        <v>0</v>
      </c>
      <c r="BD115" s="86" t="b">
        <v>0</v>
      </c>
      <c r="BE115" s="86" t="b">
        <v>0</v>
      </c>
      <c r="BF115" s="86" t="b">
        <v>0</v>
      </c>
      <c r="BG115" s="86" t="b">
        <v>0</v>
      </c>
      <c r="BH115" s="96" t="str">
        <f>HYPERLINK("https://pbs.twimg.com/profile_banners/167123022/1658501770")</f>
        <v>https://pbs.twimg.com/profile_banners/167123022/1658501770</v>
      </c>
      <c r="BI115" s="86"/>
      <c r="BJ115" s="86" t="s">
        <v>29134</v>
      </c>
      <c r="BK115" s="86" t="b">
        <v>0</v>
      </c>
      <c r="BL115" s="86"/>
      <c r="BM115" s="86" t="s">
        <v>65</v>
      </c>
      <c r="BN115" s="86" t="s">
        <v>29136</v>
      </c>
      <c r="BO115" s="96" t="str">
        <f>HYPERLINK("https://twitter.com/editorasenacsp")</f>
        <v>https://twitter.com/editorasenacsp</v>
      </c>
      <c r="BP115" s="2"/>
    </row>
    <row r="116" spans="1:68" x14ac:dyDescent="0.25">
      <c r="A116" s="63" t="s">
        <v>324</v>
      </c>
      <c r="B116" s="64"/>
      <c r="C116" s="64"/>
      <c r="D116" s="65"/>
      <c r="E116" s="67"/>
      <c r="F116" s="111" t="str">
        <f>HYPERLINK("https://pbs.twimg.com/profile_images/1451336986506244102/bbO8dxzF_normal.jpg")</f>
        <v>https://pbs.twimg.com/profile_images/1451336986506244102/bbO8dxzF_normal.jpg</v>
      </c>
      <c r="G116" s="64"/>
      <c r="H116" s="68"/>
      <c r="I116" s="69"/>
      <c r="J116" s="69"/>
      <c r="K116" s="68" t="s">
        <v>29249</v>
      </c>
      <c r="L116" s="72"/>
      <c r="M116" s="73"/>
      <c r="N116" s="73"/>
      <c r="O116" s="74"/>
      <c r="P116" s="75"/>
      <c r="Q116" s="75"/>
      <c r="R116" s="102"/>
      <c r="S116" s="102"/>
      <c r="T116" s="102"/>
      <c r="U116" s="102"/>
      <c r="V116" s="48"/>
      <c r="W116" s="48"/>
      <c r="X116" s="48"/>
      <c r="Y116" s="48"/>
      <c r="Z116" s="47"/>
      <c r="AA116" s="70">
        <v>116</v>
      </c>
      <c r="AB116" s="70"/>
      <c r="AC116" s="71"/>
      <c r="AD116" s="86" t="s">
        <v>23755</v>
      </c>
      <c r="AE116" s="94" t="s">
        <v>22524</v>
      </c>
      <c r="AF116" s="86">
        <v>1143</v>
      </c>
      <c r="AG116" s="86">
        <v>1686</v>
      </c>
      <c r="AH116" s="86">
        <v>13822</v>
      </c>
      <c r="AI116" s="86">
        <v>4</v>
      </c>
      <c r="AJ116" s="86">
        <v>22397</v>
      </c>
      <c r="AK116" s="86">
        <v>529</v>
      </c>
      <c r="AL116" s="86" t="b">
        <v>0</v>
      </c>
      <c r="AM116" s="89">
        <v>44490.998391203706</v>
      </c>
      <c r="AN116" s="86" t="s">
        <v>25922</v>
      </c>
      <c r="AO116" s="86" t="s">
        <v>26527</v>
      </c>
      <c r="AP116" s="86"/>
      <c r="AQ116" s="86"/>
      <c r="AR116" s="86"/>
      <c r="AS116" s="86"/>
      <c r="AT116" s="86"/>
      <c r="AU116" s="86"/>
      <c r="AV116" s="86">
        <v>1.6966974639674501E+18</v>
      </c>
      <c r="AW116" s="86"/>
      <c r="AX116" s="86" t="b">
        <v>0</v>
      </c>
      <c r="AY116" s="86"/>
      <c r="AZ116" s="86"/>
      <c r="BA116" s="86" t="b">
        <v>0</v>
      </c>
      <c r="BB116" s="86" t="b">
        <v>1</v>
      </c>
      <c r="BC116" s="86" t="b">
        <v>1</v>
      </c>
      <c r="BD116" s="86" t="b">
        <v>0</v>
      </c>
      <c r="BE116" s="86" t="b">
        <v>0</v>
      </c>
      <c r="BF116" s="86" t="b">
        <v>0</v>
      </c>
      <c r="BG116" s="86" t="b">
        <v>0</v>
      </c>
      <c r="BH116" s="96" t="str">
        <f>HYPERLINK("https://pbs.twimg.com/profile_banners/1451336811700228099/1672164112")</f>
        <v>https://pbs.twimg.com/profile_banners/1451336811700228099/1672164112</v>
      </c>
      <c r="BI116" s="86"/>
      <c r="BJ116" s="86" t="s">
        <v>29134</v>
      </c>
      <c r="BK116" s="86" t="b">
        <v>0</v>
      </c>
      <c r="BL116" s="86"/>
      <c r="BM116" s="86" t="s">
        <v>66</v>
      </c>
      <c r="BN116" s="86" t="s">
        <v>29136</v>
      </c>
      <c r="BO116" s="96" t="str">
        <f>HYPERLINK("https://twitter.com/economia_cafe")</f>
        <v>https://twitter.com/economia_cafe</v>
      </c>
      <c r="BP116" s="2"/>
    </row>
    <row r="117" spans="1:68" x14ac:dyDescent="0.25">
      <c r="A117" s="63" t="s">
        <v>325</v>
      </c>
      <c r="B117" s="64"/>
      <c r="C117" s="64"/>
      <c r="D117" s="65"/>
      <c r="E117" s="67"/>
      <c r="F117" s="111" t="str">
        <f>HYPERLINK("https://pbs.twimg.com/profile_images/1676219557214552068/RyItjOu1_normal.jpg")</f>
        <v>https://pbs.twimg.com/profile_images/1676219557214552068/RyItjOu1_normal.jpg</v>
      </c>
      <c r="G117" s="64"/>
      <c r="H117" s="68"/>
      <c r="I117" s="69"/>
      <c r="J117" s="69"/>
      <c r="K117" s="68" t="s">
        <v>29250</v>
      </c>
      <c r="L117" s="72"/>
      <c r="M117" s="73"/>
      <c r="N117" s="73"/>
      <c r="O117" s="74"/>
      <c r="P117" s="75"/>
      <c r="Q117" s="75"/>
      <c r="R117" s="102"/>
      <c r="S117" s="102"/>
      <c r="T117" s="102"/>
      <c r="U117" s="102"/>
      <c r="V117" s="48"/>
      <c r="W117" s="48"/>
      <c r="X117" s="48"/>
      <c r="Y117" s="48"/>
      <c r="Z117" s="47"/>
      <c r="AA117" s="70">
        <v>117</v>
      </c>
      <c r="AB117" s="70"/>
      <c r="AC117" s="71"/>
      <c r="AD117" s="86" t="s">
        <v>23756</v>
      </c>
      <c r="AE117" s="94" t="s">
        <v>25259</v>
      </c>
      <c r="AF117" s="86">
        <v>214</v>
      </c>
      <c r="AG117" s="86">
        <v>456</v>
      </c>
      <c r="AH117" s="86">
        <v>378</v>
      </c>
      <c r="AI117" s="86">
        <v>0</v>
      </c>
      <c r="AJ117" s="86">
        <v>21</v>
      </c>
      <c r="AK117" s="86">
        <v>38</v>
      </c>
      <c r="AL117" s="86" t="b">
        <v>0</v>
      </c>
      <c r="AM117" s="89">
        <v>40381.816145833334</v>
      </c>
      <c r="AN117" s="86"/>
      <c r="AO117" s="86" t="s">
        <v>26528</v>
      </c>
      <c r="AP117" s="96" t="str">
        <f>HYPERLINK("https://t.co/MFrAyn5z2n")</f>
        <v>https://t.co/MFrAyn5z2n</v>
      </c>
      <c r="AQ117" s="96" t="str">
        <f>HYPERLINK("http://isoservice.net")</f>
        <v>http://isoservice.net</v>
      </c>
      <c r="AR117" s="86" t="s">
        <v>27976</v>
      </c>
      <c r="AS117" s="86"/>
      <c r="AT117" s="86"/>
      <c r="AU117" s="86"/>
      <c r="AV117" s="86"/>
      <c r="AW117" s="96" t="str">
        <f>HYPERLINK("https://t.co/MFrAyn5z2n")</f>
        <v>https://t.co/MFrAyn5z2n</v>
      </c>
      <c r="AX117" s="86" t="b">
        <v>0</v>
      </c>
      <c r="AY117" s="86"/>
      <c r="AZ117" s="86"/>
      <c r="BA117" s="86" t="b">
        <v>0</v>
      </c>
      <c r="BB117" s="86" t="b">
        <v>1</v>
      </c>
      <c r="BC117" s="86" t="b">
        <v>0</v>
      </c>
      <c r="BD117" s="86" t="b">
        <v>0</v>
      </c>
      <c r="BE117" s="86" t="b">
        <v>0</v>
      </c>
      <c r="BF117" s="86" t="b">
        <v>0</v>
      </c>
      <c r="BG117" s="86" t="b">
        <v>0</v>
      </c>
      <c r="BH117" s="96" t="str">
        <f>HYPERLINK("https://pbs.twimg.com/profile_banners/169618498/1688476860")</f>
        <v>https://pbs.twimg.com/profile_banners/169618498/1688476860</v>
      </c>
      <c r="BI117" s="86"/>
      <c r="BJ117" s="86" t="s">
        <v>29134</v>
      </c>
      <c r="BK117" s="86" t="b">
        <v>0</v>
      </c>
      <c r="BL117" s="86"/>
      <c r="BM117" s="86" t="s">
        <v>66</v>
      </c>
      <c r="BN117" s="86" t="s">
        <v>29136</v>
      </c>
      <c r="BO117" s="96" t="str">
        <f>HYPERLINK("https://twitter.com/isoservice")</f>
        <v>https://twitter.com/isoservice</v>
      </c>
      <c r="BP117" s="2"/>
    </row>
    <row r="118" spans="1:68" x14ac:dyDescent="0.25">
      <c r="A118" s="63" t="s">
        <v>326</v>
      </c>
      <c r="B118" s="64"/>
      <c r="C118" s="64"/>
      <c r="D118" s="65"/>
      <c r="E118" s="67"/>
      <c r="F118" s="111" t="str">
        <f>HYPERLINK("https://pbs.twimg.com/profile_images/902568202911178755/dUD9Vuas_normal.jpg")</f>
        <v>https://pbs.twimg.com/profile_images/902568202911178755/dUD9Vuas_normal.jpg</v>
      </c>
      <c r="G118" s="64"/>
      <c r="H118" s="68"/>
      <c r="I118" s="69"/>
      <c r="J118" s="69"/>
      <c r="K118" s="68" t="s">
        <v>29251</v>
      </c>
      <c r="L118" s="72"/>
      <c r="M118" s="73"/>
      <c r="N118" s="73"/>
      <c r="O118" s="74"/>
      <c r="P118" s="75"/>
      <c r="Q118" s="75"/>
      <c r="R118" s="102"/>
      <c r="S118" s="102"/>
      <c r="T118" s="102"/>
      <c r="U118" s="102"/>
      <c r="V118" s="48"/>
      <c r="W118" s="48"/>
      <c r="X118" s="48"/>
      <c r="Y118" s="48"/>
      <c r="Z118" s="47"/>
      <c r="AA118" s="70">
        <v>118</v>
      </c>
      <c r="AB118" s="70"/>
      <c r="AC118" s="71"/>
      <c r="AD118" s="86" t="s">
        <v>23757</v>
      </c>
      <c r="AE118" s="94" t="s">
        <v>25260</v>
      </c>
      <c r="AF118" s="86">
        <v>826793</v>
      </c>
      <c r="AG118" s="86">
        <v>37</v>
      </c>
      <c r="AH118" s="86">
        <v>55016</v>
      </c>
      <c r="AI118" s="86">
        <v>2722</v>
      </c>
      <c r="AJ118" s="86">
        <v>50</v>
      </c>
      <c r="AK118" s="86">
        <v>10851</v>
      </c>
      <c r="AL118" s="86" t="b">
        <v>0</v>
      </c>
      <c r="AM118" s="89">
        <v>39882.870335648149</v>
      </c>
      <c r="AN118" s="86"/>
      <c r="AO118" s="86" t="s">
        <v>26529</v>
      </c>
      <c r="AP118" s="96" t="str">
        <f>HYPERLINK("http://t.co/y00gzdzpNI")</f>
        <v>http://t.co/y00gzdzpNI</v>
      </c>
      <c r="AQ118" s="96" t="str">
        <f>HYPERLINK("http://revistapegn.globo.com")</f>
        <v>http://revistapegn.globo.com</v>
      </c>
      <c r="AR118" s="86" t="s">
        <v>27977</v>
      </c>
      <c r="AS118" s="96" t="str">
        <f>HYPERLINK("https://t.co/gRWQgZIOtX")</f>
        <v>https://t.co/gRWQgZIOtX</v>
      </c>
      <c r="AT118" s="96" t="str">
        <f>HYPERLINK("http://bit.ly/pegn_assine")</f>
        <v>http://bit.ly/pegn_assine</v>
      </c>
      <c r="AU118" s="86" t="s">
        <v>29035</v>
      </c>
      <c r="AV118" s="86">
        <v>1.7012454307916301E+18</v>
      </c>
      <c r="AW118" s="96" t="str">
        <f>HYPERLINK("http://t.co/y00gzdzpNI")</f>
        <v>http://t.co/y00gzdzpNI</v>
      </c>
      <c r="AX118" s="86" t="b">
        <v>0</v>
      </c>
      <c r="AY118" s="86"/>
      <c r="AZ118" s="86"/>
      <c r="BA118" s="86" t="b">
        <v>0</v>
      </c>
      <c r="BB118" s="86" t="b">
        <v>1</v>
      </c>
      <c r="BC118" s="86" t="b">
        <v>0</v>
      </c>
      <c r="BD118" s="86" t="b">
        <v>0</v>
      </c>
      <c r="BE118" s="86" t="b">
        <v>0</v>
      </c>
      <c r="BF118" s="86" t="b">
        <v>0</v>
      </c>
      <c r="BG118" s="86" t="b">
        <v>0</v>
      </c>
      <c r="BH118" s="96" t="str">
        <f>HYPERLINK("https://pbs.twimg.com/profile_banners/23654729/1504025291")</f>
        <v>https://pbs.twimg.com/profile_banners/23654729/1504025291</v>
      </c>
      <c r="BI118" s="86"/>
      <c r="BJ118" s="86" t="s">
        <v>29134</v>
      </c>
      <c r="BK118" s="86" t="b">
        <v>0</v>
      </c>
      <c r="BL118" s="86"/>
      <c r="BM118" s="86" t="s">
        <v>66</v>
      </c>
      <c r="BN118" s="86" t="s">
        <v>29136</v>
      </c>
      <c r="BO118" s="96" t="str">
        <f>HYPERLINK("https://twitter.com/peqempresas")</f>
        <v>https://twitter.com/peqempresas</v>
      </c>
      <c r="BP118" s="2"/>
    </row>
    <row r="119" spans="1:68" x14ac:dyDescent="0.25">
      <c r="A119" s="63" t="s">
        <v>1628</v>
      </c>
      <c r="B119" s="64"/>
      <c r="C119" s="64"/>
      <c r="D119" s="65"/>
      <c r="E119" s="67"/>
      <c r="F119" s="111" t="str">
        <f>HYPERLINK("https://pbs.twimg.com/profile_images/933776962816040961/4Vv1pSW6_normal.jpg")</f>
        <v>https://pbs.twimg.com/profile_images/933776962816040961/4Vv1pSW6_normal.jpg</v>
      </c>
      <c r="G119" s="64"/>
      <c r="H119" s="68"/>
      <c r="I119" s="69"/>
      <c r="J119" s="69"/>
      <c r="K119" s="68" t="s">
        <v>29252</v>
      </c>
      <c r="L119" s="72"/>
      <c r="M119" s="73"/>
      <c r="N119" s="73"/>
      <c r="O119" s="74"/>
      <c r="P119" s="75"/>
      <c r="Q119" s="75"/>
      <c r="R119" s="102"/>
      <c r="S119" s="102"/>
      <c r="T119" s="102"/>
      <c r="U119" s="102"/>
      <c r="V119" s="48"/>
      <c r="W119" s="48"/>
      <c r="X119" s="48"/>
      <c r="Y119" s="48"/>
      <c r="Z119" s="47"/>
      <c r="AA119" s="70">
        <v>119</v>
      </c>
      <c r="AB119" s="70"/>
      <c r="AC119" s="71"/>
      <c r="AD119" s="86" t="s">
        <v>23758</v>
      </c>
      <c r="AE119" s="94" t="s">
        <v>25261</v>
      </c>
      <c r="AF119" s="86">
        <v>42</v>
      </c>
      <c r="AG119" s="86">
        <v>24</v>
      </c>
      <c r="AH119" s="86">
        <v>43</v>
      </c>
      <c r="AI119" s="86">
        <v>0</v>
      </c>
      <c r="AJ119" s="86">
        <v>0</v>
      </c>
      <c r="AK119" s="86">
        <v>3</v>
      </c>
      <c r="AL119" s="86" t="b">
        <v>0</v>
      </c>
      <c r="AM119" s="89">
        <v>43062.803576388891</v>
      </c>
      <c r="AN119" s="86"/>
      <c r="AO119" s="86" t="s">
        <v>26530</v>
      </c>
      <c r="AP119" s="96" t="str">
        <f>HYPERLINK("https://t.co/ulpP9Hq7FR")</f>
        <v>https://t.co/ulpP9Hq7FR</v>
      </c>
      <c r="AQ119" s="96" t="str">
        <f>HYPERLINK("http://glab.globo.com/")</f>
        <v>http://glab.globo.com/</v>
      </c>
      <c r="AR119" s="86" t="s">
        <v>27978</v>
      </c>
      <c r="AS119" s="86"/>
      <c r="AT119" s="86"/>
      <c r="AU119" s="86"/>
      <c r="AV119" s="86"/>
      <c r="AW119" s="96" t="str">
        <f>HYPERLINK("https://t.co/ulpP9Hq7FR")</f>
        <v>https://t.co/ulpP9Hq7FR</v>
      </c>
      <c r="AX119" s="86" t="b">
        <v>0</v>
      </c>
      <c r="AY119" s="86"/>
      <c r="AZ119" s="86"/>
      <c r="BA119" s="86" t="b">
        <v>0</v>
      </c>
      <c r="BB119" s="86" t="b">
        <v>1</v>
      </c>
      <c r="BC119" s="86" t="b">
        <v>1</v>
      </c>
      <c r="BD119" s="86" t="b">
        <v>0</v>
      </c>
      <c r="BE119" s="86" t="b">
        <v>0</v>
      </c>
      <c r="BF119" s="86" t="b">
        <v>0</v>
      </c>
      <c r="BG119" s="86" t="b">
        <v>0</v>
      </c>
      <c r="BH119" s="96" t="str">
        <f>HYPERLINK("https://pbs.twimg.com/profile_banners/933776449441497089/1511464765")</f>
        <v>https://pbs.twimg.com/profile_banners/933776449441497089/1511464765</v>
      </c>
      <c r="BI119" s="86"/>
      <c r="BJ119" s="86" t="s">
        <v>29134</v>
      </c>
      <c r="BK119" s="86" t="b">
        <v>0</v>
      </c>
      <c r="BL119" s="86"/>
      <c r="BM119" s="86" t="s">
        <v>65</v>
      </c>
      <c r="BN119" s="86" t="s">
        <v>29136</v>
      </c>
      <c r="BO119" s="96" t="str">
        <f>HYPERLINK("https://twitter.com/estudioglab")</f>
        <v>https://twitter.com/estudioglab</v>
      </c>
      <c r="BP119" s="2"/>
    </row>
    <row r="120" spans="1:68" x14ac:dyDescent="0.25">
      <c r="A120" s="63" t="s">
        <v>1629</v>
      </c>
      <c r="B120" s="64"/>
      <c r="C120" s="64"/>
      <c r="D120" s="65"/>
      <c r="E120" s="67"/>
      <c r="F120" s="111" t="str">
        <f>HYPERLINK("https://pbs.twimg.com/profile_images/1640373537415340035/yaM4b3bj_normal.jpg")</f>
        <v>https://pbs.twimg.com/profile_images/1640373537415340035/yaM4b3bj_normal.jpg</v>
      </c>
      <c r="G120" s="64"/>
      <c r="H120" s="68"/>
      <c r="I120" s="69"/>
      <c r="J120" s="69"/>
      <c r="K120" s="68" t="s">
        <v>29253</v>
      </c>
      <c r="L120" s="72"/>
      <c r="M120" s="73"/>
      <c r="N120" s="73"/>
      <c r="O120" s="74"/>
      <c r="P120" s="75"/>
      <c r="Q120" s="75"/>
      <c r="R120" s="102"/>
      <c r="S120" s="102"/>
      <c r="T120" s="102"/>
      <c r="U120" s="102"/>
      <c r="V120" s="48"/>
      <c r="W120" s="48"/>
      <c r="X120" s="48"/>
      <c r="Y120" s="48"/>
      <c r="Z120" s="47"/>
      <c r="AA120" s="70">
        <v>120</v>
      </c>
      <c r="AB120" s="70"/>
      <c r="AC120" s="71"/>
      <c r="AD120" s="86" t="s">
        <v>23759</v>
      </c>
      <c r="AE120" s="94" t="s">
        <v>25262</v>
      </c>
      <c r="AF120" s="86">
        <v>683409</v>
      </c>
      <c r="AG120" s="86">
        <v>0</v>
      </c>
      <c r="AH120" s="86">
        <v>729667</v>
      </c>
      <c r="AI120" s="86">
        <v>771</v>
      </c>
      <c r="AJ120" s="86">
        <v>15505</v>
      </c>
      <c r="AK120" s="86">
        <v>5250</v>
      </c>
      <c r="AL120" s="86" t="b">
        <v>0</v>
      </c>
      <c r="AM120" s="89">
        <v>40407.223854166667</v>
      </c>
      <c r="AN120" s="86"/>
      <c r="AO120" s="86" t="s">
        <v>26531</v>
      </c>
      <c r="AP120" s="96" t="str">
        <f>HYPERLINK("https://t.co/Cpk5WoSY6u")</f>
        <v>https://t.co/Cpk5WoSY6u</v>
      </c>
      <c r="AQ120" s="96" t="str">
        <f>HYPERLINK("https://www.itau.com.br/")</f>
        <v>https://www.itau.com.br/</v>
      </c>
      <c r="AR120" s="86" t="s">
        <v>27979</v>
      </c>
      <c r="AS120" s="86"/>
      <c r="AT120" s="86"/>
      <c r="AU120" s="86"/>
      <c r="AV120" s="86"/>
      <c r="AW120" s="96" t="str">
        <f>HYPERLINK("https://t.co/Cpk5WoSY6u")</f>
        <v>https://t.co/Cpk5WoSY6u</v>
      </c>
      <c r="AX120" s="86" t="b">
        <v>0</v>
      </c>
      <c r="AY120" s="86"/>
      <c r="AZ120" s="86"/>
      <c r="BA120" s="86" t="b">
        <v>1</v>
      </c>
      <c r="BB120" s="86" t="b">
        <v>1</v>
      </c>
      <c r="BC120" s="86" t="b">
        <v>0</v>
      </c>
      <c r="BD120" s="86" t="b">
        <v>0</v>
      </c>
      <c r="BE120" s="86" t="b">
        <v>1</v>
      </c>
      <c r="BF120" s="86" t="b">
        <v>0</v>
      </c>
      <c r="BG120" s="86" t="b">
        <v>0</v>
      </c>
      <c r="BH120" s="96" t="str">
        <f>HYPERLINK("https://pbs.twimg.com/profile_banners/179398386/1695246835")</f>
        <v>https://pbs.twimg.com/profile_banners/179398386/1695246835</v>
      </c>
      <c r="BI120" s="86"/>
      <c r="BJ120" s="86" t="s">
        <v>29134</v>
      </c>
      <c r="BK120" s="86" t="b">
        <v>0</v>
      </c>
      <c r="BL120" s="86"/>
      <c r="BM120" s="86" t="s">
        <v>65</v>
      </c>
      <c r="BN120" s="86" t="s">
        <v>29136</v>
      </c>
      <c r="BO120" s="96" t="str">
        <f>HYPERLINK("https://twitter.com/itau")</f>
        <v>https://twitter.com/itau</v>
      </c>
      <c r="BP120" s="2"/>
    </row>
    <row r="121" spans="1:68" x14ac:dyDescent="0.25">
      <c r="A121" s="63" t="s">
        <v>327</v>
      </c>
      <c r="B121" s="64"/>
      <c r="C121" s="64"/>
      <c r="D121" s="65"/>
      <c r="E121" s="67"/>
      <c r="F121" s="111" t="str">
        <f>HYPERLINK("https://pbs.twimg.com/profile_images/1674888328628391936/eLn6ucma_normal.jpg")</f>
        <v>https://pbs.twimg.com/profile_images/1674888328628391936/eLn6ucma_normal.jpg</v>
      </c>
      <c r="G121" s="64"/>
      <c r="H121" s="68"/>
      <c r="I121" s="69"/>
      <c r="J121" s="69"/>
      <c r="K121" s="68" t="s">
        <v>29254</v>
      </c>
      <c r="L121" s="72"/>
      <c r="M121" s="73"/>
      <c r="N121" s="73"/>
      <c r="O121" s="74"/>
      <c r="P121" s="75"/>
      <c r="Q121" s="75"/>
      <c r="R121" s="102"/>
      <c r="S121" s="102"/>
      <c r="T121" s="102"/>
      <c r="U121" s="102"/>
      <c r="V121" s="48"/>
      <c r="W121" s="48"/>
      <c r="X121" s="48"/>
      <c r="Y121" s="48"/>
      <c r="Z121" s="47"/>
      <c r="AA121" s="70">
        <v>121</v>
      </c>
      <c r="AB121" s="70"/>
      <c r="AC121" s="71"/>
      <c r="AD121" s="86" t="s">
        <v>23760</v>
      </c>
      <c r="AE121" s="94" t="s">
        <v>22852</v>
      </c>
      <c r="AF121" s="86">
        <v>172</v>
      </c>
      <c r="AG121" s="86">
        <v>682</v>
      </c>
      <c r="AH121" s="86">
        <v>1010</v>
      </c>
      <c r="AI121" s="86">
        <v>0</v>
      </c>
      <c r="AJ121" s="86">
        <v>1557</v>
      </c>
      <c r="AK121" s="86">
        <v>149</v>
      </c>
      <c r="AL121" s="86" t="b">
        <v>0</v>
      </c>
      <c r="AM121" s="89">
        <v>44687.165763888886</v>
      </c>
      <c r="AN121" s="86" t="s">
        <v>25923</v>
      </c>
      <c r="AO121" s="86" t="s">
        <v>26532</v>
      </c>
      <c r="AP121" s="96" t="str">
        <f>HYPERLINK("https://t.co/QNjsk7VadD")</f>
        <v>https://t.co/QNjsk7VadD</v>
      </c>
      <c r="AQ121" s="96" t="str">
        <f>HYPERLINK("https://www.youtube.com/channel/UCw8_0hYYRyx1jLu9yKnCZUg")</f>
        <v>https://www.youtube.com/channel/UCw8_0hYYRyx1jLu9yKnCZUg</v>
      </c>
      <c r="AR121" s="86" t="s">
        <v>27980</v>
      </c>
      <c r="AS121" s="86"/>
      <c r="AT121" s="86"/>
      <c r="AU121" s="86"/>
      <c r="AV121" s="86">
        <v>1.6836737238517399E+18</v>
      </c>
      <c r="AW121" s="96" t="str">
        <f>HYPERLINK("https://t.co/QNjsk7VadD")</f>
        <v>https://t.co/QNjsk7VadD</v>
      </c>
      <c r="AX121" s="86" t="b">
        <v>0</v>
      </c>
      <c r="AY121" s="86"/>
      <c r="AZ121" s="86"/>
      <c r="BA121" s="86" t="b">
        <v>0</v>
      </c>
      <c r="BB121" s="86" t="b">
        <v>1</v>
      </c>
      <c r="BC121" s="86" t="b">
        <v>1</v>
      </c>
      <c r="BD121" s="86" t="b">
        <v>0</v>
      </c>
      <c r="BE121" s="86" t="b">
        <v>1</v>
      </c>
      <c r="BF121" s="86" t="b">
        <v>0</v>
      </c>
      <c r="BG121" s="86" t="b">
        <v>0</v>
      </c>
      <c r="BH121" s="96" t="str">
        <f>HYPERLINK("https://pbs.twimg.com/profile_banners/1522425316525977605/1693697677")</f>
        <v>https://pbs.twimg.com/profile_banners/1522425316525977605/1693697677</v>
      </c>
      <c r="BI121" s="86"/>
      <c r="BJ121" s="86" t="s">
        <v>29134</v>
      </c>
      <c r="BK121" s="86" t="b">
        <v>0</v>
      </c>
      <c r="BL121" s="86"/>
      <c r="BM121" s="86" t="s">
        <v>66</v>
      </c>
      <c r="BN121" s="86" t="s">
        <v>29136</v>
      </c>
      <c r="BO121" s="96" t="str">
        <f>HYPERLINK("https://twitter.com/kyah_borges")</f>
        <v>https://twitter.com/kyah_borges</v>
      </c>
      <c r="BP121" s="2"/>
    </row>
    <row r="122" spans="1:68" x14ac:dyDescent="0.25">
      <c r="A122" s="63" t="s">
        <v>328</v>
      </c>
      <c r="B122" s="64"/>
      <c r="C122" s="64"/>
      <c r="D122" s="65"/>
      <c r="E122" s="67"/>
      <c r="F122" s="111" t="str">
        <f>HYPERLINK("https://pbs.twimg.com/profile_images/1249719351491641344/45rcxpB-_normal.jpg")</f>
        <v>https://pbs.twimg.com/profile_images/1249719351491641344/45rcxpB-_normal.jpg</v>
      </c>
      <c r="G122" s="64"/>
      <c r="H122" s="68"/>
      <c r="I122" s="69"/>
      <c r="J122" s="69"/>
      <c r="K122" s="68" t="s">
        <v>29255</v>
      </c>
      <c r="L122" s="72"/>
      <c r="M122" s="73"/>
      <c r="N122" s="73"/>
      <c r="O122" s="74"/>
      <c r="P122" s="75"/>
      <c r="Q122" s="75"/>
      <c r="R122" s="102"/>
      <c r="S122" s="102"/>
      <c r="T122" s="102"/>
      <c r="U122" s="102"/>
      <c r="V122" s="48"/>
      <c r="W122" s="48"/>
      <c r="X122" s="48"/>
      <c r="Y122" s="48"/>
      <c r="Z122" s="47"/>
      <c r="AA122" s="70">
        <v>122</v>
      </c>
      <c r="AB122" s="70"/>
      <c r="AC122" s="71"/>
      <c r="AD122" s="86" t="s">
        <v>23761</v>
      </c>
      <c r="AE122" s="94" t="s">
        <v>22853</v>
      </c>
      <c r="AF122" s="86">
        <v>7</v>
      </c>
      <c r="AG122" s="86">
        <v>0</v>
      </c>
      <c r="AH122" s="86">
        <v>87</v>
      </c>
      <c r="AI122" s="86">
        <v>0</v>
      </c>
      <c r="AJ122" s="86">
        <v>0</v>
      </c>
      <c r="AK122" s="86">
        <v>13</v>
      </c>
      <c r="AL122" s="86" t="b">
        <v>0</v>
      </c>
      <c r="AM122" s="89">
        <v>43934.637442129628</v>
      </c>
      <c r="AN122" s="86" t="s">
        <v>25924</v>
      </c>
      <c r="AO122" s="86" t="s">
        <v>26533</v>
      </c>
      <c r="AP122" s="96" t="str">
        <f>HYPERLINK("https://t.co/rRu0yiolnW")</f>
        <v>https://t.co/rRu0yiolnW</v>
      </c>
      <c r="AQ122" s="96" t="str">
        <f>HYPERLINK("https://voxcog.com")</f>
        <v>https://voxcog.com</v>
      </c>
      <c r="AR122" s="86" t="s">
        <v>8391</v>
      </c>
      <c r="AS122" s="86"/>
      <c r="AT122" s="86"/>
      <c r="AU122" s="86"/>
      <c r="AV122" s="86"/>
      <c r="AW122" s="96" t="str">
        <f>HYPERLINK("https://t.co/rRu0yiolnW")</f>
        <v>https://t.co/rRu0yiolnW</v>
      </c>
      <c r="AX122" s="86" t="b">
        <v>0</v>
      </c>
      <c r="AY122" s="86"/>
      <c r="AZ122" s="86"/>
      <c r="BA122" s="86" t="b">
        <v>0</v>
      </c>
      <c r="BB122" s="86" t="b">
        <v>1</v>
      </c>
      <c r="BC122" s="86" t="b">
        <v>1</v>
      </c>
      <c r="BD122" s="86" t="b">
        <v>0</v>
      </c>
      <c r="BE122" s="86" t="b">
        <v>0</v>
      </c>
      <c r="BF122" s="86" t="b">
        <v>0</v>
      </c>
      <c r="BG122" s="86" t="b">
        <v>0</v>
      </c>
      <c r="BH122" s="86"/>
      <c r="BI122" s="86"/>
      <c r="BJ122" s="86" t="s">
        <v>29134</v>
      </c>
      <c r="BK122" s="86" t="b">
        <v>0</v>
      </c>
      <c r="BL122" s="86"/>
      <c r="BM122" s="86" t="s">
        <v>66</v>
      </c>
      <c r="BN122" s="86" t="s">
        <v>29136</v>
      </c>
      <c r="BO122" s="96" t="str">
        <f>HYPERLINK("https://twitter.com/voxcognitiva")</f>
        <v>https://twitter.com/voxcognitiva</v>
      </c>
      <c r="BP122" s="2"/>
    </row>
    <row r="123" spans="1:68" x14ac:dyDescent="0.25">
      <c r="A123" s="63" t="s">
        <v>329</v>
      </c>
      <c r="B123" s="64"/>
      <c r="C123" s="64"/>
      <c r="D123" s="65"/>
      <c r="E123" s="67"/>
      <c r="F123" s="111" t="str">
        <f>HYPERLINK("https://pbs.twimg.com/profile_images/1660673433485574144/KbzTHF3h_normal.jpg")</f>
        <v>https://pbs.twimg.com/profile_images/1660673433485574144/KbzTHF3h_normal.jpg</v>
      </c>
      <c r="G123" s="64"/>
      <c r="H123" s="68"/>
      <c r="I123" s="69"/>
      <c r="J123" s="69"/>
      <c r="K123" s="68" t="s">
        <v>29256</v>
      </c>
      <c r="L123" s="72"/>
      <c r="M123" s="73"/>
      <c r="N123" s="73"/>
      <c r="O123" s="74"/>
      <c r="P123" s="75"/>
      <c r="Q123" s="75"/>
      <c r="R123" s="102"/>
      <c r="S123" s="102"/>
      <c r="T123" s="102"/>
      <c r="U123" s="102"/>
      <c r="V123" s="48"/>
      <c r="W123" s="48"/>
      <c r="X123" s="48"/>
      <c r="Y123" s="48"/>
      <c r="Z123" s="47"/>
      <c r="AA123" s="70">
        <v>123</v>
      </c>
      <c r="AB123" s="70"/>
      <c r="AC123" s="71"/>
      <c r="AD123" s="86" t="s">
        <v>23762</v>
      </c>
      <c r="AE123" s="94" t="s">
        <v>22854</v>
      </c>
      <c r="AF123" s="86">
        <v>98</v>
      </c>
      <c r="AG123" s="86">
        <v>97</v>
      </c>
      <c r="AH123" s="86">
        <v>239</v>
      </c>
      <c r="AI123" s="86">
        <v>1</v>
      </c>
      <c r="AJ123" s="86">
        <v>78</v>
      </c>
      <c r="AK123" s="86">
        <v>149</v>
      </c>
      <c r="AL123" s="86" t="b">
        <v>0</v>
      </c>
      <c r="AM123" s="89">
        <v>44865.810937499999</v>
      </c>
      <c r="AN123" s="86" t="s">
        <v>15256</v>
      </c>
      <c r="AO123" s="86" t="s">
        <v>26534</v>
      </c>
      <c r="AP123" s="86"/>
      <c r="AQ123" s="86"/>
      <c r="AR123" s="86"/>
      <c r="AS123" s="86"/>
      <c r="AT123" s="86"/>
      <c r="AU123" s="86"/>
      <c r="AV123" s="86">
        <v>1.70487104557485E+18</v>
      </c>
      <c r="AW123" s="86"/>
      <c r="AX123" s="86" t="b">
        <v>0</v>
      </c>
      <c r="AY123" s="86"/>
      <c r="AZ123" s="86"/>
      <c r="BA123" s="86" t="b">
        <v>0</v>
      </c>
      <c r="BB123" s="86" t="b">
        <v>1</v>
      </c>
      <c r="BC123" s="86" t="b">
        <v>1</v>
      </c>
      <c r="BD123" s="86" t="b">
        <v>0</v>
      </c>
      <c r="BE123" s="86" t="b">
        <v>0</v>
      </c>
      <c r="BF123" s="86" t="b">
        <v>0</v>
      </c>
      <c r="BG123" s="86" t="b">
        <v>0</v>
      </c>
      <c r="BH123" s="96" t="str">
        <f>HYPERLINK("https://pbs.twimg.com/profile_banners/1587164346974609408/1684770377")</f>
        <v>https://pbs.twimg.com/profile_banners/1587164346974609408/1684770377</v>
      </c>
      <c r="BI123" s="86"/>
      <c r="BJ123" s="86" t="s">
        <v>29134</v>
      </c>
      <c r="BK123" s="86" t="b">
        <v>0</v>
      </c>
      <c r="BL123" s="86"/>
      <c r="BM123" s="86" t="s">
        <v>66</v>
      </c>
      <c r="BN123" s="86" t="s">
        <v>29136</v>
      </c>
      <c r="BO123" s="96" t="str">
        <f>HYPERLINK("https://twitter.com/sudecobr")</f>
        <v>https://twitter.com/sudecobr</v>
      </c>
      <c r="BP123" s="2"/>
    </row>
    <row r="124" spans="1:68" x14ac:dyDescent="0.25">
      <c r="A124" s="63" t="s">
        <v>1630</v>
      </c>
      <c r="B124" s="64"/>
      <c r="C124" s="64"/>
      <c r="D124" s="65"/>
      <c r="E124" s="67"/>
      <c r="F124" s="111" t="str">
        <f>HYPERLINK("https://pbs.twimg.com/profile_images/1690896179851137024/MMj6EjEy_normal.jpg")</f>
        <v>https://pbs.twimg.com/profile_images/1690896179851137024/MMj6EjEy_normal.jpg</v>
      </c>
      <c r="G124" s="64"/>
      <c r="H124" s="68"/>
      <c r="I124" s="69"/>
      <c r="J124" s="69"/>
      <c r="K124" s="68" t="s">
        <v>29257</v>
      </c>
      <c r="L124" s="72"/>
      <c r="M124" s="73"/>
      <c r="N124" s="73"/>
      <c r="O124" s="74"/>
      <c r="P124" s="75"/>
      <c r="Q124" s="75"/>
      <c r="R124" s="102"/>
      <c r="S124" s="102"/>
      <c r="T124" s="102"/>
      <c r="U124" s="102"/>
      <c r="V124" s="48"/>
      <c r="W124" s="48"/>
      <c r="X124" s="48"/>
      <c r="Y124" s="48"/>
      <c r="Z124" s="47"/>
      <c r="AA124" s="70">
        <v>124</v>
      </c>
      <c r="AB124" s="70"/>
      <c r="AC124" s="71"/>
      <c r="AD124" s="86" t="s">
        <v>23763</v>
      </c>
      <c r="AE124" s="94" t="s">
        <v>25263</v>
      </c>
      <c r="AF124" s="86">
        <v>109437</v>
      </c>
      <c r="AG124" s="86">
        <v>216</v>
      </c>
      <c r="AH124" s="86">
        <v>16005</v>
      </c>
      <c r="AI124" s="86">
        <v>547</v>
      </c>
      <c r="AJ124" s="86">
        <v>1667</v>
      </c>
      <c r="AK124" s="86">
        <v>2698</v>
      </c>
      <c r="AL124" s="86" t="b">
        <v>0</v>
      </c>
      <c r="AM124" s="89">
        <v>40646.580208333333</v>
      </c>
      <c r="AN124" s="86"/>
      <c r="AO124" s="86" t="s">
        <v>26535</v>
      </c>
      <c r="AP124" s="96" t="str">
        <f>HYPERLINK("https://t.co/Bwnn504J4u")</f>
        <v>https://t.co/Bwnn504J4u</v>
      </c>
      <c r="AQ124" s="96" t="str">
        <f>HYPERLINK("http://gov.br/mdr")</f>
        <v>http://gov.br/mdr</v>
      </c>
      <c r="AR124" s="86" t="s">
        <v>27981</v>
      </c>
      <c r="AS124" s="96" t="str">
        <f>HYPERLINK("https://t.co/58gFnGbDzi")</f>
        <v>https://t.co/58gFnGbDzi</v>
      </c>
      <c r="AT124" s="96" t="str">
        <f>HYPERLINK("http://gov.br/mdr/")</f>
        <v>http://gov.br/mdr/</v>
      </c>
      <c r="AU124" s="86" t="s">
        <v>29036</v>
      </c>
      <c r="AV124" s="86">
        <v>1.6422504977120901E+18</v>
      </c>
      <c r="AW124" s="96" t="str">
        <f>HYPERLINK("https://t.co/Bwnn504J4u")</f>
        <v>https://t.co/Bwnn504J4u</v>
      </c>
      <c r="AX124" s="86" t="b">
        <v>0</v>
      </c>
      <c r="AY124" s="86"/>
      <c r="AZ124" s="86"/>
      <c r="BA124" s="86" t="b">
        <v>0</v>
      </c>
      <c r="BB124" s="86" t="b">
        <v>1</v>
      </c>
      <c r="BC124" s="86" t="b">
        <v>0</v>
      </c>
      <c r="BD124" s="86" t="b">
        <v>0</v>
      </c>
      <c r="BE124" s="86" t="b">
        <v>1</v>
      </c>
      <c r="BF124" s="86" t="b">
        <v>0</v>
      </c>
      <c r="BG124" s="86" t="b">
        <v>0</v>
      </c>
      <c r="BH124" s="96" t="str">
        <f>HYPERLINK("https://pbs.twimg.com/profile_banners/281544249/1678377524")</f>
        <v>https://pbs.twimg.com/profile_banners/281544249/1678377524</v>
      </c>
      <c r="BI124" s="86"/>
      <c r="BJ124" s="86" t="s">
        <v>29134</v>
      </c>
      <c r="BK124" s="86" t="b">
        <v>0</v>
      </c>
      <c r="BL124" s="86"/>
      <c r="BM124" s="86" t="s">
        <v>65</v>
      </c>
      <c r="BN124" s="86" t="s">
        <v>29136</v>
      </c>
      <c r="BO124" s="96" t="str">
        <f>HYPERLINK("https://twitter.com/midregional")</f>
        <v>https://twitter.com/midregional</v>
      </c>
      <c r="BP124" s="2"/>
    </row>
    <row r="125" spans="1:68" x14ac:dyDescent="0.25">
      <c r="A125" s="63" t="s">
        <v>330</v>
      </c>
      <c r="B125" s="64"/>
      <c r="C125" s="64"/>
      <c r="D125" s="65"/>
      <c r="E125" s="67"/>
      <c r="F125" s="111" t="str">
        <f>HYPERLINK("https://pbs.twimg.com/profile_images/1694490335785652224/9koOL8Qe_normal.jpg")</f>
        <v>https://pbs.twimg.com/profile_images/1694490335785652224/9koOL8Qe_normal.jpg</v>
      </c>
      <c r="G125" s="64"/>
      <c r="H125" s="68"/>
      <c r="I125" s="69"/>
      <c r="J125" s="69"/>
      <c r="K125" s="68" t="s">
        <v>29258</v>
      </c>
      <c r="L125" s="72"/>
      <c r="M125" s="73"/>
      <c r="N125" s="73"/>
      <c r="O125" s="74"/>
      <c r="P125" s="75"/>
      <c r="Q125" s="75"/>
      <c r="R125" s="102"/>
      <c r="S125" s="102"/>
      <c r="T125" s="102"/>
      <c r="U125" s="102"/>
      <c r="V125" s="48"/>
      <c r="W125" s="48"/>
      <c r="X125" s="48"/>
      <c r="Y125" s="48"/>
      <c r="Z125" s="47"/>
      <c r="AA125" s="70">
        <v>125</v>
      </c>
      <c r="AB125" s="70"/>
      <c r="AC125" s="71"/>
      <c r="AD125" s="86" t="s">
        <v>23764</v>
      </c>
      <c r="AE125" s="94" t="s">
        <v>22855</v>
      </c>
      <c r="AF125" s="86">
        <v>1</v>
      </c>
      <c r="AG125" s="86">
        <v>23</v>
      </c>
      <c r="AH125" s="86">
        <v>64</v>
      </c>
      <c r="AI125" s="86">
        <v>0</v>
      </c>
      <c r="AJ125" s="86">
        <v>4</v>
      </c>
      <c r="AK125" s="86">
        <v>57</v>
      </c>
      <c r="AL125" s="86" t="b">
        <v>0</v>
      </c>
      <c r="AM125" s="89">
        <v>44921.109930555554</v>
      </c>
      <c r="AN125" s="86" t="s">
        <v>25925</v>
      </c>
      <c r="AO125" s="86" t="s">
        <v>26536</v>
      </c>
      <c r="AP125" s="96" t="str">
        <f>HYPERLINK("https://t.co/CeEmdI1lqo")</f>
        <v>https://t.co/CeEmdI1lqo</v>
      </c>
      <c r="AQ125" s="96" t="str">
        <f>HYPERLINK("https://ideiasblah.com.br")</f>
        <v>https://ideiasblah.com.br</v>
      </c>
      <c r="AR125" s="86" t="s">
        <v>27982</v>
      </c>
      <c r="AS125" s="86" t="s">
        <v>28996</v>
      </c>
      <c r="AT125" s="86" t="s">
        <v>29012</v>
      </c>
      <c r="AU125" s="86" t="s">
        <v>29037</v>
      </c>
      <c r="AV125" s="86"/>
      <c r="AW125" s="96" t="str">
        <f>HYPERLINK("https://t.co/CeEmdI1lqo")</f>
        <v>https://t.co/CeEmdI1lqo</v>
      </c>
      <c r="AX125" s="86" t="b">
        <v>0</v>
      </c>
      <c r="AY125" s="86"/>
      <c r="AZ125" s="86"/>
      <c r="BA125" s="86" t="b">
        <v>0</v>
      </c>
      <c r="BB125" s="86" t="b">
        <v>1</v>
      </c>
      <c r="BC125" s="86" t="b">
        <v>1</v>
      </c>
      <c r="BD125" s="86" t="b">
        <v>0</v>
      </c>
      <c r="BE125" s="86" t="b">
        <v>0</v>
      </c>
      <c r="BF125" s="86" t="b">
        <v>0</v>
      </c>
      <c r="BG125" s="86" t="b">
        <v>0</v>
      </c>
      <c r="BH125" s="96" t="str">
        <f>HYPERLINK("https://pbs.twimg.com/profile_banners/1607204052525252613/1692832954")</f>
        <v>https://pbs.twimg.com/profile_banners/1607204052525252613/1692832954</v>
      </c>
      <c r="BI125" s="86"/>
      <c r="BJ125" s="86" t="s">
        <v>29134</v>
      </c>
      <c r="BK125" s="86" t="b">
        <v>0</v>
      </c>
      <c r="BL125" s="86"/>
      <c r="BM125" s="86" t="s">
        <v>66</v>
      </c>
      <c r="BN125" s="86" t="s">
        <v>29136</v>
      </c>
      <c r="BO125" s="96" t="str">
        <f>HYPERLINK("https://twitter.com/thanerm")</f>
        <v>https://twitter.com/thanerm</v>
      </c>
      <c r="BP125" s="2"/>
    </row>
    <row r="126" spans="1:68" x14ac:dyDescent="0.25">
      <c r="A126" s="63" t="s">
        <v>331</v>
      </c>
      <c r="B126" s="64"/>
      <c r="C126" s="64"/>
      <c r="D126" s="65"/>
      <c r="E126" s="67"/>
      <c r="F126" s="111" t="str">
        <f>HYPERLINK("https://pbs.twimg.com/profile_images/1610975525928853508/d-15bnLA_normal.jpg")</f>
        <v>https://pbs.twimg.com/profile_images/1610975525928853508/d-15bnLA_normal.jpg</v>
      </c>
      <c r="G126" s="64"/>
      <c r="H126" s="68"/>
      <c r="I126" s="69"/>
      <c r="J126" s="69"/>
      <c r="K126" s="68" t="s">
        <v>29259</v>
      </c>
      <c r="L126" s="72"/>
      <c r="M126" s="73"/>
      <c r="N126" s="73"/>
      <c r="O126" s="74"/>
      <c r="P126" s="75"/>
      <c r="Q126" s="75"/>
      <c r="R126" s="102"/>
      <c r="S126" s="102"/>
      <c r="T126" s="102"/>
      <c r="U126" s="102"/>
      <c r="V126" s="48"/>
      <c r="W126" s="48"/>
      <c r="X126" s="48"/>
      <c r="Y126" s="48"/>
      <c r="Z126" s="47"/>
      <c r="AA126" s="70">
        <v>126</v>
      </c>
      <c r="AB126" s="70"/>
      <c r="AC126" s="71"/>
      <c r="AD126" s="86" t="s">
        <v>23765</v>
      </c>
      <c r="AE126" s="94" t="s">
        <v>22856</v>
      </c>
      <c r="AF126" s="86">
        <v>58</v>
      </c>
      <c r="AG126" s="86">
        <v>105</v>
      </c>
      <c r="AH126" s="86">
        <v>1143</v>
      </c>
      <c r="AI126" s="86">
        <v>0</v>
      </c>
      <c r="AJ126" s="86">
        <v>1989</v>
      </c>
      <c r="AK126" s="86">
        <v>1098</v>
      </c>
      <c r="AL126" s="86" t="b">
        <v>0</v>
      </c>
      <c r="AM126" s="89">
        <v>42704.509826388887</v>
      </c>
      <c r="AN126" s="86" t="s">
        <v>25926</v>
      </c>
      <c r="AO126" s="86" t="s">
        <v>26537</v>
      </c>
      <c r="AP126" s="96" t="str">
        <f>HYPERLINK("https://t.co/WswMlnd02Y")</f>
        <v>https://t.co/WswMlnd02Y</v>
      </c>
      <c r="AQ126" s="96" t="str">
        <f>HYPERLINK("https://www.infobrasilsistemas.com.br")</f>
        <v>https://www.infobrasilsistemas.com.br</v>
      </c>
      <c r="AR126" s="86" t="s">
        <v>27983</v>
      </c>
      <c r="AS126" s="86"/>
      <c r="AT126" s="86"/>
      <c r="AU126" s="86"/>
      <c r="AV126" s="86"/>
      <c r="AW126" s="96" t="str">
        <f>HYPERLINK("https://t.co/WswMlnd02Y")</f>
        <v>https://t.co/WswMlnd02Y</v>
      </c>
      <c r="AX126" s="86" t="b">
        <v>0</v>
      </c>
      <c r="AY126" s="86"/>
      <c r="AZ126" s="86"/>
      <c r="BA126" s="86" t="b">
        <v>0</v>
      </c>
      <c r="BB126" s="86" t="b">
        <v>1</v>
      </c>
      <c r="BC126" s="86" t="b">
        <v>0</v>
      </c>
      <c r="BD126" s="86" t="b">
        <v>0</v>
      </c>
      <c r="BE126" s="86" t="b">
        <v>1</v>
      </c>
      <c r="BF126" s="86" t="b">
        <v>0</v>
      </c>
      <c r="BG126" s="86" t="b">
        <v>0</v>
      </c>
      <c r="BH126" s="96" t="str">
        <f>HYPERLINK("https://pbs.twimg.com/profile_banners/803935143492730880/1672942204")</f>
        <v>https://pbs.twimg.com/profile_banners/803935143492730880/1672942204</v>
      </c>
      <c r="BI126" s="86"/>
      <c r="BJ126" s="86" t="s">
        <v>29134</v>
      </c>
      <c r="BK126" s="86" t="b">
        <v>0</v>
      </c>
      <c r="BL126" s="86"/>
      <c r="BM126" s="86" t="s">
        <v>66</v>
      </c>
      <c r="BN126" s="86" t="s">
        <v>29136</v>
      </c>
      <c r="BO126" s="96" t="str">
        <f>HYPERLINK("https://twitter.com/infobr_sistemas")</f>
        <v>https://twitter.com/infobr_sistemas</v>
      </c>
      <c r="BP126" s="2"/>
    </row>
    <row r="127" spans="1:68" x14ac:dyDescent="0.25">
      <c r="A127" s="63" t="s">
        <v>332</v>
      </c>
      <c r="B127" s="64"/>
      <c r="C127" s="64"/>
      <c r="D127" s="65"/>
      <c r="E127" s="67"/>
      <c r="F127" s="111" t="str">
        <f>HYPERLINK("https://pbs.twimg.com/profile_images/576112126185492480/MDrKoKb4_normal.jpeg")</f>
        <v>https://pbs.twimg.com/profile_images/576112126185492480/MDrKoKb4_normal.jpeg</v>
      </c>
      <c r="G127" s="64"/>
      <c r="H127" s="68"/>
      <c r="I127" s="69"/>
      <c r="J127" s="69"/>
      <c r="K127" s="68" t="s">
        <v>29260</v>
      </c>
      <c r="L127" s="72"/>
      <c r="M127" s="73"/>
      <c r="N127" s="73"/>
      <c r="O127" s="74"/>
      <c r="P127" s="75"/>
      <c r="Q127" s="75"/>
      <c r="R127" s="102"/>
      <c r="S127" s="102"/>
      <c r="T127" s="102"/>
      <c r="U127" s="102"/>
      <c r="V127" s="48"/>
      <c r="W127" s="48"/>
      <c r="X127" s="48"/>
      <c r="Y127" s="48"/>
      <c r="Z127" s="47"/>
      <c r="AA127" s="70">
        <v>127</v>
      </c>
      <c r="AB127" s="70"/>
      <c r="AC127" s="71"/>
      <c r="AD127" s="86" t="s">
        <v>23766</v>
      </c>
      <c r="AE127" s="94" t="s">
        <v>25264</v>
      </c>
      <c r="AF127" s="86">
        <v>763</v>
      </c>
      <c r="AG127" s="86">
        <v>376</v>
      </c>
      <c r="AH127" s="86">
        <v>5854</v>
      </c>
      <c r="AI127" s="86">
        <v>7</v>
      </c>
      <c r="AJ127" s="86">
        <v>145</v>
      </c>
      <c r="AK127" s="86">
        <v>3235</v>
      </c>
      <c r="AL127" s="86" t="b">
        <v>0</v>
      </c>
      <c r="AM127" s="89">
        <v>40554.856435185182</v>
      </c>
      <c r="AN127" s="86" t="s">
        <v>25927</v>
      </c>
      <c r="AO127" s="86" t="s">
        <v>26538</v>
      </c>
      <c r="AP127" s="96" t="str">
        <f>HYPERLINK("https://t.co/2Y6n5zdMvs")</f>
        <v>https://t.co/2Y6n5zdMvs</v>
      </c>
      <c r="AQ127" s="96" t="str">
        <f>HYPERLINK("http://www.correiopopular.com.br")</f>
        <v>http://www.correiopopular.com.br</v>
      </c>
      <c r="AR127" s="86" t="s">
        <v>27984</v>
      </c>
      <c r="AS127" s="86"/>
      <c r="AT127" s="86"/>
      <c r="AU127" s="86"/>
      <c r="AV127" s="86">
        <v>1.68355987663774E+18</v>
      </c>
      <c r="AW127" s="96" t="str">
        <f>HYPERLINK("https://t.co/2Y6n5zdMvs")</f>
        <v>https://t.co/2Y6n5zdMvs</v>
      </c>
      <c r="AX127" s="86" t="b">
        <v>0</v>
      </c>
      <c r="AY127" s="86"/>
      <c r="AZ127" s="86"/>
      <c r="BA127" s="86" t="b">
        <v>0</v>
      </c>
      <c r="BB127" s="86" t="b">
        <v>1</v>
      </c>
      <c r="BC127" s="86" t="b">
        <v>0</v>
      </c>
      <c r="BD127" s="86" t="b">
        <v>0</v>
      </c>
      <c r="BE127" s="86" t="b">
        <v>0</v>
      </c>
      <c r="BF127" s="86" t="b">
        <v>0</v>
      </c>
      <c r="BG127" s="86" t="b">
        <v>0</v>
      </c>
      <c r="BH127" s="96" t="str">
        <f>HYPERLINK("https://pbs.twimg.com/profile_banners/236985635/1571671932")</f>
        <v>https://pbs.twimg.com/profile_banners/236985635/1571671932</v>
      </c>
      <c r="BI127" s="86"/>
      <c r="BJ127" s="86" t="s">
        <v>29134</v>
      </c>
      <c r="BK127" s="86" t="b">
        <v>0</v>
      </c>
      <c r="BL127" s="86"/>
      <c r="BM127" s="86" t="s">
        <v>66</v>
      </c>
      <c r="BN127" s="86" t="s">
        <v>29136</v>
      </c>
      <c r="BO127" s="96" t="str">
        <f>HYPERLINK("https://twitter.com/correiopopular_")</f>
        <v>https://twitter.com/correiopopular_</v>
      </c>
      <c r="BP127" s="2"/>
    </row>
    <row r="128" spans="1:68" x14ac:dyDescent="0.25">
      <c r="A128" s="63" t="s">
        <v>333</v>
      </c>
      <c r="B128" s="64"/>
      <c r="C128" s="64"/>
      <c r="D128" s="65"/>
      <c r="E128" s="67"/>
      <c r="F128" s="111" t="str">
        <f>HYPERLINK("https://pbs.twimg.com/profile_images/1687304151292583936/KgYQwKWn_normal.jpg")</f>
        <v>https://pbs.twimg.com/profile_images/1687304151292583936/KgYQwKWn_normal.jpg</v>
      </c>
      <c r="G128" s="64"/>
      <c r="H128" s="68"/>
      <c r="I128" s="69"/>
      <c r="J128" s="69"/>
      <c r="K128" s="68" t="s">
        <v>29261</v>
      </c>
      <c r="L128" s="72"/>
      <c r="M128" s="73"/>
      <c r="N128" s="73"/>
      <c r="O128" s="74"/>
      <c r="P128" s="75"/>
      <c r="Q128" s="75"/>
      <c r="R128" s="102"/>
      <c r="S128" s="102"/>
      <c r="T128" s="102"/>
      <c r="U128" s="102"/>
      <c r="V128" s="48"/>
      <c r="W128" s="48"/>
      <c r="X128" s="48"/>
      <c r="Y128" s="48"/>
      <c r="Z128" s="47"/>
      <c r="AA128" s="70">
        <v>128</v>
      </c>
      <c r="AB128" s="70"/>
      <c r="AC128" s="71"/>
      <c r="AD128" s="86" t="s">
        <v>23767</v>
      </c>
      <c r="AE128" s="94" t="s">
        <v>22857</v>
      </c>
      <c r="AF128" s="86">
        <v>1</v>
      </c>
      <c r="AG128" s="86">
        <v>73</v>
      </c>
      <c r="AH128" s="86">
        <v>197</v>
      </c>
      <c r="AI128" s="86">
        <v>0</v>
      </c>
      <c r="AJ128" s="86">
        <v>3</v>
      </c>
      <c r="AK128" s="86">
        <v>55</v>
      </c>
      <c r="AL128" s="86" t="b">
        <v>0</v>
      </c>
      <c r="AM128" s="89">
        <v>44867.034062500003</v>
      </c>
      <c r="AN128" s="86" t="s">
        <v>25928</v>
      </c>
      <c r="AO128" s="86" t="s">
        <v>26539</v>
      </c>
      <c r="AP128" s="96" t="str">
        <f>HYPERLINK("https://t.co/3IM3qWHFxQ")</f>
        <v>https://t.co/3IM3qWHFxQ</v>
      </c>
      <c r="AQ128" s="96" t="str">
        <f>HYPERLINK("http://www.diegohenriqueadvogado.com.br")</f>
        <v>http://www.diegohenriqueadvogado.com.br</v>
      </c>
      <c r="AR128" s="86" t="s">
        <v>27985</v>
      </c>
      <c r="AS128" s="86"/>
      <c r="AT128" s="86"/>
      <c r="AU128" s="86"/>
      <c r="AV128" s="86"/>
      <c r="AW128" s="96" t="str">
        <f>HYPERLINK("https://t.co/3IM3qWHFxQ")</f>
        <v>https://t.co/3IM3qWHFxQ</v>
      </c>
      <c r="AX128" s="86" t="b">
        <v>0</v>
      </c>
      <c r="AY128" s="86"/>
      <c r="AZ128" s="86"/>
      <c r="BA128" s="86" t="b">
        <v>0</v>
      </c>
      <c r="BB128" s="86" t="b">
        <v>1</v>
      </c>
      <c r="BC128" s="86" t="b">
        <v>1</v>
      </c>
      <c r="BD128" s="86" t="b">
        <v>0</v>
      </c>
      <c r="BE128" s="86" t="b">
        <v>0</v>
      </c>
      <c r="BF128" s="86" t="b">
        <v>0</v>
      </c>
      <c r="BG128" s="86" t="b">
        <v>0</v>
      </c>
      <c r="BH128" s="96" t="str">
        <f>HYPERLINK("https://pbs.twimg.com/profile_banners/1587607528241864705/1691119549")</f>
        <v>https://pbs.twimg.com/profile_banners/1587607528241864705/1691119549</v>
      </c>
      <c r="BI128" s="86"/>
      <c r="BJ128" s="86" t="s">
        <v>29134</v>
      </c>
      <c r="BK128" s="86" t="b">
        <v>0</v>
      </c>
      <c r="BL128" s="86"/>
      <c r="BM128" s="86" t="s">
        <v>66</v>
      </c>
      <c r="BN128" s="86" t="s">
        <v>29136</v>
      </c>
      <c r="BO128" s="96" t="str">
        <f>HYPERLINK("https://twitter.com/diegohnrq447")</f>
        <v>https://twitter.com/diegohnrq447</v>
      </c>
      <c r="BP128" s="2"/>
    </row>
    <row r="129" spans="1:68" x14ac:dyDescent="0.25">
      <c r="A129" s="63" t="s">
        <v>334</v>
      </c>
      <c r="B129" s="64"/>
      <c r="C129" s="64"/>
      <c r="D129" s="65"/>
      <c r="E129" s="67"/>
      <c r="F129" s="111" t="str">
        <f>HYPERLINK("https://pbs.twimg.com/profile_images/1697279123121491968/pBuQfA9i_normal.jpg")</f>
        <v>https://pbs.twimg.com/profile_images/1697279123121491968/pBuQfA9i_normal.jpg</v>
      </c>
      <c r="G129" s="64"/>
      <c r="H129" s="68"/>
      <c r="I129" s="69"/>
      <c r="J129" s="69"/>
      <c r="K129" s="68" t="s">
        <v>29262</v>
      </c>
      <c r="L129" s="72"/>
      <c r="M129" s="73"/>
      <c r="N129" s="73"/>
      <c r="O129" s="74"/>
      <c r="P129" s="75"/>
      <c r="Q129" s="75"/>
      <c r="R129" s="102"/>
      <c r="S129" s="102"/>
      <c r="T129" s="102"/>
      <c r="U129" s="102"/>
      <c r="V129" s="48"/>
      <c r="W129" s="48"/>
      <c r="X129" s="48"/>
      <c r="Y129" s="48"/>
      <c r="Z129" s="47"/>
      <c r="AA129" s="70">
        <v>129</v>
      </c>
      <c r="AB129" s="70"/>
      <c r="AC129" s="71"/>
      <c r="AD129" s="86" t="s">
        <v>23768</v>
      </c>
      <c r="AE129" s="94" t="s">
        <v>22525</v>
      </c>
      <c r="AF129" s="86">
        <v>1</v>
      </c>
      <c r="AG129" s="86">
        <v>16</v>
      </c>
      <c r="AH129" s="86">
        <v>14</v>
      </c>
      <c r="AI129" s="86">
        <v>0</v>
      </c>
      <c r="AJ129" s="86">
        <v>0</v>
      </c>
      <c r="AK129" s="86">
        <v>3</v>
      </c>
      <c r="AL129" s="86" t="b">
        <v>0</v>
      </c>
      <c r="AM129" s="89">
        <v>45169.668738425928</v>
      </c>
      <c r="AN129" s="86" t="s">
        <v>15234</v>
      </c>
      <c r="AO129" s="86" t="s">
        <v>26540</v>
      </c>
      <c r="AP129" s="96" t="str">
        <f>HYPERLINK("https://t.co/AT3SrywvVq")</f>
        <v>https://t.co/AT3SrywvVq</v>
      </c>
      <c r="AQ129" s="96" t="str">
        <f>HYPERLINK("https://linktr.ee/coolife")</f>
        <v>https://linktr.ee/coolife</v>
      </c>
      <c r="AR129" s="86" t="s">
        <v>27986</v>
      </c>
      <c r="AS129" s="86"/>
      <c r="AT129" s="86"/>
      <c r="AU129" s="86"/>
      <c r="AV129" s="86"/>
      <c r="AW129" s="96" t="str">
        <f>HYPERLINK("https://t.co/AT3SrywvVq")</f>
        <v>https://t.co/AT3SrywvVq</v>
      </c>
      <c r="AX129" s="86" t="b">
        <v>0</v>
      </c>
      <c r="AY129" s="86"/>
      <c r="AZ129" s="86"/>
      <c r="BA129" s="86" t="b">
        <v>0</v>
      </c>
      <c r="BB129" s="86" t="b">
        <v>1</v>
      </c>
      <c r="BC129" s="86" t="b">
        <v>1</v>
      </c>
      <c r="BD129" s="86" t="b">
        <v>0</v>
      </c>
      <c r="BE129" s="86" t="b">
        <v>0</v>
      </c>
      <c r="BF129" s="86" t="b">
        <v>0</v>
      </c>
      <c r="BG129" s="86" t="b">
        <v>0</v>
      </c>
      <c r="BH129" s="96" t="str">
        <f>HYPERLINK("https://pbs.twimg.com/profile_banners/1697278790177607680/1693501016")</f>
        <v>https://pbs.twimg.com/profile_banners/1697278790177607680/1693501016</v>
      </c>
      <c r="BI129" s="86"/>
      <c r="BJ129" s="86" t="s">
        <v>29134</v>
      </c>
      <c r="BK129" s="86" t="b">
        <v>0</v>
      </c>
      <c r="BL129" s="86"/>
      <c r="BM129" s="86" t="s">
        <v>66</v>
      </c>
      <c r="BN129" s="86" t="s">
        <v>29136</v>
      </c>
      <c r="BO129" s="96" t="str">
        <f>HYPERLINK("https://twitter.com/coolifebrasil")</f>
        <v>https://twitter.com/coolifebrasil</v>
      </c>
      <c r="BP129" s="2"/>
    </row>
    <row r="130" spans="1:68" x14ac:dyDescent="0.25">
      <c r="A130" s="63" t="s">
        <v>335</v>
      </c>
      <c r="B130" s="64"/>
      <c r="C130" s="64"/>
      <c r="D130" s="65"/>
      <c r="E130" s="67"/>
      <c r="F130" s="111" t="str">
        <f>HYPERLINK("https://pbs.twimg.com/profile_images/1631463658990583808/pn23nwbU_normal.jpg")</f>
        <v>https://pbs.twimg.com/profile_images/1631463658990583808/pn23nwbU_normal.jpg</v>
      </c>
      <c r="G130" s="64"/>
      <c r="H130" s="68"/>
      <c r="I130" s="69"/>
      <c r="J130" s="69"/>
      <c r="K130" s="68" t="s">
        <v>29263</v>
      </c>
      <c r="L130" s="72"/>
      <c r="M130" s="73"/>
      <c r="N130" s="73"/>
      <c r="O130" s="74"/>
      <c r="P130" s="75"/>
      <c r="Q130" s="75"/>
      <c r="R130" s="102"/>
      <c r="S130" s="102"/>
      <c r="T130" s="102"/>
      <c r="U130" s="102"/>
      <c r="V130" s="48"/>
      <c r="W130" s="48"/>
      <c r="X130" s="48"/>
      <c r="Y130" s="48"/>
      <c r="Z130" s="47"/>
      <c r="AA130" s="70">
        <v>130</v>
      </c>
      <c r="AB130" s="70"/>
      <c r="AC130" s="71"/>
      <c r="AD130" s="86" t="s">
        <v>23769</v>
      </c>
      <c r="AE130" s="94" t="s">
        <v>25265</v>
      </c>
      <c r="AF130" s="86">
        <v>103815</v>
      </c>
      <c r="AG130" s="86">
        <v>2789</v>
      </c>
      <c r="AH130" s="86">
        <v>96438</v>
      </c>
      <c r="AI130" s="86">
        <v>386</v>
      </c>
      <c r="AJ130" s="86">
        <v>52303</v>
      </c>
      <c r="AK130" s="86">
        <v>8775</v>
      </c>
      <c r="AL130" s="86" t="b">
        <v>0</v>
      </c>
      <c r="AM130" s="89">
        <v>40096.860729166663</v>
      </c>
      <c r="AN130" s="86" t="s">
        <v>25929</v>
      </c>
      <c r="AO130" s="86" t="s">
        <v>26541</v>
      </c>
      <c r="AP130" s="96" t="str">
        <f>HYPERLINK("https://t.co/v8NBeynIad")</f>
        <v>https://t.co/v8NBeynIad</v>
      </c>
      <c r="AQ130" s="96" t="str">
        <f>HYPERLINK("https://www.instagram.com/raullsantiago")</f>
        <v>https://www.instagram.com/raullsantiago</v>
      </c>
      <c r="AR130" s="86" t="s">
        <v>27987</v>
      </c>
      <c r="AS130" s="86"/>
      <c r="AT130" s="86"/>
      <c r="AU130" s="86"/>
      <c r="AV130" s="86">
        <v>1.61260313486126E+18</v>
      </c>
      <c r="AW130" s="96" t="str">
        <f>HYPERLINK("https://t.co/v8NBeynIad")</f>
        <v>https://t.co/v8NBeynIad</v>
      </c>
      <c r="AX130" s="86" t="b">
        <v>1</v>
      </c>
      <c r="AY130" s="86"/>
      <c r="AZ130" s="86"/>
      <c r="BA130" s="86" t="b">
        <v>0</v>
      </c>
      <c r="BB130" s="86" t="b">
        <v>1</v>
      </c>
      <c r="BC130" s="86" t="b">
        <v>0</v>
      </c>
      <c r="BD130" s="86" t="b">
        <v>0</v>
      </c>
      <c r="BE130" s="86" t="b">
        <v>1</v>
      </c>
      <c r="BF130" s="86" t="b">
        <v>0</v>
      </c>
      <c r="BG130" s="86" t="b">
        <v>0</v>
      </c>
      <c r="BH130" s="96" t="str">
        <f>HYPERLINK("https://pbs.twimg.com/profile_banners/81436762/1693358137")</f>
        <v>https://pbs.twimg.com/profile_banners/81436762/1693358137</v>
      </c>
      <c r="BI130" s="86"/>
      <c r="BJ130" s="86" t="s">
        <v>29134</v>
      </c>
      <c r="BK130" s="86" t="b">
        <v>0</v>
      </c>
      <c r="BL130" s="86"/>
      <c r="BM130" s="86" t="s">
        <v>66</v>
      </c>
      <c r="BN130" s="86" t="s">
        <v>29136</v>
      </c>
      <c r="BO130" s="96" t="str">
        <f>HYPERLINK("https://twitter.com/raullsantiago")</f>
        <v>https://twitter.com/raullsantiago</v>
      </c>
      <c r="BP130" s="2"/>
    </row>
    <row r="131" spans="1:68" x14ac:dyDescent="0.25">
      <c r="A131" s="63" t="s">
        <v>336</v>
      </c>
      <c r="B131" s="64"/>
      <c r="C131" s="64"/>
      <c r="D131" s="65"/>
      <c r="E131" s="67"/>
      <c r="F131" s="111" t="str">
        <f>HYPERLINK("https://pbs.twimg.com/profile_images/1611011076002398208/P8NWyiVc_normal.png")</f>
        <v>https://pbs.twimg.com/profile_images/1611011076002398208/P8NWyiVc_normal.png</v>
      </c>
      <c r="G131" s="64"/>
      <c r="H131" s="68"/>
      <c r="I131" s="69"/>
      <c r="J131" s="69"/>
      <c r="K131" s="68" t="s">
        <v>29264</v>
      </c>
      <c r="L131" s="72"/>
      <c r="M131" s="73"/>
      <c r="N131" s="73"/>
      <c r="O131" s="74"/>
      <c r="P131" s="75"/>
      <c r="Q131" s="75"/>
      <c r="R131" s="102"/>
      <c r="S131" s="102"/>
      <c r="T131" s="102"/>
      <c r="U131" s="102"/>
      <c r="V131" s="48"/>
      <c r="W131" s="48"/>
      <c r="X131" s="48"/>
      <c r="Y131" s="48"/>
      <c r="Z131" s="47"/>
      <c r="AA131" s="70">
        <v>131</v>
      </c>
      <c r="AB131" s="70"/>
      <c r="AC131" s="71"/>
      <c r="AD131" s="86" t="s">
        <v>23770</v>
      </c>
      <c r="AE131" s="94" t="s">
        <v>22858</v>
      </c>
      <c r="AF131" s="86">
        <v>54</v>
      </c>
      <c r="AG131" s="86">
        <v>335</v>
      </c>
      <c r="AH131" s="86">
        <v>110</v>
      </c>
      <c r="AI131" s="86">
        <v>0</v>
      </c>
      <c r="AJ131" s="86">
        <v>68</v>
      </c>
      <c r="AK131" s="86">
        <v>91</v>
      </c>
      <c r="AL131" s="86" t="b">
        <v>0</v>
      </c>
      <c r="AM131" s="89">
        <v>44931.615115740744</v>
      </c>
      <c r="AN131" s="86"/>
      <c r="AO131" s="86" t="s">
        <v>26542</v>
      </c>
      <c r="AP131" s="96" t="str">
        <f>HYPERLINK("https://t.co/3F6zGHrW0z")</f>
        <v>https://t.co/3F6zGHrW0z</v>
      </c>
      <c r="AQ131" s="96" t="str">
        <f>HYPERLINK("https://bio.site/damahcast")</f>
        <v>https://bio.site/damahcast</v>
      </c>
      <c r="AR131" s="86" t="s">
        <v>27988</v>
      </c>
      <c r="AS131" s="86"/>
      <c r="AT131" s="86"/>
      <c r="AU131" s="86"/>
      <c r="AV131" s="86"/>
      <c r="AW131" s="96" t="str">
        <f>HYPERLINK("https://t.co/3F6zGHrW0z")</f>
        <v>https://t.co/3F6zGHrW0z</v>
      </c>
      <c r="AX131" s="86" t="b">
        <v>0</v>
      </c>
      <c r="AY131" s="86"/>
      <c r="AZ131" s="86"/>
      <c r="BA131" s="86" t="b">
        <v>0</v>
      </c>
      <c r="BB131" s="86" t="b">
        <v>1</v>
      </c>
      <c r="BC131" s="86" t="b">
        <v>1</v>
      </c>
      <c r="BD131" s="86" t="b">
        <v>0</v>
      </c>
      <c r="BE131" s="86" t="b">
        <v>0</v>
      </c>
      <c r="BF131" s="86" t="b">
        <v>0</v>
      </c>
      <c r="BG131" s="86" t="b">
        <v>0</v>
      </c>
      <c r="BH131" s="96" t="str">
        <f>HYPERLINK("https://pbs.twimg.com/profile_banners/1611010981999661056/1673194155")</f>
        <v>https://pbs.twimg.com/profile_banners/1611010981999661056/1673194155</v>
      </c>
      <c r="BI131" s="86"/>
      <c r="BJ131" s="86" t="s">
        <v>29134</v>
      </c>
      <c r="BK131" s="86" t="b">
        <v>0</v>
      </c>
      <c r="BL131" s="86"/>
      <c r="BM131" s="86" t="s">
        <v>66</v>
      </c>
      <c r="BN131" s="86" t="s">
        <v>29136</v>
      </c>
      <c r="BO131" s="96" t="str">
        <f>HYPERLINK("https://twitter.com/damahcast")</f>
        <v>https://twitter.com/damahcast</v>
      </c>
      <c r="BP131" s="2"/>
    </row>
    <row r="132" spans="1:68" x14ac:dyDescent="0.25">
      <c r="A132" s="63" t="s">
        <v>337</v>
      </c>
      <c r="B132" s="64"/>
      <c r="C132" s="64"/>
      <c r="D132" s="65"/>
      <c r="E132" s="67"/>
      <c r="F132" s="111" t="str">
        <f>HYPERLINK("https://pbs.twimg.com/profile_images/1703825866201935872/jGIFNiTy_normal.jpg")</f>
        <v>https://pbs.twimg.com/profile_images/1703825866201935872/jGIFNiTy_normal.jpg</v>
      </c>
      <c r="G132" s="64"/>
      <c r="H132" s="68"/>
      <c r="I132" s="69"/>
      <c r="J132" s="69"/>
      <c r="K132" s="68" t="s">
        <v>29265</v>
      </c>
      <c r="L132" s="72"/>
      <c r="M132" s="73"/>
      <c r="N132" s="73"/>
      <c r="O132" s="74"/>
      <c r="P132" s="75"/>
      <c r="Q132" s="75"/>
      <c r="R132" s="102"/>
      <c r="S132" s="102"/>
      <c r="T132" s="102"/>
      <c r="U132" s="102"/>
      <c r="V132" s="48"/>
      <c r="W132" s="48"/>
      <c r="X132" s="48"/>
      <c r="Y132" s="48"/>
      <c r="Z132" s="47"/>
      <c r="AA132" s="70">
        <v>132</v>
      </c>
      <c r="AB132" s="70"/>
      <c r="AC132" s="71"/>
      <c r="AD132" s="86" t="s">
        <v>23771</v>
      </c>
      <c r="AE132" s="94" t="s">
        <v>25266</v>
      </c>
      <c r="AF132" s="86">
        <v>62379</v>
      </c>
      <c r="AG132" s="86">
        <v>60</v>
      </c>
      <c r="AH132" s="86">
        <v>876</v>
      </c>
      <c r="AI132" s="86">
        <v>9</v>
      </c>
      <c r="AJ132" s="86">
        <v>384</v>
      </c>
      <c r="AK132" s="86">
        <v>823</v>
      </c>
      <c r="AL132" s="86" t="b">
        <v>0</v>
      </c>
      <c r="AM132" s="89">
        <v>40753.497928240744</v>
      </c>
      <c r="AN132" s="86" t="s">
        <v>15246</v>
      </c>
      <c r="AO132" s="86" t="s">
        <v>26543</v>
      </c>
      <c r="AP132" s="96" t="str">
        <f>HYPERLINK("https://t.co/plTZksQ20v")</f>
        <v>https://t.co/plTZksQ20v</v>
      </c>
      <c r="AQ132" s="96" t="str">
        <f>HYPERLINK("https://www.oseiasgomes.com.br/")</f>
        <v>https://www.oseiasgomes.com.br/</v>
      </c>
      <c r="AR132" s="86" t="s">
        <v>27989</v>
      </c>
      <c r="AS132" s="86"/>
      <c r="AT132" s="86"/>
      <c r="AU132" s="86"/>
      <c r="AV132" s="86"/>
      <c r="AW132" s="96" t="str">
        <f>HYPERLINK("https://t.co/plTZksQ20v")</f>
        <v>https://t.co/plTZksQ20v</v>
      </c>
      <c r="AX132" s="86" t="b">
        <v>1</v>
      </c>
      <c r="AY132" s="86"/>
      <c r="AZ132" s="86"/>
      <c r="BA132" s="86" t="b">
        <v>0</v>
      </c>
      <c r="BB132" s="86" t="b">
        <v>1</v>
      </c>
      <c r="BC132" s="86" t="b">
        <v>0</v>
      </c>
      <c r="BD132" s="86" t="b">
        <v>0</v>
      </c>
      <c r="BE132" s="86" t="b">
        <v>1</v>
      </c>
      <c r="BF132" s="86" t="b">
        <v>0</v>
      </c>
      <c r="BG132" s="86" t="b">
        <v>0</v>
      </c>
      <c r="BH132" s="96" t="str">
        <f>HYPERLINK("https://pbs.twimg.com/profile_banners/344665447/1695123794")</f>
        <v>https://pbs.twimg.com/profile_banners/344665447/1695123794</v>
      </c>
      <c r="BI132" s="86"/>
      <c r="BJ132" s="86" t="s">
        <v>29135</v>
      </c>
      <c r="BK132" s="86" t="b">
        <v>0</v>
      </c>
      <c r="BL132" s="86"/>
      <c r="BM132" s="86" t="s">
        <v>66</v>
      </c>
      <c r="BN132" s="86" t="s">
        <v>29136</v>
      </c>
      <c r="BO132" s="96" t="str">
        <f>HYPERLINK("https://twitter.com/oseiasgomesof")</f>
        <v>https://twitter.com/oseiasgomesof</v>
      </c>
      <c r="BP132" s="2"/>
    </row>
    <row r="133" spans="1:68" x14ac:dyDescent="0.25">
      <c r="A133" s="63" t="s">
        <v>338</v>
      </c>
      <c r="B133" s="64"/>
      <c r="C133" s="64"/>
      <c r="D133" s="65"/>
      <c r="E133" s="67"/>
      <c r="F133" s="111" t="str">
        <f>HYPERLINK("https://pbs.twimg.com/profile_images/1690827427415543808/DOeEZ8nx_normal.jpg")</f>
        <v>https://pbs.twimg.com/profile_images/1690827427415543808/DOeEZ8nx_normal.jpg</v>
      </c>
      <c r="G133" s="64"/>
      <c r="H133" s="68"/>
      <c r="I133" s="69"/>
      <c r="J133" s="69"/>
      <c r="K133" s="68" t="s">
        <v>29266</v>
      </c>
      <c r="L133" s="72"/>
      <c r="M133" s="73"/>
      <c r="N133" s="73"/>
      <c r="O133" s="74"/>
      <c r="P133" s="75"/>
      <c r="Q133" s="75"/>
      <c r="R133" s="102"/>
      <c r="S133" s="102"/>
      <c r="T133" s="102"/>
      <c r="U133" s="102"/>
      <c r="V133" s="48"/>
      <c r="W133" s="48"/>
      <c r="X133" s="48"/>
      <c r="Y133" s="48"/>
      <c r="Z133" s="47"/>
      <c r="AA133" s="70">
        <v>133</v>
      </c>
      <c r="AB133" s="70"/>
      <c r="AC133" s="71"/>
      <c r="AD133" s="86" t="s">
        <v>23772</v>
      </c>
      <c r="AE133" s="94" t="s">
        <v>22859</v>
      </c>
      <c r="AF133" s="86">
        <v>614</v>
      </c>
      <c r="AG133" s="86">
        <v>910</v>
      </c>
      <c r="AH133" s="86">
        <v>64059</v>
      </c>
      <c r="AI133" s="86">
        <v>0</v>
      </c>
      <c r="AJ133" s="86">
        <v>100394</v>
      </c>
      <c r="AK133" s="86">
        <v>513</v>
      </c>
      <c r="AL133" s="86" t="b">
        <v>0</v>
      </c>
      <c r="AM133" s="89">
        <v>42503.823125000003</v>
      </c>
      <c r="AN133" s="86" t="s">
        <v>25930</v>
      </c>
      <c r="AO133" s="86" t="s">
        <v>26544</v>
      </c>
      <c r="AP133" s="96" t="str">
        <f>HYPERLINK("https://t.co/StCa55tY1H")</f>
        <v>https://t.co/StCa55tY1H</v>
      </c>
      <c r="AQ133" s="96" t="str">
        <f>HYPERLINK("https://www.instagram.com/aluizaandreia")</f>
        <v>https://www.instagram.com/aluizaandreia</v>
      </c>
      <c r="AR133" s="86" t="s">
        <v>27990</v>
      </c>
      <c r="AS133" s="86"/>
      <c r="AT133" s="86"/>
      <c r="AU133" s="86"/>
      <c r="AV133" s="86"/>
      <c r="AW133" s="96" t="str">
        <f>HYPERLINK("https://t.co/StCa55tY1H")</f>
        <v>https://t.co/StCa55tY1H</v>
      </c>
      <c r="AX133" s="86" t="b">
        <v>0</v>
      </c>
      <c r="AY133" s="86"/>
      <c r="AZ133" s="86"/>
      <c r="BA133" s="86" t="b">
        <v>0</v>
      </c>
      <c r="BB133" s="86" t="b">
        <v>1</v>
      </c>
      <c r="BC133" s="86" t="b">
        <v>1</v>
      </c>
      <c r="BD133" s="86" t="b">
        <v>0</v>
      </c>
      <c r="BE133" s="86" t="b">
        <v>1</v>
      </c>
      <c r="BF133" s="86" t="b">
        <v>0</v>
      </c>
      <c r="BG133" s="86" t="b">
        <v>0</v>
      </c>
      <c r="BH133" s="96" t="str">
        <f>HYPERLINK("https://pbs.twimg.com/profile_banners/731208718910664705/1469501957")</f>
        <v>https://pbs.twimg.com/profile_banners/731208718910664705/1469501957</v>
      </c>
      <c r="BI133" s="86"/>
      <c r="BJ133" s="86" t="s">
        <v>29134</v>
      </c>
      <c r="BK133" s="86" t="b">
        <v>0</v>
      </c>
      <c r="BL133" s="86"/>
      <c r="BM133" s="86" t="s">
        <v>66</v>
      </c>
      <c r="BN133" s="86" t="s">
        <v>29136</v>
      </c>
      <c r="BO133" s="96" t="str">
        <f>HYPERLINK("https://twitter.com/luizaandreiaaa")</f>
        <v>https://twitter.com/luizaandreiaaa</v>
      </c>
      <c r="BP133" s="2"/>
    </row>
    <row r="134" spans="1:68" x14ac:dyDescent="0.25">
      <c r="A134" s="63" t="s">
        <v>339</v>
      </c>
      <c r="B134" s="64"/>
      <c r="C134" s="64"/>
      <c r="D134" s="65"/>
      <c r="E134" s="67"/>
      <c r="F134" s="111" t="str">
        <f>HYPERLINK("https://pbs.twimg.com/profile_images/1636094577814765568/zayAEnWy_normal.jpg")</f>
        <v>https://pbs.twimg.com/profile_images/1636094577814765568/zayAEnWy_normal.jpg</v>
      </c>
      <c r="G134" s="64"/>
      <c r="H134" s="68"/>
      <c r="I134" s="69"/>
      <c r="J134" s="69"/>
      <c r="K134" s="68" t="s">
        <v>29267</v>
      </c>
      <c r="L134" s="72"/>
      <c r="M134" s="73"/>
      <c r="N134" s="73"/>
      <c r="O134" s="74"/>
      <c r="P134" s="75"/>
      <c r="Q134" s="75"/>
      <c r="R134" s="102"/>
      <c r="S134" s="102"/>
      <c r="T134" s="102"/>
      <c r="U134" s="102"/>
      <c r="V134" s="48"/>
      <c r="W134" s="48"/>
      <c r="X134" s="48"/>
      <c r="Y134" s="48"/>
      <c r="Z134" s="47"/>
      <c r="AA134" s="70">
        <v>134</v>
      </c>
      <c r="AB134" s="70"/>
      <c r="AC134" s="71"/>
      <c r="AD134" s="86" t="s">
        <v>23773</v>
      </c>
      <c r="AE134" s="94" t="s">
        <v>22526</v>
      </c>
      <c r="AF134" s="86">
        <v>9524</v>
      </c>
      <c r="AG134" s="86">
        <v>672</v>
      </c>
      <c r="AH134" s="86">
        <v>13017</v>
      </c>
      <c r="AI134" s="86">
        <v>67</v>
      </c>
      <c r="AJ134" s="86">
        <v>730</v>
      </c>
      <c r="AK134" s="86">
        <v>6845</v>
      </c>
      <c r="AL134" s="86" t="b">
        <v>0</v>
      </c>
      <c r="AM134" s="89">
        <v>40316.946284722224</v>
      </c>
      <c r="AN134" s="86" t="s">
        <v>25931</v>
      </c>
      <c r="AO134" s="86" t="s">
        <v>26545</v>
      </c>
      <c r="AP134" s="96" t="str">
        <f>HYPERLINK("https://t.co/j6teDCXYFY")</f>
        <v>https://t.co/j6teDCXYFY</v>
      </c>
      <c r="AQ134" s="96" t="str">
        <f>HYPERLINK("http://www.oabpa.org.br")</f>
        <v>http://www.oabpa.org.br</v>
      </c>
      <c r="AR134" s="86" t="s">
        <v>27991</v>
      </c>
      <c r="AS134" s="86"/>
      <c r="AT134" s="86"/>
      <c r="AU134" s="86"/>
      <c r="AV134" s="86"/>
      <c r="AW134" s="96" t="str">
        <f>HYPERLINK("https://t.co/j6teDCXYFY")</f>
        <v>https://t.co/j6teDCXYFY</v>
      </c>
      <c r="AX134" s="86" t="b">
        <v>0</v>
      </c>
      <c r="AY134" s="86"/>
      <c r="AZ134" s="86"/>
      <c r="BA134" s="86" t="b">
        <v>0</v>
      </c>
      <c r="BB134" s="86" t="b">
        <v>0</v>
      </c>
      <c r="BC134" s="86" t="b">
        <v>0</v>
      </c>
      <c r="BD134" s="86" t="b">
        <v>0</v>
      </c>
      <c r="BE134" s="86" t="b">
        <v>1</v>
      </c>
      <c r="BF134" s="86" t="b">
        <v>0</v>
      </c>
      <c r="BG134" s="86" t="b">
        <v>0</v>
      </c>
      <c r="BH134" s="96" t="str">
        <f>HYPERLINK("https://pbs.twimg.com/profile_banners/145409224/1667314597")</f>
        <v>https://pbs.twimg.com/profile_banners/145409224/1667314597</v>
      </c>
      <c r="BI134" s="86"/>
      <c r="BJ134" s="86" t="s">
        <v>29134</v>
      </c>
      <c r="BK134" s="86" t="b">
        <v>0</v>
      </c>
      <c r="BL134" s="86"/>
      <c r="BM134" s="86" t="s">
        <v>66</v>
      </c>
      <c r="BN134" s="86" t="s">
        <v>29136</v>
      </c>
      <c r="BO134" s="96" t="str">
        <f>HYPERLINK("https://twitter.com/oabpara")</f>
        <v>https://twitter.com/oabpara</v>
      </c>
      <c r="BP134" s="2"/>
    </row>
    <row r="135" spans="1:68" x14ac:dyDescent="0.25">
      <c r="A135" s="63" t="s">
        <v>340</v>
      </c>
      <c r="B135" s="64"/>
      <c r="C135" s="64"/>
      <c r="D135" s="65"/>
      <c r="E135" s="67"/>
      <c r="F135" s="111" t="str">
        <f>HYPERLINK("https://pbs.twimg.com/profile_images/1003604377452601344/m2ym_6iG_normal.jpg")</f>
        <v>https://pbs.twimg.com/profile_images/1003604377452601344/m2ym_6iG_normal.jpg</v>
      </c>
      <c r="G135" s="64"/>
      <c r="H135" s="68"/>
      <c r="I135" s="69"/>
      <c r="J135" s="69"/>
      <c r="K135" s="68" t="s">
        <v>29268</v>
      </c>
      <c r="L135" s="72"/>
      <c r="M135" s="73"/>
      <c r="N135" s="73"/>
      <c r="O135" s="74"/>
      <c r="P135" s="75"/>
      <c r="Q135" s="75"/>
      <c r="R135" s="102"/>
      <c r="S135" s="102"/>
      <c r="T135" s="102"/>
      <c r="U135" s="102"/>
      <c r="V135" s="48"/>
      <c r="W135" s="48"/>
      <c r="X135" s="48"/>
      <c r="Y135" s="48"/>
      <c r="Z135" s="47"/>
      <c r="AA135" s="70">
        <v>135</v>
      </c>
      <c r="AB135" s="70"/>
      <c r="AC135" s="71"/>
      <c r="AD135" s="86" t="s">
        <v>23774</v>
      </c>
      <c r="AE135" s="94" t="s">
        <v>25267</v>
      </c>
      <c r="AF135" s="86">
        <v>348</v>
      </c>
      <c r="AG135" s="86">
        <v>324</v>
      </c>
      <c r="AH135" s="86">
        <v>1568</v>
      </c>
      <c r="AI135" s="86">
        <v>24</v>
      </c>
      <c r="AJ135" s="86">
        <v>3730</v>
      </c>
      <c r="AK135" s="86">
        <v>296</v>
      </c>
      <c r="AL135" s="86" t="b">
        <v>0</v>
      </c>
      <c r="AM135" s="89">
        <v>41413.195567129631</v>
      </c>
      <c r="AN135" s="86" t="s">
        <v>25932</v>
      </c>
      <c r="AO135" s="86" t="s">
        <v>26546</v>
      </c>
      <c r="AP135" s="96" t="str">
        <f>HYPERLINK("https://t.co/LnPiQ0u2fL")</f>
        <v>https://t.co/LnPiQ0u2fL</v>
      </c>
      <c r="AQ135" s="96" t="str">
        <f>HYPERLINK("https://andrelug.com/links")</f>
        <v>https://andrelug.com/links</v>
      </c>
      <c r="AR135" s="86" t="s">
        <v>27992</v>
      </c>
      <c r="AS135" s="86"/>
      <c r="AT135" s="86"/>
      <c r="AU135" s="86"/>
      <c r="AV135" s="86"/>
      <c r="AW135" s="96" t="str">
        <f>HYPERLINK("https://t.co/LnPiQ0u2fL")</f>
        <v>https://t.co/LnPiQ0u2fL</v>
      </c>
      <c r="AX135" s="86" t="b">
        <v>0</v>
      </c>
      <c r="AY135" s="86"/>
      <c r="AZ135" s="86"/>
      <c r="BA135" s="86" t="b">
        <v>0</v>
      </c>
      <c r="BB135" s="86" t="b">
        <v>1</v>
      </c>
      <c r="BC135" s="86" t="b">
        <v>1</v>
      </c>
      <c r="BD135" s="86" t="b">
        <v>0</v>
      </c>
      <c r="BE135" s="86" t="b">
        <v>0</v>
      </c>
      <c r="BF135" s="86" t="b">
        <v>0</v>
      </c>
      <c r="BG135" s="86" t="b">
        <v>0</v>
      </c>
      <c r="BH135" s="96" t="str">
        <f>HYPERLINK("https://pbs.twimg.com/profile_banners/1440210440/1528112923")</f>
        <v>https://pbs.twimg.com/profile_banners/1440210440/1528112923</v>
      </c>
      <c r="BI135" s="86"/>
      <c r="BJ135" s="86" t="s">
        <v>29134</v>
      </c>
      <c r="BK135" s="86" t="b">
        <v>0</v>
      </c>
      <c r="BL135" s="86"/>
      <c r="BM135" s="86" t="s">
        <v>66</v>
      </c>
      <c r="BN135" s="86" t="s">
        <v>29136</v>
      </c>
      <c r="BO135" s="96" t="str">
        <f>HYPERLINK("https://twitter.com/andre_lug")</f>
        <v>https://twitter.com/andre_lug</v>
      </c>
      <c r="BP135" s="2"/>
    </row>
    <row r="136" spans="1:68" x14ac:dyDescent="0.25">
      <c r="A136" s="63" t="s">
        <v>341</v>
      </c>
      <c r="B136" s="64"/>
      <c r="C136" s="64"/>
      <c r="D136" s="65"/>
      <c r="E136" s="67"/>
      <c r="F136" s="111" t="str">
        <f>HYPERLINK("https://pbs.twimg.com/profile_images/1261418505464881152/lyTZriON_normal.jpg")</f>
        <v>https://pbs.twimg.com/profile_images/1261418505464881152/lyTZriON_normal.jpg</v>
      </c>
      <c r="G136" s="64"/>
      <c r="H136" s="68"/>
      <c r="I136" s="69"/>
      <c r="J136" s="69"/>
      <c r="K136" s="68" t="s">
        <v>29269</v>
      </c>
      <c r="L136" s="72"/>
      <c r="M136" s="73"/>
      <c r="N136" s="73"/>
      <c r="O136" s="74"/>
      <c r="P136" s="75"/>
      <c r="Q136" s="75"/>
      <c r="R136" s="102"/>
      <c r="S136" s="102"/>
      <c r="T136" s="102"/>
      <c r="U136" s="102"/>
      <c r="V136" s="48"/>
      <c r="W136" s="48"/>
      <c r="X136" s="48"/>
      <c r="Y136" s="48"/>
      <c r="Z136" s="47"/>
      <c r="AA136" s="70">
        <v>136</v>
      </c>
      <c r="AB136" s="70"/>
      <c r="AC136" s="71"/>
      <c r="AD136" s="86" t="s">
        <v>23775</v>
      </c>
      <c r="AE136" s="94" t="s">
        <v>22860</v>
      </c>
      <c r="AF136" s="86">
        <v>41</v>
      </c>
      <c r="AG136" s="86">
        <v>176</v>
      </c>
      <c r="AH136" s="86">
        <v>289</v>
      </c>
      <c r="AI136" s="86">
        <v>0</v>
      </c>
      <c r="AJ136" s="86">
        <v>12937</v>
      </c>
      <c r="AK136" s="86">
        <v>9</v>
      </c>
      <c r="AL136" s="86" t="b">
        <v>0</v>
      </c>
      <c r="AM136" s="89">
        <v>43853.797175925924</v>
      </c>
      <c r="AN136" s="86"/>
      <c r="AO136" s="86" t="s">
        <v>26547</v>
      </c>
      <c r="AP136" s="96" t="str">
        <f>HYPERLINK("https://t.co/MpBUUIoqtC")</f>
        <v>https://t.co/MpBUUIoqtC</v>
      </c>
      <c r="AQ136" s="96" t="str">
        <f>HYPERLINK("http://www.pauloventura.com.br")</f>
        <v>http://www.pauloventura.com.br</v>
      </c>
      <c r="AR136" s="86" t="s">
        <v>27993</v>
      </c>
      <c r="AS136" s="86"/>
      <c r="AT136" s="86"/>
      <c r="AU136" s="86"/>
      <c r="AV136" s="86"/>
      <c r="AW136" s="96" t="str">
        <f>HYPERLINK("https://t.co/MpBUUIoqtC")</f>
        <v>https://t.co/MpBUUIoqtC</v>
      </c>
      <c r="AX136" s="86" t="b">
        <v>0</v>
      </c>
      <c r="AY136" s="86"/>
      <c r="AZ136" s="86"/>
      <c r="BA136" s="86" t="b">
        <v>0</v>
      </c>
      <c r="BB136" s="86" t="b">
        <v>1</v>
      </c>
      <c r="BC136" s="86" t="b">
        <v>1</v>
      </c>
      <c r="BD136" s="86" t="b">
        <v>0</v>
      </c>
      <c r="BE136" s="86" t="b">
        <v>1</v>
      </c>
      <c r="BF136" s="86" t="b">
        <v>0</v>
      </c>
      <c r="BG136" s="86" t="b">
        <v>0</v>
      </c>
      <c r="BH136" s="96" t="str">
        <f>HYPERLINK("https://pbs.twimg.com/profile_banners/1220422872692412419/1627079670")</f>
        <v>https://pbs.twimg.com/profile_banners/1220422872692412419/1627079670</v>
      </c>
      <c r="BI136" s="86"/>
      <c r="BJ136" s="86" t="s">
        <v>29134</v>
      </c>
      <c r="BK136" s="86" t="b">
        <v>0</v>
      </c>
      <c r="BL136" s="86"/>
      <c r="BM136" s="86" t="s">
        <v>66</v>
      </c>
      <c r="BN136" s="86" t="s">
        <v>29136</v>
      </c>
      <c r="BO136" s="96" t="str">
        <f>HYPERLINK("https://twitter.com/paulove52445139")</f>
        <v>https://twitter.com/paulove52445139</v>
      </c>
      <c r="BP136" s="2"/>
    </row>
    <row r="137" spans="1:68" x14ac:dyDescent="0.25">
      <c r="A137" s="63" t="s">
        <v>342</v>
      </c>
      <c r="B137" s="64"/>
      <c r="C137" s="64"/>
      <c r="D137" s="65"/>
      <c r="E137" s="67"/>
      <c r="F137" s="111" t="str">
        <f>HYPERLINK("https://pbs.twimg.com/profile_images/1675925110362873863/371zYhUO_normal.jpg")</f>
        <v>https://pbs.twimg.com/profile_images/1675925110362873863/371zYhUO_normal.jpg</v>
      </c>
      <c r="G137" s="64"/>
      <c r="H137" s="68"/>
      <c r="I137" s="69"/>
      <c r="J137" s="69"/>
      <c r="K137" s="68" t="s">
        <v>29270</v>
      </c>
      <c r="L137" s="72"/>
      <c r="M137" s="73"/>
      <c r="N137" s="73"/>
      <c r="O137" s="74"/>
      <c r="P137" s="75"/>
      <c r="Q137" s="75"/>
      <c r="R137" s="102"/>
      <c r="S137" s="102"/>
      <c r="T137" s="102"/>
      <c r="U137" s="102"/>
      <c r="V137" s="48"/>
      <c r="W137" s="48"/>
      <c r="X137" s="48"/>
      <c r="Y137" s="48"/>
      <c r="Z137" s="47"/>
      <c r="AA137" s="70">
        <v>137</v>
      </c>
      <c r="AB137" s="70"/>
      <c r="AC137" s="71"/>
      <c r="AD137" s="86" t="s">
        <v>23776</v>
      </c>
      <c r="AE137" s="94" t="s">
        <v>25268</v>
      </c>
      <c r="AF137" s="86">
        <v>217</v>
      </c>
      <c r="AG137" s="86">
        <v>619</v>
      </c>
      <c r="AH137" s="86">
        <v>11849</v>
      </c>
      <c r="AI137" s="86">
        <v>1</v>
      </c>
      <c r="AJ137" s="86">
        <v>103</v>
      </c>
      <c r="AK137" s="86">
        <v>4090</v>
      </c>
      <c r="AL137" s="86" t="b">
        <v>0</v>
      </c>
      <c r="AM137" s="89">
        <v>41637.678287037037</v>
      </c>
      <c r="AN137" s="86" t="s">
        <v>25915</v>
      </c>
      <c r="AO137" s="86" t="s">
        <v>26548</v>
      </c>
      <c r="AP137" s="96" t="str">
        <f>HYPERLINK("https://t.co/m8pnZ8WZOP")</f>
        <v>https://t.co/m8pnZ8WZOP</v>
      </c>
      <c r="AQ137" s="96" t="str">
        <f>HYPERLINK("http://www.mastermindps.com.br")</f>
        <v>http://www.mastermindps.com.br</v>
      </c>
      <c r="AR137" s="86" t="s">
        <v>27994</v>
      </c>
      <c r="AS137" s="96" t="str">
        <f>HYPERLINK("https://t.co/PWx5PZbFXC")</f>
        <v>https://t.co/PWx5PZbFXC</v>
      </c>
      <c r="AT137" s="96" t="str">
        <f>HYPERLINK("https://www.instagram.com/jorgeaguiaroficial/")</f>
        <v>https://www.instagram.com/jorgeaguiaroficial/</v>
      </c>
      <c r="AU137" s="86" t="s">
        <v>29038</v>
      </c>
      <c r="AV137" s="86"/>
      <c r="AW137" s="96" t="str">
        <f>HYPERLINK("https://t.co/m8pnZ8WZOP")</f>
        <v>https://t.co/m8pnZ8WZOP</v>
      </c>
      <c r="AX137" s="86" t="b">
        <v>0</v>
      </c>
      <c r="AY137" s="86"/>
      <c r="AZ137" s="86"/>
      <c r="BA137" s="86" t="b">
        <v>0</v>
      </c>
      <c r="BB137" s="86" t="b">
        <v>1</v>
      </c>
      <c r="BC137" s="86" t="b">
        <v>1</v>
      </c>
      <c r="BD137" s="86" t="b">
        <v>0</v>
      </c>
      <c r="BE137" s="86" t="b">
        <v>0</v>
      </c>
      <c r="BF137" s="86" t="b">
        <v>0</v>
      </c>
      <c r="BG137" s="86" t="b">
        <v>0</v>
      </c>
      <c r="BH137" s="96" t="str">
        <f>HYPERLINK("https://pbs.twimg.com/profile_banners/2250294076/1590668182")</f>
        <v>https://pbs.twimg.com/profile_banners/2250294076/1590668182</v>
      </c>
      <c r="BI137" s="86"/>
      <c r="BJ137" s="86" t="s">
        <v>29134</v>
      </c>
      <c r="BK137" s="86" t="b">
        <v>0</v>
      </c>
      <c r="BL137" s="86"/>
      <c r="BM137" s="86" t="s">
        <v>66</v>
      </c>
      <c r="BN137" s="86" t="s">
        <v>29136</v>
      </c>
      <c r="BO137" s="96" t="str">
        <f>HYPERLINK("https://twitter.com/jorgeaguiarmm")</f>
        <v>https://twitter.com/jorgeaguiarmm</v>
      </c>
      <c r="BP137" s="2"/>
    </row>
    <row r="138" spans="1:68" x14ac:dyDescent="0.25">
      <c r="A138" s="63" t="s">
        <v>343</v>
      </c>
      <c r="B138" s="64"/>
      <c r="C138" s="64"/>
      <c r="D138" s="65"/>
      <c r="E138" s="67"/>
      <c r="F138" s="111" t="str">
        <f>HYPERLINK("https://pbs.twimg.com/profile_images/1382063594897047555/Rb8tEfLZ_normal.jpg")</f>
        <v>https://pbs.twimg.com/profile_images/1382063594897047555/Rb8tEfLZ_normal.jpg</v>
      </c>
      <c r="G138" s="64"/>
      <c r="H138" s="68"/>
      <c r="I138" s="69"/>
      <c r="J138" s="69"/>
      <c r="K138" s="68" t="s">
        <v>29271</v>
      </c>
      <c r="L138" s="72"/>
      <c r="M138" s="73"/>
      <c r="N138" s="73"/>
      <c r="O138" s="74"/>
      <c r="P138" s="75"/>
      <c r="Q138" s="75"/>
      <c r="R138" s="102"/>
      <c r="S138" s="102"/>
      <c r="T138" s="102"/>
      <c r="U138" s="102"/>
      <c r="V138" s="48"/>
      <c r="W138" s="48"/>
      <c r="X138" s="48"/>
      <c r="Y138" s="48"/>
      <c r="Z138" s="47"/>
      <c r="AA138" s="70">
        <v>138</v>
      </c>
      <c r="AB138" s="70"/>
      <c r="AC138" s="71"/>
      <c r="AD138" s="86" t="s">
        <v>23777</v>
      </c>
      <c r="AE138" s="94" t="s">
        <v>25269</v>
      </c>
      <c r="AF138" s="86">
        <v>2</v>
      </c>
      <c r="AG138" s="86">
        <v>18</v>
      </c>
      <c r="AH138" s="86">
        <v>40</v>
      </c>
      <c r="AI138" s="86">
        <v>0</v>
      </c>
      <c r="AJ138" s="86">
        <v>2</v>
      </c>
      <c r="AK138" s="86">
        <v>37</v>
      </c>
      <c r="AL138" s="86" t="b">
        <v>0</v>
      </c>
      <c r="AM138" s="89">
        <v>41119.69803240741</v>
      </c>
      <c r="AN138" s="86"/>
      <c r="AO138" s="86"/>
      <c r="AP138" s="86"/>
      <c r="AQ138" s="86"/>
      <c r="AR138" s="86"/>
      <c r="AS138" s="86"/>
      <c r="AT138" s="86"/>
      <c r="AU138" s="86"/>
      <c r="AV138" s="86"/>
      <c r="AW138" s="86"/>
      <c r="AX138" s="86" t="b">
        <v>0</v>
      </c>
      <c r="AY138" s="86"/>
      <c r="AZ138" s="86"/>
      <c r="BA138" s="86" t="b">
        <v>0</v>
      </c>
      <c r="BB138" s="86" t="b">
        <v>1</v>
      </c>
      <c r="BC138" s="86" t="b">
        <v>1</v>
      </c>
      <c r="BD138" s="86" t="b">
        <v>0</v>
      </c>
      <c r="BE138" s="86" t="b">
        <v>0</v>
      </c>
      <c r="BF138" s="86" t="b">
        <v>0</v>
      </c>
      <c r="BG138" s="86" t="b">
        <v>0</v>
      </c>
      <c r="BH138" s="86"/>
      <c r="BI138" s="86"/>
      <c r="BJ138" s="86" t="s">
        <v>29134</v>
      </c>
      <c r="BK138" s="86" t="b">
        <v>0</v>
      </c>
      <c r="BL138" s="86"/>
      <c r="BM138" s="86" t="s">
        <v>66</v>
      </c>
      <c r="BN138" s="86" t="s">
        <v>29136</v>
      </c>
      <c r="BO138" s="96" t="str">
        <f>HYPERLINK("https://twitter.com/bacelarcontabil")</f>
        <v>https://twitter.com/bacelarcontabil</v>
      </c>
      <c r="BP138" s="2"/>
    </row>
    <row r="139" spans="1:68" x14ac:dyDescent="0.25">
      <c r="A139" s="63" t="s">
        <v>344</v>
      </c>
      <c r="B139" s="64"/>
      <c r="C139" s="64"/>
      <c r="D139" s="65"/>
      <c r="E139" s="67"/>
      <c r="F139" s="111" t="str">
        <f>HYPERLINK("https://pbs.twimg.com/profile_images/1630970274949615616/nZRgeJxN_normal.jpg")</f>
        <v>https://pbs.twimg.com/profile_images/1630970274949615616/nZRgeJxN_normal.jpg</v>
      </c>
      <c r="G139" s="64"/>
      <c r="H139" s="68"/>
      <c r="I139" s="69"/>
      <c r="J139" s="69"/>
      <c r="K139" s="68" t="s">
        <v>29272</v>
      </c>
      <c r="L139" s="72"/>
      <c r="M139" s="73"/>
      <c r="N139" s="73"/>
      <c r="O139" s="74"/>
      <c r="P139" s="75"/>
      <c r="Q139" s="75"/>
      <c r="R139" s="102"/>
      <c r="S139" s="102"/>
      <c r="T139" s="102"/>
      <c r="U139" s="102"/>
      <c r="V139" s="48"/>
      <c r="W139" s="48"/>
      <c r="X139" s="48"/>
      <c r="Y139" s="48"/>
      <c r="Z139" s="47"/>
      <c r="AA139" s="70">
        <v>139</v>
      </c>
      <c r="AB139" s="70"/>
      <c r="AC139" s="71"/>
      <c r="AD139" s="86" t="s">
        <v>23778</v>
      </c>
      <c r="AE139" s="94" t="s">
        <v>22861</v>
      </c>
      <c r="AF139" s="86">
        <v>6</v>
      </c>
      <c r="AG139" s="86">
        <v>3</v>
      </c>
      <c r="AH139" s="86">
        <v>672</v>
      </c>
      <c r="AI139" s="86">
        <v>0</v>
      </c>
      <c r="AJ139" s="86">
        <v>0</v>
      </c>
      <c r="AK139" s="86">
        <v>19</v>
      </c>
      <c r="AL139" s="86" t="b">
        <v>0</v>
      </c>
      <c r="AM139" s="89">
        <v>44950.537662037037</v>
      </c>
      <c r="AN139" s="86"/>
      <c r="AO139" s="86" t="s">
        <v>26549</v>
      </c>
      <c r="AP139" s="96" t="str">
        <f>HYPERLINK("https://t.co/j3bwkudXFJ")</f>
        <v>https://t.co/j3bwkudXFJ</v>
      </c>
      <c r="AQ139" s="96" t="str">
        <f>HYPERLINK("https://entornohoje.com.br/")</f>
        <v>https://entornohoje.com.br/</v>
      </c>
      <c r="AR139" s="86" t="s">
        <v>27995</v>
      </c>
      <c r="AS139" s="86"/>
      <c r="AT139" s="86"/>
      <c r="AU139" s="86"/>
      <c r="AV139" s="86"/>
      <c r="AW139" s="96" t="str">
        <f>HYPERLINK("https://t.co/j3bwkudXFJ")</f>
        <v>https://t.co/j3bwkudXFJ</v>
      </c>
      <c r="AX139" s="86" t="b">
        <v>0</v>
      </c>
      <c r="AY139" s="86"/>
      <c r="AZ139" s="86"/>
      <c r="BA139" s="86" t="b">
        <v>0</v>
      </c>
      <c r="BB139" s="86" t="b">
        <v>1</v>
      </c>
      <c r="BC139" s="86" t="b">
        <v>1</v>
      </c>
      <c r="BD139" s="86" t="b">
        <v>0</v>
      </c>
      <c r="BE139" s="86" t="b">
        <v>0</v>
      </c>
      <c r="BF139" s="86" t="b">
        <v>0</v>
      </c>
      <c r="BG139" s="86" t="b">
        <v>0</v>
      </c>
      <c r="BH139" s="96" t="str">
        <f>HYPERLINK("https://pbs.twimg.com/profile_banners/1617868302683881473/1678135156")</f>
        <v>https://pbs.twimg.com/profile_banners/1617868302683881473/1678135156</v>
      </c>
      <c r="BI139" s="86"/>
      <c r="BJ139" s="86" t="s">
        <v>29134</v>
      </c>
      <c r="BK139" s="86" t="b">
        <v>0</v>
      </c>
      <c r="BL139" s="86"/>
      <c r="BM139" s="86" t="s">
        <v>66</v>
      </c>
      <c r="BN139" s="86" t="s">
        <v>29136</v>
      </c>
      <c r="BO139" s="96" t="str">
        <f>HYPERLINK("https://twitter.com/entornohoje")</f>
        <v>https://twitter.com/entornohoje</v>
      </c>
      <c r="BP139" s="2"/>
    </row>
    <row r="140" spans="1:68" x14ac:dyDescent="0.25">
      <c r="A140" s="63" t="s">
        <v>345</v>
      </c>
      <c r="B140" s="64"/>
      <c r="C140" s="64"/>
      <c r="D140" s="65"/>
      <c r="E140" s="67"/>
      <c r="F140" s="111" t="str">
        <f>HYPERLINK("https://pbs.twimg.com/profile_images/1014508468731080704/GdXIh41q_normal.jpg")</f>
        <v>https://pbs.twimg.com/profile_images/1014508468731080704/GdXIh41q_normal.jpg</v>
      </c>
      <c r="G140" s="64"/>
      <c r="H140" s="68"/>
      <c r="I140" s="69"/>
      <c r="J140" s="69"/>
      <c r="K140" s="68" t="s">
        <v>29273</v>
      </c>
      <c r="L140" s="72"/>
      <c r="M140" s="73"/>
      <c r="N140" s="73"/>
      <c r="O140" s="74"/>
      <c r="P140" s="75"/>
      <c r="Q140" s="75"/>
      <c r="R140" s="102"/>
      <c r="S140" s="102"/>
      <c r="T140" s="102"/>
      <c r="U140" s="102"/>
      <c r="V140" s="48"/>
      <c r="W140" s="48"/>
      <c r="X140" s="48"/>
      <c r="Y140" s="48"/>
      <c r="Z140" s="47"/>
      <c r="AA140" s="70">
        <v>140</v>
      </c>
      <c r="AB140" s="70"/>
      <c r="AC140" s="71"/>
      <c r="AD140" s="86" t="s">
        <v>23779</v>
      </c>
      <c r="AE140" s="94" t="s">
        <v>25270</v>
      </c>
      <c r="AF140" s="86">
        <v>12941</v>
      </c>
      <c r="AG140" s="86">
        <v>206</v>
      </c>
      <c r="AH140" s="86">
        <v>5513</v>
      </c>
      <c r="AI140" s="86">
        <v>263</v>
      </c>
      <c r="AJ140" s="86">
        <v>345</v>
      </c>
      <c r="AK140" s="86">
        <v>205</v>
      </c>
      <c r="AL140" s="86" t="b">
        <v>0</v>
      </c>
      <c r="AM140" s="89">
        <v>39902.617268518516</v>
      </c>
      <c r="AN140" s="86" t="s">
        <v>25933</v>
      </c>
      <c r="AO140" s="86" t="s">
        <v>26550</v>
      </c>
      <c r="AP140" s="96" t="str">
        <f>HYPERLINK("https://t.co/tCObhbXsKp")</f>
        <v>https://t.co/tCObhbXsKp</v>
      </c>
      <c r="AQ140" s="96" t="str">
        <f>HYPERLINK("http://www.editoragente.com.br")</f>
        <v>http://www.editoragente.com.br</v>
      </c>
      <c r="AR140" s="86" t="s">
        <v>27996</v>
      </c>
      <c r="AS140" s="86"/>
      <c r="AT140" s="86"/>
      <c r="AU140" s="86"/>
      <c r="AV140" s="86"/>
      <c r="AW140" s="96" t="str">
        <f>HYPERLINK("https://t.co/tCObhbXsKp")</f>
        <v>https://t.co/tCObhbXsKp</v>
      </c>
      <c r="AX140" s="86" t="b">
        <v>0</v>
      </c>
      <c r="AY140" s="86"/>
      <c r="AZ140" s="86"/>
      <c r="BA140" s="86" t="b">
        <v>1</v>
      </c>
      <c r="BB140" s="86" t="b">
        <v>1</v>
      </c>
      <c r="BC140" s="86" t="b">
        <v>0</v>
      </c>
      <c r="BD140" s="86" t="b">
        <v>0</v>
      </c>
      <c r="BE140" s="86" t="b">
        <v>0</v>
      </c>
      <c r="BF140" s="86" t="b">
        <v>0</v>
      </c>
      <c r="BG140" s="86" t="b">
        <v>0</v>
      </c>
      <c r="BH140" s="96" t="str">
        <f>HYPERLINK("https://pbs.twimg.com/profile_banners/27649665/1693862240")</f>
        <v>https://pbs.twimg.com/profile_banners/27649665/1693862240</v>
      </c>
      <c r="BI140" s="86"/>
      <c r="BJ140" s="86" t="s">
        <v>29134</v>
      </c>
      <c r="BK140" s="86" t="b">
        <v>0</v>
      </c>
      <c r="BL140" s="86"/>
      <c r="BM140" s="86" t="s">
        <v>66</v>
      </c>
      <c r="BN140" s="86" t="s">
        <v>29136</v>
      </c>
      <c r="BO140" s="96" t="str">
        <f>HYPERLINK("https://twitter.com/editoragente")</f>
        <v>https://twitter.com/editoragente</v>
      </c>
      <c r="BP140" s="2"/>
    </row>
    <row r="141" spans="1:68" x14ac:dyDescent="0.25">
      <c r="A141" s="63" t="s">
        <v>346</v>
      </c>
      <c r="B141" s="64"/>
      <c r="C141" s="64"/>
      <c r="D141" s="65"/>
      <c r="E141" s="67"/>
      <c r="F141" s="111" t="str">
        <f>HYPERLINK("https://pbs.twimg.com/profile_images/1347696680347594753/l04nfyJQ_normal.jpg")</f>
        <v>https://pbs.twimg.com/profile_images/1347696680347594753/l04nfyJQ_normal.jpg</v>
      </c>
      <c r="G141" s="64"/>
      <c r="H141" s="68"/>
      <c r="I141" s="69"/>
      <c r="J141" s="69"/>
      <c r="K141" s="68" t="s">
        <v>29274</v>
      </c>
      <c r="L141" s="72"/>
      <c r="M141" s="73"/>
      <c r="N141" s="73"/>
      <c r="O141" s="74"/>
      <c r="P141" s="75"/>
      <c r="Q141" s="75"/>
      <c r="R141" s="102"/>
      <c r="S141" s="102"/>
      <c r="T141" s="102"/>
      <c r="U141" s="102"/>
      <c r="V141" s="48"/>
      <c r="W141" s="48"/>
      <c r="X141" s="48"/>
      <c r="Y141" s="48"/>
      <c r="Z141" s="47"/>
      <c r="AA141" s="70">
        <v>141</v>
      </c>
      <c r="AB141" s="70"/>
      <c r="AC141" s="71"/>
      <c r="AD141" s="86" t="s">
        <v>23780</v>
      </c>
      <c r="AE141" s="94" t="s">
        <v>22862</v>
      </c>
      <c r="AF141" s="86">
        <v>105</v>
      </c>
      <c r="AG141" s="86">
        <v>135</v>
      </c>
      <c r="AH141" s="86">
        <v>1079</v>
      </c>
      <c r="AI141" s="86">
        <v>0</v>
      </c>
      <c r="AJ141" s="86">
        <v>73</v>
      </c>
      <c r="AK141" s="86">
        <v>728</v>
      </c>
      <c r="AL141" s="86" t="b">
        <v>0</v>
      </c>
      <c r="AM141" s="89">
        <v>44083.198229166665</v>
      </c>
      <c r="AN141" s="86" t="s">
        <v>15246</v>
      </c>
      <c r="AO141" s="86" t="s">
        <v>26551</v>
      </c>
      <c r="AP141" s="96" t="str">
        <f>HYPERLINK("https://t.co/0rDuU87Hb7")</f>
        <v>https://t.co/0rDuU87Hb7</v>
      </c>
      <c r="AQ141" s="96" t="str">
        <f>HYPERLINK("https://www.forumhiphopmsp.com.br/")</f>
        <v>https://www.forumhiphopmsp.com.br/</v>
      </c>
      <c r="AR141" s="86" t="s">
        <v>27997</v>
      </c>
      <c r="AS141" s="86"/>
      <c r="AT141" s="86"/>
      <c r="AU141" s="86"/>
      <c r="AV141" s="86">
        <v>1.31010389220258E+18</v>
      </c>
      <c r="AW141" s="96" t="str">
        <f>HYPERLINK("https://t.co/0rDuU87Hb7")</f>
        <v>https://t.co/0rDuU87Hb7</v>
      </c>
      <c r="AX141" s="86" t="b">
        <v>0</v>
      </c>
      <c r="AY141" s="86"/>
      <c r="AZ141" s="86"/>
      <c r="BA141" s="86" t="b">
        <v>0</v>
      </c>
      <c r="BB141" s="86" t="b">
        <v>1</v>
      </c>
      <c r="BC141" s="86" t="b">
        <v>1</v>
      </c>
      <c r="BD141" s="86" t="b">
        <v>0</v>
      </c>
      <c r="BE141" s="86" t="b">
        <v>0</v>
      </c>
      <c r="BF141" s="86" t="b">
        <v>0</v>
      </c>
      <c r="BG141" s="86" t="b">
        <v>0</v>
      </c>
      <c r="BH141" s="96" t="str">
        <f>HYPERLINK("https://pbs.twimg.com/profile_banners/1303555033452118016/1618258885")</f>
        <v>https://pbs.twimg.com/profile_banners/1303555033452118016/1618258885</v>
      </c>
      <c r="BI141" s="86"/>
      <c r="BJ141" s="86" t="s">
        <v>29134</v>
      </c>
      <c r="BK141" s="86" t="b">
        <v>0</v>
      </c>
      <c r="BL141" s="86"/>
      <c r="BM141" s="86" t="s">
        <v>66</v>
      </c>
      <c r="BN141" s="86" t="s">
        <v>29136</v>
      </c>
      <c r="BO141" s="96" t="str">
        <f>HYPERLINK("https://twitter.com/bancadahiphop")</f>
        <v>https://twitter.com/bancadahiphop</v>
      </c>
      <c r="BP141" s="2"/>
    </row>
    <row r="142" spans="1:68" x14ac:dyDescent="0.25">
      <c r="A142" s="63" t="s">
        <v>347</v>
      </c>
      <c r="B142" s="64"/>
      <c r="C142" s="64"/>
      <c r="D142" s="65"/>
      <c r="E142" s="67"/>
      <c r="F142" s="111" t="str">
        <f>HYPERLINK("https://pbs.twimg.com/profile_images/1649761005851820032/yVDQJ-Ux_normal.png")</f>
        <v>https://pbs.twimg.com/profile_images/1649761005851820032/yVDQJ-Ux_normal.png</v>
      </c>
      <c r="G142" s="64"/>
      <c r="H142" s="68"/>
      <c r="I142" s="69"/>
      <c r="J142" s="69"/>
      <c r="K142" s="68" t="s">
        <v>29275</v>
      </c>
      <c r="L142" s="72"/>
      <c r="M142" s="73"/>
      <c r="N142" s="73"/>
      <c r="O142" s="74"/>
      <c r="P142" s="75"/>
      <c r="Q142" s="75"/>
      <c r="R142" s="102"/>
      <c r="S142" s="102"/>
      <c r="T142" s="102"/>
      <c r="U142" s="102"/>
      <c r="V142" s="48"/>
      <c r="W142" s="48"/>
      <c r="X142" s="48"/>
      <c r="Y142" s="48"/>
      <c r="Z142" s="47"/>
      <c r="AA142" s="70">
        <v>142</v>
      </c>
      <c r="AB142" s="70"/>
      <c r="AC142" s="71"/>
      <c r="AD142" s="86" t="s">
        <v>23781</v>
      </c>
      <c r="AE142" s="94" t="s">
        <v>22863</v>
      </c>
      <c r="AF142" s="86">
        <v>0</v>
      </c>
      <c r="AG142" s="86">
        <v>3</v>
      </c>
      <c r="AH142" s="86">
        <v>3</v>
      </c>
      <c r="AI142" s="86">
        <v>0</v>
      </c>
      <c r="AJ142" s="86">
        <v>2</v>
      </c>
      <c r="AK142" s="86">
        <v>0</v>
      </c>
      <c r="AL142" s="86" t="b">
        <v>0</v>
      </c>
      <c r="AM142" s="89">
        <v>45038.544548611113</v>
      </c>
      <c r="AN142" s="86" t="s">
        <v>15250</v>
      </c>
      <c r="AO142" s="86" t="s">
        <v>26552</v>
      </c>
      <c r="AP142" s="96" t="str">
        <f>HYPERLINK("https://t.co/EoYeZw8pgj")</f>
        <v>https://t.co/EoYeZw8pgj</v>
      </c>
      <c r="AQ142" s="96" t="str">
        <f>HYPERLINK("https://bit.ly/Megabox-ESP")</f>
        <v>https://bit.ly/Megabox-ESP</v>
      </c>
      <c r="AR142" s="86" t="s">
        <v>27998</v>
      </c>
      <c r="AS142" s="86"/>
      <c r="AT142" s="86"/>
      <c r="AU142" s="86"/>
      <c r="AV142" s="86"/>
      <c r="AW142" s="96" t="str">
        <f>HYPERLINK("https://t.co/EoYeZw8pgj")</f>
        <v>https://t.co/EoYeZw8pgj</v>
      </c>
      <c r="AX142" s="86" t="b">
        <v>0</v>
      </c>
      <c r="AY142" s="86"/>
      <c r="AZ142" s="86"/>
      <c r="BA142" s="86" t="b">
        <v>0</v>
      </c>
      <c r="BB142" s="86" t="b">
        <v>1</v>
      </c>
      <c r="BC142" s="86" t="b">
        <v>1</v>
      </c>
      <c r="BD142" s="86" t="b">
        <v>0</v>
      </c>
      <c r="BE142" s="86" t="b">
        <v>0</v>
      </c>
      <c r="BF142" s="86" t="b">
        <v>0</v>
      </c>
      <c r="BG142" s="86" t="b">
        <v>0</v>
      </c>
      <c r="BH142" s="86"/>
      <c r="BI142" s="86"/>
      <c r="BJ142" s="86" t="s">
        <v>29134</v>
      </c>
      <c r="BK142" s="86" t="b">
        <v>0</v>
      </c>
      <c r="BL142" s="86"/>
      <c r="BM142" s="86" t="s">
        <v>66</v>
      </c>
      <c r="BN142" s="86" t="s">
        <v>29136</v>
      </c>
      <c r="BO142" s="96" t="str">
        <f>HYPERLINK("https://twitter.com/pablocmara41553")</f>
        <v>https://twitter.com/pablocmara41553</v>
      </c>
      <c r="BP142" s="2"/>
    </row>
    <row r="143" spans="1:68" x14ac:dyDescent="0.25">
      <c r="A143" s="63" t="s">
        <v>348</v>
      </c>
      <c r="B143" s="64"/>
      <c r="C143" s="64"/>
      <c r="D143" s="65"/>
      <c r="E143" s="67"/>
      <c r="F143" s="111" t="str">
        <f>HYPERLINK("https://pbs.twimg.com/profile_images/1681124614037032960/XPllAfBu_normal.png")</f>
        <v>https://pbs.twimg.com/profile_images/1681124614037032960/XPllAfBu_normal.png</v>
      </c>
      <c r="G143" s="64"/>
      <c r="H143" s="68"/>
      <c r="I143" s="69"/>
      <c r="J143" s="69"/>
      <c r="K143" s="68" t="s">
        <v>29276</v>
      </c>
      <c r="L143" s="72"/>
      <c r="M143" s="73"/>
      <c r="N143" s="73"/>
      <c r="O143" s="74"/>
      <c r="P143" s="75"/>
      <c r="Q143" s="75"/>
      <c r="R143" s="102"/>
      <c r="S143" s="102"/>
      <c r="T143" s="102"/>
      <c r="U143" s="102"/>
      <c r="V143" s="48"/>
      <c r="W143" s="48"/>
      <c r="X143" s="48"/>
      <c r="Y143" s="48"/>
      <c r="Z143" s="47"/>
      <c r="AA143" s="70">
        <v>143</v>
      </c>
      <c r="AB143" s="70"/>
      <c r="AC143" s="71"/>
      <c r="AD143" s="86" t="s">
        <v>23782</v>
      </c>
      <c r="AE143" s="94" t="s">
        <v>22864</v>
      </c>
      <c r="AF143" s="86">
        <v>0</v>
      </c>
      <c r="AG143" s="86">
        <v>9</v>
      </c>
      <c r="AH143" s="86">
        <v>3</v>
      </c>
      <c r="AI143" s="86">
        <v>0</v>
      </c>
      <c r="AJ143" s="86">
        <v>2</v>
      </c>
      <c r="AK143" s="86">
        <v>0</v>
      </c>
      <c r="AL143" s="86" t="b">
        <v>0</v>
      </c>
      <c r="AM143" s="89">
        <v>45125.091620370367</v>
      </c>
      <c r="AN143" s="86"/>
      <c r="AO143" s="86"/>
      <c r="AP143" s="86"/>
      <c r="AQ143" s="86"/>
      <c r="AR143" s="86"/>
      <c r="AS143" s="86"/>
      <c r="AT143" s="86"/>
      <c r="AU143" s="86"/>
      <c r="AV143" s="86"/>
      <c r="AW143" s="86"/>
      <c r="AX143" s="86" t="b">
        <v>0</v>
      </c>
      <c r="AY143" s="86"/>
      <c r="AZ143" s="86"/>
      <c r="BA143" s="86" t="b">
        <v>0</v>
      </c>
      <c r="BB143" s="86" t="b">
        <v>1</v>
      </c>
      <c r="BC143" s="86" t="b">
        <v>1</v>
      </c>
      <c r="BD143" s="86" t="b">
        <v>0</v>
      </c>
      <c r="BE143" s="86" t="b">
        <v>0</v>
      </c>
      <c r="BF143" s="86" t="b">
        <v>0</v>
      </c>
      <c r="BG143" s="86" t="b">
        <v>0</v>
      </c>
      <c r="BH143" s="86"/>
      <c r="BI143" s="86"/>
      <c r="BJ143" s="86" t="s">
        <v>29134</v>
      </c>
      <c r="BK143" s="86" t="b">
        <v>0</v>
      </c>
      <c r="BL143" s="86"/>
      <c r="BM143" s="86" t="s">
        <v>66</v>
      </c>
      <c r="BN143" s="86" t="s">
        <v>29136</v>
      </c>
      <c r="BO143" s="96" t="str">
        <f>HYPERLINK("https://twitter.com/sammuelfogaca")</f>
        <v>https://twitter.com/sammuelfogaca</v>
      </c>
      <c r="BP143" s="2"/>
    </row>
    <row r="144" spans="1:68" x14ac:dyDescent="0.25">
      <c r="A144" s="63" t="s">
        <v>349</v>
      </c>
      <c r="B144" s="64"/>
      <c r="C144" s="64"/>
      <c r="D144" s="65"/>
      <c r="E144" s="67"/>
      <c r="F144" s="111" t="str">
        <f>HYPERLINK("https://pbs.twimg.com/profile_images/1683087247522906113/eWgdYO2c_normal.jpg")</f>
        <v>https://pbs.twimg.com/profile_images/1683087247522906113/eWgdYO2c_normal.jpg</v>
      </c>
      <c r="G144" s="64"/>
      <c r="H144" s="68"/>
      <c r="I144" s="69"/>
      <c r="J144" s="69"/>
      <c r="K144" s="68" t="s">
        <v>29277</v>
      </c>
      <c r="L144" s="72"/>
      <c r="M144" s="73"/>
      <c r="N144" s="73"/>
      <c r="O144" s="74"/>
      <c r="P144" s="75"/>
      <c r="Q144" s="75"/>
      <c r="R144" s="102"/>
      <c r="S144" s="102"/>
      <c r="T144" s="102"/>
      <c r="U144" s="102"/>
      <c r="V144" s="48"/>
      <c r="W144" s="48"/>
      <c r="X144" s="48"/>
      <c r="Y144" s="48"/>
      <c r="Z144" s="47"/>
      <c r="AA144" s="70">
        <v>144</v>
      </c>
      <c r="AB144" s="70"/>
      <c r="AC144" s="71"/>
      <c r="AD144" s="86" t="s">
        <v>23783</v>
      </c>
      <c r="AE144" s="94" t="s">
        <v>22865</v>
      </c>
      <c r="AF144" s="86">
        <v>0</v>
      </c>
      <c r="AG144" s="86">
        <v>29</v>
      </c>
      <c r="AH144" s="86">
        <v>146</v>
      </c>
      <c r="AI144" s="86">
        <v>0</v>
      </c>
      <c r="AJ144" s="86">
        <v>10</v>
      </c>
      <c r="AK144" s="86">
        <v>29</v>
      </c>
      <c r="AL144" s="86" t="b">
        <v>0</v>
      </c>
      <c r="AM144" s="89">
        <v>44216.636006944442</v>
      </c>
      <c r="AN144" s="86"/>
      <c r="AO144" s="86" t="s">
        <v>26553</v>
      </c>
      <c r="AP144" s="96" t="str">
        <f>HYPERLINK("https://t.co/KRobpwceiE")</f>
        <v>https://t.co/KRobpwceiE</v>
      </c>
      <c r="AQ144" s="96" t="str">
        <f>HYPERLINK("http://oericaugusto.com.br")</f>
        <v>http://oericaugusto.com.br</v>
      </c>
      <c r="AR144" s="86" t="s">
        <v>27999</v>
      </c>
      <c r="AS144" s="86"/>
      <c r="AT144" s="86"/>
      <c r="AU144" s="86"/>
      <c r="AV144" s="86"/>
      <c r="AW144" s="96" t="str">
        <f>HYPERLINK("https://t.co/KRobpwceiE")</f>
        <v>https://t.co/KRobpwceiE</v>
      </c>
      <c r="AX144" s="86" t="b">
        <v>0</v>
      </c>
      <c r="AY144" s="86"/>
      <c r="AZ144" s="86"/>
      <c r="BA144" s="86" t="b">
        <v>0</v>
      </c>
      <c r="BB144" s="86" t="b">
        <v>1</v>
      </c>
      <c r="BC144" s="86" t="b">
        <v>1</v>
      </c>
      <c r="BD144" s="86" t="b">
        <v>0</v>
      </c>
      <c r="BE144" s="86" t="b">
        <v>0</v>
      </c>
      <c r="BF144" s="86" t="b">
        <v>0</v>
      </c>
      <c r="BG144" s="86" t="b">
        <v>0</v>
      </c>
      <c r="BH144" s="86"/>
      <c r="BI144" s="86"/>
      <c r="BJ144" s="86" t="s">
        <v>29134</v>
      </c>
      <c r="BK144" s="86" t="b">
        <v>0</v>
      </c>
      <c r="BL144" s="86"/>
      <c r="BM144" s="86" t="s">
        <v>66</v>
      </c>
      <c r="BN144" s="86" t="s">
        <v>29136</v>
      </c>
      <c r="BO144" s="96" t="str">
        <f>HYPERLINK("https://twitter.com/oericaugusto")</f>
        <v>https://twitter.com/oericaugusto</v>
      </c>
      <c r="BP144" s="2"/>
    </row>
    <row r="145" spans="1:68" x14ac:dyDescent="0.25">
      <c r="A145" s="63" t="s">
        <v>350</v>
      </c>
      <c r="B145" s="64"/>
      <c r="C145" s="64"/>
      <c r="D145" s="65"/>
      <c r="E145" s="67"/>
      <c r="F145" s="111" t="str">
        <f>HYPERLINK("https://pbs.twimg.com/profile_images/1140932274638217216/5CkcALzu_normal.jpg")</f>
        <v>https://pbs.twimg.com/profile_images/1140932274638217216/5CkcALzu_normal.jpg</v>
      </c>
      <c r="G145" s="64"/>
      <c r="H145" s="68"/>
      <c r="I145" s="69"/>
      <c r="J145" s="69"/>
      <c r="K145" s="68" t="s">
        <v>29278</v>
      </c>
      <c r="L145" s="72"/>
      <c r="M145" s="73"/>
      <c r="N145" s="73"/>
      <c r="O145" s="74"/>
      <c r="P145" s="75"/>
      <c r="Q145" s="75"/>
      <c r="R145" s="102"/>
      <c r="S145" s="102"/>
      <c r="T145" s="102"/>
      <c r="U145" s="102"/>
      <c r="V145" s="48"/>
      <c r="W145" s="48"/>
      <c r="X145" s="48"/>
      <c r="Y145" s="48"/>
      <c r="Z145" s="47"/>
      <c r="AA145" s="70">
        <v>145</v>
      </c>
      <c r="AB145" s="70"/>
      <c r="AC145" s="71"/>
      <c r="AD145" s="86" t="s">
        <v>23784</v>
      </c>
      <c r="AE145" s="94" t="s">
        <v>25271</v>
      </c>
      <c r="AF145" s="86">
        <v>797</v>
      </c>
      <c r="AG145" s="86">
        <v>744</v>
      </c>
      <c r="AH145" s="86">
        <v>7703</v>
      </c>
      <c r="AI145" s="86">
        <v>13</v>
      </c>
      <c r="AJ145" s="86">
        <v>365</v>
      </c>
      <c r="AK145" s="86">
        <v>169</v>
      </c>
      <c r="AL145" s="86" t="b">
        <v>0</v>
      </c>
      <c r="AM145" s="89">
        <v>39912.059108796297</v>
      </c>
      <c r="AN145" s="86" t="s">
        <v>15372</v>
      </c>
      <c r="AO145" s="86" t="s">
        <v>26554</v>
      </c>
      <c r="AP145" s="86"/>
      <c r="AQ145" s="86"/>
      <c r="AR145" s="86"/>
      <c r="AS145" s="86"/>
      <c r="AT145" s="86"/>
      <c r="AU145" s="86"/>
      <c r="AV145" s="86"/>
      <c r="AW145" s="86"/>
      <c r="AX145" s="86" t="b">
        <v>0</v>
      </c>
      <c r="AY145" s="86"/>
      <c r="AZ145" s="86"/>
      <c r="BA145" s="86" t="b">
        <v>1</v>
      </c>
      <c r="BB145" s="86" t="b">
        <v>0</v>
      </c>
      <c r="BC145" s="86" t="b">
        <v>0</v>
      </c>
      <c r="BD145" s="86" t="b">
        <v>0</v>
      </c>
      <c r="BE145" s="86" t="b">
        <v>0</v>
      </c>
      <c r="BF145" s="86" t="b">
        <v>0</v>
      </c>
      <c r="BG145" s="86" t="b">
        <v>0</v>
      </c>
      <c r="BH145" s="96" t="str">
        <f>HYPERLINK("https://pbs.twimg.com/profile_banners/29881959/1555724739")</f>
        <v>https://pbs.twimg.com/profile_banners/29881959/1555724739</v>
      </c>
      <c r="BI145" s="86"/>
      <c r="BJ145" s="86" t="s">
        <v>29134</v>
      </c>
      <c r="BK145" s="86" t="b">
        <v>0</v>
      </c>
      <c r="BL145" s="86"/>
      <c r="BM145" s="86" t="s">
        <v>66</v>
      </c>
      <c r="BN145" s="86" t="s">
        <v>29136</v>
      </c>
      <c r="BO145" s="96" t="str">
        <f>HYPERLINK("https://twitter.com/luizansouto")</f>
        <v>https://twitter.com/luizansouto</v>
      </c>
      <c r="BP145" s="2"/>
    </row>
    <row r="146" spans="1:68" x14ac:dyDescent="0.25">
      <c r="A146" s="63" t="s">
        <v>351</v>
      </c>
      <c r="B146" s="64"/>
      <c r="C146" s="64"/>
      <c r="D146" s="65"/>
      <c r="E146" s="67"/>
      <c r="F146" s="111" t="str">
        <f>HYPERLINK("https://pbs.twimg.com/profile_images/1597661867991760898/0zu-YDon_normal.jpg")</f>
        <v>https://pbs.twimg.com/profile_images/1597661867991760898/0zu-YDon_normal.jpg</v>
      </c>
      <c r="G146" s="64"/>
      <c r="H146" s="68"/>
      <c r="I146" s="69"/>
      <c r="J146" s="69"/>
      <c r="K146" s="68" t="s">
        <v>29279</v>
      </c>
      <c r="L146" s="72"/>
      <c r="M146" s="73"/>
      <c r="N146" s="73"/>
      <c r="O146" s="74"/>
      <c r="P146" s="75"/>
      <c r="Q146" s="75"/>
      <c r="R146" s="102"/>
      <c r="S146" s="102"/>
      <c r="T146" s="102"/>
      <c r="U146" s="102"/>
      <c r="V146" s="48"/>
      <c r="W146" s="48"/>
      <c r="X146" s="48"/>
      <c r="Y146" s="48"/>
      <c r="Z146" s="47"/>
      <c r="AA146" s="70">
        <v>146</v>
      </c>
      <c r="AB146" s="70"/>
      <c r="AC146" s="71"/>
      <c r="AD146" s="86" t="s">
        <v>23785</v>
      </c>
      <c r="AE146" s="94" t="s">
        <v>22866</v>
      </c>
      <c r="AF146" s="86">
        <v>138</v>
      </c>
      <c r="AG146" s="86">
        <v>567</v>
      </c>
      <c r="AH146" s="86">
        <v>791</v>
      </c>
      <c r="AI146" s="86">
        <v>7</v>
      </c>
      <c r="AJ146" s="86">
        <v>1869</v>
      </c>
      <c r="AK146" s="86">
        <v>189</v>
      </c>
      <c r="AL146" s="86" t="b">
        <v>0</v>
      </c>
      <c r="AM146" s="89">
        <v>44513.969490740739</v>
      </c>
      <c r="AN146" s="86" t="s">
        <v>15372</v>
      </c>
      <c r="AO146" s="86" t="s">
        <v>26555</v>
      </c>
      <c r="AP146" s="96" t="str">
        <f>HYPERLINK("https://t.co/JvyRzKTsZE")</f>
        <v>https://t.co/JvyRzKTsZE</v>
      </c>
      <c r="AQ146" s="96" t="str">
        <f>HYPERLINK("https://hotmart.com/pt-br/marketplace/produtos/rebeliaodascryptos/F80805473B")</f>
        <v>https://hotmart.com/pt-br/marketplace/produtos/rebeliaodascryptos/F80805473B</v>
      </c>
      <c r="AR146" s="86" t="s">
        <v>28000</v>
      </c>
      <c r="AS146" s="86"/>
      <c r="AT146" s="86"/>
      <c r="AU146" s="86"/>
      <c r="AV146" s="86"/>
      <c r="AW146" s="96" t="str">
        <f>HYPERLINK("https://t.co/JvyRzKTsZE")</f>
        <v>https://t.co/JvyRzKTsZE</v>
      </c>
      <c r="AX146" s="86" t="b">
        <v>0</v>
      </c>
      <c r="AY146" s="86"/>
      <c r="AZ146" s="86"/>
      <c r="BA146" s="86" t="b">
        <v>0</v>
      </c>
      <c r="BB146" s="86" t="b">
        <v>1</v>
      </c>
      <c r="BC146" s="86" t="b">
        <v>1</v>
      </c>
      <c r="BD146" s="86" t="b">
        <v>0</v>
      </c>
      <c r="BE146" s="86" t="b">
        <v>1</v>
      </c>
      <c r="BF146" s="86" t="b">
        <v>0</v>
      </c>
      <c r="BG146" s="86" t="b">
        <v>0</v>
      </c>
      <c r="BH146" s="96" t="str">
        <f>HYPERLINK("https://pbs.twimg.com/profile_banners/1459660972575047682/1686408231")</f>
        <v>https://pbs.twimg.com/profile_banners/1459660972575047682/1686408231</v>
      </c>
      <c r="BI146" s="86"/>
      <c r="BJ146" s="86" t="s">
        <v>29134</v>
      </c>
      <c r="BK146" s="86" t="b">
        <v>0</v>
      </c>
      <c r="BL146" s="86"/>
      <c r="BM146" s="86" t="s">
        <v>66</v>
      </c>
      <c r="BN146" s="86" t="s">
        <v>29136</v>
      </c>
      <c r="BO146" s="96" t="str">
        <f>HYPERLINK("https://twitter.com/rebeliaocryptos")</f>
        <v>https://twitter.com/rebeliaocryptos</v>
      </c>
      <c r="BP146" s="2"/>
    </row>
    <row r="147" spans="1:68" x14ac:dyDescent="0.25">
      <c r="A147" s="63" t="s">
        <v>352</v>
      </c>
      <c r="B147" s="64"/>
      <c r="C147" s="64"/>
      <c r="D147" s="65"/>
      <c r="E147" s="67"/>
      <c r="F147" s="111" t="str">
        <f>HYPERLINK("https://pbs.twimg.com/profile_images/1617990515345051653/wx99IZ0L_normal.png")</f>
        <v>https://pbs.twimg.com/profile_images/1617990515345051653/wx99IZ0L_normal.png</v>
      </c>
      <c r="G147" s="64"/>
      <c r="H147" s="68"/>
      <c r="I147" s="69"/>
      <c r="J147" s="69"/>
      <c r="K147" s="68" t="s">
        <v>29280</v>
      </c>
      <c r="L147" s="72"/>
      <c r="M147" s="73"/>
      <c r="N147" s="73"/>
      <c r="O147" s="74"/>
      <c r="P147" s="75"/>
      <c r="Q147" s="75"/>
      <c r="R147" s="102"/>
      <c r="S147" s="102"/>
      <c r="T147" s="102"/>
      <c r="U147" s="102"/>
      <c r="V147" s="48"/>
      <c r="W147" s="48"/>
      <c r="X147" s="48"/>
      <c r="Y147" s="48"/>
      <c r="Z147" s="47"/>
      <c r="AA147" s="70">
        <v>147</v>
      </c>
      <c r="AB147" s="70"/>
      <c r="AC147" s="71"/>
      <c r="AD147" s="86" t="s">
        <v>23786</v>
      </c>
      <c r="AE147" s="94" t="s">
        <v>22867</v>
      </c>
      <c r="AF147" s="86">
        <v>5</v>
      </c>
      <c r="AG147" s="86">
        <v>6</v>
      </c>
      <c r="AH147" s="86">
        <v>205</v>
      </c>
      <c r="AI147" s="86">
        <v>0</v>
      </c>
      <c r="AJ147" s="86">
        <v>33</v>
      </c>
      <c r="AK147" s="86">
        <v>193</v>
      </c>
      <c r="AL147" s="86" t="b">
        <v>0</v>
      </c>
      <c r="AM147" s="89">
        <v>44950.8746875</v>
      </c>
      <c r="AN147" s="86" t="s">
        <v>25934</v>
      </c>
      <c r="AO147" s="86" t="s">
        <v>26556</v>
      </c>
      <c r="AP147" s="96" t="str">
        <f>HYPERLINK("https://t.co/DTPqdRPVLP")</f>
        <v>https://t.co/DTPqdRPVLP</v>
      </c>
      <c r="AQ147" s="96" t="str">
        <f>HYPERLINK("http://www.sicoob.com.br/web/sicoobamazonia")</f>
        <v>http://www.sicoob.com.br/web/sicoobamazonia</v>
      </c>
      <c r="AR147" s="86" t="s">
        <v>28001</v>
      </c>
      <c r="AS147" s="86"/>
      <c r="AT147" s="86"/>
      <c r="AU147" s="86"/>
      <c r="AV147" s="86"/>
      <c r="AW147" s="96" t="str">
        <f>HYPERLINK("https://t.co/DTPqdRPVLP")</f>
        <v>https://t.co/DTPqdRPVLP</v>
      </c>
      <c r="AX147" s="86" t="b">
        <v>0</v>
      </c>
      <c r="AY147" s="86"/>
      <c r="AZ147" s="86"/>
      <c r="BA147" s="86" t="b">
        <v>0</v>
      </c>
      <c r="BB147" s="86" t="b">
        <v>1</v>
      </c>
      <c r="BC147" s="86" t="b">
        <v>1</v>
      </c>
      <c r="BD147" s="86" t="b">
        <v>0</v>
      </c>
      <c r="BE147" s="86" t="b">
        <v>0</v>
      </c>
      <c r="BF147" s="86" t="b">
        <v>0</v>
      </c>
      <c r="BG147" s="86" t="b">
        <v>0</v>
      </c>
      <c r="BH147" s="96" t="str">
        <f>HYPERLINK("https://pbs.twimg.com/profile_banners/1617990411460530177/1674651320")</f>
        <v>https://pbs.twimg.com/profile_banners/1617990411460530177/1674651320</v>
      </c>
      <c r="BI147" s="86"/>
      <c r="BJ147" s="86" t="s">
        <v>29134</v>
      </c>
      <c r="BK147" s="86" t="b">
        <v>0</v>
      </c>
      <c r="BL147" s="86"/>
      <c r="BM147" s="86" t="s">
        <v>66</v>
      </c>
      <c r="BN147" s="86" t="s">
        <v>29136</v>
      </c>
      <c r="BO147" s="96" t="str">
        <f>HYPERLINK("https://twitter.com/sicoob_amazonia")</f>
        <v>https://twitter.com/sicoob_amazonia</v>
      </c>
      <c r="BP147" s="2"/>
    </row>
    <row r="148" spans="1:68" x14ac:dyDescent="0.25">
      <c r="A148" s="63" t="s">
        <v>353</v>
      </c>
      <c r="B148" s="64"/>
      <c r="C148" s="64"/>
      <c r="D148" s="65"/>
      <c r="E148" s="67"/>
      <c r="F148" s="111" t="str">
        <f>HYPERLINK("https://pbs.twimg.com/profile_images/1629081518655082497/Oz0HB35o_normal.jpg")</f>
        <v>https://pbs.twimg.com/profile_images/1629081518655082497/Oz0HB35o_normal.jpg</v>
      </c>
      <c r="G148" s="64"/>
      <c r="H148" s="68"/>
      <c r="I148" s="69"/>
      <c r="J148" s="69"/>
      <c r="K148" s="68" t="s">
        <v>29281</v>
      </c>
      <c r="L148" s="72"/>
      <c r="M148" s="73"/>
      <c r="N148" s="73"/>
      <c r="O148" s="74"/>
      <c r="P148" s="75"/>
      <c r="Q148" s="75"/>
      <c r="R148" s="102"/>
      <c r="S148" s="102"/>
      <c r="T148" s="102"/>
      <c r="U148" s="102"/>
      <c r="V148" s="48"/>
      <c r="W148" s="48"/>
      <c r="X148" s="48"/>
      <c r="Y148" s="48"/>
      <c r="Z148" s="47"/>
      <c r="AA148" s="70">
        <v>148</v>
      </c>
      <c r="AB148" s="70"/>
      <c r="AC148" s="71"/>
      <c r="AD148" s="86" t="s">
        <v>23787</v>
      </c>
      <c r="AE148" s="94" t="s">
        <v>22868</v>
      </c>
      <c r="AF148" s="86">
        <v>5</v>
      </c>
      <c r="AG148" s="86">
        <v>7</v>
      </c>
      <c r="AH148" s="86">
        <v>233</v>
      </c>
      <c r="AI148" s="86">
        <v>0</v>
      </c>
      <c r="AJ148" s="86">
        <v>32</v>
      </c>
      <c r="AK148" s="86">
        <v>232</v>
      </c>
      <c r="AL148" s="86" t="b">
        <v>0</v>
      </c>
      <c r="AM148" s="89">
        <v>44769.580613425926</v>
      </c>
      <c r="AN148" s="86" t="s">
        <v>25935</v>
      </c>
      <c r="AO148" s="86" t="s">
        <v>26557</v>
      </c>
      <c r="AP148" s="96" t="str">
        <f>HYPERLINK("https://t.co/5BogRGCXSd")</f>
        <v>https://t.co/5BogRGCXSd</v>
      </c>
      <c r="AQ148" s="96" t="str">
        <f>HYPERLINK("http://www.falavinhanext.com.br")</f>
        <v>http://www.falavinhanext.com.br</v>
      </c>
      <c r="AR148" s="86" t="s">
        <v>28002</v>
      </c>
      <c r="AS148" s="86"/>
      <c r="AT148" s="86"/>
      <c r="AU148" s="86"/>
      <c r="AV148" s="86"/>
      <c r="AW148" s="96" t="str">
        <f>HYPERLINK("https://t.co/5BogRGCXSd")</f>
        <v>https://t.co/5BogRGCXSd</v>
      </c>
      <c r="AX148" s="86" t="b">
        <v>0</v>
      </c>
      <c r="AY148" s="86"/>
      <c r="AZ148" s="86"/>
      <c r="BA148" s="86" t="b">
        <v>0</v>
      </c>
      <c r="BB148" s="86" t="b">
        <v>1</v>
      </c>
      <c r="BC148" s="86" t="b">
        <v>1</v>
      </c>
      <c r="BD148" s="86" t="b">
        <v>0</v>
      </c>
      <c r="BE148" s="86" t="b">
        <v>0</v>
      </c>
      <c r="BF148" s="86" t="b">
        <v>0</v>
      </c>
      <c r="BG148" s="86" t="b">
        <v>0</v>
      </c>
      <c r="BH148" s="96" t="str">
        <f>HYPERLINK("https://pbs.twimg.com/profile_banners/1552291567108489217/1677237084")</f>
        <v>https://pbs.twimg.com/profile_banners/1552291567108489217/1677237084</v>
      </c>
      <c r="BI148" s="86"/>
      <c r="BJ148" s="86" t="s">
        <v>29134</v>
      </c>
      <c r="BK148" s="86" t="b">
        <v>0</v>
      </c>
      <c r="BL148" s="86"/>
      <c r="BM148" s="86" t="s">
        <v>66</v>
      </c>
      <c r="BN148" s="86" t="s">
        <v>29136</v>
      </c>
      <c r="BO148" s="96" t="str">
        <f>HYPERLINK("https://twitter.com/falavinhanext")</f>
        <v>https://twitter.com/falavinhanext</v>
      </c>
      <c r="BP148" s="2"/>
    </row>
    <row r="149" spans="1:68" x14ac:dyDescent="0.25">
      <c r="A149" s="63" t="s">
        <v>354</v>
      </c>
      <c r="B149" s="64"/>
      <c r="C149" s="64"/>
      <c r="D149" s="65"/>
      <c r="E149" s="67"/>
      <c r="F149" s="111" t="str">
        <f>HYPERLINK("https://pbs.twimg.com/profile_images/1656595686425542657/qY1jqPZ1_normal.jpg")</f>
        <v>https://pbs.twimg.com/profile_images/1656595686425542657/qY1jqPZ1_normal.jpg</v>
      </c>
      <c r="G149" s="64"/>
      <c r="H149" s="68"/>
      <c r="I149" s="69"/>
      <c r="J149" s="69"/>
      <c r="K149" s="68" t="s">
        <v>29282</v>
      </c>
      <c r="L149" s="72"/>
      <c r="M149" s="73"/>
      <c r="N149" s="73"/>
      <c r="O149" s="74"/>
      <c r="P149" s="75"/>
      <c r="Q149" s="75"/>
      <c r="R149" s="102"/>
      <c r="S149" s="102"/>
      <c r="T149" s="102"/>
      <c r="U149" s="102"/>
      <c r="V149" s="48"/>
      <c r="W149" s="48"/>
      <c r="X149" s="48"/>
      <c r="Y149" s="48"/>
      <c r="Z149" s="47"/>
      <c r="AA149" s="70">
        <v>149</v>
      </c>
      <c r="AB149" s="70"/>
      <c r="AC149" s="71"/>
      <c r="AD149" s="86" t="s">
        <v>23788</v>
      </c>
      <c r="AE149" s="94" t="s">
        <v>22869</v>
      </c>
      <c r="AF149" s="86">
        <v>2</v>
      </c>
      <c r="AG149" s="86">
        <v>26</v>
      </c>
      <c r="AH149" s="86">
        <v>97</v>
      </c>
      <c r="AI149" s="86">
        <v>0</v>
      </c>
      <c r="AJ149" s="86">
        <v>105</v>
      </c>
      <c r="AK149" s="86">
        <v>95</v>
      </c>
      <c r="AL149" s="86" t="b">
        <v>0</v>
      </c>
      <c r="AM149" s="89">
        <v>45057.349282407406</v>
      </c>
      <c r="AN149" s="86"/>
      <c r="AO149" s="86"/>
      <c r="AP149" s="86"/>
      <c r="AQ149" s="86"/>
      <c r="AR149" s="86"/>
      <c r="AS149" s="86"/>
      <c r="AT149" s="86"/>
      <c r="AU149" s="86"/>
      <c r="AV149" s="86">
        <v>1.67686846567038E+18</v>
      </c>
      <c r="AW149" s="86"/>
      <c r="AX149" s="86" t="b">
        <v>0</v>
      </c>
      <c r="AY149" s="86"/>
      <c r="AZ149" s="86"/>
      <c r="BA149" s="86" t="b">
        <v>0</v>
      </c>
      <c r="BB149" s="86" t="b">
        <v>1</v>
      </c>
      <c r="BC149" s="86" t="b">
        <v>1</v>
      </c>
      <c r="BD149" s="86" t="b">
        <v>0</v>
      </c>
      <c r="BE149" s="86" t="b">
        <v>0</v>
      </c>
      <c r="BF149" s="86" t="b">
        <v>0</v>
      </c>
      <c r="BG149" s="86" t="b">
        <v>0</v>
      </c>
      <c r="BH149" s="86"/>
      <c r="BI149" s="86"/>
      <c r="BJ149" s="86" t="s">
        <v>29134</v>
      </c>
      <c r="BK149" s="86" t="b">
        <v>0</v>
      </c>
      <c r="BL149" s="86"/>
      <c r="BM149" s="86" t="s">
        <v>66</v>
      </c>
      <c r="BN149" s="86" t="s">
        <v>29136</v>
      </c>
      <c r="BO149" s="96" t="str">
        <f>HYPERLINK("https://twitter.com/servicesvb30732")</f>
        <v>https://twitter.com/servicesvb30732</v>
      </c>
      <c r="BP149" s="2"/>
    </row>
    <row r="150" spans="1:68" x14ac:dyDescent="0.25">
      <c r="A150" s="63" t="s">
        <v>355</v>
      </c>
      <c r="B150" s="64"/>
      <c r="C150" s="64"/>
      <c r="D150" s="65"/>
      <c r="E150" s="67"/>
      <c r="F150" s="111" t="str">
        <f>HYPERLINK("https://pbs.twimg.com/profile_images/825496635/cherto_selo_normal.jpg")</f>
        <v>https://pbs.twimg.com/profile_images/825496635/cherto_selo_normal.jpg</v>
      </c>
      <c r="G150" s="64"/>
      <c r="H150" s="68"/>
      <c r="I150" s="69"/>
      <c r="J150" s="69"/>
      <c r="K150" s="68" t="s">
        <v>29283</v>
      </c>
      <c r="L150" s="72"/>
      <c r="M150" s="73"/>
      <c r="N150" s="73"/>
      <c r="O150" s="74"/>
      <c r="P150" s="75"/>
      <c r="Q150" s="75"/>
      <c r="R150" s="102"/>
      <c r="S150" s="102"/>
      <c r="T150" s="102"/>
      <c r="U150" s="102"/>
      <c r="V150" s="48"/>
      <c r="W150" s="48"/>
      <c r="X150" s="48"/>
      <c r="Y150" s="48"/>
      <c r="Z150" s="47"/>
      <c r="AA150" s="70">
        <v>150</v>
      </c>
      <c r="AB150" s="70"/>
      <c r="AC150" s="71"/>
      <c r="AD150" s="86" t="s">
        <v>23789</v>
      </c>
      <c r="AE150" s="94" t="s">
        <v>25272</v>
      </c>
      <c r="AF150" s="86">
        <v>1263</v>
      </c>
      <c r="AG150" s="86">
        <v>42</v>
      </c>
      <c r="AH150" s="86">
        <v>5318</v>
      </c>
      <c r="AI150" s="86">
        <v>34</v>
      </c>
      <c r="AJ150" s="86">
        <v>19</v>
      </c>
      <c r="AK150" s="86">
        <v>595</v>
      </c>
      <c r="AL150" s="86" t="b">
        <v>0</v>
      </c>
      <c r="AM150" s="89">
        <v>39907.870497685188</v>
      </c>
      <c r="AN150" s="86" t="s">
        <v>25936</v>
      </c>
      <c r="AO150" s="86" t="s">
        <v>26558</v>
      </c>
      <c r="AP150" s="96" t="str">
        <f>HYPERLINK("https://t.co/yzqV8gaFYW")</f>
        <v>https://t.co/yzqV8gaFYW</v>
      </c>
      <c r="AQ150" s="96" t="str">
        <f>HYPERLINK("http://www.cherto.com.br")</f>
        <v>http://www.cherto.com.br</v>
      </c>
      <c r="AR150" s="86" t="s">
        <v>28003</v>
      </c>
      <c r="AS150" s="86"/>
      <c r="AT150" s="86"/>
      <c r="AU150" s="86"/>
      <c r="AV150" s="86"/>
      <c r="AW150" s="96" t="str">
        <f>HYPERLINK("https://t.co/yzqV8gaFYW")</f>
        <v>https://t.co/yzqV8gaFYW</v>
      </c>
      <c r="AX150" s="86" t="b">
        <v>0</v>
      </c>
      <c r="AY150" s="86"/>
      <c r="AZ150" s="86"/>
      <c r="BA150" s="86" t="b">
        <v>0</v>
      </c>
      <c r="BB150" s="86" t="b">
        <v>1</v>
      </c>
      <c r="BC150" s="86" t="b">
        <v>0</v>
      </c>
      <c r="BD150" s="86" t="b">
        <v>0</v>
      </c>
      <c r="BE150" s="86" t="b">
        <v>0</v>
      </c>
      <c r="BF150" s="86" t="b">
        <v>0</v>
      </c>
      <c r="BG150" s="86" t="b">
        <v>0</v>
      </c>
      <c r="BH150" s="96" t="str">
        <f>HYPERLINK("https://pbs.twimg.com/profile_banners/28868406/1663347493")</f>
        <v>https://pbs.twimg.com/profile_banners/28868406/1663347493</v>
      </c>
      <c r="BI150" s="86"/>
      <c r="BJ150" s="86" t="s">
        <v>29134</v>
      </c>
      <c r="BK150" s="86" t="b">
        <v>0</v>
      </c>
      <c r="BL150" s="86"/>
      <c r="BM150" s="86" t="s">
        <v>66</v>
      </c>
      <c r="BN150" s="86" t="s">
        <v>29136</v>
      </c>
      <c r="BO150" s="96" t="str">
        <f>HYPERLINK("https://twitter.com/cherto")</f>
        <v>https://twitter.com/cherto</v>
      </c>
      <c r="BP150" s="2"/>
    </row>
    <row r="151" spans="1:68" x14ac:dyDescent="0.25">
      <c r="A151" s="63" t="s">
        <v>1631</v>
      </c>
      <c r="B151" s="64"/>
      <c r="C151" s="64"/>
      <c r="D151" s="65"/>
      <c r="E151" s="67"/>
      <c r="F151" s="111" t="str">
        <f>HYPERLINK("https://pbs.twimg.com/profile_images/816367032081842176/37kIwP-T_normal.jpg")</f>
        <v>https://pbs.twimg.com/profile_images/816367032081842176/37kIwP-T_normal.jpg</v>
      </c>
      <c r="G151" s="64"/>
      <c r="H151" s="68"/>
      <c r="I151" s="69"/>
      <c r="J151" s="69"/>
      <c r="K151" s="68" t="s">
        <v>29284</v>
      </c>
      <c r="L151" s="72"/>
      <c r="M151" s="73"/>
      <c r="N151" s="73"/>
      <c r="O151" s="74"/>
      <c r="P151" s="75"/>
      <c r="Q151" s="75"/>
      <c r="R151" s="102"/>
      <c r="S151" s="102"/>
      <c r="T151" s="102"/>
      <c r="U151" s="102"/>
      <c r="V151" s="48"/>
      <c r="W151" s="48"/>
      <c r="X151" s="48"/>
      <c r="Y151" s="48"/>
      <c r="Z151" s="47"/>
      <c r="AA151" s="70">
        <v>151</v>
      </c>
      <c r="AB151" s="70"/>
      <c r="AC151" s="71"/>
      <c r="AD151" s="86" t="s">
        <v>23790</v>
      </c>
      <c r="AE151" s="94" t="s">
        <v>25273</v>
      </c>
      <c r="AF151" s="86">
        <v>3373</v>
      </c>
      <c r="AG151" s="86">
        <v>11</v>
      </c>
      <c r="AH151" s="86">
        <v>8647</v>
      </c>
      <c r="AI151" s="86">
        <v>116</v>
      </c>
      <c r="AJ151" s="86">
        <v>855</v>
      </c>
      <c r="AK151" s="86">
        <v>427</v>
      </c>
      <c r="AL151" s="86" t="b">
        <v>0</v>
      </c>
      <c r="AM151" s="89">
        <v>39907.714641203704</v>
      </c>
      <c r="AN151" s="86" t="s">
        <v>15246</v>
      </c>
      <c r="AO151" s="86" t="s">
        <v>26559</v>
      </c>
      <c r="AP151" s="96" t="str">
        <f>HYPERLINK("https://t.co/9NWr5dynQd")</f>
        <v>https://t.co/9NWr5dynQd</v>
      </c>
      <c r="AQ151" s="96" t="str">
        <f>HYPERLINK("http://www.cherto.com.br")</f>
        <v>http://www.cherto.com.br</v>
      </c>
      <c r="AR151" s="86" t="s">
        <v>28003</v>
      </c>
      <c r="AS151" s="86"/>
      <c r="AT151" s="86"/>
      <c r="AU151" s="86"/>
      <c r="AV151" s="86"/>
      <c r="AW151" s="96" t="str">
        <f>HYPERLINK("https://t.co/9NWr5dynQd")</f>
        <v>https://t.co/9NWr5dynQd</v>
      </c>
      <c r="AX151" s="86" t="b">
        <v>0</v>
      </c>
      <c r="AY151" s="86"/>
      <c r="AZ151" s="86"/>
      <c r="BA151" s="86" t="b">
        <v>0</v>
      </c>
      <c r="BB151" s="86" t="b">
        <v>0</v>
      </c>
      <c r="BC151" s="86" t="b">
        <v>0</v>
      </c>
      <c r="BD151" s="86" t="b">
        <v>0</v>
      </c>
      <c r="BE151" s="86" t="b">
        <v>0</v>
      </c>
      <c r="BF151" s="86" t="b">
        <v>0</v>
      </c>
      <c r="BG151" s="86" t="b">
        <v>0</v>
      </c>
      <c r="BH151" s="96" t="str">
        <f>HYPERLINK("https://pbs.twimg.com/profile_banners/28829295/1432495327")</f>
        <v>https://pbs.twimg.com/profile_banners/28829295/1432495327</v>
      </c>
      <c r="BI151" s="86"/>
      <c r="BJ151" s="86" t="s">
        <v>29134</v>
      </c>
      <c r="BK151" s="86" t="b">
        <v>0</v>
      </c>
      <c r="BL151" s="86"/>
      <c r="BM151" s="86" t="s">
        <v>65</v>
      </c>
      <c r="BN151" s="86" t="s">
        <v>29136</v>
      </c>
      <c r="BO151" s="96" t="str">
        <f>HYPERLINK("https://twitter.com/marcelocherto")</f>
        <v>https://twitter.com/marcelocherto</v>
      </c>
      <c r="BP151" s="2"/>
    </row>
    <row r="152" spans="1:68" x14ac:dyDescent="0.25">
      <c r="A152" s="63" t="s">
        <v>356</v>
      </c>
      <c r="B152" s="64"/>
      <c r="C152" s="64"/>
      <c r="D152" s="65"/>
      <c r="E152" s="67"/>
      <c r="F152" s="111" t="str">
        <f>HYPERLINK("https://pbs.twimg.com/profile_images/1310191535040933891/ehq7gw_k_normal.jpg")</f>
        <v>https://pbs.twimg.com/profile_images/1310191535040933891/ehq7gw_k_normal.jpg</v>
      </c>
      <c r="G152" s="64"/>
      <c r="H152" s="68"/>
      <c r="I152" s="69"/>
      <c r="J152" s="69"/>
      <c r="K152" s="68" t="s">
        <v>29285</v>
      </c>
      <c r="L152" s="72"/>
      <c r="M152" s="73"/>
      <c r="N152" s="73"/>
      <c r="O152" s="74"/>
      <c r="P152" s="75"/>
      <c r="Q152" s="75"/>
      <c r="R152" s="102"/>
      <c r="S152" s="102"/>
      <c r="T152" s="102"/>
      <c r="U152" s="102"/>
      <c r="V152" s="48"/>
      <c r="W152" s="48"/>
      <c r="X152" s="48"/>
      <c r="Y152" s="48"/>
      <c r="Z152" s="47"/>
      <c r="AA152" s="70">
        <v>152</v>
      </c>
      <c r="AB152" s="70"/>
      <c r="AC152" s="71"/>
      <c r="AD152" s="86" t="s">
        <v>23791</v>
      </c>
      <c r="AE152" s="94" t="s">
        <v>25274</v>
      </c>
      <c r="AF152" s="86">
        <v>3321</v>
      </c>
      <c r="AG152" s="86">
        <v>20</v>
      </c>
      <c r="AH152" s="86">
        <v>312</v>
      </c>
      <c r="AI152" s="86">
        <v>50</v>
      </c>
      <c r="AJ152" s="86">
        <v>17</v>
      </c>
      <c r="AK152" s="86">
        <v>125</v>
      </c>
      <c r="AL152" s="86" t="b">
        <v>0</v>
      </c>
      <c r="AM152" s="89">
        <v>40044.839375000003</v>
      </c>
      <c r="AN152" s="86" t="s">
        <v>25937</v>
      </c>
      <c r="AO152" s="86" t="s">
        <v>26560</v>
      </c>
      <c r="AP152" s="96" t="str">
        <f>HYPERLINK("https://t.co/TzH03RKkKy")</f>
        <v>https://t.co/TzH03RKkKy</v>
      </c>
      <c r="AQ152" s="96" t="str">
        <f>HYPERLINK("http://www.vitorvalim.com.br")</f>
        <v>http://www.vitorvalim.com.br</v>
      </c>
      <c r="AR152" s="86" t="s">
        <v>28004</v>
      </c>
      <c r="AS152" s="86"/>
      <c r="AT152" s="86"/>
      <c r="AU152" s="86"/>
      <c r="AV152" s="86"/>
      <c r="AW152" s="96" t="str">
        <f>HYPERLINK("https://t.co/TzH03RKkKy")</f>
        <v>https://t.co/TzH03RKkKy</v>
      </c>
      <c r="AX152" s="86" t="b">
        <v>0</v>
      </c>
      <c r="AY152" s="86"/>
      <c r="AZ152" s="86"/>
      <c r="BA152" s="86" t="b">
        <v>0</v>
      </c>
      <c r="BB152" s="86" t="b">
        <v>1</v>
      </c>
      <c r="BC152" s="86" t="b">
        <v>0</v>
      </c>
      <c r="BD152" s="86" t="b">
        <v>0</v>
      </c>
      <c r="BE152" s="86" t="b">
        <v>0</v>
      </c>
      <c r="BF152" s="86" t="b">
        <v>0</v>
      </c>
      <c r="BG152" s="86" t="b">
        <v>0</v>
      </c>
      <c r="BH152" s="96" t="str">
        <f>HYPERLINK("https://pbs.twimg.com/profile_banners/67106032/1607725516")</f>
        <v>https://pbs.twimg.com/profile_banners/67106032/1607725516</v>
      </c>
      <c r="BI152" s="86"/>
      <c r="BJ152" s="86" t="s">
        <v>29134</v>
      </c>
      <c r="BK152" s="86" t="b">
        <v>0</v>
      </c>
      <c r="BL152" s="86"/>
      <c r="BM152" s="86" t="s">
        <v>66</v>
      </c>
      <c r="BN152" s="86" t="s">
        <v>29136</v>
      </c>
      <c r="BO152" s="96" t="str">
        <f>HYPERLINK("https://twitter.com/vitorvalim")</f>
        <v>https://twitter.com/vitorvalim</v>
      </c>
      <c r="BP152" s="2"/>
    </row>
    <row r="153" spans="1:68" x14ac:dyDescent="0.25">
      <c r="A153" s="63" t="s">
        <v>357</v>
      </c>
      <c r="B153" s="64"/>
      <c r="C153" s="64"/>
      <c r="D153" s="65"/>
      <c r="E153" s="67"/>
      <c r="F153" s="111" t="str">
        <f>HYPERLINK("https://pbs.twimg.com/profile_images/1497316662311362566/prJeyIiX_normal.jpg")</f>
        <v>https://pbs.twimg.com/profile_images/1497316662311362566/prJeyIiX_normal.jpg</v>
      </c>
      <c r="G153" s="64"/>
      <c r="H153" s="68"/>
      <c r="I153" s="69"/>
      <c r="J153" s="69"/>
      <c r="K153" s="68" t="s">
        <v>29286</v>
      </c>
      <c r="L153" s="72"/>
      <c r="M153" s="73"/>
      <c r="N153" s="73"/>
      <c r="O153" s="74"/>
      <c r="P153" s="75"/>
      <c r="Q153" s="75"/>
      <c r="R153" s="102"/>
      <c r="S153" s="102"/>
      <c r="T153" s="102"/>
      <c r="U153" s="102"/>
      <c r="V153" s="48"/>
      <c r="W153" s="48"/>
      <c r="X153" s="48"/>
      <c r="Y153" s="48"/>
      <c r="Z153" s="47"/>
      <c r="AA153" s="70">
        <v>153</v>
      </c>
      <c r="AB153" s="70"/>
      <c r="AC153" s="71"/>
      <c r="AD153" s="86" t="s">
        <v>23792</v>
      </c>
      <c r="AE153" s="94" t="s">
        <v>25275</v>
      </c>
      <c r="AF153" s="86">
        <v>910</v>
      </c>
      <c r="AG153" s="86">
        <v>131</v>
      </c>
      <c r="AH153" s="86">
        <v>2670</v>
      </c>
      <c r="AI153" s="86">
        <v>15</v>
      </c>
      <c r="AJ153" s="86">
        <v>130</v>
      </c>
      <c r="AK153" s="86">
        <v>947</v>
      </c>
      <c r="AL153" s="86" t="b">
        <v>0</v>
      </c>
      <c r="AM153" s="89">
        <v>40019.099340277775</v>
      </c>
      <c r="AN153" s="86" t="s">
        <v>15234</v>
      </c>
      <c r="AO153" s="86" t="s">
        <v>26561</v>
      </c>
      <c r="AP153" s="96" t="str">
        <f>HYPERLINK("https://t.co/V65KxYYnA0")</f>
        <v>https://t.co/V65KxYYnA0</v>
      </c>
      <c r="AQ153" s="96" t="str">
        <f>HYPERLINK("https://enp.vc/site-twitter")</f>
        <v>https://enp.vc/site-twitter</v>
      </c>
      <c r="AR153" s="86" t="s">
        <v>28005</v>
      </c>
      <c r="AS153" s="86"/>
      <c r="AT153" s="86"/>
      <c r="AU153" s="86"/>
      <c r="AV153" s="86"/>
      <c r="AW153" s="96" t="str">
        <f>HYPERLINK("https://t.co/V65KxYYnA0")</f>
        <v>https://t.co/V65KxYYnA0</v>
      </c>
      <c r="AX153" s="86" t="b">
        <v>0</v>
      </c>
      <c r="AY153" s="86"/>
      <c r="AZ153" s="86"/>
      <c r="BA153" s="86" t="b">
        <v>0</v>
      </c>
      <c r="BB153" s="86" t="b">
        <v>1</v>
      </c>
      <c r="BC153" s="86" t="b">
        <v>0</v>
      </c>
      <c r="BD153" s="86" t="b">
        <v>0</v>
      </c>
      <c r="BE153" s="86" t="b">
        <v>1</v>
      </c>
      <c r="BF153" s="86" t="b">
        <v>0</v>
      </c>
      <c r="BG153" s="86" t="b">
        <v>0</v>
      </c>
      <c r="BH153" s="86"/>
      <c r="BI153" s="86"/>
      <c r="BJ153" s="86" t="s">
        <v>29134</v>
      </c>
      <c r="BK153" s="86" t="b">
        <v>0</v>
      </c>
      <c r="BL153" s="86"/>
      <c r="BM153" s="86" t="s">
        <v>66</v>
      </c>
      <c r="BN153" s="86" t="s">
        <v>29136</v>
      </c>
      <c r="BO153" s="96" t="str">
        <f>HYPERLINK("https://twitter.com/ecomnapratica")</f>
        <v>https://twitter.com/ecomnapratica</v>
      </c>
      <c r="BP153" s="2"/>
    </row>
    <row r="154" spans="1:68" x14ac:dyDescent="0.25">
      <c r="A154" s="63" t="s">
        <v>358</v>
      </c>
      <c r="B154" s="64"/>
      <c r="C154" s="64"/>
      <c r="D154" s="65"/>
      <c r="E154" s="67"/>
      <c r="F154" s="111" t="str">
        <f>HYPERLINK("https://pbs.twimg.com/profile_images/1674181815635005441/VeU6SuN8_normal.jpg")</f>
        <v>https://pbs.twimg.com/profile_images/1674181815635005441/VeU6SuN8_normal.jpg</v>
      </c>
      <c r="G154" s="64"/>
      <c r="H154" s="68"/>
      <c r="I154" s="69"/>
      <c r="J154" s="69"/>
      <c r="K154" s="68" t="s">
        <v>29287</v>
      </c>
      <c r="L154" s="72"/>
      <c r="M154" s="73"/>
      <c r="N154" s="73"/>
      <c r="O154" s="74"/>
      <c r="P154" s="75"/>
      <c r="Q154" s="75"/>
      <c r="R154" s="102"/>
      <c r="S154" s="102"/>
      <c r="T154" s="102"/>
      <c r="U154" s="102"/>
      <c r="V154" s="48"/>
      <c r="W154" s="48"/>
      <c r="X154" s="48"/>
      <c r="Y154" s="48"/>
      <c r="Z154" s="47"/>
      <c r="AA154" s="70">
        <v>154</v>
      </c>
      <c r="AB154" s="70"/>
      <c r="AC154" s="71"/>
      <c r="AD154" s="86" t="s">
        <v>23793</v>
      </c>
      <c r="AE154" s="94" t="s">
        <v>22870</v>
      </c>
      <c r="AF154" s="86">
        <v>1</v>
      </c>
      <c r="AG154" s="86">
        <v>0</v>
      </c>
      <c r="AH154" s="86">
        <v>2</v>
      </c>
      <c r="AI154" s="86">
        <v>0</v>
      </c>
      <c r="AJ154" s="86">
        <v>0</v>
      </c>
      <c r="AK154" s="86">
        <v>2</v>
      </c>
      <c r="AL154" s="86" t="b">
        <v>0</v>
      </c>
      <c r="AM154" s="89">
        <v>45105.933020833334</v>
      </c>
      <c r="AN154" s="86"/>
      <c r="AO154" s="86" t="s">
        <v>26562</v>
      </c>
      <c r="AP154" s="96" t="str">
        <f>HYPERLINK("https://t.co/g0Suk0tVJl")</f>
        <v>https://t.co/g0Suk0tVJl</v>
      </c>
      <c r="AQ154" s="96" t="str">
        <f>HYPERLINK("http://www.degusteadega.com")</f>
        <v>http://www.degusteadega.com</v>
      </c>
      <c r="AR154" s="86" t="s">
        <v>28006</v>
      </c>
      <c r="AS154" s="86"/>
      <c r="AT154" s="86"/>
      <c r="AU154" s="86"/>
      <c r="AV154" s="86"/>
      <c r="AW154" s="96" t="str">
        <f>HYPERLINK("https://t.co/g0Suk0tVJl")</f>
        <v>https://t.co/g0Suk0tVJl</v>
      </c>
      <c r="AX154" s="86" t="b">
        <v>0</v>
      </c>
      <c r="AY154" s="86"/>
      <c r="AZ154" s="86"/>
      <c r="BA154" s="86" t="b">
        <v>0</v>
      </c>
      <c r="BB154" s="86" t="b">
        <v>1</v>
      </c>
      <c r="BC154" s="86" t="b">
        <v>1</v>
      </c>
      <c r="BD154" s="86" t="b">
        <v>0</v>
      </c>
      <c r="BE154" s="86" t="b">
        <v>0</v>
      </c>
      <c r="BF154" s="86" t="b">
        <v>0</v>
      </c>
      <c r="BG154" s="86" t="b">
        <v>0</v>
      </c>
      <c r="BH154" s="96" t="str">
        <f>HYPERLINK("https://pbs.twimg.com/profile_banners/1674181724299833345/1687996214")</f>
        <v>https://pbs.twimg.com/profile_banners/1674181724299833345/1687996214</v>
      </c>
      <c r="BI154" s="86"/>
      <c r="BJ154" s="86" t="s">
        <v>29134</v>
      </c>
      <c r="BK154" s="86" t="b">
        <v>0</v>
      </c>
      <c r="BL154" s="86"/>
      <c r="BM154" s="86" t="s">
        <v>66</v>
      </c>
      <c r="BN154" s="86" t="s">
        <v>29136</v>
      </c>
      <c r="BO154" s="96" t="str">
        <f>HYPERLINK("https://twitter.com/degusteadega")</f>
        <v>https://twitter.com/degusteadega</v>
      </c>
      <c r="BP154" s="2"/>
    </row>
    <row r="155" spans="1:68" x14ac:dyDescent="0.25">
      <c r="A155" s="63" t="s">
        <v>359</v>
      </c>
      <c r="B155" s="64"/>
      <c r="C155" s="64"/>
      <c r="D155" s="65"/>
      <c r="E155" s="67"/>
      <c r="F155" s="111" t="str">
        <f>HYPERLINK("https://pbs.twimg.com/profile_images/1696180302802984960/LnThHUb__normal.jpg")</f>
        <v>https://pbs.twimg.com/profile_images/1696180302802984960/LnThHUb__normal.jpg</v>
      </c>
      <c r="G155" s="64"/>
      <c r="H155" s="68"/>
      <c r="I155" s="69"/>
      <c r="J155" s="69"/>
      <c r="K155" s="68" t="s">
        <v>29288</v>
      </c>
      <c r="L155" s="72"/>
      <c r="M155" s="73"/>
      <c r="N155" s="73"/>
      <c r="O155" s="74"/>
      <c r="P155" s="75"/>
      <c r="Q155" s="75"/>
      <c r="R155" s="102"/>
      <c r="S155" s="102"/>
      <c r="T155" s="102"/>
      <c r="U155" s="102"/>
      <c r="V155" s="48"/>
      <c r="W155" s="48"/>
      <c r="X155" s="48"/>
      <c r="Y155" s="48"/>
      <c r="Z155" s="47"/>
      <c r="AA155" s="70">
        <v>155</v>
      </c>
      <c r="AB155" s="70"/>
      <c r="AC155" s="71"/>
      <c r="AD155" s="86" t="s">
        <v>23794</v>
      </c>
      <c r="AE155" s="94" t="s">
        <v>22871</v>
      </c>
      <c r="AF155" s="86">
        <v>2</v>
      </c>
      <c r="AG155" s="86">
        <v>2</v>
      </c>
      <c r="AH155" s="86">
        <v>3</v>
      </c>
      <c r="AI155" s="86">
        <v>0</v>
      </c>
      <c r="AJ155" s="86">
        <v>4</v>
      </c>
      <c r="AK155" s="86">
        <v>3</v>
      </c>
      <c r="AL155" s="86" t="b">
        <v>0</v>
      </c>
      <c r="AM155" s="89">
        <v>45166.637407407405</v>
      </c>
      <c r="AN155" s="86" t="s">
        <v>25938</v>
      </c>
      <c r="AO155" s="86" t="s">
        <v>26563</v>
      </c>
      <c r="AP155" s="96" t="str">
        <f>HYPERLINK("https://t.co/fce5XbgNwW")</f>
        <v>https://t.co/fce5XbgNwW</v>
      </c>
      <c r="AQ155" s="96" t="str">
        <f>HYPERLINK("http://www.instagram.com/striglab")</f>
        <v>http://www.instagram.com/striglab</v>
      </c>
      <c r="AR155" s="86" t="s">
        <v>28007</v>
      </c>
      <c r="AS155" s="86"/>
      <c r="AT155" s="86"/>
      <c r="AU155" s="86"/>
      <c r="AV155" s="86"/>
      <c r="AW155" s="96" t="str">
        <f>HYPERLINK("https://t.co/fce5XbgNwW")</f>
        <v>https://t.co/fce5XbgNwW</v>
      </c>
      <c r="AX155" s="86" t="b">
        <v>0</v>
      </c>
      <c r="AY155" s="86"/>
      <c r="AZ155" s="86"/>
      <c r="BA155" s="86" t="b">
        <v>0</v>
      </c>
      <c r="BB155" s="86" t="b">
        <v>1</v>
      </c>
      <c r="BC155" s="86" t="b">
        <v>1</v>
      </c>
      <c r="BD155" s="86" t="b">
        <v>0</v>
      </c>
      <c r="BE155" s="86" t="b">
        <v>0</v>
      </c>
      <c r="BF155" s="86" t="b">
        <v>0</v>
      </c>
      <c r="BG155" s="86" t="b">
        <v>0</v>
      </c>
      <c r="BH155" s="96" t="str">
        <f>HYPERLINK("https://pbs.twimg.com/profile_banners/1696180174105059328/1694471199")</f>
        <v>https://pbs.twimg.com/profile_banners/1696180174105059328/1694471199</v>
      </c>
      <c r="BI155" s="86"/>
      <c r="BJ155" s="86" t="s">
        <v>29134</v>
      </c>
      <c r="BK155" s="86" t="b">
        <v>0</v>
      </c>
      <c r="BL155" s="86"/>
      <c r="BM155" s="86" t="s">
        <v>66</v>
      </c>
      <c r="BN155" s="86" t="s">
        <v>29136</v>
      </c>
      <c r="BO155" s="96" t="str">
        <f>HYPERLINK("https://twitter.com/striglab")</f>
        <v>https://twitter.com/striglab</v>
      </c>
      <c r="BP155" s="2"/>
    </row>
    <row r="156" spans="1:68" x14ac:dyDescent="0.25">
      <c r="A156" s="63" t="s">
        <v>360</v>
      </c>
      <c r="B156" s="64"/>
      <c r="C156" s="64"/>
      <c r="D156" s="65"/>
      <c r="E156" s="67"/>
      <c r="F156" s="111" t="str">
        <f>HYPERLINK("https://pbs.twimg.com/profile_images/1538958247343931392/Q6o8Fcdj_normal.jpg")</f>
        <v>https://pbs.twimg.com/profile_images/1538958247343931392/Q6o8Fcdj_normal.jpg</v>
      </c>
      <c r="G156" s="64"/>
      <c r="H156" s="68"/>
      <c r="I156" s="69"/>
      <c r="J156" s="69"/>
      <c r="K156" s="68" t="s">
        <v>29289</v>
      </c>
      <c r="L156" s="72"/>
      <c r="M156" s="73"/>
      <c r="N156" s="73"/>
      <c r="O156" s="74"/>
      <c r="P156" s="75"/>
      <c r="Q156" s="75"/>
      <c r="R156" s="102"/>
      <c r="S156" s="102"/>
      <c r="T156" s="102"/>
      <c r="U156" s="102"/>
      <c r="V156" s="48"/>
      <c r="W156" s="48"/>
      <c r="X156" s="48"/>
      <c r="Y156" s="48"/>
      <c r="Z156" s="47"/>
      <c r="AA156" s="70">
        <v>156</v>
      </c>
      <c r="AB156" s="70"/>
      <c r="AC156" s="71"/>
      <c r="AD156" s="86" t="s">
        <v>23795</v>
      </c>
      <c r="AE156" s="94" t="s">
        <v>22872</v>
      </c>
      <c r="AF156" s="86">
        <v>345</v>
      </c>
      <c r="AG156" s="86">
        <v>8</v>
      </c>
      <c r="AH156" s="86">
        <v>2727</v>
      </c>
      <c r="AI156" s="86">
        <v>0</v>
      </c>
      <c r="AJ156" s="86">
        <v>1160</v>
      </c>
      <c r="AK156" s="86">
        <v>135</v>
      </c>
      <c r="AL156" s="86" t="b">
        <v>0</v>
      </c>
      <c r="AM156" s="89">
        <v>42902.918761574074</v>
      </c>
      <c r="AN156" s="86" t="s">
        <v>25939</v>
      </c>
      <c r="AO156" s="86" t="s">
        <v>26564</v>
      </c>
      <c r="AP156" s="96" t="str">
        <f>HYPERLINK("https://t.co/nY5cBah66z")</f>
        <v>https://t.co/nY5cBah66z</v>
      </c>
      <c r="AQ156" s="96" t="str">
        <f>HYPERLINK("https://instagram.com/andresjklog")</f>
        <v>https://instagram.com/andresjklog</v>
      </c>
      <c r="AR156" s="86" t="s">
        <v>28008</v>
      </c>
      <c r="AS156" s="86"/>
      <c r="AT156" s="86"/>
      <c r="AU156" s="86"/>
      <c r="AV156" s="86">
        <v>1.17674819052526E+18</v>
      </c>
      <c r="AW156" s="96" t="str">
        <f>HYPERLINK("https://t.co/nY5cBah66z")</f>
        <v>https://t.co/nY5cBah66z</v>
      </c>
      <c r="AX156" s="86" t="b">
        <v>0</v>
      </c>
      <c r="AY156" s="86"/>
      <c r="AZ156" s="86"/>
      <c r="BA156" s="86" t="b">
        <v>1</v>
      </c>
      <c r="BB156" s="86" t="b">
        <v>0</v>
      </c>
      <c r="BC156" s="86" t="b">
        <v>0</v>
      </c>
      <c r="BD156" s="86" t="b">
        <v>0</v>
      </c>
      <c r="BE156" s="86" t="b">
        <v>0</v>
      </c>
      <c r="BF156" s="86" t="b">
        <v>0</v>
      </c>
      <c r="BG156" s="86" t="b">
        <v>0</v>
      </c>
      <c r="BH156" s="96" t="str">
        <f>HYPERLINK("https://pbs.twimg.com/profile_banners/875836135729233922/1497650959")</f>
        <v>https://pbs.twimg.com/profile_banners/875836135729233922/1497650959</v>
      </c>
      <c r="BI156" s="86"/>
      <c r="BJ156" s="86" t="s">
        <v>29134</v>
      </c>
      <c r="BK156" s="86" t="b">
        <v>0</v>
      </c>
      <c r="BL156" s="86"/>
      <c r="BM156" s="86" t="s">
        <v>66</v>
      </c>
      <c r="BN156" s="86" t="s">
        <v>29136</v>
      </c>
      <c r="BO156" s="96" t="str">
        <f>HYPERLINK("https://twitter.com/andreltrs")</f>
        <v>https://twitter.com/andreltrs</v>
      </c>
      <c r="BP156" s="2"/>
    </row>
    <row r="157" spans="1:68" x14ac:dyDescent="0.25">
      <c r="A157" s="63" t="s">
        <v>361</v>
      </c>
      <c r="B157" s="64"/>
      <c r="C157" s="64"/>
      <c r="D157" s="65"/>
      <c r="E157" s="67"/>
      <c r="F157" s="111" t="str">
        <f>HYPERLINK("https://pbs.twimg.com/profile_images/1565357107028844544/C_vZJRKn_normal.jpg")</f>
        <v>https://pbs.twimg.com/profile_images/1565357107028844544/C_vZJRKn_normal.jpg</v>
      </c>
      <c r="G157" s="64"/>
      <c r="H157" s="68"/>
      <c r="I157" s="69"/>
      <c r="J157" s="69"/>
      <c r="K157" s="68" t="s">
        <v>29290</v>
      </c>
      <c r="L157" s="72"/>
      <c r="M157" s="73"/>
      <c r="N157" s="73"/>
      <c r="O157" s="74"/>
      <c r="P157" s="75"/>
      <c r="Q157" s="75"/>
      <c r="R157" s="102"/>
      <c r="S157" s="102"/>
      <c r="T157" s="102"/>
      <c r="U157" s="102"/>
      <c r="V157" s="48"/>
      <c r="W157" s="48"/>
      <c r="X157" s="48"/>
      <c r="Y157" s="48"/>
      <c r="Z157" s="47"/>
      <c r="AA157" s="70">
        <v>157</v>
      </c>
      <c r="AB157" s="70"/>
      <c r="AC157" s="71"/>
      <c r="AD157" s="86" t="s">
        <v>23796</v>
      </c>
      <c r="AE157" s="94" t="s">
        <v>25276</v>
      </c>
      <c r="AF157" s="86">
        <v>482</v>
      </c>
      <c r="AG157" s="86">
        <v>134</v>
      </c>
      <c r="AH157" s="86">
        <v>617</v>
      </c>
      <c r="AI157" s="86">
        <v>19</v>
      </c>
      <c r="AJ157" s="86">
        <v>149</v>
      </c>
      <c r="AK157" s="86">
        <v>260</v>
      </c>
      <c r="AL157" s="86" t="b">
        <v>0</v>
      </c>
      <c r="AM157" s="89">
        <v>40247.816423611112</v>
      </c>
      <c r="AN157" s="86" t="s">
        <v>25940</v>
      </c>
      <c r="AO157" s="86" t="s">
        <v>26565</v>
      </c>
      <c r="AP157" s="96" t="str">
        <f>HYPERLINK("https://t.co/gzijwlS64Y")</f>
        <v>https://t.co/gzijwlS64Y</v>
      </c>
      <c r="AQ157" s="96" t="str">
        <f>HYPERLINK("https://bagy.bio/institutogenesis")</f>
        <v>https://bagy.bio/institutogenesis</v>
      </c>
      <c r="AR157" s="86" t="s">
        <v>28009</v>
      </c>
      <c r="AS157" s="86"/>
      <c r="AT157" s="86"/>
      <c r="AU157" s="86"/>
      <c r="AV157" s="86"/>
      <c r="AW157" s="96" t="str">
        <f>HYPERLINK("https://t.co/gzijwlS64Y")</f>
        <v>https://t.co/gzijwlS64Y</v>
      </c>
      <c r="AX157" s="86" t="b">
        <v>0</v>
      </c>
      <c r="AY157" s="86"/>
      <c r="AZ157" s="86"/>
      <c r="BA157" s="86" t="b">
        <v>0</v>
      </c>
      <c r="BB157" s="86" t="b">
        <v>1</v>
      </c>
      <c r="BC157" s="86" t="b">
        <v>0</v>
      </c>
      <c r="BD157" s="86" t="b">
        <v>0</v>
      </c>
      <c r="BE157" s="86" t="b">
        <v>0</v>
      </c>
      <c r="BF157" s="86" t="b">
        <v>0</v>
      </c>
      <c r="BG157" s="86" t="b">
        <v>0</v>
      </c>
      <c r="BH157" s="96" t="str">
        <f>HYPERLINK("https://pbs.twimg.com/profile_banners/121842852/1673360022")</f>
        <v>https://pbs.twimg.com/profile_banners/121842852/1673360022</v>
      </c>
      <c r="BI157" s="86"/>
      <c r="BJ157" s="86" t="s">
        <v>29134</v>
      </c>
      <c r="BK157" s="86" t="b">
        <v>0</v>
      </c>
      <c r="BL157" s="86"/>
      <c r="BM157" s="86" t="s">
        <v>66</v>
      </c>
      <c r="BN157" s="86" t="s">
        <v>29136</v>
      </c>
      <c r="BO157" s="96" t="str">
        <f>HYPERLINK("https://twitter.com/pucgenesis")</f>
        <v>https://twitter.com/pucgenesis</v>
      </c>
      <c r="BP157" s="2"/>
    </row>
    <row r="158" spans="1:68" x14ac:dyDescent="0.25">
      <c r="A158" s="63" t="s">
        <v>362</v>
      </c>
      <c r="B158" s="64"/>
      <c r="C158" s="64"/>
      <c r="D158" s="65"/>
      <c r="E158" s="67"/>
      <c r="F158" s="111" t="str">
        <f>HYPERLINK("https://pbs.twimg.com/profile_images/1568129801973645313/IiPyY1Eq_normal.png")</f>
        <v>https://pbs.twimg.com/profile_images/1568129801973645313/IiPyY1Eq_normal.png</v>
      </c>
      <c r="G158" s="64"/>
      <c r="H158" s="68"/>
      <c r="I158" s="69"/>
      <c r="J158" s="69"/>
      <c r="K158" s="68" t="s">
        <v>29291</v>
      </c>
      <c r="L158" s="72"/>
      <c r="M158" s="73"/>
      <c r="N158" s="73"/>
      <c r="O158" s="74"/>
      <c r="P158" s="75"/>
      <c r="Q158" s="75"/>
      <c r="R158" s="102"/>
      <c r="S158" s="102"/>
      <c r="T158" s="102"/>
      <c r="U158" s="102"/>
      <c r="V158" s="48"/>
      <c r="W158" s="48"/>
      <c r="X158" s="48"/>
      <c r="Y158" s="48"/>
      <c r="Z158" s="47"/>
      <c r="AA158" s="70">
        <v>158</v>
      </c>
      <c r="AB158" s="70"/>
      <c r="AC158" s="71"/>
      <c r="AD158" s="86" t="s">
        <v>23797</v>
      </c>
      <c r="AE158" s="94" t="s">
        <v>22873</v>
      </c>
      <c r="AF158" s="86">
        <v>3</v>
      </c>
      <c r="AG158" s="86">
        <v>12</v>
      </c>
      <c r="AH158" s="86">
        <v>143</v>
      </c>
      <c r="AI158" s="86">
        <v>0</v>
      </c>
      <c r="AJ158" s="86">
        <v>20</v>
      </c>
      <c r="AK158" s="86">
        <v>127</v>
      </c>
      <c r="AL158" s="86" t="b">
        <v>0</v>
      </c>
      <c r="AM158" s="89">
        <v>44813.28533564815</v>
      </c>
      <c r="AN158" s="86" t="s">
        <v>15246</v>
      </c>
      <c r="AO158" s="86" t="s">
        <v>26566</v>
      </c>
      <c r="AP158" s="96" t="str">
        <f>HYPERLINK("https://t.co/m2gaMYgCF7")</f>
        <v>https://t.co/m2gaMYgCF7</v>
      </c>
      <c r="AQ158" s="96" t="str">
        <f>HYPERLINK("http://atrativacontabilidade.com.br")</f>
        <v>http://atrativacontabilidade.com.br</v>
      </c>
      <c r="AR158" s="86" t="s">
        <v>28010</v>
      </c>
      <c r="AS158" s="86"/>
      <c r="AT158" s="86"/>
      <c r="AU158" s="86"/>
      <c r="AV158" s="86"/>
      <c r="AW158" s="96" t="str">
        <f>HYPERLINK("https://t.co/m2gaMYgCF7")</f>
        <v>https://t.co/m2gaMYgCF7</v>
      </c>
      <c r="AX158" s="86" t="b">
        <v>0</v>
      </c>
      <c r="AY158" s="86"/>
      <c r="AZ158" s="86"/>
      <c r="BA158" s="86" t="b">
        <v>0</v>
      </c>
      <c r="BB158" s="86" t="b">
        <v>1</v>
      </c>
      <c r="BC158" s="86" t="b">
        <v>1</v>
      </c>
      <c r="BD158" s="86" t="b">
        <v>0</v>
      </c>
      <c r="BE158" s="86" t="b">
        <v>0</v>
      </c>
      <c r="BF158" s="86" t="b">
        <v>0</v>
      </c>
      <c r="BG158" s="86" t="b">
        <v>0</v>
      </c>
      <c r="BH158" s="96" t="str">
        <f>HYPERLINK("https://pbs.twimg.com/profile_banners/1568129740606783493/1662707747")</f>
        <v>https://pbs.twimg.com/profile_banners/1568129740606783493/1662707747</v>
      </c>
      <c r="BI158" s="86"/>
      <c r="BJ158" s="86" t="s">
        <v>29134</v>
      </c>
      <c r="BK158" s="86" t="b">
        <v>0</v>
      </c>
      <c r="BL158" s="86"/>
      <c r="BM158" s="86" t="s">
        <v>66</v>
      </c>
      <c r="BN158" s="86" t="s">
        <v>29136</v>
      </c>
      <c r="BO158" s="96" t="str">
        <f>HYPERLINK("https://twitter.com/atrativaconta")</f>
        <v>https://twitter.com/atrativaconta</v>
      </c>
      <c r="BP158" s="2"/>
    </row>
    <row r="159" spans="1:68" x14ac:dyDescent="0.25">
      <c r="A159" s="63" t="s">
        <v>363</v>
      </c>
      <c r="B159" s="64"/>
      <c r="C159" s="64"/>
      <c r="D159" s="65"/>
      <c r="E159" s="67"/>
      <c r="F159" s="111" t="str">
        <f>HYPERLINK("https://pbs.twimg.com/profile_images/849814641937199104/SVbRZkYK_normal.jpg")</f>
        <v>https://pbs.twimg.com/profile_images/849814641937199104/SVbRZkYK_normal.jpg</v>
      </c>
      <c r="G159" s="64"/>
      <c r="H159" s="68"/>
      <c r="I159" s="69"/>
      <c r="J159" s="69"/>
      <c r="K159" s="68" t="s">
        <v>29292</v>
      </c>
      <c r="L159" s="72"/>
      <c r="M159" s="73"/>
      <c r="N159" s="73"/>
      <c r="O159" s="74"/>
      <c r="P159" s="75"/>
      <c r="Q159" s="75"/>
      <c r="R159" s="102"/>
      <c r="S159" s="102"/>
      <c r="T159" s="102"/>
      <c r="U159" s="102"/>
      <c r="V159" s="48"/>
      <c r="W159" s="48"/>
      <c r="X159" s="48"/>
      <c r="Y159" s="48"/>
      <c r="Z159" s="47"/>
      <c r="AA159" s="70">
        <v>159</v>
      </c>
      <c r="AB159" s="70"/>
      <c r="AC159" s="71"/>
      <c r="AD159" s="86" t="s">
        <v>23798</v>
      </c>
      <c r="AE159" s="94" t="s">
        <v>22874</v>
      </c>
      <c r="AF159" s="86">
        <v>2452</v>
      </c>
      <c r="AG159" s="86">
        <v>1645</v>
      </c>
      <c r="AH159" s="86">
        <v>32218</v>
      </c>
      <c r="AI159" s="86">
        <v>49</v>
      </c>
      <c r="AJ159" s="86">
        <v>1794</v>
      </c>
      <c r="AK159" s="86">
        <v>22293</v>
      </c>
      <c r="AL159" s="86" t="b">
        <v>0</v>
      </c>
      <c r="AM159" s="89">
        <v>42790.896574074075</v>
      </c>
      <c r="AN159" s="86"/>
      <c r="AO159" s="86" t="s">
        <v>26567</v>
      </c>
      <c r="AP159" s="86"/>
      <c r="AQ159" s="86"/>
      <c r="AR159" s="86"/>
      <c r="AS159" s="86"/>
      <c r="AT159" s="86"/>
      <c r="AU159" s="86"/>
      <c r="AV159" s="86"/>
      <c r="AW159" s="86"/>
      <c r="AX159" s="86" t="b">
        <v>0</v>
      </c>
      <c r="AY159" s="86"/>
      <c r="AZ159" s="86"/>
      <c r="BA159" s="86" t="b">
        <v>0</v>
      </c>
      <c r="BB159" s="86" t="b">
        <v>1</v>
      </c>
      <c r="BC159" s="86" t="b">
        <v>1</v>
      </c>
      <c r="BD159" s="86" t="b">
        <v>0</v>
      </c>
      <c r="BE159" s="86" t="b">
        <v>0</v>
      </c>
      <c r="BF159" s="86" t="b">
        <v>0</v>
      </c>
      <c r="BG159" s="86" t="b">
        <v>0</v>
      </c>
      <c r="BH159" s="96" t="str">
        <f>HYPERLINK("https://pbs.twimg.com/profile_banners/835240650996137985/1523987706")</f>
        <v>https://pbs.twimg.com/profile_banners/835240650996137985/1523987706</v>
      </c>
      <c r="BI159" s="86"/>
      <c r="BJ159" s="86" t="s">
        <v>29134</v>
      </c>
      <c r="BK159" s="86" t="b">
        <v>0</v>
      </c>
      <c r="BL159" s="86"/>
      <c r="BM159" s="86" t="s">
        <v>66</v>
      </c>
      <c r="BN159" s="86" t="s">
        <v>29136</v>
      </c>
      <c r="BO159" s="96" t="str">
        <f>HYPERLINK("https://twitter.com/brpaisdigital")</f>
        <v>https://twitter.com/brpaisdigital</v>
      </c>
      <c r="BP159" s="2"/>
    </row>
    <row r="160" spans="1:68" x14ac:dyDescent="0.25">
      <c r="A160" s="63" t="s">
        <v>364</v>
      </c>
      <c r="B160" s="64"/>
      <c r="C160" s="64"/>
      <c r="D160" s="65"/>
      <c r="E160" s="67"/>
      <c r="F160" s="111" t="str">
        <f>HYPERLINK("https://pbs.twimg.com/profile_images/1688704321758674944/Imq8KOyL_normal.jpg")</f>
        <v>https://pbs.twimg.com/profile_images/1688704321758674944/Imq8KOyL_normal.jpg</v>
      </c>
      <c r="G160" s="64"/>
      <c r="H160" s="68"/>
      <c r="I160" s="69"/>
      <c r="J160" s="69"/>
      <c r="K160" s="68" t="s">
        <v>29293</v>
      </c>
      <c r="L160" s="72"/>
      <c r="M160" s="73"/>
      <c r="N160" s="73"/>
      <c r="O160" s="74"/>
      <c r="P160" s="75"/>
      <c r="Q160" s="75"/>
      <c r="R160" s="102"/>
      <c r="S160" s="102"/>
      <c r="T160" s="102"/>
      <c r="U160" s="102"/>
      <c r="V160" s="48"/>
      <c r="W160" s="48"/>
      <c r="X160" s="48"/>
      <c r="Y160" s="48"/>
      <c r="Z160" s="47"/>
      <c r="AA160" s="70">
        <v>160</v>
      </c>
      <c r="AB160" s="70"/>
      <c r="AC160" s="71"/>
      <c r="AD160" s="86" t="s">
        <v>23799</v>
      </c>
      <c r="AE160" s="94" t="s">
        <v>22875</v>
      </c>
      <c r="AF160" s="86">
        <v>9</v>
      </c>
      <c r="AG160" s="86">
        <v>133</v>
      </c>
      <c r="AH160" s="86">
        <v>584</v>
      </c>
      <c r="AI160" s="86">
        <v>0</v>
      </c>
      <c r="AJ160" s="86">
        <v>146</v>
      </c>
      <c r="AK160" s="86">
        <v>427</v>
      </c>
      <c r="AL160" s="86" t="b">
        <v>0</v>
      </c>
      <c r="AM160" s="89">
        <v>43939.762997685182</v>
      </c>
      <c r="AN160" s="86" t="s">
        <v>15283</v>
      </c>
      <c r="AO160" s="86" t="s">
        <v>26568</v>
      </c>
      <c r="AP160" s="96" t="str">
        <f>HYPERLINK("https://t.co/sT7MoF9rrc")</f>
        <v>https://t.co/sT7MoF9rrc</v>
      </c>
      <c r="AQ160" s="96" t="str">
        <f>HYPERLINK("https://keepo.io/janinepalmeirasocialmedia/")</f>
        <v>https://keepo.io/janinepalmeirasocialmedia/</v>
      </c>
      <c r="AR160" s="86" t="s">
        <v>28011</v>
      </c>
      <c r="AS160" s="86"/>
      <c r="AT160" s="86"/>
      <c r="AU160" s="86"/>
      <c r="AV160" s="86"/>
      <c r="AW160" s="96" t="str">
        <f>HYPERLINK("https://t.co/sT7MoF9rrc")</f>
        <v>https://t.co/sT7MoF9rrc</v>
      </c>
      <c r="AX160" s="86" t="b">
        <v>0</v>
      </c>
      <c r="AY160" s="86"/>
      <c r="AZ160" s="86"/>
      <c r="BA160" s="86" t="b">
        <v>0</v>
      </c>
      <c r="BB160" s="86" t="b">
        <v>1</v>
      </c>
      <c r="BC160" s="86" t="b">
        <v>1</v>
      </c>
      <c r="BD160" s="86" t="b">
        <v>0</v>
      </c>
      <c r="BE160" s="86" t="b">
        <v>0</v>
      </c>
      <c r="BF160" s="86" t="b">
        <v>0</v>
      </c>
      <c r="BG160" s="86" t="b">
        <v>0</v>
      </c>
      <c r="BH160" s="96" t="str">
        <f>HYPERLINK("https://pbs.twimg.com/profile_banners/1251575813855678465/1680372689")</f>
        <v>https://pbs.twimg.com/profile_banners/1251575813855678465/1680372689</v>
      </c>
      <c r="BI160" s="86"/>
      <c r="BJ160" s="86" t="s">
        <v>29134</v>
      </c>
      <c r="BK160" s="86" t="b">
        <v>0</v>
      </c>
      <c r="BL160" s="86"/>
      <c r="BM160" s="86" t="s">
        <v>66</v>
      </c>
      <c r="BN160" s="86" t="s">
        <v>29136</v>
      </c>
      <c r="BO160" s="96" t="str">
        <f>HYPERLINK("https://twitter.com/palmeirajanine")</f>
        <v>https://twitter.com/palmeirajanine</v>
      </c>
      <c r="BP160" s="2"/>
    </row>
    <row r="161" spans="1:68" x14ac:dyDescent="0.25">
      <c r="A161" s="63" t="s">
        <v>365</v>
      </c>
      <c r="B161" s="64"/>
      <c r="C161" s="64"/>
      <c r="D161" s="65"/>
      <c r="E161" s="67"/>
      <c r="F161" s="111" t="str">
        <f>HYPERLINK("https://pbs.twimg.com/profile_images/1633603216825802752/8TGMCTXy_normal.jpg")</f>
        <v>https://pbs.twimg.com/profile_images/1633603216825802752/8TGMCTXy_normal.jpg</v>
      </c>
      <c r="G161" s="64"/>
      <c r="H161" s="68"/>
      <c r="I161" s="69"/>
      <c r="J161" s="69"/>
      <c r="K161" s="68" t="s">
        <v>29294</v>
      </c>
      <c r="L161" s="72"/>
      <c r="M161" s="73"/>
      <c r="N161" s="73"/>
      <c r="O161" s="74"/>
      <c r="P161" s="75"/>
      <c r="Q161" s="75"/>
      <c r="R161" s="102"/>
      <c r="S161" s="102"/>
      <c r="T161" s="102"/>
      <c r="U161" s="102"/>
      <c r="V161" s="48"/>
      <c r="W161" s="48"/>
      <c r="X161" s="48"/>
      <c r="Y161" s="48"/>
      <c r="Z161" s="47"/>
      <c r="AA161" s="70">
        <v>161</v>
      </c>
      <c r="AB161" s="70"/>
      <c r="AC161" s="71"/>
      <c r="AD161" s="86" t="s">
        <v>23800</v>
      </c>
      <c r="AE161" s="94" t="s">
        <v>22876</v>
      </c>
      <c r="AF161" s="86">
        <v>6</v>
      </c>
      <c r="AG161" s="86">
        <v>81</v>
      </c>
      <c r="AH161" s="86">
        <v>55</v>
      </c>
      <c r="AI161" s="86">
        <v>0</v>
      </c>
      <c r="AJ161" s="86">
        <v>33</v>
      </c>
      <c r="AK161" s="86">
        <v>46</v>
      </c>
      <c r="AL161" s="86" t="b">
        <v>0</v>
      </c>
      <c r="AM161" s="89">
        <v>44936.740555555552</v>
      </c>
      <c r="AN161" s="86" t="s">
        <v>25941</v>
      </c>
      <c r="AO161" s="86" t="s">
        <v>26569</v>
      </c>
      <c r="AP161" s="96" t="str">
        <f>HYPERLINK("https://t.co/lRcv0mYSHp")</f>
        <v>https://t.co/lRcv0mYSHp</v>
      </c>
      <c r="AQ161" s="96" t="str">
        <f>HYPERLINK("https://linkme.bio/diorgenesadvogadotributarista")</f>
        <v>https://linkme.bio/diorgenesadvogadotributarista</v>
      </c>
      <c r="AR161" s="86" t="s">
        <v>28012</v>
      </c>
      <c r="AS161" s="86"/>
      <c r="AT161" s="86"/>
      <c r="AU161" s="86"/>
      <c r="AV161" s="86"/>
      <c r="AW161" s="96" t="str">
        <f>HYPERLINK("https://t.co/lRcv0mYSHp")</f>
        <v>https://t.co/lRcv0mYSHp</v>
      </c>
      <c r="AX161" s="86" t="b">
        <v>0</v>
      </c>
      <c r="AY161" s="86"/>
      <c r="AZ161" s="86"/>
      <c r="BA161" s="86" t="b">
        <v>0</v>
      </c>
      <c r="BB161" s="86" t="b">
        <v>1</v>
      </c>
      <c r="BC161" s="86" t="b">
        <v>1</v>
      </c>
      <c r="BD161" s="86" t="b">
        <v>0</v>
      </c>
      <c r="BE161" s="86" t="b">
        <v>0</v>
      </c>
      <c r="BF161" s="86" t="b">
        <v>0</v>
      </c>
      <c r="BG161" s="86" t="b">
        <v>0</v>
      </c>
      <c r="BH161" s="96" t="str">
        <f>HYPERLINK("https://pbs.twimg.com/profile_banners/1612867582201139220/1679927486")</f>
        <v>https://pbs.twimg.com/profile_banners/1612867582201139220/1679927486</v>
      </c>
      <c r="BI161" s="86"/>
      <c r="BJ161" s="86" t="s">
        <v>29134</v>
      </c>
      <c r="BK161" s="86" t="b">
        <v>0</v>
      </c>
      <c r="BL161" s="86"/>
      <c r="BM161" s="86" t="s">
        <v>66</v>
      </c>
      <c r="BN161" s="86" t="s">
        <v>29136</v>
      </c>
      <c r="BO161" s="96" t="str">
        <f>HYPERLINK("https://twitter.com/diorgenesadvoca")</f>
        <v>https://twitter.com/diorgenesadvoca</v>
      </c>
      <c r="BP161" s="2"/>
    </row>
    <row r="162" spans="1:68" x14ac:dyDescent="0.25">
      <c r="A162" s="63" t="s">
        <v>366</v>
      </c>
      <c r="B162" s="64"/>
      <c r="C162" s="64"/>
      <c r="D162" s="65"/>
      <c r="E162" s="67"/>
      <c r="F162" s="111" t="str">
        <f>HYPERLINK("https://pbs.twimg.com/profile_images/1251283101541642247/Jn3MYdxU_normal.jpg")</f>
        <v>https://pbs.twimg.com/profile_images/1251283101541642247/Jn3MYdxU_normal.jpg</v>
      </c>
      <c r="G162" s="64"/>
      <c r="H162" s="68"/>
      <c r="I162" s="69"/>
      <c r="J162" s="69"/>
      <c r="K162" s="68" t="s">
        <v>29295</v>
      </c>
      <c r="L162" s="72"/>
      <c r="M162" s="73"/>
      <c r="N162" s="73"/>
      <c r="O162" s="74"/>
      <c r="P162" s="75"/>
      <c r="Q162" s="75"/>
      <c r="R162" s="102"/>
      <c r="S162" s="102"/>
      <c r="T162" s="102"/>
      <c r="U162" s="102"/>
      <c r="V162" s="48"/>
      <c r="W162" s="48"/>
      <c r="X162" s="48"/>
      <c r="Y162" s="48"/>
      <c r="Z162" s="47"/>
      <c r="AA162" s="70">
        <v>162</v>
      </c>
      <c r="AB162" s="70"/>
      <c r="AC162" s="71"/>
      <c r="AD162" s="86" t="s">
        <v>23801</v>
      </c>
      <c r="AE162" s="94" t="s">
        <v>22877</v>
      </c>
      <c r="AF162" s="86">
        <v>106</v>
      </c>
      <c r="AG162" s="86">
        <v>101</v>
      </c>
      <c r="AH162" s="86">
        <v>11208</v>
      </c>
      <c r="AI162" s="86">
        <v>0</v>
      </c>
      <c r="AJ162" s="86">
        <v>28204</v>
      </c>
      <c r="AK162" s="86">
        <v>1056</v>
      </c>
      <c r="AL162" s="86" t="b">
        <v>0</v>
      </c>
      <c r="AM162" s="89">
        <v>43084.661574074074</v>
      </c>
      <c r="AN162" s="86" t="s">
        <v>15246</v>
      </c>
      <c r="AO162" s="86"/>
      <c r="AP162" s="86"/>
      <c r="AQ162" s="86"/>
      <c r="AR162" s="86"/>
      <c r="AS162" s="86"/>
      <c r="AT162" s="86"/>
      <c r="AU162" s="86"/>
      <c r="AV162" s="86"/>
      <c r="AW162" s="86"/>
      <c r="AX162" s="86" t="b">
        <v>0</v>
      </c>
      <c r="AY162" s="86"/>
      <c r="AZ162" s="86"/>
      <c r="BA162" s="86" t="b">
        <v>0</v>
      </c>
      <c r="BB162" s="86" t="b">
        <v>1</v>
      </c>
      <c r="BC162" s="86" t="b">
        <v>1</v>
      </c>
      <c r="BD162" s="86" t="b">
        <v>0</v>
      </c>
      <c r="BE162" s="86" t="b">
        <v>1</v>
      </c>
      <c r="BF162" s="86" t="b">
        <v>0</v>
      </c>
      <c r="BG162" s="86" t="b">
        <v>0</v>
      </c>
      <c r="BH162" s="96" t="str">
        <f>HYPERLINK("https://pbs.twimg.com/profile_banners/941697523613421568/1513366766")</f>
        <v>https://pbs.twimg.com/profile_banners/941697523613421568/1513366766</v>
      </c>
      <c r="BI162" s="86"/>
      <c r="BJ162" s="86" t="s">
        <v>29134</v>
      </c>
      <c r="BK162" s="86" t="b">
        <v>0</v>
      </c>
      <c r="BL162" s="86"/>
      <c r="BM162" s="86" t="s">
        <v>66</v>
      </c>
      <c r="BN162" s="86" t="s">
        <v>29136</v>
      </c>
      <c r="BO162" s="96" t="str">
        <f>HYPERLINK("https://twitter.com/glitchkitschas")</f>
        <v>https://twitter.com/glitchkitschas</v>
      </c>
      <c r="BP162" s="2"/>
    </row>
    <row r="163" spans="1:68" x14ac:dyDescent="0.25">
      <c r="A163" s="63" t="s">
        <v>367</v>
      </c>
      <c r="B163" s="64"/>
      <c r="C163" s="64"/>
      <c r="D163" s="65"/>
      <c r="E163" s="67"/>
      <c r="F163" s="111" t="str">
        <f>HYPERLINK("https://pbs.twimg.com/profile_images/1686732430390984704/hdD10Jjf_normal.jpg")</f>
        <v>https://pbs.twimg.com/profile_images/1686732430390984704/hdD10Jjf_normal.jpg</v>
      </c>
      <c r="G163" s="64"/>
      <c r="H163" s="68"/>
      <c r="I163" s="69"/>
      <c r="J163" s="69"/>
      <c r="K163" s="68" t="s">
        <v>29296</v>
      </c>
      <c r="L163" s="72"/>
      <c r="M163" s="73"/>
      <c r="N163" s="73"/>
      <c r="O163" s="74"/>
      <c r="P163" s="75"/>
      <c r="Q163" s="75"/>
      <c r="R163" s="102"/>
      <c r="S163" s="102"/>
      <c r="T163" s="102"/>
      <c r="U163" s="102"/>
      <c r="V163" s="48"/>
      <c r="W163" s="48"/>
      <c r="X163" s="48"/>
      <c r="Y163" s="48"/>
      <c r="Z163" s="47"/>
      <c r="AA163" s="70">
        <v>163</v>
      </c>
      <c r="AB163" s="70"/>
      <c r="AC163" s="71"/>
      <c r="AD163" s="86" t="s">
        <v>23802</v>
      </c>
      <c r="AE163" s="94" t="s">
        <v>22878</v>
      </c>
      <c r="AF163" s="86">
        <v>0</v>
      </c>
      <c r="AG163" s="86">
        <v>1</v>
      </c>
      <c r="AH163" s="86">
        <v>138</v>
      </c>
      <c r="AI163" s="86">
        <v>0</v>
      </c>
      <c r="AJ163" s="86">
        <v>0</v>
      </c>
      <c r="AK163" s="86">
        <v>138</v>
      </c>
      <c r="AL163" s="86" t="b">
        <v>0</v>
      </c>
      <c r="AM163" s="89">
        <v>45140.566238425927</v>
      </c>
      <c r="AN163" s="86"/>
      <c r="AO163" s="86" t="s">
        <v>26570</v>
      </c>
      <c r="AP163" s="86"/>
      <c r="AQ163" s="86"/>
      <c r="AR163" s="86"/>
      <c r="AS163" s="86"/>
      <c r="AT163" s="86"/>
      <c r="AU163" s="86"/>
      <c r="AV163" s="86"/>
      <c r="AW163" s="86"/>
      <c r="AX163" s="86" t="b">
        <v>0</v>
      </c>
      <c r="AY163" s="86"/>
      <c r="AZ163" s="86"/>
      <c r="BA163" s="86" t="b">
        <v>0</v>
      </c>
      <c r="BB163" s="86" t="b">
        <v>1</v>
      </c>
      <c r="BC163" s="86" t="b">
        <v>1</v>
      </c>
      <c r="BD163" s="86" t="b">
        <v>0</v>
      </c>
      <c r="BE163" s="86" t="b">
        <v>0</v>
      </c>
      <c r="BF163" s="86" t="b">
        <v>0</v>
      </c>
      <c r="BG163" s="86" t="b">
        <v>0</v>
      </c>
      <c r="BH163" s="96" t="str">
        <f>HYPERLINK("https://pbs.twimg.com/profile_banners/1686732332877717504/1691081082")</f>
        <v>https://pbs.twimg.com/profile_banners/1686732332877717504/1691081082</v>
      </c>
      <c r="BI163" s="86"/>
      <c r="BJ163" s="86" t="s">
        <v>29134</v>
      </c>
      <c r="BK163" s="86" t="b">
        <v>0</v>
      </c>
      <c r="BL163" s="86"/>
      <c r="BM163" s="86" t="s">
        <v>66</v>
      </c>
      <c r="BN163" s="86" t="s">
        <v>29136</v>
      </c>
      <c r="BO163" s="96" t="str">
        <f>HYPERLINK("https://twitter.com/fabysampaio_1")</f>
        <v>https://twitter.com/fabysampaio_1</v>
      </c>
      <c r="BP163" s="2"/>
    </row>
    <row r="164" spans="1:68" x14ac:dyDescent="0.25">
      <c r="A164" s="63" t="s">
        <v>368</v>
      </c>
      <c r="B164" s="64"/>
      <c r="C164" s="64"/>
      <c r="D164" s="65"/>
      <c r="E164" s="67"/>
      <c r="F164" s="111" t="str">
        <f>HYPERLINK("https://pbs.twimg.com/profile_images/1560320615126650880/hd6cOCIu_normal.jpg")</f>
        <v>https://pbs.twimg.com/profile_images/1560320615126650880/hd6cOCIu_normal.jpg</v>
      </c>
      <c r="G164" s="64"/>
      <c r="H164" s="68"/>
      <c r="I164" s="69"/>
      <c r="J164" s="69"/>
      <c r="K164" s="68" t="s">
        <v>29297</v>
      </c>
      <c r="L164" s="72"/>
      <c r="M164" s="73"/>
      <c r="N164" s="73"/>
      <c r="O164" s="74"/>
      <c r="P164" s="75"/>
      <c r="Q164" s="75"/>
      <c r="R164" s="102"/>
      <c r="S164" s="102"/>
      <c r="T164" s="102"/>
      <c r="U164" s="102"/>
      <c r="V164" s="48"/>
      <c r="W164" s="48"/>
      <c r="X164" s="48"/>
      <c r="Y164" s="48"/>
      <c r="Z164" s="47"/>
      <c r="AA164" s="70">
        <v>164</v>
      </c>
      <c r="AB164" s="70"/>
      <c r="AC164" s="71"/>
      <c r="AD164" s="86" t="s">
        <v>23803</v>
      </c>
      <c r="AE164" s="94" t="s">
        <v>22879</v>
      </c>
      <c r="AF164" s="86">
        <v>5</v>
      </c>
      <c r="AG164" s="86">
        <v>3</v>
      </c>
      <c r="AH164" s="86">
        <v>34</v>
      </c>
      <c r="AI164" s="86">
        <v>0</v>
      </c>
      <c r="AJ164" s="86">
        <v>2</v>
      </c>
      <c r="AK164" s="86">
        <v>34</v>
      </c>
      <c r="AL164" s="86" t="b">
        <v>0</v>
      </c>
      <c r="AM164" s="89">
        <v>44791.090208333335</v>
      </c>
      <c r="AN164" s="86"/>
      <c r="AO164" s="86"/>
      <c r="AP164" s="86"/>
      <c r="AQ164" s="86"/>
      <c r="AR164" s="86"/>
      <c r="AS164" s="86"/>
      <c r="AT164" s="86"/>
      <c r="AU164" s="86"/>
      <c r="AV164" s="86"/>
      <c r="AW164" s="86"/>
      <c r="AX164" s="86" t="b">
        <v>0</v>
      </c>
      <c r="AY164" s="86"/>
      <c r="AZ164" s="86"/>
      <c r="BA164" s="86" t="b">
        <v>0</v>
      </c>
      <c r="BB164" s="86" t="b">
        <v>1</v>
      </c>
      <c r="BC164" s="86" t="b">
        <v>1</v>
      </c>
      <c r="BD164" s="86" t="b">
        <v>0</v>
      </c>
      <c r="BE164" s="86" t="b">
        <v>0</v>
      </c>
      <c r="BF164" s="86" t="b">
        <v>0</v>
      </c>
      <c r="BG164" s="86" t="b">
        <v>0</v>
      </c>
      <c r="BH164" s="86"/>
      <c r="BI164" s="86"/>
      <c r="BJ164" s="86" t="s">
        <v>29134</v>
      </c>
      <c r="BK164" s="86" t="b">
        <v>0</v>
      </c>
      <c r="BL164" s="86"/>
      <c r="BM164" s="86" t="s">
        <v>66</v>
      </c>
      <c r="BN164" s="86" t="s">
        <v>29136</v>
      </c>
      <c r="BO164" s="96" t="str">
        <f>HYPERLINK("https://twitter.com/tomoliveirafc")</f>
        <v>https://twitter.com/tomoliveirafc</v>
      </c>
      <c r="BP164" s="2"/>
    </row>
    <row r="165" spans="1:68" x14ac:dyDescent="0.25">
      <c r="A165" s="63" t="s">
        <v>1632</v>
      </c>
      <c r="B165" s="64"/>
      <c r="C165" s="64"/>
      <c r="D165" s="65"/>
      <c r="E165" s="67"/>
      <c r="F165" s="111" t="str">
        <f>HYPERLINK("https://abs.twimg.com/sticky/default_profile_images/default_profile_normal.png")</f>
        <v>https://abs.twimg.com/sticky/default_profile_images/default_profile_normal.png</v>
      </c>
      <c r="G165" s="64"/>
      <c r="H165" s="68"/>
      <c r="I165" s="69"/>
      <c r="J165" s="69"/>
      <c r="K165" s="68" t="s">
        <v>29298</v>
      </c>
      <c r="L165" s="72"/>
      <c r="M165" s="73"/>
      <c r="N165" s="73"/>
      <c r="O165" s="74"/>
      <c r="P165" s="75"/>
      <c r="Q165" s="75"/>
      <c r="R165" s="102"/>
      <c r="S165" s="102"/>
      <c r="T165" s="102"/>
      <c r="U165" s="102"/>
      <c r="V165" s="48"/>
      <c r="W165" s="48"/>
      <c r="X165" s="48"/>
      <c r="Y165" s="48"/>
      <c r="Z165" s="47"/>
      <c r="AA165" s="70">
        <v>165</v>
      </c>
      <c r="AB165" s="70"/>
      <c r="AC165" s="71"/>
      <c r="AD165" s="86" t="s">
        <v>23804</v>
      </c>
      <c r="AE165" s="94" t="s">
        <v>25277</v>
      </c>
      <c r="AF165" s="86">
        <v>6</v>
      </c>
      <c r="AG165" s="86">
        <v>20</v>
      </c>
      <c r="AH165" s="86">
        <v>1</v>
      </c>
      <c r="AI165" s="86">
        <v>0</v>
      </c>
      <c r="AJ165" s="86">
        <v>0</v>
      </c>
      <c r="AK165" s="86">
        <v>0</v>
      </c>
      <c r="AL165" s="86" t="b">
        <v>0</v>
      </c>
      <c r="AM165" s="89">
        <v>39971.526574074072</v>
      </c>
      <c r="AN165" s="86"/>
      <c r="AO165" s="86"/>
      <c r="AP165" s="86"/>
      <c r="AQ165" s="86"/>
      <c r="AR165" s="86"/>
      <c r="AS165" s="86"/>
      <c r="AT165" s="86"/>
      <c r="AU165" s="86"/>
      <c r="AV165" s="86"/>
      <c r="AW165" s="86"/>
      <c r="AX165" s="86" t="b">
        <v>0</v>
      </c>
      <c r="AY165" s="86"/>
      <c r="AZ165" s="86"/>
      <c r="BA165" s="86" t="b">
        <v>0</v>
      </c>
      <c r="BB165" s="86" t="b">
        <v>1</v>
      </c>
      <c r="BC165" s="86" t="b">
        <v>1</v>
      </c>
      <c r="BD165" s="86" t="b">
        <v>1</v>
      </c>
      <c r="BE165" s="86" t="b">
        <v>0</v>
      </c>
      <c r="BF165" s="86" t="b">
        <v>0</v>
      </c>
      <c r="BG165" s="86" t="b">
        <v>0</v>
      </c>
      <c r="BH165" s="86"/>
      <c r="BI165" s="86"/>
      <c r="BJ165" s="86" t="s">
        <v>29134</v>
      </c>
      <c r="BK165" s="86" t="b">
        <v>0</v>
      </c>
      <c r="BL165" s="86"/>
      <c r="BM165" s="86" t="s">
        <v>65</v>
      </c>
      <c r="BN165" s="86" t="s">
        <v>29136</v>
      </c>
      <c r="BO165" s="96" t="str">
        <f>HYPERLINK("https://twitter.com/tomoliveira")</f>
        <v>https://twitter.com/tomoliveira</v>
      </c>
      <c r="BP165" s="2"/>
    </row>
    <row r="166" spans="1:68" x14ac:dyDescent="0.25">
      <c r="A166" s="63" t="s">
        <v>369</v>
      </c>
      <c r="B166" s="64"/>
      <c r="C166" s="64"/>
      <c r="D166" s="65"/>
      <c r="E166" s="67"/>
      <c r="F166" s="111" t="str">
        <f>HYPERLINK("https://pbs.twimg.com/profile_images/1705982618406166528/1WiJI-Ar_normal.jpg")</f>
        <v>https://pbs.twimg.com/profile_images/1705982618406166528/1WiJI-Ar_normal.jpg</v>
      </c>
      <c r="G166" s="64"/>
      <c r="H166" s="68"/>
      <c r="I166" s="69"/>
      <c r="J166" s="69"/>
      <c r="K166" s="68" t="s">
        <v>29299</v>
      </c>
      <c r="L166" s="72"/>
      <c r="M166" s="73"/>
      <c r="N166" s="73"/>
      <c r="O166" s="74"/>
      <c r="P166" s="75"/>
      <c r="Q166" s="75"/>
      <c r="R166" s="102"/>
      <c r="S166" s="102"/>
      <c r="T166" s="102"/>
      <c r="U166" s="102"/>
      <c r="V166" s="48"/>
      <c r="W166" s="48"/>
      <c r="X166" s="48"/>
      <c r="Y166" s="48"/>
      <c r="Z166" s="47"/>
      <c r="AA166" s="70">
        <v>166</v>
      </c>
      <c r="AB166" s="70"/>
      <c r="AC166" s="71"/>
      <c r="AD166" s="86" t="s">
        <v>23805</v>
      </c>
      <c r="AE166" s="94" t="s">
        <v>22880</v>
      </c>
      <c r="AF166" s="86">
        <v>1</v>
      </c>
      <c r="AG166" s="86">
        <v>10</v>
      </c>
      <c r="AH166" s="86">
        <v>11</v>
      </c>
      <c r="AI166" s="86">
        <v>0</v>
      </c>
      <c r="AJ166" s="86">
        <v>0</v>
      </c>
      <c r="AK166" s="86">
        <v>3</v>
      </c>
      <c r="AL166" s="86" t="b">
        <v>0</v>
      </c>
      <c r="AM166" s="89">
        <v>45190.02171296296</v>
      </c>
      <c r="AN166" s="86" t="s">
        <v>25942</v>
      </c>
      <c r="AO166" s="86" t="s">
        <v>26571</v>
      </c>
      <c r="AP166" s="96" t="str">
        <f>HYPERLINK("https://t.co/QdjHxGGqeT")</f>
        <v>https://t.co/QdjHxGGqeT</v>
      </c>
      <c r="AQ166" s="96" t="str">
        <f>HYPERLINK("https://linktr.ee/julianatorrecilasbaldim")</f>
        <v>https://linktr.ee/julianatorrecilasbaldim</v>
      </c>
      <c r="AR166" s="86" t="s">
        <v>28013</v>
      </c>
      <c r="AS166" s="86"/>
      <c r="AT166" s="86"/>
      <c r="AU166" s="86"/>
      <c r="AV166" s="86"/>
      <c r="AW166" s="96" t="str">
        <f>HYPERLINK("https://t.co/QdjHxGGqeT")</f>
        <v>https://t.co/QdjHxGGqeT</v>
      </c>
      <c r="AX166" s="86" t="b">
        <v>0</v>
      </c>
      <c r="AY166" s="86"/>
      <c r="AZ166" s="86"/>
      <c r="BA166" s="86" t="b">
        <v>0</v>
      </c>
      <c r="BB166" s="86" t="b">
        <v>1</v>
      </c>
      <c r="BC166" s="86" t="b">
        <v>1</v>
      </c>
      <c r="BD166" s="86" t="b">
        <v>0</v>
      </c>
      <c r="BE166" s="86" t="b">
        <v>0</v>
      </c>
      <c r="BF166" s="86" t="b">
        <v>0</v>
      </c>
      <c r="BG166" s="86" t="b">
        <v>0</v>
      </c>
      <c r="BH166" s="96" t="str">
        <f>HYPERLINK("https://pbs.twimg.com/profile_banners/1704654429700366336/1695256876")</f>
        <v>https://pbs.twimg.com/profile_banners/1704654429700366336/1695256876</v>
      </c>
      <c r="BI166" s="86"/>
      <c r="BJ166" s="86" t="s">
        <v>29134</v>
      </c>
      <c r="BK166" s="86" t="b">
        <v>0</v>
      </c>
      <c r="BL166" s="86"/>
      <c r="BM166" s="86" t="s">
        <v>66</v>
      </c>
      <c r="BN166" s="86" t="s">
        <v>29136</v>
      </c>
      <c r="BO166" s="96" t="str">
        <f>HYPERLINK("https://twitter.com/jutorrecilas")</f>
        <v>https://twitter.com/jutorrecilas</v>
      </c>
      <c r="BP166" s="2"/>
    </row>
    <row r="167" spans="1:68" x14ac:dyDescent="0.25">
      <c r="A167" s="63" t="s">
        <v>370</v>
      </c>
      <c r="B167" s="64"/>
      <c r="C167" s="64"/>
      <c r="D167" s="65"/>
      <c r="E167" s="67"/>
      <c r="F167" s="111" t="str">
        <f>HYPERLINK("https://pbs.twimg.com/profile_images/1599540465061216256/Dk4TZwrJ_normal.jpg")</f>
        <v>https://pbs.twimg.com/profile_images/1599540465061216256/Dk4TZwrJ_normal.jpg</v>
      </c>
      <c r="G167" s="64"/>
      <c r="H167" s="68"/>
      <c r="I167" s="69"/>
      <c r="J167" s="69"/>
      <c r="K167" s="68" t="s">
        <v>29300</v>
      </c>
      <c r="L167" s="72"/>
      <c r="M167" s="73"/>
      <c r="N167" s="73"/>
      <c r="O167" s="74"/>
      <c r="P167" s="75"/>
      <c r="Q167" s="75"/>
      <c r="R167" s="102"/>
      <c r="S167" s="102"/>
      <c r="T167" s="102"/>
      <c r="U167" s="102"/>
      <c r="V167" s="48"/>
      <c r="W167" s="48"/>
      <c r="X167" s="48"/>
      <c r="Y167" s="48"/>
      <c r="Z167" s="47"/>
      <c r="AA167" s="70">
        <v>167</v>
      </c>
      <c r="AB167" s="70"/>
      <c r="AC167" s="71"/>
      <c r="AD167" s="86" t="s">
        <v>23806</v>
      </c>
      <c r="AE167" s="94" t="s">
        <v>22881</v>
      </c>
      <c r="AF167" s="86">
        <v>1</v>
      </c>
      <c r="AG167" s="86">
        <v>26</v>
      </c>
      <c r="AH167" s="86">
        <v>8</v>
      </c>
      <c r="AI167" s="86">
        <v>0</v>
      </c>
      <c r="AJ167" s="86">
        <v>1</v>
      </c>
      <c r="AK167" s="86">
        <v>1</v>
      </c>
      <c r="AL167" s="86" t="b">
        <v>0</v>
      </c>
      <c r="AM167" s="89">
        <v>44899.962256944447</v>
      </c>
      <c r="AN167" s="86" t="s">
        <v>25895</v>
      </c>
      <c r="AO167" s="86" t="s">
        <v>26572</v>
      </c>
      <c r="AP167" s="96" t="str">
        <f>HYPERLINK("https://t.co/rpmzVrD4n6")</f>
        <v>https://t.co/rpmzVrD4n6</v>
      </c>
      <c r="AQ167" s="96" t="str">
        <f>HYPERLINK("http://sbresults.com.br")</f>
        <v>http://sbresults.com.br</v>
      </c>
      <c r="AR167" s="86" t="s">
        <v>28014</v>
      </c>
      <c r="AS167" s="86"/>
      <c r="AT167" s="86"/>
      <c r="AU167" s="86"/>
      <c r="AV167" s="86"/>
      <c r="AW167" s="96" t="str">
        <f>HYPERLINK("https://t.co/rpmzVrD4n6")</f>
        <v>https://t.co/rpmzVrD4n6</v>
      </c>
      <c r="AX167" s="86" t="b">
        <v>0</v>
      </c>
      <c r="AY167" s="86"/>
      <c r="AZ167" s="86"/>
      <c r="BA167" s="86" t="b">
        <v>0</v>
      </c>
      <c r="BB167" s="86" t="b">
        <v>1</v>
      </c>
      <c r="BC167" s="86" t="b">
        <v>1</v>
      </c>
      <c r="BD167" s="86" t="b">
        <v>0</v>
      </c>
      <c r="BE167" s="86" t="b">
        <v>0</v>
      </c>
      <c r="BF167" s="86" t="b">
        <v>0</v>
      </c>
      <c r="BG167" s="86" t="b">
        <v>0</v>
      </c>
      <c r="BH167" s="86"/>
      <c r="BI167" s="86"/>
      <c r="BJ167" s="86" t="s">
        <v>29134</v>
      </c>
      <c r="BK167" s="86" t="b">
        <v>0</v>
      </c>
      <c r="BL167" s="86"/>
      <c r="BM167" s="86" t="s">
        <v>66</v>
      </c>
      <c r="BN167" s="86" t="s">
        <v>29136</v>
      </c>
      <c r="BO167" s="96" t="str">
        <f>HYPERLINK("https://twitter.com/sbresults")</f>
        <v>https://twitter.com/sbresults</v>
      </c>
      <c r="BP167" s="2"/>
    </row>
    <row r="168" spans="1:68" x14ac:dyDescent="0.25">
      <c r="A168" s="63" t="s">
        <v>371</v>
      </c>
      <c r="B168" s="64"/>
      <c r="C168" s="64"/>
      <c r="D168" s="65"/>
      <c r="E168" s="67"/>
      <c r="F168" s="111" t="str">
        <f>HYPERLINK("https://pbs.twimg.com/profile_images/1674054534161747969/1-EEzRiy_normal.jpg")</f>
        <v>https://pbs.twimg.com/profile_images/1674054534161747969/1-EEzRiy_normal.jpg</v>
      </c>
      <c r="G168" s="64"/>
      <c r="H168" s="68"/>
      <c r="I168" s="69"/>
      <c r="J168" s="69"/>
      <c r="K168" s="68" t="s">
        <v>29301</v>
      </c>
      <c r="L168" s="72"/>
      <c r="M168" s="73"/>
      <c r="N168" s="73"/>
      <c r="O168" s="74"/>
      <c r="P168" s="75"/>
      <c r="Q168" s="75"/>
      <c r="R168" s="102"/>
      <c r="S168" s="102"/>
      <c r="T168" s="102"/>
      <c r="U168" s="102"/>
      <c r="V168" s="48"/>
      <c r="W168" s="48"/>
      <c r="X168" s="48"/>
      <c r="Y168" s="48"/>
      <c r="Z168" s="47"/>
      <c r="AA168" s="70">
        <v>168</v>
      </c>
      <c r="AB168" s="70"/>
      <c r="AC168" s="71"/>
      <c r="AD168" s="86" t="s">
        <v>23807</v>
      </c>
      <c r="AE168" s="94" t="s">
        <v>22882</v>
      </c>
      <c r="AF168" s="86">
        <v>16</v>
      </c>
      <c r="AG168" s="86">
        <v>283</v>
      </c>
      <c r="AH168" s="86">
        <v>135</v>
      </c>
      <c r="AI168" s="86">
        <v>0</v>
      </c>
      <c r="AJ168" s="86">
        <v>9</v>
      </c>
      <c r="AK168" s="86">
        <v>35</v>
      </c>
      <c r="AL168" s="86" t="b">
        <v>0</v>
      </c>
      <c r="AM168" s="89">
        <v>45105.580659722225</v>
      </c>
      <c r="AN168" s="86"/>
      <c r="AO168" s="86"/>
      <c r="AP168" s="86"/>
      <c r="AQ168" s="86"/>
      <c r="AR168" s="86"/>
      <c r="AS168" s="86"/>
      <c r="AT168" s="86"/>
      <c r="AU168" s="86"/>
      <c r="AV168" s="86"/>
      <c r="AW168" s="86"/>
      <c r="AX168" s="86" t="b">
        <v>0</v>
      </c>
      <c r="AY168" s="86"/>
      <c r="AZ168" s="86"/>
      <c r="BA168" s="86" t="b">
        <v>0</v>
      </c>
      <c r="BB168" s="86" t="b">
        <v>1</v>
      </c>
      <c r="BC168" s="86" t="b">
        <v>1</v>
      </c>
      <c r="BD168" s="86" t="b">
        <v>0</v>
      </c>
      <c r="BE168" s="86" t="b">
        <v>0</v>
      </c>
      <c r="BF168" s="86" t="b">
        <v>0</v>
      </c>
      <c r="BG168" s="86" t="b">
        <v>0</v>
      </c>
      <c r="BH168" s="86"/>
      <c r="BI168" s="86"/>
      <c r="BJ168" s="86" t="s">
        <v>29134</v>
      </c>
      <c r="BK168" s="86" t="b">
        <v>0</v>
      </c>
      <c r="BL168" s="86"/>
      <c r="BM168" s="86" t="s">
        <v>66</v>
      </c>
      <c r="BN168" s="86" t="s">
        <v>29136</v>
      </c>
      <c r="BO168" s="96" t="str">
        <f>HYPERLINK("https://twitter.com/bindwayspartner")</f>
        <v>https://twitter.com/bindwayspartner</v>
      </c>
      <c r="BP168" s="2"/>
    </row>
    <row r="169" spans="1:68" x14ac:dyDescent="0.25">
      <c r="A169" s="63" t="s">
        <v>372</v>
      </c>
      <c r="B169" s="64"/>
      <c r="C169" s="64"/>
      <c r="D169" s="65"/>
      <c r="E169" s="67"/>
      <c r="F169" s="111" t="str">
        <f>HYPERLINK("https://pbs.twimg.com/profile_images/1437558896441319427/iTwF5Vax_normal.jpg")</f>
        <v>https://pbs.twimg.com/profile_images/1437558896441319427/iTwF5Vax_normal.jpg</v>
      </c>
      <c r="G169" s="64"/>
      <c r="H169" s="68"/>
      <c r="I169" s="69"/>
      <c r="J169" s="69"/>
      <c r="K169" s="68" t="s">
        <v>29302</v>
      </c>
      <c r="L169" s="72"/>
      <c r="M169" s="73"/>
      <c r="N169" s="73"/>
      <c r="O169" s="74"/>
      <c r="P169" s="75"/>
      <c r="Q169" s="75"/>
      <c r="R169" s="102"/>
      <c r="S169" s="102"/>
      <c r="T169" s="102"/>
      <c r="U169" s="102"/>
      <c r="V169" s="48"/>
      <c r="W169" s="48"/>
      <c r="X169" s="48"/>
      <c r="Y169" s="48"/>
      <c r="Z169" s="47"/>
      <c r="AA169" s="70">
        <v>169</v>
      </c>
      <c r="AB169" s="70"/>
      <c r="AC169" s="71"/>
      <c r="AD169" s="86" t="s">
        <v>372</v>
      </c>
      <c r="AE169" s="94" t="s">
        <v>22883</v>
      </c>
      <c r="AF169" s="86">
        <v>69</v>
      </c>
      <c r="AG169" s="86">
        <v>958</v>
      </c>
      <c r="AH169" s="86">
        <v>233</v>
      </c>
      <c r="AI169" s="86">
        <v>1</v>
      </c>
      <c r="AJ169" s="86">
        <v>484</v>
      </c>
      <c r="AK169" s="86">
        <v>55</v>
      </c>
      <c r="AL169" s="86" t="b">
        <v>0</v>
      </c>
      <c r="AM169" s="89">
        <v>43720.996666666666</v>
      </c>
      <c r="AN169" s="86" t="s">
        <v>25913</v>
      </c>
      <c r="AO169" s="86" t="s">
        <v>26573</v>
      </c>
      <c r="AP169" s="96" t="str">
        <f>HYPERLINK("https://t.co/MuUIDiOyW1")</f>
        <v>https://t.co/MuUIDiOyW1</v>
      </c>
      <c r="AQ169" s="96" t="str">
        <f>HYPERLINK("https://www.fitinsur.com.br")</f>
        <v>https://www.fitinsur.com.br</v>
      </c>
      <c r="AR169" s="86" t="s">
        <v>28015</v>
      </c>
      <c r="AS169" s="86"/>
      <c r="AT169" s="86"/>
      <c r="AU169" s="86"/>
      <c r="AV169" s="86"/>
      <c r="AW169" s="96" t="str">
        <f>HYPERLINK("https://t.co/MuUIDiOyW1")</f>
        <v>https://t.co/MuUIDiOyW1</v>
      </c>
      <c r="AX169" s="86" t="b">
        <v>0</v>
      </c>
      <c r="AY169" s="86"/>
      <c r="AZ169" s="86"/>
      <c r="BA169" s="86" t="b">
        <v>0</v>
      </c>
      <c r="BB169" s="86" t="b">
        <v>1</v>
      </c>
      <c r="BC169" s="86" t="b">
        <v>1</v>
      </c>
      <c r="BD169" s="86" t="b">
        <v>0</v>
      </c>
      <c r="BE169" s="86" t="b">
        <v>0</v>
      </c>
      <c r="BF169" s="86" t="b">
        <v>0</v>
      </c>
      <c r="BG169" s="86" t="b">
        <v>0</v>
      </c>
      <c r="BH169" s="96" t="str">
        <f>HYPERLINK("https://pbs.twimg.com/profile_banners/1172297442068455426/1685639329")</f>
        <v>https://pbs.twimg.com/profile_banners/1172297442068455426/1685639329</v>
      </c>
      <c r="BI169" s="86"/>
      <c r="BJ169" s="86" t="s">
        <v>29134</v>
      </c>
      <c r="BK169" s="86" t="b">
        <v>0</v>
      </c>
      <c r="BL169" s="86"/>
      <c r="BM169" s="86" t="s">
        <v>66</v>
      </c>
      <c r="BN169" s="86" t="s">
        <v>29136</v>
      </c>
      <c r="BO169" s="96" t="str">
        <f>HYPERLINK("https://twitter.com/fitinsur")</f>
        <v>https://twitter.com/fitinsur</v>
      </c>
      <c r="BP169" s="2"/>
    </row>
    <row r="170" spans="1:68" x14ac:dyDescent="0.25">
      <c r="A170" s="63" t="s">
        <v>373</v>
      </c>
      <c r="B170" s="64"/>
      <c r="C170" s="64"/>
      <c r="D170" s="65"/>
      <c r="E170" s="67"/>
      <c r="F170" s="111" t="str">
        <f>HYPERLINK("https://pbs.twimg.com/profile_images/1368503144053891072/kELfbxiS_normal.jpg")</f>
        <v>https://pbs.twimg.com/profile_images/1368503144053891072/kELfbxiS_normal.jpg</v>
      </c>
      <c r="G170" s="64"/>
      <c r="H170" s="68"/>
      <c r="I170" s="69"/>
      <c r="J170" s="69"/>
      <c r="K170" s="68" t="s">
        <v>29303</v>
      </c>
      <c r="L170" s="72"/>
      <c r="M170" s="73"/>
      <c r="N170" s="73"/>
      <c r="O170" s="74"/>
      <c r="P170" s="75"/>
      <c r="Q170" s="75"/>
      <c r="R170" s="102"/>
      <c r="S170" s="102"/>
      <c r="T170" s="102"/>
      <c r="U170" s="102"/>
      <c r="V170" s="48"/>
      <c r="W170" s="48"/>
      <c r="X170" s="48"/>
      <c r="Y170" s="48"/>
      <c r="Z170" s="47"/>
      <c r="AA170" s="70">
        <v>170</v>
      </c>
      <c r="AB170" s="70"/>
      <c r="AC170" s="71"/>
      <c r="AD170" s="86" t="s">
        <v>23808</v>
      </c>
      <c r="AE170" s="94" t="s">
        <v>22884</v>
      </c>
      <c r="AF170" s="86">
        <v>1000</v>
      </c>
      <c r="AG170" s="86">
        <v>432</v>
      </c>
      <c r="AH170" s="86">
        <v>5942</v>
      </c>
      <c r="AI170" s="86">
        <v>15</v>
      </c>
      <c r="AJ170" s="86">
        <v>1759</v>
      </c>
      <c r="AK170" s="86">
        <v>2856</v>
      </c>
      <c r="AL170" s="86" t="b">
        <v>0</v>
      </c>
      <c r="AM170" s="89">
        <v>44262.420057870368</v>
      </c>
      <c r="AN170" s="86" t="s">
        <v>15234</v>
      </c>
      <c r="AO170" s="86" t="s">
        <v>26574</v>
      </c>
      <c r="AP170" s="96" t="str">
        <f>HYPERLINK("https://t.co/dZQs62yw4y")</f>
        <v>https://t.co/dZQs62yw4y</v>
      </c>
      <c r="AQ170" s="96" t="str">
        <f>HYPERLINK("https://profito.club")</f>
        <v>https://profito.club</v>
      </c>
      <c r="AR170" s="86" t="s">
        <v>28016</v>
      </c>
      <c r="AS170" s="86"/>
      <c r="AT170" s="86"/>
      <c r="AU170" s="86"/>
      <c r="AV170" s="86"/>
      <c r="AW170" s="96" t="str">
        <f>HYPERLINK("https://t.co/dZQs62yw4y")</f>
        <v>https://t.co/dZQs62yw4y</v>
      </c>
      <c r="AX170" s="86" t="b">
        <v>0</v>
      </c>
      <c r="AY170" s="86"/>
      <c r="AZ170" s="86"/>
      <c r="BA170" s="86" t="b">
        <v>1</v>
      </c>
      <c r="BB170" s="86" t="b">
        <v>1</v>
      </c>
      <c r="BC170" s="86" t="b">
        <v>1</v>
      </c>
      <c r="BD170" s="86" t="b">
        <v>0</v>
      </c>
      <c r="BE170" s="86" t="b">
        <v>1</v>
      </c>
      <c r="BF170" s="86" t="b">
        <v>0</v>
      </c>
      <c r="BG170" s="86" t="b">
        <v>0</v>
      </c>
      <c r="BH170" s="96" t="str">
        <f>HYPERLINK("https://pbs.twimg.com/profile_banners/1368502856714698755/1685289350")</f>
        <v>https://pbs.twimg.com/profile_banners/1368502856714698755/1685289350</v>
      </c>
      <c r="BI170" s="86"/>
      <c r="BJ170" s="86" t="s">
        <v>29134</v>
      </c>
      <c r="BK170" s="86" t="b">
        <v>0</v>
      </c>
      <c r="BL170" s="86"/>
      <c r="BM170" s="86" t="s">
        <v>66</v>
      </c>
      <c r="BN170" s="86" t="s">
        <v>29136</v>
      </c>
      <c r="BO170" s="96" t="str">
        <f>HYPERLINK("https://twitter.com/profitoclub")</f>
        <v>https://twitter.com/profitoclub</v>
      </c>
      <c r="BP170" s="2"/>
    </row>
    <row r="171" spans="1:68" x14ac:dyDescent="0.25">
      <c r="A171" s="63" t="s">
        <v>374</v>
      </c>
      <c r="B171" s="64"/>
      <c r="C171" s="64"/>
      <c r="D171" s="65"/>
      <c r="E171" s="67"/>
      <c r="F171" s="111" t="str">
        <f>HYPERLINK("https://pbs.twimg.com/profile_images/1264584899350102019/t7i9lk35_normal.jpg")</f>
        <v>https://pbs.twimg.com/profile_images/1264584899350102019/t7i9lk35_normal.jpg</v>
      </c>
      <c r="G171" s="64"/>
      <c r="H171" s="68"/>
      <c r="I171" s="69"/>
      <c r="J171" s="69"/>
      <c r="K171" s="68" t="s">
        <v>29304</v>
      </c>
      <c r="L171" s="72"/>
      <c r="M171" s="73"/>
      <c r="N171" s="73"/>
      <c r="O171" s="74"/>
      <c r="P171" s="75"/>
      <c r="Q171" s="75"/>
      <c r="R171" s="102"/>
      <c r="S171" s="102"/>
      <c r="T171" s="102"/>
      <c r="U171" s="102"/>
      <c r="V171" s="48"/>
      <c r="W171" s="48"/>
      <c r="X171" s="48"/>
      <c r="Y171" s="48"/>
      <c r="Z171" s="47"/>
      <c r="AA171" s="70">
        <v>171</v>
      </c>
      <c r="AB171" s="70"/>
      <c r="AC171" s="71"/>
      <c r="AD171" s="86" t="s">
        <v>23809</v>
      </c>
      <c r="AE171" s="94" t="s">
        <v>25278</v>
      </c>
      <c r="AF171" s="86">
        <v>8686</v>
      </c>
      <c r="AG171" s="86">
        <v>696</v>
      </c>
      <c r="AH171" s="86">
        <v>130965</v>
      </c>
      <c r="AI171" s="86">
        <v>67</v>
      </c>
      <c r="AJ171" s="86">
        <v>15495</v>
      </c>
      <c r="AK171" s="86">
        <v>21904</v>
      </c>
      <c r="AL171" s="86" t="b">
        <v>0</v>
      </c>
      <c r="AM171" s="89">
        <v>39960.948495370372</v>
      </c>
      <c r="AN171" s="86" t="s">
        <v>15372</v>
      </c>
      <c r="AO171" s="86" t="s">
        <v>26575</v>
      </c>
      <c r="AP171" s="96" t="str">
        <f>HYPERLINK("https://t.co/vwjuhhZp0C")</f>
        <v>https://t.co/vwjuhhZp0C</v>
      </c>
      <c r="AQ171" s="96" t="str">
        <f>HYPERLINK("https://www.barrazine.com.br")</f>
        <v>https://www.barrazine.com.br</v>
      </c>
      <c r="AR171" s="86" t="s">
        <v>28017</v>
      </c>
      <c r="AS171" s="86"/>
      <c r="AT171" s="86"/>
      <c r="AU171" s="86"/>
      <c r="AV171" s="86">
        <v>1.6296213528386401E+18</v>
      </c>
      <c r="AW171" s="96" t="str">
        <f>HYPERLINK("https://t.co/vwjuhhZp0C")</f>
        <v>https://t.co/vwjuhhZp0C</v>
      </c>
      <c r="AX171" s="86" t="b">
        <v>0</v>
      </c>
      <c r="AY171" s="86"/>
      <c r="AZ171" s="86"/>
      <c r="BA171" s="86" t="b">
        <v>0</v>
      </c>
      <c r="BB171" s="86" t="b">
        <v>1</v>
      </c>
      <c r="BC171" s="86" t="b">
        <v>0</v>
      </c>
      <c r="BD171" s="86" t="b">
        <v>0</v>
      </c>
      <c r="BE171" s="86" t="b">
        <v>0</v>
      </c>
      <c r="BF171" s="86" t="b">
        <v>0</v>
      </c>
      <c r="BG171" s="86" t="b">
        <v>0</v>
      </c>
      <c r="BH171" s="96" t="str">
        <f>HYPERLINK("https://pbs.twimg.com/profile_banners/42985931/1675475530")</f>
        <v>https://pbs.twimg.com/profile_banners/42985931/1675475530</v>
      </c>
      <c r="BI171" s="86"/>
      <c r="BJ171" s="86" t="s">
        <v>29134</v>
      </c>
      <c r="BK171" s="86" t="b">
        <v>0</v>
      </c>
      <c r="BL171" s="86"/>
      <c r="BM171" s="86" t="s">
        <v>66</v>
      </c>
      <c r="BN171" s="86" t="s">
        <v>29136</v>
      </c>
      <c r="BO171" s="96" t="str">
        <f>HYPERLINK("https://twitter.com/barrazine")</f>
        <v>https://twitter.com/barrazine</v>
      </c>
      <c r="BP171" s="2"/>
    </row>
    <row r="172" spans="1:68" x14ac:dyDescent="0.25">
      <c r="A172" s="63" t="s">
        <v>375</v>
      </c>
      <c r="B172" s="64"/>
      <c r="C172" s="64"/>
      <c r="D172" s="65"/>
      <c r="E172" s="67"/>
      <c r="F172" s="111" t="str">
        <f>HYPERLINK("https://pbs.twimg.com/profile_images/1346105073852706818/WBNaqYfp_normal.jpg")</f>
        <v>https://pbs.twimg.com/profile_images/1346105073852706818/WBNaqYfp_normal.jpg</v>
      </c>
      <c r="G172" s="64"/>
      <c r="H172" s="68"/>
      <c r="I172" s="69"/>
      <c r="J172" s="69"/>
      <c r="K172" s="68" t="s">
        <v>29305</v>
      </c>
      <c r="L172" s="72"/>
      <c r="M172" s="73"/>
      <c r="N172" s="73"/>
      <c r="O172" s="74"/>
      <c r="P172" s="75"/>
      <c r="Q172" s="75"/>
      <c r="R172" s="102"/>
      <c r="S172" s="102"/>
      <c r="T172" s="102"/>
      <c r="U172" s="102"/>
      <c r="V172" s="48"/>
      <c r="W172" s="48"/>
      <c r="X172" s="48"/>
      <c r="Y172" s="48"/>
      <c r="Z172" s="47"/>
      <c r="AA172" s="70">
        <v>172</v>
      </c>
      <c r="AB172" s="70"/>
      <c r="AC172" s="71"/>
      <c r="AD172" s="86" t="s">
        <v>23810</v>
      </c>
      <c r="AE172" s="94" t="s">
        <v>25279</v>
      </c>
      <c r="AF172" s="86">
        <v>1374</v>
      </c>
      <c r="AG172" s="86">
        <v>1310</v>
      </c>
      <c r="AH172" s="86">
        <v>4369</v>
      </c>
      <c r="AI172" s="86">
        <v>21</v>
      </c>
      <c r="AJ172" s="86">
        <v>115</v>
      </c>
      <c r="AK172" s="86">
        <v>93</v>
      </c>
      <c r="AL172" s="86" t="b">
        <v>0</v>
      </c>
      <c r="AM172" s="89">
        <v>40568.843622685185</v>
      </c>
      <c r="AN172" s="86" t="s">
        <v>25943</v>
      </c>
      <c r="AO172" s="86" t="s">
        <v>26576</v>
      </c>
      <c r="AP172" s="96" t="str">
        <f>HYPERLINK("http://t.co/KWmxc3rcie")</f>
        <v>http://t.co/KWmxc3rcie</v>
      </c>
      <c r="AQ172" s="96" t="str">
        <f>HYPERLINK("http://www.comunidadempresaria.org")</f>
        <v>http://www.comunidadempresaria.org</v>
      </c>
      <c r="AR172" s="86" t="s">
        <v>28018</v>
      </c>
      <c r="AS172" s="86"/>
      <c r="AT172" s="86"/>
      <c r="AU172" s="86"/>
      <c r="AV172" s="86"/>
      <c r="AW172" s="96" t="str">
        <f>HYPERLINK("http://t.co/KWmxc3rcie")</f>
        <v>http://t.co/KWmxc3rcie</v>
      </c>
      <c r="AX172" s="86" t="b">
        <v>0</v>
      </c>
      <c r="AY172" s="86"/>
      <c r="AZ172" s="86"/>
      <c r="BA172" s="86" t="b">
        <v>0</v>
      </c>
      <c r="BB172" s="86" t="b">
        <v>1</v>
      </c>
      <c r="BC172" s="86" t="b">
        <v>1</v>
      </c>
      <c r="BD172" s="86" t="b">
        <v>0</v>
      </c>
      <c r="BE172" s="86" t="b">
        <v>0</v>
      </c>
      <c r="BF172" s="86" t="b">
        <v>0</v>
      </c>
      <c r="BG172" s="86" t="b">
        <v>0</v>
      </c>
      <c r="BH172" s="96" t="str">
        <f>HYPERLINK("https://pbs.twimg.com/profile_banners/242877676/1609771650")</f>
        <v>https://pbs.twimg.com/profile_banners/242877676/1609771650</v>
      </c>
      <c r="BI172" s="86"/>
      <c r="BJ172" s="86" t="s">
        <v>29134</v>
      </c>
      <c r="BK172" s="86" t="b">
        <v>0</v>
      </c>
      <c r="BL172" s="86"/>
      <c r="BM172" s="86" t="s">
        <v>66</v>
      </c>
      <c r="BN172" s="86" t="s">
        <v>29136</v>
      </c>
      <c r="BO172" s="96" t="str">
        <f>HYPERLINK("https://twitter.com/comempresaria")</f>
        <v>https://twitter.com/comempresaria</v>
      </c>
      <c r="BP172" s="2"/>
    </row>
    <row r="173" spans="1:68" x14ac:dyDescent="0.25">
      <c r="A173" s="63" t="s">
        <v>376</v>
      </c>
      <c r="B173" s="64"/>
      <c r="C173" s="64"/>
      <c r="D173" s="65"/>
      <c r="E173" s="67"/>
      <c r="F173" s="111" t="str">
        <f>HYPERLINK("https://pbs.twimg.com/profile_images/1679163434229694466/wX5BRN3M_normal.jpg")</f>
        <v>https://pbs.twimg.com/profile_images/1679163434229694466/wX5BRN3M_normal.jpg</v>
      </c>
      <c r="G173" s="64"/>
      <c r="H173" s="68"/>
      <c r="I173" s="69"/>
      <c r="J173" s="69"/>
      <c r="K173" s="68" t="s">
        <v>29306</v>
      </c>
      <c r="L173" s="72"/>
      <c r="M173" s="73"/>
      <c r="N173" s="73"/>
      <c r="O173" s="74"/>
      <c r="P173" s="75"/>
      <c r="Q173" s="75"/>
      <c r="R173" s="102"/>
      <c r="S173" s="102"/>
      <c r="T173" s="102"/>
      <c r="U173" s="102"/>
      <c r="V173" s="48"/>
      <c r="W173" s="48"/>
      <c r="X173" s="48"/>
      <c r="Y173" s="48"/>
      <c r="Z173" s="47"/>
      <c r="AA173" s="70">
        <v>173</v>
      </c>
      <c r="AB173" s="70"/>
      <c r="AC173" s="71"/>
      <c r="AD173" s="86" t="s">
        <v>23811</v>
      </c>
      <c r="AE173" s="94" t="s">
        <v>22885</v>
      </c>
      <c r="AF173" s="86">
        <v>1</v>
      </c>
      <c r="AG173" s="86">
        <v>0</v>
      </c>
      <c r="AH173" s="86">
        <v>14</v>
      </c>
      <c r="AI173" s="86">
        <v>0</v>
      </c>
      <c r="AJ173" s="86">
        <v>0</v>
      </c>
      <c r="AK173" s="86">
        <v>14</v>
      </c>
      <c r="AL173" s="86" t="b">
        <v>0</v>
      </c>
      <c r="AM173" s="89">
        <v>45035.511296296296</v>
      </c>
      <c r="AN173" s="86"/>
      <c r="AO173" s="86" t="s">
        <v>26577</v>
      </c>
      <c r="AP173" s="96" t="str">
        <f>HYPERLINK("https://t.co/XJFpNiSpj6")</f>
        <v>https://t.co/XJFpNiSpj6</v>
      </c>
      <c r="AQ173" s="96" t="str">
        <f>HYPERLINK("http://www.dwlcompany.com")</f>
        <v>http://www.dwlcompany.com</v>
      </c>
      <c r="AR173" s="86" t="s">
        <v>28019</v>
      </c>
      <c r="AS173" s="86"/>
      <c r="AT173" s="86"/>
      <c r="AU173" s="86"/>
      <c r="AV173" s="86"/>
      <c r="AW173" s="96" t="str">
        <f>HYPERLINK("https://t.co/XJFpNiSpj6")</f>
        <v>https://t.co/XJFpNiSpj6</v>
      </c>
      <c r="AX173" s="86" t="b">
        <v>0</v>
      </c>
      <c r="AY173" s="86"/>
      <c r="AZ173" s="86"/>
      <c r="BA173" s="86" t="b">
        <v>0</v>
      </c>
      <c r="BB173" s="86" t="b">
        <v>1</v>
      </c>
      <c r="BC173" s="86" t="b">
        <v>1</v>
      </c>
      <c r="BD173" s="86" t="b">
        <v>0</v>
      </c>
      <c r="BE173" s="86" t="b">
        <v>0</v>
      </c>
      <c r="BF173" s="86" t="b">
        <v>0</v>
      </c>
      <c r="BG173" s="86" t="b">
        <v>0</v>
      </c>
      <c r="BH173" s="96" t="str">
        <f>HYPERLINK("https://pbs.twimg.com/profile_banners/1648661721496670208/1689178736")</f>
        <v>https://pbs.twimg.com/profile_banners/1648661721496670208/1689178736</v>
      </c>
      <c r="BI173" s="86"/>
      <c r="BJ173" s="86" t="s">
        <v>29134</v>
      </c>
      <c r="BK173" s="86" t="b">
        <v>0</v>
      </c>
      <c r="BL173" s="86"/>
      <c r="BM173" s="86" t="s">
        <v>66</v>
      </c>
      <c r="BN173" s="86" t="s">
        <v>29136</v>
      </c>
      <c r="BO173" s="96" t="str">
        <f>HYPERLINK("https://twitter.com/dwlcompany")</f>
        <v>https://twitter.com/dwlcompany</v>
      </c>
      <c r="BP173" s="2"/>
    </row>
    <row r="174" spans="1:68" x14ac:dyDescent="0.25">
      <c r="A174" s="63" t="s">
        <v>377</v>
      </c>
      <c r="B174" s="64"/>
      <c r="C174" s="64"/>
      <c r="D174" s="65"/>
      <c r="E174" s="67"/>
      <c r="F174" s="111" t="str">
        <f>HYPERLINK("https://pbs.twimg.com/profile_images/1646616079383289858/-i2c5GLP_normal.jpg")</f>
        <v>https://pbs.twimg.com/profile_images/1646616079383289858/-i2c5GLP_normal.jpg</v>
      </c>
      <c r="G174" s="64"/>
      <c r="H174" s="68"/>
      <c r="I174" s="69"/>
      <c r="J174" s="69"/>
      <c r="K174" s="68" t="s">
        <v>29307</v>
      </c>
      <c r="L174" s="72"/>
      <c r="M174" s="73"/>
      <c r="N174" s="73"/>
      <c r="O174" s="74"/>
      <c r="P174" s="75"/>
      <c r="Q174" s="75"/>
      <c r="R174" s="102"/>
      <c r="S174" s="102"/>
      <c r="T174" s="102"/>
      <c r="U174" s="102"/>
      <c r="V174" s="48"/>
      <c r="W174" s="48"/>
      <c r="X174" s="48"/>
      <c r="Y174" s="48"/>
      <c r="Z174" s="47"/>
      <c r="AA174" s="70">
        <v>174</v>
      </c>
      <c r="AB174" s="70"/>
      <c r="AC174" s="71"/>
      <c r="AD174" s="86" t="s">
        <v>23812</v>
      </c>
      <c r="AE174" s="94" t="s">
        <v>22527</v>
      </c>
      <c r="AF174" s="86">
        <v>1477</v>
      </c>
      <c r="AG174" s="86">
        <v>879</v>
      </c>
      <c r="AH174" s="86">
        <v>1879</v>
      </c>
      <c r="AI174" s="86">
        <v>39</v>
      </c>
      <c r="AJ174" s="86">
        <v>229</v>
      </c>
      <c r="AK174" s="86">
        <v>642</v>
      </c>
      <c r="AL174" s="86" t="b">
        <v>0</v>
      </c>
      <c r="AM174" s="89">
        <v>40772.60837962963</v>
      </c>
      <c r="AN174" s="86"/>
      <c r="AO174" s="86" t="s">
        <v>26578</v>
      </c>
      <c r="AP174" s="96" t="str">
        <f>HYPERLINK("https://t.co/P3Un3xr6qu")</f>
        <v>https://t.co/P3Un3xr6qu</v>
      </c>
      <c r="AQ174" s="96" t="str">
        <f>HYPERLINK("http://www.softex.br")</f>
        <v>http://www.softex.br</v>
      </c>
      <c r="AR174" s="86" t="s">
        <v>28020</v>
      </c>
      <c r="AS174" s="86"/>
      <c r="AT174" s="86"/>
      <c r="AU174" s="86"/>
      <c r="AV174" s="86"/>
      <c r="AW174" s="96" t="str">
        <f>HYPERLINK("https://t.co/P3Un3xr6qu")</f>
        <v>https://t.co/P3Un3xr6qu</v>
      </c>
      <c r="AX174" s="86" t="b">
        <v>0</v>
      </c>
      <c r="AY174" s="86"/>
      <c r="AZ174" s="86"/>
      <c r="BA174" s="86" t="b">
        <v>0</v>
      </c>
      <c r="BB174" s="86" t="b">
        <v>0</v>
      </c>
      <c r="BC174" s="86" t="b">
        <v>0</v>
      </c>
      <c r="BD174" s="86" t="b">
        <v>0</v>
      </c>
      <c r="BE174" s="86" t="b">
        <v>1</v>
      </c>
      <c r="BF174" s="86" t="b">
        <v>0</v>
      </c>
      <c r="BG174" s="86" t="b">
        <v>0</v>
      </c>
      <c r="BH174" s="96" t="str">
        <f>HYPERLINK("https://pbs.twimg.com/profile_banners/356886873/1680807108")</f>
        <v>https://pbs.twimg.com/profile_banners/356886873/1680807108</v>
      </c>
      <c r="BI174" s="86"/>
      <c r="BJ174" s="86" t="s">
        <v>29134</v>
      </c>
      <c r="BK174" s="86" t="b">
        <v>0</v>
      </c>
      <c r="BL174" s="86"/>
      <c r="BM174" s="86" t="s">
        <v>66</v>
      </c>
      <c r="BN174" s="86" t="s">
        <v>29136</v>
      </c>
      <c r="BO174" s="96" t="str">
        <f>HYPERLINK("https://twitter.com/softexbr")</f>
        <v>https://twitter.com/softexbr</v>
      </c>
      <c r="BP174" s="2"/>
    </row>
    <row r="175" spans="1:68" x14ac:dyDescent="0.25">
      <c r="A175" s="63" t="s">
        <v>378</v>
      </c>
      <c r="B175" s="64"/>
      <c r="C175" s="64"/>
      <c r="D175" s="65"/>
      <c r="E175" s="67"/>
      <c r="F175" s="111" t="str">
        <f>HYPERLINK("https://pbs.twimg.com/profile_images/1641135561397108740/FKuLMWjD_normal.jpg")</f>
        <v>https://pbs.twimg.com/profile_images/1641135561397108740/FKuLMWjD_normal.jpg</v>
      </c>
      <c r="G175" s="64"/>
      <c r="H175" s="68"/>
      <c r="I175" s="69"/>
      <c r="J175" s="69"/>
      <c r="K175" s="68" t="s">
        <v>29308</v>
      </c>
      <c r="L175" s="72"/>
      <c r="M175" s="73"/>
      <c r="N175" s="73"/>
      <c r="O175" s="74"/>
      <c r="P175" s="75"/>
      <c r="Q175" s="75"/>
      <c r="R175" s="102"/>
      <c r="S175" s="102"/>
      <c r="T175" s="102"/>
      <c r="U175" s="102"/>
      <c r="V175" s="48"/>
      <c r="W175" s="48"/>
      <c r="X175" s="48"/>
      <c r="Y175" s="48"/>
      <c r="Z175" s="47"/>
      <c r="AA175" s="70">
        <v>175</v>
      </c>
      <c r="AB175" s="70"/>
      <c r="AC175" s="71"/>
      <c r="AD175" s="86" t="s">
        <v>23813</v>
      </c>
      <c r="AE175" s="94" t="s">
        <v>22886</v>
      </c>
      <c r="AF175" s="86">
        <v>40</v>
      </c>
      <c r="AG175" s="86">
        <v>10</v>
      </c>
      <c r="AH175" s="86">
        <v>1804</v>
      </c>
      <c r="AI175" s="86">
        <v>0</v>
      </c>
      <c r="AJ175" s="86">
        <v>2</v>
      </c>
      <c r="AK175" s="86">
        <v>502</v>
      </c>
      <c r="AL175" s="86" t="b">
        <v>0</v>
      </c>
      <c r="AM175" s="89">
        <v>45014.742650462962</v>
      </c>
      <c r="AN175" s="86"/>
      <c r="AO175" s="86" t="s">
        <v>26579</v>
      </c>
      <c r="AP175" s="86"/>
      <c r="AQ175" s="86"/>
      <c r="AR175" s="86"/>
      <c r="AS175" s="86"/>
      <c r="AT175" s="86"/>
      <c r="AU175" s="86"/>
      <c r="AV175" s="86"/>
      <c r="AW175" s="86"/>
      <c r="AX175" s="86" t="b">
        <v>0</v>
      </c>
      <c r="AY175" s="86"/>
      <c r="AZ175" s="86"/>
      <c r="BA175" s="86" t="b">
        <v>0</v>
      </c>
      <c r="BB175" s="86" t="b">
        <v>1</v>
      </c>
      <c r="BC175" s="86" t="b">
        <v>1</v>
      </c>
      <c r="BD175" s="86" t="b">
        <v>0</v>
      </c>
      <c r="BE175" s="86" t="b">
        <v>0</v>
      </c>
      <c r="BF175" s="86" t="b">
        <v>0</v>
      </c>
      <c r="BG175" s="86" t="b">
        <v>0</v>
      </c>
      <c r="BH175" s="96" t="str">
        <f>HYPERLINK("https://pbs.twimg.com/profile_banners/1641134894360272896/1680702122")</f>
        <v>https://pbs.twimg.com/profile_banners/1641134894360272896/1680702122</v>
      </c>
      <c r="BI175" s="86"/>
      <c r="BJ175" s="86" t="s">
        <v>29134</v>
      </c>
      <c r="BK175" s="86" t="b">
        <v>0</v>
      </c>
      <c r="BL175" s="86"/>
      <c r="BM175" s="86" t="s">
        <v>66</v>
      </c>
      <c r="BN175" s="86" t="s">
        <v>29136</v>
      </c>
      <c r="BO175" s="96" t="str">
        <f>HYPERLINK("https://twitter.com/riosdenoticias")</f>
        <v>https://twitter.com/riosdenoticias</v>
      </c>
      <c r="BP175" s="2"/>
    </row>
    <row r="176" spans="1:68" x14ac:dyDescent="0.25">
      <c r="A176" s="63" t="s">
        <v>379</v>
      </c>
      <c r="B176" s="64"/>
      <c r="C176" s="64"/>
      <c r="D176" s="65"/>
      <c r="E176" s="67"/>
      <c r="F176" s="111" t="str">
        <f>HYPERLINK("https://pbs.twimg.com/profile_images/1387408800009932801/Ahet2vdR_normal.jpg")</f>
        <v>https://pbs.twimg.com/profile_images/1387408800009932801/Ahet2vdR_normal.jpg</v>
      </c>
      <c r="G176" s="64"/>
      <c r="H176" s="68"/>
      <c r="I176" s="69"/>
      <c r="J176" s="69"/>
      <c r="K176" s="68" t="s">
        <v>29309</v>
      </c>
      <c r="L176" s="72"/>
      <c r="M176" s="73"/>
      <c r="N176" s="73"/>
      <c r="O176" s="74"/>
      <c r="P176" s="75"/>
      <c r="Q176" s="75"/>
      <c r="R176" s="102"/>
      <c r="S176" s="102"/>
      <c r="T176" s="102"/>
      <c r="U176" s="102"/>
      <c r="V176" s="48"/>
      <c r="W176" s="48"/>
      <c r="X176" s="48"/>
      <c r="Y176" s="48"/>
      <c r="Z176" s="47"/>
      <c r="AA176" s="70">
        <v>176</v>
      </c>
      <c r="AB176" s="70"/>
      <c r="AC176" s="71"/>
      <c r="AD176" s="86" t="s">
        <v>23814</v>
      </c>
      <c r="AE176" s="94" t="s">
        <v>22528</v>
      </c>
      <c r="AF176" s="86">
        <v>265</v>
      </c>
      <c r="AG176" s="86">
        <v>132</v>
      </c>
      <c r="AH176" s="86">
        <v>252</v>
      </c>
      <c r="AI176" s="86">
        <v>0</v>
      </c>
      <c r="AJ176" s="86">
        <v>13</v>
      </c>
      <c r="AK176" s="86">
        <v>146</v>
      </c>
      <c r="AL176" s="86" t="b">
        <v>0</v>
      </c>
      <c r="AM176" s="89">
        <v>43268.695462962962</v>
      </c>
      <c r="AN176" s="86" t="s">
        <v>15234</v>
      </c>
      <c r="AO176" s="86" t="s">
        <v>26580</v>
      </c>
      <c r="AP176" s="96" t="str">
        <f>HYPERLINK("https://t.co/Im0nCwUm0z")</f>
        <v>https://t.co/Im0nCwUm0z</v>
      </c>
      <c r="AQ176" s="96" t="str">
        <f>HYPERLINK("https://www.omie.com.br/")</f>
        <v>https://www.omie.com.br/</v>
      </c>
      <c r="AR176" s="86" t="s">
        <v>28021</v>
      </c>
      <c r="AS176" s="96" t="str">
        <f>HYPERLINK("https://t.co/EXkaj8iJLX")</f>
        <v>https://t.co/EXkaj8iJLX</v>
      </c>
      <c r="AT176" s="96" t="str">
        <f>HYPERLINK("http://bit.ly/m/omieoficial")</f>
        <v>http://bit.ly/m/omieoficial</v>
      </c>
      <c r="AU176" s="86" t="s">
        <v>29039</v>
      </c>
      <c r="AV176" s="86">
        <v>1.68211444457743E+18</v>
      </c>
      <c r="AW176" s="96" t="str">
        <f>HYPERLINK("https://t.co/Im0nCwUm0z")</f>
        <v>https://t.co/Im0nCwUm0z</v>
      </c>
      <c r="AX176" s="86" t="b">
        <v>0</v>
      </c>
      <c r="AY176" s="86"/>
      <c r="AZ176" s="86"/>
      <c r="BA176" s="86" t="b">
        <v>0</v>
      </c>
      <c r="BB176" s="86" t="b">
        <v>1</v>
      </c>
      <c r="BC176" s="86" t="b">
        <v>1</v>
      </c>
      <c r="BD176" s="86" t="b">
        <v>0</v>
      </c>
      <c r="BE176" s="86" t="b">
        <v>0</v>
      </c>
      <c r="BF176" s="86" t="b">
        <v>0</v>
      </c>
      <c r="BG176" s="86" t="b">
        <v>0</v>
      </c>
      <c r="BH176" s="96" t="str">
        <f>HYPERLINK("https://pbs.twimg.com/profile_banners/1008389172003033088/1687956021")</f>
        <v>https://pbs.twimg.com/profile_banners/1008389172003033088/1687956021</v>
      </c>
      <c r="BI176" s="86"/>
      <c r="BJ176" s="86" t="s">
        <v>29134</v>
      </c>
      <c r="BK176" s="86" t="b">
        <v>0</v>
      </c>
      <c r="BL176" s="86"/>
      <c r="BM176" s="86" t="s">
        <v>66</v>
      </c>
      <c r="BN176" s="86" t="s">
        <v>29136</v>
      </c>
      <c r="BO176" s="96" t="str">
        <f>HYPERLINK("https://twitter.com/omieoficial")</f>
        <v>https://twitter.com/omieoficial</v>
      </c>
      <c r="BP176" s="2"/>
    </row>
    <row r="177" spans="1:68" x14ac:dyDescent="0.25">
      <c r="A177" s="63" t="s">
        <v>380</v>
      </c>
      <c r="B177" s="64"/>
      <c r="C177" s="64"/>
      <c r="D177" s="65"/>
      <c r="E177" s="67"/>
      <c r="F177" s="111" t="str">
        <f>HYPERLINK("https://pbs.twimg.com/profile_images/1701570246832742400/npXY4R9M_normal.jpg")</f>
        <v>https://pbs.twimg.com/profile_images/1701570246832742400/npXY4R9M_normal.jpg</v>
      </c>
      <c r="G177" s="64"/>
      <c r="H177" s="68"/>
      <c r="I177" s="69"/>
      <c r="J177" s="69"/>
      <c r="K177" s="68" t="s">
        <v>29310</v>
      </c>
      <c r="L177" s="72"/>
      <c r="M177" s="73"/>
      <c r="N177" s="73"/>
      <c r="O177" s="74"/>
      <c r="P177" s="75"/>
      <c r="Q177" s="75"/>
      <c r="R177" s="102"/>
      <c r="S177" s="102"/>
      <c r="T177" s="102"/>
      <c r="U177" s="102"/>
      <c r="V177" s="48"/>
      <c r="W177" s="48"/>
      <c r="X177" s="48"/>
      <c r="Y177" s="48"/>
      <c r="Z177" s="47"/>
      <c r="AA177" s="70">
        <v>177</v>
      </c>
      <c r="AB177" s="70"/>
      <c r="AC177" s="71"/>
      <c r="AD177" s="86" t="s">
        <v>23815</v>
      </c>
      <c r="AE177" s="94" t="s">
        <v>25280</v>
      </c>
      <c r="AF177" s="86">
        <v>2208</v>
      </c>
      <c r="AG177" s="86">
        <v>129</v>
      </c>
      <c r="AH177" s="86">
        <v>5466</v>
      </c>
      <c r="AI177" s="86">
        <v>6</v>
      </c>
      <c r="AJ177" s="86">
        <v>19</v>
      </c>
      <c r="AK177" s="86">
        <v>2680</v>
      </c>
      <c r="AL177" s="86" t="b">
        <v>0</v>
      </c>
      <c r="AM177" s="89">
        <v>40926.564780092594</v>
      </c>
      <c r="AN177" s="86" t="s">
        <v>25944</v>
      </c>
      <c r="AO177" s="86" t="s">
        <v>26581</v>
      </c>
      <c r="AP177" s="96" t="str">
        <f>HYPERLINK("https://t.co/t2G1fppKEK")</f>
        <v>https://t.co/t2G1fppKEK</v>
      </c>
      <c r="AQ177" s="96" t="str">
        <f>HYPERLINK("https://linktr.ee/portalgcd")</f>
        <v>https://linktr.ee/portalgcd</v>
      </c>
      <c r="AR177" s="86" t="s">
        <v>28022</v>
      </c>
      <c r="AS177" s="86"/>
      <c r="AT177" s="86"/>
      <c r="AU177" s="86"/>
      <c r="AV177" s="86"/>
      <c r="AW177" s="96" t="str">
        <f>HYPERLINK("https://t.co/t2G1fppKEK")</f>
        <v>https://t.co/t2G1fppKEK</v>
      </c>
      <c r="AX177" s="86" t="b">
        <v>0</v>
      </c>
      <c r="AY177" s="86"/>
      <c r="AZ177" s="86"/>
      <c r="BA177" s="86" t="b">
        <v>0</v>
      </c>
      <c r="BB177" s="86" t="b">
        <v>1</v>
      </c>
      <c r="BC177" s="86" t="b">
        <v>0</v>
      </c>
      <c r="BD177" s="86" t="b">
        <v>0</v>
      </c>
      <c r="BE177" s="86" t="b">
        <v>0</v>
      </c>
      <c r="BF177" s="86" t="b">
        <v>0</v>
      </c>
      <c r="BG177" s="86" t="b">
        <v>0</v>
      </c>
      <c r="BH177" s="96" t="str">
        <f>HYPERLINK("https://pbs.twimg.com/profile_banners/467438865/1684149533")</f>
        <v>https://pbs.twimg.com/profile_banners/467438865/1684149533</v>
      </c>
      <c r="BI177" s="86"/>
      <c r="BJ177" s="86" t="s">
        <v>29134</v>
      </c>
      <c r="BK177" s="86" t="b">
        <v>0</v>
      </c>
      <c r="BL177" s="86"/>
      <c r="BM177" s="86" t="s">
        <v>66</v>
      </c>
      <c r="BN177" s="86" t="s">
        <v>29136</v>
      </c>
      <c r="BO177" s="96" t="str">
        <f>HYPERLINK("https://twitter.com/portalgcd")</f>
        <v>https://twitter.com/portalgcd</v>
      </c>
      <c r="BP177" s="2"/>
    </row>
    <row r="178" spans="1:68" x14ac:dyDescent="0.25">
      <c r="A178" s="63" t="s">
        <v>381</v>
      </c>
      <c r="B178" s="64"/>
      <c r="C178" s="64"/>
      <c r="D178" s="65"/>
      <c r="E178" s="67"/>
      <c r="F178" s="111" t="str">
        <f>HYPERLINK("https://pbs.twimg.com/profile_images/1603545636309241856/yvqEuSnz_normal.jpg")</f>
        <v>https://pbs.twimg.com/profile_images/1603545636309241856/yvqEuSnz_normal.jpg</v>
      </c>
      <c r="G178" s="64"/>
      <c r="H178" s="68"/>
      <c r="I178" s="69"/>
      <c r="J178" s="69"/>
      <c r="K178" s="68" t="s">
        <v>29311</v>
      </c>
      <c r="L178" s="72"/>
      <c r="M178" s="73"/>
      <c r="N178" s="73"/>
      <c r="O178" s="74"/>
      <c r="P178" s="75"/>
      <c r="Q178" s="75"/>
      <c r="R178" s="102"/>
      <c r="S178" s="102"/>
      <c r="T178" s="102"/>
      <c r="U178" s="102"/>
      <c r="V178" s="48"/>
      <c r="W178" s="48"/>
      <c r="X178" s="48"/>
      <c r="Y178" s="48"/>
      <c r="Z178" s="47"/>
      <c r="AA178" s="70">
        <v>178</v>
      </c>
      <c r="AB178" s="70"/>
      <c r="AC178" s="71"/>
      <c r="AD178" s="86" t="s">
        <v>23816</v>
      </c>
      <c r="AE178" s="94" t="s">
        <v>25281</v>
      </c>
      <c r="AF178" s="86">
        <v>122382</v>
      </c>
      <c r="AG178" s="86">
        <v>2602</v>
      </c>
      <c r="AH178" s="86">
        <v>355321</v>
      </c>
      <c r="AI178" s="86">
        <v>899</v>
      </c>
      <c r="AJ178" s="86">
        <v>624</v>
      </c>
      <c r="AK178" s="86">
        <v>44169</v>
      </c>
      <c r="AL178" s="86" t="b">
        <v>0</v>
      </c>
      <c r="AM178" s="89">
        <v>39543.722395833334</v>
      </c>
      <c r="AN178" s="86"/>
      <c r="AO178" s="86" t="s">
        <v>26582</v>
      </c>
      <c r="AP178" s="86"/>
      <c r="AQ178" s="86"/>
      <c r="AR178" s="86"/>
      <c r="AS178" s="86"/>
      <c r="AT178" s="86"/>
      <c r="AU178" s="86"/>
      <c r="AV178" s="86"/>
      <c r="AW178" s="86"/>
      <c r="AX178" s="86" t="b">
        <v>1</v>
      </c>
      <c r="AY178" s="86"/>
      <c r="AZ178" s="86"/>
      <c r="BA178" s="86" t="b">
        <v>1</v>
      </c>
      <c r="BB178" s="86" t="b">
        <v>1</v>
      </c>
      <c r="BC178" s="86" t="b">
        <v>0</v>
      </c>
      <c r="BD178" s="86" t="b">
        <v>0</v>
      </c>
      <c r="BE178" s="86" t="b">
        <v>1</v>
      </c>
      <c r="BF178" s="86" t="b">
        <v>0</v>
      </c>
      <c r="BG178" s="86" t="b">
        <v>0</v>
      </c>
      <c r="BH178" s="96" t="str">
        <f>HYPERLINK("https://pbs.twimg.com/profile_banners/14311308/1695317963")</f>
        <v>https://pbs.twimg.com/profile_banners/14311308/1695317963</v>
      </c>
      <c r="BI178" s="86"/>
      <c r="BJ178" s="86" t="s">
        <v>29134</v>
      </c>
      <c r="BK178" s="86" t="b">
        <v>0</v>
      </c>
      <c r="BL178" s="86"/>
      <c r="BM178" s="86" t="s">
        <v>66</v>
      </c>
      <c r="BN178" s="86" t="s">
        <v>29136</v>
      </c>
      <c r="BO178" s="96" t="str">
        <f>HYPERLINK("https://twitter.com/ig")</f>
        <v>https://twitter.com/ig</v>
      </c>
      <c r="BP178" s="2"/>
    </row>
    <row r="179" spans="1:68" x14ac:dyDescent="0.25">
      <c r="A179" s="63" t="s">
        <v>382</v>
      </c>
      <c r="B179" s="64"/>
      <c r="C179" s="64"/>
      <c r="D179" s="65"/>
      <c r="E179" s="67"/>
      <c r="F179" s="111" t="str">
        <f>HYPERLINK("https://pbs.twimg.com/profile_images/1540505411484278786/oTrfpqgo_normal.jpg")</f>
        <v>https://pbs.twimg.com/profile_images/1540505411484278786/oTrfpqgo_normal.jpg</v>
      </c>
      <c r="G179" s="64"/>
      <c r="H179" s="68"/>
      <c r="I179" s="69"/>
      <c r="J179" s="69"/>
      <c r="K179" s="68" t="s">
        <v>29312</v>
      </c>
      <c r="L179" s="72"/>
      <c r="M179" s="73"/>
      <c r="N179" s="73"/>
      <c r="O179" s="74"/>
      <c r="P179" s="75"/>
      <c r="Q179" s="75"/>
      <c r="R179" s="102"/>
      <c r="S179" s="102"/>
      <c r="T179" s="102"/>
      <c r="U179" s="102"/>
      <c r="V179" s="48"/>
      <c r="W179" s="48"/>
      <c r="X179" s="48"/>
      <c r="Y179" s="48"/>
      <c r="Z179" s="47"/>
      <c r="AA179" s="70">
        <v>179</v>
      </c>
      <c r="AB179" s="70"/>
      <c r="AC179" s="71"/>
      <c r="AD179" s="86" t="s">
        <v>23817</v>
      </c>
      <c r="AE179" s="94" t="s">
        <v>22887</v>
      </c>
      <c r="AF179" s="86">
        <v>286</v>
      </c>
      <c r="AG179" s="86">
        <v>52</v>
      </c>
      <c r="AH179" s="86">
        <v>373</v>
      </c>
      <c r="AI179" s="86">
        <v>2</v>
      </c>
      <c r="AJ179" s="86">
        <v>294</v>
      </c>
      <c r="AK179" s="86">
        <v>213</v>
      </c>
      <c r="AL179" s="86" t="b">
        <v>0</v>
      </c>
      <c r="AM179" s="89">
        <v>44344.96199074074</v>
      </c>
      <c r="AN179" s="86" t="s">
        <v>25889</v>
      </c>
      <c r="AO179" s="86" t="s">
        <v>26583</v>
      </c>
      <c r="AP179" s="96" t="str">
        <f>HYPERLINK("https://t.co/IFyazI5cQ6")</f>
        <v>https://t.co/IFyazI5cQ6</v>
      </c>
      <c r="AQ179" s="96" t="str">
        <f>HYPERLINK("https://bit.ly/3MBV8gv")</f>
        <v>https://bit.ly/3MBV8gv</v>
      </c>
      <c r="AR179" s="86" t="s">
        <v>28023</v>
      </c>
      <c r="AS179" s="86"/>
      <c r="AT179" s="86"/>
      <c r="AU179" s="86"/>
      <c r="AV179" s="86">
        <v>1.5701645446762701E+18</v>
      </c>
      <c r="AW179" s="96" t="str">
        <f>HYPERLINK("https://t.co/IFyazI5cQ6")</f>
        <v>https://t.co/IFyazI5cQ6</v>
      </c>
      <c r="AX179" s="86" t="b">
        <v>0</v>
      </c>
      <c r="AY179" s="86"/>
      <c r="AZ179" s="86"/>
      <c r="BA179" s="86" t="b">
        <v>1</v>
      </c>
      <c r="BB179" s="86" t="b">
        <v>1</v>
      </c>
      <c r="BC179" s="86" t="b">
        <v>1</v>
      </c>
      <c r="BD179" s="86" t="b">
        <v>0</v>
      </c>
      <c r="BE179" s="86" t="b">
        <v>0</v>
      </c>
      <c r="BF179" s="86" t="b">
        <v>0</v>
      </c>
      <c r="BG179" s="86" t="b">
        <v>0</v>
      </c>
      <c r="BH179" s="96" t="str">
        <f>HYPERLINK("https://pbs.twimg.com/profile_banners/1398415056593883136/1649719757")</f>
        <v>https://pbs.twimg.com/profile_banners/1398415056593883136/1649719757</v>
      </c>
      <c r="BI179" s="86"/>
      <c r="BJ179" s="86" t="s">
        <v>29134</v>
      </c>
      <c r="BK179" s="86" t="b">
        <v>0</v>
      </c>
      <c r="BL179" s="86"/>
      <c r="BM179" s="86" t="s">
        <v>66</v>
      </c>
      <c r="BN179" s="86" t="s">
        <v>29136</v>
      </c>
      <c r="BO179" s="96" t="str">
        <f>HYPERLINK("https://twitter.com/tio_jobs")</f>
        <v>https://twitter.com/tio_jobs</v>
      </c>
      <c r="BP179" s="2"/>
    </row>
    <row r="180" spans="1:68" x14ac:dyDescent="0.25">
      <c r="A180" s="63" t="s">
        <v>383</v>
      </c>
      <c r="B180" s="64"/>
      <c r="C180" s="64"/>
      <c r="D180" s="65"/>
      <c r="E180" s="67"/>
      <c r="F180" s="111" t="str">
        <f>HYPERLINK("https://pbs.twimg.com/profile_images/578239579540475904/fkBOJ_h2_normal.jpeg")</f>
        <v>https://pbs.twimg.com/profile_images/578239579540475904/fkBOJ_h2_normal.jpeg</v>
      </c>
      <c r="G180" s="64"/>
      <c r="H180" s="68"/>
      <c r="I180" s="69"/>
      <c r="J180" s="69"/>
      <c r="K180" s="68" t="s">
        <v>29313</v>
      </c>
      <c r="L180" s="72"/>
      <c r="M180" s="73"/>
      <c r="N180" s="73"/>
      <c r="O180" s="74"/>
      <c r="P180" s="75"/>
      <c r="Q180" s="75"/>
      <c r="R180" s="102"/>
      <c r="S180" s="102"/>
      <c r="T180" s="102"/>
      <c r="U180" s="102"/>
      <c r="V180" s="48"/>
      <c r="W180" s="48"/>
      <c r="X180" s="48"/>
      <c r="Y180" s="48"/>
      <c r="Z180" s="47"/>
      <c r="AA180" s="70">
        <v>180</v>
      </c>
      <c r="AB180" s="70"/>
      <c r="AC180" s="71"/>
      <c r="AD180" s="86" t="s">
        <v>23818</v>
      </c>
      <c r="AE180" s="94" t="s">
        <v>25282</v>
      </c>
      <c r="AF180" s="86">
        <v>153</v>
      </c>
      <c r="AG180" s="86">
        <v>222</v>
      </c>
      <c r="AH180" s="86">
        <v>3710</v>
      </c>
      <c r="AI180" s="86">
        <v>3</v>
      </c>
      <c r="AJ180" s="86">
        <v>7269</v>
      </c>
      <c r="AK180" s="86">
        <v>24</v>
      </c>
      <c r="AL180" s="86" t="b">
        <v>0</v>
      </c>
      <c r="AM180" s="89">
        <v>40477.114039351851</v>
      </c>
      <c r="AN180" s="86" t="s">
        <v>25945</v>
      </c>
      <c r="AO180" s="86"/>
      <c r="AP180" s="86"/>
      <c r="AQ180" s="86"/>
      <c r="AR180" s="86"/>
      <c r="AS180" s="86"/>
      <c r="AT180" s="86"/>
      <c r="AU180" s="86"/>
      <c r="AV180" s="86"/>
      <c r="AW180" s="86"/>
      <c r="AX180" s="86" t="b">
        <v>0</v>
      </c>
      <c r="AY180" s="86"/>
      <c r="AZ180" s="86"/>
      <c r="BA180" s="86" t="b">
        <v>0</v>
      </c>
      <c r="BB180" s="86" t="b">
        <v>1</v>
      </c>
      <c r="BC180" s="86" t="b">
        <v>0</v>
      </c>
      <c r="BD180" s="86" t="b">
        <v>0</v>
      </c>
      <c r="BE180" s="86" t="b">
        <v>1</v>
      </c>
      <c r="BF180" s="86" t="b">
        <v>0</v>
      </c>
      <c r="BG180" s="86" t="b">
        <v>0</v>
      </c>
      <c r="BH180" s="86"/>
      <c r="BI180" s="86"/>
      <c r="BJ180" s="86" t="s">
        <v>29134</v>
      </c>
      <c r="BK180" s="86" t="b">
        <v>0</v>
      </c>
      <c r="BL180" s="86"/>
      <c r="BM180" s="86" t="s">
        <v>66</v>
      </c>
      <c r="BN180" s="86" t="s">
        <v>29136</v>
      </c>
      <c r="BO180" s="96" t="str">
        <f>HYPERLINK("https://twitter.com/guidupas")</f>
        <v>https://twitter.com/guidupas</v>
      </c>
      <c r="BP180" s="2"/>
    </row>
    <row r="181" spans="1:68" x14ac:dyDescent="0.25">
      <c r="A181" s="63" t="s">
        <v>1537</v>
      </c>
      <c r="B181" s="64"/>
      <c r="C181" s="64"/>
      <c r="D181" s="65"/>
      <c r="E181" s="67"/>
      <c r="F181" s="111" t="str">
        <f>HYPERLINK("https://pbs.twimg.com/profile_images/1705048697518575616/k7rMk5BZ_normal.png")</f>
        <v>https://pbs.twimg.com/profile_images/1705048697518575616/k7rMk5BZ_normal.png</v>
      </c>
      <c r="G181" s="64"/>
      <c r="H181" s="68"/>
      <c r="I181" s="69"/>
      <c r="J181" s="69"/>
      <c r="K181" s="68" t="s">
        <v>29314</v>
      </c>
      <c r="L181" s="72"/>
      <c r="M181" s="73"/>
      <c r="N181" s="73"/>
      <c r="O181" s="74"/>
      <c r="P181" s="75"/>
      <c r="Q181" s="75"/>
      <c r="R181" s="102"/>
      <c r="S181" s="102"/>
      <c r="T181" s="102"/>
      <c r="U181" s="102"/>
      <c r="V181" s="48"/>
      <c r="W181" s="48"/>
      <c r="X181" s="48"/>
      <c r="Y181" s="48"/>
      <c r="Z181" s="47"/>
      <c r="AA181" s="70">
        <v>181</v>
      </c>
      <c r="AB181" s="70"/>
      <c r="AC181" s="71"/>
      <c r="AD181" s="86" t="s">
        <v>23819</v>
      </c>
      <c r="AE181" s="94" t="s">
        <v>23557</v>
      </c>
      <c r="AF181" s="86">
        <v>8</v>
      </c>
      <c r="AG181" s="86">
        <v>103</v>
      </c>
      <c r="AH181" s="86">
        <v>50</v>
      </c>
      <c r="AI181" s="86">
        <v>0</v>
      </c>
      <c r="AJ181" s="86">
        <v>32</v>
      </c>
      <c r="AK181" s="86">
        <v>2</v>
      </c>
      <c r="AL181" s="86" t="b">
        <v>0</v>
      </c>
      <c r="AM181" s="89">
        <v>45191.108749999999</v>
      </c>
      <c r="AN181" s="86" t="s">
        <v>25946</v>
      </c>
      <c r="AO181" s="86" t="s">
        <v>26584</v>
      </c>
      <c r="AP181" s="96" t="str">
        <f>HYPERLINK("https://t.co/utvlOWPJXC")</f>
        <v>https://t.co/utvlOWPJXC</v>
      </c>
      <c r="AQ181" s="96" t="str">
        <f>HYPERLINK("https://inovatechy.com")</f>
        <v>https://inovatechy.com</v>
      </c>
      <c r="AR181" s="86" t="s">
        <v>8553</v>
      </c>
      <c r="AS181" s="86"/>
      <c r="AT181" s="86"/>
      <c r="AU181" s="86"/>
      <c r="AV181" s="86"/>
      <c r="AW181" s="96" t="str">
        <f>HYPERLINK("https://t.co/utvlOWPJXC")</f>
        <v>https://t.co/utvlOWPJXC</v>
      </c>
      <c r="AX181" s="86" t="b">
        <v>0</v>
      </c>
      <c r="AY181" s="86"/>
      <c r="AZ181" s="86"/>
      <c r="BA181" s="86" t="b">
        <v>0</v>
      </c>
      <c r="BB181" s="86" t="b">
        <v>1</v>
      </c>
      <c r="BC181" s="86" t="b">
        <v>1</v>
      </c>
      <c r="BD181" s="86" t="b">
        <v>0</v>
      </c>
      <c r="BE181" s="86" t="b">
        <v>0</v>
      </c>
      <c r="BF181" s="86" t="b">
        <v>0</v>
      </c>
      <c r="BG181" s="86" t="b">
        <v>0</v>
      </c>
      <c r="BH181" s="96" t="str">
        <f>HYPERLINK("https://pbs.twimg.com/profile_banners/1705048086043652096/1695839432")</f>
        <v>https://pbs.twimg.com/profile_banners/1705048086043652096/1695839432</v>
      </c>
      <c r="BI181" s="86"/>
      <c r="BJ181" s="86" t="s">
        <v>29134</v>
      </c>
      <c r="BK181" s="86" t="b">
        <v>0</v>
      </c>
      <c r="BL181" s="86"/>
      <c r="BM181" s="86" t="s">
        <v>66</v>
      </c>
      <c r="BN181" s="86" t="s">
        <v>29136</v>
      </c>
      <c r="BO181" s="96" t="str">
        <f>HYPERLINK("https://twitter.com/inovatechy")</f>
        <v>https://twitter.com/inovatechy</v>
      </c>
      <c r="BP181" s="2"/>
    </row>
    <row r="182" spans="1:68" x14ac:dyDescent="0.25">
      <c r="A182" s="63" t="s">
        <v>1633</v>
      </c>
      <c r="B182" s="64"/>
      <c r="C182" s="64"/>
      <c r="D182" s="65"/>
      <c r="E182" s="67"/>
      <c r="F182" s="111" t="str">
        <f>HYPERLINK("https://pbs.twimg.com/profile_images/1374017695394492418/TmjT0iyJ_normal.jpg")</f>
        <v>https://pbs.twimg.com/profile_images/1374017695394492418/TmjT0iyJ_normal.jpg</v>
      </c>
      <c r="G182" s="64"/>
      <c r="H182" s="68"/>
      <c r="I182" s="69"/>
      <c r="J182" s="69"/>
      <c r="K182" s="68" t="s">
        <v>29315</v>
      </c>
      <c r="L182" s="72"/>
      <c r="M182" s="73"/>
      <c r="N182" s="73"/>
      <c r="O182" s="74"/>
      <c r="P182" s="75"/>
      <c r="Q182" s="75"/>
      <c r="R182" s="102"/>
      <c r="S182" s="102"/>
      <c r="T182" s="102"/>
      <c r="U182" s="102"/>
      <c r="V182" s="48"/>
      <c r="W182" s="48"/>
      <c r="X182" s="48"/>
      <c r="Y182" s="48"/>
      <c r="Z182" s="47"/>
      <c r="AA182" s="70">
        <v>182</v>
      </c>
      <c r="AB182" s="70"/>
      <c r="AC182" s="71"/>
      <c r="AD182" s="86" t="s">
        <v>23820</v>
      </c>
      <c r="AE182" s="94" t="s">
        <v>25283</v>
      </c>
      <c r="AF182" s="86">
        <v>141325</v>
      </c>
      <c r="AG182" s="86">
        <v>209</v>
      </c>
      <c r="AH182" s="86">
        <v>27994</v>
      </c>
      <c r="AI182" s="86">
        <v>1405</v>
      </c>
      <c r="AJ182" s="86">
        <v>4477</v>
      </c>
      <c r="AK182" s="86">
        <v>2226</v>
      </c>
      <c r="AL182" s="86" t="b">
        <v>0</v>
      </c>
      <c r="AM182" s="89">
        <v>39855.976226851853</v>
      </c>
      <c r="AN182" s="86" t="s">
        <v>15234</v>
      </c>
      <c r="AO182" s="86" t="s">
        <v>26585</v>
      </c>
      <c r="AP182" s="96" t="str">
        <f>HYPERLINK("https://t.co/GE2IWlhwE2")</f>
        <v>https://t.co/GE2IWlhwE2</v>
      </c>
      <c r="AQ182" s="96" t="str">
        <f>HYPERLINK("http://www.dell.com.br")</f>
        <v>http://www.dell.com.br</v>
      </c>
      <c r="AR182" s="86" t="s">
        <v>28024</v>
      </c>
      <c r="AS182" s="86"/>
      <c r="AT182" s="86"/>
      <c r="AU182" s="86"/>
      <c r="AV182" s="86"/>
      <c r="AW182" s="96" t="str">
        <f>HYPERLINK("https://t.co/GE2IWlhwE2")</f>
        <v>https://t.co/GE2IWlhwE2</v>
      </c>
      <c r="AX182" s="86" t="b">
        <v>0</v>
      </c>
      <c r="AY182" s="86"/>
      <c r="AZ182" s="86"/>
      <c r="BA182" s="86" t="b">
        <v>1</v>
      </c>
      <c r="BB182" s="86" t="b">
        <v>0</v>
      </c>
      <c r="BC182" s="86" t="b">
        <v>0</v>
      </c>
      <c r="BD182" s="86" t="b">
        <v>0</v>
      </c>
      <c r="BE182" s="86" t="b">
        <v>1</v>
      </c>
      <c r="BF182" s="86" t="b">
        <v>0</v>
      </c>
      <c r="BG182" s="86" t="b">
        <v>0</v>
      </c>
      <c r="BH182" s="96" t="str">
        <f>HYPERLINK("https://pbs.twimg.com/profile_banners/20639470/1684859518")</f>
        <v>https://pbs.twimg.com/profile_banners/20639470/1684859518</v>
      </c>
      <c r="BI182" s="86"/>
      <c r="BJ182" s="86" t="s">
        <v>29134</v>
      </c>
      <c r="BK182" s="86" t="b">
        <v>0</v>
      </c>
      <c r="BL182" s="86"/>
      <c r="BM182" s="86" t="s">
        <v>65</v>
      </c>
      <c r="BN182" s="86" t="s">
        <v>29136</v>
      </c>
      <c r="BO182" s="96" t="str">
        <f>HYPERLINK("https://twitter.com/dellnobrasil")</f>
        <v>https://twitter.com/dellnobrasil</v>
      </c>
      <c r="BP182" s="2"/>
    </row>
    <row r="183" spans="1:68" x14ac:dyDescent="0.25">
      <c r="A183" s="63" t="s">
        <v>1634</v>
      </c>
      <c r="B183" s="64"/>
      <c r="C183" s="64"/>
      <c r="D183" s="65"/>
      <c r="E183" s="67"/>
      <c r="F183" s="111" t="str">
        <f>HYPERLINK("https://pbs.twimg.com/profile_images/1610676166460850176/3LWltHao_normal.png")</f>
        <v>https://pbs.twimg.com/profile_images/1610676166460850176/3LWltHao_normal.png</v>
      </c>
      <c r="G183" s="64"/>
      <c r="H183" s="68"/>
      <c r="I183" s="69"/>
      <c r="J183" s="69"/>
      <c r="K183" s="68" t="s">
        <v>29316</v>
      </c>
      <c r="L183" s="72"/>
      <c r="M183" s="73"/>
      <c r="N183" s="73"/>
      <c r="O183" s="74"/>
      <c r="P183" s="75"/>
      <c r="Q183" s="75"/>
      <c r="R183" s="102"/>
      <c r="S183" s="102"/>
      <c r="T183" s="102"/>
      <c r="U183" s="102"/>
      <c r="V183" s="48"/>
      <c r="W183" s="48"/>
      <c r="X183" s="48"/>
      <c r="Y183" s="48"/>
      <c r="Z183" s="47"/>
      <c r="AA183" s="70">
        <v>183</v>
      </c>
      <c r="AB183" s="70"/>
      <c r="AC183" s="71"/>
      <c r="AD183" s="86" t="s">
        <v>23821</v>
      </c>
      <c r="AE183" s="94" t="s">
        <v>25284</v>
      </c>
      <c r="AF183" s="86">
        <v>819518</v>
      </c>
      <c r="AG183" s="86">
        <v>4185</v>
      </c>
      <c r="AH183" s="86">
        <v>70456</v>
      </c>
      <c r="AI183" s="86">
        <v>4490</v>
      </c>
      <c r="AJ183" s="86">
        <v>7387</v>
      </c>
      <c r="AK183" s="86">
        <v>6064</v>
      </c>
      <c r="AL183" s="86" t="b">
        <v>0</v>
      </c>
      <c r="AM183" s="89">
        <v>40014.804166666669</v>
      </c>
      <c r="AN183" s="86" t="s">
        <v>25947</v>
      </c>
      <c r="AO183" s="86" t="s">
        <v>26586</v>
      </c>
      <c r="AP183" s="96" t="str">
        <f>HYPERLINK("https://t.co/JaxEWheEC8")</f>
        <v>https://t.co/JaxEWheEC8</v>
      </c>
      <c r="AQ183" s="96" t="str">
        <f>HYPERLINK("http://Dell.com")</f>
        <v>http://Dell.com</v>
      </c>
      <c r="AR183" s="86" t="s">
        <v>28025</v>
      </c>
      <c r="AS183" s="86"/>
      <c r="AT183" s="86"/>
      <c r="AU183" s="86"/>
      <c r="AV183" s="86">
        <v>1.70163396383857E+18</v>
      </c>
      <c r="AW183" s="96" t="str">
        <f>HYPERLINK("https://t.co/JaxEWheEC8")</f>
        <v>https://t.co/JaxEWheEC8</v>
      </c>
      <c r="AX183" s="86" t="b">
        <v>0</v>
      </c>
      <c r="AY183" s="86"/>
      <c r="AZ183" s="86"/>
      <c r="BA183" s="86" t="b">
        <v>1</v>
      </c>
      <c r="BB183" s="86" t="b">
        <v>1</v>
      </c>
      <c r="BC183" s="86" t="b">
        <v>0</v>
      </c>
      <c r="BD183" s="86" t="b">
        <v>0</v>
      </c>
      <c r="BE183" s="86" t="b">
        <v>1</v>
      </c>
      <c r="BF183" s="86" t="b">
        <v>0</v>
      </c>
      <c r="BG183" s="86" t="b">
        <v>0</v>
      </c>
      <c r="BH183" s="96" t="str">
        <f>HYPERLINK("https://pbs.twimg.com/profile_banners/58561993/1609808496")</f>
        <v>https://pbs.twimg.com/profile_banners/58561993/1609808496</v>
      </c>
      <c r="BI183" s="86"/>
      <c r="BJ183" s="86" t="s">
        <v>29134</v>
      </c>
      <c r="BK183" s="86" t="b">
        <v>0</v>
      </c>
      <c r="BL183" s="86"/>
      <c r="BM183" s="86" t="s">
        <v>65</v>
      </c>
      <c r="BN183" s="86" t="s">
        <v>29136</v>
      </c>
      <c r="BO183" s="96" t="str">
        <f>HYPERLINK("https://twitter.com/dell")</f>
        <v>https://twitter.com/dell</v>
      </c>
      <c r="BP183" s="2"/>
    </row>
    <row r="184" spans="1:68" x14ac:dyDescent="0.25">
      <c r="A184" s="63" t="s">
        <v>384</v>
      </c>
      <c r="B184" s="64"/>
      <c r="C184" s="64"/>
      <c r="D184" s="65"/>
      <c r="E184" s="67"/>
      <c r="F184" s="111" t="str">
        <f>HYPERLINK("https://pbs.twimg.com/profile_images/1347188810921242627/AADjTJ-9_normal.png")</f>
        <v>https://pbs.twimg.com/profile_images/1347188810921242627/AADjTJ-9_normal.png</v>
      </c>
      <c r="G184" s="64"/>
      <c r="H184" s="68"/>
      <c r="I184" s="69"/>
      <c r="J184" s="69"/>
      <c r="K184" s="68" t="s">
        <v>29317</v>
      </c>
      <c r="L184" s="72"/>
      <c r="M184" s="73"/>
      <c r="N184" s="73"/>
      <c r="O184" s="74"/>
      <c r="P184" s="75"/>
      <c r="Q184" s="75"/>
      <c r="R184" s="102"/>
      <c r="S184" s="102"/>
      <c r="T184" s="102"/>
      <c r="U184" s="102"/>
      <c r="V184" s="48"/>
      <c r="W184" s="48"/>
      <c r="X184" s="48"/>
      <c r="Y184" s="48"/>
      <c r="Z184" s="47"/>
      <c r="AA184" s="70">
        <v>184</v>
      </c>
      <c r="AB184" s="70"/>
      <c r="AC184" s="71"/>
      <c r="AD184" s="86" t="s">
        <v>23822</v>
      </c>
      <c r="AE184" s="94" t="s">
        <v>22888</v>
      </c>
      <c r="AF184" s="86">
        <v>4</v>
      </c>
      <c r="AG184" s="86">
        <v>9</v>
      </c>
      <c r="AH184" s="86">
        <v>257</v>
      </c>
      <c r="AI184" s="86">
        <v>0</v>
      </c>
      <c r="AJ184" s="86">
        <v>95</v>
      </c>
      <c r="AK184" s="86">
        <v>223</v>
      </c>
      <c r="AL184" s="86" t="b">
        <v>0</v>
      </c>
      <c r="AM184" s="89">
        <v>44203.55505787037</v>
      </c>
      <c r="AN184" s="86" t="s">
        <v>15378</v>
      </c>
      <c r="AO184" s="86" t="s">
        <v>26587</v>
      </c>
      <c r="AP184" s="96" t="str">
        <f>HYPERLINK("https://t.co/PTw86qBqqe")</f>
        <v>https://t.co/PTw86qBqqe</v>
      </c>
      <c r="AQ184" s="96" t="str">
        <f>HYPERLINK("http://gestaumdigital.com.br/")</f>
        <v>http://gestaumdigital.com.br/</v>
      </c>
      <c r="AR184" s="86" t="s">
        <v>28026</v>
      </c>
      <c r="AS184" s="86"/>
      <c r="AT184" s="86"/>
      <c r="AU184" s="86"/>
      <c r="AV184" s="86">
        <v>1.6114438097993101E+18</v>
      </c>
      <c r="AW184" s="96" t="str">
        <f>HYPERLINK("https://t.co/PTw86qBqqe")</f>
        <v>https://t.co/PTw86qBqqe</v>
      </c>
      <c r="AX184" s="86" t="b">
        <v>0</v>
      </c>
      <c r="AY184" s="86"/>
      <c r="AZ184" s="86"/>
      <c r="BA184" s="86" t="b">
        <v>0</v>
      </c>
      <c r="BB184" s="86" t="b">
        <v>1</v>
      </c>
      <c r="BC184" s="86" t="b">
        <v>1</v>
      </c>
      <c r="BD184" s="86" t="b">
        <v>0</v>
      </c>
      <c r="BE184" s="86" t="b">
        <v>0</v>
      </c>
      <c r="BF184" s="86" t="b">
        <v>0</v>
      </c>
      <c r="BG184" s="86" t="b">
        <v>0</v>
      </c>
      <c r="BH184" s="96" t="str">
        <f>HYPERLINK("https://pbs.twimg.com/profile_banners/1347170919643541504/1610029817")</f>
        <v>https://pbs.twimg.com/profile_banners/1347170919643541504/1610029817</v>
      </c>
      <c r="BI184" s="86"/>
      <c r="BJ184" s="86" t="s">
        <v>29134</v>
      </c>
      <c r="BK184" s="86" t="b">
        <v>0</v>
      </c>
      <c r="BL184" s="86"/>
      <c r="BM184" s="86" t="s">
        <v>66</v>
      </c>
      <c r="BN184" s="86" t="s">
        <v>29136</v>
      </c>
      <c r="BO184" s="96" t="str">
        <f>HYPERLINK("https://twitter.com/gestaumdigital")</f>
        <v>https://twitter.com/gestaumdigital</v>
      </c>
      <c r="BP184" s="2"/>
    </row>
    <row r="185" spans="1:68" x14ac:dyDescent="0.25">
      <c r="A185" s="63" t="s">
        <v>385</v>
      </c>
      <c r="B185" s="64"/>
      <c r="C185" s="64"/>
      <c r="D185" s="65"/>
      <c r="E185" s="67"/>
      <c r="F185" s="111" t="str">
        <f>HYPERLINK("https://pbs.twimg.com/profile_images/1611005295815172097/u0_lJsjT_normal.jpg")</f>
        <v>https://pbs.twimg.com/profile_images/1611005295815172097/u0_lJsjT_normal.jpg</v>
      </c>
      <c r="G185" s="64"/>
      <c r="H185" s="68"/>
      <c r="I185" s="69"/>
      <c r="J185" s="69"/>
      <c r="K185" s="68" t="s">
        <v>29318</v>
      </c>
      <c r="L185" s="72"/>
      <c r="M185" s="73"/>
      <c r="N185" s="73"/>
      <c r="O185" s="74"/>
      <c r="P185" s="75"/>
      <c r="Q185" s="75"/>
      <c r="R185" s="102"/>
      <c r="S185" s="102"/>
      <c r="T185" s="102"/>
      <c r="U185" s="102"/>
      <c r="V185" s="48"/>
      <c r="W185" s="48"/>
      <c r="X185" s="48"/>
      <c r="Y185" s="48"/>
      <c r="Z185" s="47"/>
      <c r="AA185" s="70">
        <v>185</v>
      </c>
      <c r="AB185" s="70"/>
      <c r="AC185" s="71"/>
      <c r="AD185" s="86" t="s">
        <v>23823</v>
      </c>
      <c r="AE185" s="94" t="s">
        <v>22889</v>
      </c>
      <c r="AF185" s="86">
        <v>256</v>
      </c>
      <c r="AG185" s="86">
        <v>26</v>
      </c>
      <c r="AH185" s="86">
        <v>3195</v>
      </c>
      <c r="AI185" s="86">
        <v>9</v>
      </c>
      <c r="AJ185" s="86">
        <v>59</v>
      </c>
      <c r="AK185" s="86">
        <v>745</v>
      </c>
      <c r="AL185" s="86" t="b">
        <v>0</v>
      </c>
      <c r="AM185" s="89">
        <v>44077.504942129628</v>
      </c>
      <c r="AN185" s="86" t="s">
        <v>15246</v>
      </c>
      <c r="AO185" s="86" t="s">
        <v>26588</v>
      </c>
      <c r="AP185" s="96" t="str">
        <f>HYPERLINK("https://t.co/N0RXE9PC0d")</f>
        <v>https://t.co/N0RXE9PC0d</v>
      </c>
      <c r="AQ185" s="96" t="str">
        <f>HYPERLINK("http://www.mercadoeconsumo.com.br")</f>
        <v>http://www.mercadoeconsumo.com.br</v>
      </c>
      <c r="AR185" s="86" t="s">
        <v>28027</v>
      </c>
      <c r="AS185" s="86"/>
      <c r="AT185" s="86"/>
      <c r="AU185" s="86"/>
      <c r="AV185" s="86">
        <v>1.7048533480114501E+18</v>
      </c>
      <c r="AW185" s="96" t="str">
        <f>HYPERLINK("https://t.co/N0RXE9PC0d")</f>
        <v>https://t.co/N0RXE9PC0d</v>
      </c>
      <c r="AX185" s="86" t="b">
        <v>0</v>
      </c>
      <c r="AY185" s="86"/>
      <c r="AZ185" s="86"/>
      <c r="BA185" s="86" t="b">
        <v>0</v>
      </c>
      <c r="BB185" s="86" t="b">
        <v>1</v>
      </c>
      <c r="BC185" s="86" t="b">
        <v>1</v>
      </c>
      <c r="BD185" s="86" t="b">
        <v>0</v>
      </c>
      <c r="BE185" s="86" t="b">
        <v>0</v>
      </c>
      <c r="BF185" s="86" t="b">
        <v>0</v>
      </c>
      <c r="BG185" s="86" t="b">
        <v>0</v>
      </c>
      <c r="BH185" s="96" t="str">
        <f>HYPERLINK("https://pbs.twimg.com/profile_banners/1301491850906423297/1667515715")</f>
        <v>https://pbs.twimg.com/profile_banners/1301491850906423297/1667515715</v>
      </c>
      <c r="BI185" s="86"/>
      <c r="BJ185" s="86" t="s">
        <v>29134</v>
      </c>
      <c r="BK185" s="86" t="b">
        <v>0</v>
      </c>
      <c r="BL185" s="86"/>
      <c r="BM185" s="86" t="s">
        <v>66</v>
      </c>
      <c r="BN185" s="86" t="s">
        <v>29136</v>
      </c>
      <c r="BO185" s="96" t="str">
        <f>HYPERLINK("https://twitter.com/mercadoeconsumo")</f>
        <v>https://twitter.com/mercadoeconsumo</v>
      </c>
      <c r="BP185" s="2"/>
    </row>
    <row r="186" spans="1:68" x14ac:dyDescent="0.25">
      <c r="A186" s="63" t="s">
        <v>386</v>
      </c>
      <c r="B186" s="64"/>
      <c r="C186" s="64"/>
      <c r="D186" s="65"/>
      <c r="E186" s="67"/>
      <c r="F186" s="111" t="str">
        <f>HYPERLINK("https://pbs.twimg.com/profile_images/1700396541998206976/-JIfOuLI_normal.jpg")</f>
        <v>https://pbs.twimg.com/profile_images/1700396541998206976/-JIfOuLI_normal.jpg</v>
      </c>
      <c r="G186" s="64"/>
      <c r="H186" s="68"/>
      <c r="I186" s="69"/>
      <c r="J186" s="69"/>
      <c r="K186" s="68" t="s">
        <v>29319</v>
      </c>
      <c r="L186" s="72"/>
      <c r="M186" s="73"/>
      <c r="N186" s="73"/>
      <c r="O186" s="74"/>
      <c r="P186" s="75"/>
      <c r="Q186" s="75"/>
      <c r="R186" s="102"/>
      <c r="S186" s="102"/>
      <c r="T186" s="102"/>
      <c r="U186" s="102"/>
      <c r="V186" s="48"/>
      <c r="W186" s="48"/>
      <c r="X186" s="48"/>
      <c r="Y186" s="48"/>
      <c r="Z186" s="47"/>
      <c r="AA186" s="70">
        <v>186</v>
      </c>
      <c r="AB186" s="70"/>
      <c r="AC186" s="71"/>
      <c r="AD186" s="86" t="s">
        <v>23824</v>
      </c>
      <c r="AE186" s="94" t="s">
        <v>22890</v>
      </c>
      <c r="AF186" s="86">
        <v>78</v>
      </c>
      <c r="AG186" s="86">
        <v>379</v>
      </c>
      <c r="AH186" s="86">
        <v>477</v>
      </c>
      <c r="AI186" s="86">
        <v>2</v>
      </c>
      <c r="AJ186" s="86">
        <v>2326</v>
      </c>
      <c r="AK186" s="86">
        <v>9</v>
      </c>
      <c r="AL186" s="86" t="b">
        <v>0</v>
      </c>
      <c r="AM186" s="89">
        <v>45152.83321759259</v>
      </c>
      <c r="AN186" s="86"/>
      <c r="AO186" s="86" t="s">
        <v>26589</v>
      </c>
      <c r="AP186" s="86"/>
      <c r="AQ186" s="86"/>
      <c r="AR186" s="86"/>
      <c r="AS186" s="86"/>
      <c r="AT186" s="86"/>
      <c r="AU186" s="86"/>
      <c r="AV186" s="86">
        <v>1.70220364682429E+18</v>
      </c>
      <c r="AW186" s="86"/>
      <c r="AX186" s="86" t="b">
        <v>0</v>
      </c>
      <c r="AY186" s="86"/>
      <c r="AZ186" s="86"/>
      <c r="BA186" s="86" t="b">
        <v>0</v>
      </c>
      <c r="BB186" s="86" t="b">
        <v>1</v>
      </c>
      <c r="BC186" s="86" t="b">
        <v>1</v>
      </c>
      <c r="BD186" s="86" t="b">
        <v>0</v>
      </c>
      <c r="BE186" s="86" t="b">
        <v>0</v>
      </c>
      <c r="BF186" s="86" t="b">
        <v>0</v>
      </c>
      <c r="BG186" s="86" t="b">
        <v>0</v>
      </c>
      <c r="BH186" s="96" t="str">
        <f>HYPERLINK("https://pbs.twimg.com/profile_banners/1691177782171017216/1692200314")</f>
        <v>https://pbs.twimg.com/profile_banners/1691177782171017216/1692200314</v>
      </c>
      <c r="BI186" s="86"/>
      <c r="BJ186" s="86" t="s">
        <v>29134</v>
      </c>
      <c r="BK186" s="86" t="b">
        <v>0</v>
      </c>
      <c r="BL186" s="86"/>
      <c r="BM186" s="86" t="s">
        <v>66</v>
      </c>
      <c r="BN186" s="86" t="s">
        <v>29136</v>
      </c>
      <c r="BO186" s="96" t="str">
        <f>HYPERLINK("https://twitter.com/poder_viril")</f>
        <v>https://twitter.com/poder_viril</v>
      </c>
      <c r="BP186" s="2"/>
    </row>
    <row r="187" spans="1:68" x14ac:dyDescent="0.25">
      <c r="A187" s="63" t="s">
        <v>1635</v>
      </c>
      <c r="B187" s="64"/>
      <c r="C187" s="64"/>
      <c r="D187" s="65"/>
      <c r="E187" s="67"/>
      <c r="F187" s="111" t="str">
        <f>HYPERLINK("https://pbs.twimg.com/profile_images/1641422596800409602/pXDpvZYp_normal.jpg")</f>
        <v>https://pbs.twimg.com/profile_images/1641422596800409602/pXDpvZYp_normal.jpg</v>
      </c>
      <c r="G187" s="64"/>
      <c r="H187" s="68"/>
      <c r="I187" s="69"/>
      <c r="J187" s="69"/>
      <c r="K187" s="68" t="s">
        <v>29320</v>
      </c>
      <c r="L187" s="72"/>
      <c r="M187" s="73"/>
      <c r="N187" s="73"/>
      <c r="O187" s="74"/>
      <c r="P187" s="75"/>
      <c r="Q187" s="75"/>
      <c r="R187" s="102"/>
      <c r="S187" s="102"/>
      <c r="T187" s="102"/>
      <c r="U187" s="102"/>
      <c r="V187" s="48"/>
      <c r="W187" s="48"/>
      <c r="X187" s="48"/>
      <c r="Y187" s="48"/>
      <c r="Z187" s="47"/>
      <c r="AA187" s="70">
        <v>187</v>
      </c>
      <c r="AB187" s="70"/>
      <c r="AC187" s="71"/>
      <c r="AD187" s="86" t="s">
        <v>23825</v>
      </c>
      <c r="AE187" s="94" t="s">
        <v>25285</v>
      </c>
      <c r="AF187" s="86">
        <v>2188263</v>
      </c>
      <c r="AG187" s="86">
        <v>2471</v>
      </c>
      <c r="AH187" s="86">
        <v>17541</v>
      </c>
      <c r="AI187" s="86">
        <v>6073</v>
      </c>
      <c r="AJ187" s="86">
        <v>3276</v>
      </c>
      <c r="AK187" s="86">
        <v>4403</v>
      </c>
      <c r="AL187" s="86" t="b">
        <v>0</v>
      </c>
      <c r="AM187" s="89">
        <v>40062.903368055559</v>
      </c>
      <c r="AN187" s="86" t="s">
        <v>15246</v>
      </c>
      <c r="AO187" s="86" t="s">
        <v>26590</v>
      </c>
      <c r="AP187" s="86"/>
      <c r="AQ187" s="86"/>
      <c r="AR187" s="86"/>
      <c r="AS187" s="86"/>
      <c r="AT187" s="86"/>
      <c r="AU187" s="86"/>
      <c r="AV187" s="86"/>
      <c r="AW187" s="86"/>
      <c r="AX187" s="86" t="b">
        <v>1</v>
      </c>
      <c r="AY187" s="86"/>
      <c r="AZ187" s="86"/>
      <c r="BA187" s="86" t="b">
        <v>1</v>
      </c>
      <c r="BB187" s="86" t="b">
        <v>1</v>
      </c>
      <c r="BC187" s="86" t="b">
        <v>0</v>
      </c>
      <c r="BD187" s="86" t="b">
        <v>0</v>
      </c>
      <c r="BE187" s="86" t="b">
        <v>1</v>
      </c>
      <c r="BF187" s="86" t="b">
        <v>0</v>
      </c>
      <c r="BG187" s="86" t="b">
        <v>0</v>
      </c>
      <c r="BH187" s="96" t="str">
        <f>HYPERLINK("https://pbs.twimg.com/profile_banners/72131142/1668186281")</f>
        <v>https://pbs.twimg.com/profile_banners/72131142/1668186281</v>
      </c>
      <c r="BI187" s="86"/>
      <c r="BJ187" s="86" t="s">
        <v>29134</v>
      </c>
      <c r="BK187" s="86" t="b">
        <v>0</v>
      </c>
      <c r="BL187" s="86"/>
      <c r="BM187" s="86" t="s">
        <v>65</v>
      </c>
      <c r="BN187" s="86" t="s">
        <v>29136</v>
      </c>
      <c r="BO187" s="96" t="str">
        <f>HYPERLINK("https://twitter.com/aguiarthur")</f>
        <v>https://twitter.com/aguiarthur</v>
      </c>
      <c r="BP187" s="2"/>
    </row>
    <row r="188" spans="1:68" x14ac:dyDescent="0.25">
      <c r="A188" s="63" t="s">
        <v>1636</v>
      </c>
      <c r="B188" s="64"/>
      <c r="C188" s="64"/>
      <c r="D188" s="65"/>
      <c r="E188" s="67"/>
      <c r="F188" s="111" t="str">
        <f>HYPERLINK("https://pbs.twimg.com/profile_images/1701183559854071808/p71pIwRO_normal.jpg")</f>
        <v>https://pbs.twimg.com/profile_images/1701183559854071808/p71pIwRO_normal.jpg</v>
      </c>
      <c r="G188" s="64"/>
      <c r="H188" s="68"/>
      <c r="I188" s="69"/>
      <c r="J188" s="69"/>
      <c r="K188" s="68" t="s">
        <v>29321</v>
      </c>
      <c r="L188" s="72"/>
      <c r="M188" s="73"/>
      <c r="N188" s="73"/>
      <c r="O188" s="74"/>
      <c r="P188" s="75"/>
      <c r="Q188" s="75"/>
      <c r="R188" s="102"/>
      <c r="S188" s="102"/>
      <c r="T188" s="102"/>
      <c r="U188" s="102"/>
      <c r="V188" s="48"/>
      <c r="W188" s="48"/>
      <c r="X188" s="48"/>
      <c r="Y188" s="48"/>
      <c r="Z188" s="47"/>
      <c r="AA188" s="70">
        <v>188</v>
      </c>
      <c r="AB188" s="70"/>
      <c r="AC188" s="71"/>
      <c r="AD188" s="86" t="s">
        <v>23826</v>
      </c>
      <c r="AE188" s="94" t="s">
        <v>22529</v>
      </c>
      <c r="AF188" s="86">
        <v>44064</v>
      </c>
      <c r="AG188" s="86">
        <v>1236</v>
      </c>
      <c r="AH188" s="86">
        <v>89674</v>
      </c>
      <c r="AI188" s="86">
        <v>333</v>
      </c>
      <c r="AJ188" s="86">
        <v>76986</v>
      </c>
      <c r="AK188" s="86">
        <v>2110</v>
      </c>
      <c r="AL188" s="86" t="b">
        <v>0</v>
      </c>
      <c r="AM188" s="89">
        <v>40051.057743055557</v>
      </c>
      <c r="AN188" s="86" t="s">
        <v>25948</v>
      </c>
      <c r="AO188" s="86" t="s">
        <v>26591</v>
      </c>
      <c r="AP188" s="86"/>
      <c r="AQ188" s="86"/>
      <c r="AR188" s="86"/>
      <c r="AS188" s="86"/>
      <c r="AT188" s="86"/>
      <c r="AU188" s="86"/>
      <c r="AV188" s="86">
        <v>1.6542308131505201E+18</v>
      </c>
      <c r="AW188" s="86"/>
      <c r="AX188" s="86" t="b">
        <v>1</v>
      </c>
      <c r="AY188" s="86"/>
      <c r="AZ188" s="86"/>
      <c r="BA188" s="86" t="b">
        <v>1</v>
      </c>
      <c r="BB188" s="86" t="b">
        <v>0</v>
      </c>
      <c r="BC188" s="86" t="b">
        <v>0</v>
      </c>
      <c r="BD188" s="86" t="b">
        <v>0</v>
      </c>
      <c r="BE188" s="86" t="b">
        <v>1</v>
      </c>
      <c r="BF188" s="86" t="b">
        <v>0</v>
      </c>
      <c r="BG188" s="86" t="b">
        <v>0</v>
      </c>
      <c r="BH188" s="96" t="str">
        <f>HYPERLINK("https://pbs.twimg.com/profile_banners/68862970/1682217665")</f>
        <v>https://pbs.twimg.com/profile_banners/68862970/1682217665</v>
      </c>
      <c r="BI188" s="86"/>
      <c r="BJ188" s="86" t="s">
        <v>29134</v>
      </c>
      <c r="BK188" s="86" t="b">
        <v>0</v>
      </c>
      <c r="BL188" s="86"/>
      <c r="BM188" s="86" t="s">
        <v>65</v>
      </c>
      <c r="BN188" s="86" t="s">
        <v>29136</v>
      </c>
      <c r="BO188" s="96" t="str">
        <f>HYPERLINK("https://twitter.com/naah_vasc")</f>
        <v>https://twitter.com/naah_vasc</v>
      </c>
      <c r="BP188" s="2"/>
    </row>
    <row r="189" spans="1:68" x14ac:dyDescent="0.25">
      <c r="A189" s="63" t="s">
        <v>387</v>
      </c>
      <c r="B189" s="64"/>
      <c r="C189" s="64"/>
      <c r="D189" s="65"/>
      <c r="E189" s="67"/>
      <c r="F189" s="111" t="str">
        <f>HYPERLINK("https://pbs.twimg.com/profile_images/1699258490865299456/7tcmGzqs_normal.jpg")</f>
        <v>https://pbs.twimg.com/profile_images/1699258490865299456/7tcmGzqs_normal.jpg</v>
      </c>
      <c r="G189" s="64"/>
      <c r="H189" s="68"/>
      <c r="I189" s="69"/>
      <c r="J189" s="69"/>
      <c r="K189" s="68" t="s">
        <v>29322</v>
      </c>
      <c r="L189" s="72"/>
      <c r="M189" s="73"/>
      <c r="N189" s="73"/>
      <c r="O189" s="74"/>
      <c r="P189" s="75"/>
      <c r="Q189" s="75"/>
      <c r="R189" s="102"/>
      <c r="S189" s="102"/>
      <c r="T189" s="102"/>
      <c r="U189" s="102"/>
      <c r="V189" s="48"/>
      <c r="W189" s="48"/>
      <c r="X189" s="48"/>
      <c r="Y189" s="48"/>
      <c r="Z189" s="47"/>
      <c r="AA189" s="70">
        <v>189</v>
      </c>
      <c r="AB189" s="70"/>
      <c r="AC189" s="71"/>
      <c r="AD189" s="86" t="s">
        <v>23827</v>
      </c>
      <c r="AE189" s="94" t="s">
        <v>25286</v>
      </c>
      <c r="AF189" s="86">
        <v>75</v>
      </c>
      <c r="AG189" s="86">
        <v>46</v>
      </c>
      <c r="AH189" s="86">
        <v>1825</v>
      </c>
      <c r="AI189" s="86">
        <v>0</v>
      </c>
      <c r="AJ189" s="86">
        <v>595</v>
      </c>
      <c r="AK189" s="86">
        <v>687</v>
      </c>
      <c r="AL189" s="86" t="b">
        <v>0</v>
      </c>
      <c r="AM189" s="89">
        <v>40142.804039351853</v>
      </c>
      <c r="AN189" s="86"/>
      <c r="AO189" s="86" t="s">
        <v>26592</v>
      </c>
      <c r="AP189" s="96" t="str">
        <f>HYPERLINK("https://t.co/eCEdJ57tRl")</f>
        <v>https://t.co/eCEdJ57tRl</v>
      </c>
      <c r="AQ189" s="96" t="str">
        <f>HYPERLINK("https://pin.it/x7hKCDK")</f>
        <v>https://pin.it/x7hKCDK</v>
      </c>
      <c r="AR189" s="86" t="s">
        <v>28028</v>
      </c>
      <c r="AS189" s="86"/>
      <c r="AT189" s="86"/>
      <c r="AU189" s="86"/>
      <c r="AV189" s="86"/>
      <c r="AW189" s="96" t="str">
        <f>HYPERLINK("https://t.co/eCEdJ57tRl")</f>
        <v>https://t.co/eCEdJ57tRl</v>
      </c>
      <c r="AX189" s="86" t="b">
        <v>0</v>
      </c>
      <c r="AY189" s="86"/>
      <c r="AZ189" s="86"/>
      <c r="BA189" s="86" t="b">
        <v>1</v>
      </c>
      <c r="BB189" s="86" t="b">
        <v>0</v>
      </c>
      <c r="BC189" s="86" t="b">
        <v>0</v>
      </c>
      <c r="BD189" s="86" t="b">
        <v>0</v>
      </c>
      <c r="BE189" s="86" t="b">
        <v>1</v>
      </c>
      <c r="BF189" s="86" t="b">
        <v>0</v>
      </c>
      <c r="BG189" s="86" t="b">
        <v>0</v>
      </c>
      <c r="BH189" s="96" t="str">
        <f>HYPERLINK("https://pbs.twimg.com/profile_banners/92591120/1673630451")</f>
        <v>https://pbs.twimg.com/profile_banners/92591120/1673630451</v>
      </c>
      <c r="BI189" s="86"/>
      <c r="BJ189" s="86" t="s">
        <v>29134</v>
      </c>
      <c r="BK189" s="86" t="b">
        <v>0</v>
      </c>
      <c r="BL189" s="86"/>
      <c r="BM189" s="86" t="s">
        <v>66</v>
      </c>
      <c r="BN189" s="86" t="s">
        <v>29136</v>
      </c>
      <c r="BO189" s="96" t="str">
        <f>HYPERLINK("https://twitter.com/patriciacvidal")</f>
        <v>https://twitter.com/patriciacvidal</v>
      </c>
      <c r="BP189" s="2"/>
    </row>
    <row r="190" spans="1:68" x14ac:dyDescent="0.25">
      <c r="A190" s="63" t="s">
        <v>388</v>
      </c>
      <c r="B190" s="64"/>
      <c r="C190" s="64"/>
      <c r="D190" s="65"/>
      <c r="E190" s="67"/>
      <c r="F190" s="111" t="str">
        <f>HYPERLINK("https://pbs.twimg.com/profile_images/1699478128983199744/0jj3lmRr_normal.jpg")</f>
        <v>https://pbs.twimg.com/profile_images/1699478128983199744/0jj3lmRr_normal.jpg</v>
      </c>
      <c r="G190" s="64"/>
      <c r="H190" s="68"/>
      <c r="I190" s="69"/>
      <c r="J190" s="69"/>
      <c r="K190" s="68" t="s">
        <v>29323</v>
      </c>
      <c r="L190" s="72"/>
      <c r="M190" s="73"/>
      <c r="N190" s="73"/>
      <c r="O190" s="74"/>
      <c r="P190" s="75"/>
      <c r="Q190" s="75"/>
      <c r="R190" s="102"/>
      <c r="S190" s="102"/>
      <c r="T190" s="102"/>
      <c r="U190" s="102"/>
      <c r="V190" s="48"/>
      <c r="W190" s="48"/>
      <c r="X190" s="48"/>
      <c r="Y190" s="48"/>
      <c r="Z190" s="47"/>
      <c r="AA190" s="70">
        <v>190</v>
      </c>
      <c r="AB190" s="70"/>
      <c r="AC190" s="71"/>
      <c r="AD190" s="86" t="s">
        <v>23828</v>
      </c>
      <c r="AE190" s="94" t="s">
        <v>22891</v>
      </c>
      <c r="AF190" s="86">
        <v>0</v>
      </c>
      <c r="AG190" s="86">
        <v>4</v>
      </c>
      <c r="AH190" s="86">
        <v>4</v>
      </c>
      <c r="AI190" s="86">
        <v>0</v>
      </c>
      <c r="AJ190" s="86">
        <v>4</v>
      </c>
      <c r="AK190" s="86">
        <v>2</v>
      </c>
      <c r="AL190" s="86" t="b">
        <v>0</v>
      </c>
      <c r="AM190" s="89">
        <v>45175.737523148149</v>
      </c>
      <c r="AN190" s="86"/>
      <c r="AO190" s="86"/>
      <c r="AP190" s="86"/>
      <c r="AQ190" s="86"/>
      <c r="AR190" s="86"/>
      <c r="AS190" s="86"/>
      <c r="AT190" s="86"/>
      <c r="AU190" s="86"/>
      <c r="AV190" s="86"/>
      <c r="AW190" s="86"/>
      <c r="AX190" s="86" t="b">
        <v>0</v>
      </c>
      <c r="AY190" s="86"/>
      <c r="AZ190" s="86"/>
      <c r="BA190" s="86" t="b">
        <v>0</v>
      </c>
      <c r="BB190" s="86" t="b">
        <v>1</v>
      </c>
      <c r="BC190" s="86" t="b">
        <v>1</v>
      </c>
      <c r="BD190" s="86" t="b">
        <v>0</v>
      </c>
      <c r="BE190" s="86" t="b">
        <v>0</v>
      </c>
      <c r="BF190" s="86" t="b">
        <v>0</v>
      </c>
      <c r="BG190" s="86" t="b">
        <v>0</v>
      </c>
      <c r="BH190" s="86"/>
      <c r="BI190" s="86"/>
      <c r="BJ190" s="86" t="s">
        <v>29134</v>
      </c>
      <c r="BK190" s="86" t="b">
        <v>0</v>
      </c>
      <c r="BL190" s="86"/>
      <c r="BM190" s="86" t="s">
        <v>66</v>
      </c>
      <c r="BN190" s="86" t="s">
        <v>29136</v>
      </c>
      <c r="BO190" s="96" t="str">
        <f>HYPERLINK("https://twitter.com/raiamzices")</f>
        <v>https://twitter.com/raiamzices</v>
      </c>
      <c r="BP190" s="2"/>
    </row>
    <row r="191" spans="1:68" x14ac:dyDescent="0.25">
      <c r="A191" s="63" t="s">
        <v>389</v>
      </c>
      <c r="B191" s="64"/>
      <c r="C191" s="64"/>
      <c r="D191" s="65"/>
      <c r="E191" s="67"/>
      <c r="F191" s="111" t="str">
        <f>HYPERLINK("https://pbs.twimg.com/profile_images/1704920734504509440/6jn8DHmo_normal.jpg")</f>
        <v>https://pbs.twimg.com/profile_images/1704920734504509440/6jn8DHmo_normal.jpg</v>
      </c>
      <c r="G191" s="64"/>
      <c r="H191" s="68"/>
      <c r="I191" s="69"/>
      <c r="J191" s="69"/>
      <c r="K191" s="68" t="s">
        <v>29324</v>
      </c>
      <c r="L191" s="72"/>
      <c r="M191" s="73"/>
      <c r="N191" s="73"/>
      <c r="O191" s="74"/>
      <c r="P191" s="75"/>
      <c r="Q191" s="75"/>
      <c r="R191" s="102"/>
      <c r="S191" s="102"/>
      <c r="T191" s="102"/>
      <c r="U191" s="102"/>
      <c r="V191" s="48"/>
      <c r="W191" s="48"/>
      <c r="X191" s="48"/>
      <c r="Y191" s="48"/>
      <c r="Z191" s="47"/>
      <c r="AA191" s="70">
        <v>191</v>
      </c>
      <c r="AB191" s="70"/>
      <c r="AC191" s="71"/>
      <c r="AD191" s="86" t="s">
        <v>23829</v>
      </c>
      <c r="AE191" s="94" t="s">
        <v>22892</v>
      </c>
      <c r="AF191" s="86">
        <v>15</v>
      </c>
      <c r="AG191" s="86">
        <v>13</v>
      </c>
      <c r="AH191" s="86">
        <v>322</v>
      </c>
      <c r="AI191" s="86">
        <v>0</v>
      </c>
      <c r="AJ191" s="86">
        <v>15</v>
      </c>
      <c r="AK191" s="86">
        <v>301</v>
      </c>
      <c r="AL191" s="86" t="b">
        <v>0</v>
      </c>
      <c r="AM191" s="89">
        <v>43693.642557870371</v>
      </c>
      <c r="AN191" s="86" t="s">
        <v>15378</v>
      </c>
      <c r="AO191" s="86" t="s">
        <v>26593</v>
      </c>
      <c r="AP191" s="96" t="str">
        <f>HYPERLINK("https://t.co/qHUPJ1mjG5")</f>
        <v>https://t.co/qHUPJ1mjG5</v>
      </c>
      <c r="AQ191" s="96" t="str">
        <f>HYPERLINK("https://fabiofariadesigner.com.br")</f>
        <v>https://fabiofariadesigner.com.br</v>
      </c>
      <c r="AR191" s="86" t="s">
        <v>28029</v>
      </c>
      <c r="AS191" s="96" t="str">
        <f>HYPERLINK("https://t.co/9y8oMM4FFJ")</f>
        <v>https://t.co/9y8oMM4FFJ</v>
      </c>
      <c r="AT191" s="96" t="str">
        <f>HYPERLINK("http://linkme.bio/ffdesigner")</f>
        <v>http://linkme.bio/ffdesigner</v>
      </c>
      <c r="AU191" s="86" t="s">
        <v>29040</v>
      </c>
      <c r="AV191" s="86"/>
      <c r="AW191" s="96" t="str">
        <f>HYPERLINK("https://t.co/qHUPJ1mjG5")</f>
        <v>https://t.co/qHUPJ1mjG5</v>
      </c>
      <c r="AX191" s="86" t="b">
        <v>0</v>
      </c>
      <c r="AY191" s="86"/>
      <c r="AZ191" s="86"/>
      <c r="BA191" s="86" t="b">
        <v>1</v>
      </c>
      <c r="BB191" s="86" t="b">
        <v>1</v>
      </c>
      <c r="BC191" s="86" t="b">
        <v>1</v>
      </c>
      <c r="BD191" s="86" t="b">
        <v>0</v>
      </c>
      <c r="BE191" s="86" t="b">
        <v>0</v>
      </c>
      <c r="BF191" s="86" t="b">
        <v>0</v>
      </c>
      <c r="BG191" s="86" t="b">
        <v>0</v>
      </c>
      <c r="BH191" s="96" t="str">
        <f>HYPERLINK("https://pbs.twimg.com/profile_banners/1162384808338702336/1695320272")</f>
        <v>https://pbs.twimg.com/profile_banners/1162384808338702336/1695320272</v>
      </c>
      <c r="BI191" s="86"/>
      <c r="BJ191" s="86" t="s">
        <v>29134</v>
      </c>
      <c r="BK191" s="86" t="b">
        <v>0</v>
      </c>
      <c r="BL191" s="86"/>
      <c r="BM191" s="86" t="s">
        <v>66</v>
      </c>
      <c r="BN191" s="86" t="s">
        <v>29136</v>
      </c>
      <c r="BO191" s="96" t="str">
        <f>HYPERLINK("https://twitter.com/ffc_designer")</f>
        <v>https://twitter.com/ffc_designer</v>
      </c>
      <c r="BP191" s="2"/>
    </row>
    <row r="192" spans="1:68" x14ac:dyDescent="0.25">
      <c r="A192" s="63" t="s">
        <v>390</v>
      </c>
      <c r="B192" s="64"/>
      <c r="C192" s="64"/>
      <c r="D192" s="65"/>
      <c r="E192" s="67"/>
      <c r="F192" s="111" t="str">
        <f>HYPERLINK("https://pbs.twimg.com/profile_images/1499873180210667520/pGuGnc4G_normal.jpg")</f>
        <v>https://pbs.twimg.com/profile_images/1499873180210667520/pGuGnc4G_normal.jpg</v>
      </c>
      <c r="G192" s="64"/>
      <c r="H192" s="68"/>
      <c r="I192" s="69"/>
      <c r="J192" s="69"/>
      <c r="K192" s="68" t="s">
        <v>29325</v>
      </c>
      <c r="L192" s="72"/>
      <c r="M192" s="73"/>
      <c r="N192" s="73"/>
      <c r="O192" s="74"/>
      <c r="P192" s="75"/>
      <c r="Q192" s="75"/>
      <c r="R192" s="102"/>
      <c r="S192" s="102"/>
      <c r="T192" s="102"/>
      <c r="U192" s="102"/>
      <c r="V192" s="48"/>
      <c r="W192" s="48"/>
      <c r="X192" s="48"/>
      <c r="Y192" s="48"/>
      <c r="Z192" s="47"/>
      <c r="AA192" s="70">
        <v>192</v>
      </c>
      <c r="AB192" s="70"/>
      <c r="AC192" s="71"/>
      <c r="AD192" s="86" t="s">
        <v>23830</v>
      </c>
      <c r="AE192" s="94" t="s">
        <v>25287</v>
      </c>
      <c r="AF192" s="86">
        <v>725</v>
      </c>
      <c r="AG192" s="86">
        <v>21</v>
      </c>
      <c r="AH192" s="86">
        <v>3014</v>
      </c>
      <c r="AI192" s="86">
        <v>0</v>
      </c>
      <c r="AJ192" s="86">
        <v>4</v>
      </c>
      <c r="AK192" s="86">
        <v>219</v>
      </c>
      <c r="AL192" s="86" t="b">
        <v>0</v>
      </c>
      <c r="AM192" s="89">
        <v>40328.820856481485</v>
      </c>
      <c r="AN192" s="86"/>
      <c r="AO192" s="86" t="s">
        <v>26594</v>
      </c>
      <c r="AP192" s="96" t="str">
        <f>HYPERLINK("https://t.co/QFNUZNd71p")</f>
        <v>https://t.co/QFNUZNd71p</v>
      </c>
      <c r="AQ192" s="96" t="str">
        <f>HYPERLINK("https://eduardoduka.com/twitterbio")</f>
        <v>https://eduardoduka.com/twitterbio</v>
      </c>
      <c r="AR192" s="86" t="s">
        <v>28030</v>
      </c>
      <c r="AS192" s="86"/>
      <c r="AT192" s="86"/>
      <c r="AU192" s="86"/>
      <c r="AV192" s="86"/>
      <c r="AW192" s="96" t="str">
        <f>HYPERLINK("https://t.co/QFNUZNd71p")</f>
        <v>https://t.co/QFNUZNd71p</v>
      </c>
      <c r="AX192" s="86" t="b">
        <v>0</v>
      </c>
      <c r="AY192" s="86"/>
      <c r="AZ192" s="86"/>
      <c r="BA192" s="86" t="b">
        <v>0</v>
      </c>
      <c r="BB192" s="86" t="b">
        <v>1</v>
      </c>
      <c r="BC192" s="86" t="b">
        <v>0</v>
      </c>
      <c r="BD192" s="86" t="b">
        <v>0</v>
      </c>
      <c r="BE192" s="86" t="b">
        <v>0</v>
      </c>
      <c r="BF192" s="86" t="b">
        <v>0</v>
      </c>
      <c r="BG192" s="86" t="b">
        <v>0</v>
      </c>
      <c r="BH192" s="96" t="str">
        <f>HYPERLINK("https://pbs.twimg.com/profile_banners/149992574/1647371399")</f>
        <v>https://pbs.twimg.com/profile_banners/149992574/1647371399</v>
      </c>
      <c r="BI192" s="86"/>
      <c r="BJ192" s="86" t="s">
        <v>29134</v>
      </c>
      <c r="BK192" s="86" t="b">
        <v>0</v>
      </c>
      <c r="BL192" s="86"/>
      <c r="BM192" s="86" t="s">
        <v>66</v>
      </c>
      <c r="BN192" s="86" t="s">
        <v>29136</v>
      </c>
      <c r="BO192" s="96" t="str">
        <f>HYPERLINK("https://twitter.com/eduardoduka")</f>
        <v>https://twitter.com/eduardoduka</v>
      </c>
      <c r="BP192" s="2"/>
    </row>
    <row r="193" spans="1:68" x14ac:dyDescent="0.25">
      <c r="A193" s="63" t="s">
        <v>391</v>
      </c>
      <c r="B193" s="64"/>
      <c r="C193" s="64"/>
      <c r="D193" s="65"/>
      <c r="E193" s="67"/>
      <c r="F193" s="111" t="str">
        <f>HYPERLINK("https://pbs.twimg.com/profile_images/1519005304876318721/OM0PJYYp_normal.jpg")</f>
        <v>https://pbs.twimg.com/profile_images/1519005304876318721/OM0PJYYp_normal.jpg</v>
      </c>
      <c r="G193" s="64"/>
      <c r="H193" s="68"/>
      <c r="I193" s="69"/>
      <c r="J193" s="69"/>
      <c r="K193" s="68" t="s">
        <v>29326</v>
      </c>
      <c r="L193" s="72"/>
      <c r="M193" s="73"/>
      <c r="N193" s="73"/>
      <c r="O193" s="74"/>
      <c r="P193" s="75"/>
      <c r="Q193" s="75"/>
      <c r="R193" s="102"/>
      <c r="S193" s="102"/>
      <c r="T193" s="102"/>
      <c r="U193" s="102"/>
      <c r="V193" s="48"/>
      <c r="W193" s="48"/>
      <c r="X193" s="48"/>
      <c r="Y193" s="48"/>
      <c r="Z193" s="47"/>
      <c r="AA193" s="70">
        <v>193</v>
      </c>
      <c r="AB193" s="70"/>
      <c r="AC193" s="71"/>
      <c r="AD193" s="86" t="s">
        <v>23831</v>
      </c>
      <c r="AE193" s="94" t="s">
        <v>25288</v>
      </c>
      <c r="AF193" s="86">
        <v>131642</v>
      </c>
      <c r="AG193" s="86">
        <v>20</v>
      </c>
      <c r="AH193" s="86">
        <v>12730</v>
      </c>
      <c r="AI193" s="86">
        <v>25</v>
      </c>
      <c r="AJ193" s="86">
        <v>864</v>
      </c>
      <c r="AK193" s="86">
        <v>2730</v>
      </c>
      <c r="AL193" s="86" t="b">
        <v>0</v>
      </c>
      <c r="AM193" s="89">
        <v>40714.577291666668</v>
      </c>
      <c r="AN193" s="86" t="s">
        <v>25933</v>
      </c>
      <c r="AO193" s="86" t="s">
        <v>26595</v>
      </c>
      <c r="AP193" s="96" t="str">
        <f>HYPERLINK("https://t.co/dPDDgVfqEt")</f>
        <v>https://t.co/dPDDgVfqEt</v>
      </c>
      <c r="AQ193" s="96" t="str">
        <f>HYPERLINK("https://www.wmbmarketingdigital.com.br/")</f>
        <v>https://www.wmbmarketingdigital.com.br/</v>
      </c>
      <c r="AR193" s="86" t="s">
        <v>28031</v>
      </c>
      <c r="AS193" s="86"/>
      <c r="AT193" s="86"/>
      <c r="AU193" s="86"/>
      <c r="AV193" s="86"/>
      <c r="AW193" s="96" t="str">
        <f>HYPERLINK("https://t.co/dPDDgVfqEt")</f>
        <v>https://t.co/dPDDgVfqEt</v>
      </c>
      <c r="AX193" s="86" t="b">
        <v>1</v>
      </c>
      <c r="AY193" s="86"/>
      <c r="AZ193" s="86"/>
      <c r="BA193" s="86" t="b">
        <v>0</v>
      </c>
      <c r="BB193" s="86" t="b">
        <v>1</v>
      </c>
      <c r="BC193" s="86" t="b">
        <v>0</v>
      </c>
      <c r="BD193" s="86" t="b">
        <v>0</v>
      </c>
      <c r="BE193" s="86" t="b">
        <v>0</v>
      </c>
      <c r="BF193" s="86" t="b">
        <v>0</v>
      </c>
      <c r="BG193" s="86" t="b">
        <v>0</v>
      </c>
      <c r="BH193" s="96" t="str">
        <f>HYPERLINK("https://pbs.twimg.com/profile_banners/320762743/1670002961")</f>
        <v>https://pbs.twimg.com/profile_banners/320762743/1670002961</v>
      </c>
      <c r="BI193" s="86"/>
      <c r="BJ193" s="86" t="s">
        <v>29135</v>
      </c>
      <c r="BK193" s="86" t="b">
        <v>0</v>
      </c>
      <c r="BL193" s="86"/>
      <c r="BM193" s="86" t="s">
        <v>66</v>
      </c>
      <c r="BN193" s="86" t="s">
        <v>29136</v>
      </c>
      <c r="BO193" s="96" t="str">
        <f>HYPERLINK("https://twitter.com/_wmbmarketing")</f>
        <v>https://twitter.com/_wmbmarketing</v>
      </c>
      <c r="BP193" s="2"/>
    </row>
    <row r="194" spans="1:68" x14ac:dyDescent="0.25">
      <c r="A194" s="63" t="s">
        <v>392</v>
      </c>
      <c r="B194" s="64"/>
      <c r="C194" s="64"/>
      <c r="D194" s="65"/>
      <c r="E194" s="67"/>
      <c r="F194" s="111" t="str">
        <f>HYPERLINK("https://pbs.twimg.com/profile_images/1533595453731766272/9NZ71Xev_normal.jpg")</f>
        <v>https://pbs.twimg.com/profile_images/1533595453731766272/9NZ71Xev_normal.jpg</v>
      </c>
      <c r="G194" s="64"/>
      <c r="H194" s="68"/>
      <c r="I194" s="69"/>
      <c r="J194" s="69"/>
      <c r="K194" s="68" t="s">
        <v>29327</v>
      </c>
      <c r="L194" s="72"/>
      <c r="M194" s="73"/>
      <c r="N194" s="73"/>
      <c r="O194" s="74"/>
      <c r="P194" s="75"/>
      <c r="Q194" s="75"/>
      <c r="R194" s="102"/>
      <c r="S194" s="102"/>
      <c r="T194" s="102"/>
      <c r="U194" s="102"/>
      <c r="V194" s="48"/>
      <c r="W194" s="48"/>
      <c r="X194" s="48"/>
      <c r="Y194" s="48"/>
      <c r="Z194" s="47"/>
      <c r="AA194" s="70">
        <v>194</v>
      </c>
      <c r="AB194" s="70"/>
      <c r="AC194" s="71"/>
      <c r="AD194" s="86" t="s">
        <v>23832</v>
      </c>
      <c r="AE194" s="94" t="s">
        <v>25289</v>
      </c>
      <c r="AF194" s="86">
        <v>772</v>
      </c>
      <c r="AG194" s="86">
        <v>348</v>
      </c>
      <c r="AH194" s="86">
        <v>558</v>
      </c>
      <c r="AI194" s="86">
        <v>6</v>
      </c>
      <c r="AJ194" s="86">
        <v>49</v>
      </c>
      <c r="AK194" s="86">
        <v>325</v>
      </c>
      <c r="AL194" s="86" t="b">
        <v>0</v>
      </c>
      <c r="AM194" s="89">
        <v>41373.175081018519</v>
      </c>
      <c r="AN194" s="86" t="s">
        <v>15234</v>
      </c>
      <c r="AO194" s="86" t="s">
        <v>26596</v>
      </c>
      <c r="AP194" s="96" t="str">
        <f>HYPERLINK("https://t.co/LJ4UNGZxYC")</f>
        <v>https://t.co/LJ4UNGZxYC</v>
      </c>
      <c r="AQ194" s="96" t="str">
        <f>HYPERLINK("https://www.instagram.com/revirandosp_/")</f>
        <v>https://www.instagram.com/revirandosp_/</v>
      </c>
      <c r="AR194" s="86" t="s">
        <v>28032</v>
      </c>
      <c r="AS194" s="86"/>
      <c r="AT194" s="86"/>
      <c r="AU194" s="86"/>
      <c r="AV194" s="86"/>
      <c r="AW194" s="96" t="str">
        <f>HYPERLINK("https://t.co/LJ4UNGZxYC")</f>
        <v>https://t.co/LJ4UNGZxYC</v>
      </c>
      <c r="AX194" s="86" t="b">
        <v>0</v>
      </c>
      <c r="AY194" s="86"/>
      <c r="AZ194" s="86"/>
      <c r="BA194" s="86" t="b">
        <v>0</v>
      </c>
      <c r="BB194" s="86" t="b">
        <v>1</v>
      </c>
      <c r="BC194" s="86" t="b">
        <v>0</v>
      </c>
      <c r="BD194" s="86" t="b">
        <v>0</v>
      </c>
      <c r="BE194" s="86" t="b">
        <v>1</v>
      </c>
      <c r="BF194" s="86" t="b">
        <v>0</v>
      </c>
      <c r="BG194" s="86" t="b">
        <v>0</v>
      </c>
      <c r="BH194" s="96" t="str">
        <f>HYPERLINK("https://pbs.twimg.com/profile_banners/1338265286/1620857471")</f>
        <v>https://pbs.twimg.com/profile_banners/1338265286/1620857471</v>
      </c>
      <c r="BI194" s="86"/>
      <c r="BJ194" s="86" t="s">
        <v>29134</v>
      </c>
      <c r="BK194" s="86" t="b">
        <v>0</v>
      </c>
      <c r="BL194" s="86"/>
      <c r="BM194" s="86" t="s">
        <v>66</v>
      </c>
      <c r="BN194" s="86" t="s">
        <v>29136</v>
      </c>
      <c r="BO194" s="96" t="str">
        <f>HYPERLINK("https://twitter.com/helioramosjr")</f>
        <v>https://twitter.com/helioramosjr</v>
      </c>
      <c r="BP194" s="2"/>
    </row>
    <row r="195" spans="1:68" x14ac:dyDescent="0.25">
      <c r="A195" s="63" t="s">
        <v>393</v>
      </c>
      <c r="B195" s="64"/>
      <c r="C195" s="64"/>
      <c r="D195" s="65"/>
      <c r="E195" s="67"/>
      <c r="F195" s="111" t="str">
        <f>HYPERLINK("https://pbs.twimg.com/profile_images/1441105958617317381/WZ4I0m0X_normal.jpg")</f>
        <v>https://pbs.twimg.com/profile_images/1441105958617317381/WZ4I0m0X_normal.jpg</v>
      </c>
      <c r="G195" s="64"/>
      <c r="H195" s="68"/>
      <c r="I195" s="69"/>
      <c r="J195" s="69"/>
      <c r="K195" s="68" t="s">
        <v>29328</v>
      </c>
      <c r="L195" s="72"/>
      <c r="M195" s="73"/>
      <c r="N195" s="73"/>
      <c r="O195" s="74"/>
      <c r="P195" s="75"/>
      <c r="Q195" s="75"/>
      <c r="R195" s="102"/>
      <c r="S195" s="102"/>
      <c r="T195" s="102"/>
      <c r="U195" s="102"/>
      <c r="V195" s="48"/>
      <c r="W195" s="48"/>
      <c r="X195" s="48"/>
      <c r="Y195" s="48"/>
      <c r="Z195" s="47"/>
      <c r="AA195" s="70">
        <v>195</v>
      </c>
      <c r="AB195" s="70"/>
      <c r="AC195" s="71"/>
      <c r="AD195" s="86" t="s">
        <v>23833</v>
      </c>
      <c r="AE195" s="94" t="s">
        <v>22893</v>
      </c>
      <c r="AF195" s="86">
        <v>8</v>
      </c>
      <c r="AG195" s="86">
        <v>244</v>
      </c>
      <c r="AH195" s="86">
        <v>30</v>
      </c>
      <c r="AI195" s="86">
        <v>1</v>
      </c>
      <c r="AJ195" s="86">
        <v>150</v>
      </c>
      <c r="AK195" s="86">
        <v>0</v>
      </c>
      <c r="AL195" s="86" t="b">
        <v>0</v>
      </c>
      <c r="AM195" s="89">
        <v>44462.576562499999</v>
      </c>
      <c r="AN195" s="86" t="s">
        <v>15234</v>
      </c>
      <c r="AO195" s="86" t="s">
        <v>23711</v>
      </c>
      <c r="AP195" s="86"/>
      <c r="AQ195" s="86"/>
      <c r="AR195" s="86"/>
      <c r="AS195" s="86"/>
      <c r="AT195" s="86"/>
      <c r="AU195" s="86"/>
      <c r="AV195" s="86">
        <v>1.44111601984243E+18</v>
      </c>
      <c r="AW195" s="86"/>
      <c r="AX195" s="86" t="b">
        <v>0</v>
      </c>
      <c r="AY195" s="86"/>
      <c r="AZ195" s="86"/>
      <c r="BA195" s="86" t="b">
        <v>0</v>
      </c>
      <c r="BB195" s="86" t="b">
        <v>1</v>
      </c>
      <c r="BC195" s="86" t="b">
        <v>1</v>
      </c>
      <c r="BD195" s="86" t="b">
        <v>0</v>
      </c>
      <c r="BE195" s="86" t="b">
        <v>1</v>
      </c>
      <c r="BF195" s="86" t="b">
        <v>0</v>
      </c>
      <c r="BG195" s="86" t="b">
        <v>0</v>
      </c>
      <c r="BH195" s="86"/>
      <c r="BI195" s="86"/>
      <c r="BJ195" s="86" t="s">
        <v>29134</v>
      </c>
      <c r="BK195" s="86" t="b">
        <v>0</v>
      </c>
      <c r="BL195" s="86"/>
      <c r="BM195" s="86" t="s">
        <v>66</v>
      </c>
      <c r="BN195" s="86" t="s">
        <v>29136</v>
      </c>
      <c r="BO195" s="96" t="str">
        <f>HYPERLINK("https://twitter.com/welingtonseraf1")</f>
        <v>https://twitter.com/welingtonseraf1</v>
      </c>
      <c r="BP195" s="2"/>
    </row>
    <row r="196" spans="1:68" x14ac:dyDescent="0.25">
      <c r="A196" s="63" t="s">
        <v>394</v>
      </c>
      <c r="B196" s="64"/>
      <c r="C196" s="64"/>
      <c r="D196" s="65"/>
      <c r="E196" s="67"/>
      <c r="F196" s="111" t="str">
        <f>HYPERLINK("https://pbs.twimg.com/profile_images/1465747548245831686/pKGVMYPw_normal.jpg")</f>
        <v>https://pbs.twimg.com/profile_images/1465747548245831686/pKGVMYPw_normal.jpg</v>
      </c>
      <c r="G196" s="64"/>
      <c r="H196" s="68"/>
      <c r="I196" s="69"/>
      <c r="J196" s="69"/>
      <c r="K196" s="68" t="s">
        <v>29329</v>
      </c>
      <c r="L196" s="72"/>
      <c r="M196" s="73"/>
      <c r="N196" s="73"/>
      <c r="O196" s="74"/>
      <c r="P196" s="75"/>
      <c r="Q196" s="75"/>
      <c r="R196" s="102"/>
      <c r="S196" s="102"/>
      <c r="T196" s="102"/>
      <c r="U196" s="102"/>
      <c r="V196" s="48"/>
      <c r="W196" s="48"/>
      <c r="X196" s="48"/>
      <c r="Y196" s="48"/>
      <c r="Z196" s="47"/>
      <c r="AA196" s="70">
        <v>196</v>
      </c>
      <c r="AB196" s="70"/>
      <c r="AC196" s="71"/>
      <c r="AD196" s="86" t="s">
        <v>23834</v>
      </c>
      <c r="AE196" s="94" t="s">
        <v>25290</v>
      </c>
      <c r="AF196" s="86">
        <v>642</v>
      </c>
      <c r="AG196" s="86">
        <v>1186</v>
      </c>
      <c r="AH196" s="86">
        <v>35419</v>
      </c>
      <c r="AI196" s="86">
        <v>0</v>
      </c>
      <c r="AJ196" s="86">
        <v>36716</v>
      </c>
      <c r="AK196" s="86">
        <v>262</v>
      </c>
      <c r="AL196" s="86" t="b">
        <v>0</v>
      </c>
      <c r="AM196" s="89">
        <v>39993.485150462962</v>
      </c>
      <c r="AN196" s="86" t="s">
        <v>25949</v>
      </c>
      <c r="AO196" s="86"/>
      <c r="AP196" s="86"/>
      <c r="AQ196" s="86"/>
      <c r="AR196" s="86"/>
      <c r="AS196" s="86"/>
      <c r="AT196" s="86"/>
      <c r="AU196" s="86"/>
      <c r="AV196" s="86">
        <v>1.63021380801776E+18</v>
      </c>
      <c r="AW196" s="86"/>
      <c r="AX196" s="86" t="b">
        <v>0</v>
      </c>
      <c r="AY196" s="86"/>
      <c r="AZ196" s="86"/>
      <c r="BA196" s="86" t="b">
        <v>0</v>
      </c>
      <c r="BB196" s="86" t="b">
        <v>0</v>
      </c>
      <c r="BC196" s="86" t="b">
        <v>0</v>
      </c>
      <c r="BD196" s="86" t="b">
        <v>0</v>
      </c>
      <c r="BE196" s="86" t="b">
        <v>1</v>
      </c>
      <c r="BF196" s="86" t="b">
        <v>0</v>
      </c>
      <c r="BG196" s="86" t="b">
        <v>0</v>
      </c>
      <c r="BH196" s="96" t="str">
        <f>HYPERLINK("https://pbs.twimg.com/profile_banners/52031026/1581135639")</f>
        <v>https://pbs.twimg.com/profile_banners/52031026/1581135639</v>
      </c>
      <c r="BI196" s="86"/>
      <c r="BJ196" s="86" t="s">
        <v>29134</v>
      </c>
      <c r="BK196" s="86" t="b">
        <v>0</v>
      </c>
      <c r="BL196" s="86"/>
      <c r="BM196" s="86" t="s">
        <v>66</v>
      </c>
      <c r="BN196" s="86" t="s">
        <v>29136</v>
      </c>
      <c r="BO196" s="96" t="str">
        <f>HYPERLINK("https://twitter.com/fredericomark")</f>
        <v>https://twitter.com/fredericomark</v>
      </c>
      <c r="BP196" s="2"/>
    </row>
    <row r="197" spans="1:68" x14ac:dyDescent="0.25">
      <c r="A197" s="63" t="s">
        <v>395</v>
      </c>
      <c r="B197" s="64"/>
      <c r="C197" s="64"/>
      <c r="D197" s="65"/>
      <c r="E197" s="67"/>
      <c r="F197" s="111" t="str">
        <f>HYPERLINK("https://pbs.twimg.com/profile_images/1697630726538047488/wXNUcNUY_normal.jpg")</f>
        <v>https://pbs.twimg.com/profile_images/1697630726538047488/wXNUcNUY_normal.jpg</v>
      </c>
      <c r="G197" s="64"/>
      <c r="H197" s="68"/>
      <c r="I197" s="69"/>
      <c r="J197" s="69"/>
      <c r="K197" s="68" t="s">
        <v>29330</v>
      </c>
      <c r="L197" s="72"/>
      <c r="M197" s="73"/>
      <c r="N197" s="73"/>
      <c r="O197" s="74"/>
      <c r="P197" s="75"/>
      <c r="Q197" s="75"/>
      <c r="R197" s="102"/>
      <c r="S197" s="102"/>
      <c r="T197" s="102"/>
      <c r="U197" s="102"/>
      <c r="V197" s="48"/>
      <c r="W197" s="48"/>
      <c r="X197" s="48"/>
      <c r="Y197" s="48"/>
      <c r="Z197" s="47"/>
      <c r="AA197" s="70">
        <v>197</v>
      </c>
      <c r="AB197" s="70"/>
      <c r="AC197" s="71"/>
      <c r="AD197" s="86" t="s">
        <v>23835</v>
      </c>
      <c r="AE197" s="94" t="s">
        <v>25291</v>
      </c>
      <c r="AF197" s="86">
        <v>24188</v>
      </c>
      <c r="AG197" s="86">
        <v>273</v>
      </c>
      <c r="AH197" s="86">
        <v>47877</v>
      </c>
      <c r="AI197" s="86">
        <v>176</v>
      </c>
      <c r="AJ197" s="86">
        <v>57</v>
      </c>
      <c r="AK197" s="86">
        <v>5462</v>
      </c>
      <c r="AL197" s="86" t="b">
        <v>0</v>
      </c>
      <c r="AM197" s="89">
        <v>40028.562372685185</v>
      </c>
      <c r="AN197" s="86" t="s">
        <v>25950</v>
      </c>
      <c r="AO197" s="86" t="s">
        <v>26597</v>
      </c>
      <c r="AP197" s="96" t="str">
        <f>HYPERLINK("https://t.co/YdP5dLz7P7")</f>
        <v>https://t.co/YdP5dLz7P7</v>
      </c>
      <c r="AQ197" s="96" t="str">
        <f>HYPERLINK("http://www.al.ce.gov.br")</f>
        <v>http://www.al.ce.gov.br</v>
      </c>
      <c r="AR197" s="86" t="s">
        <v>28033</v>
      </c>
      <c r="AS197" s="86"/>
      <c r="AT197" s="86"/>
      <c r="AU197" s="86"/>
      <c r="AV197" s="86"/>
      <c r="AW197" s="96" t="str">
        <f>HYPERLINK("https://t.co/YdP5dLz7P7")</f>
        <v>https://t.co/YdP5dLz7P7</v>
      </c>
      <c r="AX197" s="86" t="b">
        <v>0</v>
      </c>
      <c r="AY197" s="86"/>
      <c r="AZ197" s="86"/>
      <c r="BA197" s="86" t="b">
        <v>0</v>
      </c>
      <c r="BB197" s="86" t="b">
        <v>1</v>
      </c>
      <c r="BC197" s="86" t="b">
        <v>0</v>
      </c>
      <c r="BD197" s="86" t="b">
        <v>0</v>
      </c>
      <c r="BE197" s="86" t="b">
        <v>1</v>
      </c>
      <c r="BF197" s="86" t="b">
        <v>0</v>
      </c>
      <c r="BG197" s="86" t="b">
        <v>0</v>
      </c>
      <c r="BH197" s="96" t="str">
        <f>HYPERLINK("https://pbs.twimg.com/profile_banners/62514462/1693581910")</f>
        <v>https://pbs.twimg.com/profile_banners/62514462/1693581910</v>
      </c>
      <c r="BI197" s="86"/>
      <c r="BJ197" s="86" t="s">
        <v>29134</v>
      </c>
      <c r="BK197" s="86" t="b">
        <v>0</v>
      </c>
      <c r="BL197" s="86"/>
      <c r="BM197" s="86" t="s">
        <v>66</v>
      </c>
      <c r="BN197" s="86" t="s">
        <v>29136</v>
      </c>
      <c r="BO197" s="96" t="str">
        <f>HYPERLINK("https://twitter.com/assembleia_ce")</f>
        <v>https://twitter.com/assembleia_ce</v>
      </c>
      <c r="BP197" s="2"/>
    </row>
    <row r="198" spans="1:68" x14ac:dyDescent="0.25">
      <c r="A198" s="63" t="s">
        <v>396</v>
      </c>
      <c r="B198" s="64"/>
      <c r="C198" s="64"/>
      <c r="D198" s="65"/>
      <c r="E198" s="67"/>
      <c r="F198" s="111" t="str">
        <f>HYPERLINK("https://pbs.twimg.com/profile_images/1069990907934638081/NHoAFn5j_normal.jpg")</f>
        <v>https://pbs.twimg.com/profile_images/1069990907934638081/NHoAFn5j_normal.jpg</v>
      </c>
      <c r="G198" s="64"/>
      <c r="H198" s="68"/>
      <c r="I198" s="69"/>
      <c r="J198" s="69"/>
      <c r="K198" s="68" t="s">
        <v>29331</v>
      </c>
      <c r="L198" s="72"/>
      <c r="M198" s="73"/>
      <c r="N198" s="73"/>
      <c r="O198" s="74"/>
      <c r="P198" s="75"/>
      <c r="Q198" s="75"/>
      <c r="R198" s="102"/>
      <c r="S198" s="102"/>
      <c r="T198" s="102"/>
      <c r="U198" s="102"/>
      <c r="V198" s="48"/>
      <c r="W198" s="48"/>
      <c r="X198" s="48"/>
      <c r="Y198" s="48"/>
      <c r="Z198" s="47"/>
      <c r="AA198" s="70">
        <v>198</v>
      </c>
      <c r="AB198" s="70"/>
      <c r="AC198" s="71"/>
      <c r="AD198" s="86" t="s">
        <v>23836</v>
      </c>
      <c r="AE198" s="94" t="s">
        <v>22894</v>
      </c>
      <c r="AF198" s="86">
        <v>1637</v>
      </c>
      <c r="AG198" s="86">
        <v>4482</v>
      </c>
      <c r="AH198" s="86">
        <v>5786</v>
      </c>
      <c r="AI198" s="86">
        <v>4</v>
      </c>
      <c r="AJ198" s="86">
        <v>48</v>
      </c>
      <c r="AK198" s="86">
        <v>2241</v>
      </c>
      <c r="AL198" s="86" t="b">
        <v>0</v>
      </c>
      <c r="AM198" s="89">
        <v>43182.884444444448</v>
      </c>
      <c r="AN198" s="86"/>
      <c r="AO198" s="86" t="s">
        <v>26598</v>
      </c>
      <c r="AP198" s="96" t="str">
        <f>HYPERLINK("https://t.co/slSNdhtJNb")</f>
        <v>https://t.co/slSNdhtJNb</v>
      </c>
      <c r="AQ198" s="96" t="str">
        <f>HYPERLINK("https://vagaspelomundo.com.br/")</f>
        <v>https://vagaspelomundo.com.br/</v>
      </c>
      <c r="AR198" s="86" t="s">
        <v>28034</v>
      </c>
      <c r="AS198" s="96" t="str">
        <f>HYPERLINK("https://t.co/llJMWv3N4J")</f>
        <v>https://t.co/llJMWv3N4J</v>
      </c>
      <c r="AT198" s="96" t="str">
        <f>HYPERLINK("https://podcasters.spotify.com/pod/show/vagas-pelo-mundo/")</f>
        <v>https://podcasters.spotify.com/pod/show/vagas-pelo-mundo/</v>
      </c>
      <c r="AU198" s="86" t="s">
        <v>29041</v>
      </c>
      <c r="AV198" s="86"/>
      <c r="AW198" s="96" t="str">
        <f>HYPERLINK("https://t.co/slSNdhtJNb")</f>
        <v>https://t.co/slSNdhtJNb</v>
      </c>
      <c r="AX198" s="86" t="b">
        <v>0</v>
      </c>
      <c r="AY198" s="86"/>
      <c r="AZ198" s="86"/>
      <c r="BA198" s="86" t="b">
        <v>0</v>
      </c>
      <c r="BB198" s="86" t="b">
        <v>1</v>
      </c>
      <c r="BC198" s="86" t="b">
        <v>0</v>
      </c>
      <c r="BD198" s="86" t="b">
        <v>0</v>
      </c>
      <c r="BE198" s="86" t="b">
        <v>0</v>
      </c>
      <c r="BF198" s="86" t="b">
        <v>0</v>
      </c>
      <c r="BG198" s="86" t="b">
        <v>0</v>
      </c>
      <c r="BH198" s="96" t="str">
        <f>HYPERLINK("https://pbs.twimg.com/profile_banners/977292302900256768/1661848447")</f>
        <v>https://pbs.twimg.com/profile_banners/977292302900256768/1661848447</v>
      </c>
      <c r="BI198" s="86"/>
      <c r="BJ198" s="86" t="s">
        <v>29134</v>
      </c>
      <c r="BK198" s="86" t="b">
        <v>0</v>
      </c>
      <c r="BL198" s="86"/>
      <c r="BM198" s="86" t="s">
        <v>66</v>
      </c>
      <c r="BN198" s="86" t="s">
        <v>29136</v>
      </c>
      <c r="BO198" s="96" t="str">
        <f>HYPERLINK("https://twitter.com/vagaspelomundo")</f>
        <v>https://twitter.com/vagaspelomundo</v>
      </c>
      <c r="BP198" s="2"/>
    </row>
    <row r="199" spans="1:68" x14ac:dyDescent="0.25">
      <c r="A199" s="63" t="s">
        <v>397</v>
      </c>
      <c r="B199" s="64"/>
      <c r="C199" s="64"/>
      <c r="D199" s="65"/>
      <c r="E199" s="67"/>
      <c r="F199" s="111" t="str">
        <f>HYPERLINK("https://pbs.twimg.com/profile_images/1694378237969747968/XtjezgvB_normal.jpg")</f>
        <v>https://pbs.twimg.com/profile_images/1694378237969747968/XtjezgvB_normal.jpg</v>
      </c>
      <c r="G199" s="64"/>
      <c r="H199" s="68"/>
      <c r="I199" s="69"/>
      <c r="J199" s="69"/>
      <c r="K199" s="68" t="s">
        <v>29332</v>
      </c>
      <c r="L199" s="72"/>
      <c r="M199" s="73"/>
      <c r="N199" s="73"/>
      <c r="O199" s="74"/>
      <c r="P199" s="75"/>
      <c r="Q199" s="75"/>
      <c r="R199" s="102"/>
      <c r="S199" s="102"/>
      <c r="T199" s="102"/>
      <c r="U199" s="102"/>
      <c r="V199" s="48"/>
      <c r="W199" s="48"/>
      <c r="X199" s="48"/>
      <c r="Y199" s="48"/>
      <c r="Z199" s="47"/>
      <c r="AA199" s="70">
        <v>199</v>
      </c>
      <c r="AB199" s="70"/>
      <c r="AC199" s="71"/>
      <c r="AD199" s="86" t="s">
        <v>23837</v>
      </c>
      <c r="AE199" s="94" t="s">
        <v>25292</v>
      </c>
      <c r="AF199" s="86">
        <v>93</v>
      </c>
      <c r="AG199" s="86">
        <v>140</v>
      </c>
      <c r="AH199" s="86">
        <v>3546</v>
      </c>
      <c r="AI199" s="86">
        <v>0</v>
      </c>
      <c r="AJ199" s="86">
        <v>26141</v>
      </c>
      <c r="AK199" s="86">
        <v>795</v>
      </c>
      <c r="AL199" s="86" t="b">
        <v>0</v>
      </c>
      <c r="AM199" s="89">
        <v>42284.85701388889</v>
      </c>
      <c r="AN199" s="86" t="s">
        <v>15249</v>
      </c>
      <c r="AO199" s="86" t="s">
        <v>26599</v>
      </c>
      <c r="AP199" s="96" t="str">
        <f>HYPERLINK("https://t.co/zmwhCWsvuk")</f>
        <v>https://t.co/zmwhCWsvuk</v>
      </c>
      <c r="AQ199" s="96" t="str">
        <f>HYPERLINK("http://superslimx.com.br")</f>
        <v>http://superslimx.com.br</v>
      </c>
      <c r="AR199" s="86" t="s">
        <v>28035</v>
      </c>
      <c r="AS199" s="86"/>
      <c r="AT199" s="86"/>
      <c r="AU199" s="86"/>
      <c r="AV199" s="86"/>
      <c r="AW199" s="96" t="str">
        <f>HYPERLINK("https://t.co/zmwhCWsvuk")</f>
        <v>https://t.co/zmwhCWsvuk</v>
      </c>
      <c r="AX199" s="86" t="b">
        <v>0</v>
      </c>
      <c r="AY199" s="86"/>
      <c r="AZ199" s="86"/>
      <c r="BA199" s="86" t="b">
        <v>1</v>
      </c>
      <c r="BB199" s="86" t="b">
        <v>1</v>
      </c>
      <c r="BC199" s="86" t="b">
        <v>1</v>
      </c>
      <c r="BD199" s="86" t="b">
        <v>0</v>
      </c>
      <c r="BE199" s="86" t="b">
        <v>1</v>
      </c>
      <c r="BF199" s="86" t="b">
        <v>0</v>
      </c>
      <c r="BG199" s="86" t="b">
        <v>0</v>
      </c>
      <c r="BH199" s="96" t="str">
        <f>HYPERLINK("https://pbs.twimg.com/profile_banners/3893109381/1617291102")</f>
        <v>https://pbs.twimg.com/profile_banners/3893109381/1617291102</v>
      </c>
      <c r="BI199" s="86"/>
      <c r="BJ199" s="86" t="s">
        <v>29134</v>
      </c>
      <c r="BK199" s="86" t="b">
        <v>0</v>
      </c>
      <c r="BL199" s="86"/>
      <c r="BM199" s="86" t="s">
        <v>66</v>
      </c>
      <c r="BN199" s="86" t="s">
        <v>29136</v>
      </c>
      <c r="BO199" s="96" t="str">
        <f>HYPERLINK("https://twitter.com/oportoneto")</f>
        <v>https://twitter.com/oportoneto</v>
      </c>
      <c r="BP199" s="2"/>
    </row>
    <row r="200" spans="1:68" x14ac:dyDescent="0.25">
      <c r="A200" s="63" t="s">
        <v>398</v>
      </c>
      <c r="B200" s="64"/>
      <c r="C200" s="64"/>
      <c r="D200" s="65"/>
      <c r="E200" s="67"/>
      <c r="F200" s="111" t="str">
        <f>HYPERLINK("https://pbs.twimg.com/profile_images/1462377968664260615/ZhrMg9Oh_normal.jpg")</f>
        <v>https://pbs.twimg.com/profile_images/1462377968664260615/ZhrMg9Oh_normal.jpg</v>
      </c>
      <c r="G200" s="64"/>
      <c r="H200" s="68"/>
      <c r="I200" s="69"/>
      <c r="J200" s="69"/>
      <c r="K200" s="68" t="s">
        <v>29333</v>
      </c>
      <c r="L200" s="72"/>
      <c r="M200" s="73"/>
      <c r="N200" s="73"/>
      <c r="O200" s="74"/>
      <c r="P200" s="75"/>
      <c r="Q200" s="75"/>
      <c r="R200" s="102"/>
      <c r="S200" s="102"/>
      <c r="T200" s="102"/>
      <c r="U200" s="102"/>
      <c r="V200" s="48"/>
      <c r="W200" s="48"/>
      <c r="X200" s="48"/>
      <c r="Y200" s="48"/>
      <c r="Z200" s="47"/>
      <c r="AA200" s="70">
        <v>200</v>
      </c>
      <c r="AB200" s="70"/>
      <c r="AC200" s="71"/>
      <c r="AD200" s="86" t="s">
        <v>23838</v>
      </c>
      <c r="AE200" s="94" t="s">
        <v>22895</v>
      </c>
      <c r="AF200" s="86">
        <v>14</v>
      </c>
      <c r="AG200" s="86">
        <v>55</v>
      </c>
      <c r="AH200" s="86">
        <v>98</v>
      </c>
      <c r="AI200" s="86">
        <v>0</v>
      </c>
      <c r="AJ200" s="86">
        <v>32</v>
      </c>
      <c r="AK200" s="86">
        <v>75</v>
      </c>
      <c r="AL200" s="86" t="b">
        <v>0</v>
      </c>
      <c r="AM200" s="89">
        <v>44517.061921296299</v>
      </c>
      <c r="AN200" s="86" t="s">
        <v>25951</v>
      </c>
      <c r="AO200" s="86" t="s">
        <v>26600</v>
      </c>
      <c r="AP200" s="96" t="str">
        <f>HYPERLINK("https://t.co/Z2N0BV4tSt")</f>
        <v>https://t.co/Z2N0BV4tSt</v>
      </c>
      <c r="AQ200" s="96" t="str">
        <f>HYPERLINK("https://antonioferreira.info/")</f>
        <v>https://antonioferreira.info/</v>
      </c>
      <c r="AR200" s="86" t="s">
        <v>28036</v>
      </c>
      <c r="AS200" s="86"/>
      <c r="AT200" s="86"/>
      <c r="AU200" s="86"/>
      <c r="AV200" s="86"/>
      <c r="AW200" s="96" t="str">
        <f>HYPERLINK("https://t.co/Z2N0BV4tSt")</f>
        <v>https://t.co/Z2N0BV4tSt</v>
      </c>
      <c r="AX200" s="86" t="b">
        <v>0</v>
      </c>
      <c r="AY200" s="86"/>
      <c r="AZ200" s="86"/>
      <c r="BA200" s="86" t="b">
        <v>0</v>
      </c>
      <c r="BB200" s="86" t="b">
        <v>1</v>
      </c>
      <c r="BC200" s="86" t="b">
        <v>1</v>
      </c>
      <c r="BD200" s="86" t="b">
        <v>0</v>
      </c>
      <c r="BE200" s="86" t="b">
        <v>0</v>
      </c>
      <c r="BF200" s="86" t="b">
        <v>0</v>
      </c>
      <c r="BG200" s="86" t="b">
        <v>0</v>
      </c>
      <c r="BH200" s="96" t="str">
        <f>HYPERLINK("https://pbs.twimg.com/profile_banners/1460781871663656963/1670701517")</f>
        <v>https://pbs.twimg.com/profile_banners/1460781871663656963/1670701517</v>
      </c>
      <c r="BI200" s="86"/>
      <c r="BJ200" s="86" t="s">
        <v>29134</v>
      </c>
      <c r="BK200" s="86" t="b">
        <v>0</v>
      </c>
      <c r="BL200" s="86"/>
      <c r="BM200" s="86" t="s">
        <v>66</v>
      </c>
      <c r="BN200" s="86" t="s">
        <v>29136</v>
      </c>
      <c r="BO200" s="96" t="str">
        <f>HYPERLINK("https://twitter.com/antonio_twittes")</f>
        <v>https://twitter.com/antonio_twittes</v>
      </c>
      <c r="BP200" s="2"/>
    </row>
    <row r="201" spans="1:68" x14ac:dyDescent="0.25">
      <c r="A201" s="63" t="s">
        <v>399</v>
      </c>
      <c r="B201" s="64"/>
      <c r="C201" s="64"/>
      <c r="D201" s="65"/>
      <c r="E201" s="67"/>
      <c r="F201" s="111" t="str">
        <f>HYPERLINK("https://pbs.twimg.com/profile_images/1609895087567241216/rceHWm6B_normal.jpg")</f>
        <v>https://pbs.twimg.com/profile_images/1609895087567241216/rceHWm6B_normal.jpg</v>
      </c>
      <c r="G201" s="64"/>
      <c r="H201" s="68"/>
      <c r="I201" s="69"/>
      <c r="J201" s="69"/>
      <c r="K201" s="68" t="s">
        <v>29334</v>
      </c>
      <c r="L201" s="72"/>
      <c r="M201" s="73"/>
      <c r="N201" s="73"/>
      <c r="O201" s="74"/>
      <c r="P201" s="75"/>
      <c r="Q201" s="75"/>
      <c r="R201" s="102"/>
      <c r="S201" s="102"/>
      <c r="T201" s="102"/>
      <c r="U201" s="102"/>
      <c r="V201" s="48"/>
      <c r="W201" s="48"/>
      <c r="X201" s="48"/>
      <c r="Y201" s="48"/>
      <c r="Z201" s="47"/>
      <c r="AA201" s="70">
        <v>201</v>
      </c>
      <c r="AB201" s="70"/>
      <c r="AC201" s="71"/>
      <c r="AD201" s="86" t="s">
        <v>23839</v>
      </c>
      <c r="AE201" s="94" t="s">
        <v>25293</v>
      </c>
      <c r="AF201" s="86">
        <v>6861</v>
      </c>
      <c r="AG201" s="86">
        <v>108</v>
      </c>
      <c r="AH201" s="86">
        <v>38554</v>
      </c>
      <c r="AI201" s="86">
        <v>59</v>
      </c>
      <c r="AJ201" s="86">
        <v>379</v>
      </c>
      <c r="AK201" s="86">
        <v>2549</v>
      </c>
      <c r="AL201" s="86" t="b">
        <v>0</v>
      </c>
      <c r="AM201" s="89">
        <v>40038.561053240737</v>
      </c>
      <c r="AN201" s="86" t="s">
        <v>25939</v>
      </c>
      <c r="AO201" s="86" t="s">
        <v>26601</v>
      </c>
      <c r="AP201" s="96" t="str">
        <f>HYPERLINK("https://t.co/NIuLDIw7qT")</f>
        <v>https://t.co/NIuLDIw7qT</v>
      </c>
      <c r="AQ201" s="96" t="str">
        <f>HYPERLINK("http://www.jovempansjc.com.br")</f>
        <v>http://www.jovempansjc.com.br</v>
      </c>
      <c r="AR201" s="86" t="s">
        <v>28037</v>
      </c>
      <c r="AS201" s="86"/>
      <c r="AT201" s="86"/>
      <c r="AU201" s="86"/>
      <c r="AV201" s="86"/>
      <c r="AW201" s="96" t="str">
        <f>HYPERLINK("https://t.co/NIuLDIw7qT")</f>
        <v>https://t.co/NIuLDIw7qT</v>
      </c>
      <c r="AX201" s="86" t="b">
        <v>0</v>
      </c>
      <c r="AY201" s="86"/>
      <c r="AZ201" s="86"/>
      <c r="BA201" s="86" t="b">
        <v>0</v>
      </c>
      <c r="BB201" s="86" t="b">
        <v>1</v>
      </c>
      <c r="BC201" s="86" t="b">
        <v>0</v>
      </c>
      <c r="BD201" s="86" t="b">
        <v>0</v>
      </c>
      <c r="BE201" s="86" t="b">
        <v>1</v>
      </c>
      <c r="BF201" s="86" t="b">
        <v>0</v>
      </c>
      <c r="BG201" s="86" t="b">
        <v>0</v>
      </c>
      <c r="BH201" s="96" t="str">
        <f>HYPERLINK("https://pbs.twimg.com/profile_banners/65361763/1687288794")</f>
        <v>https://pbs.twimg.com/profile_banners/65361763/1687288794</v>
      </c>
      <c r="BI201" s="86"/>
      <c r="BJ201" s="86" t="s">
        <v>29134</v>
      </c>
      <c r="BK201" s="86" t="b">
        <v>0</v>
      </c>
      <c r="BL201" s="86"/>
      <c r="BM201" s="86" t="s">
        <v>66</v>
      </c>
      <c r="BN201" s="86" t="s">
        <v>29136</v>
      </c>
      <c r="BO201" s="96" t="str">
        <f>HYPERLINK("https://twitter.com/jovempansjc")</f>
        <v>https://twitter.com/jovempansjc</v>
      </c>
      <c r="BP201" s="2"/>
    </row>
    <row r="202" spans="1:68" x14ac:dyDescent="0.25">
      <c r="A202" s="63" t="s">
        <v>400</v>
      </c>
      <c r="B202" s="64"/>
      <c r="C202" s="64"/>
      <c r="D202" s="65"/>
      <c r="E202" s="67"/>
      <c r="F202" s="111" t="str">
        <f>HYPERLINK("https://pbs.twimg.com/profile_images/1688868662826942464/hU7ysZKp_normal.jpg")</f>
        <v>https://pbs.twimg.com/profile_images/1688868662826942464/hU7ysZKp_normal.jpg</v>
      </c>
      <c r="G202" s="64"/>
      <c r="H202" s="68"/>
      <c r="I202" s="69"/>
      <c r="J202" s="69"/>
      <c r="K202" s="68" t="s">
        <v>29335</v>
      </c>
      <c r="L202" s="72"/>
      <c r="M202" s="73"/>
      <c r="N202" s="73"/>
      <c r="O202" s="74"/>
      <c r="P202" s="75"/>
      <c r="Q202" s="75"/>
      <c r="R202" s="102"/>
      <c r="S202" s="102"/>
      <c r="T202" s="102"/>
      <c r="U202" s="102"/>
      <c r="V202" s="48"/>
      <c r="W202" s="48"/>
      <c r="X202" s="48"/>
      <c r="Y202" s="48"/>
      <c r="Z202" s="47"/>
      <c r="AA202" s="70">
        <v>202</v>
      </c>
      <c r="AB202" s="70"/>
      <c r="AC202" s="71"/>
      <c r="AD202" s="86" t="s">
        <v>23840</v>
      </c>
      <c r="AE202" s="94" t="s">
        <v>22896</v>
      </c>
      <c r="AF202" s="86">
        <v>0</v>
      </c>
      <c r="AG202" s="86">
        <v>1</v>
      </c>
      <c r="AH202" s="86">
        <v>8</v>
      </c>
      <c r="AI202" s="86">
        <v>0</v>
      </c>
      <c r="AJ202" s="86">
        <v>2</v>
      </c>
      <c r="AK202" s="86">
        <v>3</v>
      </c>
      <c r="AL202" s="86" t="b">
        <v>0</v>
      </c>
      <c r="AM202" s="89">
        <v>45098.797893518517</v>
      </c>
      <c r="AN202" s="86" t="s">
        <v>25952</v>
      </c>
      <c r="AO202" s="86" t="s">
        <v>26602</v>
      </c>
      <c r="AP202" s="96" t="str">
        <f>HYPERLINK("https://t.co/c9iT8Gt0C5")</f>
        <v>https://t.co/c9iT8Gt0C5</v>
      </c>
      <c r="AQ202" s="96" t="str">
        <f>HYPERLINK("https://www.conectafreela.com/")</f>
        <v>https://www.conectafreela.com/</v>
      </c>
      <c r="AR202" s="86" t="s">
        <v>28038</v>
      </c>
      <c r="AS202" s="86"/>
      <c r="AT202" s="86"/>
      <c r="AU202" s="86"/>
      <c r="AV202" s="86"/>
      <c r="AW202" s="96" t="str">
        <f>HYPERLINK("https://t.co/c9iT8Gt0C5")</f>
        <v>https://t.co/c9iT8Gt0C5</v>
      </c>
      <c r="AX202" s="86" t="b">
        <v>0</v>
      </c>
      <c r="AY202" s="86"/>
      <c r="AZ202" s="86"/>
      <c r="BA202" s="86" t="b">
        <v>0</v>
      </c>
      <c r="BB202" s="86" t="b">
        <v>1</v>
      </c>
      <c r="BC202" s="86" t="b">
        <v>1</v>
      </c>
      <c r="BD202" s="86" t="b">
        <v>0</v>
      </c>
      <c r="BE202" s="86" t="b">
        <v>0</v>
      </c>
      <c r="BF202" s="86" t="b">
        <v>0</v>
      </c>
      <c r="BG202" s="86" t="b">
        <v>0</v>
      </c>
      <c r="BH202" s="96" t="str">
        <f>HYPERLINK("https://pbs.twimg.com/profile_banners/1671596006167781376/1691492687")</f>
        <v>https://pbs.twimg.com/profile_banners/1671596006167781376/1691492687</v>
      </c>
      <c r="BI202" s="86"/>
      <c r="BJ202" s="86" t="s">
        <v>29134</v>
      </c>
      <c r="BK202" s="86" t="b">
        <v>0</v>
      </c>
      <c r="BL202" s="86"/>
      <c r="BM202" s="86" t="s">
        <v>66</v>
      </c>
      <c r="BN202" s="86" t="s">
        <v>29136</v>
      </c>
      <c r="BO202" s="96" t="str">
        <f>HYPERLINK("https://twitter.com/conectafreela")</f>
        <v>https://twitter.com/conectafreela</v>
      </c>
      <c r="BP202" s="2"/>
    </row>
    <row r="203" spans="1:68" x14ac:dyDescent="0.25">
      <c r="A203" s="63" t="s">
        <v>401</v>
      </c>
      <c r="B203" s="64"/>
      <c r="C203" s="64"/>
      <c r="D203" s="65"/>
      <c r="E203" s="67"/>
      <c r="F203" s="111" t="str">
        <f>HYPERLINK("https://pbs.twimg.com/profile_images/1293976043485880323/nWGF-Xj3_normal.jpg")</f>
        <v>https://pbs.twimg.com/profile_images/1293976043485880323/nWGF-Xj3_normal.jpg</v>
      </c>
      <c r="G203" s="64"/>
      <c r="H203" s="68"/>
      <c r="I203" s="69"/>
      <c r="J203" s="69"/>
      <c r="K203" s="68" t="s">
        <v>29336</v>
      </c>
      <c r="L203" s="72"/>
      <c r="M203" s="73"/>
      <c r="N203" s="73"/>
      <c r="O203" s="74"/>
      <c r="P203" s="75"/>
      <c r="Q203" s="75"/>
      <c r="R203" s="102"/>
      <c r="S203" s="102"/>
      <c r="T203" s="102"/>
      <c r="U203" s="102"/>
      <c r="V203" s="48"/>
      <c r="W203" s="48"/>
      <c r="X203" s="48"/>
      <c r="Y203" s="48"/>
      <c r="Z203" s="47"/>
      <c r="AA203" s="70">
        <v>203</v>
      </c>
      <c r="AB203" s="70"/>
      <c r="AC203" s="71"/>
      <c r="AD203" s="86" t="s">
        <v>23841</v>
      </c>
      <c r="AE203" s="94" t="s">
        <v>22530</v>
      </c>
      <c r="AF203" s="86">
        <v>82</v>
      </c>
      <c r="AG203" s="86">
        <v>21</v>
      </c>
      <c r="AH203" s="86">
        <v>490</v>
      </c>
      <c r="AI203" s="86">
        <v>0</v>
      </c>
      <c r="AJ203" s="86">
        <v>43</v>
      </c>
      <c r="AK203" s="86">
        <v>298</v>
      </c>
      <c r="AL203" s="86" t="b">
        <v>0</v>
      </c>
      <c r="AM203" s="89">
        <v>44056.758877314816</v>
      </c>
      <c r="AN203" s="86"/>
      <c r="AO203" s="86" t="s">
        <v>26603</v>
      </c>
      <c r="AP203" s="96" t="str">
        <f>HYPERLINK("https://t.co/aMFqM4tpAo")</f>
        <v>https://t.co/aMFqM4tpAo</v>
      </c>
      <c r="AQ203" s="96" t="str">
        <f>HYPERLINK("https://www.sipag.com.br/")</f>
        <v>https://www.sipag.com.br/</v>
      </c>
      <c r="AR203" s="86" t="s">
        <v>28039</v>
      </c>
      <c r="AS203" s="86"/>
      <c r="AT203" s="86"/>
      <c r="AU203" s="86"/>
      <c r="AV203" s="86">
        <v>1.7027834559589E+18</v>
      </c>
      <c r="AW203" s="96" t="str">
        <f>HYPERLINK("https://t.co/aMFqM4tpAo")</f>
        <v>https://t.co/aMFqM4tpAo</v>
      </c>
      <c r="AX203" s="86" t="b">
        <v>0</v>
      </c>
      <c r="AY203" s="86"/>
      <c r="AZ203" s="86"/>
      <c r="BA203" s="86" t="b">
        <v>1</v>
      </c>
      <c r="BB203" s="86" t="b">
        <v>1</v>
      </c>
      <c r="BC203" s="86" t="b">
        <v>1</v>
      </c>
      <c r="BD203" s="86" t="b">
        <v>0</v>
      </c>
      <c r="BE203" s="86" t="b">
        <v>0</v>
      </c>
      <c r="BF203" s="86" t="b">
        <v>0</v>
      </c>
      <c r="BG203" s="86" t="b">
        <v>0</v>
      </c>
      <c r="BH203" s="96" t="str">
        <f>HYPERLINK("https://pbs.twimg.com/profile_banners/1293909732483244035/1597343073")</f>
        <v>https://pbs.twimg.com/profile_banners/1293909732483244035/1597343073</v>
      </c>
      <c r="BI203" s="86"/>
      <c r="BJ203" s="86" t="s">
        <v>29134</v>
      </c>
      <c r="BK203" s="86" t="b">
        <v>0</v>
      </c>
      <c r="BL203" s="86"/>
      <c r="BM203" s="86" t="s">
        <v>66</v>
      </c>
      <c r="BN203" s="86" t="s">
        <v>29136</v>
      </c>
      <c r="BO203" s="96" t="str">
        <f>HYPERLINK("https://twitter.com/sipagbrasil")</f>
        <v>https://twitter.com/sipagbrasil</v>
      </c>
      <c r="BP203" s="2"/>
    </row>
    <row r="204" spans="1:68" x14ac:dyDescent="0.25">
      <c r="A204" s="63" t="s">
        <v>402</v>
      </c>
      <c r="B204" s="64"/>
      <c r="C204" s="64"/>
      <c r="D204" s="65"/>
      <c r="E204" s="67"/>
      <c r="F204" s="111" t="str">
        <f>HYPERLINK("https://pbs.twimg.com/profile_images/1577782700114694146/nhymksgB_normal.jpg")</f>
        <v>https://pbs.twimg.com/profile_images/1577782700114694146/nhymksgB_normal.jpg</v>
      </c>
      <c r="G204" s="64"/>
      <c r="H204" s="68"/>
      <c r="I204" s="69"/>
      <c r="J204" s="69"/>
      <c r="K204" s="68" t="s">
        <v>29337</v>
      </c>
      <c r="L204" s="72"/>
      <c r="M204" s="73"/>
      <c r="N204" s="73"/>
      <c r="O204" s="74"/>
      <c r="P204" s="75"/>
      <c r="Q204" s="75"/>
      <c r="R204" s="102"/>
      <c r="S204" s="102"/>
      <c r="T204" s="102"/>
      <c r="U204" s="102"/>
      <c r="V204" s="48"/>
      <c r="W204" s="48"/>
      <c r="X204" s="48"/>
      <c r="Y204" s="48"/>
      <c r="Z204" s="47"/>
      <c r="AA204" s="70">
        <v>204</v>
      </c>
      <c r="AB204" s="70"/>
      <c r="AC204" s="71"/>
      <c r="AD204" s="86" t="s">
        <v>23842</v>
      </c>
      <c r="AE204" s="94" t="s">
        <v>22531</v>
      </c>
      <c r="AF204" s="86">
        <v>0</v>
      </c>
      <c r="AG204" s="86">
        <v>7</v>
      </c>
      <c r="AH204" s="86">
        <v>322</v>
      </c>
      <c r="AI204" s="86">
        <v>0</v>
      </c>
      <c r="AJ204" s="86">
        <v>6</v>
      </c>
      <c r="AK204" s="86">
        <v>20</v>
      </c>
      <c r="AL204" s="86" t="b">
        <v>0</v>
      </c>
      <c r="AM204" s="89">
        <v>44829.572569444441</v>
      </c>
      <c r="AN204" s="86"/>
      <c r="AO204" s="86" t="s">
        <v>26604</v>
      </c>
      <c r="AP204" s="86"/>
      <c r="AQ204" s="86"/>
      <c r="AR204" s="86"/>
      <c r="AS204" s="96" t="str">
        <f>HYPERLINK("https://t.co/EyMbZhNySr")</f>
        <v>https://t.co/EyMbZhNySr</v>
      </c>
      <c r="AT204" s="96" t="str">
        <f>HYPERLINK("http://linktr.ee/autom")</f>
        <v>http://linktr.ee/autom</v>
      </c>
      <c r="AU204" s="86" t="s">
        <v>29042</v>
      </c>
      <c r="AV204" s="86"/>
      <c r="AW204" s="86"/>
      <c r="AX204" s="86" t="b">
        <v>0</v>
      </c>
      <c r="AY204" s="86"/>
      <c r="AZ204" s="86"/>
      <c r="BA204" s="86" t="b">
        <v>0</v>
      </c>
      <c r="BB204" s="86" t="b">
        <v>1</v>
      </c>
      <c r="BC204" s="86" t="b">
        <v>1</v>
      </c>
      <c r="BD204" s="86" t="b">
        <v>0</v>
      </c>
      <c r="BE204" s="86" t="b">
        <v>1</v>
      </c>
      <c r="BF204" s="86" t="b">
        <v>0</v>
      </c>
      <c r="BG204" s="86" t="b">
        <v>0</v>
      </c>
      <c r="BH204" s="86"/>
      <c r="BI204" s="86"/>
      <c r="BJ204" s="86" t="s">
        <v>29134</v>
      </c>
      <c r="BK204" s="86" t="b">
        <v>0</v>
      </c>
      <c r="BL204" s="86"/>
      <c r="BM204" s="86" t="s">
        <v>66</v>
      </c>
      <c r="BN204" s="86" t="s">
        <v>29136</v>
      </c>
      <c r="BO204" s="96" t="str">
        <f>HYPERLINK("https://twitter.com/automatizeig")</f>
        <v>https://twitter.com/automatizeig</v>
      </c>
      <c r="BP204" s="2"/>
    </row>
    <row r="205" spans="1:68" x14ac:dyDescent="0.25">
      <c r="A205" s="63" t="s">
        <v>403</v>
      </c>
      <c r="B205" s="64"/>
      <c r="C205" s="64"/>
      <c r="D205" s="65"/>
      <c r="E205" s="67"/>
      <c r="F205" s="111" t="str">
        <f>HYPERLINK("https://pbs.twimg.com/profile_images/1688939956989763585/hgFHGDqd_normal.jpg")</f>
        <v>https://pbs.twimg.com/profile_images/1688939956989763585/hgFHGDqd_normal.jpg</v>
      </c>
      <c r="G205" s="64"/>
      <c r="H205" s="68"/>
      <c r="I205" s="69"/>
      <c r="J205" s="69"/>
      <c r="K205" s="68" t="s">
        <v>29338</v>
      </c>
      <c r="L205" s="72"/>
      <c r="M205" s="73"/>
      <c r="N205" s="73"/>
      <c r="O205" s="74"/>
      <c r="P205" s="75"/>
      <c r="Q205" s="75"/>
      <c r="R205" s="102"/>
      <c r="S205" s="102"/>
      <c r="T205" s="102"/>
      <c r="U205" s="102"/>
      <c r="V205" s="48"/>
      <c r="W205" s="48"/>
      <c r="X205" s="48"/>
      <c r="Y205" s="48"/>
      <c r="Z205" s="47"/>
      <c r="AA205" s="70">
        <v>205</v>
      </c>
      <c r="AB205" s="70"/>
      <c r="AC205" s="71"/>
      <c r="AD205" s="86" t="s">
        <v>23843</v>
      </c>
      <c r="AE205" s="94" t="s">
        <v>22897</v>
      </c>
      <c r="AF205" s="86">
        <v>241</v>
      </c>
      <c r="AG205" s="86">
        <v>27</v>
      </c>
      <c r="AH205" s="86">
        <v>897</v>
      </c>
      <c r="AI205" s="86">
        <v>0</v>
      </c>
      <c r="AJ205" s="86">
        <v>1310</v>
      </c>
      <c r="AK205" s="86">
        <v>587</v>
      </c>
      <c r="AL205" s="86" t="b">
        <v>0</v>
      </c>
      <c r="AM205" s="89">
        <v>43776.970543981479</v>
      </c>
      <c r="AN205" s="86" t="s">
        <v>25953</v>
      </c>
      <c r="AO205" s="86" t="s">
        <v>26605</v>
      </c>
      <c r="AP205" s="96" t="str">
        <f>HYPERLINK("https://t.co/9n9YRHwy0Z")</f>
        <v>https://t.co/9n9YRHwy0Z</v>
      </c>
      <c r="AQ205" s="96" t="str">
        <f>HYPERLINK("http://www.terinovazores.pt")</f>
        <v>http://www.terinovazores.pt</v>
      </c>
      <c r="AR205" s="86" t="s">
        <v>28040</v>
      </c>
      <c r="AS205" s="86"/>
      <c r="AT205" s="86"/>
      <c r="AU205" s="86"/>
      <c r="AV205" s="86"/>
      <c r="AW205" s="96" t="str">
        <f>HYPERLINK("https://t.co/9n9YRHwy0Z")</f>
        <v>https://t.co/9n9YRHwy0Z</v>
      </c>
      <c r="AX205" s="86" t="b">
        <v>0</v>
      </c>
      <c r="AY205" s="86"/>
      <c r="AZ205" s="86"/>
      <c r="BA205" s="86" t="b">
        <v>0</v>
      </c>
      <c r="BB205" s="86" t="b">
        <v>1</v>
      </c>
      <c r="BC205" s="86" t="b">
        <v>1</v>
      </c>
      <c r="BD205" s="86" t="b">
        <v>0</v>
      </c>
      <c r="BE205" s="86" t="b">
        <v>0</v>
      </c>
      <c r="BF205" s="86" t="b">
        <v>0</v>
      </c>
      <c r="BG205" s="86" t="b">
        <v>0</v>
      </c>
      <c r="BH205" s="96" t="str">
        <f>HYPERLINK("https://pbs.twimg.com/profile_banners/1192581728415682561/1671018390")</f>
        <v>https://pbs.twimg.com/profile_banners/1192581728415682561/1671018390</v>
      </c>
      <c r="BI205" s="86"/>
      <c r="BJ205" s="86" t="s">
        <v>29134</v>
      </c>
      <c r="BK205" s="86" t="b">
        <v>0</v>
      </c>
      <c r="BL205" s="86"/>
      <c r="BM205" s="86" t="s">
        <v>66</v>
      </c>
      <c r="BN205" s="86" t="s">
        <v>29136</v>
      </c>
      <c r="BO205" s="96" t="str">
        <f>HYPERLINK("https://twitter.com/terinov1")</f>
        <v>https://twitter.com/terinov1</v>
      </c>
      <c r="BP205" s="2"/>
    </row>
    <row r="206" spans="1:68" x14ac:dyDescent="0.25">
      <c r="A206" s="63" t="s">
        <v>404</v>
      </c>
      <c r="B206" s="64"/>
      <c r="C206" s="64"/>
      <c r="D206" s="65"/>
      <c r="E206" s="67"/>
      <c r="F206" s="111" t="str">
        <f>HYPERLINK("https://pbs.twimg.com/profile_images/1458602173877522433/iX5XCtz0_normal.jpg")</f>
        <v>https://pbs.twimg.com/profile_images/1458602173877522433/iX5XCtz0_normal.jpg</v>
      </c>
      <c r="G206" s="64"/>
      <c r="H206" s="68"/>
      <c r="I206" s="69"/>
      <c r="J206" s="69"/>
      <c r="K206" s="68" t="s">
        <v>29339</v>
      </c>
      <c r="L206" s="72"/>
      <c r="M206" s="73"/>
      <c r="N206" s="73"/>
      <c r="O206" s="74"/>
      <c r="P206" s="75"/>
      <c r="Q206" s="75"/>
      <c r="R206" s="102"/>
      <c r="S206" s="102"/>
      <c r="T206" s="102"/>
      <c r="U206" s="102"/>
      <c r="V206" s="48"/>
      <c r="W206" s="48"/>
      <c r="X206" s="48"/>
      <c r="Y206" s="48"/>
      <c r="Z206" s="47"/>
      <c r="AA206" s="70">
        <v>206</v>
      </c>
      <c r="AB206" s="70"/>
      <c r="AC206" s="71"/>
      <c r="AD206" s="86" t="s">
        <v>23844</v>
      </c>
      <c r="AE206" s="94" t="s">
        <v>22898</v>
      </c>
      <c r="AF206" s="86">
        <v>269</v>
      </c>
      <c r="AG206" s="86">
        <v>364</v>
      </c>
      <c r="AH206" s="86">
        <v>265</v>
      </c>
      <c r="AI206" s="86">
        <v>0</v>
      </c>
      <c r="AJ206" s="86">
        <v>79</v>
      </c>
      <c r="AK206" s="86">
        <v>204</v>
      </c>
      <c r="AL206" s="86" t="b">
        <v>0</v>
      </c>
      <c r="AM206" s="89">
        <v>44511.045717592591</v>
      </c>
      <c r="AN206" s="86" t="s">
        <v>25954</v>
      </c>
      <c r="AO206" s="86" t="s">
        <v>26606</v>
      </c>
      <c r="AP206" s="96" t="str">
        <f>HYPERLINK("https://t.co/R3uIK5DeBd")</f>
        <v>https://t.co/R3uIK5DeBd</v>
      </c>
      <c r="AQ206" s="96" t="str">
        <f>HYPERLINK("http://www.chicasbiless.org")</f>
        <v>http://www.chicasbiless.org</v>
      </c>
      <c r="AR206" s="86" t="s">
        <v>28041</v>
      </c>
      <c r="AS206" s="86"/>
      <c r="AT206" s="86"/>
      <c r="AU206" s="86"/>
      <c r="AV206" s="86"/>
      <c r="AW206" s="96" t="str">
        <f>HYPERLINK("https://t.co/R3uIK5DeBd")</f>
        <v>https://t.co/R3uIK5DeBd</v>
      </c>
      <c r="AX206" s="86" t="b">
        <v>0</v>
      </c>
      <c r="AY206" s="86"/>
      <c r="AZ206" s="86"/>
      <c r="BA206" s="86" t="b">
        <v>0</v>
      </c>
      <c r="BB206" s="86" t="b">
        <v>1</v>
      </c>
      <c r="BC206" s="86" t="b">
        <v>1</v>
      </c>
      <c r="BD206" s="86" t="b">
        <v>0</v>
      </c>
      <c r="BE206" s="86" t="b">
        <v>0</v>
      </c>
      <c r="BF206" s="86" t="b">
        <v>0</v>
      </c>
      <c r="BG206" s="86" t="b">
        <v>0</v>
      </c>
      <c r="BH206" s="86"/>
      <c r="BI206" s="86"/>
      <c r="BJ206" s="86" t="s">
        <v>29134</v>
      </c>
      <c r="BK206" s="86" t="b">
        <v>0</v>
      </c>
      <c r="BL206" s="86"/>
      <c r="BM206" s="86" t="s">
        <v>66</v>
      </c>
      <c r="BN206" s="86" t="s">
        <v>29136</v>
      </c>
      <c r="BO206" s="96" t="str">
        <f>HYPERLINK("https://twitter.com/chicasbiless")</f>
        <v>https://twitter.com/chicasbiless</v>
      </c>
      <c r="BP206" s="2"/>
    </row>
    <row r="207" spans="1:68" x14ac:dyDescent="0.25">
      <c r="A207" s="63" t="s">
        <v>405</v>
      </c>
      <c r="B207" s="64"/>
      <c r="C207" s="64"/>
      <c r="D207" s="65"/>
      <c r="E207" s="67"/>
      <c r="F207" s="111" t="str">
        <f>HYPERLINK("https://pbs.twimg.com/profile_images/1585454639796961284/vGiHivMQ_normal.jpg")</f>
        <v>https://pbs.twimg.com/profile_images/1585454639796961284/vGiHivMQ_normal.jpg</v>
      </c>
      <c r="G207" s="64"/>
      <c r="H207" s="68"/>
      <c r="I207" s="69"/>
      <c r="J207" s="69"/>
      <c r="K207" s="68" t="s">
        <v>29340</v>
      </c>
      <c r="L207" s="72"/>
      <c r="M207" s="73"/>
      <c r="N207" s="73"/>
      <c r="O207" s="74"/>
      <c r="P207" s="75"/>
      <c r="Q207" s="75"/>
      <c r="R207" s="102"/>
      <c r="S207" s="102"/>
      <c r="T207" s="102"/>
      <c r="U207" s="102"/>
      <c r="V207" s="48"/>
      <c r="W207" s="48"/>
      <c r="X207" s="48"/>
      <c r="Y207" s="48"/>
      <c r="Z207" s="47"/>
      <c r="AA207" s="70">
        <v>207</v>
      </c>
      <c r="AB207" s="70"/>
      <c r="AC207" s="71"/>
      <c r="AD207" s="86" t="s">
        <v>23845</v>
      </c>
      <c r="AE207" s="94" t="s">
        <v>22899</v>
      </c>
      <c r="AF207" s="86">
        <v>80</v>
      </c>
      <c r="AG207" s="86">
        <v>78</v>
      </c>
      <c r="AH207" s="86">
        <v>999</v>
      </c>
      <c r="AI207" s="86">
        <v>0</v>
      </c>
      <c r="AJ207" s="86">
        <v>188</v>
      </c>
      <c r="AK207" s="86">
        <v>140</v>
      </c>
      <c r="AL207" s="86" t="b">
        <v>0</v>
      </c>
      <c r="AM207" s="89">
        <v>42871.015138888892</v>
      </c>
      <c r="AN207" s="86" t="s">
        <v>25955</v>
      </c>
      <c r="AO207" s="86" t="s">
        <v>26607</v>
      </c>
      <c r="AP207" s="86"/>
      <c r="AQ207" s="86"/>
      <c r="AR207" s="86"/>
      <c r="AS207" s="86"/>
      <c r="AT207" s="86"/>
      <c r="AU207" s="86"/>
      <c r="AV207" s="86"/>
      <c r="AW207" s="86"/>
      <c r="AX207" s="86" t="b">
        <v>0</v>
      </c>
      <c r="AY207" s="86"/>
      <c r="AZ207" s="86"/>
      <c r="BA207" s="86" t="b">
        <v>1</v>
      </c>
      <c r="BB207" s="86" t="b">
        <v>1</v>
      </c>
      <c r="BC207" s="86" t="b">
        <v>1</v>
      </c>
      <c r="BD207" s="86" t="b">
        <v>0</v>
      </c>
      <c r="BE207" s="86" t="b">
        <v>1</v>
      </c>
      <c r="BF207" s="86" t="b">
        <v>0</v>
      </c>
      <c r="BG207" s="86" t="b">
        <v>0</v>
      </c>
      <c r="BH207" s="96" t="str">
        <f>HYPERLINK("https://pbs.twimg.com/profile_banners/864274647583469568/1666836828")</f>
        <v>https://pbs.twimg.com/profile_banners/864274647583469568/1666836828</v>
      </c>
      <c r="BI207" s="86"/>
      <c r="BJ207" s="86" t="s">
        <v>29134</v>
      </c>
      <c r="BK207" s="86" t="b">
        <v>0</v>
      </c>
      <c r="BL207" s="86"/>
      <c r="BM207" s="86" t="s">
        <v>66</v>
      </c>
      <c r="BN207" s="86" t="s">
        <v>29136</v>
      </c>
      <c r="BO207" s="96" t="str">
        <f>HYPERLINK("https://twitter.com/elke_pimentel")</f>
        <v>https://twitter.com/elke_pimentel</v>
      </c>
      <c r="BP207" s="2"/>
    </row>
    <row r="208" spans="1:68" x14ac:dyDescent="0.25">
      <c r="A208" s="63" t="s">
        <v>406</v>
      </c>
      <c r="B208" s="64"/>
      <c r="C208" s="64"/>
      <c r="D208" s="65"/>
      <c r="E208" s="67"/>
      <c r="F208" s="111" t="str">
        <f>HYPERLINK("https://pbs.twimg.com/profile_images/1416494775499362312/qzungwd6_normal.jpg")</f>
        <v>https://pbs.twimg.com/profile_images/1416494775499362312/qzungwd6_normal.jpg</v>
      </c>
      <c r="G208" s="64"/>
      <c r="H208" s="68"/>
      <c r="I208" s="69"/>
      <c r="J208" s="69"/>
      <c r="K208" s="68" t="s">
        <v>29341</v>
      </c>
      <c r="L208" s="72"/>
      <c r="M208" s="73"/>
      <c r="N208" s="73"/>
      <c r="O208" s="74"/>
      <c r="P208" s="75"/>
      <c r="Q208" s="75"/>
      <c r="R208" s="102"/>
      <c r="S208" s="102"/>
      <c r="T208" s="102"/>
      <c r="U208" s="102"/>
      <c r="V208" s="48"/>
      <c r="W208" s="48"/>
      <c r="X208" s="48"/>
      <c r="Y208" s="48"/>
      <c r="Z208" s="47"/>
      <c r="AA208" s="70">
        <v>208</v>
      </c>
      <c r="AB208" s="70"/>
      <c r="AC208" s="71"/>
      <c r="AD208" s="86" t="s">
        <v>23846</v>
      </c>
      <c r="AE208" s="94" t="s">
        <v>25294</v>
      </c>
      <c r="AF208" s="86">
        <v>157</v>
      </c>
      <c r="AG208" s="86">
        <v>610</v>
      </c>
      <c r="AH208" s="86">
        <v>461</v>
      </c>
      <c r="AI208" s="86">
        <v>1</v>
      </c>
      <c r="AJ208" s="86">
        <v>341</v>
      </c>
      <c r="AK208" s="86">
        <v>203</v>
      </c>
      <c r="AL208" s="86" t="b">
        <v>0</v>
      </c>
      <c r="AM208" s="89">
        <v>40130.534074074072</v>
      </c>
      <c r="AN208" s="86" t="s">
        <v>25956</v>
      </c>
      <c r="AO208" s="86" t="s">
        <v>26608</v>
      </c>
      <c r="AP208" s="96" t="str">
        <f>HYPERLINK("https://t.co/VHj6mqii76")</f>
        <v>https://t.co/VHj6mqii76</v>
      </c>
      <c r="AQ208" s="96" t="str">
        <f>HYPERLINK("http://gabrielguimaraes.adv.br")</f>
        <v>http://gabrielguimaraes.adv.br</v>
      </c>
      <c r="AR208" s="86" t="s">
        <v>28042</v>
      </c>
      <c r="AS208" s="86"/>
      <c r="AT208" s="86"/>
      <c r="AU208" s="86"/>
      <c r="AV208" s="86"/>
      <c r="AW208" s="96" t="str">
        <f>HYPERLINK("https://t.co/VHj6mqii76")</f>
        <v>https://t.co/VHj6mqii76</v>
      </c>
      <c r="AX208" s="86" t="b">
        <v>0</v>
      </c>
      <c r="AY208" s="86"/>
      <c r="AZ208" s="86"/>
      <c r="BA208" s="86" t="b">
        <v>0</v>
      </c>
      <c r="BB208" s="86" t="b">
        <v>1</v>
      </c>
      <c r="BC208" s="86" t="b">
        <v>0</v>
      </c>
      <c r="BD208" s="86" t="b">
        <v>0</v>
      </c>
      <c r="BE208" s="86" t="b">
        <v>0</v>
      </c>
      <c r="BF208" s="86" t="b">
        <v>0</v>
      </c>
      <c r="BG208" s="86" t="b">
        <v>0</v>
      </c>
      <c r="BH208" s="96" t="str">
        <f>HYPERLINK("https://pbs.twimg.com/profile_banners/89691523/1525978502")</f>
        <v>https://pbs.twimg.com/profile_banners/89691523/1525978502</v>
      </c>
      <c r="BI208" s="86"/>
      <c r="BJ208" s="86" t="s">
        <v>29134</v>
      </c>
      <c r="BK208" s="86" t="b">
        <v>0</v>
      </c>
      <c r="BL208" s="86"/>
      <c r="BM208" s="86" t="s">
        <v>66</v>
      </c>
      <c r="BN208" s="86" t="s">
        <v>29136</v>
      </c>
      <c r="BO208" s="96" t="str">
        <f>HYPERLINK("https://twitter.com/sigguimares")</f>
        <v>https://twitter.com/sigguimares</v>
      </c>
      <c r="BP208" s="2"/>
    </row>
    <row r="209" spans="1:68" x14ac:dyDescent="0.25">
      <c r="A209" s="63" t="s">
        <v>407</v>
      </c>
      <c r="B209" s="64"/>
      <c r="C209" s="64"/>
      <c r="D209" s="65"/>
      <c r="E209" s="67"/>
      <c r="F209" s="111" t="str">
        <f>HYPERLINK("https://pbs.twimg.com/profile_images/1669082299428634626/m_BqEP2Z_normal.jpg")</f>
        <v>https://pbs.twimg.com/profile_images/1669082299428634626/m_BqEP2Z_normal.jpg</v>
      </c>
      <c r="G209" s="64"/>
      <c r="H209" s="68"/>
      <c r="I209" s="69"/>
      <c r="J209" s="69"/>
      <c r="K209" s="68" t="s">
        <v>29342</v>
      </c>
      <c r="L209" s="72"/>
      <c r="M209" s="73"/>
      <c r="N209" s="73"/>
      <c r="O209" s="74"/>
      <c r="P209" s="75"/>
      <c r="Q209" s="75"/>
      <c r="R209" s="102"/>
      <c r="S209" s="102"/>
      <c r="T209" s="102"/>
      <c r="U209" s="102"/>
      <c r="V209" s="48"/>
      <c r="W209" s="48"/>
      <c r="X209" s="48"/>
      <c r="Y209" s="48"/>
      <c r="Z209" s="47"/>
      <c r="AA209" s="70">
        <v>209</v>
      </c>
      <c r="AB209" s="70"/>
      <c r="AC209" s="71"/>
      <c r="AD209" s="86" t="s">
        <v>23847</v>
      </c>
      <c r="AE209" s="94" t="s">
        <v>25295</v>
      </c>
      <c r="AF209" s="86">
        <v>1294</v>
      </c>
      <c r="AG209" s="86">
        <v>421</v>
      </c>
      <c r="AH209" s="86">
        <v>27563</v>
      </c>
      <c r="AI209" s="86">
        <v>14</v>
      </c>
      <c r="AJ209" s="86">
        <v>54552</v>
      </c>
      <c r="AK209" s="86">
        <v>7911</v>
      </c>
      <c r="AL209" s="86" t="b">
        <v>0</v>
      </c>
      <c r="AM209" s="89">
        <v>40254.501574074071</v>
      </c>
      <c r="AN209" s="86" t="s">
        <v>25957</v>
      </c>
      <c r="AO209" s="86" t="s">
        <v>26609</v>
      </c>
      <c r="AP209" s="96" t="str">
        <f>HYPERLINK("https://t.co/EAj36l9F6W")</f>
        <v>https://t.co/EAj36l9F6W</v>
      </c>
      <c r="AQ209" s="96" t="str">
        <f>HYPERLINK("https://linktr.ee/Oktoberblog")</f>
        <v>https://linktr.ee/Oktoberblog</v>
      </c>
      <c r="AR209" s="86" t="s">
        <v>28043</v>
      </c>
      <c r="AS209" s="86"/>
      <c r="AT209" s="86"/>
      <c r="AU209" s="86"/>
      <c r="AV209" s="86"/>
      <c r="AW209" s="96" t="str">
        <f>HYPERLINK("https://t.co/EAj36l9F6W")</f>
        <v>https://t.co/EAj36l9F6W</v>
      </c>
      <c r="AX209" s="86" t="b">
        <v>0</v>
      </c>
      <c r="AY209" s="86"/>
      <c r="AZ209" s="86"/>
      <c r="BA209" s="86" t="b">
        <v>0</v>
      </c>
      <c r="BB209" s="86" t="b">
        <v>1</v>
      </c>
      <c r="BC209" s="86" t="b">
        <v>0</v>
      </c>
      <c r="BD209" s="86" t="b">
        <v>0</v>
      </c>
      <c r="BE209" s="86" t="b">
        <v>1</v>
      </c>
      <c r="BF209" s="86" t="b">
        <v>0</v>
      </c>
      <c r="BG209" s="86" t="b">
        <v>0</v>
      </c>
      <c r="BH209" s="96" t="str">
        <f>HYPERLINK("https://pbs.twimg.com/profile_banners/123850299/1638735955")</f>
        <v>https://pbs.twimg.com/profile_banners/123850299/1638735955</v>
      </c>
      <c r="BI209" s="86"/>
      <c r="BJ209" s="86" t="s">
        <v>29134</v>
      </c>
      <c r="BK209" s="86" t="b">
        <v>0</v>
      </c>
      <c r="BL209" s="86"/>
      <c r="BM209" s="86" t="s">
        <v>66</v>
      </c>
      <c r="BN209" s="86" t="s">
        <v>29136</v>
      </c>
      <c r="BO209" s="96" t="str">
        <f>HYPERLINK("https://twitter.com/oktoberblog")</f>
        <v>https://twitter.com/oktoberblog</v>
      </c>
      <c r="BP209" s="2"/>
    </row>
    <row r="210" spans="1:68" x14ac:dyDescent="0.25">
      <c r="A210" s="63" t="s">
        <v>408</v>
      </c>
      <c r="B210" s="64"/>
      <c r="C210" s="64"/>
      <c r="D210" s="65"/>
      <c r="E210" s="67"/>
      <c r="F210" s="111" t="str">
        <f>HYPERLINK("https://pbs.twimg.com/profile_images/1575036856722493440/-4Rz3wyk_normal.jpg")</f>
        <v>https://pbs.twimg.com/profile_images/1575036856722493440/-4Rz3wyk_normal.jpg</v>
      </c>
      <c r="G210" s="64"/>
      <c r="H210" s="68"/>
      <c r="I210" s="69"/>
      <c r="J210" s="69"/>
      <c r="K210" s="68" t="s">
        <v>29343</v>
      </c>
      <c r="L210" s="72"/>
      <c r="M210" s="73"/>
      <c r="N210" s="73"/>
      <c r="O210" s="74"/>
      <c r="P210" s="75"/>
      <c r="Q210" s="75"/>
      <c r="R210" s="102"/>
      <c r="S210" s="102"/>
      <c r="T210" s="102"/>
      <c r="U210" s="102"/>
      <c r="V210" s="48"/>
      <c r="W210" s="48"/>
      <c r="X210" s="48"/>
      <c r="Y210" s="48"/>
      <c r="Z210" s="47"/>
      <c r="AA210" s="70">
        <v>210</v>
      </c>
      <c r="AB210" s="70"/>
      <c r="AC210" s="71"/>
      <c r="AD210" s="86" t="s">
        <v>23848</v>
      </c>
      <c r="AE210" s="94" t="s">
        <v>22900</v>
      </c>
      <c r="AF210" s="86">
        <v>20</v>
      </c>
      <c r="AG210" s="86">
        <v>292</v>
      </c>
      <c r="AH210" s="86">
        <v>2158</v>
      </c>
      <c r="AI210" s="86">
        <v>0</v>
      </c>
      <c r="AJ210" s="86">
        <v>6925</v>
      </c>
      <c r="AK210" s="86">
        <v>322</v>
      </c>
      <c r="AL210" s="86" t="b">
        <v>0</v>
      </c>
      <c r="AM210" s="89">
        <v>44022.432939814818</v>
      </c>
      <c r="AN210" s="86" t="s">
        <v>25958</v>
      </c>
      <c r="AO210" s="86" t="s">
        <v>26610</v>
      </c>
      <c r="AP210" s="86"/>
      <c r="AQ210" s="86"/>
      <c r="AR210" s="86"/>
      <c r="AS210" s="86"/>
      <c r="AT210" s="86"/>
      <c r="AU210" s="86"/>
      <c r="AV210" s="86"/>
      <c r="AW210" s="86"/>
      <c r="AX210" s="86" t="b">
        <v>0</v>
      </c>
      <c r="AY210" s="86"/>
      <c r="AZ210" s="86"/>
      <c r="BA210" s="86" t="b">
        <v>0</v>
      </c>
      <c r="BB210" s="86" t="b">
        <v>1</v>
      </c>
      <c r="BC210" s="86" t="b">
        <v>1</v>
      </c>
      <c r="BD210" s="86" t="b">
        <v>0</v>
      </c>
      <c r="BE210" s="86" t="b">
        <v>1</v>
      </c>
      <c r="BF210" s="86" t="b">
        <v>0</v>
      </c>
      <c r="BG210" s="86" t="b">
        <v>0</v>
      </c>
      <c r="BH210" s="96" t="str">
        <f>HYPERLINK("https://pbs.twimg.com/profile_banners/1281534434739707906/1629877851")</f>
        <v>https://pbs.twimg.com/profile_banners/1281534434739707906/1629877851</v>
      </c>
      <c r="BI210" s="86"/>
      <c r="BJ210" s="86" t="s">
        <v>29134</v>
      </c>
      <c r="BK210" s="86" t="b">
        <v>0</v>
      </c>
      <c r="BL210" s="86"/>
      <c r="BM210" s="86" t="s">
        <v>66</v>
      </c>
      <c r="BN210" s="86" t="s">
        <v>29136</v>
      </c>
      <c r="BO210" s="96" t="str">
        <f>HYPERLINK("https://twitter.com/83abbeyroad")</f>
        <v>https://twitter.com/83abbeyroad</v>
      </c>
      <c r="BP210" s="2"/>
    </row>
    <row r="211" spans="1:68" x14ac:dyDescent="0.25">
      <c r="A211" s="63" t="s">
        <v>409</v>
      </c>
      <c r="B211" s="64"/>
      <c r="C211" s="64"/>
      <c r="D211" s="65"/>
      <c r="E211" s="67"/>
      <c r="F211" s="111" t="str">
        <f>HYPERLINK("https://pbs.twimg.com/profile_images/1262116863728930823/KoIGXzcw_normal.jpg")</f>
        <v>https://pbs.twimg.com/profile_images/1262116863728930823/KoIGXzcw_normal.jpg</v>
      </c>
      <c r="G211" s="64"/>
      <c r="H211" s="68"/>
      <c r="I211" s="69"/>
      <c r="J211" s="69"/>
      <c r="K211" s="68" t="s">
        <v>29344</v>
      </c>
      <c r="L211" s="72"/>
      <c r="M211" s="73"/>
      <c r="N211" s="73"/>
      <c r="O211" s="74"/>
      <c r="P211" s="75"/>
      <c r="Q211" s="75"/>
      <c r="R211" s="102"/>
      <c r="S211" s="102"/>
      <c r="T211" s="102"/>
      <c r="U211" s="102"/>
      <c r="V211" s="48"/>
      <c r="W211" s="48"/>
      <c r="X211" s="48"/>
      <c r="Y211" s="48"/>
      <c r="Z211" s="47"/>
      <c r="AA211" s="70">
        <v>211</v>
      </c>
      <c r="AB211" s="70"/>
      <c r="AC211" s="71"/>
      <c r="AD211" s="86" t="s">
        <v>23849</v>
      </c>
      <c r="AE211" s="94" t="s">
        <v>22901</v>
      </c>
      <c r="AF211" s="86">
        <v>35</v>
      </c>
      <c r="AG211" s="86">
        <v>19</v>
      </c>
      <c r="AH211" s="86">
        <v>34</v>
      </c>
      <c r="AI211" s="86">
        <v>0</v>
      </c>
      <c r="AJ211" s="86">
        <v>14</v>
      </c>
      <c r="AK211" s="86">
        <v>21</v>
      </c>
      <c r="AL211" s="86" t="b">
        <v>0</v>
      </c>
      <c r="AM211" s="89">
        <v>43628.498287037037</v>
      </c>
      <c r="AN211" s="86" t="s">
        <v>15246</v>
      </c>
      <c r="AO211" s="86" t="s">
        <v>26611</v>
      </c>
      <c r="AP211" s="96" t="str">
        <f>HYPERLINK("https://t.co/CCQCLQg0E1")</f>
        <v>https://t.co/CCQCLQg0E1</v>
      </c>
      <c r="AQ211" s="96" t="str">
        <f>HYPERLINK("https://silvanarosa.digital")</f>
        <v>https://silvanarosa.digital</v>
      </c>
      <c r="AR211" s="86" t="s">
        <v>28044</v>
      </c>
      <c r="AS211" s="86"/>
      <c r="AT211" s="86"/>
      <c r="AU211" s="86"/>
      <c r="AV211" s="86"/>
      <c r="AW211" s="96" t="str">
        <f>HYPERLINK("https://t.co/CCQCLQg0E1")</f>
        <v>https://t.co/CCQCLQg0E1</v>
      </c>
      <c r="AX211" s="86" t="b">
        <v>0</v>
      </c>
      <c r="AY211" s="86"/>
      <c r="AZ211" s="86"/>
      <c r="BA211" s="86" t="b">
        <v>0</v>
      </c>
      <c r="BB211" s="86" t="b">
        <v>1</v>
      </c>
      <c r="BC211" s="86" t="b">
        <v>1</v>
      </c>
      <c r="BD211" s="86" t="b">
        <v>0</v>
      </c>
      <c r="BE211" s="86" t="b">
        <v>0</v>
      </c>
      <c r="BF211" s="86" t="b">
        <v>0</v>
      </c>
      <c r="BG211" s="86" t="b">
        <v>0</v>
      </c>
      <c r="BH211" s="96" t="str">
        <f>HYPERLINK("https://pbs.twimg.com/profile_banners/1138777348713656320/1589747084")</f>
        <v>https://pbs.twimg.com/profile_banners/1138777348713656320/1589747084</v>
      </c>
      <c r="BI211" s="86"/>
      <c r="BJ211" s="86" t="s">
        <v>29134</v>
      </c>
      <c r="BK211" s="86" t="b">
        <v>0</v>
      </c>
      <c r="BL211" s="86"/>
      <c r="BM211" s="86" t="s">
        <v>66</v>
      </c>
      <c r="BN211" s="86" t="s">
        <v>29136</v>
      </c>
      <c r="BO211" s="96" t="str">
        <f>HYPERLINK("https://twitter.com/silvanarosaofic")</f>
        <v>https://twitter.com/silvanarosaofic</v>
      </c>
      <c r="BP211" s="2"/>
    </row>
    <row r="212" spans="1:68" x14ac:dyDescent="0.25">
      <c r="A212" s="63" t="s">
        <v>410</v>
      </c>
      <c r="B212" s="64"/>
      <c r="C212" s="64"/>
      <c r="D212" s="65"/>
      <c r="E212" s="67"/>
      <c r="F212" s="111" t="str">
        <f>HYPERLINK("https://pbs.twimg.com/profile_images/1692337315782205440/TsUiNV-a_normal.jpg")</f>
        <v>https://pbs.twimg.com/profile_images/1692337315782205440/TsUiNV-a_normal.jpg</v>
      </c>
      <c r="G212" s="64"/>
      <c r="H212" s="68"/>
      <c r="I212" s="69"/>
      <c r="J212" s="69"/>
      <c r="K212" s="68" t="s">
        <v>29345</v>
      </c>
      <c r="L212" s="72"/>
      <c r="M212" s="73"/>
      <c r="N212" s="73"/>
      <c r="O212" s="74"/>
      <c r="P212" s="75"/>
      <c r="Q212" s="75"/>
      <c r="R212" s="102"/>
      <c r="S212" s="102"/>
      <c r="T212" s="102"/>
      <c r="U212" s="102"/>
      <c r="V212" s="48"/>
      <c r="W212" s="48"/>
      <c r="X212" s="48"/>
      <c r="Y212" s="48"/>
      <c r="Z212" s="47"/>
      <c r="AA212" s="70">
        <v>212</v>
      </c>
      <c r="AB212" s="70"/>
      <c r="AC212" s="71"/>
      <c r="AD212" s="86" t="s">
        <v>23850</v>
      </c>
      <c r="AE212" s="94" t="s">
        <v>25296</v>
      </c>
      <c r="AF212" s="86">
        <v>8</v>
      </c>
      <c r="AG212" s="86">
        <v>51</v>
      </c>
      <c r="AH212" s="86">
        <v>8</v>
      </c>
      <c r="AI212" s="86">
        <v>0</v>
      </c>
      <c r="AJ212" s="86">
        <v>1</v>
      </c>
      <c r="AK212" s="86">
        <v>1</v>
      </c>
      <c r="AL212" s="86" t="b">
        <v>0</v>
      </c>
      <c r="AM212" s="89">
        <v>40623.114687499998</v>
      </c>
      <c r="AN212" s="86" t="s">
        <v>15246</v>
      </c>
      <c r="AO212" s="86" t="s">
        <v>26612</v>
      </c>
      <c r="AP212" s="96" t="str">
        <f>HYPERLINK("https://t.co/W1VGY1G12B")</f>
        <v>https://t.co/W1VGY1G12B</v>
      </c>
      <c r="AQ212" s="96" t="str">
        <f>HYPERLINK("https://wa.me/message/XL5K5F5HERTVO1")</f>
        <v>https://wa.me/message/XL5K5F5HERTVO1</v>
      </c>
      <c r="AR212" s="86" t="s">
        <v>28045</v>
      </c>
      <c r="AS212" s="86"/>
      <c r="AT212" s="86"/>
      <c r="AU212" s="86"/>
      <c r="AV212" s="86"/>
      <c r="AW212" s="96" t="str">
        <f>HYPERLINK("https://t.co/W1VGY1G12B")</f>
        <v>https://t.co/W1VGY1G12B</v>
      </c>
      <c r="AX212" s="86" t="b">
        <v>0</v>
      </c>
      <c r="AY212" s="86"/>
      <c r="AZ212" s="86"/>
      <c r="BA212" s="86" t="b">
        <v>0</v>
      </c>
      <c r="BB212" s="86" t="b">
        <v>1</v>
      </c>
      <c r="BC212" s="86" t="b">
        <v>0</v>
      </c>
      <c r="BD212" s="86" t="b">
        <v>0</v>
      </c>
      <c r="BE212" s="86" t="b">
        <v>0</v>
      </c>
      <c r="BF212" s="86" t="b">
        <v>0</v>
      </c>
      <c r="BG212" s="86" t="b">
        <v>0</v>
      </c>
      <c r="BH212" s="96" t="str">
        <f>HYPERLINK("https://pbs.twimg.com/profile_banners/269591829/1692319729")</f>
        <v>https://pbs.twimg.com/profile_banners/269591829/1692319729</v>
      </c>
      <c r="BI212" s="86"/>
      <c r="BJ212" s="86" t="s">
        <v>29134</v>
      </c>
      <c r="BK212" s="86" t="b">
        <v>0</v>
      </c>
      <c r="BL212" s="86"/>
      <c r="BM212" s="86" t="s">
        <v>66</v>
      </c>
      <c r="BN212" s="86" t="s">
        <v>29136</v>
      </c>
      <c r="BO212" s="96" t="str">
        <f>HYPERLINK("https://twitter.com/michaelgodoy")</f>
        <v>https://twitter.com/michaelgodoy</v>
      </c>
      <c r="BP212" s="2"/>
    </row>
    <row r="213" spans="1:68" x14ac:dyDescent="0.25">
      <c r="A213" s="63" t="s">
        <v>411</v>
      </c>
      <c r="B213" s="64"/>
      <c r="C213" s="64"/>
      <c r="D213" s="65"/>
      <c r="E213" s="67"/>
      <c r="F213" s="111" t="str">
        <f>HYPERLINK("https://pbs.twimg.com/profile_images/1686601906666237952/BPh_UljH_normal.jpg")</f>
        <v>https://pbs.twimg.com/profile_images/1686601906666237952/BPh_UljH_normal.jpg</v>
      </c>
      <c r="G213" s="64"/>
      <c r="H213" s="68"/>
      <c r="I213" s="69"/>
      <c r="J213" s="69"/>
      <c r="K213" s="68" t="s">
        <v>29346</v>
      </c>
      <c r="L213" s="72"/>
      <c r="M213" s="73"/>
      <c r="N213" s="73"/>
      <c r="O213" s="74"/>
      <c r="P213" s="75"/>
      <c r="Q213" s="75"/>
      <c r="R213" s="102"/>
      <c r="S213" s="102"/>
      <c r="T213" s="102"/>
      <c r="U213" s="102"/>
      <c r="V213" s="48"/>
      <c r="W213" s="48"/>
      <c r="X213" s="48"/>
      <c r="Y213" s="48"/>
      <c r="Z213" s="47"/>
      <c r="AA213" s="70">
        <v>213</v>
      </c>
      <c r="AB213" s="70"/>
      <c r="AC213" s="71"/>
      <c r="AD213" s="86" t="s">
        <v>23851</v>
      </c>
      <c r="AE213" s="94" t="s">
        <v>22902</v>
      </c>
      <c r="AF213" s="86">
        <v>1</v>
      </c>
      <c r="AG213" s="86">
        <v>6</v>
      </c>
      <c r="AH213" s="86">
        <v>1</v>
      </c>
      <c r="AI213" s="86">
        <v>0</v>
      </c>
      <c r="AJ213" s="86">
        <v>0</v>
      </c>
      <c r="AK213" s="86">
        <v>1</v>
      </c>
      <c r="AL213" s="86" t="b">
        <v>0</v>
      </c>
      <c r="AM213" s="89">
        <v>45140.197418981479</v>
      </c>
      <c r="AN213" s="86"/>
      <c r="AO213" s="86" t="s">
        <v>26613</v>
      </c>
      <c r="AP213" s="86"/>
      <c r="AQ213" s="86"/>
      <c r="AR213" s="86"/>
      <c r="AS213" s="86"/>
      <c r="AT213" s="86"/>
      <c r="AU213" s="86"/>
      <c r="AV213" s="86"/>
      <c r="AW213" s="86"/>
      <c r="AX213" s="86" t="b">
        <v>0</v>
      </c>
      <c r="AY213" s="86"/>
      <c r="AZ213" s="86"/>
      <c r="BA213" s="86" t="b">
        <v>0</v>
      </c>
      <c r="BB213" s="86" t="b">
        <v>1</v>
      </c>
      <c r="BC213" s="86" t="b">
        <v>1</v>
      </c>
      <c r="BD213" s="86" t="b">
        <v>0</v>
      </c>
      <c r="BE213" s="86" t="b">
        <v>0</v>
      </c>
      <c r="BF213" s="86" t="b">
        <v>0</v>
      </c>
      <c r="BG213" s="86" t="b">
        <v>0</v>
      </c>
      <c r="BH213" s="96" t="str">
        <f>HYPERLINK("https://pbs.twimg.com/profile_banners/1686598309035511809/1690952216")</f>
        <v>https://pbs.twimg.com/profile_banners/1686598309035511809/1690952216</v>
      </c>
      <c r="BI213" s="86"/>
      <c r="BJ213" s="86" t="s">
        <v>29134</v>
      </c>
      <c r="BK213" s="86" t="b">
        <v>0</v>
      </c>
      <c r="BL213" s="86"/>
      <c r="BM213" s="86" t="s">
        <v>66</v>
      </c>
      <c r="BN213" s="86" t="s">
        <v>29136</v>
      </c>
      <c r="BO213" s="96" t="str">
        <f>HYPERLINK("https://twitter.com/fellipe_1989")</f>
        <v>https://twitter.com/fellipe_1989</v>
      </c>
      <c r="BP213" s="2"/>
    </row>
    <row r="214" spans="1:68" x14ac:dyDescent="0.25">
      <c r="A214" s="63" t="s">
        <v>412</v>
      </c>
      <c r="B214" s="64"/>
      <c r="C214" s="64"/>
      <c r="D214" s="65"/>
      <c r="E214" s="67"/>
      <c r="F214" s="111" t="str">
        <f>HYPERLINK("https://pbs.twimg.com/profile_images/1690838238666080256/nR10SQpN_normal.jpg")</f>
        <v>https://pbs.twimg.com/profile_images/1690838238666080256/nR10SQpN_normal.jpg</v>
      </c>
      <c r="G214" s="64"/>
      <c r="H214" s="68"/>
      <c r="I214" s="69"/>
      <c r="J214" s="69"/>
      <c r="K214" s="68" t="s">
        <v>29347</v>
      </c>
      <c r="L214" s="72"/>
      <c r="M214" s="73"/>
      <c r="N214" s="73"/>
      <c r="O214" s="74"/>
      <c r="P214" s="75"/>
      <c r="Q214" s="75"/>
      <c r="R214" s="102"/>
      <c r="S214" s="102"/>
      <c r="T214" s="102"/>
      <c r="U214" s="102"/>
      <c r="V214" s="48"/>
      <c r="W214" s="48"/>
      <c r="X214" s="48"/>
      <c r="Y214" s="48"/>
      <c r="Z214" s="47"/>
      <c r="AA214" s="70">
        <v>214</v>
      </c>
      <c r="AB214" s="70"/>
      <c r="AC214" s="71"/>
      <c r="AD214" s="86" t="s">
        <v>23852</v>
      </c>
      <c r="AE214" s="94" t="s">
        <v>22903</v>
      </c>
      <c r="AF214" s="86">
        <v>110</v>
      </c>
      <c r="AG214" s="86">
        <v>323</v>
      </c>
      <c r="AH214" s="86">
        <v>372</v>
      </c>
      <c r="AI214" s="86">
        <v>0</v>
      </c>
      <c r="AJ214" s="86">
        <v>2173</v>
      </c>
      <c r="AK214" s="86">
        <v>19</v>
      </c>
      <c r="AL214" s="86" t="b">
        <v>0</v>
      </c>
      <c r="AM214" s="89">
        <v>43999.516180555554</v>
      </c>
      <c r="AN214" s="86" t="s">
        <v>15378</v>
      </c>
      <c r="AO214" s="86" t="s">
        <v>26614</v>
      </c>
      <c r="AP214" s="86"/>
      <c r="AQ214" s="86"/>
      <c r="AR214" s="86"/>
      <c r="AS214" s="86"/>
      <c r="AT214" s="86"/>
      <c r="AU214" s="86"/>
      <c r="AV214" s="86">
        <v>1.6524009667657999E+18</v>
      </c>
      <c r="AW214" s="86"/>
      <c r="AX214" s="86" t="b">
        <v>0</v>
      </c>
      <c r="AY214" s="86"/>
      <c r="AZ214" s="86"/>
      <c r="BA214" s="86" t="b">
        <v>0</v>
      </c>
      <c r="BB214" s="86" t="b">
        <v>0</v>
      </c>
      <c r="BC214" s="86" t="b">
        <v>1</v>
      </c>
      <c r="BD214" s="86" t="b">
        <v>0</v>
      </c>
      <c r="BE214" s="86" t="b">
        <v>0</v>
      </c>
      <c r="BF214" s="86" t="b">
        <v>0</v>
      </c>
      <c r="BG214" s="86" t="b">
        <v>0</v>
      </c>
      <c r="BH214" s="96" t="str">
        <f>HYPERLINK("https://pbs.twimg.com/profile_banners/1273229692175253505/1683472180")</f>
        <v>https://pbs.twimg.com/profile_banners/1273229692175253505/1683472180</v>
      </c>
      <c r="BI214" s="86"/>
      <c r="BJ214" s="86" t="s">
        <v>29134</v>
      </c>
      <c r="BK214" s="86" t="b">
        <v>0</v>
      </c>
      <c r="BL214" s="86"/>
      <c r="BM214" s="86" t="s">
        <v>66</v>
      </c>
      <c r="BN214" s="86" t="s">
        <v>29136</v>
      </c>
      <c r="BO214" s="96" t="str">
        <f>HYPERLINK("https://twitter.com/jessisfonseca")</f>
        <v>https://twitter.com/jessisfonseca</v>
      </c>
      <c r="BP214" s="2"/>
    </row>
    <row r="215" spans="1:68" x14ac:dyDescent="0.25">
      <c r="A215" s="63" t="s">
        <v>413</v>
      </c>
      <c r="B215" s="64"/>
      <c r="C215" s="64"/>
      <c r="D215" s="65"/>
      <c r="E215" s="67"/>
      <c r="F215" s="111" t="str">
        <f>HYPERLINK("https://pbs.twimg.com/profile_images/1682392221167898624/EGhGTlKI_normal.jpg")</f>
        <v>https://pbs.twimg.com/profile_images/1682392221167898624/EGhGTlKI_normal.jpg</v>
      </c>
      <c r="G215" s="64"/>
      <c r="H215" s="68"/>
      <c r="I215" s="69"/>
      <c r="J215" s="69"/>
      <c r="K215" s="68" t="s">
        <v>29348</v>
      </c>
      <c r="L215" s="72"/>
      <c r="M215" s="73"/>
      <c r="N215" s="73"/>
      <c r="O215" s="74"/>
      <c r="P215" s="75"/>
      <c r="Q215" s="75"/>
      <c r="R215" s="102"/>
      <c r="S215" s="102"/>
      <c r="T215" s="102"/>
      <c r="U215" s="102"/>
      <c r="V215" s="48"/>
      <c r="W215" s="48"/>
      <c r="X215" s="48"/>
      <c r="Y215" s="48"/>
      <c r="Z215" s="47"/>
      <c r="AA215" s="70">
        <v>215</v>
      </c>
      <c r="AB215" s="70"/>
      <c r="AC215" s="71"/>
      <c r="AD215" s="86" t="s">
        <v>23853</v>
      </c>
      <c r="AE215" s="94" t="s">
        <v>22904</v>
      </c>
      <c r="AF215" s="86">
        <v>3</v>
      </c>
      <c r="AG215" s="86">
        <v>20</v>
      </c>
      <c r="AH215" s="86">
        <v>18</v>
      </c>
      <c r="AI215" s="86">
        <v>0</v>
      </c>
      <c r="AJ215" s="86">
        <v>0</v>
      </c>
      <c r="AK215" s="86">
        <v>12</v>
      </c>
      <c r="AL215" s="86" t="b">
        <v>0</v>
      </c>
      <c r="AM215" s="89">
        <v>44207.57880787037</v>
      </c>
      <c r="AN215" s="86" t="s">
        <v>15378</v>
      </c>
      <c r="AO215" s="86" t="s">
        <v>26615</v>
      </c>
      <c r="AP215" s="96" t="str">
        <f>HYPERLINK("https://t.co/sJmkxTpT1d")</f>
        <v>https://t.co/sJmkxTpT1d</v>
      </c>
      <c r="AQ215" s="96" t="str">
        <f>HYPERLINK("http://beabatributario.com.br")</f>
        <v>http://beabatributario.com.br</v>
      </c>
      <c r="AR215" s="86" t="s">
        <v>28046</v>
      </c>
      <c r="AS215" s="86"/>
      <c r="AT215" s="86"/>
      <c r="AU215" s="86"/>
      <c r="AV215" s="86"/>
      <c r="AW215" s="96" t="str">
        <f>HYPERLINK("https://t.co/sJmkxTpT1d")</f>
        <v>https://t.co/sJmkxTpT1d</v>
      </c>
      <c r="AX215" s="86" t="b">
        <v>0</v>
      </c>
      <c r="AY215" s="86"/>
      <c r="AZ215" s="86"/>
      <c r="BA215" s="86" t="b">
        <v>0</v>
      </c>
      <c r="BB215" s="86" t="b">
        <v>1</v>
      </c>
      <c r="BC215" s="86" t="b">
        <v>1</v>
      </c>
      <c r="BD215" s="86" t="b">
        <v>0</v>
      </c>
      <c r="BE215" s="86" t="b">
        <v>0</v>
      </c>
      <c r="BF215" s="86" t="b">
        <v>0</v>
      </c>
      <c r="BG215" s="86" t="b">
        <v>0</v>
      </c>
      <c r="BH215" s="96" t="str">
        <f>HYPERLINK("https://pbs.twimg.com/profile_banners/1348629067852034050/1689948538")</f>
        <v>https://pbs.twimg.com/profile_banners/1348629067852034050/1689948538</v>
      </c>
      <c r="BI215" s="86"/>
      <c r="BJ215" s="86" t="s">
        <v>29134</v>
      </c>
      <c r="BK215" s="86" t="b">
        <v>0</v>
      </c>
      <c r="BL215" s="86"/>
      <c r="BM215" s="86" t="s">
        <v>66</v>
      </c>
      <c r="BN215" s="86" t="s">
        <v>29136</v>
      </c>
      <c r="BO215" s="96" t="str">
        <f>HYPERLINK("https://twitter.com/beabatributario")</f>
        <v>https://twitter.com/beabatributario</v>
      </c>
      <c r="BP215" s="2"/>
    </row>
    <row r="216" spans="1:68" x14ac:dyDescent="0.25">
      <c r="A216" s="63" t="s">
        <v>414</v>
      </c>
      <c r="B216" s="64"/>
      <c r="C216" s="64"/>
      <c r="D216" s="65"/>
      <c r="E216" s="67"/>
      <c r="F216" s="111" t="str">
        <f>HYPERLINK("https://pbs.twimg.com/profile_images/1604127268997054466/OURCOSwi_normal.jpg")</f>
        <v>https://pbs.twimg.com/profile_images/1604127268997054466/OURCOSwi_normal.jpg</v>
      </c>
      <c r="G216" s="64"/>
      <c r="H216" s="68"/>
      <c r="I216" s="69"/>
      <c r="J216" s="69"/>
      <c r="K216" s="68" t="s">
        <v>29349</v>
      </c>
      <c r="L216" s="72"/>
      <c r="M216" s="73"/>
      <c r="N216" s="73"/>
      <c r="O216" s="74"/>
      <c r="P216" s="75"/>
      <c r="Q216" s="75"/>
      <c r="R216" s="102"/>
      <c r="S216" s="102"/>
      <c r="T216" s="102"/>
      <c r="U216" s="102"/>
      <c r="V216" s="48"/>
      <c r="W216" s="48"/>
      <c r="X216" s="48"/>
      <c r="Y216" s="48"/>
      <c r="Z216" s="47"/>
      <c r="AA216" s="70">
        <v>216</v>
      </c>
      <c r="AB216" s="70"/>
      <c r="AC216" s="71"/>
      <c r="AD216" s="86" t="s">
        <v>23854</v>
      </c>
      <c r="AE216" s="94" t="s">
        <v>22905</v>
      </c>
      <c r="AF216" s="86">
        <v>281</v>
      </c>
      <c r="AG216" s="86">
        <v>849</v>
      </c>
      <c r="AH216" s="86">
        <v>1070</v>
      </c>
      <c r="AI216" s="86">
        <v>0</v>
      </c>
      <c r="AJ216" s="86">
        <v>211</v>
      </c>
      <c r="AK216" s="86">
        <v>207</v>
      </c>
      <c r="AL216" s="86" t="b">
        <v>0</v>
      </c>
      <c r="AM216" s="89">
        <v>43443.721215277779</v>
      </c>
      <c r="AN216" s="86" t="s">
        <v>15234</v>
      </c>
      <c r="AO216" s="86" t="s">
        <v>26616</v>
      </c>
      <c r="AP216" s="96" t="str">
        <f>HYPERLINK("https://t.co/2oY2g4zyIN")</f>
        <v>https://t.co/2oY2g4zyIN</v>
      </c>
      <c r="AQ216" s="96" t="str">
        <f>HYPERLINK("http://bit.ly/SUSHI-faça-em-casa")</f>
        <v>http://bit.ly/SUSHI-faça-em-casa</v>
      </c>
      <c r="AR216" s="86" t="s">
        <v>28047</v>
      </c>
      <c r="AS216" s="86"/>
      <c r="AT216" s="86"/>
      <c r="AU216" s="86"/>
      <c r="AV216" s="86"/>
      <c r="AW216" s="96" t="str">
        <f>HYPERLINK("https://t.co/2oY2g4zyIN")</f>
        <v>https://t.co/2oY2g4zyIN</v>
      </c>
      <c r="AX216" s="86" t="b">
        <v>0</v>
      </c>
      <c r="AY216" s="86"/>
      <c r="AZ216" s="86"/>
      <c r="BA216" s="86" t="b">
        <v>0</v>
      </c>
      <c r="BB216" s="86" t="b">
        <v>1</v>
      </c>
      <c r="BC216" s="86" t="b">
        <v>1</v>
      </c>
      <c r="BD216" s="86" t="b">
        <v>0</v>
      </c>
      <c r="BE216" s="86" t="b">
        <v>0</v>
      </c>
      <c r="BF216" s="86" t="b">
        <v>0</v>
      </c>
      <c r="BG216" s="86" t="b">
        <v>0</v>
      </c>
      <c r="BH216" s="96" t="str">
        <f>HYPERLINK("https://pbs.twimg.com/profile_banners/1071816380113129473/1677945081")</f>
        <v>https://pbs.twimg.com/profile_banners/1071816380113129473/1677945081</v>
      </c>
      <c r="BI216" s="86"/>
      <c r="BJ216" s="86" t="s">
        <v>29134</v>
      </c>
      <c r="BK216" s="86" t="b">
        <v>0</v>
      </c>
      <c r="BL216" s="86"/>
      <c r="BM216" s="86" t="s">
        <v>66</v>
      </c>
      <c r="BN216" s="86" t="s">
        <v>29136</v>
      </c>
      <c r="BO216" s="96" t="str">
        <f>HYPERLINK("https://twitter.com/tom_santiagobr")</f>
        <v>https://twitter.com/tom_santiagobr</v>
      </c>
      <c r="BP216" s="2"/>
    </row>
    <row r="217" spans="1:68" x14ac:dyDescent="0.25">
      <c r="A217" s="63" t="s">
        <v>415</v>
      </c>
      <c r="B217" s="64"/>
      <c r="C217" s="64"/>
      <c r="D217" s="65"/>
      <c r="E217" s="67"/>
      <c r="F217" s="111" t="str">
        <f>HYPERLINK("https://pbs.twimg.com/profile_images/1375108267358232576/3mpV1Aqi_normal.jpg")</f>
        <v>https://pbs.twimg.com/profile_images/1375108267358232576/3mpV1Aqi_normal.jpg</v>
      </c>
      <c r="G217" s="64"/>
      <c r="H217" s="68"/>
      <c r="I217" s="69"/>
      <c r="J217" s="69"/>
      <c r="K217" s="68" t="s">
        <v>29350</v>
      </c>
      <c r="L217" s="72"/>
      <c r="M217" s="73"/>
      <c r="N217" s="73"/>
      <c r="O217" s="74"/>
      <c r="P217" s="75"/>
      <c r="Q217" s="75"/>
      <c r="R217" s="102"/>
      <c r="S217" s="102"/>
      <c r="T217" s="102"/>
      <c r="U217" s="102"/>
      <c r="V217" s="48"/>
      <c r="W217" s="48"/>
      <c r="X217" s="48"/>
      <c r="Y217" s="48"/>
      <c r="Z217" s="47"/>
      <c r="AA217" s="70">
        <v>217</v>
      </c>
      <c r="AB217" s="70"/>
      <c r="AC217" s="71"/>
      <c r="AD217" s="86" t="s">
        <v>23855</v>
      </c>
      <c r="AE217" s="94" t="s">
        <v>25297</v>
      </c>
      <c r="AF217" s="86">
        <v>753</v>
      </c>
      <c r="AG217" s="86">
        <v>1480</v>
      </c>
      <c r="AH217" s="86">
        <v>9390</v>
      </c>
      <c r="AI217" s="86">
        <v>2</v>
      </c>
      <c r="AJ217" s="86">
        <v>45</v>
      </c>
      <c r="AK217" s="86">
        <v>58</v>
      </c>
      <c r="AL217" s="86" t="b">
        <v>0</v>
      </c>
      <c r="AM217" s="89">
        <v>40270.918275462966</v>
      </c>
      <c r="AN217" s="86"/>
      <c r="AO217" s="86"/>
      <c r="AP217" s="96" t="str">
        <f>HYPERLINK("http://t.co/MhjhvLvFa6")</f>
        <v>http://t.co/MhjhvLvFa6</v>
      </c>
      <c r="AQ217" s="96" t="str">
        <f>HYPERLINK("http://www.sdnews.com.br")</f>
        <v>http://www.sdnews.com.br</v>
      </c>
      <c r="AR217" s="86" t="s">
        <v>28048</v>
      </c>
      <c r="AS217" s="86"/>
      <c r="AT217" s="86"/>
      <c r="AU217" s="86"/>
      <c r="AV217" s="86"/>
      <c r="AW217" s="96" t="str">
        <f>HYPERLINK("http://t.co/MhjhvLvFa6")</f>
        <v>http://t.co/MhjhvLvFa6</v>
      </c>
      <c r="AX217" s="86" t="b">
        <v>0</v>
      </c>
      <c r="AY217" s="86"/>
      <c r="AZ217" s="86"/>
      <c r="BA217" s="86" t="b">
        <v>0</v>
      </c>
      <c r="BB217" s="86" t="b">
        <v>1</v>
      </c>
      <c r="BC217" s="86" t="b">
        <v>1</v>
      </c>
      <c r="BD217" s="86" t="b">
        <v>0</v>
      </c>
      <c r="BE217" s="86" t="b">
        <v>0</v>
      </c>
      <c r="BF217" s="86" t="b">
        <v>0</v>
      </c>
      <c r="BG217" s="86" t="b">
        <v>0</v>
      </c>
      <c r="BH217" s="96" t="str">
        <f>HYPERLINK("https://pbs.twimg.com/profile_banners/129002495/1616686335")</f>
        <v>https://pbs.twimg.com/profile_banners/129002495/1616686335</v>
      </c>
      <c r="BI217" s="86"/>
      <c r="BJ217" s="86" t="s">
        <v>29134</v>
      </c>
      <c r="BK217" s="86" t="b">
        <v>0</v>
      </c>
      <c r="BL217" s="86"/>
      <c r="BM217" s="86" t="s">
        <v>66</v>
      </c>
      <c r="BN217" s="86" t="s">
        <v>29136</v>
      </c>
      <c r="BO217" s="96" t="str">
        <f>HYPERLINK("https://twitter.com/sdnewscatalao")</f>
        <v>https://twitter.com/sdnewscatalao</v>
      </c>
      <c r="BP217" s="2"/>
    </row>
    <row r="218" spans="1:68" x14ac:dyDescent="0.25">
      <c r="A218" s="63" t="s">
        <v>416</v>
      </c>
      <c r="B218" s="64"/>
      <c r="C218" s="64"/>
      <c r="D218" s="65"/>
      <c r="E218" s="67"/>
      <c r="F218" s="111" t="str">
        <f>HYPERLINK("https://pbs.twimg.com/profile_images/1686214908147277824/a14YG1EZ_normal.jpg")</f>
        <v>https://pbs.twimg.com/profile_images/1686214908147277824/a14YG1EZ_normal.jpg</v>
      </c>
      <c r="G218" s="64"/>
      <c r="H218" s="68"/>
      <c r="I218" s="69"/>
      <c r="J218" s="69"/>
      <c r="K218" s="68" t="s">
        <v>29351</v>
      </c>
      <c r="L218" s="72"/>
      <c r="M218" s="73"/>
      <c r="N218" s="73"/>
      <c r="O218" s="74"/>
      <c r="P218" s="75"/>
      <c r="Q218" s="75"/>
      <c r="R218" s="102"/>
      <c r="S218" s="102"/>
      <c r="T218" s="102"/>
      <c r="U218" s="102"/>
      <c r="V218" s="48"/>
      <c r="W218" s="48"/>
      <c r="X218" s="48"/>
      <c r="Y218" s="48"/>
      <c r="Z218" s="47"/>
      <c r="AA218" s="70">
        <v>218</v>
      </c>
      <c r="AB218" s="70"/>
      <c r="AC218" s="71"/>
      <c r="AD218" s="86" t="s">
        <v>23856</v>
      </c>
      <c r="AE218" s="94" t="s">
        <v>22906</v>
      </c>
      <c r="AF218" s="86">
        <v>0</v>
      </c>
      <c r="AG218" s="86">
        <v>1</v>
      </c>
      <c r="AH218" s="86">
        <v>19</v>
      </c>
      <c r="AI218" s="86">
        <v>0</v>
      </c>
      <c r="AJ218" s="86">
        <v>19</v>
      </c>
      <c r="AK218" s="86">
        <v>19</v>
      </c>
      <c r="AL218" s="86" t="b">
        <v>0</v>
      </c>
      <c r="AM218" s="89">
        <v>45139.106770833336</v>
      </c>
      <c r="AN218" s="86"/>
      <c r="AO218" s="86" t="s">
        <v>26617</v>
      </c>
      <c r="AP218" s="86"/>
      <c r="AQ218" s="86"/>
      <c r="AR218" s="86"/>
      <c r="AS218" s="86"/>
      <c r="AT218" s="86"/>
      <c r="AU218" s="86"/>
      <c r="AV218" s="86"/>
      <c r="AW218" s="86"/>
      <c r="AX218" s="86" t="b">
        <v>0</v>
      </c>
      <c r="AY218" s="86"/>
      <c r="AZ218" s="86"/>
      <c r="BA218" s="86" t="b">
        <v>0</v>
      </c>
      <c r="BB218" s="86" t="b">
        <v>1</v>
      </c>
      <c r="BC218" s="86" t="b">
        <v>1</v>
      </c>
      <c r="BD218" s="86" t="b">
        <v>0</v>
      </c>
      <c r="BE218" s="86" t="b">
        <v>0</v>
      </c>
      <c r="BF218" s="86" t="b">
        <v>0</v>
      </c>
      <c r="BG218" s="86" t="b">
        <v>0</v>
      </c>
      <c r="BH218" s="96" t="str">
        <f>HYPERLINK("https://pbs.twimg.com/profile_banners/1686203284707545090/1690859956")</f>
        <v>https://pbs.twimg.com/profile_banners/1686203284707545090/1690859956</v>
      </c>
      <c r="BI218" s="86"/>
      <c r="BJ218" s="86" t="s">
        <v>29134</v>
      </c>
      <c r="BK218" s="86" t="b">
        <v>0</v>
      </c>
      <c r="BL218" s="86"/>
      <c r="BM218" s="86" t="s">
        <v>66</v>
      </c>
      <c r="BN218" s="86" t="s">
        <v>29136</v>
      </c>
      <c r="BO218" s="96" t="str">
        <f>HYPERLINK("https://twitter.com/cortesdariqueza")</f>
        <v>https://twitter.com/cortesdariqueza</v>
      </c>
      <c r="BP218" s="2"/>
    </row>
    <row r="219" spans="1:68" x14ac:dyDescent="0.25">
      <c r="A219" s="63" t="s">
        <v>1637</v>
      </c>
      <c r="B219" s="64"/>
      <c r="C219" s="64"/>
      <c r="D219" s="65"/>
      <c r="E219" s="67"/>
      <c r="F219" s="111" t="str">
        <f>HYPERLINK("https://pbs.twimg.com/profile_images/1686350654669836288/WlQqbkor_normal.jpg")</f>
        <v>https://pbs.twimg.com/profile_images/1686350654669836288/WlQqbkor_normal.jpg</v>
      </c>
      <c r="G219" s="64"/>
      <c r="H219" s="68"/>
      <c r="I219" s="69"/>
      <c r="J219" s="69"/>
      <c r="K219" s="68" t="s">
        <v>29352</v>
      </c>
      <c r="L219" s="72"/>
      <c r="M219" s="73"/>
      <c r="N219" s="73"/>
      <c r="O219" s="74"/>
      <c r="P219" s="75"/>
      <c r="Q219" s="75"/>
      <c r="R219" s="102"/>
      <c r="S219" s="102"/>
      <c r="T219" s="102"/>
      <c r="U219" s="102"/>
      <c r="V219" s="48"/>
      <c r="W219" s="48"/>
      <c r="X219" s="48"/>
      <c r="Y219" s="48"/>
      <c r="Z219" s="47"/>
      <c r="AA219" s="70">
        <v>219</v>
      </c>
      <c r="AB219" s="70"/>
      <c r="AC219" s="71"/>
      <c r="AD219" s="86" t="s">
        <v>23857</v>
      </c>
      <c r="AE219" s="94" t="s">
        <v>25298</v>
      </c>
      <c r="AF219" s="86">
        <v>28</v>
      </c>
      <c r="AG219" s="86">
        <v>1</v>
      </c>
      <c r="AH219" s="86">
        <v>1</v>
      </c>
      <c r="AI219" s="86">
        <v>0</v>
      </c>
      <c r="AJ219" s="86">
        <v>0</v>
      </c>
      <c r="AK219" s="86">
        <v>0</v>
      </c>
      <c r="AL219" s="86" t="b">
        <v>0</v>
      </c>
      <c r="AM219" s="89">
        <v>45139.512557870374</v>
      </c>
      <c r="AN219" s="86"/>
      <c r="AO219" s="86" t="s">
        <v>26618</v>
      </c>
      <c r="AP219" s="86"/>
      <c r="AQ219" s="86"/>
      <c r="AR219" s="86"/>
      <c r="AS219" s="86"/>
      <c r="AT219" s="86"/>
      <c r="AU219" s="86"/>
      <c r="AV219" s="86"/>
      <c r="AW219" s="86"/>
      <c r="AX219" s="86" t="b">
        <v>0</v>
      </c>
      <c r="AY219" s="86"/>
      <c r="AZ219" s="86"/>
      <c r="BA219" s="86" t="b">
        <v>0</v>
      </c>
      <c r="BB219" s="86" t="b">
        <v>1</v>
      </c>
      <c r="BC219" s="86" t="b">
        <v>1</v>
      </c>
      <c r="BD219" s="86" t="b">
        <v>0</v>
      </c>
      <c r="BE219" s="86" t="b">
        <v>0</v>
      </c>
      <c r="BF219" s="86" t="b">
        <v>0</v>
      </c>
      <c r="BG219" s="86" t="b">
        <v>0</v>
      </c>
      <c r="BH219" s="86"/>
      <c r="BI219" s="86"/>
      <c r="BJ219" s="86" t="s">
        <v>29134</v>
      </c>
      <c r="BK219" s="86" t="b">
        <v>0</v>
      </c>
      <c r="BL219" s="86"/>
      <c r="BM219" s="86" t="s">
        <v>65</v>
      </c>
      <c r="BN219" s="86" t="s">
        <v>29136</v>
      </c>
      <c r="BO219" s="96" t="str">
        <f>HYPERLINK("https://twitter.com/fellipeferini")</f>
        <v>https://twitter.com/fellipeferini</v>
      </c>
      <c r="BP219" s="2"/>
    </row>
    <row r="220" spans="1:68" x14ac:dyDescent="0.25">
      <c r="A220" s="63" t="s">
        <v>417</v>
      </c>
      <c r="B220" s="64"/>
      <c r="C220" s="64"/>
      <c r="D220" s="65"/>
      <c r="E220" s="67"/>
      <c r="F220" s="111" t="str">
        <f>HYPERLINK("https://pbs.twimg.com/profile_images/1275442256095444992/kHTSPYYE_normal.jpg")</f>
        <v>https://pbs.twimg.com/profile_images/1275442256095444992/kHTSPYYE_normal.jpg</v>
      </c>
      <c r="G220" s="64"/>
      <c r="H220" s="68"/>
      <c r="I220" s="69"/>
      <c r="J220" s="69"/>
      <c r="K220" s="68" t="s">
        <v>29353</v>
      </c>
      <c r="L220" s="72"/>
      <c r="M220" s="73"/>
      <c r="N220" s="73"/>
      <c r="O220" s="74"/>
      <c r="P220" s="75"/>
      <c r="Q220" s="75"/>
      <c r="R220" s="102"/>
      <c r="S220" s="102"/>
      <c r="T220" s="102"/>
      <c r="U220" s="102"/>
      <c r="V220" s="48"/>
      <c r="W220" s="48"/>
      <c r="X220" s="48"/>
      <c r="Y220" s="48"/>
      <c r="Z220" s="47"/>
      <c r="AA220" s="70">
        <v>220</v>
      </c>
      <c r="AB220" s="70"/>
      <c r="AC220" s="71"/>
      <c r="AD220" s="86" t="s">
        <v>23858</v>
      </c>
      <c r="AE220" s="94" t="s">
        <v>25299</v>
      </c>
      <c r="AF220" s="86">
        <v>59</v>
      </c>
      <c r="AG220" s="86">
        <v>25</v>
      </c>
      <c r="AH220" s="86">
        <v>1190</v>
      </c>
      <c r="AI220" s="86">
        <v>0</v>
      </c>
      <c r="AJ220" s="86">
        <v>25</v>
      </c>
      <c r="AK220" s="86">
        <v>1148</v>
      </c>
      <c r="AL220" s="86" t="b">
        <v>0</v>
      </c>
      <c r="AM220" s="89">
        <v>42394.977777777778</v>
      </c>
      <c r="AN220" s="86"/>
      <c r="AO220" s="86" t="s">
        <v>26619</v>
      </c>
      <c r="AP220" s="96" t="str">
        <f>HYPERLINK("https://t.co/mHBuzzxcNC")</f>
        <v>https://t.co/mHBuzzxcNC</v>
      </c>
      <c r="AQ220" s="96" t="str">
        <f>HYPERLINK("http://www.expertdigital.net")</f>
        <v>http://www.expertdigital.net</v>
      </c>
      <c r="AR220" s="86" t="s">
        <v>28049</v>
      </c>
      <c r="AS220" s="96" t="str">
        <f>HYPERLINK("https://t.co/ugETfRXA0W")</f>
        <v>https://t.co/ugETfRXA0W</v>
      </c>
      <c r="AT220" s="96" t="str">
        <f>HYPERLINK("http://expertdigital.net")</f>
        <v>http://expertdigital.net</v>
      </c>
      <c r="AU220" s="86" t="s">
        <v>28049</v>
      </c>
      <c r="AV220" s="86">
        <v>1.2754435389273001E+18</v>
      </c>
      <c r="AW220" s="96" t="str">
        <f>HYPERLINK("https://t.co/mHBuzzxcNC")</f>
        <v>https://t.co/mHBuzzxcNC</v>
      </c>
      <c r="AX220" s="86" t="b">
        <v>0</v>
      </c>
      <c r="AY220" s="86"/>
      <c r="AZ220" s="86"/>
      <c r="BA220" s="86" t="b">
        <v>1</v>
      </c>
      <c r="BB220" s="86" t="b">
        <v>1</v>
      </c>
      <c r="BC220" s="86" t="b">
        <v>0</v>
      </c>
      <c r="BD220" s="86" t="b">
        <v>0</v>
      </c>
      <c r="BE220" s="86" t="b">
        <v>0</v>
      </c>
      <c r="BF220" s="86" t="b">
        <v>0</v>
      </c>
      <c r="BG220" s="86" t="b">
        <v>0</v>
      </c>
      <c r="BH220" s="96" t="str">
        <f>HYPERLINK("https://pbs.twimg.com/profile_banners/4847356000/1685976485")</f>
        <v>https://pbs.twimg.com/profile_banners/4847356000/1685976485</v>
      </c>
      <c r="BI220" s="86"/>
      <c r="BJ220" s="86" t="s">
        <v>29134</v>
      </c>
      <c r="BK220" s="86" t="b">
        <v>0</v>
      </c>
      <c r="BL220" s="86"/>
      <c r="BM220" s="86" t="s">
        <v>66</v>
      </c>
      <c r="BN220" s="86" t="s">
        <v>29136</v>
      </c>
      <c r="BO220" s="96" t="str">
        <f>HYPERLINK("https://twitter.com/expertdigitals")</f>
        <v>https://twitter.com/expertdigitals</v>
      </c>
      <c r="BP220" s="2"/>
    </row>
    <row r="221" spans="1:68" x14ac:dyDescent="0.25">
      <c r="A221" s="63" t="s">
        <v>418</v>
      </c>
      <c r="B221" s="64"/>
      <c r="C221" s="64"/>
      <c r="D221" s="65"/>
      <c r="E221" s="67"/>
      <c r="F221" s="111" t="str">
        <f>HYPERLINK("https://pbs.twimg.com/profile_images/1461381989450276865/b0qKOic0_normal.jpg")</f>
        <v>https://pbs.twimg.com/profile_images/1461381989450276865/b0qKOic0_normal.jpg</v>
      </c>
      <c r="G221" s="64"/>
      <c r="H221" s="68"/>
      <c r="I221" s="69"/>
      <c r="J221" s="69"/>
      <c r="K221" s="68" t="s">
        <v>29354</v>
      </c>
      <c r="L221" s="72"/>
      <c r="M221" s="73"/>
      <c r="N221" s="73"/>
      <c r="O221" s="74"/>
      <c r="P221" s="75"/>
      <c r="Q221" s="75"/>
      <c r="R221" s="102"/>
      <c r="S221" s="102"/>
      <c r="T221" s="102"/>
      <c r="U221" s="102"/>
      <c r="V221" s="48"/>
      <c r="W221" s="48"/>
      <c r="X221" s="48"/>
      <c r="Y221" s="48"/>
      <c r="Z221" s="47"/>
      <c r="AA221" s="70">
        <v>221</v>
      </c>
      <c r="AB221" s="70"/>
      <c r="AC221" s="71"/>
      <c r="AD221" s="86" t="s">
        <v>23859</v>
      </c>
      <c r="AE221" s="94" t="s">
        <v>22907</v>
      </c>
      <c r="AF221" s="86">
        <v>277</v>
      </c>
      <c r="AG221" s="86">
        <v>10</v>
      </c>
      <c r="AH221" s="86">
        <v>9710</v>
      </c>
      <c r="AI221" s="86">
        <v>1</v>
      </c>
      <c r="AJ221" s="86">
        <v>8454</v>
      </c>
      <c r="AK221" s="86">
        <v>1853</v>
      </c>
      <c r="AL221" s="86" t="b">
        <v>0</v>
      </c>
      <c r="AM221" s="89">
        <v>43007.993483796294</v>
      </c>
      <c r="AN221" s="86" t="s">
        <v>25959</v>
      </c>
      <c r="AO221" s="86" t="s">
        <v>26620</v>
      </c>
      <c r="AP221" s="96" t="str">
        <f>HYPERLINK("https://t.co/Q4s82oqkD2")</f>
        <v>https://t.co/Q4s82oqkD2</v>
      </c>
      <c r="AQ221" s="96" t="str">
        <f>HYPERLINK("https://t.me/encontreiaqui")</f>
        <v>https://t.me/encontreiaqui</v>
      </c>
      <c r="AR221" s="86" t="s">
        <v>28050</v>
      </c>
      <c r="AS221" s="86"/>
      <c r="AT221" s="86"/>
      <c r="AU221" s="86"/>
      <c r="AV221" s="86">
        <v>1.5397277872709901E+18</v>
      </c>
      <c r="AW221" s="96" t="str">
        <f>HYPERLINK("https://t.co/Q4s82oqkD2")</f>
        <v>https://t.co/Q4s82oqkD2</v>
      </c>
      <c r="AX221" s="86" t="b">
        <v>0</v>
      </c>
      <c r="AY221" s="86"/>
      <c r="AZ221" s="86"/>
      <c r="BA221" s="86" t="b">
        <v>1</v>
      </c>
      <c r="BB221" s="86" t="b">
        <v>1</v>
      </c>
      <c r="BC221" s="86" t="b">
        <v>1</v>
      </c>
      <c r="BD221" s="86" t="b">
        <v>0</v>
      </c>
      <c r="BE221" s="86" t="b">
        <v>0</v>
      </c>
      <c r="BF221" s="86" t="b">
        <v>0</v>
      </c>
      <c r="BG221" s="86" t="b">
        <v>0</v>
      </c>
      <c r="BH221" s="96" t="str">
        <f>HYPERLINK("https://pbs.twimg.com/profile_banners/913913937095249921/1609194710")</f>
        <v>https://pbs.twimg.com/profile_banners/913913937095249921/1609194710</v>
      </c>
      <c r="BI221" s="86"/>
      <c r="BJ221" s="86" t="s">
        <v>29134</v>
      </c>
      <c r="BK221" s="86" t="b">
        <v>0</v>
      </c>
      <c r="BL221" s="86"/>
      <c r="BM221" s="86" t="s">
        <v>66</v>
      </c>
      <c r="BN221" s="86" t="s">
        <v>29136</v>
      </c>
      <c r="BO221" s="96" t="str">
        <f>HYPERLINK("https://twitter.com/marciof44736695")</f>
        <v>https://twitter.com/marciof44736695</v>
      </c>
      <c r="BP221" s="2"/>
    </row>
    <row r="222" spans="1:68" x14ac:dyDescent="0.25">
      <c r="A222" s="63" t="s">
        <v>419</v>
      </c>
      <c r="B222" s="64"/>
      <c r="C222" s="64"/>
      <c r="D222" s="65"/>
      <c r="E222" s="67"/>
      <c r="F222" s="111" t="str">
        <f>HYPERLINK("https://pbs.twimg.com/profile_images/1674262729287258114/agH1rqju_normal.jpg")</f>
        <v>https://pbs.twimg.com/profile_images/1674262729287258114/agH1rqju_normal.jpg</v>
      </c>
      <c r="G222" s="64"/>
      <c r="H222" s="68"/>
      <c r="I222" s="69"/>
      <c r="J222" s="69"/>
      <c r="K222" s="68" t="s">
        <v>29355</v>
      </c>
      <c r="L222" s="72"/>
      <c r="M222" s="73"/>
      <c r="N222" s="73"/>
      <c r="O222" s="74"/>
      <c r="P222" s="75"/>
      <c r="Q222" s="75"/>
      <c r="R222" s="102"/>
      <c r="S222" s="102"/>
      <c r="T222" s="102"/>
      <c r="U222" s="102"/>
      <c r="V222" s="48"/>
      <c r="W222" s="48"/>
      <c r="X222" s="48"/>
      <c r="Y222" s="48"/>
      <c r="Z222" s="47"/>
      <c r="AA222" s="70">
        <v>222</v>
      </c>
      <c r="AB222" s="70"/>
      <c r="AC222" s="71"/>
      <c r="AD222" s="86" t="s">
        <v>23860</v>
      </c>
      <c r="AE222" s="94" t="s">
        <v>22908</v>
      </c>
      <c r="AF222" s="86">
        <v>106</v>
      </c>
      <c r="AG222" s="86">
        <v>459</v>
      </c>
      <c r="AH222" s="86">
        <v>849</v>
      </c>
      <c r="AI222" s="86">
        <v>2</v>
      </c>
      <c r="AJ222" s="86">
        <v>249</v>
      </c>
      <c r="AK222" s="86">
        <v>81</v>
      </c>
      <c r="AL222" s="86" t="b">
        <v>0</v>
      </c>
      <c r="AM222" s="89">
        <v>42475.934444444443</v>
      </c>
      <c r="AN222" s="86" t="s">
        <v>15234</v>
      </c>
      <c r="AO222" s="86" t="s">
        <v>26621</v>
      </c>
      <c r="AP222" s="96" t="str">
        <f>HYPERLINK("https://t.co/ahhkXg5FZP")</f>
        <v>https://t.co/ahhkXg5FZP</v>
      </c>
      <c r="AQ222" s="96" t="str">
        <f>HYPERLINK("https://www.youtube.com/channel/UCOL3D0P70ka-pol5w7XP7Ow/")</f>
        <v>https://www.youtube.com/channel/UCOL3D0P70ka-pol5w7XP7Ow/</v>
      </c>
      <c r="AR222" s="86" t="s">
        <v>28051</v>
      </c>
      <c r="AS222" s="86"/>
      <c r="AT222" s="86"/>
      <c r="AU222" s="86"/>
      <c r="AV222" s="86">
        <v>8.3328307118093504E+17</v>
      </c>
      <c r="AW222" s="96" t="str">
        <f>HYPERLINK("https://t.co/ahhkXg5FZP")</f>
        <v>https://t.co/ahhkXg5FZP</v>
      </c>
      <c r="AX222" s="86" t="b">
        <v>0</v>
      </c>
      <c r="AY222" s="86"/>
      <c r="AZ222" s="86"/>
      <c r="BA222" s="86" t="b">
        <v>1</v>
      </c>
      <c r="BB222" s="86" t="b">
        <v>1</v>
      </c>
      <c r="BC222" s="86" t="b">
        <v>0</v>
      </c>
      <c r="BD222" s="86" t="b">
        <v>0</v>
      </c>
      <c r="BE222" s="86" t="b">
        <v>1</v>
      </c>
      <c r="BF222" s="86" t="b">
        <v>0</v>
      </c>
      <c r="BG222" s="86" t="b">
        <v>0</v>
      </c>
      <c r="BH222" s="96" t="str">
        <f>HYPERLINK("https://pbs.twimg.com/profile_banners/721102197770035200/1634700934")</f>
        <v>https://pbs.twimg.com/profile_banners/721102197770035200/1634700934</v>
      </c>
      <c r="BI222" s="86"/>
      <c r="BJ222" s="86" t="s">
        <v>29134</v>
      </c>
      <c r="BK222" s="86" t="b">
        <v>0</v>
      </c>
      <c r="BL222" s="86"/>
      <c r="BM222" s="86" t="s">
        <v>66</v>
      </c>
      <c r="BN222" s="86" t="s">
        <v>29136</v>
      </c>
      <c r="BO222" s="96" t="str">
        <f>HYPERLINK("https://twitter.com/daniel1995rj")</f>
        <v>https://twitter.com/daniel1995rj</v>
      </c>
      <c r="BP222" s="2"/>
    </row>
    <row r="223" spans="1:68" x14ac:dyDescent="0.25">
      <c r="A223" s="63" t="s">
        <v>420</v>
      </c>
      <c r="B223" s="64"/>
      <c r="C223" s="64"/>
      <c r="D223" s="65"/>
      <c r="E223" s="67"/>
      <c r="F223" s="111" t="str">
        <f>HYPERLINK("https://pbs.twimg.com/profile_images/1266581717185372160/UtMGINOF_normal.jpg")</f>
        <v>https://pbs.twimg.com/profile_images/1266581717185372160/UtMGINOF_normal.jpg</v>
      </c>
      <c r="G223" s="64"/>
      <c r="H223" s="68"/>
      <c r="I223" s="69"/>
      <c r="J223" s="69"/>
      <c r="K223" s="68" t="s">
        <v>29356</v>
      </c>
      <c r="L223" s="72"/>
      <c r="M223" s="73"/>
      <c r="N223" s="73"/>
      <c r="O223" s="74"/>
      <c r="P223" s="75"/>
      <c r="Q223" s="75"/>
      <c r="R223" s="102"/>
      <c r="S223" s="102"/>
      <c r="T223" s="102"/>
      <c r="U223" s="102"/>
      <c r="V223" s="48"/>
      <c r="W223" s="48"/>
      <c r="X223" s="48"/>
      <c r="Y223" s="48"/>
      <c r="Z223" s="47"/>
      <c r="AA223" s="70">
        <v>223</v>
      </c>
      <c r="AB223" s="70"/>
      <c r="AC223" s="71"/>
      <c r="AD223" s="86" t="s">
        <v>23861</v>
      </c>
      <c r="AE223" s="94" t="s">
        <v>25300</v>
      </c>
      <c r="AF223" s="86">
        <v>2924</v>
      </c>
      <c r="AG223" s="86">
        <v>4632</v>
      </c>
      <c r="AH223" s="86">
        <v>121929</v>
      </c>
      <c r="AI223" s="86">
        <v>0</v>
      </c>
      <c r="AJ223" s="86">
        <v>94009</v>
      </c>
      <c r="AK223" s="86">
        <v>21099</v>
      </c>
      <c r="AL223" s="86" t="b">
        <v>0</v>
      </c>
      <c r="AM223" s="89">
        <v>40958.071458333332</v>
      </c>
      <c r="AN223" s="86" t="s">
        <v>15283</v>
      </c>
      <c r="AO223" s="86" t="s">
        <v>26622</v>
      </c>
      <c r="AP223" s="86"/>
      <c r="AQ223" s="86"/>
      <c r="AR223" s="86"/>
      <c r="AS223" s="86"/>
      <c r="AT223" s="86"/>
      <c r="AU223" s="86"/>
      <c r="AV223" s="86"/>
      <c r="AW223" s="86"/>
      <c r="AX223" s="86" t="b">
        <v>0</v>
      </c>
      <c r="AY223" s="86"/>
      <c r="AZ223" s="86"/>
      <c r="BA223" s="86" t="b">
        <v>0</v>
      </c>
      <c r="BB223" s="86" t="b">
        <v>1</v>
      </c>
      <c r="BC223" s="86" t="b">
        <v>1</v>
      </c>
      <c r="BD223" s="86" t="b">
        <v>0</v>
      </c>
      <c r="BE223" s="86" t="b">
        <v>1</v>
      </c>
      <c r="BF223" s="86" t="b">
        <v>0</v>
      </c>
      <c r="BG223" s="86" t="b">
        <v>0</v>
      </c>
      <c r="BH223" s="96" t="str">
        <f>HYPERLINK("https://pbs.twimg.com/profile_banners/496514998/1594694688")</f>
        <v>https://pbs.twimg.com/profile_banners/496514998/1594694688</v>
      </c>
      <c r="BI223" s="86"/>
      <c r="BJ223" s="86" t="s">
        <v>29134</v>
      </c>
      <c r="BK223" s="86" t="b">
        <v>0</v>
      </c>
      <c r="BL223" s="86"/>
      <c r="BM223" s="86" t="s">
        <v>66</v>
      </c>
      <c r="BN223" s="86" t="s">
        <v>29136</v>
      </c>
      <c r="BO223" s="96" t="str">
        <f>HYPERLINK("https://twitter.com/jocacamargo2020")</f>
        <v>https://twitter.com/jocacamargo2020</v>
      </c>
      <c r="BP223" s="2"/>
    </row>
    <row r="224" spans="1:68" x14ac:dyDescent="0.25">
      <c r="A224" s="63" t="s">
        <v>421</v>
      </c>
      <c r="B224" s="64"/>
      <c r="C224" s="64"/>
      <c r="D224" s="65"/>
      <c r="E224" s="67"/>
      <c r="F224" s="111" t="str">
        <f>HYPERLINK("https://pbs.twimg.com/profile_images/1410476840129482756/VWoCzd-C_normal.jpg")</f>
        <v>https://pbs.twimg.com/profile_images/1410476840129482756/VWoCzd-C_normal.jpg</v>
      </c>
      <c r="G224" s="64"/>
      <c r="H224" s="68"/>
      <c r="I224" s="69"/>
      <c r="J224" s="69"/>
      <c r="K224" s="68" t="s">
        <v>29357</v>
      </c>
      <c r="L224" s="72"/>
      <c r="M224" s="73"/>
      <c r="N224" s="73"/>
      <c r="O224" s="74"/>
      <c r="P224" s="75"/>
      <c r="Q224" s="75"/>
      <c r="R224" s="102"/>
      <c r="S224" s="102"/>
      <c r="T224" s="102"/>
      <c r="U224" s="102"/>
      <c r="V224" s="48"/>
      <c r="W224" s="48"/>
      <c r="X224" s="48"/>
      <c r="Y224" s="48"/>
      <c r="Z224" s="47"/>
      <c r="AA224" s="70">
        <v>224</v>
      </c>
      <c r="AB224" s="70"/>
      <c r="AC224" s="71"/>
      <c r="AD224" s="86" t="s">
        <v>23862</v>
      </c>
      <c r="AE224" s="94" t="s">
        <v>25301</v>
      </c>
      <c r="AF224" s="86">
        <v>2837</v>
      </c>
      <c r="AG224" s="86">
        <v>1705</v>
      </c>
      <c r="AH224" s="86">
        <v>5767</v>
      </c>
      <c r="AI224" s="86">
        <v>92</v>
      </c>
      <c r="AJ224" s="86">
        <v>1516</v>
      </c>
      <c r="AK224" s="86">
        <v>2392</v>
      </c>
      <c r="AL224" s="86" t="b">
        <v>0</v>
      </c>
      <c r="AM224" s="89">
        <v>42193.028078703705</v>
      </c>
      <c r="AN224" s="86" t="s">
        <v>25960</v>
      </c>
      <c r="AO224" s="86" t="s">
        <v>26623</v>
      </c>
      <c r="AP224" s="96" t="str">
        <f>HYPERLINK("https://t.co/kt4YFt0X9u")</f>
        <v>https://t.co/kt4YFt0X9u</v>
      </c>
      <c r="AQ224" s="96" t="str">
        <f>HYPERLINK("http://www.nextracker.com")</f>
        <v>http://www.nextracker.com</v>
      </c>
      <c r="AR224" s="86" t="s">
        <v>28052</v>
      </c>
      <c r="AS224" s="86"/>
      <c r="AT224" s="86"/>
      <c r="AU224" s="86"/>
      <c r="AV224" s="86"/>
      <c r="AW224" s="96" t="str">
        <f>HYPERLINK("https://t.co/kt4YFt0X9u")</f>
        <v>https://t.co/kt4YFt0X9u</v>
      </c>
      <c r="AX224" s="86" t="b">
        <v>0</v>
      </c>
      <c r="AY224" s="86"/>
      <c r="AZ224" s="86"/>
      <c r="BA224" s="86" t="b">
        <v>0</v>
      </c>
      <c r="BB224" s="86" t="b">
        <v>1</v>
      </c>
      <c r="BC224" s="86" t="b">
        <v>0</v>
      </c>
      <c r="BD224" s="86" t="b">
        <v>0</v>
      </c>
      <c r="BE224" s="86" t="b">
        <v>1</v>
      </c>
      <c r="BF224" s="86" t="b">
        <v>0</v>
      </c>
      <c r="BG224" s="86" t="b">
        <v>0</v>
      </c>
      <c r="BH224" s="96" t="str">
        <f>HYPERLINK("https://pbs.twimg.com/profile_banners/3365123086/1675919858")</f>
        <v>https://pbs.twimg.com/profile_banners/3365123086/1675919858</v>
      </c>
      <c r="BI224" s="86"/>
      <c r="BJ224" s="86" t="s">
        <v>29134</v>
      </c>
      <c r="BK224" s="86" t="b">
        <v>0</v>
      </c>
      <c r="BL224" s="86"/>
      <c r="BM224" s="86" t="s">
        <v>66</v>
      </c>
      <c r="BN224" s="86" t="s">
        <v>29136</v>
      </c>
      <c r="BO224" s="96" t="str">
        <f>HYPERLINK("https://twitter.com/nextracker")</f>
        <v>https://twitter.com/nextracker</v>
      </c>
      <c r="BP224" s="2"/>
    </row>
    <row r="225" spans="1:68" x14ac:dyDescent="0.25">
      <c r="A225" s="63" t="s">
        <v>422</v>
      </c>
      <c r="B225" s="64"/>
      <c r="C225" s="64"/>
      <c r="D225" s="65"/>
      <c r="E225" s="67"/>
      <c r="F225" s="111" t="str">
        <f>HYPERLINK("https://pbs.twimg.com/profile_images/1655690071318704128/cqLRMk7u_normal.jpg")</f>
        <v>https://pbs.twimg.com/profile_images/1655690071318704128/cqLRMk7u_normal.jpg</v>
      </c>
      <c r="G225" s="64"/>
      <c r="H225" s="68"/>
      <c r="I225" s="69"/>
      <c r="J225" s="69"/>
      <c r="K225" s="68" t="s">
        <v>29358</v>
      </c>
      <c r="L225" s="72"/>
      <c r="M225" s="73"/>
      <c r="N225" s="73"/>
      <c r="O225" s="74"/>
      <c r="P225" s="75"/>
      <c r="Q225" s="75"/>
      <c r="R225" s="102"/>
      <c r="S225" s="102"/>
      <c r="T225" s="102"/>
      <c r="U225" s="102"/>
      <c r="V225" s="48"/>
      <c r="W225" s="48"/>
      <c r="X225" s="48"/>
      <c r="Y225" s="48"/>
      <c r="Z225" s="47"/>
      <c r="AA225" s="70">
        <v>225</v>
      </c>
      <c r="AB225" s="70"/>
      <c r="AC225" s="71"/>
      <c r="AD225" s="86" t="s">
        <v>23863</v>
      </c>
      <c r="AE225" s="94" t="s">
        <v>25302</v>
      </c>
      <c r="AF225" s="86">
        <v>1411</v>
      </c>
      <c r="AG225" s="86">
        <v>1302</v>
      </c>
      <c r="AH225" s="86">
        <v>50928</v>
      </c>
      <c r="AI225" s="86">
        <v>2</v>
      </c>
      <c r="AJ225" s="86">
        <v>34426</v>
      </c>
      <c r="AK225" s="86">
        <v>1135</v>
      </c>
      <c r="AL225" s="86" t="b">
        <v>0</v>
      </c>
      <c r="AM225" s="89">
        <v>41100.814085648148</v>
      </c>
      <c r="AN225" s="86" t="s">
        <v>25918</v>
      </c>
      <c r="AO225" s="86" t="s">
        <v>26624</v>
      </c>
      <c r="AP225" s="96" t="str">
        <f>HYPERLINK("https://t.co/or9pGxJYAX")</f>
        <v>https://t.co/or9pGxJYAX</v>
      </c>
      <c r="AQ225" s="96" t="str">
        <f>HYPERLINK("http://naocontemporaneo.blogspot.com.br/")</f>
        <v>http://naocontemporaneo.blogspot.com.br/</v>
      </c>
      <c r="AR225" s="86" t="s">
        <v>28053</v>
      </c>
      <c r="AS225" s="86"/>
      <c r="AT225" s="86"/>
      <c r="AU225" s="86"/>
      <c r="AV225" s="86">
        <v>1.4201808700828401E+18</v>
      </c>
      <c r="AW225" s="96" t="str">
        <f>HYPERLINK("https://t.co/or9pGxJYAX")</f>
        <v>https://t.co/or9pGxJYAX</v>
      </c>
      <c r="AX225" s="86" t="b">
        <v>0</v>
      </c>
      <c r="AY225" s="86"/>
      <c r="AZ225" s="86"/>
      <c r="BA225" s="86" t="b">
        <v>1</v>
      </c>
      <c r="BB225" s="86" t="b">
        <v>0</v>
      </c>
      <c r="BC225" s="86" t="b">
        <v>0</v>
      </c>
      <c r="BD225" s="86" t="b">
        <v>0</v>
      </c>
      <c r="BE225" s="86" t="b">
        <v>1</v>
      </c>
      <c r="BF225" s="86" t="b">
        <v>0</v>
      </c>
      <c r="BG225" s="86" t="b">
        <v>0</v>
      </c>
      <c r="BH225" s="96" t="str">
        <f>HYPERLINK("https://pbs.twimg.com/profile_banners/632248784/1688514698")</f>
        <v>https://pbs.twimg.com/profile_banners/632248784/1688514698</v>
      </c>
      <c r="BI225" s="86"/>
      <c r="BJ225" s="86" t="s">
        <v>29134</v>
      </c>
      <c r="BK225" s="86" t="b">
        <v>0</v>
      </c>
      <c r="BL225" s="86"/>
      <c r="BM225" s="86" t="s">
        <v>66</v>
      </c>
      <c r="BN225" s="86" t="s">
        <v>29136</v>
      </c>
      <c r="BO225" s="96" t="str">
        <f>HYPERLINK("https://twitter.com/onlyisba")</f>
        <v>https://twitter.com/onlyisba</v>
      </c>
      <c r="BP225" s="2"/>
    </row>
    <row r="226" spans="1:68" x14ac:dyDescent="0.25">
      <c r="A226" s="63" t="s">
        <v>543</v>
      </c>
      <c r="B226" s="64"/>
      <c r="C226" s="64"/>
      <c r="D226" s="65"/>
      <c r="E226" s="67"/>
      <c r="F226" s="111" t="str">
        <f>HYPERLINK("https://pbs.twimg.com/profile_images/1591069055007571968/PYF3n9ir_normal.jpg")</f>
        <v>https://pbs.twimg.com/profile_images/1591069055007571968/PYF3n9ir_normal.jpg</v>
      </c>
      <c r="G226" s="64"/>
      <c r="H226" s="68"/>
      <c r="I226" s="69"/>
      <c r="J226" s="69"/>
      <c r="K226" s="68" t="s">
        <v>29359</v>
      </c>
      <c r="L226" s="72"/>
      <c r="M226" s="73"/>
      <c r="N226" s="73"/>
      <c r="O226" s="74"/>
      <c r="P226" s="75"/>
      <c r="Q226" s="75"/>
      <c r="R226" s="102"/>
      <c r="S226" s="102"/>
      <c r="T226" s="102"/>
      <c r="U226" s="102"/>
      <c r="V226" s="48"/>
      <c r="W226" s="48"/>
      <c r="X226" s="48"/>
      <c r="Y226" s="48"/>
      <c r="Z226" s="47"/>
      <c r="AA226" s="70">
        <v>226</v>
      </c>
      <c r="AB226" s="70"/>
      <c r="AC226" s="71"/>
      <c r="AD226" s="86" t="s">
        <v>23864</v>
      </c>
      <c r="AE226" s="94" t="s">
        <v>22540</v>
      </c>
      <c r="AF226" s="86">
        <v>4542</v>
      </c>
      <c r="AG226" s="86">
        <v>186</v>
      </c>
      <c r="AH226" s="86">
        <v>12616</v>
      </c>
      <c r="AI226" s="86">
        <v>49</v>
      </c>
      <c r="AJ226" s="86">
        <v>313</v>
      </c>
      <c r="AK226" s="86">
        <v>6401</v>
      </c>
      <c r="AL226" s="86" t="b">
        <v>0</v>
      </c>
      <c r="AM226" s="89">
        <v>40008.575995370367</v>
      </c>
      <c r="AN226" s="86"/>
      <c r="AO226" s="86" t="s">
        <v>26625</v>
      </c>
      <c r="AP226" s="96" t="str">
        <f>HYPERLINK("https://t.co/1rPqjv8Ebk")</f>
        <v>https://t.co/1rPqjv8Ebk</v>
      </c>
      <c r="AQ226" s="96" t="str">
        <f>HYPERLINK("http://www.sebraego.com.br")</f>
        <v>http://www.sebraego.com.br</v>
      </c>
      <c r="AR226" s="86" t="s">
        <v>28054</v>
      </c>
      <c r="AS226" s="96" t="str">
        <f>HYPERLINK("https://t.co/ycw8E3QRAL")</f>
        <v>https://t.co/ycw8E3QRAL</v>
      </c>
      <c r="AT226" s="96" t="str">
        <f>HYPERLINK("http://linktr.ee/sebraegoias")</f>
        <v>http://linktr.ee/sebraegoias</v>
      </c>
      <c r="AU226" s="86" t="s">
        <v>29043</v>
      </c>
      <c r="AV226" s="86"/>
      <c r="AW226" s="96" t="str">
        <f>HYPERLINK("https://t.co/1rPqjv8Ebk")</f>
        <v>https://t.co/1rPqjv8Ebk</v>
      </c>
      <c r="AX226" s="86" t="b">
        <v>0</v>
      </c>
      <c r="AY226" s="86"/>
      <c r="AZ226" s="86"/>
      <c r="BA226" s="86" t="b">
        <v>0</v>
      </c>
      <c r="BB226" s="86" t="b">
        <v>1</v>
      </c>
      <c r="BC226" s="86" t="b">
        <v>0</v>
      </c>
      <c r="BD226" s="86" t="b">
        <v>0</v>
      </c>
      <c r="BE226" s="86" t="b">
        <v>1</v>
      </c>
      <c r="BF226" s="86" t="b">
        <v>0</v>
      </c>
      <c r="BG226" s="86" t="b">
        <v>0</v>
      </c>
      <c r="BH226" s="96" t="str">
        <f>HYPERLINK("https://pbs.twimg.com/profile_banners/56697728/1677867567")</f>
        <v>https://pbs.twimg.com/profile_banners/56697728/1677867567</v>
      </c>
      <c r="BI226" s="86"/>
      <c r="BJ226" s="86" t="s">
        <v>29134</v>
      </c>
      <c r="BK226" s="86" t="b">
        <v>0</v>
      </c>
      <c r="BL226" s="86"/>
      <c r="BM226" s="86" t="s">
        <v>66</v>
      </c>
      <c r="BN226" s="86" t="s">
        <v>29136</v>
      </c>
      <c r="BO226" s="96" t="str">
        <f>HYPERLINK("https://twitter.com/sebraegoias")</f>
        <v>https://twitter.com/sebraegoias</v>
      </c>
      <c r="BP226" s="2"/>
    </row>
    <row r="227" spans="1:68" x14ac:dyDescent="0.25">
      <c r="A227" s="63" t="s">
        <v>423</v>
      </c>
      <c r="B227" s="64"/>
      <c r="C227" s="64"/>
      <c r="D227" s="65"/>
      <c r="E227" s="67"/>
      <c r="F227" s="111" t="str">
        <f>HYPERLINK("https://pbs.twimg.com/profile_images/1616677959481589762/Z6dwoho3_normal.jpg")</f>
        <v>https://pbs.twimg.com/profile_images/1616677959481589762/Z6dwoho3_normal.jpg</v>
      </c>
      <c r="G227" s="64"/>
      <c r="H227" s="68"/>
      <c r="I227" s="69"/>
      <c r="J227" s="69"/>
      <c r="K227" s="68" t="s">
        <v>29360</v>
      </c>
      <c r="L227" s="72"/>
      <c r="M227" s="73"/>
      <c r="N227" s="73"/>
      <c r="O227" s="74"/>
      <c r="P227" s="75"/>
      <c r="Q227" s="75"/>
      <c r="R227" s="102"/>
      <c r="S227" s="102"/>
      <c r="T227" s="102"/>
      <c r="U227" s="102"/>
      <c r="V227" s="48"/>
      <c r="W227" s="48"/>
      <c r="X227" s="48"/>
      <c r="Y227" s="48"/>
      <c r="Z227" s="47"/>
      <c r="AA227" s="70">
        <v>227</v>
      </c>
      <c r="AB227" s="70"/>
      <c r="AC227" s="71"/>
      <c r="AD227" s="86" t="s">
        <v>23865</v>
      </c>
      <c r="AE227" s="94" t="s">
        <v>22909</v>
      </c>
      <c r="AF227" s="86">
        <v>2</v>
      </c>
      <c r="AG227" s="86">
        <v>2</v>
      </c>
      <c r="AH227" s="86">
        <v>45</v>
      </c>
      <c r="AI227" s="86">
        <v>0</v>
      </c>
      <c r="AJ227" s="86">
        <v>0</v>
      </c>
      <c r="AK227" s="86">
        <v>45</v>
      </c>
      <c r="AL227" s="86" t="b">
        <v>0</v>
      </c>
      <c r="AM227" s="89">
        <v>44947.251736111109</v>
      </c>
      <c r="AN227" s="86" t="s">
        <v>25961</v>
      </c>
      <c r="AO227" s="86" t="s">
        <v>26626</v>
      </c>
      <c r="AP227" s="96" t="str">
        <f>HYPERLINK("https://t.co/F47JE4idn4")</f>
        <v>https://t.co/F47JE4idn4</v>
      </c>
      <c r="AQ227" s="96" t="str">
        <f>HYPERLINK("http://danieldantas.org/")</f>
        <v>http://danieldantas.org/</v>
      </c>
      <c r="AR227" s="86" t="s">
        <v>28055</v>
      </c>
      <c r="AS227" s="86"/>
      <c r="AT227" s="86"/>
      <c r="AU227" s="86"/>
      <c r="AV227" s="86"/>
      <c r="AW227" s="96" t="str">
        <f>HYPERLINK("https://t.co/F47JE4idn4")</f>
        <v>https://t.co/F47JE4idn4</v>
      </c>
      <c r="AX227" s="86" t="b">
        <v>0</v>
      </c>
      <c r="AY227" s="86"/>
      <c r="AZ227" s="86"/>
      <c r="BA227" s="86" t="b">
        <v>0</v>
      </c>
      <c r="BB227" s="86" t="b">
        <v>1</v>
      </c>
      <c r="BC227" s="86" t="b">
        <v>1</v>
      </c>
      <c r="BD227" s="86" t="b">
        <v>0</v>
      </c>
      <c r="BE227" s="86" t="b">
        <v>0</v>
      </c>
      <c r="BF227" s="86" t="b">
        <v>0</v>
      </c>
      <c r="BG227" s="86" t="b">
        <v>0</v>
      </c>
      <c r="BH227" s="96" t="str">
        <f>HYPERLINK("https://pbs.twimg.com/profile_banners/1616677315270029317/1674281607")</f>
        <v>https://pbs.twimg.com/profile_banners/1616677315270029317/1674281607</v>
      </c>
      <c r="BI227" s="86"/>
      <c r="BJ227" s="86" t="s">
        <v>29134</v>
      </c>
      <c r="BK227" s="86" t="b">
        <v>0</v>
      </c>
      <c r="BL227" s="86"/>
      <c r="BM227" s="86" t="s">
        <v>66</v>
      </c>
      <c r="BN227" s="86" t="s">
        <v>29136</v>
      </c>
      <c r="BO227" s="96" t="str">
        <f>HYPERLINK("https://twitter.com/dantas_daniel_")</f>
        <v>https://twitter.com/dantas_daniel_</v>
      </c>
      <c r="BP227" s="2"/>
    </row>
    <row r="228" spans="1:68" x14ac:dyDescent="0.25">
      <c r="A228" s="63" t="s">
        <v>424</v>
      </c>
      <c r="B228" s="64"/>
      <c r="C228" s="64"/>
      <c r="D228" s="65"/>
      <c r="E228" s="67"/>
      <c r="F228" s="111" t="str">
        <f>HYPERLINK("https://pbs.twimg.com/profile_images/1620431450637045761/-Ph2FzSI_normal.jpg")</f>
        <v>https://pbs.twimg.com/profile_images/1620431450637045761/-Ph2FzSI_normal.jpg</v>
      </c>
      <c r="G228" s="64"/>
      <c r="H228" s="68"/>
      <c r="I228" s="69"/>
      <c r="J228" s="69"/>
      <c r="K228" s="68" t="s">
        <v>29361</v>
      </c>
      <c r="L228" s="72"/>
      <c r="M228" s="73"/>
      <c r="N228" s="73"/>
      <c r="O228" s="74"/>
      <c r="P228" s="75"/>
      <c r="Q228" s="75"/>
      <c r="R228" s="102"/>
      <c r="S228" s="102"/>
      <c r="T228" s="102"/>
      <c r="U228" s="102"/>
      <c r="V228" s="48"/>
      <c r="W228" s="48"/>
      <c r="X228" s="48"/>
      <c r="Y228" s="48"/>
      <c r="Z228" s="47"/>
      <c r="AA228" s="70">
        <v>228</v>
      </c>
      <c r="AB228" s="70"/>
      <c r="AC228" s="71"/>
      <c r="AD228" s="86" t="s">
        <v>23866</v>
      </c>
      <c r="AE228" s="94" t="s">
        <v>22910</v>
      </c>
      <c r="AF228" s="86">
        <v>256</v>
      </c>
      <c r="AG228" s="86">
        <v>237</v>
      </c>
      <c r="AH228" s="86">
        <v>125</v>
      </c>
      <c r="AI228" s="86">
        <v>1</v>
      </c>
      <c r="AJ228" s="86">
        <v>56</v>
      </c>
      <c r="AK228" s="86">
        <v>19</v>
      </c>
      <c r="AL228" s="86" t="b">
        <v>0</v>
      </c>
      <c r="AM228" s="89">
        <v>44886.555462962962</v>
      </c>
      <c r="AN228" s="86" t="s">
        <v>25962</v>
      </c>
      <c r="AO228" s="86" t="s">
        <v>26627</v>
      </c>
      <c r="AP228" s="86"/>
      <c r="AQ228" s="86"/>
      <c r="AR228" s="86"/>
      <c r="AS228" s="86"/>
      <c r="AT228" s="86"/>
      <c r="AU228" s="86"/>
      <c r="AV228" s="86"/>
      <c r="AW228" s="86"/>
      <c r="AX228" s="86" t="b">
        <v>0</v>
      </c>
      <c r="AY228" s="86"/>
      <c r="AZ228" s="86"/>
      <c r="BA228" s="86" t="b">
        <v>1</v>
      </c>
      <c r="BB228" s="86" t="b">
        <v>1</v>
      </c>
      <c r="BC228" s="86" t="b">
        <v>1</v>
      </c>
      <c r="BD228" s="86" t="b">
        <v>0</v>
      </c>
      <c r="BE228" s="86" t="b">
        <v>0</v>
      </c>
      <c r="BF228" s="86" t="b">
        <v>0</v>
      </c>
      <c r="BG228" s="86" t="b">
        <v>0</v>
      </c>
      <c r="BH228" s="86"/>
      <c r="BI228" s="86"/>
      <c r="BJ228" s="86" t="s">
        <v>29134</v>
      </c>
      <c r="BK228" s="86" t="b">
        <v>0</v>
      </c>
      <c r="BL228" s="86"/>
      <c r="BM228" s="86" t="s">
        <v>66</v>
      </c>
      <c r="BN228" s="86" t="s">
        <v>29136</v>
      </c>
      <c r="BO228" s="96" t="str">
        <f>HYPERLINK("https://twitter.com/delbraspar")</f>
        <v>https://twitter.com/delbraspar</v>
      </c>
      <c r="BP228" s="2"/>
    </row>
    <row r="229" spans="1:68" x14ac:dyDescent="0.25">
      <c r="A229" s="63" t="s">
        <v>425</v>
      </c>
      <c r="B229" s="64"/>
      <c r="C229" s="64"/>
      <c r="D229" s="65"/>
      <c r="E229" s="67"/>
      <c r="F229" s="111" t="str">
        <f>HYPERLINK("https://pbs.twimg.com/profile_images/1199702122994028544/NHUX6sMw_normal.jpg")</f>
        <v>https://pbs.twimg.com/profile_images/1199702122994028544/NHUX6sMw_normal.jpg</v>
      </c>
      <c r="G229" s="64"/>
      <c r="H229" s="68"/>
      <c r="I229" s="69"/>
      <c r="J229" s="69"/>
      <c r="K229" s="68" t="s">
        <v>29362</v>
      </c>
      <c r="L229" s="72"/>
      <c r="M229" s="73"/>
      <c r="N229" s="73"/>
      <c r="O229" s="74"/>
      <c r="P229" s="75"/>
      <c r="Q229" s="75"/>
      <c r="R229" s="102"/>
      <c r="S229" s="102"/>
      <c r="T229" s="102"/>
      <c r="U229" s="102"/>
      <c r="V229" s="48"/>
      <c r="W229" s="48"/>
      <c r="X229" s="48"/>
      <c r="Y229" s="48"/>
      <c r="Z229" s="47"/>
      <c r="AA229" s="70">
        <v>229</v>
      </c>
      <c r="AB229" s="70"/>
      <c r="AC229" s="71"/>
      <c r="AD229" s="86" t="s">
        <v>23867</v>
      </c>
      <c r="AE229" s="94" t="s">
        <v>22911</v>
      </c>
      <c r="AF229" s="86">
        <v>106</v>
      </c>
      <c r="AG229" s="86">
        <v>421</v>
      </c>
      <c r="AH229" s="86">
        <v>1959</v>
      </c>
      <c r="AI229" s="86">
        <v>0</v>
      </c>
      <c r="AJ229" s="86">
        <v>658</v>
      </c>
      <c r="AK229" s="86">
        <v>65</v>
      </c>
      <c r="AL229" s="86" t="b">
        <v>0</v>
      </c>
      <c r="AM229" s="89">
        <v>43578.297465277778</v>
      </c>
      <c r="AN229" s="86"/>
      <c r="AO229" s="86" t="s">
        <v>26628</v>
      </c>
      <c r="AP229" s="86"/>
      <c r="AQ229" s="86"/>
      <c r="AR229" s="86"/>
      <c r="AS229" s="86"/>
      <c r="AT229" s="86"/>
      <c r="AU229" s="86"/>
      <c r="AV229" s="86">
        <v>1.5708624999223301E+18</v>
      </c>
      <c r="AW229" s="86"/>
      <c r="AX229" s="86" t="b">
        <v>0</v>
      </c>
      <c r="AY229" s="86"/>
      <c r="AZ229" s="86"/>
      <c r="BA229" s="86" t="b">
        <v>1</v>
      </c>
      <c r="BB229" s="86" t="b">
        <v>1</v>
      </c>
      <c r="BC229" s="86" t="b">
        <v>1</v>
      </c>
      <c r="BD229" s="86" t="b">
        <v>0</v>
      </c>
      <c r="BE229" s="86" t="b">
        <v>0</v>
      </c>
      <c r="BF229" s="86" t="b">
        <v>0</v>
      </c>
      <c r="BG229" s="86" t="b">
        <v>0</v>
      </c>
      <c r="BH229" s="96" t="str">
        <f>HYPERLINK("https://pbs.twimg.com/profile_banners/1120585182258630656/1556004842")</f>
        <v>https://pbs.twimg.com/profile_banners/1120585182258630656/1556004842</v>
      </c>
      <c r="BI229" s="86"/>
      <c r="BJ229" s="86" t="s">
        <v>29134</v>
      </c>
      <c r="BK229" s="86" t="b">
        <v>0</v>
      </c>
      <c r="BL229" s="86"/>
      <c r="BM229" s="86" t="s">
        <v>66</v>
      </c>
      <c r="BN229" s="86" t="s">
        <v>29136</v>
      </c>
      <c r="BO229" s="96" t="str">
        <f>HYPERLINK("https://twitter.com/chupp_bayyy")</f>
        <v>https://twitter.com/chupp_bayyy</v>
      </c>
      <c r="BP229" s="2"/>
    </row>
    <row r="230" spans="1:68" x14ac:dyDescent="0.25">
      <c r="A230" s="63" t="s">
        <v>524</v>
      </c>
      <c r="B230" s="64"/>
      <c r="C230" s="64"/>
      <c r="D230" s="65"/>
      <c r="E230" s="67"/>
      <c r="F230" s="111" t="str">
        <f>HYPERLINK("https://pbs.twimg.com/profile_images/1700835494337359872/wJEuxWlI_normal.jpg")</f>
        <v>https://pbs.twimg.com/profile_images/1700835494337359872/wJEuxWlI_normal.jpg</v>
      </c>
      <c r="G230" s="64"/>
      <c r="H230" s="68"/>
      <c r="I230" s="69"/>
      <c r="J230" s="69"/>
      <c r="K230" s="68" t="s">
        <v>29363</v>
      </c>
      <c r="L230" s="72"/>
      <c r="M230" s="73"/>
      <c r="N230" s="73"/>
      <c r="O230" s="74"/>
      <c r="P230" s="75"/>
      <c r="Q230" s="75"/>
      <c r="R230" s="102"/>
      <c r="S230" s="102"/>
      <c r="T230" s="102"/>
      <c r="U230" s="102"/>
      <c r="V230" s="48"/>
      <c r="W230" s="48"/>
      <c r="X230" s="48"/>
      <c r="Y230" s="48"/>
      <c r="Z230" s="47"/>
      <c r="AA230" s="70">
        <v>230</v>
      </c>
      <c r="AB230" s="70"/>
      <c r="AC230" s="71"/>
      <c r="AD230" s="86" t="s">
        <v>23868</v>
      </c>
      <c r="AE230" s="94" t="s">
        <v>22539</v>
      </c>
      <c r="AF230" s="86">
        <v>11</v>
      </c>
      <c r="AG230" s="86">
        <v>3</v>
      </c>
      <c r="AH230" s="86">
        <v>25</v>
      </c>
      <c r="AI230" s="86">
        <v>0</v>
      </c>
      <c r="AJ230" s="86">
        <v>0</v>
      </c>
      <c r="AK230" s="86">
        <v>23</v>
      </c>
      <c r="AL230" s="86" t="b">
        <v>0</v>
      </c>
      <c r="AM230" s="89">
        <v>45179.483032407406</v>
      </c>
      <c r="AN230" s="86" t="s">
        <v>25963</v>
      </c>
      <c r="AO230" s="86" t="s">
        <v>26629</v>
      </c>
      <c r="AP230" s="96" t="str">
        <f>HYPERLINK("https://t.co/LRy08j9pcu")</f>
        <v>https://t.co/LRy08j9pcu</v>
      </c>
      <c r="AQ230" s="96" t="str">
        <f>HYPERLINK("https://www.spaceappschallenge.org")</f>
        <v>https://www.spaceappschallenge.org</v>
      </c>
      <c r="AR230" s="86" t="s">
        <v>28056</v>
      </c>
      <c r="AS230" s="86"/>
      <c r="AT230" s="86"/>
      <c r="AU230" s="86"/>
      <c r="AV230" s="86"/>
      <c r="AW230" s="96" t="str">
        <f>HYPERLINK("https://t.co/LRy08j9pcu")</f>
        <v>https://t.co/LRy08j9pcu</v>
      </c>
      <c r="AX230" s="86" t="b">
        <v>0</v>
      </c>
      <c r="AY230" s="86"/>
      <c r="AZ230" s="86"/>
      <c r="BA230" s="86" t="b">
        <v>0</v>
      </c>
      <c r="BB230" s="86" t="b">
        <v>1</v>
      </c>
      <c r="BC230" s="86" t="b">
        <v>1</v>
      </c>
      <c r="BD230" s="86" t="b">
        <v>0</v>
      </c>
      <c r="BE230" s="86" t="b">
        <v>0</v>
      </c>
      <c r="BF230" s="86" t="b">
        <v>0</v>
      </c>
      <c r="BG230" s="86" t="b">
        <v>0</v>
      </c>
      <c r="BH230" s="96" t="str">
        <f>HYPERLINK("https://pbs.twimg.com/profile_banners/1700835341530451968/1694346315")</f>
        <v>https://pbs.twimg.com/profile_banners/1700835341530451968/1694346315</v>
      </c>
      <c r="BI230" s="86"/>
      <c r="BJ230" s="86" t="s">
        <v>29134</v>
      </c>
      <c r="BK230" s="86" t="b">
        <v>0</v>
      </c>
      <c r="BL230" s="86"/>
      <c r="BM230" s="86" t="s">
        <v>66</v>
      </c>
      <c r="BN230" s="86" t="s">
        <v>29136</v>
      </c>
      <c r="BO230" s="96" t="str">
        <f>HYPERLINK("https://twitter.com/spaceapps_khi")</f>
        <v>https://twitter.com/spaceapps_khi</v>
      </c>
      <c r="BP230" s="2"/>
    </row>
    <row r="231" spans="1:68" x14ac:dyDescent="0.25">
      <c r="A231" s="63" t="s">
        <v>426</v>
      </c>
      <c r="B231" s="64"/>
      <c r="C231" s="64"/>
      <c r="D231" s="65"/>
      <c r="E231" s="67"/>
      <c r="F231" s="111" t="str">
        <f>HYPERLINK("https://pbs.twimg.com/profile_images/1674837685888856064/xdw55jIY_normal.jpg")</f>
        <v>https://pbs.twimg.com/profile_images/1674837685888856064/xdw55jIY_normal.jpg</v>
      </c>
      <c r="G231" s="64"/>
      <c r="H231" s="68"/>
      <c r="I231" s="69"/>
      <c r="J231" s="69"/>
      <c r="K231" s="68" t="s">
        <v>29364</v>
      </c>
      <c r="L231" s="72"/>
      <c r="M231" s="73"/>
      <c r="N231" s="73"/>
      <c r="O231" s="74"/>
      <c r="P231" s="75"/>
      <c r="Q231" s="75"/>
      <c r="R231" s="102"/>
      <c r="S231" s="102"/>
      <c r="T231" s="102"/>
      <c r="U231" s="102"/>
      <c r="V231" s="48"/>
      <c r="W231" s="48"/>
      <c r="X231" s="48"/>
      <c r="Y231" s="48"/>
      <c r="Z231" s="47"/>
      <c r="AA231" s="70">
        <v>231</v>
      </c>
      <c r="AB231" s="70"/>
      <c r="AC231" s="71"/>
      <c r="AD231" s="86" t="s">
        <v>23869</v>
      </c>
      <c r="AE231" s="94" t="s">
        <v>22912</v>
      </c>
      <c r="AF231" s="86">
        <v>1</v>
      </c>
      <c r="AG231" s="86">
        <v>1</v>
      </c>
      <c r="AH231" s="86">
        <v>55</v>
      </c>
      <c r="AI231" s="86">
        <v>0</v>
      </c>
      <c r="AJ231" s="86">
        <v>6</v>
      </c>
      <c r="AK231" s="86">
        <v>42</v>
      </c>
      <c r="AL231" s="86" t="b">
        <v>0</v>
      </c>
      <c r="AM231" s="89">
        <v>45105.746770833335</v>
      </c>
      <c r="AN231" s="86" t="s">
        <v>15234</v>
      </c>
      <c r="AO231" s="86" t="s">
        <v>26630</v>
      </c>
      <c r="AP231" s="86"/>
      <c r="AQ231" s="86"/>
      <c r="AR231" s="86"/>
      <c r="AS231" s="86"/>
      <c r="AT231" s="86"/>
      <c r="AU231" s="86"/>
      <c r="AV231" s="86"/>
      <c r="AW231" s="86"/>
      <c r="AX231" s="86" t="b">
        <v>0</v>
      </c>
      <c r="AY231" s="86"/>
      <c r="AZ231" s="86"/>
      <c r="BA231" s="86" t="b">
        <v>0</v>
      </c>
      <c r="BB231" s="86" t="b">
        <v>1</v>
      </c>
      <c r="BC231" s="86" t="b">
        <v>1</v>
      </c>
      <c r="BD231" s="86" t="b">
        <v>0</v>
      </c>
      <c r="BE231" s="86" t="b">
        <v>0</v>
      </c>
      <c r="BF231" s="86" t="b">
        <v>0</v>
      </c>
      <c r="BG231" s="86" t="b">
        <v>0</v>
      </c>
      <c r="BH231" s="96" t="str">
        <f>HYPERLINK("https://pbs.twimg.com/profile_banners/1674114090111754264/1688147443")</f>
        <v>https://pbs.twimg.com/profile_banners/1674114090111754264/1688147443</v>
      </c>
      <c r="BI231" s="86"/>
      <c r="BJ231" s="86" t="s">
        <v>29134</v>
      </c>
      <c r="BK231" s="86" t="b">
        <v>0</v>
      </c>
      <c r="BL231" s="86"/>
      <c r="BM231" s="86" t="s">
        <v>66</v>
      </c>
      <c r="BN231" s="86" t="s">
        <v>29136</v>
      </c>
      <c r="BO231" s="96" t="str">
        <f>HYPERLINK("https://twitter.com/buzzbytebr")</f>
        <v>https://twitter.com/buzzbytebr</v>
      </c>
      <c r="BP231" s="2"/>
    </row>
    <row r="232" spans="1:68" x14ac:dyDescent="0.25">
      <c r="A232" s="63" t="s">
        <v>427</v>
      </c>
      <c r="B232" s="64"/>
      <c r="C232" s="64"/>
      <c r="D232" s="65"/>
      <c r="E232" s="67"/>
      <c r="F232" s="111" t="str">
        <f>HYPERLINK("https://pbs.twimg.com/profile_images/1276150299560992770/f8LsoPYA_normal.jpg")</f>
        <v>https://pbs.twimg.com/profile_images/1276150299560992770/f8LsoPYA_normal.jpg</v>
      </c>
      <c r="G232" s="64"/>
      <c r="H232" s="68"/>
      <c r="I232" s="69"/>
      <c r="J232" s="69"/>
      <c r="K232" s="68" t="s">
        <v>29365</v>
      </c>
      <c r="L232" s="72"/>
      <c r="M232" s="73"/>
      <c r="N232" s="73"/>
      <c r="O232" s="74"/>
      <c r="P232" s="75"/>
      <c r="Q232" s="75"/>
      <c r="R232" s="102"/>
      <c r="S232" s="102"/>
      <c r="T232" s="102"/>
      <c r="U232" s="102"/>
      <c r="V232" s="48"/>
      <c r="W232" s="48"/>
      <c r="X232" s="48"/>
      <c r="Y232" s="48"/>
      <c r="Z232" s="47"/>
      <c r="AA232" s="70">
        <v>232</v>
      </c>
      <c r="AB232" s="70"/>
      <c r="AC232" s="71"/>
      <c r="AD232" s="86" t="s">
        <v>23870</v>
      </c>
      <c r="AE232" s="94" t="s">
        <v>22913</v>
      </c>
      <c r="AF232" s="86">
        <v>58</v>
      </c>
      <c r="AG232" s="86">
        <v>4</v>
      </c>
      <c r="AH232" s="86">
        <v>904</v>
      </c>
      <c r="AI232" s="86">
        <v>4</v>
      </c>
      <c r="AJ232" s="86">
        <v>3</v>
      </c>
      <c r="AK232" s="86">
        <v>893</v>
      </c>
      <c r="AL232" s="86" t="b">
        <v>0</v>
      </c>
      <c r="AM232" s="89">
        <v>43152.878703703704</v>
      </c>
      <c r="AN232" s="86"/>
      <c r="AO232" s="86" t="s">
        <v>26631</v>
      </c>
      <c r="AP232" s="96" t="str">
        <f>HYPERLINK("https://t.co/fMRDv0Jekv")</f>
        <v>https://t.co/fMRDv0Jekv</v>
      </c>
      <c r="AQ232" s="96" t="str">
        <f>HYPERLINK("https://www.williamhunt.com.br/segredos-dos-investimentos-para-iniciantes")</f>
        <v>https://www.williamhunt.com.br/segredos-dos-investimentos-para-iniciantes</v>
      </c>
      <c r="AR232" s="86" t="s">
        <v>28057</v>
      </c>
      <c r="AS232" s="86"/>
      <c r="AT232" s="86"/>
      <c r="AU232" s="86"/>
      <c r="AV232" s="86"/>
      <c r="AW232" s="96" t="str">
        <f>HYPERLINK("https://t.co/fMRDv0Jekv")</f>
        <v>https://t.co/fMRDv0Jekv</v>
      </c>
      <c r="AX232" s="86" t="b">
        <v>0</v>
      </c>
      <c r="AY232" s="86"/>
      <c r="AZ232" s="86"/>
      <c r="BA232" s="86" t="b">
        <v>0</v>
      </c>
      <c r="BB232" s="86" t="b">
        <v>1</v>
      </c>
      <c r="BC232" s="86" t="b">
        <v>0</v>
      </c>
      <c r="BD232" s="86" t="b">
        <v>0</v>
      </c>
      <c r="BE232" s="86" t="b">
        <v>0</v>
      </c>
      <c r="BF232" s="86" t="b">
        <v>0</v>
      </c>
      <c r="BG232" s="86" t="b">
        <v>0</v>
      </c>
      <c r="BH232" s="96" t="str">
        <f>HYPERLINK("https://pbs.twimg.com/profile_banners/966418582421811200/1678219927")</f>
        <v>https://pbs.twimg.com/profile_banners/966418582421811200/1678219927</v>
      </c>
      <c r="BI232" s="86"/>
      <c r="BJ232" s="86" t="s">
        <v>29134</v>
      </c>
      <c r="BK232" s="86" t="b">
        <v>0</v>
      </c>
      <c r="BL232" s="86"/>
      <c r="BM232" s="86" t="s">
        <v>66</v>
      </c>
      <c r="BN232" s="86" t="s">
        <v>29136</v>
      </c>
      <c r="BO232" s="96" t="str">
        <f>HYPERLINK("https://twitter.com/williamhuntbr")</f>
        <v>https://twitter.com/williamhuntbr</v>
      </c>
      <c r="BP232" s="2"/>
    </row>
    <row r="233" spans="1:68" x14ac:dyDescent="0.25">
      <c r="A233" s="63" t="s">
        <v>428</v>
      </c>
      <c r="B233" s="64"/>
      <c r="C233" s="64"/>
      <c r="D233" s="65"/>
      <c r="E233" s="67"/>
      <c r="F233" s="111" t="str">
        <f>HYPERLINK("https://pbs.twimg.com/profile_images/1704330544811589632/Ns0_hDU__normal.jpg")</f>
        <v>https://pbs.twimg.com/profile_images/1704330544811589632/Ns0_hDU__normal.jpg</v>
      </c>
      <c r="G233" s="64"/>
      <c r="H233" s="68"/>
      <c r="I233" s="69"/>
      <c r="J233" s="69"/>
      <c r="K233" s="68" t="s">
        <v>29366</v>
      </c>
      <c r="L233" s="72"/>
      <c r="M233" s="73"/>
      <c r="N233" s="73"/>
      <c r="O233" s="74"/>
      <c r="P233" s="75"/>
      <c r="Q233" s="75"/>
      <c r="R233" s="102"/>
      <c r="S233" s="102"/>
      <c r="T233" s="102"/>
      <c r="U233" s="102"/>
      <c r="V233" s="48"/>
      <c r="W233" s="48"/>
      <c r="X233" s="48"/>
      <c r="Y233" s="48"/>
      <c r="Z233" s="47"/>
      <c r="AA233" s="70">
        <v>233</v>
      </c>
      <c r="AB233" s="70"/>
      <c r="AC233" s="71"/>
      <c r="AD233" s="86" t="s">
        <v>23871</v>
      </c>
      <c r="AE233" s="94" t="s">
        <v>22914</v>
      </c>
      <c r="AF233" s="86">
        <v>327</v>
      </c>
      <c r="AG233" s="86">
        <v>39</v>
      </c>
      <c r="AH233" s="86">
        <v>1662</v>
      </c>
      <c r="AI233" s="86">
        <v>2</v>
      </c>
      <c r="AJ233" s="86">
        <v>1399</v>
      </c>
      <c r="AK233" s="86">
        <v>220</v>
      </c>
      <c r="AL233" s="86" t="b">
        <v>0</v>
      </c>
      <c r="AM233" s="89">
        <v>43858.206307870372</v>
      </c>
      <c r="AN233" s="86" t="s">
        <v>15372</v>
      </c>
      <c r="AO233" s="86" t="s">
        <v>26632</v>
      </c>
      <c r="AP233" s="96" t="str">
        <f>HYPERLINK("https://t.co/f2wSC0iijZ")</f>
        <v>https://t.co/f2wSC0iijZ</v>
      </c>
      <c r="AQ233" s="96" t="str">
        <f>HYPERLINK("https://www.youtube.com/@IanWorcman")</f>
        <v>https://www.youtube.com/@IanWorcman</v>
      </c>
      <c r="AR233" s="86" t="s">
        <v>28058</v>
      </c>
      <c r="AS233" s="86"/>
      <c r="AT233" s="86"/>
      <c r="AU233" s="86"/>
      <c r="AV233" s="86"/>
      <c r="AW233" s="96" t="str">
        <f>HYPERLINK("https://t.co/f2wSC0iijZ")</f>
        <v>https://t.co/f2wSC0iijZ</v>
      </c>
      <c r="AX233" s="86" t="b">
        <v>0</v>
      </c>
      <c r="AY233" s="86"/>
      <c r="AZ233" s="86"/>
      <c r="BA233" s="86" t="b">
        <v>1</v>
      </c>
      <c r="BB233" s="86" t="b">
        <v>1</v>
      </c>
      <c r="BC233" s="86" t="b">
        <v>1</v>
      </c>
      <c r="BD233" s="86" t="b">
        <v>0</v>
      </c>
      <c r="BE233" s="86" t="b">
        <v>0</v>
      </c>
      <c r="BF233" s="86" t="b">
        <v>0</v>
      </c>
      <c r="BG233" s="86" t="b">
        <v>0</v>
      </c>
      <c r="BH233" s="96" t="str">
        <f>HYPERLINK("https://pbs.twimg.com/profile_banners/1222020700162183168/1680288201")</f>
        <v>https://pbs.twimg.com/profile_banners/1222020700162183168/1680288201</v>
      </c>
      <c r="BI233" s="86"/>
      <c r="BJ233" s="86" t="s">
        <v>29134</v>
      </c>
      <c r="BK233" s="86" t="b">
        <v>0</v>
      </c>
      <c r="BL233" s="86"/>
      <c r="BM233" s="86" t="s">
        <v>66</v>
      </c>
      <c r="BN233" s="86" t="s">
        <v>29136</v>
      </c>
      <c r="BO233" s="96" t="str">
        <f>HYPERLINK("https://twitter.com/ianworcman")</f>
        <v>https://twitter.com/ianworcman</v>
      </c>
      <c r="BP233" s="2"/>
    </row>
    <row r="234" spans="1:68" x14ac:dyDescent="0.25">
      <c r="A234" s="63" t="s">
        <v>429</v>
      </c>
      <c r="B234" s="64"/>
      <c r="C234" s="64"/>
      <c r="D234" s="65"/>
      <c r="E234" s="67"/>
      <c r="F234" s="111" t="str">
        <f>HYPERLINK("https://pbs.twimg.com/profile_images/1701718386361700352/bfrgyIEM_normal.jpg")</f>
        <v>https://pbs.twimg.com/profile_images/1701718386361700352/bfrgyIEM_normal.jpg</v>
      </c>
      <c r="G234" s="64"/>
      <c r="H234" s="68"/>
      <c r="I234" s="69"/>
      <c r="J234" s="69"/>
      <c r="K234" s="68" t="s">
        <v>29367</v>
      </c>
      <c r="L234" s="72"/>
      <c r="M234" s="73"/>
      <c r="N234" s="73"/>
      <c r="O234" s="74"/>
      <c r="P234" s="75"/>
      <c r="Q234" s="75"/>
      <c r="R234" s="102"/>
      <c r="S234" s="102"/>
      <c r="T234" s="102"/>
      <c r="U234" s="102"/>
      <c r="V234" s="48"/>
      <c r="W234" s="48"/>
      <c r="X234" s="48"/>
      <c r="Y234" s="48"/>
      <c r="Z234" s="47"/>
      <c r="AA234" s="70">
        <v>234</v>
      </c>
      <c r="AB234" s="70"/>
      <c r="AC234" s="71"/>
      <c r="AD234" s="86" t="s">
        <v>23872</v>
      </c>
      <c r="AE234" s="94" t="s">
        <v>25303</v>
      </c>
      <c r="AF234" s="86">
        <v>37</v>
      </c>
      <c r="AG234" s="86">
        <v>212</v>
      </c>
      <c r="AH234" s="86">
        <v>125</v>
      </c>
      <c r="AI234" s="86">
        <v>0</v>
      </c>
      <c r="AJ234" s="86">
        <v>130</v>
      </c>
      <c r="AK234" s="86">
        <v>29</v>
      </c>
      <c r="AL234" s="86" t="b">
        <v>0</v>
      </c>
      <c r="AM234" s="89">
        <v>40810.944189814814</v>
      </c>
      <c r="AN234" s="86"/>
      <c r="AO234" s="86"/>
      <c r="AP234" s="86"/>
      <c r="AQ234" s="86"/>
      <c r="AR234" s="86"/>
      <c r="AS234" s="86"/>
      <c r="AT234" s="86"/>
      <c r="AU234" s="86"/>
      <c r="AV234" s="86"/>
      <c r="AW234" s="86"/>
      <c r="AX234" s="86" t="b">
        <v>0</v>
      </c>
      <c r="AY234" s="86"/>
      <c r="AZ234" s="86"/>
      <c r="BA234" s="86" t="b">
        <v>0</v>
      </c>
      <c r="BB234" s="86" t="b">
        <v>0</v>
      </c>
      <c r="BC234" s="86" t="b">
        <v>1</v>
      </c>
      <c r="BD234" s="86" t="b">
        <v>0</v>
      </c>
      <c r="BE234" s="86" t="b">
        <v>0</v>
      </c>
      <c r="BF234" s="86" t="b">
        <v>0</v>
      </c>
      <c r="BG234" s="86" t="b">
        <v>0</v>
      </c>
      <c r="BH234" s="96" t="str">
        <f>HYPERLINK("https://pbs.twimg.com/profile_banners/379411883/1694556324")</f>
        <v>https://pbs.twimg.com/profile_banners/379411883/1694556324</v>
      </c>
      <c r="BI234" s="86"/>
      <c r="BJ234" s="86" t="s">
        <v>29134</v>
      </c>
      <c r="BK234" s="86" t="b">
        <v>0</v>
      </c>
      <c r="BL234" s="86"/>
      <c r="BM234" s="86" t="s">
        <v>66</v>
      </c>
      <c r="BN234" s="86" t="s">
        <v>29136</v>
      </c>
      <c r="BO234" s="96" t="str">
        <f>HYPERLINK("https://twitter.com/silvanamendes9")</f>
        <v>https://twitter.com/silvanamendes9</v>
      </c>
      <c r="BP234" s="2"/>
    </row>
    <row r="235" spans="1:68" x14ac:dyDescent="0.25">
      <c r="A235" s="63" t="s">
        <v>430</v>
      </c>
      <c r="B235" s="64"/>
      <c r="C235" s="64"/>
      <c r="D235" s="65"/>
      <c r="E235" s="67"/>
      <c r="F235" s="111" t="str">
        <f>HYPERLINK("https://pbs.twimg.com/profile_images/1583474700793020419/yqpBHzDc_normal.jpg")</f>
        <v>https://pbs.twimg.com/profile_images/1583474700793020419/yqpBHzDc_normal.jpg</v>
      </c>
      <c r="G235" s="64"/>
      <c r="H235" s="68"/>
      <c r="I235" s="69"/>
      <c r="J235" s="69"/>
      <c r="K235" s="68" t="s">
        <v>29368</v>
      </c>
      <c r="L235" s="72"/>
      <c r="M235" s="73"/>
      <c r="N235" s="73"/>
      <c r="O235" s="74"/>
      <c r="P235" s="75"/>
      <c r="Q235" s="75"/>
      <c r="R235" s="102"/>
      <c r="S235" s="102"/>
      <c r="T235" s="102"/>
      <c r="U235" s="102"/>
      <c r="V235" s="48"/>
      <c r="W235" s="48"/>
      <c r="X235" s="48"/>
      <c r="Y235" s="48"/>
      <c r="Z235" s="47"/>
      <c r="AA235" s="70">
        <v>235</v>
      </c>
      <c r="AB235" s="70"/>
      <c r="AC235" s="71"/>
      <c r="AD235" s="86" t="s">
        <v>23873</v>
      </c>
      <c r="AE235" s="94" t="s">
        <v>25304</v>
      </c>
      <c r="AF235" s="86">
        <v>15856</v>
      </c>
      <c r="AG235" s="86">
        <v>6434</v>
      </c>
      <c r="AH235" s="86">
        <v>10450</v>
      </c>
      <c r="AI235" s="86">
        <v>110</v>
      </c>
      <c r="AJ235" s="86">
        <v>1141</v>
      </c>
      <c r="AK235" s="86">
        <v>3922</v>
      </c>
      <c r="AL235" s="86" t="b">
        <v>0</v>
      </c>
      <c r="AM235" s="89">
        <v>39983.767557870371</v>
      </c>
      <c r="AN235" s="86" t="s">
        <v>15253</v>
      </c>
      <c r="AO235" s="86" t="s">
        <v>26633</v>
      </c>
      <c r="AP235" s="96" t="str">
        <f>HYPERLINK("https://t.co/yOEPQYkcMJ")</f>
        <v>https://t.co/yOEPQYkcMJ</v>
      </c>
      <c r="AQ235" s="96" t="str">
        <f>HYPERLINK("https://campsite.bio/sebraepb")</f>
        <v>https://campsite.bio/sebraepb</v>
      </c>
      <c r="AR235" s="86" t="s">
        <v>28059</v>
      </c>
      <c r="AS235" s="86"/>
      <c r="AT235" s="86"/>
      <c r="AU235" s="86"/>
      <c r="AV235" s="86"/>
      <c r="AW235" s="96" t="str">
        <f>HYPERLINK("https://t.co/yOEPQYkcMJ")</f>
        <v>https://t.co/yOEPQYkcMJ</v>
      </c>
      <c r="AX235" s="86" t="b">
        <v>0</v>
      </c>
      <c r="AY235" s="86"/>
      <c r="AZ235" s="86"/>
      <c r="BA235" s="86" t="b">
        <v>1</v>
      </c>
      <c r="BB235" s="86" t="b">
        <v>1</v>
      </c>
      <c r="BC235" s="86" t="b">
        <v>0</v>
      </c>
      <c r="BD235" s="86" t="b">
        <v>0</v>
      </c>
      <c r="BE235" s="86" t="b">
        <v>0</v>
      </c>
      <c r="BF235" s="86" t="b">
        <v>0</v>
      </c>
      <c r="BG235" s="86" t="b">
        <v>0</v>
      </c>
      <c r="BH235" s="96" t="str">
        <f>HYPERLINK("https://pbs.twimg.com/profile_banners/48784302/1695065172")</f>
        <v>https://pbs.twimg.com/profile_banners/48784302/1695065172</v>
      </c>
      <c r="BI235" s="86"/>
      <c r="BJ235" s="86" t="s">
        <v>29134</v>
      </c>
      <c r="BK235" s="86" t="b">
        <v>0</v>
      </c>
      <c r="BL235" s="86"/>
      <c r="BM235" s="86" t="s">
        <v>66</v>
      </c>
      <c r="BN235" s="86" t="s">
        <v>29136</v>
      </c>
      <c r="BO235" s="96" t="str">
        <f>HYPERLINK("https://twitter.com/sebraepb")</f>
        <v>https://twitter.com/sebraepb</v>
      </c>
      <c r="BP235" s="2"/>
    </row>
    <row r="236" spans="1:68" x14ac:dyDescent="0.25">
      <c r="A236" s="63" t="s">
        <v>431</v>
      </c>
      <c r="B236" s="64"/>
      <c r="C236" s="64"/>
      <c r="D236" s="65"/>
      <c r="E236" s="67"/>
      <c r="F236" s="111" t="str">
        <f>HYPERLINK("https://pbs.twimg.com/profile_images/1589718419884199940/vwzZIFAs_normal.jpg")</f>
        <v>https://pbs.twimg.com/profile_images/1589718419884199940/vwzZIFAs_normal.jpg</v>
      </c>
      <c r="G236" s="64"/>
      <c r="H236" s="68"/>
      <c r="I236" s="69"/>
      <c r="J236" s="69"/>
      <c r="K236" s="68" t="s">
        <v>29369</v>
      </c>
      <c r="L236" s="72"/>
      <c r="M236" s="73"/>
      <c r="N236" s="73"/>
      <c r="O236" s="74"/>
      <c r="P236" s="75"/>
      <c r="Q236" s="75"/>
      <c r="R236" s="102"/>
      <c r="S236" s="102"/>
      <c r="T236" s="102"/>
      <c r="U236" s="102"/>
      <c r="V236" s="48"/>
      <c r="W236" s="48"/>
      <c r="X236" s="48"/>
      <c r="Y236" s="48"/>
      <c r="Z236" s="47"/>
      <c r="AA236" s="70">
        <v>236</v>
      </c>
      <c r="AB236" s="70"/>
      <c r="AC236" s="71"/>
      <c r="AD236" s="86" t="s">
        <v>23874</v>
      </c>
      <c r="AE236" s="94" t="s">
        <v>22915</v>
      </c>
      <c r="AF236" s="86">
        <v>13</v>
      </c>
      <c r="AG236" s="86">
        <v>34</v>
      </c>
      <c r="AH236" s="86">
        <v>110</v>
      </c>
      <c r="AI236" s="86">
        <v>0</v>
      </c>
      <c r="AJ236" s="86">
        <v>24</v>
      </c>
      <c r="AK236" s="86">
        <v>82</v>
      </c>
      <c r="AL236" s="86" t="b">
        <v>0</v>
      </c>
      <c r="AM236" s="89">
        <v>44756.704270833332</v>
      </c>
      <c r="AN236" s="86" t="s">
        <v>25964</v>
      </c>
      <c r="AO236" s="86" t="s">
        <v>26634</v>
      </c>
      <c r="AP236" s="96" t="str">
        <f>HYPERLINK("https://t.co/bSQFuBZJRR")</f>
        <v>https://t.co/bSQFuBZJRR</v>
      </c>
      <c r="AQ236" s="96" t="str">
        <f>HYPERLINK("https://bit.ly/ValeumaprosanoYoutube")</f>
        <v>https://bit.ly/ValeumaprosanoYoutube</v>
      </c>
      <c r="AR236" s="86" t="s">
        <v>28060</v>
      </c>
      <c r="AS236" s="86"/>
      <c r="AT236" s="86"/>
      <c r="AU236" s="86"/>
      <c r="AV236" s="86"/>
      <c r="AW236" s="96" t="str">
        <f>HYPERLINK("https://t.co/bSQFuBZJRR")</f>
        <v>https://t.co/bSQFuBZJRR</v>
      </c>
      <c r="AX236" s="86" t="b">
        <v>0</v>
      </c>
      <c r="AY236" s="86"/>
      <c r="AZ236" s="86"/>
      <c r="BA236" s="86" t="b">
        <v>0</v>
      </c>
      <c r="BB236" s="86" t="b">
        <v>1</v>
      </c>
      <c r="BC236" s="86" t="b">
        <v>1</v>
      </c>
      <c r="BD236" s="86" t="b">
        <v>0</v>
      </c>
      <c r="BE236" s="86" t="b">
        <v>0</v>
      </c>
      <c r="BF236" s="86" t="b">
        <v>0</v>
      </c>
      <c r="BG236" s="86" t="b">
        <v>0</v>
      </c>
      <c r="BH236" s="96" t="str">
        <f>HYPERLINK("https://pbs.twimg.com/profile_banners/1547625310820057090/1667853351")</f>
        <v>https://pbs.twimg.com/profile_banners/1547625310820057090/1667853351</v>
      </c>
      <c r="BI236" s="86"/>
      <c r="BJ236" s="86" t="s">
        <v>29134</v>
      </c>
      <c r="BK236" s="86" t="b">
        <v>0</v>
      </c>
      <c r="BL236" s="86"/>
      <c r="BM236" s="86" t="s">
        <v>66</v>
      </c>
      <c r="BN236" s="86" t="s">
        <v>29136</v>
      </c>
      <c r="BO236" s="96" t="str">
        <f>HYPERLINK("https://twitter.com/valeumaprosa")</f>
        <v>https://twitter.com/valeumaprosa</v>
      </c>
      <c r="BP236" s="2"/>
    </row>
    <row r="237" spans="1:68" x14ac:dyDescent="0.25">
      <c r="A237" s="63" t="s">
        <v>432</v>
      </c>
      <c r="B237" s="64"/>
      <c r="C237" s="64"/>
      <c r="D237" s="65"/>
      <c r="E237" s="67"/>
      <c r="F237" s="111" t="str">
        <f>HYPERLINK("https://pbs.twimg.com/profile_images/1268879858677022721/lQaMiVdS_normal.png")</f>
        <v>https://pbs.twimg.com/profile_images/1268879858677022721/lQaMiVdS_normal.png</v>
      </c>
      <c r="G237" s="64"/>
      <c r="H237" s="68"/>
      <c r="I237" s="69"/>
      <c r="J237" s="69"/>
      <c r="K237" s="68" t="s">
        <v>29370</v>
      </c>
      <c r="L237" s="72"/>
      <c r="M237" s="73"/>
      <c r="N237" s="73"/>
      <c r="O237" s="74"/>
      <c r="P237" s="75"/>
      <c r="Q237" s="75"/>
      <c r="R237" s="102"/>
      <c r="S237" s="102"/>
      <c r="T237" s="102"/>
      <c r="U237" s="102"/>
      <c r="V237" s="48"/>
      <c r="W237" s="48"/>
      <c r="X237" s="48"/>
      <c r="Y237" s="48"/>
      <c r="Z237" s="47"/>
      <c r="AA237" s="70">
        <v>237</v>
      </c>
      <c r="AB237" s="70"/>
      <c r="AC237" s="71"/>
      <c r="AD237" s="86" t="s">
        <v>23875</v>
      </c>
      <c r="AE237" s="94" t="s">
        <v>25305</v>
      </c>
      <c r="AF237" s="86">
        <v>425</v>
      </c>
      <c r="AG237" s="86">
        <v>124</v>
      </c>
      <c r="AH237" s="86">
        <v>16607</v>
      </c>
      <c r="AI237" s="86">
        <v>10</v>
      </c>
      <c r="AJ237" s="86">
        <v>204</v>
      </c>
      <c r="AK237" s="86">
        <v>1658</v>
      </c>
      <c r="AL237" s="86" t="b">
        <v>0</v>
      </c>
      <c r="AM237" s="89">
        <v>39932.72314814815</v>
      </c>
      <c r="AN237" s="86" t="s">
        <v>25965</v>
      </c>
      <c r="AO237" s="86" t="s">
        <v>26635</v>
      </c>
      <c r="AP237" s="96" t="str">
        <f>HYPERLINK("https://t.co/Dbbuw2LeNa")</f>
        <v>https://t.co/Dbbuw2LeNa</v>
      </c>
      <c r="AQ237" s="96" t="str">
        <f>HYPERLINK("https://www.marciokarsten.pro.br")</f>
        <v>https://www.marciokarsten.pro.br</v>
      </c>
      <c r="AR237" s="86" t="s">
        <v>28061</v>
      </c>
      <c r="AS237" s="86"/>
      <c r="AT237" s="86"/>
      <c r="AU237" s="86"/>
      <c r="AV237" s="86"/>
      <c r="AW237" s="96" t="str">
        <f>HYPERLINK("https://t.co/Dbbuw2LeNa")</f>
        <v>https://t.co/Dbbuw2LeNa</v>
      </c>
      <c r="AX237" s="86" t="b">
        <v>0</v>
      </c>
      <c r="AY237" s="86"/>
      <c r="AZ237" s="86"/>
      <c r="BA237" s="86" t="b">
        <v>0</v>
      </c>
      <c r="BB237" s="86" t="b">
        <v>1</v>
      </c>
      <c r="BC237" s="86" t="b">
        <v>0</v>
      </c>
      <c r="BD237" s="86" t="b">
        <v>0</v>
      </c>
      <c r="BE237" s="86" t="b">
        <v>0</v>
      </c>
      <c r="BF237" s="86" t="b">
        <v>0</v>
      </c>
      <c r="BG237" s="86" t="b">
        <v>0</v>
      </c>
      <c r="BH237" s="96" t="str">
        <f>HYPERLINK("https://pbs.twimg.com/profile_banners/36413819/1591359509")</f>
        <v>https://pbs.twimg.com/profile_banners/36413819/1591359509</v>
      </c>
      <c r="BI237" s="86"/>
      <c r="BJ237" s="86" t="s">
        <v>29134</v>
      </c>
      <c r="BK237" s="86" t="b">
        <v>0</v>
      </c>
      <c r="BL237" s="86"/>
      <c r="BM237" s="86" t="s">
        <v>66</v>
      </c>
      <c r="BN237" s="86" t="s">
        <v>29136</v>
      </c>
      <c r="BO237" s="96" t="str">
        <f>HYPERLINK("https://twitter.com/marciokarsten")</f>
        <v>https://twitter.com/marciokarsten</v>
      </c>
      <c r="BP237" s="2"/>
    </row>
    <row r="238" spans="1:68" x14ac:dyDescent="0.25">
      <c r="A238" s="63" t="s">
        <v>433</v>
      </c>
      <c r="B238" s="64"/>
      <c r="C238" s="64"/>
      <c r="D238" s="65"/>
      <c r="E238" s="67"/>
      <c r="F238" s="111" t="str">
        <f>HYPERLINK("https://pbs.twimg.com/profile_images/1215702647287795713/JcsrTvOt_normal.jpg")</f>
        <v>https://pbs.twimg.com/profile_images/1215702647287795713/JcsrTvOt_normal.jpg</v>
      </c>
      <c r="G238" s="64"/>
      <c r="H238" s="68"/>
      <c r="I238" s="69"/>
      <c r="J238" s="69"/>
      <c r="K238" s="68" t="s">
        <v>29371</v>
      </c>
      <c r="L238" s="72"/>
      <c r="M238" s="73"/>
      <c r="N238" s="73"/>
      <c r="O238" s="74"/>
      <c r="P238" s="75"/>
      <c r="Q238" s="75"/>
      <c r="R238" s="102"/>
      <c r="S238" s="102"/>
      <c r="T238" s="102"/>
      <c r="U238" s="102"/>
      <c r="V238" s="48"/>
      <c r="W238" s="48"/>
      <c r="X238" s="48"/>
      <c r="Y238" s="48"/>
      <c r="Z238" s="47"/>
      <c r="AA238" s="70">
        <v>238</v>
      </c>
      <c r="AB238" s="70"/>
      <c r="AC238" s="71"/>
      <c r="AD238" s="86" t="s">
        <v>23876</v>
      </c>
      <c r="AE238" s="94" t="s">
        <v>22916</v>
      </c>
      <c r="AF238" s="86">
        <v>21</v>
      </c>
      <c r="AG238" s="86">
        <v>65</v>
      </c>
      <c r="AH238" s="86">
        <v>1187</v>
      </c>
      <c r="AI238" s="86">
        <v>0</v>
      </c>
      <c r="AJ238" s="86">
        <v>23</v>
      </c>
      <c r="AK238" s="86">
        <v>1180</v>
      </c>
      <c r="AL238" s="86" t="b">
        <v>0</v>
      </c>
      <c r="AM238" s="89">
        <v>43076.510057870371</v>
      </c>
      <c r="AN238" s="86" t="s">
        <v>15246</v>
      </c>
      <c r="AO238" s="86" t="s">
        <v>26636</v>
      </c>
      <c r="AP238" s="96" t="str">
        <f>HYPERLINK("https://t.co/o2HJlDL4Qa")</f>
        <v>https://t.co/o2HJlDL4Qa</v>
      </c>
      <c r="AQ238" s="96" t="str">
        <f>HYPERLINK("http://www.infographya.com.br")</f>
        <v>http://www.infographya.com.br</v>
      </c>
      <c r="AR238" s="86" t="s">
        <v>28062</v>
      </c>
      <c r="AS238" s="86"/>
      <c r="AT238" s="86"/>
      <c r="AU238" s="86"/>
      <c r="AV238" s="86"/>
      <c r="AW238" s="96" t="str">
        <f>HYPERLINK("https://t.co/o2HJlDL4Qa")</f>
        <v>https://t.co/o2HJlDL4Qa</v>
      </c>
      <c r="AX238" s="86" t="b">
        <v>0</v>
      </c>
      <c r="AY238" s="86"/>
      <c r="AZ238" s="86"/>
      <c r="BA238" s="86" t="b">
        <v>0</v>
      </c>
      <c r="BB238" s="86" t="b">
        <v>1</v>
      </c>
      <c r="BC238" s="86" t="b">
        <v>0</v>
      </c>
      <c r="BD238" s="86" t="b">
        <v>0</v>
      </c>
      <c r="BE238" s="86" t="b">
        <v>0</v>
      </c>
      <c r="BF238" s="86" t="b">
        <v>0</v>
      </c>
      <c r="BG238" s="86" t="b">
        <v>0</v>
      </c>
      <c r="BH238" s="96" t="str">
        <f>HYPERLINK("https://pbs.twimg.com/profile_banners/938743512962564097/1693836097")</f>
        <v>https://pbs.twimg.com/profile_banners/938743512962564097/1693836097</v>
      </c>
      <c r="BI238" s="86"/>
      <c r="BJ238" s="86" t="s">
        <v>29134</v>
      </c>
      <c r="BK238" s="86" t="b">
        <v>0</v>
      </c>
      <c r="BL238" s="86"/>
      <c r="BM238" s="86" t="s">
        <v>66</v>
      </c>
      <c r="BN238" s="86" t="s">
        <v>29136</v>
      </c>
      <c r="BO238" s="96" t="str">
        <f>HYPERLINK("https://twitter.com/infographya_")</f>
        <v>https://twitter.com/infographya_</v>
      </c>
      <c r="BP238" s="2"/>
    </row>
    <row r="239" spans="1:68" x14ac:dyDescent="0.25">
      <c r="A239" s="63" t="s">
        <v>434</v>
      </c>
      <c r="B239" s="64"/>
      <c r="C239" s="64"/>
      <c r="D239" s="65"/>
      <c r="E239" s="67"/>
      <c r="F239" s="111" t="str">
        <f>HYPERLINK("https://pbs.twimg.com/profile_images/1668039202443866112/EWmJiXaC_normal.jpg")</f>
        <v>https://pbs.twimg.com/profile_images/1668039202443866112/EWmJiXaC_normal.jpg</v>
      </c>
      <c r="G239" s="64"/>
      <c r="H239" s="68"/>
      <c r="I239" s="69"/>
      <c r="J239" s="69"/>
      <c r="K239" s="68" t="s">
        <v>29372</v>
      </c>
      <c r="L239" s="72"/>
      <c r="M239" s="73"/>
      <c r="N239" s="73"/>
      <c r="O239" s="74"/>
      <c r="P239" s="75"/>
      <c r="Q239" s="75"/>
      <c r="R239" s="102"/>
      <c r="S239" s="102"/>
      <c r="T239" s="102"/>
      <c r="U239" s="102"/>
      <c r="V239" s="48"/>
      <c r="W239" s="48"/>
      <c r="X239" s="48"/>
      <c r="Y239" s="48"/>
      <c r="Z239" s="47"/>
      <c r="AA239" s="70">
        <v>239</v>
      </c>
      <c r="AB239" s="70"/>
      <c r="AC239" s="71"/>
      <c r="AD239" s="86" t="s">
        <v>23877</v>
      </c>
      <c r="AE239" s="94" t="s">
        <v>22917</v>
      </c>
      <c r="AF239" s="86">
        <v>81</v>
      </c>
      <c r="AG239" s="86">
        <v>13</v>
      </c>
      <c r="AH239" s="86">
        <v>1912</v>
      </c>
      <c r="AI239" s="86">
        <v>0</v>
      </c>
      <c r="AJ239" s="86">
        <v>1489</v>
      </c>
      <c r="AK239" s="86">
        <v>1585</v>
      </c>
      <c r="AL239" s="86" t="b">
        <v>0</v>
      </c>
      <c r="AM239" s="89">
        <v>44633.007384259261</v>
      </c>
      <c r="AN239" s="86"/>
      <c r="AO239" s="86" t="s">
        <v>26637</v>
      </c>
      <c r="AP239" s="96" t="str">
        <f>HYPERLINK("https://t.co/S7FA2h0xna")</f>
        <v>https://t.co/S7FA2h0xna</v>
      </c>
      <c r="AQ239" s="96" t="str">
        <f>HYPERLINK("https://go.hotmart.com/L83543639B")</f>
        <v>https://go.hotmart.com/L83543639B</v>
      </c>
      <c r="AR239" s="86" t="s">
        <v>28063</v>
      </c>
      <c r="AS239" s="86"/>
      <c r="AT239" s="86"/>
      <c r="AU239" s="86"/>
      <c r="AV239" s="86"/>
      <c r="AW239" s="96" t="str">
        <f>HYPERLINK("https://t.co/S7FA2h0xna")</f>
        <v>https://t.co/S7FA2h0xna</v>
      </c>
      <c r="AX239" s="86" t="b">
        <v>0</v>
      </c>
      <c r="AY239" s="86"/>
      <c r="AZ239" s="86"/>
      <c r="BA239" s="86" t="b">
        <v>1</v>
      </c>
      <c r="BB239" s="86" t="b">
        <v>1</v>
      </c>
      <c r="BC239" s="86" t="b">
        <v>1</v>
      </c>
      <c r="BD239" s="86" t="b">
        <v>0</v>
      </c>
      <c r="BE239" s="86" t="b">
        <v>0</v>
      </c>
      <c r="BF239" s="86" t="b">
        <v>0</v>
      </c>
      <c r="BG239" s="86" t="b">
        <v>0</v>
      </c>
      <c r="BH239" s="96" t="str">
        <f>HYPERLINK("https://pbs.twimg.com/profile_banners/1502799106535833601/1678747362")</f>
        <v>https://pbs.twimg.com/profile_banners/1502799106535833601/1678747362</v>
      </c>
      <c r="BI239" s="86"/>
      <c r="BJ239" s="86" t="s">
        <v>29134</v>
      </c>
      <c r="BK239" s="86" t="b">
        <v>0</v>
      </c>
      <c r="BL239" s="86"/>
      <c r="BM239" s="86" t="s">
        <v>66</v>
      </c>
      <c r="BN239" s="86" t="s">
        <v>29136</v>
      </c>
      <c r="BO239" s="96" t="str">
        <f>HYPERLINK("https://twitter.com/juniorl737")</f>
        <v>https://twitter.com/juniorl737</v>
      </c>
      <c r="BP239" s="2"/>
    </row>
    <row r="240" spans="1:68" x14ac:dyDescent="0.25">
      <c r="A240" s="63" t="s">
        <v>435</v>
      </c>
      <c r="B240" s="64"/>
      <c r="C240" s="64"/>
      <c r="D240" s="65"/>
      <c r="E240" s="67"/>
      <c r="F240" s="111" t="str">
        <f>HYPERLINK("https://pbs.twimg.com/profile_images/1041725334431952896/uaPtkYSp_normal.jpg")</f>
        <v>https://pbs.twimg.com/profile_images/1041725334431952896/uaPtkYSp_normal.jpg</v>
      </c>
      <c r="G240" s="64"/>
      <c r="H240" s="68"/>
      <c r="I240" s="69"/>
      <c r="J240" s="69"/>
      <c r="K240" s="68" t="s">
        <v>29373</v>
      </c>
      <c r="L240" s="72"/>
      <c r="M240" s="73"/>
      <c r="N240" s="73"/>
      <c r="O240" s="74"/>
      <c r="P240" s="75"/>
      <c r="Q240" s="75"/>
      <c r="R240" s="102"/>
      <c r="S240" s="102"/>
      <c r="T240" s="102"/>
      <c r="U240" s="102"/>
      <c r="V240" s="48"/>
      <c r="W240" s="48"/>
      <c r="X240" s="48"/>
      <c r="Y240" s="48"/>
      <c r="Z240" s="47"/>
      <c r="AA240" s="70">
        <v>240</v>
      </c>
      <c r="AB240" s="70"/>
      <c r="AC240" s="71"/>
      <c r="AD240" s="86" t="s">
        <v>23878</v>
      </c>
      <c r="AE240" s="94" t="s">
        <v>22918</v>
      </c>
      <c r="AF240" s="86">
        <v>13870</v>
      </c>
      <c r="AG240" s="86">
        <v>34</v>
      </c>
      <c r="AH240" s="86">
        <v>24407</v>
      </c>
      <c r="AI240" s="86">
        <v>251</v>
      </c>
      <c r="AJ240" s="86">
        <v>409</v>
      </c>
      <c r="AK240" s="86">
        <v>5791</v>
      </c>
      <c r="AL240" s="86" t="b">
        <v>0</v>
      </c>
      <c r="AM240" s="89">
        <v>43360.684699074074</v>
      </c>
      <c r="AN240" s="86" t="s">
        <v>15246</v>
      </c>
      <c r="AO240" s="86" t="s">
        <v>26638</v>
      </c>
      <c r="AP240" s="96" t="str">
        <f>HYPERLINK("https://t.co/nXFGfCwP7j")</f>
        <v>https://t.co/nXFGfCwP7j</v>
      </c>
      <c r="AQ240" s="96" t="str">
        <f>HYPERLINK("https://www.seudinheiro.com/")</f>
        <v>https://www.seudinheiro.com/</v>
      </c>
      <c r="AR240" s="86" t="s">
        <v>8404</v>
      </c>
      <c r="AS240" s="86"/>
      <c r="AT240" s="86"/>
      <c r="AU240" s="86"/>
      <c r="AV240" s="86"/>
      <c r="AW240" s="96" t="str">
        <f>HYPERLINK("https://t.co/nXFGfCwP7j")</f>
        <v>https://t.co/nXFGfCwP7j</v>
      </c>
      <c r="AX240" s="86" t="b">
        <v>0</v>
      </c>
      <c r="AY240" s="86"/>
      <c r="AZ240" s="86"/>
      <c r="BA240" s="86" t="b">
        <v>0</v>
      </c>
      <c r="BB240" s="86" t="b">
        <v>1</v>
      </c>
      <c r="BC240" s="86" t="b">
        <v>1</v>
      </c>
      <c r="BD240" s="86" t="b">
        <v>0</v>
      </c>
      <c r="BE240" s="86" t="b">
        <v>1</v>
      </c>
      <c r="BF240" s="86" t="b">
        <v>0</v>
      </c>
      <c r="BG240" s="86" t="b">
        <v>0</v>
      </c>
      <c r="BH240" s="96" t="str">
        <f>HYPERLINK("https://pbs.twimg.com/profile_banners/1041724956839698433/1600351810")</f>
        <v>https://pbs.twimg.com/profile_banners/1041724956839698433/1600351810</v>
      </c>
      <c r="BI240" s="86"/>
      <c r="BJ240" s="86" t="s">
        <v>29134</v>
      </c>
      <c r="BK240" s="86" t="b">
        <v>0</v>
      </c>
      <c r="BL240" s="86"/>
      <c r="BM240" s="86" t="s">
        <v>66</v>
      </c>
      <c r="BN240" s="86" t="s">
        <v>29136</v>
      </c>
      <c r="BO240" s="96" t="str">
        <f>HYPERLINK("https://twitter.com/seu_dinheiro_br")</f>
        <v>https://twitter.com/seu_dinheiro_br</v>
      </c>
      <c r="BP240" s="2"/>
    </row>
    <row r="241" spans="1:68" x14ac:dyDescent="0.25">
      <c r="A241" s="63" t="s">
        <v>436</v>
      </c>
      <c r="B241" s="64"/>
      <c r="C241" s="64"/>
      <c r="D241" s="65"/>
      <c r="E241" s="67"/>
      <c r="F241" s="111" t="str">
        <f>HYPERLINK("https://pbs.twimg.com/profile_images/1661804409024643088/aodZvG5q_normal.jpg")</f>
        <v>https://pbs.twimg.com/profile_images/1661804409024643088/aodZvG5q_normal.jpg</v>
      </c>
      <c r="G241" s="64"/>
      <c r="H241" s="68"/>
      <c r="I241" s="69"/>
      <c r="J241" s="69"/>
      <c r="K241" s="68" t="s">
        <v>29374</v>
      </c>
      <c r="L241" s="72"/>
      <c r="M241" s="73"/>
      <c r="N241" s="73"/>
      <c r="O241" s="74"/>
      <c r="P241" s="75"/>
      <c r="Q241" s="75"/>
      <c r="R241" s="102"/>
      <c r="S241" s="102"/>
      <c r="T241" s="102"/>
      <c r="U241" s="102"/>
      <c r="V241" s="48"/>
      <c r="W241" s="48"/>
      <c r="X241" s="48"/>
      <c r="Y241" s="48"/>
      <c r="Z241" s="47"/>
      <c r="AA241" s="70">
        <v>241</v>
      </c>
      <c r="AB241" s="70"/>
      <c r="AC241" s="71"/>
      <c r="AD241" s="86" t="s">
        <v>23879</v>
      </c>
      <c r="AE241" s="94" t="s">
        <v>22919</v>
      </c>
      <c r="AF241" s="86">
        <v>3</v>
      </c>
      <c r="AG241" s="86">
        <v>8</v>
      </c>
      <c r="AH241" s="86">
        <v>35</v>
      </c>
      <c r="AI241" s="86">
        <v>0</v>
      </c>
      <c r="AJ241" s="86">
        <v>3</v>
      </c>
      <c r="AK241" s="86">
        <v>17</v>
      </c>
      <c r="AL241" s="86" t="b">
        <v>0</v>
      </c>
      <c r="AM241" s="89">
        <v>43667.610752314817</v>
      </c>
      <c r="AN241" s="86" t="s">
        <v>15283</v>
      </c>
      <c r="AO241" s="86" t="s">
        <v>26639</v>
      </c>
      <c r="AP241" s="96" t="str">
        <f>HYPERLINK("https://t.co/IHR6MZcv2b")</f>
        <v>https://t.co/IHR6MZcv2b</v>
      </c>
      <c r="AQ241" s="96" t="str">
        <f>HYPERLINK("https://adailsonsantos.com.br")</f>
        <v>https://adailsonsantos.com.br</v>
      </c>
      <c r="AR241" s="86" t="s">
        <v>28064</v>
      </c>
      <c r="AS241" s="86"/>
      <c r="AT241" s="86"/>
      <c r="AU241" s="86"/>
      <c r="AV241" s="86"/>
      <c r="AW241" s="96" t="str">
        <f>HYPERLINK("https://t.co/IHR6MZcv2b")</f>
        <v>https://t.co/IHR6MZcv2b</v>
      </c>
      <c r="AX241" s="86" t="b">
        <v>0</v>
      </c>
      <c r="AY241" s="86"/>
      <c r="AZ241" s="86"/>
      <c r="BA241" s="86" t="b">
        <v>1</v>
      </c>
      <c r="BB241" s="86" t="b">
        <v>1</v>
      </c>
      <c r="BC241" s="86" t="b">
        <v>1</v>
      </c>
      <c r="BD241" s="86" t="b">
        <v>0</v>
      </c>
      <c r="BE241" s="86" t="b">
        <v>0</v>
      </c>
      <c r="BF241" s="86" t="b">
        <v>0</v>
      </c>
      <c r="BG241" s="86" t="b">
        <v>0</v>
      </c>
      <c r="BH241" s="96" t="str">
        <f>HYPERLINK("https://pbs.twimg.com/profile_banners/1152951231515648000/1682015734")</f>
        <v>https://pbs.twimg.com/profile_banners/1152951231515648000/1682015734</v>
      </c>
      <c r="BI241" s="86"/>
      <c r="BJ241" s="86" t="s">
        <v>29134</v>
      </c>
      <c r="BK241" s="86" t="b">
        <v>0</v>
      </c>
      <c r="BL241" s="86"/>
      <c r="BM241" s="86" t="s">
        <v>66</v>
      </c>
      <c r="BN241" s="86" t="s">
        <v>29136</v>
      </c>
      <c r="BO241" s="96" t="str">
        <f>HYPERLINK("https://twitter.com/oadailsonsantos")</f>
        <v>https://twitter.com/oadailsonsantos</v>
      </c>
      <c r="BP241" s="2"/>
    </row>
    <row r="242" spans="1:68" x14ac:dyDescent="0.25">
      <c r="A242" s="63" t="s">
        <v>437</v>
      </c>
      <c r="B242" s="64"/>
      <c r="C242" s="64"/>
      <c r="D242" s="65"/>
      <c r="E242" s="67"/>
      <c r="F242" s="111" t="str">
        <f>HYPERLINK("https://pbs.twimg.com/profile_images/1613289276912898048/coG46I1c_normal.jpg")</f>
        <v>https://pbs.twimg.com/profile_images/1613289276912898048/coG46I1c_normal.jpg</v>
      </c>
      <c r="G242" s="64"/>
      <c r="H242" s="68"/>
      <c r="I242" s="69"/>
      <c r="J242" s="69"/>
      <c r="K242" s="68" t="s">
        <v>29375</v>
      </c>
      <c r="L242" s="72"/>
      <c r="M242" s="73"/>
      <c r="N242" s="73"/>
      <c r="O242" s="74"/>
      <c r="P242" s="75"/>
      <c r="Q242" s="75"/>
      <c r="R242" s="102"/>
      <c r="S242" s="102"/>
      <c r="T242" s="102"/>
      <c r="U242" s="102"/>
      <c r="V242" s="48"/>
      <c r="W242" s="48"/>
      <c r="X242" s="48"/>
      <c r="Y242" s="48"/>
      <c r="Z242" s="47"/>
      <c r="AA242" s="70">
        <v>242</v>
      </c>
      <c r="AB242" s="70"/>
      <c r="AC242" s="71"/>
      <c r="AD242" s="86" t="s">
        <v>23880</v>
      </c>
      <c r="AE242" s="94" t="s">
        <v>25306</v>
      </c>
      <c r="AF242" s="86">
        <v>1671</v>
      </c>
      <c r="AG242" s="86">
        <v>4001</v>
      </c>
      <c r="AH242" s="86">
        <v>164342</v>
      </c>
      <c r="AI242" s="86">
        <v>17</v>
      </c>
      <c r="AJ242" s="86">
        <v>683</v>
      </c>
      <c r="AK242" s="86">
        <v>18965</v>
      </c>
      <c r="AL242" s="86" t="b">
        <v>0</v>
      </c>
      <c r="AM242" s="89">
        <v>40387.729745370372</v>
      </c>
      <c r="AN242" s="86" t="s">
        <v>25966</v>
      </c>
      <c r="AO242" s="86" t="s">
        <v>26640</v>
      </c>
      <c r="AP242" s="96" t="str">
        <f>HYPERLINK("https://t.co/TZLJRxi3aO")</f>
        <v>https://t.co/TZLJRxi3aO</v>
      </c>
      <c r="AQ242" s="96" t="str">
        <f>HYPERLINK("http://www.criativaonline.com.br")</f>
        <v>http://www.criativaonline.com.br</v>
      </c>
      <c r="AR242" s="86" t="s">
        <v>28065</v>
      </c>
      <c r="AS242" s="86"/>
      <c r="AT242" s="86"/>
      <c r="AU242" s="86"/>
      <c r="AV242" s="86"/>
      <c r="AW242" s="96" t="str">
        <f>HYPERLINK("https://t.co/TZLJRxi3aO")</f>
        <v>https://t.co/TZLJRxi3aO</v>
      </c>
      <c r="AX242" s="86" t="b">
        <v>0</v>
      </c>
      <c r="AY242" s="86"/>
      <c r="AZ242" s="86"/>
      <c r="BA242" s="86" t="b">
        <v>0</v>
      </c>
      <c r="BB242" s="86" t="b">
        <v>1</v>
      </c>
      <c r="BC242" s="86" t="b">
        <v>0</v>
      </c>
      <c r="BD242" s="86" t="b">
        <v>0</v>
      </c>
      <c r="BE242" s="86" t="b">
        <v>1</v>
      </c>
      <c r="BF242" s="86" t="b">
        <v>0</v>
      </c>
      <c r="BG242" s="86" t="b">
        <v>0</v>
      </c>
      <c r="BH242" s="96" t="str">
        <f>HYPERLINK("https://pbs.twimg.com/profile_banners/171995902/1631453666")</f>
        <v>https://pbs.twimg.com/profile_banners/171995902/1631453666</v>
      </c>
      <c r="BI242" s="86"/>
      <c r="BJ242" s="86" t="s">
        <v>29134</v>
      </c>
      <c r="BK242" s="86" t="b">
        <v>0</v>
      </c>
      <c r="BL242" s="86"/>
      <c r="BM242" s="86" t="s">
        <v>66</v>
      </c>
      <c r="BN242" s="86" t="s">
        <v>29136</v>
      </c>
      <c r="BO242" s="96" t="str">
        <f>HYPERLINK("https://twitter.com/criativaonline1")</f>
        <v>https://twitter.com/criativaonline1</v>
      </c>
      <c r="BP242" s="2"/>
    </row>
    <row r="243" spans="1:68" x14ac:dyDescent="0.25">
      <c r="A243" s="63" t="s">
        <v>438</v>
      </c>
      <c r="B243" s="64"/>
      <c r="C243" s="64"/>
      <c r="D243" s="65"/>
      <c r="E243" s="67"/>
      <c r="F243" s="111" t="str">
        <f>HYPERLINK("https://pbs.twimg.com/profile_images/448881387550953472/P-1PdAmb_normal.png")</f>
        <v>https://pbs.twimg.com/profile_images/448881387550953472/P-1PdAmb_normal.png</v>
      </c>
      <c r="G243" s="64"/>
      <c r="H243" s="68"/>
      <c r="I243" s="69"/>
      <c r="J243" s="69"/>
      <c r="K243" s="68" t="s">
        <v>29376</v>
      </c>
      <c r="L243" s="72"/>
      <c r="M243" s="73"/>
      <c r="N243" s="73"/>
      <c r="O243" s="74"/>
      <c r="P243" s="75"/>
      <c r="Q243" s="75"/>
      <c r="R243" s="102"/>
      <c r="S243" s="102"/>
      <c r="T243" s="102"/>
      <c r="U243" s="102"/>
      <c r="V243" s="48"/>
      <c r="W243" s="48"/>
      <c r="X243" s="48"/>
      <c r="Y243" s="48"/>
      <c r="Z243" s="47"/>
      <c r="AA243" s="70">
        <v>243</v>
      </c>
      <c r="AB243" s="70"/>
      <c r="AC243" s="71"/>
      <c r="AD243" s="86" t="s">
        <v>23881</v>
      </c>
      <c r="AE243" s="94" t="s">
        <v>25307</v>
      </c>
      <c r="AF243" s="86">
        <v>15423</v>
      </c>
      <c r="AG243" s="86">
        <v>1124</v>
      </c>
      <c r="AH243" s="86">
        <v>13536</v>
      </c>
      <c r="AI243" s="86">
        <v>176</v>
      </c>
      <c r="AJ243" s="86">
        <v>1416</v>
      </c>
      <c r="AK243" s="86">
        <v>3636</v>
      </c>
      <c r="AL243" s="86" t="b">
        <v>0</v>
      </c>
      <c r="AM243" s="89">
        <v>39967.856527777774</v>
      </c>
      <c r="AN243" s="86" t="s">
        <v>15378</v>
      </c>
      <c r="AO243" s="86" t="s">
        <v>26641</v>
      </c>
      <c r="AP243" s="96" t="str">
        <f>HYPERLINK("https://t.co/3kV3Mk4SFM")</f>
        <v>https://t.co/3kV3Mk4SFM</v>
      </c>
      <c r="AQ243" s="96" t="str">
        <f>HYPERLINK("http://fgv.br/eaesp")</f>
        <v>http://fgv.br/eaesp</v>
      </c>
      <c r="AR243" s="86" t="s">
        <v>28066</v>
      </c>
      <c r="AS243" s="86"/>
      <c r="AT243" s="86"/>
      <c r="AU243" s="86"/>
      <c r="AV243" s="86"/>
      <c r="AW243" s="96" t="str">
        <f>HYPERLINK("https://t.co/3kV3Mk4SFM")</f>
        <v>https://t.co/3kV3Mk4SFM</v>
      </c>
      <c r="AX243" s="86" t="b">
        <v>0</v>
      </c>
      <c r="AY243" s="86"/>
      <c r="AZ243" s="86"/>
      <c r="BA243" s="86" t="b">
        <v>0</v>
      </c>
      <c r="BB243" s="86" t="b">
        <v>1</v>
      </c>
      <c r="BC243" s="86" t="b">
        <v>0</v>
      </c>
      <c r="BD243" s="86" t="b">
        <v>0</v>
      </c>
      <c r="BE243" s="86" t="b">
        <v>0</v>
      </c>
      <c r="BF243" s="86" t="b">
        <v>0</v>
      </c>
      <c r="BG243" s="86" t="b">
        <v>0</v>
      </c>
      <c r="BH243" s="96" t="str">
        <f>HYPERLINK("https://pbs.twimg.com/profile_banners/44449999/1672758917")</f>
        <v>https://pbs.twimg.com/profile_banners/44449999/1672758917</v>
      </c>
      <c r="BI243" s="86"/>
      <c r="BJ243" s="86" t="s">
        <v>29134</v>
      </c>
      <c r="BK243" s="86" t="b">
        <v>0</v>
      </c>
      <c r="BL243" s="86"/>
      <c r="BM243" s="86" t="s">
        <v>66</v>
      </c>
      <c r="BN243" s="86" t="s">
        <v>29136</v>
      </c>
      <c r="BO243" s="96" t="str">
        <f>HYPERLINK("https://twitter.com/fgv_eaesp")</f>
        <v>https://twitter.com/fgv_eaesp</v>
      </c>
      <c r="BP243" s="2"/>
    </row>
    <row r="244" spans="1:68" x14ac:dyDescent="0.25">
      <c r="A244" s="63" t="s">
        <v>439</v>
      </c>
      <c r="B244" s="64"/>
      <c r="C244" s="64"/>
      <c r="D244" s="65"/>
      <c r="E244" s="67"/>
      <c r="F244" s="111" t="str">
        <f>HYPERLINK("https://pbs.twimg.com/profile_images/966846260543131648/njN-Kw9z_normal.jpg")</f>
        <v>https://pbs.twimg.com/profile_images/966846260543131648/njN-Kw9z_normal.jpg</v>
      </c>
      <c r="G244" s="64"/>
      <c r="H244" s="68"/>
      <c r="I244" s="69"/>
      <c r="J244" s="69"/>
      <c r="K244" s="68" t="s">
        <v>29377</v>
      </c>
      <c r="L244" s="72"/>
      <c r="M244" s="73"/>
      <c r="N244" s="73"/>
      <c r="O244" s="74"/>
      <c r="P244" s="75"/>
      <c r="Q244" s="75"/>
      <c r="R244" s="102"/>
      <c r="S244" s="102"/>
      <c r="T244" s="102"/>
      <c r="U244" s="102"/>
      <c r="V244" s="48"/>
      <c r="W244" s="48"/>
      <c r="X244" s="48"/>
      <c r="Y244" s="48"/>
      <c r="Z244" s="47"/>
      <c r="AA244" s="70">
        <v>244</v>
      </c>
      <c r="AB244" s="70"/>
      <c r="AC244" s="71"/>
      <c r="AD244" s="86" t="s">
        <v>23882</v>
      </c>
      <c r="AE244" s="94" t="s">
        <v>22920</v>
      </c>
      <c r="AF244" s="86">
        <v>33</v>
      </c>
      <c r="AG244" s="86">
        <v>22</v>
      </c>
      <c r="AH244" s="86">
        <v>1336</v>
      </c>
      <c r="AI244" s="86">
        <v>0</v>
      </c>
      <c r="AJ244" s="86">
        <v>9</v>
      </c>
      <c r="AK244" s="86">
        <v>1334</v>
      </c>
      <c r="AL244" s="86" t="b">
        <v>0</v>
      </c>
      <c r="AM244" s="89">
        <v>43154.057013888887</v>
      </c>
      <c r="AN244" s="86" t="s">
        <v>25967</v>
      </c>
      <c r="AO244" s="86" t="s">
        <v>26642</v>
      </c>
      <c r="AP244" s="96" t="str">
        <f>HYPERLINK("https://t.co/SHKHnsaiV9")</f>
        <v>https://t.co/SHKHnsaiV9</v>
      </c>
      <c r="AQ244" s="96" t="str">
        <f>HYPERLINK("http://barbicontabil.com.br/")</f>
        <v>http://barbicontabil.com.br/</v>
      </c>
      <c r="AR244" s="86" t="s">
        <v>28067</v>
      </c>
      <c r="AS244" s="86"/>
      <c r="AT244" s="86"/>
      <c r="AU244" s="86"/>
      <c r="AV244" s="86"/>
      <c r="AW244" s="96" t="str">
        <f>HYPERLINK("https://t.co/SHKHnsaiV9")</f>
        <v>https://t.co/SHKHnsaiV9</v>
      </c>
      <c r="AX244" s="86" t="b">
        <v>0</v>
      </c>
      <c r="AY244" s="86"/>
      <c r="AZ244" s="86"/>
      <c r="BA244" s="86" t="b">
        <v>0</v>
      </c>
      <c r="BB244" s="86" t="b">
        <v>1</v>
      </c>
      <c r="BC244" s="86" t="b">
        <v>0</v>
      </c>
      <c r="BD244" s="86" t="b">
        <v>0</v>
      </c>
      <c r="BE244" s="86" t="b">
        <v>0</v>
      </c>
      <c r="BF244" s="86" t="b">
        <v>0</v>
      </c>
      <c r="BG244" s="86" t="b">
        <v>0</v>
      </c>
      <c r="BH244" s="96" t="str">
        <f>HYPERLINK("https://pbs.twimg.com/profile_banners/966845588661776389/1519349320")</f>
        <v>https://pbs.twimg.com/profile_banners/966845588661776389/1519349320</v>
      </c>
      <c r="BI244" s="86"/>
      <c r="BJ244" s="86" t="s">
        <v>29134</v>
      </c>
      <c r="BK244" s="86" t="b">
        <v>0</v>
      </c>
      <c r="BL244" s="86"/>
      <c r="BM244" s="86" t="s">
        <v>66</v>
      </c>
      <c r="BN244" s="86" t="s">
        <v>29136</v>
      </c>
      <c r="BO244" s="96" t="str">
        <f>HYPERLINK("https://twitter.com/barbi_contabil")</f>
        <v>https://twitter.com/barbi_contabil</v>
      </c>
      <c r="BP244" s="2"/>
    </row>
    <row r="245" spans="1:68" x14ac:dyDescent="0.25">
      <c r="A245" s="63" t="s">
        <v>440</v>
      </c>
      <c r="B245" s="64"/>
      <c r="C245" s="64"/>
      <c r="D245" s="65"/>
      <c r="E245" s="67"/>
      <c r="F245" s="111" t="str">
        <f>HYPERLINK("https://pbs.twimg.com/profile_images/1690063981807898624/Mc0jI_t2_normal.jpg")</f>
        <v>https://pbs.twimg.com/profile_images/1690063981807898624/Mc0jI_t2_normal.jpg</v>
      </c>
      <c r="G245" s="64"/>
      <c r="H245" s="68"/>
      <c r="I245" s="69"/>
      <c r="J245" s="69"/>
      <c r="K245" s="68" t="s">
        <v>29378</v>
      </c>
      <c r="L245" s="72"/>
      <c r="M245" s="73"/>
      <c r="N245" s="73"/>
      <c r="O245" s="74"/>
      <c r="P245" s="75"/>
      <c r="Q245" s="75"/>
      <c r="R245" s="102"/>
      <c r="S245" s="102"/>
      <c r="T245" s="102"/>
      <c r="U245" s="102"/>
      <c r="V245" s="48"/>
      <c r="W245" s="48"/>
      <c r="X245" s="48"/>
      <c r="Y245" s="48"/>
      <c r="Z245" s="47"/>
      <c r="AA245" s="70">
        <v>245</v>
      </c>
      <c r="AB245" s="70"/>
      <c r="AC245" s="71"/>
      <c r="AD245" s="86" t="s">
        <v>23883</v>
      </c>
      <c r="AE245" s="94" t="s">
        <v>22921</v>
      </c>
      <c r="AF245" s="86">
        <v>3</v>
      </c>
      <c r="AG245" s="86">
        <v>11</v>
      </c>
      <c r="AH245" s="86">
        <v>2</v>
      </c>
      <c r="AI245" s="86">
        <v>0</v>
      </c>
      <c r="AJ245" s="86">
        <v>1</v>
      </c>
      <c r="AK245" s="86">
        <v>1</v>
      </c>
      <c r="AL245" s="86" t="b">
        <v>0</v>
      </c>
      <c r="AM245" s="89">
        <v>45149.756678240738</v>
      </c>
      <c r="AN245" s="86"/>
      <c r="AO245" s="86" t="s">
        <v>26643</v>
      </c>
      <c r="AP245" s="96" t="str">
        <f>HYPERLINK("https://t.co/8sOinUtVk4")</f>
        <v>https://t.co/8sOinUtVk4</v>
      </c>
      <c r="AQ245" s="96" t="str">
        <f>HYPERLINK("https://www.facebook.com/profile.php?id=61550844862053&amp;mibextid=ZbWKwL")</f>
        <v>https://www.facebook.com/profile.php?id=61550844862053&amp;mibextid=ZbWKwL</v>
      </c>
      <c r="AR245" s="86" t="s">
        <v>28068</v>
      </c>
      <c r="AS245" s="86"/>
      <c r="AT245" s="86"/>
      <c r="AU245" s="86"/>
      <c r="AV245" s="86"/>
      <c r="AW245" s="96" t="str">
        <f>HYPERLINK("https://t.co/8sOinUtVk4")</f>
        <v>https://t.co/8sOinUtVk4</v>
      </c>
      <c r="AX245" s="86" t="b">
        <v>0</v>
      </c>
      <c r="AY245" s="86"/>
      <c r="AZ245" s="86"/>
      <c r="BA245" s="86" t="b">
        <v>0</v>
      </c>
      <c r="BB245" s="86" t="b">
        <v>1</v>
      </c>
      <c r="BC245" s="86" t="b">
        <v>1</v>
      </c>
      <c r="BD245" s="86" t="b">
        <v>0</v>
      </c>
      <c r="BE245" s="86" t="b">
        <v>0</v>
      </c>
      <c r="BF245" s="86" t="b">
        <v>0</v>
      </c>
      <c r="BG245" s="86" t="b">
        <v>0</v>
      </c>
      <c r="BH245" s="96" t="str">
        <f>HYPERLINK("https://pbs.twimg.com/profile_banners/1690062784535420930/1691777770")</f>
        <v>https://pbs.twimg.com/profile_banners/1690062784535420930/1691777770</v>
      </c>
      <c r="BI245" s="86"/>
      <c r="BJ245" s="86" t="s">
        <v>29134</v>
      </c>
      <c r="BK245" s="86" t="b">
        <v>0</v>
      </c>
      <c r="BL245" s="86"/>
      <c r="BM245" s="86" t="s">
        <v>66</v>
      </c>
      <c r="BN245" s="86" t="s">
        <v>29136</v>
      </c>
      <c r="BO245" s="96" t="str">
        <f>HYPERLINK("https://twitter.com/passomilionari0")</f>
        <v>https://twitter.com/passomilionari0</v>
      </c>
      <c r="BP245" s="2"/>
    </row>
    <row r="246" spans="1:68" x14ac:dyDescent="0.25">
      <c r="A246" s="63" t="s">
        <v>441</v>
      </c>
      <c r="B246" s="64"/>
      <c r="C246" s="64"/>
      <c r="D246" s="65"/>
      <c r="E246" s="67"/>
      <c r="F246" s="111" t="str">
        <f>HYPERLINK("https://pbs.twimg.com/profile_images/1655595018537558017/OSWRMYCJ_normal.jpg")</f>
        <v>https://pbs.twimg.com/profile_images/1655595018537558017/OSWRMYCJ_normal.jpg</v>
      </c>
      <c r="G246" s="64"/>
      <c r="H246" s="68"/>
      <c r="I246" s="69"/>
      <c r="J246" s="69"/>
      <c r="K246" s="68" t="s">
        <v>29379</v>
      </c>
      <c r="L246" s="72"/>
      <c r="M246" s="73"/>
      <c r="N246" s="73"/>
      <c r="O246" s="74"/>
      <c r="P246" s="75"/>
      <c r="Q246" s="75"/>
      <c r="R246" s="102"/>
      <c r="S246" s="102"/>
      <c r="T246" s="102"/>
      <c r="U246" s="102"/>
      <c r="V246" s="48"/>
      <c r="W246" s="48"/>
      <c r="X246" s="48"/>
      <c r="Y246" s="48"/>
      <c r="Z246" s="47"/>
      <c r="AA246" s="70">
        <v>246</v>
      </c>
      <c r="AB246" s="70"/>
      <c r="AC246" s="71"/>
      <c r="AD246" s="86" t="s">
        <v>23884</v>
      </c>
      <c r="AE246" s="94" t="s">
        <v>22922</v>
      </c>
      <c r="AF246" s="86">
        <v>7</v>
      </c>
      <c r="AG246" s="86">
        <v>8</v>
      </c>
      <c r="AH246" s="86">
        <v>380</v>
      </c>
      <c r="AI246" s="86">
        <v>1</v>
      </c>
      <c r="AJ246" s="86">
        <v>1</v>
      </c>
      <c r="AK246" s="86">
        <v>11</v>
      </c>
      <c r="AL246" s="86" t="b">
        <v>0</v>
      </c>
      <c r="AM246" s="89">
        <v>45040.520509259259</v>
      </c>
      <c r="AN246" s="86" t="s">
        <v>15234</v>
      </c>
      <c r="AO246" s="86" t="s">
        <v>26644</v>
      </c>
      <c r="AP246" s="96" t="str">
        <f>HYPERLINK("https://t.co/eIIU0lt2xH")</f>
        <v>https://t.co/eIIU0lt2xH</v>
      </c>
      <c r="AQ246" s="96" t="str">
        <f>HYPERLINK("https://www.recebeaqui.com/")</f>
        <v>https://www.recebeaqui.com/</v>
      </c>
      <c r="AR246" s="86" t="s">
        <v>8405</v>
      </c>
      <c r="AS246" s="86"/>
      <c r="AT246" s="86"/>
      <c r="AU246" s="86"/>
      <c r="AV246" s="86"/>
      <c r="AW246" s="96" t="str">
        <f>HYPERLINK("https://t.co/eIIU0lt2xH")</f>
        <v>https://t.co/eIIU0lt2xH</v>
      </c>
      <c r="AX246" s="86" t="b">
        <v>1</v>
      </c>
      <c r="AY246" s="86"/>
      <c r="AZ246" s="86"/>
      <c r="BA246" s="86" t="b">
        <v>0</v>
      </c>
      <c r="BB246" s="86" t="b">
        <v>1</v>
      </c>
      <c r="BC246" s="86" t="b">
        <v>1</v>
      </c>
      <c r="BD246" s="86" t="b">
        <v>0</v>
      </c>
      <c r="BE246" s="86" t="b">
        <v>0</v>
      </c>
      <c r="BF246" s="86" t="b">
        <v>0</v>
      </c>
      <c r="BG246" s="86" t="b">
        <v>0</v>
      </c>
      <c r="BH246" s="96" t="str">
        <f>HYPERLINK("https://pbs.twimg.com/profile_banners/1650476997015904256/1683638057")</f>
        <v>https://pbs.twimg.com/profile_banners/1650476997015904256/1683638057</v>
      </c>
      <c r="BI246" s="86"/>
      <c r="BJ246" s="86" t="s">
        <v>29134</v>
      </c>
      <c r="BK246" s="86" t="b">
        <v>0</v>
      </c>
      <c r="BL246" s="86"/>
      <c r="BM246" s="86" t="s">
        <v>66</v>
      </c>
      <c r="BN246" s="86" t="s">
        <v>29136</v>
      </c>
      <c r="BO246" s="96" t="str">
        <f>HYPERLINK("https://twitter.com/recebeaqui")</f>
        <v>https://twitter.com/recebeaqui</v>
      </c>
      <c r="BP246" s="2"/>
    </row>
    <row r="247" spans="1:68" x14ac:dyDescent="0.25">
      <c r="A247" s="63" t="s">
        <v>442</v>
      </c>
      <c r="B247" s="64"/>
      <c r="C247" s="64"/>
      <c r="D247" s="65"/>
      <c r="E247" s="67"/>
      <c r="F247" s="111" t="str">
        <f>HYPERLINK("https://pbs.twimg.com/profile_images/1489317323433549828/TUTz5Oqn_normal.jpg")</f>
        <v>https://pbs.twimg.com/profile_images/1489317323433549828/TUTz5Oqn_normal.jpg</v>
      </c>
      <c r="G247" s="64"/>
      <c r="H247" s="68"/>
      <c r="I247" s="69"/>
      <c r="J247" s="69"/>
      <c r="K247" s="68" t="s">
        <v>29380</v>
      </c>
      <c r="L247" s="72"/>
      <c r="M247" s="73"/>
      <c r="N247" s="73"/>
      <c r="O247" s="74"/>
      <c r="P247" s="75"/>
      <c r="Q247" s="75"/>
      <c r="R247" s="102"/>
      <c r="S247" s="102"/>
      <c r="T247" s="102"/>
      <c r="U247" s="102"/>
      <c r="V247" s="48"/>
      <c r="W247" s="48"/>
      <c r="X247" s="48"/>
      <c r="Y247" s="48"/>
      <c r="Z247" s="47"/>
      <c r="AA247" s="70">
        <v>247</v>
      </c>
      <c r="AB247" s="70"/>
      <c r="AC247" s="71"/>
      <c r="AD247" s="86" t="s">
        <v>23885</v>
      </c>
      <c r="AE247" s="94" t="s">
        <v>22923</v>
      </c>
      <c r="AF247" s="86">
        <v>42</v>
      </c>
      <c r="AG247" s="86">
        <v>62</v>
      </c>
      <c r="AH247" s="86">
        <v>37</v>
      </c>
      <c r="AI247" s="86">
        <v>0</v>
      </c>
      <c r="AJ247" s="86">
        <v>94</v>
      </c>
      <c r="AK247" s="86">
        <v>23</v>
      </c>
      <c r="AL247" s="86" t="b">
        <v>0</v>
      </c>
      <c r="AM247" s="89">
        <v>42887.074340277781</v>
      </c>
      <c r="AN247" s="86"/>
      <c r="AO247" s="86" t="s">
        <v>26645</v>
      </c>
      <c r="AP247" s="96" t="str">
        <f>HYPERLINK("https://t.co/pbigRltL9G")</f>
        <v>https://t.co/pbigRltL9G</v>
      </c>
      <c r="AQ247" s="96" t="str">
        <f>HYPERLINK("https://www.agiwork.com.br")</f>
        <v>https://www.agiwork.com.br</v>
      </c>
      <c r="AR247" s="86" t="s">
        <v>28069</v>
      </c>
      <c r="AS247" s="86"/>
      <c r="AT247" s="86"/>
      <c r="AU247" s="86"/>
      <c r="AV247" s="86"/>
      <c r="AW247" s="96" t="str">
        <f>HYPERLINK("https://t.co/pbigRltL9G")</f>
        <v>https://t.co/pbigRltL9G</v>
      </c>
      <c r="AX247" s="86" t="b">
        <v>0</v>
      </c>
      <c r="AY247" s="86"/>
      <c r="AZ247" s="86"/>
      <c r="BA247" s="86" t="b">
        <v>0</v>
      </c>
      <c r="BB247" s="86" t="b">
        <v>1</v>
      </c>
      <c r="BC247" s="86" t="b">
        <v>0</v>
      </c>
      <c r="BD247" s="86" t="b">
        <v>0</v>
      </c>
      <c r="BE247" s="86" t="b">
        <v>0</v>
      </c>
      <c r="BF247" s="86" t="b">
        <v>0</v>
      </c>
      <c r="BG247" s="86" t="b">
        <v>0</v>
      </c>
      <c r="BH247" s="96" t="str">
        <f>HYPERLINK("https://pbs.twimg.com/profile_banners/870094309411999745/1643915996")</f>
        <v>https://pbs.twimg.com/profile_banners/870094309411999745/1643915996</v>
      </c>
      <c r="BI247" s="86"/>
      <c r="BJ247" s="86" t="s">
        <v>29134</v>
      </c>
      <c r="BK247" s="86" t="b">
        <v>0</v>
      </c>
      <c r="BL247" s="86"/>
      <c r="BM247" s="86" t="s">
        <v>66</v>
      </c>
      <c r="BN247" s="86" t="s">
        <v>29136</v>
      </c>
      <c r="BO247" s="96" t="str">
        <f>HYPERLINK("https://twitter.com/agiwork")</f>
        <v>https://twitter.com/agiwork</v>
      </c>
      <c r="BP247" s="2"/>
    </row>
    <row r="248" spans="1:68" x14ac:dyDescent="0.25">
      <c r="A248" s="63" t="s">
        <v>443</v>
      </c>
      <c r="B248" s="64"/>
      <c r="C248" s="64"/>
      <c r="D248" s="65"/>
      <c r="E248" s="67"/>
      <c r="F248" s="111" t="str">
        <f>HYPERLINK("https://pbs.twimg.com/profile_images/1243132106458517504/e9o3EBqj_normal.jpg")</f>
        <v>https://pbs.twimg.com/profile_images/1243132106458517504/e9o3EBqj_normal.jpg</v>
      </c>
      <c r="G248" s="64"/>
      <c r="H248" s="68"/>
      <c r="I248" s="69"/>
      <c r="J248" s="69"/>
      <c r="K248" s="68" t="s">
        <v>29381</v>
      </c>
      <c r="L248" s="72"/>
      <c r="M248" s="73"/>
      <c r="N248" s="73"/>
      <c r="O248" s="74"/>
      <c r="P248" s="75"/>
      <c r="Q248" s="75"/>
      <c r="R248" s="102"/>
      <c r="S248" s="102"/>
      <c r="T248" s="102"/>
      <c r="U248" s="102"/>
      <c r="V248" s="48"/>
      <c r="W248" s="48"/>
      <c r="X248" s="48"/>
      <c r="Y248" s="48"/>
      <c r="Z248" s="47"/>
      <c r="AA248" s="70">
        <v>248</v>
      </c>
      <c r="AB248" s="70"/>
      <c r="AC248" s="71"/>
      <c r="AD248" s="86" t="s">
        <v>23886</v>
      </c>
      <c r="AE248" s="94" t="s">
        <v>22924</v>
      </c>
      <c r="AF248" s="86">
        <v>5</v>
      </c>
      <c r="AG248" s="86">
        <v>0</v>
      </c>
      <c r="AH248" s="86">
        <v>1427</v>
      </c>
      <c r="AI248" s="86">
        <v>0</v>
      </c>
      <c r="AJ248" s="86">
        <v>0</v>
      </c>
      <c r="AK248" s="86">
        <v>1410</v>
      </c>
      <c r="AL248" s="86" t="b">
        <v>0</v>
      </c>
      <c r="AM248" s="89">
        <v>43916.462372685186</v>
      </c>
      <c r="AN248" s="86"/>
      <c r="AO248" s="86"/>
      <c r="AP248" s="86"/>
      <c r="AQ248" s="86"/>
      <c r="AR248" s="86"/>
      <c r="AS248" s="86"/>
      <c r="AT248" s="86"/>
      <c r="AU248" s="86"/>
      <c r="AV248" s="86"/>
      <c r="AW248" s="86"/>
      <c r="AX248" s="86" t="b">
        <v>0</v>
      </c>
      <c r="AY248" s="86"/>
      <c r="AZ248" s="86"/>
      <c r="BA248" s="86" t="b">
        <v>0</v>
      </c>
      <c r="BB248" s="86" t="b">
        <v>1</v>
      </c>
      <c r="BC248" s="86" t="b">
        <v>1</v>
      </c>
      <c r="BD248" s="86" t="b">
        <v>0</v>
      </c>
      <c r="BE248" s="86" t="b">
        <v>0</v>
      </c>
      <c r="BF248" s="86" t="b">
        <v>0</v>
      </c>
      <c r="BG248" s="86" t="b">
        <v>0</v>
      </c>
      <c r="BH248" s="86"/>
      <c r="BI248" s="86"/>
      <c r="BJ248" s="86" t="s">
        <v>29134</v>
      </c>
      <c r="BK248" s="86" t="b">
        <v>0</v>
      </c>
      <c r="BL248" s="86"/>
      <c r="BM248" s="86" t="s">
        <v>66</v>
      </c>
      <c r="BN248" s="86" t="s">
        <v>29136</v>
      </c>
      <c r="BO248" s="96" t="str">
        <f>HYPERLINK("https://twitter.com/capitaldajoia")</f>
        <v>https://twitter.com/capitaldajoia</v>
      </c>
      <c r="BP248" s="2"/>
    </row>
    <row r="249" spans="1:68" x14ac:dyDescent="0.25">
      <c r="A249" s="63" t="s">
        <v>1638</v>
      </c>
      <c r="B249" s="64"/>
      <c r="C249" s="64"/>
      <c r="D249" s="65"/>
      <c r="E249" s="67"/>
      <c r="F249" s="111" t="str">
        <f>HYPERLINK("https://pbs.twimg.com/profile_images/1645392944008921088/qSGPAsmn_normal.jpg")</f>
        <v>https://pbs.twimg.com/profile_images/1645392944008921088/qSGPAsmn_normal.jpg</v>
      </c>
      <c r="G249" s="64"/>
      <c r="H249" s="68"/>
      <c r="I249" s="69"/>
      <c r="J249" s="69"/>
      <c r="K249" s="68" t="s">
        <v>29382</v>
      </c>
      <c r="L249" s="72"/>
      <c r="M249" s="73"/>
      <c r="N249" s="73"/>
      <c r="O249" s="74"/>
      <c r="P249" s="75"/>
      <c r="Q249" s="75"/>
      <c r="R249" s="102"/>
      <c r="S249" s="102"/>
      <c r="T249" s="102"/>
      <c r="U249" s="102"/>
      <c r="V249" s="48"/>
      <c r="W249" s="48"/>
      <c r="X249" s="48"/>
      <c r="Y249" s="48"/>
      <c r="Z249" s="47"/>
      <c r="AA249" s="70">
        <v>249</v>
      </c>
      <c r="AB249" s="70"/>
      <c r="AC249" s="71"/>
      <c r="AD249" s="86" t="s">
        <v>23887</v>
      </c>
      <c r="AE249" s="94" t="s">
        <v>25308</v>
      </c>
      <c r="AF249" s="86">
        <v>4813</v>
      </c>
      <c r="AG249" s="86">
        <v>706</v>
      </c>
      <c r="AH249" s="86">
        <v>1908</v>
      </c>
      <c r="AI249" s="86">
        <v>117</v>
      </c>
      <c r="AJ249" s="86">
        <v>4246</v>
      </c>
      <c r="AK249" s="86">
        <v>223</v>
      </c>
      <c r="AL249" s="86" t="b">
        <v>0</v>
      </c>
      <c r="AM249" s="89">
        <v>39140.688668981478</v>
      </c>
      <c r="AN249" s="86" t="s">
        <v>25968</v>
      </c>
      <c r="AO249" s="86" t="s">
        <v>26646</v>
      </c>
      <c r="AP249" s="96" t="str">
        <f>HYPERLINK("https://t.co/8ydHiXRllF")</f>
        <v>https://t.co/8ydHiXRllF</v>
      </c>
      <c r="AQ249" s="96" t="str">
        <f>HYPERLINK("http://instagram.com/abrennan9")</f>
        <v>http://instagram.com/abrennan9</v>
      </c>
      <c r="AR249" s="86" t="s">
        <v>28070</v>
      </c>
      <c r="AS249" s="86"/>
      <c r="AT249" s="86"/>
      <c r="AU249" s="86"/>
      <c r="AV249" s="86"/>
      <c r="AW249" s="96" t="str">
        <f>HYPERLINK("https://t.co/8ydHiXRllF")</f>
        <v>https://t.co/8ydHiXRllF</v>
      </c>
      <c r="AX249" s="86" t="b">
        <v>0</v>
      </c>
      <c r="AY249" s="86"/>
      <c r="AZ249" s="86"/>
      <c r="BA249" s="86" t="b">
        <v>0</v>
      </c>
      <c r="BB249" s="86" t="b">
        <v>1</v>
      </c>
      <c r="BC249" s="86" t="b">
        <v>0</v>
      </c>
      <c r="BD249" s="86" t="b">
        <v>0</v>
      </c>
      <c r="BE249" s="86" t="b">
        <v>1</v>
      </c>
      <c r="BF249" s="86" t="b">
        <v>0</v>
      </c>
      <c r="BG249" s="86" t="b">
        <v>0</v>
      </c>
      <c r="BH249" s="96" t="str">
        <f>HYPERLINK("https://pbs.twimg.com/profile_banners/798513/1603025656")</f>
        <v>https://pbs.twimg.com/profile_banners/798513/1603025656</v>
      </c>
      <c r="BI249" s="86"/>
      <c r="BJ249" s="86" t="s">
        <v>29134</v>
      </c>
      <c r="BK249" s="86" t="b">
        <v>0</v>
      </c>
      <c r="BL249" s="86"/>
      <c r="BM249" s="86" t="s">
        <v>65</v>
      </c>
      <c r="BN249" s="86" t="s">
        <v>29136</v>
      </c>
      <c r="BO249" s="96" t="str">
        <f>HYPERLINK("https://twitter.com/ab")</f>
        <v>https://twitter.com/ab</v>
      </c>
      <c r="BP249" s="2"/>
    </row>
    <row r="250" spans="1:68" x14ac:dyDescent="0.25">
      <c r="A250" s="63" t="s">
        <v>444</v>
      </c>
      <c r="B250" s="64"/>
      <c r="C250" s="64"/>
      <c r="D250" s="65"/>
      <c r="E250" s="67"/>
      <c r="F250" s="111" t="str">
        <f>HYPERLINK("https://pbs.twimg.com/profile_images/1174153558658310148/mbX5fAp5_normal.jpg")</f>
        <v>https://pbs.twimg.com/profile_images/1174153558658310148/mbX5fAp5_normal.jpg</v>
      </c>
      <c r="G250" s="64"/>
      <c r="H250" s="68"/>
      <c r="I250" s="69"/>
      <c r="J250" s="69"/>
      <c r="K250" s="68" t="s">
        <v>29383</v>
      </c>
      <c r="L250" s="72"/>
      <c r="M250" s="73"/>
      <c r="N250" s="73"/>
      <c r="O250" s="74"/>
      <c r="P250" s="75"/>
      <c r="Q250" s="75"/>
      <c r="R250" s="102"/>
      <c r="S250" s="102"/>
      <c r="T250" s="102"/>
      <c r="U250" s="102"/>
      <c r="V250" s="48"/>
      <c r="W250" s="48"/>
      <c r="X250" s="48"/>
      <c r="Y250" s="48"/>
      <c r="Z250" s="47"/>
      <c r="AA250" s="70">
        <v>250</v>
      </c>
      <c r="AB250" s="70"/>
      <c r="AC250" s="71"/>
      <c r="AD250" s="86" t="s">
        <v>23888</v>
      </c>
      <c r="AE250" s="94" t="s">
        <v>22925</v>
      </c>
      <c r="AF250" s="86">
        <v>34</v>
      </c>
      <c r="AG250" s="86">
        <v>47</v>
      </c>
      <c r="AH250" s="86">
        <v>481</v>
      </c>
      <c r="AI250" s="86">
        <v>1</v>
      </c>
      <c r="AJ250" s="86">
        <v>2884</v>
      </c>
      <c r="AK250" s="86">
        <v>15</v>
      </c>
      <c r="AL250" s="86" t="b">
        <v>0</v>
      </c>
      <c r="AM250" s="89">
        <v>43702.858368055553</v>
      </c>
      <c r="AN250" s="86" t="s">
        <v>25932</v>
      </c>
      <c r="AO250" s="86" t="s">
        <v>26647</v>
      </c>
      <c r="AP250" s="86"/>
      <c r="AQ250" s="86"/>
      <c r="AR250" s="86"/>
      <c r="AS250" s="86"/>
      <c r="AT250" s="86"/>
      <c r="AU250" s="86"/>
      <c r="AV250" s="86"/>
      <c r="AW250" s="86"/>
      <c r="AX250" s="86" t="b">
        <v>0</v>
      </c>
      <c r="AY250" s="86"/>
      <c r="AZ250" s="86"/>
      <c r="BA250" s="86" t="b">
        <v>0</v>
      </c>
      <c r="BB250" s="86" t="b">
        <v>1</v>
      </c>
      <c r="BC250" s="86" t="b">
        <v>1</v>
      </c>
      <c r="BD250" s="86" t="b">
        <v>0</v>
      </c>
      <c r="BE250" s="86" t="b">
        <v>1</v>
      </c>
      <c r="BF250" s="86" t="b">
        <v>0</v>
      </c>
      <c r="BG250" s="86" t="b">
        <v>0</v>
      </c>
      <c r="BH250" s="96" t="str">
        <f>HYPERLINK("https://pbs.twimg.com/profile_banners/1165724407601537024/1568774386")</f>
        <v>https://pbs.twimg.com/profile_banners/1165724407601537024/1568774386</v>
      </c>
      <c r="BI250" s="86"/>
      <c r="BJ250" s="86" t="s">
        <v>29134</v>
      </c>
      <c r="BK250" s="86" t="b">
        <v>0</v>
      </c>
      <c r="BL250" s="86"/>
      <c r="BM250" s="86" t="s">
        <v>66</v>
      </c>
      <c r="BN250" s="86" t="s">
        <v>29136</v>
      </c>
      <c r="BO250" s="96" t="str">
        <f>HYPERLINK("https://twitter.com/paulotec96")</f>
        <v>https://twitter.com/paulotec96</v>
      </c>
      <c r="BP250" s="2"/>
    </row>
    <row r="251" spans="1:68" x14ac:dyDescent="0.25">
      <c r="A251" s="63" t="s">
        <v>1639</v>
      </c>
      <c r="B251" s="64"/>
      <c r="C251" s="64"/>
      <c r="D251" s="65"/>
      <c r="E251" s="67"/>
      <c r="F251" s="111" t="str">
        <f>HYPERLINK("https://pbs.twimg.com/profile_images/808404276158545920/_IIpS4I2_normal.jpg")</f>
        <v>https://pbs.twimg.com/profile_images/808404276158545920/_IIpS4I2_normal.jpg</v>
      </c>
      <c r="G251" s="64"/>
      <c r="H251" s="68"/>
      <c r="I251" s="69"/>
      <c r="J251" s="69"/>
      <c r="K251" s="68" t="s">
        <v>29384</v>
      </c>
      <c r="L251" s="72"/>
      <c r="M251" s="73"/>
      <c r="N251" s="73"/>
      <c r="O251" s="74"/>
      <c r="P251" s="75"/>
      <c r="Q251" s="75"/>
      <c r="R251" s="102"/>
      <c r="S251" s="102"/>
      <c r="T251" s="102"/>
      <c r="U251" s="102"/>
      <c r="V251" s="48"/>
      <c r="W251" s="48"/>
      <c r="X251" s="48"/>
      <c r="Y251" s="48"/>
      <c r="Z251" s="47"/>
      <c r="AA251" s="70">
        <v>251</v>
      </c>
      <c r="AB251" s="70"/>
      <c r="AC251" s="71"/>
      <c r="AD251" s="86" t="s">
        <v>23889</v>
      </c>
      <c r="AE251" s="94" t="s">
        <v>25309</v>
      </c>
      <c r="AF251" s="86">
        <v>2615559</v>
      </c>
      <c r="AG251" s="86">
        <v>147</v>
      </c>
      <c r="AH251" s="86">
        <v>220029</v>
      </c>
      <c r="AI251" s="86">
        <v>8497</v>
      </c>
      <c r="AJ251" s="86">
        <v>0</v>
      </c>
      <c r="AK251" s="86">
        <v>3343</v>
      </c>
      <c r="AL251" s="86" t="b">
        <v>0</v>
      </c>
      <c r="AM251" s="89">
        <v>39920.80296296296</v>
      </c>
      <c r="AN251" s="86" t="s">
        <v>15234</v>
      </c>
      <c r="AO251" s="86" t="s">
        <v>26648</v>
      </c>
      <c r="AP251" s="96" t="str">
        <f>HYPERLINK("https://t.co/g6RlNmCczX")</f>
        <v>https://t.co/g6RlNmCczX</v>
      </c>
      <c r="AQ251" s="96" t="str">
        <f>HYPERLINK("http://valor.globo.com")</f>
        <v>http://valor.globo.com</v>
      </c>
      <c r="AR251" s="86" t="s">
        <v>28071</v>
      </c>
      <c r="AS251" s="86"/>
      <c r="AT251" s="86"/>
      <c r="AU251" s="86"/>
      <c r="AV251" s="86"/>
      <c r="AW251" s="96" t="str">
        <f>HYPERLINK("https://t.co/g6RlNmCczX")</f>
        <v>https://t.co/g6RlNmCczX</v>
      </c>
      <c r="AX251" s="86" t="b">
        <v>1</v>
      </c>
      <c r="AY251" s="86"/>
      <c r="AZ251" s="86"/>
      <c r="BA251" s="86" t="b">
        <v>0</v>
      </c>
      <c r="BB251" s="86" t="b">
        <v>1</v>
      </c>
      <c r="BC251" s="86" t="b">
        <v>0</v>
      </c>
      <c r="BD251" s="86" t="b">
        <v>0</v>
      </c>
      <c r="BE251" s="86" t="b">
        <v>1</v>
      </c>
      <c r="BF251" s="86" t="b">
        <v>0</v>
      </c>
      <c r="BG251" s="86" t="b">
        <v>0</v>
      </c>
      <c r="BH251" s="96" t="str">
        <f>HYPERLINK("https://pbs.twimg.com/profile_banners/32529120/1476886249")</f>
        <v>https://pbs.twimg.com/profile_banners/32529120/1476886249</v>
      </c>
      <c r="BI251" s="86"/>
      <c r="BJ251" s="86" t="s">
        <v>29134</v>
      </c>
      <c r="BK251" s="86" t="b">
        <v>0</v>
      </c>
      <c r="BL251" s="86"/>
      <c r="BM251" s="86" t="s">
        <v>65</v>
      </c>
      <c r="BN251" s="86" t="s">
        <v>29136</v>
      </c>
      <c r="BO251" s="96" t="str">
        <f>HYPERLINK("https://twitter.com/valoreconomico")</f>
        <v>https://twitter.com/valoreconomico</v>
      </c>
      <c r="BP251" s="2"/>
    </row>
    <row r="252" spans="1:68" x14ac:dyDescent="0.25">
      <c r="A252" s="63" t="s">
        <v>445</v>
      </c>
      <c r="B252" s="64"/>
      <c r="C252" s="64"/>
      <c r="D252" s="65"/>
      <c r="E252" s="67"/>
      <c r="F252" s="111" t="str">
        <f>HYPERLINK("https://pbs.twimg.com/profile_images/1347250473322078208/E2mDDm5p_normal.jpg")</f>
        <v>https://pbs.twimg.com/profile_images/1347250473322078208/E2mDDm5p_normal.jpg</v>
      </c>
      <c r="G252" s="64"/>
      <c r="H252" s="68"/>
      <c r="I252" s="69"/>
      <c r="J252" s="69"/>
      <c r="K252" s="68" t="s">
        <v>29385</v>
      </c>
      <c r="L252" s="72"/>
      <c r="M252" s="73"/>
      <c r="N252" s="73"/>
      <c r="O252" s="74"/>
      <c r="P252" s="75"/>
      <c r="Q252" s="75"/>
      <c r="R252" s="102"/>
      <c r="S252" s="102"/>
      <c r="T252" s="102"/>
      <c r="U252" s="102"/>
      <c r="V252" s="48"/>
      <c r="W252" s="48"/>
      <c r="X252" s="48"/>
      <c r="Y252" s="48"/>
      <c r="Z252" s="47"/>
      <c r="AA252" s="70">
        <v>252</v>
      </c>
      <c r="AB252" s="70"/>
      <c r="AC252" s="71"/>
      <c r="AD252" s="86" t="s">
        <v>23890</v>
      </c>
      <c r="AE252" s="94" t="s">
        <v>25310</v>
      </c>
      <c r="AF252" s="86">
        <v>424</v>
      </c>
      <c r="AG252" s="86">
        <v>977</v>
      </c>
      <c r="AH252" s="86">
        <v>3762</v>
      </c>
      <c r="AI252" s="86">
        <v>0</v>
      </c>
      <c r="AJ252" s="86">
        <v>553</v>
      </c>
      <c r="AK252" s="86">
        <v>1528</v>
      </c>
      <c r="AL252" s="86" t="b">
        <v>0</v>
      </c>
      <c r="AM252" s="89">
        <v>40045.559224537035</v>
      </c>
      <c r="AN252" s="86" t="s">
        <v>25969</v>
      </c>
      <c r="AO252" s="86" t="s">
        <v>26649</v>
      </c>
      <c r="AP252" s="96" t="str">
        <f>HYPERLINK("http://t.co/IvO7VdUSiY")</f>
        <v>http://t.co/IvO7VdUSiY</v>
      </c>
      <c r="AQ252" s="96" t="str">
        <f>HYPERLINK("http://www.centercon.com.br")</f>
        <v>http://www.centercon.com.br</v>
      </c>
      <c r="AR252" s="86" t="s">
        <v>28072</v>
      </c>
      <c r="AS252" s="86"/>
      <c r="AT252" s="86"/>
      <c r="AU252" s="86"/>
      <c r="AV252" s="86">
        <v>1.7038603236802199E+18</v>
      </c>
      <c r="AW252" s="96" t="str">
        <f>HYPERLINK("http://t.co/IvO7VdUSiY")</f>
        <v>http://t.co/IvO7VdUSiY</v>
      </c>
      <c r="AX252" s="86" t="b">
        <v>0</v>
      </c>
      <c r="AY252" s="86"/>
      <c r="AZ252" s="86"/>
      <c r="BA252" s="86" t="b">
        <v>0</v>
      </c>
      <c r="BB252" s="86" t="b">
        <v>1</v>
      </c>
      <c r="BC252" s="86" t="b">
        <v>0</v>
      </c>
      <c r="BD252" s="86" t="b">
        <v>0</v>
      </c>
      <c r="BE252" s="86" t="b">
        <v>1</v>
      </c>
      <c r="BF252" s="86" t="b">
        <v>0</v>
      </c>
      <c r="BG252" s="86" t="b">
        <v>0</v>
      </c>
      <c r="BH252" s="96" t="str">
        <f>HYPERLINK("https://pbs.twimg.com/profile_banners/67313006/1610044519")</f>
        <v>https://pbs.twimg.com/profile_banners/67313006/1610044519</v>
      </c>
      <c r="BI252" s="86"/>
      <c r="BJ252" s="86" t="s">
        <v>29134</v>
      </c>
      <c r="BK252" s="86" t="b">
        <v>0</v>
      </c>
      <c r="BL252" s="86"/>
      <c r="BM252" s="86" t="s">
        <v>66</v>
      </c>
      <c r="BN252" s="86" t="s">
        <v>29136</v>
      </c>
      <c r="BO252" s="96" t="str">
        <f>HYPERLINK("https://twitter.com/grupo_centercon")</f>
        <v>https://twitter.com/grupo_centercon</v>
      </c>
      <c r="BP252" s="2"/>
    </row>
    <row r="253" spans="1:68" x14ac:dyDescent="0.25">
      <c r="A253" s="63" t="s">
        <v>446</v>
      </c>
      <c r="B253" s="64"/>
      <c r="C253" s="64"/>
      <c r="D253" s="65"/>
      <c r="E253" s="67"/>
      <c r="F253" s="111" t="str">
        <f>HYPERLINK("https://pbs.twimg.com/profile_images/1380521463527186434/nJ-2woyc_normal.jpg")</f>
        <v>https://pbs.twimg.com/profile_images/1380521463527186434/nJ-2woyc_normal.jpg</v>
      </c>
      <c r="G253" s="64"/>
      <c r="H253" s="68"/>
      <c r="I253" s="69"/>
      <c r="J253" s="69"/>
      <c r="K253" s="68" t="s">
        <v>29386</v>
      </c>
      <c r="L253" s="72"/>
      <c r="M253" s="73"/>
      <c r="N253" s="73"/>
      <c r="O253" s="74"/>
      <c r="P253" s="75"/>
      <c r="Q253" s="75"/>
      <c r="R253" s="102"/>
      <c r="S253" s="102"/>
      <c r="T253" s="102"/>
      <c r="U253" s="102"/>
      <c r="V253" s="48"/>
      <c r="W253" s="48"/>
      <c r="X253" s="48"/>
      <c r="Y253" s="48"/>
      <c r="Z253" s="47"/>
      <c r="AA253" s="70">
        <v>253</v>
      </c>
      <c r="AB253" s="70"/>
      <c r="AC253" s="71"/>
      <c r="AD253" s="86" t="s">
        <v>23891</v>
      </c>
      <c r="AE253" s="94" t="s">
        <v>22926</v>
      </c>
      <c r="AF253" s="86">
        <v>0</v>
      </c>
      <c r="AG253" s="86">
        <v>34</v>
      </c>
      <c r="AH253" s="86">
        <v>32</v>
      </c>
      <c r="AI253" s="86">
        <v>0</v>
      </c>
      <c r="AJ253" s="86">
        <v>13</v>
      </c>
      <c r="AK253" s="86">
        <v>11</v>
      </c>
      <c r="AL253" s="86" t="b">
        <v>0</v>
      </c>
      <c r="AM253" s="89">
        <v>44295.564687500002</v>
      </c>
      <c r="AN253" s="86" t="s">
        <v>15378</v>
      </c>
      <c r="AO253" s="86" t="s">
        <v>26650</v>
      </c>
      <c r="AP253" s="96" t="str">
        <f>HYPERLINK("https://t.co/xSTnAXED2C")</f>
        <v>https://t.co/xSTnAXED2C</v>
      </c>
      <c r="AQ253" s="96" t="str">
        <f>HYPERLINK("http://www.paineiracontabilidade.com.br/")</f>
        <v>http://www.paineiracontabilidade.com.br/</v>
      </c>
      <c r="AR253" s="86" t="s">
        <v>28073</v>
      </c>
      <c r="AS253" s="86"/>
      <c r="AT253" s="86"/>
      <c r="AU253" s="86"/>
      <c r="AV253" s="86"/>
      <c r="AW253" s="96" t="str">
        <f>HYPERLINK("https://t.co/xSTnAXED2C")</f>
        <v>https://t.co/xSTnAXED2C</v>
      </c>
      <c r="AX253" s="86" t="b">
        <v>0</v>
      </c>
      <c r="AY253" s="86"/>
      <c r="AZ253" s="86"/>
      <c r="BA253" s="86" t="b">
        <v>0</v>
      </c>
      <c r="BB253" s="86" t="b">
        <v>1</v>
      </c>
      <c r="BC253" s="86" t="b">
        <v>1</v>
      </c>
      <c r="BD253" s="86" t="b">
        <v>0</v>
      </c>
      <c r="BE253" s="86" t="b">
        <v>0</v>
      </c>
      <c r="BF253" s="86" t="b">
        <v>0</v>
      </c>
      <c r="BG253" s="86" t="b">
        <v>0</v>
      </c>
      <c r="BH253" s="96" t="str">
        <f>HYPERLINK("https://pbs.twimg.com/profile_banners/1380513863666446341/1618575925")</f>
        <v>https://pbs.twimg.com/profile_banners/1380513863666446341/1618575925</v>
      </c>
      <c r="BI253" s="86"/>
      <c r="BJ253" s="86" t="s">
        <v>29134</v>
      </c>
      <c r="BK253" s="86" t="b">
        <v>0</v>
      </c>
      <c r="BL253" s="86"/>
      <c r="BM253" s="86" t="s">
        <v>66</v>
      </c>
      <c r="BN253" s="86" t="s">
        <v>29136</v>
      </c>
      <c r="BO253" s="96" t="str">
        <f>HYPERLINK("https://twitter.com/paineiraa")</f>
        <v>https://twitter.com/paineiraa</v>
      </c>
      <c r="BP253" s="2"/>
    </row>
    <row r="254" spans="1:68" x14ac:dyDescent="0.25">
      <c r="A254" s="63" t="s">
        <v>653</v>
      </c>
      <c r="B254" s="64"/>
      <c r="C254" s="64"/>
      <c r="D254" s="65"/>
      <c r="E254" s="67"/>
      <c r="F254" s="111" t="str">
        <f>HYPERLINK("https://pbs.twimg.com/profile_images/1552359995030863872/7rwJL2ra_normal.jpg")</f>
        <v>https://pbs.twimg.com/profile_images/1552359995030863872/7rwJL2ra_normal.jpg</v>
      </c>
      <c r="G254" s="64"/>
      <c r="H254" s="68"/>
      <c r="I254" s="69"/>
      <c r="J254" s="69"/>
      <c r="K254" s="68" t="s">
        <v>29387</v>
      </c>
      <c r="L254" s="72"/>
      <c r="M254" s="73"/>
      <c r="N254" s="73"/>
      <c r="O254" s="74"/>
      <c r="P254" s="75"/>
      <c r="Q254" s="75"/>
      <c r="R254" s="102"/>
      <c r="S254" s="102"/>
      <c r="T254" s="102"/>
      <c r="U254" s="102"/>
      <c r="V254" s="48"/>
      <c r="W254" s="48"/>
      <c r="X254" s="48"/>
      <c r="Y254" s="48"/>
      <c r="Z254" s="47"/>
      <c r="AA254" s="70">
        <v>254</v>
      </c>
      <c r="AB254" s="70"/>
      <c r="AC254" s="71"/>
      <c r="AD254" s="86" t="s">
        <v>23892</v>
      </c>
      <c r="AE254" s="94" t="s">
        <v>25311</v>
      </c>
      <c r="AF254" s="86">
        <v>172618</v>
      </c>
      <c r="AG254" s="86">
        <v>251</v>
      </c>
      <c r="AH254" s="86">
        <v>37884</v>
      </c>
      <c r="AI254" s="86">
        <v>2643</v>
      </c>
      <c r="AJ254" s="86">
        <v>315</v>
      </c>
      <c r="AK254" s="86">
        <v>12037</v>
      </c>
      <c r="AL254" s="86" t="b">
        <v>0</v>
      </c>
      <c r="AM254" s="89">
        <v>39324.626851851855</v>
      </c>
      <c r="AN254" s="86"/>
      <c r="AO254" s="86" t="s">
        <v>26651</v>
      </c>
      <c r="AP254" s="96" t="str">
        <f>HYPERLINK("https://t.co/Eku4I8ut4Z")</f>
        <v>https://t.co/Eku4I8ut4Z</v>
      </c>
      <c r="AQ254" s="96" t="str">
        <f>HYPERLINK("https://linktr.ee/mundodomarketing")</f>
        <v>https://linktr.ee/mundodomarketing</v>
      </c>
      <c r="AR254" s="86" t="s">
        <v>28074</v>
      </c>
      <c r="AS254" s="86"/>
      <c r="AT254" s="86"/>
      <c r="AU254" s="86"/>
      <c r="AV254" s="86"/>
      <c r="AW254" s="96" t="str">
        <f>HYPERLINK("https://t.co/Eku4I8ut4Z")</f>
        <v>https://t.co/Eku4I8ut4Z</v>
      </c>
      <c r="AX254" s="86" t="b">
        <v>0</v>
      </c>
      <c r="AY254" s="86"/>
      <c r="AZ254" s="86"/>
      <c r="BA254" s="86" t="b">
        <v>1</v>
      </c>
      <c r="BB254" s="86" t="b">
        <v>1</v>
      </c>
      <c r="BC254" s="86" t="b">
        <v>0</v>
      </c>
      <c r="BD254" s="86" t="b">
        <v>0</v>
      </c>
      <c r="BE254" s="86" t="b">
        <v>0</v>
      </c>
      <c r="BF254" s="86" t="b">
        <v>0</v>
      </c>
      <c r="BG254" s="86" t="b">
        <v>0</v>
      </c>
      <c r="BH254" s="96" t="str">
        <f>HYPERLINK("https://pbs.twimg.com/profile_banners/8536272/1636482474")</f>
        <v>https://pbs.twimg.com/profile_banners/8536272/1636482474</v>
      </c>
      <c r="BI254" s="86"/>
      <c r="BJ254" s="86" t="s">
        <v>29134</v>
      </c>
      <c r="BK254" s="86" t="b">
        <v>0</v>
      </c>
      <c r="BL254" s="86"/>
      <c r="BM254" s="86" t="s">
        <v>66</v>
      </c>
      <c r="BN254" s="86" t="s">
        <v>29136</v>
      </c>
      <c r="BO254" s="96" t="str">
        <f>HYPERLINK("https://twitter.com/mundodmarketing")</f>
        <v>https://twitter.com/mundodmarketing</v>
      </c>
      <c r="BP254" s="2"/>
    </row>
    <row r="255" spans="1:68" x14ac:dyDescent="0.25">
      <c r="A255" s="63" t="s">
        <v>447</v>
      </c>
      <c r="B255" s="64"/>
      <c r="C255" s="64"/>
      <c r="D255" s="65"/>
      <c r="E255" s="67"/>
      <c r="F255" s="111" t="str">
        <f>HYPERLINK("https://pbs.twimg.com/profile_images/1675876097949331456/XPGkQfUT_normal.jpg")</f>
        <v>https://pbs.twimg.com/profile_images/1675876097949331456/XPGkQfUT_normal.jpg</v>
      </c>
      <c r="G255" s="64"/>
      <c r="H255" s="68"/>
      <c r="I255" s="69"/>
      <c r="J255" s="69"/>
      <c r="K255" s="68" t="s">
        <v>29388</v>
      </c>
      <c r="L255" s="72"/>
      <c r="M255" s="73"/>
      <c r="N255" s="73"/>
      <c r="O255" s="74"/>
      <c r="P255" s="75"/>
      <c r="Q255" s="75"/>
      <c r="R255" s="102"/>
      <c r="S255" s="102"/>
      <c r="T255" s="102"/>
      <c r="U255" s="102"/>
      <c r="V255" s="48"/>
      <c r="W255" s="48"/>
      <c r="X255" s="48"/>
      <c r="Y255" s="48"/>
      <c r="Z255" s="47"/>
      <c r="AA255" s="70">
        <v>255</v>
      </c>
      <c r="AB255" s="70"/>
      <c r="AC255" s="71"/>
      <c r="AD255" s="86" t="s">
        <v>447</v>
      </c>
      <c r="AE255" s="94" t="s">
        <v>22927</v>
      </c>
      <c r="AF255" s="86">
        <v>0</v>
      </c>
      <c r="AG255" s="86">
        <v>16</v>
      </c>
      <c r="AH255" s="86">
        <v>7</v>
      </c>
      <c r="AI255" s="86">
        <v>0</v>
      </c>
      <c r="AJ255" s="86">
        <v>5</v>
      </c>
      <c r="AK255" s="86">
        <v>0</v>
      </c>
      <c r="AL255" s="86" t="b">
        <v>0</v>
      </c>
      <c r="AM255" s="89">
        <v>45110.581782407404</v>
      </c>
      <c r="AN255" s="86" t="s">
        <v>15246</v>
      </c>
      <c r="AO255" s="86" t="s">
        <v>26652</v>
      </c>
      <c r="AP255" s="86"/>
      <c r="AQ255" s="86"/>
      <c r="AR255" s="86"/>
      <c r="AS255" s="86"/>
      <c r="AT255" s="86"/>
      <c r="AU255" s="86"/>
      <c r="AV255" s="86"/>
      <c r="AW255" s="86"/>
      <c r="AX255" s="86" t="b">
        <v>0</v>
      </c>
      <c r="AY255" s="86"/>
      <c r="AZ255" s="86"/>
      <c r="BA255" s="86" t="b">
        <v>0</v>
      </c>
      <c r="BB255" s="86" t="b">
        <v>1</v>
      </c>
      <c r="BC255" s="86" t="b">
        <v>1</v>
      </c>
      <c r="BD255" s="86" t="b">
        <v>0</v>
      </c>
      <c r="BE255" s="86" t="b">
        <v>0</v>
      </c>
      <c r="BF255" s="86" t="b">
        <v>0</v>
      </c>
      <c r="BG255" s="86" t="b">
        <v>0</v>
      </c>
      <c r="BH255" s="96" t="str">
        <f>HYPERLINK("https://pbs.twimg.com/profile_banners/1675866187547156480/1688394989")</f>
        <v>https://pbs.twimg.com/profile_banners/1675866187547156480/1688394989</v>
      </c>
      <c r="BI255" s="86"/>
      <c r="BJ255" s="86" t="s">
        <v>29134</v>
      </c>
      <c r="BK255" s="86" t="b">
        <v>0</v>
      </c>
      <c r="BL255" s="86"/>
      <c r="BM255" s="86" t="s">
        <v>66</v>
      </c>
      <c r="BN255" s="86" t="s">
        <v>29136</v>
      </c>
      <c r="BO255" s="96" t="str">
        <f>HYPERLINK("https://twitter.com/indanna_gestao")</f>
        <v>https://twitter.com/indanna_gestao</v>
      </c>
      <c r="BP255" s="2"/>
    </row>
    <row r="256" spans="1:68" x14ac:dyDescent="0.25">
      <c r="A256" s="63" t="s">
        <v>448</v>
      </c>
      <c r="B256" s="64"/>
      <c r="C256" s="64"/>
      <c r="D256" s="65"/>
      <c r="E256" s="67"/>
      <c r="F256" s="111" t="str">
        <f>HYPERLINK("https://pbs.twimg.com/profile_images/1372616587254104068/XrNjR8LA_normal.jpg")</f>
        <v>https://pbs.twimg.com/profile_images/1372616587254104068/XrNjR8LA_normal.jpg</v>
      </c>
      <c r="G256" s="64"/>
      <c r="H256" s="68"/>
      <c r="I256" s="69"/>
      <c r="J256" s="69"/>
      <c r="K256" s="68" t="s">
        <v>29389</v>
      </c>
      <c r="L256" s="72"/>
      <c r="M256" s="73"/>
      <c r="N256" s="73"/>
      <c r="O256" s="74"/>
      <c r="P256" s="75"/>
      <c r="Q256" s="75"/>
      <c r="R256" s="102"/>
      <c r="S256" s="102"/>
      <c r="T256" s="102"/>
      <c r="U256" s="102"/>
      <c r="V256" s="48"/>
      <c r="W256" s="48"/>
      <c r="X256" s="48"/>
      <c r="Y256" s="48"/>
      <c r="Z256" s="47"/>
      <c r="AA256" s="70">
        <v>256</v>
      </c>
      <c r="AB256" s="70"/>
      <c r="AC256" s="71"/>
      <c r="AD256" s="86" t="s">
        <v>23893</v>
      </c>
      <c r="AE256" s="94" t="s">
        <v>22928</v>
      </c>
      <c r="AF256" s="86">
        <v>2214</v>
      </c>
      <c r="AG256" s="86">
        <v>125</v>
      </c>
      <c r="AH256" s="86">
        <v>1806</v>
      </c>
      <c r="AI256" s="86">
        <v>4</v>
      </c>
      <c r="AJ256" s="86">
        <v>75</v>
      </c>
      <c r="AK256" s="86">
        <v>1380</v>
      </c>
      <c r="AL256" s="86" t="b">
        <v>0</v>
      </c>
      <c r="AM256" s="89">
        <v>42964.071712962963</v>
      </c>
      <c r="AN256" s="86" t="s">
        <v>25913</v>
      </c>
      <c r="AO256" s="86" t="s">
        <v>26653</v>
      </c>
      <c r="AP256" s="96" t="str">
        <f>HYPERLINK("https://t.co/W5FuoVi3qe")</f>
        <v>https://t.co/W5FuoVi3qe</v>
      </c>
      <c r="AQ256" s="96" t="str">
        <f>HYPERLINK("https://www.fortinet.com/br")</f>
        <v>https://www.fortinet.com/br</v>
      </c>
      <c r="AR256" s="86" t="s">
        <v>28075</v>
      </c>
      <c r="AS256" s="86"/>
      <c r="AT256" s="86"/>
      <c r="AU256" s="86"/>
      <c r="AV256" s="86">
        <v>1.69264252234913E+18</v>
      </c>
      <c r="AW256" s="96" t="str">
        <f>HYPERLINK("https://t.co/W5FuoVi3qe")</f>
        <v>https://t.co/W5FuoVi3qe</v>
      </c>
      <c r="AX256" s="86" t="b">
        <v>0</v>
      </c>
      <c r="AY256" s="86"/>
      <c r="AZ256" s="86"/>
      <c r="BA256" s="86" t="b">
        <v>0</v>
      </c>
      <c r="BB256" s="86" t="b">
        <v>1</v>
      </c>
      <c r="BC256" s="86" t="b">
        <v>0</v>
      </c>
      <c r="BD256" s="86" t="b">
        <v>0</v>
      </c>
      <c r="BE256" s="86" t="b">
        <v>0</v>
      </c>
      <c r="BF256" s="86" t="b">
        <v>0</v>
      </c>
      <c r="BG256" s="86" t="b">
        <v>0</v>
      </c>
      <c r="BH256" s="96" t="str">
        <f>HYPERLINK("https://pbs.twimg.com/profile_banners/897997223253954564/1674786035")</f>
        <v>https://pbs.twimg.com/profile_banners/897997223253954564/1674786035</v>
      </c>
      <c r="BI256" s="86"/>
      <c r="BJ256" s="86" t="s">
        <v>29134</v>
      </c>
      <c r="BK256" s="86" t="b">
        <v>0</v>
      </c>
      <c r="BL256" s="86"/>
      <c r="BM256" s="86" t="s">
        <v>66</v>
      </c>
      <c r="BN256" s="86" t="s">
        <v>29136</v>
      </c>
      <c r="BO256" s="96" t="str">
        <f>HYPERLINK("https://twitter.com/fortinetbrasil")</f>
        <v>https://twitter.com/fortinetbrasil</v>
      </c>
      <c r="BP256" s="2"/>
    </row>
    <row r="257" spans="1:68" x14ac:dyDescent="0.25">
      <c r="A257" s="63" t="s">
        <v>1640</v>
      </c>
      <c r="B257" s="64"/>
      <c r="C257" s="64"/>
      <c r="D257" s="65"/>
      <c r="E257" s="67"/>
      <c r="F257" s="111" t="str">
        <f>HYPERLINK("https://pbs.twimg.com/profile_images/755806222608166913/UuuxdqOi_normal.jpg")</f>
        <v>https://pbs.twimg.com/profile_images/755806222608166913/UuuxdqOi_normal.jpg</v>
      </c>
      <c r="G257" s="64"/>
      <c r="H257" s="68"/>
      <c r="I257" s="69"/>
      <c r="J257" s="69"/>
      <c r="K257" s="68" t="s">
        <v>29390</v>
      </c>
      <c r="L257" s="72"/>
      <c r="M257" s="73"/>
      <c r="N257" s="73"/>
      <c r="O257" s="74"/>
      <c r="P257" s="75"/>
      <c r="Q257" s="75"/>
      <c r="R257" s="102"/>
      <c r="S257" s="102"/>
      <c r="T257" s="102"/>
      <c r="U257" s="102"/>
      <c r="V257" s="48"/>
      <c r="W257" s="48"/>
      <c r="X257" s="48"/>
      <c r="Y257" s="48"/>
      <c r="Z257" s="47"/>
      <c r="AA257" s="70">
        <v>257</v>
      </c>
      <c r="AB257" s="70"/>
      <c r="AC257" s="71"/>
      <c r="AD257" s="86" t="s">
        <v>23894</v>
      </c>
      <c r="AE257" s="94" t="s">
        <v>25312</v>
      </c>
      <c r="AF257" s="86">
        <v>158</v>
      </c>
      <c r="AG257" s="86">
        <v>383</v>
      </c>
      <c r="AH257" s="86">
        <v>1510</v>
      </c>
      <c r="AI257" s="86">
        <v>6</v>
      </c>
      <c r="AJ257" s="86">
        <v>34</v>
      </c>
      <c r="AK257" s="86">
        <v>85</v>
      </c>
      <c r="AL257" s="86" t="b">
        <v>0</v>
      </c>
      <c r="AM257" s="89">
        <v>40246.791597222225</v>
      </c>
      <c r="AN257" s="86" t="s">
        <v>15246</v>
      </c>
      <c r="AO257" s="86" t="s">
        <v>26654</v>
      </c>
      <c r="AP257" s="96" t="str">
        <f>HYPERLINK("https://t.co/pP8wMpj2vb")</f>
        <v>https://t.co/pP8wMpj2vb</v>
      </c>
      <c r="AQ257" s="96" t="str">
        <f>HYPERLINK("http://www.7it.com.br")</f>
        <v>http://www.7it.com.br</v>
      </c>
      <c r="AR257" s="86" t="s">
        <v>28076</v>
      </c>
      <c r="AS257" s="86"/>
      <c r="AT257" s="86"/>
      <c r="AU257" s="86"/>
      <c r="AV257" s="86"/>
      <c r="AW257" s="96" t="str">
        <f>HYPERLINK("https://t.co/pP8wMpj2vb")</f>
        <v>https://t.co/pP8wMpj2vb</v>
      </c>
      <c r="AX257" s="86" t="b">
        <v>0</v>
      </c>
      <c r="AY257" s="86"/>
      <c r="AZ257" s="86"/>
      <c r="BA257" s="86" t="b">
        <v>0</v>
      </c>
      <c r="BB257" s="86" t="b">
        <v>1</v>
      </c>
      <c r="BC257" s="86" t="b">
        <v>0</v>
      </c>
      <c r="BD257" s="86" t="b">
        <v>0</v>
      </c>
      <c r="BE257" s="86" t="b">
        <v>0</v>
      </c>
      <c r="BF257" s="86" t="b">
        <v>0</v>
      </c>
      <c r="BG257" s="86" t="b">
        <v>0</v>
      </c>
      <c r="BH257" s="96" t="str">
        <f>HYPERLINK("https://pbs.twimg.com/profile_banners/121516064/1469033000")</f>
        <v>https://pbs.twimg.com/profile_banners/121516064/1469033000</v>
      </c>
      <c r="BI257" s="86"/>
      <c r="BJ257" s="86" t="s">
        <v>29134</v>
      </c>
      <c r="BK257" s="86" t="b">
        <v>0</v>
      </c>
      <c r="BL257" s="86"/>
      <c r="BM257" s="86" t="s">
        <v>65</v>
      </c>
      <c r="BN257" s="86" t="s">
        <v>29136</v>
      </c>
      <c r="BO257" s="96" t="str">
        <f>HYPERLINK("https://twitter.com/seteit")</f>
        <v>https://twitter.com/seteit</v>
      </c>
      <c r="BP257" s="2"/>
    </row>
    <row r="258" spans="1:68" x14ac:dyDescent="0.25">
      <c r="A258" s="63" t="s">
        <v>449</v>
      </c>
      <c r="B258" s="64"/>
      <c r="C258" s="64"/>
      <c r="D258" s="65"/>
      <c r="E258" s="67"/>
      <c r="F258" s="111" t="str">
        <f>HYPERLINK("https://pbs.twimg.com/profile_images/1618704448913645585/SRa-pW4s_normal.jpg")</f>
        <v>https://pbs.twimg.com/profile_images/1618704448913645585/SRa-pW4s_normal.jpg</v>
      </c>
      <c r="G258" s="64"/>
      <c r="H258" s="68"/>
      <c r="I258" s="69"/>
      <c r="J258" s="69"/>
      <c r="K258" s="68" t="s">
        <v>29391</v>
      </c>
      <c r="L258" s="72"/>
      <c r="M258" s="73"/>
      <c r="N258" s="73"/>
      <c r="O258" s="74"/>
      <c r="P258" s="75"/>
      <c r="Q258" s="75"/>
      <c r="R258" s="102"/>
      <c r="S258" s="102"/>
      <c r="T258" s="102"/>
      <c r="U258" s="102"/>
      <c r="V258" s="48"/>
      <c r="W258" s="48"/>
      <c r="X258" s="48"/>
      <c r="Y258" s="48"/>
      <c r="Z258" s="47"/>
      <c r="AA258" s="70">
        <v>258</v>
      </c>
      <c r="AB258" s="70"/>
      <c r="AC258" s="71"/>
      <c r="AD258" s="86" t="s">
        <v>23895</v>
      </c>
      <c r="AE258" s="94" t="s">
        <v>25313</v>
      </c>
      <c r="AF258" s="86">
        <v>14784</v>
      </c>
      <c r="AG258" s="86">
        <v>270</v>
      </c>
      <c r="AH258" s="86">
        <v>47161</v>
      </c>
      <c r="AI258" s="86">
        <v>0</v>
      </c>
      <c r="AJ258" s="86">
        <v>143</v>
      </c>
      <c r="AK258" s="86">
        <v>14410</v>
      </c>
      <c r="AL258" s="86" t="b">
        <v>0</v>
      </c>
      <c r="AM258" s="89">
        <v>40489.528587962966</v>
      </c>
      <c r="AN258" s="86" t="s">
        <v>15234</v>
      </c>
      <c r="AO258" s="96" t="str">
        <f>HYPERLINK("https://t.co/qlnZ5UsZ7Y")</f>
        <v>https://t.co/qlnZ5UsZ7Y</v>
      </c>
      <c r="AP258" s="96" t="str">
        <f>HYPERLINK("https://t.co/3JGflcEKcN")</f>
        <v>https://t.co/3JGflcEKcN</v>
      </c>
      <c r="AQ258" s="96" t="str">
        <f>HYPERLINK("http://www.jornalcontabil.com.br")</f>
        <v>http://www.jornalcontabil.com.br</v>
      </c>
      <c r="AR258" s="86" t="s">
        <v>28077</v>
      </c>
      <c r="AS258" s="96" t="str">
        <f>HYPERLINK("https://t.co/qlnZ5UsZ7Y")</f>
        <v>https://t.co/qlnZ5UsZ7Y</v>
      </c>
      <c r="AT258" s="96" t="str">
        <f>HYPERLINK("http://jornalcontabil.com.br")</f>
        <v>http://jornalcontabil.com.br</v>
      </c>
      <c r="AU258" s="86" t="s">
        <v>28077</v>
      </c>
      <c r="AV258" s="86"/>
      <c r="AW258" s="96" t="str">
        <f>HYPERLINK("https://t.co/3JGflcEKcN")</f>
        <v>https://t.co/3JGflcEKcN</v>
      </c>
      <c r="AX258" s="86" t="b">
        <v>0</v>
      </c>
      <c r="AY258" s="86"/>
      <c r="AZ258" s="86"/>
      <c r="BA258" s="86" t="b">
        <v>0</v>
      </c>
      <c r="BB258" s="86" t="b">
        <v>1</v>
      </c>
      <c r="BC258" s="86" t="b">
        <v>0</v>
      </c>
      <c r="BD258" s="86" t="b">
        <v>0</v>
      </c>
      <c r="BE258" s="86" t="b">
        <v>1</v>
      </c>
      <c r="BF258" s="86" t="b">
        <v>0</v>
      </c>
      <c r="BG258" s="86" t="b">
        <v>0</v>
      </c>
      <c r="BH258" s="96" t="str">
        <f>HYPERLINK("https://pbs.twimg.com/profile_banners/212916157/1666613705")</f>
        <v>https://pbs.twimg.com/profile_banners/212916157/1666613705</v>
      </c>
      <c r="BI258" s="86"/>
      <c r="BJ258" s="86" t="s">
        <v>29134</v>
      </c>
      <c r="BK258" s="86" t="b">
        <v>0</v>
      </c>
      <c r="BL258" s="86"/>
      <c r="BM258" s="86" t="s">
        <v>66</v>
      </c>
      <c r="BN258" s="86" t="s">
        <v>29136</v>
      </c>
      <c r="BO258" s="96" t="str">
        <f>HYPERLINK("https://twitter.com/jornalcontabil_")</f>
        <v>https://twitter.com/jornalcontabil_</v>
      </c>
      <c r="BP258" s="2"/>
    </row>
    <row r="259" spans="1:68" x14ac:dyDescent="0.25">
      <c r="A259" s="63" t="s">
        <v>450</v>
      </c>
      <c r="B259" s="64"/>
      <c r="C259" s="64"/>
      <c r="D259" s="65"/>
      <c r="E259" s="67"/>
      <c r="F259" s="111" t="str">
        <f>HYPERLINK("https://pbs.twimg.com/profile_images/1588214815931174918/LO8l9HqW_normal.jpg")</f>
        <v>https://pbs.twimg.com/profile_images/1588214815931174918/LO8l9HqW_normal.jpg</v>
      </c>
      <c r="G259" s="64"/>
      <c r="H259" s="68"/>
      <c r="I259" s="69"/>
      <c r="J259" s="69"/>
      <c r="K259" s="68" t="s">
        <v>29392</v>
      </c>
      <c r="L259" s="72"/>
      <c r="M259" s="73"/>
      <c r="N259" s="73"/>
      <c r="O259" s="74"/>
      <c r="P259" s="75"/>
      <c r="Q259" s="75"/>
      <c r="R259" s="102"/>
      <c r="S259" s="102"/>
      <c r="T259" s="102"/>
      <c r="U259" s="102"/>
      <c r="V259" s="48"/>
      <c r="W259" s="48"/>
      <c r="X259" s="48"/>
      <c r="Y259" s="48"/>
      <c r="Z259" s="47"/>
      <c r="AA259" s="70">
        <v>259</v>
      </c>
      <c r="AB259" s="70"/>
      <c r="AC259" s="71"/>
      <c r="AD259" s="86" t="s">
        <v>23896</v>
      </c>
      <c r="AE259" s="94" t="s">
        <v>25314</v>
      </c>
      <c r="AF259" s="86">
        <v>13181</v>
      </c>
      <c r="AG259" s="86">
        <v>170</v>
      </c>
      <c r="AH259" s="86">
        <v>12130</v>
      </c>
      <c r="AI259" s="86">
        <v>51</v>
      </c>
      <c r="AJ259" s="86">
        <v>71</v>
      </c>
      <c r="AK259" s="86">
        <v>4305</v>
      </c>
      <c r="AL259" s="86" t="b">
        <v>0</v>
      </c>
      <c r="AM259" s="89">
        <v>40592.51798611111</v>
      </c>
      <c r="AN259" s="86" t="s">
        <v>25970</v>
      </c>
      <c r="AO259" s="86" t="s">
        <v>26655</v>
      </c>
      <c r="AP259" s="96" t="str">
        <f>HYPERLINK("https://t.co/hOD8JP0Mvq")</f>
        <v>https://t.co/hOD8JP0Mvq</v>
      </c>
      <c r="AQ259" s="96" t="str">
        <f>HYPERLINK("http://www.fenacon.org.br")</f>
        <v>http://www.fenacon.org.br</v>
      </c>
      <c r="AR259" s="86" t="s">
        <v>28078</v>
      </c>
      <c r="AS259" s="86"/>
      <c r="AT259" s="86"/>
      <c r="AU259" s="86"/>
      <c r="AV259" s="86"/>
      <c r="AW259" s="96" t="str">
        <f>HYPERLINK("https://t.co/hOD8JP0Mvq")</f>
        <v>https://t.co/hOD8JP0Mvq</v>
      </c>
      <c r="AX259" s="86" t="b">
        <v>0</v>
      </c>
      <c r="AY259" s="86"/>
      <c r="AZ259" s="86"/>
      <c r="BA259" s="86" t="b">
        <v>0</v>
      </c>
      <c r="BB259" s="86" t="b">
        <v>1</v>
      </c>
      <c r="BC259" s="86" t="b">
        <v>0</v>
      </c>
      <c r="BD259" s="86" t="b">
        <v>0</v>
      </c>
      <c r="BE259" s="86" t="b">
        <v>1</v>
      </c>
      <c r="BF259" s="86" t="b">
        <v>0</v>
      </c>
      <c r="BG259" s="86" t="b">
        <v>0</v>
      </c>
      <c r="BH259" s="96" t="str">
        <f>HYPERLINK("https://pbs.twimg.com/profile_banners/254001950/1682000070")</f>
        <v>https://pbs.twimg.com/profile_banners/254001950/1682000070</v>
      </c>
      <c r="BI259" s="86"/>
      <c r="BJ259" s="86" t="s">
        <v>29134</v>
      </c>
      <c r="BK259" s="86" t="b">
        <v>0</v>
      </c>
      <c r="BL259" s="86"/>
      <c r="BM259" s="86" t="s">
        <v>66</v>
      </c>
      <c r="BN259" s="86" t="s">
        <v>29136</v>
      </c>
      <c r="BO259" s="96" t="str">
        <f>HYPERLINK("https://twitter.com/fenaconfed")</f>
        <v>https://twitter.com/fenaconfed</v>
      </c>
      <c r="BP259" s="2"/>
    </row>
    <row r="260" spans="1:68" x14ac:dyDescent="0.25">
      <c r="A260" s="63" t="s">
        <v>451</v>
      </c>
      <c r="B260" s="64"/>
      <c r="C260" s="64"/>
      <c r="D260" s="65"/>
      <c r="E260" s="67"/>
      <c r="F260" s="111" t="str">
        <f>HYPERLINK("https://pbs.twimg.com/profile_images/1574941480766038016/-BrvJF3l_normal.jpg")</f>
        <v>https://pbs.twimg.com/profile_images/1574941480766038016/-BrvJF3l_normal.jpg</v>
      </c>
      <c r="G260" s="64"/>
      <c r="H260" s="68"/>
      <c r="I260" s="69"/>
      <c r="J260" s="69"/>
      <c r="K260" s="68" t="s">
        <v>29393</v>
      </c>
      <c r="L260" s="72"/>
      <c r="M260" s="73"/>
      <c r="N260" s="73"/>
      <c r="O260" s="74"/>
      <c r="P260" s="75"/>
      <c r="Q260" s="75"/>
      <c r="R260" s="102"/>
      <c r="S260" s="102"/>
      <c r="T260" s="102"/>
      <c r="U260" s="102"/>
      <c r="V260" s="48"/>
      <c r="W260" s="48"/>
      <c r="X260" s="48"/>
      <c r="Y260" s="48"/>
      <c r="Z260" s="47"/>
      <c r="AA260" s="70">
        <v>260</v>
      </c>
      <c r="AB260" s="70"/>
      <c r="AC260" s="71"/>
      <c r="AD260" s="86" t="s">
        <v>23897</v>
      </c>
      <c r="AE260" s="94" t="s">
        <v>25315</v>
      </c>
      <c r="AF260" s="86">
        <v>640</v>
      </c>
      <c r="AG260" s="86">
        <v>1400</v>
      </c>
      <c r="AH260" s="86">
        <v>32258</v>
      </c>
      <c r="AI260" s="86">
        <v>17</v>
      </c>
      <c r="AJ260" s="86">
        <v>15654</v>
      </c>
      <c r="AK260" s="86">
        <v>321</v>
      </c>
      <c r="AL260" s="86" t="b">
        <v>0</v>
      </c>
      <c r="AM260" s="89">
        <v>40020.894594907404</v>
      </c>
      <c r="AN260" s="86" t="s">
        <v>25971</v>
      </c>
      <c r="AO260" s="86" t="s">
        <v>26656</v>
      </c>
      <c r="AP260" s="86"/>
      <c r="AQ260" s="86"/>
      <c r="AR260" s="86"/>
      <c r="AS260" s="86"/>
      <c r="AT260" s="86"/>
      <c r="AU260" s="86"/>
      <c r="AV260" s="86">
        <v>1.58682577387218E+18</v>
      </c>
      <c r="AW260" s="86"/>
      <c r="AX260" s="86" t="b">
        <v>0</v>
      </c>
      <c r="AY260" s="86"/>
      <c r="AZ260" s="86"/>
      <c r="BA260" s="86" t="b">
        <v>0</v>
      </c>
      <c r="BB260" s="86" t="b">
        <v>1</v>
      </c>
      <c r="BC260" s="86" t="b">
        <v>0</v>
      </c>
      <c r="BD260" s="86" t="b">
        <v>0</v>
      </c>
      <c r="BE260" s="86" t="b">
        <v>0</v>
      </c>
      <c r="BF260" s="86" t="b">
        <v>0</v>
      </c>
      <c r="BG260" s="86" t="b">
        <v>0</v>
      </c>
      <c r="BH260" s="86"/>
      <c r="BI260" s="86"/>
      <c r="BJ260" s="86" t="s">
        <v>29134</v>
      </c>
      <c r="BK260" s="86" t="b">
        <v>0</v>
      </c>
      <c r="BL260" s="86"/>
      <c r="BM260" s="86" t="s">
        <v>66</v>
      </c>
      <c r="BN260" s="86" t="s">
        <v>29136</v>
      </c>
      <c r="BO260" s="96" t="str">
        <f>HYPERLINK("https://twitter.com/alfeojr")</f>
        <v>https://twitter.com/alfeojr</v>
      </c>
      <c r="BP260" s="2"/>
    </row>
    <row r="261" spans="1:68" x14ac:dyDescent="0.25">
      <c r="A261" s="63" t="s">
        <v>813</v>
      </c>
      <c r="B261" s="64"/>
      <c r="C261" s="64"/>
      <c r="D261" s="65"/>
      <c r="E261" s="67"/>
      <c r="F261" s="111" t="str">
        <f>HYPERLINK("https://pbs.twimg.com/profile_images/1259953976574971906/VD1WMPb4_normal.jpg")</f>
        <v>https://pbs.twimg.com/profile_images/1259953976574971906/VD1WMPb4_normal.jpg</v>
      </c>
      <c r="G261" s="64"/>
      <c r="H261" s="68"/>
      <c r="I261" s="69"/>
      <c r="J261" s="69"/>
      <c r="K261" s="68" t="s">
        <v>29394</v>
      </c>
      <c r="L261" s="72"/>
      <c r="M261" s="73"/>
      <c r="N261" s="73"/>
      <c r="O261" s="74"/>
      <c r="P261" s="75"/>
      <c r="Q261" s="75"/>
      <c r="R261" s="102"/>
      <c r="S261" s="102"/>
      <c r="T261" s="102"/>
      <c r="U261" s="102"/>
      <c r="V261" s="48"/>
      <c r="W261" s="48"/>
      <c r="X261" s="48"/>
      <c r="Y261" s="48"/>
      <c r="Z261" s="47"/>
      <c r="AA261" s="70">
        <v>261</v>
      </c>
      <c r="AB261" s="70"/>
      <c r="AC261" s="71"/>
      <c r="AD261" s="86" t="s">
        <v>23898</v>
      </c>
      <c r="AE261" s="94" t="s">
        <v>25316</v>
      </c>
      <c r="AF261" s="86">
        <v>2643</v>
      </c>
      <c r="AG261" s="86">
        <v>4998</v>
      </c>
      <c r="AH261" s="86">
        <v>141352</v>
      </c>
      <c r="AI261" s="86">
        <v>15</v>
      </c>
      <c r="AJ261" s="86">
        <v>13816</v>
      </c>
      <c r="AK261" s="86">
        <v>1904</v>
      </c>
      <c r="AL261" s="86" t="b">
        <v>0</v>
      </c>
      <c r="AM261" s="89">
        <v>42146.805046296293</v>
      </c>
      <c r="AN261" s="86"/>
      <c r="AO261" s="86" t="s">
        <v>26657</v>
      </c>
      <c r="AP261" s="86"/>
      <c r="AQ261" s="86"/>
      <c r="AR261" s="86"/>
      <c r="AS261" s="86"/>
      <c r="AT261" s="86"/>
      <c r="AU261" s="86"/>
      <c r="AV261" s="86">
        <v>1.69880751021005E+18</v>
      </c>
      <c r="AW261" s="86"/>
      <c r="AX261" s="86" t="b">
        <v>1</v>
      </c>
      <c r="AY261" s="86"/>
      <c r="AZ261" s="86"/>
      <c r="BA261" s="86" t="b">
        <v>0</v>
      </c>
      <c r="BB261" s="86" t="b">
        <v>1</v>
      </c>
      <c r="BC261" s="86" t="b">
        <v>0</v>
      </c>
      <c r="BD261" s="86" t="b">
        <v>0</v>
      </c>
      <c r="BE261" s="86" t="b">
        <v>0</v>
      </c>
      <c r="BF261" s="86" t="b">
        <v>0</v>
      </c>
      <c r="BG261" s="86" t="b">
        <v>0</v>
      </c>
      <c r="BH261" s="96" t="str">
        <f>HYPERLINK("https://pbs.twimg.com/profile_banners/3294416938/1589231470")</f>
        <v>https://pbs.twimg.com/profile_banners/3294416938/1589231470</v>
      </c>
      <c r="BI261" s="86"/>
      <c r="BJ261" s="86" t="s">
        <v>29134</v>
      </c>
      <c r="BK261" s="86" t="b">
        <v>0</v>
      </c>
      <c r="BL261" s="86"/>
      <c r="BM261" s="86" t="s">
        <v>66</v>
      </c>
      <c r="BN261" s="86" t="s">
        <v>29136</v>
      </c>
      <c r="BO261" s="96" t="str">
        <f>HYPERLINK("https://twitter.com/mundoprodutos")</f>
        <v>https://twitter.com/mundoprodutos</v>
      </c>
      <c r="BP261" s="2"/>
    </row>
    <row r="262" spans="1:68" x14ac:dyDescent="0.25">
      <c r="A262" s="63" t="s">
        <v>452</v>
      </c>
      <c r="B262" s="64"/>
      <c r="C262" s="64"/>
      <c r="D262" s="65"/>
      <c r="E262" s="67"/>
      <c r="F262" s="111" t="str">
        <f>HYPERLINK("https://pbs.twimg.com/profile_images/1471531764535468033/Rk36W-Sp_normal.jpg")</f>
        <v>https://pbs.twimg.com/profile_images/1471531764535468033/Rk36W-Sp_normal.jpg</v>
      </c>
      <c r="G262" s="64"/>
      <c r="H262" s="68"/>
      <c r="I262" s="69"/>
      <c r="J262" s="69"/>
      <c r="K262" s="68" t="s">
        <v>29395</v>
      </c>
      <c r="L262" s="72"/>
      <c r="M262" s="73"/>
      <c r="N262" s="73"/>
      <c r="O262" s="74"/>
      <c r="P262" s="75"/>
      <c r="Q262" s="75"/>
      <c r="R262" s="102"/>
      <c r="S262" s="102"/>
      <c r="T262" s="102"/>
      <c r="U262" s="102"/>
      <c r="V262" s="48"/>
      <c r="W262" s="48"/>
      <c r="X262" s="48"/>
      <c r="Y262" s="48"/>
      <c r="Z262" s="47"/>
      <c r="AA262" s="70">
        <v>262</v>
      </c>
      <c r="AB262" s="70"/>
      <c r="AC262" s="71"/>
      <c r="AD262" s="86" t="s">
        <v>23899</v>
      </c>
      <c r="AE262" s="94" t="s">
        <v>25317</v>
      </c>
      <c r="AF262" s="86">
        <v>80</v>
      </c>
      <c r="AG262" s="86">
        <v>252</v>
      </c>
      <c r="AH262" s="86">
        <v>710</v>
      </c>
      <c r="AI262" s="86">
        <v>0</v>
      </c>
      <c r="AJ262" s="86">
        <v>1027</v>
      </c>
      <c r="AK262" s="86">
        <v>475</v>
      </c>
      <c r="AL262" s="86" t="b">
        <v>0</v>
      </c>
      <c r="AM262" s="89">
        <v>40200.803240740737</v>
      </c>
      <c r="AN262" s="86" t="s">
        <v>25972</v>
      </c>
      <c r="AO262" s="86" t="s">
        <v>26658</v>
      </c>
      <c r="AP262" s="96" t="str">
        <f>HYPERLINK("https://t.co/5DAQ2iSrU3")</f>
        <v>https://t.co/5DAQ2iSrU3</v>
      </c>
      <c r="AQ262" s="96" t="str">
        <f>HYPERLINK("http://www.ucs.br")</f>
        <v>http://www.ucs.br</v>
      </c>
      <c r="AR262" s="86" t="s">
        <v>28079</v>
      </c>
      <c r="AS262" s="86"/>
      <c r="AT262" s="86"/>
      <c r="AU262" s="86"/>
      <c r="AV262" s="86"/>
      <c r="AW262" s="96" t="str">
        <f>HYPERLINK("https://t.co/5DAQ2iSrU3")</f>
        <v>https://t.co/5DAQ2iSrU3</v>
      </c>
      <c r="AX262" s="86" t="b">
        <v>0</v>
      </c>
      <c r="AY262" s="86"/>
      <c r="AZ262" s="86"/>
      <c r="BA262" s="86" t="b">
        <v>0</v>
      </c>
      <c r="BB262" s="86" t="b">
        <v>1</v>
      </c>
      <c r="BC262" s="86" t="b">
        <v>1</v>
      </c>
      <c r="BD262" s="86" t="b">
        <v>0</v>
      </c>
      <c r="BE262" s="86" t="b">
        <v>0</v>
      </c>
      <c r="BF262" s="86" t="b">
        <v>0</v>
      </c>
      <c r="BG262" s="86" t="b">
        <v>0</v>
      </c>
      <c r="BH262" s="96" t="str">
        <f>HYPERLINK("https://pbs.twimg.com/profile_banners/107496318/1586293603")</f>
        <v>https://pbs.twimg.com/profile_banners/107496318/1586293603</v>
      </c>
      <c r="BI262" s="86"/>
      <c r="BJ262" s="86" t="s">
        <v>29134</v>
      </c>
      <c r="BK262" s="86" t="b">
        <v>0</v>
      </c>
      <c r="BL262" s="86"/>
      <c r="BM262" s="86" t="s">
        <v>66</v>
      </c>
      <c r="BN262" s="86" t="s">
        <v>29136</v>
      </c>
      <c r="BO262" s="96" t="str">
        <f>HYPERLINK("https://twitter.com/ggianni")</f>
        <v>https://twitter.com/ggianni</v>
      </c>
      <c r="BP262" s="2"/>
    </row>
    <row r="263" spans="1:68" x14ac:dyDescent="0.25">
      <c r="A263" s="63" t="s">
        <v>453</v>
      </c>
      <c r="B263" s="64"/>
      <c r="C263" s="64"/>
      <c r="D263" s="65"/>
      <c r="E263" s="67"/>
      <c r="F263" s="111" t="str">
        <f>HYPERLINK("https://pbs.twimg.com/profile_images/1649617223000924160/lB__DYVn_normal.jpg")</f>
        <v>https://pbs.twimg.com/profile_images/1649617223000924160/lB__DYVn_normal.jpg</v>
      </c>
      <c r="G263" s="64"/>
      <c r="H263" s="68"/>
      <c r="I263" s="69"/>
      <c r="J263" s="69"/>
      <c r="K263" s="68" t="s">
        <v>29396</v>
      </c>
      <c r="L263" s="72"/>
      <c r="M263" s="73"/>
      <c r="N263" s="73"/>
      <c r="O263" s="74"/>
      <c r="P263" s="75"/>
      <c r="Q263" s="75"/>
      <c r="R263" s="102"/>
      <c r="S263" s="102"/>
      <c r="T263" s="102"/>
      <c r="U263" s="102"/>
      <c r="V263" s="48"/>
      <c r="W263" s="48"/>
      <c r="X263" s="48"/>
      <c r="Y263" s="48"/>
      <c r="Z263" s="47"/>
      <c r="AA263" s="70">
        <v>263</v>
      </c>
      <c r="AB263" s="70"/>
      <c r="AC263" s="71"/>
      <c r="AD263" s="86" t="s">
        <v>23900</v>
      </c>
      <c r="AE263" s="94" t="s">
        <v>22929</v>
      </c>
      <c r="AF263" s="86">
        <v>8</v>
      </c>
      <c r="AG263" s="86">
        <v>48</v>
      </c>
      <c r="AH263" s="86">
        <v>536</v>
      </c>
      <c r="AI263" s="86">
        <v>0</v>
      </c>
      <c r="AJ263" s="86">
        <v>3</v>
      </c>
      <c r="AK263" s="86">
        <v>6</v>
      </c>
      <c r="AL263" s="86" t="b">
        <v>0</v>
      </c>
      <c r="AM263" s="89">
        <v>44014.62358796296</v>
      </c>
      <c r="AN263" s="86" t="s">
        <v>25973</v>
      </c>
      <c r="AO263" s="86" t="s">
        <v>26659</v>
      </c>
      <c r="AP263" s="96" t="str">
        <f>HYPERLINK("https://t.co/yIxWiJPw0p")</f>
        <v>https://t.co/yIxWiJPw0p</v>
      </c>
      <c r="AQ263" s="96" t="str">
        <f>HYPERLINK("https://www.linkedin.com/in/reginaldoschollemberg/")</f>
        <v>https://www.linkedin.com/in/reginaldoschollemberg/</v>
      </c>
      <c r="AR263" s="86" t="s">
        <v>28080</v>
      </c>
      <c r="AS263" s="86"/>
      <c r="AT263" s="86"/>
      <c r="AU263" s="86"/>
      <c r="AV263" s="86"/>
      <c r="AW263" s="96" t="str">
        <f>HYPERLINK("https://t.co/yIxWiJPw0p")</f>
        <v>https://t.co/yIxWiJPw0p</v>
      </c>
      <c r="AX263" s="86" t="b">
        <v>0</v>
      </c>
      <c r="AY263" s="86"/>
      <c r="AZ263" s="86"/>
      <c r="BA263" s="86" t="b">
        <v>0</v>
      </c>
      <c r="BB263" s="86" t="b">
        <v>1</v>
      </c>
      <c r="BC263" s="86" t="b">
        <v>1</v>
      </c>
      <c r="BD263" s="86" t="b">
        <v>0</v>
      </c>
      <c r="BE263" s="86" t="b">
        <v>0</v>
      </c>
      <c r="BF263" s="86" t="b">
        <v>0</v>
      </c>
      <c r="BG263" s="86" t="b">
        <v>0</v>
      </c>
      <c r="BH263" s="96" t="str">
        <f>HYPERLINK("https://pbs.twimg.com/profile_banners/1278704387548950528/1595095599")</f>
        <v>https://pbs.twimg.com/profile_banners/1278704387548950528/1595095599</v>
      </c>
      <c r="BI263" s="86"/>
      <c r="BJ263" s="86" t="s">
        <v>29134</v>
      </c>
      <c r="BK263" s="86" t="b">
        <v>0</v>
      </c>
      <c r="BL263" s="86"/>
      <c r="BM263" s="86" t="s">
        <v>66</v>
      </c>
      <c r="BN263" s="86" t="s">
        <v>29136</v>
      </c>
      <c r="BO263" s="96" t="str">
        <f>HYPERLINK("https://twitter.com/rschollemberg")</f>
        <v>https://twitter.com/rschollemberg</v>
      </c>
      <c r="BP263" s="2"/>
    </row>
    <row r="264" spans="1:68" x14ac:dyDescent="0.25">
      <c r="A264" s="63" t="s">
        <v>454</v>
      </c>
      <c r="B264" s="64"/>
      <c r="C264" s="64"/>
      <c r="D264" s="65"/>
      <c r="E264" s="67"/>
      <c r="F264" s="111" t="str">
        <f>HYPERLINK("https://pbs.twimg.com/profile_images/1589789516931416064/jlrebLd7_normal.jpg")</f>
        <v>https://pbs.twimg.com/profile_images/1589789516931416064/jlrebLd7_normal.jpg</v>
      </c>
      <c r="G264" s="64"/>
      <c r="H264" s="68"/>
      <c r="I264" s="69"/>
      <c r="J264" s="69"/>
      <c r="K264" s="68" t="s">
        <v>29397</v>
      </c>
      <c r="L264" s="72"/>
      <c r="M264" s="73"/>
      <c r="N264" s="73"/>
      <c r="O264" s="74"/>
      <c r="P264" s="75"/>
      <c r="Q264" s="75"/>
      <c r="R264" s="102"/>
      <c r="S264" s="102"/>
      <c r="T264" s="102"/>
      <c r="U264" s="102"/>
      <c r="V264" s="48"/>
      <c r="W264" s="48"/>
      <c r="X264" s="48"/>
      <c r="Y264" s="48"/>
      <c r="Z264" s="47"/>
      <c r="AA264" s="70">
        <v>264</v>
      </c>
      <c r="AB264" s="70"/>
      <c r="AC264" s="71"/>
      <c r="AD264" s="86" t="s">
        <v>23901</v>
      </c>
      <c r="AE264" s="94" t="s">
        <v>25318</v>
      </c>
      <c r="AF264" s="86">
        <v>372</v>
      </c>
      <c r="AG264" s="86">
        <v>2156</v>
      </c>
      <c r="AH264" s="86">
        <v>350</v>
      </c>
      <c r="AI264" s="86">
        <v>9</v>
      </c>
      <c r="AJ264" s="86">
        <v>4196</v>
      </c>
      <c r="AK264" s="86">
        <v>16</v>
      </c>
      <c r="AL264" s="86" t="b">
        <v>0</v>
      </c>
      <c r="AM264" s="89">
        <v>42086.06355324074</v>
      </c>
      <c r="AN264" s="86" t="s">
        <v>15235</v>
      </c>
      <c r="AO264" s="86" t="s">
        <v>26660</v>
      </c>
      <c r="AP264" s="96" t="str">
        <f>HYPERLINK("https://t.co/GKJZSCtWJj")</f>
        <v>https://t.co/GKJZSCtWJj</v>
      </c>
      <c r="AQ264" s="96" t="str">
        <f>HYPERLINK("https://filomena-silva.pt/")</f>
        <v>https://filomena-silva.pt/</v>
      </c>
      <c r="AR264" s="86" t="s">
        <v>8409</v>
      </c>
      <c r="AS264" s="86"/>
      <c r="AT264" s="86"/>
      <c r="AU264" s="86"/>
      <c r="AV264" s="86">
        <v>1.69359022340431E+18</v>
      </c>
      <c r="AW264" s="96" t="str">
        <f>HYPERLINK("https://t.co/GKJZSCtWJj")</f>
        <v>https://t.co/GKJZSCtWJj</v>
      </c>
      <c r="AX264" s="86" t="b">
        <v>0</v>
      </c>
      <c r="AY264" s="86"/>
      <c r="AZ264" s="86"/>
      <c r="BA264" s="86" t="b">
        <v>0</v>
      </c>
      <c r="BB264" s="86" t="b">
        <v>0</v>
      </c>
      <c r="BC264" s="86" t="b">
        <v>0</v>
      </c>
      <c r="BD264" s="86" t="b">
        <v>0</v>
      </c>
      <c r="BE264" s="86" t="b">
        <v>0</v>
      </c>
      <c r="BF264" s="86" t="b">
        <v>0</v>
      </c>
      <c r="BG264" s="86" t="b">
        <v>0</v>
      </c>
      <c r="BH264" s="96" t="str">
        <f>HYPERLINK("https://pbs.twimg.com/profile_banners/3106384919/1694116522")</f>
        <v>https://pbs.twimg.com/profile_banners/3106384919/1694116522</v>
      </c>
      <c r="BI264" s="86"/>
      <c r="BJ264" s="86" t="s">
        <v>29134</v>
      </c>
      <c r="BK264" s="86" t="b">
        <v>0</v>
      </c>
      <c r="BL264" s="86"/>
      <c r="BM264" s="86" t="s">
        <v>66</v>
      </c>
      <c r="BN264" s="86" t="s">
        <v>29136</v>
      </c>
      <c r="BO264" s="96" t="str">
        <f>HYPERLINK("https://twitter.com/filomenasilva_")</f>
        <v>https://twitter.com/filomenasilva_</v>
      </c>
      <c r="BP264" s="2"/>
    </row>
    <row r="265" spans="1:68" x14ac:dyDescent="0.25">
      <c r="A265" s="63" t="s">
        <v>455</v>
      </c>
      <c r="B265" s="64"/>
      <c r="C265" s="64"/>
      <c r="D265" s="65"/>
      <c r="E265" s="67"/>
      <c r="F265" s="111" t="str">
        <f>HYPERLINK("https://pbs.twimg.com/profile_images/1280264830142812161/np4F4ADw_normal.jpg")</f>
        <v>https://pbs.twimg.com/profile_images/1280264830142812161/np4F4ADw_normal.jpg</v>
      </c>
      <c r="G265" s="64"/>
      <c r="H265" s="68"/>
      <c r="I265" s="69"/>
      <c r="J265" s="69"/>
      <c r="K265" s="68" t="s">
        <v>29398</v>
      </c>
      <c r="L265" s="72"/>
      <c r="M265" s="73"/>
      <c r="N265" s="73"/>
      <c r="O265" s="74"/>
      <c r="P265" s="75"/>
      <c r="Q265" s="75"/>
      <c r="R265" s="102"/>
      <c r="S265" s="102"/>
      <c r="T265" s="102"/>
      <c r="U265" s="102"/>
      <c r="V265" s="48"/>
      <c r="W265" s="48"/>
      <c r="X265" s="48"/>
      <c r="Y265" s="48"/>
      <c r="Z265" s="47"/>
      <c r="AA265" s="70">
        <v>265</v>
      </c>
      <c r="AB265" s="70"/>
      <c r="AC265" s="71"/>
      <c r="AD265" s="86" t="s">
        <v>23902</v>
      </c>
      <c r="AE265" s="94" t="s">
        <v>22930</v>
      </c>
      <c r="AF265" s="86">
        <v>413</v>
      </c>
      <c r="AG265" s="86">
        <v>1411</v>
      </c>
      <c r="AH265" s="86">
        <v>4045</v>
      </c>
      <c r="AI265" s="86">
        <v>4</v>
      </c>
      <c r="AJ265" s="86">
        <v>51</v>
      </c>
      <c r="AK265" s="86">
        <v>600</v>
      </c>
      <c r="AL265" s="86" t="b">
        <v>0</v>
      </c>
      <c r="AM265" s="89">
        <v>42438.732465277775</v>
      </c>
      <c r="AN265" s="86" t="s">
        <v>25974</v>
      </c>
      <c r="AO265" s="86" t="s">
        <v>26661</v>
      </c>
      <c r="AP265" s="96" t="str">
        <f>HYPERLINK("https://t.co/DSobZF1stM")</f>
        <v>https://t.co/DSobZF1stM</v>
      </c>
      <c r="AQ265" s="96" t="str">
        <f>HYPERLINK("https://anoticia.pt")</f>
        <v>https://anoticia.pt</v>
      </c>
      <c r="AR265" s="86" t="s">
        <v>8410</v>
      </c>
      <c r="AS265" s="86"/>
      <c r="AT265" s="86"/>
      <c r="AU265" s="86"/>
      <c r="AV265" s="86"/>
      <c r="AW265" s="96" t="str">
        <f>HYPERLINK("https://t.co/DSobZF1stM")</f>
        <v>https://t.co/DSobZF1stM</v>
      </c>
      <c r="AX265" s="86" t="b">
        <v>0</v>
      </c>
      <c r="AY265" s="86"/>
      <c r="AZ265" s="86"/>
      <c r="BA265" s="86" t="b">
        <v>0</v>
      </c>
      <c r="BB265" s="86" t="b">
        <v>1</v>
      </c>
      <c r="BC265" s="86" t="b">
        <v>1</v>
      </c>
      <c r="BD265" s="86" t="b">
        <v>0</v>
      </c>
      <c r="BE265" s="86" t="b">
        <v>0</v>
      </c>
      <c r="BF265" s="86" t="b">
        <v>0</v>
      </c>
      <c r="BG265" s="86" t="b">
        <v>0</v>
      </c>
      <c r="BH265" s="96" t="str">
        <f>HYPERLINK("https://pbs.twimg.com/profile_banners/707620654485528576/1594073717")</f>
        <v>https://pbs.twimg.com/profile_banners/707620654485528576/1594073717</v>
      </c>
      <c r="BI265" s="86"/>
      <c r="BJ265" s="86" t="s">
        <v>29134</v>
      </c>
      <c r="BK265" s="86" t="b">
        <v>0</v>
      </c>
      <c r="BL265" s="86"/>
      <c r="BM265" s="86" t="s">
        <v>66</v>
      </c>
      <c r="BN265" s="86" t="s">
        <v>29136</v>
      </c>
      <c r="BO265" s="96" t="str">
        <f>HYPERLINK("https://twitter.com/anoticiapt")</f>
        <v>https://twitter.com/anoticiapt</v>
      </c>
      <c r="BP265" s="2"/>
    </row>
    <row r="266" spans="1:68" x14ac:dyDescent="0.25">
      <c r="A266" s="63" t="s">
        <v>456</v>
      </c>
      <c r="B266" s="64"/>
      <c r="C266" s="64"/>
      <c r="D266" s="65"/>
      <c r="E266" s="67"/>
      <c r="F266" s="111" t="str">
        <f>HYPERLINK("https://pbs.twimg.com/profile_images/1702486763690688512/0Zc-7CZF_normal.jpg")</f>
        <v>https://pbs.twimg.com/profile_images/1702486763690688512/0Zc-7CZF_normal.jpg</v>
      </c>
      <c r="G266" s="64"/>
      <c r="H266" s="68"/>
      <c r="I266" s="69"/>
      <c r="J266" s="69"/>
      <c r="K266" s="68" t="s">
        <v>29399</v>
      </c>
      <c r="L266" s="72"/>
      <c r="M266" s="73"/>
      <c r="N266" s="73"/>
      <c r="O266" s="74"/>
      <c r="P266" s="75"/>
      <c r="Q266" s="75"/>
      <c r="R266" s="102"/>
      <c r="S266" s="102"/>
      <c r="T266" s="102"/>
      <c r="U266" s="102"/>
      <c r="V266" s="48"/>
      <c r="W266" s="48"/>
      <c r="X266" s="48"/>
      <c r="Y266" s="48"/>
      <c r="Z266" s="47"/>
      <c r="AA266" s="70">
        <v>266</v>
      </c>
      <c r="AB266" s="70"/>
      <c r="AC266" s="71"/>
      <c r="AD266" s="86" t="s">
        <v>23903</v>
      </c>
      <c r="AE266" s="94" t="s">
        <v>22931</v>
      </c>
      <c r="AF266" s="86">
        <v>2</v>
      </c>
      <c r="AG266" s="86">
        <v>6</v>
      </c>
      <c r="AH266" s="86">
        <v>95</v>
      </c>
      <c r="AI266" s="86">
        <v>0</v>
      </c>
      <c r="AJ266" s="86">
        <v>0</v>
      </c>
      <c r="AK266" s="86">
        <v>0</v>
      </c>
      <c r="AL266" s="86" t="b">
        <v>0</v>
      </c>
      <c r="AM266" s="89">
        <v>45184.009085648147</v>
      </c>
      <c r="AN266" s="86"/>
      <c r="AO266" s="86" t="s">
        <v>26662</v>
      </c>
      <c r="AP266" s="86"/>
      <c r="AQ266" s="86"/>
      <c r="AR266" s="86"/>
      <c r="AS266" s="86"/>
      <c r="AT266" s="86"/>
      <c r="AU266" s="86"/>
      <c r="AV266" s="86"/>
      <c r="AW266" s="86"/>
      <c r="AX266" s="86" t="b">
        <v>0</v>
      </c>
      <c r="AY266" s="86"/>
      <c r="AZ266" s="86"/>
      <c r="BA266" s="86" t="b">
        <v>0</v>
      </c>
      <c r="BB266" s="86" t="b">
        <v>1</v>
      </c>
      <c r="BC266" s="86" t="b">
        <v>1</v>
      </c>
      <c r="BD266" s="86" t="b">
        <v>0</v>
      </c>
      <c r="BE266" s="86" t="b">
        <v>0</v>
      </c>
      <c r="BF266" s="86" t="b">
        <v>0</v>
      </c>
      <c r="BG266" s="86" t="b">
        <v>0</v>
      </c>
      <c r="BH266" s="96" t="str">
        <f>HYPERLINK("https://pbs.twimg.com/profile_banners/1702475368442028032/1694746136")</f>
        <v>https://pbs.twimg.com/profile_banners/1702475368442028032/1694746136</v>
      </c>
      <c r="BI266" s="86"/>
      <c r="BJ266" s="86" t="s">
        <v>29134</v>
      </c>
      <c r="BK266" s="86" t="b">
        <v>0</v>
      </c>
      <c r="BL266" s="86"/>
      <c r="BM266" s="86" t="s">
        <v>66</v>
      </c>
      <c r="BN266" s="86" t="s">
        <v>29136</v>
      </c>
      <c r="BO266" s="96" t="str">
        <f>HYPERLINK("https://twitter.com/thaysastaniski")</f>
        <v>https://twitter.com/thaysastaniski</v>
      </c>
      <c r="BP266" s="2"/>
    </row>
    <row r="267" spans="1:68" x14ac:dyDescent="0.25">
      <c r="A267" s="63" t="s">
        <v>457</v>
      </c>
      <c r="B267" s="64"/>
      <c r="C267" s="64"/>
      <c r="D267" s="65"/>
      <c r="E267" s="67"/>
      <c r="F267" s="111" t="str">
        <f>HYPERLINK("https://pbs.twimg.com/profile_images/1614721556432977920/e3sxf42y_normal.jpg")</f>
        <v>https://pbs.twimg.com/profile_images/1614721556432977920/e3sxf42y_normal.jpg</v>
      </c>
      <c r="G267" s="64"/>
      <c r="H267" s="68"/>
      <c r="I267" s="69"/>
      <c r="J267" s="69"/>
      <c r="K267" s="68" t="s">
        <v>29400</v>
      </c>
      <c r="L267" s="72"/>
      <c r="M267" s="73"/>
      <c r="N267" s="73"/>
      <c r="O267" s="74"/>
      <c r="P267" s="75"/>
      <c r="Q267" s="75"/>
      <c r="R267" s="102"/>
      <c r="S267" s="102"/>
      <c r="T267" s="102"/>
      <c r="U267" s="102"/>
      <c r="V267" s="48"/>
      <c r="W267" s="48"/>
      <c r="X267" s="48"/>
      <c r="Y267" s="48"/>
      <c r="Z267" s="47"/>
      <c r="AA267" s="70">
        <v>267</v>
      </c>
      <c r="AB267" s="70"/>
      <c r="AC267" s="71"/>
      <c r="AD267" s="86" t="s">
        <v>23904</v>
      </c>
      <c r="AE267" s="94" t="s">
        <v>25319</v>
      </c>
      <c r="AF267" s="86">
        <v>29</v>
      </c>
      <c r="AG267" s="86">
        <v>121</v>
      </c>
      <c r="AH267" s="86">
        <v>1885</v>
      </c>
      <c r="AI267" s="86">
        <v>0</v>
      </c>
      <c r="AJ267" s="86">
        <v>6594</v>
      </c>
      <c r="AK267" s="86">
        <v>3</v>
      </c>
      <c r="AL267" s="86" t="b">
        <v>0</v>
      </c>
      <c r="AM267" s="89">
        <v>42126.810393518521</v>
      </c>
      <c r="AN267" s="86" t="s">
        <v>25975</v>
      </c>
      <c r="AO267" s="86" t="s">
        <v>1737</v>
      </c>
      <c r="AP267" s="86"/>
      <c r="AQ267" s="86"/>
      <c r="AR267" s="86"/>
      <c r="AS267" s="86"/>
      <c r="AT267" s="86"/>
      <c r="AU267" s="86"/>
      <c r="AV267" s="86"/>
      <c r="AW267" s="86"/>
      <c r="AX267" s="86" t="b">
        <v>0</v>
      </c>
      <c r="AY267" s="86"/>
      <c r="AZ267" s="86"/>
      <c r="BA267" s="86" t="b">
        <v>0</v>
      </c>
      <c r="BB267" s="86" t="b">
        <v>1</v>
      </c>
      <c r="BC267" s="86" t="b">
        <v>1</v>
      </c>
      <c r="BD267" s="86" t="b">
        <v>0</v>
      </c>
      <c r="BE267" s="86" t="b">
        <v>0</v>
      </c>
      <c r="BF267" s="86" t="b">
        <v>0</v>
      </c>
      <c r="BG267" s="86" t="b">
        <v>1</v>
      </c>
      <c r="BH267" s="86"/>
      <c r="BI267" s="86"/>
      <c r="BJ267" s="86" t="s">
        <v>29134</v>
      </c>
      <c r="BK267" s="86" t="b">
        <v>0</v>
      </c>
      <c r="BL267" s="86"/>
      <c r="BM267" s="86" t="s">
        <v>66</v>
      </c>
      <c r="BN267" s="86" t="s">
        <v>29136</v>
      </c>
      <c r="BO267" s="96" t="str">
        <f>HYPERLINK("https://twitter.com/marcelozuin")</f>
        <v>https://twitter.com/marcelozuin</v>
      </c>
      <c r="BP267" s="2"/>
    </row>
    <row r="268" spans="1:68" x14ac:dyDescent="0.25">
      <c r="A268" s="63" t="s">
        <v>458</v>
      </c>
      <c r="B268" s="64"/>
      <c r="C268" s="64"/>
      <c r="D268" s="65"/>
      <c r="E268" s="67"/>
      <c r="F268" s="111" t="str">
        <f>HYPERLINK("https://pbs.twimg.com/profile_images/1701914523244830720/iY6VqD0Z_normal.jpg")</f>
        <v>https://pbs.twimg.com/profile_images/1701914523244830720/iY6VqD0Z_normal.jpg</v>
      </c>
      <c r="G268" s="64"/>
      <c r="H268" s="68"/>
      <c r="I268" s="69"/>
      <c r="J268" s="69"/>
      <c r="K268" s="68" t="s">
        <v>29401</v>
      </c>
      <c r="L268" s="72"/>
      <c r="M268" s="73"/>
      <c r="N268" s="73"/>
      <c r="O268" s="74"/>
      <c r="P268" s="75"/>
      <c r="Q268" s="75"/>
      <c r="R268" s="102"/>
      <c r="S268" s="102"/>
      <c r="T268" s="102"/>
      <c r="U268" s="102"/>
      <c r="V268" s="48"/>
      <c r="W268" s="48"/>
      <c r="X268" s="48"/>
      <c r="Y268" s="48"/>
      <c r="Z268" s="47"/>
      <c r="AA268" s="70">
        <v>268</v>
      </c>
      <c r="AB268" s="70"/>
      <c r="AC268" s="71"/>
      <c r="AD268" s="86" t="s">
        <v>23905</v>
      </c>
      <c r="AE268" s="94" t="s">
        <v>22932</v>
      </c>
      <c r="AF268" s="86">
        <v>13</v>
      </c>
      <c r="AG268" s="86">
        <v>131</v>
      </c>
      <c r="AH268" s="86">
        <v>73</v>
      </c>
      <c r="AI268" s="86">
        <v>0</v>
      </c>
      <c r="AJ268" s="86">
        <v>46</v>
      </c>
      <c r="AK268" s="86">
        <v>7</v>
      </c>
      <c r="AL268" s="86" t="b">
        <v>0</v>
      </c>
      <c r="AM268" s="89">
        <v>43812.652303240742</v>
      </c>
      <c r="AN268" s="86"/>
      <c r="AO268" s="86" t="s">
        <v>26663</v>
      </c>
      <c r="AP268" s="96" t="str">
        <f>HYPERLINK("https://t.co/fNKBAGnZIy")</f>
        <v>https://t.co/fNKBAGnZIy</v>
      </c>
      <c r="AQ268" s="96" t="str">
        <f>HYPERLINK("https://www.instagram.com/lubuscaroli/")</f>
        <v>https://www.instagram.com/lubuscaroli/</v>
      </c>
      <c r="AR268" s="86" t="s">
        <v>28081</v>
      </c>
      <c r="AS268" s="86"/>
      <c r="AT268" s="86"/>
      <c r="AU268" s="86"/>
      <c r="AV268" s="86"/>
      <c r="AW268" s="96" t="str">
        <f>HYPERLINK("https://t.co/fNKBAGnZIy")</f>
        <v>https://t.co/fNKBAGnZIy</v>
      </c>
      <c r="AX268" s="86" t="b">
        <v>0</v>
      </c>
      <c r="AY268" s="86"/>
      <c r="AZ268" s="86"/>
      <c r="BA268" s="86" t="b">
        <v>0</v>
      </c>
      <c r="BB268" s="86" t="b">
        <v>1</v>
      </c>
      <c r="BC268" s="86" t="b">
        <v>1</v>
      </c>
      <c r="BD268" s="86" t="b">
        <v>0</v>
      </c>
      <c r="BE268" s="86" t="b">
        <v>1</v>
      </c>
      <c r="BF268" s="86" t="b">
        <v>0</v>
      </c>
      <c r="BG268" s="86" t="b">
        <v>0</v>
      </c>
      <c r="BH268" s="86"/>
      <c r="BI268" s="86"/>
      <c r="BJ268" s="86" t="s">
        <v>29134</v>
      </c>
      <c r="BK268" s="86" t="b">
        <v>0</v>
      </c>
      <c r="BL268" s="86"/>
      <c r="BM268" s="86" t="s">
        <v>66</v>
      </c>
      <c r="BN268" s="86" t="s">
        <v>29136</v>
      </c>
      <c r="BO268" s="96" t="str">
        <f>HYPERLINK("https://twitter.com/lu_buscaroli")</f>
        <v>https://twitter.com/lu_buscaroli</v>
      </c>
      <c r="BP268" s="2"/>
    </row>
    <row r="269" spans="1:68" x14ac:dyDescent="0.25">
      <c r="A269" s="63" t="s">
        <v>459</v>
      </c>
      <c r="B269" s="64"/>
      <c r="C269" s="64"/>
      <c r="D269" s="65"/>
      <c r="E269" s="67"/>
      <c r="F269" s="111" t="str">
        <f>HYPERLINK("https://pbs.twimg.com/profile_images/1654328185406799875/ofzkfh48_normal.jpg")</f>
        <v>https://pbs.twimg.com/profile_images/1654328185406799875/ofzkfh48_normal.jpg</v>
      </c>
      <c r="G269" s="64"/>
      <c r="H269" s="68"/>
      <c r="I269" s="69"/>
      <c r="J269" s="69"/>
      <c r="K269" s="68" t="s">
        <v>29402</v>
      </c>
      <c r="L269" s="72"/>
      <c r="M269" s="73"/>
      <c r="N269" s="73"/>
      <c r="O269" s="74"/>
      <c r="P269" s="75"/>
      <c r="Q269" s="75"/>
      <c r="R269" s="102"/>
      <c r="S269" s="102"/>
      <c r="T269" s="102"/>
      <c r="U269" s="102"/>
      <c r="V269" s="48"/>
      <c r="W269" s="48"/>
      <c r="X269" s="48"/>
      <c r="Y269" s="48"/>
      <c r="Z269" s="47"/>
      <c r="AA269" s="70">
        <v>269</v>
      </c>
      <c r="AB269" s="70"/>
      <c r="AC269" s="71"/>
      <c r="AD269" s="86" t="s">
        <v>23906</v>
      </c>
      <c r="AE269" s="94" t="s">
        <v>22933</v>
      </c>
      <c r="AF269" s="86">
        <v>33</v>
      </c>
      <c r="AG269" s="86">
        <v>322</v>
      </c>
      <c r="AH269" s="86">
        <v>469</v>
      </c>
      <c r="AI269" s="86">
        <v>1</v>
      </c>
      <c r="AJ269" s="86">
        <v>1174</v>
      </c>
      <c r="AK269" s="86">
        <v>45</v>
      </c>
      <c r="AL269" s="86" t="b">
        <v>0</v>
      </c>
      <c r="AM269" s="89">
        <v>44998.922835648147</v>
      </c>
      <c r="AN269" s="86"/>
      <c r="AO269" s="86" t="s">
        <v>26664</v>
      </c>
      <c r="AP269" s="96" t="str">
        <f>HYPERLINK("https://t.co/n5BSJj1r9Z")</f>
        <v>https://t.co/n5BSJj1r9Z</v>
      </c>
      <c r="AQ269" s="96" t="str">
        <f>HYPERLINK("http://www.georgeshumbert.com.br")</f>
        <v>http://www.georgeshumbert.com.br</v>
      </c>
      <c r="AR269" s="86" t="s">
        <v>28082</v>
      </c>
      <c r="AS269" s="86"/>
      <c r="AT269" s="86"/>
      <c r="AU269" s="86"/>
      <c r="AV269" s="86"/>
      <c r="AW269" s="96" t="str">
        <f>HYPERLINK("https://t.co/n5BSJj1r9Z")</f>
        <v>https://t.co/n5BSJj1r9Z</v>
      </c>
      <c r="AX269" s="86" t="b">
        <v>0</v>
      </c>
      <c r="AY269" s="86"/>
      <c r="AZ269" s="86"/>
      <c r="BA269" s="86" t="b">
        <v>0</v>
      </c>
      <c r="BB269" s="86" t="b">
        <v>1</v>
      </c>
      <c r="BC269" s="86" t="b">
        <v>1</v>
      </c>
      <c r="BD269" s="86" t="b">
        <v>0</v>
      </c>
      <c r="BE269" s="86" t="b">
        <v>0</v>
      </c>
      <c r="BF269" s="86" t="b">
        <v>0</v>
      </c>
      <c r="BG269" s="86" t="b">
        <v>0</v>
      </c>
      <c r="BH269" s="96" t="str">
        <f>HYPERLINK("https://pbs.twimg.com/profile_banners/1635402542807932933/1683257561")</f>
        <v>https://pbs.twimg.com/profile_banners/1635402542807932933/1683257561</v>
      </c>
      <c r="BI269" s="86"/>
      <c r="BJ269" s="86" t="s">
        <v>29134</v>
      </c>
      <c r="BK269" s="86" t="b">
        <v>0</v>
      </c>
      <c r="BL269" s="86"/>
      <c r="BM269" s="86" t="s">
        <v>66</v>
      </c>
      <c r="BN269" s="86" t="s">
        <v>29136</v>
      </c>
      <c r="BO269" s="96" t="str">
        <f>HYPERLINK("https://twitter.com/humbertadvogado")</f>
        <v>https://twitter.com/humbertadvogado</v>
      </c>
      <c r="BP269" s="2"/>
    </row>
    <row r="270" spans="1:68" x14ac:dyDescent="0.25">
      <c r="A270" s="63" t="s">
        <v>460</v>
      </c>
      <c r="B270" s="64"/>
      <c r="C270" s="64"/>
      <c r="D270" s="65"/>
      <c r="E270" s="67"/>
      <c r="F270" s="111" t="str">
        <f>HYPERLINK("https://pbs.twimg.com/profile_images/1671161311051546626/4zr-qETA_normal.jpg")</f>
        <v>https://pbs.twimg.com/profile_images/1671161311051546626/4zr-qETA_normal.jpg</v>
      </c>
      <c r="G270" s="64"/>
      <c r="H270" s="68"/>
      <c r="I270" s="69"/>
      <c r="J270" s="69"/>
      <c r="K270" s="68" t="s">
        <v>29403</v>
      </c>
      <c r="L270" s="72"/>
      <c r="M270" s="73"/>
      <c r="N270" s="73"/>
      <c r="O270" s="74"/>
      <c r="P270" s="75"/>
      <c r="Q270" s="75"/>
      <c r="R270" s="102"/>
      <c r="S270" s="102"/>
      <c r="T270" s="102"/>
      <c r="U270" s="102"/>
      <c r="V270" s="48"/>
      <c r="W270" s="48"/>
      <c r="X270" s="48"/>
      <c r="Y270" s="48"/>
      <c r="Z270" s="47"/>
      <c r="AA270" s="70">
        <v>270</v>
      </c>
      <c r="AB270" s="70"/>
      <c r="AC270" s="71"/>
      <c r="AD270" s="86" t="s">
        <v>23907</v>
      </c>
      <c r="AE270" s="94" t="s">
        <v>22934</v>
      </c>
      <c r="AF270" s="86">
        <v>0</v>
      </c>
      <c r="AG270" s="86">
        <v>4</v>
      </c>
      <c r="AH270" s="86">
        <v>33</v>
      </c>
      <c r="AI270" s="86">
        <v>0</v>
      </c>
      <c r="AJ270" s="86">
        <v>0</v>
      </c>
      <c r="AK270" s="86">
        <v>17</v>
      </c>
      <c r="AL270" s="86" t="b">
        <v>0</v>
      </c>
      <c r="AM270" s="89">
        <v>45097.595717592594</v>
      </c>
      <c r="AN270" s="86" t="s">
        <v>15378</v>
      </c>
      <c r="AO270" s="86" t="s">
        <v>26665</v>
      </c>
      <c r="AP270" s="86"/>
      <c r="AQ270" s="86"/>
      <c r="AR270" s="86"/>
      <c r="AS270" s="86"/>
      <c r="AT270" s="86"/>
      <c r="AU270" s="86"/>
      <c r="AV270" s="86"/>
      <c r="AW270" s="86"/>
      <c r="AX270" s="86" t="b">
        <v>0</v>
      </c>
      <c r="AY270" s="86"/>
      <c r="AZ270" s="86"/>
      <c r="BA270" s="86" t="b">
        <v>0</v>
      </c>
      <c r="BB270" s="86" t="b">
        <v>1</v>
      </c>
      <c r="BC270" s="86" t="b">
        <v>1</v>
      </c>
      <c r="BD270" s="86" t="b">
        <v>0</v>
      </c>
      <c r="BE270" s="86" t="b">
        <v>0</v>
      </c>
      <c r="BF270" s="86" t="b">
        <v>0</v>
      </c>
      <c r="BG270" s="86" t="b">
        <v>0</v>
      </c>
      <c r="BH270" s="96" t="str">
        <f>HYPERLINK("https://pbs.twimg.com/profile_banners/1671160269773639684/1687271011")</f>
        <v>https://pbs.twimg.com/profile_banners/1671160269773639684/1687271011</v>
      </c>
      <c r="BI270" s="86"/>
      <c r="BJ270" s="86" t="s">
        <v>29134</v>
      </c>
      <c r="BK270" s="86" t="b">
        <v>0</v>
      </c>
      <c r="BL270" s="86"/>
      <c r="BM270" s="86" t="s">
        <v>66</v>
      </c>
      <c r="BN270" s="86" t="s">
        <v>29136</v>
      </c>
      <c r="BO270" s="96" t="str">
        <f>HYPERLINK("https://twitter.com/magnettomkt")</f>
        <v>https://twitter.com/magnettomkt</v>
      </c>
      <c r="BP270" s="2"/>
    </row>
    <row r="271" spans="1:68" x14ac:dyDescent="0.25">
      <c r="A271" s="63" t="s">
        <v>461</v>
      </c>
      <c r="B271" s="64"/>
      <c r="C271" s="64"/>
      <c r="D271" s="65"/>
      <c r="E271" s="67"/>
      <c r="F271" s="111" t="str">
        <f>HYPERLINK("https://pbs.twimg.com/profile_images/874682129568997376/qCv0RGlc_normal.jpg")</f>
        <v>https://pbs.twimg.com/profile_images/874682129568997376/qCv0RGlc_normal.jpg</v>
      </c>
      <c r="G271" s="64"/>
      <c r="H271" s="68"/>
      <c r="I271" s="69"/>
      <c r="J271" s="69"/>
      <c r="K271" s="68" t="s">
        <v>29404</v>
      </c>
      <c r="L271" s="72"/>
      <c r="M271" s="73"/>
      <c r="N271" s="73"/>
      <c r="O271" s="74"/>
      <c r="P271" s="75"/>
      <c r="Q271" s="75"/>
      <c r="R271" s="102"/>
      <c r="S271" s="102"/>
      <c r="T271" s="102"/>
      <c r="U271" s="102"/>
      <c r="V271" s="48"/>
      <c r="W271" s="48"/>
      <c r="X271" s="48"/>
      <c r="Y271" s="48"/>
      <c r="Z271" s="47"/>
      <c r="AA271" s="70">
        <v>271</v>
      </c>
      <c r="AB271" s="70"/>
      <c r="AC271" s="71"/>
      <c r="AD271" s="86" t="s">
        <v>23908</v>
      </c>
      <c r="AE271" s="94" t="s">
        <v>25320</v>
      </c>
      <c r="AF271" s="86">
        <v>698</v>
      </c>
      <c r="AG271" s="86">
        <v>697</v>
      </c>
      <c r="AH271" s="86">
        <v>2598</v>
      </c>
      <c r="AI271" s="86">
        <v>3</v>
      </c>
      <c r="AJ271" s="86">
        <v>918</v>
      </c>
      <c r="AK271" s="86">
        <v>1440</v>
      </c>
      <c r="AL271" s="86" t="b">
        <v>0</v>
      </c>
      <c r="AM271" s="89">
        <v>40708.742777777778</v>
      </c>
      <c r="AN271" s="86" t="s">
        <v>15234</v>
      </c>
      <c r="AO271" s="86" t="s">
        <v>26666</v>
      </c>
      <c r="AP271" s="96" t="str">
        <f>HYPERLINK("https://t.co/2SL4cDpNtn")</f>
        <v>https://t.co/2SL4cDpNtn</v>
      </c>
      <c r="AQ271" s="96" t="str">
        <f>HYPERLINK("https://lp.janikingbrasil.com.br/limpeza-profissional/")</f>
        <v>https://lp.janikingbrasil.com.br/limpeza-profissional/</v>
      </c>
      <c r="AR271" s="86" t="s">
        <v>28083</v>
      </c>
      <c r="AS271" s="86"/>
      <c r="AT271" s="86"/>
      <c r="AU271" s="86"/>
      <c r="AV271" s="86"/>
      <c r="AW271" s="96" t="str">
        <f>HYPERLINK("https://t.co/2SL4cDpNtn")</f>
        <v>https://t.co/2SL4cDpNtn</v>
      </c>
      <c r="AX271" s="86" t="b">
        <v>0</v>
      </c>
      <c r="AY271" s="86"/>
      <c r="AZ271" s="86"/>
      <c r="BA271" s="86" t="b">
        <v>0</v>
      </c>
      <c r="BB271" s="86" t="b">
        <v>1</v>
      </c>
      <c r="BC271" s="86" t="b">
        <v>0</v>
      </c>
      <c r="BD271" s="86" t="b">
        <v>0</v>
      </c>
      <c r="BE271" s="86" t="b">
        <v>0</v>
      </c>
      <c r="BF271" s="86" t="b">
        <v>0</v>
      </c>
      <c r="BG271" s="86" t="b">
        <v>0</v>
      </c>
      <c r="BH271" s="96" t="str">
        <f>HYPERLINK("https://pbs.twimg.com/profile_banners/317269700/1598284689")</f>
        <v>https://pbs.twimg.com/profile_banners/317269700/1598284689</v>
      </c>
      <c r="BI271" s="86"/>
      <c r="BJ271" s="86" t="s">
        <v>29134</v>
      </c>
      <c r="BK271" s="86" t="b">
        <v>0</v>
      </c>
      <c r="BL271" s="86"/>
      <c r="BM271" s="86" t="s">
        <v>66</v>
      </c>
      <c r="BN271" s="86" t="s">
        <v>29136</v>
      </c>
      <c r="BO271" s="96" t="str">
        <f>HYPERLINK("https://twitter.com/janikingbr")</f>
        <v>https://twitter.com/janikingbr</v>
      </c>
      <c r="BP271" s="2"/>
    </row>
    <row r="272" spans="1:68" x14ac:dyDescent="0.25">
      <c r="A272" s="63" t="s">
        <v>462</v>
      </c>
      <c r="B272" s="64"/>
      <c r="C272" s="64"/>
      <c r="D272" s="65"/>
      <c r="E272" s="67"/>
      <c r="F272" s="111" t="str">
        <f>HYPERLINK("https://pbs.twimg.com/profile_images/1454013756514656259/Br7uyAKc_normal.jpg")</f>
        <v>https://pbs.twimg.com/profile_images/1454013756514656259/Br7uyAKc_normal.jpg</v>
      </c>
      <c r="G272" s="64"/>
      <c r="H272" s="68"/>
      <c r="I272" s="69"/>
      <c r="J272" s="69"/>
      <c r="K272" s="68" t="s">
        <v>29405</v>
      </c>
      <c r="L272" s="72"/>
      <c r="M272" s="73"/>
      <c r="N272" s="73"/>
      <c r="O272" s="74"/>
      <c r="P272" s="75"/>
      <c r="Q272" s="75"/>
      <c r="R272" s="102"/>
      <c r="S272" s="102"/>
      <c r="T272" s="102"/>
      <c r="U272" s="102"/>
      <c r="V272" s="48"/>
      <c r="W272" s="48"/>
      <c r="X272" s="48"/>
      <c r="Y272" s="48"/>
      <c r="Z272" s="47"/>
      <c r="AA272" s="70">
        <v>272</v>
      </c>
      <c r="AB272" s="70"/>
      <c r="AC272" s="71"/>
      <c r="AD272" s="86" t="s">
        <v>23909</v>
      </c>
      <c r="AE272" s="94" t="s">
        <v>22935</v>
      </c>
      <c r="AF272" s="86">
        <v>1</v>
      </c>
      <c r="AG272" s="86">
        <v>10</v>
      </c>
      <c r="AH272" s="86">
        <v>23</v>
      </c>
      <c r="AI272" s="86">
        <v>0</v>
      </c>
      <c r="AJ272" s="86">
        <v>0</v>
      </c>
      <c r="AK272" s="86">
        <v>23</v>
      </c>
      <c r="AL272" s="86" t="b">
        <v>0</v>
      </c>
      <c r="AM272" s="89">
        <v>44498.385046296295</v>
      </c>
      <c r="AN272" s="86" t="s">
        <v>15251</v>
      </c>
      <c r="AO272" s="86" t="s">
        <v>26667</v>
      </c>
      <c r="AP272" s="96" t="str">
        <f>HYPERLINK("https://t.co/rf8bjZMpk2")</f>
        <v>https://t.co/rf8bjZMpk2</v>
      </c>
      <c r="AQ272" s="96" t="str">
        <f>HYPERLINK("http://www.linkedin.com/in/carolcandp")</f>
        <v>http://www.linkedin.com/in/carolcandp</v>
      </c>
      <c r="AR272" s="86" t="s">
        <v>28084</v>
      </c>
      <c r="AS272" s="86"/>
      <c r="AT272" s="86"/>
      <c r="AU272" s="86"/>
      <c r="AV272" s="86"/>
      <c r="AW272" s="96" t="str">
        <f>HYPERLINK("https://t.co/rf8bjZMpk2")</f>
        <v>https://t.co/rf8bjZMpk2</v>
      </c>
      <c r="AX272" s="86" t="b">
        <v>0</v>
      </c>
      <c r="AY272" s="86"/>
      <c r="AZ272" s="86"/>
      <c r="BA272" s="86" t="b">
        <v>0</v>
      </c>
      <c r="BB272" s="86" t="b">
        <v>1</v>
      </c>
      <c r="BC272" s="86" t="b">
        <v>1</v>
      </c>
      <c r="BD272" s="86" t="b">
        <v>0</v>
      </c>
      <c r="BE272" s="86" t="b">
        <v>0</v>
      </c>
      <c r="BF272" s="86" t="b">
        <v>0</v>
      </c>
      <c r="BG272" s="86" t="b">
        <v>0</v>
      </c>
      <c r="BH272" s="96" t="str">
        <f>HYPERLINK("https://pbs.twimg.com/profile_banners/1454013568731525121/1649041028")</f>
        <v>https://pbs.twimg.com/profile_banners/1454013568731525121/1649041028</v>
      </c>
      <c r="BI272" s="86"/>
      <c r="BJ272" s="86" t="s">
        <v>29134</v>
      </c>
      <c r="BK272" s="86" t="b">
        <v>0</v>
      </c>
      <c r="BL272" s="86"/>
      <c r="BM272" s="86" t="s">
        <v>66</v>
      </c>
      <c r="BN272" s="86" t="s">
        <v>29136</v>
      </c>
      <c r="BO272" s="96" t="str">
        <f>HYPERLINK("https://twitter.com/quemaraseria")</f>
        <v>https://twitter.com/quemaraseria</v>
      </c>
      <c r="BP272" s="2"/>
    </row>
    <row r="273" spans="1:68" x14ac:dyDescent="0.25">
      <c r="A273" s="63" t="s">
        <v>463</v>
      </c>
      <c r="B273" s="64"/>
      <c r="C273" s="64"/>
      <c r="D273" s="65"/>
      <c r="E273" s="67"/>
      <c r="F273" s="111" t="str">
        <f>HYPERLINK("https://pbs.twimg.com/profile_images/1494036798242185225/tIKNuiWU_normal.jpg")</f>
        <v>https://pbs.twimg.com/profile_images/1494036798242185225/tIKNuiWU_normal.jpg</v>
      </c>
      <c r="G273" s="64"/>
      <c r="H273" s="68"/>
      <c r="I273" s="69"/>
      <c r="J273" s="69"/>
      <c r="K273" s="68" t="s">
        <v>29406</v>
      </c>
      <c r="L273" s="72"/>
      <c r="M273" s="73"/>
      <c r="N273" s="73"/>
      <c r="O273" s="74"/>
      <c r="P273" s="75"/>
      <c r="Q273" s="75"/>
      <c r="R273" s="102"/>
      <c r="S273" s="102"/>
      <c r="T273" s="102"/>
      <c r="U273" s="102"/>
      <c r="V273" s="48"/>
      <c r="W273" s="48"/>
      <c r="X273" s="48"/>
      <c r="Y273" s="48"/>
      <c r="Z273" s="47"/>
      <c r="AA273" s="70">
        <v>273</v>
      </c>
      <c r="AB273" s="70"/>
      <c r="AC273" s="71"/>
      <c r="AD273" s="86" t="s">
        <v>23910</v>
      </c>
      <c r="AE273" s="94" t="s">
        <v>22936</v>
      </c>
      <c r="AF273" s="86">
        <v>63</v>
      </c>
      <c r="AG273" s="86">
        <v>14</v>
      </c>
      <c r="AH273" s="86">
        <v>227</v>
      </c>
      <c r="AI273" s="86">
        <v>0</v>
      </c>
      <c r="AJ273" s="86">
        <v>28</v>
      </c>
      <c r="AK273" s="86">
        <v>200</v>
      </c>
      <c r="AL273" s="86" t="b">
        <v>0</v>
      </c>
      <c r="AM273" s="89">
        <v>42923.672696759262</v>
      </c>
      <c r="AN273" s="86" t="s">
        <v>25976</v>
      </c>
      <c r="AO273" s="86" t="s">
        <v>26668</v>
      </c>
      <c r="AP273" s="96" t="str">
        <f>HYPERLINK("https://t.co/Vgz4yfkcd2")</f>
        <v>https://t.co/Vgz4yfkcd2</v>
      </c>
      <c r="AQ273" s="96" t="str">
        <f>HYPERLINK("http://www.aese.pt")</f>
        <v>http://www.aese.pt</v>
      </c>
      <c r="AR273" s="86" t="s">
        <v>8411</v>
      </c>
      <c r="AS273" s="86"/>
      <c r="AT273" s="86"/>
      <c r="AU273" s="86"/>
      <c r="AV273" s="86"/>
      <c r="AW273" s="96" t="str">
        <f>HYPERLINK("https://t.co/Vgz4yfkcd2")</f>
        <v>https://t.co/Vgz4yfkcd2</v>
      </c>
      <c r="AX273" s="86" t="b">
        <v>0</v>
      </c>
      <c r="AY273" s="86"/>
      <c r="AZ273" s="86"/>
      <c r="BA273" s="86" t="b">
        <v>0</v>
      </c>
      <c r="BB273" s="86" t="b">
        <v>1</v>
      </c>
      <c r="BC273" s="86" t="b">
        <v>0</v>
      </c>
      <c r="BD273" s="86" t="b">
        <v>0</v>
      </c>
      <c r="BE273" s="86" t="b">
        <v>0</v>
      </c>
      <c r="BF273" s="86" t="b">
        <v>0</v>
      </c>
      <c r="BG273" s="86" t="b">
        <v>0</v>
      </c>
      <c r="BH273" s="96" t="str">
        <f>HYPERLINK("https://pbs.twimg.com/profile_banners/883357109915701251/1499591601")</f>
        <v>https://pbs.twimg.com/profile_banners/883357109915701251/1499591601</v>
      </c>
      <c r="BI273" s="86"/>
      <c r="BJ273" s="86" t="s">
        <v>29134</v>
      </c>
      <c r="BK273" s="86" t="b">
        <v>0</v>
      </c>
      <c r="BL273" s="86"/>
      <c r="BM273" s="86" t="s">
        <v>66</v>
      </c>
      <c r="BN273" s="86" t="s">
        <v>29136</v>
      </c>
      <c r="BO273" s="96" t="str">
        <f>HYPERLINK("https://twitter.com/aesebschool")</f>
        <v>https://twitter.com/aesebschool</v>
      </c>
      <c r="BP273" s="2"/>
    </row>
    <row r="274" spans="1:68" x14ac:dyDescent="0.25">
      <c r="A274" s="63" t="s">
        <v>464</v>
      </c>
      <c r="B274" s="64"/>
      <c r="C274" s="64"/>
      <c r="D274" s="65"/>
      <c r="E274" s="67"/>
      <c r="F274" s="111" t="str">
        <f>HYPERLINK("https://pbs.twimg.com/profile_images/1611364496672526337/3Mglhs4D_normal.jpg")</f>
        <v>https://pbs.twimg.com/profile_images/1611364496672526337/3Mglhs4D_normal.jpg</v>
      </c>
      <c r="G274" s="64"/>
      <c r="H274" s="68"/>
      <c r="I274" s="69"/>
      <c r="J274" s="69"/>
      <c r="K274" s="68" t="s">
        <v>29407</v>
      </c>
      <c r="L274" s="72"/>
      <c r="M274" s="73"/>
      <c r="N274" s="73"/>
      <c r="O274" s="74"/>
      <c r="P274" s="75"/>
      <c r="Q274" s="75"/>
      <c r="R274" s="102"/>
      <c r="S274" s="102"/>
      <c r="T274" s="102"/>
      <c r="U274" s="102"/>
      <c r="V274" s="48"/>
      <c r="W274" s="48"/>
      <c r="X274" s="48"/>
      <c r="Y274" s="48"/>
      <c r="Z274" s="47"/>
      <c r="AA274" s="70">
        <v>274</v>
      </c>
      <c r="AB274" s="70"/>
      <c r="AC274" s="71"/>
      <c r="AD274" s="86" t="s">
        <v>23911</v>
      </c>
      <c r="AE274" s="94" t="s">
        <v>22937</v>
      </c>
      <c r="AF274" s="86">
        <v>13</v>
      </c>
      <c r="AG274" s="86">
        <v>35</v>
      </c>
      <c r="AH274" s="86">
        <v>1184</v>
      </c>
      <c r="AI274" s="86">
        <v>0</v>
      </c>
      <c r="AJ274" s="86">
        <v>12</v>
      </c>
      <c r="AK274" s="86">
        <v>837</v>
      </c>
      <c r="AL274" s="86" t="b">
        <v>0</v>
      </c>
      <c r="AM274" s="89">
        <v>44354.540509259263</v>
      </c>
      <c r="AN274" s="86" t="s">
        <v>25977</v>
      </c>
      <c r="AO274" s="86" t="s">
        <v>26669</v>
      </c>
      <c r="AP274" s="96" t="str">
        <f>HYPERLINK("https://t.co/j34oirQYTi")</f>
        <v>https://t.co/j34oirQYTi</v>
      </c>
      <c r="AQ274" s="96" t="str">
        <f>HYPERLINK("https://linktr.ee/laserchip")</f>
        <v>https://linktr.ee/laserchip</v>
      </c>
      <c r="AR274" s="86" t="s">
        <v>28085</v>
      </c>
      <c r="AS274" s="86"/>
      <c r="AT274" s="86"/>
      <c r="AU274" s="86"/>
      <c r="AV274" s="86"/>
      <c r="AW274" s="96" t="str">
        <f>HYPERLINK("https://t.co/j34oirQYTi")</f>
        <v>https://t.co/j34oirQYTi</v>
      </c>
      <c r="AX274" s="86" t="b">
        <v>0</v>
      </c>
      <c r="AY274" s="86"/>
      <c r="AZ274" s="86"/>
      <c r="BA274" s="86" t="b">
        <v>0</v>
      </c>
      <c r="BB274" s="86" t="b">
        <v>1</v>
      </c>
      <c r="BC274" s="86" t="b">
        <v>1</v>
      </c>
      <c r="BD274" s="86" t="b">
        <v>0</v>
      </c>
      <c r="BE274" s="86" t="b">
        <v>0</v>
      </c>
      <c r="BF274" s="86" t="b">
        <v>0</v>
      </c>
      <c r="BG274" s="86" t="b">
        <v>0</v>
      </c>
      <c r="BH274" s="96" t="str">
        <f>HYPERLINK("https://pbs.twimg.com/profile_banners/1401885837110001668/1669924092")</f>
        <v>https://pbs.twimg.com/profile_banners/1401885837110001668/1669924092</v>
      </c>
      <c r="BI274" s="86"/>
      <c r="BJ274" s="86" t="s">
        <v>29134</v>
      </c>
      <c r="BK274" s="86" t="b">
        <v>0</v>
      </c>
      <c r="BL274" s="86"/>
      <c r="BM274" s="86" t="s">
        <v>66</v>
      </c>
      <c r="BN274" s="86" t="s">
        <v>29136</v>
      </c>
      <c r="BO274" s="96" t="str">
        <f>HYPERLINK("https://twitter.com/laserchiprj")</f>
        <v>https://twitter.com/laserchiprj</v>
      </c>
      <c r="BP274" s="2"/>
    </row>
    <row r="275" spans="1:68" x14ac:dyDescent="0.25">
      <c r="A275" s="63" t="s">
        <v>465</v>
      </c>
      <c r="B275" s="64"/>
      <c r="C275" s="64"/>
      <c r="D275" s="65"/>
      <c r="E275" s="67"/>
      <c r="F275" s="111" t="str">
        <f>HYPERLINK("https://pbs.twimg.com/profile_images/1703133684419756032/CROJGNvi_normal.jpg")</f>
        <v>https://pbs.twimg.com/profile_images/1703133684419756032/CROJGNvi_normal.jpg</v>
      </c>
      <c r="G275" s="64"/>
      <c r="H275" s="68"/>
      <c r="I275" s="69"/>
      <c r="J275" s="69"/>
      <c r="K275" s="68" t="s">
        <v>29408</v>
      </c>
      <c r="L275" s="72"/>
      <c r="M275" s="73"/>
      <c r="N275" s="73"/>
      <c r="O275" s="74"/>
      <c r="P275" s="75"/>
      <c r="Q275" s="75"/>
      <c r="R275" s="102"/>
      <c r="S275" s="102"/>
      <c r="T275" s="102"/>
      <c r="U275" s="102"/>
      <c r="V275" s="48"/>
      <c r="W275" s="48"/>
      <c r="X275" s="48"/>
      <c r="Y275" s="48"/>
      <c r="Z275" s="47"/>
      <c r="AA275" s="70">
        <v>275</v>
      </c>
      <c r="AB275" s="70"/>
      <c r="AC275" s="71"/>
      <c r="AD275" s="86" t="s">
        <v>23912</v>
      </c>
      <c r="AE275" s="94" t="s">
        <v>22938</v>
      </c>
      <c r="AF275" s="86">
        <v>85</v>
      </c>
      <c r="AG275" s="86">
        <v>88</v>
      </c>
      <c r="AH275" s="86">
        <v>8019</v>
      </c>
      <c r="AI275" s="86">
        <v>0</v>
      </c>
      <c r="AJ275" s="86">
        <v>19712</v>
      </c>
      <c r="AK275" s="86">
        <v>180</v>
      </c>
      <c r="AL275" s="86" t="b">
        <v>0</v>
      </c>
      <c r="AM275" s="89">
        <v>44934.875578703701</v>
      </c>
      <c r="AN275" s="86" t="s">
        <v>25978</v>
      </c>
      <c r="AO275" s="86" t="s">
        <v>26670</v>
      </c>
      <c r="AP275" s="96" t="str">
        <f>HYPERLINK("https://t.co/K77JAzSDkb")</f>
        <v>https://t.co/K77JAzSDkb</v>
      </c>
      <c r="AQ275" s="96" t="str">
        <f>HYPERLINK("https://instagram.com/ju.linharees?igshid=NmQ2ZmYxZjA=")</f>
        <v>https://instagram.com/ju.linharees?igshid=NmQ2ZmYxZjA=</v>
      </c>
      <c r="AR275" s="86" t="s">
        <v>28086</v>
      </c>
      <c r="AS275" s="86"/>
      <c r="AT275" s="86"/>
      <c r="AU275" s="86"/>
      <c r="AV275" s="86">
        <v>1.6771785641126999E+18</v>
      </c>
      <c r="AW275" s="96" t="str">
        <f>HYPERLINK("https://t.co/K77JAzSDkb")</f>
        <v>https://t.co/K77JAzSDkb</v>
      </c>
      <c r="AX275" s="86" t="b">
        <v>0</v>
      </c>
      <c r="AY275" s="86"/>
      <c r="AZ275" s="86"/>
      <c r="BA275" s="86" t="b">
        <v>0</v>
      </c>
      <c r="BB275" s="86" t="b">
        <v>0</v>
      </c>
      <c r="BC275" s="86" t="b">
        <v>1</v>
      </c>
      <c r="BD275" s="86" t="b">
        <v>0</v>
      </c>
      <c r="BE275" s="86" t="b">
        <v>0</v>
      </c>
      <c r="BF275" s="86" t="b">
        <v>0</v>
      </c>
      <c r="BG275" s="86" t="b">
        <v>0</v>
      </c>
      <c r="BH275" s="96" t="str">
        <f>HYPERLINK("https://pbs.twimg.com/profile_banners/1612191986294968321/1694893570")</f>
        <v>https://pbs.twimg.com/profile_banners/1612191986294968321/1694893570</v>
      </c>
      <c r="BI275" s="86"/>
      <c r="BJ275" s="86" t="s">
        <v>29134</v>
      </c>
      <c r="BK275" s="86" t="b">
        <v>0</v>
      </c>
      <c r="BL275" s="86"/>
      <c r="BM275" s="86" t="s">
        <v>66</v>
      </c>
      <c r="BN275" s="86" t="s">
        <v>29136</v>
      </c>
      <c r="BO275" s="96" t="str">
        <f>HYPERLINK("https://twitter.com/najulinharees")</f>
        <v>https://twitter.com/najulinharees</v>
      </c>
      <c r="BP275" s="2"/>
    </row>
    <row r="276" spans="1:68" x14ac:dyDescent="0.25">
      <c r="A276" s="63" t="s">
        <v>466</v>
      </c>
      <c r="B276" s="64"/>
      <c r="C276" s="64"/>
      <c r="D276" s="65"/>
      <c r="E276" s="67"/>
      <c r="F276" s="111" t="str">
        <f>HYPERLINK("https://pbs.twimg.com/profile_images/1376189442168389635/rwy4O1Gg_normal.png")</f>
        <v>https://pbs.twimg.com/profile_images/1376189442168389635/rwy4O1Gg_normal.png</v>
      </c>
      <c r="G276" s="64"/>
      <c r="H276" s="68"/>
      <c r="I276" s="69"/>
      <c r="J276" s="69"/>
      <c r="K276" s="68" t="s">
        <v>29409</v>
      </c>
      <c r="L276" s="72"/>
      <c r="M276" s="73"/>
      <c r="N276" s="73"/>
      <c r="O276" s="74"/>
      <c r="P276" s="75"/>
      <c r="Q276" s="75"/>
      <c r="R276" s="102"/>
      <c r="S276" s="102"/>
      <c r="T276" s="102"/>
      <c r="U276" s="102"/>
      <c r="V276" s="48"/>
      <c r="W276" s="48"/>
      <c r="X276" s="48"/>
      <c r="Y276" s="48"/>
      <c r="Z276" s="47"/>
      <c r="AA276" s="70">
        <v>276</v>
      </c>
      <c r="AB276" s="70"/>
      <c r="AC276" s="71"/>
      <c r="AD276" s="86" t="s">
        <v>23913</v>
      </c>
      <c r="AE276" s="94" t="s">
        <v>25321</v>
      </c>
      <c r="AF276" s="86">
        <v>2129</v>
      </c>
      <c r="AG276" s="86">
        <v>646</v>
      </c>
      <c r="AH276" s="86">
        <v>1807</v>
      </c>
      <c r="AI276" s="86">
        <v>81</v>
      </c>
      <c r="AJ276" s="86">
        <v>659</v>
      </c>
      <c r="AK276" s="86">
        <v>689</v>
      </c>
      <c r="AL276" s="86" t="b">
        <v>0</v>
      </c>
      <c r="AM276" s="89">
        <v>41488.882719907408</v>
      </c>
      <c r="AN276" s="86" t="s">
        <v>25979</v>
      </c>
      <c r="AO276" s="86" t="s">
        <v>26671</v>
      </c>
      <c r="AP276" s="96" t="str">
        <f>HYPERLINK("https://t.co/ENLjZFz9y3")</f>
        <v>https://t.co/ENLjZFz9y3</v>
      </c>
      <c r="AQ276" s="96" t="str">
        <f>HYPERLINK("https://swissnex.org/brazil/")</f>
        <v>https://swissnex.org/brazil/</v>
      </c>
      <c r="AR276" s="86" t="s">
        <v>28087</v>
      </c>
      <c r="AS276" s="86"/>
      <c r="AT276" s="86"/>
      <c r="AU276" s="86"/>
      <c r="AV276" s="86"/>
      <c r="AW276" s="96" t="str">
        <f>HYPERLINK("https://t.co/ENLjZFz9y3")</f>
        <v>https://t.co/ENLjZFz9y3</v>
      </c>
      <c r="AX276" s="86" t="b">
        <v>0</v>
      </c>
      <c r="AY276" s="86"/>
      <c r="AZ276" s="86"/>
      <c r="BA276" s="86" t="b">
        <v>0</v>
      </c>
      <c r="BB276" s="86" t="b">
        <v>1</v>
      </c>
      <c r="BC276" s="86" t="b">
        <v>0</v>
      </c>
      <c r="BD276" s="86" t="b">
        <v>0</v>
      </c>
      <c r="BE276" s="86" t="b">
        <v>0</v>
      </c>
      <c r="BF276" s="86" t="b">
        <v>0</v>
      </c>
      <c r="BG276" s="86" t="b">
        <v>0</v>
      </c>
      <c r="BH276" s="96" t="str">
        <f>HYPERLINK("https://pbs.twimg.com/profile_banners/1641300630/1616944108")</f>
        <v>https://pbs.twimg.com/profile_banners/1641300630/1616944108</v>
      </c>
      <c r="BI276" s="86"/>
      <c r="BJ276" s="86" t="s">
        <v>29134</v>
      </c>
      <c r="BK276" s="86" t="b">
        <v>0</v>
      </c>
      <c r="BL276" s="86"/>
      <c r="BM276" s="86" t="s">
        <v>66</v>
      </c>
      <c r="BN276" s="86" t="s">
        <v>29136</v>
      </c>
      <c r="BO276" s="96" t="str">
        <f>HYPERLINK("https://twitter.com/swissnexbrazil")</f>
        <v>https://twitter.com/swissnexbrazil</v>
      </c>
      <c r="BP276" s="2"/>
    </row>
    <row r="277" spans="1:68" x14ac:dyDescent="0.25">
      <c r="A277" s="63" t="s">
        <v>1641</v>
      </c>
      <c r="B277" s="64"/>
      <c r="C277" s="64"/>
      <c r="D277" s="65"/>
      <c r="E277" s="67"/>
      <c r="F277" s="111" t="str">
        <f>HYPERLINK("https://pbs.twimg.com/profile_images/1128004129819910151/aVlaNOcR_normal.png")</f>
        <v>https://pbs.twimg.com/profile_images/1128004129819910151/aVlaNOcR_normal.png</v>
      </c>
      <c r="G277" s="64"/>
      <c r="H277" s="68"/>
      <c r="I277" s="69"/>
      <c r="J277" s="69"/>
      <c r="K277" s="68" t="s">
        <v>29410</v>
      </c>
      <c r="L277" s="72"/>
      <c r="M277" s="73"/>
      <c r="N277" s="73"/>
      <c r="O277" s="74"/>
      <c r="P277" s="75"/>
      <c r="Q277" s="75"/>
      <c r="R277" s="102"/>
      <c r="S277" s="102"/>
      <c r="T277" s="102"/>
      <c r="U277" s="102"/>
      <c r="V277" s="48"/>
      <c r="W277" s="48"/>
      <c r="X277" s="48"/>
      <c r="Y277" s="48"/>
      <c r="Z277" s="47"/>
      <c r="AA277" s="70">
        <v>277</v>
      </c>
      <c r="AB277" s="70"/>
      <c r="AC277" s="71"/>
      <c r="AD277" s="86" t="s">
        <v>23914</v>
      </c>
      <c r="AE277" s="94" t="s">
        <v>25322</v>
      </c>
      <c r="AF277" s="86">
        <v>120154</v>
      </c>
      <c r="AG277" s="86">
        <v>414</v>
      </c>
      <c r="AH277" s="86">
        <v>56567</v>
      </c>
      <c r="AI277" s="86">
        <v>467</v>
      </c>
      <c r="AJ277" s="86">
        <v>5613</v>
      </c>
      <c r="AK277" s="86">
        <v>9283</v>
      </c>
      <c r="AL277" s="86" t="b">
        <v>0</v>
      </c>
      <c r="AM277" s="89">
        <v>40127.514930555553</v>
      </c>
      <c r="AN277" s="86" t="s">
        <v>25970</v>
      </c>
      <c r="AO277" s="86" t="s">
        <v>26672</v>
      </c>
      <c r="AP277" s="96" t="str">
        <f>HYPERLINK("https://t.co/0aTIJZeyfF")</f>
        <v>https://t.co/0aTIJZeyfF</v>
      </c>
      <c r="AQ277" s="96" t="str">
        <f>HYPERLINK("https://noticias.portaldaindustria.com.br/")</f>
        <v>https://noticias.portaldaindustria.com.br/</v>
      </c>
      <c r="AR277" s="86" t="s">
        <v>28088</v>
      </c>
      <c r="AS277" s="86"/>
      <c r="AT277" s="86"/>
      <c r="AU277" s="86"/>
      <c r="AV277" s="86"/>
      <c r="AW277" s="96" t="str">
        <f>HYPERLINK("https://t.co/0aTIJZeyfF")</f>
        <v>https://t.co/0aTIJZeyfF</v>
      </c>
      <c r="AX277" s="86" t="b">
        <v>0</v>
      </c>
      <c r="AY277" s="86"/>
      <c r="AZ277" s="86"/>
      <c r="BA277" s="86" t="b">
        <v>0</v>
      </c>
      <c r="BB277" s="86" t="b">
        <v>1</v>
      </c>
      <c r="BC277" s="86" t="b">
        <v>0</v>
      </c>
      <c r="BD277" s="86" t="b">
        <v>0</v>
      </c>
      <c r="BE277" s="86" t="b">
        <v>1</v>
      </c>
      <c r="BF277" s="86" t="b">
        <v>0</v>
      </c>
      <c r="BG277" s="86" t="b">
        <v>0</v>
      </c>
      <c r="BH277" s="96" t="str">
        <f>HYPERLINK("https://pbs.twimg.com/profile_banners/88915485/1684784344")</f>
        <v>https://pbs.twimg.com/profile_banners/88915485/1684784344</v>
      </c>
      <c r="BI277" s="86"/>
      <c r="BJ277" s="86" t="s">
        <v>29134</v>
      </c>
      <c r="BK277" s="86" t="b">
        <v>0</v>
      </c>
      <c r="BL277" s="86"/>
      <c r="BM277" s="86" t="s">
        <v>65</v>
      </c>
      <c r="BN277" s="86" t="s">
        <v>29136</v>
      </c>
      <c r="BO277" s="96" t="str">
        <f>HYPERLINK("https://twitter.com/cni_br")</f>
        <v>https://twitter.com/cni_br</v>
      </c>
      <c r="BP277" s="2"/>
    </row>
    <row r="278" spans="1:68" x14ac:dyDescent="0.25">
      <c r="A278" s="63" t="s">
        <v>467</v>
      </c>
      <c r="B278" s="64"/>
      <c r="C278" s="64"/>
      <c r="D278" s="65"/>
      <c r="E278" s="67"/>
      <c r="F278" s="111" t="str">
        <f>HYPERLINK("https://pbs.twimg.com/profile_images/1127694622791208960/2PEEfJ2a_normal.jpg")</f>
        <v>https://pbs.twimg.com/profile_images/1127694622791208960/2PEEfJ2a_normal.jpg</v>
      </c>
      <c r="G278" s="64"/>
      <c r="H278" s="68"/>
      <c r="I278" s="69"/>
      <c r="J278" s="69"/>
      <c r="K278" s="68" t="s">
        <v>29411</v>
      </c>
      <c r="L278" s="72"/>
      <c r="M278" s="73"/>
      <c r="N278" s="73"/>
      <c r="O278" s="74"/>
      <c r="P278" s="75"/>
      <c r="Q278" s="75"/>
      <c r="R278" s="102"/>
      <c r="S278" s="102"/>
      <c r="T278" s="102"/>
      <c r="U278" s="102"/>
      <c r="V278" s="48"/>
      <c r="W278" s="48"/>
      <c r="X278" s="48"/>
      <c r="Y278" s="48"/>
      <c r="Z278" s="47"/>
      <c r="AA278" s="70">
        <v>278</v>
      </c>
      <c r="AB278" s="70"/>
      <c r="AC278" s="71"/>
      <c r="AD278" s="86" t="s">
        <v>467</v>
      </c>
      <c r="AE278" s="94" t="s">
        <v>22939</v>
      </c>
      <c r="AF278" s="86">
        <v>94</v>
      </c>
      <c r="AG278" s="86">
        <v>43</v>
      </c>
      <c r="AH278" s="86">
        <v>1044</v>
      </c>
      <c r="AI278" s="86">
        <v>1</v>
      </c>
      <c r="AJ278" s="86">
        <v>3</v>
      </c>
      <c r="AK278" s="86">
        <v>782</v>
      </c>
      <c r="AL278" s="86" t="b">
        <v>0</v>
      </c>
      <c r="AM278" s="89">
        <v>43597.913807870369</v>
      </c>
      <c r="AN278" s="86" t="s">
        <v>25980</v>
      </c>
      <c r="AO278" s="86" t="s">
        <v>26673</v>
      </c>
      <c r="AP278" s="96" t="str">
        <f>HYPERLINK("https://t.co/5Jxrhb0eWr")</f>
        <v>https://t.co/5Jxrhb0eWr</v>
      </c>
      <c r="AQ278" s="96" t="str">
        <f>HYPERLINK("http://solvitsc.com")</f>
        <v>http://solvitsc.com</v>
      </c>
      <c r="AR278" s="86" t="s">
        <v>28089</v>
      </c>
      <c r="AS278" s="86"/>
      <c r="AT278" s="86"/>
      <c r="AU278" s="86"/>
      <c r="AV278" s="86"/>
      <c r="AW278" s="96" t="str">
        <f>HYPERLINK("https://t.co/5Jxrhb0eWr")</f>
        <v>https://t.co/5Jxrhb0eWr</v>
      </c>
      <c r="AX278" s="86" t="b">
        <v>0</v>
      </c>
      <c r="AY278" s="86"/>
      <c r="AZ278" s="86"/>
      <c r="BA278" s="86" t="b">
        <v>0</v>
      </c>
      <c r="BB278" s="86" t="b">
        <v>1</v>
      </c>
      <c r="BC278" s="86" t="b">
        <v>1</v>
      </c>
      <c r="BD278" s="86" t="b">
        <v>0</v>
      </c>
      <c r="BE278" s="86" t="b">
        <v>1</v>
      </c>
      <c r="BF278" s="86" t="b">
        <v>0</v>
      </c>
      <c r="BG278" s="86" t="b">
        <v>0</v>
      </c>
      <c r="BH278" s="96" t="str">
        <f>HYPERLINK("https://pbs.twimg.com/profile_banners/1127693906123141121/1567234514")</f>
        <v>https://pbs.twimg.com/profile_banners/1127693906123141121/1567234514</v>
      </c>
      <c r="BI278" s="86"/>
      <c r="BJ278" s="86" t="s">
        <v>29134</v>
      </c>
      <c r="BK278" s="86" t="b">
        <v>0</v>
      </c>
      <c r="BL278" s="86"/>
      <c r="BM278" s="86" t="s">
        <v>66</v>
      </c>
      <c r="BN278" s="86" t="s">
        <v>29136</v>
      </c>
      <c r="BO278" s="96" t="str">
        <f>HYPERLINK("https://twitter.com/solvitsc")</f>
        <v>https://twitter.com/solvitsc</v>
      </c>
      <c r="BP278" s="2"/>
    </row>
    <row r="279" spans="1:68" x14ac:dyDescent="0.25">
      <c r="A279" s="63" t="s">
        <v>468</v>
      </c>
      <c r="B279" s="64"/>
      <c r="C279" s="64"/>
      <c r="D279" s="65"/>
      <c r="E279" s="67"/>
      <c r="F279" s="111" t="str">
        <f>HYPERLINK("https://pbs.twimg.com/profile_images/1415983472909373441/PhEm3cpi_normal.png")</f>
        <v>https://pbs.twimg.com/profile_images/1415983472909373441/PhEm3cpi_normal.png</v>
      </c>
      <c r="G279" s="64"/>
      <c r="H279" s="68"/>
      <c r="I279" s="69"/>
      <c r="J279" s="69"/>
      <c r="K279" s="68" t="s">
        <v>29412</v>
      </c>
      <c r="L279" s="72"/>
      <c r="M279" s="73"/>
      <c r="N279" s="73"/>
      <c r="O279" s="74"/>
      <c r="P279" s="75"/>
      <c r="Q279" s="75"/>
      <c r="R279" s="102"/>
      <c r="S279" s="102"/>
      <c r="T279" s="102"/>
      <c r="U279" s="102"/>
      <c r="V279" s="48"/>
      <c r="W279" s="48"/>
      <c r="X279" s="48"/>
      <c r="Y279" s="48"/>
      <c r="Z279" s="47"/>
      <c r="AA279" s="70">
        <v>279</v>
      </c>
      <c r="AB279" s="70"/>
      <c r="AC279" s="71"/>
      <c r="AD279" s="86" t="s">
        <v>23915</v>
      </c>
      <c r="AE279" s="94" t="s">
        <v>22940</v>
      </c>
      <c r="AF279" s="86">
        <v>2</v>
      </c>
      <c r="AG279" s="86">
        <v>4</v>
      </c>
      <c r="AH279" s="86">
        <v>156</v>
      </c>
      <c r="AI279" s="86">
        <v>0</v>
      </c>
      <c r="AJ279" s="86">
        <v>1</v>
      </c>
      <c r="AK279" s="86">
        <v>147</v>
      </c>
      <c r="AL279" s="86" t="b">
        <v>0</v>
      </c>
      <c r="AM279" s="89">
        <v>44393.441145833334</v>
      </c>
      <c r="AN279" s="86"/>
      <c r="AO279" s="86" t="s">
        <v>26674</v>
      </c>
      <c r="AP279" s="86"/>
      <c r="AQ279" s="86"/>
      <c r="AR279" s="86"/>
      <c r="AS279" s="86"/>
      <c r="AT279" s="86"/>
      <c r="AU279" s="86"/>
      <c r="AV279" s="86"/>
      <c r="AW279" s="86"/>
      <c r="AX279" s="86" t="b">
        <v>0</v>
      </c>
      <c r="AY279" s="86"/>
      <c r="AZ279" s="86"/>
      <c r="BA279" s="86" t="b">
        <v>0</v>
      </c>
      <c r="BB279" s="86" t="b">
        <v>1</v>
      </c>
      <c r="BC279" s="86" t="b">
        <v>1</v>
      </c>
      <c r="BD279" s="86" t="b">
        <v>0</v>
      </c>
      <c r="BE279" s="86" t="b">
        <v>0</v>
      </c>
      <c r="BF279" s="86" t="b">
        <v>0</v>
      </c>
      <c r="BG279" s="86" t="b">
        <v>0</v>
      </c>
      <c r="BH279" s="86"/>
      <c r="BI279" s="86"/>
      <c r="BJ279" s="86" t="s">
        <v>29134</v>
      </c>
      <c r="BK279" s="86" t="b">
        <v>0</v>
      </c>
      <c r="BL279" s="86"/>
      <c r="BM279" s="86" t="s">
        <v>66</v>
      </c>
      <c r="BN279" s="86" t="s">
        <v>29136</v>
      </c>
      <c r="BO279" s="96" t="str">
        <f>HYPERLINK("https://twitter.com/blogconvidado")</f>
        <v>https://twitter.com/blogconvidado</v>
      </c>
      <c r="BP279" s="2"/>
    </row>
    <row r="280" spans="1:68" x14ac:dyDescent="0.25">
      <c r="A280" s="63" t="s">
        <v>469</v>
      </c>
      <c r="B280" s="64"/>
      <c r="C280" s="64"/>
      <c r="D280" s="65"/>
      <c r="E280" s="67"/>
      <c r="F280" s="111" t="str">
        <f>HYPERLINK("https://pbs.twimg.com/profile_images/1689995847075844096/oog6Y6_Q_normal.jpg")</f>
        <v>https://pbs.twimg.com/profile_images/1689995847075844096/oog6Y6_Q_normal.jpg</v>
      </c>
      <c r="G280" s="64"/>
      <c r="H280" s="68"/>
      <c r="I280" s="69"/>
      <c r="J280" s="69"/>
      <c r="K280" s="68" t="s">
        <v>29413</v>
      </c>
      <c r="L280" s="72"/>
      <c r="M280" s="73"/>
      <c r="N280" s="73"/>
      <c r="O280" s="74"/>
      <c r="P280" s="75"/>
      <c r="Q280" s="75"/>
      <c r="R280" s="102"/>
      <c r="S280" s="102"/>
      <c r="T280" s="102"/>
      <c r="U280" s="102"/>
      <c r="V280" s="48"/>
      <c r="W280" s="48"/>
      <c r="X280" s="48"/>
      <c r="Y280" s="48"/>
      <c r="Z280" s="47"/>
      <c r="AA280" s="70">
        <v>280</v>
      </c>
      <c r="AB280" s="70"/>
      <c r="AC280" s="71"/>
      <c r="AD280" s="86" t="s">
        <v>23916</v>
      </c>
      <c r="AE280" s="94" t="s">
        <v>22941</v>
      </c>
      <c r="AF280" s="86">
        <v>0</v>
      </c>
      <c r="AG280" s="86">
        <v>2</v>
      </c>
      <c r="AH280" s="86">
        <v>6</v>
      </c>
      <c r="AI280" s="86">
        <v>0</v>
      </c>
      <c r="AJ280" s="86">
        <v>3</v>
      </c>
      <c r="AK280" s="86">
        <v>6</v>
      </c>
      <c r="AL280" s="86" t="b">
        <v>0</v>
      </c>
      <c r="AM280" s="89">
        <v>45142.128703703704</v>
      </c>
      <c r="AN280" s="86"/>
      <c r="AO280" s="86" t="s">
        <v>26675</v>
      </c>
      <c r="AP280" s="86"/>
      <c r="AQ280" s="86"/>
      <c r="AR280" s="86"/>
      <c r="AS280" s="86"/>
      <c r="AT280" s="86"/>
      <c r="AU280" s="86"/>
      <c r="AV280" s="86"/>
      <c r="AW280" s="86"/>
      <c r="AX280" s="86" t="b">
        <v>0</v>
      </c>
      <c r="AY280" s="86"/>
      <c r="AZ280" s="86"/>
      <c r="BA280" s="86" t="b">
        <v>0</v>
      </c>
      <c r="BB280" s="86" t="b">
        <v>1</v>
      </c>
      <c r="BC280" s="86" t="b">
        <v>1</v>
      </c>
      <c r="BD280" s="86" t="b">
        <v>0</v>
      </c>
      <c r="BE280" s="86" t="b">
        <v>0</v>
      </c>
      <c r="BF280" s="86" t="b">
        <v>0</v>
      </c>
      <c r="BG280" s="86" t="b">
        <v>0</v>
      </c>
      <c r="BH280" s="86"/>
      <c r="BI280" s="86"/>
      <c r="BJ280" s="86" t="s">
        <v>29134</v>
      </c>
      <c r="BK280" s="86" t="b">
        <v>0</v>
      </c>
      <c r="BL280" s="86"/>
      <c r="BM280" s="86" t="s">
        <v>66</v>
      </c>
      <c r="BN280" s="86" t="s">
        <v>29136</v>
      </c>
      <c r="BO280" s="96" t="str">
        <f>HYPERLINK("https://twitter.com/takesdoferini")</f>
        <v>https://twitter.com/takesdoferini</v>
      </c>
      <c r="BP280" s="2"/>
    </row>
    <row r="281" spans="1:68" x14ac:dyDescent="0.25">
      <c r="A281" s="63" t="s">
        <v>470</v>
      </c>
      <c r="B281" s="64"/>
      <c r="C281" s="64"/>
      <c r="D281" s="65"/>
      <c r="E281" s="67"/>
      <c r="F281" s="111" t="str">
        <f>HYPERLINK("https://pbs.twimg.com/profile_images/1118532112498425858/Wol4T_ra_normal.jpg")</f>
        <v>https://pbs.twimg.com/profile_images/1118532112498425858/Wol4T_ra_normal.jpg</v>
      </c>
      <c r="G281" s="64"/>
      <c r="H281" s="68"/>
      <c r="I281" s="69"/>
      <c r="J281" s="69"/>
      <c r="K281" s="68" t="s">
        <v>29414</v>
      </c>
      <c r="L281" s="72"/>
      <c r="M281" s="73"/>
      <c r="N281" s="73"/>
      <c r="O281" s="74"/>
      <c r="P281" s="75"/>
      <c r="Q281" s="75"/>
      <c r="R281" s="102"/>
      <c r="S281" s="102"/>
      <c r="T281" s="102"/>
      <c r="U281" s="102"/>
      <c r="V281" s="48"/>
      <c r="W281" s="48"/>
      <c r="X281" s="48"/>
      <c r="Y281" s="48"/>
      <c r="Z281" s="47"/>
      <c r="AA281" s="70">
        <v>281</v>
      </c>
      <c r="AB281" s="70"/>
      <c r="AC281" s="71"/>
      <c r="AD281" s="86" t="s">
        <v>23917</v>
      </c>
      <c r="AE281" s="94" t="s">
        <v>25323</v>
      </c>
      <c r="AF281" s="86">
        <v>381</v>
      </c>
      <c r="AG281" s="86">
        <v>262</v>
      </c>
      <c r="AH281" s="86">
        <v>1057</v>
      </c>
      <c r="AI281" s="86">
        <v>2</v>
      </c>
      <c r="AJ281" s="86">
        <v>23</v>
      </c>
      <c r="AK281" s="86">
        <v>647</v>
      </c>
      <c r="AL281" s="86" t="b">
        <v>0</v>
      </c>
      <c r="AM281" s="89">
        <v>40623.742013888892</v>
      </c>
      <c r="AN281" s="86" t="s">
        <v>25981</v>
      </c>
      <c r="AO281" s="96" t="str">
        <f>HYPERLINK("https://t.co/uZMcFRHUzd…")</f>
        <v>https://t.co/uZMcFRHUzd…</v>
      </c>
      <c r="AP281" s="96" t="str">
        <f>HYPERLINK("https://t.co/8Dqx9NP6K0")</f>
        <v>https://t.co/8Dqx9NP6K0</v>
      </c>
      <c r="AQ281" s="96" t="str">
        <f>HYPERLINK("http://cng.ifmg.edu.br")</f>
        <v>http://cng.ifmg.edu.br</v>
      </c>
      <c r="AR281" s="86" t="s">
        <v>28090</v>
      </c>
      <c r="AS281" s="96" t="str">
        <f>HYPERLINK("https://t.co/uZMcFRHUzd")</f>
        <v>https://t.co/uZMcFRHUzd</v>
      </c>
      <c r="AT281" s="96" t="str">
        <f>HYPERLINK("http://instagram.com/ifmgcampuscong")</f>
        <v>http://instagram.com/ifmgcampuscong</v>
      </c>
      <c r="AU281" s="86" t="s">
        <v>29044</v>
      </c>
      <c r="AV281" s="86"/>
      <c r="AW281" s="96" t="str">
        <f>HYPERLINK("https://t.co/8Dqx9NP6K0")</f>
        <v>https://t.co/8Dqx9NP6K0</v>
      </c>
      <c r="AX281" s="86" t="b">
        <v>0</v>
      </c>
      <c r="AY281" s="86"/>
      <c r="AZ281" s="86"/>
      <c r="BA281" s="86" t="b">
        <v>0</v>
      </c>
      <c r="BB281" s="86" t="b">
        <v>0</v>
      </c>
      <c r="BC281" s="86" t="b">
        <v>0</v>
      </c>
      <c r="BD281" s="86" t="b">
        <v>0</v>
      </c>
      <c r="BE281" s="86" t="b">
        <v>1</v>
      </c>
      <c r="BF281" s="86" t="b">
        <v>0</v>
      </c>
      <c r="BG281" s="86" t="b">
        <v>1</v>
      </c>
      <c r="BH281" s="96" t="str">
        <f>HYPERLINK("https://pbs.twimg.com/profile_banners/269916702/1678823201")</f>
        <v>https://pbs.twimg.com/profile_banners/269916702/1678823201</v>
      </c>
      <c r="BI281" s="86"/>
      <c r="BJ281" s="86" t="s">
        <v>29134</v>
      </c>
      <c r="BK281" s="86" t="b">
        <v>0</v>
      </c>
      <c r="BL281" s="86"/>
      <c r="BM281" s="86" t="s">
        <v>66</v>
      </c>
      <c r="BN281" s="86" t="s">
        <v>29136</v>
      </c>
      <c r="BO281" s="96" t="str">
        <f>HYPERLINK("https://twitter.com/ifmgcongonhas")</f>
        <v>https://twitter.com/ifmgcongonhas</v>
      </c>
      <c r="BP281" s="2"/>
    </row>
    <row r="282" spans="1:68" x14ac:dyDescent="0.25">
      <c r="A282" s="63" t="s">
        <v>471</v>
      </c>
      <c r="B282" s="64"/>
      <c r="C282" s="64"/>
      <c r="D282" s="65"/>
      <c r="E282" s="67"/>
      <c r="F282" s="111" t="str">
        <f>HYPERLINK("https://pbs.twimg.com/profile_images/1560031686800424961/2h1g_c2B_normal.jpg")</f>
        <v>https://pbs.twimg.com/profile_images/1560031686800424961/2h1g_c2B_normal.jpg</v>
      </c>
      <c r="G282" s="64"/>
      <c r="H282" s="68"/>
      <c r="I282" s="69"/>
      <c r="J282" s="69"/>
      <c r="K282" s="68" t="s">
        <v>29415</v>
      </c>
      <c r="L282" s="72"/>
      <c r="M282" s="73"/>
      <c r="N282" s="73"/>
      <c r="O282" s="74"/>
      <c r="P282" s="75"/>
      <c r="Q282" s="75"/>
      <c r="R282" s="102"/>
      <c r="S282" s="102"/>
      <c r="T282" s="102"/>
      <c r="U282" s="102"/>
      <c r="V282" s="48"/>
      <c r="W282" s="48"/>
      <c r="X282" s="48"/>
      <c r="Y282" s="48"/>
      <c r="Z282" s="47"/>
      <c r="AA282" s="70">
        <v>282</v>
      </c>
      <c r="AB282" s="70"/>
      <c r="AC282" s="71"/>
      <c r="AD282" s="86" t="s">
        <v>23918</v>
      </c>
      <c r="AE282" s="94" t="s">
        <v>22942</v>
      </c>
      <c r="AF282" s="86">
        <v>3</v>
      </c>
      <c r="AG282" s="86">
        <v>35</v>
      </c>
      <c r="AH282" s="86">
        <v>93</v>
      </c>
      <c r="AI282" s="86">
        <v>0</v>
      </c>
      <c r="AJ282" s="86">
        <v>26</v>
      </c>
      <c r="AK282" s="86">
        <v>75</v>
      </c>
      <c r="AL282" s="86" t="b">
        <v>0</v>
      </c>
      <c r="AM282" s="89">
        <v>44790.938530092593</v>
      </c>
      <c r="AN282" s="86"/>
      <c r="AO282" s="86" t="s">
        <v>26676</v>
      </c>
      <c r="AP282" s="96" t="str">
        <f>HYPERLINK("https://t.co/4RHmPe6Hj0")</f>
        <v>https://t.co/4RHmPe6Hj0</v>
      </c>
      <c r="AQ282" s="96" t="str">
        <f>HYPERLINK("http://anmarketingdigital.com")</f>
        <v>http://anmarketingdigital.com</v>
      </c>
      <c r="AR282" s="86" t="s">
        <v>28091</v>
      </c>
      <c r="AS282" s="86"/>
      <c r="AT282" s="86"/>
      <c r="AU282" s="86"/>
      <c r="AV282" s="86"/>
      <c r="AW282" s="96" t="str">
        <f>HYPERLINK("https://t.co/4RHmPe6Hj0")</f>
        <v>https://t.co/4RHmPe6Hj0</v>
      </c>
      <c r="AX282" s="86" t="b">
        <v>0</v>
      </c>
      <c r="AY282" s="86"/>
      <c r="AZ282" s="86"/>
      <c r="BA282" s="86" t="b">
        <v>1</v>
      </c>
      <c r="BB282" s="86" t="b">
        <v>1</v>
      </c>
      <c r="BC282" s="86" t="b">
        <v>1</v>
      </c>
      <c r="BD282" s="86" t="b">
        <v>0</v>
      </c>
      <c r="BE282" s="86" t="b">
        <v>0</v>
      </c>
      <c r="BF282" s="86" t="b">
        <v>0</v>
      </c>
      <c r="BG282" s="86" t="b">
        <v>0</v>
      </c>
      <c r="BH282" s="96" t="str">
        <f>HYPERLINK("https://pbs.twimg.com/profile_banners/1560031549441163266/1667523828")</f>
        <v>https://pbs.twimg.com/profile_banners/1560031549441163266/1667523828</v>
      </c>
      <c r="BI282" s="86"/>
      <c r="BJ282" s="86" t="s">
        <v>29134</v>
      </c>
      <c r="BK282" s="86" t="b">
        <v>0</v>
      </c>
      <c r="BL282" s="86"/>
      <c r="BM282" s="86" t="s">
        <v>66</v>
      </c>
      <c r="BN282" s="86" t="s">
        <v>29136</v>
      </c>
      <c r="BO282" s="96" t="str">
        <f>HYPERLINK("https://twitter.com/an_mktdigital")</f>
        <v>https://twitter.com/an_mktdigital</v>
      </c>
      <c r="BP282" s="2"/>
    </row>
    <row r="283" spans="1:68" x14ac:dyDescent="0.25">
      <c r="A283" s="63" t="s">
        <v>472</v>
      </c>
      <c r="B283" s="64"/>
      <c r="C283" s="64"/>
      <c r="D283" s="65"/>
      <c r="E283" s="67"/>
      <c r="F283" s="111" t="str">
        <f>HYPERLINK("https://pbs.twimg.com/profile_images/1689793014967808000/lUn5o0vi_normal.jpg")</f>
        <v>https://pbs.twimg.com/profile_images/1689793014967808000/lUn5o0vi_normal.jpg</v>
      </c>
      <c r="G283" s="64"/>
      <c r="H283" s="68"/>
      <c r="I283" s="69"/>
      <c r="J283" s="69"/>
      <c r="K283" s="68" t="s">
        <v>29416</v>
      </c>
      <c r="L283" s="72"/>
      <c r="M283" s="73"/>
      <c r="N283" s="73"/>
      <c r="O283" s="74"/>
      <c r="P283" s="75"/>
      <c r="Q283" s="75"/>
      <c r="R283" s="102"/>
      <c r="S283" s="102"/>
      <c r="T283" s="102"/>
      <c r="U283" s="102"/>
      <c r="V283" s="48"/>
      <c r="W283" s="48"/>
      <c r="X283" s="48"/>
      <c r="Y283" s="48"/>
      <c r="Z283" s="47"/>
      <c r="AA283" s="70">
        <v>283</v>
      </c>
      <c r="AB283" s="70"/>
      <c r="AC283" s="71"/>
      <c r="AD283" s="86" t="s">
        <v>23919</v>
      </c>
      <c r="AE283" s="94" t="s">
        <v>25324</v>
      </c>
      <c r="AF283" s="86">
        <v>17182</v>
      </c>
      <c r="AG283" s="86">
        <v>29</v>
      </c>
      <c r="AH283" s="86">
        <v>12843</v>
      </c>
      <c r="AI283" s="86">
        <v>13</v>
      </c>
      <c r="AJ283" s="86">
        <v>530</v>
      </c>
      <c r="AK283" s="86">
        <v>1339</v>
      </c>
      <c r="AL283" s="86" t="b">
        <v>0</v>
      </c>
      <c r="AM283" s="89">
        <v>40637.838449074072</v>
      </c>
      <c r="AN283" s="86" t="s">
        <v>25982</v>
      </c>
      <c r="AO283" s="86" t="s">
        <v>26677</v>
      </c>
      <c r="AP283" s="96" t="str">
        <f>HYPERLINK("https://t.co/Tq9FedggUD")</f>
        <v>https://t.co/Tq9FedggUD</v>
      </c>
      <c r="AQ283" s="96" t="str">
        <f>HYPERLINK("http://carlossantos.com.br")</f>
        <v>http://carlossantos.com.br</v>
      </c>
      <c r="AR283" s="86" t="s">
        <v>28092</v>
      </c>
      <c r="AS283" s="86"/>
      <c r="AT283" s="86"/>
      <c r="AU283" s="86"/>
      <c r="AV283" s="86"/>
      <c r="AW283" s="96" t="str">
        <f>HYPERLINK("https://t.co/Tq9FedggUD")</f>
        <v>https://t.co/Tq9FedggUD</v>
      </c>
      <c r="AX283" s="86" t="b">
        <v>1</v>
      </c>
      <c r="AY283" s="86"/>
      <c r="AZ283" s="86"/>
      <c r="BA283" s="86" t="b">
        <v>1</v>
      </c>
      <c r="BB283" s="86" t="b">
        <v>0</v>
      </c>
      <c r="BC283" s="86" t="b">
        <v>0</v>
      </c>
      <c r="BD283" s="86" t="b">
        <v>0</v>
      </c>
      <c r="BE283" s="86" t="b">
        <v>1</v>
      </c>
      <c r="BF283" s="86" t="b">
        <v>0</v>
      </c>
      <c r="BG283" s="86" t="b">
        <v>0</v>
      </c>
      <c r="BH283" s="96" t="str">
        <f>HYPERLINK("https://pbs.twimg.com/profile_banners/277150932/1690566106")</f>
        <v>https://pbs.twimg.com/profile_banners/277150932/1690566106</v>
      </c>
      <c r="BI283" s="86"/>
      <c r="BJ283" s="86" t="s">
        <v>29134</v>
      </c>
      <c r="BK283" s="86" t="b">
        <v>0</v>
      </c>
      <c r="BL283" s="86"/>
      <c r="BM283" s="86" t="s">
        <v>66</v>
      </c>
      <c r="BN283" s="86" t="s">
        <v>29136</v>
      </c>
      <c r="BO283" s="96" t="str">
        <f>HYPERLINK("https://twitter.com/carlossantosven")</f>
        <v>https://twitter.com/carlossantosven</v>
      </c>
      <c r="BP283" s="2"/>
    </row>
    <row r="284" spans="1:68" x14ac:dyDescent="0.25">
      <c r="A284" s="63" t="s">
        <v>473</v>
      </c>
      <c r="B284" s="64"/>
      <c r="C284" s="64"/>
      <c r="D284" s="65"/>
      <c r="E284" s="67"/>
      <c r="F284" s="111" t="str">
        <f>HYPERLINK("https://pbs.twimg.com/profile_images/1635772008708419584/xSJupUJR_normal.jpg")</f>
        <v>https://pbs.twimg.com/profile_images/1635772008708419584/xSJupUJR_normal.jpg</v>
      </c>
      <c r="G284" s="64"/>
      <c r="H284" s="68"/>
      <c r="I284" s="69"/>
      <c r="J284" s="69"/>
      <c r="K284" s="68" t="s">
        <v>29417</v>
      </c>
      <c r="L284" s="72"/>
      <c r="M284" s="73"/>
      <c r="N284" s="73"/>
      <c r="O284" s="74"/>
      <c r="P284" s="75"/>
      <c r="Q284" s="75"/>
      <c r="R284" s="102"/>
      <c r="S284" s="102"/>
      <c r="T284" s="102"/>
      <c r="U284" s="102"/>
      <c r="V284" s="48"/>
      <c r="W284" s="48"/>
      <c r="X284" s="48"/>
      <c r="Y284" s="48"/>
      <c r="Z284" s="47"/>
      <c r="AA284" s="70">
        <v>284</v>
      </c>
      <c r="AB284" s="70"/>
      <c r="AC284" s="71"/>
      <c r="AD284" s="86" t="s">
        <v>23920</v>
      </c>
      <c r="AE284" s="94" t="s">
        <v>22943</v>
      </c>
      <c r="AF284" s="86">
        <v>10</v>
      </c>
      <c r="AG284" s="86">
        <v>81</v>
      </c>
      <c r="AH284" s="86">
        <v>112</v>
      </c>
      <c r="AI284" s="86">
        <v>0</v>
      </c>
      <c r="AJ284" s="86">
        <v>15</v>
      </c>
      <c r="AK284" s="86">
        <v>81</v>
      </c>
      <c r="AL284" s="86" t="b">
        <v>0</v>
      </c>
      <c r="AM284" s="89">
        <v>44999.931643518517</v>
      </c>
      <c r="AN284" s="86"/>
      <c r="AO284" s="86" t="s">
        <v>26678</v>
      </c>
      <c r="AP284" s="86"/>
      <c r="AQ284" s="86"/>
      <c r="AR284" s="86"/>
      <c r="AS284" s="86"/>
      <c r="AT284" s="86"/>
      <c r="AU284" s="86"/>
      <c r="AV284" s="86"/>
      <c r="AW284" s="86"/>
      <c r="AX284" s="86" t="b">
        <v>0</v>
      </c>
      <c r="AY284" s="86"/>
      <c r="AZ284" s="86"/>
      <c r="BA284" s="86" t="b">
        <v>0</v>
      </c>
      <c r="BB284" s="86" t="b">
        <v>1</v>
      </c>
      <c r="BC284" s="86" t="b">
        <v>1</v>
      </c>
      <c r="BD284" s="86" t="b">
        <v>0</v>
      </c>
      <c r="BE284" s="86" t="b">
        <v>0</v>
      </c>
      <c r="BF284" s="86" t="b">
        <v>0</v>
      </c>
      <c r="BG284" s="86" t="b">
        <v>0</v>
      </c>
      <c r="BH284" s="96" t="str">
        <f>HYPERLINK("https://pbs.twimg.com/profile_banners/1635768120068521984/1692975010")</f>
        <v>https://pbs.twimg.com/profile_banners/1635768120068521984/1692975010</v>
      </c>
      <c r="BI284" s="86"/>
      <c r="BJ284" s="86" t="s">
        <v>29134</v>
      </c>
      <c r="BK284" s="86" t="b">
        <v>0</v>
      </c>
      <c r="BL284" s="86"/>
      <c r="BM284" s="86" t="s">
        <v>66</v>
      </c>
      <c r="BN284" s="86" t="s">
        <v>29136</v>
      </c>
      <c r="BO284" s="96" t="str">
        <f>HYPERLINK("https://twitter.com/hypebr7")</f>
        <v>https://twitter.com/hypebr7</v>
      </c>
      <c r="BP284" s="2"/>
    </row>
    <row r="285" spans="1:68" x14ac:dyDescent="0.25">
      <c r="A285" s="63" t="s">
        <v>474</v>
      </c>
      <c r="B285" s="64"/>
      <c r="C285" s="64"/>
      <c r="D285" s="65"/>
      <c r="E285" s="67"/>
      <c r="F285" s="111" t="str">
        <f>HYPERLINK("https://pbs.twimg.com/profile_images/1590054919507251203/cES7w8ub_normal.jpg")</f>
        <v>https://pbs.twimg.com/profile_images/1590054919507251203/cES7w8ub_normal.jpg</v>
      </c>
      <c r="G285" s="64"/>
      <c r="H285" s="68"/>
      <c r="I285" s="69"/>
      <c r="J285" s="69"/>
      <c r="K285" s="68" t="s">
        <v>29418</v>
      </c>
      <c r="L285" s="72"/>
      <c r="M285" s="73"/>
      <c r="N285" s="73"/>
      <c r="O285" s="74"/>
      <c r="P285" s="75"/>
      <c r="Q285" s="75"/>
      <c r="R285" s="102"/>
      <c r="S285" s="102"/>
      <c r="T285" s="102"/>
      <c r="U285" s="102"/>
      <c r="V285" s="48"/>
      <c r="W285" s="48"/>
      <c r="X285" s="48"/>
      <c r="Y285" s="48"/>
      <c r="Z285" s="47"/>
      <c r="AA285" s="70">
        <v>285</v>
      </c>
      <c r="AB285" s="70"/>
      <c r="AC285" s="71"/>
      <c r="AD285" s="86" t="s">
        <v>23921</v>
      </c>
      <c r="AE285" s="94" t="s">
        <v>22944</v>
      </c>
      <c r="AF285" s="86">
        <v>5</v>
      </c>
      <c r="AG285" s="86">
        <v>17</v>
      </c>
      <c r="AH285" s="86">
        <v>92</v>
      </c>
      <c r="AI285" s="86">
        <v>0</v>
      </c>
      <c r="AJ285" s="86">
        <v>5</v>
      </c>
      <c r="AK285" s="86">
        <v>67</v>
      </c>
      <c r="AL285" s="86" t="b">
        <v>0</v>
      </c>
      <c r="AM285" s="89">
        <v>44873.770648148151</v>
      </c>
      <c r="AN285" s="86" t="s">
        <v>25983</v>
      </c>
      <c r="AO285" s="86" t="s">
        <v>26679</v>
      </c>
      <c r="AP285" s="96" t="str">
        <f>HYPERLINK("https://t.co/nNlyQraUGV")</f>
        <v>https://t.co/nNlyQraUGV</v>
      </c>
      <c r="AQ285" s="96" t="str">
        <f>HYPERLINK("https://stanleyshair.com.br/")</f>
        <v>https://stanleyshair.com.br/</v>
      </c>
      <c r="AR285" s="86" t="s">
        <v>28093</v>
      </c>
      <c r="AS285" s="96" t="str">
        <f>HYPERLINK("https://t.co/CzJ7LPRfc5")</f>
        <v>https://t.co/CzJ7LPRfc5</v>
      </c>
      <c r="AT285" s="96" t="str">
        <f>HYPERLINK("http://stanleycursos.com.br/r/Inscreva-se")</f>
        <v>http://stanleycursos.com.br/r/Inscreva-se</v>
      </c>
      <c r="AU285" s="86" t="s">
        <v>29045</v>
      </c>
      <c r="AV285" s="86"/>
      <c r="AW285" s="96" t="str">
        <f>HYPERLINK("https://t.co/nNlyQraUGV")</f>
        <v>https://t.co/nNlyQraUGV</v>
      </c>
      <c r="AX285" s="86" t="b">
        <v>0</v>
      </c>
      <c r="AY285" s="86"/>
      <c r="AZ285" s="86"/>
      <c r="BA285" s="86" t="b">
        <v>0</v>
      </c>
      <c r="BB285" s="86" t="b">
        <v>1</v>
      </c>
      <c r="BC285" s="86" t="b">
        <v>1</v>
      </c>
      <c r="BD285" s="86" t="b">
        <v>0</v>
      </c>
      <c r="BE285" s="86" t="b">
        <v>0</v>
      </c>
      <c r="BF285" s="86" t="b">
        <v>0</v>
      </c>
      <c r="BG285" s="86" t="b">
        <v>0</v>
      </c>
      <c r="BH285" s="96" t="str">
        <f>HYPERLINK("https://pbs.twimg.com/profile_banners/1590048132632567812/1667935549")</f>
        <v>https://pbs.twimg.com/profile_banners/1590048132632567812/1667935549</v>
      </c>
      <c r="BI285" s="86"/>
      <c r="BJ285" s="86" t="s">
        <v>29134</v>
      </c>
      <c r="BK285" s="86" t="b">
        <v>0</v>
      </c>
      <c r="BL285" s="86"/>
      <c r="BM285" s="86" t="s">
        <v>66</v>
      </c>
      <c r="BN285" s="86" t="s">
        <v>29136</v>
      </c>
      <c r="BO285" s="96" t="str">
        <f>HYPERLINK("https://twitter.com/stanley_bittar")</f>
        <v>https://twitter.com/stanley_bittar</v>
      </c>
      <c r="BP285" s="2"/>
    </row>
    <row r="286" spans="1:68" x14ac:dyDescent="0.25">
      <c r="A286" s="63" t="s">
        <v>475</v>
      </c>
      <c r="B286" s="64"/>
      <c r="C286" s="64"/>
      <c r="D286" s="65"/>
      <c r="E286" s="67"/>
      <c r="F286" s="111" t="str">
        <f>HYPERLINK("https://pbs.twimg.com/profile_images/1601188173614387200/Fz1EeOb__normal.jpg")</f>
        <v>https://pbs.twimg.com/profile_images/1601188173614387200/Fz1EeOb__normal.jpg</v>
      </c>
      <c r="G286" s="64"/>
      <c r="H286" s="68"/>
      <c r="I286" s="69"/>
      <c r="J286" s="69"/>
      <c r="K286" s="68" t="s">
        <v>29419</v>
      </c>
      <c r="L286" s="72"/>
      <c r="M286" s="73"/>
      <c r="N286" s="73"/>
      <c r="O286" s="74"/>
      <c r="P286" s="75"/>
      <c r="Q286" s="75"/>
      <c r="R286" s="102"/>
      <c r="S286" s="102"/>
      <c r="T286" s="102"/>
      <c r="U286" s="102"/>
      <c r="V286" s="48"/>
      <c r="W286" s="48"/>
      <c r="X286" s="48"/>
      <c r="Y286" s="48"/>
      <c r="Z286" s="47"/>
      <c r="AA286" s="70">
        <v>286</v>
      </c>
      <c r="AB286" s="70"/>
      <c r="AC286" s="71"/>
      <c r="AD286" s="86" t="s">
        <v>23922</v>
      </c>
      <c r="AE286" s="94" t="s">
        <v>25325</v>
      </c>
      <c r="AF286" s="86">
        <v>14284</v>
      </c>
      <c r="AG286" s="86">
        <v>194</v>
      </c>
      <c r="AH286" s="86">
        <v>9191</v>
      </c>
      <c r="AI286" s="86">
        <v>78</v>
      </c>
      <c r="AJ286" s="86">
        <v>44</v>
      </c>
      <c r="AK286" s="86">
        <v>6441</v>
      </c>
      <c r="AL286" s="86" t="b">
        <v>0</v>
      </c>
      <c r="AM286" s="89">
        <v>40070.529039351852</v>
      </c>
      <c r="AN286" s="86" t="s">
        <v>15234</v>
      </c>
      <c r="AO286" s="86" t="s">
        <v>26680</v>
      </c>
      <c r="AP286" s="96" t="str">
        <f>HYPERLINK("https://t.co/lhQyGXAcah")</f>
        <v>https://t.co/lhQyGXAcah</v>
      </c>
      <c r="AQ286" s="96" t="str">
        <f>HYPERLINK("http://www.caesegatos.com.br")</f>
        <v>http://www.caesegatos.com.br</v>
      </c>
      <c r="AR286" s="86" t="s">
        <v>28094</v>
      </c>
      <c r="AS286" s="96" t="str">
        <f>HYPERLINK("https://t.co/W5eD8vAGXK")</f>
        <v>https://t.co/W5eD8vAGXK</v>
      </c>
      <c r="AT286" s="96" t="str">
        <f>HYPERLINK("http://revistacaesegatos.com.br")</f>
        <v>http://revistacaesegatos.com.br</v>
      </c>
      <c r="AU286" s="86" t="s">
        <v>29046</v>
      </c>
      <c r="AV286" s="86"/>
      <c r="AW286" s="96" t="str">
        <f>HYPERLINK("https://t.co/lhQyGXAcah")</f>
        <v>https://t.co/lhQyGXAcah</v>
      </c>
      <c r="AX286" s="86" t="b">
        <v>0</v>
      </c>
      <c r="AY286" s="86"/>
      <c r="AZ286" s="86"/>
      <c r="BA286" s="86" t="b">
        <v>0</v>
      </c>
      <c r="BB286" s="86" t="b">
        <v>1</v>
      </c>
      <c r="BC286" s="86" t="b">
        <v>0</v>
      </c>
      <c r="BD286" s="86" t="b">
        <v>0</v>
      </c>
      <c r="BE286" s="86" t="b">
        <v>0</v>
      </c>
      <c r="BF286" s="86" t="b">
        <v>0</v>
      </c>
      <c r="BG286" s="86" t="b">
        <v>0</v>
      </c>
      <c r="BH286" s="96" t="str">
        <f>HYPERLINK("https://pbs.twimg.com/profile_banners/74146257/1560773995")</f>
        <v>https://pbs.twimg.com/profile_banners/74146257/1560773995</v>
      </c>
      <c r="BI286" s="86"/>
      <c r="BJ286" s="86" t="s">
        <v>29134</v>
      </c>
      <c r="BK286" s="86" t="b">
        <v>0</v>
      </c>
      <c r="BL286" s="86"/>
      <c r="BM286" s="86" t="s">
        <v>66</v>
      </c>
      <c r="BN286" s="86" t="s">
        <v>29136</v>
      </c>
      <c r="BO286" s="96" t="str">
        <f>HYPERLINK("https://twitter.com/caesgatos")</f>
        <v>https://twitter.com/caesgatos</v>
      </c>
      <c r="BP286" s="2"/>
    </row>
    <row r="287" spans="1:68" x14ac:dyDescent="0.25">
      <c r="A287" s="63" t="s">
        <v>476</v>
      </c>
      <c r="B287" s="64"/>
      <c r="C287" s="64"/>
      <c r="D287" s="65"/>
      <c r="E287" s="67"/>
      <c r="F287" s="111" t="str">
        <f>HYPERLINK("https://pbs.twimg.com/profile_images/789443978450112512/S2SgVxRe_normal.jpg")</f>
        <v>https://pbs.twimg.com/profile_images/789443978450112512/S2SgVxRe_normal.jpg</v>
      </c>
      <c r="G287" s="64"/>
      <c r="H287" s="68"/>
      <c r="I287" s="69"/>
      <c r="J287" s="69"/>
      <c r="K287" s="68" t="s">
        <v>29420</v>
      </c>
      <c r="L287" s="72"/>
      <c r="M287" s="73"/>
      <c r="N287" s="73"/>
      <c r="O287" s="74"/>
      <c r="P287" s="75"/>
      <c r="Q287" s="75"/>
      <c r="R287" s="102"/>
      <c r="S287" s="102"/>
      <c r="T287" s="102"/>
      <c r="U287" s="102"/>
      <c r="V287" s="48"/>
      <c r="W287" s="48"/>
      <c r="X287" s="48"/>
      <c r="Y287" s="48"/>
      <c r="Z287" s="47"/>
      <c r="AA287" s="70">
        <v>287</v>
      </c>
      <c r="AB287" s="70"/>
      <c r="AC287" s="71"/>
      <c r="AD287" s="86" t="s">
        <v>23923</v>
      </c>
      <c r="AE287" s="94" t="s">
        <v>25326</v>
      </c>
      <c r="AF287" s="86">
        <v>127</v>
      </c>
      <c r="AG287" s="86">
        <v>33</v>
      </c>
      <c r="AH287" s="86">
        <v>843</v>
      </c>
      <c r="AI287" s="86">
        <v>0</v>
      </c>
      <c r="AJ287" s="86">
        <v>915</v>
      </c>
      <c r="AK287" s="86">
        <v>813</v>
      </c>
      <c r="AL287" s="86" t="b">
        <v>0</v>
      </c>
      <c r="AM287" s="89">
        <v>39923.006851851853</v>
      </c>
      <c r="AN287" s="86" t="s">
        <v>15378</v>
      </c>
      <c r="AO287" s="86" t="s">
        <v>26681</v>
      </c>
      <c r="AP287" s="96" t="str">
        <f>HYPERLINK("https://t.co/dp1HkO1AbF")</f>
        <v>https://t.co/dp1HkO1AbF</v>
      </c>
      <c r="AQ287" s="96" t="str">
        <f>HYPERLINK("http://www.escola.digitalista.com.br")</f>
        <v>http://www.escola.digitalista.com.br</v>
      </c>
      <c r="AR287" s="86" t="s">
        <v>28095</v>
      </c>
      <c r="AS287" s="86"/>
      <c r="AT287" s="86"/>
      <c r="AU287" s="86"/>
      <c r="AV287" s="86"/>
      <c r="AW287" s="96" t="str">
        <f>HYPERLINK("https://t.co/dp1HkO1AbF")</f>
        <v>https://t.co/dp1HkO1AbF</v>
      </c>
      <c r="AX287" s="86" t="b">
        <v>0</v>
      </c>
      <c r="AY287" s="86"/>
      <c r="AZ287" s="86"/>
      <c r="BA287" s="86" t="b">
        <v>0</v>
      </c>
      <c r="BB287" s="86" t="b">
        <v>1</v>
      </c>
      <c r="BC287" s="86" t="b">
        <v>0</v>
      </c>
      <c r="BD287" s="86" t="b">
        <v>0</v>
      </c>
      <c r="BE287" s="86" t="b">
        <v>0</v>
      </c>
      <c r="BF287" s="86" t="b">
        <v>0</v>
      </c>
      <c r="BG287" s="86" t="b">
        <v>0</v>
      </c>
      <c r="BH287" s="96" t="str">
        <f>HYPERLINK("https://pbs.twimg.com/profile_banners/33349702/1586788718")</f>
        <v>https://pbs.twimg.com/profile_banners/33349702/1586788718</v>
      </c>
      <c r="BI287" s="86"/>
      <c r="BJ287" s="86" t="s">
        <v>29134</v>
      </c>
      <c r="BK287" s="86" t="b">
        <v>0</v>
      </c>
      <c r="BL287" s="86"/>
      <c r="BM287" s="86" t="s">
        <v>66</v>
      </c>
      <c r="BN287" s="86" t="s">
        <v>29136</v>
      </c>
      <c r="BO287" s="96" t="str">
        <f>HYPERLINK("https://twitter.com/almirrizzatto")</f>
        <v>https://twitter.com/almirrizzatto</v>
      </c>
      <c r="BP287" s="2"/>
    </row>
    <row r="288" spans="1:68" x14ac:dyDescent="0.25">
      <c r="A288" s="63" t="s">
        <v>477</v>
      </c>
      <c r="B288" s="64"/>
      <c r="C288" s="64"/>
      <c r="D288" s="65"/>
      <c r="E288" s="67"/>
      <c r="F288" s="111" t="str">
        <f>HYPERLINK("https://pbs.twimg.com/profile_images/1696840647267762176/M4zK_DHY_normal.jpg")</f>
        <v>https://pbs.twimg.com/profile_images/1696840647267762176/M4zK_DHY_normal.jpg</v>
      </c>
      <c r="G288" s="64"/>
      <c r="H288" s="68"/>
      <c r="I288" s="69"/>
      <c r="J288" s="69"/>
      <c r="K288" s="68" t="s">
        <v>29421</v>
      </c>
      <c r="L288" s="72"/>
      <c r="M288" s="73"/>
      <c r="N288" s="73"/>
      <c r="O288" s="74"/>
      <c r="P288" s="75"/>
      <c r="Q288" s="75"/>
      <c r="R288" s="102"/>
      <c r="S288" s="102"/>
      <c r="T288" s="102"/>
      <c r="U288" s="102"/>
      <c r="V288" s="48"/>
      <c r="W288" s="48"/>
      <c r="X288" s="48"/>
      <c r="Y288" s="48"/>
      <c r="Z288" s="47"/>
      <c r="AA288" s="70">
        <v>288</v>
      </c>
      <c r="AB288" s="70"/>
      <c r="AC288" s="71"/>
      <c r="AD288" s="86" t="s">
        <v>23924</v>
      </c>
      <c r="AE288" s="94" t="s">
        <v>22945</v>
      </c>
      <c r="AF288" s="86">
        <v>47</v>
      </c>
      <c r="AG288" s="86">
        <v>22</v>
      </c>
      <c r="AH288" s="86">
        <v>2349</v>
      </c>
      <c r="AI288" s="86">
        <v>0</v>
      </c>
      <c r="AJ288" s="86">
        <v>7495</v>
      </c>
      <c r="AK288" s="86">
        <v>42</v>
      </c>
      <c r="AL288" s="86" t="b">
        <v>0</v>
      </c>
      <c r="AM288" s="89">
        <v>44861.946006944447</v>
      </c>
      <c r="AN288" s="86" t="s">
        <v>25984</v>
      </c>
      <c r="AO288" s="86" t="s">
        <v>26682</v>
      </c>
      <c r="AP288" s="96" t="str">
        <f>HYPERLINK("https://t.co/gbs2MCcPc3")</f>
        <v>https://t.co/gbs2MCcPc3</v>
      </c>
      <c r="AQ288" s="96" t="str">
        <f>HYPERLINK("http://www.monkeefeice.online")</f>
        <v>http://www.monkeefeice.online</v>
      </c>
      <c r="AR288" s="86" t="s">
        <v>28096</v>
      </c>
      <c r="AS288" s="86"/>
      <c r="AT288" s="86"/>
      <c r="AU288" s="86"/>
      <c r="AV288" s="86"/>
      <c r="AW288" s="96" t="str">
        <f>HYPERLINK("https://t.co/gbs2MCcPc3")</f>
        <v>https://t.co/gbs2MCcPc3</v>
      </c>
      <c r="AX288" s="86" t="b">
        <v>0</v>
      </c>
      <c r="AY288" s="86"/>
      <c r="AZ288" s="86"/>
      <c r="BA288" s="86" t="b">
        <v>0</v>
      </c>
      <c r="BB288" s="86" t="b">
        <v>1</v>
      </c>
      <c r="BC288" s="86" t="b">
        <v>1</v>
      </c>
      <c r="BD288" s="86" t="b">
        <v>0</v>
      </c>
      <c r="BE288" s="86" t="b">
        <v>0</v>
      </c>
      <c r="BF288" s="86" t="b">
        <v>0</v>
      </c>
      <c r="BG288" s="86" t="b">
        <v>0</v>
      </c>
      <c r="BH288" s="96" t="str">
        <f>HYPERLINK("https://pbs.twimg.com/profile_banners/1585763691814948864/1694768273")</f>
        <v>https://pbs.twimg.com/profile_banners/1585763691814948864/1694768273</v>
      </c>
      <c r="BI288" s="86"/>
      <c r="BJ288" s="86" t="s">
        <v>29134</v>
      </c>
      <c r="BK288" s="86" t="b">
        <v>0</v>
      </c>
      <c r="BL288" s="86"/>
      <c r="BM288" s="86" t="s">
        <v>66</v>
      </c>
      <c r="BN288" s="86" t="s">
        <v>29136</v>
      </c>
      <c r="BO288" s="96" t="str">
        <f>HYPERLINK("https://twitter.com/blakeshadow2126")</f>
        <v>https://twitter.com/blakeshadow2126</v>
      </c>
      <c r="BP288" s="2"/>
    </row>
    <row r="289" spans="1:68" x14ac:dyDescent="0.25">
      <c r="A289" s="63" t="s">
        <v>478</v>
      </c>
      <c r="B289" s="64"/>
      <c r="C289" s="64"/>
      <c r="D289" s="65"/>
      <c r="E289" s="67"/>
      <c r="F289" s="111" t="str">
        <f>HYPERLINK("https://pbs.twimg.com/profile_images/1698055382478798848/ihyjC5-K_normal.jpg")</f>
        <v>https://pbs.twimg.com/profile_images/1698055382478798848/ihyjC5-K_normal.jpg</v>
      </c>
      <c r="G289" s="64"/>
      <c r="H289" s="68"/>
      <c r="I289" s="69"/>
      <c r="J289" s="69"/>
      <c r="K289" s="68" t="s">
        <v>29422</v>
      </c>
      <c r="L289" s="72"/>
      <c r="M289" s="73"/>
      <c r="N289" s="73"/>
      <c r="O289" s="74"/>
      <c r="P289" s="75"/>
      <c r="Q289" s="75"/>
      <c r="R289" s="102"/>
      <c r="S289" s="102"/>
      <c r="T289" s="102"/>
      <c r="U289" s="102"/>
      <c r="V289" s="48"/>
      <c r="W289" s="48"/>
      <c r="X289" s="48"/>
      <c r="Y289" s="48"/>
      <c r="Z289" s="47"/>
      <c r="AA289" s="70">
        <v>289</v>
      </c>
      <c r="AB289" s="70"/>
      <c r="AC289" s="71"/>
      <c r="AD289" s="86" t="s">
        <v>23925</v>
      </c>
      <c r="AE289" s="94" t="s">
        <v>22946</v>
      </c>
      <c r="AF289" s="86">
        <v>0</v>
      </c>
      <c r="AG289" s="86">
        <v>8</v>
      </c>
      <c r="AH289" s="86">
        <v>13</v>
      </c>
      <c r="AI289" s="86">
        <v>0</v>
      </c>
      <c r="AJ289" s="86">
        <v>8</v>
      </c>
      <c r="AK289" s="86">
        <v>0</v>
      </c>
      <c r="AL289" s="86" t="b">
        <v>0</v>
      </c>
      <c r="AM289" s="89">
        <v>45131.491064814814</v>
      </c>
      <c r="AN289" s="86"/>
      <c r="AO289" s="86" t="s">
        <v>26683</v>
      </c>
      <c r="AP289" s="96" t="str">
        <f>HYPERLINK("https://t.co/kGdI72dJAf")</f>
        <v>https://t.co/kGdI72dJAf</v>
      </c>
      <c r="AQ289" s="96" t="str">
        <f>HYPERLINK("http://bit.ly/3EJeFJX")</f>
        <v>http://bit.ly/3EJeFJX</v>
      </c>
      <c r="AR289" s="86" t="s">
        <v>28097</v>
      </c>
      <c r="AS289" s="86"/>
      <c r="AT289" s="86"/>
      <c r="AU289" s="86"/>
      <c r="AV289" s="86"/>
      <c r="AW289" s="96" t="str">
        <f>HYPERLINK("https://t.co/kGdI72dJAf")</f>
        <v>https://t.co/kGdI72dJAf</v>
      </c>
      <c r="AX289" s="86" t="b">
        <v>0</v>
      </c>
      <c r="AY289" s="86"/>
      <c r="AZ289" s="86"/>
      <c r="BA289" s="86" t="b">
        <v>0</v>
      </c>
      <c r="BB289" s="86" t="b">
        <v>1</v>
      </c>
      <c r="BC289" s="86" t="b">
        <v>1</v>
      </c>
      <c r="BD289" s="86" t="b">
        <v>0</v>
      </c>
      <c r="BE289" s="86" t="b">
        <v>0</v>
      </c>
      <c r="BF289" s="86" t="b">
        <v>0</v>
      </c>
      <c r="BG289" s="86" t="b">
        <v>0</v>
      </c>
      <c r="BH289" s="96" t="str">
        <f>HYPERLINK("https://pbs.twimg.com/profile_banners/1683443518839160832/1693682931")</f>
        <v>https://pbs.twimg.com/profile_banners/1683443518839160832/1693682931</v>
      </c>
      <c r="BI289" s="86"/>
      <c r="BJ289" s="86" t="s">
        <v>29134</v>
      </c>
      <c r="BK289" s="86" t="b">
        <v>0</v>
      </c>
      <c r="BL289" s="86"/>
      <c r="BM289" s="86" t="s">
        <v>66</v>
      </c>
      <c r="BN289" s="86" t="s">
        <v>29136</v>
      </c>
      <c r="BO289" s="96" t="str">
        <f>HYPERLINK("https://twitter.com/kaua_da027")</f>
        <v>https://twitter.com/kaua_da027</v>
      </c>
      <c r="BP289" s="2"/>
    </row>
    <row r="290" spans="1:68" x14ac:dyDescent="0.25">
      <c r="A290" s="63" t="s">
        <v>479</v>
      </c>
      <c r="B290" s="64"/>
      <c r="C290" s="64"/>
      <c r="D290" s="65"/>
      <c r="E290" s="67"/>
      <c r="F290" s="111" t="str">
        <f>HYPERLINK("https://pbs.twimg.com/profile_images/1690834011009036289/8JoHLb06_normal.jpg")</f>
        <v>https://pbs.twimg.com/profile_images/1690834011009036289/8JoHLb06_normal.jpg</v>
      </c>
      <c r="G290" s="64"/>
      <c r="H290" s="68"/>
      <c r="I290" s="69"/>
      <c r="J290" s="69"/>
      <c r="K290" s="68" t="s">
        <v>29423</v>
      </c>
      <c r="L290" s="72"/>
      <c r="M290" s="73"/>
      <c r="N290" s="73"/>
      <c r="O290" s="74"/>
      <c r="P290" s="75"/>
      <c r="Q290" s="75"/>
      <c r="R290" s="102"/>
      <c r="S290" s="102"/>
      <c r="T290" s="102"/>
      <c r="U290" s="102"/>
      <c r="V290" s="48"/>
      <c r="W290" s="48"/>
      <c r="X290" s="48"/>
      <c r="Y290" s="48"/>
      <c r="Z290" s="47"/>
      <c r="AA290" s="70">
        <v>290</v>
      </c>
      <c r="AB290" s="70"/>
      <c r="AC290" s="71"/>
      <c r="AD290" s="86" t="s">
        <v>23926</v>
      </c>
      <c r="AE290" s="94" t="s">
        <v>22947</v>
      </c>
      <c r="AF290" s="86">
        <v>726</v>
      </c>
      <c r="AG290" s="86">
        <v>668</v>
      </c>
      <c r="AH290" s="86">
        <v>40196</v>
      </c>
      <c r="AI290" s="86">
        <v>1</v>
      </c>
      <c r="AJ290" s="86">
        <v>23438</v>
      </c>
      <c r="AK290" s="86">
        <v>1441</v>
      </c>
      <c r="AL290" s="86" t="b">
        <v>0</v>
      </c>
      <c r="AM290" s="89">
        <v>43727.009328703702</v>
      </c>
      <c r="AN290" s="86" t="s">
        <v>15242</v>
      </c>
      <c r="AO290" s="86" t="s">
        <v>26684</v>
      </c>
      <c r="AP290" s="86"/>
      <c r="AQ290" s="86"/>
      <c r="AR290" s="86"/>
      <c r="AS290" s="86"/>
      <c r="AT290" s="86"/>
      <c r="AU290" s="86"/>
      <c r="AV290" s="86"/>
      <c r="AW290" s="86"/>
      <c r="AX290" s="86" t="b">
        <v>0</v>
      </c>
      <c r="AY290" s="86"/>
      <c r="AZ290" s="86"/>
      <c r="BA290" s="86" t="b">
        <v>1</v>
      </c>
      <c r="BB290" s="86" t="b">
        <v>1</v>
      </c>
      <c r="BC290" s="86" t="b">
        <v>1</v>
      </c>
      <c r="BD290" s="86" t="b">
        <v>0</v>
      </c>
      <c r="BE290" s="86" t="b">
        <v>1</v>
      </c>
      <c r="BF290" s="86" t="b">
        <v>0</v>
      </c>
      <c r="BG290" s="86" t="b">
        <v>0</v>
      </c>
      <c r="BH290" s="96" t="str">
        <f>HYPERLINK("https://pbs.twimg.com/profile_banners/1174476501175197696/1692652884")</f>
        <v>https://pbs.twimg.com/profile_banners/1174476501175197696/1692652884</v>
      </c>
      <c r="BI290" s="86"/>
      <c r="BJ290" s="86" t="s">
        <v>29134</v>
      </c>
      <c r="BK290" s="86" t="b">
        <v>0</v>
      </c>
      <c r="BL290" s="86"/>
      <c r="BM290" s="86" t="s">
        <v>66</v>
      </c>
      <c r="BN290" s="86" t="s">
        <v>29136</v>
      </c>
      <c r="BO290" s="96" t="str">
        <f>HYPERLINK("https://twitter.com/dantao__lindao")</f>
        <v>https://twitter.com/dantao__lindao</v>
      </c>
      <c r="BP290" s="2"/>
    </row>
    <row r="291" spans="1:68" x14ac:dyDescent="0.25">
      <c r="A291" s="63" t="s">
        <v>1642</v>
      </c>
      <c r="B291" s="64"/>
      <c r="C291" s="64"/>
      <c r="D291" s="65"/>
      <c r="E291" s="67"/>
      <c r="F291" s="111" t="str">
        <f>HYPERLINK("https://pbs.twimg.com/profile_images/1691230951915888640/lda8ZHF9_normal.jpg")</f>
        <v>https://pbs.twimg.com/profile_images/1691230951915888640/lda8ZHF9_normal.jpg</v>
      </c>
      <c r="G291" s="64"/>
      <c r="H291" s="68"/>
      <c r="I291" s="69"/>
      <c r="J291" s="69"/>
      <c r="K291" s="68" t="s">
        <v>29424</v>
      </c>
      <c r="L291" s="72"/>
      <c r="M291" s="73"/>
      <c r="N291" s="73"/>
      <c r="O291" s="74"/>
      <c r="P291" s="75"/>
      <c r="Q291" s="75"/>
      <c r="R291" s="102"/>
      <c r="S291" s="102"/>
      <c r="T291" s="102"/>
      <c r="U291" s="102"/>
      <c r="V291" s="48"/>
      <c r="W291" s="48"/>
      <c r="X291" s="48"/>
      <c r="Y291" s="48"/>
      <c r="Z291" s="47"/>
      <c r="AA291" s="70">
        <v>291</v>
      </c>
      <c r="AB291" s="70"/>
      <c r="AC291" s="71"/>
      <c r="AD291" s="86" t="s">
        <v>23927</v>
      </c>
      <c r="AE291" s="94" t="s">
        <v>22532</v>
      </c>
      <c r="AF291" s="86">
        <v>245</v>
      </c>
      <c r="AG291" s="86">
        <v>206</v>
      </c>
      <c r="AH291" s="86">
        <v>16632</v>
      </c>
      <c r="AI291" s="86">
        <v>0</v>
      </c>
      <c r="AJ291" s="86">
        <v>11878</v>
      </c>
      <c r="AK291" s="86">
        <v>191</v>
      </c>
      <c r="AL291" s="86" t="b">
        <v>0</v>
      </c>
      <c r="AM291" s="89">
        <v>43245.579270833332</v>
      </c>
      <c r="AN291" s="86" t="s">
        <v>15242</v>
      </c>
      <c r="AO291" s="86"/>
      <c r="AP291" s="86"/>
      <c r="AQ291" s="86"/>
      <c r="AR291" s="86"/>
      <c r="AS291" s="86"/>
      <c r="AT291" s="86"/>
      <c r="AU291" s="86"/>
      <c r="AV291" s="86">
        <v>1.6361879297594299E+18</v>
      </c>
      <c r="AW291" s="86"/>
      <c r="AX291" s="86" t="b">
        <v>0</v>
      </c>
      <c r="AY291" s="86"/>
      <c r="AZ291" s="86"/>
      <c r="BA291" s="86" t="b">
        <v>0</v>
      </c>
      <c r="BB291" s="86" t="b">
        <v>0</v>
      </c>
      <c r="BC291" s="86" t="b">
        <v>1</v>
      </c>
      <c r="BD291" s="86" t="b">
        <v>0</v>
      </c>
      <c r="BE291" s="86" t="b">
        <v>1</v>
      </c>
      <c r="BF291" s="86" t="b">
        <v>0</v>
      </c>
      <c r="BG291" s="86" t="b">
        <v>0</v>
      </c>
      <c r="BH291" s="96" t="str">
        <f>HYPERLINK("https://pbs.twimg.com/profile_banners/1000012144560214016/1684076416")</f>
        <v>https://pbs.twimg.com/profile_banners/1000012144560214016/1684076416</v>
      </c>
      <c r="BI291" s="86"/>
      <c r="BJ291" s="86" t="s">
        <v>29134</v>
      </c>
      <c r="BK291" s="86" t="b">
        <v>0</v>
      </c>
      <c r="BL291" s="86"/>
      <c r="BM291" s="86" t="s">
        <v>65</v>
      </c>
      <c r="BN291" s="86" t="s">
        <v>29136</v>
      </c>
      <c r="BO291" s="96" t="str">
        <f>HYPERLINK("https://twitter.com/giugiumaneira")</f>
        <v>https://twitter.com/giugiumaneira</v>
      </c>
      <c r="BP291" s="2"/>
    </row>
    <row r="292" spans="1:68" x14ac:dyDescent="0.25">
      <c r="A292" s="63" t="s">
        <v>480</v>
      </c>
      <c r="B292" s="64"/>
      <c r="C292" s="64"/>
      <c r="D292" s="65"/>
      <c r="E292" s="67"/>
      <c r="F292" s="111" t="str">
        <f>HYPERLINK("https://pbs.twimg.com/profile_images/1675901445655212041/ipSPe06M_normal.jpg")</f>
        <v>https://pbs.twimg.com/profile_images/1675901445655212041/ipSPe06M_normal.jpg</v>
      </c>
      <c r="G292" s="64"/>
      <c r="H292" s="68"/>
      <c r="I292" s="69"/>
      <c r="J292" s="69"/>
      <c r="K292" s="68" t="s">
        <v>29425</v>
      </c>
      <c r="L292" s="72"/>
      <c r="M292" s="73"/>
      <c r="N292" s="73"/>
      <c r="O292" s="74"/>
      <c r="P292" s="75"/>
      <c r="Q292" s="75"/>
      <c r="R292" s="102"/>
      <c r="S292" s="102"/>
      <c r="T292" s="102"/>
      <c r="U292" s="102"/>
      <c r="V292" s="48"/>
      <c r="W292" s="48"/>
      <c r="X292" s="48"/>
      <c r="Y292" s="48"/>
      <c r="Z292" s="47"/>
      <c r="AA292" s="70">
        <v>292</v>
      </c>
      <c r="AB292" s="70"/>
      <c r="AC292" s="71"/>
      <c r="AD292" s="86" t="s">
        <v>23928</v>
      </c>
      <c r="AE292" s="94" t="s">
        <v>22948</v>
      </c>
      <c r="AF292" s="86">
        <v>1</v>
      </c>
      <c r="AG292" s="86">
        <v>3</v>
      </c>
      <c r="AH292" s="86">
        <v>31</v>
      </c>
      <c r="AI292" s="86">
        <v>1</v>
      </c>
      <c r="AJ292" s="86">
        <v>0</v>
      </c>
      <c r="AK292" s="86">
        <v>7</v>
      </c>
      <c r="AL292" s="86" t="b">
        <v>0</v>
      </c>
      <c r="AM292" s="89">
        <v>45107.922222222223</v>
      </c>
      <c r="AN292" s="86"/>
      <c r="AO292" s="86" t="s">
        <v>26685</v>
      </c>
      <c r="AP292" s="96" t="str">
        <f>HYPERLINK("https://t.co/weFc2TKSbu")</f>
        <v>https://t.co/weFc2TKSbu</v>
      </c>
      <c r="AQ292" s="96" t="str">
        <f>HYPERLINK("https://kick.com/chatprivado-oficial")</f>
        <v>https://kick.com/chatprivado-oficial</v>
      </c>
      <c r="AR292" s="86" t="s">
        <v>28098</v>
      </c>
      <c r="AS292" s="86"/>
      <c r="AT292" s="86"/>
      <c r="AU292" s="86"/>
      <c r="AV292" s="86"/>
      <c r="AW292" s="96" t="str">
        <f>HYPERLINK("https://t.co/weFc2TKSbu")</f>
        <v>https://t.co/weFc2TKSbu</v>
      </c>
      <c r="AX292" s="86" t="b">
        <v>0</v>
      </c>
      <c r="AY292" s="86"/>
      <c r="AZ292" s="86"/>
      <c r="BA292" s="86" t="b">
        <v>0</v>
      </c>
      <c r="BB292" s="86" t="b">
        <v>1</v>
      </c>
      <c r="BC292" s="86" t="b">
        <v>1</v>
      </c>
      <c r="BD292" s="86" t="b">
        <v>0</v>
      </c>
      <c r="BE292" s="86" t="b">
        <v>0</v>
      </c>
      <c r="BF292" s="86" t="b">
        <v>0</v>
      </c>
      <c r="BG292" s="86" t="b">
        <v>0</v>
      </c>
      <c r="BH292" s="96" t="str">
        <f>HYPERLINK("https://pbs.twimg.com/profile_banners/1674902552431796224/1690884072")</f>
        <v>https://pbs.twimg.com/profile_banners/1674902552431796224/1690884072</v>
      </c>
      <c r="BI292" s="86"/>
      <c r="BJ292" s="86" t="s">
        <v>29134</v>
      </c>
      <c r="BK292" s="86" t="b">
        <v>0</v>
      </c>
      <c r="BL292" s="86"/>
      <c r="BM292" s="86" t="s">
        <v>66</v>
      </c>
      <c r="BN292" s="86" t="s">
        <v>29136</v>
      </c>
      <c r="BO292" s="96" t="str">
        <f>HYPERLINK("https://twitter.com/chatprivado_")</f>
        <v>https://twitter.com/chatprivado_</v>
      </c>
      <c r="BP292" s="2"/>
    </row>
    <row r="293" spans="1:68" x14ac:dyDescent="0.25">
      <c r="A293" s="63" t="s">
        <v>481</v>
      </c>
      <c r="B293" s="64"/>
      <c r="C293" s="64"/>
      <c r="D293" s="65"/>
      <c r="E293" s="67"/>
      <c r="F293" s="111" t="str">
        <f>HYPERLINK("https://pbs.twimg.com/profile_images/1699215098156363776/p8gsFBeV_normal.jpg")</f>
        <v>https://pbs.twimg.com/profile_images/1699215098156363776/p8gsFBeV_normal.jpg</v>
      </c>
      <c r="G293" s="64"/>
      <c r="H293" s="68"/>
      <c r="I293" s="69"/>
      <c r="J293" s="69"/>
      <c r="K293" s="68" t="s">
        <v>29426</v>
      </c>
      <c r="L293" s="72"/>
      <c r="M293" s="73"/>
      <c r="N293" s="73"/>
      <c r="O293" s="74"/>
      <c r="P293" s="75"/>
      <c r="Q293" s="75"/>
      <c r="R293" s="102"/>
      <c r="S293" s="102"/>
      <c r="T293" s="102"/>
      <c r="U293" s="102"/>
      <c r="V293" s="48"/>
      <c r="W293" s="48"/>
      <c r="X293" s="48"/>
      <c r="Y293" s="48"/>
      <c r="Z293" s="47"/>
      <c r="AA293" s="70">
        <v>293</v>
      </c>
      <c r="AB293" s="70"/>
      <c r="AC293" s="71"/>
      <c r="AD293" s="86" t="s">
        <v>23929</v>
      </c>
      <c r="AE293" s="94" t="s">
        <v>22949</v>
      </c>
      <c r="AF293" s="86">
        <v>37</v>
      </c>
      <c r="AG293" s="86">
        <v>30</v>
      </c>
      <c r="AH293" s="86">
        <v>993</v>
      </c>
      <c r="AI293" s="86">
        <v>0</v>
      </c>
      <c r="AJ293" s="86">
        <v>24443</v>
      </c>
      <c r="AK293" s="86">
        <v>10</v>
      </c>
      <c r="AL293" s="86" t="b">
        <v>0</v>
      </c>
      <c r="AM293" s="89">
        <v>43881.728541666664</v>
      </c>
      <c r="AN293" s="86" t="s">
        <v>15284</v>
      </c>
      <c r="AO293" s="86" t="s">
        <v>26686</v>
      </c>
      <c r="AP293" s="96" t="str">
        <f>HYPERLINK("https://t.co/SKW00ZJNtD")</f>
        <v>https://t.co/SKW00ZJNtD</v>
      </c>
      <c r="AQ293" s="96" t="str">
        <f>HYPERLINK("https://djhons.radiostream321.com/")</f>
        <v>https://djhons.radiostream321.com/</v>
      </c>
      <c r="AR293" s="86" t="s">
        <v>28099</v>
      </c>
      <c r="AS293" s="86"/>
      <c r="AT293" s="86"/>
      <c r="AU293" s="86"/>
      <c r="AV293" s="86"/>
      <c r="AW293" s="96" t="str">
        <f>HYPERLINK("https://t.co/SKW00ZJNtD")</f>
        <v>https://t.co/SKW00ZJNtD</v>
      </c>
      <c r="AX293" s="86" t="b">
        <v>0</v>
      </c>
      <c r="AY293" s="86"/>
      <c r="AZ293" s="86"/>
      <c r="BA293" s="86" t="b">
        <v>0</v>
      </c>
      <c r="BB293" s="86" t="b">
        <v>1</v>
      </c>
      <c r="BC293" s="86" t="b">
        <v>1</v>
      </c>
      <c r="BD293" s="86" t="b">
        <v>0</v>
      </c>
      <c r="BE293" s="86" t="b">
        <v>0</v>
      </c>
      <c r="BF293" s="86" t="b">
        <v>0</v>
      </c>
      <c r="BG293" s="86" t="b">
        <v>0</v>
      </c>
      <c r="BH293" s="96" t="str">
        <f>HYPERLINK("https://pbs.twimg.com/profile_banners/1230544807799533568/1695435968")</f>
        <v>https://pbs.twimg.com/profile_banners/1230544807799533568/1695435968</v>
      </c>
      <c r="BI293" s="86"/>
      <c r="BJ293" s="86" t="s">
        <v>29134</v>
      </c>
      <c r="BK293" s="86" t="b">
        <v>0</v>
      </c>
      <c r="BL293" s="86"/>
      <c r="BM293" s="86" t="s">
        <v>66</v>
      </c>
      <c r="BN293" s="86" t="s">
        <v>29136</v>
      </c>
      <c r="BO293" s="96" t="str">
        <f>HYPERLINK("https://twitter.com/anderso89334776")</f>
        <v>https://twitter.com/anderso89334776</v>
      </c>
      <c r="BP293" s="2"/>
    </row>
    <row r="294" spans="1:68" x14ac:dyDescent="0.25">
      <c r="A294" s="63" t="s">
        <v>482</v>
      </c>
      <c r="B294" s="64"/>
      <c r="C294" s="64"/>
      <c r="D294" s="65"/>
      <c r="E294" s="67"/>
      <c r="F294" s="111" t="str">
        <f>HYPERLINK("https://pbs.twimg.com/profile_images/1661517182293999617/Ybdenei-_normal.jpg")</f>
        <v>https://pbs.twimg.com/profile_images/1661517182293999617/Ybdenei-_normal.jpg</v>
      </c>
      <c r="G294" s="64"/>
      <c r="H294" s="68"/>
      <c r="I294" s="69"/>
      <c r="J294" s="69"/>
      <c r="K294" s="68" t="s">
        <v>29427</v>
      </c>
      <c r="L294" s="72"/>
      <c r="M294" s="73"/>
      <c r="N294" s="73"/>
      <c r="O294" s="74"/>
      <c r="P294" s="75"/>
      <c r="Q294" s="75"/>
      <c r="R294" s="102"/>
      <c r="S294" s="102"/>
      <c r="T294" s="102"/>
      <c r="U294" s="102"/>
      <c r="V294" s="48"/>
      <c r="W294" s="48"/>
      <c r="X294" s="48"/>
      <c r="Y294" s="48"/>
      <c r="Z294" s="47"/>
      <c r="AA294" s="70">
        <v>294</v>
      </c>
      <c r="AB294" s="70"/>
      <c r="AC294" s="71"/>
      <c r="AD294" s="86" t="s">
        <v>23930</v>
      </c>
      <c r="AE294" s="94" t="s">
        <v>25327</v>
      </c>
      <c r="AF294" s="86">
        <v>162963</v>
      </c>
      <c r="AG294" s="86">
        <v>15336</v>
      </c>
      <c r="AH294" s="86">
        <v>67619</v>
      </c>
      <c r="AI294" s="86">
        <v>263</v>
      </c>
      <c r="AJ294" s="86">
        <v>788</v>
      </c>
      <c r="AK294" s="86">
        <v>5971</v>
      </c>
      <c r="AL294" s="86" t="b">
        <v>0</v>
      </c>
      <c r="AM294" s="89">
        <v>40521.633576388886</v>
      </c>
      <c r="AN294" s="86" t="s">
        <v>25985</v>
      </c>
      <c r="AO294" s="86" t="s">
        <v>26687</v>
      </c>
      <c r="AP294" s="96" t="str">
        <f>HYPERLINK("https://t.co/5ApD2xz7NH")</f>
        <v>https://t.co/5ApD2xz7NH</v>
      </c>
      <c r="AQ294" s="96" t="str">
        <f>HYPERLINK("https://paraiba.pb.gov.br/diretas/saude/coronavirus/")</f>
        <v>https://paraiba.pb.gov.br/diretas/saude/coronavirus/</v>
      </c>
      <c r="AR294" s="86" t="s">
        <v>28100</v>
      </c>
      <c r="AS294" s="86"/>
      <c r="AT294" s="86"/>
      <c r="AU294" s="86"/>
      <c r="AV294" s="86"/>
      <c r="AW294" s="96" t="str">
        <f>HYPERLINK("https://t.co/5ApD2xz7NH")</f>
        <v>https://t.co/5ApD2xz7NH</v>
      </c>
      <c r="AX294" s="86" t="b">
        <v>0</v>
      </c>
      <c r="AY294" s="86"/>
      <c r="AZ294" s="86"/>
      <c r="BA294" s="86" t="b">
        <v>0</v>
      </c>
      <c r="BB294" s="86" t="b">
        <v>1</v>
      </c>
      <c r="BC294" s="86" t="b">
        <v>1</v>
      </c>
      <c r="BD294" s="86" t="b">
        <v>0</v>
      </c>
      <c r="BE294" s="86" t="b">
        <v>1</v>
      </c>
      <c r="BF294" s="86" t="b">
        <v>0</v>
      </c>
      <c r="BG294" s="86" t="b">
        <v>0</v>
      </c>
      <c r="BH294" s="96" t="str">
        <f>HYPERLINK("https://pbs.twimg.com/profile_banners/224661399/1684971552")</f>
        <v>https://pbs.twimg.com/profile_banners/224661399/1684971552</v>
      </c>
      <c r="BI294" s="86"/>
      <c r="BJ294" s="86" t="s">
        <v>29134</v>
      </c>
      <c r="BK294" s="86" t="b">
        <v>0</v>
      </c>
      <c r="BL294" s="86"/>
      <c r="BM294" s="86" t="s">
        <v>66</v>
      </c>
      <c r="BN294" s="86" t="s">
        <v>29136</v>
      </c>
      <c r="BO294" s="96" t="str">
        <f>HYPERLINK("https://twitter.com/govparaiba")</f>
        <v>https://twitter.com/govparaiba</v>
      </c>
      <c r="BP294" s="2"/>
    </row>
    <row r="295" spans="1:68" x14ac:dyDescent="0.25">
      <c r="A295" s="63" t="s">
        <v>483</v>
      </c>
      <c r="B295" s="64"/>
      <c r="C295" s="64"/>
      <c r="D295" s="65"/>
      <c r="E295" s="67"/>
      <c r="F295" s="111" t="str">
        <f>HYPERLINK("https://pbs.twimg.com/profile_images/1675193204147191808/miOjW1tY_normal.jpg")</f>
        <v>https://pbs.twimg.com/profile_images/1675193204147191808/miOjW1tY_normal.jpg</v>
      </c>
      <c r="G295" s="64"/>
      <c r="H295" s="68"/>
      <c r="I295" s="69"/>
      <c r="J295" s="69"/>
      <c r="K295" s="68" t="s">
        <v>29428</v>
      </c>
      <c r="L295" s="72"/>
      <c r="M295" s="73"/>
      <c r="N295" s="73"/>
      <c r="O295" s="74"/>
      <c r="P295" s="75"/>
      <c r="Q295" s="75"/>
      <c r="R295" s="102"/>
      <c r="S295" s="102"/>
      <c r="T295" s="102"/>
      <c r="U295" s="102"/>
      <c r="V295" s="48"/>
      <c r="W295" s="48"/>
      <c r="X295" s="48"/>
      <c r="Y295" s="48"/>
      <c r="Z295" s="47"/>
      <c r="AA295" s="70">
        <v>295</v>
      </c>
      <c r="AB295" s="70"/>
      <c r="AC295" s="71"/>
      <c r="AD295" s="86" t="s">
        <v>23931</v>
      </c>
      <c r="AE295" s="94" t="s">
        <v>22950</v>
      </c>
      <c r="AF295" s="86">
        <v>1</v>
      </c>
      <c r="AG295" s="86">
        <v>9</v>
      </c>
      <c r="AH295" s="86">
        <v>25</v>
      </c>
      <c r="AI295" s="86">
        <v>0</v>
      </c>
      <c r="AJ295" s="86">
        <v>0</v>
      </c>
      <c r="AK295" s="86">
        <v>0</v>
      </c>
      <c r="AL295" s="86" t="b">
        <v>0</v>
      </c>
      <c r="AM295" s="89">
        <v>45108.720682870371</v>
      </c>
      <c r="AN295" s="86"/>
      <c r="AO295" s="86" t="s">
        <v>26688</v>
      </c>
      <c r="AP295" s="86"/>
      <c r="AQ295" s="86"/>
      <c r="AR295" s="86"/>
      <c r="AS295" s="86"/>
      <c r="AT295" s="86"/>
      <c r="AU295" s="86"/>
      <c r="AV295" s="86"/>
      <c r="AW295" s="86"/>
      <c r="AX295" s="86" t="b">
        <v>0</v>
      </c>
      <c r="AY295" s="86"/>
      <c r="AZ295" s="86"/>
      <c r="BA295" s="86" t="b">
        <v>0</v>
      </c>
      <c r="BB295" s="86" t="b">
        <v>1</v>
      </c>
      <c r="BC295" s="86" t="b">
        <v>1</v>
      </c>
      <c r="BD295" s="86" t="b">
        <v>0</v>
      </c>
      <c r="BE295" s="86" t="b">
        <v>0</v>
      </c>
      <c r="BF295" s="86" t="b">
        <v>0</v>
      </c>
      <c r="BG295" s="86" t="b">
        <v>0</v>
      </c>
      <c r="BH295" s="96" t="str">
        <f>HYPERLINK("https://pbs.twimg.com/profile_banners/1675191893930409985/1688232159")</f>
        <v>https://pbs.twimg.com/profile_banners/1675191893930409985/1688232159</v>
      </c>
      <c r="BI295" s="86"/>
      <c r="BJ295" s="86" t="s">
        <v>29134</v>
      </c>
      <c r="BK295" s="86" t="b">
        <v>0</v>
      </c>
      <c r="BL295" s="86"/>
      <c r="BM295" s="86" t="s">
        <v>66</v>
      </c>
      <c r="BN295" s="86" t="s">
        <v>29136</v>
      </c>
      <c r="BO295" s="96" t="str">
        <f>HYPERLINK("https://twitter.com/syscoin_space")</f>
        <v>https://twitter.com/syscoin_space</v>
      </c>
      <c r="BP295" s="2"/>
    </row>
    <row r="296" spans="1:68" x14ac:dyDescent="0.25">
      <c r="A296" s="63" t="s">
        <v>484</v>
      </c>
      <c r="B296" s="64"/>
      <c r="C296" s="64"/>
      <c r="D296" s="65"/>
      <c r="E296" s="67"/>
      <c r="F296" s="111" t="str">
        <f>HYPERLINK("https://pbs.twimg.com/profile_images/1440365989397336065/lwbCEKZs_normal.jpg")</f>
        <v>https://pbs.twimg.com/profile_images/1440365989397336065/lwbCEKZs_normal.jpg</v>
      </c>
      <c r="G296" s="64"/>
      <c r="H296" s="68"/>
      <c r="I296" s="69"/>
      <c r="J296" s="69"/>
      <c r="K296" s="68" t="s">
        <v>29429</v>
      </c>
      <c r="L296" s="72"/>
      <c r="M296" s="73"/>
      <c r="N296" s="73"/>
      <c r="O296" s="74"/>
      <c r="P296" s="75"/>
      <c r="Q296" s="75"/>
      <c r="R296" s="102"/>
      <c r="S296" s="102"/>
      <c r="T296" s="102"/>
      <c r="U296" s="102"/>
      <c r="V296" s="48"/>
      <c r="W296" s="48"/>
      <c r="X296" s="48"/>
      <c r="Y296" s="48"/>
      <c r="Z296" s="47"/>
      <c r="AA296" s="70">
        <v>296</v>
      </c>
      <c r="AB296" s="70"/>
      <c r="AC296" s="71"/>
      <c r="AD296" s="86" t="s">
        <v>23932</v>
      </c>
      <c r="AE296" s="94" t="s">
        <v>22951</v>
      </c>
      <c r="AF296" s="86">
        <v>17</v>
      </c>
      <c r="AG296" s="86">
        <v>188</v>
      </c>
      <c r="AH296" s="86">
        <v>112</v>
      </c>
      <c r="AI296" s="86">
        <v>0</v>
      </c>
      <c r="AJ296" s="86">
        <v>178</v>
      </c>
      <c r="AK296" s="86">
        <v>6</v>
      </c>
      <c r="AL296" s="86" t="b">
        <v>0</v>
      </c>
      <c r="AM296" s="89">
        <v>44460.723692129628</v>
      </c>
      <c r="AN296" s="86" t="s">
        <v>15289</v>
      </c>
      <c r="AO296" s="86" t="s">
        <v>26689</v>
      </c>
      <c r="AP296" s="96" t="str">
        <f>HYPERLINK("https://t.co/QuRx119FTw")</f>
        <v>https://t.co/QuRx119FTw</v>
      </c>
      <c r="AQ296" s="96" t="str">
        <f>HYPERLINK("http://www.ekadvogados.com.br")</f>
        <v>http://www.ekadvogados.com.br</v>
      </c>
      <c r="AR296" s="86" t="s">
        <v>28101</v>
      </c>
      <c r="AS296" s="86"/>
      <c r="AT296" s="86"/>
      <c r="AU296" s="86"/>
      <c r="AV296" s="86"/>
      <c r="AW296" s="96" t="str">
        <f>HYPERLINK("https://t.co/QuRx119FTw")</f>
        <v>https://t.co/QuRx119FTw</v>
      </c>
      <c r="AX296" s="86" t="b">
        <v>0</v>
      </c>
      <c r="AY296" s="86"/>
      <c r="AZ296" s="86"/>
      <c r="BA296" s="86" t="b">
        <v>0</v>
      </c>
      <c r="BB296" s="86" t="b">
        <v>1</v>
      </c>
      <c r="BC296" s="86" t="b">
        <v>1</v>
      </c>
      <c r="BD296" s="86" t="b">
        <v>0</v>
      </c>
      <c r="BE296" s="86" t="b">
        <v>0</v>
      </c>
      <c r="BF296" s="86" t="b">
        <v>0</v>
      </c>
      <c r="BG296" s="86" t="b">
        <v>0</v>
      </c>
      <c r="BH296" s="86"/>
      <c r="BI296" s="86"/>
      <c r="BJ296" s="86" t="s">
        <v>29134</v>
      </c>
      <c r="BK296" s="86" t="b">
        <v>0</v>
      </c>
      <c r="BL296" s="86"/>
      <c r="BM296" s="86" t="s">
        <v>66</v>
      </c>
      <c r="BN296" s="86" t="s">
        <v>29136</v>
      </c>
      <c r="BO296" s="96" t="str">
        <f>HYPERLINK("https://twitter.com/ewertonkleber5")</f>
        <v>https://twitter.com/ewertonkleber5</v>
      </c>
      <c r="BP296" s="2"/>
    </row>
    <row r="297" spans="1:68" x14ac:dyDescent="0.25">
      <c r="A297" s="63" t="s">
        <v>485</v>
      </c>
      <c r="B297" s="64"/>
      <c r="C297" s="64"/>
      <c r="D297" s="65"/>
      <c r="E297" s="67"/>
      <c r="F297" s="111" t="str">
        <f>HYPERLINK("https://pbs.twimg.com/profile_images/1528856096865239041/vo3MY4Sr_normal.jpg")</f>
        <v>https://pbs.twimg.com/profile_images/1528856096865239041/vo3MY4Sr_normal.jpg</v>
      </c>
      <c r="G297" s="64"/>
      <c r="H297" s="68"/>
      <c r="I297" s="69"/>
      <c r="J297" s="69"/>
      <c r="K297" s="68" t="s">
        <v>29430</v>
      </c>
      <c r="L297" s="72"/>
      <c r="M297" s="73"/>
      <c r="N297" s="73"/>
      <c r="O297" s="74"/>
      <c r="P297" s="75"/>
      <c r="Q297" s="75"/>
      <c r="R297" s="102"/>
      <c r="S297" s="102"/>
      <c r="T297" s="102"/>
      <c r="U297" s="102"/>
      <c r="V297" s="48"/>
      <c r="W297" s="48"/>
      <c r="X297" s="48"/>
      <c r="Y297" s="48"/>
      <c r="Z297" s="47"/>
      <c r="AA297" s="70">
        <v>297</v>
      </c>
      <c r="AB297" s="70"/>
      <c r="AC297" s="71"/>
      <c r="AD297" s="86" t="s">
        <v>23933</v>
      </c>
      <c r="AE297" s="94" t="s">
        <v>22952</v>
      </c>
      <c r="AF297" s="86">
        <v>20</v>
      </c>
      <c r="AG297" s="86">
        <v>75</v>
      </c>
      <c r="AH297" s="86">
        <v>129</v>
      </c>
      <c r="AI297" s="86">
        <v>0</v>
      </c>
      <c r="AJ297" s="86">
        <v>42</v>
      </c>
      <c r="AK297" s="86">
        <v>62</v>
      </c>
      <c r="AL297" s="86" t="b">
        <v>0</v>
      </c>
      <c r="AM297" s="89">
        <v>44635.896828703706</v>
      </c>
      <c r="AN297" s="86"/>
      <c r="AO297" s="86" t="s">
        <v>26690</v>
      </c>
      <c r="AP297" s="96" t="str">
        <f>HYPERLINK("https://t.co/vrxxDTp8Sd")</f>
        <v>https://t.co/vrxxDTp8Sd</v>
      </c>
      <c r="AQ297" s="96" t="str">
        <f>HYPERLINK("https://linktr.ee/cryptoherobr")</f>
        <v>https://linktr.ee/cryptoherobr</v>
      </c>
      <c r="AR297" s="86" t="s">
        <v>28102</v>
      </c>
      <c r="AS297" s="86"/>
      <c r="AT297" s="86"/>
      <c r="AU297" s="86"/>
      <c r="AV297" s="86"/>
      <c r="AW297" s="96" t="str">
        <f>HYPERLINK("https://t.co/vrxxDTp8Sd")</f>
        <v>https://t.co/vrxxDTp8Sd</v>
      </c>
      <c r="AX297" s="86" t="b">
        <v>0</v>
      </c>
      <c r="AY297" s="86"/>
      <c r="AZ297" s="86"/>
      <c r="BA297" s="86" t="b">
        <v>0</v>
      </c>
      <c r="BB297" s="86" t="b">
        <v>1</v>
      </c>
      <c r="BC297" s="86" t="b">
        <v>1</v>
      </c>
      <c r="BD297" s="86" t="b">
        <v>0</v>
      </c>
      <c r="BE297" s="86" t="b">
        <v>0</v>
      </c>
      <c r="BF297" s="86" t="b">
        <v>0</v>
      </c>
      <c r="BG297" s="86" t="b">
        <v>0</v>
      </c>
      <c r="BH297" s="96" t="str">
        <f>HYPERLINK("https://pbs.twimg.com/profile_banners/1503846264722624512/1653342705")</f>
        <v>https://pbs.twimg.com/profile_banners/1503846264722624512/1653342705</v>
      </c>
      <c r="BI297" s="86"/>
      <c r="BJ297" s="86" t="s">
        <v>29134</v>
      </c>
      <c r="BK297" s="86" t="b">
        <v>0</v>
      </c>
      <c r="BL297" s="86"/>
      <c r="BM297" s="86" t="s">
        <v>66</v>
      </c>
      <c r="BN297" s="86" t="s">
        <v>29136</v>
      </c>
      <c r="BO297" s="96" t="str">
        <f>HYPERLINK("https://twitter.com/cryptoherobr")</f>
        <v>https://twitter.com/cryptoherobr</v>
      </c>
      <c r="BP297" s="2"/>
    </row>
    <row r="298" spans="1:68" x14ac:dyDescent="0.25">
      <c r="A298" s="63" t="s">
        <v>486</v>
      </c>
      <c r="B298" s="64"/>
      <c r="C298" s="64"/>
      <c r="D298" s="65"/>
      <c r="E298" s="67"/>
      <c r="F298" s="111" t="str">
        <f>HYPERLINK("https://pbs.twimg.com/profile_images/1682453260165173275/xV1B7u7m_normal.png")</f>
        <v>https://pbs.twimg.com/profile_images/1682453260165173275/xV1B7u7m_normal.png</v>
      </c>
      <c r="G298" s="64"/>
      <c r="H298" s="68"/>
      <c r="I298" s="69"/>
      <c r="J298" s="69"/>
      <c r="K298" s="68" t="s">
        <v>29431</v>
      </c>
      <c r="L298" s="72"/>
      <c r="M298" s="73"/>
      <c r="N298" s="73"/>
      <c r="O298" s="74"/>
      <c r="P298" s="75"/>
      <c r="Q298" s="75"/>
      <c r="R298" s="102"/>
      <c r="S298" s="102"/>
      <c r="T298" s="102"/>
      <c r="U298" s="102"/>
      <c r="V298" s="48"/>
      <c r="W298" s="48"/>
      <c r="X298" s="48"/>
      <c r="Y298" s="48"/>
      <c r="Z298" s="47"/>
      <c r="AA298" s="70">
        <v>298</v>
      </c>
      <c r="AB298" s="70"/>
      <c r="AC298" s="71"/>
      <c r="AD298" s="86" t="s">
        <v>23934</v>
      </c>
      <c r="AE298" s="94" t="s">
        <v>22953</v>
      </c>
      <c r="AF298" s="86">
        <v>2</v>
      </c>
      <c r="AG298" s="86">
        <v>17</v>
      </c>
      <c r="AH298" s="86">
        <v>21</v>
      </c>
      <c r="AI298" s="86">
        <v>0</v>
      </c>
      <c r="AJ298" s="86">
        <v>1</v>
      </c>
      <c r="AK298" s="86">
        <v>20</v>
      </c>
      <c r="AL298" s="86" t="b">
        <v>0</v>
      </c>
      <c r="AM298" s="89">
        <v>45128.757986111108</v>
      </c>
      <c r="AN298" s="86"/>
      <c r="AO298" s="86" t="s">
        <v>26691</v>
      </c>
      <c r="AP298" s="96" t="str">
        <f>HYPERLINK("https://t.co/R9YEosLDTr")</f>
        <v>https://t.co/R9YEosLDTr</v>
      </c>
      <c r="AQ298" s="96" t="str">
        <f>HYPERLINK("http://www.negociosemterapia.com")</f>
        <v>http://www.negociosemterapia.com</v>
      </c>
      <c r="AR298" s="86" t="s">
        <v>8416</v>
      </c>
      <c r="AS298" s="86"/>
      <c r="AT298" s="86"/>
      <c r="AU298" s="86"/>
      <c r="AV298" s="86"/>
      <c r="AW298" s="96" t="str">
        <f>HYPERLINK("https://t.co/R9YEosLDTr")</f>
        <v>https://t.co/R9YEosLDTr</v>
      </c>
      <c r="AX298" s="86" t="b">
        <v>0</v>
      </c>
      <c r="AY298" s="86"/>
      <c r="AZ298" s="86"/>
      <c r="BA298" s="86" t="b">
        <v>0</v>
      </c>
      <c r="BB298" s="86" t="b">
        <v>1</v>
      </c>
      <c r="BC298" s="86" t="b">
        <v>1</v>
      </c>
      <c r="BD298" s="86" t="b">
        <v>0</v>
      </c>
      <c r="BE298" s="86" t="b">
        <v>0</v>
      </c>
      <c r="BF298" s="86" t="b">
        <v>0</v>
      </c>
      <c r="BG298" s="86" t="b">
        <v>0</v>
      </c>
      <c r="BH298" s="96" t="str">
        <f>HYPERLINK("https://pbs.twimg.com/profile_banners/1682453080724459530/1690235822")</f>
        <v>https://pbs.twimg.com/profile_banners/1682453080724459530/1690235822</v>
      </c>
      <c r="BI298" s="86"/>
      <c r="BJ298" s="86" t="s">
        <v>29134</v>
      </c>
      <c r="BK298" s="86" t="b">
        <v>0</v>
      </c>
      <c r="BL298" s="86"/>
      <c r="BM298" s="86" t="s">
        <v>66</v>
      </c>
      <c r="BN298" s="86" t="s">
        <v>29136</v>
      </c>
      <c r="BO298" s="96" t="str">
        <f>HYPERLINK("https://twitter.com/negociosterapia")</f>
        <v>https://twitter.com/negociosterapia</v>
      </c>
      <c r="BP298" s="2"/>
    </row>
    <row r="299" spans="1:68" x14ac:dyDescent="0.25">
      <c r="A299" s="63" t="s">
        <v>487</v>
      </c>
      <c r="B299" s="64"/>
      <c r="C299" s="64"/>
      <c r="D299" s="65"/>
      <c r="E299" s="67"/>
      <c r="F299" s="111" t="str">
        <f>HYPERLINK("https://pbs.twimg.com/profile_images/1621302832367288320/nz6qBCbV_normal.jpg")</f>
        <v>https://pbs.twimg.com/profile_images/1621302832367288320/nz6qBCbV_normal.jpg</v>
      </c>
      <c r="G299" s="64"/>
      <c r="H299" s="68"/>
      <c r="I299" s="69"/>
      <c r="J299" s="69"/>
      <c r="K299" s="68" t="s">
        <v>29432</v>
      </c>
      <c r="L299" s="72"/>
      <c r="M299" s="73"/>
      <c r="N299" s="73"/>
      <c r="O299" s="74"/>
      <c r="P299" s="75"/>
      <c r="Q299" s="75"/>
      <c r="R299" s="102"/>
      <c r="S299" s="102"/>
      <c r="T299" s="102"/>
      <c r="U299" s="102"/>
      <c r="V299" s="48"/>
      <c r="W299" s="48"/>
      <c r="X299" s="48"/>
      <c r="Y299" s="48"/>
      <c r="Z299" s="47"/>
      <c r="AA299" s="70">
        <v>299</v>
      </c>
      <c r="AB299" s="70"/>
      <c r="AC299" s="71"/>
      <c r="AD299" s="86" t="s">
        <v>23935</v>
      </c>
      <c r="AE299" s="94" t="s">
        <v>22954</v>
      </c>
      <c r="AF299" s="86">
        <v>1174</v>
      </c>
      <c r="AG299" s="86">
        <v>1649</v>
      </c>
      <c r="AH299" s="86">
        <v>16440</v>
      </c>
      <c r="AI299" s="86">
        <v>3</v>
      </c>
      <c r="AJ299" s="86">
        <v>34466</v>
      </c>
      <c r="AK299" s="86">
        <v>2006</v>
      </c>
      <c r="AL299" s="86" t="b">
        <v>0</v>
      </c>
      <c r="AM299" s="89">
        <v>43705.886782407404</v>
      </c>
      <c r="AN299" s="86" t="s">
        <v>15246</v>
      </c>
      <c r="AO299" s="86" t="s">
        <v>26692</v>
      </c>
      <c r="AP299" s="86"/>
      <c r="AQ299" s="86"/>
      <c r="AR299" s="86"/>
      <c r="AS299" s="86"/>
      <c r="AT299" s="86"/>
      <c r="AU299" s="86"/>
      <c r="AV299" s="86"/>
      <c r="AW299" s="86"/>
      <c r="AX299" s="86" t="b">
        <v>0</v>
      </c>
      <c r="AY299" s="86"/>
      <c r="AZ299" s="86"/>
      <c r="BA299" s="86" t="b">
        <v>0</v>
      </c>
      <c r="BB299" s="86" t="b">
        <v>1</v>
      </c>
      <c r="BC299" s="86" t="b">
        <v>1</v>
      </c>
      <c r="BD299" s="86" t="b">
        <v>0</v>
      </c>
      <c r="BE299" s="86" t="b">
        <v>1</v>
      </c>
      <c r="BF299" s="86" t="b">
        <v>0</v>
      </c>
      <c r="BG299" s="86" t="b">
        <v>0</v>
      </c>
      <c r="BH299" s="96" t="str">
        <f>HYPERLINK("https://pbs.twimg.com/profile_banners/1166821946505474048/1601653100")</f>
        <v>https://pbs.twimg.com/profile_banners/1166821946505474048/1601653100</v>
      </c>
      <c r="BI299" s="86"/>
      <c r="BJ299" s="86" t="s">
        <v>29134</v>
      </c>
      <c r="BK299" s="86" t="b">
        <v>0</v>
      </c>
      <c r="BL299" s="86"/>
      <c r="BM299" s="86" t="s">
        <v>66</v>
      </c>
      <c r="BN299" s="86" t="s">
        <v>29136</v>
      </c>
      <c r="BO299" s="96" t="str">
        <f>HYPERLINK("https://twitter.com/semmassagem5")</f>
        <v>https://twitter.com/semmassagem5</v>
      </c>
      <c r="BP299" s="2"/>
    </row>
    <row r="300" spans="1:68" x14ac:dyDescent="0.25">
      <c r="A300" s="63" t="s">
        <v>488</v>
      </c>
      <c r="B300" s="64"/>
      <c r="C300" s="64"/>
      <c r="D300" s="65"/>
      <c r="E300" s="67"/>
      <c r="F300" s="111" t="str">
        <f>HYPERLINK("https://pbs.twimg.com/profile_images/1373348274288099328/X9OehZDj_normal.jpg")</f>
        <v>https://pbs.twimg.com/profile_images/1373348274288099328/X9OehZDj_normal.jpg</v>
      </c>
      <c r="G300" s="64"/>
      <c r="H300" s="68"/>
      <c r="I300" s="69"/>
      <c r="J300" s="69"/>
      <c r="K300" s="68" t="s">
        <v>29433</v>
      </c>
      <c r="L300" s="72"/>
      <c r="M300" s="73"/>
      <c r="N300" s="73"/>
      <c r="O300" s="74"/>
      <c r="P300" s="75"/>
      <c r="Q300" s="75"/>
      <c r="R300" s="102"/>
      <c r="S300" s="102"/>
      <c r="T300" s="102"/>
      <c r="U300" s="102"/>
      <c r="V300" s="48"/>
      <c r="W300" s="48"/>
      <c r="X300" s="48"/>
      <c r="Y300" s="48"/>
      <c r="Z300" s="47"/>
      <c r="AA300" s="70">
        <v>300</v>
      </c>
      <c r="AB300" s="70"/>
      <c r="AC300" s="71"/>
      <c r="AD300" s="86" t="s">
        <v>23936</v>
      </c>
      <c r="AE300" s="94" t="s">
        <v>22955</v>
      </c>
      <c r="AF300" s="86">
        <v>176</v>
      </c>
      <c r="AG300" s="86">
        <v>137</v>
      </c>
      <c r="AH300" s="86">
        <v>17418</v>
      </c>
      <c r="AI300" s="86">
        <v>4</v>
      </c>
      <c r="AJ300" s="86">
        <v>16</v>
      </c>
      <c r="AK300" s="86">
        <v>245</v>
      </c>
      <c r="AL300" s="86" t="b">
        <v>0</v>
      </c>
      <c r="AM300" s="89">
        <v>44259.75640046296</v>
      </c>
      <c r="AN300" s="86" t="s">
        <v>15234</v>
      </c>
      <c r="AO300" s="86" t="s">
        <v>26693</v>
      </c>
      <c r="AP300" s="96" t="str">
        <f>HYPERLINK("https://t.co/QXlH6gxih5")</f>
        <v>https://t.co/QXlH6gxih5</v>
      </c>
      <c r="AQ300" s="96" t="str">
        <f>HYPERLINK("https://brasil.perfil.com/")</f>
        <v>https://brasil.perfil.com/</v>
      </c>
      <c r="AR300" s="86" t="s">
        <v>28103</v>
      </c>
      <c r="AS300" s="86"/>
      <c r="AT300" s="86"/>
      <c r="AU300" s="86"/>
      <c r="AV300" s="86"/>
      <c r="AW300" s="96" t="str">
        <f>HYPERLINK("https://t.co/QXlH6gxih5")</f>
        <v>https://t.co/QXlH6gxih5</v>
      </c>
      <c r="AX300" s="86" t="b">
        <v>0</v>
      </c>
      <c r="AY300" s="86"/>
      <c r="AZ300" s="86"/>
      <c r="BA300" s="86" t="b">
        <v>0</v>
      </c>
      <c r="BB300" s="86" t="b">
        <v>1</v>
      </c>
      <c r="BC300" s="86" t="b">
        <v>1</v>
      </c>
      <c r="BD300" s="86" t="b">
        <v>0</v>
      </c>
      <c r="BE300" s="86" t="b">
        <v>1</v>
      </c>
      <c r="BF300" s="86" t="b">
        <v>0</v>
      </c>
      <c r="BG300" s="86" t="b">
        <v>0</v>
      </c>
      <c r="BH300" s="96" t="str">
        <f>HYPERLINK("https://pbs.twimg.com/profile_banners/1367537445529657353/1615406722")</f>
        <v>https://pbs.twimg.com/profile_banners/1367537445529657353/1615406722</v>
      </c>
      <c r="BI300" s="86"/>
      <c r="BJ300" s="86" t="s">
        <v>29134</v>
      </c>
      <c r="BK300" s="86" t="b">
        <v>0</v>
      </c>
      <c r="BL300" s="86"/>
      <c r="BM300" s="86" t="s">
        <v>66</v>
      </c>
      <c r="BN300" s="86" t="s">
        <v>29136</v>
      </c>
      <c r="BO300" s="96" t="str">
        <f>HYPERLINK("https://twitter.com/perfilcombrasil")</f>
        <v>https://twitter.com/perfilcombrasil</v>
      </c>
      <c r="BP300" s="2"/>
    </row>
    <row r="301" spans="1:68" x14ac:dyDescent="0.25">
      <c r="A301" s="63" t="s">
        <v>489</v>
      </c>
      <c r="B301" s="64"/>
      <c r="C301" s="64"/>
      <c r="D301" s="65"/>
      <c r="E301" s="67"/>
      <c r="F301" s="111" t="str">
        <f>HYPERLINK("https://pbs.twimg.com/profile_images/1595540011771895814/nHSJG9l__normal.jpg")</f>
        <v>https://pbs.twimg.com/profile_images/1595540011771895814/nHSJG9l__normal.jpg</v>
      </c>
      <c r="G301" s="64"/>
      <c r="H301" s="68"/>
      <c r="I301" s="69"/>
      <c r="J301" s="69"/>
      <c r="K301" s="68" t="s">
        <v>29434</v>
      </c>
      <c r="L301" s="72"/>
      <c r="M301" s="73"/>
      <c r="N301" s="73"/>
      <c r="O301" s="74"/>
      <c r="P301" s="75"/>
      <c r="Q301" s="75"/>
      <c r="R301" s="102"/>
      <c r="S301" s="102"/>
      <c r="T301" s="102"/>
      <c r="U301" s="102"/>
      <c r="V301" s="48"/>
      <c r="W301" s="48"/>
      <c r="X301" s="48"/>
      <c r="Y301" s="48"/>
      <c r="Z301" s="47"/>
      <c r="AA301" s="70">
        <v>301</v>
      </c>
      <c r="AB301" s="70"/>
      <c r="AC301" s="71"/>
      <c r="AD301" s="86" t="s">
        <v>23937</v>
      </c>
      <c r="AE301" s="94" t="s">
        <v>25328</v>
      </c>
      <c r="AF301" s="86">
        <v>20</v>
      </c>
      <c r="AG301" s="86">
        <v>204</v>
      </c>
      <c r="AH301" s="86">
        <v>123</v>
      </c>
      <c r="AI301" s="86">
        <v>0</v>
      </c>
      <c r="AJ301" s="86">
        <v>93</v>
      </c>
      <c r="AK301" s="86">
        <v>111</v>
      </c>
      <c r="AL301" s="86" t="b">
        <v>0</v>
      </c>
      <c r="AM301" s="89">
        <v>41912.835219907407</v>
      </c>
      <c r="AN301" s="86"/>
      <c r="AO301" s="96" t="str">
        <f>HYPERLINK("https://t.co/wlqzj6w2wi")</f>
        <v>https://t.co/wlqzj6w2wi</v>
      </c>
      <c r="AP301" s="96" t="str">
        <f>HYPERLINK("https://t.co/O4bMO6sxBP")</f>
        <v>https://t.co/O4bMO6sxBP</v>
      </c>
      <c r="AQ301" s="96" t="str">
        <f>HYPERLINK("http://jmenezesadvogados.com.br")</f>
        <v>http://jmenezesadvogados.com.br</v>
      </c>
      <c r="AR301" s="86" t="s">
        <v>28104</v>
      </c>
      <c r="AS301" s="96" t="str">
        <f>HYPERLINK("https://t.co/wlqzj6w2wi")</f>
        <v>https://t.co/wlqzj6w2wi</v>
      </c>
      <c r="AT301" s="96" t="str">
        <f>HYPERLINK("https://JonaMenezes.adweb.app")</f>
        <v>https://JonaMenezes.adweb.app</v>
      </c>
      <c r="AU301" s="86" t="s">
        <v>29047</v>
      </c>
      <c r="AV301" s="86"/>
      <c r="AW301" s="96" t="str">
        <f>HYPERLINK("https://t.co/O4bMO6sxBP")</f>
        <v>https://t.co/O4bMO6sxBP</v>
      </c>
      <c r="AX301" s="86" t="b">
        <v>0</v>
      </c>
      <c r="AY301" s="86"/>
      <c r="AZ301" s="86"/>
      <c r="BA301" s="86" t="b">
        <v>0</v>
      </c>
      <c r="BB301" s="86" t="b">
        <v>1</v>
      </c>
      <c r="BC301" s="86" t="b">
        <v>1</v>
      </c>
      <c r="BD301" s="86" t="b">
        <v>0</v>
      </c>
      <c r="BE301" s="86" t="b">
        <v>1</v>
      </c>
      <c r="BF301" s="86" t="b">
        <v>0</v>
      </c>
      <c r="BG301" s="86" t="b">
        <v>0</v>
      </c>
      <c r="BH301" s="96" t="str">
        <f>HYPERLINK("https://pbs.twimg.com/profile_banners/2796243538/1670453195")</f>
        <v>https://pbs.twimg.com/profile_banners/2796243538/1670453195</v>
      </c>
      <c r="BI301" s="86"/>
      <c r="BJ301" s="86" t="s">
        <v>29134</v>
      </c>
      <c r="BK301" s="86" t="b">
        <v>0</v>
      </c>
      <c r="BL301" s="86"/>
      <c r="BM301" s="86" t="s">
        <v>66</v>
      </c>
      <c r="BN301" s="86" t="s">
        <v>29136</v>
      </c>
      <c r="BO301" s="96" t="str">
        <f>HYPERLINK("https://twitter.com/jonamenezes")</f>
        <v>https://twitter.com/jonamenezes</v>
      </c>
      <c r="BP301" s="2"/>
    </row>
    <row r="302" spans="1:68" x14ac:dyDescent="0.25">
      <c r="A302" s="63" t="s">
        <v>490</v>
      </c>
      <c r="B302" s="64"/>
      <c r="C302" s="64"/>
      <c r="D302" s="65"/>
      <c r="E302" s="67"/>
      <c r="F302" s="111" t="str">
        <f>HYPERLINK("https://pbs.twimg.com/profile_images/1477954510106546179/_spcfVYg_normal.jpg")</f>
        <v>https://pbs.twimg.com/profile_images/1477954510106546179/_spcfVYg_normal.jpg</v>
      </c>
      <c r="G302" s="64"/>
      <c r="H302" s="68"/>
      <c r="I302" s="69"/>
      <c r="J302" s="69"/>
      <c r="K302" s="68" t="s">
        <v>29435</v>
      </c>
      <c r="L302" s="72"/>
      <c r="M302" s="73"/>
      <c r="N302" s="73"/>
      <c r="O302" s="74"/>
      <c r="P302" s="75"/>
      <c r="Q302" s="75"/>
      <c r="R302" s="102"/>
      <c r="S302" s="102"/>
      <c r="T302" s="102"/>
      <c r="U302" s="102"/>
      <c r="V302" s="48"/>
      <c r="W302" s="48"/>
      <c r="X302" s="48"/>
      <c r="Y302" s="48"/>
      <c r="Z302" s="47"/>
      <c r="AA302" s="70">
        <v>302</v>
      </c>
      <c r="AB302" s="70"/>
      <c r="AC302" s="71"/>
      <c r="AD302" s="86" t="s">
        <v>23938</v>
      </c>
      <c r="AE302" s="94" t="s">
        <v>25329</v>
      </c>
      <c r="AF302" s="86">
        <v>425</v>
      </c>
      <c r="AG302" s="86">
        <v>1199</v>
      </c>
      <c r="AH302" s="86">
        <v>626</v>
      </c>
      <c r="AI302" s="86">
        <v>11</v>
      </c>
      <c r="AJ302" s="86">
        <v>2</v>
      </c>
      <c r="AK302" s="86">
        <v>212</v>
      </c>
      <c r="AL302" s="86" t="b">
        <v>0</v>
      </c>
      <c r="AM302" s="89">
        <v>40524.739953703705</v>
      </c>
      <c r="AN302" s="86" t="s">
        <v>25889</v>
      </c>
      <c r="AO302" s="86" t="s">
        <v>26694</v>
      </c>
      <c r="AP302" s="96" t="str">
        <f>HYPERLINK("https://t.co/lr04WppIQw")</f>
        <v>https://t.co/lr04WppIQw</v>
      </c>
      <c r="AQ302" s="96" t="str">
        <f>HYPERLINK("http://www.in9midia.com")</f>
        <v>http://www.in9midia.com</v>
      </c>
      <c r="AR302" s="86" t="s">
        <v>28105</v>
      </c>
      <c r="AS302" s="86"/>
      <c r="AT302" s="86"/>
      <c r="AU302" s="86"/>
      <c r="AV302" s="86">
        <v>1.6682696521647099E+18</v>
      </c>
      <c r="AW302" s="96" t="str">
        <f>HYPERLINK("https://t.co/lr04WppIQw")</f>
        <v>https://t.co/lr04WppIQw</v>
      </c>
      <c r="AX302" s="86" t="b">
        <v>0</v>
      </c>
      <c r="AY302" s="86"/>
      <c r="AZ302" s="86"/>
      <c r="BA302" s="86" t="b">
        <v>0</v>
      </c>
      <c r="BB302" s="86" t="b">
        <v>1</v>
      </c>
      <c r="BC302" s="86" t="b">
        <v>0</v>
      </c>
      <c r="BD302" s="86" t="b">
        <v>0</v>
      </c>
      <c r="BE302" s="86" t="b">
        <v>1</v>
      </c>
      <c r="BF302" s="86" t="b">
        <v>0</v>
      </c>
      <c r="BG302" s="86" t="b">
        <v>0</v>
      </c>
      <c r="BH302" s="96" t="str">
        <f>HYPERLINK("https://pbs.twimg.com/profile_banners/225874467/1642186353")</f>
        <v>https://pbs.twimg.com/profile_banners/225874467/1642186353</v>
      </c>
      <c r="BI302" s="86"/>
      <c r="BJ302" s="86" t="s">
        <v>29134</v>
      </c>
      <c r="BK302" s="86" t="b">
        <v>0</v>
      </c>
      <c r="BL302" s="86"/>
      <c r="BM302" s="86" t="s">
        <v>66</v>
      </c>
      <c r="BN302" s="86" t="s">
        <v>29136</v>
      </c>
      <c r="BO302" s="96" t="str">
        <f>HYPERLINK("https://twitter.com/in9midia")</f>
        <v>https://twitter.com/in9midia</v>
      </c>
      <c r="BP302" s="2"/>
    </row>
    <row r="303" spans="1:68" x14ac:dyDescent="0.25">
      <c r="A303" s="63" t="s">
        <v>491</v>
      </c>
      <c r="B303" s="64"/>
      <c r="C303" s="64"/>
      <c r="D303" s="65"/>
      <c r="E303" s="67"/>
      <c r="F303" s="111" t="str">
        <f>HYPERLINK("https://pbs.twimg.com/profile_images/1694731403852673024/LY3OQnMn_normal.jpg")</f>
        <v>https://pbs.twimg.com/profile_images/1694731403852673024/LY3OQnMn_normal.jpg</v>
      </c>
      <c r="G303" s="64"/>
      <c r="H303" s="68"/>
      <c r="I303" s="69"/>
      <c r="J303" s="69"/>
      <c r="K303" s="68" t="s">
        <v>29436</v>
      </c>
      <c r="L303" s="72"/>
      <c r="M303" s="73"/>
      <c r="N303" s="73"/>
      <c r="O303" s="74"/>
      <c r="P303" s="75"/>
      <c r="Q303" s="75"/>
      <c r="R303" s="102"/>
      <c r="S303" s="102"/>
      <c r="T303" s="102"/>
      <c r="U303" s="102"/>
      <c r="V303" s="48"/>
      <c r="W303" s="48"/>
      <c r="X303" s="48"/>
      <c r="Y303" s="48"/>
      <c r="Z303" s="47"/>
      <c r="AA303" s="70">
        <v>303</v>
      </c>
      <c r="AB303" s="70"/>
      <c r="AC303" s="71"/>
      <c r="AD303" s="86" t="s">
        <v>23939</v>
      </c>
      <c r="AE303" s="94" t="s">
        <v>22956</v>
      </c>
      <c r="AF303" s="86">
        <v>100</v>
      </c>
      <c r="AG303" s="86">
        <v>116</v>
      </c>
      <c r="AH303" s="86">
        <v>902</v>
      </c>
      <c r="AI303" s="86">
        <v>0</v>
      </c>
      <c r="AJ303" s="86">
        <v>797</v>
      </c>
      <c r="AK303" s="86">
        <v>194</v>
      </c>
      <c r="AL303" s="86" t="b">
        <v>0</v>
      </c>
      <c r="AM303" s="89">
        <v>45132.49659722222</v>
      </c>
      <c r="AN303" s="86"/>
      <c r="AO303" s="86" t="s">
        <v>26695</v>
      </c>
      <c r="AP303" s="86"/>
      <c r="AQ303" s="86"/>
      <c r="AR303" s="86"/>
      <c r="AS303" s="86"/>
      <c r="AT303" s="86"/>
      <c r="AU303" s="86"/>
      <c r="AV303" s="86">
        <v>1.69668106130705E+18</v>
      </c>
      <c r="AW303" s="86"/>
      <c r="AX303" s="86" t="b">
        <v>0</v>
      </c>
      <c r="AY303" s="86"/>
      <c r="AZ303" s="86"/>
      <c r="BA303" s="86" t="b">
        <v>0</v>
      </c>
      <c r="BB303" s="86" t="b">
        <v>1</v>
      </c>
      <c r="BC303" s="86" t="b">
        <v>1</v>
      </c>
      <c r="BD303" s="86" t="b">
        <v>0</v>
      </c>
      <c r="BE303" s="86" t="b">
        <v>0</v>
      </c>
      <c r="BF303" s="86" t="b">
        <v>0</v>
      </c>
      <c r="BG303" s="86" t="b">
        <v>0</v>
      </c>
      <c r="BH303" s="96" t="str">
        <f>HYPERLINK("https://pbs.twimg.com/profile_banners/1683808056637784065/1692281273")</f>
        <v>https://pbs.twimg.com/profile_banners/1683808056637784065/1692281273</v>
      </c>
      <c r="BI303" s="86"/>
      <c r="BJ303" s="86" t="s">
        <v>29134</v>
      </c>
      <c r="BK303" s="86" t="b">
        <v>0</v>
      </c>
      <c r="BL303" s="86"/>
      <c r="BM303" s="86" t="s">
        <v>66</v>
      </c>
      <c r="BN303" s="86" t="s">
        <v>29136</v>
      </c>
      <c r="BO303" s="96" t="str">
        <f>HYPERLINK("https://twitter.com/tapasdonegao")</f>
        <v>https://twitter.com/tapasdonegao</v>
      </c>
      <c r="BP303" s="2"/>
    </row>
    <row r="304" spans="1:68" x14ac:dyDescent="0.25">
      <c r="A304" s="63" t="s">
        <v>492</v>
      </c>
      <c r="B304" s="64"/>
      <c r="C304" s="64"/>
      <c r="D304" s="65"/>
      <c r="E304" s="67"/>
      <c r="F304" s="111" t="str">
        <f>HYPERLINK("https://pbs.twimg.com/profile_images/1694313706518155264/Ie5upl1L_normal.jpg")</f>
        <v>https://pbs.twimg.com/profile_images/1694313706518155264/Ie5upl1L_normal.jpg</v>
      </c>
      <c r="G304" s="64"/>
      <c r="H304" s="68"/>
      <c r="I304" s="69"/>
      <c r="J304" s="69"/>
      <c r="K304" s="68" t="s">
        <v>29437</v>
      </c>
      <c r="L304" s="72"/>
      <c r="M304" s="73"/>
      <c r="N304" s="73"/>
      <c r="O304" s="74"/>
      <c r="P304" s="75"/>
      <c r="Q304" s="75"/>
      <c r="R304" s="102"/>
      <c r="S304" s="102"/>
      <c r="T304" s="102"/>
      <c r="U304" s="102"/>
      <c r="V304" s="48"/>
      <c r="W304" s="48"/>
      <c r="X304" s="48"/>
      <c r="Y304" s="48"/>
      <c r="Z304" s="47"/>
      <c r="AA304" s="70">
        <v>304</v>
      </c>
      <c r="AB304" s="70"/>
      <c r="AC304" s="71"/>
      <c r="AD304" s="86" t="s">
        <v>23940</v>
      </c>
      <c r="AE304" s="94" t="s">
        <v>22957</v>
      </c>
      <c r="AF304" s="86">
        <v>0</v>
      </c>
      <c r="AG304" s="86">
        <v>4</v>
      </c>
      <c r="AH304" s="86">
        <v>12</v>
      </c>
      <c r="AI304" s="86">
        <v>0</v>
      </c>
      <c r="AJ304" s="86">
        <v>17</v>
      </c>
      <c r="AK304" s="86">
        <v>6</v>
      </c>
      <c r="AL304" s="86" t="b">
        <v>0</v>
      </c>
      <c r="AM304" s="89">
        <v>45050.762453703705</v>
      </c>
      <c r="AN304" s="86"/>
      <c r="AO304" s="86" t="s">
        <v>26696</v>
      </c>
      <c r="AP304" s="96" t="str">
        <f>HYPERLINK("https://t.co/VGNM6aPlvG")</f>
        <v>https://t.co/VGNM6aPlvG</v>
      </c>
      <c r="AQ304" s="96" t="str">
        <f>HYPERLINK("https://i3d.me/0yVS3A")</f>
        <v>https://i3d.me/0yVS3A</v>
      </c>
      <c r="AR304" s="86" t="s">
        <v>28106</v>
      </c>
      <c r="AS304" s="86"/>
      <c r="AT304" s="86"/>
      <c r="AU304" s="86"/>
      <c r="AV304" s="86"/>
      <c r="AW304" s="96" t="str">
        <f>HYPERLINK("https://t.co/VGNM6aPlvG")</f>
        <v>https://t.co/VGNM6aPlvG</v>
      </c>
      <c r="AX304" s="86" t="b">
        <v>0</v>
      </c>
      <c r="AY304" s="86"/>
      <c r="AZ304" s="86"/>
      <c r="BA304" s="86" t="b">
        <v>1</v>
      </c>
      <c r="BB304" s="86" t="b">
        <v>0</v>
      </c>
      <c r="BC304" s="86" t="b">
        <v>1</v>
      </c>
      <c r="BD304" s="86" t="b">
        <v>0</v>
      </c>
      <c r="BE304" s="86" t="b">
        <v>0</v>
      </c>
      <c r="BF304" s="86" t="b">
        <v>0</v>
      </c>
      <c r="BG304" s="86" t="b">
        <v>0</v>
      </c>
      <c r="BH304" s="86"/>
      <c r="BI304" s="86"/>
      <c r="BJ304" s="86" t="s">
        <v>29134</v>
      </c>
      <c r="BK304" s="86" t="b">
        <v>0</v>
      </c>
      <c r="BL304" s="86"/>
      <c r="BM304" s="86" t="s">
        <v>66</v>
      </c>
      <c r="BN304" s="86" t="s">
        <v>29136</v>
      </c>
      <c r="BO304" s="96" t="str">
        <f>HYPERLINK("https://twitter.com/awkangelo")</f>
        <v>https://twitter.com/awkangelo</v>
      </c>
      <c r="BP304" s="2"/>
    </row>
    <row r="305" spans="1:68" x14ac:dyDescent="0.25">
      <c r="A305" s="63" t="s">
        <v>493</v>
      </c>
      <c r="B305" s="64"/>
      <c r="C305" s="64"/>
      <c r="D305" s="65"/>
      <c r="E305" s="67"/>
      <c r="F305" s="111" t="str">
        <f>HYPERLINK("https://pbs.twimg.com/profile_images/1256664808105095169/IrODcpZU_normal.jpg")</f>
        <v>https://pbs.twimg.com/profile_images/1256664808105095169/IrODcpZU_normal.jpg</v>
      </c>
      <c r="G305" s="64"/>
      <c r="H305" s="68"/>
      <c r="I305" s="69"/>
      <c r="J305" s="69"/>
      <c r="K305" s="68" t="s">
        <v>29438</v>
      </c>
      <c r="L305" s="72"/>
      <c r="M305" s="73"/>
      <c r="N305" s="73"/>
      <c r="O305" s="74"/>
      <c r="P305" s="75"/>
      <c r="Q305" s="75"/>
      <c r="R305" s="102"/>
      <c r="S305" s="102"/>
      <c r="T305" s="102"/>
      <c r="U305" s="102"/>
      <c r="V305" s="48"/>
      <c r="W305" s="48"/>
      <c r="X305" s="48"/>
      <c r="Y305" s="48"/>
      <c r="Z305" s="47"/>
      <c r="AA305" s="70">
        <v>305</v>
      </c>
      <c r="AB305" s="70"/>
      <c r="AC305" s="71"/>
      <c r="AD305" s="86" t="s">
        <v>23941</v>
      </c>
      <c r="AE305" s="94" t="s">
        <v>25330</v>
      </c>
      <c r="AF305" s="86">
        <v>531</v>
      </c>
      <c r="AG305" s="86">
        <v>86</v>
      </c>
      <c r="AH305" s="86">
        <v>1701</v>
      </c>
      <c r="AI305" s="86">
        <v>10</v>
      </c>
      <c r="AJ305" s="86">
        <v>39</v>
      </c>
      <c r="AK305" s="86">
        <v>45</v>
      </c>
      <c r="AL305" s="86" t="b">
        <v>0</v>
      </c>
      <c r="AM305" s="89">
        <v>40135.880474537036</v>
      </c>
      <c r="AN305" s="86" t="s">
        <v>25986</v>
      </c>
      <c r="AO305" s="86" t="s">
        <v>26697</v>
      </c>
      <c r="AP305" s="96" t="str">
        <f>HYPERLINK("https://t.co/nJcZyFzj6J")</f>
        <v>https://t.co/nJcZyFzj6J</v>
      </c>
      <c r="AQ305" s="96" t="str">
        <f>HYPERLINK("http://revistaesquinas.casperlibero.edu.br")</f>
        <v>http://revistaesquinas.casperlibero.edu.br</v>
      </c>
      <c r="AR305" s="86" t="s">
        <v>28107</v>
      </c>
      <c r="AS305" s="86"/>
      <c r="AT305" s="86"/>
      <c r="AU305" s="86"/>
      <c r="AV305" s="86"/>
      <c r="AW305" s="96" t="str">
        <f>HYPERLINK("https://t.co/nJcZyFzj6J")</f>
        <v>https://t.co/nJcZyFzj6J</v>
      </c>
      <c r="AX305" s="86" t="b">
        <v>0</v>
      </c>
      <c r="AY305" s="86"/>
      <c r="AZ305" s="86"/>
      <c r="BA305" s="86" t="b">
        <v>0</v>
      </c>
      <c r="BB305" s="86" t="b">
        <v>1</v>
      </c>
      <c r="BC305" s="86" t="b">
        <v>0</v>
      </c>
      <c r="BD305" s="86" t="b">
        <v>0</v>
      </c>
      <c r="BE305" s="86" t="b">
        <v>1</v>
      </c>
      <c r="BF305" s="86" t="b">
        <v>0</v>
      </c>
      <c r="BG305" s="86" t="b">
        <v>0</v>
      </c>
      <c r="BH305" s="96" t="str">
        <f>HYPERLINK("https://pbs.twimg.com/profile_banners/90958806/1567711395")</f>
        <v>https://pbs.twimg.com/profile_banners/90958806/1567711395</v>
      </c>
      <c r="BI305" s="86"/>
      <c r="BJ305" s="86" t="s">
        <v>29134</v>
      </c>
      <c r="BK305" s="86" t="b">
        <v>0</v>
      </c>
      <c r="BL305" s="86"/>
      <c r="BM305" s="86" t="s">
        <v>66</v>
      </c>
      <c r="BN305" s="86" t="s">
        <v>29136</v>
      </c>
      <c r="BO305" s="96" t="str">
        <f>HYPERLINK("https://twitter.com/revistaesquinas")</f>
        <v>https://twitter.com/revistaesquinas</v>
      </c>
      <c r="BP305" s="2"/>
    </row>
    <row r="306" spans="1:68" x14ac:dyDescent="0.25">
      <c r="A306" s="63" t="s">
        <v>494</v>
      </c>
      <c r="B306" s="64"/>
      <c r="C306" s="64"/>
      <c r="D306" s="65"/>
      <c r="E306" s="67"/>
      <c r="F306" s="111" t="str">
        <f>HYPERLINK("https://pbs.twimg.com/profile_images/1303008746445176832/8f22kqoM_normal.jpg")</f>
        <v>https://pbs.twimg.com/profile_images/1303008746445176832/8f22kqoM_normal.jpg</v>
      </c>
      <c r="G306" s="64"/>
      <c r="H306" s="68"/>
      <c r="I306" s="69"/>
      <c r="J306" s="69"/>
      <c r="K306" s="68" t="s">
        <v>29439</v>
      </c>
      <c r="L306" s="72"/>
      <c r="M306" s="73"/>
      <c r="N306" s="73"/>
      <c r="O306" s="74"/>
      <c r="P306" s="75"/>
      <c r="Q306" s="75"/>
      <c r="R306" s="102"/>
      <c r="S306" s="102"/>
      <c r="T306" s="102"/>
      <c r="U306" s="102"/>
      <c r="V306" s="48"/>
      <c r="W306" s="48"/>
      <c r="X306" s="48"/>
      <c r="Y306" s="48"/>
      <c r="Z306" s="47"/>
      <c r="AA306" s="70">
        <v>306</v>
      </c>
      <c r="AB306" s="70"/>
      <c r="AC306" s="71"/>
      <c r="AD306" s="86" t="s">
        <v>23942</v>
      </c>
      <c r="AE306" s="94" t="s">
        <v>25331</v>
      </c>
      <c r="AF306" s="86">
        <v>209</v>
      </c>
      <c r="AG306" s="86">
        <v>135</v>
      </c>
      <c r="AH306" s="86">
        <v>1294</v>
      </c>
      <c r="AI306" s="86">
        <v>3</v>
      </c>
      <c r="AJ306" s="86">
        <v>210</v>
      </c>
      <c r="AK306" s="86">
        <v>167</v>
      </c>
      <c r="AL306" s="86" t="b">
        <v>0</v>
      </c>
      <c r="AM306" s="89">
        <v>41948.469282407408</v>
      </c>
      <c r="AN306" s="86"/>
      <c r="AO306" s="86" t="s">
        <v>26698</v>
      </c>
      <c r="AP306" s="96" t="str">
        <f>HYPERLINK("https://t.co/yNDXmB7cgU")</f>
        <v>https://t.co/yNDXmB7cgU</v>
      </c>
      <c r="AQ306" s="96" t="str">
        <f>HYPERLINK("http://www.maissuperior.com")</f>
        <v>http://www.maissuperior.com</v>
      </c>
      <c r="AR306" s="86" t="s">
        <v>8420</v>
      </c>
      <c r="AS306" s="86"/>
      <c r="AT306" s="86"/>
      <c r="AU306" s="86"/>
      <c r="AV306" s="86"/>
      <c r="AW306" s="96" t="str">
        <f>HYPERLINK("https://t.co/yNDXmB7cgU")</f>
        <v>https://t.co/yNDXmB7cgU</v>
      </c>
      <c r="AX306" s="86" t="b">
        <v>0</v>
      </c>
      <c r="AY306" s="86"/>
      <c r="AZ306" s="86"/>
      <c r="BA306" s="86" t="b">
        <v>0</v>
      </c>
      <c r="BB306" s="86" t="b">
        <v>1</v>
      </c>
      <c r="BC306" s="86" t="b">
        <v>0</v>
      </c>
      <c r="BD306" s="86" t="b">
        <v>0</v>
      </c>
      <c r="BE306" s="86" t="b">
        <v>0</v>
      </c>
      <c r="BF306" s="86" t="b">
        <v>0</v>
      </c>
      <c r="BG306" s="86" t="b">
        <v>0</v>
      </c>
      <c r="BH306" s="96" t="str">
        <f>HYPERLINK("https://pbs.twimg.com/profile_banners/2862272213/1693829467")</f>
        <v>https://pbs.twimg.com/profile_banners/2862272213/1693829467</v>
      </c>
      <c r="BI306" s="86"/>
      <c r="BJ306" s="86" t="s">
        <v>29134</v>
      </c>
      <c r="BK306" s="86" t="b">
        <v>0</v>
      </c>
      <c r="BL306" s="86"/>
      <c r="BM306" s="86" t="s">
        <v>66</v>
      </c>
      <c r="BN306" s="86" t="s">
        <v>29136</v>
      </c>
      <c r="BO306" s="96" t="str">
        <f>HYPERLINK("https://twitter.com/mais_superior")</f>
        <v>https://twitter.com/mais_superior</v>
      </c>
      <c r="BP306" s="2"/>
    </row>
    <row r="307" spans="1:68" x14ac:dyDescent="0.25">
      <c r="A307" s="63" t="s">
        <v>1643</v>
      </c>
      <c r="B307" s="64"/>
      <c r="C307" s="64"/>
      <c r="D307" s="65"/>
      <c r="E307" s="67"/>
      <c r="F307" s="111" t="str">
        <f>HYPERLINK("https://pbs.twimg.com/profile_images/1007575631549423616/_ELRS-P9_normal.jpg")</f>
        <v>https://pbs.twimg.com/profile_images/1007575631549423616/_ELRS-P9_normal.jpg</v>
      </c>
      <c r="G307" s="64"/>
      <c r="H307" s="68"/>
      <c r="I307" s="69"/>
      <c r="J307" s="69"/>
      <c r="K307" s="68" t="s">
        <v>29440</v>
      </c>
      <c r="L307" s="72"/>
      <c r="M307" s="73"/>
      <c r="N307" s="73"/>
      <c r="O307" s="74"/>
      <c r="P307" s="75"/>
      <c r="Q307" s="75"/>
      <c r="R307" s="102"/>
      <c r="S307" s="102"/>
      <c r="T307" s="102"/>
      <c r="U307" s="102"/>
      <c r="V307" s="48"/>
      <c r="W307" s="48"/>
      <c r="X307" s="48"/>
      <c r="Y307" s="48"/>
      <c r="Z307" s="47"/>
      <c r="AA307" s="70">
        <v>307</v>
      </c>
      <c r="AB307" s="70"/>
      <c r="AC307" s="71"/>
      <c r="AD307" s="86" t="s">
        <v>23943</v>
      </c>
      <c r="AE307" s="94" t="s">
        <v>25332</v>
      </c>
      <c r="AF307" s="86">
        <v>1881</v>
      </c>
      <c r="AG307" s="86">
        <v>251</v>
      </c>
      <c r="AH307" s="86">
        <v>834</v>
      </c>
      <c r="AI307" s="86">
        <v>49</v>
      </c>
      <c r="AJ307" s="86">
        <v>565</v>
      </c>
      <c r="AK307" s="86">
        <v>237</v>
      </c>
      <c r="AL307" s="86" t="b">
        <v>0</v>
      </c>
      <c r="AM307" s="89">
        <v>41295.275775462964</v>
      </c>
      <c r="AN307" s="86" t="s">
        <v>25987</v>
      </c>
      <c r="AO307" s="86" t="s">
        <v>26699</v>
      </c>
      <c r="AP307" s="96" t="str">
        <f>HYPERLINK("https://t.co/oLUxDAVZLh")</f>
        <v>https://t.co/oLUxDAVZLh</v>
      </c>
      <c r="AQ307" s="96" t="str">
        <f>HYPERLINK("http://www.inacademy.eu")</f>
        <v>http://www.inacademy.eu</v>
      </c>
      <c r="AR307" s="86" t="s">
        <v>28108</v>
      </c>
      <c r="AS307" s="86"/>
      <c r="AT307" s="86"/>
      <c r="AU307" s="86"/>
      <c r="AV307" s="86"/>
      <c r="AW307" s="96" t="str">
        <f>HYPERLINK("https://t.co/oLUxDAVZLh")</f>
        <v>https://t.co/oLUxDAVZLh</v>
      </c>
      <c r="AX307" s="86" t="b">
        <v>0</v>
      </c>
      <c r="AY307" s="86"/>
      <c r="AZ307" s="86"/>
      <c r="BA307" s="86" t="b">
        <v>0</v>
      </c>
      <c r="BB307" s="86" t="b">
        <v>1</v>
      </c>
      <c r="BC307" s="86" t="b">
        <v>0</v>
      </c>
      <c r="BD307" s="86" t="b">
        <v>0</v>
      </c>
      <c r="BE307" s="86" t="b">
        <v>0</v>
      </c>
      <c r="BF307" s="86" t="b">
        <v>0</v>
      </c>
      <c r="BG307" s="86" t="b">
        <v>0</v>
      </c>
      <c r="BH307" s="96" t="str">
        <f>HYPERLINK("https://pbs.twimg.com/profile_banners/1108257055/1571917743")</f>
        <v>https://pbs.twimg.com/profile_banners/1108257055/1571917743</v>
      </c>
      <c r="BI307" s="86"/>
      <c r="BJ307" s="86" t="s">
        <v>29134</v>
      </c>
      <c r="BK307" s="86" t="b">
        <v>0</v>
      </c>
      <c r="BL307" s="86"/>
      <c r="BM307" s="86" t="s">
        <v>65</v>
      </c>
      <c r="BN307" s="86" t="s">
        <v>29136</v>
      </c>
      <c r="BO307" s="96" t="str">
        <f>HYPERLINK("https://twitter.com/eiainnovate")</f>
        <v>https://twitter.com/eiainnovate</v>
      </c>
      <c r="BP307" s="2"/>
    </row>
    <row r="308" spans="1:68" x14ac:dyDescent="0.25">
      <c r="A308" s="63" t="s">
        <v>1644</v>
      </c>
      <c r="B308" s="64"/>
      <c r="C308" s="64"/>
      <c r="D308" s="65"/>
      <c r="E308" s="67"/>
      <c r="F308" s="111" t="str">
        <f>HYPERLINK("https://pbs.twimg.com/profile_images/1272876298298437636/FVHmZ5TO_normal.jpg")</f>
        <v>https://pbs.twimg.com/profile_images/1272876298298437636/FVHmZ5TO_normal.jpg</v>
      </c>
      <c r="G308" s="64"/>
      <c r="H308" s="68"/>
      <c r="I308" s="69"/>
      <c r="J308" s="69"/>
      <c r="K308" s="68" t="s">
        <v>29441</v>
      </c>
      <c r="L308" s="72"/>
      <c r="M308" s="73"/>
      <c r="N308" s="73"/>
      <c r="O308" s="74"/>
      <c r="P308" s="75"/>
      <c r="Q308" s="75"/>
      <c r="R308" s="102"/>
      <c r="S308" s="102"/>
      <c r="T308" s="102"/>
      <c r="U308" s="102"/>
      <c r="V308" s="48"/>
      <c r="W308" s="48"/>
      <c r="X308" s="48"/>
      <c r="Y308" s="48"/>
      <c r="Z308" s="47"/>
      <c r="AA308" s="70">
        <v>308</v>
      </c>
      <c r="AB308" s="70"/>
      <c r="AC308" s="71"/>
      <c r="AD308" s="86" t="s">
        <v>23944</v>
      </c>
      <c r="AE308" s="94" t="s">
        <v>25333</v>
      </c>
      <c r="AF308" s="86">
        <v>1008</v>
      </c>
      <c r="AG308" s="86">
        <v>34</v>
      </c>
      <c r="AH308" s="86">
        <v>2978</v>
      </c>
      <c r="AI308" s="86">
        <v>15</v>
      </c>
      <c r="AJ308" s="86">
        <v>1379</v>
      </c>
      <c r="AK308" s="86">
        <v>2467</v>
      </c>
      <c r="AL308" s="86" t="b">
        <v>0</v>
      </c>
      <c r="AM308" s="89">
        <v>40863.457511574074</v>
      </c>
      <c r="AN308" s="86" t="s">
        <v>25988</v>
      </c>
      <c r="AO308" s="86" t="s">
        <v>26700</v>
      </c>
      <c r="AP308" s="96" t="str">
        <f>HYPERLINK("https://t.co/V1E4xoKjhp")</f>
        <v>https://t.co/V1E4xoKjhp</v>
      </c>
      <c r="AQ308" s="96" t="str">
        <f>HYPERLINK("http://www.ips.pt")</f>
        <v>http://www.ips.pt</v>
      </c>
      <c r="AR308" s="86" t="s">
        <v>28109</v>
      </c>
      <c r="AS308" s="86"/>
      <c r="AT308" s="86"/>
      <c r="AU308" s="86"/>
      <c r="AV308" s="86"/>
      <c r="AW308" s="96" t="str">
        <f>HYPERLINK("https://t.co/V1E4xoKjhp")</f>
        <v>https://t.co/V1E4xoKjhp</v>
      </c>
      <c r="AX308" s="86" t="b">
        <v>0</v>
      </c>
      <c r="AY308" s="86"/>
      <c r="AZ308" s="86"/>
      <c r="BA308" s="86" t="b">
        <v>0</v>
      </c>
      <c r="BB308" s="86" t="b">
        <v>1</v>
      </c>
      <c r="BC308" s="86" t="b">
        <v>0</v>
      </c>
      <c r="BD308" s="86" t="b">
        <v>0</v>
      </c>
      <c r="BE308" s="86" t="b">
        <v>0</v>
      </c>
      <c r="BF308" s="86" t="b">
        <v>0</v>
      </c>
      <c r="BG308" s="86" t="b">
        <v>0</v>
      </c>
      <c r="BH308" s="96" t="str">
        <f>HYPERLINK("https://pbs.twimg.com/profile_banners/413875700/1693141352")</f>
        <v>https://pbs.twimg.com/profile_banners/413875700/1693141352</v>
      </c>
      <c r="BI308" s="86"/>
      <c r="BJ308" s="86" t="s">
        <v>29134</v>
      </c>
      <c r="BK308" s="86" t="b">
        <v>0</v>
      </c>
      <c r="BL308" s="86"/>
      <c r="BM308" s="86" t="s">
        <v>65</v>
      </c>
      <c r="BN308" s="86" t="s">
        <v>29136</v>
      </c>
      <c r="BO308" s="96" t="str">
        <f>HYPERLINK("https://twitter.com/ipssetubal")</f>
        <v>https://twitter.com/ipssetubal</v>
      </c>
      <c r="BP308" s="2"/>
    </row>
    <row r="309" spans="1:68" x14ac:dyDescent="0.25">
      <c r="A309" s="63" t="s">
        <v>1645</v>
      </c>
      <c r="B309" s="64"/>
      <c r="C309" s="64"/>
      <c r="D309" s="65"/>
      <c r="E309" s="67"/>
      <c r="F309" s="111" t="str">
        <f>HYPERLINK("https://pbs.twimg.com/profile_images/1143441418058420224/JuY2FOx9_normal.png")</f>
        <v>https://pbs.twimg.com/profile_images/1143441418058420224/JuY2FOx9_normal.png</v>
      </c>
      <c r="G309" s="64"/>
      <c r="H309" s="68"/>
      <c r="I309" s="69"/>
      <c r="J309" s="69"/>
      <c r="K309" s="68" t="s">
        <v>29442</v>
      </c>
      <c r="L309" s="72"/>
      <c r="M309" s="73"/>
      <c r="N309" s="73"/>
      <c r="O309" s="74"/>
      <c r="P309" s="75"/>
      <c r="Q309" s="75"/>
      <c r="R309" s="102"/>
      <c r="S309" s="102"/>
      <c r="T309" s="102"/>
      <c r="U309" s="102"/>
      <c r="V309" s="48"/>
      <c r="W309" s="48"/>
      <c r="X309" s="48"/>
      <c r="Y309" s="48"/>
      <c r="Z309" s="47"/>
      <c r="AA309" s="70">
        <v>309</v>
      </c>
      <c r="AB309" s="70"/>
      <c r="AC309" s="71"/>
      <c r="AD309" s="86" t="s">
        <v>23945</v>
      </c>
      <c r="AE309" s="94" t="s">
        <v>25334</v>
      </c>
      <c r="AF309" s="86">
        <v>39621</v>
      </c>
      <c r="AG309" s="86">
        <v>104</v>
      </c>
      <c r="AH309" s="86">
        <v>9877</v>
      </c>
      <c r="AI309" s="86">
        <v>118</v>
      </c>
      <c r="AJ309" s="86">
        <v>641</v>
      </c>
      <c r="AK309" s="86">
        <v>654</v>
      </c>
      <c r="AL309" s="86" t="b">
        <v>0</v>
      </c>
      <c r="AM309" s="89">
        <v>40518.401076388887</v>
      </c>
      <c r="AN309" s="86" t="s">
        <v>25989</v>
      </c>
      <c r="AO309" s="86" t="s">
        <v>26701</v>
      </c>
      <c r="AP309" s="96" t="str">
        <f>HYPERLINK("https://t.co/wws5CWHZ1z")</f>
        <v>https://t.co/wws5CWHZ1z</v>
      </c>
      <c r="AQ309" s="96" t="str">
        <f>HYPERLINK("http://www.uc.pt/")</f>
        <v>http://www.uc.pt/</v>
      </c>
      <c r="AR309" s="86" t="s">
        <v>28110</v>
      </c>
      <c r="AS309" s="86"/>
      <c r="AT309" s="86"/>
      <c r="AU309" s="86"/>
      <c r="AV309" s="86">
        <v>1.66828796070013E+18</v>
      </c>
      <c r="AW309" s="96" t="str">
        <f>HYPERLINK("https://t.co/wws5CWHZ1z")</f>
        <v>https://t.co/wws5CWHZ1z</v>
      </c>
      <c r="AX309" s="86" t="b">
        <v>0</v>
      </c>
      <c r="AY309" s="86"/>
      <c r="AZ309" s="86"/>
      <c r="BA309" s="86" t="b">
        <v>0</v>
      </c>
      <c r="BB309" s="86" t="b">
        <v>1</v>
      </c>
      <c r="BC309" s="86" t="b">
        <v>0</v>
      </c>
      <c r="BD309" s="86" t="b">
        <v>0</v>
      </c>
      <c r="BE309" s="86" t="b">
        <v>0</v>
      </c>
      <c r="BF309" s="86" t="b">
        <v>0</v>
      </c>
      <c r="BG309" s="86" t="b">
        <v>0</v>
      </c>
      <c r="BH309" s="96" t="str">
        <f>HYPERLINK("https://pbs.twimg.com/profile_banners/223411301/1688554975")</f>
        <v>https://pbs.twimg.com/profile_banners/223411301/1688554975</v>
      </c>
      <c r="BI309" s="86"/>
      <c r="BJ309" s="86" t="s">
        <v>29134</v>
      </c>
      <c r="BK309" s="86" t="b">
        <v>0</v>
      </c>
      <c r="BL309" s="86"/>
      <c r="BM309" s="86" t="s">
        <v>65</v>
      </c>
      <c r="BN309" s="86" t="s">
        <v>29136</v>
      </c>
      <c r="BO309" s="96" t="str">
        <f>HYPERLINK("https://twitter.com/univdecoimbra")</f>
        <v>https://twitter.com/univdecoimbra</v>
      </c>
      <c r="BP309" s="2"/>
    </row>
    <row r="310" spans="1:68" x14ac:dyDescent="0.25">
      <c r="A310" s="63" t="s">
        <v>495</v>
      </c>
      <c r="B310" s="64"/>
      <c r="C310" s="64"/>
      <c r="D310" s="65"/>
      <c r="E310" s="67"/>
      <c r="F310" s="111" t="str">
        <f>HYPERLINK("https://pbs.twimg.com/profile_images/1690775228828250113/3xon590D_normal.jpg")</f>
        <v>https://pbs.twimg.com/profile_images/1690775228828250113/3xon590D_normal.jpg</v>
      </c>
      <c r="G310" s="64"/>
      <c r="H310" s="68"/>
      <c r="I310" s="69"/>
      <c r="J310" s="69"/>
      <c r="K310" s="68" t="s">
        <v>29443</v>
      </c>
      <c r="L310" s="72"/>
      <c r="M310" s="73"/>
      <c r="N310" s="73"/>
      <c r="O310" s="74"/>
      <c r="P310" s="75"/>
      <c r="Q310" s="75"/>
      <c r="R310" s="102"/>
      <c r="S310" s="102"/>
      <c r="T310" s="102"/>
      <c r="U310" s="102"/>
      <c r="V310" s="48"/>
      <c r="W310" s="48"/>
      <c r="X310" s="48"/>
      <c r="Y310" s="48"/>
      <c r="Z310" s="47"/>
      <c r="AA310" s="70">
        <v>310</v>
      </c>
      <c r="AB310" s="70"/>
      <c r="AC310" s="71"/>
      <c r="AD310" s="86" t="s">
        <v>23946</v>
      </c>
      <c r="AE310" s="94" t="s">
        <v>22958</v>
      </c>
      <c r="AF310" s="86">
        <v>0</v>
      </c>
      <c r="AG310" s="86">
        <v>0</v>
      </c>
      <c r="AH310" s="86">
        <v>1</v>
      </c>
      <c r="AI310" s="86">
        <v>0</v>
      </c>
      <c r="AJ310" s="86">
        <v>1</v>
      </c>
      <c r="AK310" s="86">
        <v>1</v>
      </c>
      <c r="AL310" s="86" t="b">
        <v>0</v>
      </c>
      <c r="AM310" s="89">
        <v>45151.716643518521</v>
      </c>
      <c r="AN310" s="86"/>
      <c r="AO310" s="86" t="s">
        <v>26702</v>
      </c>
      <c r="AP310" s="96" t="str">
        <f>HYPERLINK("https://t.co/SZqdIFBApW")</f>
        <v>https://t.co/SZqdIFBApW</v>
      </c>
      <c r="AQ310" s="96" t="str">
        <f>HYPERLINK("https://hotm.art/combo5ebooks")</f>
        <v>https://hotm.art/combo5ebooks</v>
      </c>
      <c r="AR310" s="86" t="s">
        <v>28111</v>
      </c>
      <c r="AS310" s="86"/>
      <c r="AT310" s="86"/>
      <c r="AU310" s="86"/>
      <c r="AV310" s="86"/>
      <c r="AW310" s="96" t="str">
        <f>HYPERLINK("https://t.co/SZqdIFBApW")</f>
        <v>https://t.co/SZqdIFBApW</v>
      </c>
      <c r="AX310" s="86" t="b">
        <v>0</v>
      </c>
      <c r="AY310" s="86"/>
      <c r="AZ310" s="86"/>
      <c r="BA310" s="86" t="b">
        <v>0</v>
      </c>
      <c r="BB310" s="86" t="b">
        <v>1</v>
      </c>
      <c r="BC310" s="86" t="b">
        <v>1</v>
      </c>
      <c r="BD310" s="86" t="b">
        <v>0</v>
      </c>
      <c r="BE310" s="86" t="b">
        <v>0</v>
      </c>
      <c r="BF310" s="86" t="b">
        <v>0</v>
      </c>
      <c r="BG310" s="86" t="b">
        <v>0</v>
      </c>
      <c r="BH310" s="96" t="str">
        <f>HYPERLINK("https://pbs.twimg.com/profile_banners/1690772993520058368/1691947203")</f>
        <v>https://pbs.twimg.com/profile_banners/1690772993520058368/1691947203</v>
      </c>
      <c r="BI310" s="86"/>
      <c r="BJ310" s="86" t="s">
        <v>29134</v>
      </c>
      <c r="BK310" s="86" t="b">
        <v>0</v>
      </c>
      <c r="BL310" s="86"/>
      <c r="BM310" s="86" t="s">
        <v>66</v>
      </c>
      <c r="BN310" s="86" t="s">
        <v>29136</v>
      </c>
      <c r="BO310" s="96" t="str">
        <f>HYPERLINK("https://twitter.com/combo5ebooks")</f>
        <v>https://twitter.com/combo5ebooks</v>
      </c>
      <c r="BP310" s="2"/>
    </row>
    <row r="311" spans="1:68" x14ac:dyDescent="0.25">
      <c r="A311" s="63" t="s">
        <v>496</v>
      </c>
      <c r="B311" s="64"/>
      <c r="C311" s="64"/>
      <c r="D311" s="65"/>
      <c r="E311" s="67"/>
      <c r="F311" s="111" t="str">
        <f>HYPERLINK("https://pbs.twimg.com/profile_images/1579420409182781444/M1vpmSSB_normal.jpg")</f>
        <v>https://pbs.twimg.com/profile_images/1579420409182781444/M1vpmSSB_normal.jpg</v>
      </c>
      <c r="G311" s="64"/>
      <c r="H311" s="68"/>
      <c r="I311" s="69"/>
      <c r="J311" s="69"/>
      <c r="K311" s="68" t="s">
        <v>29444</v>
      </c>
      <c r="L311" s="72"/>
      <c r="M311" s="73"/>
      <c r="N311" s="73"/>
      <c r="O311" s="74"/>
      <c r="P311" s="75"/>
      <c r="Q311" s="75"/>
      <c r="R311" s="102"/>
      <c r="S311" s="102"/>
      <c r="T311" s="102"/>
      <c r="U311" s="102"/>
      <c r="V311" s="48"/>
      <c r="W311" s="48"/>
      <c r="X311" s="48"/>
      <c r="Y311" s="48"/>
      <c r="Z311" s="47"/>
      <c r="AA311" s="70">
        <v>311</v>
      </c>
      <c r="AB311" s="70"/>
      <c r="AC311" s="71"/>
      <c r="AD311" s="86" t="s">
        <v>23947</v>
      </c>
      <c r="AE311" s="94" t="s">
        <v>25335</v>
      </c>
      <c r="AF311" s="86">
        <v>4849</v>
      </c>
      <c r="AG311" s="86">
        <v>140</v>
      </c>
      <c r="AH311" s="86">
        <v>8421</v>
      </c>
      <c r="AI311" s="86">
        <v>71</v>
      </c>
      <c r="AJ311" s="86">
        <v>559</v>
      </c>
      <c r="AK311" s="86">
        <v>1257</v>
      </c>
      <c r="AL311" s="86" t="b">
        <v>0</v>
      </c>
      <c r="AM311" s="89">
        <v>40234.565266203703</v>
      </c>
      <c r="AN311" s="86" t="s">
        <v>25990</v>
      </c>
      <c r="AO311" s="86" t="s">
        <v>26703</v>
      </c>
      <c r="AP311" s="96" t="str">
        <f>HYPERLINK("https://t.co/OcFovbXOOY")</f>
        <v>https://t.co/OcFovbXOOY</v>
      </c>
      <c r="AQ311" s="96" t="str">
        <f>HYPERLINK("https://www.sebrae.com.br/")</f>
        <v>https://www.sebrae.com.br/</v>
      </c>
      <c r="AR311" s="86" t="s">
        <v>27928</v>
      </c>
      <c r="AS311" s="96" t="str">
        <f>HYPERLINK("https://t.co/1Eqv8qS1lS")</f>
        <v>https://t.co/1Eqv8qS1lS</v>
      </c>
      <c r="AT311" s="96" t="str">
        <f>HYPERLINK("http://ba.sebrae.com.br")</f>
        <v>http://ba.sebrae.com.br</v>
      </c>
      <c r="AU311" s="86" t="s">
        <v>29048</v>
      </c>
      <c r="AV311" s="86"/>
      <c r="AW311" s="96" t="str">
        <f>HYPERLINK("https://t.co/OcFovbXOOY")</f>
        <v>https://t.co/OcFovbXOOY</v>
      </c>
      <c r="AX311" s="86" t="b">
        <v>0</v>
      </c>
      <c r="AY311" s="86"/>
      <c r="AZ311" s="86"/>
      <c r="BA311" s="86" t="b">
        <v>0</v>
      </c>
      <c r="BB311" s="86" t="b">
        <v>1</v>
      </c>
      <c r="BC311" s="86" t="b">
        <v>0</v>
      </c>
      <c r="BD311" s="86" t="b">
        <v>0</v>
      </c>
      <c r="BE311" s="86" t="b">
        <v>1</v>
      </c>
      <c r="BF311" s="86" t="b">
        <v>0</v>
      </c>
      <c r="BG311" s="86" t="b">
        <v>0</v>
      </c>
      <c r="BH311" s="96" t="str">
        <f>HYPERLINK("https://pbs.twimg.com/profile_banners/117409085/1681301184")</f>
        <v>https://pbs.twimg.com/profile_banners/117409085/1681301184</v>
      </c>
      <c r="BI311" s="86"/>
      <c r="BJ311" s="86" t="s">
        <v>29134</v>
      </c>
      <c r="BK311" s="86" t="b">
        <v>0</v>
      </c>
      <c r="BL311" s="86"/>
      <c r="BM311" s="86" t="s">
        <v>66</v>
      </c>
      <c r="BN311" s="86" t="s">
        <v>29136</v>
      </c>
      <c r="BO311" s="96" t="str">
        <f>HYPERLINK("https://twitter.com/sebraebahia")</f>
        <v>https://twitter.com/sebraebahia</v>
      </c>
      <c r="BP311" s="2"/>
    </row>
    <row r="312" spans="1:68" x14ac:dyDescent="0.25">
      <c r="A312" s="63" t="s">
        <v>497</v>
      </c>
      <c r="B312" s="64"/>
      <c r="C312" s="64"/>
      <c r="D312" s="65"/>
      <c r="E312" s="67"/>
      <c r="F312" s="111" t="str">
        <f>HYPERLINK("https://pbs.twimg.com/profile_images/1613598415610433538/xH5--UDN_normal.jpg")</f>
        <v>https://pbs.twimg.com/profile_images/1613598415610433538/xH5--UDN_normal.jpg</v>
      </c>
      <c r="G312" s="64"/>
      <c r="H312" s="68"/>
      <c r="I312" s="69"/>
      <c r="J312" s="69"/>
      <c r="K312" s="68" t="s">
        <v>29445</v>
      </c>
      <c r="L312" s="72"/>
      <c r="M312" s="73"/>
      <c r="N312" s="73"/>
      <c r="O312" s="74"/>
      <c r="P312" s="75"/>
      <c r="Q312" s="75"/>
      <c r="R312" s="102"/>
      <c r="S312" s="102"/>
      <c r="T312" s="102"/>
      <c r="U312" s="102"/>
      <c r="V312" s="48"/>
      <c r="W312" s="48"/>
      <c r="X312" s="48"/>
      <c r="Y312" s="48"/>
      <c r="Z312" s="47"/>
      <c r="AA312" s="70">
        <v>312</v>
      </c>
      <c r="AB312" s="70"/>
      <c r="AC312" s="71"/>
      <c r="AD312" s="86" t="s">
        <v>23948</v>
      </c>
      <c r="AE312" s="94" t="s">
        <v>25336</v>
      </c>
      <c r="AF312" s="86">
        <v>32</v>
      </c>
      <c r="AG312" s="86">
        <v>229</v>
      </c>
      <c r="AH312" s="86">
        <v>47</v>
      </c>
      <c r="AI312" s="86">
        <v>0</v>
      </c>
      <c r="AJ312" s="86">
        <v>17</v>
      </c>
      <c r="AK312" s="86">
        <v>27</v>
      </c>
      <c r="AL312" s="86" t="b">
        <v>0</v>
      </c>
      <c r="AM312" s="89">
        <v>42378.524212962962</v>
      </c>
      <c r="AN312" s="86" t="s">
        <v>25991</v>
      </c>
      <c r="AO312" s="86" t="s">
        <v>26704</v>
      </c>
      <c r="AP312" s="96" t="str">
        <f>HYPERLINK("https://t.co/ZHQHfLGLAU")</f>
        <v>https://t.co/ZHQHfLGLAU</v>
      </c>
      <c r="AQ312" s="96" t="str">
        <f>HYPERLINK("http://www.mariavarnieri.com.br")</f>
        <v>http://www.mariavarnieri.com.br</v>
      </c>
      <c r="AR312" s="86" t="s">
        <v>28112</v>
      </c>
      <c r="AS312" s="86"/>
      <c r="AT312" s="86"/>
      <c r="AU312" s="86"/>
      <c r="AV312" s="86"/>
      <c r="AW312" s="96" t="str">
        <f>HYPERLINK("https://t.co/ZHQHfLGLAU")</f>
        <v>https://t.co/ZHQHfLGLAU</v>
      </c>
      <c r="AX312" s="86" t="b">
        <v>0</v>
      </c>
      <c r="AY312" s="86"/>
      <c r="AZ312" s="86"/>
      <c r="BA312" s="86" t="b">
        <v>0</v>
      </c>
      <c r="BB312" s="86" t="b">
        <v>0</v>
      </c>
      <c r="BC312" s="86" t="b">
        <v>1</v>
      </c>
      <c r="BD312" s="86" t="b">
        <v>0</v>
      </c>
      <c r="BE312" s="86" t="b">
        <v>1</v>
      </c>
      <c r="BF312" s="86" t="b">
        <v>0</v>
      </c>
      <c r="BG312" s="86" t="b">
        <v>0</v>
      </c>
      <c r="BH312" s="96" t="str">
        <f>HYPERLINK("https://pbs.twimg.com/profile_banners/4754287947/1673546817")</f>
        <v>https://pbs.twimg.com/profile_banners/4754287947/1673546817</v>
      </c>
      <c r="BI312" s="86"/>
      <c r="BJ312" s="86" t="s">
        <v>29134</v>
      </c>
      <c r="BK312" s="86" t="b">
        <v>0</v>
      </c>
      <c r="BL312" s="86"/>
      <c r="BM312" s="86" t="s">
        <v>66</v>
      </c>
      <c r="BN312" s="86" t="s">
        <v>29136</v>
      </c>
      <c r="BO312" s="96" t="str">
        <f>HYPERLINK("https://twitter.com/mcvarnieri")</f>
        <v>https://twitter.com/mcvarnieri</v>
      </c>
      <c r="BP312" s="2"/>
    </row>
    <row r="313" spans="1:68" x14ac:dyDescent="0.25">
      <c r="A313" s="63" t="s">
        <v>498</v>
      </c>
      <c r="B313" s="64"/>
      <c r="C313" s="64"/>
      <c r="D313" s="65"/>
      <c r="E313" s="67"/>
      <c r="F313" s="111" t="str">
        <f>HYPERLINK("https://pbs.twimg.com/profile_images/1679565949496590337/7eTERYjy_normal.jpg")</f>
        <v>https://pbs.twimg.com/profile_images/1679565949496590337/7eTERYjy_normal.jpg</v>
      </c>
      <c r="G313" s="64"/>
      <c r="H313" s="68"/>
      <c r="I313" s="69"/>
      <c r="J313" s="69"/>
      <c r="K313" s="68" t="s">
        <v>29446</v>
      </c>
      <c r="L313" s="72"/>
      <c r="M313" s="73"/>
      <c r="N313" s="73"/>
      <c r="O313" s="74"/>
      <c r="P313" s="75"/>
      <c r="Q313" s="75"/>
      <c r="R313" s="102"/>
      <c r="S313" s="102"/>
      <c r="T313" s="102"/>
      <c r="U313" s="102"/>
      <c r="V313" s="48"/>
      <c r="W313" s="48"/>
      <c r="X313" s="48"/>
      <c r="Y313" s="48"/>
      <c r="Z313" s="47"/>
      <c r="AA313" s="70">
        <v>313</v>
      </c>
      <c r="AB313" s="70"/>
      <c r="AC313" s="71"/>
      <c r="AD313" s="86" t="s">
        <v>23949</v>
      </c>
      <c r="AE313" s="94" t="s">
        <v>22959</v>
      </c>
      <c r="AF313" s="86">
        <v>90</v>
      </c>
      <c r="AG313" s="86">
        <v>92</v>
      </c>
      <c r="AH313" s="86">
        <v>1731</v>
      </c>
      <c r="AI313" s="86">
        <v>0</v>
      </c>
      <c r="AJ313" s="86">
        <v>3</v>
      </c>
      <c r="AK313" s="86">
        <v>1544</v>
      </c>
      <c r="AL313" s="86" t="b">
        <v>0</v>
      </c>
      <c r="AM313" s="89">
        <v>43655.767557870371</v>
      </c>
      <c r="AN313" s="86" t="s">
        <v>15246</v>
      </c>
      <c r="AO313" s="86" t="s">
        <v>23949</v>
      </c>
      <c r="AP313" s="96" t="str">
        <f>HYPERLINK("https://t.co/EatM8dB5Xi")</f>
        <v>https://t.co/EatM8dB5Xi</v>
      </c>
      <c r="AQ313" s="96" t="str">
        <f>HYPERLINK("https://russellbedford.com.br/")</f>
        <v>https://russellbedford.com.br/</v>
      </c>
      <c r="AR313" s="86" t="s">
        <v>28113</v>
      </c>
      <c r="AS313" s="86"/>
      <c r="AT313" s="86"/>
      <c r="AU313" s="86"/>
      <c r="AV313" s="86"/>
      <c r="AW313" s="96" t="str">
        <f>HYPERLINK("https://t.co/EatM8dB5Xi")</f>
        <v>https://t.co/EatM8dB5Xi</v>
      </c>
      <c r="AX313" s="86" t="b">
        <v>0</v>
      </c>
      <c r="AY313" s="86"/>
      <c r="AZ313" s="86"/>
      <c r="BA313" s="86" t="b">
        <v>0</v>
      </c>
      <c r="BB313" s="86" t="b">
        <v>1</v>
      </c>
      <c r="BC313" s="86" t="b">
        <v>1</v>
      </c>
      <c r="BD313" s="86" t="b">
        <v>0</v>
      </c>
      <c r="BE313" s="86" t="b">
        <v>0</v>
      </c>
      <c r="BF313" s="86" t="b">
        <v>0</v>
      </c>
      <c r="BG313" s="86" t="b">
        <v>0</v>
      </c>
      <c r="BH313" s="96" t="str">
        <f>HYPERLINK("https://pbs.twimg.com/profile_banners/1148659401043140611/1660757915")</f>
        <v>https://pbs.twimg.com/profile_banners/1148659401043140611/1660757915</v>
      </c>
      <c r="BI313" s="86"/>
      <c r="BJ313" s="86" t="s">
        <v>29134</v>
      </c>
      <c r="BK313" s="86" t="b">
        <v>0</v>
      </c>
      <c r="BL313" s="86"/>
      <c r="BM313" s="86" t="s">
        <v>66</v>
      </c>
      <c r="BN313" s="86" t="s">
        <v>29136</v>
      </c>
      <c r="BO313" s="96" t="str">
        <f>HYPERLINK("https://twitter.com/russelldobrasil")</f>
        <v>https://twitter.com/russelldobrasil</v>
      </c>
      <c r="BP313" s="2"/>
    </row>
    <row r="314" spans="1:68" x14ac:dyDescent="0.25">
      <c r="A314" s="63" t="s">
        <v>499</v>
      </c>
      <c r="B314" s="64"/>
      <c r="C314" s="64"/>
      <c r="D314" s="65"/>
      <c r="E314" s="67"/>
      <c r="F314" s="111" t="str">
        <f>HYPERLINK("https://pbs.twimg.com/profile_images/1647805028663537665/qkrwxx_0_normal.jpg")</f>
        <v>https://pbs.twimg.com/profile_images/1647805028663537665/qkrwxx_0_normal.jpg</v>
      </c>
      <c r="G314" s="64"/>
      <c r="H314" s="68"/>
      <c r="I314" s="69"/>
      <c r="J314" s="69"/>
      <c r="K314" s="68" t="s">
        <v>29447</v>
      </c>
      <c r="L314" s="72"/>
      <c r="M314" s="73"/>
      <c r="N314" s="73"/>
      <c r="O314" s="74"/>
      <c r="P314" s="75"/>
      <c r="Q314" s="75"/>
      <c r="R314" s="102"/>
      <c r="S314" s="102"/>
      <c r="T314" s="102"/>
      <c r="U314" s="102"/>
      <c r="V314" s="48"/>
      <c r="W314" s="48"/>
      <c r="X314" s="48"/>
      <c r="Y314" s="48"/>
      <c r="Z314" s="47"/>
      <c r="AA314" s="70">
        <v>314</v>
      </c>
      <c r="AB314" s="70"/>
      <c r="AC314" s="71"/>
      <c r="AD314" s="86" t="s">
        <v>23950</v>
      </c>
      <c r="AE314" s="94" t="s">
        <v>22960</v>
      </c>
      <c r="AF314" s="86">
        <v>1</v>
      </c>
      <c r="AG314" s="86">
        <v>86</v>
      </c>
      <c r="AH314" s="86">
        <v>305</v>
      </c>
      <c r="AI314" s="86">
        <v>0</v>
      </c>
      <c r="AJ314" s="86">
        <v>310</v>
      </c>
      <c r="AK314" s="86">
        <v>38</v>
      </c>
      <c r="AL314" s="86" t="b">
        <v>0</v>
      </c>
      <c r="AM314" s="89">
        <v>44677.531493055554</v>
      </c>
      <c r="AN314" s="86" t="s">
        <v>25992</v>
      </c>
      <c r="AO314" s="86" t="s">
        <v>26705</v>
      </c>
      <c r="AP314" s="96" t="str">
        <f>HYPERLINK("https://t.co/ZsT5Mr4xoA")</f>
        <v>https://t.co/ZsT5Mr4xoA</v>
      </c>
      <c r="AQ314" s="96" t="str">
        <f>HYPERLINK("http://absorventedermico.com.br/bio")</f>
        <v>http://absorventedermico.com.br/bio</v>
      </c>
      <c r="AR314" s="86" t="s">
        <v>28114</v>
      </c>
      <c r="AS314" s="86"/>
      <c r="AT314" s="86"/>
      <c r="AU314" s="86"/>
      <c r="AV314" s="86"/>
      <c r="AW314" s="96" t="str">
        <f>HYPERLINK("https://t.co/ZsT5Mr4xoA")</f>
        <v>https://t.co/ZsT5Mr4xoA</v>
      </c>
      <c r="AX314" s="86" t="b">
        <v>0</v>
      </c>
      <c r="AY314" s="86"/>
      <c r="AZ314" s="86"/>
      <c r="BA314" s="86" t="b">
        <v>0</v>
      </c>
      <c r="BB314" s="86" t="b">
        <v>1</v>
      </c>
      <c r="BC314" s="86" t="b">
        <v>1</v>
      </c>
      <c r="BD314" s="86" t="b">
        <v>0</v>
      </c>
      <c r="BE314" s="86" t="b">
        <v>1</v>
      </c>
      <c r="BF314" s="86" t="b">
        <v>0</v>
      </c>
      <c r="BG314" s="86" t="b">
        <v>0</v>
      </c>
      <c r="BH314" s="96" t="str">
        <f>HYPERLINK("https://pbs.twimg.com/profile_banners/1518934147984723969/1650978229")</f>
        <v>https://pbs.twimg.com/profile_banners/1518934147984723969/1650978229</v>
      </c>
      <c r="BI314" s="86"/>
      <c r="BJ314" s="86" t="s">
        <v>29134</v>
      </c>
      <c r="BK314" s="86" t="b">
        <v>0</v>
      </c>
      <c r="BL314" s="86"/>
      <c r="BM314" s="86" t="s">
        <v>66</v>
      </c>
      <c r="BN314" s="86" t="s">
        <v>29136</v>
      </c>
      <c r="BO314" s="96" t="str">
        <f>HYPERLINK("https://twitter.com/absorvendermico")</f>
        <v>https://twitter.com/absorvendermico</v>
      </c>
      <c r="BP314" s="2"/>
    </row>
    <row r="315" spans="1:68" x14ac:dyDescent="0.25">
      <c r="A315" s="63" t="s">
        <v>500</v>
      </c>
      <c r="B315" s="64"/>
      <c r="C315" s="64"/>
      <c r="D315" s="65"/>
      <c r="E315" s="67"/>
      <c r="F315" s="111" t="str">
        <f>HYPERLINK("https://pbs.twimg.com/profile_images/1697094473824530432/O8RVervp_normal.jpg")</f>
        <v>https://pbs.twimg.com/profile_images/1697094473824530432/O8RVervp_normal.jpg</v>
      </c>
      <c r="G315" s="64"/>
      <c r="H315" s="68"/>
      <c r="I315" s="69"/>
      <c r="J315" s="69"/>
      <c r="K315" s="68" t="s">
        <v>29448</v>
      </c>
      <c r="L315" s="72"/>
      <c r="M315" s="73"/>
      <c r="N315" s="73"/>
      <c r="O315" s="74"/>
      <c r="P315" s="75"/>
      <c r="Q315" s="75"/>
      <c r="R315" s="102"/>
      <c r="S315" s="102"/>
      <c r="T315" s="102"/>
      <c r="U315" s="102"/>
      <c r="V315" s="48"/>
      <c r="W315" s="48"/>
      <c r="X315" s="48"/>
      <c r="Y315" s="48"/>
      <c r="Z315" s="47"/>
      <c r="AA315" s="70">
        <v>315</v>
      </c>
      <c r="AB315" s="70"/>
      <c r="AC315" s="71"/>
      <c r="AD315" s="86" t="s">
        <v>23951</v>
      </c>
      <c r="AE315" s="94" t="s">
        <v>22961</v>
      </c>
      <c r="AF315" s="86">
        <v>0</v>
      </c>
      <c r="AG315" s="86">
        <v>22</v>
      </c>
      <c r="AH315" s="86">
        <v>52</v>
      </c>
      <c r="AI315" s="86">
        <v>0</v>
      </c>
      <c r="AJ315" s="86">
        <v>13</v>
      </c>
      <c r="AK315" s="86">
        <v>25</v>
      </c>
      <c r="AL315" s="86" t="b">
        <v>0</v>
      </c>
      <c r="AM315" s="89">
        <v>45169.158784722225</v>
      </c>
      <c r="AN315" s="86" t="s">
        <v>15261</v>
      </c>
      <c r="AO315" s="86" t="s">
        <v>26706</v>
      </c>
      <c r="AP315" s="86"/>
      <c r="AQ315" s="86"/>
      <c r="AR315" s="86"/>
      <c r="AS315" s="86"/>
      <c r="AT315" s="86"/>
      <c r="AU315" s="86"/>
      <c r="AV315" s="86"/>
      <c r="AW315" s="86"/>
      <c r="AX315" s="86" t="b">
        <v>0</v>
      </c>
      <c r="AY315" s="86"/>
      <c r="AZ315" s="86"/>
      <c r="BA315" s="86" t="b">
        <v>0</v>
      </c>
      <c r="BB315" s="86" t="b">
        <v>1</v>
      </c>
      <c r="BC315" s="86" t="b">
        <v>1</v>
      </c>
      <c r="BD315" s="86" t="b">
        <v>0</v>
      </c>
      <c r="BE315" s="86" t="b">
        <v>0</v>
      </c>
      <c r="BF315" s="86" t="b">
        <v>0</v>
      </c>
      <c r="BG315" s="86" t="b">
        <v>0</v>
      </c>
      <c r="BH315" s="96" t="str">
        <f>HYPERLINK("https://pbs.twimg.com/profile_banners/1697093969623027712/1693453906")</f>
        <v>https://pbs.twimg.com/profile_banners/1697093969623027712/1693453906</v>
      </c>
      <c r="BI315" s="86"/>
      <c r="BJ315" s="86" t="s">
        <v>29134</v>
      </c>
      <c r="BK315" s="86" t="b">
        <v>0</v>
      </c>
      <c r="BL315" s="86"/>
      <c r="BM315" s="86" t="s">
        <v>66</v>
      </c>
      <c r="BN315" s="86" t="s">
        <v>29136</v>
      </c>
      <c r="BO315" s="96" t="str">
        <f>HYPERLINK("https://twitter.com/empreended0r_")</f>
        <v>https://twitter.com/empreended0r_</v>
      </c>
      <c r="BP315" s="2"/>
    </row>
    <row r="316" spans="1:68" x14ac:dyDescent="0.25">
      <c r="A316" s="63" t="s">
        <v>501</v>
      </c>
      <c r="B316" s="64"/>
      <c r="C316" s="64"/>
      <c r="D316" s="65"/>
      <c r="E316" s="67"/>
      <c r="F316" s="111" t="str">
        <f>HYPERLINK("https://pbs.twimg.com/profile_images/1648368073324240899/O62M-O8U_normal.jpg")</f>
        <v>https://pbs.twimg.com/profile_images/1648368073324240899/O62M-O8U_normal.jpg</v>
      </c>
      <c r="G316" s="64"/>
      <c r="H316" s="68"/>
      <c r="I316" s="69"/>
      <c r="J316" s="69"/>
      <c r="K316" s="68" t="s">
        <v>29449</v>
      </c>
      <c r="L316" s="72"/>
      <c r="M316" s="73"/>
      <c r="N316" s="73"/>
      <c r="O316" s="74"/>
      <c r="P316" s="75"/>
      <c r="Q316" s="75"/>
      <c r="R316" s="102"/>
      <c r="S316" s="102"/>
      <c r="T316" s="102"/>
      <c r="U316" s="102"/>
      <c r="V316" s="48"/>
      <c r="W316" s="48"/>
      <c r="X316" s="48"/>
      <c r="Y316" s="48"/>
      <c r="Z316" s="47"/>
      <c r="AA316" s="70">
        <v>316</v>
      </c>
      <c r="AB316" s="70"/>
      <c r="AC316" s="71"/>
      <c r="AD316" s="86" t="s">
        <v>501</v>
      </c>
      <c r="AE316" s="94" t="s">
        <v>22533</v>
      </c>
      <c r="AF316" s="86">
        <v>36210</v>
      </c>
      <c r="AG316" s="86">
        <v>179</v>
      </c>
      <c r="AH316" s="86">
        <v>33731</v>
      </c>
      <c r="AI316" s="86">
        <v>180</v>
      </c>
      <c r="AJ316" s="86">
        <v>9392</v>
      </c>
      <c r="AK316" s="86">
        <v>21576</v>
      </c>
      <c r="AL316" s="86" t="b">
        <v>0</v>
      </c>
      <c r="AM316" s="89">
        <v>40693.766921296294</v>
      </c>
      <c r="AN316" s="86" t="s">
        <v>25993</v>
      </c>
      <c r="AO316" s="86" t="s">
        <v>26707</v>
      </c>
      <c r="AP316" s="96" t="str">
        <f>HYPERLINK("https://t.co/jcXZSgJlHS")</f>
        <v>https://t.co/jcXZSgJlHS</v>
      </c>
      <c r="AQ316" s="96" t="str">
        <f>HYPERLINK("http://www.saopaulo.sp.leg.br/")</f>
        <v>http://www.saopaulo.sp.leg.br/</v>
      </c>
      <c r="AR316" s="86" t="s">
        <v>28115</v>
      </c>
      <c r="AS316" s="86"/>
      <c r="AT316" s="86"/>
      <c r="AU316" s="86"/>
      <c r="AV316" s="86"/>
      <c r="AW316" s="96" t="str">
        <f>HYPERLINK("https://t.co/jcXZSgJlHS")</f>
        <v>https://t.co/jcXZSgJlHS</v>
      </c>
      <c r="AX316" s="86" t="b">
        <v>0</v>
      </c>
      <c r="AY316" s="86"/>
      <c r="AZ316" s="86"/>
      <c r="BA316" s="86" t="b">
        <v>0</v>
      </c>
      <c r="BB316" s="86" t="b">
        <v>1</v>
      </c>
      <c r="BC316" s="86" t="b">
        <v>0</v>
      </c>
      <c r="BD316" s="86" t="b">
        <v>0</v>
      </c>
      <c r="BE316" s="86" t="b">
        <v>1</v>
      </c>
      <c r="BF316" s="86" t="b">
        <v>0</v>
      </c>
      <c r="BG316" s="86" t="b">
        <v>0</v>
      </c>
      <c r="BH316" s="96" t="str">
        <f>HYPERLINK("https://pbs.twimg.com/profile_banners/308031714/1684362435")</f>
        <v>https://pbs.twimg.com/profile_banners/308031714/1684362435</v>
      </c>
      <c r="BI316" s="86"/>
      <c r="BJ316" s="86" t="s">
        <v>29134</v>
      </c>
      <c r="BK316" s="86" t="b">
        <v>0</v>
      </c>
      <c r="BL316" s="86"/>
      <c r="BM316" s="86" t="s">
        <v>66</v>
      </c>
      <c r="BN316" s="86" t="s">
        <v>29136</v>
      </c>
      <c r="BO316" s="96" t="str">
        <f>HYPERLINK("https://twitter.com/camarasaopaulo")</f>
        <v>https://twitter.com/camarasaopaulo</v>
      </c>
      <c r="BP316" s="2"/>
    </row>
    <row r="317" spans="1:68" x14ac:dyDescent="0.25">
      <c r="A317" s="63" t="s">
        <v>502</v>
      </c>
      <c r="B317" s="64"/>
      <c r="C317" s="64"/>
      <c r="D317" s="65"/>
      <c r="E317" s="67"/>
      <c r="F317" s="111" t="str">
        <f>HYPERLINK("https://pbs.twimg.com/profile_images/1088808858372489216/PT9Jlq1S_normal.jpg")</f>
        <v>https://pbs.twimg.com/profile_images/1088808858372489216/PT9Jlq1S_normal.jpg</v>
      </c>
      <c r="G317" s="64"/>
      <c r="H317" s="68"/>
      <c r="I317" s="69"/>
      <c r="J317" s="69"/>
      <c r="K317" s="68" t="s">
        <v>29450</v>
      </c>
      <c r="L317" s="72"/>
      <c r="M317" s="73"/>
      <c r="N317" s="73"/>
      <c r="O317" s="74"/>
      <c r="P317" s="75"/>
      <c r="Q317" s="75"/>
      <c r="R317" s="102"/>
      <c r="S317" s="102"/>
      <c r="T317" s="102"/>
      <c r="U317" s="102"/>
      <c r="V317" s="48"/>
      <c r="W317" s="48"/>
      <c r="X317" s="48"/>
      <c r="Y317" s="48"/>
      <c r="Z317" s="47"/>
      <c r="AA317" s="70">
        <v>317</v>
      </c>
      <c r="AB317" s="70"/>
      <c r="AC317" s="71"/>
      <c r="AD317" s="86" t="s">
        <v>23952</v>
      </c>
      <c r="AE317" s="94" t="s">
        <v>25337</v>
      </c>
      <c r="AF317" s="86">
        <v>1700</v>
      </c>
      <c r="AG317" s="86">
        <v>204</v>
      </c>
      <c r="AH317" s="86">
        <v>2721</v>
      </c>
      <c r="AI317" s="86">
        <v>32</v>
      </c>
      <c r="AJ317" s="86">
        <v>134</v>
      </c>
      <c r="AK317" s="86">
        <v>733</v>
      </c>
      <c r="AL317" s="86" t="b">
        <v>0</v>
      </c>
      <c r="AM317" s="89">
        <v>40260.462500000001</v>
      </c>
      <c r="AN317" s="86" t="s">
        <v>25951</v>
      </c>
      <c r="AO317" s="86" t="s">
        <v>26708</v>
      </c>
      <c r="AP317" s="96" t="str">
        <f>HYPERLINK("https://t.co/wbH7Tmbx43")</f>
        <v>https://t.co/wbH7Tmbx43</v>
      </c>
      <c r="AQ317" s="96" t="str">
        <f>HYPERLINK("https://portal.uab.pt/")</f>
        <v>https://portal.uab.pt/</v>
      </c>
      <c r="AR317" s="86" t="s">
        <v>28116</v>
      </c>
      <c r="AS317" s="86"/>
      <c r="AT317" s="86"/>
      <c r="AU317" s="86"/>
      <c r="AV317" s="86"/>
      <c r="AW317" s="96" t="str">
        <f>HYPERLINK("https://t.co/wbH7Tmbx43")</f>
        <v>https://t.co/wbH7Tmbx43</v>
      </c>
      <c r="AX317" s="86" t="b">
        <v>0</v>
      </c>
      <c r="AY317" s="86"/>
      <c r="AZ317" s="86"/>
      <c r="BA317" s="86" t="b">
        <v>0</v>
      </c>
      <c r="BB317" s="86" t="b">
        <v>1</v>
      </c>
      <c r="BC317" s="86" t="b">
        <v>0</v>
      </c>
      <c r="BD317" s="86" t="b">
        <v>0</v>
      </c>
      <c r="BE317" s="86" t="b">
        <v>0</v>
      </c>
      <c r="BF317" s="86" t="b">
        <v>0</v>
      </c>
      <c r="BG317" s="86" t="b">
        <v>0</v>
      </c>
      <c r="BH317" s="96" t="str">
        <f>HYPERLINK("https://pbs.twimg.com/profile_banners/125625907/1695226537")</f>
        <v>https://pbs.twimg.com/profile_banners/125625907/1695226537</v>
      </c>
      <c r="BI317" s="86"/>
      <c r="BJ317" s="86" t="s">
        <v>29134</v>
      </c>
      <c r="BK317" s="86" t="b">
        <v>0</v>
      </c>
      <c r="BL317" s="86"/>
      <c r="BM317" s="86" t="s">
        <v>66</v>
      </c>
      <c r="BN317" s="86" t="s">
        <v>29136</v>
      </c>
      <c r="BO317" s="96" t="str">
        <f>HYPERLINK("https://twitter.com/uaberta")</f>
        <v>https://twitter.com/uaberta</v>
      </c>
      <c r="BP317" s="2"/>
    </row>
    <row r="318" spans="1:68" x14ac:dyDescent="0.25">
      <c r="A318" s="63" t="s">
        <v>503</v>
      </c>
      <c r="B318" s="64"/>
      <c r="C318" s="64"/>
      <c r="D318" s="65"/>
      <c r="E318" s="67"/>
      <c r="F318" s="111" t="str">
        <f>HYPERLINK("https://pbs.twimg.com/profile_images/1512134091000397836/QVx3p_kx_normal.jpg")</f>
        <v>https://pbs.twimg.com/profile_images/1512134091000397836/QVx3p_kx_normal.jpg</v>
      </c>
      <c r="G318" s="64"/>
      <c r="H318" s="68"/>
      <c r="I318" s="69"/>
      <c r="J318" s="69"/>
      <c r="K318" s="68" t="s">
        <v>29451</v>
      </c>
      <c r="L318" s="72"/>
      <c r="M318" s="73"/>
      <c r="N318" s="73"/>
      <c r="O318" s="74"/>
      <c r="P318" s="75"/>
      <c r="Q318" s="75"/>
      <c r="R318" s="102"/>
      <c r="S318" s="102"/>
      <c r="T318" s="102"/>
      <c r="U318" s="102"/>
      <c r="V318" s="48"/>
      <c r="W318" s="48"/>
      <c r="X318" s="48"/>
      <c r="Y318" s="48"/>
      <c r="Z318" s="47"/>
      <c r="AA318" s="70">
        <v>318</v>
      </c>
      <c r="AB318" s="70"/>
      <c r="AC318" s="71"/>
      <c r="AD318" s="86" t="s">
        <v>23953</v>
      </c>
      <c r="AE318" s="94" t="s">
        <v>22962</v>
      </c>
      <c r="AF318" s="86">
        <v>8</v>
      </c>
      <c r="AG318" s="86">
        <v>23</v>
      </c>
      <c r="AH318" s="86">
        <v>170</v>
      </c>
      <c r="AI318" s="86">
        <v>0</v>
      </c>
      <c r="AJ318" s="86">
        <v>3</v>
      </c>
      <c r="AK318" s="86">
        <v>167</v>
      </c>
      <c r="AL318" s="86" t="b">
        <v>0</v>
      </c>
      <c r="AM318" s="89">
        <v>44658.766608796293</v>
      </c>
      <c r="AN318" s="86" t="s">
        <v>25994</v>
      </c>
      <c r="AO318" s="86" t="s">
        <v>26709</v>
      </c>
      <c r="AP318" s="96" t="str">
        <f>HYPERLINK("https://t.co/bKlMmPfAj4")</f>
        <v>https://t.co/bKlMmPfAj4</v>
      </c>
      <c r="AQ318" s="96" t="str">
        <f>HYPERLINK("http://www.workspacecuritiba.com.br")</f>
        <v>http://www.workspacecuritiba.com.br</v>
      </c>
      <c r="AR318" s="86" t="s">
        <v>28117</v>
      </c>
      <c r="AS318" s="86"/>
      <c r="AT318" s="86"/>
      <c r="AU318" s="86"/>
      <c r="AV318" s="86"/>
      <c r="AW318" s="96" t="str">
        <f>HYPERLINK("https://t.co/bKlMmPfAj4")</f>
        <v>https://t.co/bKlMmPfAj4</v>
      </c>
      <c r="AX318" s="86" t="b">
        <v>0</v>
      </c>
      <c r="AY318" s="86"/>
      <c r="AZ318" s="86"/>
      <c r="BA318" s="86" t="b">
        <v>0</v>
      </c>
      <c r="BB318" s="86" t="b">
        <v>1</v>
      </c>
      <c r="BC318" s="86" t="b">
        <v>1</v>
      </c>
      <c r="BD318" s="86" t="b">
        <v>0</v>
      </c>
      <c r="BE318" s="86" t="b">
        <v>1</v>
      </c>
      <c r="BF318" s="86" t="b">
        <v>0</v>
      </c>
      <c r="BG318" s="86" t="b">
        <v>0</v>
      </c>
      <c r="BH318" s="96" t="str">
        <f>HYPERLINK("https://pbs.twimg.com/profile_banners/1512134037544095750/1664371087")</f>
        <v>https://pbs.twimg.com/profile_banners/1512134037544095750/1664371087</v>
      </c>
      <c r="BI318" s="86"/>
      <c r="BJ318" s="86" t="s">
        <v>29134</v>
      </c>
      <c r="BK318" s="86" t="b">
        <v>0</v>
      </c>
      <c r="BL318" s="86"/>
      <c r="BM318" s="86" t="s">
        <v>66</v>
      </c>
      <c r="BN318" s="86" t="s">
        <v>29136</v>
      </c>
      <c r="BO318" s="96" t="str">
        <f>HYPERLINK("https://twitter.com/workspacecurit1")</f>
        <v>https://twitter.com/workspacecurit1</v>
      </c>
      <c r="BP318" s="2"/>
    </row>
    <row r="319" spans="1:68" x14ac:dyDescent="0.25">
      <c r="A319" s="63" t="s">
        <v>504</v>
      </c>
      <c r="B319" s="64"/>
      <c r="C319" s="64"/>
      <c r="D319" s="65"/>
      <c r="E319" s="67"/>
      <c r="F319" s="111" t="str">
        <f>HYPERLINK("https://pbs.twimg.com/profile_images/1690782490330619904/rqcCFp4t_normal.jpg")</f>
        <v>https://pbs.twimg.com/profile_images/1690782490330619904/rqcCFp4t_normal.jpg</v>
      </c>
      <c r="G319" s="64"/>
      <c r="H319" s="68"/>
      <c r="I319" s="69"/>
      <c r="J319" s="69"/>
      <c r="K319" s="68" t="s">
        <v>29452</v>
      </c>
      <c r="L319" s="72"/>
      <c r="M319" s="73"/>
      <c r="N319" s="73"/>
      <c r="O319" s="74"/>
      <c r="P319" s="75"/>
      <c r="Q319" s="75"/>
      <c r="R319" s="102"/>
      <c r="S319" s="102"/>
      <c r="T319" s="102"/>
      <c r="U319" s="102"/>
      <c r="V319" s="48"/>
      <c r="W319" s="48"/>
      <c r="X319" s="48"/>
      <c r="Y319" s="48"/>
      <c r="Z319" s="47"/>
      <c r="AA319" s="70">
        <v>319</v>
      </c>
      <c r="AB319" s="70"/>
      <c r="AC319" s="71"/>
      <c r="AD319" s="86" t="s">
        <v>23954</v>
      </c>
      <c r="AE319" s="94" t="s">
        <v>22963</v>
      </c>
      <c r="AF319" s="86">
        <v>8</v>
      </c>
      <c r="AG319" s="86">
        <v>27</v>
      </c>
      <c r="AH319" s="86">
        <v>31</v>
      </c>
      <c r="AI319" s="86">
        <v>0</v>
      </c>
      <c r="AJ319" s="86">
        <v>7</v>
      </c>
      <c r="AK319" s="86">
        <v>22</v>
      </c>
      <c r="AL319" s="86" t="b">
        <v>0</v>
      </c>
      <c r="AM319" s="89">
        <v>45104.643865740742</v>
      </c>
      <c r="AN319" s="86" t="s">
        <v>25995</v>
      </c>
      <c r="AO319" s="86" t="s">
        <v>26710</v>
      </c>
      <c r="AP319" s="86"/>
      <c r="AQ319" s="86"/>
      <c r="AR319" s="86"/>
      <c r="AS319" s="86"/>
      <c r="AT319" s="86"/>
      <c r="AU319" s="86"/>
      <c r="AV319" s="86"/>
      <c r="AW319" s="86"/>
      <c r="AX319" s="86" t="b">
        <v>0</v>
      </c>
      <c r="AY319" s="86"/>
      <c r="AZ319" s="86"/>
      <c r="BA319" s="86" t="b">
        <v>0</v>
      </c>
      <c r="BB319" s="86" t="b">
        <v>1</v>
      </c>
      <c r="BC319" s="86" t="b">
        <v>1</v>
      </c>
      <c r="BD319" s="86" t="b">
        <v>0</v>
      </c>
      <c r="BE319" s="86" t="b">
        <v>0</v>
      </c>
      <c r="BF319" s="86" t="b">
        <v>0</v>
      </c>
      <c r="BG319" s="86" t="b">
        <v>0</v>
      </c>
      <c r="BH319" s="96" t="str">
        <f>HYPERLINK("https://pbs.twimg.com/profile_banners/1673714298470961152/1691948935")</f>
        <v>https://pbs.twimg.com/profile_banners/1673714298470961152/1691948935</v>
      </c>
      <c r="BI319" s="86"/>
      <c r="BJ319" s="86" t="s">
        <v>29134</v>
      </c>
      <c r="BK319" s="86" t="b">
        <v>0</v>
      </c>
      <c r="BL319" s="86"/>
      <c r="BM319" s="86" t="s">
        <v>66</v>
      </c>
      <c r="BN319" s="86" t="s">
        <v>29136</v>
      </c>
      <c r="BO319" s="96" t="str">
        <f>HYPERLINK("https://twitter.com/pipsnacks75")</f>
        <v>https://twitter.com/pipsnacks75</v>
      </c>
      <c r="BP319" s="2"/>
    </row>
    <row r="320" spans="1:68" x14ac:dyDescent="0.25">
      <c r="A320" s="63" t="s">
        <v>505</v>
      </c>
      <c r="B320" s="64"/>
      <c r="C320" s="64"/>
      <c r="D320" s="65"/>
      <c r="E320" s="67"/>
      <c r="F320" s="111" t="str">
        <f>HYPERLINK("https://pbs.twimg.com/profile_images/1562172398375411715/lkrAP90t_normal.jpg")</f>
        <v>https://pbs.twimg.com/profile_images/1562172398375411715/lkrAP90t_normal.jpg</v>
      </c>
      <c r="G320" s="64"/>
      <c r="H320" s="68"/>
      <c r="I320" s="69"/>
      <c r="J320" s="69"/>
      <c r="K320" s="68" t="s">
        <v>29453</v>
      </c>
      <c r="L320" s="72"/>
      <c r="M320" s="73"/>
      <c r="N320" s="73"/>
      <c r="O320" s="74"/>
      <c r="P320" s="75"/>
      <c r="Q320" s="75"/>
      <c r="R320" s="102"/>
      <c r="S320" s="102"/>
      <c r="T320" s="102"/>
      <c r="U320" s="102"/>
      <c r="V320" s="48"/>
      <c r="W320" s="48"/>
      <c r="X320" s="48"/>
      <c r="Y320" s="48"/>
      <c r="Z320" s="47"/>
      <c r="AA320" s="70">
        <v>320</v>
      </c>
      <c r="AB320" s="70"/>
      <c r="AC320" s="71"/>
      <c r="AD320" s="86" t="s">
        <v>23955</v>
      </c>
      <c r="AE320" s="94" t="s">
        <v>22964</v>
      </c>
      <c r="AF320" s="86">
        <v>658</v>
      </c>
      <c r="AG320" s="86">
        <v>2551</v>
      </c>
      <c r="AH320" s="86">
        <v>185</v>
      </c>
      <c r="AI320" s="86">
        <v>0</v>
      </c>
      <c r="AJ320" s="86">
        <v>1</v>
      </c>
      <c r="AK320" s="86">
        <v>147</v>
      </c>
      <c r="AL320" s="86" t="b">
        <v>0</v>
      </c>
      <c r="AM320" s="89">
        <v>43290.553194444445</v>
      </c>
      <c r="AN320" s="86" t="s">
        <v>25996</v>
      </c>
      <c r="AO320" s="86" t="s">
        <v>26711</v>
      </c>
      <c r="AP320" s="96" t="str">
        <f>HYPERLINK("https://t.co/ESPPQU40Mz")</f>
        <v>https://t.co/ESPPQU40Mz</v>
      </c>
      <c r="AQ320" s="96" t="str">
        <f>HYPERLINK("http://www.americansbusiness.com.br")</f>
        <v>http://www.americansbusiness.com.br</v>
      </c>
      <c r="AR320" s="86" t="s">
        <v>28118</v>
      </c>
      <c r="AS320" s="86"/>
      <c r="AT320" s="86"/>
      <c r="AU320" s="86"/>
      <c r="AV320" s="86"/>
      <c r="AW320" s="96" t="str">
        <f>HYPERLINK("https://t.co/ESPPQU40Mz")</f>
        <v>https://t.co/ESPPQU40Mz</v>
      </c>
      <c r="AX320" s="86" t="b">
        <v>0</v>
      </c>
      <c r="AY320" s="86"/>
      <c r="AZ320" s="86"/>
      <c r="BA320" s="86" t="b">
        <v>0</v>
      </c>
      <c r="BB320" s="86" t="b">
        <v>1</v>
      </c>
      <c r="BC320" s="86" t="b">
        <v>0</v>
      </c>
      <c r="BD320" s="86" t="b">
        <v>0</v>
      </c>
      <c r="BE320" s="86" t="b">
        <v>0</v>
      </c>
      <c r="BF320" s="86" t="b">
        <v>0</v>
      </c>
      <c r="BG320" s="86" t="b">
        <v>0</v>
      </c>
      <c r="BH320" s="96" t="str">
        <f>HYPERLINK("https://pbs.twimg.com/profile_banners/1016310147801583616/1661285899")</f>
        <v>https://pbs.twimg.com/profile_banners/1016310147801583616/1661285899</v>
      </c>
      <c r="BI320" s="86"/>
      <c r="BJ320" s="86" t="s">
        <v>29134</v>
      </c>
      <c r="BK320" s="86" t="b">
        <v>0</v>
      </c>
      <c r="BL320" s="86"/>
      <c r="BM320" s="86" t="s">
        <v>66</v>
      </c>
      <c r="BN320" s="86" t="s">
        <v>29136</v>
      </c>
      <c r="BO320" s="96" t="str">
        <f>HYPERLINK("https://twitter.com/americans__real")</f>
        <v>https://twitter.com/americans__real</v>
      </c>
      <c r="BP320" s="2"/>
    </row>
    <row r="321" spans="1:68" x14ac:dyDescent="0.25">
      <c r="A321" s="63" t="s">
        <v>506</v>
      </c>
      <c r="B321" s="64"/>
      <c r="C321" s="64"/>
      <c r="D321" s="65"/>
      <c r="E321" s="67"/>
      <c r="F321" s="111" t="str">
        <f>HYPERLINK("https://pbs.twimg.com/profile_images/1043650958083928064/R3PDcZXH_normal.jpg")</f>
        <v>https://pbs.twimg.com/profile_images/1043650958083928064/R3PDcZXH_normal.jpg</v>
      </c>
      <c r="G321" s="64"/>
      <c r="H321" s="68"/>
      <c r="I321" s="69"/>
      <c r="J321" s="69"/>
      <c r="K321" s="68" t="s">
        <v>29454</v>
      </c>
      <c r="L321" s="72"/>
      <c r="M321" s="73"/>
      <c r="N321" s="73"/>
      <c r="O321" s="74"/>
      <c r="P321" s="75"/>
      <c r="Q321" s="75"/>
      <c r="R321" s="102"/>
      <c r="S321" s="102"/>
      <c r="T321" s="102"/>
      <c r="U321" s="102"/>
      <c r="V321" s="48"/>
      <c r="W321" s="48"/>
      <c r="X321" s="48"/>
      <c r="Y321" s="48"/>
      <c r="Z321" s="47"/>
      <c r="AA321" s="70">
        <v>321</v>
      </c>
      <c r="AB321" s="70"/>
      <c r="AC321" s="71"/>
      <c r="AD321" s="86" t="s">
        <v>23956</v>
      </c>
      <c r="AE321" s="94" t="s">
        <v>25338</v>
      </c>
      <c r="AF321" s="86">
        <v>407</v>
      </c>
      <c r="AG321" s="86">
        <v>583</v>
      </c>
      <c r="AH321" s="86">
        <v>4025</v>
      </c>
      <c r="AI321" s="86">
        <v>98</v>
      </c>
      <c r="AJ321" s="86">
        <v>23286</v>
      </c>
      <c r="AK321" s="86">
        <v>755</v>
      </c>
      <c r="AL321" s="86" t="b">
        <v>0</v>
      </c>
      <c r="AM321" s="89">
        <v>40795.718969907408</v>
      </c>
      <c r="AN321" s="86" t="s">
        <v>25997</v>
      </c>
      <c r="AO321" s="86" t="s">
        <v>26712</v>
      </c>
      <c r="AP321" s="96" t="str">
        <f>HYPERLINK("https://t.co/kr1gKaQwxT")</f>
        <v>https://t.co/kr1gKaQwxT</v>
      </c>
      <c r="AQ321" s="96" t="str">
        <f>HYPERLINK("http://about.me/valterlobo")</f>
        <v>http://about.me/valterlobo</v>
      </c>
      <c r="AR321" s="86" t="s">
        <v>28119</v>
      </c>
      <c r="AS321" s="86"/>
      <c r="AT321" s="86"/>
      <c r="AU321" s="86"/>
      <c r="AV321" s="86">
        <v>1.5055712695840599E+18</v>
      </c>
      <c r="AW321" s="96" t="str">
        <f>HYPERLINK("https://t.co/kr1gKaQwxT")</f>
        <v>https://t.co/kr1gKaQwxT</v>
      </c>
      <c r="AX321" s="86" t="b">
        <v>0</v>
      </c>
      <c r="AY321" s="86"/>
      <c r="AZ321" s="86"/>
      <c r="BA321" s="86" t="b">
        <v>0</v>
      </c>
      <c r="BB321" s="86" t="b">
        <v>0</v>
      </c>
      <c r="BC321" s="86" t="b">
        <v>0</v>
      </c>
      <c r="BD321" s="86" t="b">
        <v>0</v>
      </c>
      <c r="BE321" s="86" t="b">
        <v>1</v>
      </c>
      <c r="BF321" s="86" t="b">
        <v>0</v>
      </c>
      <c r="BG321" s="86" t="b">
        <v>0</v>
      </c>
      <c r="BH321" s="96" t="str">
        <f>HYPERLINK("https://pbs.twimg.com/profile_banners/370803086/1657994893")</f>
        <v>https://pbs.twimg.com/profile_banners/370803086/1657994893</v>
      </c>
      <c r="BI321" s="86"/>
      <c r="BJ321" s="86" t="s">
        <v>29134</v>
      </c>
      <c r="BK321" s="86" t="b">
        <v>0</v>
      </c>
      <c r="BL321" s="86"/>
      <c r="BM321" s="86" t="s">
        <v>66</v>
      </c>
      <c r="BN321" s="86" t="s">
        <v>29136</v>
      </c>
      <c r="BO321" s="96" t="str">
        <f>HYPERLINK("https://twitter.com/valterlobo1")</f>
        <v>https://twitter.com/valterlobo1</v>
      </c>
      <c r="BP321" s="2"/>
    </row>
    <row r="322" spans="1:68" x14ac:dyDescent="0.25">
      <c r="A322" s="63" t="s">
        <v>507</v>
      </c>
      <c r="B322" s="64"/>
      <c r="C322" s="64"/>
      <c r="D322" s="65"/>
      <c r="E322" s="67"/>
      <c r="F322" s="111" t="str">
        <f>HYPERLINK("https://pbs.twimg.com/profile_images/1416882806614069262/a2-pM--M_normal.jpg")</f>
        <v>https://pbs.twimg.com/profile_images/1416882806614069262/a2-pM--M_normal.jpg</v>
      </c>
      <c r="G322" s="64"/>
      <c r="H322" s="68"/>
      <c r="I322" s="69"/>
      <c r="J322" s="69"/>
      <c r="K322" s="68" t="s">
        <v>29455</v>
      </c>
      <c r="L322" s="72"/>
      <c r="M322" s="73"/>
      <c r="N322" s="73"/>
      <c r="O322" s="74"/>
      <c r="P322" s="75"/>
      <c r="Q322" s="75"/>
      <c r="R322" s="102"/>
      <c r="S322" s="102"/>
      <c r="T322" s="102"/>
      <c r="U322" s="102"/>
      <c r="V322" s="48"/>
      <c r="W322" s="48"/>
      <c r="X322" s="48"/>
      <c r="Y322" s="48"/>
      <c r="Z322" s="47"/>
      <c r="AA322" s="70">
        <v>322</v>
      </c>
      <c r="AB322" s="70"/>
      <c r="AC322" s="71"/>
      <c r="AD322" s="86" t="s">
        <v>23957</v>
      </c>
      <c r="AE322" s="94" t="s">
        <v>22534</v>
      </c>
      <c r="AF322" s="86">
        <v>13</v>
      </c>
      <c r="AG322" s="86">
        <v>128</v>
      </c>
      <c r="AH322" s="86">
        <v>264</v>
      </c>
      <c r="AI322" s="86">
        <v>2</v>
      </c>
      <c r="AJ322" s="86">
        <v>2306</v>
      </c>
      <c r="AK322" s="86">
        <v>33</v>
      </c>
      <c r="AL322" s="86" t="b">
        <v>0</v>
      </c>
      <c r="AM322" s="89">
        <v>44395.915555555555</v>
      </c>
      <c r="AN322" s="86"/>
      <c r="AO322" s="86" t="s">
        <v>26713</v>
      </c>
      <c r="AP322" s="96" t="str">
        <f>HYPERLINK("https://t.co/gaqi3flkZ2")</f>
        <v>https://t.co/gaqi3flkZ2</v>
      </c>
      <c r="AQ322" s="96" t="str">
        <f>HYPERLINK("https://instabio.cc/3030610uYYUGF")</f>
        <v>https://instabio.cc/3030610uYYUGF</v>
      </c>
      <c r="AR322" s="86" t="s">
        <v>28120</v>
      </c>
      <c r="AS322" s="86"/>
      <c r="AT322" s="86"/>
      <c r="AU322" s="86"/>
      <c r="AV322" s="86">
        <v>1.68646162496029E+18</v>
      </c>
      <c r="AW322" s="96" t="str">
        <f>HYPERLINK("https://t.co/gaqi3flkZ2")</f>
        <v>https://t.co/gaqi3flkZ2</v>
      </c>
      <c r="AX322" s="86" t="b">
        <v>0</v>
      </c>
      <c r="AY322" s="86"/>
      <c r="AZ322" s="86"/>
      <c r="BA322" s="86" t="b">
        <v>0</v>
      </c>
      <c r="BB322" s="86" t="b">
        <v>1</v>
      </c>
      <c r="BC322" s="86" t="b">
        <v>1</v>
      </c>
      <c r="BD322" s="86" t="b">
        <v>0</v>
      </c>
      <c r="BE322" s="86" t="b">
        <v>0</v>
      </c>
      <c r="BF322" s="86" t="b">
        <v>0</v>
      </c>
      <c r="BG322" s="86" t="b">
        <v>0</v>
      </c>
      <c r="BH322" s="96" t="str">
        <f>HYPERLINK("https://pbs.twimg.com/profile_banners/1416879989744717829/1690750501")</f>
        <v>https://pbs.twimg.com/profile_banners/1416879989744717829/1690750501</v>
      </c>
      <c r="BI322" s="86"/>
      <c r="BJ322" s="86" t="s">
        <v>29134</v>
      </c>
      <c r="BK322" s="86" t="b">
        <v>0</v>
      </c>
      <c r="BL322" s="86"/>
      <c r="BM322" s="86" t="s">
        <v>66</v>
      </c>
      <c r="BN322" s="86" t="s">
        <v>29136</v>
      </c>
      <c r="BO322" s="96" t="str">
        <f>HYPERLINK("https://twitter.com/dinheironosaco")</f>
        <v>https://twitter.com/dinheironosaco</v>
      </c>
      <c r="BP322" s="2"/>
    </row>
    <row r="323" spans="1:68" x14ac:dyDescent="0.25">
      <c r="A323" s="63" t="s">
        <v>508</v>
      </c>
      <c r="B323" s="64"/>
      <c r="C323" s="64"/>
      <c r="D323" s="65"/>
      <c r="E323" s="67"/>
      <c r="F323" s="111" t="str">
        <f>HYPERLINK("https://pbs.twimg.com/profile_images/462284086216638464/sQclN3ec_normal.png")</f>
        <v>https://pbs.twimg.com/profile_images/462284086216638464/sQclN3ec_normal.png</v>
      </c>
      <c r="G323" s="64"/>
      <c r="H323" s="68"/>
      <c r="I323" s="69"/>
      <c r="J323" s="69"/>
      <c r="K323" s="68" t="s">
        <v>29456</v>
      </c>
      <c r="L323" s="72"/>
      <c r="M323" s="73"/>
      <c r="N323" s="73"/>
      <c r="O323" s="74"/>
      <c r="P323" s="75"/>
      <c r="Q323" s="75"/>
      <c r="R323" s="102"/>
      <c r="S323" s="102"/>
      <c r="T323" s="102"/>
      <c r="U323" s="102"/>
      <c r="V323" s="48"/>
      <c r="W323" s="48"/>
      <c r="X323" s="48"/>
      <c r="Y323" s="48"/>
      <c r="Z323" s="47"/>
      <c r="AA323" s="70">
        <v>323</v>
      </c>
      <c r="AB323" s="70"/>
      <c r="AC323" s="71"/>
      <c r="AD323" s="86" t="s">
        <v>23958</v>
      </c>
      <c r="AE323" s="94" t="s">
        <v>25339</v>
      </c>
      <c r="AF323" s="86">
        <v>3749</v>
      </c>
      <c r="AG323" s="86">
        <v>88</v>
      </c>
      <c r="AH323" s="86">
        <v>34601</v>
      </c>
      <c r="AI323" s="86">
        <v>0</v>
      </c>
      <c r="AJ323" s="86">
        <v>56</v>
      </c>
      <c r="AK323" s="86">
        <v>1464</v>
      </c>
      <c r="AL323" s="86" t="b">
        <v>0</v>
      </c>
      <c r="AM323" s="89">
        <v>39925.97824074074</v>
      </c>
      <c r="AN323" s="86" t="s">
        <v>25998</v>
      </c>
      <c r="AO323" s="86" t="s">
        <v>26714</v>
      </c>
      <c r="AP323" s="96" t="str">
        <f>HYPERLINK("http://t.co/limZ8TJNr0")</f>
        <v>http://t.co/limZ8TJNr0</v>
      </c>
      <c r="AQ323" s="96" t="str">
        <f>HYPERLINK("http://www.jornalcidade.net")</f>
        <v>http://www.jornalcidade.net</v>
      </c>
      <c r="AR323" s="86" t="s">
        <v>8422</v>
      </c>
      <c r="AS323" s="86"/>
      <c r="AT323" s="86"/>
      <c r="AU323" s="86"/>
      <c r="AV323" s="86"/>
      <c r="AW323" s="96" t="str">
        <f>HYPERLINK("http://t.co/limZ8TJNr0")</f>
        <v>http://t.co/limZ8TJNr0</v>
      </c>
      <c r="AX323" s="86" t="b">
        <v>0</v>
      </c>
      <c r="AY323" s="86"/>
      <c r="AZ323" s="86"/>
      <c r="BA323" s="86" t="b">
        <v>0</v>
      </c>
      <c r="BB323" s="86" t="b">
        <v>1</v>
      </c>
      <c r="BC323" s="86" t="b">
        <v>0</v>
      </c>
      <c r="BD323" s="86" t="b">
        <v>0</v>
      </c>
      <c r="BE323" s="86" t="b">
        <v>0</v>
      </c>
      <c r="BF323" s="86" t="b">
        <v>0</v>
      </c>
      <c r="BG323" s="86" t="b">
        <v>0</v>
      </c>
      <c r="BH323" s="96" t="str">
        <f>HYPERLINK("https://pbs.twimg.com/profile_banners/34442116/1600282962")</f>
        <v>https://pbs.twimg.com/profile_banners/34442116/1600282962</v>
      </c>
      <c r="BI323" s="86"/>
      <c r="BJ323" s="86" t="s">
        <v>29134</v>
      </c>
      <c r="BK323" s="86" t="b">
        <v>0</v>
      </c>
      <c r="BL323" s="86"/>
      <c r="BM323" s="86" t="s">
        <v>66</v>
      </c>
      <c r="BN323" s="86" t="s">
        <v>29136</v>
      </c>
      <c r="BO323" s="96" t="str">
        <f>HYPERLINK("https://twitter.com/jcrioclaro")</f>
        <v>https://twitter.com/jcrioclaro</v>
      </c>
      <c r="BP323" s="2"/>
    </row>
    <row r="324" spans="1:68" x14ac:dyDescent="0.25">
      <c r="A324" s="63" t="s">
        <v>509</v>
      </c>
      <c r="B324" s="64"/>
      <c r="C324" s="64"/>
      <c r="D324" s="65"/>
      <c r="E324" s="67"/>
      <c r="F324" s="111" t="str">
        <f>HYPERLINK("https://pbs.twimg.com/profile_images/1683121319796244480/wodm9G3W_normal.jpg")</f>
        <v>https://pbs.twimg.com/profile_images/1683121319796244480/wodm9G3W_normal.jpg</v>
      </c>
      <c r="G324" s="64"/>
      <c r="H324" s="68"/>
      <c r="I324" s="69"/>
      <c r="J324" s="69"/>
      <c r="K324" s="68" t="s">
        <v>29457</v>
      </c>
      <c r="L324" s="72"/>
      <c r="M324" s="73"/>
      <c r="N324" s="73"/>
      <c r="O324" s="74"/>
      <c r="P324" s="75"/>
      <c r="Q324" s="75"/>
      <c r="R324" s="102"/>
      <c r="S324" s="102"/>
      <c r="T324" s="102"/>
      <c r="U324" s="102"/>
      <c r="V324" s="48"/>
      <c r="W324" s="48"/>
      <c r="X324" s="48"/>
      <c r="Y324" s="48"/>
      <c r="Z324" s="47"/>
      <c r="AA324" s="70">
        <v>324</v>
      </c>
      <c r="AB324" s="70"/>
      <c r="AC324" s="71"/>
      <c r="AD324" s="86" t="s">
        <v>23959</v>
      </c>
      <c r="AE324" s="94" t="s">
        <v>22965</v>
      </c>
      <c r="AF324" s="86">
        <v>0</v>
      </c>
      <c r="AG324" s="86">
        <v>25</v>
      </c>
      <c r="AH324" s="86">
        <v>2</v>
      </c>
      <c r="AI324" s="86">
        <v>0</v>
      </c>
      <c r="AJ324" s="86">
        <v>0</v>
      </c>
      <c r="AK324" s="86">
        <v>1</v>
      </c>
      <c r="AL324" s="86" t="b">
        <v>0</v>
      </c>
      <c r="AM324" s="89">
        <v>44656.89298611111</v>
      </c>
      <c r="AN324" s="86"/>
      <c r="AO324" s="86" t="s">
        <v>26715</v>
      </c>
      <c r="AP324" s="96" t="str">
        <f>HYPERLINK("https://t.co/4IPZXwB15i")</f>
        <v>https://t.co/4IPZXwB15i</v>
      </c>
      <c r="AQ324" s="96" t="str">
        <f>HYPERLINK("http://www.futurorocha.com.br")</f>
        <v>http://www.futurorocha.com.br</v>
      </c>
      <c r="AR324" s="86" t="s">
        <v>28121</v>
      </c>
      <c r="AS324" s="86"/>
      <c r="AT324" s="86"/>
      <c r="AU324" s="86"/>
      <c r="AV324" s="86"/>
      <c r="AW324" s="96" t="str">
        <f>HYPERLINK("https://t.co/4IPZXwB15i")</f>
        <v>https://t.co/4IPZXwB15i</v>
      </c>
      <c r="AX324" s="86" t="b">
        <v>0</v>
      </c>
      <c r="AY324" s="86"/>
      <c r="AZ324" s="86"/>
      <c r="BA324" s="86" t="b">
        <v>0</v>
      </c>
      <c r="BB324" s="86" t="b">
        <v>1</v>
      </c>
      <c r="BC324" s="86" t="b">
        <v>1</v>
      </c>
      <c r="BD324" s="86" t="b">
        <v>0</v>
      </c>
      <c r="BE324" s="86" t="b">
        <v>0</v>
      </c>
      <c r="BF324" s="86" t="b">
        <v>0</v>
      </c>
      <c r="BG324" s="86" t="b">
        <v>0</v>
      </c>
      <c r="BH324" s="86"/>
      <c r="BI324" s="86"/>
      <c r="BJ324" s="86" t="s">
        <v>29134</v>
      </c>
      <c r="BK324" s="86" t="b">
        <v>0</v>
      </c>
      <c r="BL324" s="86"/>
      <c r="BM324" s="86" t="s">
        <v>66</v>
      </c>
      <c r="BN324" s="86" t="s">
        <v>29136</v>
      </c>
      <c r="BO324" s="96" t="str">
        <f>HYPERLINK("https://twitter.com/arno_rocha")</f>
        <v>https://twitter.com/arno_rocha</v>
      </c>
      <c r="BP324" s="2"/>
    </row>
    <row r="325" spans="1:68" x14ac:dyDescent="0.25">
      <c r="A325" s="63" t="s">
        <v>510</v>
      </c>
      <c r="B325" s="64"/>
      <c r="C325" s="64"/>
      <c r="D325" s="65"/>
      <c r="E325" s="67"/>
      <c r="F325" s="111" t="str">
        <f>HYPERLINK("https://pbs.twimg.com/profile_images/1696604106427645952/kKWe_7IM_normal.jpg")</f>
        <v>https://pbs.twimg.com/profile_images/1696604106427645952/kKWe_7IM_normal.jpg</v>
      </c>
      <c r="G325" s="64"/>
      <c r="H325" s="68"/>
      <c r="I325" s="69"/>
      <c r="J325" s="69"/>
      <c r="K325" s="68" t="s">
        <v>29458</v>
      </c>
      <c r="L325" s="72"/>
      <c r="M325" s="73"/>
      <c r="N325" s="73"/>
      <c r="O325" s="74"/>
      <c r="P325" s="75"/>
      <c r="Q325" s="75"/>
      <c r="R325" s="102"/>
      <c r="S325" s="102"/>
      <c r="T325" s="102"/>
      <c r="U325" s="102"/>
      <c r="V325" s="48"/>
      <c r="W325" s="48"/>
      <c r="X325" s="48"/>
      <c r="Y325" s="48"/>
      <c r="Z325" s="47"/>
      <c r="AA325" s="70">
        <v>325</v>
      </c>
      <c r="AB325" s="70"/>
      <c r="AC325" s="71"/>
      <c r="AD325" s="86" t="s">
        <v>23960</v>
      </c>
      <c r="AE325" s="94" t="s">
        <v>25340</v>
      </c>
      <c r="AF325" s="86">
        <v>391</v>
      </c>
      <c r="AG325" s="86">
        <v>945</v>
      </c>
      <c r="AH325" s="86">
        <v>11302</v>
      </c>
      <c r="AI325" s="86">
        <v>0</v>
      </c>
      <c r="AJ325" s="86">
        <v>23543</v>
      </c>
      <c r="AK325" s="86">
        <v>294</v>
      </c>
      <c r="AL325" s="86" t="b">
        <v>0</v>
      </c>
      <c r="AM325" s="89">
        <v>40167.725023148145</v>
      </c>
      <c r="AN325" s="86" t="s">
        <v>25999</v>
      </c>
      <c r="AO325" s="86" t="s">
        <v>26716</v>
      </c>
      <c r="AP325" s="86"/>
      <c r="AQ325" s="86"/>
      <c r="AR325" s="86"/>
      <c r="AS325" s="86"/>
      <c r="AT325" s="86"/>
      <c r="AU325" s="86"/>
      <c r="AV325" s="86">
        <v>1.47329749353438E+18</v>
      </c>
      <c r="AW325" s="86"/>
      <c r="AX325" s="86" t="b">
        <v>0</v>
      </c>
      <c r="AY325" s="86"/>
      <c r="AZ325" s="86"/>
      <c r="BA325" s="86" t="b">
        <v>0</v>
      </c>
      <c r="BB325" s="86" t="b">
        <v>0</v>
      </c>
      <c r="BC325" s="86" t="b">
        <v>0</v>
      </c>
      <c r="BD325" s="86" t="b">
        <v>0</v>
      </c>
      <c r="BE325" s="86" t="b">
        <v>1</v>
      </c>
      <c r="BF325" s="86" t="b">
        <v>0</v>
      </c>
      <c r="BG325" s="86" t="b">
        <v>0</v>
      </c>
      <c r="BH325" s="96" t="str">
        <f>HYPERLINK("https://pbs.twimg.com/profile_banners/98167418/1582896682")</f>
        <v>https://pbs.twimg.com/profile_banners/98167418/1582896682</v>
      </c>
      <c r="BI325" s="86"/>
      <c r="BJ325" s="86" t="s">
        <v>29134</v>
      </c>
      <c r="BK325" s="86" t="b">
        <v>0</v>
      </c>
      <c r="BL325" s="86"/>
      <c r="BM325" s="86" t="s">
        <v>66</v>
      </c>
      <c r="BN325" s="86" t="s">
        <v>29136</v>
      </c>
      <c r="BO325" s="96" t="str">
        <f>HYPERLINK("https://twitter.com/mattheus22")</f>
        <v>https://twitter.com/mattheus22</v>
      </c>
      <c r="BP325" s="2"/>
    </row>
    <row r="326" spans="1:68" x14ac:dyDescent="0.25">
      <c r="A326" s="63" t="s">
        <v>1646</v>
      </c>
      <c r="B326" s="64"/>
      <c r="C326" s="64"/>
      <c r="D326" s="65"/>
      <c r="E326" s="67"/>
      <c r="F326" s="111" t="str">
        <f>HYPERLINK("https://pbs.twimg.com/profile_images/1601012054315376642/_oRrrjP0_normal.jpg")</f>
        <v>https://pbs.twimg.com/profile_images/1601012054315376642/_oRrrjP0_normal.jpg</v>
      </c>
      <c r="G326" s="64"/>
      <c r="H326" s="68"/>
      <c r="I326" s="69"/>
      <c r="J326" s="69"/>
      <c r="K326" s="68" t="s">
        <v>29459</v>
      </c>
      <c r="L326" s="72"/>
      <c r="M326" s="73"/>
      <c r="N326" s="73"/>
      <c r="O326" s="74"/>
      <c r="P326" s="75"/>
      <c r="Q326" s="75"/>
      <c r="R326" s="102"/>
      <c r="S326" s="102"/>
      <c r="T326" s="102"/>
      <c r="U326" s="102"/>
      <c r="V326" s="48"/>
      <c r="W326" s="48"/>
      <c r="X326" s="48"/>
      <c r="Y326" s="48"/>
      <c r="Z326" s="47"/>
      <c r="AA326" s="70">
        <v>326</v>
      </c>
      <c r="AB326" s="70"/>
      <c r="AC326" s="71"/>
      <c r="AD326" s="86" t="s">
        <v>23961</v>
      </c>
      <c r="AE326" s="94" t="s">
        <v>22535</v>
      </c>
      <c r="AF326" s="86">
        <v>2839881</v>
      </c>
      <c r="AG326" s="86">
        <v>410</v>
      </c>
      <c r="AH326" s="86">
        <v>8511</v>
      </c>
      <c r="AI326" s="86">
        <v>1277</v>
      </c>
      <c r="AJ326" s="86">
        <v>10520</v>
      </c>
      <c r="AK326" s="86">
        <v>2089</v>
      </c>
      <c r="AL326" s="86" t="b">
        <v>0</v>
      </c>
      <c r="AM326" s="89">
        <v>41136.057164351849</v>
      </c>
      <c r="AN326" s="86" t="s">
        <v>15242</v>
      </c>
      <c r="AO326" s="86" t="s">
        <v>26717</v>
      </c>
      <c r="AP326" s="96" t="str">
        <f>HYPERLINK("https://t.co/p2Q0XA2C49")</f>
        <v>https://t.co/p2Q0XA2C49</v>
      </c>
      <c r="AQ326" s="96" t="str">
        <f>HYPERLINK("https://linktr.ee/nikolasferreira")</f>
        <v>https://linktr.ee/nikolasferreira</v>
      </c>
      <c r="AR326" s="86" t="s">
        <v>28122</v>
      </c>
      <c r="AS326" s="86"/>
      <c r="AT326" s="86"/>
      <c r="AU326" s="86"/>
      <c r="AV326" s="86">
        <v>1.57676091093219E+18</v>
      </c>
      <c r="AW326" s="96" t="str">
        <f>HYPERLINK("https://t.co/p2Q0XA2C49")</f>
        <v>https://t.co/p2Q0XA2C49</v>
      </c>
      <c r="AX326" s="86" t="b">
        <v>1</v>
      </c>
      <c r="AY326" s="86"/>
      <c r="AZ326" s="86"/>
      <c r="BA326" s="86" t="b">
        <v>0</v>
      </c>
      <c r="BB326" s="86" t="b">
        <v>1</v>
      </c>
      <c r="BC326" s="86" t="b">
        <v>0</v>
      </c>
      <c r="BD326" s="86" t="b">
        <v>0</v>
      </c>
      <c r="BE326" s="86" t="b">
        <v>1</v>
      </c>
      <c r="BF326" s="86" t="b">
        <v>0</v>
      </c>
      <c r="BG326" s="86" t="b">
        <v>0</v>
      </c>
      <c r="BH326" s="96" t="str">
        <f>HYPERLINK("https://pbs.twimg.com/profile_banners/758264276/1668885258")</f>
        <v>https://pbs.twimg.com/profile_banners/758264276/1668885258</v>
      </c>
      <c r="BI326" s="86"/>
      <c r="BJ326" s="86" t="s">
        <v>29134</v>
      </c>
      <c r="BK326" s="86" t="b">
        <v>0</v>
      </c>
      <c r="BL326" s="86"/>
      <c r="BM326" s="86" t="s">
        <v>65</v>
      </c>
      <c r="BN326" s="86" t="s">
        <v>29136</v>
      </c>
      <c r="BO326" s="96" t="str">
        <f>HYPERLINK("https://twitter.com/nikolas_dm")</f>
        <v>https://twitter.com/nikolas_dm</v>
      </c>
      <c r="BP326" s="2"/>
    </row>
    <row r="327" spans="1:68" x14ac:dyDescent="0.25">
      <c r="A327" s="63" t="s">
        <v>511</v>
      </c>
      <c r="B327" s="64"/>
      <c r="C327" s="64"/>
      <c r="D327" s="65"/>
      <c r="E327" s="67"/>
      <c r="F327" s="111" t="str">
        <f>HYPERLINK("https://pbs.twimg.com/profile_images/1490709770348777481/tbohq6lb_normal.jpg")</f>
        <v>https://pbs.twimg.com/profile_images/1490709770348777481/tbohq6lb_normal.jpg</v>
      </c>
      <c r="G327" s="64"/>
      <c r="H327" s="68"/>
      <c r="I327" s="69"/>
      <c r="J327" s="69"/>
      <c r="K327" s="68" t="s">
        <v>29460</v>
      </c>
      <c r="L327" s="72"/>
      <c r="M327" s="73"/>
      <c r="N327" s="73"/>
      <c r="O327" s="74"/>
      <c r="P327" s="75"/>
      <c r="Q327" s="75"/>
      <c r="R327" s="102"/>
      <c r="S327" s="102"/>
      <c r="T327" s="102"/>
      <c r="U327" s="102"/>
      <c r="V327" s="48"/>
      <c r="W327" s="48"/>
      <c r="X327" s="48"/>
      <c r="Y327" s="48"/>
      <c r="Z327" s="47"/>
      <c r="AA327" s="70">
        <v>327</v>
      </c>
      <c r="AB327" s="70"/>
      <c r="AC327" s="71"/>
      <c r="AD327" s="86" t="s">
        <v>23962</v>
      </c>
      <c r="AE327" s="94" t="s">
        <v>22966</v>
      </c>
      <c r="AF327" s="86">
        <v>0</v>
      </c>
      <c r="AG327" s="86">
        <v>1</v>
      </c>
      <c r="AH327" s="86">
        <v>7</v>
      </c>
      <c r="AI327" s="86">
        <v>0</v>
      </c>
      <c r="AJ327" s="86">
        <v>0</v>
      </c>
      <c r="AK327" s="86">
        <v>7</v>
      </c>
      <c r="AL327" s="86" t="b">
        <v>0</v>
      </c>
      <c r="AM327" s="89">
        <v>44599.646469907406</v>
      </c>
      <c r="AN327" s="86"/>
      <c r="AO327" s="86" t="s">
        <v>26718</v>
      </c>
      <c r="AP327" s="86"/>
      <c r="AQ327" s="86"/>
      <c r="AR327" s="86"/>
      <c r="AS327" s="86"/>
      <c r="AT327" s="86"/>
      <c r="AU327" s="86"/>
      <c r="AV327" s="86"/>
      <c r="AW327" s="86"/>
      <c r="AX327" s="86" t="b">
        <v>0</v>
      </c>
      <c r="AY327" s="86"/>
      <c r="AZ327" s="86"/>
      <c r="BA327" s="86" t="b">
        <v>0</v>
      </c>
      <c r="BB327" s="86" t="b">
        <v>1</v>
      </c>
      <c r="BC327" s="86" t="b">
        <v>1</v>
      </c>
      <c r="BD327" s="86" t="b">
        <v>0</v>
      </c>
      <c r="BE327" s="86" t="b">
        <v>0</v>
      </c>
      <c r="BF327" s="86" t="b">
        <v>0</v>
      </c>
      <c r="BG327" s="86" t="b">
        <v>0</v>
      </c>
      <c r="BH327" s="96" t="str">
        <f>HYPERLINK("https://pbs.twimg.com/profile_banners/1490709604182941698/1644248369")</f>
        <v>https://pbs.twimg.com/profile_banners/1490709604182941698/1644248369</v>
      </c>
      <c r="BI327" s="86"/>
      <c r="BJ327" s="86" t="s">
        <v>29134</v>
      </c>
      <c r="BK327" s="86" t="b">
        <v>0</v>
      </c>
      <c r="BL327" s="86"/>
      <c r="BM327" s="86" t="s">
        <v>66</v>
      </c>
      <c r="BN327" s="86" t="s">
        <v>29136</v>
      </c>
      <c r="BO327" s="96" t="str">
        <f>HYPERLINK("https://twitter.com/milionarioscty")</f>
        <v>https://twitter.com/milionarioscty</v>
      </c>
      <c r="BP327" s="2"/>
    </row>
    <row r="328" spans="1:68" x14ac:dyDescent="0.25">
      <c r="A328" s="63" t="s">
        <v>512</v>
      </c>
      <c r="B328" s="64"/>
      <c r="C328" s="64"/>
      <c r="D328" s="65"/>
      <c r="E328" s="67"/>
      <c r="F328" s="111" t="str">
        <f>HYPERLINK("https://pbs.twimg.com/profile_images/1661480819548999682/WupXepzc_normal.jpg")</f>
        <v>https://pbs.twimg.com/profile_images/1661480819548999682/WupXepzc_normal.jpg</v>
      </c>
      <c r="G328" s="64"/>
      <c r="H328" s="68"/>
      <c r="I328" s="69"/>
      <c r="J328" s="69"/>
      <c r="K328" s="68" t="s">
        <v>29461</v>
      </c>
      <c r="L328" s="72"/>
      <c r="M328" s="73"/>
      <c r="N328" s="73"/>
      <c r="O328" s="74"/>
      <c r="P328" s="75"/>
      <c r="Q328" s="75"/>
      <c r="R328" s="102"/>
      <c r="S328" s="102"/>
      <c r="T328" s="102"/>
      <c r="U328" s="102"/>
      <c r="V328" s="48"/>
      <c r="W328" s="48"/>
      <c r="X328" s="48"/>
      <c r="Y328" s="48"/>
      <c r="Z328" s="47"/>
      <c r="AA328" s="70">
        <v>328</v>
      </c>
      <c r="AB328" s="70"/>
      <c r="AC328" s="71"/>
      <c r="AD328" s="86" t="s">
        <v>23963</v>
      </c>
      <c r="AE328" s="94" t="s">
        <v>25341</v>
      </c>
      <c r="AF328" s="86">
        <v>121</v>
      </c>
      <c r="AG328" s="86">
        <v>746</v>
      </c>
      <c r="AH328" s="86">
        <v>893</v>
      </c>
      <c r="AI328" s="86">
        <v>3</v>
      </c>
      <c r="AJ328" s="86">
        <v>3926</v>
      </c>
      <c r="AK328" s="86">
        <v>233</v>
      </c>
      <c r="AL328" s="86" t="b">
        <v>0</v>
      </c>
      <c r="AM328" s="89">
        <v>40289.917523148149</v>
      </c>
      <c r="AN328" s="86" t="s">
        <v>15256</v>
      </c>
      <c r="AO328" s="86" t="s">
        <v>26719</v>
      </c>
      <c r="AP328" s="96" t="str">
        <f>HYPERLINK("https://t.co/ZQdW965FeP")</f>
        <v>https://t.co/ZQdW965FeP</v>
      </c>
      <c r="AQ328" s="96" t="str">
        <f>HYPERLINK("https://www.instagram.com/torresconsultoriamkteagro")</f>
        <v>https://www.instagram.com/torresconsultoriamkteagro</v>
      </c>
      <c r="AR328" s="86" t="s">
        <v>28123</v>
      </c>
      <c r="AS328" s="86"/>
      <c r="AT328" s="86"/>
      <c r="AU328" s="86"/>
      <c r="AV328" s="86"/>
      <c r="AW328" s="96" t="str">
        <f>HYPERLINK("https://t.co/ZQdW965FeP")</f>
        <v>https://t.co/ZQdW965FeP</v>
      </c>
      <c r="AX328" s="86" t="b">
        <v>0</v>
      </c>
      <c r="AY328" s="86"/>
      <c r="AZ328" s="86"/>
      <c r="BA328" s="86" t="b">
        <v>0</v>
      </c>
      <c r="BB328" s="86" t="b">
        <v>1</v>
      </c>
      <c r="BC328" s="86" t="b">
        <v>0</v>
      </c>
      <c r="BD328" s="86" t="b">
        <v>0</v>
      </c>
      <c r="BE328" s="86" t="b">
        <v>0</v>
      </c>
      <c r="BF328" s="86" t="b">
        <v>0</v>
      </c>
      <c r="BG328" s="86" t="b">
        <v>0</v>
      </c>
      <c r="BH328" s="96" t="str">
        <f>HYPERLINK("https://pbs.twimg.com/profile_banners/135640986/1650034891")</f>
        <v>https://pbs.twimg.com/profile_banners/135640986/1650034891</v>
      </c>
      <c r="BI328" s="86"/>
      <c r="BJ328" s="86" t="s">
        <v>29134</v>
      </c>
      <c r="BK328" s="86" t="b">
        <v>0</v>
      </c>
      <c r="BL328" s="86"/>
      <c r="BM328" s="86" t="s">
        <v>66</v>
      </c>
      <c r="BN328" s="86" t="s">
        <v>29136</v>
      </c>
      <c r="BO328" s="96" t="str">
        <f>HYPERLINK("https://twitter.com/altaidestorres")</f>
        <v>https://twitter.com/altaidestorres</v>
      </c>
      <c r="BP328" s="2"/>
    </row>
    <row r="329" spans="1:68" x14ac:dyDescent="0.25">
      <c r="A329" s="63" t="s">
        <v>513</v>
      </c>
      <c r="B329" s="64"/>
      <c r="C329" s="64"/>
      <c r="D329" s="65"/>
      <c r="E329" s="67"/>
      <c r="F329" s="111" t="str">
        <f>HYPERLINK("https://pbs.twimg.com/profile_images/1684901753001525248/V8_IfihG_normal.jpg")</f>
        <v>https://pbs.twimg.com/profile_images/1684901753001525248/V8_IfihG_normal.jpg</v>
      </c>
      <c r="G329" s="64"/>
      <c r="H329" s="68"/>
      <c r="I329" s="69"/>
      <c r="J329" s="69"/>
      <c r="K329" s="68" t="s">
        <v>29462</v>
      </c>
      <c r="L329" s="72"/>
      <c r="M329" s="73"/>
      <c r="N329" s="73"/>
      <c r="O329" s="74"/>
      <c r="P329" s="75"/>
      <c r="Q329" s="75"/>
      <c r="R329" s="102"/>
      <c r="S329" s="102"/>
      <c r="T329" s="102"/>
      <c r="U329" s="102"/>
      <c r="V329" s="48"/>
      <c r="W329" s="48"/>
      <c r="X329" s="48"/>
      <c r="Y329" s="48"/>
      <c r="Z329" s="47"/>
      <c r="AA329" s="70">
        <v>329</v>
      </c>
      <c r="AB329" s="70"/>
      <c r="AC329" s="71"/>
      <c r="AD329" s="86" t="s">
        <v>23964</v>
      </c>
      <c r="AE329" s="94" t="s">
        <v>25342</v>
      </c>
      <c r="AF329" s="86">
        <v>20</v>
      </c>
      <c r="AG329" s="86">
        <v>8</v>
      </c>
      <c r="AH329" s="86">
        <v>225</v>
      </c>
      <c r="AI329" s="86">
        <v>0</v>
      </c>
      <c r="AJ329" s="86">
        <v>2388</v>
      </c>
      <c r="AK329" s="86">
        <v>6</v>
      </c>
      <c r="AL329" s="86" t="b">
        <v>0</v>
      </c>
      <c r="AM329" s="89">
        <v>42385.046388888892</v>
      </c>
      <c r="AN329" s="86" t="s">
        <v>26000</v>
      </c>
      <c r="AO329" s="86" t="s">
        <v>26720</v>
      </c>
      <c r="AP329" s="86"/>
      <c r="AQ329" s="86"/>
      <c r="AR329" s="86"/>
      <c r="AS329" s="86"/>
      <c r="AT329" s="86"/>
      <c r="AU329" s="86"/>
      <c r="AV329" s="86"/>
      <c r="AW329" s="86"/>
      <c r="AX329" s="86" t="b">
        <v>0</v>
      </c>
      <c r="AY329" s="86"/>
      <c r="AZ329" s="86"/>
      <c r="BA329" s="86" t="b">
        <v>0</v>
      </c>
      <c r="BB329" s="86" t="b">
        <v>1</v>
      </c>
      <c r="BC329" s="86" t="b">
        <v>1</v>
      </c>
      <c r="BD329" s="86" t="b">
        <v>0</v>
      </c>
      <c r="BE329" s="86" t="b">
        <v>0</v>
      </c>
      <c r="BF329" s="86" t="b">
        <v>0</v>
      </c>
      <c r="BG329" s="86" t="b">
        <v>0</v>
      </c>
      <c r="BH329" s="96" t="str">
        <f>HYPERLINK("https://pbs.twimg.com/profile_banners/4765700173/1673754847")</f>
        <v>https://pbs.twimg.com/profile_banners/4765700173/1673754847</v>
      </c>
      <c r="BI329" s="86"/>
      <c r="BJ329" s="86" t="s">
        <v>29134</v>
      </c>
      <c r="BK329" s="86" t="b">
        <v>0</v>
      </c>
      <c r="BL329" s="86"/>
      <c r="BM329" s="86" t="s">
        <v>66</v>
      </c>
      <c r="BN329" s="86" t="s">
        <v>29136</v>
      </c>
      <c r="BO329" s="96" t="str">
        <f>HYPERLINK("https://twitter.com/jorgerafaelcont")</f>
        <v>https://twitter.com/jorgerafaelcont</v>
      </c>
      <c r="BP329" s="2"/>
    </row>
    <row r="330" spans="1:68" x14ac:dyDescent="0.25">
      <c r="A330" s="63" t="s">
        <v>514</v>
      </c>
      <c r="B330" s="64"/>
      <c r="C330" s="64"/>
      <c r="D330" s="65"/>
      <c r="E330" s="67"/>
      <c r="F330" s="111" t="str">
        <f>HYPERLINK("https://pbs.twimg.com/profile_images/1674892856597573633/bgQiYe60_normal.jpg")</f>
        <v>https://pbs.twimg.com/profile_images/1674892856597573633/bgQiYe60_normal.jpg</v>
      </c>
      <c r="G330" s="64"/>
      <c r="H330" s="68"/>
      <c r="I330" s="69"/>
      <c r="J330" s="69"/>
      <c r="K330" s="68" t="s">
        <v>29463</v>
      </c>
      <c r="L330" s="72"/>
      <c r="M330" s="73"/>
      <c r="N330" s="73"/>
      <c r="O330" s="74"/>
      <c r="P330" s="75"/>
      <c r="Q330" s="75"/>
      <c r="R330" s="102"/>
      <c r="S330" s="102"/>
      <c r="T330" s="102"/>
      <c r="U330" s="102"/>
      <c r="V330" s="48"/>
      <c r="W330" s="48"/>
      <c r="X330" s="48"/>
      <c r="Y330" s="48"/>
      <c r="Z330" s="47"/>
      <c r="AA330" s="70">
        <v>330</v>
      </c>
      <c r="AB330" s="70"/>
      <c r="AC330" s="71"/>
      <c r="AD330" s="86" t="s">
        <v>23965</v>
      </c>
      <c r="AE330" s="94" t="s">
        <v>22536</v>
      </c>
      <c r="AF330" s="86">
        <v>239</v>
      </c>
      <c r="AG330" s="86">
        <v>162</v>
      </c>
      <c r="AH330" s="86">
        <v>18268</v>
      </c>
      <c r="AI330" s="86">
        <v>7</v>
      </c>
      <c r="AJ330" s="86">
        <v>224</v>
      </c>
      <c r="AK330" s="86">
        <v>1290</v>
      </c>
      <c r="AL330" s="86" t="b">
        <v>0</v>
      </c>
      <c r="AM330" s="89">
        <v>41708.597361111111</v>
      </c>
      <c r="AN330" s="86" t="s">
        <v>15234</v>
      </c>
      <c r="AO330" s="86" t="s">
        <v>26721</v>
      </c>
      <c r="AP330" s="96" t="str">
        <f>HYPERLINK("https://t.co/GLCFtRpYt6")</f>
        <v>https://t.co/GLCFtRpYt6</v>
      </c>
      <c r="AQ330" s="96" t="str">
        <f>HYPERLINK("https://vendasoprocesso.blogspot.com/")</f>
        <v>https://vendasoprocesso.blogspot.com/</v>
      </c>
      <c r="AR330" s="86" t="s">
        <v>28124</v>
      </c>
      <c r="AS330" s="86"/>
      <c r="AT330" s="86"/>
      <c r="AU330" s="86"/>
      <c r="AV330" s="86"/>
      <c r="AW330" s="96" t="str">
        <f>HYPERLINK("https://t.co/GLCFtRpYt6")</f>
        <v>https://t.co/GLCFtRpYt6</v>
      </c>
      <c r="AX330" s="86" t="b">
        <v>0</v>
      </c>
      <c r="AY330" s="86"/>
      <c r="AZ330" s="86"/>
      <c r="BA330" s="86" t="b">
        <v>1</v>
      </c>
      <c r="BB330" s="86" t="b">
        <v>1</v>
      </c>
      <c r="BC330" s="86" t="b">
        <v>0</v>
      </c>
      <c r="BD330" s="86" t="b">
        <v>0</v>
      </c>
      <c r="BE330" s="86" t="b">
        <v>1</v>
      </c>
      <c r="BF330" s="86" t="b">
        <v>0</v>
      </c>
      <c r="BG330" s="86" t="b">
        <v>0</v>
      </c>
      <c r="BH330" s="96" t="str">
        <f>HYPERLINK("https://pbs.twimg.com/profile_banners/2382222073/1691454143")</f>
        <v>https://pbs.twimg.com/profile_banners/2382222073/1691454143</v>
      </c>
      <c r="BI330" s="86"/>
      <c r="BJ330" s="86" t="s">
        <v>29134</v>
      </c>
      <c r="BK330" s="86" t="b">
        <v>0</v>
      </c>
      <c r="BL330" s="86"/>
      <c r="BM330" s="86" t="s">
        <v>66</v>
      </c>
      <c r="BN330" s="86" t="s">
        <v>29136</v>
      </c>
      <c r="BO330" s="96" t="str">
        <f>HYPERLINK("https://twitter.com/evandrolima395")</f>
        <v>https://twitter.com/evandrolima395</v>
      </c>
      <c r="BP330" s="2"/>
    </row>
    <row r="331" spans="1:68" x14ac:dyDescent="0.25">
      <c r="A331" s="63" t="s">
        <v>515</v>
      </c>
      <c r="B331" s="64"/>
      <c r="C331" s="64"/>
      <c r="D331" s="65"/>
      <c r="E331" s="67"/>
      <c r="F331" s="111" t="str">
        <f>HYPERLINK("https://pbs.twimg.com/profile_images/1633224637424254977/ZNBftiDg_normal.jpg")</f>
        <v>https://pbs.twimg.com/profile_images/1633224637424254977/ZNBftiDg_normal.jpg</v>
      </c>
      <c r="G331" s="64"/>
      <c r="H331" s="68"/>
      <c r="I331" s="69"/>
      <c r="J331" s="69"/>
      <c r="K331" s="68" t="s">
        <v>29464</v>
      </c>
      <c r="L331" s="72"/>
      <c r="M331" s="73"/>
      <c r="N331" s="73"/>
      <c r="O331" s="74"/>
      <c r="P331" s="75"/>
      <c r="Q331" s="75"/>
      <c r="R331" s="102"/>
      <c r="S331" s="102"/>
      <c r="T331" s="102"/>
      <c r="U331" s="102"/>
      <c r="V331" s="48"/>
      <c r="W331" s="48"/>
      <c r="X331" s="48"/>
      <c r="Y331" s="48"/>
      <c r="Z331" s="47"/>
      <c r="AA331" s="70">
        <v>331</v>
      </c>
      <c r="AB331" s="70"/>
      <c r="AC331" s="71"/>
      <c r="AD331" s="86" t="s">
        <v>23966</v>
      </c>
      <c r="AE331" s="94" t="s">
        <v>25343</v>
      </c>
      <c r="AF331" s="86">
        <v>224</v>
      </c>
      <c r="AG331" s="86">
        <v>642</v>
      </c>
      <c r="AH331" s="86">
        <v>7634</v>
      </c>
      <c r="AI331" s="86">
        <v>3</v>
      </c>
      <c r="AJ331" s="86">
        <v>695</v>
      </c>
      <c r="AK331" s="86">
        <v>702</v>
      </c>
      <c r="AL331" s="86" t="b">
        <v>0</v>
      </c>
      <c r="AM331" s="89">
        <v>40621.107893518521</v>
      </c>
      <c r="AN331" s="86" t="s">
        <v>26001</v>
      </c>
      <c r="AO331" s="86" t="s">
        <v>26722</v>
      </c>
      <c r="AP331" s="86"/>
      <c r="AQ331" s="86"/>
      <c r="AR331" s="86"/>
      <c r="AS331" s="96" t="str">
        <f>HYPERLINK("https://t.co/w4NUlVtsSd")</f>
        <v>https://t.co/w4NUlVtsSd</v>
      </c>
      <c r="AT331" s="96" t="str">
        <f>HYPERLINK("https://instagram.com/emprendercomunicar?igshid=ZGUzMzM3NW")</f>
        <v>https://instagram.com/emprendercomunicar?igshid=ZGUzMzM3NW</v>
      </c>
      <c r="AU331" s="86" t="s">
        <v>29049</v>
      </c>
      <c r="AV331" s="86"/>
      <c r="AW331" s="86"/>
      <c r="AX331" s="86" t="b">
        <v>0</v>
      </c>
      <c r="AY331" s="86"/>
      <c r="AZ331" s="86"/>
      <c r="BA331" s="86" t="b">
        <v>0</v>
      </c>
      <c r="BB331" s="86" t="b">
        <v>1</v>
      </c>
      <c r="BC331" s="86" t="b">
        <v>0</v>
      </c>
      <c r="BD331" s="86" t="b">
        <v>0</v>
      </c>
      <c r="BE331" s="86" t="b">
        <v>1</v>
      </c>
      <c r="BF331" s="86" t="b">
        <v>0</v>
      </c>
      <c r="BG331" s="86" t="b">
        <v>0</v>
      </c>
      <c r="BH331" s="96" t="str">
        <f>HYPERLINK("https://pbs.twimg.com/profile_banners/268589236/1686918667")</f>
        <v>https://pbs.twimg.com/profile_banners/268589236/1686918667</v>
      </c>
      <c r="BI331" s="86"/>
      <c r="BJ331" s="86" t="s">
        <v>29134</v>
      </c>
      <c r="BK331" s="86" t="b">
        <v>0</v>
      </c>
      <c r="BL331" s="86"/>
      <c r="BM331" s="86" t="s">
        <v>66</v>
      </c>
      <c r="BN331" s="86" t="s">
        <v>29136</v>
      </c>
      <c r="BO331" s="96" t="str">
        <f>HYPERLINK("https://twitter.com/rulosro")</f>
        <v>https://twitter.com/rulosro</v>
      </c>
      <c r="BP331" s="2"/>
    </row>
    <row r="332" spans="1:68" x14ac:dyDescent="0.25">
      <c r="A332" s="63" t="s">
        <v>516</v>
      </c>
      <c r="B332" s="64"/>
      <c r="C332" s="64"/>
      <c r="D332" s="65"/>
      <c r="E332" s="67"/>
      <c r="F332" s="111" t="str">
        <f>HYPERLINK("https://pbs.twimg.com/profile_images/1696527114391126017/U-tI1KGy_normal.jpg")</f>
        <v>https://pbs.twimg.com/profile_images/1696527114391126017/U-tI1KGy_normal.jpg</v>
      </c>
      <c r="G332" s="64"/>
      <c r="H332" s="68"/>
      <c r="I332" s="69"/>
      <c r="J332" s="69"/>
      <c r="K332" s="68" t="s">
        <v>29465</v>
      </c>
      <c r="L332" s="72"/>
      <c r="M332" s="73"/>
      <c r="N332" s="73"/>
      <c r="O332" s="74"/>
      <c r="P332" s="75"/>
      <c r="Q332" s="75"/>
      <c r="R332" s="102"/>
      <c r="S332" s="102"/>
      <c r="T332" s="102"/>
      <c r="U332" s="102"/>
      <c r="V332" s="48"/>
      <c r="W332" s="48"/>
      <c r="X332" s="48"/>
      <c r="Y332" s="48"/>
      <c r="Z332" s="47"/>
      <c r="AA332" s="70">
        <v>332</v>
      </c>
      <c r="AB332" s="70"/>
      <c r="AC332" s="71"/>
      <c r="AD332" s="86" t="s">
        <v>23967</v>
      </c>
      <c r="AE332" s="94" t="s">
        <v>22967</v>
      </c>
      <c r="AF332" s="86">
        <v>63</v>
      </c>
      <c r="AG332" s="86">
        <v>66</v>
      </c>
      <c r="AH332" s="86">
        <v>2346</v>
      </c>
      <c r="AI332" s="86">
        <v>0</v>
      </c>
      <c r="AJ332" s="86">
        <v>9267</v>
      </c>
      <c r="AK332" s="86">
        <v>91</v>
      </c>
      <c r="AL332" s="86" t="b">
        <v>0</v>
      </c>
      <c r="AM332" s="89">
        <v>44551.061284722222</v>
      </c>
      <c r="AN332" s="86"/>
      <c r="AO332" s="86" t="s">
        <v>26723</v>
      </c>
      <c r="AP332" s="96" t="str">
        <f>HYPERLINK("https://t.co/h6coAwmC95")</f>
        <v>https://t.co/h6coAwmC95</v>
      </c>
      <c r="AQ332" s="96" t="str">
        <f>HYPERLINK("http://vsco.co/prado-luiza")</f>
        <v>http://vsco.co/prado-luiza</v>
      </c>
      <c r="AR332" s="86" t="s">
        <v>28125</v>
      </c>
      <c r="AS332" s="86"/>
      <c r="AT332" s="86"/>
      <c r="AU332" s="86"/>
      <c r="AV332" s="86"/>
      <c r="AW332" s="96" t="str">
        <f>HYPERLINK("https://t.co/h6coAwmC95")</f>
        <v>https://t.co/h6coAwmC95</v>
      </c>
      <c r="AX332" s="86" t="b">
        <v>0</v>
      </c>
      <c r="AY332" s="86"/>
      <c r="AZ332" s="86"/>
      <c r="BA332" s="86" t="b">
        <v>0</v>
      </c>
      <c r="BB332" s="86" t="b">
        <v>0</v>
      </c>
      <c r="BC332" s="86" t="b">
        <v>1</v>
      </c>
      <c r="BD332" s="86" t="b">
        <v>0</v>
      </c>
      <c r="BE332" s="86" t="b">
        <v>1</v>
      </c>
      <c r="BF332" s="86" t="b">
        <v>0</v>
      </c>
      <c r="BG332" s="86" t="b">
        <v>0</v>
      </c>
      <c r="BH332" s="96" t="str">
        <f>HYPERLINK("https://pbs.twimg.com/profile_banners/1473102944815964164/1666658027")</f>
        <v>https://pbs.twimg.com/profile_banners/1473102944815964164/1666658027</v>
      </c>
      <c r="BI332" s="86"/>
      <c r="BJ332" s="86" t="s">
        <v>29134</v>
      </c>
      <c r="BK332" s="86" t="b">
        <v>0</v>
      </c>
      <c r="BL332" s="86"/>
      <c r="BM332" s="86" t="s">
        <v>66</v>
      </c>
      <c r="BN332" s="86" t="s">
        <v>29136</v>
      </c>
      <c r="BO332" s="96" t="str">
        <f>HYPERLINK("https://twitter.com/pradooluu")</f>
        <v>https://twitter.com/pradooluu</v>
      </c>
      <c r="BP332" s="2"/>
    </row>
    <row r="333" spans="1:68" x14ac:dyDescent="0.25">
      <c r="A333" s="63" t="s">
        <v>1647</v>
      </c>
      <c r="B333" s="64"/>
      <c r="C333" s="64"/>
      <c r="D333" s="65"/>
      <c r="E333" s="67"/>
      <c r="F333" s="111" t="str">
        <f>HYPERLINK("https://pbs.twimg.com/profile_images/1696652162934173696/znmwCA_E_normal.jpg")</f>
        <v>https://pbs.twimg.com/profile_images/1696652162934173696/znmwCA_E_normal.jpg</v>
      </c>
      <c r="G333" s="64"/>
      <c r="H333" s="68"/>
      <c r="I333" s="69"/>
      <c r="J333" s="69"/>
      <c r="K333" s="68" t="s">
        <v>29466</v>
      </c>
      <c r="L333" s="72"/>
      <c r="M333" s="73"/>
      <c r="N333" s="73"/>
      <c r="O333" s="74"/>
      <c r="P333" s="75"/>
      <c r="Q333" s="75"/>
      <c r="R333" s="102"/>
      <c r="S333" s="102"/>
      <c r="T333" s="102"/>
      <c r="U333" s="102"/>
      <c r="V333" s="48"/>
      <c r="W333" s="48"/>
      <c r="X333" s="48"/>
      <c r="Y333" s="48"/>
      <c r="Z333" s="47"/>
      <c r="AA333" s="70">
        <v>333</v>
      </c>
      <c r="AB333" s="70"/>
      <c r="AC333" s="71"/>
      <c r="AD333" s="86" t="s">
        <v>23968</v>
      </c>
      <c r="AE333" s="94" t="s">
        <v>22537</v>
      </c>
      <c r="AF333" s="86">
        <v>187</v>
      </c>
      <c r="AG333" s="86">
        <v>516</v>
      </c>
      <c r="AH333" s="86">
        <v>3589</v>
      </c>
      <c r="AI333" s="86">
        <v>0</v>
      </c>
      <c r="AJ333" s="86">
        <v>48270</v>
      </c>
      <c r="AK333" s="86">
        <v>82</v>
      </c>
      <c r="AL333" s="86" t="b">
        <v>0</v>
      </c>
      <c r="AM333" s="89">
        <v>43978.611319444448</v>
      </c>
      <c r="AN333" s="86" t="s">
        <v>25942</v>
      </c>
      <c r="AO333" s="86" t="s">
        <v>26724</v>
      </c>
      <c r="AP333" s="96" t="str">
        <f>HYPERLINK("https://t.co/x1EkUanXIw")</f>
        <v>https://t.co/x1EkUanXIw</v>
      </c>
      <c r="AQ333" s="96" t="str">
        <f>HYPERLINK("https://instagram.com/davi_ssantana?igshid=ZDdkNTZiNTM=")</f>
        <v>https://instagram.com/davi_ssantana?igshid=ZDdkNTZiNTM=</v>
      </c>
      <c r="AR333" s="86" t="s">
        <v>28126</v>
      </c>
      <c r="AS333" s="86"/>
      <c r="AT333" s="86"/>
      <c r="AU333" s="86"/>
      <c r="AV333" s="86">
        <v>1.61870363461905E+18</v>
      </c>
      <c r="AW333" s="96" t="str">
        <f>HYPERLINK("https://t.co/x1EkUanXIw")</f>
        <v>https://t.co/x1EkUanXIw</v>
      </c>
      <c r="AX333" s="86" t="b">
        <v>0</v>
      </c>
      <c r="AY333" s="86"/>
      <c r="AZ333" s="86"/>
      <c r="BA333" s="86" t="b">
        <v>0</v>
      </c>
      <c r="BB333" s="86" t="b">
        <v>0</v>
      </c>
      <c r="BC333" s="86" t="b">
        <v>1</v>
      </c>
      <c r="BD333" s="86" t="b">
        <v>0</v>
      </c>
      <c r="BE333" s="86" t="b">
        <v>1</v>
      </c>
      <c r="BF333" s="86" t="b">
        <v>0</v>
      </c>
      <c r="BG333" s="86" t="b">
        <v>0</v>
      </c>
      <c r="BH333" s="96" t="str">
        <f>HYPERLINK("https://pbs.twimg.com/profile_banners/1265654017218293761/1681877026")</f>
        <v>https://pbs.twimg.com/profile_banners/1265654017218293761/1681877026</v>
      </c>
      <c r="BI333" s="86"/>
      <c r="BJ333" s="86" t="s">
        <v>29134</v>
      </c>
      <c r="BK333" s="86" t="b">
        <v>0</v>
      </c>
      <c r="BL333" s="86"/>
      <c r="BM333" s="86" t="s">
        <v>65</v>
      </c>
      <c r="BN333" s="86" t="s">
        <v>29136</v>
      </c>
      <c r="BO333" s="96" t="str">
        <f>HYPERLINK("https://twitter.com/comunadavid")</f>
        <v>https://twitter.com/comunadavid</v>
      </c>
      <c r="BP333" s="2"/>
    </row>
    <row r="334" spans="1:68" x14ac:dyDescent="0.25">
      <c r="A334" s="63" t="s">
        <v>517</v>
      </c>
      <c r="B334" s="64"/>
      <c r="C334" s="64"/>
      <c r="D334" s="65"/>
      <c r="E334" s="67"/>
      <c r="F334" s="111" t="str">
        <f>HYPERLINK("https://pbs.twimg.com/profile_images/1594290454509518849/0_SRBIuN_normal.jpg")</f>
        <v>https://pbs.twimg.com/profile_images/1594290454509518849/0_SRBIuN_normal.jpg</v>
      </c>
      <c r="G334" s="64"/>
      <c r="H334" s="68"/>
      <c r="I334" s="69"/>
      <c r="J334" s="69"/>
      <c r="K334" s="68" t="s">
        <v>29467</v>
      </c>
      <c r="L334" s="72"/>
      <c r="M334" s="73"/>
      <c r="N334" s="73"/>
      <c r="O334" s="74"/>
      <c r="P334" s="75"/>
      <c r="Q334" s="75"/>
      <c r="R334" s="102"/>
      <c r="S334" s="102"/>
      <c r="T334" s="102"/>
      <c r="U334" s="102"/>
      <c r="V334" s="48"/>
      <c r="W334" s="48"/>
      <c r="X334" s="48"/>
      <c r="Y334" s="48"/>
      <c r="Z334" s="47"/>
      <c r="AA334" s="70">
        <v>334</v>
      </c>
      <c r="AB334" s="70"/>
      <c r="AC334" s="71"/>
      <c r="AD334" s="86" t="s">
        <v>23969</v>
      </c>
      <c r="AE334" s="94" t="s">
        <v>22538</v>
      </c>
      <c r="AF334" s="86">
        <v>107</v>
      </c>
      <c r="AG334" s="86">
        <v>683</v>
      </c>
      <c r="AH334" s="86">
        <v>552</v>
      </c>
      <c r="AI334" s="86">
        <v>1</v>
      </c>
      <c r="AJ334" s="86">
        <v>18405</v>
      </c>
      <c r="AK334" s="86">
        <v>19</v>
      </c>
      <c r="AL334" s="86" t="b">
        <v>0</v>
      </c>
      <c r="AM334" s="89">
        <v>44791.664479166669</v>
      </c>
      <c r="AN334" s="86"/>
      <c r="AO334" s="86" t="s">
        <v>26725</v>
      </c>
      <c r="AP334" s="96" t="str">
        <f>HYPERLINK("https://t.co/ArPd5whvXd")</f>
        <v>https://t.co/ArPd5whvXd</v>
      </c>
      <c r="AQ334" s="96" t="str">
        <f>HYPERLINK("https://buscatrade.com.br/comunidade/")</f>
        <v>https://buscatrade.com.br/comunidade/</v>
      </c>
      <c r="AR334" s="86" t="s">
        <v>28127</v>
      </c>
      <c r="AS334" s="96" t="str">
        <f>HYPERLINK("https://t.co/CRJaNraYSE")</f>
        <v>https://t.co/CRJaNraYSE</v>
      </c>
      <c r="AT334" s="96" t="str">
        <f>HYPERLINK("https://filipeferraz.co/")</f>
        <v>https://filipeferraz.co/</v>
      </c>
      <c r="AU334" s="86" t="s">
        <v>29050</v>
      </c>
      <c r="AV334" s="86"/>
      <c r="AW334" s="96" t="str">
        <f>HYPERLINK("https://t.co/ArPd5whvXd")</f>
        <v>https://t.co/ArPd5whvXd</v>
      </c>
      <c r="AX334" s="86" t="b">
        <v>0</v>
      </c>
      <c r="AY334" s="86"/>
      <c r="AZ334" s="86"/>
      <c r="BA334" s="86" t="b">
        <v>0</v>
      </c>
      <c r="BB334" s="86" t="b">
        <v>0</v>
      </c>
      <c r="BC334" s="86" t="b">
        <v>1</v>
      </c>
      <c r="BD334" s="86" t="b">
        <v>0</v>
      </c>
      <c r="BE334" s="86" t="b">
        <v>1</v>
      </c>
      <c r="BF334" s="86" t="b">
        <v>0</v>
      </c>
      <c r="BG334" s="86" t="b">
        <v>0</v>
      </c>
      <c r="BH334" s="96" t="str">
        <f>HYPERLINK("https://pbs.twimg.com/profile_banners/1560294593660329984/1667150771")</f>
        <v>https://pbs.twimg.com/profile_banners/1560294593660329984/1667150771</v>
      </c>
      <c r="BI334" s="86"/>
      <c r="BJ334" s="86" t="s">
        <v>29134</v>
      </c>
      <c r="BK334" s="86" t="b">
        <v>0</v>
      </c>
      <c r="BL334" s="86"/>
      <c r="BM334" s="86" t="s">
        <v>66</v>
      </c>
      <c r="BN334" s="86" t="s">
        <v>29136</v>
      </c>
      <c r="BO334" s="96" t="str">
        <f>HYPERLINK("https://twitter.com/filipefcf")</f>
        <v>https://twitter.com/filipefcf</v>
      </c>
      <c r="BP334" s="2"/>
    </row>
    <row r="335" spans="1:68" x14ac:dyDescent="0.25">
      <c r="A335" s="63" t="s">
        <v>518</v>
      </c>
      <c r="B335" s="64"/>
      <c r="C335" s="64"/>
      <c r="D335" s="65"/>
      <c r="E335" s="67"/>
      <c r="F335" s="111" t="str">
        <f>HYPERLINK("https://pbs.twimg.com/profile_images/56731563/Ornilo_1_normal.JPG")</f>
        <v>https://pbs.twimg.com/profile_images/56731563/Ornilo_1_normal.JPG</v>
      </c>
      <c r="G335" s="64"/>
      <c r="H335" s="68"/>
      <c r="I335" s="69"/>
      <c r="J335" s="69"/>
      <c r="K335" s="68" t="s">
        <v>29468</v>
      </c>
      <c r="L335" s="72"/>
      <c r="M335" s="73"/>
      <c r="N335" s="73"/>
      <c r="O335" s="74"/>
      <c r="P335" s="75"/>
      <c r="Q335" s="75"/>
      <c r="R335" s="102"/>
      <c r="S335" s="102"/>
      <c r="T335" s="102"/>
      <c r="U335" s="102"/>
      <c r="V335" s="48"/>
      <c r="W335" s="48"/>
      <c r="X335" s="48"/>
      <c r="Y335" s="48"/>
      <c r="Z335" s="47"/>
      <c r="AA335" s="70">
        <v>335</v>
      </c>
      <c r="AB335" s="70"/>
      <c r="AC335" s="71"/>
      <c r="AD335" s="86" t="s">
        <v>518</v>
      </c>
      <c r="AE335" s="94" t="s">
        <v>25344</v>
      </c>
      <c r="AF335" s="86">
        <v>458</v>
      </c>
      <c r="AG335" s="86">
        <v>302</v>
      </c>
      <c r="AH335" s="86">
        <v>7415</v>
      </c>
      <c r="AI335" s="86">
        <v>6</v>
      </c>
      <c r="AJ335" s="86">
        <v>9</v>
      </c>
      <c r="AK335" s="86">
        <v>690</v>
      </c>
      <c r="AL335" s="86" t="b">
        <v>0</v>
      </c>
      <c r="AM335" s="89">
        <v>39645.300717592596</v>
      </c>
      <c r="AN335" s="86" t="s">
        <v>25889</v>
      </c>
      <c r="AO335" s="86" t="s">
        <v>26726</v>
      </c>
      <c r="AP335" s="96" t="str">
        <f>HYPERLINK("http://t.co/fEDbrUZy9v")</f>
        <v>http://t.co/fEDbrUZy9v</v>
      </c>
      <c r="AQ335" s="96" t="str">
        <f>HYPERLINK("http://ornilolundgren.blogspot.com/")</f>
        <v>http://ornilolundgren.blogspot.com/</v>
      </c>
      <c r="AR335" s="86" t="s">
        <v>28128</v>
      </c>
      <c r="AS335" s="86"/>
      <c r="AT335" s="86"/>
      <c r="AU335" s="86"/>
      <c r="AV335" s="86"/>
      <c r="AW335" s="96" t="str">
        <f>HYPERLINK("http://t.co/fEDbrUZy9v")</f>
        <v>http://t.co/fEDbrUZy9v</v>
      </c>
      <c r="AX335" s="86" t="b">
        <v>0</v>
      </c>
      <c r="AY335" s="86"/>
      <c r="AZ335" s="86"/>
      <c r="BA335" s="86" t="b">
        <v>0</v>
      </c>
      <c r="BB335" s="86" t="b">
        <v>1</v>
      </c>
      <c r="BC335" s="86" t="b">
        <v>1</v>
      </c>
      <c r="BD335" s="86" t="b">
        <v>0</v>
      </c>
      <c r="BE335" s="86" t="b">
        <v>0</v>
      </c>
      <c r="BF335" s="86" t="b">
        <v>0</v>
      </c>
      <c r="BG335" s="86" t="b">
        <v>0</v>
      </c>
      <c r="BH335" s="86"/>
      <c r="BI335" s="86"/>
      <c r="BJ335" s="86" t="s">
        <v>29134</v>
      </c>
      <c r="BK335" s="86" t="b">
        <v>0</v>
      </c>
      <c r="BL335" s="86"/>
      <c r="BM335" s="86" t="s">
        <v>66</v>
      </c>
      <c r="BN335" s="86" t="s">
        <v>29136</v>
      </c>
      <c r="BO335" s="96" t="str">
        <f>HYPERLINK("https://twitter.com/ornilolundgren")</f>
        <v>https://twitter.com/ornilolundgren</v>
      </c>
      <c r="BP335" s="2"/>
    </row>
    <row r="336" spans="1:68" x14ac:dyDescent="0.25">
      <c r="A336" s="63" t="s">
        <v>519</v>
      </c>
      <c r="B336" s="64"/>
      <c r="C336" s="64"/>
      <c r="D336" s="65"/>
      <c r="E336" s="67"/>
      <c r="F336" s="111" t="str">
        <f>HYPERLINK("https://pbs.twimg.com/profile_images/491636453/XD_perfil_normal.jpg")</f>
        <v>https://pbs.twimg.com/profile_images/491636453/XD_perfil_normal.jpg</v>
      </c>
      <c r="G336" s="64"/>
      <c r="H336" s="68"/>
      <c r="I336" s="69"/>
      <c r="J336" s="69"/>
      <c r="K336" s="68" t="s">
        <v>29469</v>
      </c>
      <c r="L336" s="72"/>
      <c r="M336" s="73"/>
      <c r="N336" s="73"/>
      <c r="O336" s="74"/>
      <c r="P336" s="75"/>
      <c r="Q336" s="75"/>
      <c r="R336" s="102"/>
      <c r="S336" s="102"/>
      <c r="T336" s="102"/>
      <c r="U336" s="102"/>
      <c r="V336" s="48"/>
      <c r="W336" s="48"/>
      <c r="X336" s="48"/>
      <c r="Y336" s="48"/>
      <c r="Z336" s="47"/>
      <c r="AA336" s="70">
        <v>336</v>
      </c>
      <c r="AB336" s="70"/>
      <c r="AC336" s="71"/>
      <c r="AD336" s="86" t="s">
        <v>23970</v>
      </c>
      <c r="AE336" s="94" t="s">
        <v>25345</v>
      </c>
      <c r="AF336" s="86">
        <v>46</v>
      </c>
      <c r="AG336" s="86">
        <v>378</v>
      </c>
      <c r="AH336" s="86">
        <v>741</v>
      </c>
      <c r="AI336" s="86">
        <v>0</v>
      </c>
      <c r="AJ336" s="86">
        <v>6</v>
      </c>
      <c r="AK336" s="86">
        <v>429</v>
      </c>
      <c r="AL336" s="86" t="b">
        <v>0</v>
      </c>
      <c r="AM336" s="89">
        <v>40112.870000000003</v>
      </c>
      <c r="AN336" s="86" t="s">
        <v>15234</v>
      </c>
      <c r="AO336" s="86" t="s">
        <v>26727</v>
      </c>
      <c r="AP336" s="96" t="str">
        <f>HYPERLINK("http://t.co/B8z77BKvRr")</f>
        <v>http://t.co/B8z77BKvRr</v>
      </c>
      <c r="AQ336" s="96" t="str">
        <f>HYPERLINK("http://jonathafernandes.blogspot.com")</f>
        <v>http://jonathafernandes.blogspot.com</v>
      </c>
      <c r="AR336" s="86" t="s">
        <v>28129</v>
      </c>
      <c r="AS336" s="86"/>
      <c r="AT336" s="86"/>
      <c r="AU336" s="86"/>
      <c r="AV336" s="86"/>
      <c r="AW336" s="96" t="str">
        <f>HYPERLINK("http://t.co/B8z77BKvRr")</f>
        <v>http://t.co/B8z77BKvRr</v>
      </c>
      <c r="AX336" s="86" t="b">
        <v>0</v>
      </c>
      <c r="AY336" s="86"/>
      <c r="AZ336" s="86"/>
      <c r="BA336" s="86" t="b">
        <v>0</v>
      </c>
      <c r="BB336" s="86" t="b">
        <v>1</v>
      </c>
      <c r="BC336" s="86" t="b">
        <v>0</v>
      </c>
      <c r="BD336" s="86" t="b">
        <v>0</v>
      </c>
      <c r="BE336" s="86" t="b">
        <v>0</v>
      </c>
      <c r="BF336" s="86" t="b">
        <v>0</v>
      </c>
      <c r="BG336" s="86" t="b">
        <v>0</v>
      </c>
      <c r="BH336" s="86"/>
      <c r="BI336" s="86"/>
      <c r="BJ336" s="86" t="s">
        <v>29134</v>
      </c>
      <c r="BK336" s="86" t="b">
        <v>0</v>
      </c>
      <c r="BL336" s="86"/>
      <c r="BM336" s="86" t="s">
        <v>66</v>
      </c>
      <c r="BN336" s="86" t="s">
        <v>29136</v>
      </c>
      <c r="BO336" s="96" t="str">
        <f>HYPERLINK("https://twitter.com/jonatha_timao")</f>
        <v>https://twitter.com/jonatha_timao</v>
      </c>
      <c r="BP336" s="2"/>
    </row>
    <row r="337" spans="1:68" x14ac:dyDescent="0.25">
      <c r="A337" s="63" t="s">
        <v>520</v>
      </c>
      <c r="B337" s="64"/>
      <c r="C337" s="64"/>
      <c r="D337" s="65"/>
      <c r="E337" s="67"/>
      <c r="F337" s="111" t="str">
        <f>HYPERLINK("https://pbs.twimg.com/profile_images/1671136538120396800/C1b7oA4n_normal.jpg")</f>
        <v>https://pbs.twimg.com/profile_images/1671136538120396800/C1b7oA4n_normal.jpg</v>
      </c>
      <c r="G337" s="64"/>
      <c r="H337" s="68"/>
      <c r="I337" s="69"/>
      <c r="J337" s="69"/>
      <c r="K337" s="68" t="s">
        <v>29470</v>
      </c>
      <c r="L337" s="72"/>
      <c r="M337" s="73"/>
      <c r="N337" s="73"/>
      <c r="O337" s="74"/>
      <c r="P337" s="75"/>
      <c r="Q337" s="75"/>
      <c r="R337" s="102"/>
      <c r="S337" s="102"/>
      <c r="T337" s="102"/>
      <c r="U337" s="102"/>
      <c r="V337" s="48"/>
      <c r="W337" s="48"/>
      <c r="X337" s="48"/>
      <c r="Y337" s="48"/>
      <c r="Z337" s="47"/>
      <c r="AA337" s="70">
        <v>337</v>
      </c>
      <c r="AB337" s="70"/>
      <c r="AC337" s="71"/>
      <c r="AD337" s="86" t="s">
        <v>23971</v>
      </c>
      <c r="AE337" s="94" t="s">
        <v>22968</v>
      </c>
      <c r="AF337" s="86">
        <v>4</v>
      </c>
      <c r="AG337" s="86">
        <v>8</v>
      </c>
      <c r="AH337" s="86">
        <v>109</v>
      </c>
      <c r="AI337" s="86">
        <v>0</v>
      </c>
      <c r="AJ337" s="86">
        <v>1</v>
      </c>
      <c r="AK337" s="86">
        <v>1</v>
      </c>
      <c r="AL337" s="86" t="b">
        <v>0</v>
      </c>
      <c r="AM337" s="89">
        <v>45097.529594907406</v>
      </c>
      <c r="AN337" s="86"/>
      <c r="AO337" s="86" t="s">
        <v>26728</v>
      </c>
      <c r="AP337" s="96" t="str">
        <f>HYPERLINK("https://t.co/dSrLhStuWl")</f>
        <v>https://t.co/dSrLhStuWl</v>
      </c>
      <c r="AQ337" s="96" t="str">
        <f>HYPERLINK("https://www.gastronomia.com.br")</f>
        <v>https://www.gastronomia.com.br</v>
      </c>
      <c r="AR337" s="86" t="s">
        <v>28130</v>
      </c>
      <c r="AS337" s="86"/>
      <c r="AT337" s="86"/>
      <c r="AU337" s="86"/>
      <c r="AV337" s="86"/>
      <c r="AW337" s="96" t="str">
        <f>HYPERLINK("https://t.co/dSrLhStuWl")</f>
        <v>https://t.co/dSrLhStuWl</v>
      </c>
      <c r="AX337" s="86" t="b">
        <v>0</v>
      </c>
      <c r="AY337" s="86"/>
      <c r="AZ337" s="86"/>
      <c r="BA337" s="86" t="b">
        <v>0</v>
      </c>
      <c r="BB337" s="86" t="b">
        <v>1</v>
      </c>
      <c r="BC337" s="86" t="b">
        <v>1</v>
      </c>
      <c r="BD337" s="86" t="b">
        <v>0</v>
      </c>
      <c r="BE337" s="86" t="b">
        <v>0</v>
      </c>
      <c r="BF337" s="86" t="b">
        <v>0</v>
      </c>
      <c r="BG337" s="86" t="b">
        <v>0</v>
      </c>
      <c r="BH337" s="96" t="str">
        <f>HYPERLINK("https://pbs.twimg.com/profile_banners/1671136348894314496/1687265490")</f>
        <v>https://pbs.twimg.com/profile_banners/1671136348894314496/1687265490</v>
      </c>
      <c r="BI337" s="86"/>
      <c r="BJ337" s="86" t="s">
        <v>29134</v>
      </c>
      <c r="BK337" s="86" t="b">
        <v>0</v>
      </c>
      <c r="BL337" s="86"/>
      <c r="BM337" s="86" t="s">
        <v>66</v>
      </c>
      <c r="BN337" s="86" t="s">
        <v>29136</v>
      </c>
      <c r="BO337" s="96" t="str">
        <f>HYPERLINK("https://twitter.com/gastrocombr")</f>
        <v>https://twitter.com/gastrocombr</v>
      </c>
      <c r="BP337" s="2"/>
    </row>
    <row r="338" spans="1:68" x14ac:dyDescent="0.25">
      <c r="A338" s="63" t="s">
        <v>521</v>
      </c>
      <c r="B338" s="64"/>
      <c r="C338" s="64"/>
      <c r="D338" s="65"/>
      <c r="E338" s="67"/>
      <c r="F338" s="111" t="str">
        <f>HYPERLINK("https://pbs.twimg.com/profile_images/1607494544265732100/MsvToIZ__normal.png")</f>
        <v>https://pbs.twimg.com/profile_images/1607494544265732100/MsvToIZ__normal.png</v>
      </c>
      <c r="G338" s="64"/>
      <c r="H338" s="68"/>
      <c r="I338" s="69"/>
      <c r="J338" s="69"/>
      <c r="K338" s="68" t="s">
        <v>29471</v>
      </c>
      <c r="L338" s="72"/>
      <c r="M338" s="73"/>
      <c r="N338" s="73"/>
      <c r="O338" s="74"/>
      <c r="P338" s="75"/>
      <c r="Q338" s="75"/>
      <c r="R338" s="102"/>
      <c r="S338" s="102"/>
      <c r="T338" s="102"/>
      <c r="U338" s="102"/>
      <c r="V338" s="48"/>
      <c r="W338" s="48"/>
      <c r="X338" s="48"/>
      <c r="Y338" s="48"/>
      <c r="Z338" s="47"/>
      <c r="AA338" s="70">
        <v>338</v>
      </c>
      <c r="AB338" s="70"/>
      <c r="AC338" s="71"/>
      <c r="AD338" s="86" t="s">
        <v>23972</v>
      </c>
      <c r="AE338" s="94" t="s">
        <v>22969</v>
      </c>
      <c r="AF338" s="86">
        <v>1</v>
      </c>
      <c r="AG338" s="86">
        <v>6</v>
      </c>
      <c r="AH338" s="86">
        <v>54</v>
      </c>
      <c r="AI338" s="86">
        <v>0</v>
      </c>
      <c r="AJ338" s="86">
        <v>7</v>
      </c>
      <c r="AK338" s="86">
        <v>47</v>
      </c>
      <c r="AL338" s="86" t="b">
        <v>0</v>
      </c>
      <c r="AM338" s="89">
        <v>44921.91133101852</v>
      </c>
      <c r="AN338" s="86" t="s">
        <v>15246</v>
      </c>
      <c r="AO338" s="86" t="s">
        <v>26729</v>
      </c>
      <c r="AP338" s="96" t="str">
        <f>HYPERLINK("https://t.co/ublHee179D")</f>
        <v>https://t.co/ublHee179D</v>
      </c>
      <c r="AQ338" s="96" t="str">
        <f>HYPERLINK("http://www.fernandomelodesign.com.br")</f>
        <v>http://www.fernandomelodesign.com.br</v>
      </c>
      <c r="AR338" s="86" t="s">
        <v>28131</v>
      </c>
      <c r="AS338" s="86"/>
      <c r="AT338" s="86"/>
      <c r="AU338" s="86"/>
      <c r="AV338" s="86"/>
      <c r="AW338" s="96" t="str">
        <f>HYPERLINK("https://t.co/ublHee179D")</f>
        <v>https://t.co/ublHee179D</v>
      </c>
      <c r="AX338" s="86" t="b">
        <v>0</v>
      </c>
      <c r="AY338" s="86"/>
      <c r="AZ338" s="86"/>
      <c r="BA338" s="86" t="b">
        <v>0</v>
      </c>
      <c r="BB338" s="86" t="b">
        <v>1</v>
      </c>
      <c r="BC338" s="86" t="b">
        <v>1</v>
      </c>
      <c r="BD338" s="86" t="b">
        <v>0</v>
      </c>
      <c r="BE338" s="86" t="b">
        <v>0</v>
      </c>
      <c r="BF338" s="86" t="b">
        <v>0</v>
      </c>
      <c r="BG338" s="86" t="b">
        <v>0</v>
      </c>
      <c r="BH338" s="96" t="str">
        <f>HYPERLINK("https://pbs.twimg.com/profile_banners/1607494398660558848/1686834047")</f>
        <v>https://pbs.twimg.com/profile_banners/1607494398660558848/1686834047</v>
      </c>
      <c r="BI338" s="86"/>
      <c r="BJ338" s="86" t="s">
        <v>29134</v>
      </c>
      <c r="BK338" s="86" t="b">
        <v>0</v>
      </c>
      <c r="BL338" s="86"/>
      <c r="BM338" s="86" t="s">
        <v>66</v>
      </c>
      <c r="BN338" s="86" t="s">
        <v>29136</v>
      </c>
      <c r="BO338" s="96" t="str">
        <f>HYPERLINK("https://twitter.com/fernandomelodn")</f>
        <v>https://twitter.com/fernandomelodn</v>
      </c>
      <c r="BP338" s="2"/>
    </row>
    <row r="339" spans="1:68" x14ac:dyDescent="0.25">
      <c r="A339" s="63" t="s">
        <v>522</v>
      </c>
      <c r="B339" s="64"/>
      <c r="C339" s="64"/>
      <c r="D339" s="65"/>
      <c r="E339" s="67"/>
      <c r="F339" s="111" t="str">
        <f>HYPERLINK("https://pbs.twimg.com/profile_images/1306609108116742144/SS43UZSs_normal.jpg")</f>
        <v>https://pbs.twimg.com/profile_images/1306609108116742144/SS43UZSs_normal.jpg</v>
      </c>
      <c r="G339" s="64"/>
      <c r="H339" s="68"/>
      <c r="I339" s="69"/>
      <c r="J339" s="69"/>
      <c r="K339" s="68" t="s">
        <v>29472</v>
      </c>
      <c r="L339" s="72"/>
      <c r="M339" s="73"/>
      <c r="N339" s="73"/>
      <c r="O339" s="74"/>
      <c r="P339" s="75"/>
      <c r="Q339" s="75"/>
      <c r="R339" s="102"/>
      <c r="S339" s="102"/>
      <c r="T339" s="102"/>
      <c r="U339" s="102"/>
      <c r="V339" s="48"/>
      <c r="W339" s="48"/>
      <c r="X339" s="48"/>
      <c r="Y339" s="48"/>
      <c r="Z339" s="47"/>
      <c r="AA339" s="70">
        <v>339</v>
      </c>
      <c r="AB339" s="70"/>
      <c r="AC339" s="71"/>
      <c r="AD339" s="86" t="s">
        <v>23973</v>
      </c>
      <c r="AE339" s="94" t="s">
        <v>22970</v>
      </c>
      <c r="AF339" s="86">
        <v>784</v>
      </c>
      <c r="AG339" s="86">
        <v>4</v>
      </c>
      <c r="AH339" s="86">
        <v>2035</v>
      </c>
      <c r="AI339" s="86">
        <v>9</v>
      </c>
      <c r="AJ339" s="86">
        <v>18</v>
      </c>
      <c r="AK339" s="86">
        <v>1961</v>
      </c>
      <c r="AL339" s="86" t="b">
        <v>0</v>
      </c>
      <c r="AM339" s="89">
        <v>44091.625555555554</v>
      </c>
      <c r="AN339" s="86" t="s">
        <v>15246</v>
      </c>
      <c r="AO339" s="86" t="s">
        <v>26730</v>
      </c>
      <c r="AP339" s="96" t="str">
        <f>HYPERLINK("https://t.co/EK50JVHx0P")</f>
        <v>https://t.co/EK50JVHx0P</v>
      </c>
      <c r="AQ339" s="96" t="str">
        <f>HYPERLINK("https://www.trabalhoefe.com.br/")</f>
        <v>https://www.trabalhoefe.com.br/</v>
      </c>
      <c r="AR339" s="86" t="s">
        <v>28132</v>
      </c>
      <c r="AS339" s="86"/>
      <c r="AT339" s="86"/>
      <c r="AU339" s="86"/>
      <c r="AV339" s="86"/>
      <c r="AW339" s="96" t="str">
        <f>HYPERLINK("https://t.co/EK50JVHx0P")</f>
        <v>https://t.co/EK50JVHx0P</v>
      </c>
      <c r="AX339" s="86" t="b">
        <v>0</v>
      </c>
      <c r="AY339" s="86"/>
      <c r="AZ339" s="86"/>
      <c r="BA339" s="86" t="b">
        <v>0</v>
      </c>
      <c r="BB339" s="86" t="b">
        <v>1</v>
      </c>
      <c r="BC339" s="86" t="b">
        <v>1</v>
      </c>
      <c r="BD339" s="86" t="b">
        <v>0</v>
      </c>
      <c r="BE339" s="86" t="b">
        <v>0</v>
      </c>
      <c r="BF339" s="86" t="b">
        <v>0</v>
      </c>
      <c r="BG339" s="86" t="b">
        <v>0</v>
      </c>
      <c r="BH339" s="96" t="str">
        <f>HYPERLINK("https://pbs.twimg.com/profile_banners/1306609003691114496/1618074150")</f>
        <v>https://pbs.twimg.com/profile_banners/1306609003691114496/1618074150</v>
      </c>
      <c r="BI339" s="86"/>
      <c r="BJ339" s="86" t="s">
        <v>29134</v>
      </c>
      <c r="BK339" s="86" t="b">
        <v>0</v>
      </c>
      <c r="BL339" s="86"/>
      <c r="BM339" s="86" t="s">
        <v>66</v>
      </c>
      <c r="BN339" s="86" t="s">
        <v>29136</v>
      </c>
      <c r="BO339" s="96" t="str">
        <f>HYPERLINK("https://twitter.com/fetrabalho1")</f>
        <v>https://twitter.com/fetrabalho1</v>
      </c>
      <c r="BP339" s="2"/>
    </row>
    <row r="340" spans="1:68" x14ac:dyDescent="0.25">
      <c r="A340" s="63" t="s">
        <v>523</v>
      </c>
      <c r="B340" s="64"/>
      <c r="C340" s="64"/>
      <c r="D340" s="65"/>
      <c r="E340" s="67"/>
      <c r="F340" s="111" t="str">
        <f>HYPERLINK("https://pbs.twimg.com/profile_images/1683810619827396608/SJJ92CA3_normal.jpg")</f>
        <v>https://pbs.twimg.com/profile_images/1683810619827396608/SJJ92CA3_normal.jpg</v>
      </c>
      <c r="G340" s="64"/>
      <c r="H340" s="68"/>
      <c r="I340" s="69"/>
      <c r="J340" s="69"/>
      <c r="K340" s="68" t="s">
        <v>29473</v>
      </c>
      <c r="L340" s="72"/>
      <c r="M340" s="73"/>
      <c r="N340" s="73"/>
      <c r="O340" s="74"/>
      <c r="P340" s="75"/>
      <c r="Q340" s="75"/>
      <c r="R340" s="102"/>
      <c r="S340" s="102"/>
      <c r="T340" s="102"/>
      <c r="U340" s="102"/>
      <c r="V340" s="48"/>
      <c r="W340" s="48"/>
      <c r="X340" s="48"/>
      <c r="Y340" s="48"/>
      <c r="Z340" s="47"/>
      <c r="AA340" s="70">
        <v>340</v>
      </c>
      <c r="AB340" s="70"/>
      <c r="AC340" s="71"/>
      <c r="AD340" s="86" t="s">
        <v>23974</v>
      </c>
      <c r="AE340" s="94" t="s">
        <v>25346</v>
      </c>
      <c r="AF340" s="86">
        <v>2066</v>
      </c>
      <c r="AG340" s="86">
        <v>2513</v>
      </c>
      <c r="AH340" s="86">
        <v>12637</v>
      </c>
      <c r="AI340" s="86">
        <v>14</v>
      </c>
      <c r="AJ340" s="86">
        <v>1252</v>
      </c>
      <c r="AK340" s="86">
        <v>979</v>
      </c>
      <c r="AL340" s="86" t="b">
        <v>0</v>
      </c>
      <c r="AM340" s="89">
        <v>40066.818958333337</v>
      </c>
      <c r="AN340" s="86" t="s">
        <v>15234</v>
      </c>
      <c r="AO340" s="86" t="s">
        <v>26731</v>
      </c>
      <c r="AP340" s="96" t="str">
        <f>HYPERLINK("https://t.co/oAiG3fai7A")</f>
        <v>https://t.co/oAiG3fai7A</v>
      </c>
      <c r="AQ340" s="96" t="str">
        <f>HYPERLINK("http://www.universidadefm.ufma.br")</f>
        <v>http://www.universidadefm.ufma.br</v>
      </c>
      <c r="AR340" s="86" t="s">
        <v>28133</v>
      </c>
      <c r="AS340" s="86"/>
      <c r="AT340" s="86"/>
      <c r="AU340" s="86"/>
      <c r="AV340" s="86"/>
      <c r="AW340" s="96" t="str">
        <f>HYPERLINK("https://t.co/oAiG3fai7A")</f>
        <v>https://t.co/oAiG3fai7A</v>
      </c>
      <c r="AX340" s="86" t="b">
        <v>0</v>
      </c>
      <c r="AY340" s="86"/>
      <c r="AZ340" s="86"/>
      <c r="BA340" s="86" t="b">
        <v>0</v>
      </c>
      <c r="BB340" s="86" t="b">
        <v>1</v>
      </c>
      <c r="BC340" s="86" t="b">
        <v>0</v>
      </c>
      <c r="BD340" s="86" t="b">
        <v>0</v>
      </c>
      <c r="BE340" s="86" t="b">
        <v>1</v>
      </c>
      <c r="BF340" s="86" t="b">
        <v>0</v>
      </c>
      <c r="BG340" s="86" t="b">
        <v>0</v>
      </c>
      <c r="BH340" s="96" t="str">
        <f>HYPERLINK("https://pbs.twimg.com/profile_banners/73200757/1626344478")</f>
        <v>https://pbs.twimg.com/profile_banners/73200757/1626344478</v>
      </c>
      <c r="BI340" s="86"/>
      <c r="BJ340" s="86" t="s">
        <v>29134</v>
      </c>
      <c r="BK340" s="86" t="b">
        <v>0</v>
      </c>
      <c r="BL340" s="86"/>
      <c r="BM340" s="86" t="s">
        <v>66</v>
      </c>
      <c r="BN340" s="86" t="s">
        <v>29136</v>
      </c>
      <c r="BO340" s="96" t="str">
        <f>HYPERLINK("https://twitter.com/adalbertopcjr")</f>
        <v>https://twitter.com/adalbertopcjr</v>
      </c>
      <c r="BP340" s="2"/>
    </row>
    <row r="341" spans="1:68" x14ac:dyDescent="0.25">
      <c r="A341" s="63" t="s">
        <v>525</v>
      </c>
      <c r="B341" s="64"/>
      <c r="C341" s="64"/>
      <c r="D341" s="65"/>
      <c r="E341" s="67"/>
      <c r="F341" s="111" t="str">
        <f>HYPERLINK("https://pbs.twimg.com/profile_images/1252305565574987784/hDWCJ-rv_normal.jpg")</f>
        <v>https://pbs.twimg.com/profile_images/1252305565574987784/hDWCJ-rv_normal.jpg</v>
      </c>
      <c r="G341" s="64"/>
      <c r="H341" s="68"/>
      <c r="I341" s="69"/>
      <c r="J341" s="69"/>
      <c r="K341" s="68" t="s">
        <v>29474</v>
      </c>
      <c r="L341" s="72"/>
      <c r="M341" s="73"/>
      <c r="N341" s="73"/>
      <c r="O341" s="74"/>
      <c r="P341" s="75"/>
      <c r="Q341" s="75"/>
      <c r="R341" s="102"/>
      <c r="S341" s="102"/>
      <c r="T341" s="102"/>
      <c r="U341" s="102"/>
      <c r="V341" s="48"/>
      <c r="W341" s="48"/>
      <c r="X341" s="48"/>
      <c r="Y341" s="48"/>
      <c r="Z341" s="47"/>
      <c r="AA341" s="70">
        <v>341</v>
      </c>
      <c r="AB341" s="70"/>
      <c r="AC341" s="71"/>
      <c r="AD341" s="86" t="s">
        <v>23975</v>
      </c>
      <c r="AE341" s="94" t="s">
        <v>22971</v>
      </c>
      <c r="AF341" s="86">
        <v>10</v>
      </c>
      <c r="AG341" s="86">
        <v>2</v>
      </c>
      <c r="AH341" s="86">
        <v>766</v>
      </c>
      <c r="AI341" s="86">
        <v>0</v>
      </c>
      <c r="AJ341" s="86">
        <v>665</v>
      </c>
      <c r="AK341" s="86">
        <v>17</v>
      </c>
      <c r="AL341" s="86" t="b">
        <v>0</v>
      </c>
      <c r="AM341" s="89">
        <v>43941.775925925926</v>
      </c>
      <c r="AN341" s="86"/>
      <c r="AO341" s="86" t="s">
        <v>26732</v>
      </c>
      <c r="AP341" s="86"/>
      <c r="AQ341" s="86"/>
      <c r="AR341" s="86"/>
      <c r="AS341" s="86"/>
      <c r="AT341" s="86"/>
      <c r="AU341" s="86"/>
      <c r="AV341" s="86"/>
      <c r="AW341" s="86"/>
      <c r="AX341" s="86" t="b">
        <v>0</v>
      </c>
      <c r="AY341" s="86"/>
      <c r="AZ341" s="86"/>
      <c r="BA341" s="86" t="b">
        <v>0</v>
      </c>
      <c r="BB341" s="86" t="b">
        <v>1</v>
      </c>
      <c r="BC341" s="86" t="b">
        <v>1</v>
      </c>
      <c r="BD341" s="86" t="b">
        <v>0</v>
      </c>
      <c r="BE341" s="86" t="b">
        <v>1</v>
      </c>
      <c r="BF341" s="86" t="b">
        <v>0</v>
      </c>
      <c r="BG341" s="86" t="b">
        <v>0</v>
      </c>
      <c r="BH341" s="86"/>
      <c r="BI341" s="86"/>
      <c r="BJ341" s="86" t="s">
        <v>29134</v>
      </c>
      <c r="BK341" s="86" t="b">
        <v>0</v>
      </c>
      <c r="BL341" s="86"/>
      <c r="BM341" s="86" t="s">
        <v>66</v>
      </c>
      <c r="BN341" s="86" t="s">
        <v>29136</v>
      </c>
      <c r="BO341" s="96" t="str">
        <f>HYPERLINK("https://twitter.com/carloso36490707")</f>
        <v>https://twitter.com/carloso36490707</v>
      </c>
      <c r="BP341" s="2"/>
    </row>
    <row r="342" spans="1:68" x14ac:dyDescent="0.25">
      <c r="A342" s="63" t="s">
        <v>526</v>
      </c>
      <c r="B342" s="64"/>
      <c r="C342" s="64"/>
      <c r="D342" s="65"/>
      <c r="E342" s="67"/>
      <c r="F342" s="111" t="str">
        <f>HYPERLINK("https://pbs.twimg.com/profile_images/1606002465253560331/tEaMxq3i_normal.jpg")</f>
        <v>https://pbs.twimg.com/profile_images/1606002465253560331/tEaMxq3i_normal.jpg</v>
      </c>
      <c r="G342" s="64"/>
      <c r="H342" s="68"/>
      <c r="I342" s="69"/>
      <c r="J342" s="69"/>
      <c r="K342" s="68" t="s">
        <v>29475</v>
      </c>
      <c r="L342" s="72"/>
      <c r="M342" s="73"/>
      <c r="N342" s="73"/>
      <c r="O342" s="74"/>
      <c r="P342" s="75"/>
      <c r="Q342" s="75"/>
      <c r="R342" s="102"/>
      <c r="S342" s="102"/>
      <c r="T342" s="102"/>
      <c r="U342" s="102"/>
      <c r="V342" s="48"/>
      <c r="W342" s="48"/>
      <c r="X342" s="48"/>
      <c r="Y342" s="48"/>
      <c r="Z342" s="47"/>
      <c r="AA342" s="70">
        <v>342</v>
      </c>
      <c r="AB342" s="70"/>
      <c r="AC342" s="71"/>
      <c r="AD342" s="86" t="s">
        <v>23976</v>
      </c>
      <c r="AE342" s="94" t="s">
        <v>25347</v>
      </c>
      <c r="AF342" s="86">
        <v>856</v>
      </c>
      <c r="AG342" s="86">
        <v>621</v>
      </c>
      <c r="AH342" s="86">
        <v>655</v>
      </c>
      <c r="AI342" s="86">
        <v>9</v>
      </c>
      <c r="AJ342" s="86">
        <v>117</v>
      </c>
      <c r="AK342" s="86">
        <v>34</v>
      </c>
      <c r="AL342" s="86" t="b">
        <v>0</v>
      </c>
      <c r="AM342" s="89">
        <v>40029.73474537037</v>
      </c>
      <c r="AN342" s="86" t="s">
        <v>15234</v>
      </c>
      <c r="AO342" s="86" t="s">
        <v>26733</v>
      </c>
      <c r="AP342" s="96" t="str">
        <f>HYPERLINK("https://t.co/dvAe403YJZ")</f>
        <v>https://t.co/dvAe403YJZ</v>
      </c>
      <c r="AQ342" s="96" t="str">
        <f>HYPERLINK("https://www.diretogroup.com/")</f>
        <v>https://www.diretogroup.com/</v>
      </c>
      <c r="AR342" s="86" t="s">
        <v>8425</v>
      </c>
      <c r="AS342" s="86"/>
      <c r="AT342" s="86"/>
      <c r="AU342" s="86"/>
      <c r="AV342" s="86"/>
      <c r="AW342" s="96" t="str">
        <f>HYPERLINK("https://t.co/dvAe403YJZ")</f>
        <v>https://t.co/dvAe403YJZ</v>
      </c>
      <c r="AX342" s="86" t="b">
        <v>0</v>
      </c>
      <c r="AY342" s="86"/>
      <c r="AZ342" s="86"/>
      <c r="BA342" s="86" t="b">
        <v>0</v>
      </c>
      <c r="BB342" s="86" t="b">
        <v>1</v>
      </c>
      <c r="BC342" s="86" t="b">
        <v>0</v>
      </c>
      <c r="BD342" s="86" t="b">
        <v>0</v>
      </c>
      <c r="BE342" s="86" t="b">
        <v>1</v>
      </c>
      <c r="BF342" s="86" t="b">
        <v>0</v>
      </c>
      <c r="BG342" s="86" t="b">
        <v>0</v>
      </c>
      <c r="BH342" s="96" t="str">
        <f>HYPERLINK("https://pbs.twimg.com/profile_banners/62877090/1641306038")</f>
        <v>https://pbs.twimg.com/profile_banners/62877090/1641306038</v>
      </c>
      <c r="BI342" s="86"/>
      <c r="BJ342" s="86" t="s">
        <v>29134</v>
      </c>
      <c r="BK342" s="86" t="b">
        <v>0</v>
      </c>
      <c r="BL342" s="86"/>
      <c r="BM342" s="86" t="s">
        <v>66</v>
      </c>
      <c r="BN342" s="86" t="s">
        <v>29136</v>
      </c>
      <c r="BO342" s="96" t="str">
        <f>HYPERLINK("https://twitter.com/diretogroup")</f>
        <v>https://twitter.com/diretogroup</v>
      </c>
      <c r="BP342" s="2"/>
    </row>
    <row r="343" spans="1:68" x14ac:dyDescent="0.25">
      <c r="A343" s="63" t="s">
        <v>527</v>
      </c>
      <c r="B343" s="64"/>
      <c r="C343" s="64"/>
      <c r="D343" s="65"/>
      <c r="E343" s="67"/>
      <c r="F343" s="111" t="str">
        <f>HYPERLINK("https://pbs.twimg.com/profile_images/1252997763446509579/UuuTRFi9_normal.jpg")</f>
        <v>https://pbs.twimg.com/profile_images/1252997763446509579/UuuTRFi9_normal.jpg</v>
      </c>
      <c r="G343" s="64"/>
      <c r="H343" s="68"/>
      <c r="I343" s="69"/>
      <c r="J343" s="69"/>
      <c r="K343" s="68" t="s">
        <v>29476</v>
      </c>
      <c r="L343" s="72"/>
      <c r="M343" s="73"/>
      <c r="N343" s="73"/>
      <c r="O343" s="74"/>
      <c r="P343" s="75"/>
      <c r="Q343" s="75"/>
      <c r="R343" s="102"/>
      <c r="S343" s="102"/>
      <c r="T343" s="102"/>
      <c r="U343" s="102"/>
      <c r="V343" s="48"/>
      <c r="W343" s="48"/>
      <c r="X343" s="48"/>
      <c r="Y343" s="48"/>
      <c r="Z343" s="47"/>
      <c r="AA343" s="70">
        <v>343</v>
      </c>
      <c r="AB343" s="70"/>
      <c r="AC343" s="71"/>
      <c r="AD343" s="86" t="s">
        <v>23977</v>
      </c>
      <c r="AE343" s="94" t="s">
        <v>25348</v>
      </c>
      <c r="AF343" s="86">
        <v>860</v>
      </c>
      <c r="AG343" s="86">
        <v>2365</v>
      </c>
      <c r="AH343" s="86">
        <v>2296</v>
      </c>
      <c r="AI343" s="86">
        <v>11</v>
      </c>
      <c r="AJ343" s="86">
        <v>4824</v>
      </c>
      <c r="AK343" s="86">
        <v>65</v>
      </c>
      <c r="AL343" s="86" t="b">
        <v>0</v>
      </c>
      <c r="AM343" s="89">
        <v>40063.593391203707</v>
      </c>
      <c r="AN343" s="86" t="s">
        <v>26002</v>
      </c>
      <c r="AO343" s="86" t="s">
        <v>26734</v>
      </c>
      <c r="AP343" s="96" t="str">
        <f>HYPERLINK("https://t.co/L6Mm3Wz8d6")</f>
        <v>https://t.co/L6Mm3Wz8d6</v>
      </c>
      <c r="AQ343" s="96" t="str">
        <f>HYPERLINK("http://www.ahistorianaparede.blogspot.com")</f>
        <v>http://www.ahistorianaparede.blogspot.com</v>
      </c>
      <c r="AR343" s="86" t="s">
        <v>28134</v>
      </c>
      <c r="AS343" s="86"/>
      <c r="AT343" s="86"/>
      <c r="AU343" s="86"/>
      <c r="AV343" s="86"/>
      <c r="AW343" s="96" t="str">
        <f>HYPERLINK("https://t.co/L6Mm3Wz8d6")</f>
        <v>https://t.co/L6Mm3Wz8d6</v>
      </c>
      <c r="AX343" s="86" t="b">
        <v>0</v>
      </c>
      <c r="AY343" s="86"/>
      <c r="AZ343" s="86"/>
      <c r="BA343" s="86" t="b">
        <v>0</v>
      </c>
      <c r="BB343" s="86" t="b">
        <v>1</v>
      </c>
      <c r="BC343" s="86" t="b">
        <v>1</v>
      </c>
      <c r="BD343" s="86" t="b">
        <v>0</v>
      </c>
      <c r="BE343" s="86" t="b">
        <v>0</v>
      </c>
      <c r="BF343" s="86" t="b">
        <v>0</v>
      </c>
      <c r="BG343" s="86" t="b">
        <v>0</v>
      </c>
      <c r="BH343" s="96" t="str">
        <f>HYPERLINK("https://pbs.twimg.com/profile_banners/72289332/1611238629")</f>
        <v>https://pbs.twimg.com/profile_banners/72289332/1611238629</v>
      </c>
      <c r="BI343" s="86"/>
      <c r="BJ343" s="86" t="s">
        <v>29134</v>
      </c>
      <c r="BK343" s="86" t="b">
        <v>0</v>
      </c>
      <c r="BL343" s="86"/>
      <c r="BM343" s="86" t="s">
        <v>66</v>
      </c>
      <c r="BN343" s="86" t="s">
        <v>29136</v>
      </c>
      <c r="BO343" s="96" t="str">
        <f>HYPERLINK("https://twitter.com/andersondiego6")</f>
        <v>https://twitter.com/andersondiego6</v>
      </c>
      <c r="BP343" s="2"/>
    </row>
    <row r="344" spans="1:68" x14ac:dyDescent="0.25">
      <c r="A344" s="63" t="s">
        <v>1648</v>
      </c>
      <c r="B344" s="64"/>
      <c r="C344" s="64"/>
      <c r="D344" s="65"/>
      <c r="E344" s="67"/>
      <c r="F344" s="111" t="str">
        <f>HYPERLINK("https://pbs.twimg.com/profile_images/1315373231168258059/FUy6vR7Q_normal.jpg")</f>
        <v>https://pbs.twimg.com/profile_images/1315373231168258059/FUy6vR7Q_normal.jpg</v>
      </c>
      <c r="G344" s="64"/>
      <c r="H344" s="68"/>
      <c r="I344" s="69"/>
      <c r="J344" s="69"/>
      <c r="K344" s="68" t="s">
        <v>29477</v>
      </c>
      <c r="L344" s="72"/>
      <c r="M344" s="73"/>
      <c r="N344" s="73"/>
      <c r="O344" s="74"/>
      <c r="P344" s="75"/>
      <c r="Q344" s="75"/>
      <c r="R344" s="102"/>
      <c r="S344" s="102"/>
      <c r="T344" s="102"/>
      <c r="U344" s="102"/>
      <c r="V344" s="48"/>
      <c r="W344" s="48"/>
      <c r="X344" s="48"/>
      <c r="Y344" s="48"/>
      <c r="Z344" s="47"/>
      <c r="AA344" s="70">
        <v>344</v>
      </c>
      <c r="AB344" s="70"/>
      <c r="AC344" s="71"/>
      <c r="AD344" s="86" t="s">
        <v>23978</v>
      </c>
      <c r="AE344" s="94" t="s">
        <v>25349</v>
      </c>
      <c r="AF344" s="86">
        <v>10795</v>
      </c>
      <c r="AG344" s="86">
        <v>405</v>
      </c>
      <c r="AH344" s="86">
        <v>18496</v>
      </c>
      <c r="AI344" s="86">
        <v>76</v>
      </c>
      <c r="AJ344" s="86">
        <v>5424</v>
      </c>
      <c r="AK344" s="86">
        <v>5490</v>
      </c>
      <c r="AL344" s="86" t="b">
        <v>0</v>
      </c>
      <c r="AM344" s="89">
        <v>40199.35733796296</v>
      </c>
      <c r="AN344" s="86" t="s">
        <v>15421</v>
      </c>
      <c r="AO344" s="86" t="s">
        <v>26735</v>
      </c>
      <c r="AP344" s="96" t="str">
        <f>HYPERLINK("https://t.co/zg2D39wcNO")</f>
        <v>https://t.co/zg2D39wcNO</v>
      </c>
      <c r="AQ344" s="96" t="str">
        <f>HYPERLINK("http://www.cedesconsultoria.com.br")</f>
        <v>http://www.cedesconsultoria.com.br</v>
      </c>
      <c r="AR344" s="86" t="s">
        <v>28135</v>
      </c>
      <c r="AS344" s="96" t="str">
        <f>HYPERLINK("https://t.co/9eyNOzUgPN")</f>
        <v>https://t.co/9eyNOzUgPN</v>
      </c>
      <c r="AT344" s="96" t="str">
        <f>HYPERLINK("https://linktr.ee/eciocosta")</f>
        <v>https://linktr.ee/eciocosta</v>
      </c>
      <c r="AU344" s="86" t="s">
        <v>29051</v>
      </c>
      <c r="AV344" s="86">
        <v>1.6819733871937201E+18</v>
      </c>
      <c r="AW344" s="96" t="str">
        <f>HYPERLINK("https://t.co/zg2D39wcNO")</f>
        <v>https://t.co/zg2D39wcNO</v>
      </c>
      <c r="AX344" s="86" t="b">
        <v>1</v>
      </c>
      <c r="AY344" s="86"/>
      <c r="AZ344" s="86"/>
      <c r="BA344" s="86" t="b">
        <v>1</v>
      </c>
      <c r="BB344" s="86" t="b">
        <v>1</v>
      </c>
      <c r="BC344" s="86" t="b">
        <v>1</v>
      </c>
      <c r="BD344" s="86" t="b">
        <v>0</v>
      </c>
      <c r="BE344" s="86" t="b">
        <v>1</v>
      </c>
      <c r="BF344" s="86" t="b">
        <v>0</v>
      </c>
      <c r="BG344" s="86" t="b">
        <v>1</v>
      </c>
      <c r="BH344" s="96" t="str">
        <f>HYPERLINK("https://pbs.twimg.com/profile_banners/106995471/1683133360")</f>
        <v>https://pbs.twimg.com/profile_banners/106995471/1683133360</v>
      </c>
      <c r="BI344" s="86"/>
      <c r="BJ344" s="86" t="s">
        <v>29134</v>
      </c>
      <c r="BK344" s="86" t="b">
        <v>0</v>
      </c>
      <c r="BL344" s="86"/>
      <c r="BM344" s="86" t="s">
        <v>65</v>
      </c>
      <c r="BN344" s="86" t="s">
        <v>29136</v>
      </c>
      <c r="BO344" s="96" t="str">
        <f>HYPERLINK("https://twitter.com/eciocosta")</f>
        <v>https://twitter.com/eciocosta</v>
      </c>
      <c r="BP344" s="2"/>
    </row>
    <row r="345" spans="1:68" x14ac:dyDescent="0.25">
      <c r="A345" s="63" t="s">
        <v>1649</v>
      </c>
      <c r="B345" s="64"/>
      <c r="C345" s="64"/>
      <c r="D345" s="65"/>
      <c r="E345" s="67"/>
      <c r="F345" s="111" t="str">
        <f>HYPERLINK("https://pbs.twimg.com/profile_images/1336041992573382665/VROyN7AV_normal.jpg")</f>
        <v>https://pbs.twimg.com/profile_images/1336041992573382665/VROyN7AV_normal.jpg</v>
      </c>
      <c r="G345" s="64"/>
      <c r="H345" s="68"/>
      <c r="I345" s="69"/>
      <c r="J345" s="69"/>
      <c r="K345" s="68" t="s">
        <v>29478</v>
      </c>
      <c r="L345" s="72"/>
      <c r="M345" s="73"/>
      <c r="N345" s="73"/>
      <c r="O345" s="74"/>
      <c r="P345" s="75"/>
      <c r="Q345" s="75"/>
      <c r="R345" s="102"/>
      <c r="S345" s="102"/>
      <c r="T345" s="102"/>
      <c r="U345" s="102"/>
      <c r="V345" s="48"/>
      <c r="W345" s="48"/>
      <c r="X345" s="48"/>
      <c r="Y345" s="48"/>
      <c r="Z345" s="47"/>
      <c r="AA345" s="70">
        <v>345</v>
      </c>
      <c r="AB345" s="70"/>
      <c r="AC345" s="71"/>
      <c r="AD345" s="86" t="s">
        <v>23979</v>
      </c>
      <c r="AE345" s="94" t="s">
        <v>25350</v>
      </c>
      <c r="AF345" s="86">
        <v>613</v>
      </c>
      <c r="AG345" s="86">
        <v>368</v>
      </c>
      <c r="AH345" s="86">
        <v>663</v>
      </c>
      <c r="AI345" s="86">
        <v>3</v>
      </c>
      <c r="AJ345" s="86">
        <v>5</v>
      </c>
      <c r="AK345" s="86">
        <v>199</v>
      </c>
      <c r="AL345" s="86" t="b">
        <v>0</v>
      </c>
      <c r="AM345" s="89">
        <v>40633.014560185184</v>
      </c>
      <c r="AN345" s="86" t="s">
        <v>26003</v>
      </c>
      <c r="AO345" s="86" t="s">
        <v>26736</v>
      </c>
      <c r="AP345" s="96" t="str">
        <f>HYPERLINK("https://t.co/CihBVEox4J")</f>
        <v>https://t.co/CihBVEox4J</v>
      </c>
      <c r="AQ345" s="96" t="str">
        <f>HYPERLINK("https://www.unifacol.edu.br")</f>
        <v>https://www.unifacol.edu.br</v>
      </c>
      <c r="AR345" s="86" t="s">
        <v>28136</v>
      </c>
      <c r="AS345" s="86"/>
      <c r="AT345" s="86"/>
      <c r="AU345" s="86"/>
      <c r="AV345" s="86"/>
      <c r="AW345" s="96" t="str">
        <f>HYPERLINK("https://t.co/CihBVEox4J")</f>
        <v>https://t.co/CihBVEox4J</v>
      </c>
      <c r="AX345" s="86" t="b">
        <v>0</v>
      </c>
      <c r="AY345" s="86"/>
      <c r="AZ345" s="86"/>
      <c r="BA345" s="86" t="b">
        <v>0</v>
      </c>
      <c r="BB345" s="86" t="b">
        <v>1</v>
      </c>
      <c r="BC345" s="86" t="b">
        <v>0</v>
      </c>
      <c r="BD345" s="86" t="b">
        <v>0</v>
      </c>
      <c r="BE345" s="86" t="b">
        <v>0</v>
      </c>
      <c r="BF345" s="86" t="b">
        <v>0</v>
      </c>
      <c r="BG345" s="86" t="b">
        <v>0</v>
      </c>
      <c r="BH345" s="96" t="str">
        <f>HYPERLINK("https://pbs.twimg.com/profile_banners/274763730/1607372299")</f>
        <v>https://pbs.twimg.com/profile_banners/274763730/1607372299</v>
      </c>
      <c r="BI345" s="86"/>
      <c r="BJ345" s="86" t="s">
        <v>29134</v>
      </c>
      <c r="BK345" s="86" t="b">
        <v>0</v>
      </c>
      <c r="BL345" s="86"/>
      <c r="BM345" s="86" t="s">
        <v>65</v>
      </c>
      <c r="BN345" s="86" t="s">
        <v>29136</v>
      </c>
      <c r="BO345" s="96" t="str">
        <f>HYPERLINK("https://twitter.com/unifacol")</f>
        <v>https://twitter.com/unifacol</v>
      </c>
      <c r="BP345" s="2"/>
    </row>
    <row r="346" spans="1:68" x14ac:dyDescent="0.25">
      <c r="A346" s="63" t="s">
        <v>528</v>
      </c>
      <c r="B346" s="64"/>
      <c r="C346" s="64"/>
      <c r="D346" s="65"/>
      <c r="E346" s="67"/>
      <c r="F346" s="111" t="str">
        <f>HYPERLINK("https://pbs.twimg.com/profile_images/1704685945197342720/tRps4kzC_normal.jpg")</f>
        <v>https://pbs.twimg.com/profile_images/1704685945197342720/tRps4kzC_normal.jpg</v>
      </c>
      <c r="G346" s="64"/>
      <c r="H346" s="68"/>
      <c r="I346" s="69"/>
      <c r="J346" s="69"/>
      <c r="K346" s="68" t="s">
        <v>29479</v>
      </c>
      <c r="L346" s="72"/>
      <c r="M346" s="73"/>
      <c r="N346" s="73"/>
      <c r="O346" s="74"/>
      <c r="P346" s="75"/>
      <c r="Q346" s="75"/>
      <c r="R346" s="102"/>
      <c r="S346" s="102"/>
      <c r="T346" s="102"/>
      <c r="U346" s="102"/>
      <c r="V346" s="48"/>
      <c r="W346" s="48"/>
      <c r="X346" s="48"/>
      <c r="Y346" s="48"/>
      <c r="Z346" s="47"/>
      <c r="AA346" s="70">
        <v>346</v>
      </c>
      <c r="AB346" s="70"/>
      <c r="AC346" s="71"/>
      <c r="AD346" s="86" t="s">
        <v>23980</v>
      </c>
      <c r="AE346" s="94" t="s">
        <v>25351</v>
      </c>
      <c r="AF346" s="86">
        <v>393</v>
      </c>
      <c r="AG346" s="86">
        <v>656</v>
      </c>
      <c r="AH346" s="86">
        <v>6825</v>
      </c>
      <c r="AI346" s="86">
        <v>1</v>
      </c>
      <c r="AJ346" s="86">
        <v>1994</v>
      </c>
      <c r="AK346" s="86">
        <v>139</v>
      </c>
      <c r="AL346" s="86" t="b">
        <v>0</v>
      </c>
      <c r="AM346" s="89">
        <v>40567.967361111114</v>
      </c>
      <c r="AN346" s="86"/>
      <c r="AO346" s="86" t="s">
        <v>26737</v>
      </c>
      <c r="AP346" s="86"/>
      <c r="AQ346" s="86"/>
      <c r="AR346" s="86"/>
      <c r="AS346" s="86"/>
      <c r="AT346" s="86"/>
      <c r="AU346" s="86"/>
      <c r="AV346" s="86"/>
      <c r="AW346" s="86"/>
      <c r="AX346" s="86" t="b">
        <v>0</v>
      </c>
      <c r="AY346" s="86"/>
      <c r="AZ346" s="86"/>
      <c r="BA346" s="86" t="b">
        <v>0</v>
      </c>
      <c r="BB346" s="86" t="b">
        <v>1</v>
      </c>
      <c r="BC346" s="86" t="b">
        <v>0</v>
      </c>
      <c r="BD346" s="86" t="b">
        <v>0</v>
      </c>
      <c r="BE346" s="86" t="b">
        <v>0</v>
      </c>
      <c r="BF346" s="86" t="b">
        <v>0</v>
      </c>
      <c r="BG346" s="86" t="b">
        <v>0</v>
      </c>
      <c r="BH346" s="96" t="str">
        <f>HYPERLINK("https://pbs.twimg.com/profile_banners/242505613/1676513767")</f>
        <v>https://pbs.twimg.com/profile_banners/242505613/1676513767</v>
      </c>
      <c r="BI346" s="86"/>
      <c r="BJ346" s="86" t="s">
        <v>29134</v>
      </c>
      <c r="BK346" s="86" t="b">
        <v>0</v>
      </c>
      <c r="BL346" s="86"/>
      <c r="BM346" s="86" t="s">
        <v>66</v>
      </c>
      <c r="BN346" s="86" t="s">
        <v>29136</v>
      </c>
      <c r="BO346" s="96" t="str">
        <f>HYPERLINK("https://twitter.com/socanterle")</f>
        <v>https://twitter.com/socanterle</v>
      </c>
      <c r="BP346" s="2"/>
    </row>
    <row r="347" spans="1:68" x14ac:dyDescent="0.25">
      <c r="A347" s="63" t="s">
        <v>529</v>
      </c>
      <c r="B347" s="64"/>
      <c r="C347" s="64"/>
      <c r="D347" s="65"/>
      <c r="E347" s="67"/>
      <c r="F347" s="111" t="str">
        <f>HYPERLINK("https://pbs.twimg.com/profile_images/1661450350891507713/85jhiJWy_normal.jpg")</f>
        <v>https://pbs.twimg.com/profile_images/1661450350891507713/85jhiJWy_normal.jpg</v>
      </c>
      <c r="G347" s="64"/>
      <c r="H347" s="68"/>
      <c r="I347" s="69"/>
      <c r="J347" s="69"/>
      <c r="K347" s="68" t="s">
        <v>29480</v>
      </c>
      <c r="L347" s="72"/>
      <c r="M347" s="73"/>
      <c r="N347" s="73"/>
      <c r="O347" s="74"/>
      <c r="P347" s="75"/>
      <c r="Q347" s="75"/>
      <c r="R347" s="102"/>
      <c r="S347" s="102"/>
      <c r="T347" s="102"/>
      <c r="U347" s="102"/>
      <c r="V347" s="48"/>
      <c r="W347" s="48"/>
      <c r="X347" s="48"/>
      <c r="Y347" s="48"/>
      <c r="Z347" s="47"/>
      <c r="AA347" s="70">
        <v>347</v>
      </c>
      <c r="AB347" s="70"/>
      <c r="AC347" s="71"/>
      <c r="AD347" s="86" t="s">
        <v>23981</v>
      </c>
      <c r="AE347" s="94" t="s">
        <v>22972</v>
      </c>
      <c r="AF347" s="86">
        <v>40</v>
      </c>
      <c r="AG347" s="86">
        <v>89</v>
      </c>
      <c r="AH347" s="86">
        <v>966</v>
      </c>
      <c r="AI347" s="86">
        <v>0</v>
      </c>
      <c r="AJ347" s="86">
        <v>479</v>
      </c>
      <c r="AK347" s="86">
        <v>102</v>
      </c>
      <c r="AL347" s="86" t="b">
        <v>0</v>
      </c>
      <c r="AM347" s="89">
        <v>43493.740601851852</v>
      </c>
      <c r="AN347" s="86" t="s">
        <v>26004</v>
      </c>
      <c r="AO347" s="86"/>
      <c r="AP347" s="96" t="str">
        <f>HYPERLINK("https://t.co/42bl7cYGv6")</f>
        <v>https://t.co/42bl7cYGv6</v>
      </c>
      <c r="AQ347" s="96" t="str">
        <f>HYPERLINK("https://instagram.com/salomaoferretti?igshid=MzRlODBiNWFlZA==")</f>
        <v>https://instagram.com/salomaoferretti?igshid=MzRlODBiNWFlZA==</v>
      </c>
      <c r="AR347" s="86" t="s">
        <v>28137</v>
      </c>
      <c r="AS347" s="86"/>
      <c r="AT347" s="86"/>
      <c r="AU347" s="86"/>
      <c r="AV347" s="86">
        <v>1.6614503803483699E+18</v>
      </c>
      <c r="AW347" s="96" t="str">
        <f>HYPERLINK("https://t.co/42bl7cYGv6")</f>
        <v>https://t.co/42bl7cYGv6</v>
      </c>
      <c r="AX347" s="86" t="b">
        <v>0</v>
      </c>
      <c r="AY347" s="86"/>
      <c r="AZ347" s="86"/>
      <c r="BA347" s="86" t="b">
        <v>1</v>
      </c>
      <c r="BB347" s="86" t="b">
        <v>0</v>
      </c>
      <c r="BC347" s="86" t="b">
        <v>1</v>
      </c>
      <c r="BD347" s="86" t="b">
        <v>0</v>
      </c>
      <c r="BE347" s="86" t="b">
        <v>0</v>
      </c>
      <c r="BF347" s="86" t="b">
        <v>0</v>
      </c>
      <c r="BG347" s="86" t="b">
        <v>0</v>
      </c>
      <c r="BH347" s="96" t="str">
        <f>HYPERLINK("https://pbs.twimg.com/profile_banners/1089942798059692038/1684713252")</f>
        <v>https://pbs.twimg.com/profile_banners/1089942798059692038/1684713252</v>
      </c>
      <c r="BI347" s="86"/>
      <c r="BJ347" s="86" t="s">
        <v>29134</v>
      </c>
      <c r="BK347" s="86" t="b">
        <v>0</v>
      </c>
      <c r="BL347" s="86"/>
      <c r="BM347" s="86" t="s">
        <v>66</v>
      </c>
      <c r="BN347" s="86" t="s">
        <v>29136</v>
      </c>
      <c r="BO347" s="96" t="str">
        <f>HYPERLINK("https://twitter.com/salomaoferretti")</f>
        <v>https://twitter.com/salomaoferretti</v>
      </c>
      <c r="BP347" s="2"/>
    </row>
    <row r="348" spans="1:68" x14ac:dyDescent="0.25">
      <c r="A348" s="63" t="s">
        <v>530</v>
      </c>
      <c r="B348" s="64"/>
      <c r="C348" s="64"/>
      <c r="D348" s="65"/>
      <c r="E348" s="67"/>
      <c r="F348" s="111" t="str">
        <f>HYPERLINK("https://pbs.twimg.com/profile_images/1456289137431044096/2OE7xA5R_normal.jpg")</f>
        <v>https://pbs.twimg.com/profile_images/1456289137431044096/2OE7xA5R_normal.jpg</v>
      </c>
      <c r="G348" s="64"/>
      <c r="H348" s="68"/>
      <c r="I348" s="69"/>
      <c r="J348" s="69"/>
      <c r="K348" s="68" t="s">
        <v>29481</v>
      </c>
      <c r="L348" s="72"/>
      <c r="M348" s="73"/>
      <c r="N348" s="73"/>
      <c r="O348" s="74"/>
      <c r="P348" s="75"/>
      <c r="Q348" s="75"/>
      <c r="R348" s="102"/>
      <c r="S348" s="102"/>
      <c r="T348" s="102"/>
      <c r="U348" s="102"/>
      <c r="V348" s="48"/>
      <c r="W348" s="48"/>
      <c r="X348" s="48"/>
      <c r="Y348" s="48"/>
      <c r="Z348" s="47"/>
      <c r="AA348" s="70">
        <v>348</v>
      </c>
      <c r="AB348" s="70"/>
      <c r="AC348" s="71"/>
      <c r="AD348" s="86" t="s">
        <v>23982</v>
      </c>
      <c r="AE348" s="94" t="s">
        <v>25352</v>
      </c>
      <c r="AF348" s="86">
        <v>443</v>
      </c>
      <c r="AG348" s="86">
        <v>66</v>
      </c>
      <c r="AH348" s="86">
        <v>11437</v>
      </c>
      <c r="AI348" s="86">
        <v>5</v>
      </c>
      <c r="AJ348" s="86">
        <v>2808</v>
      </c>
      <c r="AK348" s="86">
        <v>762</v>
      </c>
      <c r="AL348" s="86" t="b">
        <v>0</v>
      </c>
      <c r="AM348" s="89">
        <v>41563.644826388889</v>
      </c>
      <c r="AN348" s="86" t="s">
        <v>26005</v>
      </c>
      <c r="AO348" s="86" t="s">
        <v>26738</v>
      </c>
      <c r="AP348" s="96" t="str">
        <f>HYPERLINK("https://t.co/mXhdzUnMiC")</f>
        <v>https://t.co/mXhdzUnMiC</v>
      </c>
      <c r="AQ348" s="96" t="str">
        <f>HYPERLINK("http://www.bcq.usp.br")</f>
        <v>http://www.bcq.usp.br</v>
      </c>
      <c r="AR348" s="86" t="s">
        <v>28138</v>
      </c>
      <c r="AS348" s="86"/>
      <c r="AT348" s="86"/>
      <c r="AU348" s="86"/>
      <c r="AV348" s="86">
        <v>1.70459021299358E+18</v>
      </c>
      <c r="AW348" s="96" t="str">
        <f>HYPERLINK("https://t.co/mXhdzUnMiC")</f>
        <v>https://t.co/mXhdzUnMiC</v>
      </c>
      <c r="AX348" s="86" t="b">
        <v>0</v>
      </c>
      <c r="AY348" s="86"/>
      <c r="AZ348" s="86"/>
      <c r="BA348" s="86" t="b">
        <v>0</v>
      </c>
      <c r="BB348" s="86" t="b">
        <v>1</v>
      </c>
      <c r="BC348" s="86" t="b">
        <v>0</v>
      </c>
      <c r="BD348" s="86" t="b">
        <v>0</v>
      </c>
      <c r="BE348" s="86" t="b">
        <v>1</v>
      </c>
      <c r="BF348" s="86" t="b">
        <v>0</v>
      </c>
      <c r="BG348" s="86" t="b">
        <v>0</v>
      </c>
      <c r="BH348" s="96" t="str">
        <f>HYPERLINK("https://pbs.twimg.com/profile_banners/1965002960/1624646972")</f>
        <v>https://pbs.twimg.com/profile_banners/1965002960/1624646972</v>
      </c>
      <c r="BI348" s="86"/>
      <c r="BJ348" s="86" t="s">
        <v>29134</v>
      </c>
      <c r="BK348" s="86" t="b">
        <v>0</v>
      </c>
      <c r="BL348" s="86"/>
      <c r="BM348" s="86" t="s">
        <v>66</v>
      </c>
      <c r="BN348" s="86" t="s">
        <v>29136</v>
      </c>
      <c r="BO348" s="96" t="str">
        <f>HYPERLINK("https://twitter.com/bibliotecacq")</f>
        <v>https://twitter.com/bibliotecacq</v>
      </c>
      <c r="BP348" s="2"/>
    </row>
    <row r="349" spans="1:68" x14ac:dyDescent="0.25">
      <c r="A349" s="63" t="s">
        <v>1650</v>
      </c>
      <c r="B349" s="64"/>
      <c r="C349" s="64"/>
      <c r="D349" s="65"/>
      <c r="E349" s="67"/>
      <c r="F349" s="111" t="str">
        <f>HYPERLINK("https://pbs.twimg.com/profile_images/1569749226099204098/ZdDj5GUP_normal.jpg")</f>
        <v>https://pbs.twimg.com/profile_images/1569749226099204098/ZdDj5GUP_normal.jpg</v>
      </c>
      <c r="G349" s="64"/>
      <c r="H349" s="68"/>
      <c r="I349" s="69"/>
      <c r="J349" s="69"/>
      <c r="K349" s="68" t="s">
        <v>29482</v>
      </c>
      <c r="L349" s="72"/>
      <c r="M349" s="73"/>
      <c r="N349" s="73"/>
      <c r="O349" s="74"/>
      <c r="P349" s="75"/>
      <c r="Q349" s="75"/>
      <c r="R349" s="102"/>
      <c r="S349" s="102"/>
      <c r="T349" s="102"/>
      <c r="U349" s="102"/>
      <c r="V349" s="48"/>
      <c r="W349" s="48"/>
      <c r="X349" s="48"/>
      <c r="Y349" s="48"/>
      <c r="Z349" s="47"/>
      <c r="AA349" s="70">
        <v>349</v>
      </c>
      <c r="AB349" s="70"/>
      <c r="AC349" s="71"/>
      <c r="AD349" s="86" t="s">
        <v>23983</v>
      </c>
      <c r="AE349" s="94" t="s">
        <v>25353</v>
      </c>
      <c r="AF349" s="86">
        <v>106</v>
      </c>
      <c r="AG349" s="86">
        <v>29</v>
      </c>
      <c r="AH349" s="86">
        <v>73</v>
      </c>
      <c r="AI349" s="86">
        <v>1</v>
      </c>
      <c r="AJ349" s="86">
        <v>44</v>
      </c>
      <c r="AK349" s="86">
        <v>28</v>
      </c>
      <c r="AL349" s="86" t="b">
        <v>0</v>
      </c>
      <c r="AM349" s="89">
        <v>44799.745451388888</v>
      </c>
      <c r="AN349" s="86" t="s">
        <v>15378</v>
      </c>
      <c r="AO349" s="86" t="s">
        <v>26739</v>
      </c>
      <c r="AP349" s="96" t="str">
        <f>HYPERLINK("https://t.co/qvsllbw39O")</f>
        <v>https://t.co/qvsllbw39O</v>
      </c>
      <c r="AQ349" s="96" t="str">
        <f>HYPERLINK("https://www.iq.usp.br")</f>
        <v>https://www.iq.usp.br</v>
      </c>
      <c r="AR349" s="86" t="s">
        <v>28139</v>
      </c>
      <c r="AS349" s="96" t="str">
        <f>HYPERLINK("https://t.co/ZPbNUhFW1d")</f>
        <v>https://t.co/ZPbNUhFW1d</v>
      </c>
      <c r="AT349" s="96" t="str">
        <f>HYPERLINK("http://allmylinks.com/iqusp")</f>
        <v>http://allmylinks.com/iqusp</v>
      </c>
      <c r="AU349" s="86" t="s">
        <v>29052</v>
      </c>
      <c r="AV349" s="86"/>
      <c r="AW349" s="96" t="str">
        <f>HYPERLINK("https://t.co/qvsllbw39O")</f>
        <v>https://t.co/qvsllbw39O</v>
      </c>
      <c r="AX349" s="86" t="b">
        <v>0</v>
      </c>
      <c r="AY349" s="86"/>
      <c r="AZ349" s="86"/>
      <c r="BA349" s="86" t="b">
        <v>1</v>
      </c>
      <c r="BB349" s="86" t="b">
        <v>1</v>
      </c>
      <c r="BC349" s="86" t="b">
        <v>1</v>
      </c>
      <c r="BD349" s="86" t="b">
        <v>0</v>
      </c>
      <c r="BE349" s="86" t="b">
        <v>1</v>
      </c>
      <c r="BF349" s="86" t="b">
        <v>0</v>
      </c>
      <c r="BG349" s="86" t="b">
        <v>0</v>
      </c>
      <c r="BH349" s="96" t="str">
        <f>HYPERLINK("https://pbs.twimg.com/profile_banners/1563223029722652672/1662987255")</f>
        <v>https://pbs.twimg.com/profile_banners/1563223029722652672/1662987255</v>
      </c>
      <c r="BI349" s="86"/>
      <c r="BJ349" s="86" t="s">
        <v>29134</v>
      </c>
      <c r="BK349" s="86" t="b">
        <v>0</v>
      </c>
      <c r="BL349" s="86"/>
      <c r="BM349" s="86" t="s">
        <v>65</v>
      </c>
      <c r="BN349" s="86" t="s">
        <v>29136</v>
      </c>
      <c r="BO349" s="96" t="str">
        <f>HYPERLINK("https://twitter.com/iq_usp")</f>
        <v>https://twitter.com/iq_usp</v>
      </c>
      <c r="BP349" s="2"/>
    </row>
    <row r="350" spans="1:68" x14ac:dyDescent="0.25">
      <c r="A350" s="63" t="s">
        <v>1651</v>
      </c>
      <c r="B350" s="64"/>
      <c r="C350" s="64"/>
      <c r="D350" s="65"/>
      <c r="E350" s="67"/>
      <c r="F350" s="111" t="str">
        <f>HYPERLINK("https://pbs.twimg.com/profile_images/1556685647611629569/OkLN1fB__normal.jpg")</f>
        <v>https://pbs.twimg.com/profile_images/1556685647611629569/OkLN1fB__normal.jpg</v>
      </c>
      <c r="G350" s="64"/>
      <c r="H350" s="68"/>
      <c r="I350" s="69"/>
      <c r="J350" s="69"/>
      <c r="K350" s="68" t="s">
        <v>29483</v>
      </c>
      <c r="L350" s="72"/>
      <c r="M350" s="73"/>
      <c r="N350" s="73"/>
      <c r="O350" s="74"/>
      <c r="P350" s="75"/>
      <c r="Q350" s="75"/>
      <c r="R350" s="102"/>
      <c r="S350" s="102"/>
      <c r="T350" s="102"/>
      <c r="U350" s="102"/>
      <c r="V350" s="48"/>
      <c r="W350" s="48"/>
      <c r="X350" s="48"/>
      <c r="Y350" s="48"/>
      <c r="Z350" s="47"/>
      <c r="AA350" s="70">
        <v>350</v>
      </c>
      <c r="AB350" s="70"/>
      <c r="AC350" s="71"/>
      <c r="AD350" s="86" t="s">
        <v>23984</v>
      </c>
      <c r="AE350" s="94" t="s">
        <v>25354</v>
      </c>
      <c r="AF350" s="86">
        <v>726</v>
      </c>
      <c r="AG350" s="86">
        <v>190</v>
      </c>
      <c r="AH350" s="86">
        <v>1130</v>
      </c>
      <c r="AI350" s="86">
        <v>4</v>
      </c>
      <c r="AJ350" s="86">
        <v>263</v>
      </c>
      <c r="AK350" s="86">
        <v>519</v>
      </c>
      <c r="AL350" s="86" t="b">
        <v>0</v>
      </c>
      <c r="AM350" s="89">
        <v>43965.801377314812</v>
      </c>
      <c r="AN350" s="86" t="s">
        <v>26006</v>
      </c>
      <c r="AO350" s="86" t="s">
        <v>26740</v>
      </c>
      <c r="AP350" s="96" t="str">
        <f>HYPERLINK("https://t.co/VY3aKYIm8z")</f>
        <v>https://t.co/VY3aKYIm8z</v>
      </c>
      <c r="AQ350" s="96" t="str">
        <f>HYPERLINK("http://www.fcf.usp.br")</f>
        <v>http://www.fcf.usp.br</v>
      </c>
      <c r="AR350" s="86" t="s">
        <v>28140</v>
      </c>
      <c r="AS350" s="86"/>
      <c r="AT350" s="86"/>
      <c r="AU350" s="86"/>
      <c r="AV350" s="86"/>
      <c r="AW350" s="96" t="str">
        <f>HYPERLINK("https://t.co/VY3aKYIm8z")</f>
        <v>https://t.co/VY3aKYIm8z</v>
      </c>
      <c r="AX350" s="86" t="b">
        <v>0</v>
      </c>
      <c r="AY350" s="86"/>
      <c r="AZ350" s="86"/>
      <c r="BA350" s="86" t="b">
        <v>0</v>
      </c>
      <c r="BB350" s="86" t="b">
        <v>1</v>
      </c>
      <c r="BC350" s="86" t="b">
        <v>1</v>
      </c>
      <c r="BD350" s="86" t="b">
        <v>0</v>
      </c>
      <c r="BE350" s="86" t="b">
        <v>0</v>
      </c>
      <c r="BF350" s="86" t="b">
        <v>0</v>
      </c>
      <c r="BG350" s="86" t="b">
        <v>0</v>
      </c>
      <c r="BH350" s="96" t="str">
        <f>HYPERLINK("https://pbs.twimg.com/profile_banners/1261011541236813824/1683208317")</f>
        <v>https://pbs.twimg.com/profile_banners/1261011541236813824/1683208317</v>
      </c>
      <c r="BI350" s="86"/>
      <c r="BJ350" s="86" t="s">
        <v>29134</v>
      </c>
      <c r="BK350" s="86" t="b">
        <v>0</v>
      </c>
      <c r="BL350" s="86"/>
      <c r="BM350" s="86" t="s">
        <v>65</v>
      </c>
      <c r="BN350" s="86" t="s">
        <v>29136</v>
      </c>
      <c r="BO350" s="96" t="str">
        <f>HYPERLINK("https://twitter.com/fcfusp")</f>
        <v>https://twitter.com/fcfusp</v>
      </c>
      <c r="BP350" s="2"/>
    </row>
    <row r="351" spans="1:68" x14ac:dyDescent="0.25">
      <c r="A351" s="63" t="s">
        <v>1652</v>
      </c>
      <c r="B351" s="64"/>
      <c r="C351" s="64"/>
      <c r="D351" s="65"/>
      <c r="E351" s="67"/>
      <c r="F351" s="111" t="str">
        <f>HYPERLINK("https://pbs.twimg.com/profile_images/1557083112168951812/Wj9Zt3bC_normal.jpg")</f>
        <v>https://pbs.twimg.com/profile_images/1557083112168951812/Wj9Zt3bC_normal.jpg</v>
      </c>
      <c r="G351" s="64"/>
      <c r="H351" s="68"/>
      <c r="I351" s="69"/>
      <c r="J351" s="69"/>
      <c r="K351" s="68" t="s">
        <v>29484</v>
      </c>
      <c r="L351" s="72"/>
      <c r="M351" s="73"/>
      <c r="N351" s="73"/>
      <c r="O351" s="74"/>
      <c r="P351" s="75"/>
      <c r="Q351" s="75"/>
      <c r="R351" s="102"/>
      <c r="S351" s="102"/>
      <c r="T351" s="102"/>
      <c r="U351" s="102"/>
      <c r="V351" s="48"/>
      <c r="W351" s="48"/>
      <c r="X351" s="48"/>
      <c r="Y351" s="48"/>
      <c r="Z351" s="47"/>
      <c r="AA351" s="70">
        <v>351</v>
      </c>
      <c r="AB351" s="70"/>
      <c r="AC351" s="71"/>
      <c r="AD351" s="86" t="s">
        <v>23985</v>
      </c>
      <c r="AE351" s="94" t="s">
        <v>25355</v>
      </c>
      <c r="AF351" s="86">
        <v>243777</v>
      </c>
      <c r="AG351" s="86">
        <v>121</v>
      </c>
      <c r="AH351" s="86">
        <v>51794</v>
      </c>
      <c r="AI351" s="86">
        <v>1619</v>
      </c>
      <c r="AJ351" s="86">
        <v>1451</v>
      </c>
      <c r="AK351" s="86">
        <v>4873</v>
      </c>
      <c r="AL351" s="86" t="b">
        <v>0</v>
      </c>
      <c r="AM351" s="89">
        <v>39885.839907407404</v>
      </c>
      <c r="AN351" s="86" t="s">
        <v>25881</v>
      </c>
      <c r="AO351" s="86" t="s">
        <v>26741</v>
      </c>
      <c r="AP351" s="96" t="str">
        <f>HYPERLINK("https://t.co/JtvGBvLf4z")</f>
        <v>https://t.co/JtvGBvLf4z</v>
      </c>
      <c r="AQ351" s="96" t="str">
        <f>HYPERLINK("http://www.usp.br")</f>
        <v>http://www.usp.br</v>
      </c>
      <c r="AR351" s="86" t="s">
        <v>8426</v>
      </c>
      <c r="AS351" s="86"/>
      <c r="AT351" s="86"/>
      <c r="AU351" s="86"/>
      <c r="AV351" s="86"/>
      <c r="AW351" s="96" t="str">
        <f>HYPERLINK("https://t.co/JtvGBvLf4z")</f>
        <v>https://t.co/JtvGBvLf4z</v>
      </c>
      <c r="AX351" s="86" t="b">
        <v>0</v>
      </c>
      <c r="AY351" s="86"/>
      <c r="AZ351" s="86"/>
      <c r="BA351" s="86" t="b">
        <v>0</v>
      </c>
      <c r="BB351" s="86" t="b">
        <v>1</v>
      </c>
      <c r="BC351" s="86" t="b">
        <v>0</v>
      </c>
      <c r="BD351" s="86" t="b">
        <v>0</v>
      </c>
      <c r="BE351" s="86" t="b">
        <v>0</v>
      </c>
      <c r="BF351" s="86" t="b">
        <v>0</v>
      </c>
      <c r="BG351" s="86" t="b">
        <v>0</v>
      </c>
      <c r="BH351" s="96" t="str">
        <f>HYPERLINK("https://pbs.twimg.com/profile_banners/24241923/1544018959")</f>
        <v>https://pbs.twimg.com/profile_banners/24241923/1544018959</v>
      </c>
      <c r="BI351" s="86"/>
      <c r="BJ351" s="86" t="s">
        <v>29134</v>
      </c>
      <c r="BK351" s="86" t="b">
        <v>0</v>
      </c>
      <c r="BL351" s="86"/>
      <c r="BM351" s="86" t="s">
        <v>65</v>
      </c>
      <c r="BN351" s="86" t="s">
        <v>29136</v>
      </c>
      <c r="BO351" s="96" t="str">
        <f>HYPERLINK("https://twitter.com/usponline")</f>
        <v>https://twitter.com/usponline</v>
      </c>
      <c r="BP351" s="2"/>
    </row>
    <row r="352" spans="1:68" x14ac:dyDescent="0.25">
      <c r="A352" s="63" t="s">
        <v>531</v>
      </c>
      <c r="B352" s="64"/>
      <c r="C352" s="64"/>
      <c r="D352" s="65"/>
      <c r="E352" s="67"/>
      <c r="F352" s="111" t="str">
        <f>HYPERLINK("https://pbs.twimg.com/profile_images/1686733963216162817/P6FYARwK_normal.jpg")</f>
        <v>https://pbs.twimg.com/profile_images/1686733963216162817/P6FYARwK_normal.jpg</v>
      </c>
      <c r="G352" s="64"/>
      <c r="H352" s="68"/>
      <c r="I352" s="69"/>
      <c r="J352" s="69"/>
      <c r="K352" s="68" t="s">
        <v>29485</v>
      </c>
      <c r="L352" s="72"/>
      <c r="M352" s="73"/>
      <c r="N352" s="73"/>
      <c r="O352" s="74"/>
      <c r="P352" s="75"/>
      <c r="Q352" s="75"/>
      <c r="R352" s="102"/>
      <c r="S352" s="102"/>
      <c r="T352" s="102"/>
      <c r="U352" s="102"/>
      <c r="V352" s="48"/>
      <c r="W352" s="48"/>
      <c r="X352" s="48"/>
      <c r="Y352" s="48"/>
      <c r="Z352" s="47"/>
      <c r="AA352" s="70">
        <v>352</v>
      </c>
      <c r="AB352" s="70"/>
      <c r="AC352" s="71"/>
      <c r="AD352" s="86" t="s">
        <v>23986</v>
      </c>
      <c r="AE352" s="94" t="s">
        <v>22973</v>
      </c>
      <c r="AF352" s="86">
        <v>1</v>
      </c>
      <c r="AG352" s="86">
        <v>5</v>
      </c>
      <c r="AH352" s="86">
        <v>18</v>
      </c>
      <c r="AI352" s="86">
        <v>0</v>
      </c>
      <c r="AJ352" s="86">
        <v>0</v>
      </c>
      <c r="AK352" s="86">
        <v>0</v>
      </c>
      <c r="AL352" s="86" t="b">
        <v>0</v>
      </c>
      <c r="AM352" s="89">
        <v>45140.50885416667</v>
      </c>
      <c r="AN352" s="86"/>
      <c r="AO352" s="86"/>
      <c r="AP352" s="86"/>
      <c r="AQ352" s="86"/>
      <c r="AR352" s="86"/>
      <c r="AS352" s="86"/>
      <c r="AT352" s="86"/>
      <c r="AU352" s="86"/>
      <c r="AV352" s="86"/>
      <c r="AW352" s="86"/>
      <c r="AX352" s="86" t="b">
        <v>0</v>
      </c>
      <c r="AY352" s="86"/>
      <c r="AZ352" s="86"/>
      <c r="BA352" s="86" t="b">
        <v>0</v>
      </c>
      <c r="BB352" s="86" t="b">
        <v>1</v>
      </c>
      <c r="BC352" s="86" t="b">
        <v>1</v>
      </c>
      <c r="BD352" s="86" t="b">
        <v>0</v>
      </c>
      <c r="BE352" s="86" t="b">
        <v>0</v>
      </c>
      <c r="BF352" s="86" t="b">
        <v>0</v>
      </c>
      <c r="BG352" s="86" t="b">
        <v>0</v>
      </c>
      <c r="BH352" s="96" t="str">
        <f>HYPERLINK("https://pbs.twimg.com/profile_banners/1686711601213108225/1690983452")</f>
        <v>https://pbs.twimg.com/profile_banners/1686711601213108225/1690983452</v>
      </c>
      <c r="BI352" s="86"/>
      <c r="BJ352" s="86" t="s">
        <v>29134</v>
      </c>
      <c r="BK352" s="86" t="b">
        <v>0</v>
      </c>
      <c r="BL352" s="86"/>
      <c r="BM352" s="86" t="s">
        <v>66</v>
      </c>
      <c r="BN352" s="86" t="s">
        <v>29136</v>
      </c>
      <c r="BO352" s="96" t="str">
        <f>HYPERLINK("https://twitter.com/saassalescombr")</f>
        <v>https://twitter.com/saassalescombr</v>
      </c>
      <c r="BP352" s="2"/>
    </row>
    <row r="353" spans="1:68" x14ac:dyDescent="0.25">
      <c r="A353" s="63" t="s">
        <v>532</v>
      </c>
      <c r="B353" s="64"/>
      <c r="C353" s="64"/>
      <c r="D353" s="65"/>
      <c r="E353" s="67"/>
      <c r="F353" s="111" t="str">
        <f>HYPERLINK("https://pbs.twimg.com/profile_images/1241147984924082183/gZgx_hL-_normal.jpg")</f>
        <v>https://pbs.twimg.com/profile_images/1241147984924082183/gZgx_hL-_normal.jpg</v>
      </c>
      <c r="G353" s="64"/>
      <c r="H353" s="68"/>
      <c r="I353" s="69"/>
      <c r="J353" s="69"/>
      <c r="K353" s="68" t="s">
        <v>29486</v>
      </c>
      <c r="L353" s="72"/>
      <c r="M353" s="73"/>
      <c r="N353" s="73"/>
      <c r="O353" s="74"/>
      <c r="P353" s="75"/>
      <c r="Q353" s="75"/>
      <c r="R353" s="102"/>
      <c r="S353" s="102"/>
      <c r="T353" s="102"/>
      <c r="U353" s="102"/>
      <c r="V353" s="48"/>
      <c r="W353" s="48"/>
      <c r="X353" s="48"/>
      <c r="Y353" s="48"/>
      <c r="Z353" s="47"/>
      <c r="AA353" s="70">
        <v>353</v>
      </c>
      <c r="AB353" s="70"/>
      <c r="AC353" s="71"/>
      <c r="AD353" s="86" t="s">
        <v>23987</v>
      </c>
      <c r="AE353" s="94" t="s">
        <v>22974</v>
      </c>
      <c r="AF353" s="86">
        <v>71097</v>
      </c>
      <c r="AG353" s="86">
        <v>28</v>
      </c>
      <c r="AH353" s="86">
        <v>28331</v>
      </c>
      <c r="AI353" s="86">
        <v>327</v>
      </c>
      <c r="AJ353" s="86">
        <v>359</v>
      </c>
      <c r="AK353" s="86">
        <v>2625</v>
      </c>
      <c r="AL353" s="86" t="b">
        <v>0</v>
      </c>
      <c r="AM353" s="89">
        <v>43896.790462962963</v>
      </c>
      <c r="AN353" s="86" t="s">
        <v>15234</v>
      </c>
      <c r="AO353" s="86" t="s">
        <v>26742</v>
      </c>
      <c r="AP353" s="96" t="str">
        <f>HYPERLINK("https://t.co/UXpU15u2ux")</f>
        <v>https://t.co/UXpU15u2ux</v>
      </c>
      <c r="AQ353" s="96" t="str">
        <f>HYPERLINK("https://mla.bs/c1acb5b4")</f>
        <v>https://mla.bs/c1acb5b4</v>
      </c>
      <c r="AR353" s="86" t="s">
        <v>28141</v>
      </c>
      <c r="AS353" s="86"/>
      <c r="AT353" s="86"/>
      <c r="AU353" s="86"/>
      <c r="AV353" s="86">
        <v>1.6658505570456499E+18</v>
      </c>
      <c r="AW353" s="96" t="str">
        <f>HYPERLINK("https://t.co/UXpU15u2ux")</f>
        <v>https://t.co/UXpU15u2ux</v>
      </c>
      <c r="AX353" s="86" t="b">
        <v>0</v>
      </c>
      <c r="AY353" s="86"/>
      <c r="AZ353" s="86"/>
      <c r="BA353" s="86" t="b">
        <v>1</v>
      </c>
      <c r="BB353" s="86" t="b">
        <v>1</v>
      </c>
      <c r="BC353" s="86" t="b">
        <v>1</v>
      </c>
      <c r="BD353" s="86" t="b">
        <v>0</v>
      </c>
      <c r="BE353" s="86" t="b">
        <v>1</v>
      </c>
      <c r="BF353" s="86" t="b">
        <v>0</v>
      </c>
      <c r="BG353" s="86" t="b">
        <v>0</v>
      </c>
      <c r="BH353" s="96" t="str">
        <f>HYPERLINK("https://pbs.twimg.com/profile_banners/1236003131244392448/1685619312")</f>
        <v>https://pbs.twimg.com/profile_banners/1236003131244392448/1685619312</v>
      </c>
      <c r="BI353" s="86"/>
      <c r="BJ353" s="86" t="s">
        <v>29134</v>
      </c>
      <c r="BK353" s="86" t="b">
        <v>0</v>
      </c>
      <c r="BL353" s="86"/>
      <c r="BM353" s="86" t="s">
        <v>66</v>
      </c>
      <c r="BN353" s="86" t="s">
        <v>29136</v>
      </c>
      <c r="BO353" s="96" t="str">
        <f>HYPERLINK("https://twitter.com/einvestidor")</f>
        <v>https://twitter.com/einvestidor</v>
      </c>
      <c r="BP353" s="2"/>
    </row>
    <row r="354" spans="1:68" x14ac:dyDescent="0.25">
      <c r="A354" s="63" t="s">
        <v>533</v>
      </c>
      <c r="B354" s="64"/>
      <c r="C354" s="64"/>
      <c r="D354" s="65"/>
      <c r="E354" s="67"/>
      <c r="F354" s="111" t="str">
        <f>HYPERLINK("https://pbs.twimg.com/profile_images/1419163418993508356/qmfg6--D_normal.jpg")</f>
        <v>https://pbs.twimg.com/profile_images/1419163418993508356/qmfg6--D_normal.jpg</v>
      </c>
      <c r="G354" s="64"/>
      <c r="H354" s="68"/>
      <c r="I354" s="69"/>
      <c r="J354" s="69"/>
      <c r="K354" s="68" t="s">
        <v>29487</v>
      </c>
      <c r="L354" s="72"/>
      <c r="M354" s="73"/>
      <c r="N354" s="73"/>
      <c r="O354" s="74"/>
      <c r="P354" s="75"/>
      <c r="Q354" s="75"/>
      <c r="R354" s="102"/>
      <c r="S354" s="102"/>
      <c r="T354" s="102"/>
      <c r="U354" s="102"/>
      <c r="V354" s="48"/>
      <c r="W354" s="48"/>
      <c r="X354" s="48"/>
      <c r="Y354" s="48"/>
      <c r="Z354" s="47"/>
      <c r="AA354" s="70">
        <v>354</v>
      </c>
      <c r="AB354" s="70"/>
      <c r="AC354" s="71"/>
      <c r="AD354" s="86" t="s">
        <v>23988</v>
      </c>
      <c r="AE354" s="94" t="s">
        <v>25356</v>
      </c>
      <c r="AF354" s="86">
        <v>25</v>
      </c>
      <c r="AG354" s="86">
        <v>48</v>
      </c>
      <c r="AH354" s="86">
        <v>690</v>
      </c>
      <c r="AI354" s="86">
        <v>0</v>
      </c>
      <c r="AJ354" s="86">
        <v>8356</v>
      </c>
      <c r="AK354" s="86">
        <v>250</v>
      </c>
      <c r="AL354" s="86" t="b">
        <v>0</v>
      </c>
      <c r="AM354" s="89">
        <v>40862.045648148145</v>
      </c>
      <c r="AN354" s="86" t="s">
        <v>15249</v>
      </c>
      <c r="AO354" s="86" t="s">
        <v>26743</v>
      </c>
      <c r="AP354" s="96" t="str">
        <f>HYPERLINK("https://t.co/SpHO17VHko")</f>
        <v>https://t.co/SpHO17VHko</v>
      </c>
      <c r="AQ354" s="96" t="str">
        <f>HYPERLINK("https://www.magazinevoce.com.br/magazineMLHMO/")</f>
        <v>https://www.magazinevoce.com.br/magazineMLHMO/</v>
      </c>
      <c r="AR354" s="86" t="s">
        <v>28142</v>
      </c>
      <c r="AS354" s="86"/>
      <c r="AT354" s="86"/>
      <c r="AU354" s="86"/>
      <c r="AV354" s="86">
        <v>1.6664476811225999E+18</v>
      </c>
      <c r="AW354" s="96" t="str">
        <f>HYPERLINK("https://t.co/SpHO17VHko")</f>
        <v>https://t.co/SpHO17VHko</v>
      </c>
      <c r="AX354" s="86" t="b">
        <v>0</v>
      </c>
      <c r="AY354" s="86"/>
      <c r="AZ354" s="86"/>
      <c r="BA354" s="86" t="b">
        <v>1</v>
      </c>
      <c r="BB354" s="86" t="b">
        <v>1</v>
      </c>
      <c r="BC354" s="86" t="b">
        <v>0</v>
      </c>
      <c r="BD354" s="86" t="b">
        <v>0</v>
      </c>
      <c r="BE354" s="86" t="b">
        <v>1</v>
      </c>
      <c r="BF354" s="86" t="b">
        <v>0</v>
      </c>
      <c r="BG354" s="86" t="b">
        <v>0</v>
      </c>
      <c r="BH354" s="96" t="str">
        <f>HYPERLINK("https://pbs.twimg.com/profile_banners/412680143/1586187223")</f>
        <v>https://pbs.twimg.com/profile_banners/412680143/1586187223</v>
      </c>
      <c r="BI354" s="86"/>
      <c r="BJ354" s="86" t="s">
        <v>29134</v>
      </c>
      <c r="BK354" s="86" t="b">
        <v>0</v>
      </c>
      <c r="BL354" s="86"/>
      <c r="BM354" s="86" t="s">
        <v>66</v>
      </c>
      <c r="BN354" s="86" t="s">
        <v>29136</v>
      </c>
      <c r="BO354" s="96" t="str">
        <f>HYPERLINK("https://twitter.com/heitormauricio_")</f>
        <v>https://twitter.com/heitormauricio_</v>
      </c>
      <c r="BP354" s="2"/>
    </row>
    <row r="355" spans="1:68" x14ac:dyDescent="0.25">
      <c r="A355" s="63" t="s">
        <v>534</v>
      </c>
      <c r="B355" s="64"/>
      <c r="C355" s="64"/>
      <c r="D355" s="65"/>
      <c r="E355" s="67"/>
      <c r="F355" s="111" t="str">
        <f>HYPERLINK("https://pbs.twimg.com/profile_images/1610325557580898306/UZehEg0I_normal.jpg")</f>
        <v>https://pbs.twimg.com/profile_images/1610325557580898306/UZehEg0I_normal.jpg</v>
      </c>
      <c r="G355" s="64"/>
      <c r="H355" s="68"/>
      <c r="I355" s="69"/>
      <c r="J355" s="69"/>
      <c r="K355" s="68" t="s">
        <v>29488</v>
      </c>
      <c r="L355" s="72"/>
      <c r="M355" s="73"/>
      <c r="N355" s="73"/>
      <c r="O355" s="74"/>
      <c r="P355" s="75"/>
      <c r="Q355" s="75"/>
      <c r="R355" s="102"/>
      <c r="S355" s="102"/>
      <c r="T355" s="102"/>
      <c r="U355" s="102"/>
      <c r="V355" s="48"/>
      <c r="W355" s="48"/>
      <c r="X355" s="48"/>
      <c r="Y355" s="48"/>
      <c r="Z355" s="47"/>
      <c r="AA355" s="70">
        <v>355</v>
      </c>
      <c r="AB355" s="70"/>
      <c r="AC355" s="71"/>
      <c r="AD355" s="86" t="s">
        <v>23989</v>
      </c>
      <c r="AE355" s="94" t="s">
        <v>25357</v>
      </c>
      <c r="AF355" s="86">
        <v>3780</v>
      </c>
      <c r="AG355" s="86">
        <v>1153</v>
      </c>
      <c r="AH355" s="86">
        <v>41548</v>
      </c>
      <c r="AI355" s="86">
        <v>116</v>
      </c>
      <c r="AJ355" s="86">
        <v>2192</v>
      </c>
      <c r="AK355" s="86">
        <v>17653</v>
      </c>
      <c r="AL355" s="86" t="b">
        <v>0</v>
      </c>
      <c r="AM355" s="89">
        <v>40150.785960648151</v>
      </c>
      <c r="AN355" s="86" t="s">
        <v>26007</v>
      </c>
      <c r="AO355" s="86" t="s">
        <v>26744</v>
      </c>
      <c r="AP355" s="96" t="str">
        <f>HYPERLINK("https://t.co/6A3YCXdYQW")</f>
        <v>https://t.co/6A3YCXdYQW</v>
      </c>
      <c r="AQ355" s="96" t="str">
        <f>HYPERLINK("http://www.diariodocomercio.com.br")</f>
        <v>http://www.diariodocomercio.com.br</v>
      </c>
      <c r="AR355" s="86" t="s">
        <v>28143</v>
      </c>
      <c r="AS355" s="86"/>
      <c r="AT355" s="86"/>
      <c r="AU355" s="86"/>
      <c r="AV355" s="86"/>
      <c r="AW355" s="96" t="str">
        <f>HYPERLINK("https://t.co/6A3YCXdYQW")</f>
        <v>https://t.co/6A3YCXdYQW</v>
      </c>
      <c r="AX355" s="86" t="b">
        <v>0</v>
      </c>
      <c r="AY355" s="86"/>
      <c r="AZ355" s="86"/>
      <c r="BA355" s="86" t="b">
        <v>0</v>
      </c>
      <c r="BB355" s="86" t="b">
        <v>1</v>
      </c>
      <c r="BC355" s="86" t="b">
        <v>0</v>
      </c>
      <c r="BD355" s="86" t="b">
        <v>0</v>
      </c>
      <c r="BE355" s="86" t="b">
        <v>1</v>
      </c>
      <c r="BF355" s="86" t="b">
        <v>0</v>
      </c>
      <c r="BG355" s="86" t="b">
        <v>0</v>
      </c>
      <c r="BH355" s="96" t="str">
        <f>HYPERLINK("https://pbs.twimg.com/profile_banners/94388843/1672766564")</f>
        <v>https://pbs.twimg.com/profile_banners/94388843/1672766564</v>
      </c>
      <c r="BI355" s="86"/>
      <c r="BJ355" s="86" t="s">
        <v>29134</v>
      </c>
      <c r="BK355" s="86" t="b">
        <v>0</v>
      </c>
      <c r="BL355" s="86"/>
      <c r="BM355" s="86" t="s">
        <v>66</v>
      </c>
      <c r="BN355" s="86" t="s">
        <v>29136</v>
      </c>
      <c r="BO355" s="96" t="str">
        <f>HYPERLINK("https://twitter.com/diario_comercio")</f>
        <v>https://twitter.com/diario_comercio</v>
      </c>
      <c r="BP355" s="2"/>
    </row>
    <row r="356" spans="1:68" x14ac:dyDescent="0.25">
      <c r="A356" s="63" t="s">
        <v>535</v>
      </c>
      <c r="B356" s="64"/>
      <c r="C356" s="64"/>
      <c r="D356" s="65"/>
      <c r="E356" s="67"/>
      <c r="F356" s="111" t="str">
        <f>HYPERLINK("https://pbs.twimg.com/profile_images/1315048476972023810/zOM9ofxf_normal.jpg")</f>
        <v>https://pbs.twimg.com/profile_images/1315048476972023810/zOM9ofxf_normal.jpg</v>
      </c>
      <c r="G356" s="64"/>
      <c r="H356" s="68"/>
      <c r="I356" s="69"/>
      <c r="J356" s="69"/>
      <c r="K356" s="68" t="s">
        <v>29489</v>
      </c>
      <c r="L356" s="72"/>
      <c r="M356" s="73"/>
      <c r="N356" s="73"/>
      <c r="O356" s="74"/>
      <c r="P356" s="75"/>
      <c r="Q356" s="75"/>
      <c r="R356" s="102"/>
      <c r="S356" s="102"/>
      <c r="T356" s="102"/>
      <c r="U356" s="102"/>
      <c r="V356" s="48"/>
      <c r="W356" s="48"/>
      <c r="X356" s="48"/>
      <c r="Y356" s="48"/>
      <c r="Z356" s="47"/>
      <c r="AA356" s="70">
        <v>356</v>
      </c>
      <c r="AB356" s="70"/>
      <c r="AC356" s="71"/>
      <c r="AD356" s="86" t="s">
        <v>23990</v>
      </c>
      <c r="AE356" s="94" t="s">
        <v>25358</v>
      </c>
      <c r="AF356" s="86">
        <v>237</v>
      </c>
      <c r="AG356" s="86">
        <v>1103</v>
      </c>
      <c r="AH356" s="86">
        <v>4149</v>
      </c>
      <c r="AI356" s="86">
        <v>1</v>
      </c>
      <c r="AJ356" s="86">
        <v>46751</v>
      </c>
      <c r="AK356" s="86">
        <v>140</v>
      </c>
      <c r="AL356" s="86" t="b">
        <v>0</v>
      </c>
      <c r="AM356" s="89">
        <v>42139.07675925926</v>
      </c>
      <c r="AN356" s="86" t="s">
        <v>15242</v>
      </c>
      <c r="AO356" s="86" t="s">
        <v>26745</v>
      </c>
      <c r="AP356" s="96" t="str">
        <f>HYPERLINK("https://t.co/amu1lAr1DJ")</f>
        <v>https://t.co/amu1lAr1DJ</v>
      </c>
      <c r="AQ356" s="96" t="str">
        <f>HYPERLINK("https://diariodocomercio.com.br/author/leonardo-leao/")</f>
        <v>https://diariodocomercio.com.br/author/leonardo-leao/</v>
      </c>
      <c r="AR356" s="86" t="s">
        <v>28144</v>
      </c>
      <c r="AS356" s="86"/>
      <c r="AT356" s="86"/>
      <c r="AU356" s="86"/>
      <c r="AV356" s="86"/>
      <c r="AW356" s="96" t="str">
        <f>HYPERLINK("https://t.co/amu1lAr1DJ")</f>
        <v>https://t.co/amu1lAr1DJ</v>
      </c>
      <c r="AX356" s="86" t="b">
        <v>0</v>
      </c>
      <c r="AY356" s="86"/>
      <c r="AZ356" s="86"/>
      <c r="BA356" s="86" t="b">
        <v>0</v>
      </c>
      <c r="BB356" s="86" t="b">
        <v>1</v>
      </c>
      <c r="BC356" s="86" t="b">
        <v>1</v>
      </c>
      <c r="BD356" s="86" t="b">
        <v>0</v>
      </c>
      <c r="BE356" s="86" t="b">
        <v>0</v>
      </c>
      <c r="BF356" s="86" t="b">
        <v>0</v>
      </c>
      <c r="BG356" s="86" t="b">
        <v>0</v>
      </c>
      <c r="BH356" s="96" t="str">
        <f>HYPERLINK("https://pbs.twimg.com/profile_banners/3254994765/1539721003")</f>
        <v>https://pbs.twimg.com/profile_banners/3254994765/1539721003</v>
      </c>
      <c r="BI356" s="86"/>
      <c r="BJ356" s="86" t="s">
        <v>29134</v>
      </c>
      <c r="BK356" s="86" t="b">
        <v>0</v>
      </c>
      <c r="BL356" s="86"/>
      <c r="BM356" s="86" t="s">
        <v>66</v>
      </c>
      <c r="BN356" s="86" t="s">
        <v>29136</v>
      </c>
      <c r="BO356" s="96" t="str">
        <f>HYPERLINK("https://twitter.com/leonardo_leao3")</f>
        <v>https://twitter.com/leonardo_leao3</v>
      </c>
      <c r="BP356" s="2"/>
    </row>
    <row r="357" spans="1:68" x14ac:dyDescent="0.25">
      <c r="A357" s="63" t="s">
        <v>536</v>
      </c>
      <c r="B357" s="64"/>
      <c r="C357" s="64"/>
      <c r="D357" s="65"/>
      <c r="E357" s="67"/>
      <c r="F357" s="111" t="str">
        <f>HYPERLINK("https://pbs.twimg.com/profile_images/1625262199504601089/LTJqbwak_normal.jpg")</f>
        <v>https://pbs.twimg.com/profile_images/1625262199504601089/LTJqbwak_normal.jpg</v>
      </c>
      <c r="G357" s="64"/>
      <c r="H357" s="68"/>
      <c r="I357" s="69"/>
      <c r="J357" s="69"/>
      <c r="K357" s="68" t="s">
        <v>29490</v>
      </c>
      <c r="L357" s="72"/>
      <c r="M357" s="73"/>
      <c r="N357" s="73"/>
      <c r="O357" s="74"/>
      <c r="P357" s="75"/>
      <c r="Q357" s="75"/>
      <c r="R357" s="102"/>
      <c r="S357" s="102"/>
      <c r="T357" s="102"/>
      <c r="U357" s="102"/>
      <c r="V357" s="48"/>
      <c r="W357" s="48"/>
      <c r="X357" s="48"/>
      <c r="Y357" s="48"/>
      <c r="Z357" s="47"/>
      <c r="AA357" s="70">
        <v>357</v>
      </c>
      <c r="AB357" s="70"/>
      <c r="AC357" s="71"/>
      <c r="AD357" s="86" t="s">
        <v>23991</v>
      </c>
      <c r="AE357" s="94" t="s">
        <v>25359</v>
      </c>
      <c r="AF357" s="86">
        <v>813</v>
      </c>
      <c r="AG357" s="86">
        <v>2249</v>
      </c>
      <c r="AH357" s="86">
        <v>45295</v>
      </c>
      <c r="AI357" s="86">
        <v>4</v>
      </c>
      <c r="AJ357" s="86">
        <v>67429</v>
      </c>
      <c r="AK357" s="86">
        <v>1852</v>
      </c>
      <c r="AL357" s="86" t="b">
        <v>0</v>
      </c>
      <c r="AM357" s="89">
        <v>40298.733831018515</v>
      </c>
      <c r="AN357" s="86" t="s">
        <v>26008</v>
      </c>
      <c r="AO357" s="86" t="s">
        <v>26746</v>
      </c>
      <c r="AP357" s="86"/>
      <c r="AQ357" s="86"/>
      <c r="AR357" s="86"/>
      <c r="AS357" s="86"/>
      <c r="AT357" s="86"/>
      <c r="AU357" s="86"/>
      <c r="AV357" s="86">
        <v>1.3301455803629701E+18</v>
      </c>
      <c r="AW357" s="86"/>
      <c r="AX357" s="86" t="b">
        <v>0</v>
      </c>
      <c r="AY357" s="86"/>
      <c r="AZ357" s="86"/>
      <c r="BA357" s="86" t="b">
        <v>1</v>
      </c>
      <c r="BB357" s="86" t="b">
        <v>0</v>
      </c>
      <c r="BC357" s="86" t="b">
        <v>0</v>
      </c>
      <c r="BD357" s="86" t="b">
        <v>0</v>
      </c>
      <c r="BE357" s="86" t="b">
        <v>1</v>
      </c>
      <c r="BF357" s="86" t="b">
        <v>0</v>
      </c>
      <c r="BG357" s="86" t="b">
        <v>0</v>
      </c>
      <c r="BH357" s="96" t="str">
        <f>HYPERLINK("https://pbs.twimg.com/profile_banners/138814012/1605921675")</f>
        <v>https://pbs.twimg.com/profile_banners/138814012/1605921675</v>
      </c>
      <c r="BI357" s="86"/>
      <c r="BJ357" s="86" t="s">
        <v>29134</v>
      </c>
      <c r="BK357" s="86" t="b">
        <v>0</v>
      </c>
      <c r="BL357" s="86"/>
      <c r="BM357" s="86" t="s">
        <v>66</v>
      </c>
      <c r="BN357" s="86" t="s">
        <v>29136</v>
      </c>
      <c r="BO357" s="96" t="str">
        <f>HYPERLINK("https://twitter.com/cleber_neris")</f>
        <v>https://twitter.com/cleber_neris</v>
      </c>
      <c r="BP357" s="2"/>
    </row>
    <row r="358" spans="1:68" x14ac:dyDescent="0.25">
      <c r="A358" s="63" t="s">
        <v>537</v>
      </c>
      <c r="B358" s="64"/>
      <c r="C358" s="64"/>
      <c r="D358" s="65"/>
      <c r="E358" s="67"/>
      <c r="F358" s="111" t="str">
        <f>HYPERLINK("https://pbs.twimg.com/profile_images/1683677362313986050/yZ2KjxpH_normal.jpg")</f>
        <v>https://pbs.twimg.com/profile_images/1683677362313986050/yZ2KjxpH_normal.jpg</v>
      </c>
      <c r="G358" s="64"/>
      <c r="H358" s="68"/>
      <c r="I358" s="69"/>
      <c r="J358" s="69"/>
      <c r="K358" s="68" t="s">
        <v>29491</v>
      </c>
      <c r="L358" s="72"/>
      <c r="M358" s="73"/>
      <c r="N358" s="73"/>
      <c r="O358" s="74"/>
      <c r="P358" s="75"/>
      <c r="Q358" s="75"/>
      <c r="R358" s="102"/>
      <c r="S358" s="102"/>
      <c r="T358" s="102"/>
      <c r="U358" s="102"/>
      <c r="V358" s="48"/>
      <c r="W358" s="48"/>
      <c r="X358" s="48"/>
      <c r="Y358" s="48"/>
      <c r="Z358" s="47"/>
      <c r="AA358" s="70">
        <v>358</v>
      </c>
      <c r="AB358" s="70"/>
      <c r="AC358" s="71"/>
      <c r="AD358" s="86" t="s">
        <v>23992</v>
      </c>
      <c r="AE358" s="94" t="s">
        <v>25360</v>
      </c>
      <c r="AF358" s="86">
        <v>49</v>
      </c>
      <c r="AG358" s="86">
        <v>231</v>
      </c>
      <c r="AH358" s="86">
        <v>256</v>
      </c>
      <c r="AI358" s="86">
        <v>0</v>
      </c>
      <c r="AJ358" s="86">
        <v>5214</v>
      </c>
      <c r="AK358" s="86">
        <v>53</v>
      </c>
      <c r="AL358" s="86" t="b">
        <v>0</v>
      </c>
      <c r="AM358" s="89">
        <v>41383.013842592591</v>
      </c>
      <c r="AN358" s="86" t="s">
        <v>15374</v>
      </c>
      <c r="AO358" s="86" t="s">
        <v>26747</v>
      </c>
      <c r="AP358" s="96" t="str">
        <f>HYPERLINK("https://t.co/8Q9x698RKZ")</f>
        <v>https://t.co/8Q9x698RKZ</v>
      </c>
      <c r="AQ358" s="96" t="str">
        <f>HYPERLINK("http://comunidade.ai")</f>
        <v>http://comunidade.ai</v>
      </c>
      <c r="AR358" s="86" t="s">
        <v>28145</v>
      </c>
      <c r="AS358" s="86"/>
      <c r="AT358" s="86"/>
      <c r="AU358" s="86"/>
      <c r="AV358" s="86"/>
      <c r="AW358" s="96" t="str">
        <f>HYPERLINK("https://t.co/8Q9x698RKZ")</f>
        <v>https://t.co/8Q9x698RKZ</v>
      </c>
      <c r="AX358" s="86" t="b">
        <v>0</v>
      </c>
      <c r="AY358" s="86"/>
      <c r="AZ358" s="86"/>
      <c r="BA358" s="86" t="b">
        <v>0</v>
      </c>
      <c r="BB358" s="86" t="b">
        <v>1</v>
      </c>
      <c r="BC358" s="86" t="b">
        <v>0</v>
      </c>
      <c r="BD358" s="86" t="b">
        <v>0</v>
      </c>
      <c r="BE358" s="86" t="b">
        <v>0</v>
      </c>
      <c r="BF358" s="86" t="b">
        <v>0</v>
      </c>
      <c r="BG358" s="86" t="b">
        <v>0</v>
      </c>
      <c r="BH358" s="96" t="str">
        <f>HYPERLINK("https://pbs.twimg.com/profile_banners/1363195494/1690254950")</f>
        <v>https://pbs.twimg.com/profile_banners/1363195494/1690254950</v>
      </c>
      <c r="BI358" s="86"/>
      <c r="BJ358" s="86" t="s">
        <v>29134</v>
      </c>
      <c r="BK358" s="86" t="b">
        <v>0</v>
      </c>
      <c r="BL358" s="86"/>
      <c r="BM358" s="86" t="s">
        <v>66</v>
      </c>
      <c r="BN358" s="86" t="s">
        <v>29136</v>
      </c>
      <c r="BO358" s="96" t="str">
        <f>HYPERLINK("https://twitter.com/rafaelmilagre")</f>
        <v>https://twitter.com/rafaelmilagre</v>
      </c>
      <c r="BP358" s="2"/>
    </row>
    <row r="359" spans="1:68" x14ac:dyDescent="0.25">
      <c r="A359" s="63" t="s">
        <v>538</v>
      </c>
      <c r="B359" s="64"/>
      <c r="C359" s="64"/>
      <c r="D359" s="65"/>
      <c r="E359" s="67"/>
      <c r="F359" s="111" t="str">
        <f>HYPERLINK("https://pbs.twimg.com/profile_images/1075409264833900546/sZWnULi1_normal.jpg")</f>
        <v>https://pbs.twimg.com/profile_images/1075409264833900546/sZWnULi1_normal.jpg</v>
      </c>
      <c r="G359" s="64"/>
      <c r="H359" s="68"/>
      <c r="I359" s="69"/>
      <c r="J359" s="69"/>
      <c r="K359" s="68" t="s">
        <v>29492</v>
      </c>
      <c r="L359" s="72"/>
      <c r="M359" s="73"/>
      <c r="N359" s="73"/>
      <c r="O359" s="74"/>
      <c r="P359" s="75"/>
      <c r="Q359" s="75"/>
      <c r="R359" s="102"/>
      <c r="S359" s="102"/>
      <c r="T359" s="102"/>
      <c r="U359" s="102"/>
      <c r="V359" s="48"/>
      <c r="W359" s="48"/>
      <c r="X359" s="48"/>
      <c r="Y359" s="48"/>
      <c r="Z359" s="47"/>
      <c r="AA359" s="70">
        <v>359</v>
      </c>
      <c r="AB359" s="70"/>
      <c r="AC359" s="71"/>
      <c r="AD359" s="86" t="s">
        <v>23993</v>
      </c>
      <c r="AE359" s="94" t="s">
        <v>25361</v>
      </c>
      <c r="AF359" s="86">
        <v>84073</v>
      </c>
      <c r="AG359" s="86">
        <v>931</v>
      </c>
      <c r="AH359" s="86">
        <v>24002</v>
      </c>
      <c r="AI359" s="86">
        <v>880</v>
      </c>
      <c r="AJ359" s="86">
        <v>5579</v>
      </c>
      <c r="AK359" s="86">
        <v>7045</v>
      </c>
      <c r="AL359" s="86" t="b">
        <v>0</v>
      </c>
      <c r="AM359" s="89">
        <v>39958.533900462964</v>
      </c>
      <c r="AN359" s="86" t="s">
        <v>25889</v>
      </c>
      <c r="AO359" s="86" t="s">
        <v>26748</v>
      </c>
      <c r="AP359" s="96" t="str">
        <f>HYPERLINK("https://t.co/mVEtemCMPY")</f>
        <v>https://t.co/mVEtemCMPY</v>
      </c>
      <c r="AQ359" s="96" t="str">
        <f>HYPERLINK("https://agencia.fapesp.br/")</f>
        <v>https://agencia.fapesp.br/</v>
      </c>
      <c r="AR359" s="86" t="s">
        <v>28146</v>
      </c>
      <c r="AS359" s="86"/>
      <c r="AT359" s="86"/>
      <c r="AU359" s="86"/>
      <c r="AV359" s="86"/>
      <c r="AW359" s="96" t="str">
        <f>HYPERLINK("https://t.co/mVEtemCMPY")</f>
        <v>https://t.co/mVEtemCMPY</v>
      </c>
      <c r="AX359" s="86" t="b">
        <v>0</v>
      </c>
      <c r="AY359" s="86"/>
      <c r="AZ359" s="86"/>
      <c r="BA359" s="86" t="b">
        <v>0</v>
      </c>
      <c r="BB359" s="86" t="b">
        <v>1</v>
      </c>
      <c r="BC359" s="86" t="b">
        <v>0</v>
      </c>
      <c r="BD359" s="86" t="b">
        <v>0</v>
      </c>
      <c r="BE359" s="86" t="b">
        <v>1</v>
      </c>
      <c r="BF359" s="86" t="b">
        <v>0</v>
      </c>
      <c r="BG359" s="86" t="b">
        <v>0</v>
      </c>
      <c r="BH359" s="96" t="str">
        <f>HYPERLINK("https://pbs.twimg.com/profile_banners/42399225/1664210578")</f>
        <v>https://pbs.twimg.com/profile_banners/42399225/1664210578</v>
      </c>
      <c r="BI359" s="86"/>
      <c r="BJ359" s="86" t="s">
        <v>29134</v>
      </c>
      <c r="BK359" s="86" t="b">
        <v>0</v>
      </c>
      <c r="BL359" s="86"/>
      <c r="BM359" s="86" t="s">
        <v>66</v>
      </c>
      <c r="BN359" s="86" t="s">
        <v>29136</v>
      </c>
      <c r="BO359" s="96" t="str">
        <f>HYPERLINK("https://twitter.com/agenciafapesp")</f>
        <v>https://twitter.com/agenciafapesp</v>
      </c>
      <c r="BP359" s="2"/>
    </row>
    <row r="360" spans="1:68" x14ac:dyDescent="0.25">
      <c r="A360" s="63" t="s">
        <v>1653</v>
      </c>
      <c r="B360" s="64"/>
      <c r="C360" s="64"/>
      <c r="D360" s="65"/>
      <c r="E360" s="67"/>
      <c r="F360" s="111" t="str">
        <f>HYPERLINK("https://pbs.twimg.com/profile_images/1323576133011603457/iVc5BHpa_normal.jpg")</f>
        <v>https://pbs.twimg.com/profile_images/1323576133011603457/iVc5BHpa_normal.jpg</v>
      </c>
      <c r="G360" s="64"/>
      <c r="H360" s="68"/>
      <c r="I360" s="69"/>
      <c r="J360" s="69"/>
      <c r="K360" s="68" t="s">
        <v>29493</v>
      </c>
      <c r="L360" s="72"/>
      <c r="M360" s="73"/>
      <c r="N360" s="73"/>
      <c r="O360" s="74"/>
      <c r="P360" s="75"/>
      <c r="Q360" s="75"/>
      <c r="R360" s="102"/>
      <c r="S360" s="102"/>
      <c r="T360" s="102"/>
      <c r="U360" s="102"/>
      <c r="V360" s="48"/>
      <c r="W360" s="48"/>
      <c r="X360" s="48"/>
      <c r="Y360" s="48"/>
      <c r="Z360" s="47"/>
      <c r="AA360" s="70">
        <v>360</v>
      </c>
      <c r="AB360" s="70"/>
      <c r="AC360" s="71"/>
      <c r="AD360" s="86" t="s">
        <v>23994</v>
      </c>
      <c r="AE360" s="94" t="s">
        <v>25362</v>
      </c>
      <c r="AF360" s="86">
        <v>86777</v>
      </c>
      <c r="AG360" s="86">
        <v>94</v>
      </c>
      <c r="AH360" s="86">
        <v>11910</v>
      </c>
      <c r="AI360" s="86">
        <v>283</v>
      </c>
      <c r="AJ360" s="86">
        <v>5646</v>
      </c>
      <c r="AK360" s="86">
        <v>4217</v>
      </c>
      <c r="AL360" s="86" t="b">
        <v>0</v>
      </c>
      <c r="AM360" s="89">
        <v>39856.448541666665</v>
      </c>
      <c r="AN360" s="86" t="s">
        <v>26009</v>
      </c>
      <c r="AO360" s="86" t="s">
        <v>26749</v>
      </c>
      <c r="AP360" s="96" t="str">
        <f>HYPERLINK("https://t.co/PrVdm0nE37")</f>
        <v>https://t.co/PrVdm0nE37</v>
      </c>
      <c r="AQ360" s="96" t="str">
        <f>HYPERLINK("http://www.up.pt")</f>
        <v>http://www.up.pt</v>
      </c>
      <c r="AR360" s="86" t="s">
        <v>28147</v>
      </c>
      <c r="AS360" s="86"/>
      <c r="AT360" s="86"/>
      <c r="AU360" s="86"/>
      <c r="AV360" s="86"/>
      <c r="AW360" s="96" t="str">
        <f>HYPERLINK("https://t.co/PrVdm0nE37")</f>
        <v>https://t.co/PrVdm0nE37</v>
      </c>
      <c r="AX360" s="86" t="b">
        <v>0</v>
      </c>
      <c r="AY360" s="86"/>
      <c r="AZ360" s="86"/>
      <c r="BA360" s="86" t="b">
        <v>0</v>
      </c>
      <c r="BB360" s="86" t="b">
        <v>1</v>
      </c>
      <c r="BC360" s="86" t="b">
        <v>0</v>
      </c>
      <c r="BD360" s="86" t="b">
        <v>0</v>
      </c>
      <c r="BE360" s="86" t="b">
        <v>0</v>
      </c>
      <c r="BF360" s="86" t="b">
        <v>0</v>
      </c>
      <c r="BG360" s="86" t="b">
        <v>0</v>
      </c>
      <c r="BH360" s="96" t="str">
        <f>HYPERLINK("https://pbs.twimg.com/profile_banners/20667335/1679309325")</f>
        <v>https://pbs.twimg.com/profile_banners/20667335/1679309325</v>
      </c>
      <c r="BI360" s="86"/>
      <c r="BJ360" s="86" t="s">
        <v>29134</v>
      </c>
      <c r="BK360" s="86" t="b">
        <v>0</v>
      </c>
      <c r="BL360" s="86"/>
      <c r="BM360" s="86" t="s">
        <v>65</v>
      </c>
      <c r="BN360" s="86" t="s">
        <v>29136</v>
      </c>
      <c r="BO360" s="96" t="str">
        <f>HYPERLINK("https://twitter.com/uporto")</f>
        <v>https://twitter.com/uporto</v>
      </c>
      <c r="BP360" s="2"/>
    </row>
    <row r="361" spans="1:68" x14ac:dyDescent="0.25">
      <c r="A361" s="63" t="s">
        <v>1654</v>
      </c>
      <c r="B361" s="64"/>
      <c r="C361" s="64"/>
      <c r="D361" s="65"/>
      <c r="E361" s="67"/>
      <c r="F361" s="111" t="str">
        <f>HYPERLINK("https://pbs.twimg.com/profile_images/1696229157603082243/jDBRIF1m_normal.jpg")</f>
        <v>https://pbs.twimg.com/profile_images/1696229157603082243/jDBRIF1m_normal.jpg</v>
      </c>
      <c r="G361" s="64"/>
      <c r="H361" s="68"/>
      <c r="I361" s="69"/>
      <c r="J361" s="69"/>
      <c r="K361" s="68" t="s">
        <v>29494</v>
      </c>
      <c r="L361" s="72"/>
      <c r="M361" s="73"/>
      <c r="N361" s="73"/>
      <c r="O361" s="74"/>
      <c r="P361" s="75"/>
      <c r="Q361" s="75"/>
      <c r="R361" s="102"/>
      <c r="S361" s="102"/>
      <c r="T361" s="102"/>
      <c r="U361" s="102"/>
      <c r="V361" s="48"/>
      <c r="W361" s="48"/>
      <c r="X361" s="48"/>
      <c r="Y361" s="48"/>
      <c r="Z361" s="47"/>
      <c r="AA361" s="70">
        <v>361</v>
      </c>
      <c r="AB361" s="70"/>
      <c r="AC361" s="71"/>
      <c r="AD361" s="86" t="s">
        <v>23995</v>
      </c>
      <c r="AE361" s="94" t="s">
        <v>25363</v>
      </c>
      <c r="AF361" s="86">
        <v>19581</v>
      </c>
      <c r="AG361" s="86">
        <v>90</v>
      </c>
      <c r="AH361" s="86">
        <v>14411</v>
      </c>
      <c r="AI361" s="86">
        <v>174</v>
      </c>
      <c r="AJ361" s="86">
        <v>813</v>
      </c>
      <c r="AK361" s="86">
        <v>1757</v>
      </c>
      <c r="AL361" s="86" t="b">
        <v>0</v>
      </c>
      <c r="AM361" s="89">
        <v>40107.093344907407</v>
      </c>
      <c r="AN361" s="86" t="s">
        <v>26010</v>
      </c>
      <c r="AO361" s="86" t="s">
        <v>26750</v>
      </c>
      <c r="AP361" s="96" t="str">
        <f>HYPERLINK("https://t.co/oU3ViMesef")</f>
        <v>https://t.co/oU3ViMesef</v>
      </c>
      <c r="AQ361" s="96" t="str">
        <f>HYPERLINK("http://www.ufscar.br")</f>
        <v>http://www.ufscar.br</v>
      </c>
      <c r="AR361" s="86" t="s">
        <v>28148</v>
      </c>
      <c r="AS361" s="86"/>
      <c r="AT361" s="86"/>
      <c r="AU361" s="86"/>
      <c r="AV361" s="86">
        <v>1.6762071271263099E+18</v>
      </c>
      <c r="AW361" s="96" t="str">
        <f>HYPERLINK("https://t.co/oU3ViMesef")</f>
        <v>https://t.co/oU3ViMesef</v>
      </c>
      <c r="AX361" s="86" t="b">
        <v>0</v>
      </c>
      <c r="AY361" s="86"/>
      <c r="AZ361" s="86"/>
      <c r="BA361" s="86" t="b">
        <v>1</v>
      </c>
      <c r="BB361" s="86" t="b">
        <v>1</v>
      </c>
      <c r="BC361" s="86" t="b">
        <v>1</v>
      </c>
      <c r="BD361" s="86" t="b">
        <v>0</v>
      </c>
      <c r="BE361" s="86" t="b">
        <v>0</v>
      </c>
      <c r="BF361" s="86" t="b">
        <v>0</v>
      </c>
      <c r="BG361" s="86" t="b">
        <v>0</v>
      </c>
      <c r="BH361" s="96" t="str">
        <f>HYPERLINK("https://pbs.twimg.com/profile_banners/83980337/1693596023")</f>
        <v>https://pbs.twimg.com/profile_banners/83980337/1693596023</v>
      </c>
      <c r="BI361" s="86"/>
      <c r="BJ361" s="86" t="s">
        <v>29134</v>
      </c>
      <c r="BK361" s="86" t="b">
        <v>0</v>
      </c>
      <c r="BL361" s="86"/>
      <c r="BM361" s="86" t="s">
        <v>65</v>
      </c>
      <c r="BN361" s="86" t="s">
        <v>29136</v>
      </c>
      <c r="BO361" s="96" t="str">
        <f>HYPERLINK("https://twitter.com/ufscaroficial")</f>
        <v>https://twitter.com/ufscaroficial</v>
      </c>
      <c r="BP361" s="2"/>
    </row>
    <row r="362" spans="1:68" x14ac:dyDescent="0.25">
      <c r="A362" s="63" t="s">
        <v>539</v>
      </c>
      <c r="B362" s="64"/>
      <c r="C362" s="64"/>
      <c r="D362" s="65"/>
      <c r="E362" s="67"/>
      <c r="F362" s="111" t="str">
        <f>HYPERLINK("https://pbs.twimg.com/profile_images/1431648743728852993/tLJ7F5Lu_normal.png")</f>
        <v>https://pbs.twimg.com/profile_images/1431648743728852993/tLJ7F5Lu_normal.png</v>
      </c>
      <c r="G362" s="64"/>
      <c r="H362" s="68"/>
      <c r="I362" s="69"/>
      <c r="J362" s="69"/>
      <c r="K362" s="68" t="s">
        <v>29495</v>
      </c>
      <c r="L362" s="72"/>
      <c r="M362" s="73"/>
      <c r="N362" s="73"/>
      <c r="O362" s="74"/>
      <c r="P362" s="75"/>
      <c r="Q362" s="75"/>
      <c r="R362" s="102"/>
      <c r="S362" s="102"/>
      <c r="T362" s="102"/>
      <c r="U362" s="102"/>
      <c r="V362" s="48"/>
      <c r="W362" s="48"/>
      <c r="X362" s="48"/>
      <c r="Y362" s="48"/>
      <c r="Z362" s="47"/>
      <c r="AA362" s="70">
        <v>362</v>
      </c>
      <c r="AB362" s="70"/>
      <c r="AC362" s="71"/>
      <c r="AD362" s="86" t="s">
        <v>23996</v>
      </c>
      <c r="AE362" s="94" t="s">
        <v>25364</v>
      </c>
      <c r="AF362" s="86">
        <v>4047</v>
      </c>
      <c r="AG362" s="86">
        <v>533</v>
      </c>
      <c r="AH362" s="86">
        <v>12908</v>
      </c>
      <c r="AI362" s="86">
        <v>2</v>
      </c>
      <c r="AJ362" s="86">
        <v>13</v>
      </c>
      <c r="AK362" s="86">
        <v>10</v>
      </c>
      <c r="AL362" s="86" t="b">
        <v>0</v>
      </c>
      <c r="AM362" s="89">
        <v>40950.85597222222</v>
      </c>
      <c r="AN362" s="86" t="s">
        <v>25933</v>
      </c>
      <c r="AO362" s="86" t="s">
        <v>26751</v>
      </c>
      <c r="AP362" s="96" t="str">
        <f>HYPERLINK("https://t.co/R78rSZpGBV")</f>
        <v>https://t.co/R78rSZpGBV</v>
      </c>
      <c r="AQ362" s="96" t="str">
        <f>HYPERLINK("https://www.freeclassificados.com")</f>
        <v>https://www.freeclassificados.com</v>
      </c>
      <c r="AR362" s="86" t="s">
        <v>28149</v>
      </c>
      <c r="AS362" s="86"/>
      <c r="AT362" s="86"/>
      <c r="AU362" s="86"/>
      <c r="AV362" s="86"/>
      <c r="AW362" s="96" t="str">
        <f>HYPERLINK("https://t.co/R78rSZpGBV")</f>
        <v>https://t.co/R78rSZpGBV</v>
      </c>
      <c r="AX362" s="86" t="b">
        <v>0</v>
      </c>
      <c r="AY362" s="86"/>
      <c r="AZ362" s="86"/>
      <c r="BA362" s="86" t="b">
        <v>0</v>
      </c>
      <c r="BB362" s="86" t="b">
        <v>1</v>
      </c>
      <c r="BC362" s="86" t="b">
        <v>0</v>
      </c>
      <c r="BD362" s="86" t="b">
        <v>0</v>
      </c>
      <c r="BE362" s="86" t="b">
        <v>0</v>
      </c>
      <c r="BF362" s="86" t="b">
        <v>0</v>
      </c>
      <c r="BG362" s="86" t="b">
        <v>0</v>
      </c>
      <c r="BH362" s="96" t="str">
        <f>HYPERLINK("https://pbs.twimg.com/profile_banners/489723814/1630167379")</f>
        <v>https://pbs.twimg.com/profile_banners/489723814/1630167379</v>
      </c>
      <c r="BI362" s="86"/>
      <c r="BJ362" s="86" t="s">
        <v>29134</v>
      </c>
      <c r="BK362" s="86" t="b">
        <v>0</v>
      </c>
      <c r="BL362" s="86"/>
      <c r="BM362" s="86" t="s">
        <v>66</v>
      </c>
      <c r="BN362" s="86" t="s">
        <v>29136</v>
      </c>
      <c r="BO362" s="96" t="str">
        <f>HYPERLINK("https://twitter.com/freeclassific")</f>
        <v>https://twitter.com/freeclassific</v>
      </c>
      <c r="BP362" s="2"/>
    </row>
    <row r="363" spans="1:68" x14ac:dyDescent="0.25">
      <c r="A363" s="63" t="s">
        <v>540</v>
      </c>
      <c r="B363" s="64"/>
      <c r="C363" s="64"/>
      <c r="D363" s="65"/>
      <c r="E363" s="67"/>
      <c r="F363" s="111" t="str">
        <f>HYPERLINK("https://pbs.twimg.com/profile_images/1675805731671404545/v6zgwjFo_normal.jpg")</f>
        <v>https://pbs.twimg.com/profile_images/1675805731671404545/v6zgwjFo_normal.jpg</v>
      </c>
      <c r="G363" s="64"/>
      <c r="H363" s="68"/>
      <c r="I363" s="69"/>
      <c r="J363" s="69"/>
      <c r="K363" s="68" t="s">
        <v>29496</v>
      </c>
      <c r="L363" s="72"/>
      <c r="M363" s="73"/>
      <c r="N363" s="73"/>
      <c r="O363" s="74"/>
      <c r="P363" s="75"/>
      <c r="Q363" s="75"/>
      <c r="R363" s="102"/>
      <c r="S363" s="102"/>
      <c r="T363" s="102"/>
      <c r="U363" s="102"/>
      <c r="V363" s="48"/>
      <c r="W363" s="48"/>
      <c r="X363" s="48"/>
      <c r="Y363" s="48"/>
      <c r="Z363" s="47"/>
      <c r="AA363" s="70">
        <v>363</v>
      </c>
      <c r="AB363" s="70"/>
      <c r="AC363" s="71"/>
      <c r="AD363" s="86" t="s">
        <v>23997</v>
      </c>
      <c r="AE363" s="94" t="s">
        <v>22975</v>
      </c>
      <c r="AF363" s="86">
        <v>0</v>
      </c>
      <c r="AG363" s="86">
        <v>7</v>
      </c>
      <c r="AH363" s="86">
        <v>1</v>
      </c>
      <c r="AI363" s="86">
        <v>0</v>
      </c>
      <c r="AJ363" s="86">
        <v>0</v>
      </c>
      <c r="AK363" s="86">
        <v>0</v>
      </c>
      <c r="AL363" s="86" t="b">
        <v>0</v>
      </c>
      <c r="AM363" s="89">
        <v>45110.414189814815</v>
      </c>
      <c r="AN363" s="86"/>
      <c r="AO363" s="86"/>
      <c r="AP363" s="86"/>
      <c r="AQ363" s="86"/>
      <c r="AR363" s="86"/>
      <c r="AS363" s="86"/>
      <c r="AT363" s="86"/>
      <c r="AU363" s="86"/>
      <c r="AV363" s="86"/>
      <c r="AW363" s="86"/>
      <c r="AX363" s="86" t="b">
        <v>0</v>
      </c>
      <c r="AY363" s="86"/>
      <c r="AZ363" s="86"/>
      <c r="BA363" s="86" t="b">
        <v>0</v>
      </c>
      <c r="BB363" s="86" t="b">
        <v>1</v>
      </c>
      <c r="BC363" s="86" t="b">
        <v>1</v>
      </c>
      <c r="BD363" s="86" t="b">
        <v>0</v>
      </c>
      <c r="BE363" s="86" t="b">
        <v>0</v>
      </c>
      <c r="BF363" s="86" t="b">
        <v>0</v>
      </c>
      <c r="BG363" s="86" t="b">
        <v>0</v>
      </c>
      <c r="BH363" s="96" t="str">
        <f>HYPERLINK("https://pbs.twimg.com/profile_banners/1675805665070141440/1689691035")</f>
        <v>https://pbs.twimg.com/profile_banners/1675805665070141440/1689691035</v>
      </c>
      <c r="BI363" s="86"/>
      <c r="BJ363" s="86" t="s">
        <v>29134</v>
      </c>
      <c r="BK363" s="86" t="b">
        <v>0</v>
      </c>
      <c r="BL363" s="86"/>
      <c r="BM363" s="86" t="s">
        <v>66</v>
      </c>
      <c r="BN363" s="86" t="s">
        <v>29136</v>
      </c>
      <c r="BO363" s="96" t="str">
        <f>HYPERLINK("https://twitter.com/euhellenpereira")</f>
        <v>https://twitter.com/euhellenpereira</v>
      </c>
      <c r="BP363" s="2"/>
    </row>
    <row r="364" spans="1:68" x14ac:dyDescent="0.25">
      <c r="A364" s="63" t="s">
        <v>541</v>
      </c>
      <c r="B364" s="64"/>
      <c r="C364" s="64"/>
      <c r="D364" s="65"/>
      <c r="E364" s="67"/>
      <c r="F364" s="111" t="str">
        <f>HYPERLINK("https://pbs.twimg.com/profile_images/1613152914171744256/7MYPxFkG_normal.jpg")</f>
        <v>https://pbs.twimg.com/profile_images/1613152914171744256/7MYPxFkG_normal.jpg</v>
      </c>
      <c r="G364" s="64"/>
      <c r="H364" s="68"/>
      <c r="I364" s="69"/>
      <c r="J364" s="69"/>
      <c r="K364" s="68" t="s">
        <v>29497</v>
      </c>
      <c r="L364" s="72"/>
      <c r="M364" s="73"/>
      <c r="N364" s="73"/>
      <c r="O364" s="74"/>
      <c r="P364" s="75"/>
      <c r="Q364" s="75"/>
      <c r="R364" s="102"/>
      <c r="S364" s="102"/>
      <c r="T364" s="102"/>
      <c r="U364" s="102"/>
      <c r="V364" s="48"/>
      <c r="W364" s="48"/>
      <c r="X364" s="48"/>
      <c r="Y364" s="48"/>
      <c r="Z364" s="47"/>
      <c r="AA364" s="70">
        <v>364</v>
      </c>
      <c r="AB364" s="70"/>
      <c r="AC364" s="71"/>
      <c r="AD364" s="86" t="s">
        <v>541</v>
      </c>
      <c r="AE364" s="94" t="s">
        <v>25365</v>
      </c>
      <c r="AF364" s="86">
        <v>89</v>
      </c>
      <c r="AG364" s="86">
        <v>110</v>
      </c>
      <c r="AH364" s="86">
        <v>302</v>
      </c>
      <c r="AI364" s="86">
        <v>0</v>
      </c>
      <c r="AJ364" s="86">
        <v>540</v>
      </c>
      <c r="AK364" s="86">
        <v>8</v>
      </c>
      <c r="AL364" s="86" t="b">
        <v>0</v>
      </c>
      <c r="AM364" s="89">
        <v>39583.543287037035</v>
      </c>
      <c r="AN364" s="86" t="s">
        <v>26011</v>
      </c>
      <c r="AO364" s="86" t="s">
        <v>26752</v>
      </c>
      <c r="AP364" s="96" t="str">
        <f>HYPERLINK("https://t.co/rWzV86Et88")</f>
        <v>https://t.co/rWzV86Et88</v>
      </c>
      <c r="AQ364" s="96" t="str">
        <f>HYPERLINK("https://danielpena.com.br")</f>
        <v>https://danielpena.com.br</v>
      </c>
      <c r="AR364" s="86" t="s">
        <v>28150</v>
      </c>
      <c r="AS364" s="86"/>
      <c r="AT364" s="86"/>
      <c r="AU364" s="86"/>
      <c r="AV364" s="86"/>
      <c r="AW364" s="96" t="str">
        <f>HYPERLINK("https://t.co/rWzV86Et88")</f>
        <v>https://t.co/rWzV86Et88</v>
      </c>
      <c r="AX364" s="86" t="b">
        <v>0</v>
      </c>
      <c r="AY364" s="86"/>
      <c r="AZ364" s="86"/>
      <c r="BA364" s="86" t="b">
        <v>1</v>
      </c>
      <c r="BB364" s="86" t="b">
        <v>0</v>
      </c>
      <c r="BC364" s="86" t="b">
        <v>0</v>
      </c>
      <c r="BD364" s="86" t="b">
        <v>0</v>
      </c>
      <c r="BE364" s="86" t="b">
        <v>1</v>
      </c>
      <c r="BF364" s="86" t="b">
        <v>0</v>
      </c>
      <c r="BG364" s="86" t="b">
        <v>0</v>
      </c>
      <c r="BH364" s="96" t="str">
        <f>HYPERLINK("https://pbs.twimg.com/profile_banners/14785591/1673995738")</f>
        <v>https://pbs.twimg.com/profile_banners/14785591/1673995738</v>
      </c>
      <c r="BI364" s="86"/>
      <c r="BJ364" s="86" t="s">
        <v>29134</v>
      </c>
      <c r="BK364" s="86" t="b">
        <v>0</v>
      </c>
      <c r="BL364" s="86"/>
      <c r="BM364" s="86" t="s">
        <v>66</v>
      </c>
      <c r="BN364" s="86" t="s">
        <v>29136</v>
      </c>
      <c r="BO364" s="96" t="str">
        <f>HYPERLINK("https://twitter.com/eudanielpena")</f>
        <v>https://twitter.com/eudanielpena</v>
      </c>
      <c r="BP364" s="2"/>
    </row>
    <row r="365" spans="1:68" x14ac:dyDescent="0.25">
      <c r="A365" s="63" t="s">
        <v>542</v>
      </c>
      <c r="B365" s="64"/>
      <c r="C365" s="64"/>
      <c r="D365" s="65"/>
      <c r="E365" s="67"/>
      <c r="F365" s="111" t="str">
        <f>HYPERLINK("https://pbs.twimg.com/profile_images/1694623806055194625/OKGENQzv_normal.jpg")</f>
        <v>https://pbs.twimg.com/profile_images/1694623806055194625/OKGENQzv_normal.jpg</v>
      </c>
      <c r="G365" s="64"/>
      <c r="H365" s="68"/>
      <c r="I365" s="69"/>
      <c r="J365" s="69"/>
      <c r="K365" s="68" t="s">
        <v>29498</v>
      </c>
      <c r="L365" s="72"/>
      <c r="M365" s="73"/>
      <c r="N365" s="73"/>
      <c r="O365" s="74"/>
      <c r="P365" s="75"/>
      <c r="Q365" s="75"/>
      <c r="R365" s="102"/>
      <c r="S365" s="102"/>
      <c r="T365" s="102"/>
      <c r="U365" s="102"/>
      <c r="V365" s="48"/>
      <c r="W365" s="48"/>
      <c r="X365" s="48"/>
      <c r="Y365" s="48"/>
      <c r="Z365" s="47"/>
      <c r="AA365" s="70">
        <v>365</v>
      </c>
      <c r="AB365" s="70"/>
      <c r="AC365" s="71"/>
      <c r="AD365" s="86" t="s">
        <v>23998</v>
      </c>
      <c r="AE365" s="94" t="s">
        <v>22976</v>
      </c>
      <c r="AF365" s="86">
        <v>2</v>
      </c>
      <c r="AG365" s="86">
        <v>9</v>
      </c>
      <c r="AH365" s="86">
        <v>7</v>
      </c>
      <c r="AI365" s="86">
        <v>0</v>
      </c>
      <c r="AJ365" s="86">
        <v>11</v>
      </c>
      <c r="AK365" s="86">
        <v>2</v>
      </c>
      <c r="AL365" s="86" t="b">
        <v>0</v>
      </c>
      <c r="AM365" s="89">
        <v>45162.341539351852</v>
      </c>
      <c r="AN365" s="86" t="s">
        <v>26012</v>
      </c>
      <c r="AO365" s="86"/>
      <c r="AP365" s="86"/>
      <c r="AQ365" s="86"/>
      <c r="AR365" s="86"/>
      <c r="AS365" s="86"/>
      <c r="AT365" s="86"/>
      <c r="AU365" s="86"/>
      <c r="AV365" s="86"/>
      <c r="AW365" s="86"/>
      <c r="AX365" s="86" t="b">
        <v>0</v>
      </c>
      <c r="AY365" s="86"/>
      <c r="AZ365" s="86"/>
      <c r="BA365" s="86" t="b">
        <v>1</v>
      </c>
      <c r="BB365" s="86" t="b">
        <v>0</v>
      </c>
      <c r="BC365" s="86" t="b">
        <v>1</v>
      </c>
      <c r="BD365" s="86" t="b">
        <v>0</v>
      </c>
      <c r="BE365" s="86" t="b">
        <v>0</v>
      </c>
      <c r="BF365" s="86" t="b">
        <v>0</v>
      </c>
      <c r="BG365" s="86" t="b">
        <v>1</v>
      </c>
      <c r="BH365" s="86"/>
      <c r="BI365" s="86"/>
      <c r="BJ365" s="86" t="s">
        <v>29134</v>
      </c>
      <c r="BK365" s="86" t="b">
        <v>0</v>
      </c>
      <c r="BL365" s="86"/>
      <c r="BM365" s="86" t="s">
        <v>66</v>
      </c>
      <c r="BN365" s="86" t="s">
        <v>29136</v>
      </c>
      <c r="BO365" s="96" t="str">
        <f>HYPERLINK("https://twitter.com/yacov_mutombene")</f>
        <v>https://twitter.com/yacov_mutombene</v>
      </c>
      <c r="BP365" s="2"/>
    </row>
    <row r="366" spans="1:68" x14ac:dyDescent="0.25">
      <c r="A366" s="63" t="s">
        <v>544</v>
      </c>
      <c r="B366" s="64"/>
      <c r="C366" s="64"/>
      <c r="D366" s="65"/>
      <c r="E366" s="67"/>
      <c r="F366" s="111" t="str">
        <f>HYPERLINK("https://pbs.twimg.com/profile_images/1628608288597188610/1qON9AT6_normal.jpg")</f>
        <v>https://pbs.twimg.com/profile_images/1628608288597188610/1qON9AT6_normal.jpg</v>
      </c>
      <c r="G366" s="64"/>
      <c r="H366" s="68"/>
      <c r="I366" s="69"/>
      <c r="J366" s="69"/>
      <c r="K366" s="68" t="s">
        <v>29499</v>
      </c>
      <c r="L366" s="72"/>
      <c r="M366" s="73"/>
      <c r="N366" s="73"/>
      <c r="O366" s="74"/>
      <c r="P366" s="75"/>
      <c r="Q366" s="75"/>
      <c r="R366" s="102"/>
      <c r="S366" s="102"/>
      <c r="T366" s="102"/>
      <c r="U366" s="102"/>
      <c r="V366" s="48"/>
      <c r="W366" s="48"/>
      <c r="X366" s="48"/>
      <c r="Y366" s="48"/>
      <c r="Z366" s="47"/>
      <c r="AA366" s="70">
        <v>366</v>
      </c>
      <c r="AB366" s="70"/>
      <c r="AC366" s="71"/>
      <c r="AD366" s="86" t="s">
        <v>23999</v>
      </c>
      <c r="AE366" s="94" t="s">
        <v>22977</v>
      </c>
      <c r="AF366" s="86">
        <v>11</v>
      </c>
      <c r="AG366" s="86">
        <v>119</v>
      </c>
      <c r="AH366" s="86">
        <v>1075</v>
      </c>
      <c r="AI366" s="86">
        <v>1</v>
      </c>
      <c r="AJ366" s="86">
        <v>4986</v>
      </c>
      <c r="AK366" s="86">
        <v>978</v>
      </c>
      <c r="AL366" s="86" t="b">
        <v>0</v>
      </c>
      <c r="AM366" s="89">
        <v>44480.957789351851</v>
      </c>
      <c r="AN366" s="86"/>
      <c r="AO366" s="86" t="s">
        <v>26753</v>
      </c>
      <c r="AP366" s="96" t="str">
        <f>HYPERLINK("https://t.co/ilPWPKiXoz")</f>
        <v>https://t.co/ilPWPKiXoz</v>
      </c>
      <c r="AQ366" s="96" t="str">
        <f>HYPERLINK("http://www.nelbevirtualflight.com.br/")</f>
        <v>http://www.nelbevirtualflight.com.br/</v>
      </c>
      <c r="AR366" s="86" t="s">
        <v>28151</v>
      </c>
      <c r="AS366" s="96" t="str">
        <f>HYPERLINK("https://t.co/cMX02xXheI")</f>
        <v>https://t.co/cMX02xXheI</v>
      </c>
      <c r="AT366" s="96" t="str">
        <f>HYPERLINK("http://www.nelbevirtualflight.com.br")</f>
        <v>http://www.nelbevirtualflight.com.br</v>
      </c>
      <c r="AU366" s="86" t="s">
        <v>28151</v>
      </c>
      <c r="AV366" s="86">
        <v>1.52273120031763E+18</v>
      </c>
      <c r="AW366" s="96" t="str">
        <f>HYPERLINK("https://t.co/ilPWPKiXoz")</f>
        <v>https://t.co/ilPWPKiXoz</v>
      </c>
      <c r="AX366" s="86" t="b">
        <v>0</v>
      </c>
      <c r="AY366" s="86"/>
      <c r="AZ366" s="86"/>
      <c r="BA366" s="86" t="b">
        <v>0</v>
      </c>
      <c r="BB366" s="86" t="b">
        <v>1</v>
      </c>
      <c r="BC366" s="86" t="b">
        <v>1</v>
      </c>
      <c r="BD366" s="86" t="b">
        <v>0</v>
      </c>
      <c r="BE366" s="86" t="b">
        <v>0</v>
      </c>
      <c r="BF366" s="86" t="b">
        <v>0</v>
      </c>
      <c r="BG366" s="86" t="b">
        <v>0</v>
      </c>
      <c r="BH366" s="96" t="str">
        <f>HYPERLINK("https://pbs.twimg.com/profile_banners/1447698151352176641/1673041590")</f>
        <v>https://pbs.twimg.com/profile_banners/1447698151352176641/1673041590</v>
      </c>
      <c r="BI366" s="86"/>
      <c r="BJ366" s="86" t="s">
        <v>29134</v>
      </c>
      <c r="BK366" s="86" t="b">
        <v>0</v>
      </c>
      <c r="BL366" s="86"/>
      <c r="BM366" s="86" t="s">
        <v>66</v>
      </c>
      <c r="BN366" s="86" t="s">
        <v>29136</v>
      </c>
      <c r="BO366" s="96" t="str">
        <f>HYPERLINK("https://twitter.com/nelberezendevfa")</f>
        <v>https://twitter.com/nelberezendevfa</v>
      </c>
      <c r="BP366" s="2"/>
    </row>
    <row r="367" spans="1:68" x14ac:dyDescent="0.25">
      <c r="A367" s="63" t="s">
        <v>545</v>
      </c>
      <c r="B367" s="64"/>
      <c r="C367" s="64"/>
      <c r="D367" s="65"/>
      <c r="E367" s="67"/>
      <c r="F367" s="111" t="str">
        <f>HYPERLINK("https://pbs.twimg.com/profile_images/1490726030239219715/NsSY2E9c_normal.jpg")</f>
        <v>https://pbs.twimg.com/profile_images/1490726030239219715/NsSY2E9c_normal.jpg</v>
      </c>
      <c r="G367" s="64"/>
      <c r="H367" s="68"/>
      <c r="I367" s="69"/>
      <c r="J367" s="69"/>
      <c r="K367" s="68" t="s">
        <v>29500</v>
      </c>
      <c r="L367" s="72"/>
      <c r="M367" s="73"/>
      <c r="N367" s="73"/>
      <c r="O367" s="74"/>
      <c r="P367" s="75"/>
      <c r="Q367" s="75"/>
      <c r="R367" s="102"/>
      <c r="S367" s="102"/>
      <c r="T367" s="102"/>
      <c r="U367" s="102"/>
      <c r="V367" s="48"/>
      <c r="W367" s="48"/>
      <c r="X367" s="48"/>
      <c r="Y367" s="48"/>
      <c r="Z367" s="47"/>
      <c r="AA367" s="70">
        <v>367</v>
      </c>
      <c r="AB367" s="70"/>
      <c r="AC367" s="71"/>
      <c r="AD367" s="86" t="s">
        <v>24000</v>
      </c>
      <c r="AE367" s="94" t="s">
        <v>25366</v>
      </c>
      <c r="AF367" s="86">
        <v>435358</v>
      </c>
      <c r="AG367" s="86">
        <v>217</v>
      </c>
      <c r="AH367" s="86">
        <v>148318</v>
      </c>
      <c r="AI367" s="86">
        <v>2292</v>
      </c>
      <c r="AJ367" s="86">
        <v>1131</v>
      </c>
      <c r="AK367" s="86">
        <v>10129</v>
      </c>
      <c r="AL367" s="86" t="b">
        <v>0</v>
      </c>
      <c r="AM367" s="89">
        <v>41149.036550925928</v>
      </c>
      <c r="AN367" s="86"/>
      <c r="AO367" s="86" t="s">
        <v>26754</v>
      </c>
      <c r="AP367" s="96" t="str">
        <f>HYPERLINK("https://t.co/jP5TXoTaSm")</f>
        <v>https://t.co/jP5TXoTaSm</v>
      </c>
      <c r="AQ367" s="96" t="str">
        <f>HYPERLINK("http://www.cbn.com.br")</f>
        <v>http://www.cbn.com.br</v>
      </c>
      <c r="AR367" s="86" t="s">
        <v>28152</v>
      </c>
      <c r="AS367" s="86"/>
      <c r="AT367" s="86"/>
      <c r="AU367" s="86"/>
      <c r="AV367" s="86"/>
      <c r="AW367" s="96" t="str">
        <f>HYPERLINK("https://t.co/jP5TXoTaSm")</f>
        <v>https://t.co/jP5TXoTaSm</v>
      </c>
      <c r="AX367" s="86" t="b">
        <v>0</v>
      </c>
      <c r="AY367" s="86"/>
      <c r="AZ367" s="86"/>
      <c r="BA367" s="86" t="b">
        <v>0</v>
      </c>
      <c r="BB367" s="86" t="b">
        <v>1</v>
      </c>
      <c r="BC367" s="86" t="b">
        <v>0</v>
      </c>
      <c r="BD367" s="86" t="b">
        <v>0</v>
      </c>
      <c r="BE367" s="86" t="b">
        <v>1</v>
      </c>
      <c r="BF367" s="86" t="b">
        <v>0</v>
      </c>
      <c r="BG367" s="86" t="b">
        <v>0</v>
      </c>
      <c r="BH367" s="96" t="str">
        <f>HYPERLINK("https://pbs.twimg.com/profile_banners/785833176/1644251758")</f>
        <v>https://pbs.twimg.com/profile_banners/785833176/1644251758</v>
      </c>
      <c r="BI367" s="86"/>
      <c r="BJ367" s="86" t="s">
        <v>29134</v>
      </c>
      <c r="BK367" s="86" t="b">
        <v>0</v>
      </c>
      <c r="BL367" s="86"/>
      <c r="BM367" s="86" t="s">
        <v>66</v>
      </c>
      <c r="BN367" s="86" t="s">
        <v>29136</v>
      </c>
      <c r="BO367" s="96" t="str">
        <f>HYPERLINK("https://twitter.com/cbnoficial")</f>
        <v>https://twitter.com/cbnoficial</v>
      </c>
      <c r="BP367" s="2"/>
    </row>
    <row r="368" spans="1:68" x14ac:dyDescent="0.25">
      <c r="A368" s="63" t="s">
        <v>1655</v>
      </c>
      <c r="B368" s="64"/>
      <c r="C368" s="64"/>
      <c r="D368" s="65"/>
      <c r="E368" s="67"/>
      <c r="F368" s="111" t="str">
        <f>HYPERLINK("https://pbs.twimg.com/profile_images/1606776928307974144/uC1uO2A9_normal.jpg")</f>
        <v>https://pbs.twimg.com/profile_images/1606776928307974144/uC1uO2A9_normal.jpg</v>
      </c>
      <c r="G368" s="64"/>
      <c r="H368" s="68"/>
      <c r="I368" s="69"/>
      <c r="J368" s="69"/>
      <c r="K368" s="68" t="s">
        <v>29501</v>
      </c>
      <c r="L368" s="72"/>
      <c r="M368" s="73"/>
      <c r="N368" s="73"/>
      <c r="O368" s="74"/>
      <c r="P368" s="75"/>
      <c r="Q368" s="75"/>
      <c r="R368" s="102"/>
      <c r="S368" s="102"/>
      <c r="T368" s="102"/>
      <c r="U368" s="102"/>
      <c r="V368" s="48"/>
      <c r="W368" s="48"/>
      <c r="X368" s="48"/>
      <c r="Y368" s="48"/>
      <c r="Z368" s="47"/>
      <c r="AA368" s="70">
        <v>368</v>
      </c>
      <c r="AB368" s="70"/>
      <c r="AC368" s="71"/>
      <c r="AD368" s="86" t="s">
        <v>24001</v>
      </c>
      <c r="AE368" s="94" t="s">
        <v>25367</v>
      </c>
      <c r="AF368" s="86">
        <v>236745</v>
      </c>
      <c r="AG368" s="86">
        <v>1639</v>
      </c>
      <c r="AH368" s="86">
        <v>43275</v>
      </c>
      <c r="AI368" s="86">
        <v>1017</v>
      </c>
      <c r="AJ368" s="86">
        <v>2937</v>
      </c>
      <c r="AK368" s="86">
        <v>8577</v>
      </c>
      <c r="AL368" s="86" t="b">
        <v>0</v>
      </c>
      <c r="AM368" s="89">
        <v>39483.692673611113</v>
      </c>
      <c r="AN368" s="86" t="s">
        <v>15378</v>
      </c>
      <c r="AO368" s="86" t="s">
        <v>26755</v>
      </c>
      <c r="AP368" s="96" t="str">
        <f>HYPERLINK("https://t.co/5tnk8lioK0")</f>
        <v>https://t.co/5tnk8lioK0</v>
      </c>
      <c r="AQ368" s="96" t="str">
        <f>HYPERLINK("http://www.miltonjung.com.br")</f>
        <v>http://www.miltonjung.com.br</v>
      </c>
      <c r="AR368" s="86" t="s">
        <v>28153</v>
      </c>
      <c r="AS368" s="86"/>
      <c r="AT368" s="86"/>
      <c r="AU368" s="86"/>
      <c r="AV368" s="86"/>
      <c r="AW368" s="96" t="str">
        <f>HYPERLINK("https://t.co/5tnk8lioK0")</f>
        <v>https://t.co/5tnk8lioK0</v>
      </c>
      <c r="AX368" s="86" t="b">
        <v>0</v>
      </c>
      <c r="AY368" s="86"/>
      <c r="AZ368" s="86"/>
      <c r="BA368" s="86" t="b">
        <v>1</v>
      </c>
      <c r="BB368" s="86" t="b">
        <v>1</v>
      </c>
      <c r="BC368" s="86" t="b">
        <v>0</v>
      </c>
      <c r="BD368" s="86" t="b">
        <v>0</v>
      </c>
      <c r="BE368" s="86" t="b">
        <v>1</v>
      </c>
      <c r="BF368" s="86" t="b">
        <v>0</v>
      </c>
      <c r="BG368" s="86" t="b">
        <v>0</v>
      </c>
      <c r="BH368" s="96" t="str">
        <f>HYPERLINK("https://pbs.twimg.com/profile_banners/13099302/1671920467")</f>
        <v>https://pbs.twimg.com/profile_banners/13099302/1671920467</v>
      </c>
      <c r="BI368" s="86"/>
      <c r="BJ368" s="86" t="s">
        <v>29135</v>
      </c>
      <c r="BK368" s="86" t="b">
        <v>0</v>
      </c>
      <c r="BL368" s="86"/>
      <c r="BM368" s="86" t="s">
        <v>65</v>
      </c>
      <c r="BN368" s="86" t="s">
        <v>29136</v>
      </c>
      <c r="BO368" s="96" t="str">
        <f>HYPERLINK("https://twitter.com/miltonjung")</f>
        <v>https://twitter.com/miltonjung</v>
      </c>
      <c r="BP368" s="2"/>
    </row>
    <row r="369" spans="1:68" x14ac:dyDescent="0.25">
      <c r="A369" s="63" t="s">
        <v>546</v>
      </c>
      <c r="B369" s="64"/>
      <c r="C369" s="64"/>
      <c r="D369" s="65"/>
      <c r="E369" s="67"/>
      <c r="F369" s="111" t="str">
        <f>HYPERLINK("https://pbs.twimg.com/profile_images/2504791491/xy0dyksmhtrbeae5mb51_normal.jpeg")</f>
        <v>https://pbs.twimg.com/profile_images/2504791491/xy0dyksmhtrbeae5mb51_normal.jpeg</v>
      </c>
      <c r="G369" s="64"/>
      <c r="H369" s="68"/>
      <c r="I369" s="69"/>
      <c r="J369" s="69"/>
      <c r="K369" s="68" t="s">
        <v>29502</v>
      </c>
      <c r="L369" s="72"/>
      <c r="M369" s="73"/>
      <c r="N369" s="73"/>
      <c r="O369" s="74"/>
      <c r="P369" s="75"/>
      <c r="Q369" s="75"/>
      <c r="R369" s="102"/>
      <c r="S369" s="102"/>
      <c r="T369" s="102"/>
      <c r="U369" s="102"/>
      <c r="V369" s="48"/>
      <c r="W369" s="48"/>
      <c r="X369" s="48"/>
      <c r="Y369" s="48"/>
      <c r="Z369" s="47"/>
      <c r="AA369" s="70">
        <v>369</v>
      </c>
      <c r="AB369" s="70"/>
      <c r="AC369" s="71"/>
      <c r="AD369" s="86" t="s">
        <v>24002</v>
      </c>
      <c r="AE369" s="94" t="s">
        <v>25368</v>
      </c>
      <c r="AF369" s="86">
        <v>214</v>
      </c>
      <c r="AG369" s="86">
        <v>685</v>
      </c>
      <c r="AH369" s="86">
        <v>9999</v>
      </c>
      <c r="AI369" s="86">
        <v>2</v>
      </c>
      <c r="AJ369" s="86">
        <v>5510</v>
      </c>
      <c r="AK369" s="86">
        <v>2019</v>
      </c>
      <c r="AL369" s="86" t="b">
        <v>0</v>
      </c>
      <c r="AM369" s="89">
        <v>40219.84070601852</v>
      </c>
      <c r="AN369" s="86" t="s">
        <v>15234</v>
      </c>
      <c r="AO369" s="86" t="s">
        <v>26756</v>
      </c>
      <c r="AP369" s="86"/>
      <c r="AQ369" s="86"/>
      <c r="AR369" s="86"/>
      <c r="AS369" s="86"/>
      <c r="AT369" s="86"/>
      <c r="AU369" s="86"/>
      <c r="AV369" s="86"/>
      <c r="AW369" s="86"/>
      <c r="AX369" s="86" t="b">
        <v>0</v>
      </c>
      <c r="AY369" s="86"/>
      <c r="AZ369" s="86"/>
      <c r="BA369" s="86" t="b">
        <v>0</v>
      </c>
      <c r="BB369" s="86" t="b">
        <v>1</v>
      </c>
      <c r="BC369" s="86" t="b">
        <v>1</v>
      </c>
      <c r="BD369" s="86" t="b">
        <v>0</v>
      </c>
      <c r="BE369" s="86" t="b">
        <v>1</v>
      </c>
      <c r="BF369" s="86" t="b">
        <v>0</v>
      </c>
      <c r="BG369" s="86" t="b">
        <v>0</v>
      </c>
      <c r="BH369" s="86"/>
      <c r="BI369" s="86"/>
      <c r="BJ369" s="86" t="s">
        <v>29134</v>
      </c>
      <c r="BK369" s="86" t="b">
        <v>0</v>
      </c>
      <c r="BL369" s="86"/>
      <c r="BM369" s="86" t="s">
        <v>66</v>
      </c>
      <c r="BN369" s="86" t="s">
        <v>29136</v>
      </c>
      <c r="BO369" s="96" t="str">
        <f>HYPERLINK("https://twitter.com/paulocbastos")</f>
        <v>https://twitter.com/paulocbastos</v>
      </c>
      <c r="BP369" s="2"/>
    </row>
    <row r="370" spans="1:68" x14ac:dyDescent="0.25">
      <c r="A370" s="63" t="s">
        <v>547</v>
      </c>
      <c r="B370" s="64"/>
      <c r="C370" s="64"/>
      <c r="D370" s="65"/>
      <c r="E370" s="67"/>
      <c r="F370" s="111" t="str">
        <f>HYPERLINK("https://pbs.twimg.com/profile_images/1705016097911574528/FewCgp-h_normal.jpg")</f>
        <v>https://pbs.twimg.com/profile_images/1705016097911574528/FewCgp-h_normal.jpg</v>
      </c>
      <c r="G370" s="64"/>
      <c r="H370" s="68"/>
      <c r="I370" s="69"/>
      <c r="J370" s="69"/>
      <c r="K370" s="68" t="s">
        <v>29503</v>
      </c>
      <c r="L370" s="72"/>
      <c r="M370" s="73"/>
      <c r="N370" s="73"/>
      <c r="O370" s="74"/>
      <c r="P370" s="75"/>
      <c r="Q370" s="75"/>
      <c r="R370" s="102"/>
      <c r="S370" s="102"/>
      <c r="T370" s="102"/>
      <c r="U370" s="102"/>
      <c r="V370" s="48"/>
      <c r="W370" s="48"/>
      <c r="X370" s="48"/>
      <c r="Y370" s="48"/>
      <c r="Z370" s="47"/>
      <c r="AA370" s="70">
        <v>370</v>
      </c>
      <c r="AB370" s="70"/>
      <c r="AC370" s="71"/>
      <c r="AD370" s="86" t="s">
        <v>24003</v>
      </c>
      <c r="AE370" s="94" t="s">
        <v>22978</v>
      </c>
      <c r="AF370" s="86">
        <v>0</v>
      </c>
      <c r="AG370" s="86">
        <v>18</v>
      </c>
      <c r="AH370" s="86">
        <v>26</v>
      </c>
      <c r="AI370" s="86">
        <v>0</v>
      </c>
      <c r="AJ370" s="86">
        <v>3</v>
      </c>
      <c r="AK370" s="86">
        <v>7</v>
      </c>
      <c r="AL370" s="86" t="b">
        <v>0</v>
      </c>
      <c r="AM370" s="89">
        <v>45185.933553240742</v>
      </c>
      <c r="AN370" s="86"/>
      <c r="AO370" s="86" t="s">
        <v>26757</v>
      </c>
      <c r="AP370" s="96" t="str">
        <f>HYPERLINK("https://t.co/tMC8MpQDDf")</f>
        <v>https://t.co/tMC8MpQDDf</v>
      </c>
      <c r="AQ370" s="96" t="str">
        <f>HYPERLINK("https://youtube.com/@InvestindoBem?si=7t107lGUqRtLr683")</f>
        <v>https://youtube.com/@InvestindoBem?si=7t107lGUqRtLr683</v>
      </c>
      <c r="AR370" s="86" t="s">
        <v>28154</v>
      </c>
      <c r="AS370" s="86"/>
      <c r="AT370" s="86"/>
      <c r="AU370" s="86"/>
      <c r="AV370" s="86"/>
      <c r="AW370" s="96" t="str">
        <f>HYPERLINK("https://t.co/tMC8MpQDDf")</f>
        <v>https://t.co/tMC8MpQDDf</v>
      </c>
      <c r="AX370" s="86" t="b">
        <v>0</v>
      </c>
      <c r="AY370" s="86"/>
      <c r="AZ370" s="86"/>
      <c r="BA370" s="86" t="b">
        <v>0</v>
      </c>
      <c r="BB370" s="86" t="b">
        <v>1</v>
      </c>
      <c r="BC370" s="86" t="b">
        <v>1</v>
      </c>
      <c r="BD370" s="86" t="b">
        <v>0</v>
      </c>
      <c r="BE370" s="86" t="b">
        <v>0</v>
      </c>
      <c r="BF370" s="86" t="b">
        <v>0</v>
      </c>
      <c r="BG370" s="86" t="b">
        <v>0</v>
      </c>
      <c r="BH370" s="96" t="str">
        <f>HYPERLINK("https://pbs.twimg.com/profile_banners/1703172864004812800/1694995978")</f>
        <v>https://pbs.twimg.com/profile_banners/1703172864004812800/1694995978</v>
      </c>
      <c r="BI370" s="86"/>
      <c r="BJ370" s="86" t="s">
        <v>29134</v>
      </c>
      <c r="BK370" s="86" t="b">
        <v>0</v>
      </c>
      <c r="BL370" s="86"/>
      <c r="BM370" s="86" t="s">
        <v>66</v>
      </c>
      <c r="BN370" s="86" t="s">
        <v>29136</v>
      </c>
      <c r="BO370" s="96" t="str">
        <f>HYPERLINK("https://twitter.com/investindobem_")</f>
        <v>https://twitter.com/investindobem_</v>
      </c>
      <c r="BP370" s="2"/>
    </row>
    <row r="371" spans="1:68" x14ac:dyDescent="0.25">
      <c r="A371" s="63" t="s">
        <v>548</v>
      </c>
      <c r="B371" s="64"/>
      <c r="C371" s="64"/>
      <c r="D371" s="65"/>
      <c r="E371" s="67"/>
      <c r="F371" s="111" t="str">
        <f>HYPERLINK("https://pbs.twimg.com/profile_images/1667687274300026881/s3STYHoa_normal.jpg")</f>
        <v>https://pbs.twimg.com/profile_images/1667687274300026881/s3STYHoa_normal.jpg</v>
      </c>
      <c r="G371" s="64"/>
      <c r="H371" s="68"/>
      <c r="I371" s="69"/>
      <c r="J371" s="69"/>
      <c r="K371" s="68" t="s">
        <v>29504</v>
      </c>
      <c r="L371" s="72"/>
      <c r="M371" s="73"/>
      <c r="N371" s="73"/>
      <c r="O371" s="74"/>
      <c r="P371" s="75"/>
      <c r="Q371" s="75"/>
      <c r="R371" s="102"/>
      <c r="S371" s="102"/>
      <c r="T371" s="102"/>
      <c r="U371" s="102"/>
      <c r="V371" s="48"/>
      <c r="W371" s="48"/>
      <c r="X371" s="48"/>
      <c r="Y371" s="48"/>
      <c r="Z371" s="47"/>
      <c r="AA371" s="70">
        <v>371</v>
      </c>
      <c r="AB371" s="70"/>
      <c r="AC371" s="71"/>
      <c r="AD371" s="86" t="s">
        <v>24004</v>
      </c>
      <c r="AE371" s="94" t="s">
        <v>22541</v>
      </c>
      <c r="AF371" s="86">
        <v>22</v>
      </c>
      <c r="AG371" s="86">
        <v>38</v>
      </c>
      <c r="AH371" s="86">
        <v>591</v>
      </c>
      <c r="AI371" s="86">
        <v>0</v>
      </c>
      <c r="AJ371" s="86">
        <v>320</v>
      </c>
      <c r="AK371" s="86">
        <v>15</v>
      </c>
      <c r="AL371" s="86" t="b">
        <v>0</v>
      </c>
      <c r="AM371" s="89">
        <v>42200.724918981483</v>
      </c>
      <c r="AN371" s="86"/>
      <c r="AO371" s="86" t="s">
        <v>26758</v>
      </c>
      <c r="AP371" s="96" t="str">
        <f>HYPERLINK("https://t.co/L00bl31R4z")</f>
        <v>https://t.co/L00bl31R4z</v>
      </c>
      <c r="AQ371" s="96" t="str">
        <f>HYPERLINK("http://www.limoeirocomunicacao.com.br")</f>
        <v>http://www.limoeirocomunicacao.com.br</v>
      </c>
      <c r="AR371" s="86" t="s">
        <v>28155</v>
      </c>
      <c r="AS371" s="86"/>
      <c r="AT371" s="86"/>
      <c r="AU371" s="86"/>
      <c r="AV371" s="86"/>
      <c r="AW371" s="96" t="str">
        <f>HYPERLINK("https://t.co/L00bl31R4z")</f>
        <v>https://t.co/L00bl31R4z</v>
      </c>
      <c r="AX371" s="86" t="b">
        <v>0</v>
      </c>
      <c r="AY371" s="86"/>
      <c r="AZ371" s="86"/>
      <c r="BA371" s="86" t="b">
        <v>0</v>
      </c>
      <c r="BB371" s="86" t="b">
        <v>0</v>
      </c>
      <c r="BC371" s="86" t="b">
        <v>1</v>
      </c>
      <c r="BD371" s="86" t="b">
        <v>0</v>
      </c>
      <c r="BE371" s="86" t="b">
        <v>0</v>
      </c>
      <c r="BF371" s="86" t="b">
        <v>0</v>
      </c>
      <c r="BG371" s="86" t="b">
        <v>0</v>
      </c>
      <c r="BH371" s="96" t="str">
        <f>HYPERLINK("https://pbs.twimg.com/profile_banners/3377635672/1686442505")</f>
        <v>https://pbs.twimg.com/profile_banners/3377635672/1686442505</v>
      </c>
      <c r="BI371" s="86"/>
      <c r="BJ371" s="86" t="s">
        <v>29134</v>
      </c>
      <c r="BK371" s="86" t="b">
        <v>0</v>
      </c>
      <c r="BL371" s="86"/>
      <c r="BM371" s="86" t="s">
        <v>66</v>
      </c>
      <c r="BN371" s="86" t="s">
        <v>29136</v>
      </c>
      <c r="BO371" s="96" t="str">
        <f>HYPERLINK("https://twitter.com/raio_lima")</f>
        <v>https://twitter.com/raio_lima</v>
      </c>
      <c r="BP371" s="2"/>
    </row>
    <row r="372" spans="1:68" x14ac:dyDescent="0.25">
      <c r="A372" s="63" t="s">
        <v>549</v>
      </c>
      <c r="B372" s="64"/>
      <c r="C372" s="64"/>
      <c r="D372" s="65"/>
      <c r="E372" s="67"/>
      <c r="F372" s="111" t="str">
        <f>HYPERLINK("https://pbs.twimg.com/profile_images/1646671362684071936/mamC8dSp_normal.jpg")</f>
        <v>https://pbs.twimg.com/profile_images/1646671362684071936/mamC8dSp_normal.jpg</v>
      </c>
      <c r="G372" s="64"/>
      <c r="H372" s="68"/>
      <c r="I372" s="69"/>
      <c r="J372" s="69"/>
      <c r="K372" s="68" t="s">
        <v>29505</v>
      </c>
      <c r="L372" s="72"/>
      <c r="M372" s="73"/>
      <c r="N372" s="73"/>
      <c r="O372" s="74"/>
      <c r="P372" s="75"/>
      <c r="Q372" s="75"/>
      <c r="R372" s="102"/>
      <c r="S372" s="102"/>
      <c r="T372" s="102"/>
      <c r="U372" s="102"/>
      <c r="V372" s="48"/>
      <c r="W372" s="48"/>
      <c r="X372" s="48"/>
      <c r="Y372" s="48"/>
      <c r="Z372" s="47"/>
      <c r="AA372" s="70">
        <v>372</v>
      </c>
      <c r="AB372" s="70"/>
      <c r="AC372" s="71"/>
      <c r="AD372" s="86" t="s">
        <v>24005</v>
      </c>
      <c r="AE372" s="94" t="s">
        <v>25369</v>
      </c>
      <c r="AF372" s="86">
        <v>218</v>
      </c>
      <c r="AG372" s="86">
        <v>169</v>
      </c>
      <c r="AH372" s="86">
        <v>810</v>
      </c>
      <c r="AI372" s="86">
        <v>6</v>
      </c>
      <c r="AJ372" s="86">
        <v>334</v>
      </c>
      <c r="AK372" s="86">
        <v>283</v>
      </c>
      <c r="AL372" s="86" t="b">
        <v>0</v>
      </c>
      <c r="AM372" s="89">
        <v>40386.744108796294</v>
      </c>
      <c r="AN372" s="86" t="s">
        <v>15240</v>
      </c>
      <c r="AO372" s="86" t="s">
        <v>26759</v>
      </c>
      <c r="AP372" s="96" t="str">
        <f>HYPERLINK("https://t.co/SSewHN1eVn")</f>
        <v>https://t.co/SSewHN1eVn</v>
      </c>
      <c r="AQ372" s="96" t="str">
        <f>HYPERLINK("http://www.nitrio.org.br")</f>
        <v>http://www.nitrio.org.br</v>
      </c>
      <c r="AR372" s="86" t="s">
        <v>28156</v>
      </c>
      <c r="AS372" s="86"/>
      <c r="AT372" s="86"/>
      <c r="AU372" s="86"/>
      <c r="AV372" s="86"/>
      <c r="AW372" s="96" t="str">
        <f>HYPERLINK("https://t.co/SSewHN1eVn")</f>
        <v>https://t.co/SSewHN1eVn</v>
      </c>
      <c r="AX372" s="86" t="b">
        <v>0</v>
      </c>
      <c r="AY372" s="86"/>
      <c r="AZ372" s="86"/>
      <c r="BA372" s="86" t="b">
        <v>0</v>
      </c>
      <c r="BB372" s="86" t="b">
        <v>1</v>
      </c>
      <c r="BC372" s="86" t="b">
        <v>0</v>
      </c>
      <c r="BD372" s="86" t="b">
        <v>0</v>
      </c>
      <c r="BE372" s="86" t="b">
        <v>0</v>
      </c>
      <c r="BF372" s="86" t="b">
        <v>0</v>
      </c>
      <c r="BG372" s="86" t="b">
        <v>0</v>
      </c>
      <c r="BH372" s="96" t="str">
        <f>HYPERLINK("https://pbs.twimg.com/profile_banners/171582176/1656706582")</f>
        <v>https://pbs.twimg.com/profile_banners/171582176/1656706582</v>
      </c>
      <c r="BI372" s="86"/>
      <c r="BJ372" s="86" t="s">
        <v>29134</v>
      </c>
      <c r="BK372" s="86" t="b">
        <v>0</v>
      </c>
      <c r="BL372" s="86"/>
      <c r="BM372" s="86" t="s">
        <v>66</v>
      </c>
      <c r="BN372" s="86" t="s">
        <v>29136</v>
      </c>
      <c r="BO372" s="96" t="str">
        <f>HYPERLINK("https://twitter.com/nitriomcti")</f>
        <v>https://twitter.com/nitriomcti</v>
      </c>
      <c r="BP372" s="2"/>
    </row>
    <row r="373" spans="1:68" x14ac:dyDescent="0.25">
      <c r="A373" s="63" t="s">
        <v>550</v>
      </c>
      <c r="B373" s="64"/>
      <c r="C373" s="64"/>
      <c r="D373" s="65"/>
      <c r="E373" s="67"/>
      <c r="F373" s="111" t="str">
        <f>HYPERLINK("https://pbs.twimg.com/profile_images/1698515864734097408/rNNOfD3r_normal.jpg")</f>
        <v>https://pbs.twimg.com/profile_images/1698515864734097408/rNNOfD3r_normal.jpg</v>
      </c>
      <c r="G373" s="64"/>
      <c r="H373" s="68"/>
      <c r="I373" s="69"/>
      <c r="J373" s="69"/>
      <c r="K373" s="68" t="s">
        <v>29506</v>
      </c>
      <c r="L373" s="72"/>
      <c r="M373" s="73"/>
      <c r="N373" s="73"/>
      <c r="O373" s="74"/>
      <c r="P373" s="75"/>
      <c r="Q373" s="75"/>
      <c r="R373" s="102"/>
      <c r="S373" s="102"/>
      <c r="T373" s="102"/>
      <c r="U373" s="102"/>
      <c r="V373" s="48"/>
      <c r="W373" s="48"/>
      <c r="X373" s="48"/>
      <c r="Y373" s="48"/>
      <c r="Z373" s="47"/>
      <c r="AA373" s="70">
        <v>373</v>
      </c>
      <c r="AB373" s="70"/>
      <c r="AC373" s="71"/>
      <c r="AD373" s="86" t="s">
        <v>24006</v>
      </c>
      <c r="AE373" s="94" t="s">
        <v>22542</v>
      </c>
      <c r="AF373" s="86">
        <v>5141</v>
      </c>
      <c r="AG373" s="86">
        <v>84</v>
      </c>
      <c r="AH373" s="86">
        <v>21909</v>
      </c>
      <c r="AI373" s="86">
        <v>4</v>
      </c>
      <c r="AJ373" s="86">
        <v>181367</v>
      </c>
      <c r="AK373" s="86">
        <v>645</v>
      </c>
      <c r="AL373" s="86" t="b">
        <v>0</v>
      </c>
      <c r="AM373" s="89">
        <v>42008.014513888891</v>
      </c>
      <c r="AN373" s="86" t="s">
        <v>25909</v>
      </c>
      <c r="AO373" s="86" t="s">
        <v>26760</v>
      </c>
      <c r="AP373" s="86"/>
      <c r="AQ373" s="86"/>
      <c r="AR373" s="86"/>
      <c r="AS373" s="86"/>
      <c r="AT373" s="86"/>
      <c r="AU373" s="86"/>
      <c r="AV373" s="86"/>
      <c r="AW373" s="86"/>
      <c r="AX373" s="86" t="b">
        <v>1</v>
      </c>
      <c r="AY373" s="86"/>
      <c r="AZ373" s="86"/>
      <c r="BA373" s="86" t="b">
        <v>0</v>
      </c>
      <c r="BB373" s="86" t="b">
        <v>1</v>
      </c>
      <c r="BC373" s="86" t="b">
        <v>1</v>
      </c>
      <c r="BD373" s="86" t="b">
        <v>0</v>
      </c>
      <c r="BE373" s="86" t="b">
        <v>0</v>
      </c>
      <c r="BF373" s="86" t="b">
        <v>0</v>
      </c>
      <c r="BG373" s="86" t="b">
        <v>0</v>
      </c>
      <c r="BH373" s="96" t="str">
        <f>HYPERLINK("https://pbs.twimg.com/profile_banners/2959370493/1518218511")</f>
        <v>https://pbs.twimg.com/profile_banners/2959370493/1518218511</v>
      </c>
      <c r="BI373" s="86"/>
      <c r="BJ373" s="86" t="s">
        <v>29134</v>
      </c>
      <c r="BK373" s="86" t="b">
        <v>0</v>
      </c>
      <c r="BL373" s="86"/>
      <c r="BM373" s="86" t="s">
        <v>66</v>
      </c>
      <c r="BN373" s="86" t="s">
        <v>29136</v>
      </c>
      <c r="BO373" s="96" t="str">
        <f>HYPERLINK("https://twitter.com/nilsonmarques22")</f>
        <v>https://twitter.com/nilsonmarques22</v>
      </c>
      <c r="BP373" s="2"/>
    </row>
    <row r="374" spans="1:68" x14ac:dyDescent="0.25">
      <c r="A374" s="63" t="s">
        <v>551</v>
      </c>
      <c r="B374" s="64"/>
      <c r="C374" s="64"/>
      <c r="D374" s="65"/>
      <c r="E374" s="67"/>
      <c r="F374" s="111" t="str">
        <f>HYPERLINK("https://pbs.twimg.com/profile_images/1526566143724486658/y0UqliQK_normal.jpg")</f>
        <v>https://pbs.twimg.com/profile_images/1526566143724486658/y0UqliQK_normal.jpg</v>
      </c>
      <c r="G374" s="64"/>
      <c r="H374" s="68"/>
      <c r="I374" s="69"/>
      <c r="J374" s="69"/>
      <c r="K374" s="68" t="s">
        <v>29507</v>
      </c>
      <c r="L374" s="72"/>
      <c r="M374" s="73"/>
      <c r="N374" s="73"/>
      <c r="O374" s="74"/>
      <c r="P374" s="75"/>
      <c r="Q374" s="75"/>
      <c r="R374" s="102"/>
      <c r="S374" s="102"/>
      <c r="T374" s="102"/>
      <c r="U374" s="102"/>
      <c r="V374" s="48"/>
      <c r="W374" s="48"/>
      <c r="X374" s="48"/>
      <c r="Y374" s="48"/>
      <c r="Z374" s="47"/>
      <c r="AA374" s="70">
        <v>374</v>
      </c>
      <c r="AB374" s="70"/>
      <c r="AC374" s="71"/>
      <c r="AD374" s="86" t="s">
        <v>24007</v>
      </c>
      <c r="AE374" s="94" t="s">
        <v>25370</v>
      </c>
      <c r="AF374" s="86">
        <v>1215</v>
      </c>
      <c r="AG374" s="86">
        <v>2018</v>
      </c>
      <c r="AH374" s="86">
        <v>160194</v>
      </c>
      <c r="AI374" s="86">
        <v>26</v>
      </c>
      <c r="AJ374" s="86">
        <v>1132</v>
      </c>
      <c r="AK374" s="86">
        <v>18501</v>
      </c>
      <c r="AL374" s="86" t="b">
        <v>0</v>
      </c>
      <c r="AM374" s="89">
        <v>39997.025601851848</v>
      </c>
      <c r="AN374" s="86" t="s">
        <v>26013</v>
      </c>
      <c r="AO374" s="86" t="s">
        <v>26761</v>
      </c>
      <c r="AP374" s="86"/>
      <c r="AQ374" s="86"/>
      <c r="AR374" s="86"/>
      <c r="AS374" s="86"/>
      <c r="AT374" s="86"/>
      <c r="AU374" s="86"/>
      <c r="AV374" s="86"/>
      <c r="AW374" s="86"/>
      <c r="AX374" s="86" t="b">
        <v>0</v>
      </c>
      <c r="AY374" s="86"/>
      <c r="AZ374" s="86"/>
      <c r="BA374" s="86" t="b">
        <v>0</v>
      </c>
      <c r="BB374" s="86" t="b">
        <v>1</v>
      </c>
      <c r="BC374" s="86" t="b">
        <v>0</v>
      </c>
      <c r="BD374" s="86" t="b">
        <v>0</v>
      </c>
      <c r="BE374" s="86" t="b">
        <v>0</v>
      </c>
      <c r="BF374" s="86" t="b">
        <v>0</v>
      </c>
      <c r="BG374" s="86" t="b">
        <v>0</v>
      </c>
      <c r="BH374" s="96" t="str">
        <f>HYPERLINK("https://pbs.twimg.com/profile_banners/53241038/1683423112")</f>
        <v>https://pbs.twimg.com/profile_banners/53241038/1683423112</v>
      </c>
      <c r="BI374" s="86"/>
      <c r="BJ374" s="86" t="s">
        <v>29134</v>
      </c>
      <c r="BK374" s="86" t="b">
        <v>0</v>
      </c>
      <c r="BL374" s="86"/>
      <c r="BM374" s="86" t="s">
        <v>66</v>
      </c>
      <c r="BN374" s="86" t="s">
        <v>29136</v>
      </c>
      <c r="BO374" s="96" t="str">
        <f>HYPERLINK("https://twitter.com/rejannefranca")</f>
        <v>https://twitter.com/rejannefranca</v>
      </c>
      <c r="BP374" s="2"/>
    </row>
    <row r="375" spans="1:68" x14ac:dyDescent="0.25">
      <c r="A375" s="63" t="s">
        <v>552</v>
      </c>
      <c r="B375" s="64"/>
      <c r="C375" s="64"/>
      <c r="D375" s="65"/>
      <c r="E375" s="67"/>
      <c r="F375" s="111" t="str">
        <f>HYPERLINK("https://pbs.twimg.com/profile_images/1505643925050212354/YgVCrz-P_normal.png")</f>
        <v>https://pbs.twimg.com/profile_images/1505643925050212354/YgVCrz-P_normal.png</v>
      </c>
      <c r="G375" s="64"/>
      <c r="H375" s="68"/>
      <c r="I375" s="69"/>
      <c r="J375" s="69"/>
      <c r="K375" s="68" t="s">
        <v>29508</v>
      </c>
      <c r="L375" s="72"/>
      <c r="M375" s="73"/>
      <c r="N375" s="73"/>
      <c r="O375" s="74"/>
      <c r="P375" s="75"/>
      <c r="Q375" s="75"/>
      <c r="R375" s="102"/>
      <c r="S375" s="102"/>
      <c r="T375" s="102"/>
      <c r="U375" s="102"/>
      <c r="V375" s="48"/>
      <c r="W375" s="48"/>
      <c r="X375" s="48"/>
      <c r="Y375" s="48"/>
      <c r="Z375" s="47"/>
      <c r="AA375" s="70">
        <v>375</v>
      </c>
      <c r="AB375" s="70"/>
      <c r="AC375" s="71"/>
      <c r="AD375" s="86" t="s">
        <v>24008</v>
      </c>
      <c r="AE375" s="94" t="s">
        <v>22543</v>
      </c>
      <c r="AF375" s="86">
        <v>1</v>
      </c>
      <c r="AG375" s="86">
        <v>10</v>
      </c>
      <c r="AH375" s="86">
        <v>35</v>
      </c>
      <c r="AI375" s="86">
        <v>0</v>
      </c>
      <c r="AJ375" s="86">
        <v>2</v>
      </c>
      <c r="AK375" s="86">
        <v>13</v>
      </c>
      <c r="AL375" s="86" t="b">
        <v>0</v>
      </c>
      <c r="AM375" s="89">
        <v>44640.857164351852</v>
      </c>
      <c r="AN375" s="86"/>
      <c r="AO375" s="86"/>
      <c r="AP375" s="86"/>
      <c r="AQ375" s="86"/>
      <c r="AR375" s="86"/>
      <c r="AS375" s="86"/>
      <c r="AT375" s="86"/>
      <c r="AU375" s="86"/>
      <c r="AV375" s="86"/>
      <c r="AW375" s="86"/>
      <c r="AX375" s="86" t="b">
        <v>0</v>
      </c>
      <c r="AY375" s="86"/>
      <c r="AZ375" s="86"/>
      <c r="BA375" s="86" t="b">
        <v>0</v>
      </c>
      <c r="BB375" s="86" t="b">
        <v>1</v>
      </c>
      <c r="BC375" s="86" t="b">
        <v>1</v>
      </c>
      <c r="BD375" s="86" t="b">
        <v>0</v>
      </c>
      <c r="BE375" s="86" t="b">
        <v>0</v>
      </c>
      <c r="BF375" s="86" t="b">
        <v>0</v>
      </c>
      <c r="BG375" s="86" t="b">
        <v>0</v>
      </c>
      <c r="BH375" s="86"/>
      <c r="BI375" s="86"/>
      <c r="BJ375" s="86" t="s">
        <v>29134</v>
      </c>
      <c r="BK375" s="86" t="b">
        <v>0</v>
      </c>
      <c r="BL375" s="86"/>
      <c r="BM375" s="86" t="s">
        <v>66</v>
      </c>
      <c r="BN375" s="86" t="s">
        <v>29136</v>
      </c>
      <c r="BO375" s="96" t="str">
        <f>HYPERLINK("https://twitter.com/advicestreinam1")</f>
        <v>https://twitter.com/advicestreinam1</v>
      </c>
      <c r="BP375" s="2"/>
    </row>
    <row r="376" spans="1:68" x14ac:dyDescent="0.25">
      <c r="A376" s="63" t="s">
        <v>553</v>
      </c>
      <c r="B376" s="64"/>
      <c r="C376" s="64"/>
      <c r="D376" s="65"/>
      <c r="E376" s="67"/>
      <c r="F376" s="111" t="str">
        <f>HYPERLINK("https://pbs.twimg.com/profile_images/1704484465127436288/bLZOvgt3_normal.jpg")</f>
        <v>https://pbs.twimg.com/profile_images/1704484465127436288/bLZOvgt3_normal.jpg</v>
      </c>
      <c r="G376" s="64"/>
      <c r="H376" s="68"/>
      <c r="I376" s="69"/>
      <c r="J376" s="69"/>
      <c r="K376" s="68" t="s">
        <v>29509</v>
      </c>
      <c r="L376" s="72"/>
      <c r="M376" s="73"/>
      <c r="N376" s="73"/>
      <c r="O376" s="74"/>
      <c r="P376" s="75"/>
      <c r="Q376" s="75"/>
      <c r="R376" s="102"/>
      <c r="S376" s="102"/>
      <c r="T376" s="102"/>
      <c r="U376" s="102"/>
      <c r="V376" s="48"/>
      <c r="W376" s="48"/>
      <c r="X376" s="48"/>
      <c r="Y376" s="48"/>
      <c r="Z376" s="47"/>
      <c r="AA376" s="70">
        <v>376</v>
      </c>
      <c r="AB376" s="70"/>
      <c r="AC376" s="71"/>
      <c r="AD376" s="86" t="s">
        <v>24009</v>
      </c>
      <c r="AE376" s="94" t="s">
        <v>22979</v>
      </c>
      <c r="AF376" s="86">
        <v>56</v>
      </c>
      <c r="AG376" s="86">
        <v>370</v>
      </c>
      <c r="AH376" s="86">
        <v>8001</v>
      </c>
      <c r="AI376" s="86">
        <v>0</v>
      </c>
      <c r="AJ376" s="86">
        <v>3330</v>
      </c>
      <c r="AK376" s="86">
        <v>569</v>
      </c>
      <c r="AL376" s="86" t="b">
        <v>0</v>
      </c>
      <c r="AM376" s="89">
        <v>44307.663599537038</v>
      </c>
      <c r="AN376" s="86" t="s">
        <v>26014</v>
      </c>
      <c r="AO376" s="86" t="s">
        <v>26762</v>
      </c>
      <c r="AP376" s="86"/>
      <c r="AQ376" s="86"/>
      <c r="AR376" s="86"/>
      <c r="AS376" s="86"/>
      <c r="AT376" s="86"/>
      <c r="AU376" s="86"/>
      <c r="AV376" s="86">
        <v>1.70134284033107E+18</v>
      </c>
      <c r="AW376" s="86"/>
      <c r="AX376" s="86" t="b">
        <v>0</v>
      </c>
      <c r="AY376" s="86"/>
      <c r="AZ376" s="86"/>
      <c r="BA376" s="86" t="b">
        <v>0</v>
      </c>
      <c r="BB376" s="86" t="b">
        <v>0</v>
      </c>
      <c r="BC376" s="86" t="b">
        <v>1</v>
      </c>
      <c r="BD376" s="86" t="b">
        <v>0</v>
      </c>
      <c r="BE376" s="86" t="b">
        <v>1</v>
      </c>
      <c r="BF376" s="86" t="b">
        <v>0</v>
      </c>
      <c r="BG376" s="86" t="b">
        <v>0</v>
      </c>
      <c r="BH376" s="96" t="str">
        <f>HYPERLINK("https://pbs.twimg.com/profile_banners/1384898573712646144/1694385995")</f>
        <v>https://pbs.twimg.com/profile_banners/1384898573712646144/1694385995</v>
      </c>
      <c r="BI376" s="86"/>
      <c r="BJ376" s="86" t="s">
        <v>29134</v>
      </c>
      <c r="BK376" s="86" t="b">
        <v>0</v>
      </c>
      <c r="BL376" s="86"/>
      <c r="BM376" s="86" t="s">
        <v>66</v>
      </c>
      <c r="BN376" s="86" t="s">
        <v>29136</v>
      </c>
      <c r="BO376" s="96" t="str">
        <f>HYPERLINK("https://twitter.com/suruuuuyo")</f>
        <v>https://twitter.com/suruuuuyo</v>
      </c>
      <c r="BP376" s="2"/>
    </row>
    <row r="377" spans="1:68" x14ac:dyDescent="0.25">
      <c r="A377" s="63" t="s">
        <v>554</v>
      </c>
      <c r="B377" s="64"/>
      <c r="C377" s="64"/>
      <c r="D377" s="65"/>
      <c r="E377" s="67"/>
      <c r="F377" s="111" t="str">
        <f>HYPERLINK("https://pbs.twimg.com/profile_images/1525115744060579840/Aqg2lYGr_normal.jpg")</f>
        <v>https://pbs.twimg.com/profile_images/1525115744060579840/Aqg2lYGr_normal.jpg</v>
      </c>
      <c r="G377" s="64"/>
      <c r="H377" s="68"/>
      <c r="I377" s="69"/>
      <c r="J377" s="69"/>
      <c r="K377" s="68" t="s">
        <v>29510</v>
      </c>
      <c r="L377" s="72"/>
      <c r="M377" s="73"/>
      <c r="N377" s="73"/>
      <c r="O377" s="74"/>
      <c r="P377" s="75"/>
      <c r="Q377" s="75"/>
      <c r="R377" s="102"/>
      <c r="S377" s="102"/>
      <c r="T377" s="102"/>
      <c r="U377" s="102"/>
      <c r="V377" s="48"/>
      <c r="W377" s="48"/>
      <c r="X377" s="48"/>
      <c r="Y377" s="48"/>
      <c r="Z377" s="47"/>
      <c r="AA377" s="70">
        <v>377</v>
      </c>
      <c r="AB377" s="70"/>
      <c r="AC377" s="71"/>
      <c r="AD377" s="86" t="s">
        <v>24010</v>
      </c>
      <c r="AE377" s="94" t="s">
        <v>22980</v>
      </c>
      <c r="AF377" s="86">
        <v>48</v>
      </c>
      <c r="AG377" s="86">
        <v>5</v>
      </c>
      <c r="AH377" s="86">
        <v>380</v>
      </c>
      <c r="AI377" s="86">
        <v>0</v>
      </c>
      <c r="AJ377" s="86">
        <v>4</v>
      </c>
      <c r="AK377" s="86">
        <v>37</v>
      </c>
      <c r="AL377" s="86" t="b">
        <v>0</v>
      </c>
      <c r="AM377" s="89">
        <v>44694.588506944441</v>
      </c>
      <c r="AN377" s="86"/>
      <c r="AO377" s="86" t="s">
        <v>26763</v>
      </c>
      <c r="AP377" s="86"/>
      <c r="AQ377" s="86"/>
      <c r="AR377" s="86"/>
      <c r="AS377" s="86"/>
      <c r="AT377" s="86"/>
      <c r="AU377" s="86"/>
      <c r="AV377" s="86">
        <v>1.5754907415264901E+18</v>
      </c>
      <c r="AW377" s="86"/>
      <c r="AX377" s="86" t="b">
        <v>0</v>
      </c>
      <c r="AY377" s="86"/>
      <c r="AZ377" s="86"/>
      <c r="BA377" s="86" t="b">
        <v>0</v>
      </c>
      <c r="BB377" s="86" t="b">
        <v>1</v>
      </c>
      <c r="BC377" s="86" t="b">
        <v>1</v>
      </c>
      <c r="BD377" s="86" t="b">
        <v>0</v>
      </c>
      <c r="BE377" s="86" t="b">
        <v>0</v>
      </c>
      <c r="BF377" s="86" t="b">
        <v>0</v>
      </c>
      <c r="BG377" s="86" t="b">
        <v>0</v>
      </c>
      <c r="BH377" s="96" t="str">
        <f>HYPERLINK("https://pbs.twimg.com/profile_banners/1525115435011780610/1652450923")</f>
        <v>https://pbs.twimg.com/profile_banners/1525115435011780610/1652450923</v>
      </c>
      <c r="BI377" s="86"/>
      <c r="BJ377" s="86" t="s">
        <v>29134</v>
      </c>
      <c r="BK377" s="86" t="b">
        <v>0</v>
      </c>
      <c r="BL377" s="86"/>
      <c r="BM377" s="86" t="s">
        <v>66</v>
      </c>
      <c r="BN377" s="86" t="s">
        <v>29136</v>
      </c>
      <c r="BO377" s="96" t="str">
        <f>HYPERLINK("https://twitter.com/estadaoimoveis")</f>
        <v>https://twitter.com/estadaoimoveis</v>
      </c>
      <c r="BP377" s="2"/>
    </row>
    <row r="378" spans="1:68" x14ac:dyDescent="0.25">
      <c r="A378" s="63" t="s">
        <v>555</v>
      </c>
      <c r="B378" s="64"/>
      <c r="C378" s="64"/>
      <c r="D378" s="65"/>
      <c r="E378" s="67"/>
      <c r="F378" s="111" t="str">
        <f>HYPERLINK("https://pbs.twimg.com/profile_images/1633529079541497857/FMmvalyf_normal.jpg")</f>
        <v>https://pbs.twimg.com/profile_images/1633529079541497857/FMmvalyf_normal.jpg</v>
      </c>
      <c r="G378" s="64"/>
      <c r="H378" s="68"/>
      <c r="I378" s="69"/>
      <c r="J378" s="69"/>
      <c r="K378" s="68" t="s">
        <v>29511</v>
      </c>
      <c r="L378" s="72"/>
      <c r="M378" s="73"/>
      <c r="N378" s="73"/>
      <c r="O378" s="74"/>
      <c r="P378" s="75"/>
      <c r="Q378" s="75"/>
      <c r="R378" s="102"/>
      <c r="S378" s="102"/>
      <c r="T378" s="102"/>
      <c r="U378" s="102"/>
      <c r="V378" s="48"/>
      <c r="W378" s="48"/>
      <c r="X378" s="48"/>
      <c r="Y378" s="48"/>
      <c r="Z378" s="47"/>
      <c r="AA378" s="70">
        <v>378</v>
      </c>
      <c r="AB378" s="70"/>
      <c r="AC378" s="71"/>
      <c r="AD378" s="86" t="s">
        <v>555</v>
      </c>
      <c r="AE378" s="94" t="s">
        <v>25371</v>
      </c>
      <c r="AF378" s="86">
        <v>13811</v>
      </c>
      <c r="AG378" s="86">
        <v>340</v>
      </c>
      <c r="AH378" s="86">
        <v>23832</v>
      </c>
      <c r="AI378" s="86">
        <v>347</v>
      </c>
      <c r="AJ378" s="86">
        <v>1158</v>
      </c>
      <c r="AK378" s="86">
        <v>4057</v>
      </c>
      <c r="AL378" s="86" t="b">
        <v>0</v>
      </c>
      <c r="AM378" s="89">
        <v>40522.514502314814</v>
      </c>
      <c r="AN378" s="86" t="s">
        <v>26015</v>
      </c>
      <c r="AO378" s="86" t="s">
        <v>26764</v>
      </c>
      <c r="AP378" s="96" t="str">
        <f>HYPERLINK("https://t.co/UzTP7v1lTK")</f>
        <v>https://t.co/UzTP7v1lTK</v>
      </c>
      <c r="AQ378" s="96" t="str">
        <f>HYPERLINK("http://www.ecommercebrasil.com.br/")</f>
        <v>http://www.ecommercebrasil.com.br/</v>
      </c>
      <c r="AR378" s="86" t="s">
        <v>28157</v>
      </c>
      <c r="AS378" s="96" t="str">
        <f>HYPERLINK("https://t.co/f1J0IzBgW5")</f>
        <v>https://t.co/f1J0IzBgW5</v>
      </c>
      <c r="AT378" s="96" t="str">
        <f>HYPERLINK("http://youtube.com/ecommercebrasil")</f>
        <v>http://youtube.com/ecommercebrasil</v>
      </c>
      <c r="AU378" s="86" t="s">
        <v>29053</v>
      </c>
      <c r="AV378" s="86"/>
      <c r="AW378" s="96" t="str">
        <f>HYPERLINK("https://t.co/UzTP7v1lTK")</f>
        <v>https://t.co/UzTP7v1lTK</v>
      </c>
      <c r="AX378" s="86" t="b">
        <v>0</v>
      </c>
      <c r="AY378" s="86"/>
      <c r="AZ378" s="86"/>
      <c r="BA378" s="86" t="b">
        <v>0</v>
      </c>
      <c r="BB378" s="86" t="b">
        <v>0</v>
      </c>
      <c r="BC378" s="86" t="b">
        <v>0</v>
      </c>
      <c r="BD378" s="86" t="b">
        <v>0</v>
      </c>
      <c r="BE378" s="86" t="b">
        <v>1</v>
      </c>
      <c r="BF378" s="86" t="b">
        <v>0</v>
      </c>
      <c r="BG378" s="86" t="b">
        <v>0</v>
      </c>
      <c r="BH378" s="96" t="str">
        <f>HYPERLINK("https://pbs.twimg.com/profile_banners/225006023/1678298657")</f>
        <v>https://pbs.twimg.com/profile_banners/225006023/1678298657</v>
      </c>
      <c r="BI378" s="86"/>
      <c r="BJ378" s="86" t="s">
        <v>29134</v>
      </c>
      <c r="BK378" s="86" t="b">
        <v>0</v>
      </c>
      <c r="BL378" s="86"/>
      <c r="BM378" s="86" t="s">
        <v>66</v>
      </c>
      <c r="BN378" s="86" t="s">
        <v>29136</v>
      </c>
      <c r="BO378" s="96" t="str">
        <f>HYPERLINK("https://twitter.com/ecommerce_br")</f>
        <v>https://twitter.com/ecommerce_br</v>
      </c>
      <c r="BP378" s="2"/>
    </row>
    <row r="379" spans="1:68" x14ac:dyDescent="0.25">
      <c r="A379" s="63" t="s">
        <v>556</v>
      </c>
      <c r="B379" s="64"/>
      <c r="C379" s="64"/>
      <c r="D379" s="65"/>
      <c r="E379" s="67"/>
      <c r="F379" s="111" t="str">
        <f>HYPERLINK("https://pbs.twimg.com/profile_images/1601628531078959105/ARxtB0Jr_normal.jpg")</f>
        <v>https://pbs.twimg.com/profile_images/1601628531078959105/ARxtB0Jr_normal.jpg</v>
      </c>
      <c r="G379" s="64"/>
      <c r="H379" s="68"/>
      <c r="I379" s="69"/>
      <c r="J379" s="69"/>
      <c r="K379" s="68" t="s">
        <v>29512</v>
      </c>
      <c r="L379" s="72"/>
      <c r="M379" s="73"/>
      <c r="N379" s="73"/>
      <c r="O379" s="74"/>
      <c r="P379" s="75"/>
      <c r="Q379" s="75"/>
      <c r="R379" s="102"/>
      <c r="S379" s="102"/>
      <c r="T379" s="102"/>
      <c r="U379" s="102"/>
      <c r="V379" s="48"/>
      <c r="W379" s="48"/>
      <c r="X379" s="48"/>
      <c r="Y379" s="48"/>
      <c r="Z379" s="47"/>
      <c r="AA379" s="70">
        <v>379</v>
      </c>
      <c r="AB379" s="70"/>
      <c r="AC379" s="71"/>
      <c r="AD379" s="86" t="s">
        <v>24011</v>
      </c>
      <c r="AE379" s="94" t="s">
        <v>22981</v>
      </c>
      <c r="AF379" s="86">
        <v>22</v>
      </c>
      <c r="AG379" s="86">
        <v>46</v>
      </c>
      <c r="AH379" s="86">
        <v>1746</v>
      </c>
      <c r="AI379" s="86">
        <v>0</v>
      </c>
      <c r="AJ379" s="86">
        <v>2269</v>
      </c>
      <c r="AK379" s="86">
        <v>126</v>
      </c>
      <c r="AL379" s="86" t="b">
        <v>0</v>
      </c>
      <c r="AM379" s="89">
        <v>44617.077048611114</v>
      </c>
      <c r="AN379" s="86" t="s">
        <v>26016</v>
      </c>
      <c r="AO379" s="86" t="s">
        <v>26765</v>
      </c>
      <c r="AP379" s="96" t="str">
        <f>HYPERLINK("https://t.co/Ifs3xtaYu9")</f>
        <v>https://t.co/Ifs3xtaYu9</v>
      </c>
      <c r="AQ379" s="96" t="str">
        <f>HYPERLINK("https://instagram.com/ke.nasc?utm_medium=copy_link")</f>
        <v>https://instagram.com/ke.nasc?utm_medium=copy_link</v>
      </c>
      <c r="AR379" s="86" t="s">
        <v>28158</v>
      </c>
      <c r="AS379" s="96" t="str">
        <f>HYPERLINK("https://t.co/GjpqNgVxgz")</f>
        <v>https://t.co/GjpqNgVxgz</v>
      </c>
      <c r="AT379" s="96" t="str">
        <f>HYPERLINK("http://vakinha.com.br/vaquinha/me-aj")</f>
        <v>http://vakinha.com.br/vaquinha/me-aj</v>
      </c>
      <c r="AU379" s="86" t="s">
        <v>29054</v>
      </c>
      <c r="AV379" s="86">
        <v>1.68268545649475E+18</v>
      </c>
      <c r="AW379" s="96" t="str">
        <f>HYPERLINK("https://t.co/Ifs3xtaYu9")</f>
        <v>https://t.co/Ifs3xtaYu9</v>
      </c>
      <c r="AX379" s="86" t="b">
        <v>0</v>
      </c>
      <c r="AY379" s="86"/>
      <c r="AZ379" s="86"/>
      <c r="BA379" s="86" t="b">
        <v>0</v>
      </c>
      <c r="BB379" s="86" t="b">
        <v>0</v>
      </c>
      <c r="BC379" s="86" t="b">
        <v>1</v>
      </c>
      <c r="BD379" s="86" t="b">
        <v>0</v>
      </c>
      <c r="BE379" s="86" t="b">
        <v>1</v>
      </c>
      <c r="BF379" s="86" t="b">
        <v>0</v>
      </c>
      <c r="BG379" s="86" t="b">
        <v>0</v>
      </c>
      <c r="BH379" s="96" t="str">
        <f>HYPERLINK("https://pbs.twimg.com/profile_banners/1497026212719472645/1645754872")</f>
        <v>https://pbs.twimg.com/profile_banners/1497026212719472645/1645754872</v>
      </c>
      <c r="BI379" s="86"/>
      <c r="BJ379" s="86" t="s">
        <v>29134</v>
      </c>
      <c r="BK379" s="86" t="b">
        <v>0</v>
      </c>
      <c r="BL379" s="86"/>
      <c r="BM379" s="86" t="s">
        <v>66</v>
      </c>
      <c r="BN379" s="86" t="s">
        <v>29136</v>
      </c>
      <c r="BO379" s="96" t="str">
        <f>HYPERLINK("https://twitter.com/aquarianae_etc")</f>
        <v>https://twitter.com/aquarianae_etc</v>
      </c>
      <c r="BP379" s="2"/>
    </row>
    <row r="380" spans="1:68" x14ac:dyDescent="0.25">
      <c r="A380" s="63" t="s">
        <v>557</v>
      </c>
      <c r="B380" s="64"/>
      <c r="C380" s="64"/>
      <c r="D380" s="65"/>
      <c r="E380" s="67"/>
      <c r="F380" s="111" t="str">
        <f>HYPERLINK("https://pbs.twimg.com/profile_images/1670873499353661442/dWwTl0F7_normal.jpg")</f>
        <v>https://pbs.twimg.com/profile_images/1670873499353661442/dWwTl0F7_normal.jpg</v>
      </c>
      <c r="G380" s="64"/>
      <c r="H380" s="68"/>
      <c r="I380" s="69"/>
      <c r="J380" s="69"/>
      <c r="K380" s="68" t="s">
        <v>29513</v>
      </c>
      <c r="L380" s="72"/>
      <c r="M380" s="73"/>
      <c r="N380" s="73"/>
      <c r="O380" s="74"/>
      <c r="P380" s="75"/>
      <c r="Q380" s="75"/>
      <c r="R380" s="102"/>
      <c r="S380" s="102"/>
      <c r="T380" s="102"/>
      <c r="U380" s="102"/>
      <c r="V380" s="48"/>
      <c r="W380" s="48"/>
      <c r="X380" s="48"/>
      <c r="Y380" s="48"/>
      <c r="Z380" s="47"/>
      <c r="AA380" s="70">
        <v>380</v>
      </c>
      <c r="AB380" s="70"/>
      <c r="AC380" s="71"/>
      <c r="AD380" s="86" t="s">
        <v>24012</v>
      </c>
      <c r="AE380" s="94" t="s">
        <v>22982</v>
      </c>
      <c r="AF380" s="86">
        <v>4</v>
      </c>
      <c r="AG380" s="86">
        <v>7</v>
      </c>
      <c r="AH380" s="86">
        <v>174</v>
      </c>
      <c r="AI380" s="86">
        <v>0</v>
      </c>
      <c r="AJ380" s="86">
        <v>18</v>
      </c>
      <c r="AK380" s="86">
        <v>100</v>
      </c>
      <c r="AL380" s="86" t="b">
        <v>0</v>
      </c>
      <c r="AM380" s="89">
        <v>44690.022615740738</v>
      </c>
      <c r="AN380" s="86" t="s">
        <v>26017</v>
      </c>
      <c r="AO380" s="86" t="s">
        <v>26766</v>
      </c>
      <c r="AP380" s="96" t="str">
        <f>HYPERLINK("https://t.co/74KBJaPCSP")</f>
        <v>https://t.co/74KBJaPCSP</v>
      </c>
      <c r="AQ380" s="96" t="str">
        <f>HYPERLINK("https://instagram.com/venezianolopes?igshid=YmMyMTA2M2Y=")</f>
        <v>https://instagram.com/venezianolopes?igshid=YmMyMTA2M2Y=</v>
      </c>
      <c r="AR380" s="86" t="s">
        <v>28159</v>
      </c>
      <c r="AS380" s="86"/>
      <c r="AT380" s="86"/>
      <c r="AU380" s="86"/>
      <c r="AV380" s="86"/>
      <c r="AW380" s="96" t="str">
        <f>HYPERLINK("https://t.co/74KBJaPCSP")</f>
        <v>https://t.co/74KBJaPCSP</v>
      </c>
      <c r="AX380" s="86" t="b">
        <v>0</v>
      </c>
      <c r="AY380" s="86"/>
      <c r="AZ380" s="86"/>
      <c r="BA380" s="86" t="b">
        <v>0</v>
      </c>
      <c r="BB380" s="86" t="b">
        <v>1</v>
      </c>
      <c r="BC380" s="86" t="b">
        <v>1</v>
      </c>
      <c r="BD380" s="86" t="b">
        <v>0</v>
      </c>
      <c r="BE380" s="86" t="b">
        <v>0</v>
      </c>
      <c r="BF380" s="86" t="b">
        <v>0</v>
      </c>
      <c r="BG380" s="86" t="b">
        <v>0</v>
      </c>
      <c r="BH380" s="96" t="str">
        <f>HYPERLINK("https://pbs.twimg.com/profile_banners/1523460792477233152/1687201700")</f>
        <v>https://pbs.twimg.com/profile_banners/1523460792477233152/1687201700</v>
      </c>
      <c r="BI380" s="86"/>
      <c r="BJ380" s="86" t="s">
        <v>29134</v>
      </c>
      <c r="BK380" s="86" t="b">
        <v>0</v>
      </c>
      <c r="BL380" s="86"/>
      <c r="BM380" s="86" t="s">
        <v>66</v>
      </c>
      <c r="BN380" s="86" t="s">
        <v>29136</v>
      </c>
      <c r="BO380" s="96" t="str">
        <f>HYPERLINK("https://twitter.com/venezianolopes")</f>
        <v>https://twitter.com/venezianolopes</v>
      </c>
      <c r="BP380" s="2"/>
    </row>
    <row r="381" spans="1:68" x14ac:dyDescent="0.25">
      <c r="A381" s="63" t="s">
        <v>558</v>
      </c>
      <c r="B381" s="64"/>
      <c r="C381" s="64"/>
      <c r="D381" s="65"/>
      <c r="E381" s="67"/>
      <c r="F381" s="111" t="str">
        <f>HYPERLINK("https://pbs.twimg.com/profile_images/1180443549797638144/uWEuXcQN_normal.jpg")</f>
        <v>https://pbs.twimg.com/profile_images/1180443549797638144/uWEuXcQN_normal.jpg</v>
      </c>
      <c r="G381" s="64"/>
      <c r="H381" s="68"/>
      <c r="I381" s="69"/>
      <c r="J381" s="69"/>
      <c r="K381" s="68" t="s">
        <v>29514</v>
      </c>
      <c r="L381" s="72"/>
      <c r="M381" s="73"/>
      <c r="N381" s="73"/>
      <c r="O381" s="74"/>
      <c r="P381" s="75"/>
      <c r="Q381" s="75"/>
      <c r="R381" s="102"/>
      <c r="S381" s="102"/>
      <c r="T381" s="102"/>
      <c r="U381" s="102"/>
      <c r="V381" s="48"/>
      <c r="W381" s="48"/>
      <c r="X381" s="48"/>
      <c r="Y381" s="48"/>
      <c r="Z381" s="47"/>
      <c r="AA381" s="70">
        <v>381</v>
      </c>
      <c r="AB381" s="70"/>
      <c r="AC381" s="71"/>
      <c r="AD381" s="86" t="s">
        <v>24013</v>
      </c>
      <c r="AE381" s="94" t="s">
        <v>22983</v>
      </c>
      <c r="AF381" s="86">
        <v>474</v>
      </c>
      <c r="AG381" s="86">
        <v>1049</v>
      </c>
      <c r="AH381" s="86">
        <v>727</v>
      </c>
      <c r="AI381" s="86">
        <v>2</v>
      </c>
      <c r="AJ381" s="86">
        <v>26371</v>
      </c>
      <c r="AK381" s="86">
        <v>58</v>
      </c>
      <c r="AL381" s="86" t="b">
        <v>0</v>
      </c>
      <c r="AM381" s="89">
        <v>43124.725717592592</v>
      </c>
      <c r="AN381" s="86" t="s">
        <v>15234</v>
      </c>
      <c r="AO381" s="86" t="s">
        <v>26767</v>
      </c>
      <c r="AP381" s="96" t="str">
        <f>HYPERLINK("https://t.co/3XSDDs8gGI")</f>
        <v>https://t.co/3XSDDs8gGI</v>
      </c>
      <c r="AQ381" s="96" t="str">
        <f>HYPERLINK("http://markmoraislaw.com")</f>
        <v>http://markmoraislaw.com</v>
      </c>
      <c r="AR381" s="86" t="s">
        <v>28160</v>
      </c>
      <c r="AS381" s="86"/>
      <c r="AT381" s="86"/>
      <c r="AU381" s="86"/>
      <c r="AV381" s="86"/>
      <c r="AW381" s="96" t="str">
        <f>HYPERLINK("https://t.co/3XSDDs8gGI")</f>
        <v>https://t.co/3XSDDs8gGI</v>
      </c>
      <c r="AX381" s="86" t="b">
        <v>0</v>
      </c>
      <c r="AY381" s="86"/>
      <c r="AZ381" s="86"/>
      <c r="BA381" s="86" t="b">
        <v>0</v>
      </c>
      <c r="BB381" s="86" t="b">
        <v>1</v>
      </c>
      <c r="BC381" s="86" t="b">
        <v>1</v>
      </c>
      <c r="BD381" s="86" t="b">
        <v>0</v>
      </c>
      <c r="BE381" s="86" t="b">
        <v>1</v>
      </c>
      <c r="BF381" s="86" t="b">
        <v>0</v>
      </c>
      <c r="BG381" s="86" t="b">
        <v>0</v>
      </c>
      <c r="BH381" s="86"/>
      <c r="BI381" s="86"/>
      <c r="BJ381" s="86" t="s">
        <v>29134</v>
      </c>
      <c r="BK381" s="86" t="b">
        <v>0</v>
      </c>
      <c r="BL381" s="86"/>
      <c r="BM381" s="86" t="s">
        <v>66</v>
      </c>
      <c r="BN381" s="86" t="s">
        <v>29136</v>
      </c>
      <c r="BO381" s="96" t="str">
        <f>HYPERLINK("https://twitter.com/msiqueirarafael")</f>
        <v>https://twitter.com/msiqueirarafael</v>
      </c>
      <c r="BP381" s="2"/>
    </row>
    <row r="382" spans="1:68" x14ac:dyDescent="0.25">
      <c r="A382" s="63" t="s">
        <v>1656</v>
      </c>
      <c r="B382" s="64"/>
      <c r="C382" s="64"/>
      <c r="D382" s="65"/>
      <c r="E382" s="67"/>
      <c r="F382" s="111" t="str">
        <f>HYPERLINK("https://pbs.twimg.com/profile_images/1589708444147277825/ljeEBJgW_normal.jpg")</f>
        <v>https://pbs.twimg.com/profile_images/1589708444147277825/ljeEBJgW_normal.jpg</v>
      </c>
      <c r="G382" s="64"/>
      <c r="H382" s="68"/>
      <c r="I382" s="69"/>
      <c r="J382" s="69"/>
      <c r="K382" s="68" t="s">
        <v>29515</v>
      </c>
      <c r="L382" s="72"/>
      <c r="M382" s="73"/>
      <c r="N382" s="73"/>
      <c r="O382" s="74"/>
      <c r="P382" s="75"/>
      <c r="Q382" s="75"/>
      <c r="R382" s="102"/>
      <c r="S382" s="102"/>
      <c r="T382" s="102"/>
      <c r="U382" s="102"/>
      <c r="V382" s="48"/>
      <c r="W382" s="48"/>
      <c r="X382" s="48"/>
      <c r="Y382" s="48"/>
      <c r="Z382" s="47"/>
      <c r="AA382" s="70">
        <v>382</v>
      </c>
      <c r="AB382" s="70"/>
      <c r="AC382" s="71"/>
      <c r="AD382" s="86" t="s">
        <v>24014</v>
      </c>
      <c r="AE382" s="94" t="s">
        <v>25372</v>
      </c>
      <c r="AF382" s="86">
        <v>23</v>
      </c>
      <c r="AG382" s="86">
        <v>32</v>
      </c>
      <c r="AH382" s="86">
        <v>19</v>
      </c>
      <c r="AI382" s="86">
        <v>0</v>
      </c>
      <c r="AJ382" s="86">
        <v>30</v>
      </c>
      <c r="AK382" s="86">
        <v>5</v>
      </c>
      <c r="AL382" s="86" t="b">
        <v>0</v>
      </c>
      <c r="AM382" s="89">
        <v>44872.829687500001</v>
      </c>
      <c r="AN382" s="86" t="s">
        <v>25909</v>
      </c>
      <c r="AO382" s="86" t="s">
        <v>26768</v>
      </c>
      <c r="AP382" s="96" t="str">
        <f>HYPERLINK("https://t.co/KTkDlzVBGx")</f>
        <v>https://t.co/KTkDlzVBGx</v>
      </c>
      <c r="AQ382" s="96" t="str">
        <f>HYPERLINK("https://markmoraislaw.com/")</f>
        <v>https://markmoraislaw.com/</v>
      </c>
      <c r="AR382" s="86" t="s">
        <v>28160</v>
      </c>
      <c r="AS382" s="86"/>
      <c r="AT382" s="86"/>
      <c r="AU382" s="86"/>
      <c r="AV382" s="86">
        <v>1.58972763318481E+18</v>
      </c>
      <c r="AW382" s="96" t="str">
        <f>HYPERLINK("https://t.co/KTkDlzVBGx")</f>
        <v>https://t.co/KTkDlzVBGx</v>
      </c>
      <c r="AX382" s="86" t="b">
        <v>0</v>
      </c>
      <c r="AY382" s="86"/>
      <c r="AZ382" s="86"/>
      <c r="BA382" s="86" t="b">
        <v>0</v>
      </c>
      <c r="BB382" s="86" t="b">
        <v>1</v>
      </c>
      <c r="BC382" s="86" t="b">
        <v>1</v>
      </c>
      <c r="BD382" s="86" t="b">
        <v>0</v>
      </c>
      <c r="BE382" s="86" t="b">
        <v>0</v>
      </c>
      <c r="BF382" s="86" t="b">
        <v>0</v>
      </c>
      <c r="BG382" s="86" t="b">
        <v>0</v>
      </c>
      <c r="BH382" s="96" t="str">
        <f>HYPERLINK("https://pbs.twimg.com/profile_banners/1589707909352640513/1667853552")</f>
        <v>https://pbs.twimg.com/profile_banners/1589707909352640513/1667853552</v>
      </c>
      <c r="BI382" s="86"/>
      <c r="BJ382" s="86" t="s">
        <v>29134</v>
      </c>
      <c r="BK382" s="86" t="b">
        <v>0</v>
      </c>
      <c r="BL382" s="86"/>
      <c r="BM382" s="86" t="s">
        <v>65</v>
      </c>
      <c r="BN382" s="86" t="s">
        <v>29136</v>
      </c>
      <c r="BO382" s="96" t="str">
        <f>HYPERLINK("https://twitter.com/markmoraislaw")</f>
        <v>https://twitter.com/markmoraislaw</v>
      </c>
      <c r="BP382" s="2"/>
    </row>
    <row r="383" spans="1:68" x14ac:dyDescent="0.25">
      <c r="A383" s="63" t="s">
        <v>559</v>
      </c>
      <c r="B383" s="64"/>
      <c r="C383" s="64"/>
      <c r="D383" s="65"/>
      <c r="E383" s="67"/>
      <c r="F383" s="111" t="str">
        <f>HYPERLINK("https://pbs.twimg.com/profile_images/1461818210479710210/tJDcz0Ll_normal.jpg")</f>
        <v>https://pbs.twimg.com/profile_images/1461818210479710210/tJDcz0Ll_normal.jpg</v>
      </c>
      <c r="G383" s="64"/>
      <c r="H383" s="68"/>
      <c r="I383" s="69"/>
      <c r="J383" s="69"/>
      <c r="K383" s="68" t="s">
        <v>29516</v>
      </c>
      <c r="L383" s="72"/>
      <c r="M383" s="73"/>
      <c r="N383" s="73"/>
      <c r="O383" s="74"/>
      <c r="P383" s="75"/>
      <c r="Q383" s="75"/>
      <c r="R383" s="102"/>
      <c r="S383" s="102"/>
      <c r="T383" s="102"/>
      <c r="U383" s="102"/>
      <c r="V383" s="48"/>
      <c r="W383" s="48"/>
      <c r="X383" s="48"/>
      <c r="Y383" s="48"/>
      <c r="Z383" s="47"/>
      <c r="AA383" s="70">
        <v>383</v>
      </c>
      <c r="AB383" s="70"/>
      <c r="AC383" s="71"/>
      <c r="AD383" s="86" t="s">
        <v>24015</v>
      </c>
      <c r="AE383" s="94" t="s">
        <v>25373</v>
      </c>
      <c r="AF383" s="86">
        <v>1292395</v>
      </c>
      <c r="AG383" s="86">
        <v>670</v>
      </c>
      <c r="AH383" s="86">
        <v>207589</v>
      </c>
      <c r="AI383" s="86">
        <v>5148</v>
      </c>
      <c r="AJ383" s="86">
        <v>19383</v>
      </c>
      <c r="AK383" s="86">
        <v>62536</v>
      </c>
      <c r="AL383" s="86" t="b">
        <v>0</v>
      </c>
      <c r="AM383" s="89">
        <v>39903.672500000001</v>
      </c>
      <c r="AN383" s="86" t="s">
        <v>15234</v>
      </c>
      <c r="AO383" s="86" t="s">
        <v>26769</v>
      </c>
      <c r="AP383" s="96" t="str">
        <f>HYPERLINK("https://t.co/Xw8Qrbky3g")</f>
        <v>https://t.co/Xw8Qrbky3g</v>
      </c>
      <c r="AQ383" s="96" t="str">
        <f>HYPERLINK("https://jovempan.com.br/entretenimento")</f>
        <v>https://jovempan.com.br/entretenimento</v>
      </c>
      <c r="AR383" s="86" t="s">
        <v>28161</v>
      </c>
      <c r="AS383" s="86"/>
      <c r="AT383" s="86"/>
      <c r="AU383" s="86"/>
      <c r="AV383" s="86"/>
      <c r="AW383" s="96" t="str">
        <f>HYPERLINK("https://t.co/Xw8Qrbky3g")</f>
        <v>https://t.co/Xw8Qrbky3g</v>
      </c>
      <c r="AX383" s="86" t="b">
        <v>1</v>
      </c>
      <c r="AY383" s="86"/>
      <c r="AZ383" s="86"/>
      <c r="BA383" s="86" t="b">
        <v>0</v>
      </c>
      <c r="BB383" s="86" t="b">
        <v>1</v>
      </c>
      <c r="BC383" s="86" t="b">
        <v>0</v>
      </c>
      <c r="BD383" s="86" t="b">
        <v>0</v>
      </c>
      <c r="BE383" s="86" t="b">
        <v>1</v>
      </c>
      <c r="BF383" s="86" t="b">
        <v>0</v>
      </c>
      <c r="BG383" s="86" t="b">
        <v>0</v>
      </c>
      <c r="BH383" s="96" t="str">
        <f>HYPERLINK("https://pbs.twimg.com/profile_banners/27900594/1645209750")</f>
        <v>https://pbs.twimg.com/profile_banners/27900594/1645209750</v>
      </c>
      <c r="BI383" s="86"/>
      <c r="BJ383" s="86" t="s">
        <v>29134</v>
      </c>
      <c r="BK383" s="86" t="b">
        <v>0</v>
      </c>
      <c r="BL383" s="86"/>
      <c r="BM383" s="86" t="s">
        <v>66</v>
      </c>
      <c r="BN383" s="86" t="s">
        <v>29136</v>
      </c>
      <c r="BO383" s="96" t="str">
        <f>HYPERLINK("https://twitter.com/jovempanentrete")</f>
        <v>https://twitter.com/jovempanentrete</v>
      </c>
      <c r="BP383" s="2"/>
    </row>
    <row r="384" spans="1:68" x14ac:dyDescent="0.25">
      <c r="A384" s="63" t="s">
        <v>560</v>
      </c>
      <c r="B384" s="64"/>
      <c r="C384" s="64"/>
      <c r="D384" s="65"/>
      <c r="E384" s="67"/>
      <c r="F384" s="111" t="str">
        <f>HYPERLINK("https://pbs.twimg.com/profile_images/1695464927132004353/fquqA7M3_normal.jpg")</f>
        <v>https://pbs.twimg.com/profile_images/1695464927132004353/fquqA7M3_normal.jpg</v>
      </c>
      <c r="G384" s="64"/>
      <c r="H384" s="68"/>
      <c r="I384" s="69"/>
      <c r="J384" s="69"/>
      <c r="K384" s="68" t="s">
        <v>29517</v>
      </c>
      <c r="L384" s="72"/>
      <c r="M384" s="73"/>
      <c r="N384" s="73"/>
      <c r="O384" s="74"/>
      <c r="P384" s="75"/>
      <c r="Q384" s="75"/>
      <c r="R384" s="102"/>
      <c r="S384" s="102"/>
      <c r="T384" s="102"/>
      <c r="U384" s="102"/>
      <c r="V384" s="48"/>
      <c r="W384" s="48"/>
      <c r="X384" s="48"/>
      <c r="Y384" s="48"/>
      <c r="Z384" s="47"/>
      <c r="AA384" s="70">
        <v>384</v>
      </c>
      <c r="AB384" s="70"/>
      <c r="AC384" s="71"/>
      <c r="AD384" s="86" t="s">
        <v>24016</v>
      </c>
      <c r="AE384" s="94" t="s">
        <v>22544</v>
      </c>
      <c r="AF384" s="86">
        <v>1</v>
      </c>
      <c r="AG384" s="86">
        <v>1</v>
      </c>
      <c r="AH384" s="86">
        <v>63</v>
      </c>
      <c r="AI384" s="86">
        <v>0</v>
      </c>
      <c r="AJ384" s="86">
        <v>0</v>
      </c>
      <c r="AK384" s="86">
        <v>48</v>
      </c>
      <c r="AL384" s="86" t="b">
        <v>0</v>
      </c>
      <c r="AM384" s="89">
        <v>45029.618993055556</v>
      </c>
      <c r="AN384" s="86" t="s">
        <v>15234</v>
      </c>
      <c r="AO384" s="86" t="s">
        <v>26770</v>
      </c>
      <c r="AP384" s="96" t="str">
        <f>HYPERLINK("https://t.co/iPzhTXJxWM")</f>
        <v>https://t.co/iPzhTXJxWM</v>
      </c>
      <c r="AQ384" s="96" t="str">
        <f>HYPERLINK("http://www.bastetmktbr.com.br")</f>
        <v>http://www.bastetmktbr.com.br</v>
      </c>
      <c r="AR384" s="86" t="s">
        <v>28162</v>
      </c>
      <c r="AS384" s="86"/>
      <c r="AT384" s="86"/>
      <c r="AU384" s="86"/>
      <c r="AV384" s="86"/>
      <c r="AW384" s="96" t="str">
        <f>HYPERLINK("https://t.co/iPzhTXJxWM")</f>
        <v>https://t.co/iPzhTXJxWM</v>
      </c>
      <c r="AX384" s="86" t="b">
        <v>0</v>
      </c>
      <c r="AY384" s="86"/>
      <c r="AZ384" s="86"/>
      <c r="BA384" s="86" t="b">
        <v>0</v>
      </c>
      <c r="BB384" s="86" t="b">
        <v>1</v>
      </c>
      <c r="BC384" s="86" t="b">
        <v>1</v>
      </c>
      <c r="BD384" s="86" t="b">
        <v>0</v>
      </c>
      <c r="BE384" s="86" t="b">
        <v>0</v>
      </c>
      <c r="BF384" s="86" t="b">
        <v>0</v>
      </c>
      <c r="BG384" s="86" t="b">
        <v>0</v>
      </c>
      <c r="BH384" s="96" t="str">
        <f>HYPERLINK("https://pbs.twimg.com/profile_banners/1646526347383275521/1693065315")</f>
        <v>https://pbs.twimg.com/profile_banners/1646526347383275521/1693065315</v>
      </c>
      <c r="BI384" s="86"/>
      <c r="BJ384" s="86" t="s">
        <v>29134</v>
      </c>
      <c r="BK384" s="86" t="b">
        <v>0</v>
      </c>
      <c r="BL384" s="86"/>
      <c r="BM384" s="86" t="s">
        <v>66</v>
      </c>
      <c r="BN384" s="86" t="s">
        <v>29136</v>
      </c>
      <c r="BO384" s="96" t="str">
        <f>HYPERLINK("https://twitter.com/bastetmktbr")</f>
        <v>https://twitter.com/bastetmktbr</v>
      </c>
      <c r="BP384" s="2"/>
    </row>
    <row r="385" spans="1:68" x14ac:dyDescent="0.25">
      <c r="A385" s="63" t="s">
        <v>561</v>
      </c>
      <c r="B385" s="64"/>
      <c r="C385" s="64"/>
      <c r="D385" s="65"/>
      <c r="E385" s="67"/>
      <c r="F385" s="111" t="str">
        <f>HYPERLINK("https://pbs.twimg.com/profile_images/1671575104055123969/n_1z7u4O_normal.jpg")</f>
        <v>https://pbs.twimg.com/profile_images/1671575104055123969/n_1z7u4O_normal.jpg</v>
      </c>
      <c r="G385" s="64"/>
      <c r="H385" s="68"/>
      <c r="I385" s="69"/>
      <c r="J385" s="69"/>
      <c r="K385" s="68" t="s">
        <v>29518</v>
      </c>
      <c r="L385" s="72"/>
      <c r="M385" s="73"/>
      <c r="N385" s="73"/>
      <c r="O385" s="74"/>
      <c r="P385" s="75"/>
      <c r="Q385" s="75"/>
      <c r="R385" s="102"/>
      <c r="S385" s="102"/>
      <c r="T385" s="102"/>
      <c r="U385" s="102"/>
      <c r="V385" s="48"/>
      <c r="W385" s="48"/>
      <c r="X385" s="48"/>
      <c r="Y385" s="48"/>
      <c r="Z385" s="47"/>
      <c r="AA385" s="70">
        <v>385</v>
      </c>
      <c r="AB385" s="70"/>
      <c r="AC385" s="71"/>
      <c r="AD385" s="86" t="s">
        <v>24017</v>
      </c>
      <c r="AE385" s="94" t="s">
        <v>22984</v>
      </c>
      <c r="AF385" s="86">
        <v>0</v>
      </c>
      <c r="AG385" s="86">
        <v>1</v>
      </c>
      <c r="AH385" s="86">
        <v>21</v>
      </c>
      <c r="AI385" s="86">
        <v>0</v>
      </c>
      <c r="AJ385" s="86">
        <v>2</v>
      </c>
      <c r="AK385" s="86">
        <v>20</v>
      </c>
      <c r="AL385" s="86" t="b">
        <v>0</v>
      </c>
      <c r="AM385" s="89">
        <v>45079.921412037038</v>
      </c>
      <c r="AN385" s="86"/>
      <c r="AO385" s="86" t="s">
        <v>26771</v>
      </c>
      <c r="AP385" s="86"/>
      <c r="AQ385" s="86"/>
      <c r="AR385" s="86"/>
      <c r="AS385" s="86"/>
      <c r="AT385" s="86"/>
      <c r="AU385" s="86"/>
      <c r="AV385" s="86"/>
      <c r="AW385" s="86"/>
      <c r="AX385" s="86" t="b">
        <v>0</v>
      </c>
      <c r="AY385" s="86"/>
      <c r="AZ385" s="86"/>
      <c r="BA385" s="86" t="b">
        <v>0</v>
      </c>
      <c r="BB385" s="86" t="b">
        <v>1</v>
      </c>
      <c r="BC385" s="86" t="b">
        <v>1</v>
      </c>
      <c r="BD385" s="86" t="b">
        <v>0</v>
      </c>
      <c r="BE385" s="86" t="b">
        <v>0</v>
      </c>
      <c r="BF385" s="86" t="b">
        <v>0</v>
      </c>
      <c r="BG385" s="86" t="b">
        <v>0</v>
      </c>
      <c r="BH385" s="96" t="str">
        <f>HYPERLINK("https://pbs.twimg.com/profile_banners/1664755391178104832/1687369537")</f>
        <v>https://pbs.twimg.com/profile_banners/1664755391178104832/1687369537</v>
      </c>
      <c r="BI385" s="86"/>
      <c r="BJ385" s="86" t="s">
        <v>29134</v>
      </c>
      <c r="BK385" s="86" t="b">
        <v>0</v>
      </c>
      <c r="BL385" s="86"/>
      <c r="BM385" s="86" t="s">
        <v>66</v>
      </c>
      <c r="BN385" s="86" t="s">
        <v>29136</v>
      </c>
      <c r="BO385" s="96" t="str">
        <f>HYPERLINK("https://twitter.com/negocproflucrat")</f>
        <v>https://twitter.com/negocproflucrat</v>
      </c>
      <c r="BP385" s="2"/>
    </row>
    <row r="386" spans="1:68" x14ac:dyDescent="0.25">
      <c r="A386" s="63" t="s">
        <v>562</v>
      </c>
      <c r="B386" s="64"/>
      <c r="C386" s="64"/>
      <c r="D386" s="65"/>
      <c r="E386" s="67"/>
      <c r="F386" s="111" t="str">
        <f>HYPERLINK("https://pbs.twimg.com/profile_images/1461762649797140491/Ba4yEMTt_normal.jpg")</f>
        <v>https://pbs.twimg.com/profile_images/1461762649797140491/Ba4yEMTt_normal.jpg</v>
      </c>
      <c r="G386" s="64"/>
      <c r="H386" s="68"/>
      <c r="I386" s="69"/>
      <c r="J386" s="69"/>
      <c r="K386" s="68" t="s">
        <v>29519</v>
      </c>
      <c r="L386" s="72"/>
      <c r="M386" s="73"/>
      <c r="N386" s="73"/>
      <c r="O386" s="74"/>
      <c r="P386" s="75"/>
      <c r="Q386" s="75"/>
      <c r="R386" s="102"/>
      <c r="S386" s="102"/>
      <c r="T386" s="102"/>
      <c r="U386" s="102"/>
      <c r="V386" s="48"/>
      <c r="W386" s="48"/>
      <c r="X386" s="48"/>
      <c r="Y386" s="48"/>
      <c r="Z386" s="47"/>
      <c r="AA386" s="70">
        <v>386</v>
      </c>
      <c r="AB386" s="70"/>
      <c r="AC386" s="71"/>
      <c r="AD386" s="86" t="s">
        <v>24018</v>
      </c>
      <c r="AE386" s="94" t="s">
        <v>25374</v>
      </c>
      <c r="AF386" s="86">
        <v>285</v>
      </c>
      <c r="AG386" s="86">
        <v>176</v>
      </c>
      <c r="AH386" s="86">
        <v>6585</v>
      </c>
      <c r="AI386" s="86">
        <v>0</v>
      </c>
      <c r="AJ386" s="86">
        <v>12581</v>
      </c>
      <c r="AK386" s="86">
        <v>26</v>
      </c>
      <c r="AL386" s="86" t="b">
        <v>0</v>
      </c>
      <c r="AM386" s="89">
        <v>40901.502870370372</v>
      </c>
      <c r="AN386" s="86"/>
      <c r="AO386" s="86" t="s">
        <v>26772</v>
      </c>
      <c r="AP386" s="86"/>
      <c r="AQ386" s="86"/>
      <c r="AR386" s="86"/>
      <c r="AS386" s="86"/>
      <c r="AT386" s="86"/>
      <c r="AU386" s="86"/>
      <c r="AV386" s="86">
        <v>9.0022101034727398E+17</v>
      </c>
      <c r="AW386" s="86"/>
      <c r="AX386" s="86" t="b">
        <v>0</v>
      </c>
      <c r="AY386" s="86"/>
      <c r="AZ386" s="86"/>
      <c r="BA386" s="86" t="b">
        <v>0</v>
      </c>
      <c r="BB386" s="86" t="b">
        <v>0</v>
      </c>
      <c r="BC386" s="86" t="b">
        <v>0</v>
      </c>
      <c r="BD386" s="86" t="b">
        <v>0</v>
      </c>
      <c r="BE386" s="86" t="b">
        <v>1</v>
      </c>
      <c r="BF386" s="86" t="b">
        <v>0</v>
      </c>
      <c r="BG386" s="86" t="b">
        <v>0</v>
      </c>
      <c r="BH386" s="96" t="str">
        <f>HYPERLINK("https://pbs.twimg.com/profile_banners/445443302/1607989721")</f>
        <v>https://pbs.twimg.com/profile_banners/445443302/1607989721</v>
      </c>
      <c r="BI386" s="86"/>
      <c r="BJ386" s="86" t="s">
        <v>29134</v>
      </c>
      <c r="BK386" s="86" t="b">
        <v>0</v>
      </c>
      <c r="BL386" s="86"/>
      <c r="BM386" s="86" t="s">
        <v>66</v>
      </c>
      <c r="BN386" s="86" t="s">
        <v>29136</v>
      </c>
      <c r="BO386" s="96" t="str">
        <f>HYPERLINK("https://twitter.com/nanaydeliz")</f>
        <v>https://twitter.com/nanaydeliz</v>
      </c>
      <c r="BP386" s="2"/>
    </row>
    <row r="387" spans="1:68" x14ac:dyDescent="0.25">
      <c r="A387" s="63" t="s">
        <v>563</v>
      </c>
      <c r="B387" s="64"/>
      <c r="C387" s="64"/>
      <c r="D387" s="65"/>
      <c r="E387" s="67"/>
      <c r="F387" s="111" t="str">
        <f>HYPERLINK("https://pbs.twimg.com/profile_images/1563232951915069442/E8b_dW67_normal.jpg")</f>
        <v>https://pbs.twimg.com/profile_images/1563232951915069442/E8b_dW67_normal.jpg</v>
      </c>
      <c r="G387" s="64"/>
      <c r="H387" s="68"/>
      <c r="I387" s="69"/>
      <c r="J387" s="69"/>
      <c r="K387" s="68" t="s">
        <v>29520</v>
      </c>
      <c r="L387" s="72"/>
      <c r="M387" s="73"/>
      <c r="N387" s="73"/>
      <c r="O387" s="74"/>
      <c r="P387" s="75"/>
      <c r="Q387" s="75"/>
      <c r="R387" s="102"/>
      <c r="S387" s="102"/>
      <c r="T387" s="102"/>
      <c r="U387" s="102"/>
      <c r="V387" s="48"/>
      <c r="W387" s="48"/>
      <c r="X387" s="48"/>
      <c r="Y387" s="48"/>
      <c r="Z387" s="47"/>
      <c r="AA387" s="70">
        <v>387</v>
      </c>
      <c r="AB387" s="70"/>
      <c r="AC387" s="71"/>
      <c r="AD387" s="86" t="s">
        <v>24019</v>
      </c>
      <c r="AE387" s="94" t="s">
        <v>22985</v>
      </c>
      <c r="AF387" s="86">
        <v>272</v>
      </c>
      <c r="AG387" s="86">
        <v>366</v>
      </c>
      <c r="AH387" s="86">
        <v>27946</v>
      </c>
      <c r="AI387" s="86">
        <v>0</v>
      </c>
      <c r="AJ387" s="86">
        <v>54742</v>
      </c>
      <c r="AK387" s="86">
        <v>3</v>
      </c>
      <c r="AL387" s="86" t="b">
        <v>0</v>
      </c>
      <c r="AM387" s="89">
        <v>44677.619444444441</v>
      </c>
      <c r="AN387" s="86"/>
      <c r="AO387" s="86" t="s">
        <v>26773</v>
      </c>
      <c r="AP387" s="86"/>
      <c r="AQ387" s="86"/>
      <c r="AR387" s="86"/>
      <c r="AS387" s="86"/>
      <c r="AT387" s="86"/>
      <c r="AU387" s="86"/>
      <c r="AV387" s="86"/>
      <c r="AW387" s="86"/>
      <c r="AX387" s="86" t="b">
        <v>0</v>
      </c>
      <c r="AY387" s="86"/>
      <c r="AZ387" s="86"/>
      <c r="BA387" s="86" t="b">
        <v>0</v>
      </c>
      <c r="BB387" s="86" t="b">
        <v>1</v>
      </c>
      <c r="BC387" s="86" t="b">
        <v>1</v>
      </c>
      <c r="BD387" s="86" t="b">
        <v>0</v>
      </c>
      <c r="BE387" s="86" t="b">
        <v>1</v>
      </c>
      <c r="BF387" s="86" t="b">
        <v>0</v>
      </c>
      <c r="BG387" s="86" t="b">
        <v>0</v>
      </c>
      <c r="BH387" s="96" t="str">
        <f>HYPERLINK("https://pbs.twimg.com/profile_banners/1518966041849835522/1661538765")</f>
        <v>https://pbs.twimg.com/profile_banners/1518966041849835522/1661538765</v>
      </c>
      <c r="BI387" s="86"/>
      <c r="BJ387" s="86" t="s">
        <v>29134</v>
      </c>
      <c r="BK387" s="86" t="b">
        <v>0</v>
      </c>
      <c r="BL387" s="86"/>
      <c r="BM387" s="86" t="s">
        <v>66</v>
      </c>
      <c r="BN387" s="86" t="s">
        <v>29136</v>
      </c>
      <c r="BO387" s="96" t="str">
        <f>HYPERLINK("https://twitter.com/mariade10544965")</f>
        <v>https://twitter.com/mariade10544965</v>
      </c>
      <c r="BP387" s="2"/>
    </row>
    <row r="388" spans="1:68" x14ac:dyDescent="0.25">
      <c r="A388" s="63" t="s">
        <v>1585</v>
      </c>
      <c r="B388" s="64"/>
      <c r="C388" s="64"/>
      <c r="D388" s="65"/>
      <c r="E388" s="67"/>
      <c r="F388" s="111" t="str">
        <f>HYPERLINK("https://pbs.twimg.com/profile_images/1589698715031420928/9t9O5uhf_normal.jpg")</f>
        <v>https://pbs.twimg.com/profile_images/1589698715031420928/9t9O5uhf_normal.jpg</v>
      </c>
      <c r="G388" s="64"/>
      <c r="H388" s="68"/>
      <c r="I388" s="69"/>
      <c r="J388" s="69"/>
      <c r="K388" s="68" t="s">
        <v>29521</v>
      </c>
      <c r="L388" s="72"/>
      <c r="M388" s="73"/>
      <c r="N388" s="73"/>
      <c r="O388" s="74"/>
      <c r="P388" s="75"/>
      <c r="Q388" s="75"/>
      <c r="R388" s="102"/>
      <c r="S388" s="102"/>
      <c r="T388" s="102"/>
      <c r="U388" s="102"/>
      <c r="V388" s="48"/>
      <c r="W388" s="48"/>
      <c r="X388" s="48"/>
      <c r="Y388" s="48"/>
      <c r="Z388" s="47"/>
      <c r="AA388" s="70">
        <v>388</v>
      </c>
      <c r="AB388" s="70"/>
      <c r="AC388" s="71"/>
      <c r="AD388" s="86" t="s">
        <v>24020</v>
      </c>
      <c r="AE388" s="94" t="s">
        <v>25375</v>
      </c>
      <c r="AF388" s="86">
        <v>2131564</v>
      </c>
      <c r="AG388" s="86">
        <v>2062</v>
      </c>
      <c r="AH388" s="86">
        <v>460554</v>
      </c>
      <c r="AI388" s="86">
        <v>2576</v>
      </c>
      <c r="AJ388" s="86">
        <v>3201</v>
      </c>
      <c r="AK388" s="86">
        <v>145937</v>
      </c>
      <c r="AL388" s="86" t="b">
        <v>0</v>
      </c>
      <c r="AM388" s="89">
        <v>40196.785104166665</v>
      </c>
      <c r="AN388" s="86" t="s">
        <v>15234</v>
      </c>
      <c r="AO388" s="86" t="s">
        <v>26774</v>
      </c>
      <c r="AP388" s="96" t="str">
        <f>HYPERLINK("https://t.co/JZeDYPM5T6")</f>
        <v>https://t.co/JZeDYPM5T6</v>
      </c>
      <c r="AQ388" s="96" t="str">
        <f>HYPERLINK("http://www.jovempan.com.br")</f>
        <v>http://www.jovempan.com.br</v>
      </c>
      <c r="AR388" s="86" t="s">
        <v>28163</v>
      </c>
      <c r="AS388" s="86" t="s">
        <v>28997</v>
      </c>
      <c r="AT388" s="86" t="s">
        <v>29013</v>
      </c>
      <c r="AU388" s="86" t="s">
        <v>29055</v>
      </c>
      <c r="AV388" s="86"/>
      <c r="AW388" s="96" t="str">
        <f>HYPERLINK("https://t.co/JZeDYPM5T6")</f>
        <v>https://t.co/JZeDYPM5T6</v>
      </c>
      <c r="AX388" s="86" t="b">
        <v>1</v>
      </c>
      <c r="AY388" s="86"/>
      <c r="AZ388" s="86"/>
      <c r="BA388" s="86" t="b">
        <v>0</v>
      </c>
      <c r="BB388" s="86" t="b">
        <v>0</v>
      </c>
      <c r="BC388" s="86" t="b">
        <v>0</v>
      </c>
      <c r="BD388" s="86" t="b">
        <v>0</v>
      </c>
      <c r="BE388" s="86" t="b">
        <v>1</v>
      </c>
      <c r="BF388" s="86" t="b">
        <v>0</v>
      </c>
      <c r="BG388" s="86" t="b">
        <v>0</v>
      </c>
      <c r="BH388" s="96" t="str">
        <f>HYPERLINK("https://pbs.twimg.com/profile_banners/106175018/1673539072")</f>
        <v>https://pbs.twimg.com/profile_banners/106175018/1673539072</v>
      </c>
      <c r="BI388" s="86"/>
      <c r="BJ388" s="86" t="s">
        <v>29134</v>
      </c>
      <c r="BK388" s="86" t="b">
        <v>0</v>
      </c>
      <c r="BL388" s="86"/>
      <c r="BM388" s="86" t="s">
        <v>66</v>
      </c>
      <c r="BN388" s="86" t="s">
        <v>29136</v>
      </c>
      <c r="BO388" s="96" t="str">
        <f>HYPERLINK("https://twitter.com/jovempannews")</f>
        <v>https://twitter.com/jovempannews</v>
      </c>
      <c r="BP388" s="2"/>
    </row>
    <row r="389" spans="1:68" x14ac:dyDescent="0.25">
      <c r="A389" s="63" t="s">
        <v>564</v>
      </c>
      <c r="B389" s="64"/>
      <c r="C389" s="64"/>
      <c r="D389" s="65"/>
      <c r="E389" s="67"/>
      <c r="F389" s="111" t="str">
        <f>HYPERLINK("https://pbs.twimg.com/profile_images/1622973251105263616/I1i-j1Q-_normal.jpg")</f>
        <v>https://pbs.twimg.com/profile_images/1622973251105263616/I1i-j1Q-_normal.jpg</v>
      </c>
      <c r="G389" s="64"/>
      <c r="H389" s="68"/>
      <c r="I389" s="69"/>
      <c r="J389" s="69"/>
      <c r="K389" s="68" t="s">
        <v>29522</v>
      </c>
      <c r="L389" s="72"/>
      <c r="M389" s="73"/>
      <c r="N389" s="73"/>
      <c r="O389" s="74"/>
      <c r="P389" s="75"/>
      <c r="Q389" s="75"/>
      <c r="R389" s="102"/>
      <c r="S389" s="102"/>
      <c r="T389" s="102"/>
      <c r="U389" s="102"/>
      <c r="V389" s="48"/>
      <c r="W389" s="48"/>
      <c r="X389" s="48"/>
      <c r="Y389" s="48"/>
      <c r="Z389" s="47"/>
      <c r="AA389" s="70">
        <v>389</v>
      </c>
      <c r="AB389" s="70"/>
      <c r="AC389" s="71"/>
      <c r="AD389" s="86" t="s">
        <v>24021</v>
      </c>
      <c r="AE389" s="94" t="s">
        <v>22986</v>
      </c>
      <c r="AF389" s="86">
        <v>6</v>
      </c>
      <c r="AG389" s="86">
        <v>135</v>
      </c>
      <c r="AH389" s="86">
        <v>22</v>
      </c>
      <c r="AI389" s="86">
        <v>0</v>
      </c>
      <c r="AJ389" s="86">
        <v>47</v>
      </c>
      <c r="AK389" s="86">
        <v>2</v>
      </c>
      <c r="AL389" s="86" t="b">
        <v>0</v>
      </c>
      <c r="AM389" s="89">
        <v>44964.624108796299</v>
      </c>
      <c r="AN389" s="86"/>
      <c r="AO389" s="86" t="s">
        <v>26775</v>
      </c>
      <c r="AP389" s="96" t="str">
        <f>HYPERLINK("https://t.co/jYjV4toipW")</f>
        <v>https://t.co/jYjV4toipW</v>
      </c>
      <c r="AQ389" s="96" t="str">
        <f>HYPERLINK("https://bit.ly/victorjuver-advesports")</f>
        <v>https://bit.ly/victorjuver-advesports</v>
      </c>
      <c r="AR389" s="86" t="s">
        <v>28164</v>
      </c>
      <c r="AS389" s="86"/>
      <c r="AT389" s="86"/>
      <c r="AU389" s="86"/>
      <c r="AV389" s="86">
        <v>1.62302591648078E+18</v>
      </c>
      <c r="AW389" s="96" t="str">
        <f>HYPERLINK("https://t.co/jYjV4toipW")</f>
        <v>https://t.co/jYjV4toipW</v>
      </c>
      <c r="AX389" s="86" t="b">
        <v>0</v>
      </c>
      <c r="AY389" s="86"/>
      <c r="AZ389" s="86"/>
      <c r="BA389" s="86" t="b">
        <v>0</v>
      </c>
      <c r="BB389" s="86" t="b">
        <v>1</v>
      </c>
      <c r="BC389" s="86" t="b">
        <v>1</v>
      </c>
      <c r="BD389" s="86" t="b">
        <v>0</v>
      </c>
      <c r="BE389" s="86" t="b">
        <v>0</v>
      </c>
      <c r="BF389" s="86" t="b">
        <v>0</v>
      </c>
      <c r="BG389" s="86" t="b">
        <v>0</v>
      </c>
      <c r="BH389" s="96" t="str">
        <f>HYPERLINK("https://pbs.twimg.com/profile_banners/1622973060524433408/1675784120")</f>
        <v>https://pbs.twimg.com/profile_banners/1622973060524433408/1675784120</v>
      </c>
      <c r="BI389" s="86"/>
      <c r="BJ389" s="86" t="s">
        <v>29134</v>
      </c>
      <c r="BK389" s="86" t="b">
        <v>0</v>
      </c>
      <c r="BL389" s="86"/>
      <c r="BM389" s="86" t="s">
        <v>66</v>
      </c>
      <c r="BN389" s="86" t="s">
        <v>29136</v>
      </c>
      <c r="BO389" s="96" t="str">
        <f>HYPERLINK("https://twitter.com/juveradvesports")</f>
        <v>https://twitter.com/juveradvesports</v>
      </c>
      <c r="BP389" s="2"/>
    </row>
    <row r="390" spans="1:68" x14ac:dyDescent="0.25">
      <c r="A390" s="63" t="s">
        <v>1657</v>
      </c>
      <c r="B390" s="64"/>
      <c r="C390" s="64"/>
      <c r="D390" s="65"/>
      <c r="E390" s="67"/>
      <c r="F390" s="111" t="str">
        <f>HYPERLINK("https://pbs.twimg.com/profile_images/1661161645857710081/6WtDIesg_normal.png")</f>
        <v>https://pbs.twimg.com/profile_images/1661161645857710081/6WtDIesg_normal.png</v>
      </c>
      <c r="G390" s="64"/>
      <c r="H390" s="68"/>
      <c r="I390" s="69"/>
      <c r="J390" s="69"/>
      <c r="K390" s="68" t="s">
        <v>29523</v>
      </c>
      <c r="L390" s="72"/>
      <c r="M390" s="73"/>
      <c r="N390" s="73"/>
      <c r="O390" s="74"/>
      <c r="P390" s="75"/>
      <c r="Q390" s="75"/>
      <c r="R390" s="102"/>
      <c r="S390" s="102"/>
      <c r="T390" s="102"/>
      <c r="U390" s="102"/>
      <c r="V390" s="48"/>
      <c r="W390" s="48"/>
      <c r="X390" s="48"/>
      <c r="Y390" s="48"/>
      <c r="Z390" s="47"/>
      <c r="AA390" s="70">
        <v>390</v>
      </c>
      <c r="AB390" s="70"/>
      <c r="AC390" s="71"/>
      <c r="AD390" s="86" t="s">
        <v>11474</v>
      </c>
      <c r="AE390" s="94" t="s">
        <v>25376</v>
      </c>
      <c r="AF390" s="86">
        <v>1804866</v>
      </c>
      <c r="AG390" s="86">
        <v>26</v>
      </c>
      <c r="AH390" s="86">
        <v>20149</v>
      </c>
      <c r="AI390" s="86">
        <v>17359</v>
      </c>
      <c r="AJ390" s="86">
        <v>7518</v>
      </c>
      <c r="AK390" s="86">
        <v>2203</v>
      </c>
      <c r="AL390" s="86" t="b">
        <v>0</v>
      </c>
      <c r="AM390" s="89">
        <v>39482.765289351853</v>
      </c>
      <c r="AN390" s="86" t="s">
        <v>26018</v>
      </c>
      <c r="AO390" s="86" t="s">
        <v>26776</v>
      </c>
      <c r="AP390" s="96" t="str">
        <f>HYPERLINK("https://t.co/1Ccsai5CQI")</f>
        <v>https://t.co/1Ccsai5CQI</v>
      </c>
      <c r="AQ390" s="96" t="str">
        <f>HYPERLINK("http://www.linkedin.com")</f>
        <v>http://www.linkedin.com</v>
      </c>
      <c r="AR390" s="86" t="s">
        <v>8377</v>
      </c>
      <c r="AS390" s="86"/>
      <c r="AT390" s="86"/>
      <c r="AU390" s="86"/>
      <c r="AV390" s="86">
        <v>1.66075271927421E+18</v>
      </c>
      <c r="AW390" s="96" t="str">
        <f>HYPERLINK("https://t.co/1Ccsai5CQI")</f>
        <v>https://t.co/1Ccsai5CQI</v>
      </c>
      <c r="AX390" s="86" t="b">
        <v>1</v>
      </c>
      <c r="AY390" s="86"/>
      <c r="AZ390" s="86"/>
      <c r="BA390" s="86" t="b">
        <v>0</v>
      </c>
      <c r="BB390" s="86" t="b">
        <v>1</v>
      </c>
      <c r="BC390" s="86" t="b">
        <v>0</v>
      </c>
      <c r="BD390" s="86" t="b">
        <v>0</v>
      </c>
      <c r="BE390" s="86" t="b">
        <v>1</v>
      </c>
      <c r="BF390" s="86" t="b">
        <v>0</v>
      </c>
      <c r="BG390" s="86" t="b">
        <v>0</v>
      </c>
      <c r="BH390" s="96" t="str">
        <f>HYPERLINK("https://pbs.twimg.com/profile_banners/13058772/1684890286")</f>
        <v>https://pbs.twimg.com/profile_banners/13058772/1684890286</v>
      </c>
      <c r="BI390" s="86"/>
      <c r="BJ390" s="86" t="s">
        <v>29135</v>
      </c>
      <c r="BK390" s="86" t="b">
        <v>0</v>
      </c>
      <c r="BL390" s="86"/>
      <c r="BM390" s="86" t="s">
        <v>65</v>
      </c>
      <c r="BN390" s="86" t="s">
        <v>29136</v>
      </c>
      <c r="BO390" s="96" t="str">
        <f>HYPERLINK("https://twitter.com/linkedin")</f>
        <v>https://twitter.com/linkedin</v>
      </c>
      <c r="BP390" s="2"/>
    </row>
    <row r="391" spans="1:68" x14ac:dyDescent="0.25">
      <c r="A391" s="63" t="s">
        <v>565</v>
      </c>
      <c r="B391" s="64"/>
      <c r="C391" s="64"/>
      <c r="D391" s="65"/>
      <c r="E391" s="67"/>
      <c r="F391" s="111" t="str">
        <f>HYPERLINK("https://pbs.twimg.com/profile_images/1587539651304329218/IMjpu6Np_normal.png")</f>
        <v>https://pbs.twimg.com/profile_images/1587539651304329218/IMjpu6Np_normal.png</v>
      </c>
      <c r="G391" s="64"/>
      <c r="H391" s="68"/>
      <c r="I391" s="69"/>
      <c r="J391" s="69"/>
      <c r="K391" s="68" t="s">
        <v>29524</v>
      </c>
      <c r="L391" s="72"/>
      <c r="M391" s="73"/>
      <c r="N391" s="73"/>
      <c r="O391" s="74"/>
      <c r="P391" s="75"/>
      <c r="Q391" s="75"/>
      <c r="R391" s="102"/>
      <c r="S391" s="102"/>
      <c r="T391" s="102"/>
      <c r="U391" s="102"/>
      <c r="V391" s="48"/>
      <c r="W391" s="48"/>
      <c r="X391" s="48"/>
      <c r="Y391" s="48"/>
      <c r="Z391" s="47"/>
      <c r="AA391" s="70">
        <v>391</v>
      </c>
      <c r="AB391" s="70"/>
      <c r="AC391" s="71"/>
      <c r="AD391" s="86" t="s">
        <v>24022</v>
      </c>
      <c r="AE391" s="94" t="s">
        <v>22545</v>
      </c>
      <c r="AF391" s="86">
        <v>210</v>
      </c>
      <c r="AG391" s="86">
        <v>61</v>
      </c>
      <c r="AH391" s="86">
        <v>711</v>
      </c>
      <c r="AI391" s="86">
        <v>13</v>
      </c>
      <c r="AJ391" s="86">
        <v>31</v>
      </c>
      <c r="AK391" s="86">
        <v>489</v>
      </c>
      <c r="AL391" s="86" t="b">
        <v>0</v>
      </c>
      <c r="AM391" s="89">
        <v>44866.846319444441</v>
      </c>
      <c r="AN391" s="86" t="s">
        <v>15372</v>
      </c>
      <c r="AO391" s="86" t="s">
        <v>26777</v>
      </c>
      <c r="AP391" s="96" t="str">
        <f>HYPERLINK("https://t.co/bqfLn51Wcs")</f>
        <v>https://t.co/bqfLn51Wcs</v>
      </c>
      <c r="AQ391" s="96" t="str">
        <f>HYPERLINK("https://www.gov.br/inpi/pt-br")</f>
        <v>https://www.gov.br/inpi/pt-br</v>
      </c>
      <c r="AR391" s="86" t="s">
        <v>28165</v>
      </c>
      <c r="AS391" s="86"/>
      <c r="AT391" s="86"/>
      <c r="AU391" s="86"/>
      <c r="AV391" s="86">
        <v>1.6990998190027799E+18</v>
      </c>
      <c r="AW391" s="96" t="str">
        <f>HYPERLINK("https://t.co/bqfLn51Wcs")</f>
        <v>https://t.co/bqfLn51Wcs</v>
      </c>
      <c r="AX391" s="86" t="b">
        <v>0</v>
      </c>
      <c r="AY391" s="86"/>
      <c r="AZ391" s="86"/>
      <c r="BA391" s="86" t="b">
        <v>0</v>
      </c>
      <c r="BB391" s="86" t="b">
        <v>1</v>
      </c>
      <c r="BC391" s="86" t="b">
        <v>1</v>
      </c>
      <c r="BD391" s="86" t="b">
        <v>0</v>
      </c>
      <c r="BE391" s="86" t="b">
        <v>0</v>
      </c>
      <c r="BF391" s="86" t="b">
        <v>0</v>
      </c>
      <c r="BG391" s="86" t="b">
        <v>0</v>
      </c>
      <c r="BH391" s="96" t="str">
        <f>HYPERLINK("https://pbs.twimg.com/profile_banners/1587539501005537284/1667336499")</f>
        <v>https://pbs.twimg.com/profile_banners/1587539501005537284/1667336499</v>
      </c>
      <c r="BI391" s="86"/>
      <c r="BJ391" s="86" t="s">
        <v>29134</v>
      </c>
      <c r="BK391" s="86" t="b">
        <v>0</v>
      </c>
      <c r="BL391" s="86"/>
      <c r="BM391" s="86" t="s">
        <v>66</v>
      </c>
      <c r="BN391" s="86" t="s">
        <v>29136</v>
      </c>
      <c r="BO391" s="96" t="str">
        <f>HYPERLINK("https://twitter.com/inpibrasil")</f>
        <v>https://twitter.com/inpibrasil</v>
      </c>
      <c r="BP391" s="2"/>
    </row>
    <row r="392" spans="1:68" x14ac:dyDescent="0.25">
      <c r="A392" s="63" t="s">
        <v>566</v>
      </c>
      <c r="B392" s="64"/>
      <c r="C392" s="64"/>
      <c r="D392" s="65"/>
      <c r="E392" s="67"/>
      <c r="F392" s="111" t="str">
        <f>HYPERLINK("https://pbs.twimg.com/profile_images/1562988116352303104/Vkn9Ir1d_normal.jpg")</f>
        <v>https://pbs.twimg.com/profile_images/1562988116352303104/Vkn9Ir1d_normal.jpg</v>
      </c>
      <c r="G392" s="64"/>
      <c r="H392" s="68"/>
      <c r="I392" s="69"/>
      <c r="J392" s="69"/>
      <c r="K392" s="68" t="s">
        <v>29525</v>
      </c>
      <c r="L392" s="72"/>
      <c r="M392" s="73"/>
      <c r="N392" s="73"/>
      <c r="O392" s="74"/>
      <c r="P392" s="75"/>
      <c r="Q392" s="75"/>
      <c r="R392" s="102"/>
      <c r="S392" s="102"/>
      <c r="T392" s="102"/>
      <c r="U392" s="102"/>
      <c r="V392" s="48"/>
      <c r="W392" s="48"/>
      <c r="X392" s="48"/>
      <c r="Y392" s="48"/>
      <c r="Z392" s="47"/>
      <c r="AA392" s="70">
        <v>392</v>
      </c>
      <c r="AB392" s="70"/>
      <c r="AC392" s="71"/>
      <c r="AD392" s="86" t="s">
        <v>24023</v>
      </c>
      <c r="AE392" s="94" t="s">
        <v>22987</v>
      </c>
      <c r="AF392" s="86">
        <v>7</v>
      </c>
      <c r="AG392" s="86">
        <v>76</v>
      </c>
      <c r="AH392" s="86">
        <v>231</v>
      </c>
      <c r="AI392" s="86">
        <v>0</v>
      </c>
      <c r="AJ392" s="86">
        <v>16</v>
      </c>
      <c r="AK392" s="86">
        <v>125</v>
      </c>
      <c r="AL392" s="86" t="b">
        <v>0</v>
      </c>
      <c r="AM392" s="89">
        <v>43911.986770833333</v>
      </c>
      <c r="AN392" s="86" t="s">
        <v>26017</v>
      </c>
      <c r="AO392" s="86" t="s">
        <v>26778</v>
      </c>
      <c r="AP392" s="96" t="str">
        <f>HYPERLINK("https://t.co/JPfCeP1moH")</f>
        <v>https://t.co/JPfCeP1moH</v>
      </c>
      <c r="AQ392" s="96" t="str">
        <f>HYPERLINK("https://www.youtube.com/channel/UCQlLVTJxsaous3fYQjwvqnw")</f>
        <v>https://www.youtube.com/channel/UCQlLVTJxsaous3fYQjwvqnw</v>
      </c>
      <c r="AR392" s="86" t="s">
        <v>28166</v>
      </c>
      <c r="AS392" s="86"/>
      <c r="AT392" s="86"/>
      <c r="AU392" s="86"/>
      <c r="AV392" s="86"/>
      <c r="AW392" s="96" t="str">
        <f>HYPERLINK("https://t.co/JPfCeP1moH")</f>
        <v>https://t.co/JPfCeP1moH</v>
      </c>
      <c r="AX392" s="86" t="b">
        <v>0</v>
      </c>
      <c r="AY392" s="86"/>
      <c r="AZ392" s="86"/>
      <c r="BA392" s="86" t="b">
        <v>0</v>
      </c>
      <c r="BB392" s="86" t="b">
        <v>1</v>
      </c>
      <c r="BC392" s="86" t="b">
        <v>1</v>
      </c>
      <c r="BD392" s="86" t="b">
        <v>0</v>
      </c>
      <c r="BE392" s="86" t="b">
        <v>0</v>
      </c>
      <c r="BF392" s="86" t="b">
        <v>0</v>
      </c>
      <c r="BG392" s="86" t="b">
        <v>0</v>
      </c>
      <c r="BH392" s="96" t="str">
        <f>HYPERLINK("https://pbs.twimg.com/profile_banners/1241510009793544194/1655831648")</f>
        <v>https://pbs.twimg.com/profile_banners/1241510009793544194/1655831648</v>
      </c>
      <c r="BI392" s="86"/>
      <c r="BJ392" s="86" t="s">
        <v>29134</v>
      </c>
      <c r="BK392" s="86" t="b">
        <v>0</v>
      </c>
      <c r="BL392" s="86"/>
      <c r="BM392" s="86" t="s">
        <v>66</v>
      </c>
      <c r="BN392" s="86" t="s">
        <v>29136</v>
      </c>
      <c r="BO392" s="96" t="str">
        <f>HYPERLINK("https://twitter.com/wescleygarcia")</f>
        <v>https://twitter.com/wescleygarcia</v>
      </c>
      <c r="BP392" s="2"/>
    </row>
    <row r="393" spans="1:68" x14ac:dyDescent="0.25">
      <c r="A393" s="63" t="s">
        <v>1658</v>
      </c>
      <c r="B393" s="64"/>
      <c r="C393" s="64"/>
      <c r="D393" s="65"/>
      <c r="E393" s="67"/>
      <c r="F393" s="111" t="str">
        <f>HYPERLINK("https://pbs.twimg.com/profile_images/1641453213873479680/0S5_Lg1__normal.jpg")</f>
        <v>https://pbs.twimg.com/profile_images/1641453213873479680/0S5_Lg1__normal.jpg</v>
      </c>
      <c r="G393" s="64"/>
      <c r="H393" s="68"/>
      <c r="I393" s="69"/>
      <c r="J393" s="69"/>
      <c r="K393" s="68" t="s">
        <v>29526</v>
      </c>
      <c r="L393" s="72"/>
      <c r="M393" s="73"/>
      <c r="N393" s="73"/>
      <c r="O393" s="74"/>
      <c r="P393" s="75"/>
      <c r="Q393" s="75"/>
      <c r="R393" s="102"/>
      <c r="S393" s="102"/>
      <c r="T393" s="102"/>
      <c r="U393" s="102"/>
      <c r="V393" s="48"/>
      <c r="W393" s="48"/>
      <c r="X393" s="48"/>
      <c r="Y393" s="48"/>
      <c r="Z393" s="47"/>
      <c r="AA393" s="70">
        <v>393</v>
      </c>
      <c r="AB393" s="70"/>
      <c r="AC393" s="71"/>
      <c r="AD393" s="86" t="s">
        <v>24024</v>
      </c>
      <c r="AE393" s="94" t="s">
        <v>25377</v>
      </c>
      <c r="AF393" s="86">
        <v>166</v>
      </c>
      <c r="AG393" s="86">
        <v>103</v>
      </c>
      <c r="AH393" s="86">
        <v>168</v>
      </c>
      <c r="AI393" s="86">
        <v>2</v>
      </c>
      <c r="AJ393" s="86">
        <v>17</v>
      </c>
      <c r="AK393" s="86">
        <v>125</v>
      </c>
      <c r="AL393" s="86" t="b">
        <v>0</v>
      </c>
      <c r="AM393" s="89">
        <v>40422.673472222225</v>
      </c>
      <c r="AN393" s="86" t="s">
        <v>15234</v>
      </c>
      <c r="AO393" s="86" t="s">
        <v>26779</v>
      </c>
      <c r="AP393" s="96" t="str">
        <f>HYPERLINK("https://t.co/dlNuFsOjf9")</f>
        <v>https://t.co/dlNuFsOjf9</v>
      </c>
      <c r="AQ393" s="96" t="str">
        <f>HYPERLINK("http://www.acadbrasil.com.br")</f>
        <v>http://www.acadbrasil.com.br</v>
      </c>
      <c r="AR393" s="86" t="s">
        <v>28167</v>
      </c>
      <c r="AS393" s="86"/>
      <c r="AT393" s="86"/>
      <c r="AU393" s="86"/>
      <c r="AV393" s="86"/>
      <c r="AW393" s="96" t="str">
        <f>HYPERLINK("https://t.co/dlNuFsOjf9")</f>
        <v>https://t.co/dlNuFsOjf9</v>
      </c>
      <c r="AX393" s="86" t="b">
        <v>0</v>
      </c>
      <c r="AY393" s="86"/>
      <c r="AZ393" s="86"/>
      <c r="BA393" s="86" t="b">
        <v>0</v>
      </c>
      <c r="BB393" s="86" t="b">
        <v>1</v>
      </c>
      <c r="BC393" s="86" t="b">
        <v>0</v>
      </c>
      <c r="BD393" s="86" t="b">
        <v>0</v>
      </c>
      <c r="BE393" s="86" t="b">
        <v>0</v>
      </c>
      <c r="BF393" s="86" t="b">
        <v>0</v>
      </c>
      <c r="BG393" s="86" t="b">
        <v>0</v>
      </c>
      <c r="BH393" s="96" t="str">
        <f>HYPERLINK("https://pbs.twimg.com/profile_banners/185690767/1680187919")</f>
        <v>https://pbs.twimg.com/profile_banners/185690767/1680187919</v>
      </c>
      <c r="BI393" s="86"/>
      <c r="BJ393" s="86" t="s">
        <v>29134</v>
      </c>
      <c r="BK393" s="86" t="b">
        <v>0</v>
      </c>
      <c r="BL393" s="86"/>
      <c r="BM393" s="86" t="s">
        <v>65</v>
      </c>
      <c r="BN393" s="86" t="s">
        <v>29136</v>
      </c>
      <c r="BO393" s="96" t="str">
        <f>HYPERLINK("https://twitter.com/acadbrasil")</f>
        <v>https://twitter.com/acadbrasil</v>
      </c>
      <c r="BP393" s="2"/>
    </row>
    <row r="394" spans="1:68" x14ac:dyDescent="0.25">
      <c r="A394" s="63" t="s">
        <v>567</v>
      </c>
      <c r="B394" s="64"/>
      <c r="C394" s="64"/>
      <c r="D394" s="65"/>
      <c r="E394" s="67"/>
      <c r="F394" s="111" t="str">
        <f>HYPERLINK("https://pbs.twimg.com/profile_images/1676068046102773760/Km2v-A57_normal.jpg")</f>
        <v>https://pbs.twimg.com/profile_images/1676068046102773760/Km2v-A57_normal.jpg</v>
      </c>
      <c r="G394" s="64"/>
      <c r="H394" s="68"/>
      <c r="I394" s="69"/>
      <c r="J394" s="69"/>
      <c r="K394" s="68" t="s">
        <v>29527</v>
      </c>
      <c r="L394" s="72"/>
      <c r="M394" s="73"/>
      <c r="N394" s="73"/>
      <c r="O394" s="74"/>
      <c r="P394" s="75"/>
      <c r="Q394" s="75"/>
      <c r="R394" s="102"/>
      <c r="S394" s="102"/>
      <c r="T394" s="102"/>
      <c r="U394" s="102"/>
      <c r="V394" s="48"/>
      <c r="W394" s="48"/>
      <c r="X394" s="48"/>
      <c r="Y394" s="48"/>
      <c r="Z394" s="47"/>
      <c r="AA394" s="70">
        <v>394</v>
      </c>
      <c r="AB394" s="70"/>
      <c r="AC394" s="71"/>
      <c r="AD394" s="86" t="s">
        <v>24025</v>
      </c>
      <c r="AE394" s="94" t="s">
        <v>25378</v>
      </c>
      <c r="AF394" s="86">
        <v>213</v>
      </c>
      <c r="AG394" s="86">
        <v>1144</v>
      </c>
      <c r="AH394" s="86">
        <v>8200</v>
      </c>
      <c r="AI394" s="86">
        <v>2</v>
      </c>
      <c r="AJ394" s="86">
        <v>38</v>
      </c>
      <c r="AK394" s="86">
        <v>187</v>
      </c>
      <c r="AL394" s="86" t="b">
        <v>0</v>
      </c>
      <c r="AM394" s="89">
        <v>40363.080949074072</v>
      </c>
      <c r="AN394" s="86" t="s">
        <v>15240</v>
      </c>
      <c r="AO394" s="86" t="s">
        <v>26780</v>
      </c>
      <c r="AP394" s="96" t="str">
        <f>HYPERLINK("https://t.co/I6X2HEXfkV")</f>
        <v>https://t.co/I6X2HEXfkV</v>
      </c>
      <c r="AQ394" s="96" t="str">
        <f>HYPERLINK("https://instagram.com/planejadortributario.oficial?igshid=MzRlODBiNWFlZA==")</f>
        <v>https://instagram.com/planejadortributario.oficial?igshid=MzRlODBiNWFlZA==</v>
      </c>
      <c r="AR394" s="86" t="s">
        <v>28168</v>
      </c>
      <c r="AS394" s="86"/>
      <c r="AT394" s="86"/>
      <c r="AU394" s="86"/>
      <c r="AV394" s="86"/>
      <c r="AW394" s="96" t="str">
        <f>HYPERLINK("https://t.co/I6X2HEXfkV")</f>
        <v>https://t.co/I6X2HEXfkV</v>
      </c>
      <c r="AX394" s="86" t="b">
        <v>0</v>
      </c>
      <c r="AY394" s="86"/>
      <c r="AZ394" s="86"/>
      <c r="BA394" s="86" t="b">
        <v>0</v>
      </c>
      <c r="BB394" s="86" t="b">
        <v>1</v>
      </c>
      <c r="BC394" s="86" t="b">
        <v>0</v>
      </c>
      <c r="BD394" s="86" t="b">
        <v>0</v>
      </c>
      <c r="BE394" s="86" t="b">
        <v>0</v>
      </c>
      <c r="BF394" s="86" t="b">
        <v>0</v>
      </c>
      <c r="BG394" s="86" t="b">
        <v>0</v>
      </c>
      <c r="BH394" s="96" t="str">
        <f>HYPERLINK("https://pbs.twimg.com/profile_banners/162564683/1672332370")</f>
        <v>https://pbs.twimg.com/profile_banners/162564683/1672332370</v>
      </c>
      <c r="BI394" s="86"/>
      <c r="BJ394" s="86" t="s">
        <v>29134</v>
      </c>
      <c r="BK394" s="86" t="b">
        <v>0</v>
      </c>
      <c r="BL394" s="86"/>
      <c r="BM394" s="86" t="s">
        <v>66</v>
      </c>
      <c r="BN394" s="86" t="s">
        <v>29136</v>
      </c>
      <c r="BO394" s="96" t="str">
        <f>HYPERLINK("https://twitter.com/williambcunha")</f>
        <v>https://twitter.com/williambcunha</v>
      </c>
      <c r="BP394" s="2"/>
    </row>
    <row r="395" spans="1:68" x14ac:dyDescent="0.25">
      <c r="A395" s="63" t="s">
        <v>568</v>
      </c>
      <c r="B395" s="64"/>
      <c r="C395" s="64"/>
      <c r="D395" s="65"/>
      <c r="E395" s="67"/>
      <c r="F395" s="111" t="str">
        <f>HYPERLINK("https://pbs.twimg.com/profile_images/1695042386001326081/SCdOk9O9_normal.jpg")</f>
        <v>https://pbs.twimg.com/profile_images/1695042386001326081/SCdOk9O9_normal.jpg</v>
      </c>
      <c r="G395" s="64"/>
      <c r="H395" s="68"/>
      <c r="I395" s="69"/>
      <c r="J395" s="69"/>
      <c r="K395" s="68" t="s">
        <v>29528</v>
      </c>
      <c r="L395" s="72"/>
      <c r="M395" s="73"/>
      <c r="N395" s="73"/>
      <c r="O395" s="74"/>
      <c r="P395" s="75"/>
      <c r="Q395" s="75"/>
      <c r="R395" s="102"/>
      <c r="S395" s="102"/>
      <c r="T395" s="102"/>
      <c r="U395" s="102"/>
      <c r="V395" s="48"/>
      <c r="W395" s="48"/>
      <c r="X395" s="48"/>
      <c r="Y395" s="48"/>
      <c r="Z395" s="47"/>
      <c r="AA395" s="70">
        <v>395</v>
      </c>
      <c r="AB395" s="70"/>
      <c r="AC395" s="71"/>
      <c r="AD395" s="86" t="s">
        <v>24026</v>
      </c>
      <c r="AE395" s="94" t="s">
        <v>22988</v>
      </c>
      <c r="AF395" s="86">
        <v>74</v>
      </c>
      <c r="AG395" s="86">
        <v>796</v>
      </c>
      <c r="AH395" s="86">
        <v>433</v>
      </c>
      <c r="AI395" s="86">
        <v>1</v>
      </c>
      <c r="AJ395" s="86">
        <v>4</v>
      </c>
      <c r="AK395" s="86">
        <v>14</v>
      </c>
      <c r="AL395" s="86" t="b">
        <v>0</v>
      </c>
      <c r="AM395" s="89">
        <v>45163.472083333334</v>
      </c>
      <c r="AN395" s="86" t="s">
        <v>15235</v>
      </c>
      <c r="AO395" s="86" t="s">
        <v>26781</v>
      </c>
      <c r="AP395" s="86"/>
      <c r="AQ395" s="86"/>
      <c r="AR395" s="86"/>
      <c r="AS395" s="86"/>
      <c r="AT395" s="86"/>
      <c r="AU395" s="86"/>
      <c r="AV395" s="86">
        <v>1.6961138715875899E+18</v>
      </c>
      <c r="AW395" s="86"/>
      <c r="AX395" s="86" t="b">
        <v>1</v>
      </c>
      <c r="AY395" s="86"/>
      <c r="AZ395" s="86"/>
      <c r="BA395" s="86" t="b">
        <v>0</v>
      </c>
      <c r="BB395" s="86" t="b">
        <v>1</v>
      </c>
      <c r="BC395" s="86" t="b">
        <v>1</v>
      </c>
      <c r="BD395" s="86" t="b">
        <v>0</v>
      </c>
      <c r="BE395" s="86" t="b">
        <v>0</v>
      </c>
      <c r="BF395" s="86" t="b">
        <v>0</v>
      </c>
      <c r="BG395" s="86" t="b">
        <v>0</v>
      </c>
      <c r="BH395" s="96" t="str">
        <f>HYPERLINK("https://pbs.twimg.com/profile_banners/1695033084582780928/1693130104")</f>
        <v>https://pbs.twimg.com/profile_banners/1695033084582780928/1693130104</v>
      </c>
      <c r="BI395" s="86"/>
      <c r="BJ395" s="86" t="s">
        <v>29134</v>
      </c>
      <c r="BK395" s="86" t="b">
        <v>0</v>
      </c>
      <c r="BL395" s="86"/>
      <c r="BM395" s="86" t="s">
        <v>66</v>
      </c>
      <c r="BN395" s="86" t="s">
        <v>29136</v>
      </c>
      <c r="BO395" s="96" t="str">
        <f>HYPERLINK("https://twitter.com/odisseiaalfa")</f>
        <v>https://twitter.com/odisseiaalfa</v>
      </c>
      <c r="BP395" s="2"/>
    </row>
    <row r="396" spans="1:68" x14ac:dyDescent="0.25">
      <c r="A396" s="63" t="s">
        <v>1659</v>
      </c>
      <c r="B396" s="64"/>
      <c r="C396" s="64"/>
      <c r="D396" s="65"/>
      <c r="E396" s="67"/>
      <c r="F396" s="111" t="str">
        <f>HYPERLINK("https://pbs.twimg.com/profile_images/1663887811961815040/z2F-Fz-A_normal.jpg")</f>
        <v>https://pbs.twimg.com/profile_images/1663887811961815040/z2F-Fz-A_normal.jpg</v>
      </c>
      <c r="G396" s="64"/>
      <c r="H396" s="68"/>
      <c r="I396" s="69"/>
      <c r="J396" s="69"/>
      <c r="K396" s="68" t="s">
        <v>29529</v>
      </c>
      <c r="L396" s="72"/>
      <c r="M396" s="73"/>
      <c r="N396" s="73"/>
      <c r="O396" s="74"/>
      <c r="P396" s="75"/>
      <c r="Q396" s="75"/>
      <c r="R396" s="102"/>
      <c r="S396" s="102"/>
      <c r="T396" s="102"/>
      <c r="U396" s="102"/>
      <c r="V396" s="48"/>
      <c r="W396" s="48"/>
      <c r="X396" s="48"/>
      <c r="Y396" s="48"/>
      <c r="Z396" s="47"/>
      <c r="AA396" s="70">
        <v>396</v>
      </c>
      <c r="AB396" s="70"/>
      <c r="AC396" s="71"/>
      <c r="AD396" s="86" t="s">
        <v>24027</v>
      </c>
      <c r="AE396" s="94" t="s">
        <v>22546</v>
      </c>
      <c r="AF396" s="86">
        <v>10688</v>
      </c>
      <c r="AG396" s="86">
        <v>17</v>
      </c>
      <c r="AH396" s="86">
        <v>6583</v>
      </c>
      <c r="AI396" s="86">
        <v>243</v>
      </c>
      <c r="AJ396" s="86">
        <v>5895</v>
      </c>
      <c r="AK396" s="86">
        <v>788</v>
      </c>
      <c r="AL396" s="86" t="b">
        <v>0</v>
      </c>
      <c r="AM396" s="89">
        <v>45051.659004629626</v>
      </c>
      <c r="AN396" s="86" t="s">
        <v>26019</v>
      </c>
      <c r="AO396" s="86" t="s">
        <v>26782</v>
      </c>
      <c r="AP396" s="96" t="str">
        <f>HYPERLINK("https://t.co/AOYGQxNEas")</f>
        <v>https://t.co/AOYGQxNEas</v>
      </c>
      <c r="AQ396" s="96" t="str">
        <f>HYPERLINK("https://t.me/+WwMCorE4lEI5NWFk")</f>
        <v>https://t.me/+WwMCorE4lEI5NWFk</v>
      </c>
      <c r="AR396" s="86" t="s">
        <v>28169</v>
      </c>
      <c r="AS396" s="86"/>
      <c r="AT396" s="86"/>
      <c r="AU396" s="86"/>
      <c r="AV396" s="86">
        <v>1.7069611685673101E+18</v>
      </c>
      <c r="AW396" s="96" t="str">
        <f>HYPERLINK("https://t.co/AOYGQxNEas")</f>
        <v>https://t.co/AOYGQxNEas</v>
      </c>
      <c r="AX396" s="86" t="b">
        <v>1</v>
      </c>
      <c r="AY396" s="86"/>
      <c r="AZ396" s="86"/>
      <c r="BA396" s="86" t="b">
        <v>1</v>
      </c>
      <c r="BB396" s="86" t="b">
        <v>1</v>
      </c>
      <c r="BC396" s="86" t="b">
        <v>1</v>
      </c>
      <c r="BD396" s="86" t="b">
        <v>0</v>
      </c>
      <c r="BE396" s="86" t="b">
        <v>0</v>
      </c>
      <c r="BF396" s="86" t="b">
        <v>0</v>
      </c>
      <c r="BG396" s="86" t="b">
        <v>0</v>
      </c>
      <c r="BH396" s="96" t="str">
        <f>HYPERLINK("https://pbs.twimg.com/profile_banners/1654513495507980290/1683304488")</f>
        <v>https://pbs.twimg.com/profile_banners/1654513495507980290/1683304488</v>
      </c>
      <c r="BI396" s="86"/>
      <c r="BJ396" s="86" t="s">
        <v>29134</v>
      </c>
      <c r="BK396" s="86" t="b">
        <v>0</v>
      </c>
      <c r="BL396" s="86"/>
      <c r="BM396" s="86" t="s">
        <v>65</v>
      </c>
      <c r="BN396" s="86" t="s">
        <v>29136</v>
      </c>
      <c r="BO396" s="96" t="str">
        <f>HYPERLINK("https://twitter.com/filicroval")</f>
        <v>https://twitter.com/filicroval</v>
      </c>
      <c r="BP396" s="2"/>
    </row>
    <row r="397" spans="1:68" x14ac:dyDescent="0.25">
      <c r="A397" s="63" t="s">
        <v>1660</v>
      </c>
      <c r="B397" s="64"/>
      <c r="C397" s="64"/>
      <c r="D397" s="65"/>
      <c r="E397" s="67"/>
      <c r="F397" s="111" t="str">
        <f>HYPERLINK("https://pbs.twimg.com/profile_images/1628683896404471811/PREZE1V4_normal.jpg")</f>
        <v>https://pbs.twimg.com/profile_images/1628683896404471811/PREZE1V4_normal.jpg</v>
      </c>
      <c r="G397" s="64"/>
      <c r="H397" s="68"/>
      <c r="I397" s="69"/>
      <c r="J397" s="69"/>
      <c r="K397" s="68" t="s">
        <v>29530</v>
      </c>
      <c r="L397" s="72"/>
      <c r="M397" s="73"/>
      <c r="N397" s="73"/>
      <c r="O397" s="74"/>
      <c r="P397" s="75"/>
      <c r="Q397" s="75"/>
      <c r="R397" s="102"/>
      <c r="S397" s="102"/>
      <c r="T397" s="102"/>
      <c r="U397" s="102"/>
      <c r="V397" s="48"/>
      <c r="W397" s="48"/>
      <c r="X397" s="48"/>
      <c r="Y397" s="48"/>
      <c r="Z397" s="47"/>
      <c r="AA397" s="70">
        <v>397</v>
      </c>
      <c r="AB397" s="70"/>
      <c r="AC397" s="71"/>
      <c r="AD397" s="86" t="s">
        <v>24028</v>
      </c>
      <c r="AE397" s="94" t="s">
        <v>22547</v>
      </c>
      <c r="AF397" s="86">
        <v>26468</v>
      </c>
      <c r="AG397" s="86">
        <v>246</v>
      </c>
      <c r="AH397" s="86">
        <v>4674</v>
      </c>
      <c r="AI397" s="86">
        <v>1102</v>
      </c>
      <c r="AJ397" s="86">
        <v>5767</v>
      </c>
      <c r="AK397" s="86">
        <v>962</v>
      </c>
      <c r="AL397" s="86" t="b">
        <v>0</v>
      </c>
      <c r="AM397" s="89">
        <v>44980.382708333331</v>
      </c>
      <c r="AN397" s="86" t="s">
        <v>26020</v>
      </c>
      <c r="AO397" s="86" t="s">
        <v>26783</v>
      </c>
      <c r="AP397" s="96" t="str">
        <f>HYPERLINK("https://t.co/6I3S3UOCTH")</f>
        <v>https://t.co/6I3S3UOCTH</v>
      </c>
      <c r="AQ397" s="96" t="str">
        <f>HYPERLINK("http://drinktherobotjuice.com")</f>
        <v>http://drinktherobotjuice.com</v>
      </c>
      <c r="AR397" s="86" t="s">
        <v>28170</v>
      </c>
      <c r="AS397" s="86"/>
      <c r="AT397" s="86"/>
      <c r="AU397" s="86"/>
      <c r="AV397" s="86">
        <v>1.6888893632901E+18</v>
      </c>
      <c r="AW397" s="96" t="str">
        <f>HYPERLINK("https://t.co/6I3S3UOCTH")</f>
        <v>https://t.co/6I3S3UOCTH</v>
      </c>
      <c r="AX397" s="86" t="b">
        <v>1</v>
      </c>
      <c r="AY397" s="86"/>
      <c r="AZ397" s="86"/>
      <c r="BA397" s="86" t="b">
        <v>1</v>
      </c>
      <c r="BB397" s="86" t="b">
        <v>1</v>
      </c>
      <c r="BC397" s="86" t="b">
        <v>1</v>
      </c>
      <c r="BD397" s="86" t="b">
        <v>0</v>
      </c>
      <c r="BE397" s="86" t="b">
        <v>0</v>
      </c>
      <c r="BF397" s="86" t="b">
        <v>0</v>
      </c>
      <c r="BG397" s="86" t="b">
        <v>0</v>
      </c>
      <c r="BH397" s="96" t="str">
        <f>HYPERLINK("https://pbs.twimg.com/profile_banners/1628683814993027072/1684915810")</f>
        <v>https://pbs.twimg.com/profile_banners/1628683814993027072/1684915810</v>
      </c>
      <c r="BI397" s="86"/>
      <c r="BJ397" s="86" t="s">
        <v>29134</v>
      </c>
      <c r="BK397" s="86" t="b">
        <v>0</v>
      </c>
      <c r="BL397" s="86"/>
      <c r="BM397" s="86" t="s">
        <v>65</v>
      </c>
      <c r="BN397" s="86" t="s">
        <v>29136</v>
      </c>
      <c r="BO397" s="96" t="str">
        <f>HYPERLINK("https://twitter.com/heyrobinai")</f>
        <v>https://twitter.com/heyrobinai</v>
      </c>
      <c r="BP397" s="2"/>
    </row>
    <row r="398" spans="1:68" x14ac:dyDescent="0.25">
      <c r="A398" s="63" t="s">
        <v>1661</v>
      </c>
      <c r="B398" s="64"/>
      <c r="C398" s="64"/>
      <c r="D398" s="65"/>
      <c r="E398" s="67"/>
      <c r="F398" s="111" t="str">
        <f>HYPERLINK("https://pbs.twimg.com/profile_images/1681632681505767424/k8bAa8Ly_normal.jpg")</f>
        <v>https://pbs.twimg.com/profile_images/1681632681505767424/k8bAa8Ly_normal.jpg</v>
      </c>
      <c r="G398" s="64"/>
      <c r="H398" s="68"/>
      <c r="I398" s="69"/>
      <c r="J398" s="69"/>
      <c r="K398" s="68" t="s">
        <v>29531</v>
      </c>
      <c r="L398" s="72"/>
      <c r="M398" s="73"/>
      <c r="N398" s="73"/>
      <c r="O398" s="74"/>
      <c r="P398" s="75"/>
      <c r="Q398" s="75"/>
      <c r="R398" s="102"/>
      <c r="S398" s="102"/>
      <c r="T398" s="102"/>
      <c r="U398" s="102"/>
      <c r="V398" s="48"/>
      <c r="W398" s="48"/>
      <c r="X398" s="48"/>
      <c r="Y398" s="48"/>
      <c r="Z398" s="47"/>
      <c r="AA398" s="70">
        <v>398</v>
      </c>
      <c r="AB398" s="70"/>
      <c r="AC398" s="71"/>
      <c r="AD398" s="86" t="s">
        <v>24029</v>
      </c>
      <c r="AE398" s="94" t="s">
        <v>22548</v>
      </c>
      <c r="AF398" s="86">
        <v>4040</v>
      </c>
      <c r="AG398" s="86">
        <v>227</v>
      </c>
      <c r="AH398" s="86">
        <v>9870</v>
      </c>
      <c r="AI398" s="86">
        <v>118</v>
      </c>
      <c r="AJ398" s="86">
        <v>16549</v>
      </c>
      <c r="AK398" s="86">
        <v>1122</v>
      </c>
      <c r="AL398" s="86" t="b">
        <v>0</v>
      </c>
      <c r="AM398" s="89">
        <v>45063.396793981483</v>
      </c>
      <c r="AN398" s="86" t="s">
        <v>26021</v>
      </c>
      <c r="AO398" s="86" t="s">
        <v>26784</v>
      </c>
      <c r="AP398" s="96" t="str">
        <f>HYPERLINK("https://t.co/87hkZJtdxX")</f>
        <v>https://t.co/87hkZJtdxX</v>
      </c>
      <c r="AQ398" s="96" t="str">
        <f>HYPERLINK("http://shorturl.at/FHWZ9")</f>
        <v>http://shorturl.at/FHWZ9</v>
      </c>
      <c r="AR398" s="86" t="s">
        <v>28171</v>
      </c>
      <c r="AS398" s="96" t="str">
        <f>HYPERLINK("https://t.co/7pu9pZRYC7")</f>
        <v>https://t.co/7pu9pZRYC7</v>
      </c>
      <c r="AT398" s="96" t="str">
        <f>HYPERLINK("http://northstarbrain.com")</f>
        <v>http://northstarbrain.com</v>
      </c>
      <c r="AU398" s="86" t="s">
        <v>29056</v>
      </c>
      <c r="AV398" s="86">
        <v>1.69771573640211E+18</v>
      </c>
      <c r="AW398" s="96" t="str">
        <f>HYPERLINK("https://t.co/87hkZJtdxX")</f>
        <v>https://t.co/87hkZJtdxX</v>
      </c>
      <c r="AX398" s="86" t="b">
        <v>1</v>
      </c>
      <c r="AY398" s="86"/>
      <c r="AZ398" s="86"/>
      <c r="BA398" s="86" t="b">
        <v>1</v>
      </c>
      <c r="BB398" s="86" t="b">
        <v>1</v>
      </c>
      <c r="BC398" s="86" t="b">
        <v>1</v>
      </c>
      <c r="BD398" s="86" t="b">
        <v>0</v>
      </c>
      <c r="BE398" s="86" t="b">
        <v>0</v>
      </c>
      <c r="BF398" s="86" t="b">
        <v>0</v>
      </c>
      <c r="BG398" s="86" t="b">
        <v>0</v>
      </c>
      <c r="BH398" s="96" t="str">
        <f>HYPERLINK("https://pbs.twimg.com/profile_banners/1658767079246364672/1695391635")</f>
        <v>https://pbs.twimg.com/profile_banners/1658767079246364672/1695391635</v>
      </c>
      <c r="BI398" s="86"/>
      <c r="BJ398" s="86" t="s">
        <v>29134</v>
      </c>
      <c r="BK398" s="86" t="b">
        <v>0</v>
      </c>
      <c r="BL398" s="86"/>
      <c r="BM398" s="86" t="s">
        <v>65</v>
      </c>
      <c r="BN398" s="86" t="s">
        <v>29136</v>
      </c>
      <c r="BO398" s="96" t="str">
        <f>HYPERLINK("https://twitter.com/northstarbrain")</f>
        <v>https://twitter.com/northstarbrain</v>
      </c>
      <c r="BP398" s="2"/>
    </row>
    <row r="399" spans="1:68" x14ac:dyDescent="0.25">
      <c r="A399" s="63" t="s">
        <v>569</v>
      </c>
      <c r="B399" s="64"/>
      <c r="C399" s="64"/>
      <c r="D399" s="65"/>
      <c r="E399" s="67"/>
      <c r="F399" s="111" t="str">
        <f>HYPERLINK("https://pbs.twimg.com/profile_images/1524490174071246849/Ts-pJmFi_normal.jpg")</f>
        <v>https://pbs.twimg.com/profile_images/1524490174071246849/Ts-pJmFi_normal.jpg</v>
      </c>
      <c r="G399" s="64"/>
      <c r="H399" s="68"/>
      <c r="I399" s="69"/>
      <c r="J399" s="69"/>
      <c r="K399" s="68" t="s">
        <v>29532</v>
      </c>
      <c r="L399" s="72"/>
      <c r="M399" s="73"/>
      <c r="N399" s="73"/>
      <c r="O399" s="74"/>
      <c r="P399" s="75"/>
      <c r="Q399" s="75"/>
      <c r="R399" s="102"/>
      <c r="S399" s="102"/>
      <c r="T399" s="102"/>
      <c r="U399" s="102"/>
      <c r="V399" s="48"/>
      <c r="W399" s="48"/>
      <c r="X399" s="48"/>
      <c r="Y399" s="48"/>
      <c r="Z399" s="47"/>
      <c r="AA399" s="70">
        <v>399</v>
      </c>
      <c r="AB399" s="70"/>
      <c r="AC399" s="71"/>
      <c r="AD399" s="86" t="s">
        <v>11479</v>
      </c>
      <c r="AE399" s="94" t="s">
        <v>25379</v>
      </c>
      <c r="AF399" s="86">
        <v>442480</v>
      </c>
      <c r="AG399" s="86">
        <v>844</v>
      </c>
      <c r="AH399" s="86">
        <v>163854</v>
      </c>
      <c r="AI399" s="86">
        <v>473</v>
      </c>
      <c r="AJ399" s="86">
        <v>910</v>
      </c>
      <c r="AK399" s="86">
        <v>23848</v>
      </c>
      <c r="AL399" s="86" t="b">
        <v>0</v>
      </c>
      <c r="AM399" s="89">
        <v>39674.575462962966</v>
      </c>
      <c r="AN399" s="86" t="s">
        <v>25992</v>
      </c>
      <c r="AO399" s="86" t="s">
        <v>26785</v>
      </c>
      <c r="AP399" s="96" t="str">
        <f>HYPERLINK("https://t.co/ndQS7kDEh8")</f>
        <v>https://t.co/ndQS7kDEh8</v>
      </c>
      <c r="AQ399" s="96" t="str">
        <f>HYPERLINK("http://www.ibahia.com")</f>
        <v>http://www.ibahia.com</v>
      </c>
      <c r="AR399" s="86" t="s">
        <v>28172</v>
      </c>
      <c r="AS399" s="86"/>
      <c r="AT399" s="86"/>
      <c r="AU399" s="86"/>
      <c r="AV399" s="86">
        <v>1.70495416153869E+18</v>
      </c>
      <c r="AW399" s="96" t="str">
        <f>HYPERLINK("https://t.co/ndQS7kDEh8")</f>
        <v>https://t.co/ndQS7kDEh8</v>
      </c>
      <c r="AX399" s="86" t="b">
        <v>0</v>
      </c>
      <c r="AY399" s="86"/>
      <c r="AZ399" s="86"/>
      <c r="BA399" s="86" t="b">
        <v>0</v>
      </c>
      <c r="BB399" s="86" t="b">
        <v>1</v>
      </c>
      <c r="BC399" s="86" t="b">
        <v>0</v>
      </c>
      <c r="BD399" s="86" t="b">
        <v>0</v>
      </c>
      <c r="BE399" s="86" t="b">
        <v>1</v>
      </c>
      <c r="BF399" s="86" t="b">
        <v>0</v>
      </c>
      <c r="BG399" s="86" t="b">
        <v>0</v>
      </c>
      <c r="BH399" s="96" t="str">
        <f>HYPERLINK("https://pbs.twimg.com/profile_banners/15850306/1683074505")</f>
        <v>https://pbs.twimg.com/profile_banners/15850306/1683074505</v>
      </c>
      <c r="BI399" s="86"/>
      <c r="BJ399" s="86" t="s">
        <v>29134</v>
      </c>
      <c r="BK399" s="86" t="b">
        <v>0</v>
      </c>
      <c r="BL399" s="86"/>
      <c r="BM399" s="86" t="s">
        <v>66</v>
      </c>
      <c r="BN399" s="86" t="s">
        <v>29136</v>
      </c>
      <c r="BO399" s="96" t="str">
        <f>HYPERLINK("https://twitter.com/ibahia")</f>
        <v>https://twitter.com/ibahia</v>
      </c>
      <c r="BP399" s="2"/>
    </row>
    <row r="400" spans="1:68" x14ac:dyDescent="0.25">
      <c r="A400" s="63" t="s">
        <v>570</v>
      </c>
      <c r="B400" s="64"/>
      <c r="C400" s="64"/>
      <c r="D400" s="65"/>
      <c r="E400" s="67"/>
      <c r="F400" s="111" t="str">
        <f>HYPERLINK("https://pbs.twimg.com/profile_images/1658190843730092057/syQCdqeH_normal.jpg")</f>
        <v>https://pbs.twimg.com/profile_images/1658190843730092057/syQCdqeH_normal.jpg</v>
      </c>
      <c r="G400" s="64"/>
      <c r="H400" s="68"/>
      <c r="I400" s="69"/>
      <c r="J400" s="69"/>
      <c r="K400" s="68" t="s">
        <v>29533</v>
      </c>
      <c r="L400" s="72"/>
      <c r="M400" s="73"/>
      <c r="N400" s="73"/>
      <c r="O400" s="74"/>
      <c r="P400" s="75"/>
      <c r="Q400" s="75"/>
      <c r="R400" s="102"/>
      <c r="S400" s="102"/>
      <c r="T400" s="102"/>
      <c r="U400" s="102"/>
      <c r="V400" s="48"/>
      <c r="W400" s="48"/>
      <c r="X400" s="48"/>
      <c r="Y400" s="48"/>
      <c r="Z400" s="47"/>
      <c r="AA400" s="70">
        <v>400</v>
      </c>
      <c r="AB400" s="70"/>
      <c r="AC400" s="71"/>
      <c r="AD400" s="86" t="s">
        <v>24030</v>
      </c>
      <c r="AE400" s="94" t="s">
        <v>25380</v>
      </c>
      <c r="AF400" s="86">
        <v>33</v>
      </c>
      <c r="AG400" s="86">
        <v>112</v>
      </c>
      <c r="AH400" s="86">
        <v>244</v>
      </c>
      <c r="AI400" s="86">
        <v>0</v>
      </c>
      <c r="AJ400" s="86">
        <v>16</v>
      </c>
      <c r="AK400" s="86">
        <v>47</v>
      </c>
      <c r="AL400" s="86" t="b">
        <v>0</v>
      </c>
      <c r="AM400" s="89">
        <v>40836.586851851855</v>
      </c>
      <c r="AN400" s="86" t="s">
        <v>15234</v>
      </c>
      <c r="AO400" s="86" t="s">
        <v>26786</v>
      </c>
      <c r="AP400" s="86"/>
      <c r="AQ400" s="86"/>
      <c r="AR400" s="86"/>
      <c r="AS400" s="86"/>
      <c r="AT400" s="86"/>
      <c r="AU400" s="86"/>
      <c r="AV400" s="86"/>
      <c r="AW400" s="86"/>
      <c r="AX400" s="86" t="b">
        <v>0</v>
      </c>
      <c r="AY400" s="86"/>
      <c r="AZ400" s="86"/>
      <c r="BA400" s="86" t="b">
        <v>0</v>
      </c>
      <c r="BB400" s="86" t="b">
        <v>1</v>
      </c>
      <c r="BC400" s="86" t="b">
        <v>0</v>
      </c>
      <c r="BD400" s="86" t="b">
        <v>0</v>
      </c>
      <c r="BE400" s="86" t="b">
        <v>0</v>
      </c>
      <c r="BF400" s="86" t="b">
        <v>0</v>
      </c>
      <c r="BG400" s="86" t="b">
        <v>0</v>
      </c>
      <c r="BH400" s="96" t="str">
        <f>HYPERLINK("https://pbs.twimg.com/profile_banners/394703500/1684178480")</f>
        <v>https://pbs.twimg.com/profile_banners/394703500/1684178480</v>
      </c>
      <c r="BI400" s="86"/>
      <c r="BJ400" s="86" t="s">
        <v>29134</v>
      </c>
      <c r="BK400" s="86" t="b">
        <v>0</v>
      </c>
      <c r="BL400" s="86"/>
      <c r="BM400" s="86" t="s">
        <v>66</v>
      </c>
      <c r="BN400" s="86" t="s">
        <v>29136</v>
      </c>
      <c r="BO400" s="96" t="str">
        <f>HYPERLINK("https://twitter.com/aryyandrade")</f>
        <v>https://twitter.com/aryyandrade</v>
      </c>
      <c r="BP400" s="2"/>
    </row>
    <row r="401" spans="1:68" x14ac:dyDescent="0.25">
      <c r="A401" s="63" t="s">
        <v>571</v>
      </c>
      <c r="B401" s="64"/>
      <c r="C401" s="64"/>
      <c r="D401" s="65"/>
      <c r="E401" s="67"/>
      <c r="F401" s="111" t="str">
        <f>HYPERLINK("https://pbs.twimg.com/profile_images/1678564785661542402/psvvV4wJ_normal.jpg")</f>
        <v>https://pbs.twimg.com/profile_images/1678564785661542402/psvvV4wJ_normal.jpg</v>
      </c>
      <c r="G401" s="64"/>
      <c r="H401" s="68"/>
      <c r="I401" s="69"/>
      <c r="J401" s="69"/>
      <c r="K401" s="68" t="s">
        <v>29534</v>
      </c>
      <c r="L401" s="72"/>
      <c r="M401" s="73"/>
      <c r="N401" s="73"/>
      <c r="O401" s="74"/>
      <c r="P401" s="75"/>
      <c r="Q401" s="75"/>
      <c r="R401" s="102"/>
      <c r="S401" s="102"/>
      <c r="T401" s="102"/>
      <c r="U401" s="102"/>
      <c r="V401" s="48"/>
      <c r="W401" s="48"/>
      <c r="X401" s="48"/>
      <c r="Y401" s="48"/>
      <c r="Z401" s="47"/>
      <c r="AA401" s="70">
        <v>401</v>
      </c>
      <c r="AB401" s="70"/>
      <c r="AC401" s="71"/>
      <c r="AD401" s="86" t="s">
        <v>24031</v>
      </c>
      <c r="AE401" s="94" t="s">
        <v>22989</v>
      </c>
      <c r="AF401" s="86">
        <v>0</v>
      </c>
      <c r="AG401" s="86">
        <v>1</v>
      </c>
      <c r="AH401" s="86">
        <v>13</v>
      </c>
      <c r="AI401" s="86">
        <v>0</v>
      </c>
      <c r="AJ401" s="86">
        <v>0</v>
      </c>
      <c r="AK401" s="86">
        <v>12</v>
      </c>
      <c r="AL401" s="86" t="b">
        <v>0</v>
      </c>
      <c r="AM401" s="89">
        <v>45118.027569444443</v>
      </c>
      <c r="AN401" s="86" t="s">
        <v>15378</v>
      </c>
      <c r="AO401" s="86" t="s">
        <v>26787</v>
      </c>
      <c r="AP401" s="96" t="str">
        <f>HYPERLINK("https://t.co/JvcDve4iD4")</f>
        <v>https://t.co/JvcDve4iD4</v>
      </c>
      <c r="AQ401" s="96" t="str">
        <f>HYPERLINK("https://brasiltrabalhador.com.br")</f>
        <v>https://brasiltrabalhador.com.br</v>
      </c>
      <c r="AR401" s="86" t="s">
        <v>28173</v>
      </c>
      <c r="AS401" s="86"/>
      <c r="AT401" s="86"/>
      <c r="AU401" s="86"/>
      <c r="AV401" s="86"/>
      <c r="AW401" s="96" t="str">
        <f>HYPERLINK("https://t.co/JvcDve4iD4")</f>
        <v>https://t.co/JvcDve4iD4</v>
      </c>
      <c r="AX401" s="86" t="b">
        <v>0</v>
      </c>
      <c r="AY401" s="86"/>
      <c r="AZ401" s="86"/>
      <c r="BA401" s="86" t="b">
        <v>0</v>
      </c>
      <c r="BB401" s="86" t="b">
        <v>1</v>
      </c>
      <c r="BC401" s="86" t="b">
        <v>1</v>
      </c>
      <c r="BD401" s="86" t="b">
        <v>0</v>
      </c>
      <c r="BE401" s="86" t="b">
        <v>0</v>
      </c>
      <c r="BF401" s="86" t="b">
        <v>0</v>
      </c>
      <c r="BG401" s="86" t="b">
        <v>0</v>
      </c>
      <c r="BH401" s="96" t="str">
        <f>HYPERLINK("https://pbs.twimg.com/profile_banners/1678564653922672640/1689036431")</f>
        <v>https://pbs.twimg.com/profile_banners/1678564653922672640/1689036431</v>
      </c>
      <c r="BI401" s="86"/>
      <c r="BJ401" s="86" t="s">
        <v>29134</v>
      </c>
      <c r="BK401" s="86" t="b">
        <v>0</v>
      </c>
      <c r="BL401" s="86"/>
      <c r="BM401" s="86" t="s">
        <v>66</v>
      </c>
      <c r="BN401" s="86" t="s">
        <v>29136</v>
      </c>
      <c r="BO401" s="96" t="str">
        <f>HYPERLINK("https://twitter.com/brltrabalhador")</f>
        <v>https://twitter.com/brltrabalhador</v>
      </c>
      <c r="BP401" s="2"/>
    </row>
    <row r="402" spans="1:68" x14ac:dyDescent="0.25">
      <c r="A402" s="63" t="s">
        <v>572</v>
      </c>
      <c r="B402" s="64"/>
      <c r="C402" s="64"/>
      <c r="D402" s="65"/>
      <c r="E402" s="67"/>
      <c r="F402" s="111" t="str">
        <f>HYPERLINK("https://pbs.twimg.com/profile_images/1607805036033200129/EK6T3J1p_normal.png")</f>
        <v>https://pbs.twimg.com/profile_images/1607805036033200129/EK6T3J1p_normal.png</v>
      </c>
      <c r="G402" s="64"/>
      <c r="H402" s="68"/>
      <c r="I402" s="69"/>
      <c r="J402" s="69"/>
      <c r="K402" s="68" t="s">
        <v>29535</v>
      </c>
      <c r="L402" s="72"/>
      <c r="M402" s="73"/>
      <c r="N402" s="73"/>
      <c r="O402" s="74"/>
      <c r="P402" s="75"/>
      <c r="Q402" s="75"/>
      <c r="R402" s="102"/>
      <c r="S402" s="102"/>
      <c r="T402" s="102"/>
      <c r="U402" s="102"/>
      <c r="V402" s="48"/>
      <c r="W402" s="48"/>
      <c r="X402" s="48"/>
      <c r="Y402" s="48"/>
      <c r="Z402" s="47"/>
      <c r="AA402" s="70">
        <v>402</v>
      </c>
      <c r="AB402" s="70"/>
      <c r="AC402" s="71"/>
      <c r="AD402" s="86" t="s">
        <v>24032</v>
      </c>
      <c r="AE402" s="94" t="s">
        <v>22990</v>
      </c>
      <c r="AF402" s="86">
        <v>18</v>
      </c>
      <c r="AG402" s="86">
        <v>9</v>
      </c>
      <c r="AH402" s="86">
        <v>126</v>
      </c>
      <c r="AI402" s="86">
        <v>1</v>
      </c>
      <c r="AJ402" s="86">
        <v>8</v>
      </c>
      <c r="AK402" s="86">
        <v>83</v>
      </c>
      <c r="AL402" s="86" t="b">
        <v>0</v>
      </c>
      <c r="AM402" s="89">
        <v>44886.632719907408</v>
      </c>
      <c r="AN402" s="86" t="s">
        <v>15234</v>
      </c>
      <c r="AO402" s="86" t="s">
        <v>26788</v>
      </c>
      <c r="AP402" s="96" t="str">
        <f>HYPERLINK("https://t.co/G6LT0pkpFv")</f>
        <v>https://t.co/G6LT0pkpFv</v>
      </c>
      <c r="AQ402" s="96" t="str">
        <f>HYPERLINK("https://malga.io/")</f>
        <v>https://malga.io/</v>
      </c>
      <c r="AR402" s="86" t="s">
        <v>28174</v>
      </c>
      <c r="AS402" s="86"/>
      <c r="AT402" s="86"/>
      <c r="AU402" s="86"/>
      <c r="AV402" s="86"/>
      <c r="AW402" s="96" t="str">
        <f>HYPERLINK("https://t.co/G6LT0pkpFv")</f>
        <v>https://t.co/G6LT0pkpFv</v>
      </c>
      <c r="AX402" s="86" t="b">
        <v>0</v>
      </c>
      <c r="AY402" s="86"/>
      <c r="AZ402" s="86"/>
      <c r="BA402" s="86" t="b">
        <v>0</v>
      </c>
      <c r="BB402" s="86" t="b">
        <v>1</v>
      </c>
      <c r="BC402" s="86" t="b">
        <v>1</v>
      </c>
      <c r="BD402" s="86" t="b">
        <v>0</v>
      </c>
      <c r="BE402" s="86" t="b">
        <v>0</v>
      </c>
      <c r="BF402" s="86" t="b">
        <v>0</v>
      </c>
      <c r="BG402" s="86" t="b">
        <v>0</v>
      </c>
      <c r="BH402" s="96" t="str">
        <f>HYPERLINK("https://pbs.twimg.com/profile_banners/1594709931923542019/1676309587")</f>
        <v>https://pbs.twimg.com/profile_banners/1594709931923542019/1676309587</v>
      </c>
      <c r="BI402" s="86"/>
      <c r="BJ402" s="86" t="s">
        <v>29134</v>
      </c>
      <c r="BK402" s="86" t="b">
        <v>0</v>
      </c>
      <c r="BL402" s="86"/>
      <c r="BM402" s="86" t="s">
        <v>66</v>
      </c>
      <c r="BN402" s="86" t="s">
        <v>29136</v>
      </c>
      <c r="BO402" s="96" t="str">
        <f>HYPERLINK("https://twitter.com/gomalga")</f>
        <v>https://twitter.com/gomalga</v>
      </c>
      <c r="BP402" s="2"/>
    </row>
    <row r="403" spans="1:68" x14ac:dyDescent="0.25">
      <c r="A403" s="63" t="s">
        <v>573</v>
      </c>
      <c r="B403" s="64"/>
      <c r="C403" s="64"/>
      <c r="D403" s="65"/>
      <c r="E403" s="67"/>
      <c r="F403" s="111" t="str">
        <f>HYPERLINK("https://pbs.twimg.com/profile_images/1341560354753679361/Xur1GmTj_normal.jpg")</f>
        <v>https://pbs.twimg.com/profile_images/1341560354753679361/Xur1GmTj_normal.jpg</v>
      </c>
      <c r="G403" s="64"/>
      <c r="H403" s="68"/>
      <c r="I403" s="69"/>
      <c r="J403" s="69"/>
      <c r="K403" s="68" t="s">
        <v>29536</v>
      </c>
      <c r="L403" s="72"/>
      <c r="M403" s="73"/>
      <c r="N403" s="73"/>
      <c r="O403" s="74"/>
      <c r="P403" s="75"/>
      <c r="Q403" s="75"/>
      <c r="R403" s="102"/>
      <c r="S403" s="102"/>
      <c r="T403" s="102"/>
      <c r="U403" s="102"/>
      <c r="V403" s="48"/>
      <c r="W403" s="48"/>
      <c r="X403" s="48"/>
      <c r="Y403" s="48"/>
      <c r="Z403" s="47"/>
      <c r="AA403" s="70">
        <v>403</v>
      </c>
      <c r="AB403" s="70"/>
      <c r="AC403" s="71"/>
      <c r="AD403" s="86" t="s">
        <v>24033</v>
      </c>
      <c r="AE403" s="94" t="s">
        <v>25381</v>
      </c>
      <c r="AF403" s="86">
        <v>200</v>
      </c>
      <c r="AG403" s="86">
        <v>189</v>
      </c>
      <c r="AH403" s="86">
        <v>1264</v>
      </c>
      <c r="AI403" s="86">
        <v>2</v>
      </c>
      <c r="AJ403" s="86">
        <v>25</v>
      </c>
      <c r="AK403" s="86">
        <v>79</v>
      </c>
      <c r="AL403" s="86" t="b">
        <v>0</v>
      </c>
      <c r="AM403" s="89">
        <v>39982.660196759258</v>
      </c>
      <c r="AN403" s="86" t="s">
        <v>26022</v>
      </c>
      <c r="AO403" s="86" t="s">
        <v>26789</v>
      </c>
      <c r="AP403" s="96" t="str">
        <f>HYPERLINK("https://t.co/hARDtJolvo")</f>
        <v>https://t.co/hARDtJolvo</v>
      </c>
      <c r="AQ403" s="96" t="str">
        <f>HYPERLINK("http://www.poggiconsultoria.com.br")</f>
        <v>http://www.poggiconsultoria.com.br</v>
      </c>
      <c r="AR403" s="86" t="s">
        <v>28175</v>
      </c>
      <c r="AS403" s="86"/>
      <c r="AT403" s="86"/>
      <c r="AU403" s="86"/>
      <c r="AV403" s="86">
        <v>1.6780444268101399E+18</v>
      </c>
      <c r="AW403" s="96" t="str">
        <f>HYPERLINK("https://t.co/hARDtJolvo")</f>
        <v>https://t.co/hARDtJolvo</v>
      </c>
      <c r="AX403" s="86" t="b">
        <v>0</v>
      </c>
      <c r="AY403" s="86"/>
      <c r="AZ403" s="86"/>
      <c r="BA403" s="86" t="b">
        <v>1</v>
      </c>
      <c r="BB403" s="86" t="b">
        <v>1</v>
      </c>
      <c r="BC403" s="86" t="b">
        <v>0</v>
      </c>
      <c r="BD403" s="86" t="b">
        <v>0</v>
      </c>
      <c r="BE403" s="86" t="b">
        <v>1</v>
      </c>
      <c r="BF403" s="86" t="b">
        <v>0</v>
      </c>
      <c r="BG403" s="86" t="b">
        <v>0</v>
      </c>
      <c r="BH403" s="96" t="str">
        <f>HYPERLINK("https://pbs.twimg.com/profile_banners/48390416/1608687889")</f>
        <v>https://pbs.twimg.com/profile_banners/48390416/1608687889</v>
      </c>
      <c r="BI403" s="86"/>
      <c r="BJ403" s="86" t="s">
        <v>29134</v>
      </c>
      <c r="BK403" s="86" t="b">
        <v>0</v>
      </c>
      <c r="BL403" s="86"/>
      <c r="BM403" s="86" t="s">
        <v>66</v>
      </c>
      <c r="BN403" s="86" t="s">
        <v>29136</v>
      </c>
      <c r="BO403" s="96" t="str">
        <f>HYPERLINK("https://twitter.com/arnaldopoggi")</f>
        <v>https://twitter.com/arnaldopoggi</v>
      </c>
      <c r="BP403" s="2"/>
    </row>
    <row r="404" spans="1:68" x14ac:dyDescent="0.25">
      <c r="A404" s="63" t="s">
        <v>574</v>
      </c>
      <c r="B404" s="64"/>
      <c r="C404" s="64"/>
      <c r="D404" s="65"/>
      <c r="E404" s="67"/>
      <c r="F404" s="111" t="str">
        <f>HYPERLINK("https://pbs.twimg.com/profile_images/1068160900438376448/duN3uBBj_normal.jpg")</f>
        <v>https://pbs.twimg.com/profile_images/1068160900438376448/duN3uBBj_normal.jpg</v>
      </c>
      <c r="G404" s="64"/>
      <c r="H404" s="68"/>
      <c r="I404" s="69"/>
      <c r="J404" s="69"/>
      <c r="K404" s="68" t="s">
        <v>29537</v>
      </c>
      <c r="L404" s="72"/>
      <c r="M404" s="73"/>
      <c r="N404" s="73"/>
      <c r="O404" s="74"/>
      <c r="P404" s="75"/>
      <c r="Q404" s="75"/>
      <c r="R404" s="102"/>
      <c r="S404" s="102"/>
      <c r="T404" s="102"/>
      <c r="U404" s="102"/>
      <c r="V404" s="48"/>
      <c r="W404" s="48"/>
      <c r="X404" s="48"/>
      <c r="Y404" s="48"/>
      <c r="Z404" s="47"/>
      <c r="AA404" s="70">
        <v>404</v>
      </c>
      <c r="AB404" s="70"/>
      <c r="AC404" s="71"/>
      <c r="AD404" s="86" t="s">
        <v>24034</v>
      </c>
      <c r="AE404" s="94" t="s">
        <v>25382</v>
      </c>
      <c r="AF404" s="86">
        <v>2208</v>
      </c>
      <c r="AG404" s="86">
        <v>254</v>
      </c>
      <c r="AH404" s="86">
        <v>20882</v>
      </c>
      <c r="AI404" s="86">
        <v>15</v>
      </c>
      <c r="AJ404" s="86">
        <v>10067</v>
      </c>
      <c r="AK404" s="86">
        <v>1542</v>
      </c>
      <c r="AL404" s="86" t="b">
        <v>0</v>
      </c>
      <c r="AM404" s="89">
        <v>40600.21947916667</v>
      </c>
      <c r="AN404" s="86" t="s">
        <v>26023</v>
      </c>
      <c r="AO404" s="86" t="s">
        <v>26790</v>
      </c>
      <c r="AP404" s="96" t="str">
        <f>HYPERLINK("https://t.co/sQyFQxM92q")</f>
        <v>https://t.co/sQyFQxM92q</v>
      </c>
      <c r="AQ404" s="96" t="str">
        <f>HYPERLINK("https://www.queijodalagoa.com.br/")</f>
        <v>https://www.queijodalagoa.com.br/</v>
      </c>
      <c r="AR404" s="86" t="s">
        <v>28176</v>
      </c>
      <c r="AS404" s="96" t="str">
        <f>HYPERLINK("https://t.co/XMAeG8OEDX")</f>
        <v>https://t.co/XMAeG8OEDX</v>
      </c>
      <c r="AT404" s="96" t="str">
        <f>HYPERLINK("http://instagram.com/queijodalagoamg")</f>
        <v>http://instagram.com/queijodalagoamg</v>
      </c>
      <c r="AU404" s="86" t="s">
        <v>29057</v>
      </c>
      <c r="AV404" s="86">
        <v>1.6546126286295099E+18</v>
      </c>
      <c r="AW404" s="96" t="str">
        <f>HYPERLINK("https://t.co/sQyFQxM92q")</f>
        <v>https://t.co/sQyFQxM92q</v>
      </c>
      <c r="AX404" s="86" t="b">
        <v>1</v>
      </c>
      <c r="AY404" s="86"/>
      <c r="AZ404" s="86"/>
      <c r="BA404" s="86" t="b">
        <v>0</v>
      </c>
      <c r="BB404" s="86" t="b">
        <v>1</v>
      </c>
      <c r="BC404" s="86" t="b">
        <v>0</v>
      </c>
      <c r="BD404" s="86" t="b">
        <v>0</v>
      </c>
      <c r="BE404" s="86" t="b">
        <v>0</v>
      </c>
      <c r="BF404" s="86" t="b">
        <v>0</v>
      </c>
      <c r="BG404" s="86" t="b">
        <v>0</v>
      </c>
      <c r="BH404" s="96" t="str">
        <f>HYPERLINK("https://pbs.twimg.com/profile_banners/257796376/1579719165")</f>
        <v>https://pbs.twimg.com/profile_banners/257796376/1579719165</v>
      </c>
      <c r="BI404" s="86"/>
      <c r="BJ404" s="86" t="s">
        <v>29134</v>
      </c>
      <c r="BK404" s="86" t="b">
        <v>0</v>
      </c>
      <c r="BL404" s="86"/>
      <c r="BM404" s="86" t="s">
        <v>66</v>
      </c>
      <c r="BN404" s="86" t="s">
        <v>29136</v>
      </c>
      <c r="BO404" s="96" t="str">
        <f>HYPERLINK("https://twitter.com/queijodalagoamg")</f>
        <v>https://twitter.com/queijodalagoamg</v>
      </c>
      <c r="BP404" s="2"/>
    </row>
    <row r="405" spans="1:68" x14ac:dyDescent="0.25">
      <c r="A405" s="63" t="s">
        <v>1662</v>
      </c>
      <c r="B405" s="64"/>
      <c r="C405" s="64"/>
      <c r="D405" s="65"/>
      <c r="E405" s="67"/>
      <c r="F405" s="111" t="str">
        <f>HYPERLINK("https://pbs.twimg.com/profile_images/1699487262558339072/x5b9OPoq_normal.jpg")</f>
        <v>https://pbs.twimg.com/profile_images/1699487262558339072/x5b9OPoq_normal.jpg</v>
      </c>
      <c r="G405" s="64"/>
      <c r="H405" s="68"/>
      <c r="I405" s="69"/>
      <c r="J405" s="69"/>
      <c r="K405" s="68" t="s">
        <v>29538</v>
      </c>
      <c r="L405" s="72"/>
      <c r="M405" s="73"/>
      <c r="N405" s="73"/>
      <c r="O405" s="74"/>
      <c r="P405" s="75"/>
      <c r="Q405" s="75"/>
      <c r="R405" s="102"/>
      <c r="S405" s="102"/>
      <c r="T405" s="102"/>
      <c r="U405" s="102"/>
      <c r="V405" s="48"/>
      <c r="W405" s="48"/>
      <c r="X405" s="48"/>
      <c r="Y405" s="48"/>
      <c r="Z405" s="47"/>
      <c r="AA405" s="70">
        <v>405</v>
      </c>
      <c r="AB405" s="70"/>
      <c r="AC405" s="71"/>
      <c r="AD405" s="86" t="s">
        <v>24035</v>
      </c>
      <c r="AE405" s="94" t="s">
        <v>25383</v>
      </c>
      <c r="AF405" s="86">
        <v>2420</v>
      </c>
      <c r="AG405" s="86">
        <v>28</v>
      </c>
      <c r="AH405" s="86">
        <v>63690</v>
      </c>
      <c r="AI405" s="86">
        <v>26</v>
      </c>
      <c r="AJ405" s="86">
        <v>39</v>
      </c>
      <c r="AK405" s="86">
        <v>1446</v>
      </c>
      <c r="AL405" s="86" t="b">
        <v>0</v>
      </c>
      <c r="AM405" s="89">
        <v>40623.783194444448</v>
      </c>
      <c r="AN405" s="86" t="s">
        <v>25925</v>
      </c>
      <c r="AO405" s="86" t="s">
        <v>26791</v>
      </c>
      <c r="AP405" s="96" t="str">
        <f>HYPERLINK("https://t.co/unbQIQSQ2l")</f>
        <v>https://t.co/unbQIQSQ2l</v>
      </c>
      <c r="AQ405" s="96" t="str">
        <f>HYPERLINK("http://facebook.com/tumatecru")</f>
        <v>http://facebook.com/tumatecru</v>
      </c>
      <c r="AR405" s="86" t="s">
        <v>28177</v>
      </c>
      <c r="AS405" s="96" t="str">
        <f>HYPERLINK("https://t.co/WznXerdmEX")</f>
        <v>https://t.co/WznXerdmEX</v>
      </c>
      <c r="AT405" s="96" t="str">
        <f>HYPERLINK("http://linkr.com/9k0n0")</f>
        <v>http://linkr.com/9k0n0</v>
      </c>
      <c r="AU405" s="86" t="s">
        <v>29058</v>
      </c>
      <c r="AV405" s="86">
        <v>1.6082340497469199E+18</v>
      </c>
      <c r="AW405" s="96" t="str">
        <f>HYPERLINK("https://t.co/unbQIQSQ2l")</f>
        <v>https://t.co/unbQIQSQ2l</v>
      </c>
      <c r="AX405" s="86" t="b">
        <v>0</v>
      </c>
      <c r="AY405" s="86"/>
      <c r="AZ405" s="86"/>
      <c r="BA405" s="86" t="b">
        <v>0</v>
      </c>
      <c r="BB405" s="86" t="b">
        <v>1</v>
      </c>
      <c r="BC405" s="86" t="b">
        <v>0</v>
      </c>
      <c r="BD405" s="86" t="b">
        <v>0</v>
      </c>
      <c r="BE405" s="86" t="b">
        <v>0</v>
      </c>
      <c r="BF405" s="86" t="b">
        <v>0</v>
      </c>
      <c r="BG405" s="86" t="b">
        <v>0</v>
      </c>
      <c r="BH405" s="96" t="str">
        <f>HYPERLINK("https://pbs.twimg.com/profile_banners/269942682/1670257903")</f>
        <v>https://pbs.twimg.com/profile_banners/269942682/1670257903</v>
      </c>
      <c r="BI405" s="86"/>
      <c r="BJ405" s="86" t="s">
        <v>29134</v>
      </c>
      <c r="BK405" s="86" t="b">
        <v>0</v>
      </c>
      <c r="BL405" s="86"/>
      <c r="BM405" s="86" t="s">
        <v>65</v>
      </c>
      <c r="BN405" s="86" t="s">
        <v>29136</v>
      </c>
      <c r="BO405" s="96" t="str">
        <f>HYPERLINK("https://twitter.com/pauloaraujotwt")</f>
        <v>https://twitter.com/pauloaraujotwt</v>
      </c>
      <c r="BP405" s="2"/>
    </row>
    <row r="406" spans="1:68" x14ac:dyDescent="0.25">
      <c r="A406" s="63" t="s">
        <v>1663</v>
      </c>
      <c r="B406" s="64"/>
      <c r="C406" s="64"/>
      <c r="D406" s="65"/>
      <c r="E406" s="67"/>
      <c r="F406" s="111" t="str">
        <f>HYPERLINK("https://pbs.twimg.com/profile_images/1603364758194987008/t-xZAW3j_normal.jpg")</f>
        <v>https://pbs.twimg.com/profile_images/1603364758194987008/t-xZAW3j_normal.jpg</v>
      </c>
      <c r="G406" s="64"/>
      <c r="H406" s="68"/>
      <c r="I406" s="69"/>
      <c r="J406" s="69"/>
      <c r="K406" s="68" t="s">
        <v>29539</v>
      </c>
      <c r="L406" s="72"/>
      <c r="M406" s="73"/>
      <c r="N406" s="73"/>
      <c r="O406" s="74"/>
      <c r="P406" s="75"/>
      <c r="Q406" s="75"/>
      <c r="R406" s="102"/>
      <c r="S406" s="102"/>
      <c r="T406" s="102"/>
      <c r="U406" s="102"/>
      <c r="V406" s="48"/>
      <c r="W406" s="48"/>
      <c r="X406" s="48"/>
      <c r="Y406" s="48"/>
      <c r="Z406" s="47"/>
      <c r="AA406" s="70">
        <v>406</v>
      </c>
      <c r="AB406" s="70"/>
      <c r="AC406" s="71"/>
      <c r="AD406" s="86" t="s">
        <v>24036</v>
      </c>
      <c r="AE406" s="94" t="s">
        <v>25384</v>
      </c>
      <c r="AF406" s="86">
        <v>542882</v>
      </c>
      <c r="AG406" s="86">
        <v>150</v>
      </c>
      <c r="AH406" s="86">
        <v>3867</v>
      </c>
      <c r="AI406" s="86">
        <v>707</v>
      </c>
      <c r="AJ406" s="86">
        <v>1749</v>
      </c>
      <c r="AK406" s="86">
        <v>1305</v>
      </c>
      <c r="AL406" s="86" t="b">
        <v>0</v>
      </c>
      <c r="AM406" s="89">
        <v>43302.9375462963</v>
      </c>
      <c r="AN406" s="86" t="s">
        <v>15242</v>
      </c>
      <c r="AO406" s="86" t="s">
        <v>26792</v>
      </c>
      <c r="AP406" s="86"/>
      <c r="AQ406" s="86"/>
      <c r="AR406" s="86"/>
      <c r="AS406" s="86"/>
      <c r="AT406" s="86"/>
      <c r="AU406" s="86"/>
      <c r="AV406" s="86"/>
      <c r="AW406" s="86"/>
      <c r="AX406" s="86" t="b">
        <v>0</v>
      </c>
      <c r="AY406" s="86"/>
      <c r="AZ406" s="86"/>
      <c r="BA406" s="86" t="b">
        <v>0</v>
      </c>
      <c r="BB406" s="86" t="b">
        <v>1</v>
      </c>
      <c r="BC406" s="86" t="b">
        <v>0</v>
      </c>
      <c r="BD406" s="86" t="b">
        <v>0</v>
      </c>
      <c r="BE406" s="86" t="b">
        <v>0</v>
      </c>
      <c r="BF406" s="86" t="b">
        <v>0</v>
      </c>
      <c r="BG406" s="86" t="b">
        <v>0</v>
      </c>
      <c r="BH406" s="96" t="str">
        <f>HYPERLINK("https://pbs.twimg.com/profile_banners/1020798087449776128/1671106921")</f>
        <v>https://pbs.twimg.com/profile_banners/1020798087449776128/1671106921</v>
      </c>
      <c r="BI406" s="86"/>
      <c r="BJ406" s="86" t="s">
        <v>29134</v>
      </c>
      <c r="BK406" s="86" t="b">
        <v>0</v>
      </c>
      <c r="BL406" s="86"/>
      <c r="BM406" s="86" t="s">
        <v>65</v>
      </c>
      <c r="BN406" s="86" t="s">
        <v>29136</v>
      </c>
      <c r="BO406" s="96" t="str">
        <f>HYPERLINK("https://twitter.com/romeuzema")</f>
        <v>https://twitter.com/romeuzema</v>
      </c>
      <c r="BP406" s="2"/>
    </row>
    <row r="407" spans="1:68" x14ac:dyDescent="0.25">
      <c r="A407" s="63" t="s">
        <v>1664</v>
      </c>
      <c r="B407" s="64"/>
      <c r="C407" s="64"/>
      <c r="D407" s="65"/>
      <c r="E407" s="67"/>
      <c r="F407" s="111" t="str">
        <f>HYPERLINK("https://pbs.twimg.com/profile_images/1617945525566816259/U9HUpYkj_normal.jpg")</f>
        <v>https://pbs.twimg.com/profile_images/1617945525566816259/U9HUpYkj_normal.jpg</v>
      </c>
      <c r="G407" s="64"/>
      <c r="H407" s="68"/>
      <c r="I407" s="69"/>
      <c r="J407" s="69"/>
      <c r="K407" s="68" t="s">
        <v>29540</v>
      </c>
      <c r="L407" s="72"/>
      <c r="M407" s="73"/>
      <c r="N407" s="73"/>
      <c r="O407" s="74"/>
      <c r="P407" s="75"/>
      <c r="Q407" s="75"/>
      <c r="R407" s="102"/>
      <c r="S407" s="102"/>
      <c r="T407" s="102"/>
      <c r="U407" s="102"/>
      <c r="V407" s="48"/>
      <c r="W407" s="48"/>
      <c r="X407" s="48"/>
      <c r="Y407" s="48"/>
      <c r="Z407" s="47"/>
      <c r="AA407" s="70">
        <v>407</v>
      </c>
      <c r="AB407" s="70"/>
      <c r="AC407" s="71"/>
      <c r="AD407" s="86" t="s">
        <v>24037</v>
      </c>
      <c r="AE407" s="94" t="s">
        <v>25385</v>
      </c>
      <c r="AF407" s="86">
        <v>36</v>
      </c>
      <c r="AG407" s="86">
        <v>102</v>
      </c>
      <c r="AH407" s="86">
        <v>210</v>
      </c>
      <c r="AI407" s="86">
        <v>1</v>
      </c>
      <c r="AJ407" s="86">
        <v>8</v>
      </c>
      <c r="AK407" s="86">
        <v>149</v>
      </c>
      <c r="AL407" s="86" t="b">
        <v>0</v>
      </c>
      <c r="AM407" s="89">
        <v>44950.741585648146</v>
      </c>
      <c r="AN407" s="86"/>
      <c r="AO407" s="86" t="s">
        <v>26793</v>
      </c>
      <c r="AP407" s="96" t="str">
        <f>HYPERLINK("https://t.co/vrXG9iVAKk")</f>
        <v>https://t.co/vrXG9iVAKk</v>
      </c>
      <c r="AQ407" s="96" t="str">
        <f>HYPERLINK("http://www.emater.mg.gov.br")</f>
        <v>http://www.emater.mg.gov.br</v>
      </c>
      <c r="AR407" s="86" t="s">
        <v>28178</v>
      </c>
      <c r="AS407" s="86"/>
      <c r="AT407" s="86"/>
      <c r="AU407" s="86"/>
      <c r="AV407" s="86"/>
      <c r="AW407" s="96" t="str">
        <f>HYPERLINK("https://t.co/vrXG9iVAKk")</f>
        <v>https://t.co/vrXG9iVAKk</v>
      </c>
      <c r="AX407" s="86" t="b">
        <v>0</v>
      </c>
      <c r="AY407" s="86"/>
      <c r="AZ407" s="86"/>
      <c r="BA407" s="86" t="b">
        <v>0</v>
      </c>
      <c r="BB407" s="86" t="b">
        <v>1</v>
      </c>
      <c r="BC407" s="86" t="b">
        <v>1</v>
      </c>
      <c r="BD407" s="86" t="b">
        <v>0</v>
      </c>
      <c r="BE407" s="86" t="b">
        <v>0</v>
      </c>
      <c r="BF407" s="86" t="b">
        <v>0</v>
      </c>
      <c r="BG407" s="86" t="b">
        <v>0</v>
      </c>
      <c r="BH407" s="96" t="str">
        <f>HYPERLINK("https://pbs.twimg.com/profile_banners/1617942141291954177/1674756377")</f>
        <v>https://pbs.twimg.com/profile_banners/1617942141291954177/1674756377</v>
      </c>
      <c r="BI407" s="86"/>
      <c r="BJ407" s="86" t="s">
        <v>29134</v>
      </c>
      <c r="BK407" s="86" t="b">
        <v>0</v>
      </c>
      <c r="BL407" s="86"/>
      <c r="BM407" s="86" t="s">
        <v>65</v>
      </c>
      <c r="BN407" s="86" t="s">
        <v>29136</v>
      </c>
      <c r="BO407" s="96" t="str">
        <f>HYPERLINK("https://twitter.com/emater_minas")</f>
        <v>https://twitter.com/emater_minas</v>
      </c>
      <c r="BP407" s="2"/>
    </row>
    <row r="408" spans="1:68" x14ac:dyDescent="0.25">
      <c r="A408" s="63" t="s">
        <v>1665</v>
      </c>
      <c r="B408" s="64"/>
      <c r="C408" s="64"/>
      <c r="D408" s="65"/>
      <c r="E408" s="67"/>
      <c r="F408" s="111" t="str">
        <f>HYPERLINK("https://pbs.twimg.com/profile_images/1146845825563336706/kPTFg-dA_normal.png")</f>
        <v>https://pbs.twimg.com/profile_images/1146845825563336706/kPTFg-dA_normal.png</v>
      </c>
      <c r="G408" s="64"/>
      <c r="H408" s="68"/>
      <c r="I408" s="69"/>
      <c r="J408" s="69"/>
      <c r="K408" s="68" t="s">
        <v>29541</v>
      </c>
      <c r="L408" s="72"/>
      <c r="M408" s="73"/>
      <c r="N408" s="73"/>
      <c r="O408" s="74"/>
      <c r="P408" s="75"/>
      <c r="Q408" s="75"/>
      <c r="R408" s="102"/>
      <c r="S408" s="102"/>
      <c r="T408" s="102"/>
      <c r="U408" s="102"/>
      <c r="V408" s="48"/>
      <c r="W408" s="48"/>
      <c r="X408" s="48"/>
      <c r="Y408" s="48"/>
      <c r="Z408" s="47"/>
      <c r="AA408" s="70">
        <v>408</v>
      </c>
      <c r="AB408" s="70"/>
      <c r="AC408" s="71"/>
      <c r="AD408" s="86" t="s">
        <v>24038</v>
      </c>
      <c r="AE408" s="94" t="s">
        <v>25386</v>
      </c>
      <c r="AF408" s="86">
        <v>2055</v>
      </c>
      <c r="AG408" s="86">
        <v>23</v>
      </c>
      <c r="AH408" s="86">
        <v>1258</v>
      </c>
      <c r="AI408" s="86">
        <v>19</v>
      </c>
      <c r="AJ408" s="86">
        <v>18</v>
      </c>
      <c r="AK408" s="86">
        <v>1215</v>
      </c>
      <c r="AL408" s="86" t="b">
        <v>0</v>
      </c>
      <c r="AM408" s="89">
        <v>40738.073738425926</v>
      </c>
      <c r="AN408" s="86" t="s">
        <v>15374</v>
      </c>
      <c r="AO408" s="86" t="s">
        <v>26794</v>
      </c>
      <c r="AP408" s="96" t="str">
        <f>HYPERLINK("https://t.co/UplukgW8Ok")</f>
        <v>https://t.co/UplukgW8Ok</v>
      </c>
      <c r="AQ408" s="96" t="str">
        <f>HYPERLINK("http://www.agricultura.mg.gov.br")</f>
        <v>http://www.agricultura.mg.gov.br</v>
      </c>
      <c r="AR408" s="86" t="s">
        <v>28179</v>
      </c>
      <c r="AS408" s="86"/>
      <c r="AT408" s="86"/>
      <c r="AU408" s="86"/>
      <c r="AV408" s="86"/>
      <c r="AW408" s="96" t="str">
        <f>HYPERLINK("https://t.co/UplukgW8Ok")</f>
        <v>https://t.co/UplukgW8Ok</v>
      </c>
      <c r="AX408" s="86" t="b">
        <v>0</v>
      </c>
      <c r="AY408" s="86"/>
      <c r="AZ408" s="86"/>
      <c r="BA408" s="86" t="b">
        <v>0</v>
      </c>
      <c r="BB408" s="86" t="b">
        <v>0</v>
      </c>
      <c r="BC408" s="86" t="b">
        <v>0</v>
      </c>
      <c r="BD408" s="86" t="b">
        <v>0</v>
      </c>
      <c r="BE408" s="86" t="b">
        <v>0</v>
      </c>
      <c r="BF408" s="86" t="b">
        <v>0</v>
      </c>
      <c r="BG408" s="86" t="b">
        <v>0</v>
      </c>
      <c r="BH408" s="96" t="str">
        <f>HYPERLINK("https://pbs.twimg.com/profile_banners/335034229/1673461419")</f>
        <v>https://pbs.twimg.com/profile_banners/335034229/1673461419</v>
      </c>
      <c r="BI408" s="86"/>
      <c r="BJ408" s="86" t="s">
        <v>29134</v>
      </c>
      <c r="BK408" s="86" t="b">
        <v>0</v>
      </c>
      <c r="BL408" s="86"/>
      <c r="BM408" s="86" t="s">
        <v>65</v>
      </c>
      <c r="BN408" s="86" t="s">
        <v>29136</v>
      </c>
      <c r="BO408" s="96" t="str">
        <f>HYPERLINK("https://twitter.com/agriculturamg")</f>
        <v>https://twitter.com/agriculturamg</v>
      </c>
      <c r="BP408" s="2"/>
    </row>
    <row r="409" spans="1:68" x14ac:dyDescent="0.25">
      <c r="A409" s="63" t="s">
        <v>1666</v>
      </c>
      <c r="B409" s="64"/>
      <c r="C409" s="64"/>
      <c r="D409" s="65"/>
      <c r="E409" s="67"/>
      <c r="F409" s="111" t="str">
        <f>HYPERLINK("https://pbs.twimg.com/profile_images/1576997236843712527/I6hx-N4L_normal.jpg")</f>
        <v>https://pbs.twimg.com/profile_images/1576997236843712527/I6hx-N4L_normal.jpg</v>
      </c>
      <c r="G409" s="64"/>
      <c r="H409" s="68"/>
      <c r="I409" s="69"/>
      <c r="J409" s="69"/>
      <c r="K409" s="68" t="s">
        <v>29542</v>
      </c>
      <c r="L409" s="72"/>
      <c r="M409" s="73"/>
      <c r="N409" s="73"/>
      <c r="O409" s="74"/>
      <c r="P409" s="75"/>
      <c r="Q409" s="75"/>
      <c r="R409" s="102"/>
      <c r="S409" s="102"/>
      <c r="T409" s="102"/>
      <c r="U409" s="102"/>
      <c r="V409" s="48"/>
      <c r="W409" s="48"/>
      <c r="X409" s="48"/>
      <c r="Y409" s="48"/>
      <c r="Z409" s="47"/>
      <c r="AA409" s="70">
        <v>409</v>
      </c>
      <c r="AB409" s="70"/>
      <c r="AC409" s="71"/>
      <c r="AD409" s="86" t="s">
        <v>24039</v>
      </c>
      <c r="AE409" s="94" t="s">
        <v>25387</v>
      </c>
      <c r="AF409" s="86">
        <v>95972</v>
      </c>
      <c r="AG409" s="86">
        <v>177</v>
      </c>
      <c r="AH409" s="86">
        <v>21814</v>
      </c>
      <c r="AI409" s="86">
        <v>496</v>
      </c>
      <c r="AJ409" s="86">
        <v>2747</v>
      </c>
      <c r="AK409" s="86">
        <v>6292</v>
      </c>
      <c r="AL409" s="86" t="b">
        <v>0</v>
      </c>
      <c r="AM409" s="89">
        <v>39932.825543981482</v>
      </c>
      <c r="AN409" s="86" t="s">
        <v>26024</v>
      </c>
      <c r="AO409" s="86" t="s">
        <v>26795</v>
      </c>
      <c r="AP409" s="96" t="str">
        <f>HYPERLINK("https://t.co/dRb2a2aWCC")</f>
        <v>https://t.co/dRb2a2aWCC</v>
      </c>
      <c r="AQ409" s="96" t="str">
        <f>HYPERLINK("https://linktr.ee/governomg")</f>
        <v>https://linktr.ee/governomg</v>
      </c>
      <c r="AR409" s="86" t="s">
        <v>28180</v>
      </c>
      <c r="AS409" s="86"/>
      <c r="AT409" s="86"/>
      <c r="AU409" s="86"/>
      <c r="AV409" s="86"/>
      <c r="AW409" s="96" t="str">
        <f>HYPERLINK("https://t.co/dRb2a2aWCC")</f>
        <v>https://t.co/dRb2a2aWCC</v>
      </c>
      <c r="AX409" s="86" t="b">
        <v>0</v>
      </c>
      <c r="AY409" s="86"/>
      <c r="AZ409" s="86"/>
      <c r="BA409" s="86" t="b">
        <v>0</v>
      </c>
      <c r="BB409" s="86" t="b">
        <v>1</v>
      </c>
      <c r="BC409" s="86" t="b">
        <v>0</v>
      </c>
      <c r="BD409" s="86" t="b">
        <v>0</v>
      </c>
      <c r="BE409" s="86" t="b">
        <v>1</v>
      </c>
      <c r="BF409" s="86" t="b">
        <v>0</v>
      </c>
      <c r="BG409" s="86" t="b">
        <v>0</v>
      </c>
      <c r="BH409" s="96" t="str">
        <f>HYPERLINK("https://pbs.twimg.com/profile_banners/36457965/1664820416")</f>
        <v>https://pbs.twimg.com/profile_banners/36457965/1664820416</v>
      </c>
      <c r="BI409" s="86"/>
      <c r="BJ409" s="86" t="s">
        <v>29134</v>
      </c>
      <c r="BK409" s="86" t="b">
        <v>0</v>
      </c>
      <c r="BL409" s="86"/>
      <c r="BM409" s="86" t="s">
        <v>65</v>
      </c>
      <c r="BN409" s="86" t="s">
        <v>29136</v>
      </c>
      <c r="BO409" s="96" t="str">
        <f>HYPERLINK("https://twitter.com/governomg")</f>
        <v>https://twitter.com/governomg</v>
      </c>
      <c r="BP409" s="2"/>
    </row>
    <row r="410" spans="1:68" x14ac:dyDescent="0.25">
      <c r="A410" s="63" t="s">
        <v>1044</v>
      </c>
      <c r="B410" s="64"/>
      <c r="C410" s="64"/>
      <c r="D410" s="65"/>
      <c r="E410" s="67"/>
      <c r="F410" s="111" t="str">
        <f>HYPERLINK("https://pbs.twimg.com/profile_images/1580604548539990028/IS9216h-_normal.jpg")</f>
        <v>https://pbs.twimg.com/profile_images/1580604548539990028/IS9216h-_normal.jpg</v>
      </c>
      <c r="G410" s="64"/>
      <c r="H410" s="68"/>
      <c r="I410" s="69"/>
      <c r="J410" s="69"/>
      <c r="K410" s="68" t="s">
        <v>29543</v>
      </c>
      <c r="L410" s="72"/>
      <c r="M410" s="73"/>
      <c r="N410" s="73"/>
      <c r="O410" s="74"/>
      <c r="P410" s="75"/>
      <c r="Q410" s="75"/>
      <c r="R410" s="102"/>
      <c r="S410" s="102"/>
      <c r="T410" s="102"/>
      <c r="U410" s="102"/>
      <c r="V410" s="48"/>
      <c r="W410" s="48"/>
      <c r="X410" s="48"/>
      <c r="Y410" s="48"/>
      <c r="Z410" s="47"/>
      <c r="AA410" s="70">
        <v>410</v>
      </c>
      <c r="AB410" s="70"/>
      <c r="AC410" s="71"/>
      <c r="AD410" s="86" t="s">
        <v>24040</v>
      </c>
      <c r="AE410" s="94" t="s">
        <v>25388</v>
      </c>
      <c r="AF410" s="86">
        <v>18278</v>
      </c>
      <c r="AG410" s="86">
        <v>26</v>
      </c>
      <c r="AH410" s="86">
        <v>16359</v>
      </c>
      <c r="AI410" s="86">
        <v>279</v>
      </c>
      <c r="AJ410" s="86">
        <v>6512</v>
      </c>
      <c r="AK410" s="86">
        <v>2301</v>
      </c>
      <c r="AL410" s="86" t="b">
        <v>0</v>
      </c>
      <c r="AM410" s="89">
        <v>39954.62228009259</v>
      </c>
      <c r="AN410" s="86" t="s">
        <v>25925</v>
      </c>
      <c r="AO410" s="86" t="s">
        <v>26796</v>
      </c>
      <c r="AP410" s="96" t="str">
        <f>HYPERLINK("https://t.co/rvZOrmpSAk")</f>
        <v>https://t.co/rvZOrmpSAk</v>
      </c>
      <c r="AQ410" s="96" t="str">
        <f>HYPERLINK("http://sebrae.mg")</f>
        <v>http://sebrae.mg</v>
      </c>
      <c r="AR410" s="86" t="s">
        <v>28181</v>
      </c>
      <c r="AS410" s="86"/>
      <c r="AT410" s="86"/>
      <c r="AU410" s="86"/>
      <c r="AV410" s="86"/>
      <c r="AW410" s="96" t="str">
        <f>HYPERLINK("https://t.co/rvZOrmpSAk")</f>
        <v>https://t.co/rvZOrmpSAk</v>
      </c>
      <c r="AX410" s="86" t="b">
        <v>0</v>
      </c>
      <c r="AY410" s="86"/>
      <c r="AZ410" s="86"/>
      <c r="BA410" s="86" t="b">
        <v>1</v>
      </c>
      <c r="BB410" s="86" t="b">
        <v>1</v>
      </c>
      <c r="BC410" s="86" t="b">
        <v>0</v>
      </c>
      <c r="BD410" s="86" t="b">
        <v>0</v>
      </c>
      <c r="BE410" s="86" t="b">
        <v>1</v>
      </c>
      <c r="BF410" s="86" t="b">
        <v>0</v>
      </c>
      <c r="BG410" s="86" t="b">
        <v>0</v>
      </c>
      <c r="BH410" s="96" t="str">
        <f>HYPERLINK("https://pbs.twimg.com/profile_banners/41601175/1688564296")</f>
        <v>https://pbs.twimg.com/profile_banners/41601175/1688564296</v>
      </c>
      <c r="BI410" s="86"/>
      <c r="BJ410" s="86" t="s">
        <v>29134</v>
      </c>
      <c r="BK410" s="86" t="b">
        <v>0</v>
      </c>
      <c r="BL410" s="86"/>
      <c r="BM410" s="86" t="s">
        <v>66</v>
      </c>
      <c r="BN410" s="86" t="s">
        <v>29136</v>
      </c>
      <c r="BO410" s="96" t="str">
        <f>HYPERLINK("https://twitter.com/sebraeminas")</f>
        <v>https://twitter.com/sebraeminas</v>
      </c>
      <c r="BP410" s="2"/>
    </row>
    <row r="411" spans="1:68" x14ac:dyDescent="0.25">
      <c r="A411" s="63" t="s">
        <v>575</v>
      </c>
      <c r="B411" s="64"/>
      <c r="C411" s="64"/>
      <c r="D411" s="65"/>
      <c r="E411" s="67"/>
      <c r="F411" s="111" t="str">
        <f>HYPERLINK("https://pbs.twimg.com/profile_images/1642309801416835073/GhiUYNvc_normal.jpg")</f>
        <v>https://pbs.twimg.com/profile_images/1642309801416835073/GhiUYNvc_normal.jpg</v>
      </c>
      <c r="G411" s="64"/>
      <c r="H411" s="68"/>
      <c r="I411" s="69"/>
      <c r="J411" s="69"/>
      <c r="K411" s="68" t="s">
        <v>29544</v>
      </c>
      <c r="L411" s="72"/>
      <c r="M411" s="73"/>
      <c r="N411" s="73"/>
      <c r="O411" s="74"/>
      <c r="P411" s="75"/>
      <c r="Q411" s="75"/>
      <c r="R411" s="102"/>
      <c r="S411" s="102"/>
      <c r="T411" s="102"/>
      <c r="U411" s="102"/>
      <c r="V411" s="48"/>
      <c r="W411" s="48"/>
      <c r="X411" s="48"/>
      <c r="Y411" s="48"/>
      <c r="Z411" s="47"/>
      <c r="AA411" s="70">
        <v>411</v>
      </c>
      <c r="AB411" s="70"/>
      <c r="AC411" s="71"/>
      <c r="AD411" s="86" t="s">
        <v>24041</v>
      </c>
      <c r="AE411" s="94" t="s">
        <v>22991</v>
      </c>
      <c r="AF411" s="86">
        <v>309</v>
      </c>
      <c r="AG411" s="86">
        <v>68</v>
      </c>
      <c r="AH411" s="86">
        <v>211</v>
      </c>
      <c r="AI411" s="86">
        <v>1</v>
      </c>
      <c r="AJ411" s="86">
        <v>267</v>
      </c>
      <c r="AK411" s="86">
        <v>23</v>
      </c>
      <c r="AL411" s="86" t="b">
        <v>0</v>
      </c>
      <c r="AM411" s="89">
        <v>44560.101435185185</v>
      </c>
      <c r="AN411" s="86" t="s">
        <v>25970</v>
      </c>
      <c r="AO411" s="86" t="s">
        <v>26797</v>
      </c>
      <c r="AP411" s="96" t="str">
        <f>HYPERLINK("https://t.co/jPLgp51fpd")</f>
        <v>https://t.co/jPLgp51fpd</v>
      </c>
      <c r="AQ411" s="96" t="str">
        <f>HYPERLINK("http://www.nyxmarketing.com.br")</f>
        <v>http://www.nyxmarketing.com.br</v>
      </c>
      <c r="AR411" s="86" t="s">
        <v>28182</v>
      </c>
      <c r="AS411" s="86"/>
      <c r="AT411" s="86"/>
      <c r="AU411" s="86"/>
      <c r="AV411" s="86"/>
      <c r="AW411" s="96" t="str">
        <f>HYPERLINK("https://t.co/jPLgp51fpd")</f>
        <v>https://t.co/jPLgp51fpd</v>
      </c>
      <c r="AX411" s="86" t="b">
        <v>0</v>
      </c>
      <c r="AY411" s="86"/>
      <c r="AZ411" s="86"/>
      <c r="BA411" s="86" t="b">
        <v>0</v>
      </c>
      <c r="BB411" s="86" t="b">
        <v>1</v>
      </c>
      <c r="BC411" s="86" t="b">
        <v>1</v>
      </c>
      <c r="BD411" s="86" t="b">
        <v>0</v>
      </c>
      <c r="BE411" s="86" t="b">
        <v>0</v>
      </c>
      <c r="BF411" s="86" t="b">
        <v>0</v>
      </c>
      <c r="BG411" s="86" t="b">
        <v>0</v>
      </c>
      <c r="BH411" s="96" t="str">
        <f>HYPERLINK("https://pbs.twimg.com/profile_banners/1476378920299778052/1688621329")</f>
        <v>https://pbs.twimg.com/profile_banners/1476378920299778052/1688621329</v>
      </c>
      <c r="BI411" s="86"/>
      <c r="BJ411" s="86" t="s">
        <v>29134</v>
      </c>
      <c r="BK411" s="86" t="b">
        <v>0</v>
      </c>
      <c r="BL411" s="86"/>
      <c r="BM411" s="86" t="s">
        <v>66</v>
      </c>
      <c r="BN411" s="86" t="s">
        <v>29136</v>
      </c>
      <c r="BO411" s="96" t="str">
        <f>HYPERLINK("https://twitter.com/denvermoura")</f>
        <v>https://twitter.com/denvermoura</v>
      </c>
      <c r="BP411" s="2"/>
    </row>
    <row r="412" spans="1:68" x14ac:dyDescent="0.25">
      <c r="A412" s="63" t="s">
        <v>576</v>
      </c>
      <c r="B412" s="64"/>
      <c r="C412" s="64"/>
      <c r="D412" s="65"/>
      <c r="E412" s="67"/>
      <c r="F412" s="111" t="str">
        <f>HYPERLINK("https://pbs.twimg.com/profile_images/1685354254804860929/Htn2pc-z_normal.jpg")</f>
        <v>https://pbs.twimg.com/profile_images/1685354254804860929/Htn2pc-z_normal.jpg</v>
      </c>
      <c r="G412" s="64"/>
      <c r="H412" s="68"/>
      <c r="I412" s="69"/>
      <c r="J412" s="69"/>
      <c r="K412" s="68" t="s">
        <v>29545</v>
      </c>
      <c r="L412" s="72"/>
      <c r="M412" s="73"/>
      <c r="N412" s="73"/>
      <c r="O412" s="74"/>
      <c r="P412" s="75"/>
      <c r="Q412" s="75"/>
      <c r="R412" s="102"/>
      <c r="S412" s="102"/>
      <c r="T412" s="102"/>
      <c r="U412" s="102"/>
      <c r="V412" s="48"/>
      <c r="W412" s="48"/>
      <c r="X412" s="48"/>
      <c r="Y412" s="48"/>
      <c r="Z412" s="47"/>
      <c r="AA412" s="70">
        <v>412</v>
      </c>
      <c r="AB412" s="70"/>
      <c r="AC412" s="71"/>
      <c r="AD412" s="86" t="s">
        <v>8433</v>
      </c>
      <c r="AE412" s="94" t="s">
        <v>22992</v>
      </c>
      <c r="AF412" s="86">
        <v>3</v>
      </c>
      <c r="AG412" s="86">
        <v>91</v>
      </c>
      <c r="AH412" s="86">
        <v>37</v>
      </c>
      <c r="AI412" s="86">
        <v>1</v>
      </c>
      <c r="AJ412" s="86">
        <v>12</v>
      </c>
      <c r="AK412" s="86">
        <v>17</v>
      </c>
      <c r="AL412" s="86" t="b">
        <v>0</v>
      </c>
      <c r="AM412" s="89">
        <v>44975.93540509259</v>
      </c>
      <c r="AN412" s="86" t="s">
        <v>26025</v>
      </c>
      <c r="AO412" s="86" t="s">
        <v>26798</v>
      </c>
      <c r="AP412" s="96" t="str">
        <f>HYPERLINK("https://t.co/gaSihwxn9h")</f>
        <v>https://t.co/gaSihwxn9h</v>
      </c>
      <c r="AQ412" s="96" t="str">
        <f>HYPERLINK("http://www.top1.pt")</f>
        <v>http://www.top1.pt</v>
      </c>
      <c r="AR412" s="86" t="s">
        <v>8433</v>
      </c>
      <c r="AS412" s="86"/>
      <c r="AT412" s="86"/>
      <c r="AU412" s="86"/>
      <c r="AV412" s="86"/>
      <c r="AW412" s="96" t="str">
        <f>HYPERLINK("https://t.co/gaSihwxn9h")</f>
        <v>https://t.co/gaSihwxn9h</v>
      </c>
      <c r="AX412" s="86" t="b">
        <v>0</v>
      </c>
      <c r="AY412" s="86"/>
      <c r="AZ412" s="86"/>
      <c r="BA412" s="86" t="b">
        <v>1</v>
      </c>
      <c r="BB412" s="86" t="b">
        <v>1</v>
      </c>
      <c r="BC412" s="86" t="b">
        <v>1</v>
      </c>
      <c r="BD412" s="86" t="b">
        <v>0</v>
      </c>
      <c r="BE412" s="86" t="b">
        <v>0</v>
      </c>
      <c r="BF412" s="86" t="b">
        <v>0</v>
      </c>
      <c r="BG412" s="86" t="b">
        <v>0</v>
      </c>
      <c r="BH412" s="96" t="str">
        <f>HYPERLINK("https://pbs.twimg.com/profile_banners/1627072087952330753/1690654742")</f>
        <v>https://pbs.twimg.com/profile_banners/1627072087952330753/1690654742</v>
      </c>
      <c r="BI412" s="86"/>
      <c r="BJ412" s="86" t="s">
        <v>29134</v>
      </c>
      <c r="BK412" s="86" t="b">
        <v>0</v>
      </c>
      <c r="BL412" s="86"/>
      <c r="BM412" s="86" t="s">
        <v>66</v>
      </c>
      <c r="BN412" s="86" t="s">
        <v>29136</v>
      </c>
      <c r="BO412" s="96" t="str">
        <f>HYPERLINK("https://twitter.com/top1mktdigital")</f>
        <v>https://twitter.com/top1mktdigital</v>
      </c>
      <c r="BP412" s="2"/>
    </row>
    <row r="413" spans="1:68" x14ac:dyDescent="0.25">
      <c r="A413" s="63" t="s">
        <v>577</v>
      </c>
      <c r="B413" s="64"/>
      <c r="C413" s="64"/>
      <c r="D413" s="65"/>
      <c r="E413" s="67"/>
      <c r="F413" s="111" t="str">
        <f>HYPERLINK("https://pbs.twimg.com/profile_images/1676613572393066496/-4nyuKdH_normal.jpg")</f>
        <v>https://pbs.twimg.com/profile_images/1676613572393066496/-4nyuKdH_normal.jpg</v>
      </c>
      <c r="G413" s="64"/>
      <c r="H413" s="68"/>
      <c r="I413" s="69"/>
      <c r="J413" s="69"/>
      <c r="K413" s="68" t="s">
        <v>29546</v>
      </c>
      <c r="L413" s="72"/>
      <c r="M413" s="73"/>
      <c r="N413" s="73"/>
      <c r="O413" s="74"/>
      <c r="P413" s="75"/>
      <c r="Q413" s="75"/>
      <c r="R413" s="102"/>
      <c r="S413" s="102"/>
      <c r="T413" s="102"/>
      <c r="U413" s="102"/>
      <c r="V413" s="48"/>
      <c r="W413" s="48"/>
      <c r="X413" s="48"/>
      <c r="Y413" s="48"/>
      <c r="Z413" s="47"/>
      <c r="AA413" s="70">
        <v>413</v>
      </c>
      <c r="AB413" s="70"/>
      <c r="AC413" s="71"/>
      <c r="AD413" s="86" t="s">
        <v>24042</v>
      </c>
      <c r="AE413" s="94" t="s">
        <v>22993</v>
      </c>
      <c r="AF413" s="86">
        <v>87</v>
      </c>
      <c r="AG413" s="86">
        <v>36</v>
      </c>
      <c r="AH413" s="86">
        <v>230</v>
      </c>
      <c r="AI413" s="86">
        <v>1</v>
      </c>
      <c r="AJ413" s="86">
        <v>52</v>
      </c>
      <c r="AK413" s="86">
        <v>185</v>
      </c>
      <c r="AL413" s="86" t="b">
        <v>0</v>
      </c>
      <c r="AM413" s="89">
        <v>44762.722453703704</v>
      </c>
      <c r="AN413" s="86" t="s">
        <v>15388</v>
      </c>
      <c r="AO413" s="86" t="s">
        <v>26799</v>
      </c>
      <c r="AP413" s="96" t="str">
        <f>HYPERLINK("https://t.co/D8IQbUfciP")</f>
        <v>https://t.co/D8IQbUfciP</v>
      </c>
      <c r="AQ413" s="96" t="str">
        <f>HYPERLINK("https://semanadeinovacao.enap.gov.br/")</f>
        <v>https://semanadeinovacao.enap.gov.br/</v>
      </c>
      <c r="AR413" s="86" t="s">
        <v>28183</v>
      </c>
      <c r="AS413" s="86"/>
      <c r="AT413" s="86"/>
      <c r="AU413" s="86"/>
      <c r="AV413" s="86"/>
      <c r="AW413" s="96" t="str">
        <f>HYPERLINK("https://t.co/D8IQbUfciP")</f>
        <v>https://t.co/D8IQbUfciP</v>
      </c>
      <c r="AX413" s="86" t="b">
        <v>0</v>
      </c>
      <c r="AY413" s="86"/>
      <c r="AZ413" s="86"/>
      <c r="BA413" s="86" t="b">
        <v>0</v>
      </c>
      <c r="BB413" s="86" t="b">
        <v>1</v>
      </c>
      <c r="BC413" s="86" t="b">
        <v>1</v>
      </c>
      <c r="BD413" s="86" t="b">
        <v>0</v>
      </c>
      <c r="BE413" s="86" t="b">
        <v>0</v>
      </c>
      <c r="BF413" s="86" t="b">
        <v>0</v>
      </c>
      <c r="BG413" s="86" t="b">
        <v>0</v>
      </c>
      <c r="BH413" s="96" t="str">
        <f>HYPERLINK("https://pbs.twimg.com/profile_banners/1549806372862267392/1688570786")</f>
        <v>https://pbs.twimg.com/profile_banners/1549806372862267392/1688570786</v>
      </c>
      <c r="BI413" s="86"/>
      <c r="BJ413" s="86" t="s">
        <v>29134</v>
      </c>
      <c r="BK413" s="86" t="b">
        <v>0</v>
      </c>
      <c r="BL413" s="86"/>
      <c r="BM413" s="86" t="s">
        <v>66</v>
      </c>
      <c r="BN413" s="86" t="s">
        <v>29136</v>
      </c>
      <c r="BO413" s="96" t="str">
        <f>HYPERLINK("https://twitter.com/semana_inovacao")</f>
        <v>https://twitter.com/semana_inovacao</v>
      </c>
      <c r="BP413" s="2"/>
    </row>
    <row r="414" spans="1:68" x14ac:dyDescent="0.25">
      <c r="A414" s="63" t="s">
        <v>578</v>
      </c>
      <c r="B414" s="64"/>
      <c r="C414" s="64"/>
      <c r="D414" s="65"/>
      <c r="E414" s="67"/>
      <c r="F414" s="111" t="str">
        <f>HYPERLINK("https://pbs.twimg.com/profile_images/1682796412797329408/0MSF2_RE_normal.jpg")</f>
        <v>https://pbs.twimg.com/profile_images/1682796412797329408/0MSF2_RE_normal.jpg</v>
      </c>
      <c r="G414" s="64"/>
      <c r="H414" s="68"/>
      <c r="I414" s="69"/>
      <c r="J414" s="69"/>
      <c r="K414" s="68" t="s">
        <v>29547</v>
      </c>
      <c r="L414" s="72"/>
      <c r="M414" s="73"/>
      <c r="N414" s="73"/>
      <c r="O414" s="74"/>
      <c r="P414" s="75"/>
      <c r="Q414" s="75"/>
      <c r="R414" s="102"/>
      <c r="S414" s="102"/>
      <c r="T414" s="102"/>
      <c r="U414" s="102"/>
      <c r="V414" s="48"/>
      <c r="W414" s="48"/>
      <c r="X414" s="48"/>
      <c r="Y414" s="48"/>
      <c r="Z414" s="47"/>
      <c r="AA414" s="70">
        <v>414</v>
      </c>
      <c r="AB414" s="70"/>
      <c r="AC414" s="71"/>
      <c r="AD414" s="86" t="s">
        <v>24043</v>
      </c>
      <c r="AE414" s="94" t="s">
        <v>22994</v>
      </c>
      <c r="AF414" s="86">
        <v>43</v>
      </c>
      <c r="AG414" s="86">
        <v>102</v>
      </c>
      <c r="AH414" s="86">
        <v>3839</v>
      </c>
      <c r="AI414" s="86">
        <v>0</v>
      </c>
      <c r="AJ414" s="86">
        <v>579</v>
      </c>
      <c r="AK414" s="86">
        <v>3534</v>
      </c>
      <c r="AL414" s="86" t="b">
        <v>0</v>
      </c>
      <c r="AM414" s="89">
        <v>44665.305625000001</v>
      </c>
      <c r="AN414" s="86"/>
      <c r="AO414" s="86" t="s">
        <v>26800</v>
      </c>
      <c r="AP414" s="96" t="str">
        <f>HYPERLINK("https://t.co/pXLAyeWUFx")</f>
        <v>https://t.co/pXLAyeWUFx</v>
      </c>
      <c r="AQ414" s="96" t="str">
        <f>HYPERLINK("https://TrendNugget.com")</f>
        <v>https://TrendNugget.com</v>
      </c>
      <c r="AR414" s="86" t="s">
        <v>28184</v>
      </c>
      <c r="AS414" s="86"/>
      <c r="AT414" s="86"/>
      <c r="AU414" s="86"/>
      <c r="AV414" s="86"/>
      <c r="AW414" s="96" t="str">
        <f>HYPERLINK("https://t.co/pXLAyeWUFx")</f>
        <v>https://t.co/pXLAyeWUFx</v>
      </c>
      <c r="AX414" s="86" t="b">
        <v>0</v>
      </c>
      <c r="AY414" s="86"/>
      <c r="AZ414" s="86"/>
      <c r="BA414" s="86" t="b">
        <v>0</v>
      </c>
      <c r="BB414" s="86" t="b">
        <v>1</v>
      </c>
      <c r="BC414" s="86" t="b">
        <v>1</v>
      </c>
      <c r="BD414" s="86" t="b">
        <v>0</v>
      </c>
      <c r="BE414" s="86" t="b">
        <v>0</v>
      </c>
      <c r="BF414" s="86" t="b">
        <v>0</v>
      </c>
      <c r="BG414" s="86" t="b">
        <v>0</v>
      </c>
      <c r="BH414" s="96" t="str">
        <f>HYPERLINK("https://pbs.twimg.com/profile_banners/1514503663158546434/1690045608")</f>
        <v>https://pbs.twimg.com/profile_banners/1514503663158546434/1690045608</v>
      </c>
      <c r="BI414" s="86"/>
      <c r="BJ414" s="86" t="s">
        <v>29134</v>
      </c>
      <c r="BK414" s="86" t="b">
        <v>0</v>
      </c>
      <c r="BL414" s="86"/>
      <c r="BM414" s="86" t="s">
        <v>66</v>
      </c>
      <c r="BN414" s="86" t="s">
        <v>29136</v>
      </c>
      <c r="BO414" s="96" t="str">
        <f>HYPERLINK("https://twitter.com/trendnuggetcom")</f>
        <v>https://twitter.com/trendnuggetcom</v>
      </c>
      <c r="BP414" s="2"/>
    </row>
    <row r="415" spans="1:68" x14ac:dyDescent="0.25">
      <c r="A415" s="63" t="s">
        <v>579</v>
      </c>
      <c r="B415" s="64"/>
      <c r="C415" s="64"/>
      <c r="D415" s="65"/>
      <c r="E415" s="67"/>
      <c r="F415" s="111" t="str">
        <f>HYPERLINK("https://pbs.twimg.com/profile_images/1687835690866782208/FFJj-4ze_normal.jpg")</f>
        <v>https://pbs.twimg.com/profile_images/1687835690866782208/FFJj-4ze_normal.jpg</v>
      </c>
      <c r="G415" s="64"/>
      <c r="H415" s="68"/>
      <c r="I415" s="69"/>
      <c r="J415" s="69"/>
      <c r="K415" s="68" t="s">
        <v>29548</v>
      </c>
      <c r="L415" s="72"/>
      <c r="M415" s="73"/>
      <c r="N415" s="73"/>
      <c r="O415" s="74"/>
      <c r="P415" s="75"/>
      <c r="Q415" s="75"/>
      <c r="R415" s="102"/>
      <c r="S415" s="102"/>
      <c r="T415" s="102"/>
      <c r="U415" s="102"/>
      <c r="V415" s="48"/>
      <c r="W415" s="48"/>
      <c r="X415" s="48"/>
      <c r="Y415" s="48"/>
      <c r="Z415" s="47"/>
      <c r="AA415" s="70">
        <v>415</v>
      </c>
      <c r="AB415" s="70"/>
      <c r="AC415" s="71"/>
      <c r="AD415" s="86" t="s">
        <v>24044</v>
      </c>
      <c r="AE415" s="94" t="s">
        <v>22995</v>
      </c>
      <c r="AF415" s="86">
        <v>7</v>
      </c>
      <c r="AG415" s="86">
        <v>53</v>
      </c>
      <c r="AH415" s="86">
        <v>81</v>
      </c>
      <c r="AI415" s="86">
        <v>0</v>
      </c>
      <c r="AJ415" s="86">
        <v>124</v>
      </c>
      <c r="AK415" s="86">
        <v>5</v>
      </c>
      <c r="AL415" s="86" t="b">
        <v>0</v>
      </c>
      <c r="AM415" s="89">
        <v>44898.60465277778</v>
      </c>
      <c r="AN415" s="86"/>
      <c r="AO415" s="86" t="s">
        <v>26801</v>
      </c>
      <c r="AP415" s="86"/>
      <c r="AQ415" s="86"/>
      <c r="AR415" s="86"/>
      <c r="AS415" s="86"/>
      <c r="AT415" s="86"/>
      <c r="AU415" s="86"/>
      <c r="AV415" s="86"/>
      <c r="AW415" s="86"/>
      <c r="AX415" s="86" t="b">
        <v>0</v>
      </c>
      <c r="AY415" s="86"/>
      <c r="AZ415" s="86"/>
      <c r="BA415" s="86" t="b">
        <v>0</v>
      </c>
      <c r="BB415" s="86" t="b">
        <v>1</v>
      </c>
      <c r="BC415" s="86" t="b">
        <v>1</v>
      </c>
      <c r="BD415" s="86" t="b">
        <v>0</v>
      </c>
      <c r="BE415" s="86" t="b">
        <v>0</v>
      </c>
      <c r="BF415" s="86" t="b">
        <v>0</v>
      </c>
      <c r="BG415" s="86" t="b">
        <v>0</v>
      </c>
      <c r="BH415" s="96" t="str">
        <f>HYPERLINK("https://pbs.twimg.com/profile_banners/1599042978454151171/1691113871")</f>
        <v>https://pbs.twimg.com/profile_banners/1599042978454151171/1691113871</v>
      </c>
      <c r="BI415" s="86"/>
      <c r="BJ415" s="86" t="s">
        <v>29134</v>
      </c>
      <c r="BK415" s="86" t="b">
        <v>0</v>
      </c>
      <c r="BL415" s="86"/>
      <c r="BM415" s="86" t="s">
        <v>66</v>
      </c>
      <c r="BN415" s="86" t="s">
        <v>29136</v>
      </c>
      <c r="BO415" s="96" t="str">
        <f>HYPERLINK("https://twitter.com/vinioescritor")</f>
        <v>https://twitter.com/vinioescritor</v>
      </c>
      <c r="BP415" s="2"/>
    </row>
    <row r="416" spans="1:68" x14ac:dyDescent="0.25">
      <c r="A416" s="63" t="s">
        <v>580</v>
      </c>
      <c r="B416" s="64"/>
      <c r="C416" s="64"/>
      <c r="D416" s="65"/>
      <c r="E416" s="67"/>
      <c r="F416" s="111" t="str">
        <f>HYPERLINK("https://pbs.twimg.com/profile_images/1665196722472079360/JGzG7w--_normal.jpg")</f>
        <v>https://pbs.twimg.com/profile_images/1665196722472079360/JGzG7w--_normal.jpg</v>
      </c>
      <c r="G416" s="64"/>
      <c r="H416" s="68"/>
      <c r="I416" s="69"/>
      <c r="J416" s="69"/>
      <c r="K416" s="68" t="s">
        <v>29549</v>
      </c>
      <c r="L416" s="72"/>
      <c r="M416" s="73"/>
      <c r="N416" s="73"/>
      <c r="O416" s="74"/>
      <c r="P416" s="75"/>
      <c r="Q416" s="75"/>
      <c r="R416" s="102"/>
      <c r="S416" s="102"/>
      <c r="T416" s="102"/>
      <c r="U416" s="102"/>
      <c r="V416" s="48"/>
      <c r="W416" s="48"/>
      <c r="X416" s="48"/>
      <c r="Y416" s="48"/>
      <c r="Z416" s="47"/>
      <c r="AA416" s="70">
        <v>416</v>
      </c>
      <c r="AB416" s="70"/>
      <c r="AC416" s="71"/>
      <c r="AD416" s="86" t="s">
        <v>24045</v>
      </c>
      <c r="AE416" s="94" t="s">
        <v>22996</v>
      </c>
      <c r="AF416" s="86">
        <v>3</v>
      </c>
      <c r="AG416" s="86">
        <v>32</v>
      </c>
      <c r="AH416" s="86">
        <v>32</v>
      </c>
      <c r="AI416" s="86">
        <v>0</v>
      </c>
      <c r="AJ416" s="86">
        <v>0</v>
      </c>
      <c r="AK416" s="86">
        <v>11</v>
      </c>
      <c r="AL416" s="86" t="b">
        <v>0</v>
      </c>
      <c r="AM416" s="89">
        <v>45081.138715277775</v>
      </c>
      <c r="AN416" s="86" t="s">
        <v>26026</v>
      </c>
      <c r="AO416" s="86" t="s">
        <v>26802</v>
      </c>
      <c r="AP416" s="96" t="str">
        <f>HYPERLINK("https://t.co/TXi5jRqLPZ")</f>
        <v>https://t.co/TXi5jRqLPZ</v>
      </c>
      <c r="AQ416" s="96" t="str">
        <f>HYPERLINK("https://webdesignmogi.com.br/")</f>
        <v>https://webdesignmogi.com.br/</v>
      </c>
      <c r="AR416" s="86" t="s">
        <v>28185</v>
      </c>
      <c r="AS416" s="86"/>
      <c r="AT416" s="86"/>
      <c r="AU416" s="86"/>
      <c r="AV416" s="86"/>
      <c r="AW416" s="96" t="str">
        <f>HYPERLINK("https://t.co/TXi5jRqLPZ")</f>
        <v>https://t.co/TXi5jRqLPZ</v>
      </c>
      <c r="AX416" s="86" t="b">
        <v>0</v>
      </c>
      <c r="AY416" s="86"/>
      <c r="AZ416" s="86"/>
      <c r="BA416" s="86" t="b">
        <v>0</v>
      </c>
      <c r="BB416" s="86" t="b">
        <v>1</v>
      </c>
      <c r="BC416" s="86" t="b">
        <v>1</v>
      </c>
      <c r="BD416" s="86" t="b">
        <v>0</v>
      </c>
      <c r="BE416" s="86" t="b">
        <v>0</v>
      </c>
      <c r="BF416" s="86" t="b">
        <v>0</v>
      </c>
      <c r="BG416" s="86" t="b">
        <v>0</v>
      </c>
      <c r="BH416" s="96" t="str">
        <f>HYPERLINK("https://pbs.twimg.com/profile_banners/1665196584005521410/1685849760")</f>
        <v>https://pbs.twimg.com/profile_banners/1665196584005521410/1685849760</v>
      </c>
      <c r="BI416" s="86"/>
      <c r="BJ416" s="86" t="s">
        <v>29134</v>
      </c>
      <c r="BK416" s="86" t="b">
        <v>0</v>
      </c>
      <c r="BL416" s="86"/>
      <c r="BM416" s="86" t="s">
        <v>66</v>
      </c>
      <c r="BN416" s="86" t="s">
        <v>29136</v>
      </c>
      <c r="BO416" s="96" t="str">
        <f>HYPERLINK("https://twitter.com/web_design_mogi")</f>
        <v>https://twitter.com/web_design_mogi</v>
      </c>
      <c r="BP416" s="2"/>
    </row>
    <row r="417" spans="1:68" x14ac:dyDescent="0.25">
      <c r="A417" s="63" t="s">
        <v>581</v>
      </c>
      <c r="B417" s="64"/>
      <c r="C417" s="64"/>
      <c r="D417" s="65"/>
      <c r="E417" s="67"/>
      <c r="F417" s="111" t="str">
        <f>HYPERLINK("https://pbs.twimg.com/profile_images/1689050467190337536/H1FvQ9VG_normal.jpg")</f>
        <v>https://pbs.twimg.com/profile_images/1689050467190337536/H1FvQ9VG_normal.jpg</v>
      </c>
      <c r="G417" s="64"/>
      <c r="H417" s="68"/>
      <c r="I417" s="69"/>
      <c r="J417" s="69"/>
      <c r="K417" s="68" t="s">
        <v>29550</v>
      </c>
      <c r="L417" s="72"/>
      <c r="M417" s="73"/>
      <c r="N417" s="73"/>
      <c r="O417" s="74"/>
      <c r="P417" s="75"/>
      <c r="Q417" s="75"/>
      <c r="R417" s="102"/>
      <c r="S417" s="102"/>
      <c r="T417" s="102"/>
      <c r="U417" s="102"/>
      <c r="V417" s="48"/>
      <c r="W417" s="48"/>
      <c r="X417" s="48"/>
      <c r="Y417" s="48"/>
      <c r="Z417" s="47"/>
      <c r="AA417" s="70">
        <v>417</v>
      </c>
      <c r="AB417" s="70"/>
      <c r="AC417" s="71"/>
      <c r="AD417" s="86" t="s">
        <v>24046</v>
      </c>
      <c r="AE417" s="94" t="s">
        <v>25389</v>
      </c>
      <c r="AF417" s="86">
        <v>1190</v>
      </c>
      <c r="AG417" s="86">
        <v>686</v>
      </c>
      <c r="AH417" s="86">
        <v>13069</v>
      </c>
      <c r="AI417" s="86">
        <v>0</v>
      </c>
      <c r="AJ417" s="86">
        <v>7389</v>
      </c>
      <c r="AK417" s="86">
        <v>308</v>
      </c>
      <c r="AL417" s="86" t="b">
        <v>0</v>
      </c>
      <c r="AM417" s="89">
        <v>41817.997731481482</v>
      </c>
      <c r="AN417" s="86"/>
      <c r="AO417" s="86" t="s">
        <v>26803</v>
      </c>
      <c r="AP417" s="86"/>
      <c r="AQ417" s="86"/>
      <c r="AR417" s="86"/>
      <c r="AS417" s="86"/>
      <c r="AT417" s="86"/>
      <c r="AU417" s="86"/>
      <c r="AV417" s="86">
        <v>1.67485647904243E+18</v>
      </c>
      <c r="AW417" s="86"/>
      <c r="AX417" s="86" t="b">
        <v>0</v>
      </c>
      <c r="AY417" s="86"/>
      <c r="AZ417" s="86"/>
      <c r="BA417" s="86" t="b">
        <v>1</v>
      </c>
      <c r="BB417" s="86" t="b">
        <v>0</v>
      </c>
      <c r="BC417" s="86" t="b">
        <v>1</v>
      </c>
      <c r="BD417" s="86" t="b">
        <v>0</v>
      </c>
      <c r="BE417" s="86" t="b">
        <v>1</v>
      </c>
      <c r="BF417" s="86" t="b">
        <v>0</v>
      </c>
      <c r="BG417" s="86" t="b">
        <v>1</v>
      </c>
      <c r="BH417" s="96" t="str">
        <f>HYPERLINK("https://pbs.twimg.com/profile_banners/2648393404/1691532443")</f>
        <v>https://pbs.twimg.com/profile_banners/2648393404/1691532443</v>
      </c>
      <c r="BI417" s="86"/>
      <c r="BJ417" s="86" t="s">
        <v>29134</v>
      </c>
      <c r="BK417" s="86" t="b">
        <v>0</v>
      </c>
      <c r="BL417" s="86"/>
      <c r="BM417" s="86" t="s">
        <v>66</v>
      </c>
      <c r="BN417" s="86" t="s">
        <v>29136</v>
      </c>
      <c r="BO417" s="96" t="str">
        <f>HYPERLINK("https://twitter.com/liindaoss")</f>
        <v>https://twitter.com/liindaoss</v>
      </c>
      <c r="BP417" s="2"/>
    </row>
    <row r="418" spans="1:68" x14ac:dyDescent="0.25">
      <c r="A418" s="63" t="s">
        <v>582</v>
      </c>
      <c r="B418" s="64"/>
      <c r="C418" s="64"/>
      <c r="D418" s="65"/>
      <c r="E418" s="67"/>
      <c r="F418" s="111" t="str">
        <f>HYPERLINK("https://pbs.twimg.com/profile_images/1667851829407805440/ceHYitGl_normal.jpg")</f>
        <v>https://pbs.twimg.com/profile_images/1667851829407805440/ceHYitGl_normal.jpg</v>
      </c>
      <c r="G418" s="64"/>
      <c r="H418" s="68"/>
      <c r="I418" s="69"/>
      <c r="J418" s="69"/>
      <c r="K418" s="68" t="s">
        <v>29551</v>
      </c>
      <c r="L418" s="72"/>
      <c r="M418" s="73"/>
      <c r="N418" s="73"/>
      <c r="O418" s="74"/>
      <c r="P418" s="75"/>
      <c r="Q418" s="75"/>
      <c r="R418" s="102"/>
      <c r="S418" s="102"/>
      <c r="T418" s="102"/>
      <c r="U418" s="102"/>
      <c r="V418" s="48"/>
      <c r="W418" s="48"/>
      <c r="X418" s="48"/>
      <c r="Y418" s="48"/>
      <c r="Z418" s="47"/>
      <c r="AA418" s="70">
        <v>418</v>
      </c>
      <c r="AB418" s="70"/>
      <c r="AC418" s="71"/>
      <c r="AD418" s="86" t="s">
        <v>24047</v>
      </c>
      <c r="AE418" s="94" t="s">
        <v>25390</v>
      </c>
      <c r="AF418" s="86">
        <v>8220</v>
      </c>
      <c r="AG418" s="86">
        <v>8918</v>
      </c>
      <c r="AH418" s="86">
        <v>41755</v>
      </c>
      <c r="AI418" s="86">
        <v>51</v>
      </c>
      <c r="AJ418" s="86">
        <v>5018</v>
      </c>
      <c r="AK418" s="86">
        <v>8129</v>
      </c>
      <c r="AL418" s="86" t="b">
        <v>0</v>
      </c>
      <c r="AM418" s="89">
        <v>40266.835578703707</v>
      </c>
      <c r="AN418" s="86" t="s">
        <v>26027</v>
      </c>
      <c r="AO418" s="86" t="s">
        <v>26804</v>
      </c>
      <c r="AP418" s="96" t="str">
        <f>HYPERLINK("https://t.co/68Hg5joCn0")</f>
        <v>https://t.co/68Hg5joCn0</v>
      </c>
      <c r="AQ418" s="96" t="str">
        <f>HYPERLINK("https://viajesyseguros.online")</f>
        <v>https://viajesyseguros.online</v>
      </c>
      <c r="AR418" s="86" t="s">
        <v>28186</v>
      </c>
      <c r="AS418" s="86" t="s">
        <v>28998</v>
      </c>
      <c r="AT418" s="86" t="s">
        <v>29014</v>
      </c>
      <c r="AU418" s="86" t="s">
        <v>29059</v>
      </c>
      <c r="AV418" s="86">
        <v>1.7028123141754501E+18</v>
      </c>
      <c r="AW418" s="96" t="str">
        <f>HYPERLINK("https://t.co/68Hg5joCn0")</f>
        <v>https://t.co/68Hg5joCn0</v>
      </c>
      <c r="AX418" s="86" t="b">
        <v>0</v>
      </c>
      <c r="AY418" s="86"/>
      <c r="AZ418" s="86"/>
      <c r="BA418" s="86" t="b">
        <v>1</v>
      </c>
      <c r="BB418" s="86" t="b">
        <v>1</v>
      </c>
      <c r="BC418" s="86" t="b">
        <v>0</v>
      </c>
      <c r="BD418" s="86" t="b">
        <v>0</v>
      </c>
      <c r="BE418" s="86" t="b">
        <v>0</v>
      </c>
      <c r="BF418" s="86" t="b">
        <v>0</v>
      </c>
      <c r="BG418" s="86" t="b">
        <v>0</v>
      </c>
      <c r="BH418" s="96" t="str">
        <f>HYPERLINK("https://pbs.twimg.com/profile_banners/127628950/1695737566")</f>
        <v>https://pbs.twimg.com/profile_banners/127628950/1695737566</v>
      </c>
      <c r="BI418" s="86"/>
      <c r="BJ418" s="86" t="s">
        <v>29134</v>
      </c>
      <c r="BK418" s="86" t="b">
        <v>0</v>
      </c>
      <c r="BL418" s="86"/>
      <c r="BM418" s="86" t="s">
        <v>66</v>
      </c>
      <c r="BN418" s="86" t="s">
        <v>29136</v>
      </c>
      <c r="BO418" s="96" t="str">
        <f>HYPERLINK("https://twitter.com/subackuponline")</f>
        <v>https://twitter.com/subackuponline</v>
      </c>
      <c r="BP418" s="2"/>
    </row>
    <row r="419" spans="1:68" x14ac:dyDescent="0.25">
      <c r="A419" s="63" t="s">
        <v>583</v>
      </c>
      <c r="B419" s="64"/>
      <c r="C419" s="64"/>
      <c r="D419" s="65"/>
      <c r="E419" s="67"/>
      <c r="F419" s="111" t="str">
        <f>HYPERLINK("https://pbs.twimg.com/profile_images/1098309127028293632/OSrouUNs_normal.jpg")</f>
        <v>https://pbs.twimg.com/profile_images/1098309127028293632/OSrouUNs_normal.jpg</v>
      </c>
      <c r="G419" s="64"/>
      <c r="H419" s="68"/>
      <c r="I419" s="69"/>
      <c r="J419" s="69"/>
      <c r="K419" s="68" t="s">
        <v>29552</v>
      </c>
      <c r="L419" s="72"/>
      <c r="M419" s="73"/>
      <c r="N419" s="73"/>
      <c r="O419" s="74"/>
      <c r="P419" s="75"/>
      <c r="Q419" s="75"/>
      <c r="R419" s="102"/>
      <c r="S419" s="102"/>
      <c r="T419" s="102"/>
      <c r="U419" s="102"/>
      <c r="V419" s="48"/>
      <c r="W419" s="48"/>
      <c r="X419" s="48"/>
      <c r="Y419" s="48"/>
      <c r="Z419" s="47"/>
      <c r="AA419" s="70">
        <v>419</v>
      </c>
      <c r="AB419" s="70"/>
      <c r="AC419" s="71"/>
      <c r="AD419" s="86" t="s">
        <v>24048</v>
      </c>
      <c r="AE419" s="94" t="s">
        <v>22997</v>
      </c>
      <c r="AF419" s="86">
        <v>6</v>
      </c>
      <c r="AG419" s="86">
        <v>0</v>
      </c>
      <c r="AH419" s="86">
        <v>327</v>
      </c>
      <c r="AI419" s="86">
        <v>0</v>
      </c>
      <c r="AJ419" s="86">
        <v>0</v>
      </c>
      <c r="AK419" s="86">
        <v>327</v>
      </c>
      <c r="AL419" s="86" t="b">
        <v>0</v>
      </c>
      <c r="AM419" s="89">
        <v>43516.800474537034</v>
      </c>
      <c r="AN419" s="86" t="s">
        <v>15257</v>
      </c>
      <c r="AO419" s="86" t="s">
        <v>26805</v>
      </c>
      <c r="AP419" s="96" t="str">
        <f>HYPERLINK("https://t.co/0uixAJIb74")</f>
        <v>https://t.co/0uixAJIb74</v>
      </c>
      <c r="AQ419" s="96" t="str">
        <f>HYPERLINK("https://www.goncalvesadv.com")</f>
        <v>https://www.goncalvesadv.com</v>
      </c>
      <c r="AR419" s="86" t="s">
        <v>28187</v>
      </c>
      <c r="AS419" s="86"/>
      <c r="AT419" s="86"/>
      <c r="AU419" s="86"/>
      <c r="AV419" s="86">
        <v>1.13521105632905E+18</v>
      </c>
      <c r="AW419" s="96" t="str">
        <f>HYPERLINK("https://t.co/0uixAJIb74")</f>
        <v>https://t.co/0uixAJIb74</v>
      </c>
      <c r="AX419" s="86" t="b">
        <v>0</v>
      </c>
      <c r="AY419" s="86"/>
      <c r="AZ419" s="86"/>
      <c r="BA419" s="86" t="b">
        <v>0</v>
      </c>
      <c r="BB419" s="86" t="b">
        <v>1</v>
      </c>
      <c r="BC419" s="86" t="b">
        <v>0</v>
      </c>
      <c r="BD419" s="86" t="b">
        <v>0</v>
      </c>
      <c r="BE419" s="86" t="b">
        <v>0</v>
      </c>
      <c r="BF419" s="86" t="b">
        <v>0</v>
      </c>
      <c r="BG419" s="86" t="b">
        <v>0</v>
      </c>
      <c r="BH419" s="96" t="str">
        <f>HYPERLINK("https://pbs.twimg.com/profile_banners/1098299417696849921/1562703414")</f>
        <v>https://pbs.twimg.com/profile_banners/1098299417696849921/1562703414</v>
      </c>
      <c r="BI419" s="86"/>
      <c r="BJ419" s="86" t="s">
        <v>29134</v>
      </c>
      <c r="BK419" s="86" t="b">
        <v>0</v>
      </c>
      <c r="BL419" s="86"/>
      <c r="BM419" s="86" t="s">
        <v>66</v>
      </c>
      <c r="BN419" s="86" t="s">
        <v>29136</v>
      </c>
      <c r="BO419" s="96" t="str">
        <f>HYPERLINK("https://twitter.com/goncalvesadvs")</f>
        <v>https://twitter.com/goncalvesadvs</v>
      </c>
      <c r="BP419" s="2"/>
    </row>
    <row r="420" spans="1:68" x14ac:dyDescent="0.25">
      <c r="A420" s="63" t="s">
        <v>584</v>
      </c>
      <c r="B420" s="64"/>
      <c r="C420" s="64"/>
      <c r="D420" s="65"/>
      <c r="E420" s="67"/>
      <c r="F420" s="111" t="str">
        <f>HYPERLINK("https://pbs.twimg.com/profile_images/1327606670453854211/QxCVNmHW_normal.jpg")</f>
        <v>https://pbs.twimg.com/profile_images/1327606670453854211/QxCVNmHW_normal.jpg</v>
      </c>
      <c r="G420" s="64"/>
      <c r="H420" s="68"/>
      <c r="I420" s="69"/>
      <c r="J420" s="69"/>
      <c r="K420" s="68" t="s">
        <v>29553</v>
      </c>
      <c r="L420" s="72"/>
      <c r="M420" s="73"/>
      <c r="N420" s="73"/>
      <c r="O420" s="74"/>
      <c r="P420" s="75"/>
      <c r="Q420" s="75"/>
      <c r="R420" s="102"/>
      <c r="S420" s="102"/>
      <c r="T420" s="102"/>
      <c r="U420" s="102"/>
      <c r="V420" s="48"/>
      <c r="W420" s="48"/>
      <c r="X420" s="48"/>
      <c r="Y420" s="48"/>
      <c r="Z420" s="47"/>
      <c r="AA420" s="70">
        <v>420</v>
      </c>
      <c r="AB420" s="70"/>
      <c r="AC420" s="71"/>
      <c r="AD420" s="86" t="s">
        <v>24049</v>
      </c>
      <c r="AE420" s="94" t="s">
        <v>25391</v>
      </c>
      <c r="AF420" s="86">
        <v>1512261</v>
      </c>
      <c r="AG420" s="86">
        <v>3324</v>
      </c>
      <c r="AH420" s="86">
        <v>36728</v>
      </c>
      <c r="AI420" s="86">
        <v>2126</v>
      </c>
      <c r="AJ420" s="86">
        <v>13094</v>
      </c>
      <c r="AK420" s="86">
        <v>11568</v>
      </c>
      <c r="AL420" s="86" t="b">
        <v>0</v>
      </c>
      <c r="AM420" s="89">
        <v>40358.541250000002</v>
      </c>
      <c r="AN420" s="86" t="s">
        <v>15378</v>
      </c>
      <c r="AO420" s="86" t="s">
        <v>26806</v>
      </c>
      <c r="AP420" s="96" t="str">
        <f>HYPERLINK("https://t.co/vtmLbaLKTi")</f>
        <v>https://t.co/vtmLbaLKTi</v>
      </c>
      <c r="AQ420" s="96" t="str">
        <f>HYPERLINK("https://linkme.bio/ibest-ricardo-amorim")</f>
        <v>https://linkme.bio/ibest-ricardo-amorim</v>
      </c>
      <c r="AR420" s="86" t="s">
        <v>28188</v>
      </c>
      <c r="AS420" s="86"/>
      <c r="AT420" s="86"/>
      <c r="AU420" s="86"/>
      <c r="AV420" s="86">
        <v>1.6896123717135501E+18</v>
      </c>
      <c r="AW420" s="96" t="str">
        <f>HYPERLINK("https://t.co/vtmLbaLKTi")</f>
        <v>https://t.co/vtmLbaLKTi</v>
      </c>
      <c r="AX420" s="86" t="b">
        <v>1</v>
      </c>
      <c r="AY420" s="86"/>
      <c r="AZ420" s="86"/>
      <c r="BA420" s="86" t="b">
        <v>0</v>
      </c>
      <c r="BB420" s="86" t="b">
        <v>1</v>
      </c>
      <c r="BC420" s="86" t="b">
        <v>0</v>
      </c>
      <c r="BD420" s="86" t="b">
        <v>0</v>
      </c>
      <c r="BE420" s="86" t="b">
        <v>1</v>
      </c>
      <c r="BF420" s="86" t="b">
        <v>0</v>
      </c>
      <c r="BG420" s="86" t="b">
        <v>0</v>
      </c>
      <c r="BH420" s="96" t="str">
        <f>HYPERLINK("https://pbs.twimg.com/profile_banners/160910872/1671805771")</f>
        <v>https://pbs.twimg.com/profile_banners/160910872/1671805771</v>
      </c>
      <c r="BI420" s="86"/>
      <c r="BJ420" s="86" t="s">
        <v>29134</v>
      </c>
      <c r="BK420" s="86" t="b">
        <v>0</v>
      </c>
      <c r="BL420" s="86"/>
      <c r="BM420" s="86" t="s">
        <v>66</v>
      </c>
      <c r="BN420" s="86" t="s">
        <v>29136</v>
      </c>
      <c r="BO420" s="96" t="str">
        <f>HYPERLINK("https://twitter.com/ricamconsult")</f>
        <v>https://twitter.com/ricamconsult</v>
      </c>
      <c r="BP420" s="2"/>
    </row>
    <row r="421" spans="1:68" x14ac:dyDescent="0.25">
      <c r="A421" s="63" t="s">
        <v>585</v>
      </c>
      <c r="B421" s="64"/>
      <c r="C421" s="64"/>
      <c r="D421" s="65"/>
      <c r="E421" s="67"/>
      <c r="F421" s="111" t="str">
        <f>HYPERLINK("https://pbs.twimg.com/profile_images/1528643292069601286/POqvSzmh_normal.jpg")</f>
        <v>https://pbs.twimg.com/profile_images/1528643292069601286/POqvSzmh_normal.jpg</v>
      </c>
      <c r="G421" s="64"/>
      <c r="H421" s="68"/>
      <c r="I421" s="69"/>
      <c r="J421" s="69"/>
      <c r="K421" s="68" t="s">
        <v>29554</v>
      </c>
      <c r="L421" s="72"/>
      <c r="M421" s="73"/>
      <c r="N421" s="73"/>
      <c r="O421" s="74"/>
      <c r="P421" s="75"/>
      <c r="Q421" s="75"/>
      <c r="R421" s="102"/>
      <c r="S421" s="102"/>
      <c r="T421" s="102"/>
      <c r="U421" s="102"/>
      <c r="V421" s="48"/>
      <c r="W421" s="48"/>
      <c r="X421" s="48"/>
      <c r="Y421" s="48"/>
      <c r="Z421" s="47"/>
      <c r="AA421" s="70">
        <v>421</v>
      </c>
      <c r="AB421" s="70"/>
      <c r="AC421" s="71"/>
      <c r="AD421" s="86" t="s">
        <v>24050</v>
      </c>
      <c r="AE421" s="94" t="s">
        <v>22998</v>
      </c>
      <c r="AF421" s="86">
        <v>1</v>
      </c>
      <c r="AG421" s="86">
        <v>2</v>
      </c>
      <c r="AH421" s="86">
        <v>34</v>
      </c>
      <c r="AI421" s="86">
        <v>0</v>
      </c>
      <c r="AJ421" s="86">
        <v>0</v>
      </c>
      <c r="AK421" s="86">
        <v>27</v>
      </c>
      <c r="AL421" s="86" t="b">
        <v>0</v>
      </c>
      <c r="AM421" s="89">
        <v>44704.323206018518</v>
      </c>
      <c r="AN421" s="86"/>
      <c r="AO421" s="86"/>
      <c r="AP421" s="86"/>
      <c r="AQ421" s="86"/>
      <c r="AR421" s="86"/>
      <c r="AS421" s="86"/>
      <c r="AT421" s="86"/>
      <c r="AU421" s="86"/>
      <c r="AV421" s="86"/>
      <c r="AW421" s="86"/>
      <c r="AX421" s="86" t="b">
        <v>0</v>
      </c>
      <c r="AY421" s="86"/>
      <c r="AZ421" s="86"/>
      <c r="BA421" s="86" t="b">
        <v>0</v>
      </c>
      <c r="BB421" s="86" t="b">
        <v>1</v>
      </c>
      <c r="BC421" s="86" t="b">
        <v>1</v>
      </c>
      <c r="BD421" s="86" t="b">
        <v>0</v>
      </c>
      <c r="BE421" s="86" t="b">
        <v>0</v>
      </c>
      <c r="BF421" s="86" t="b">
        <v>0</v>
      </c>
      <c r="BG421" s="86" t="b">
        <v>0</v>
      </c>
      <c r="BH421" s="86"/>
      <c r="BI421" s="86"/>
      <c r="BJ421" s="86" t="s">
        <v>29134</v>
      </c>
      <c r="BK421" s="86" t="b">
        <v>0</v>
      </c>
      <c r="BL421" s="86"/>
      <c r="BM421" s="86" t="s">
        <v>66</v>
      </c>
      <c r="BN421" s="86" t="s">
        <v>29136</v>
      </c>
      <c r="BO421" s="96" t="str">
        <f>HYPERLINK("https://twitter.com/darkin_lf")</f>
        <v>https://twitter.com/darkin_lf</v>
      </c>
      <c r="BP421" s="2"/>
    </row>
    <row r="422" spans="1:68" x14ac:dyDescent="0.25">
      <c r="A422" s="63" t="s">
        <v>586</v>
      </c>
      <c r="B422" s="64"/>
      <c r="C422" s="64"/>
      <c r="D422" s="65"/>
      <c r="E422" s="67"/>
      <c r="F422" s="111" t="str">
        <f>HYPERLINK("https://pbs.twimg.com/profile_images/906342306315464704/iuPk2Hxo_normal.jpg")</f>
        <v>https://pbs.twimg.com/profile_images/906342306315464704/iuPk2Hxo_normal.jpg</v>
      </c>
      <c r="G422" s="64"/>
      <c r="H422" s="68"/>
      <c r="I422" s="69"/>
      <c r="J422" s="69"/>
      <c r="K422" s="68" t="s">
        <v>29555</v>
      </c>
      <c r="L422" s="72"/>
      <c r="M422" s="73"/>
      <c r="N422" s="73"/>
      <c r="O422" s="74"/>
      <c r="P422" s="75"/>
      <c r="Q422" s="75"/>
      <c r="R422" s="102"/>
      <c r="S422" s="102"/>
      <c r="T422" s="102"/>
      <c r="U422" s="102"/>
      <c r="V422" s="48"/>
      <c r="W422" s="48"/>
      <c r="X422" s="48"/>
      <c r="Y422" s="48"/>
      <c r="Z422" s="47"/>
      <c r="AA422" s="70">
        <v>422</v>
      </c>
      <c r="AB422" s="70"/>
      <c r="AC422" s="71"/>
      <c r="AD422" s="86" t="s">
        <v>24051</v>
      </c>
      <c r="AE422" s="94" t="s">
        <v>22999</v>
      </c>
      <c r="AF422" s="86">
        <v>531</v>
      </c>
      <c r="AG422" s="86">
        <v>62</v>
      </c>
      <c r="AH422" s="86">
        <v>22009</v>
      </c>
      <c r="AI422" s="86">
        <v>10</v>
      </c>
      <c r="AJ422" s="86">
        <v>168</v>
      </c>
      <c r="AK422" s="86">
        <v>20759</v>
      </c>
      <c r="AL422" s="86" t="b">
        <v>0</v>
      </c>
      <c r="AM422" s="89">
        <v>42979.702291666668</v>
      </c>
      <c r="AN422" s="86" t="s">
        <v>26028</v>
      </c>
      <c r="AO422" s="86" t="s">
        <v>26807</v>
      </c>
      <c r="AP422" s="96" t="str">
        <f>HYPERLINK("https://t.co/32UG9KDZY4")</f>
        <v>https://t.co/32UG9KDZY4</v>
      </c>
      <c r="AQ422" s="96" t="str">
        <f>HYPERLINK("http://agenciasertao.com")</f>
        <v>http://agenciasertao.com</v>
      </c>
      <c r="AR422" s="86" t="s">
        <v>28189</v>
      </c>
      <c r="AS422" s="86"/>
      <c r="AT422" s="86"/>
      <c r="AU422" s="86"/>
      <c r="AV422" s="86"/>
      <c r="AW422" s="96" t="str">
        <f>HYPERLINK("https://t.co/32UG9KDZY4")</f>
        <v>https://t.co/32UG9KDZY4</v>
      </c>
      <c r="AX422" s="86" t="b">
        <v>0</v>
      </c>
      <c r="AY422" s="86"/>
      <c r="AZ422" s="86"/>
      <c r="BA422" s="86" t="b">
        <v>0</v>
      </c>
      <c r="BB422" s="86" t="b">
        <v>1</v>
      </c>
      <c r="BC422" s="86" t="b">
        <v>1</v>
      </c>
      <c r="BD422" s="86" t="b">
        <v>0</v>
      </c>
      <c r="BE422" s="86" t="b">
        <v>0</v>
      </c>
      <c r="BF422" s="86" t="b">
        <v>0</v>
      </c>
      <c r="BG422" s="86" t="b">
        <v>0</v>
      </c>
      <c r="BH422" s="96" t="str">
        <f>HYPERLINK("https://pbs.twimg.com/profile_banners/903661555434356737/1504923948")</f>
        <v>https://pbs.twimg.com/profile_banners/903661555434356737/1504923948</v>
      </c>
      <c r="BI422" s="86"/>
      <c r="BJ422" s="86" t="s">
        <v>29134</v>
      </c>
      <c r="BK422" s="86" t="b">
        <v>0</v>
      </c>
      <c r="BL422" s="86"/>
      <c r="BM422" s="86" t="s">
        <v>66</v>
      </c>
      <c r="BN422" s="86" t="s">
        <v>29136</v>
      </c>
      <c r="BO422" s="96" t="str">
        <f>HYPERLINK("https://twitter.com/agenciasertao_")</f>
        <v>https://twitter.com/agenciasertao_</v>
      </c>
      <c r="BP422" s="2"/>
    </row>
    <row r="423" spans="1:68" x14ac:dyDescent="0.25">
      <c r="A423" s="63" t="s">
        <v>587</v>
      </c>
      <c r="B423" s="64"/>
      <c r="C423" s="64"/>
      <c r="D423" s="65"/>
      <c r="E423" s="67"/>
      <c r="F423" s="111" t="str">
        <f>HYPERLINK("https://pbs.twimg.com/profile_images/1681792656685277184/bK4lJ1lr_normal.jpg")</f>
        <v>https://pbs.twimg.com/profile_images/1681792656685277184/bK4lJ1lr_normal.jpg</v>
      </c>
      <c r="G423" s="64"/>
      <c r="H423" s="68"/>
      <c r="I423" s="69"/>
      <c r="J423" s="69"/>
      <c r="K423" s="68" t="s">
        <v>29556</v>
      </c>
      <c r="L423" s="72"/>
      <c r="M423" s="73"/>
      <c r="N423" s="73"/>
      <c r="O423" s="74"/>
      <c r="P423" s="75"/>
      <c r="Q423" s="75"/>
      <c r="R423" s="102"/>
      <c r="S423" s="102"/>
      <c r="T423" s="102"/>
      <c r="U423" s="102"/>
      <c r="V423" s="48"/>
      <c r="W423" s="48"/>
      <c r="X423" s="48"/>
      <c r="Y423" s="48"/>
      <c r="Z423" s="47"/>
      <c r="AA423" s="70">
        <v>423</v>
      </c>
      <c r="AB423" s="70"/>
      <c r="AC423" s="71"/>
      <c r="AD423" s="86" t="s">
        <v>24052</v>
      </c>
      <c r="AE423" s="94" t="s">
        <v>25392</v>
      </c>
      <c r="AF423" s="86">
        <v>61781</v>
      </c>
      <c r="AG423" s="86">
        <v>892</v>
      </c>
      <c r="AH423" s="86">
        <v>19031</v>
      </c>
      <c r="AI423" s="86">
        <v>359</v>
      </c>
      <c r="AJ423" s="86">
        <v>1422</v>
      </c>
      <c r="AK423" s="86">
        <v>164</v>
      </c>
      <c r="AL423" s="86" t="b">
        <v>0</v>
      </c>
      <c r="AM423" s="89">
        <v>40607.754618055558</v>
      </c>
      <c r="AN423" s="86" t="s">
        <v>26029</v>
      </c>
      <c r="AO423" s="86" t="s">
        <v>26808</v>
      </c>
      <c r="AP423" s="86"/>
      <c r="AQ423" s="86"/>
      <c r="AR423" s="86"/>
      <c r="AS423" s="86"/>
      <c r="AT423" s="86"/>
      <c r="AU423" s="86"/>
      <c r="AV423" s="86">
        <v>1.69775488277664E+18</v>
      </c>
      <c r="AW423" s="86"/>
      <c r="AX423" s="86" t="b">
        <v>0</v>
      </c>
      <c r="AY423" s="86"/>
      <c r="AZ423" s="86"/>
      <c r="BA423" s="86" t="b">
        <v>1</v>
      </c>
      <c r="BB423" s="86" t="b">
        <v>0</v>
      </c>
      <c r="BC423" s="86" t="b">
        <v>0</v>
      </c>
      <c r="BD423" s="86" t="b">
        <v>0</v>
      </c>
      <c r="BE423" s="86" t="b">
        <v>1</v>
      </c>
      <c r="BF423" s="86" t="b">
        <v>0</v>
      </c>
      <c r="BG423" s="86" t="b">
        <v>1</v>
      </c>
      <c r="BH423" s="96" t="str">
        <f>HYPERLINK("https://pbs.twimg.com/profile_banners/261313176/1689805648")</f>
        <v>https://pbs.twimg.com/profile_banners/261313176/1689805648</v>
      </c>
      <c r="BI423" s="86"/>
      <c r="BJ423" s="86" t="s">
        <v>29135</v>
      </c>
      <c r="BK423" s="86" t="b">
        <v>0</v>
      </c>
      <c r="BL423" s="86"/>
      <c r="BM423" s="86" t="s">
        <v>66</v>
      </c>
      <c r="BN423" s="86" t="s">
        <v>29136</v>
      </c>
      <c r="BO423" s="96" t="str">
        <f>HYPERLINK("https://twitter.com/q20anon30")</f>
        <v>https://twitter.com/q20anon30</v>
      </c>
      <c r="BP423" s="2"/>
    </row>
    <row r="424" spans="1:68" x14ac:dyDescent="0.25">
      <c r="A424" s="63" t="s">
        <v>1667</v>
      </c>
      <c r="B424" s="64"/>
      <c r="C424" s="64"/>
      <c r="D424" s="65"/>
      <c r="E424" s="67"/>
      <c r="F424" s="111" t="str">
        <f>HYPERLINK("https://pbs.twimg.com/profile_images/1579955304434901002/lMvIQMI3_normal.jpg")</f>
        <v>https://pbs.twimg.com/profile_images/1579955304434901002/lMvIQMI3_normal.jpg</v>
      </c>
      <c r="G424" s="64"/>
      <c r="H424" s="68"/>
      <c r="I424" s="69"/>
      <c r="J424" s="69"/>
      <c r="K424" s="68" t="s">
        <v>29557</v>
      </c>
      <c r="L424" s="72"/>
      <c r="M424" s="73"/>
      <c r="N424" s="73"/>
      <c r="O424" s="74"/>
      <c r="P424" s="75"/>
      <c r="Q424" s="75"/>
      <c r="R424" s="102"/>
      <c r="S424" s="102"/>
      <c r="T424" s="102"/>
      <c r="U424" s="102"/>
      <c r="V424" s="48"/>
      <c r="W424" s="48"/>
      <c r="X424" s="48"/>
      <c r="Y424" s="48"/>
      <c r="Z424" s="47"/>
      <c r="AA424" s="70">
        <v>424</v>
      </c>
      <c r="AB424" s="70"/>
      <c r="AC424" s="71"/>
      <c r="AD424" s="86" t="s">
        <v>24053</v>
      </c>
      <c r="AE424" s="94" t="s">
        <v>22549</v>
      </c>
      <c r="AF424" s="86">
        <v>49119</v>
      </c>
      <c r="AG424" s="86">
        <v>549</v>
      </c>
      <c r="AH424" s="86">
        <v>8923</v>
      </c>
      <c r="AI424" s="86">
        <v>99</v>
      </c>
      <c r="AJ424" s="86">
        <v>7446</v>
      </c>
      <c r="AK424" s="86">
        <v>1047</v>
      </c>
      <c r="AL424" s="86" t="b">
        <v>0</v>
      </c>
      <c r="AM424" s="89">
        <v>40009.149456018517</v>
      </c>
      <c r="AN424" s="86" t="s">
        <v>15372</v>
      </c>
      <c r="AO424" s="86" t="s">
        <v>26809</v>
      </c>
      <c r="AP424" s="96" t="str">
        <f>HYPERLINK("https://t.co/BP7qkvo0O7")</f>
        <v>https://t.co/BP7qkvo0O7</v>
      </c>
      <c r="AQ424" s="96" t="str">
        <f>HYPERLINK("https://bit.ly/CamilaFaraniiBest")</f>
        <v>https://bit.ly/CamilaFaraniiBest</v>
      </c>
      <c r="AR424" s="86" t="s">
        <v>28190</v>
      </c>
      <c r="AS424" s="86"/>
      <c r="AT424" s="86"/>
      <c r="AU424" s="86"/>
      <c r="AV424" s="86">
        <v>1.4591655872639201E+18</v>
      </c>
      <c r="AW424" s="96" t="str">
        <f>HYPERLINK("https://t.co/BP7qkvo0O7")</f>
        <v>https://t.co/BP7qkvo0O7</v>
      </c>
      <c r="AX424" s="86" t="b">
        <v>0</v>
      </c>
      <c r="AY424" s="86"/>
      <c r="AZ424" s="86"/>
      <c r="BA424" s="86" t="b">
        <v>0</v>
      </c>
      <c r="BB424" s="86" t="b">
        <v>1</v>
      </c>
      <c r="BC424" s="86" t="b">
        <v>0</v>
      </c>
      <c r="BD424" s="86" t="b">
        <v>0</v>
      </c>
      <c r="BE424" s="86" t="b">
        <v>1</v>
      </c>
      <c r="BF424" s="86" t="b">
        <v>0</v>
      </c>
      <c r="BG424" s="86" t="b">
        <v>0</v>
      </c>
      <c r="BH424" s="96" t="str">
        <f>HYPERLINK("https://pbs.twimg.com/profile_banners/56913230/1666069683")</f>
        <v>https://pbs.twimg.com/profile_banners/56913230/1666069683</v>
      </c>
      <c r="BI424" s="86"/>
      <c r="BJ424" s="86" t="s">
        <v>29134</v>
      </c>
      <c r="BK424" s="86" t="b">
        <v>0</v>
      </c>
      <c r="BL424" s="86"/>
      <c r="BM424" s="86" t="s">
        <v>65</v>
      </c>
      <c r="BN424" s="86" t="s">
        <v>29136</v>
      </c>
      <c r="BO424" s="96" t="str">
        <f>HYPERLINK("https://twitter.com/camilafarani")</f>
        <v>https://twitter.com/camilafarani</v>
      </c>
      <c r="BP424" s="2"/>
    </row>
    <row r="425" spans="1:68" x14ac:dyDescent="0.25">
      <c r="A425" s="63" t="s">
        <v>588</v>
      </c>
      <c r="B425" s="64"/>
      <c r="C425" s="64"/>
      <c r="D425" s="65"/>
      <c r="E425" s="67"/>
      <c r="F425" s="111" t="str">
        <f>HYPERLINK("https://pbs.twimg.com/profile_images/1620416878366842880/hF3un4XC_normal.jpg")</f>
        <v>https://pbs.twimg.com/profile_images/1620416878366842880/hF3un4XC_normal.jpg</v>
      </c>
      <c r="G425" s="64"/>
      <c r="H425" s="68"/>
      <c r="I425" s="69"/>
      <c r="J425" s="69"/>
      <c r="K425" s="68" t="s">
        <v>29558</v>
      </c>
      <c r="L425" s="72"/>
      <c r="M425" s="73"/>
      <c r="N425" s="73"/>
      <c r="O425" s="74"/>
      <c r="P425" s="75"/>
      <c r="Q425" s="75"/>
      <c r="R425" s="102"/>
      <c r="S425" s="102"/>
      <c r="T425" s="102"/>
      <c r="U425" s="102"/>
      <c r="V425" s="48"/>
      <c r="W425" s="48"/>
      <c r="X425" s="48"/>
      <c r="Y425" s="48"/>
      <c r="Z425" s="47"/>
      <c r="AA425" s="70">
        <v>425</v>
      </c>
      <c r="AB425" s="70"/>
      <c r="AC425" s="71"/>
      <c r="AD425" s="86" t="s">
        <v>24054</v>
      </c>
      <c r="AE425" s="94" t="s">
        <v>25393</v>
      </c>
      <c r="AF425" s="86">
        <v>10912939</v>
      </c>
      <c r="AG425" s="86">
        <v>1780</v>
      </c>
      <c r="AH425" s="86">
        <v>67420</v>
      </c>
      <c r="AI425" s="86">
        <v>30174</v>
      </c>
      <c r="AJ425" s="86">
        <v>908</v>
      </c>
      <c r="AK425" s="86">
        <v>11396</v>
      </c>
      <c r="AL425" s="86" t="b">
        <v>0</v>
      </c>
      <c r="AM425" s="89">
        <v>39930.63354166667</v>
      </c>
      <c r="AN425" s="86" t="s">
        <v>15234</v>
      </c>
      <c r="AO425" s="86" t="s">
        <v>26810</v>
      </c>
      <c r="AP425" s="96" t="str">
        <f>HYPERLINK("https://t.co/gpTLnUGoEK")</f>
        <v>https://t.co/gpTLnUGoEK</v>
      </c>
      <c r="AQ425" s="96" t="str">
        <f>HYPERLINK("https://www.youtube.com/PanicoJovemPan")</f>
        <v>https://www.youtube.com/PanicoJovemPan</v>
      </c>
      <c r="AR425" s="86" t="s">
        <v>28191</v>
      </c>
      <c r="AS425" s="86"/>
      <c r="AT425" s="86"/>
      <c r="AU425" s="86"/>
      <c r="AV425" s="86"/>
      <c r="AW425" s="96" t="str">
        <f>HYPERLINK("https://t.co/gpTLnUGoEK")</f>
        <v>https://t.co/gpTLnUGoEK</v>
      </c>
      <c r="AX425" s="86" t="b">
        <v>1</v>
      </c>
      <c r="AY425" s="86"/>
      <c r="AZ425" s="86"/>
      <c r="BA425" s="86" t="b">
        <v>0</v>
      </c>
      <c r="BB425" s="86" t="b">
        <v>1</v>
      </c>
      <c r="BC425" s="86" t="b">
        <v>0</v>
      </c>
      <c r="BD425" s="86" t="b">
        <v>0</v>
      </c>
      <c r="BE425" s="86" t="b">
        <v>1</v>
      </c>
      <c r="BF425" s="86" t="b">
        <v>0</v>
      </c>
      <c r="BG425" s="86" t="b">
        <v>0</v>
      </c>
      <c r="BH425" s="96" t="str">
        <f>HYPERLINK("https://pbs.twimg.com/profile_banners/35765232/1675193152")</f>
        <v>https://pbs.twimg.com/profile_banners/35765232/1675193152</v>
      </c>
      <c r="BI425" s="86"/>
      <c r="BJ425" s="86" t="s">
        <v>29134</v>
      </c>
      <c r="BK425" s="86" t="b">
        <v>0</v>
      </c>
      <c r="BL425" s="86"/>
      <c r="BM425" s="86" t="s">
        <v>66</v>
      </c>
      <c r="BN425" s="86" t="s">
        <v>29136</v>
      </c>
      <c r="BO425" s="96" t="str">
        <f>HYPERLINK("https://twitter.com/programapanico")</f>
        <v>https://twitter.com/programapanico</v>
      </c>
      <c r="BP425" s="2"/>
    </row>
    <row r="426" spans="1:68" x14ac:dyDescent="0.25">
      <c r="A426" s="63" t="s">
        <v>589</v>
      </c>
      <c r="B426" s="64"/>
      <c r="C426" s="64"/>
      <c r="D426" s="65"/>
      <c r="E426" s="67"/>
      <c r="F426" s="111" t="str">
        <f>HYPERLINK("https://pbs.twimg.com/profile_images/1697333420777439232/SbtnV-We_normal.jpg")</f>
        <v>https://pbs.twimg.com/profile_images/1697333420777439232/SbtnV-We_normal.jpg</v>
      </c>
      <c r="G426" s="64"/>
      <c r="H426" s="68"/>
      <c r="I426" s="69"/>
      <c r="J426" s="69"/>
      <c r="K426" s="68" t="s">
        <v>29559</v>
      </c>
      <c r="L426" s="72"/>
      <c r="M426" s="73"/>
      <c r="N426" s="73"/>
      <c r="O426" s="74"/>
      <c r="P426" s="75"/>
      <c r="Q426" s="75"/>
      <c r="R426" s="102"/>
      <c r="S426" s="102"/>
      <c r="T426" s="102"/>
      <c r="U426" s="102"/>
      <c r="V426" s="48"/>
      <c r="W426" s="48"/>
      <c r="X426" s="48"/>
      <c r="Y426" s="48"/>
      <c r="Z426" s="47"/>
      <c r="AA426" s="70">
        <v>426</v>
      </c>
      <c r="AB426" s="70"/>
      <c r="AC426" s="71"/>
      <c r="AD426" s="86" t="s">
        <v>24055</v>
      </c>
      <c r="AE426" s="94" t="s">
        <v>25394</v>
      </c>
      <c r="AF426" s="86">
        <v>27879</v>
      </c>
      <c r="AG426" s="86">
        <v>377</v>
      </c>
      <c r="AH426" s="86">
        <v>27314</v>
      </c>
      <c r="AI426" s="86">
        <v>4</v>
      </c>
      <c r="AJ426" s="86">
        <v>857</v>
      </c>
      <c r="AK426" s="86">
        <v>4372</v>
      </c>
      <c r="AL426" s="86" t="b">
        <v>0</v>
      </c>
      <c r="AM426" s="89">
        <v>40547.771226851852</v>
      </c>
      <c r="AN426" s="86" t="s">
        <v>25980</v>
      </c>
      <c r="AO426" s="86" t="s">
        <v>26811</v>
      </c>
      <c r="AP426" s="96" t="str">
        <f>HYPERLINK("https://t.co/Qhah3UtUuL")</f>
        <v>https://t.co/Qhah3UtUuL</v>
      </c>
      <c r="AQ426" s="96" t="str">
        <f>HYPERLINK("http://nhosorvetes.com.br")</f>
        <v>http://nhosorvetes.com.br</v>
      </c>
      <c r="AR426" s="86" t="s">
        <v>28192</v>
      </c>
      <c r="AS426" s="86"/>
      <c r="AT426" s="86"/>
      <c r="AU426" s="86"/>
      <c r="AV426" s="86"/>
      <c r="AW426" s="96" t="str">
        <f>HYPERLINK("https://t.co/Qhah3UtUuL")</f>
        <v>https://t.co/Qhah3UtUuL</v>
      </c>
      <c r="AX426" s="86" t="b">
        <v>0</v>
      </c>
      <c r="AY426" s="86"/>
      <c r="AZ426" s="86"/>
      <c r="BA426" s="86" t="b">
        <v>0</v>
      </c>
      <c r="BB426" s="86" t="b">
        <v>1</v>
      </c>
      <c r="BC426" s="86" t="b">
        <v>0</v>
      </c>
      <c r="BD426" s="86" t="b">
        <v>0</v>
      </c>
      <c r="BE426" s="86" t="b">
        <v>0</v>
      </c>
      <c r="BF426" s="86" t="b">
        <v>0</v>
      </c>
      <c r="BG426" s="86" t="b">
        <v>0</v>
      </c>
      <c r="BH426" s="96" t="str">
        <f>HYPERLINK("https://pbs.twimg.com/profile_banners/234045173/1693626811")</f>
        <v>https://pbs.twimg.com/profile_banners/234045173/1693626811</v>
      </c>
      <c r="BI426" s="86"/>
      <c r="BJ426" s="86" t="s">
        <v>29134</v>
      </c>
      <c r="BK426" s="86" t="b">
        <v>0</v>
      </c>
      <c r="BL426" s="86"/>
      <c r="BM426" s="86" t="s">
        <v>66</v>
      </c>
      <c r="BN426" s="86" t="s">
        <v>29136</v>
      </c>
      <c r="BO426" s="96" t="str">
        <f>HYPERLINK("https://twitter.com/pauloyossimi")</f>
        <v>https://twitter.com/pauloyossimi</v>
      </c>
      <c r="BP426" s="2"/>
    </row>
    <row r="427" spans="1:68" x14ac:dyDescent="0.25">
      <c r="A427" s="63" t="s">
        <v>590</v>
      </c>
      <c r="B427" s="64"/>
      <c r="C427" s="64"/>
      <c r="D427" s="65"/>
      <c r="E427" s="67"/>
      <c r="F427" s="111" t="str">
        <f>HYPERLINK("https://pbs.twimg.com/profile_images/1703111972294713344/AChtcpbq_normal.jpg")</f>
        <v>https://pbs.twimg.com/profile_images/1703111972294713344/AChtcpbq_normal.jpg</v>
      </c>
      <c r="G427" s="64"/>
      <c r="H427" s="68"/>
      <c r="I427" s="69"/>
      <c r="J427" s="69"/>
      <c r="K427" s="68" t="s">
        <v>29560</v>
      </c>
      <c r="L427" s="72"/>
      <c r="M427" s="73"/>
      <c r="N427" s="73"/>
      <c r="O427" s="74"/>
      <c r="P427" s="75"/>
      <c r="Q427" s="75"/>
      <c r="R427" s="102"/>
      <c r="S427" s="102"/>
      <c r="T427" s="102"/>
      <c r="U427" s="102"/>
      <c r="V427" s="48"/>
      <c r="W427" s="48"/>
      <c r="X427" s="48"/>
      <c r="Y427" s="48"/>
      <c r="Z427" s="47"/>
      <c r="AA427" s="70">
        <v>427</v>
      </c>
      <c r="AB427" s="70"/>
      <c r="AC427" s="71"/>
      <c r="AD427" s="86" t="s">
        <v>24056</v>
      </c>
      <c r="AE427" s="94" t="s">
        <v>23000</v>
      </c>
      <c r="AF427" s="86">
        <v>1848</v>
      </c>
      <c r="AG427" s="86">
        <v>1831</v>
      </c>
      <c r="AH427" s="86">
        <v>8215</v>
      </c>
      <c r="AI427" s="86">
        <v>1</v>
      </c>
      <c r="AJ427" s="86">
        <v>21713</v>
      </c>
      <c r="AK427" s="86">
        <v>339</v>
      </c>
      <c r="AL427" s="86" t="b">
        <v>0</v>
      </c>
      <c r="AM427" s="89">
        <v>44502.880983796298</v>
      </c>
      <c r="AN427" s="86" t="s">
        <v>26030</v>
      </c>
      <c r="AO427" s="86" t="s">
        <v>26812</v>
      </c>
      <c r="AP427" s="96" t="str">
        <f>HYPERLINK("https://t.co/8JM52Ni6jr")</f>
        <v>https://t.co/8JM52Ni6jr</v>
      </c>
      <c r="AQ427" s="96" t="str">
        <f>HYPERLINK("https://sociogigante.com/")</f>
        <v>https://sociogigante.com/</v>
      </c>
      <c r="AR427" s="86" t="s">
        <v>28193</v>
      </c>
      <c r="AS427" s="86"/>
      <c r="AT427" s="86"/>
      <c r="AU427" s="86"/>
      <c r="AV427" s="86"/>
      <c r="AW427" s="96" t="str">
        <f>HYPERLINK("https://t.co/8JM52Ni6jr")</f>
        <v>https://t.co/8JM52Ni6jr</v>
      </c>
      <c r="AX427" s="86" t="b">
        <v>0</v>
      </c>
      <c r="AY427" s="86"/>
      <c r="AZ427" s="86"/>
      <c r="BA427" s="86" t="b">
        <v>1</v>
      </c>
      <c r="BB427" s="86" t="b">
        <v>0</v>
      </c>
      <c r="BC427" s="86" t="b">
        <v>1</v>
      </c>
      <c r="BD427" s="86" t="b">
        <v>0</v>
      </c>
      <c r="BE427" s="86" t="b">
        <v>1</v>
      </c>
      <c r="BF427" s="86" t="b">
        <v>0</v>
      </c>
      <c r="BG427" s="86" t="b">
        <v>0</v>
      </c>
      <c r="BH427" s="96" t="str">
        <f>HYPERLINK("https://pbs.twimg.com/profile_banners/1455642862478110724/1678404169")</f>
        <v>https://pbs.twimg.com/profile_banners/1455642862478110724/1678404169</v>
      </c>
      <c r="BI427" s="86"/>
      <c r="BJ427" s="86" t="s">
        <v>29134</v>
      </c>
      <c r="BK427" s="86" t="b">
        <v>0</v>
      </c>
      <c r="BL427" s="86"/>
      <c r="BM427" s="86" t="s">
        <v>66</v>
      </c>
      <c r="BN427" s="86" t="s">
        <v>29136</v>
      </c>
      <c r="BO427" s="96" t="str">
        <f>HYPERLINK("https://twitter.com/9s_fora")</f>
        <v>https://twitter.com/9s_fora</v>
      </c>
      <c r="BP427" s="2"/>
    </row>
    <row r="428" spans="1:68" x14ac:dyDescent="0.25">
      <c r="A428" s="63" t="s">
        <v>1668</v>
      </c>
      <c r="B428" s="64"/>
      <c r="C428" s="64"/>
      <c r="D428" s="65"/>
      <c r="E428" s="67"/>
      <c r="F428" s="111" t="str">
        <f>HYPERLINK("https://pbs.twimg.com/profile_images/1117246465468923904/kqWoeHLz_normal.png")</f>
        <v>https://pbs.twimg.com/profile_images/1117246465468923904/kqWoeHLz_normal.png</v>
      </c>
      <c r="G428" s="64"/>
      <c r="H428" s="68"/>
      <c r="I428" s="69"/>
      <c r="J428" s="69"/>
      <c r="K428" s="68" t="s">
        <v>29561</v>
      </c>
      <c r="L428" s="72"/>
      <c r="M428" s="73"/>
      <c r="N428" s="73"/>
      <c r="O428" s="74"/>
      <c r="P428" s="75"/>
      <c r="Q428" s="75"/>
      <c r="R428" s="102"/>
      <c r="S428" s="102"/>
      <c r="T428" s="102"/>
      <c r="U428" s="102"/>
      <c r="V428" s="48"/>
      <c r="W428" s="48"/>
      <c r="X428" s="48"/>
      <c r="Y428" s="48"/>
      <c r="Z428" s="47"/>
      <c r="AA428" s="70">
        <v>428</v>
      </c>
      <c r="AB428" s="70"/>
      <c r="AC428" s="71"/>
      <c r="AD428" s="86" t="s">
        <v>24057</v>
      </c>
      <c r="AE428" s="94" t="s">
        <v>22550</v>
      </c>
      <c r="AF428" s="86">
        <v>13254</v>
      </c>
      <c r="AG428" s="86">
        <v>3841</v>
      </c>
      <c r="AH428" s="86">
        <v>36376</v>
      </c>
      <c r="AI428" s="86">
        <v>85</v>
      </c>
      <c r="AJ428" s="86">
        <v>67045</v>
      </c>
      <c r="AK428" s="86">
        <v>1095</v>
      </c>
      <c r="AL428" s="86" t="b">
        <v>0</v>
      </c>
      <c r="AM428" s="89">
        <v>39822.922835648147</v>
      </c>
      <c r="AN428" s="86" t="s">
        <v>26031</v>
      </c>
      <c r="AO428" s="86" t="s">
        <v>26813</v>
      </c>
      <c r="AP428" s="96" t="str">
        <f>HYPERLINK("https://t.co/2x49m3G8XJ")</f>
        <v>https://t.co/2x49m3G8XJ</v>
      </c>
      <c r="AQ428" s="96" t="str">
        <f>HYPERLINK("http://jornalismodebancada.wordpress.com")</f>
        <v>http://jornalismodebancada.wordpress.com</v>
      </c>
      <c r="AR428" s="86" t="s">
        <v>28194</v>
      </c>
      <c r="AS428" s="86"/>
      <c r="AT428" s="86"/>
      <c r="AU428" s="86"/>
      <c r="AV428" s="86">
        <v>1.11139848853579E+18</v>
      </c>
      <c r="AW428" s="96" t="str">
        <f>HYPERLINK("https://t.co/2x49m3G8XJ")</f>
        <v>https://t.co/2x49m3G8XJ</v>
      </c>
      <c r="AX428" s="86" t="b">
        <v>0</v>
      </c>
      <c r="AY428" s="86"/>
      <c r="AZ428" s="86"/>
      <c r="BA428" s="86" t="b">
        <v>1</v>
      </c>
      <c r="BB428" s="86" t="b">
        <v>0</v>
      </c>
      <c r="BC428" s="86" t="b">
        <v>0</v>
      </c>
      <c r="BD428" s="86" t="b">
        <v>0</v>
      </c>
      <c r="BE428" s="86" t="b">
        <v>1</v>
      </c>
      <c r="BF428" s="86" t="b">
        <v>0</v>
      </c>
      <c r="BG428" s="86" t="b">
        <v>0</v>
      </c>
      <c r="BH428" s="96" t="str">
        <f>HYPERLINK("https://pbs.twimg.com/profile_banners/18817549/1693629882")</f>
        <v>https://pbs.twimg.com/profile_banners/18817549/1693629882</v>
      </c>
      <c r="BI428" s="86"/>
      <c r="BJ428" s="86" t="s">
        <v>29134</v>
      </c>
      <c r="BK428" s="86" t="b">
        <v>0</v>
      </c>
      <c r="BL428" s="86"/>
      <c r="BM428" s="86" t="s">
        <v>65</v>
      </c>
      <c r="BN428" s="86" t="s">
        <v>29136</v>
      </c>
      <c r="BO428" s="96" t="str">
        <f>HYPERLINK("https://twitter.com/gustavomehl")</f>
        <v>https://twitter.com/gustavomehl</v>
      </c>
      <c r="BP428" s="2"/>
    </row>
    <row r="429" spans="1:68" x14ac:dyDescent="0.25">
      <c r="A429" s="63" t="s">
        <v>591</v>
      </c>
      <c r="B429" s="64"/>
      <c r="C429" s="64"/>
      <c r="D429" s="65"/>
      <c r="E429" s="67"/>
      <c r="F429" s="111" t="str">
        <f>HYPERLINK("https://pbs.twimg.com/profile_images/1618283478902095872/IIOe-OIG_normal.png")</f>
        <v>https://pbs.twimg.com/profile_images/1618283478902095872/IIOe-OIG_normal.png</v>
      </c>
      <c r="G429" s="64"/>
      <c r="H429" s="68"/>
      <c r="I429" s="69"/>
      <c r="J429" s="69"/>
      <c r="K429" s="68" t="s">
        <v>29562</v>
      </c>
      <c r="L429" s="72"/>
      <c r="M429" s="73"/>
      <c r="N429" s="73"/>
      <c r="O429" s="74"/>
      <c r="P429" s="75"/>
      <c r="Q429" s="75"/>
      <c r="R429" s="102"/>
      <c r="S429" s="102"/>
      <c r="T429" s="102"/>
      <c r="U429" s="102"/>
      <c r="V429" s="48"/>
      <c r="W429" s="48"/>
      <c r="X429" s="48"/>
      <c r="Y429" s="48"/>
      <c r="Z429" s="47"/>
      <c r="AA429" s="70">
        <v>429</v>
      </c>
      <c r="AB429" s="70"/>
      <c r="AC429" s="71"/>
      <c r="AD429" s="86" t="s">
        <v>24058</v>
      </c>
      <c r="AE429" s="94" t="s">
        <v>23001</v>
      </c>
      <c r="AF429" s="86">
        <v>4</v>
      </c>
      <c r="AG429" s="86">
        <v>9</v>
      </c>
      <c r="AH429" s="86">
        <v>44</v>
      </c>
      <c r="AI429" s="86">
        <v>0</v>
      </c>
      <c r="AJ429" s="86">
        <v>1</v>
      </c>
      <c r="AK429" s="86">
        <v>32</v>
      </c>
      <c r="AL429" s="86" t="b">
        <v>0</v>
      </c>
      <c r="AM429" s="89">
        <v>44949.804212962961</v>
      </c>
      <c r="AN429" s="86" t="s">
        <v>15372</v>
      </c>
      <c r="AO429" s="86" t="s">
        <v>26814</v>
      </c>
      <c r="AP429" s="96" t="str">
        <f>HYPERLINK("https://t.co/8dB0xhSLtR")</f>
        <v>https://t.co/8dB0xhSLtR</v>
      </c>
      <c r="AQ429" s="96" t="str">
        <f>HYPERLINK("http://www.minum.com.br")</f>
        <v>http://www.minum.com.br</v>
      </c>
      <c r="AR429" s="86" t="s">
        <v>28195</v>
      </c>
      <c r="AS429" s="86"/>
      <c r="AT429" s="86"/>
      <c r="AU429" s="86"/>
      <c r="AV429" s="86"/>
      <c r="AW429" s="96" t="str">
        <f>HYPERLINK("https://t.co/8dB0xhSLtR")</f>
        <v>https://t.co/8dB0xhSLtR</v>
      </c>
      <c r="AX429" s="86" t="b">
        <v>0</v>
      </c>
      <c r="AY429" s="86"/>
      <c r="AZ429" s="86"/>
      <c r="BA429" s="86" t="b">
        <v>0</v>
      </c>
      <c r="BB429" s="86" t="b">
        <v>1</v>
      </c>
      <c r="BC429" s="86" t="b">
        <v>1</v>
      </c>
      <c r="BD429" s="86" t="b">
        <v>0</v>
      </c>
      <c r="BE429" s="86" t="b">
        <v>0</v>
      </c>
      <c r="BF429" s="86" t="b">
        <v>0</v>
      </c>
      <c r="BG429" s="86" t="b">
        <v>0</v>
      </c>
      <c r="BH429" s="96" t="str">
        <f>HYPERLINK("https://pbs.twimg.com/profile_banners/1617602488475033601/1688585769")</f>
        <v>https://pbs.twimg.com/profile_banners/1617602488475033601/1688585769</v>
      </c>
      <c r="BI429" s="86"/>
      <c r="BJ429" s="86" t="s">
        <v>29134</v>
      </c>
      <c r="BK429" s="86" t="b">
        <v>0</v>
      </c>
      <c r="BL429" s="86"/>
      <c r="BM429" s="86" t="s">
        <v>66</v>
      </c>
      <c r="BN429" s="86" t="s">
        <v>29136</v>
      </c>
      <c r="BO429" s="96" t="str">
        <f>HYPERLINK("https://twitter.com/minumenergia")</f>
        <v>https://twitter.com/minumenergia</v>
      </c>
      <c r="BP429" s="2"/>
    </row>
    <row r="430" spans="1:68" x14ac:dyDescent="0.25">
      <c r="A430" s="63" t="s">
        <v>592</v>
      </c>
      <c r="B430" s="64"/>
      <c r="C430" s="64"/>
      <c r="D430" s="65"/>
      <c r="E430" s="67"/>
      <c r="F430" s="111" t="str">
        <f>HYPERLINK("https://pbs.twimg.com/profile_images/1686866790565998592/VabrdwFz_normal.jpg")</f>
        <v>https://pbs.twimg.com/profile_images/1686866790565998592/VabrdwFz_normal.jpg</v>
      </c>
      <c r="G430" s="64"/>
      <c r="H430" s="68"/>
      <c r="I430" s="69"/>
      <c r="J430" s="69"/>
      <c r="K430" s="68" t="s">
        <v>29563</v>
      </c>
      <c r="L430" s="72"/>
      <c r="M430" s="73"/>
      <c r="N430" s="73"/>
      <c r="O430" s="74"/>
      <c r="P430" s="75"/>
      <c r="Q430" s="75"/>
      <c r="R430" s="102"/>
      <c r="S430" s="102"/>
      <c r="T430" s="102"/>
      <c r="U430" s="102"/>
      <c r="V430" s="48"/>
      <c r="W430" s="48"/>
      <c r="X430" s="48"/>
      <c r="Y430" s="48"/>
      <c r="Z430" s="47"/>
      <c r="AA430" s="70">
        <v>430</v>
      </c>
      <c r="AB430" s="70"/>
      <c r="AC430" s="71"/>
      <c r="AD430" s="86" t="s">
        <v>24059</v>
      </c>
      <c r="AE430" s="94" t="s">
        <v>23002</v>
      </c>
      <c r="AF430" s="86">
        <v>3</v>
      </c>
      <c r="AG430" s="86">
        <v>2</v>
      </c>
      <c r="AH430" s="86">
        <v>7</v>
      </c>
      <c r="AI430" s="86">
        <v>0</v>
      </c>
      <c r="AJ430" s="86">
        <v>1</v>
      </c>
      <c r="AK430" s="86">
        <v>7</v>
      </c>
      <c r="AL430" s="86" t="b">
        <v>0</v>
      </c>
      <c r="AM430" s="89">
        <v>45140.937002314815</v>
      </c>
      <c r="AN430" s="86"/>
      <c r="AO430" s="86" t="s">
        <v>26815</v>
      </c>
      <c r="AP430" s="86"/>
      <c r="AQ430" s="86"/>
      <c r="AR430" s="86"/>
      <c r="AS430" s="86"/>
      <c r="AT430" s="86"/>
      <c r="AU430" s="86"/>
      <c r="AV430" s="86"/>
      <c r="AW430" s="86"/>
      <c r="AX430" s="86" t="b">
        <v>0</v>
      </c>
      <c r="AY430" s="86"/>
      <c r="AZ430" s="86"/>
      <c r="BA430" s="86" t="b">
        <v>0</v>
      </c>
      <c r="BB430" s="86" t="b">
        <v>1</v>
      </c>
      <c r="BC430" s="86" t="b">
        <v>1</v>
      </c>
      <c r="BD430" s="86" t="b">
        <v>0</v>
      </c>
      <c r="BE430" s="86" t="b">
        <v>0</v>
      </c>
      <c r="BF430" s="86" t="b">
        <v>0</v>
      </c>
      <c r="BG430" s="86" t="b">
        <v>0</v>
      </c>
      <c r="BH430" s="96" t="str">
        <f>HYPERLINK("https://pbs.twimg.com/profile_banners/1686866728788058112/1691688796")</f>
        <v>https://pbs.twimg.com/profile_banners/1686866728788058112/1691688796</v>
      </c>
      <c r="BI430" s="86"/>
      <c r="BJ430" s="86" t="s">
        <v>29134</v>
      </c>
      <c r="BK430" s="86" t="b">
        <v>0</v>
      </c>
      <c r="BL430" s="86"/>
      <c r="BM430" s="86" t="s">
        <v>66</v>
      </c>
      <c r="BN430" s="86" t="s">
        <v>29136</v>
      </c>
      <c r="BO430" s="96" t="str">
        <f>HYPERLINK("https://twitter.com/ferininja")</f>
        <v>https://twitter.com/ferininja</v>
      </c>
      <c r="BP430" s="2"/>
    </row>
    <row r="431" spans="1:68" x14ac:dyDescent="0.25">
      <c r="A431" s="63" t="s">
        <v>593</v>
      </c>
      <c r="B431" s="64"/>
      <c r="C431" s="64"/>
      <c r="D431" s="65"/>
      <c r="E431" s="67"/>
      <c r="F431" s="111" t="str">
        <f>HYPERLINK("https://pbs.twimg.com/profile_images/1637240469905199104/IKcG3ADl_normal.jpg")</f>
        <v>https://pbs.twimg.com/profile_images/1637240469905199104/IKcG3ADl_normal.jpg</v>
      </c>
      <c r="G431" s="64"/>
      <c r="H431" s="68"/>
      <c r="I431" s="69"/>
      <c r="J431" s="69"/>
      <c r="K431" s="68" t="s">
        <v>29564</v>
      </c>
      <c r="L431" s="72"/>
      <c r="M431" s="73"/>
      <c r="N431" s="73"/>
      <c r="O431" s="74"/>
      <c r="P431" s="75"/>
      <c r="Q431" s="75"/>
      <c r="R431" s="102"/>
      <c r="S431" s="102"/>
      <c r="T431" s="102"/>
      <c r="U431" s="102"/>
      <c r="V431" s="48"/>
      <c r="W431" s="48"/>
      <c r="X431" s="48"/>
      <c r="Y431" s="48"/>
      <c r="Z431" s="47"/>
      <c r="AA431" s="70">
        <v>431</v>
      </c>
      <c r="AB431" s="70"/>
      <c r="AC431" s="71"/>
      <c r="AD431" s="86" t="s">
        <v>24060</v>
      </c>
      <c r="AE431" s="94" t="s">
        <v>23003</v>
      </c>
      <c r="AF431" s="86">
        <v>2</v>
      </c>
      <c r="AG431" s="86">
        <v>10</v>
      </c>
      <c r="AH431" s="86">
        <v>52</v>
      </c>
      <c r="AI431" s="86">
        <v>0</v>
      </c>
      <c r="AJ431" s="86">
        <v>14</v>
      </c>
      <c r="AK431" s="86">
        <v>3</v>
      </c>
      <c r="AL431" s="86" t="b">
        <v>0</v>
      </c>
      <c r="AM431" s="89">
        <v>45003.985405092593</v>
      </c>
      <c r="AN431" s="86" t="s">
        <v>15235</v>
      </c>
      <c r="AO431" s="86" t="s">
        <v>26816</v>
      </c>
      <c r="AP431" s="96" t="str">
        <f>HYPERLINK("https://t.co/ttkhqQ1Z3g")</f>
        <v>https://t.co/ttkhqQ1Z3g</v>
      </c>
      <c r="AQ431" s="96" t="str">
        <f>HYPERLINK("https://onepersonbusiness.pt")</f>
        <v>https://onepersonbusiness.pt</v>
      </c>
      <c r="AR431" s="86" t="s">
        <v>8437</v>
      </c>
      <c r="AS431" s="86"/>
      <c r="AT431" s="86"/>
      <c r="AU431" s="86"/>
      <c r="AV431" s="86">
        <v>1.6899107744188301E+18</v>
      </c>
      <c r="AW431" s="96" t="str">
        <f>HYPERLINK("https://t.co/ttkhqQ1Z3g")</f>
        <v>https://t.co/ttkhqQ1Z3g</v>
      </c>
      <c r="AX431" s="86" t="b">
        <v>0</v>
      </c>
      <c r="AY431" s="86"/>
      <c r="AZ431" s="86"/>
      <c r="BA431" s="86" t="b">
        <v>0</v>
      </c>
      <c r="BB431" s="86" t="b">
        <v>1</v>
      </c>
      <c r="BC431" s="86" t="b">
        <v>1</v>
      </c>
      <c r="BD431" s="86" t="b">
        <v>0</v>
      </c>
      <c r="BE431" s="86" t="b">
        <v>0</v>
      </c>
      <c r="BF431" s="86" t="b">
        <v>0</v>
      </c>
      <c r="BG431" s="86" t="b">
        <v>0</v>
      </c>
      <c r="BH431" s="96" t="str">
        <f>HYPERLINK("https://pbs.twimg.com/profile_banners/1637237117779599361/1689496598")</f>
        <v>https://pbs.twimg.com/profile_banners/1637237117779599361/1689496598</v>
      </c>
      <c r="BI431" s="86"/>
      <c r="BJ431" s="86" t="s">
        <v>29134</v>
      </c>
      <c r="BK431" s="86" t="b">
        <v>0</v>
      </c>
      <c r="BL431" s="86"/>
      <c r="BM431" s="86" t="s">
        <v>66</v>
      </c>
      <c r="BN431" s="86" t="s">
        <v>29136</v>
      </c>
      <c r="BO431" s="96" t="str">
        <f>HYPERLINK("https://twitter.com/businessopb")</f>
        <v>https://twitter.com/businessopb</v>
      </c>
      <c r="BP431" s="2"/>
    </row>
    <row r="432" spans="1:68" x14ac:dyDescent="0.25">
      <c r="A432" s="63" t="s">
        <v>758</v>
      </c>
      <c r="B432" s="64"/>
      <c r="C432" s="64"/>
      <c r="D432" s="65"/>
      <c r="E432" s="67"/>
      <c r="F432" s="111" t="str">
        <f>HYPERLINK("https://pbs.twimg.com/profile_images/1688012188223512578/5-RfDjBh_normal.jpg")</f>
        <v>https://pbs.twimg.com/profile_images/1688012188223512578/5-RfDjBh_normal.jpg</v>
      </c>
      <c r="G432" s="64"/>
      <c r="H432" s="68"/>
      <c r="I432" s="69"/>
      <c r="J432" s="69"/>
      <c r="K432" s="68" t="s">
        <v>29565</v>
      </c>
      <c r="L432" s="72"/>
      <c r="M432" s="73"/>
      <c r="N432" s="73"/>
      <c r="O432" s="74"/>
      <c r="P432" s="75"/>
      <c r="Q432" s="75"/>
      <c r="R432" s="102"/>
      <c r="S432" s="102"/>
      <c r="T432" s="102"/>
      <c r="U432" s="102"/>
      <c r="V432" s="48"/>
      <c r="W432" s="48"/>
      <c r="X432" s="48"/>
      <c r="Y432" s="48"/>
      <c r="Z432" s="47"/>
      <c r="AA432" s="70">
        <v>432</v>
      </c>
      <c r="AB432" s="70"/>
      <c r="AC432" s="71"/>
      <c r="AD432" s="86" t="s">
        <v>24061</v>
      </c>
      <c r="AE432" s="94" t="s">
        <v>23100</v>
      </c>
      <c r="AF432" s="86">
        <v>1569</v>
      </c>
      <c r="AG432" s="86">
        <v>323</v>
      </c>
      <c r="AH432" s="86">
        <v>4605</v>
      </c>
      <c r="AI432" s="86">
        <v>26</v>
      </c>
      <c r="AJ432" s="86">
        <v>3942</v>
      </c>
      <c r="AK432" s="86">
        <v>194</v>
      </c>
      <c r="AL432" s="86" t="b">
        <v>0</v>
      </c>
      <c r="AM432" s="89">
        <v>44971.527604166666</v>
      </c>
      <c r="AN432" s="86" t="s">
        <v>26032</v>
      </c>
      <c r="AO432" s="86" t="s">
        <v>26817</v>
      </c>
      <c r="AP432" s="96" t="str">
        <f>HYPERLINK("https://t.co/2mqRtkTO1c")</f>
        <v>https://t.co/2mqRtkTO1c</v>
      </c>
      <c r="AQ432" s="96" t="str">
        <f>HYPERLINK("https://bento.me/steffynotion")</f>
        <v>https://bento.me/steffynotion</v>
      </c>
      <c r="AR432" s="86" t="s">
        <v>28196</v>
      </c>
      <c r="AS432" s="86"/>
      <c r="AT432" s="86"/>
      <c r="AU432" s="86"/>
      <c r="AV432" s="86">
        <v>1.69025714161181E+18</v>
      </c>
      <c r="AW432" s="96" t="str">
        <f>HYPERLINK("https://t.co/2mqRtkTO1c")</f>
        <v>https://t.co/2mqRtkTO1c</v>
      </c>
      <c r="AX432" s="86" t="b">
        <v>0</v>
      </c>
      <c r="AY432" s="86"/>
      <c r="AZ432" s="86"/>
      <c r="BA432" s="86" t="b">
        <v>1</v>
      </c>
      <c r="BB432" s="86" t="b">
        <v>1</v>
      </c>
      <c r="BC432" s="86" t="b">
        <v>1</v>
      </c>
      <c r="BD432" s="86" t="b">
        <v>0</v>
      </c>
      <c r="BE432" s="86" t="b">
        <v>1</v>
      </c>
      <c r="BF432" s="86" t="b">
        <v>0</v>
      </c>
      <c r="BG432" s="86" t="b">
        <v>0</v>
      </c>
      <c r="BH432" s="96" t="str">
        <f>HYPERLINK("https://pbs.twimg.com/profile_banners/1625474770534899713/1692475251")</f>
        <v>https://pbs.twimg.com/profile_banners/1625474770534899713/1692475251</v>
      </c>
      <c r="BI432" s="86"/>
      <c r="BJ432" s="86" t="s">
        <v>29134</v>
      </c>
      <c r="BK432" s="86" t="b">
        <v>0</v>
      </c>
      <c r="BL432" s="86"/>
      <c r="BM432" s="86" t="s">
        <v>66</v>
      </c>
      <c r="BN432" s="86" t="s">
        <v>29136</v>
      </c>
      <c r="BO432" s="96" t="str">
        <f>HYPERLINK("https://twitter.com/steffynotion")</f>
        <v>https://twitter.com/steffynotion</v>
      </c>
      <c r="BP432" s="2"/>
    </row>
    <row r="433" spans="1:68" x14ac:dyDescent="0.25">
      <c r="A433" s="63" t="s">
        <v>594</v>
      </c>
      <c r="B433" s="64"/>
      <c r="C433" s="64"/>
      <c r="D433" s="65"/>
      <c r="E433" s="67"/>
      <c r="F433" s="111" t="str">
        <f>HYPERLINK("https://pbs.twimg.com/profile_images/1635625076811759616/i_zOlkkr_normal.png")</f>
        <v>https://pbs.twimg.com/profile_images/1635625076811759616/i_zOlkkr_normal.png</v>
      </c>
      <c r="G433" s="64"/>
      <c r="H433" s="68"/>
      <c r="I433" s="69"/>
      <c r="J433" s="69"/>
      <c r="K433" s="68" t="s">
        <v>29566</v>
      </c>
      <c r="L433" s="72"/>
      <c r="M433" s="73"/>
      <c r="N433" s="73"/>
      <c r="O433" s="74"/>
      <c r="P433" s="75"/>
      <c r="Q433" s="75"/>
      <c r="R433" s="102"/>
      <c r="S433" s="102"/>
      <c r="T433" s="102"/>
      <c r="U433" s="102"/>
      <c r="V433" s="48"/>
      <c r="W433" s="48"/>
      <c r="X433" s="48"/>
      <c r="Y433" s="48"/>
      <c r="Z433" s="47"/>
      <c r="AA433" s="70">
        <v>433</v>
      </c>
      <c r="AB433" s="70"/>
      <c r="AC433" s="71"/>
      <c r="AD433" s="86" t="s">
        <v>24062</v>
      </c>
      <c r="AE433" s="94" t="s">
        <v>23004</v>
      </c>
      <c r="AF433" s="86">
        <v>6</v>
      </c>
      <c r="AG433" s="86">
        <v>24</v>
      </c>
      <c r="AH433" s="86">
        <v>49</v>
      </c>
      <c r="AI433" s="86">
        <v>0</v>
      </c>
      <c r="AJ433" s="86">
        <v>38</v>
      </c>
      <c r="AK433" s="86">
        <v>40</v>
      </c>
      <c r="AL433" s="86" t="b">
        <v>0</v>
      </c>
      <c r="AM433" s="89">
        <v>44999.536817129629</v>
      </c>
      <c r="AN433" s="86" t="s">
        <v>26033</v>
      </c>
      <c r="AO433" s="86" t="s">
        <v>26818</v>
      </c>
      <c r="AP433" s="96" t="str">
        <f>HYPERLINK("https://t.co/LPllK6rOJe")</f>
        <v>https://t.co/LPllK6rOJe</v>
      </c>
      <c r="AQ433" s="96" t="str">
        <f>HYPERLINK("https://mercadaodosoculos.com.br/seja-um-franqueado/")</f>
        <v>https://mercadaodosoculos.com.br/seja-um-franqueado/</v>
      </c>
      <c r="AR433" s="86" t="s">
        <v>28197</v>
      </c>
      <c r="AS433" s="86"/>
      <c r="AT433" s="86"/>
      <c r="AU433" s="86"/>
      <c r="AV433" s="86"/>
      <c r="AW433" s="96" t="str">
        <f>HYPERLINK("https://t.co/LPllK6rOJe")</f>
        <v>https://t.co/LPllK6rOJe</v>
      </c>
      <c r="AX433" s="86" t="b">
        <v>0</v>
      </c>
      <c r="AY433" s="86"/>
      <c r="AZ433" s="86"/>
      <c r="BA433" s="86" t="b">
        <v>0</v>
      </c>
      <c r="BB433" s="86" t="b">
        <v>1</v>
      </c>
      <c r="BC433" s="86" t="b">
        <v>1</v>
      </c>
      <c r="BD433" s="86" t="b">
        <v>0</v>
      </c>
      <c r="BE433" s="86" t="b">
        <v>0</v>
      </c>
      <c r="BF433" s="86" t="b">
        <v>0</v>
      </c>
      <c r="BG433" s="86" t="b">
        <v>0</v>
      </c>
      <c r="BH433" s="96" t="str">
        <f>HYPERLINK("https://pbs.twimg.com/profile_banners/1635624976035336194/1678971733")</f>
        <v>https://pbs.twimg.com/profile_banners/1635624976035336194/1678971733</v>
      </c>
      <c r="BI433" s="86"/>
      <c r="BJ433" s="86" t="s">
        <v>29134</v>
      </c>
      <c r="BK433" s="86" t="b">
        <v>0</v>
      </c>
      <c r="BL433" s="86"/>
      <c r="BM433" s="86" t="s">
        <v>66</v>
      </c>
      <c r="BN433" s="86" t="s">
        <v>29136</v>
      </c>
      <c r="BO433" s="96" t="str">
        <f>HYPERLINK("https://twitter.com/mdofranchising")</f>
        <v>https://twitter.com/mdofranchising</v>
      </c>
      <c r="BP433" s="2"/>
    </row>
    <row r="434" spans="1:68" x14ac:dyDescent="0.25">
      <c r="A434" s="63" t="s">
        <v>595</v>
      </c>
      <c r="B434" s="64"/>
      <c r="C434" s="64"/>
      <c r="D434" s="65"/>
      <c r="E434" s="67"/>
      <c r="F434" s="111" t="str">
        <f>HYPERLINK("https://pbs.twimg.com/profile_images/459410313230561280/9WtcbmRR_normal.jpeg")</f>
        <v>https://pbs.twimg.com/profile_images/459410313230561280/9WtcbmRR_normal.jpeg</v>
      </c>
      <c r="G434" s="64"/>
      <c r="H434" s="68"/>
      <c r="I434" s="69"/>
      <c r="J434" s="69"/>
      <c r="K434" s="68" t="s">
        <v>29567</v>
      </c>
      <c r="L434" s="72"/>
      <c r="M434" s="73"/>
      <c r="N434" s="73"/>
      <c r="O434" s="74"/>
      <c r="P434" s="75"/>
      <c r="Q434" s="75"/>
      <c r="R434" s="102"/>
      <c r="S434" s="102"/>
      <c r="T434" s="102"/>
      <c r="U434" s="102"/>
      <c r="V434" s="48"/>
      <c r="W434" s="48"/>
      <c r="X434" s="48"/>
      <c r="Y434" s="48"/>
      <c r="Z434" s="47"/>
      <c r="AA434" s="70">
        <v>434</v>
      </c>
      <c r="AB434" s="70"/>
      <c r="AC434" s="71"/>
      <c r="AD434" s="86" t="s">
        <v>24063</v>
      </c>
      <c r="AE434" s="94" t="s">
        <v>25395</v>
      </c>
      <c r="AF434" s="86">
        <v>334</v>
      </c>
      <c r="AG434" s="86">
        <v>27</v>
      </c>
      <c r="AH434" s="86">
        <v>21062</v>
      </c>
      <c r="AI434" s="86">
        <v>6</v>
      </c>
      <c r="AJ434" s="86">
        <v>14739</v>
      </c>
      <c r="AK434" s="86">
        <v>15775</v>
      </c>
      <c r="AL434" s="86" t="b">
        <v>0</v>
      </c>
      <c r="AM434" s="89">
        <v>40109.65221064815</v>
      </c>
      <c r="AN434" s="86" t="s">
        <v>26034</v>
      </c>
      <c r="AO434" s="86" t="s">
        <v>26819</v>
      </c>
      <c r="AP434" s="96" t="str">
        <f>HYPERLINK("http://t.co/i4ERc0ovb3")</f>
        <v>http://t.co/i4ERc0ovb3</v>
      </c>
      <c r="AQ434" s="96" t="str">
        <f>HYPERLINK("http://Sinco.net")</f>
        <v>http://Sinco.net</v>
      </c>
      <c r="AR434" s="86" t="s">
        <v>28198</v>
      </c>
      <c r="AS434" s="86"/>
      <c r="AT434" s="86"/>
      <c r="AU434" s="86"/>
      <c r="AV434" s="86"/>
      <c r="AW434" s="96" t="str">
        <f>HYPERLINK("http://t.co/i4ERc0ovb3")</f>
        <v>http://t.co/i4ERc0ovb3</v>
      </c>
      <c r="AX434" s="86" t="b">
        <v>0</v>
      </c>
      <c r="AY434" s="86"/>
      <c r="AZ434" s="86"/>
      <c r="BA434" s="86" t="b">
        <v>0</v>
      </c>
      <c r="BB434" s="86" t="b">
        <v>1</v>
      </c>
      <c r="BC434" s="86" t="b">
        <v>0</v>
      </c>
      <c r="BD434" s="86" t="b">
        <v>0</v>
      </c>
      <c r="BE434" s="86" t="b">
        <v>0</v>
      </c>
      <c r="BF434" s="86" t="b">
        <v>0</v>
      </c>
      <c r="BG434" s="86" t="b">
        <v>0</v>
      </c>
      <c r="BH434" s="96" t="str">
        <f>HYPERLINK("https://pbs.twimg.com/profile_banners/84619559/1398808992")</f>
        <v>https://pbs.twimg.com/profile_banners/84619559/1398808992</v>
      </c>
      <c r="BI434" s="86"/>
      <c r="BJ434" s="86" t="s">
        <v>29135</v>
      </c>
      <c r="BK434" s="86" t="b">
        <v>0</v>
      </c>
      <c r="BL434" s="86"/>
      <c r="BM434" s="86" t="s">
        <v>66</v>
      </c>
      <c r="BN434" s="86" t="s">
        <v>29136</v>
      </c>
      <c r="BO434" s="96" t="str">
        <f>HYPERLINK("https://twitter.com/sinco_brasil")</f>
        <v>https://twitter.com/sinco_brasil</v>
      </c>
      <c r="BP434" s="2"/>
    </row>
    <row r="435" spans="1:68" x14ac:dyDescent="0.25">
      <c r="A435" s="63" t="s">
        <v>596</v>
      </c>
      <c r="B435" s="64"/>
      <c r="C435" s="64"/>
      <c r="D435" s="65"/>
      <c r="E435" s="67"/>
      <c r="F435" s="111" t="str">
        <f>HYPERLINK("https://pbs.twimg.com/profile_images/1686541301901111296/XzwCk8I5_normal.jpg")</f>
        <v>https://pbs.twimg.com/profile_images/1686541301901111296/XzwCk8I5_normal.jpg</v>
      </c>
      <c r="G435" s="64"/>
      <c r="H435" s="68"/>
      <c r="I435" s="69"/>
      <c r="J435" s="69"/>
      <c r="K435" s="68" t="s">
        <v>29568</v>
      </c>
      <c r="L435" s="72"/>
      <c r="M435" s="73"/>
      <c r="N435" s="73"/>
      <c r="O435" s="74"/>
      <c r="P435" s="75"/>
      <c r="Q435" s="75"/>
      <c r="R435" s="102"/>
      <c r="S435" s="102"/>
      <c r="T435" s="102"/>
      <c r="U435" s="102"/>
      <c r="V435" s="48"/>
      <c r="W435" s="48"/>
      <c r="X435" s="48"/>
      <c r="Y435" s="48"/>
      <c r="Z435" s="47"/>
      <c r="AA435" s="70">
        <v>435</v>
      </c>
      <c r="AB435" s="70"/>
      <c r="AC435" s="71"/>
      <c r="AD435" s="86" t="s">
        <v>24064</v>
      </c>
      <c r="AE435" s="94" t="s">
        <v>23005</v>
      </c>
      <c r="AF435" s="86">
        <v>4</v>
      </c>
      <c r="AG435" s="86">
        <v>0</v>
      </c>
      <c r="AH435" s="86">
        <v>54</v>
      </c>
      <c r="AI435" s="86">
        <v>0</v>
      </c>
      <c r="AJ435" s="86">
        <v>0</v>
      </c>
      <c r="AK435" s="86">
        <v>48</v>
      </c>
      <c r="AL435" s="86" t="b">
        <v>0</v>
      </c>
      <c r="AM435" s="89">
        <v>44370.107152777775</v>
      </c>
      <c r="AN435" s="86"/>
      <c r="AO435" s="86" t="s">
        <v>26820</v>
      </c>
      <c r="AP435" s="96" t="str">
        <f>HYPERLINK("https://t.co/mtB0Oynyy0")</f>
        <v>https://t.co/mtB0Oynyy0</v>
      </c>
      <c r="AQ435" s="96" t="str">
        <f>HYPERLINK("https://hotm.art/forumblackrat1")</f>
        <v>https://hotm.art/forumblackrat1</v>
      </c>
      <c r="AR435" s="86" t="s">
        <v>28199</v>
      </c>
      <c r="AS435" s="86"/>
      <c r="AT435" s="86"/>
      <c r="AU435" s="86"/>
      <c r="AV435" s="86"/>
      <c r="AW435" s="96" t="str">
        <f>HYPERLINK("https://t.co/mtB0Oynyy0")</f>
        <v>https://t.co/mtB0Oynyy0</v>
      </c>
      <c r="AX435" s="86" t="b">
        <v>0</v>
      </c>
      <c r="AY435" s="86"/>
      <c r="AZ435" s="86"/>
      <c r="BA435" s="86" t="b">
        <v>0</v>
      </c>
      <c r="BB435" s="86" t="b">
        <v>1</v>
      </c>
      <c r="BC435" s="86" t="b">
        <v>1</v>
      </c>
      <c r="BD435" s="86" t="b">
        <v>0</v>
      </c>
      <c r="BE435" s="86" t="b">
        <v>0</v>
      </c>
      <c r="BF435" s="86" t="b">
        <v>0</v>
      </c>
      <c r="BG435" s="86" t="b">
        <v>0</v>
      </c>
      <c r="BH435" s="96" t="str">
        <f>HYPERLINK("https://pbs.twimg.com/profile_banners/1407527362238033920/1690750295")</f>
        <v>https://pbs.twimg.com/profile_banners/1407527362238033920/1690750295</v>
      </c>
      <c r="BI435" s="86"/>
      <c r="BJ435" s="86" t="s">
        <v>29134</v>
      </c>
      <c r="BK435" s="86" t="b">
        <v>0</v>
      </c>
      <c r="BL435" s="86"/>
      <c r="BM435" s="86" t="s">
        <v>66</v>
      </c>
      <c r="BN435" s="86" t="s">
        <v>29136</v>
      </c>
      <c r="BO435" s="96" t="str">
        <f>HYPERLINK("https://twitter.com/rataoclipes")</f>
        <v>https://twitter.com/rataoclipes</v>
      </c>
      <c r="BP435" s="2"/>
    </row>
    <row r="436" spans="1:68" x14ac:dyDescent="0.25">
      <c r="A436" s="63" t="s">
        <v>597</v>
      </c>
      <c r="B436" s="64"/>
      <c r="C436" s="64"/>
      <c r="D436" s="65"/>
      <c r="E436" s="67"/>
      <c r="F436" s="111" t="str">
        <f>HYPERLINK("https://pbs.twimg.com/profile_images/1563012458905849856/U-zxLG8T_normal.jpg")</f>
        <v>https://pbs.twimg.com/profile_images/1563012458905849856/U-zxLG8T_normal.jpg</v>
      </c>
      <c r="G436" s="64"/>
      <c r="H436" s="68"/>
      <c r="I436" s="69"/>
      <c r="J436" s="69"/>
      <c r="K436" s="68" t="s">
        <v>29569</v>
      </c>
      <c r="L436" s="72"/>
      <c r="M436" s="73"/>
      <c r="N436" s="73"/>
      <c r="O436" s="74"/>
      <c r="P436" s="75"/>
      <c r="Q436" s="75"/>
      <c r="R436" s="102"/>
      <c r="S436" s="102"/>
      <c r="T436" s="102"/>
      <c r="U436" s="102"/>
      <c r="V436" s="48"/>
      <c r="W436" s="48"/>
      <c r="X436" s="48"/>
      <c r="Y436" s="48"/>
      <c r="Z436" s="47"/>
      <c r="AA436" s="70">
        <v>436</v>
      </c>
      <c r="AB436" s="70"/>
      <c r="AC436" s="71"/>
      <c r="AD436" s="86" t="s">
        <v>24065</v>
      </c>
      <c r="AE436" s="94" t="s">
        <v>23006</v>
      </c>
      <c r="AF436" s="86">
        <v>48</v>
      </c>
      <c r="AG436" s="86">
        <v>25</v>
      </c>
      <c r="AH436" s="86">
        <v>216</v>
      </c>
      <c r="AI436" s="86">
        <v>0</v>
      </c>
      <c r="AJ436" s="86">
        <v>1172</v>
      </c>
      <c r="AK436" s="86">
        <v>66</v>
      </c>
      <c r="AL436" s="86" t="b">
        <v>0</v>
      </c>
      <c r="AM436" s="89">
        <v>43612.038923611108</v>
      </c>
      <c r="AN436" s="86" t="s">
        <v>26035</v>
      </c>
      <c r="AO436" s="86" t="s">
        <v>26821</v>
      </c>
      <c r="AP436" s="96" t="str">
        <f>HYPERLINK("https://t.co/PiduPq2o6G")</f>
        <v>https://t.co/PiduPq2o6G</v>
      </c>
      <c r="AQ436" s="96" t="str">
        <f>HYPERLINK("https://www.instagram.com/gabrielnadipeh")</f>
        <v>https://www.instagram.com/gabrielnadipeh</v>
      </c>
      <c r="AR436" s="86" t="s">
        <v>28200</v>
      </c>
      <c r="AS436" s="86"/>
      <c r="AT436" s="86"/>
      <c r="AU436" s="86"/>
      <c r="AV436" s="86"/>
      <c r="AW436" s="96" t="str">
        <f>HYPERLINK("https://t.co/PiduPq2o6G")</f>
        <v>https://t.co/PiduPq2o6G</v>
      </c>
      <c r="AX436" s="86" t="b">
        <v>0</v>
      </c>
      <c r="AY436" s="86"/>
      <c r="AZ436" s="86"/>
      <c r="BA436" s="86" t="b">
        <v>0</v>
      </c>
      <c r="BB436" s="86" t="b">
        <v>1</v>
      </c>
      <c r="BC436" s="86" t="b">
        <v>1</v>
      </c>
      <c r="BD436" s="86" t="b">
        <v>0</v>
      </c>
      <c r="BE436" s="86" t="b">
        <v>0</v>
      </c>
      <c r="BF436" s="86" t="b">
        <v>0</v>
      </c>
      <c r="BG436" s="86" t="b">
        <v>0</v>
      </c>
      <c r="BH436" s="96" t="str">
        <f>HYPERLINK("https://pbs.twimg.com/profile_banners/1132812675858276352/1558970271")</f>
        <v>https://pbs.twimg.com/profile_banners/1132812675858276352/1558970271</v>
      </c>
      <c r="BI436" s="86"/>
      <c r="BJ436" s="86" t="s">
        <v>29134</v>
      </c>
      <c r="BK436" s="86" t="b">
        <v>0</v>
      </c>
      <c r="BL436" s="86"/>
      <c r="BM436" s="86" t="s">
        <v>66</v>
      </c>
      <c r="BN436" s="86" t="s">
        <v>29136</v>
      </c>
      <c r="BO436" s="96" t="str">
        <f>HYPERLINK("https://twitter.com/gnadipeh")</f>
        <v>https://twitter.com/gnadipeh</v>
      </c>
      <c r="BP436" s="2"/>
    </row>
    <row r="437" spans="1:68" x14ac:dyDescent="0.25">
      <c r="A437" s="63" t="s">
        <v>598</v>
      </c>
      <c r="B437" s="64"/>
      <c r="C437" s="64"/>
      <c r="D437" s="65"/>
      <c r="E437" s="67"/>
      <c r="F437" s="111" t="str">
        <f>HYPERLINK("https://pbs.twimg.com/profile_images/1658499575097749504/d6ncjMCY_normal.jpg")</f>
        <v>https://pbs.twimg.com/profile_images/1658499575097749504/d6ncjMCY_normal.jpg</v>
      </c>
      <c r="G437" s="64"/>
      <c r="H437" s="68"/>
      <c r="I437" s="69"/>
      <c r="J437" s="69"/>
      <c r="K437" s="68" t="s">
        <v>29570</v>
      </c>
      <c r="L437" s="72"/>
      <c r="M437" s="73"/>
      <c r="N437" s="73"/>
      <c r="O437" s="74"/>
      <c r="P437" s="75"/>
      <c r="Q437" s="75"/>
      <c r="R437" s="102"/>
      <c r="S437" s="102"/>
      <c r="T437" s="102"/>
      <c r="U437" s="102"/>
      <c r="V437" s="48"/>
      <c r="W437" s="48"/>
      <c r="X437" s="48"/>
      <c r="Y437" s="48"/>
      <c r="Z437" s="47"/>
      <c r="AA437" s="70">
        <v>437</v>
      </c>
      <c r="AB437" s="70"/>
      <c r="AC437" s="71"/>
      <c r="AD437" s="86" t="s">
        <v>24066</v>
      </c>
      <c r="AE437" s="94" t="s">
        <v>23007</v>
      </c>
      <c r="AF437" s="86">
        <v>2</v>
      </c>
      <c r="AG437" s="86">
        <v>5</v>
      </c>
      <c r="AH437" s="86">
        <v>5</v>
      </c>
      <c r="AI437" s="86">
        <v>0</v>
      </c>
      <c r="AJ437" s="86">
        <v>0</v>
      </c>
      <c r="AK437" s="86">
        <v>5</v>
      </c>
      <c r="AL437" s="86" t="b">
        <v>0</v>
      </c>
      <c r="AM437" s="89">
        <v>45062.62871527778</v>
      </c>
      <c r="AN437" s="86" t="s">
        <v>26036</v>
      </c>
      <c r="AO437" s="86" t="s">
        <v>26822</v>
      </c>
      <c r="AP437" s="96" t="str">
        <f>HYPERLINK("https://t.co/uCCITDFU1B")</f>
        <v>https://t.co/uCCITDFU1B</v>
      </c>
      <c r="AQ437" s="96" t="str">
        <f>HYPERLINK("https://papobiz.com")</f>
        <v>https://papobiz.com</v>
      </c>
      <c r="AR437" s="86" t="s">
        <v>28201</v>
      </c>
      <c r="AS437" s="86"/>
      <c r="AT437" s="86"/>
      <c r="AU437" s="86"/>
      <c r="AV437" s="86"/>
      <c r="AW437" s="96" t="str">
        <f>HYPERLINK("https://t.co/uCCITDFU1B")</f>
        <v>https://t.co/uCCITDFU1B</v>
      </c>
      <c r="AX437" s="86" t="b">
        <v>0</v>
      </c>
      <c r="AY437" s="86"/>
      <c r="AZ437" s="86"/>
      <c r="BA437" s="86" t="b">
        <v>0</v>
      </c>
      <c r="BB437" s="86" t="b">
        <v>1</v>
      </c>
      <c r="BC437" s="86" t="b">
        <v>1</v>
      </c>
      <c r="BD437" s="86" t="b">
        <v>0</v>
      </c>
      <c r="BE437" s="86" t="b">
        <v>0</v>
      </c>
      <c r="BF437" s="86" t="b">
        <v>0</v>
      </c>
      <c r="BG437" s="86" t="b">
        <v>0</v>
      </c>
      <c r="BH437" s="86"/>
      <c r="BI437" s="86"/>
      <c r="BJ437" s="86" t="s">
        <v>29134</v>
      </c>
      <c r="BK437" s="86" t="b">
        <v>0</v>
      </c>
      <c r="BL437" s="86"/>
      <c r="BM437" s="86" t="s">
        <v>66</v>
      </c>
      <c r="BN437" s="86" t="s">
        <v>29136</v>
      </c>
      <c r="BO437" s="96" t="str">
        <f>HYPERLINK("https://twitter.com/papobiz")</f>
        <v>https://twitter.com/papobiz</v>
      </c>
      <c r="BP437" s="2"/>
    </row>
    <row r="438" spans="1:68" x14ac:dyDescent="0.25">
      <c r="A438" s="63" t="s">
        <v>599</v>
      </c>
      <c r="B438" s="64"/>
      <c r="C438" s="64"/>
      <c r="D438" s="65"/>
      <c r="E438" s="67"/>
      <c r="F438" s="111" t="str">
        <f>HYPERLINK("https://pbs.twimg.com/profile_images/876879649460162560/ObZRbBmO_normal.jpg")</f>
        <v>https://pbs.twimg.com/profile_images/876879649460162560/ObZRbBmO_normal.jpg</v>
      </c>
      <c r="G438" s="64"/>
      <c r="H438" s="68"/>
      <c r="I438" s="69"/>
      <c r="J438" s="69"/>
      <c r="K438" s="68" t="s">
        <v>29571</v>
      </c>
      <c r="L438" s="72"/>
      <c r="M438" s="73"/>
      <c r="N438" s="73"/>
      <c r="O438" s="74"/>
      <c r="P438" s="75"/>
      <c r="Q438" s="75"/>
      <c r="R438" s="102"/>
      <c r="S438" s="102"/>
      <c r="T438" s="102"/>
      <c r="U438" s="102"/>
      <c r="V438" s="48"/>
      <c r="W438" s="48"/>
      <c r="X438" s="48"/>
      <c r="Y438" s="48"/>
      <c r="Z438" s="47"/>
      <c r="AA438" s="70">
        <v>438</v>
      </c>
      <c r="AB438" s="70"/>
      <c r="AC438" s="71"/>
      <c r="AD438" s="86" t="s">
        <v>24067</v>
      </c>
      <c r="AE438" s="94" t="s">
        <v>25396</v>
      </c>
      <c r="AF438" s="86">
        <v>512</v>
      </c>
      <c r="AG438" s="86">
        <v>238</v>
      </c>
      <c r="AH438" s="86">
        <v>1384</v>
      </c>
      <c r="AI438" s="86">
        <v>4</v>
      </c>
      <c r="AJ438" s="86">
        <v>741</v>
      </c>
      <c r="AK438" s="86">
        <v>200</v>
      </c>
      <c r="AL438" s="86" t="b">
        <v>0</v>
      </c>
      <c r="AM438" s="89">
        <v>39992.950104166666</v>
      </c>
      <c r="AN438" s="86" t="s">
        <v>15372</v>
      </c>
      <c r="AO438" s="86" t="s">
        <v>26823</v>
      </c>
      <c r="AP438" s="96" t="str">
        <f>HYPERLINK("https://t.co/GjoXmaD89U")</f>
        <v>https://t.co/GjoXmaD89U</v>
      </c>
      <c r="AQ438" s="96" t="str">
        <f>HYPERLINK("http://www.dudumesquita.com.br")</f>
        <v>http://www.dudumesquita.com.br</v>
      </c>
      <c r="AR438" s="86" t="s">
        <v>28202</v>
      </c>
      <c r="AS438" s="86"/>
      <c r="AT438" s="86"/>
      <c r="AU438" s="86"/>
      <c r="AV438" s="86">
        <v>1.24910153284013E+18</v>
      </c>
      <c r="AW438" s="96" t="str">
        <f>HYPERLINK("https://t.co/GjoXmaD89U")</f>
        <v>https://t.co/GjoXmaD89U</v>
      </c>
      <c r="AX438" s="86" t="b">
        <v>0</v>
      </c>
      <c r="AY438" s="86"/>
      <c r="AZ438" s="86"/>
      <c r="BA438" s="86" t="b">
        <v>1</v>
      </c>
      <c r="BB438" s="86" t="b">
        <v>1</v>
      </c>
      <c r="BC438" s="86" t="b">
        <v>0</v>
      </c>
      <c r="BD438" s="86" t="b">
        <v>0</v>
      </c>
      <c r="BE438" s="86" t="b">
        <v>0</v>
      </c>
      <c r="BF438" s="86" t="b">
        <v>0</v>
      </c>
      <c r="BG438" s="86" t="b">
        <v>0</v>
      </c>
      <c r="BH438" s="96" t="str">
        <f>HYPERLINK("https://pbs.twimg.com/profile_banners/51871251/1497899247")</f>
        <v>https://pbs.twimg.com/profile_banners/51871251/1497899247</v>
      </c>
      <c r="BI438" s="86"/>
      <c r="BJ438" s="86" t="s">
        <v>29134</v>
      </c>
      <c r="BK438" s="86" t="b">
        <v>0</v>
      </c>
      <c r="BL438" s="86"/>
      <c r="BM438" s="86" t="s">
        <v>66</v>
      </c>
      <c r="BN438" s="86" t="s">
        <v>29136</v>
      </c>
      <c r="BO438" s="96" t="str">
        <f>HYPERLINK("https://twitter.com/dudumesquita")</f>
        <v>https://twitter.com/dudumesquita</v>
      </c>
      <c r="BP438" s="2"/>
    </row>
    <row r="439" spans="1:68" x14ac:dyDescent="0.25">
      <c r="A439" s="63" t="s">
        <v>600</v>
      </c>
      <c r="B439" s="64"/>
      <c r="C439" s="64"/>
      <c r="D439" s="65"/>
      <c r="E439" s="67"/>
      <c r="F439" s="111" t="str">
        <f>HYPERLINK("https://pbs.twimg.com/profile_images/1691886273349218304/mhXFldQT_normal.jpg")</f>
        <v>https://pbs.twimg.com/profile_images/1691886273349218304/mhXFldQT_normal.jpg</v>
      </c>
      <c r="G439" s="64"/>
      <c r="H439" s="68"/>
      <c r="I439" s="69"/>
      <c r="J439" s="69"/>
      <c r="K439" s="68" t="s">
        <v>29572</v>
      </c>
      <c r="L439" s="72"/>
      <c r="M439" s="73"/>
      <c r="N439" s="73"/>
      <c r="O439" s="74"/>
      <c r="P439" s="75"/>
      <c r="Q439" s="75"/>
      <c r="R439" s="102"/>
      <c r="S439" s="102"/>
      <c r="T439" s="102"/>
      <c r="U439" s="102"/>
      <c r="V439" s="48"/>
      <c r="W439" s="48"/>
      <c r="X439" s="48"/>
      <c r="Y439" s="48"/>
      <c r="Z439" s="47"/>
      <c r="AA439" s="70">
        <v>439</v>
      </c>
      <c r="AB439" s="70"/>
      <c r="AC439" s="71"/>
      <c r="AD439" s="86" t="s">
        <v>24068</v>
      </c>
      <c r="AE439" s="94" t="s">
        <v>22551</v>
      </c>
      <c r="AF439" s="86">
        <v>3146</v>
      </c>
      <c r="AG439" s="86">
        <v>1284</v>
      </c>
      <c r="AH439" s="86">
        <v>6752</v>
      </c>
      <c r="AI439" s="86">
        <v>40</v>
      </c>
      <c r="AJ439" s="86">
        <v>8799</v>
      </c>
      <c r="AK439" s="86">
        <v>2271</v>
      </c>
      <c r="AL439" s="86" t="b">
        <v>0</v>
      </c>
      <c r="AM439" s="89">
        <v>42870.948946759258</v>
      </c>
      <c r="AN439" s="86" t="s">
        <v>25970</v>
      </c>
      <c r="AO439" s="86" t="s">
        <v>26824</v>
      </c>
      <c r="AP439" s="96" t="str">
        <f>HYPERLINK("https://t.co/cfWmSq0n5p")</f>
        <v>https://t.co/cfWmSq0n5p</v>
      </c>
      <c r="AQ439" s="96" t="str">
        <f>HYPERLINK("http://www.gov.br/abc")</f>
        <v>http://www.gov.br/abc</v>
      </c>
      <c r="AR439" s="86" t="s">
        <v>28203</v>
      </c>
      <c r="AS439" s="86"/>
      <c r="AT439" s="86"/>
      <c r="AU439" s="86"/>
      <c r="AV439" s="86"/>
      <c r="AW439" s="96" t="str">
        <f>HYPERLINK("https://t.co/cfWmSq0n5p")</f>
        <v>https://t.co/cfWmSq0n5p</v>
      </c>
      <c r="AX439" s="86" t="b">
        <v>0</v>
      </c>
      <c r="AY439" s="86"/>
      <c r="AZ439" s="86"/>
      <c r="BA439" s="86" t="b">
        <v>0</v>
      </c>
      <c r="BB439" s="86" t="b">
        <v>1</v>
      </c>
      <c r="BC439" s="86" t="b">
        <v>1</v>
      </c>
      <c r="BD439" s="86" t="b">
        <v>0</v>
      </c>
      <c r="BE439" s="86" t="b">
        <v>1</v>
      </c>
      <c r="BF439" s="86" t="b">
        <v>0</v>
      </c>
      <c r="BG439" s="86" t="b">
        <v>0</v>
      </c>
      <c r="BH439" s="96" t="str">
        <f>HYPERLINK("https://pbs.twimg.com/profile_banners/864250661533343747/1683145351")</f>
        <v>https://pbs.twimg.com/profile_banners/864250661533343747/1683145351</v>
      </c>
      <c r="BI439" s="86"/>
      <c r="BJ439" s="86" t="s">
        <v>29134</v>
      </c>
      <c r="BK439" s="86" t="b">
        <v>0</v>
      </c>
      <c r="BL439" s="86"/>
      <c r="BM439" s="86" t="s">
        <v>66</v>
      </c>
      <c r="BN439" s="86" t="s">
        <v>29136</v>
      </c>
      <c r="BO439" s="96" t="str">
        <f>HYPERLINK("https://twitter.com/abcgovbr")</f>
        <v>https://twitter.com/abcgovbr</v>
      </c>
      <c r="BP439" s="2"/>
    </row>
    <row r="440" spans="1:68" x14ac:dyDescent="0.25">
      <c r="A440" s="63" t="s">
        <v>601</v>
      </c>
      <c r="B440" s="64"/>
      <c r="C440" s="64"/>
      <c r="D440" s="65"/>
      <c r="E440" s="67"/>
      <c r="F440" s="111" t="str">
        <f>HYPERLINK("https://pbs.twimg.com/profile_images/1685305333994983425/-UldpLb0_normal.jpg")</f>
        <v>https://pbs.twimg.com/profile_images/1685305333994983425/-UldpLb0_normal.jpg</v>
      </c>
      <c r="G440" s="64"/>
      <c r="H440" s="68"/>
      <c r="I440" s="69"/>
      <c r="J440" s="69"/>
      <c r="K440" s="68" t="s">
        <v>29573</v>
      </c>
      <c r="L440" s="72"/>
      <c r="M440" s="73"/>
      <c r="N440" s="73"/>
      <c r="O440" s="74"/>
      <c r="P440" s="75"/>
      <c r="Q440" s="75"/>
      <c r="R440" s="102"/>
      <c r="S440" s="102"/>
      <c r="T440" s="102"/>
      <c r="U440" s="102"/>
      <c r="V440" s="48"/>
      <c r="W440" s="48"/>
      <c r="X440" s="48"/>
      <c r="Y440" s="48"/>
      <c r="Z440" s="47"/>
      <c r="AA440" s="70">
        <v>440</v>
      </c>
      <c r="AB440" s="70"/>
      <c r="AC440" s="71"/>
      <c r="AD440" s="86" t="s">
        <v>24069</v>
      </c>
      <c r="AE440" s="94" t="s">
        <v>23008</v>
      </c>
      <c r="AF440" s="86">
        <v>349</v>
      </c>
      <c r="AG440" s="86">
        <v>394</v>
      </c>
      <c r="AH440" s="86">
        <v>3188</v>
      </c>
      <c r="AI440" s="86">
        <v>6</v>
      </c>
      <c r="AJ440" s="86">
        <v>12222</v>
      </c>
      <c r="AK440" s="86">
        <v>605</v>
      </c>
      <c r="AL440" s="86" t="b">
        <v>0</v>
      </c>
      <c r="AM440" s="89">
        <v>45068.692696759259</v>
      </c>
      <c r="AN440" s="86" t="s">
        <v>26037</v>
      </c>
      <c r="AO440" s="86" t="s">
        <v>26825</v>
      </c>
      <c r="AP440" s="86"/>
      <c r="AQ440" s="86"/>
      <c r="AR440" s="86"/>
      <c r="AS440" s="86"/>
      <c r="AT440" s="86"/>
      <c r="AU440" s="86"/>
      <c r="AV440" s="86">
        <v>1.68856285560637E+18</v>
      </c>
      <c r="AW440" s="86"/>
      <c r="AX440" s="86" t="b">
        <v>0</v>
      </c>
      <c r="AY440" s="86"/>
      <c r="AZ440" s="86"/>
      <c r="BA440" s="86" t="b">
        <v>1</v>
      </c>
      <c r="BB440" s="86" t="b">
        <v>1</v>
      </c>
      <c r="BC440" s="86" t="b">
        <v>1</v>
      </c>
      <c r="BD440" s="86" t="b">
        <v>0</v>
      </c>
      <c r="BE440" s="86" t="b">
        <v>0</v>
      </c>
      <c r="BF440" s="86" t="b">
        <v>0</v>
      </c>
      <c r="BG440" s="86" t="b">
        <v>0</v>
      </c>
      <c r="BH440" s="96" t="str">
        <f>HYPERLINK("https://pbs.twimg.com/profile_banners/1660686261353365521/1694057927")</f>
        <v>https://pbs.twimg.com/profile_banners/1660686261353365521/1694057927</v>
      </c>
      <c r="BI440" s="86"/>
      <c r="BJ440" s="86" t="s">
        <v>29134</v>
      </c>
      <c r="BK440" s="86" t="b">
        <v>0</v>
      </c>
      <c r="BL440" s="86"/>
      <c r="BM440" s="86" t="s">
        <v>66</v>
      </c>
      <c r="BN440" s="86" t="s">
        <v>29136</v>
      </c>
      <c r="BO440" s="96" t="str">
        <f>HYPERLINK("https://twitter.com/makifalida")</f>
        <v>https://twitter.com/makifalida</v>
      </c>
      <c r="BP440" s="2"/>
    </row>
    <row r="441" spans="1:68" x14ac:dyDescent="0.25">
      <c r="A441" s="63" t="s">
        <v>1669</v>
      </c>
      <c r="B441" s="64"/>
      <c r="C441" s="64"/>
      <c r="D441" s="65"/>
      <c r="E441" s="67"/>
      <c r="F441" s="111" t="str">
        <f>HYPERLINK("https://pbs.twimg.com/profile_images/1694004195253211136/OI-SSM-M_normal.jpg")</f>
        <v>https://pbs.twimg.com/profile_images/1694004195253211136/OI-SSM-M_normal.jpg</v>
      </c>
      <c r="G441" s="64"/>
      <c r="H441" s="68"/>
      <c r="I441" s="69"/>
      <c r="J441" s="69"/>
      <c r="K441" s="68" t="s">
        <v>29574</v>
      </c>
      <c r="L441" s="72"/>
      <c r="M441" s="73"/>
      <c r="N441" s="73"/>
      <c r="O441" s="74"/>
      <c r="P441" s="75"/>
      <c r="Q441" s="75"/>
      <c r="R441" s="102"/>
      <c r="S441" s="102"/>
      <c r="T441" s="102"/>
      <c r="U441" s="102"/>
      <c r="V441" s="48"/>
      <c r="W441" s="48"/>
      <c r="X441" s="48"/>
      <c r="Y441" s="48"/>
      <c r="Z441" s="47"/>
      <c r="AA441" s="70">
        <v>441</v>
      </c>
      <c r="AB441" s="70"/>
      <c r="AC441" s="71"/>
      <c r="AD441" s="86" t="s">
        <v>24070</v>
      </c>
      <c r="AE441" s="94" t="s">
        <v>22552</v>
      </c>
      <c r="AF441" s="86">
        <v>2138</v>
      </c>
      <c r="AG441" s="86">
        <v>2827</v>
      </c>
      <c r="AH441" s="86">
        <v>1212</v>
      </c>
      <c r="AI441" s="86">
        <v>3</v>
      </c>
      <c r="AJ441" s="86">
        <v>293</v>
      </c>
      <c r="AK441" s="86">
        <v>98</v>
      </c>
      <c r="AL441" s="86" t="b">
        <v>0</v>
      </c>
      <c r="AM441" s="89">
        <v>45031.88349537037</v>
      </c>
      <c r="AN441" s="86"/>
      <c r="AO441" s="86" t="s">
        <v>26826</v>
      </c>
      <c r="AP441" s="96" t="str">
        <f>HYPERLINK("https://t.co/C3L96shbjy")</f>
        <v>https://t.co/C3L96shbjy</v>
      </c>
      <c r="AQ441" s="96" t="str">
        <f>HYPERLINK("https://lukahwy.carrd.co")</f>
        <v>https://lukahwy.carrd.co</v>
      </c>
      <c r="AR441" s="86" t="s">
        <v>28204</v>
      </c>
      <c r="AS441" s="86"/>
      <c r="AT441" s="86"/>
      <c r="AU441" s="86"/>
      <c r="AV441" s="86">
        <v>1.69559435552688E+18</v>
      </c>
      <c r="AW441" s="96" t="str">
        <f>HYPERLINK("https://t.co/C3L96shbjy")</f>
        <v>https://t.co/C3L96shbjy</v>
      </c>
      <c r="AX441" s="86" t="b">
        <v>0</v>
      </c>
      <c r="AY441" s="86"/>
      <c r="AZ441" s="86"/>
      <c r="BA441" s="86" t="b">
        <v>0</v>
      </c>
      <c r="BB441" s="86" t="b">
        <v>0</v>
      </c>
      <c r="BC441" s="86" t="b">
        <v>1</v>
      </c>
      <c r="BD441" s="86" t="b">
        <v>0</v>
      </c>
      <c r="BE441" s="86" t="b">
        <v>0</v>
      </c>
      <c r="BF441" s="86" t="b">
        <v>0</v>
      </c>
      <c r="BG441" s="86" t="b">
        <v>0</v>
      </c>
      <c r="BH441" s="96" t="str">
        <f>HYPERLINK("https://pbs.twimg.com/profile_banners/1647347003146240000/1692717047")</f>
        <v>https://pbs.twimg.com/profile_banners/1647347003146240000/1692717047</v>
      </c>
      <c r="BI441" s="86"/>
      <c r="BJ441" s="86" t="s">
        <v>29134</v>
      </c>
      <c r="BK441" s="86" t="b">
        <v>0</v>
      </c>
      <c r="BL441" s="86"/>
      <c r="BM441" s="86" t="s">
        <v>65</v>
      </c>
      <c r="BN441" s="86" t="s">
        <v>29136</v>
      </c>
      <c r="BO441" s="96" t="str">
        <f>HYPERLINK("https://twitter.com/lukahwy")</f>
        <v>https://twitter.com/lukahwy</v>
      </c>
      <c r="BP441" s="2"/>
    </row>
    <row r="442" spans="1:68" x14ac:dyDescent="0.25">
      <c r="A442" s="63" t="s">
        <v>602</v>
      </c>
      <c r="B442" s="64"/>
      <c r="C442" s="64"/>
      <c r="D442" s="65"/>
      <c r="E442" s="67"/>
      <c r="F442" s="111" t="str">
        <f>HYPERLINK("https://pbs.twimg.com/profile_images/1655369029932949506/RzAC-K2-_normal.jpg")</f>
        <v>https://pbs.twimg.com/profile_images/1655369029932949506/RzAC-K2-_normal.jpg</v>
      </c>
      <c r="G442" s="64"/>
      <c r="H442" s="68"/>
      <c r="I442" s="69"/>
      <c r="J442" s="69"/>
      <c r="K442" s="68" t="s">
        <v>29575</v>
      </c>
      <c r="L442" s="72"/>
      <c r="M442" s="73"/>
      <c r="N442" s="73"/>
      <c r="O442" s="74"/>
      <c r="P442" s="75"/>
      <c r="Q442" s="75"/>
      <c r="R442" s="102"/>
      <c r="S442" s="102"/>
      <c r="T442" s="102"/>
      <c r="U442" s="102"/>
      <c r="V442" s="48"/>
      <c r="W442" s="48"/>
      <c r="X442" s="48"/>
      <c r="Y442" s="48"/>
      <c r="Z442" s="47"/>
      <c r="AA442" s="70">
        <v>442</v>
      </c>
      <c r="AB442" s="70"/>
      <c r="AC442" s="71"/>
      <c r="AD442" s="86" t="s">
        <v>24071</v>
      </c>
      <c r="AE442" s="94" t="s">
        <v>23009</v>
      </c>
      <c r="AF442" s="86">
        <v>8</v>
      </c>
      <c r="AG442" s="86">
        <v>45</v>
      </c>
      <c r="AH442" s="86">
        <v>70</v>
      </c>
      <c r="AI442" s="86">
        <v>0</v>
      </c>
      <c r="AJ442" s="86">
        <v>1227</v>
      </c>
      <c r="AK442" s="86">
        <v>40</v>
      </c>
      <c r="AL442" s="86" t="b">
        <v>0</v>
      </c>
      <c r="AM442" s="89">
        <v>45053.999988425923</v>
      </c>
      <c r="AN442" s="86"/>
      <c r="AO442" s="86"/>
      <c r="AP442" s="86"/>
      <c r="AQ442" s="86"/>
      <c r="AR442" s="86"/>
      <c r="AS442" s="86"/>
      <c r="AT442" s="86"/>
      <c r="AU442" s="86"/>
      <c r="AV442" s="86"/>
      <c r="AW442" s="86"/>
      <c r="AX442" s="86" t="b">
        <v>0</v>
      </c>
      <c r="AY442" s="86"/>
      <c r="AZ442" s="86"/>
      <c r="BA442" s="86" t="b">
        <v>0</v>
      </c>
      <c r="BB442" s="86" t="b">
        <v>1</v>
      </c>
      <c r="BC442" s="86" t="b">
        <v>1</v>
      </c>
      <c r="BD442" s="86" t="b">
        <v>0</v>
      </c>
      <c r="BE442" s="86" t="b">
        <v>0</v>
      </c>
      <c r="BF442" s="86" t="b">
        <v>0</v>
      </c>
      <c r="BG442" s="86" t="b">
        <v>0</v>
      </c>
      <c r="BH442" s="96" t="str">
        <f>HYPERLINK("https://pbs.twimg.com/profile_banners/1655361756120727561/1683505705")</f>
        <v>https://pbs.twimg.com/profile_banners/1655361756120727561/1683505705</v>
      </c>
      <c r="BI442" s="86"/>
      <c r="BJ442" s="86" t="s">
        <v>29134</v>
      </c>
      <c r="BK442" s="86" t="b">
        <v>0</v>
      </c>
      <c r="BL442" s="86"/>
      <c r="BM442" s="86" t="s">
        <v>66</v>
      </c>
      <c r="BN442" s="86" t="s">
        <v>29136</v>
      </c>
      <c r="BO442" s="96" t="str">
        <f>HYPERLINK("https://twitter.com/cristia37011713")</f>
        <v>https://twitter.com/cristia37011713</v>
      </c>
      <c r="BP442" s="2"/>
    </row>
    <row r="443" spans="1:68" x14ac:dyDescent="0.25">
      <c r="A443" s="63" t="s">
        <v>603</v>
      </c>
      <c r="B443" s="64"/>
      <c r="C443" s="64"/>
      <c r="D443" s="65"/>
      <c r="E443" s="67"/>
      <c r="F443" s="111" t="str">
        <f>HYPERLINK("https://pbs.twimg.com/profile_images/1670137193971564544/ppJoNFnj_normal.jpg")</f>
        <v>https://pbs.twimg.com/profile_images/1670137193971564544/ppJoNFnj_normal.jpg</v>
      </c>
      <c r="G443" s="64"/>
      <c r="H443" s="68"/>
      <c r="I443" s="69"/>
      <c r="J443" s="69"/>
      <c r="K443" s="68" t="s">
        <v>29576</v>
      </c>
      <c r="L443" s="72"/>
      <c r="M443" s="73"/>
      <c r="N443" s="73"/>
      <c r="O443" s="74"/>
      <c r="P443" s="75"/>
      <c r="Q443" s="75"/>
      <c r="R443" s="102"/>
      <c r="S443" s="102"/>
      <c r="T443" s="102"/>
      <c r="U443" s="102"/>
      <c r="V443" s="48"/>
      <c r="W443" s="48"/>
      <c r="X443" s="48"/>
      <c r="Y443" s="48"/>
      <c r="Z443" s="47"/>
      <c r="AA443" s="70">
        <v>443</v>
      </c>
      <c r="AB443" s="70"/>
      <c r="AC443" s="71"/>
      <c r="AD443" s="86" t="s">
        <v>24072</v>
      </c>
      <c r="AE443" s="94" t="s">
        <v>23010</v>
      </c>
      <c r="AF443" s="86">
        <v>1</v>
      </c>
      <c r="AG443" s="86">
        <v>0</v>
      </c>
      <c r="AH443" s="86">
        <v>24</v>
      </c>
      <c r="AI443" s="86">
        <v>0</v>
      </c>
      <c r="AJ443" s="86">
        <v>0</v>
      </c>
      <c r="AK443" s="86">
        <v>24</v>
      </c>
      <c r="AL443" s="86" t="b">
        <v>0</v>
      </c>
      <c r="AM443" s="89">
        <v>45094.770173611112</v>
      </c>
      <c r="AN443" s="86"/>
      <c r="AO443" s="86" t="s">
        <v>26827</v>
      </c>
      <c r="AP443" s="96" t="str">
        <f>HYPERLINK("https://t.co/pYwwmfRnXW")</f>
        <v>https://t.co/pYwwmfRnXW</v>
      </c>
      <c r="AQ443" s="96" t="str">
        <f>HYPERLINK("http://www.lucianogaliotto.com")</f>
        <v>http://www.lucianogaliotto.com</v>
      </c>
      <c r="AR443" s="86" t="s">
        <v>27969</v>
      </c>
      <c r="AS443" s="86"/>
      <c r="AT443" s="86"/>
      <c r="AU443" s="86"/>
      <c r="AV443" s="86"/>
      <c r="AW443" s="96" t="str">
        <f>HYPERLINK("https://t.co/pYwwmfRnXW")</f>
        <v>https://t.co/pYwwmfRnXW</v>
      </c>
      <c r="AX443" s="86" t="b">
        <v>0</v>
      </c>
      <c r="AY443" s="86"/>
      <c r="AZ443" s="86"/>
      <c r="BA443" s="86" t="b">
        <v>0</v>
      </c>
      <c r="BB443" s="86" t="b">
        <v>1</v>
      </c>
      <c r="BC443" s="86" t="b">
        <v>1</v>
      </c>
      <c r="BD443" s="86" t="b">
        <v>0</v>
      </c>
      <c r="BE443" s="86" t="b">
        <v>0</v>
      </c>
      <c r="BF443" s="86" t="b">
        <v>0</v>
      </c>
      <c r="BG443" s="86" t="b">
        <v>0</v>
      </c>
      <c r="BH443" s="86"/>
      <c r="BI443" s="86"/>
      <c r="BJ443" s="86" t="s">
        <v>29134</v>
      </c>
      <c r="BK443" s="86" t="b">
        <v>0</v>
      </c>
      <c r="BL443" s="86"/>
      <c r="BM443" s="86" t="s">
        <v>66</v>
      </c>
      <c r="BN443" s="86" t="s">
        <v>29136</v>
      </c>
      <c r="BO443" s="96" t="str">
        <f>HYPERLINK("https://twitter.com/lucianogal14001")</f>
        <v>https://twitter.com/lucianogal14001</v>
      </c>
      <c r="BP443" s="2"/>
    </row>
    <row r="444" spans="1:68" x14ac:dyDescent="0.25">
      <c r="A444" s="63" t="s">
        <v>604</v>
      </c>
      <c r="B444" s="64"/>
      <c r="C444" s="64"/>
      <c r="D444" s="65"/>
      <c r="E444" s="67"/>
      <c r="F444" s="111" t="str">
        <f>HYPERLINK("https://pbs.twimg.com/profile_images/1426399737230548992/1ZC_M2BK_normal.jpg")</f>
        <v>https://pbs.twimg.com/profile_images/1426399737230548992/1ZC_M2BK_normal.jpg</v>
      </c>
      <c r="G444" s="64"/>
      <c r="H444" s="68"/>
      <c r="I444" s="69"/>
      <c r="J444" s="69"/>
      <c r="K444" s="68" t="s">
        <v>29577</v>
      </c>
      <c r="L444" s="72"/>
      <c r="M444" s="73"/>
      <c r="N444" s="73"/>
      <c r="O444" s="74"/>
      <c r="P444" s="75"/>
      <c r="Q444" s="75"/>
      <c r="R444" s="102"/>
      <c r="S444" s="102"/>
      <c r="T444" s="102"/>
      <c r="U444" s="102"/>
      <c r="V444" s="48"/>
      <c r="W444" s="48"/>
      <c r="X444" s="48"/>
      <c r="Y444" s="48"/>
      <c r="Z444" s="47"/>
      <c r="AA444" s="70">
        <v>444</v>
      </c>
      <c r="AB444" s="70"/>
      <c r="AC444" s="71"/>
      <c r="AD444" s="86" t="s">
        <v>24073</v>
      </c>
      <c r="AE444" s="94" t="s">
        <v>23011</v>
      </c>
      <c r="AF444" s="86">
        <v>9</v>
      </c>
      <c r="AG444" s="86">
        <v>16</v>
      </c>
      <c r="AH444" s="86">
        <v>70</v>
      </c>
      <c r="AI444" s="86">
        <v>1</v>
      </c>
      <c r="AJ444" s="86">
        <v>70</v>
      </c>
      <c r="AK444" s="86">
        <v>4</v>
      </c>
      <c r="AL444" s="86" t="b">
        <v>0</v>
      </c>
      <c r="AM444" s="89">
        <v>44422.159513888888</v>
      </c>
      <c r="AN444" s="86" t="s">
        <v>26038</v>
      </c>
      <c r="AO444" s="86" t="s">
        <v>26828</v>
      </c>
      <c r="AP444" s="96" t="str">
        <f>HYPERLINK("https://t.co/HWBPRvz6jg")</f>
        <v>https://t.co/HWBPRvz6jg</v>
      </c>
      <c r="AQ444" s="96" t="str">
        <f>HYPERLINK("https://jeff.buillderall.online")</f>
        <v>https://jeff.buillderall.online</v>
      </c>
      <c r="AR444" s="86" t="s">
        <v>28205</v>
      </c>
      <c r="AS444" s="86"/>
      <c r="AT444" s="86"/>
      <c r="AU444" s="86"/>
      <c r="AV444" s="86"/>
      <c r="AW444" s="96" t="str">
        <f>HYPERLINK("https://t.co/HWBPRvz6jg")</f>
        <v>https://t.co/HWBPRvz6jg</v>
      </c>
      <c r="AX444" s="86" t="b">
        <v>0</v>
      </c>
      <c r="AY444" s="86"/>
      <c r="AZ444" s="86"/>
      <c r="BA444" s="86" t="b">
        <v>0</v>
      </c>
      <c r="BB444" s="86" t="b">
        <v>1</v>
      </c>
      <c r="BC444" s="86" t="b">
        <v>1</v>
      </c>
      <c r="BD444" s="86" t="b">
        <v>0</v>
      </c>
      <c r="BE444" s="86" t="b">
        <v>0</v>
      </c>
      <c r="BF444" s="86" t="b">
        <v>0</v>
      </c>
      <c r="BG444" s="86" t="b">
        <v>0</v>
      </c>
      <c r="BH444" s="96" t="str">
        <f>HYPERLINK("https://pbs.twimg.com/profile_banners/1426390286234800128/1628915648")</f>
        <v>https://pbs.twimg.com/profile_banners/1426390286234800128/1628915648</v>
      </c>
      <c r="BI444" s="86"/>
      <c r="BJ444" s="86" t="s">
        <v>29134</v>
      </c>
      <c r="BK444" s="86" t="b">
        <v>0</v>
      </c>
      <c r="BL444" s="86"/>
      <c r="BM444" s="86" t="s">
        <v>66</v>
      </c>
      <c r="BN444" s="86" t="s">
        <v>29136</v>
      </c>
      <c r="BO444" s="96" t="str">
        <f>HYPERLINK("https://twitter.com/zanettijeff")</f>
        <v>https://twitter.com/zanettijeff</v>
      </c>
      <c r="BP444" s="2"/>
    </row>
    <row r="445" spans="1:68" x14ac:dyDescent="0.25">
      <c r="A445" s="63" t="s">
        <v>817</v>
      </c>
      <c r="B445" s="64"/>
      <c r="C445" s="64"/>
      <c r="D445" s="65"/>
      <c r="E445" s="67"/>
      <c r="F445" s="111" t="str">
        <f>HYPERLINK("https://pbs.twimg.com/profile_images/1675258532818563073/VW_y3cf0_normal.jpg")</f>
        <v>https://pbs.twimg.com/profile_images/1675258532818563073/VW_y3cf0_normal.jpg</v>
      </c>
      <c r="G445" s="64"/>
      <c r="H445" s="68"/>
      <c r="I445" s="69"/>
      <c r="J445" s="69"/>
      <c r="K445" s="68" t="s">
        <v>29578</v>
      </c>
      <c r="L445" s="72"/>
      <c r="M445" s="73"/>
      <c r="N445" s="73"/>
      <c r="O445" s="74"/>
      <c r="P445" s="75"/>
      <c r="Q445" s="75"/>
      <c r="R445" s="102"/>
      <c r="S445" s="102"/>
      <c r="T445" s="102"/>
      <c r="U445" s="102"/>
      <c r="V445" s="48"/>
      <c r="W445" s="48"/>
      <c r="X445" s="48"/>
      <c r="Y445" s="48"/>
      <c r="Z445" s="47"/>
      <c r="AA445" s="70">
        <v>445</v>
      </c>
      <c r="AB445" s="70"/>
      <c r="AC445" s="71"/>
      <c r="AD445" s="86" t="s">
        <v>24074</v>
      </c>
      <c r="AE445" s="94" t="s">
        <v>22553</v>
      </c>
      <c r="AF445" s="86">
        <v>20</v>
      </c>
      <c r="AG445" s="86">
        <v>62</v>
      </c>
      <c r="AH445" s="86">
        <v>22</v>
      </c>
      <c r="AI445" s="86">
        <v>0</v>
      </c>
      <c r="AJ445" s="86">
        <v>243</v>
      </c>
      <c r="AK445" s="86">
        <v>9</v>
      </c>
      <c r="AL445" s="86" t="b">
        <v>0</v>
      </c>
      <c r="AM445" s="89">
        <v>45052.138252314813</v>
      </c>
      <c r="AN445" s="86"/>
      <c r="AO445" s="86" t="s">
        <v>26829</v>
      </c>
      <c r="AP445" s="96" t="str">
        <f>HYPERLINK("https://t.co/VTSM97L50g")</f>
        <v>https://t.co/VTSM97L50g</v>
      </c>
      <c r="AQ445" s="96" t="str">
        <f>HYPERLINK("https://linktr.ee/paullosergio_ACESSE.AQUI")</f>
        <v>https://linktr.ee/paullosergio_ACESSE.AQUI</v>
      </c>
      <c r="AR445" s="86" t="s">
        <v>28206</v>
      </c>
      <c r="AS445" s="86"/>
      <c r="AT445" s="86"/>
      <c r="AU445" s="86"/>
      <c r="AV445" s="86">
        <v>1.6752582719328499E+18</v>
      </c>
      <c r="AW445" s="96" t="str">
        <f>HYPERLINK("https://t.co/VTSM97L50g")</f>
        <v>https://t.co/VTSM97L50g</v>
      </c>
      <c r="AX445" s="86" t="b">
        <v>0</v>
      </c>
      <c r="AY445" s="86"/>
      <c r="AZ445" s="86"/>
      <c r="BA445" s="86" t="b">
        <v>0</v>
      </c>
      <c r="BB445" s="86" t="b">
        <v>1</v>
      </c>
      <c r="BC445" s="86" t="b">
        <v>1</v>
      </c>
      <c r="BD445" s="86" t="b">
        <v>0</v>
      </c>
      <c r="BE445" s="86" t="b">
        <v>0</v>
      </c>
      <c r="BF445" s="86" t="b">
        <v>0</v>
      </c>
      <c r="BG445" s="86" t="b">
        <v>0</v>
      </c>
      <c r="BH445" s="96" t="str">
        <f>HYPERLINK("https://pbs.twimg.com/profile_banners/1654686733957464065/1687400888")</f>
        <v>https://pbs.twimg.com/profile_banners/1654686733957464065/1687400888</v>
      </c>
      <c r="BI445" s="86"/>
      <c r="BJ445" s="86" t="s">
        <v>29134</v>
      </c>
      <c r="BK445" s="86" t="b">
        <v>0</v>
      </c>
      <c r="BL445" s="86"/>
      <c r="BM445" s="86" t="s">
        <v>66</v>
      </c>
      <c r="BN445" s="86" t="s">
        <v>29136</v>
      </c>
      <c r="BO445" s="96" t="str">
        <f>HYPERLINK("https://twitter.com/paullosergioz7")</f>
        <v>https://twitter.com/paullosergioz7</v>
      </c>
      <c r="BP445" s="2"/>
    </row>
    <row r="446" spans="1:68" x14ac:dyDescent="0.25">
      <c r="A446" s="63" t="s">
        <v>605</v>
      </c>
      <c r="B446" s="64"/>
      <c r="C446" s="64"/>
      <c r="D446" s="65"/>
      <c r="E446" s="67"/>
      <c r="F446" s="111" t="str">
        <f>HYPERLINK("https://pbs.twimg.com/profile_images/1295734911685423106/RQ4pum7X_normal.jpg")</f>
        <v>https://pbs.twimg.com/profile_images/1295734911685423106/RQ4pum7X_normal.jpg</v>
      </c>
      <c r="G446" s="64"/>
      <c r="H446" s="68"/>
      <c r="I446" s="69"/>
      <c r="J446" s="69"/>
      <c r="K446" s="68" t="s">
        <v>29579</v>
      </c>
      <c r="L446" s="72"/>
      <c r="M446" s="73"/>
      <c r="N446" s="73"/>
      <c r="O446" s="74"/>
      <c r="P446" s="75"/>
      <c r="Q446" s="75"/>
      <c r="R446" s="102"/>
      <c r="S446" s="102"/>
      <c r="T446" s="102"/>
      <c r="U446" s="102"/>
      <c r="V446" s="48"/>
      <c r="W446" s="48"/>
      <c r="X446" s="48"/>
      <c r="Y446" s="48"/>
      <c r="Z446" s="47"/>
      <c r="AA446" s="70">
        <v>446</v>
      </c>
      <c r="AB446" s="70"/>
      <c r="AC446" s="71"/>
      <c r="AD446" s="86" t="s">
        <v>24075</v>
      </c>
      <c r="AE446" s="94" t="s">
        <v>23012</v>
      </c>
      <c r="AF446" s="86">
        <v>237</v>
      </c>
      <c r="AG446" s="86">
        <v>123</v>
      </c>
      <c r="AH446" s="86">
        <v>2005</v>
      </c>
      <c r="AI446" s="86">
        <v>2</v>
      </c>
      <c r="AJ446" s="86">
        <v>37</v>
      </c>
      <c r="AK446" s="86">
        <v>1569</v>
      </c>
      <c r="AL446" s="86" t="b">
        <v>0</v>
      </c>
      <c r="AM446" s="89">
        <v>42981.283206018517</v>
      </c>
      <c r="AN446" s="86" t="s">
        <v>26039</v>
      </c>
      <c r="AO446" s="86" t="s">
        <v>26830</v>
      </c>
      <c r="AP446" s="96" t="str">
        <f>HYPERLINK("https://t.co/mk98oS8L9G")</f>
        <v>https://t.co/mk98oS8L9G</v>
      </c>
      <c r="AQ446" s="96" t="str">
        <f>HYPERLINK("https://dotnetinstitute.co.in")</f>
        <v>https://dotnetinstitute.co.in</v>
      </c>
      <c r="AR446" s="86" t="s">
        <v>28207</v>
      </c>
      <c r="AS446" s="86"/>
      <c r="AT446" s="86"/>
      <c r="AU446" s="86"/>
      <c r="AV446" s="86"/>
      <c r="AW446" s="96" t="str">
        <f>HYPERLINK("https://t.co/mk98oS8L9G")</f>
        <v>https://t.co/mk98oS8L9G</v>
      </c>
      <c r="AX446" s="86" t="b">
        <v>0</v>
      </c>
      <c r="AY446" s="86"/>
      <c r="AZ446" s="86"/>
      <c r="BA446" s="86" t="b">
        <v>0</v>
      </c>
      <c r="BB446" s="86" t="b">
        <v>1</v>
      </c>
      <c r="BC446" s="86" t="b">
        <v>0</v>
      </c>
      <c r="BD446" s="86" t="b">
        <v>0</v>
      </c>
      <c r="BE446" s="86" t="b">
        <v>1</v>
      </c>
      <c r="BF446" s="86" t="b">
        <v>0</v>
      </c>
      <c r="BG446" s="86" t="b">
        <v>0</v>
      </c>
      <c r="BH446" s="96" t="str">
        <f>HYPERLINK("https://pbs.twimg.com/profile_banners/904234457057574913/1627546795")</f>
        <v>https://pbs.twimg.com/profile_banners/904234457057574913/1627546795</v>
      </c>
      <c r="BI446" s="86"/>
      <c r="BJ446" s="86" t="s">
        <v>29134</v>
      </c>
      <c r="BK446" s="86" t="b">
        <v>0</v>
      </c>
      <c r="BL446" s="86"/>
      <c r="BM446" s="86" t="s">
        <v>66</v>
      </c>
      <c r="BN446" s="86" t="s">
        <v>29136</v>
      </c>
      <c r="BO446" s="96" t="str">
        <f>HYPERLINK("https://twitter.com/dotnetinstitute")</f>
        <v>https://twitter.com/dotnetinstitute</v>
      </c>
      <c r="BP446" s="2"/>
    </row>
    <row r="447" spans="1:68" x14ac:dyDescent="0.25">
      <c r="A447" s="63" t="s">
        <v>606</v>
      </c>
      <c r="B447" s="64"/>
      <c r="C447" s="64"/>
      <c r="D447" s="65"/>
      <c r="E447" s="67"/>
      <c r="F447" s="111" t="str">
        <f>HYPERLINK("https://pbs.twimg.com/profile_images/1654858602157424641/_px2QY4I_normal.jpg")</f>
        <v>https://pbs.twimg.com/profile_images/1654858602157424641/_px2QY4I_normal.jpg</v>
      </c>
      <c r="G447" s="64"/>
      <c r="H447" s="68"/>
      <c r="I447" s="69"/>
      <c r="J447" s="69"/>
      <c r="K447" s="68" t="s">
        <v>29580</v>
      </c>
      <c r="L447" s="72"/>
      <c r="M447" s="73"/>
      <c r="N447" s="73"/>
      <c r="O447" s="74"/>
      <c r="P447" s="75"/>
      <c r="Q447" s="75"/>
      <c r="R447" s="102"/>
      <c r="S447" s="102"/>
      <c r="T447" s="102"/>
      <c r="U447" s="102"/>
      <c r="V447" s="48"/>
      <c r="W447" s="48"/>
      <c r="X447" s="48"/>
      <c r="Y447" s="48"/>
      <c r="Z447" s="47"/>
      <c r="AA447" s="70">
        <v>447</v>
      </c>
      <c r="AB447" s="70"/>
      <c r="AC447" s="71"/>
      <c r="AD447" s="86" t="s">
        <v>24076</v>
      </c>
      <c r="AE447" s="94" t="s">
        <v>25397</v>
      </c>
      <c r="AF447" s="86">
        <v>1327</v>
      </c>
      <c r="AG447" s="86">
        <v>174</v>
      </c>
      <c r="AH447" s="86">
        <v>13271</v>
      </c>
      <c r="AI447" s="86">
        <v>28</v>
      </c>
      <c r="AJ447" s="86">
        <v>3285</v>
      </c>
      <c r="AK447" s="86">
        <v>1081</v>
      </c>
      <c r="AL447" s="86" t="b">
        <v>0</v>
      </c>
      <c r="AM447" s="89">
        <v>39957.9684375</v>
      </c>
      <c r="AN447" s="86" t="s">
        <v>15246</v>
      </c>
      <c r="AO447" s="86" t="s">
        <v>26831</v>
      </c>
      <c r="AP447" s="96" t="str">
        <f>HYPERLINK("https://t.co/vlVa7Ml3ya")</f>
        <v>https://t.co/vlVa7Ml3ya</v>
      </c>
      <c r="AQ447" s="96" t="str">
        <f>HYPERLINK("https://linkr.bio/marcelostrama?fbclid=PAAaYzlhmlbcqOlcfnNo77fJuUfGVAqOmRaVhqGaKaXmF1VboTx_xmtFV9seA")</f>
        <v>https://linkr.bio/marcelostrama?fbclid=PAAaYzlhmlbcqOlcfnNo77fJuUfGVAqOmRaVhqGaKaXmF1VboTx_xmtFV9seA</v>
      </c>
      <c r="AR447" s="86" t="s">
        <v>28208</v>
      </c>
      <c r="AS447" s="86"/>
      <c r="AT447" s="86"/>
      <c r="AU447" s="86"/>
      <c r="AV447" s="86"/>
      <c r="AW447" s="96" t="str">
        <f>HYPERLINK("https://t.co/vlVa7Ml3ya")</f>
        <v>https://t.co/vlVa7Ml3ya</v>
      </c>
      <c r="AX447" s="86" t="b">
        <v>0</v>
      </c>
      <c r="AY447" s="86"/>
      <c r="AZ447" s="86"/>
      <c r="BA447" s="86" t="b">
        <v>1</v>
      </c>
      <c r="BB447" s="86" t="b">
        <v>1</v>
      </c>
      <c r="BC447" s="86" t="b">
        <v>0</v>
      </c>
      <c r="BD447" s="86" t="b">
        <v>0</v>
      </c>
      <c r="BE447" s="86" t="b">
        <v>0</v>
      </c>
      <c r="BF447" s="86" t="b">
        <v>0</v>
      </c>
      <c r="BG447" s="86" t="b">
        <v>0</v>
      </c>
      <c r="BH447" s="96" t="str">
        <f>HYPERLINK("https://pbs.twimg.com/profile_banners/42301397/1683508326")</f>
        <v>https://pbs.twimg.com/profile_banners/42301397/1683508326</v>
      </c>
      <c r="BI447" s="86"/>
      <c r="BJ447" s="86" t="s">
        <v>29134</v>
      </c>
      <c r="BK447" s="86" t="b">
        <v>0</v>
      </c>
      <c r="BL447" s="86"/>
      <c r="BM447" s="86" t="s">
        <v>66</v>
      </c>
      <c r="BN447" s="86" t="s">
        <v>29136</v>
      </c>
      <c r="BO447" s="96" t="str">
        <f>HYPERLINK("https://twitter.com/marcelostrama_")</f>
        <v>https://twitter.com/marcelostrama_</v>
      </c>
      <c r="BP447" s="2"/>
    </row>
    <row r="448" spans="1:68" x14ac:dyDescent="0.25">
      <c r="A448" s="63" t="s">
        <v>1670</v>
      </c>
      <c r="B448" s="64"/>
      <c r="C448" s="64"/>
      <c r="D448" s="65"/>
      <c r="E448" s="67"/>
      <c r="F448" s="111" t="str">
        <f>HYPERLINK("https://pbs.twimg.com/profile_images/435533384774082561/KrmVAQCC_normal.jpeg")</f>
        <v>https://pbs.twimg.com/profile_images/435533384774082561/KrmVAQCC_normal.jpeg</v>
      </c>
      <c r="G448" s="64"/>
      <c r="H448" s="68"/>
      <c r="I448" s="69"/>
      <c r="J448" s="69"/>
      <c r="K448" s="68" t="s">
        <v>29581</v>
      </c>
      <c r="L448" s="72"/>
      <c r="M448" s="73"/>
      <c r="N448" s="73"/>
      <c r="O448" s="74"/>
      <c r="P448" s="75"/>
      <c r="Q448" s="75"/>
      <c r="R448" s="102"/>
      <c r="S448" s="102"/>
      <c r="T448" s="102"/>
      <c r="U448" s="102"/>
      <c r="V448" s="48"/>
      <c r="W448" s="48"/>
      <c r="X448" s="48"/>
      <c r="Y448" s="48"/>
      <c r="Z448" s="47"/>
      <c r="AA448" s="70">
        <v>448</v>
      </c>
      <c r="AB448" s="70"/>
      <c r="AC448" s="71"/>
      <c r="AD448" s="86" t="s">
        <v>24077</v>
      </c>
      <c r="AE448" s="94" t="s">
        <v>25398</v>
      </c>
      <c r="AF448" s="86">
        <v>2287</v>
      </c>
      <c r="AG448" s="86">
        <v>384</v>
      </c>
      <c r="AH448" s="86">
        <v>4496</v>
      </c>
      <c r="AI448" s="86">
        <v>45</v>
      </c>
      <c r="AJ448" s="86">
        <v>5</v>
      </c>
      <c r="AK448" s="86">
        <v>266</v>
      </c>
      <c r="AL448" s="86" t="b">
        <v>0</v>
      </c>
      <c r="AM448" s="89">
        <v>39996.964085648149</v>
      </c>
      <c r="AN448" s="86" t="s">
        <v>26040</v>
      </c>
      <c r="AO448" s="86" t="s">
        <v>26832</v>
      </c>
      <c r="AP448" s="96" t="str">
        <f>HYPERLINK("http://t.co/bBRsNSlKQM")</f>
        <v>http://t.co/bBRsNSlKQM</v>
      </c>
      <c r="AQ448" s="96" t="str">
        <f>HYPERLINK("http://caiofranca.com.br")</f>
        <v>http://caiofranca.com.br</v>
      </c>
      <c r="AR448" s="86" t="s">
        <v>28209</v>
      </c>
      <c r="AS448" s="86"/>
      <c r="AT448" s="86"/>
      <c r="AU448" s="86"/>
      <c r="AV448" s="86"/>
      <c r="AW448" s="96" t="str">
        <f>HYPERLINK("http://t.co/bBRsNSlKQM")</f>
        <v>http://t.co/bBRsNSlKQM</v>
      </c>
      <c r="AX448" s="86" t="b">
        <v>0</v>
      </c>
      <c r="AY448" s="86"/>
      <c r="AZ448" s="86"/>
      <c r="BA448" s="86" t="b">
        <v>0</v>
      </c>
      <c r="BB448" s="86" t="b">
        <v>1</v>
      </c>
      <c r="BC448" s="86" t="b">
        <v>0</v>
      </c>
      <c r="BD448" s="86" t="b">
        <v>0</v>
      </c>
      <c r="BE448" s="86" t="b">
        <v>0</v>
      </c>
      <c r="BF448" s="86" t="b">
        <v>0</v>
      </c>
      <c r="BG448" s="86" t="b">
        <v>0</v>
      </c>
      <c r="BH448" s="86"/>
      <c r="BI448" s="86"/>
      <c r="BJ448" s="86" t="s">
        <v>29134</v>
      </c>
      <c r="BK448" s="86" t="b">
        <v>0</v>
      </c>
      <c r="BL448" s="86"/>
      <c r="BM448" s="86" t="s">
        <v>65</v>
      </c>
      <c r="BN448" s="86" t="s">
        <v>29136</v>
      </c>
      <c r="BO448" s="96" t="str">
        <f>HYPERLINK("https://twitter.com/caiofranca_")</f>
        <v>https://twitter.com/caiofranca_</v>
      </c>
      <c r="BP448" s="2"/>
    </row>
    <row r="449" spans="1:68" x14ac:dyDescent="0.25">
      <c r="A449" s="63" t="s">
        <v>607</v>
      </c>
      <c r="B449" s="64"/>
      <c r="C449" s="64"/>
      <c r="D449" s="65"/>
      <c r="E449" s="67"/>
      <c r="F449" s="111" t="str">
        <f>HYPERLINK("https://pbs.twimg.com/profile_images/1639572381978046464/KrEMCXeJ_normal.jpg")</f>
        <v>https://pbs.twimg.com/profile_images/1639572381978046464/KrEMCXeJ_normal.jpg</v>
      </c>
      <c r="G449" s="64"/>
      <c r="H449" s="68"/>
      <c r="I449" s="69"/>
      <c r="J449" s="69"/>
      <c r="K449" s="68" t="s">
        <v>29582</v>
      </c>
      <c r="L449" s="72"/>
      <c r="M449" s="73"/>
      <c r="N449" s="73"/>
      <c r="O449" s="74"/>
      <c r="P449" s="75"/>
      <c r="Q449" s="75"/>
      <c r="R449" s="102"/>
      <c r="S449" s="102"/>
      <c r="T449" s="102"/>
      <c r="U449" s="102"/>
      <c r="V449" s="48"/>
      <c r="W449" s="48"/>
      <c r="X449" s="48"/>
      <c r="Y449" s="48"/>
      <c r="Z449" s="47"/>
      <c r="AA449" s="70">
        <v>449</v>
      </c>
      <c r="AB449" s="70"/>
      <c r="AC449" s="71"/>
      <c r="AD449" s="86" t="s">
        <v>24078</v>
      </c>
      <c r="AE449" s="94" t="s">
        <v>23013</v>
      </c>
      <c r="AF449" s="86">
        <v>2</v>
      </c>
      <c r="AG449" s="86">
        <v>25</v>
      </c>
      <c r="AH449" s="86">
        <v>144</v>
      </c>
      <c r="AI449" s="86">
        <v>0</v>
      </c>
      <c r="AJ449" s="86">
        <v>18</v>
      </c>
      <c r="AK449" s="86">
        <v>27</v>
      </c>
      <c r="AL449" s="86" t="b">
        <v>0</v>
      </c>
      <c r="AM449" s="89">
        <v>44388.35297453704</v>
      </c>
      <c r="AN449" s="86" t="s">
        <v>26041</v>
      </c>
      <c r="AO449" s="86" t="s">
        <v>26833</v>
      </c>
      <c r="AP449" s="96" t="str">
        <f>HYPERLINK("https://t.co/hGYEHzFa68")</f>
        <v>https://t.co/hGYEHzFa68</v>
      </c>
      <c r="AQ449" s="96" t="str">
        <f>HYPERLINK("https://contate.me/pintoralexanderhernandez")</f>
        <v>https://contate.me/pintoralexanderhernandez</v>
      </c>
      <c r="AR449" s="86" t="s">
        <v>28210</v>
      </c>
      <c r="AS449" s="86"/>
      <c r="AT449" s="86"/>
      <c r="AU449" s="86"/>
      <c r="AV449" s="86">
        <v>1.6265863687293E+18</v>
      </c>
      <c r="AW449" s="96" t="str">
        <f>HYPERLINK("https://t.co/hGYEHzFa68")</f>
        <v>https://t.co/hGYEHzFa68</v>
      </c>
      <c r="AX449" s="86" t="b">
        <v>0</v>
      </c>
      <c r="AY449" s="86"/>
      <c r="AZ449" s="86"/>
      <c r="BA449" s="86" t="b">
        <v>1</v>
      </c>
      <c r="BB449" s="86" t="b">
        <v>0</v>
      </c>
      <c r="BC449" s="86" t="b">
        <v>1</v>
      </c>
      <c r="BD449" s="86" t="b">
        <v>0</v>
      </c>
      <c r="BE449" s="86" t="b">
        <v>1</v>
      </c>
      <c r="BF449" s="86" t="b">
        <v>0</v>
      </c>
      <c r="BG449" s="86" t="b">
        <v>0</v>
      </c>
      <c r="BH449" s="96" t="str">
        <f>HYPERLINK("https://pbs.twimg.com/profile_banners/1414139385944084484/1676361110")</f>
        <v>https://pbs.twimg.com/profile_banners/1414139385944084484/1676361110</v>
      </c>
      <c r="BI449" s="86"/>
      <c r="BJ449" s="86" t="s">
        <v>29134</v>
      </c>
      <c r="BK449" s="86" t="b">
        <v>0</v>
      </c>
      <c r="BL449" s="86"/>
      <c r="BM449" s="86" t="s">
        <v>66</v>
      </c>
      <c r="BN449" s="86" t="s">
        <v>29136</v>
      </c>
      <c r="BO449" s="96" t="str">
        <f>HYPERLINK("https://twitter.com/alexpintor_foz")</f>
        <v>https://twitter.com/alexpintor_foz</v>
      </c>
      <c r="BP449" s="2"/>
    </row>
    <row r="450" spans="1:68" x14ac:dyDescent="0.25">
      <c r="A450" s="63" t="s">
        <v>608</v>
      </c>
      <c r="B450" s="64"/>
      <c r="C450" s="64"/>
      <c r="D450" s="65"/>
      <c r="E450" s="67"/>
      <c r="F450" s="111" t="str">
        <f>HYPERLINK("https://pbs.twimg.com/profile_images/1222209999734296576/9RmKOGH7_normal.png")</f>
        <v>https://pbs.twimg.com/profile_images/1222209999734296576/9RmKOGH7_normal.png</v>
      </c>
      <c r="G450" s="64"/>
      <c r="H450" s="68"/>
      <c r="I450" s="69"/>
      <c r="J450" s="69"/>
      <c r="K450" s="68" t="s">
        <v>29583</v>
      </c>
      <c r="L450" s="72"/>
      <c r="M450" s="73"/>
      <c r="N450" s="73"/>
      <c r="O450" s="74"/>
      <c r="P450" s="75"/>
      <c r="Q450" s="75"/>
      <c r="R450" s="102"/>
      <c r="S450" s="102"/>
      <c r="T450" s="102"/>
      <c r="U450" s="102"/>
      <c r="V450" s="48"/>
      <c r="W450" s="48"/>
      <c r="X450" s="48"/>
      <c r="Y450" s="48"/>
      <c r="Z450" s="47"/>
      <c r="AA450" s="70">
        <v>450</v>
      </c>
      <c r="AB450" s="70"/>
      <c r="AC450" s="71"/>
      <c r="AD450" s="86" t="s">
        <v>24079</v>
      </c>
      <c r="AE450" s="94" t="s">
        <v>22554</v>
      </c>
      <c r="AF450" s="86">
        <v>1108</v>
      </c>
      <c r="AG450" s="86">
        <v>18</v>
      </c>
      <c r="AH450" s="86">
        <v>13563</v>
      </c>
      <c r="AI450" s="86">
        <v>9</v>
      </c>
      <c r="AJ450" s="86">
        <v>351</v>
      </c>
      <c r="AK450" s="86">
        <v>161</v>
      </c>
      <c r="AL450" s="86" t="b">
        <v>0</v>
      </c>
      <c r="AM450" s="89">
        <v>43779.808912037035</v>
      </c>
      <c r="AN450" s="86" t="s">
        <v>26042</v>
      </c>
      <c r="AO450" s="86" t="s">
        <v>26834</v>
      </c>
      <c r="AP450" s="96" t="str">
        <f>HYPERLINK("https://t.co/cql6R2NLe0")</f>
        <v>https://t.co/cql6R2NLe0</v>
      </c>
      <c r="AQ450" s="96" t="str">
        <f>HYPERLINK("http://www.ootimista.com.br")</f>
        <v>http://www.ootimista.com.br</v>
      </c>
      <c r="AR450" s="86" t="s">
        <v>28211</v>
      </c>
      <c r="AS450" s="86"/>
      <c r="AT450" s="86"/>
      <c r="AU450" s="86"/>
      <c r="AV450" s="86"/>
      <c r="AW450" s="96" t="str">
        <f>HYPERLINK("https://t.co/cql6R2NLe0")</f>
        <v>https://t.co/cql6R2NLe0</v>
      </c>
      <c r="AX450" s="86" t="b">
        <v>0</v>
      </c>
      <c r="AY450" s="86"/>
      <c r="AZ450" s="86"/>
      <c r="BA450" s="86" t="b">
        <v>0</v>
      </c>
      <c r="BB450" s="86" t="b">
        <v>1</v>
      </c>
      <c r="BC450" s="86" t="b">
        <v>1</v>
      </c>
      <c r="BD450" s="86" t="b">
        <v>0</v>
      </c>
      <c r="BE450" s="86" t="b">
        <v>0</v>
      </c>
      <c r="BF450" s="86" t="b">
        <v>0</v>
      </c>
      <c r="BG450" s="86" t="b">
        <v>0</v>
      </c>
      <c r="BH450" s="96" t="str">
        <f>HYPERLINK("https://pbs.twimg.com/profile_banners/1193610396604735488/1580232547")</f>
        <v>https://pbs.twimg.com/profile_banners/1193610396604735488/1580232547</v>
      </c>
      <c r="BI450" s="86"/>
      <c r="BJ450" s="86" t="s">
        <v>29134</v>
      </c>
      <c r="BK450" s="86" t="b">
        <v>0</v>
      </c>
      <c r="BL450" s="86"/>
      <c r="BM450" s="86" t="s">
        <v>66</v>
      </c>
      <c r="BN450" s="86" t="s">
        <v>29136</v>
      </c>
      <c r="BO450" s="96" t="str">
        <f>HYPERLINK("https://twitter.com/ootimistajornal")</f>
        <v>https://twitter.com/ootimistajornal</v>
      </c>
      <c r="BP450" s="2"/>
    </row>
    <row r="451" spans="1:68" x14ac:dyDescent="0.25">
      <c r="A451" s="63" t="s">
        <v>609</v>
      </c>
      <c r="B451" s="64"/>
      <c r="C451" s="64"/>
      <c r="D451" s="65"/>
      <c r="E451" s="67"/>
      <c r="F451" s="111" t="str">
        <f>HYPERLINK("https://pbs.twimg.com/profile_images/1678439142315679744/jj1HJL4y_normal.jpg")</f>
        <v>https://pbs.twimg.com/profile_images/1678439142315679744/jj1HJL4y_normal.jpg</v>
      </c>
      <c r="G451" s="64"/>
      <c r="H451" s="68"/>
      <c r="I451" s="69"/>
      <c r="J451" s="69"/>
      <c r="K451" s="68" t="s">
        <v>29584</v>
      </c>
      <c r="L451" s="72"/>
      <c r="M451" s="73"/>
      <c r="N451" s="73"/>
      <c r="O451" s="74"/>
      <c r="P451" s="75"/>
      <c r="Q451" s="75"/>
      <c r="R451" s="102"/>
      <c r="S451" s="102"/>
      <c r="T451" s="102"/>
      <c r="U451" s="102"/>
      <c r="V451" s="48"/>
      <c r="W451" s="48"/>
      <c r="X451" s="48"/>
      <c r="Y451" s="48"/>
      <c r="Z451" s="47"/>
      <c r="AA451" s="70">
        <v>451</v>
      </c>
      <c r="AB451" s="70"/>
      <c r="AC451" s="71"/>
      <c r="AD451" s="86" t="s">
        <v>24080</v>
      </c>
      <c r="AE451" s="94" t="s">
        <v>23014</v>
      </c>
      <c r="AF451" s="86">
        <v>3</v>
      </c>
      <c r="AG451" s="86">
        <v>44</v>
      </c>
      <c r="AH451" s="86">
        <v>52</v>
      </c>
      <c r="AI451" s="86">
        <v>0</v>
      </c>
      <c r="AJ451" s="86">
        <v>107</v>
      </c>
      <c r="AK451" s="86">
        <v>18</v>
      </c>
      <c r="AL451" s="86" t="b">
        <v>0</v>
      </c>
      <c r="AM451" s="89">
        <v>44461.144606481481</v>
      </c>
      <c r="AN451" s="86" t="s">
        <v>25915</v>
      </c>
      <c r="AO451" s="86" t="s">
        <v>26835</v>
      </c>
      <c r="AP451" s="96" t="str">
        <f>HYPERLINK("https://t.co/vdpXbibaEO")</f>
        <v>https://t.co/vdpXbibaEO</v>
      </c>
      <c r="AQ451" s="96" t="str">
        <f>HYPERLINK("https://legadocriatividade.com.br")</f>
        <v>https://legadocriatividade.com.br</v>
      </c>
      <c r="AR451" s="86" t="s">
        <v>28212</v>
      </c>
      <c r="AS451" s="86"/>
      <c r="AT451" s="86"/>
      <c r="AU451" s="86"/>
      <c r="AV451" s="86"/>
      <c r="AW451" s="96" t="str">
        <f>HYPERLINK("https://t.co/vdpXbibaEO")</f>
        <v>https://t.co/vdpXbibaEO</v>
      </c>
      <c r="AX451" s="86" t="b">
        <v>0</v>
      </c>
      <c r="AY451" s="86"/>
      <c r="AZ451" s="86"/>
      <c r="BA451" s="86" t="b">
        <v>0</v>
      </c>
      <c r="BB451" s="86" t="b">
        <v>1</v>
      </c>
      <c r="BC451" s="86" t="b">
        <v>1</v>
      </c>
      <c r="BD451" s="86" t="b">
        <v>0</v>
      </c>
      <c r="BE451" s="86" t="b">
        <v>0</v>
      </c>
      <c r="BF451" s="86" t="b">
        <v>0</v>
      </c>
      <c r="BG451" s="86" t="b">
        <v>0</v>
      </c>
      <c r="BH451" s="96" t="str">
        <f>HYPERLINK("https://pbs.twimg.com/profile_banners/1440518081936166920/1685452502")</f>
        <v>https://pbs.twimg.com/profile_banners/1440518081936166920/1685452502</v>
      </c>
      <c r="BI451" s="86"/>
      <c r="BJ451" s="86" t="s">
        <v>29134</v>
      </c>
      <c r="BK451" s="86" t="b">
        <v>0</v>
      </c>
      <c r="BL451" s="86"/>
      <c r="BM451" s="86" t="s">
        <v>66</v>
      </c>
      <c r="BN451" s="86" t="s">
        <v>29136</v>
      </c>
      <c r="BO451" s="96" t="str">
        <f>HYPERLINK("https://twitter.com/felipelegado")</f>
        <v>https://twitter.com/felipelegado</v>
      </c>
      <c r="BP451" s="2"/>
    </row>
    <row r="452" spans="1:68" x14ac:dyDescent="0.25">
      <c r="A452" s="63" t="s">
        <v>610</v>
      </c>
      <c r="B452" s="64"/>
      <c r="C452" s="64"/>
      <c r="D452" s="65"/>
      <c r="E452" s="67"/>
      <c r="F452" s="111" t="str">
        <f>HYPERLINK("https://pbs.twimg.com/profile_images/1664096165070028801/PSJeAwx__normal.jpg")</f>
        <v>https://pbs.twimg.com/profile_images/1664096165070028801/PSJeAwx__normal.jpg</v>
      </c>
      <c r="G452" s="64"/>
      <c r="H452" s="68"/>
      <c r="I452" s="69"/>
      <c r="J452" s="69"/>
      <c r="K452" s="68" t="s">
        <v>29585</v>
      </c>
      <c r="L452" s="72"/>
      <c r="M452" s="73"/>
      <c r="N452" s="73"/>
      <c r="O452" s="74"/>
      <c r="P452" s="75"/>
      <c r="Q452" s="75"/>
      <c r="R452" s="102"/>
      <c r="S452" s="102"/>
      <c r="T452" s="102"/>
      <c r="U452" s="102"/>
      <c r="V452" s="48"/>
      <c r="W452" s="48"/>
      <c r="X452" s="48"/>
      <c r="Y452" s="48"/>
      <c r="Z452" s="47"/>
      <c r="AA452" s="70">
        <v>452</v>
      </c>
      <c r="AB452" s="70"/>
      <c r="AC452" s="71"/>
      <c r="AD452" s="86" t="s">
        <v>24081</v>
      </c>
      <c r="AE452" s="94" t="s">
        <v>23015</v>
      </c>
      <c r="AF452" s="86">
        <v>1259</v>
      </c>
      <c r="AG452" s="86">
        <v>30</v>
      </c>
      <c r="AH452" s="86">
        <v>3511</v>
      </c>
      <c r="AI452" s="86">
        <v>2</v>
      </c>
      <c r="AJ452" s="86">
        <v>4</v>
      </c>
      <c r="AK452" s="86">
        <v>1323</v>
      </c>
      <c r="AL452" s="86" t="b">
        <v>0</v>
      </c>
      <c r="AM452" s="89">
        <v>44309.834710648145</v>
      </c>
      <c r="AN452" s="86"/>
      <c r="AO452" s="86" t="s">
        <v>26836</v>
      </c>
      <c r="AP452" s="86"/>
      <c r="AQ452" s="86"/>
      <c r="AR452" s="86"/>
      <c r="AS452" s="86"/>
      <c r="AT452" s="86"/>
      <c r="AU452" s="86"/>
      <c r="AV452" s="86">
        <v>1.6693259074152499E+18</v>
      </c>
      <c r="AW452" s="86"/>
      <c r="AX452" s="86" t="b">
        <v>1</v>
      </c>
      <c r="AY452" s="86"/>
      <c r="AZ452" s="86"/>
      <c r="BA452" s="86" t="b">
        <v>0</v>
      </c>
      <c r="BB452" s="86" t="b">
        <v>0</v>
      </c>
      <c r="BC452" s="86" t="b">
        <v>1</v>
      </c>
      <c r="BD452" s="86" t="b">
        <v>0</v>
      </c>
      <c r="BE452" s="86" t="b">
        <v>0</v>
      </c>
      <c r="BF452" s="86" t="b">
        <v>0</v>
      </c>
      <c r="BG452" s="86" t="b">
        <v>0</v>
      </c>
      <c r="BH452" s="96" t="str">
        <f>HYPERLINK("https://pbs.twimg.com/profile_banners/1385685363952324609/1685586420")</f>
        <v>https://pbs.twimg.com/profile_banners/1385685363952324609/1685586420</v>
      </c>
      <c r="BI452" s="86"/>
      <c r="BJ452" s="86" t="s">
        <v>29134</v>
      </c>
      <c r="BK452" s="86" t="b">
        <v>0</v>
      </c>
      <c r="BL452" s="86"/>
      <c r="BM452" s="86" t="s">
        <v>66</v>
      </c>
      <c r="BN452" s="86" t="s">
        <v>29136</v>
      </c>
      <c r="BO452" s="96" t="str">
        <f>HYPERLINK("https://twitter.com/theinfoveritas")</f>
        <v>https://twitter.com/theinfoveritas</v>
      </c>
      <c r="BP452" s="2"/>
    </row>
    <row r="453" spans="1:68" x14ac:dyDescent="0.25">
      <c r="A453" s="63" t="s">
        <v>611</v>
      </c>
      <c r="B453" s="64"/>
      <c r="C453" s="64"/>
      <c r="D453" s="65"/>
      <c r="E453" s="67"/>
      <c r="F453" s="111" t="str">
        <f>HYPERLINK("https://pbs.twimg.com/profile_images/1666633258665226242/fhkJY9Mb_normal.jpg")</f>
        <v>https://pbs.twimg.com/profile_images/1666633258665226242/fhkJY9Mb_normal.jpg</v>
      </c>
      <c r="G453" s="64"/>
      <c r="H453" s="68"/>
      <c r="I453" s="69"/>
      <c r="J453" s="69"/>
      <c r="K453" s="68" t="s">
        <v>29586</v>
      </c>
      <c r="L453" s="72"/>
      <c r="M453" s="73"/>
      <c r="N453" s="73"/>
      <c r="O453" s="74"/>
      <c r="P453" s="75"/>
      <c r="Q453" s="75"/>
      <c r="R453" s="102"/>
      <c r="S453" s="102"/>
      <c r="T453" s="102"/>
      <c r="U453" s="102"/>
      <c r="V453" s="48"/>
      <c r="W453" s="48"/>
      <c r="X453" s="48"/>
      <c r="Y453" s="48"/>
      <c r="Z453" s="47"/>
      <c r="AA453" s="70">
        <v>453</v>
      </c>
      <c r="AB453" s="70"/>
      <c r="AC453" s="71"/>
      <c r="AD453" s="86" t="s">
        <v>24082</v>
      </c>
      <c r="AE453" s="94" t="s">
        <v>23016</v>
      </c>
      <c r="AF453" s="86">
        <v>1173</v>
      </c>
      <c r="AG453" s="86">
        <v>1589</v>
      </c>
      <c r="AH453" s="86">
        <v>5192</v>
      </c>
      <c r="AI453" s="86">
        <v>2</v>
      </c>
      <c r="AJ453" s="86">
        <v>9136</v>
      </c>
      <c r="AK453" s="86">
        <v>440</v>
      </c>
      <c r="AL453" s="86" t="b">
        <v>0</v>
      </c>
      <c r="AM453" s="89">
        <v>43941.011979166666</v>
      </c>
      <c r="AN453" s="86"/>
      <c r="AO453" s="86" t="s">
        <v>26837</v>
      </c>
      <c r="AP453" s="96" t="str">
        <f>HYPERLINK("https://t.co/pEqfXYBMfM")</f>
        <v>https://t.co/pEqfXYBMfM</v>
      </c>
      <c r="AQ453" s="96" t="str">
        <f>HYPERLINK("https://youtube.com/c/EliasLealMkt")</f>
        <v>https://youtube.com/c/EliasLealMkt</v>
      </c>
      <c r="AR453" s="86" t="s">
        <v>28213</v>
      </c>
      <c r="AS453" s="96" t="str">
        <f>HYPERLINK("https://t.co/473SdTg20d")</f>
        <v>https://t.co/473SdTg20d</v>
      </c>
      <c r="AT453" s="96" t="str">
        <f>HYPERLINK("https://linkme.bio/eliaslealmkt/")</f>
        <v>https://linkme.bio/eliaslealmkt/</v>
      </c>
      <c r="AU453" s="86" t="s">
        <v>29060</v>
      </c>
      <c r="AV453" s="86">
        <v>1.70543182005185E+18</v>
      </c>
      <c r="AW453" s="96" t="str">
        <f>HYPERLINK("https://t.co/pEqfXYBMfM")</f>
        <v>https://t.co/pEqfXYBMfM</v>
      </c>
      <c r="AX453" s="86" t="b">
        <v>0</v>
      </c>
      <c r="AY453" s="86"/>
      <c r="AZ453" s="86"/>
      <c r="BA453" s="86" t="b">
        <v>0</v>
      </c>
      <c r="BB453" s="86" t="b">
        <v>0</v>
      </c>
      <c r="BC453" s="86" t="b">
        <v>1</v>
      </c>
      <c r="BD453" s="86" t="b">
        <v>0</v>
      </c>
      <c r="BE453" s="86" t="b">
        <v>1</v>
      </c>
      <c r="BF453" s="86" t="b">
        <v>0</v>
      </c>
      <c r="BG453" s="86" t="b">
        <v>0</v>
      </c>
      <c r="BH453" s="96" t="str">
        <f>HYPERLINK("https://pbs.twimg.com/profile_banners/1252027894513229826/1685819464")</f>
        <v>https://pbs.twimg.com/profile_banners/1252027894513229826/1685819464</v>
      </c>
      <c r="BI453" s="86"/>
      <c r="BJ453" s="86" t="s">
        <v>29134</v>
      </c>
      <c r="BK453" s="86" t="b">
        <v>0</v>
      </c>
      <c r="BL453" s="86"/>
      <c r="BM453" s="86" t="s">
        <v>66</v>
      </c>
      <c r="BN453" s="86" t="s">
        <v>29136</v>
      </c>
      <c r="BO453" s="96" t="str">
        <f>HYPERLINK("https://twitter.com/eliaslealmkt")</f>
        <v>https://twitter.com/eliaslealmkt</v>
      </c>
      <c r="BP453" s="2"/>
    </row>
    <row r="454" spans="1:68" x14ac:dyDescent="0.25">
      <c r="A454" s="63" t="s">
        <v>612</v>
      </c>
      <c r="B454" s="64"/>
      <c r="C454" s="64"/>
      <c r="D454" s="65"/>
      <c r="E454" s="67"/>
      <c r="F454" s="111" t="str">
        <f>HYPERLINK("https://pbs.twimg.com/profile_images/1664070012313714689/elUrffA0_normal.jpg")</f>
        <v>https://pbs.twimg.com/profile_images/1664070012313714689/elUrffA0_normal.jpg</v>
      </c>
      <c r="G454" s="64"/>
      <c r="H454" s="68"/>
      <c r="I454" s="69"/>
      <c r="J454" s="69"/>
      <c r="K454" s="68" t="s">
        <v>29587</v>
      </c>
      <c r="L454" s="72"/>
      <c r="M454" s="73"/>
      <c r="N454" s="73"/>
      <c r="O454" s="74"/>
      <c r="P454" s="75"/>
      <c r="Q454" s="75"/>
      <c r="R454" s="102"/>
      <c r="S454" s="102"/>
      <c r="T454" s="102"/>
      <c r="U454" s="102"/>
      <c r="V454" s="48"/>
      <c r="W454" s="48"/>
      <c r="X454" s="48"/>
      <c r="Y454" s="48"/>
      <c r="Z454" s="47"/>
      <c r="AA454" s="70">
        <v>454</v>
      </c>
      <c r="AB454" s="70"/>
      <c r="AC454" s="71"/>
      <c r="AD454" s="86" t="s">
        <v>24083</v>
      </c>
      <c r="AE454" s="94" t="s">
        <v>25399</v>
      </c>
      <c r="AF454" s="86">
        <v>509</v>
      </c>
      <c r="AG454" s="86">
        <v>521</v>
      </c>
      <c r="AH454" s="86">
        <v>9446</v>
      </c>
      <c r="AI454" s="86">
        <v>1</v>
      </c>
      <c r="AJ454" s="86">
        <v>76636</v>
      </c>
      <c r="AK454" s="86">
        <v>587</v>
      </c>
      <c r="AL454" s="86" t="b">
        <v>0</v>
      </c>
      <c r="AM454" s="89">
        <v>40347.011134259257</v>
      </c>
      <c r="AN454" s="86" t="s">
        <v>26043</v>
      </c>
      <c r="AO454" s="86" t="s">
        <v>26838</v>
      </c>
      <c r="AP454" s="86"/>
      <c r="AQ454" s="86"/>
      <c r="AR454" s="86"/>
      <c r="AS454" s="86"/>
      <c r="AT454" s="86"/>
      <c r="AU454" s="86"/>
      <c r="AV454" s="86">
        <v>1.6767511655542999E+18</v>
      </c>
      <c r="AW454" s="86"/>
      <c r="AX454" s="86" t="b">
        <v>0</v>
      </c>
      <c r="AY454" s="86"/>
      <c r="AZ454" s="86"/>
      <c r="BA454" s="86" t="b">
        <v>1</v>
      </c>
      <c r="BB454" s="86" t="b">
        <v>0</v>
      </c>
      <c r="BC454" s="86" t="b">
        <v>0</v>
      </c>
      <c r="BD454" s="86" t="b">
        <v>0</v>
      </c>
      <c r="BE454" s="86" t="b">
        <v>1</v>
      </c>
      <c r="BF454" s="86" t="b">
        <v>0</v>
      </c>
      <c r="BG454" s="86" t="b">
        <v>0</v>
      </c>
      <c r="BH454" s="96" t="str">
        <f>HYPERLINK("https://pbs.twimg.com/profile_banners/156803318/1693051578")</f>
        <v>https://pbs.twimg.com/profile_banners/156803318/1693051578</v>
      </c>
      <c r="BI454" s="86"/>
      <c r="BJ454" s="86" t="s">
        <v>29134</v>
      </c>
      <c r="BK454" s="86" t="b">
        <v>0</v>
      </c>
      <c r="BL454" s="86"/>
      <c r="BM454" s="86" t="s">
        <v>66</v>
      </c>
      <c r="BN454" s="86" t="s">
        <v>29136</v>
      </c>
      <c r="BO454" s="96" t="str">
        <f>HYPERLINK("https://twitter.com/tavorecife")</f>
        <v>https://twitter.com/tavorecife</v>
      </c>
      <c r="BP454" s="2"/>
    </row>
    <row r="455" spans="1:68" x14ac:dyDescent="0.25">
      <c r="A455" s="63" t="s">
        <v>1201</v>
      </c>
      <c r="B455" s="64"/>
      <c r="C455" s="64"/>
      <c r="D455" s="65"/>
      <c r="E455" s="67"/>
      <c r="F455" s="111" t="str">
        <f>HYPERLINK("https://pbs.twimg.com/profile_images/1089556244933812224/DTaDyzIS_normal.jpg")</f>
        <v>https://pbs.twimg.com/profile_images/1089556244933812224/DTaDyzIS_normal.jpg</v>
      </c>
      <c r="G455" s="64"/>
      <c r="H455" s="68"/>
      <c r="I455" s="69"/>
      <c r="J455" s="69"/>
      <c r="K455" s="68" t="s">
        <v>29588</v>
      </c>
      <c r="L455" s="72"/>
      <c r="M455" s="73"/>
      <c r="N455" s="73"/>
      <c r="O455" s="74"/>
      <c r="P455" s="75"/>
      <c r="Q455" s="75"/>
      <c r="R455" s="102"/>
      <c r="S455" s="102"/>
      <c r="T455" s="102"/>
      <c r="U455" s="102"/>
      <c r="V455" s="48"/>
      <c r="W455" s="48"/>
      <c r="X455" s="48"/>
      <c r="Y455" s="48"/>
      <c r="Z455" s="47"/>
      <c r="AA455" s="70">
        <v>455</v>
      </c>
      <c r="AB455" s="70"/>
      <c r="AC455" s="71"/>
      <c r="AD455" s="86" t="s">
        <v>24084</v>
      </c>
      <c r="AE455" s="94" t="s">
        <v>23359</v>
      </c>
      <c r="AF455" s="86">
        <v>10</v>
      </c>
      <c r="AG455" s="86">
        <v>39</v>
      </c>
      <c r="AH455" s="86">
        <v>621</v>
      </c>
      <c r="AI455" s="86">
        <v>0</v>
      </c>
      <c r="AJ455" s="86">
        <v>132</v>
      </c>
      <c r="AK455" s="86">
        <v>569</v>
      </c>
      <c r="AL455" s="86" t="b">
        <v>0</v>
      </c>
      <c r="AM455" s="89">
        <v>43326.381412037037</v>
      </c>
      <c r="AN455" s="86" t="s">
        <v>15421</v>
      </c>
      <c r="AO455" s="86" t="s">
        <v>26839</v>
      </c>
      <c r="AP455" s="96" t="str">
        <f>HYPERLINK("https://t.co/7ZWC0XEg7r")</f>
        <v>https://t.co/7ZWC0XEg7r</v>
      </c>
      <c r="AQ455" s="96" t="str">
        <f>HYPERLINK("http://lobscontabil.com")</f>
        <v>http://lobscontabil.com</v>
      </c>
      <c r="AR455" s="86" t="s">
        <v>8510</v>
      </c>
      <c r="AS455" s="86"/>
      <c r="AT455" s="86"/>
      <c r="AU455" s="86"/>
      <c r="AV455" s="86"/>
      <c r="AW455" s="96" t="str">
        <f>HYPERLINK("https://t.co/7ZWC0XEg7r")</f>
        <v>https://t.co/7ZWC0XEg7r</v>
      </c>
      <c r="AX455" s="86" t="b">
        <v>0</v>
      </c>
      <c r="AY455" s="86"/>
      <c r="AZ455" s="86"/>
      <c r="BA455" s="86" t="b">
        <v>0</v>
      </c>
      <c r="BB455" s="86" t="b">
        <v>1</v>
      </c>
      <c r="BC455" s="86" t="b">
        <v>0</v>
      </c>
      <c r="BD455" s="86" t="b">
        <v>0</v>
      </c>
      <c r="BE455" s="86" t="b">
        <v>0</v>
      </c>
      <c r="BF455" s="86" t="b">
        <v>0</v>
      </c>
      <c r="BG455" s="86" t="b">
        <v>0</v>
      </c>
      <c r="BH455" s="96" t="str">
        <f>HYPERLINK("https://pbs.twimg.com/profile_banners/1029293862387429377/1548605425")</f>
        <v>https://pbs.twimg.com/profile_banners/1029293862387429377/1548605425</v>
      </c>
      <c r="BI455" s="86"/>
      <c r="BJ455" s="86" t="s">
        <v>29134</v>
      </c>
      <c r="BK455" s="86" t="b">
        <v>0</v>
      </c>
      <c r="BL455" s="86"/>
      <c r="BM455" s="86" t="s">
        <v>66</v>
      </c>
      <c r="BN455" s="86" t="s">
        <v>29136</v>
      </c>
      <c r="BO455" s="96" t="str">
        <f>HYPERLINK("https://twitter.com/lobscontabilid1")</f>
        <v>https://twitter.com/lobscontabilid1</v>
      </c>
      <c r="BP455" s="2"/>
    </row>
    <row r="456" spans="1:68" x14ac:dyDescent="0.25">
      <c r="A456" s="63" t="s">
        <v>613</v>
      </c>
      <c r="B456" s="64"/>
      <c r="C456" s="64"/>
      <c r="D456" s="65"/>
      <c r="E456" s="67"/>
      <c r="F456" s="111" t="str">
        <f>HYPERLINK("https://pbs.twimg.com/profile_images/1690462353479843840/IJEtHREg_normal.jpg")</f>
        <v>https://pbs.twimg.com/profile_images/1690462353479843840/IJEtHREg_normal.jpg</v>
      </c>
      <c r="G456" s="64"/>
      <c r="H456" s="68"/>
      <c r="I456" s="69"/>
      <c r="J456" s="69"/>
      <c r="K456" s="68" t="s">
        <v>29589</v>
      </c>
      <c r="L456" s="72"/>
      <c r="M456" s="73"/>
      <c r="N456" s="73"/>
      <c r="O456" s="74"/>
      <c r="P456" s="75"/>
      <c r="Q456" s="75"/>
      <c r="R456" s="102"/>
      <c r="S456" s="102"/>
      <c r="T456" s="102"/>
      <c r="U456" s="102"/>
      <c r="V456" s="48"/>
      <c r="W456" s="48"/>
      <c r="X456" s="48"/>
      <c r="Y456" s="48"/>
      <c r="Z456" s="47"/>
      <c r="AA456" s="70">
        <v>456</v>
      </c>
      <c r="AB456" s="70"/>
      <c r="AC456" s="71"/>
      <c r="AD456" s="86" t="s">
        <v>24085</v>
      </c>
      <c r="AE456" s="94" t="s">
        <v>23017</v>
      </c>
      <c r="AF456" s="86">
        <v>59</v>
      </c>
      <c r="AG456" s="86">
        <v>52</v>
      </c>
      <c r="AH456" s="86">
        <v>489</v>
      </c>
      <c r="AI456" s="86">
        <v>0</v>
      </c>
      <c r="AJ456" s="86">
        <v>847</v>
      </c>
      <c r="AK456" s="86">
        <v>3</v>
      </c>
      <c r="AL456" s="86" t="b">
        <v>0</v>
      </c>
      <c r="AM456" s="89">
        <v>45102.995763888888</v>
      </c>
      <c r="AN456" s="86"/>
      <c r="AO456" s="86" t="s">
        <v>26840</v>
      </c>
      <c r="AP456" s="86"/>
      <c r="AQ456" s="86"/>
      <c r="AR456" s="86"/>
      <c r="AS456" s="86"/>
      <c r="AT456" s="86"/>
      <c r="AU456" s="86"/>
      <c r="AV456" s="86">
        <v>1.6911955587512399E+18</v>
      </c>
      <c r="AW456" s="86"/>
      <c r="AX456" s="86" t="b">
        <v>0</v>
      </c>
      <c r="AY456" s="86"/>
      <c r="AZ456" s="86"/>
      <c r="BA456" s="86" t="b">
        <v>0</v>
      </c>
      <c r="BB456" s="86" t="b">
        <v>1</v>
      </c>
      <c r="BC456" s="86" t="b">
        <v>1</v>
      </c>
      <c r="BD456" s="86" t="b">
        <v>0</v>
      </c>
      <c r="BE456" s="86" t="b">
        <v>0</v>
      </c>
      <c r="BF456" s="86" t="b">
        <v>0</v>
      </c>
      <c r="BG456" s="86" t="b">
        <v>0</v>
      </c>
      <c r="BH456" s="96" t="str">
        <f>HYPERLINK("https://pbs.twimg.com/profile_banners/1673117248079233025/1691872578")</f>
        <v>https://pbs.twimg.com/profile_banners/1673117248079233025/1691872578</v>
      </c>
      <c r="BI456" s="86"/>
      <c r="BJ456" s="86" t="s">
        <v>29134</v>
      </c>
      <c r="BK456" s="86" t="b">
        <v>0</v>
      </c>
      <c r="BL456" s="86"/>
      <c r="BM456" s="86" t="s">
        <v>66</v>
      </c>
      <c r="BN456" s="86" t="s">
        <v>29136</v>
      </c>
      <c r="BO456" s="96" t="str">
        <f>HYPERLINK("https://twitter.com/danielsmcontab")</f>
        <v>https://twitter.com/danielsmcontab</v>
      </c>
      <c r="BP456" s="2"/>
    </row>
    <row r="457" spans="1:68" x14ac:dyDescent="0.25">
      <c r="A457" s="63" t="s">
        <v>614</v>
      </c>
      <c r="B457" s="64"/>
      <c r="C457" s="64"/>
      <c r="D457" s="65"/>
      <c r="E457" s="67"/>
      <c r="F457" s="111" t="str">
        <f>HYPERLINK("https://pbs.twimg.com/profile_images/1698533728450961408/QfniagiY_normal.jpg")</f>
        <v>https://pbs.twimg.com/profile_images/1698533728450961408/QfniagiY_normal.jpg</v>
      </c>
      <c r="G457" s="64"/>
      <c r="H457" s="68"/>
      <c r="I457" s="69"/>
      <c r="J457" s="69"/>
      <c r="K457" s="68" t="s">
        <v>29590</v>
      </c>
      <c r="L457" s="72"/>
      <c r="M457" s="73"/>
      <c r="N457" s="73"/>
      <c r="O457" s="74"/>
      <c r="P457" s="75"/>
      <c r="Q457" s="75"/>
      <c r="R457" s="102"/>
      <c r="S457" s="102"/>
      <c r="T457" s="102"/>
      <c r="U457" s="102"/>
      <c r="V457" s="48"/>
      <c r="W457" s="48"/>
      <c r="X457" s="48"/>
      <c r="Y457" s="48"/>
      <c r="Z457" s="47"/>
      <c r="AA457" s="70">
        <v>457</v>
      </c>
      <c r="AB457" s="70"/>
      <c r="AC457" s="71"/>
      <c r="AD457" s="86" t="s">
        <v>24086</v>
      </c>
      <c r="AE457" s="94" t="s">
        <v>23018</v>
      </c>
      <c r="AF457" s="86">
        <v>0</v>
      </c>
      <c r="AG457" s="86">
        <v>8</v>
      </c>
      <c r="AH457" s="86">
        <v>2</v>
      </c>
      <c r="AI457" s="86">
        <v>0</v>
      </c>
      <c r="AJ457" s="86">
        <v>0</v>
      </c>
      <c r="AK457" s="86">
        <v>2</v>
      </c>
      <c r="AL457" s="86" t="b">
        <v>0</v>
      </c>
      <c r="AM457" s="89">
        <v>45173.130416666667</v>
      </c>
      <c r="AN457" s="86"/>
      <c r="AO457" s="86" t="s">
        <v>26841</v>
      </c>
      <c r="AP457" s="96" t="str">
        <f>HYPERLINK("https://t.co/AwkQwej7qs")</f>
        <v>https://t.co/AwkQwej7qs</v>
      </c>
      <c r="AQ457" s="96" t="str">
        <f>HYPERLINK("https://linktr.ee/murilo.satler")</f>
        <v>https://linktr.ee/murilo.satler</v>
      </c>
      <c r="AR457" s="86" t="s">
        <v>28214</v>
      </c>
      <c r="AS457" s="86"/>
      <c r="AT457" s="86"/>
      <c r="AU457" s="86"/>
      <c r="AV457" s="86"/>
      <c r="AW457" s="96" t="str">
        <f>HYPERLINK("https://t.co/AwkQwej7qs")</f>
        <v>https://t.co/AwkQwej7qs</v>
      </c>
      <c r="AX457" s="86" t="b">
        <v>0</v>
      </c>
      <c r="AY457" s="86"/>
      <c r="AZ457" s="86"/>
      <c r="BA457" s="86" t="b">
        <v>0</v>
      </c>
      <c r="BB457" s="86" t="b">
        <v>1</v>
      </c>
      <c r="BC457" s="86" t="b">
        <v>1</v>
      </c>
      <c r="BD457" s="86" t="b">
        <v>0</v>
      </c>
      <c r="BE457" s="86" t="b">
        <v>0</v>
      </c>
      <c r="BF457" s="86" t="b">
        <v>0</v>
      </c>
      <c r="BG457" s="86" t="b">
        <v>0</v>
      </c>
      <c r="BH457" s="96" t="str">
        <f>HYPERLINK("https://pbs.twimg.com/profile_banners/1698533227873423360/1693796997")</f>
        <v>https://pbs.twimg.com/profile_banners/1698533227873423360/1693796997</v>
      </c>
      <c r="BI457" s="86"/>
      <c r="BJ457" s="86" t="s">
        <v>29134</v>
      </c>
      <c r="BK457" s="86" t="b">
        <v>0</v>
      </c>
      <c r="BL457" s="86"/>
      <c r="BM457" s="86" t="s">
        <v>66</v>
      </c>
      <c r="BN457" s="86" t="s">
        <v>29136</v>
      </c>
      <c r="BO457" s="96" t="str">
        <f>HYPERLINK("https://twitter.com/murilo_business")</f>
        <v>https://twitter.com/murilo_business</v>
      </c>
      <c r="BP457" s="2"/>
    </row>
    <row r="458" spans="1:68" x14ac:dyDescent="0.25">
      <c r="A458" s="63" t="s">
        <v>615</v>
      </c>
      <c r="B458" s="64"/>
      <c r="C458" s="64"/>
      <c r="D458" s="65"/>
      <c r="E458" s="67"/>
      <c r="F458" s="111" t="str">
        <f>HYPERLINK("https://pbs.twimg.com/profile_images/1675219168071647233/jrTcbpBW_normal.jpg")</f>
        <v>https://pbs.twimg.com/profile_images/1675219168071647233/jrTcbpBW_normal.jpg</v>
      </c>
      <c r="G458" s="64"/>
      <c r="H458" s="68"/>
      <c r="I458" s="69"/>
      <c r="J458" s="69"/>
      <c r="K458" s="68" t="s">
        <v>29591</v>
      </c>
      <c r="L458" s="72"/>
      <c r="M458" s="73"/>
      <c r="N458" s="73"/>
      <c r="O458" s="74"/>
      <c r="P458" s="75"/>
      <c r="Q458" s="75"/>
      <c r="R458" s="102"/>
      <c r="S458" s="102"/>
      <c r="T458" s="102"/>
      <c r="U458" s="102"/>
      <c r="V458" s="48"/>
      <c r="W458" s="48"/>
      <c r="X458" s="48"/>
      <c r="Y458" s="48"/>
      <c r="Z458" s="47"/>
      <c r="AA458" s="70">
        <v>458</v>
      </c>
      <c r="AB458" s="70"/>
      <c r="AC458" s="71"/>
      <c r="AD458" s="86" t="s">
        <v>24087</v>
      </c>
      <c r="AE458" s="94" t="s">
        <v>25400</v>
      </c>
      <c r="AF458" s="86">
        <v>25</v>
      </c>
      <c r="AG458" s="86">
        <v>41</v>
      </c>
      <c r="AH458" s="86">
        <v>18</v>
      </c>
      <c r="AI458" s="86">
        <v>0</v>
      </c>
      <c r="AJ458" s="86">
        <v>2</v>
      </c>
      <c r="AK458" s="86">
        <v>1</v>
      </c>
      <c r="AL458" s="86" t="b">
        <v>0</v>
      </c>
      <c r="AM458" s="89">
        <v>40718.017800925925</v>
      </c>
      <c r="AN458" s="86" t="s">
        <v>25933</v>
      </c>
      <c r="AO458" s="86" t="s">
        <v>26842</v>
      </c>
      <c r="AP458" s="96" t="str">
        <f>HYPERLINK("https://t.co/SnZXPwXrWY")</f>
        <v>https://t.co/SnZXPwXrWY</v>
      </c>
      <c r="AQ458" s="96" t="str">
        <f>HYPERLINK("https://www.linkedin.com/in/samuel-vanio-costa-junior")</f>
        <v>https://www.linkedin.com/in/samuel-vanio-costa-junior</v>
      </c>
      <c r="AR458" s="86" t="s">
        <v>28215</v>
      </c>
      <c r="AS458" s="86"/>
      <c r="AT458" s="86"/>
      <c r="AU458" s="86"/>
      <c r="AV458" s="86"/>
      <c r="AW458" s="96" t="str">
        <f>HYPERLINK("https://t.co/SnZXPwXrWY")</f>
        <v>https://t.co/SnZXPwXrWY</v>
      </c>
      <c r="AX458" s="86" t="b">
        <v>0</v>
      </c>
      <c r="AY458" s="86"/>
      <c r="AZ458" s="86"/>
      <c r="BA458" s="86" t="b">
        <v>1</v>
      </c>
      <c r="BB458" s="86" t="b">
        <v>1</v>
      </c>
      <c r="BC458" s="86" t="b">
        <v>1</v>
      </c>
      <c r="BD458" s="86" t="b">
        <v>0</v>
      </c>
      <c r="BE458" s="86" t="b">
        <v>0</v>
      </c>
      <c r="BF458" s="86" t="b">
        <v>0</v>
      </c>
      <c r="BG458" s="86" t="b">
        <v>0</v>
      </c>
      <c r="BH458" s="96" t="str">
        <f>HYPERLINK("https://pbs.twimg.com/profile_banners/322939689/1588717252")</f>
        <v>https://pbs.twimg.com/profile_banners/322939689/1588717252</v>
      </c>
      <c r="BI458" s="86"/>
      <c r="BJ458" s="86" t="s">
        <v>29134</v>
      </c>
      <c r="BK458" s="86" t="b">
        <v>0</v>
      </c>
      <c r="BL458" s="86"/>
      <c r="BM458" s="86" t="s">
        <v>66</v>
      </c>
      <c r="BN458" s="86" t="s">
        <v>29136</v>
      </c>
      <c r="BO458" s="96" t="str">
        <f>HYPERLINK("https://twitter.com/samuelvcjunior")</f>
        <v>https://twitter.com/samuelvcjunior</v>
      </c>
      <c r="BP458" s="2"/>
    </row>
    <row r="459" spans="1:68" x14ac:dyDescent="0.25">
      <c r="A459" s="63" t="s">
        <v>616</v>
      </c>
      <c r="B459" s="64"/>
      <c r="C459" s="64"/>
      <c r="D459" s="65"/>
      <c r="E459" s="67"/>
      <c r="F459" s="111" t="str">
        <f>HYPERLINK("https://pbs.twimg.com/profile_images/1702169213085913088/1Fw1wp1b_normal.jpg")</f>
        <v>https://pbs.twimg.com/profile_images/1702169213085913088/1Fw1wp1b_normal.jpg</v>
      </c>
      <c r="G459" s="64"/>
      <c r="H459" s="68"/>
      <c r="I459" s="69"/>
      <c r="J459" s="69"/>
      <c r="K459" s="68" t="s">
        <v>29592</v>
      </c>
      <c r="L459" s="72"/>
      <c r="M459" s="73"/>
      <c r="N459" s="73"/>
      <c r="O459" s="74"/>
      <c r="P459" s="75"/>
      <c r="Q459" s="75"/>
      <c r="R459" s="102"/>
      <c r="S459" s="102"/>
      <c r="T459" s="102"/>
      <c r="U459" s="102"/>
      <c r="V459" s="48"/>
      <c r="W459" s="48"/>
      <c r="X459" s="48"/>
      <c r="Y459" s="48"/>
      <c r="Z459" s="47"/>
      <c r="AA459" s="70">
        <v>459</v>
      </c>
      <c r="AB459" s="70"/>
      <c r="AC459" s="71"/>
      <c r="AD459" s="86" t="s">
        <v>24088</v>
      </c>
      <c r="AE459" s="94" t="s">
        <v>25401</v>
      </c>
      <c r="AF459" s="86">
        <v>3175</v>
      </c>
      <c r="AG459" s="86">
        <v>3880</v>
      </c>
      <c r="AH459" s="86">
        <v>32932</v>
      </c>
      <c r="AI459" s="86">
        <v>4</v>
      </c>
      <c r="AJ459" s="86">
        <v>24058</v>
      </c>
      <c r="AK459" s="86">
        <v>1813</v>
      </c>
      <c r="AL459" s="86" t="b">
        <v>0</v>
      </c>
      <c r="AM459" s="89">
        <v>40557.420115740744</v>
      </c>
      <c r="AN459" s="86" t="s">
        <v>25990</v>
      </c>
      <c r="AO459" s="86" t="s">
        <v>26843</v>
      </c>
      <c r="AP459" s="96" t="str">
        <f>HYPERLINK("https://t.co/6PGMi1GP4z")</f>
        <v>https://t.co/6PGMi1GP4z</v>
      </c>
      <c r="AQ459" s="96" t="str">
        <f>HYPERLINK("https://www.instagram.com/antoniodesouza.br")</f>
        <v>https://www.instagram.com/antoniodesouza.br</v>
      </c>
      <c r="AR459" s="86" t="s">
        <v>28216</v>
      </c>
      <c r="AS459" s="86"/>
      <c r="AT459" s="86"/>
      <c r="AU459" s="86"/>
      <c r="AV459" s="86"/>
      <c r="AW459" s="96" t="str">
        <f>HYPERLINK("https://t.co/6PGMi1GP4z")</f>
        <v>https://t.co/6PGMi1GP4z</v>
      </c>
      <c r="AX459" s="86" t="b">
        <v>0</v>
      </c>
      <c r="AY459" s="86"/>
      <c r="AZ459" s="86"/>
      <c r="BA459" s="86" t="b">
        <v>0</v>
      </c>
      <c r="BB459" s="86" t="b">
        <v>0</v>
      </c>
      <c r="BC459" s="86" t="b">
        <v>0</v>
      </c>
      <c r="BD459" s="86" t="b">
        <v>0</v>
      </c>
      <c r="BE459" s="86" t="b">
        <v>0</v>
      </c>
      <c r="BF459" s="86" t="b">
        <v>0</v>
      </c>
      <c r="BG459" s="86" t="b">
        <v>0</v>
      </c>
      <c r="BH459" s="96" t="str">
        <f>HYPERLINK("https://pbs.twimg.com/profile_banners/238088921/1694663739")</f>
        <v>https://pbs.twimg.com/profile_banners/238088921/1694663739</v>
      </c>
      <c r="BI459" s="86"/>
      <c r="BJ459" s="86" t="s">
        <v>29135</v>
      </c>
      <c r="BK459" s="86" t="b">
        <v>0</v>
      </c>
      <c r="BL459" s="86"/>
      <c r="BM459" s="86" t="s">
        <v>66</v>
      </c>
      <c r="BN459" s="86" t="s">
        <v>29136</v>
      </c>
      <c r="BO459" s="96" t="str">
        <f>HYPERLINK("https://twitter.com/antoniodisouza")</f>
        <v>https://twitter.com/antoniodisouza</v>
      </c>
      <c r="BP459" s="2"/>
    </row>
    <row r="460" spans="1:68" x14ac:dyDescent="0.25">
      <c r="A460" s="63" t="s">
        <v>1671</v>
      </c>
      <c r="B460" s="64"/>
      <c r="C460" s="64"/>
      <c r="D460" s="65"/>
      <c r="E460" s="67"/>
      <c r="F460" s="111" t="str">
        <f>HYPERLINK("https://pbs.twimg.com/profile_images/590935990304288768/k0frkIIb_normal.png")</f>
        <v>https://pbs.twimg.com/profile_images/590935990304288768/k0frkIIb_normal.png</v>
      </c>
      <c r="G460" s="64"/>
      <c r="H460" s="68"/>
      <c r="I460" s="69"/>
      <c r="J460" s="69"/>
      <c r="K460" s="68" t="s">
        <v>29593</v>
      </c>
      <c r="L460" s="72"/>
      <c r="M460" s="73"/>
      <c r="N460" s="73"/>
      <c r="O460" s="74"/>
      <c r="P460" s="75"/>
      <c r="Q460" s="75"/>
      <c r="R460" s="102"/>
      <c r="S460" s="102"/>
      <c r="T460" s="102"/>
      <c r="U460" s="102"/>
      <c r="V460" s="48"/>
      <c r="W460" s="48"/>
      <c r="X460" s="48"/>
      <c r="Y460" s="48"/>
      <c r="Z460" s="47"/>
      <c r="AA460" s="70">
        <v>460</v>
      </c>
      <c r="AB460" s="70"/>
      <c r="AC460" s="71"/>
      <c r="AD460" s="86" t="s">
        <v>24089</v>
      </c>
      <c r="AE460" s="94" t="s">
        <v>25402</v>
      </c>
      <c r="AF460" s="86">
        <v>96</v>
      </c>
      <c r="AG460" s="86">
        <v>30</v>
      </c>
      <c r="AH460" s="86">
        <v>4</v>
      </c>
      <c r="AI460" s="86">
        <v>0</v>
      </c>
      <c r="AJ460" s="86">
        <v>0</v>
      </c>
      <c r="AK460" s="86">
        <v>2</v>
      </c>
      <c r="AL460" s="86" t="b">
        <v>0</v>
      </c>
      <c r="AM460" s="89">
        <v>42095.84778935185</v>
      </c>
      <c r="AN460" s="86"/>
      <c r="AO460" s="86"/>
      <c r="AP460" s="86"/>
      <c r="AQ460" s="86"/>
      <c r="AR460" s="86"/>
      <c r="AS460" s="86"/>
      <c r="AT460" s="86"/>
      <c r="AU460" s="86"/>
      <c r="AV460" s="86"/>
      <c r="AW460" s="86"/>
      <c r="AX460" s="86" t="b">
        <v>0</v>
      </c>
      <c r="AY460" s="86"/>
      <c r="AZ460" s="86"/>
      <c r="BA460" s="86" t="b">
        <v>0</v>
      </c>
      <c r="BB460" s="86" t="b">
        <v>1</v>
      </c>
      <c r="BC460" s="86" t="b">
        <v>1</v>
      </c>
      <c r="BD460" s="86" t="b">
        <v>0</v>
      </c>
      <c r="BE460" s="86" t="b">
        <v>0</v>
      </c>
      <c r="BF460" s="86" t="b">
        <v>0</v>
      </c>
      <c r="BG460" s="86" t="b">
        <v>0</v>
      </c>
      <c r="BH460" s="96" t="str">
        <f>HYPERLINK("https://pbs.twimg.com/profile_banners/3131145149/1444072478")</f>
        <v>https://pbs.twimg.com/profile_banners/3131145149/1444072478</v>
      </c>
      <c r="BI460" s="86"/>
      <c r="BJ460" s="86" t="s">
        <v>29134</v>
      </c>
      <c r="BK460" s="86" t="b">
        <v>0</v>
      </c>
      <c r="BL460" s="86"/>
      <c r="BM460" s="86" t="s">
        <v>65</v>
      </c>
      <c r="BN460" s="86" t="s">
        <v>29136</v>
      </c>
      <c r="BO460" s="96" t="str">
        <f>HYPERLINK("https://twitter.com/byd_brasil")</f>
        <v>https://twitter.com/byd_brasil</v>
      </c>
      <c r="BP460" s="2"/>
    </row>
    <row r="461" spans="1:68" x14ac:dyDescent="0.25">
      <c r="A461" s="63" t="s">
        <v>618</v>
      </c>
      <c r="B461" s="64"/>
      <c r="C461" s="64"/>
      <c r="D461" s="65"/>
      <c r="E461" s="67"/>
      <c r="F461" s="111" t="str">
        <f>HYPERLINK("https://pbs.twimg.com/profile_images/1492362380159897609/E42NNOaF_normal.jpg")</f>
        <v>https://pbs.twimg.com/profile_images/1492362380159897609/E42NNOaF_normal.jpg</v>
      </c>
      <c r="G461" s="64"/>
      <c r="H461" s="68"/>
      <c r="I461" s="69"/>
      <c r="J461" s="69"/>
      <c r="K461" s="68" t="s">
        <v>29594</v>
      </c>
      <c r="L461" s="72"/>
      <c r="M461" s="73"/>
      <c r="N461" s="73"/>
      <c r="O461" s="74"/>
      <c r="P461" s="75"/>
      <c r="Q461" s="75"/>
      <c r="R461" s="102"/>
      <c r="S461" s="102"/>
      <c r="T461" s="102"/>
      <c r="U461" s="102"/>
      <c r="V461" s="48"/>
      <c r="W461" s="48"/>
      <c r="X461" s="48"/>
      <c r="Y461" s="48"/>
      <c r="Z461" s="47"/>
      <c r="AA461" s="70">
        <v>461</v>
      </c>
      <c r="AB461" s="70"/>
      <c r="AC461" s="71"/>
      <c r="AD461" s="86" t="s">
        <v>24090</v>
      </c>
      <c r="AE461" s="94" t="s">
        <v>25403</v>
      </c>
      <c r="AF461" s="86">
        <v>585</v>
      </c>
      <c r="AG461" s="86">
        <v>815</v>
      </c>
      <c r="AH461" s="86">
        <v>25763</v>
      </c>
      <c r="AI461" s="86">
        <v>0</v>
      </c>
      <c r="AJ461" s="86">
        <v>18081</v>
      </c>
      <c r="AK461" s="86">
        <v>9</v>
      </c>
      <c r="AL461" s="86" t="b">
        <v>0</v>
      </c>
      <c r="AM461" s="89">
        <v>42315.157280092593</v>
      </c>
      <c r="AN461" s="86" t="s">
        <v>26044</v>
      </c>
      <c r="AO461" s="86" t="s">
        <v>26844</v>
      </c>
      <c r="AP461" s="86"/>
      <c r="AQ461" s="86"/>
      <c r="AR461" s="86"/>
      <c r="AS461" s="86"/>
      <c r="AT461" s="86"/>
      <c r="AU461" s="86"/>
      <c r="AV461" s="86"/>
      <c r="AW461" s="86"/>
      <c r="AX461" s="86" t="b">
        <v>0</v>
      </c>
      <c r="AY461" s="86"/>
      <c r="AZ461" s="86"/>
      <c r="BA461" s="86" t="b">
        <v>1</v>
      </c>
      <c r="BB461" s="86" t="b">
        <v>0</v>
      </c>
      <c r="BC461" s="86" t="b">
        <v>1</v>
      </c>
      <c r="BD461" s="86" t="b">
        <v>0</v>
      </c>
      <c r="BE461" s="86" t="b">
        <v>1</v>
      </c>
      <c r="BF461" s="86" t="b">
        <v>0</v>
      </c>
      <c r="BG461" s="86" t="b">
        <v>0</v>
      </c>
      <c r="BH461" s="96" t="str">
        <f>HYPERLINK("https://pbs.twimg.com/profile_banners/4131404427/1684193953")</f>
        <v>https://pbs.twimg.com/profile_banners/4131404427/1684193953</v>
      </c>
      <c r="BI461" s="86"/>
      <c r="BJ461" s="86" t="s">
        <v>29134</v>
      </c>
      <c r="BK461" s="86" t="b">
        <v>0</v>
      </c>
      <c r="BL461" s="86"/>
      <c r="BM461" s="86" t="s">
        <v>66</v>
      </c>
      <c r="BN461" s="86" t="s">
        <v>29136</v>
      </c>
      <c r="BO461" s="96" t="str">
        <f>HYPERLINK("https://twitter.com/thaylajasmim1")</f>
        <v>https://twitter.com/thaylajasmim1</v>
      </c>
      <c r="BP461" s="2"/>
    </row>
    <row r="462" spans="1:68" x14ac:dyDescent="0.25">
      <c r="A462" s="63" t="s">
        <v>619</v>
      </c>
      <c r="B462" s="64"/>
      <c r="C462" s="64"/>
      <c r="D462" s="65"/>
      <c r="E462" s="67"/>
      <c r="F462" s="111" t="str">
        <f>HYPERLINK("https://pbs.twimg.com/profile_images/1612835963486494721/Wpp8Li6i_normal.jpg")</f>
        <v>https://pbs.twimg.com/profile_images/1612835963486494721/Wpp8Li6i_normal.jpg</v>
      </c>
      <c r="G462" s="64"/>
      <c r="H462" s="68"/>
      <c r="I462" s="69"/>
      <c r="J462" s="69"/>
      <c r="K462" s="68" t="s">
        <v>29595</v>
      </c>
      <c r="L462" s="72"/>
      <c r="M462" s="73"/>
      <c r="N462" s="73"/>
      <c r="O462" s="74"/>
      <c r="P462" s="75"/>
      <c r="Q462" s="75"/>
      <c r="R462" s="102"/>
      <c r="S462" s="102"/>
      <c r="T462" s="102"/>
      <c r="U462" s="102"/>
      <c r="V462" s="48"/>
      <c r="W462" s="48"/>
      <c r="X462" s="48"/>
      <c r="Y462" s="48"/>
      <c r="Z462" s="47"/>
      <c r="AA462" s="70">
        <v>462</v>
      </c>
      <c r="AB462" s="70"/>
      <c r="AC462" s="71"/>
      <c r="AD462" s="86" t="s">
        <v>24091</v>
      </c>
      <c r="AE462" s="94" t="s">
        <v>25404</v>
      </c>
      <c r="AF462" s="86">
        <v>90</v>
      </c>
      <c r="AG462" s="86">
        <v>25</v>
      </c>
      <c r="AH462" s="86">
        <v>2568</v>
      </c>
      <c r="AI462" s="86">
        <v>0</v>
      </c>
      <c r="AJ462" s="86">
        <v>1</v>
      </c>
      <c r="AK462" s="86">
        <v>246</v>
      </c>
      <c r="AL462" s="86" t="b">
        <v>0</v>
      </c>
      <c r="AM462" s="89">
        <v>41128.715277777781</v>
      </c>
      <c r="AN462" s="86" t="s">
        <v>26045</v>
      </c>
      <c r="AO462" s="86" t="s">
        <v>26845</v>
      </c>
      <c r="AP462" s="96" t="str">
        <f>HYPERLINK("https://t.co/25KwVA50XX")</f>
        <v>https://t.co/25KwVA50XX</v>
      </c>
      <c r="AQ462" s="96" t="str">
        <f>HYPERLINK("https://www.deskcoworking.com.br")</f>
        <v>https://www.deskcoworking.com.br</v>
      </c>
      <c r="AR462" s="86" t="s">
        <v>28217</v>
      </c>
      <c r="AS462" s="86"/>
      <c r="AT462" s="86"/>
      <c r="AU462" s="86"/>
      <c r="AV462" s="86"/>
      <c r="AW462" s="96" t="str">
        <f>HYPERLINK("https://t.co/25KwVA50XX")</f>
        <v>https://t.co/25KwVA50XX</v>
      </c>
      <c r="AX462" s="86" t="b">
        <v>0</v>
      </c>
      <c r="AY462" s="86"/>
      <c r="AZ462" s="86"/>
      <c r="BA462" s="86" t="b">
        <v>0</v>
      </c>
      <c r="BB462" s="86" t="b">
        <v>1</v>
      </c>
      <c r="BC462" s="86" t="b">
        <v>0</v>
      </c>
      <c r="BD462" s="86" t="b">
        <v>0</v>
      </c>
      <c r="BE462" s="86" t="b">
        <v>0</v>
      </c>
      <c r="BF462" s="86" t="b">
        <v>0</v>
      </c>
      <c r="BG462" s="86" t="b">
        <v>0</v>
      </c>
      <c r="BH462" s="96" t="str">
        <f>HYPERLINK("https://pbs.twimg.com/profile_banners/743311687/1679413370")</f>
        <v>https://pbs.twimg.com/profile_banners/743311687/1679413370</v>
      </c>
      <c r="BI462" s="86"/>
      <c r="BJ462" s="86" t="s">
        <v>29134</v>
      </c>
      <c r="BK462" s="86" t="b">
        <v>0</v>
      </c>
      <c r="BL462" s="86"/>
      <c r="BM462" s="86" t="s">
        <v>66</v>
      </c>
      <c r="BN462" s="86" t="s">
        <v>29136</v>
      </c>
      <c r="BO462" s="96" t="str">
        <f>HYPERLINK("https://twitter.com/desk_coworking")</f>
        <v>https://twitter.com/desk_coworking</v>
      </c>
      <c r="BP462" s="2"/>
    </row>
    <row r="463" spans="1:68" x14ac:dyDescent="0.25">
      <c r="A463" s="63" t="s">
        <v>620</v>
      </c>
      <c r="B463" s="64"/>
      <c r="C463" s="64"/>
      <c r="D463" s="65"/>
      <c r="E463" s="67"/>
      <c r="F463" s="111" t="str">
        <f>HYPERLINK("https://pbs.twimg.com/profile_images/1694432596975820800/CF2Zpmt6_normal.png")</f>
        <v>https://pbs.twimg.com/profile_images/1694432596975820800/CF2Zpmt6_normal.png</v>
      </c>
      <c r="G463" s="64"/>
      <c r="H463" s="68"/>
      <c r="I463" s="69"/>
      <c r="J463" s="69"/>
      <c r="K463" s="68" t="s">
        <v>29596</v>
      </c>
      <c r="L463" s="72"/>
      <c r="M463" s="73"/>
      <c r="N463" s="73"/>
      <c r="O463" s="74"/>
      <c r="P463" s="75"/>
      <c r="Q463" s="75"/>
      <c r="R463" s="102"/>
      <c r="S463" s="102"/>
      <c r="T463" s="102"/>
      <c r="U463" s="102"/>
      <c r="V463" s="48"/>
      <c r="W463" s="48"/>
      <c r="X463" s="48"/>
      <c r="Y463" s="48"/>
      <c r="Z463" s="47"/>
      <c r="AA463" s="70">
        <v>463</v>
      </c>
      <c r="AB463" s="70"/>
      <c r="AC463" s="71"/>
      <c r="AD463" s="86" t="s">
        <v>24092</v>
      </c>
      <c r="AE463" s="94" t="s">
        <v>23020</v>
      </c>
      <c r="AF463" s="86">
        <v>3</v>
      </c>
      <c r="AG463" s="86">
        <v>92</v>
      </c>
      <c r="AH463" s="86">
        <v>24</v>
      </c>
      <c r="AI463" s="86">
        <v>0</v>
      </c>
      <c r="AJ463" s="86">
        <v>1</v>
      </c>
      <c r="AK463" s="86">
        <v>24</v>
      </c>
      <c r="AL463" s="86" t="b">
        <v>0</v>
      </c>
      <c r="AM463" s="89">
        <v>45161.814652777779</v>
      </c>
      <c r="AN463" s="86" t="s">
        <v>26046</v>
      </c>
      <c r="AO463" s="86" t="s">
        <v>26846</v>
      </c>
      <c r="AP463" s="96" t="str">
        <f>HYPERLINK("https://t.co/IGzW7vMxeW")</f>
        <v>https://t.co/IGzW7vMxeW</v>
      </c>
      <c r="AQ463" s="96" t="str">
        <f>HYPERLINK("http://www.ghostweb.digital")</f>
        <v>http://www.ghostweb.digital</v>
      </c>
      <c r="AR463" s="86" t="s">
        <v>24092</v>
      </c>
      <c r="AS463" s="86"/>
      <c r="AT463" s="86"/>
      <c r="AU463" s="86"/>
      <c r="AV463" s="86"/>
      <c r="AW463" s="96" t="str">
        <f>HYPERLINK("https://t.co/IGzW7vMxeW")</f>
        <v>https://t.co/IGzW7vMxeW</v>
      </c>
      <c r="AX463" s="86" t="b">
        <v>0</v>
      </c>
      <c r="AY463" s="86"/>
      <c r="AZ463" s="86"/>
      <c r="BA463" s="86" t="b">
        <v>0</v>
      </c>
      <c r="BB463" s="86" t="b">
        <v>1</v>
      </c>
      <c r="BC463" s="86" t="b">
        <v>1</v>
      </c>
      <c r="BD463" s="86" t="b">
        <v>0</v>
      </c>
      <c r="BE463" s="86" t="b">
        <v>0</v>
      </c>
      <c r="BF463" s="86" t="b">
        <v>0</v>
      </c>
      <c r="BG463" s="86" t="b">
        <v>0</v>
      </c>
      <c r="BH463" s="96" t="str">
        <f>HYPERLINK("https://pbs.twimg.com/profile_banners/1694432486745350146/1692819503")</f>
        <v>https://pbs.twimg.com/profile_banners/1694432486745350146/1692819503</v>
      </c>
      <c r="BI463" s="86"/>
      <c r="BJ463" s="86" t="s">
        <v>29134</v>
      </c>
      <c r="BK463" s="86" t="b">
        <v>0</v>
      </c>
      <c r="BL463" s="86"/>
      <c r="BM463" s="86" t="s">
        <v>66</v>
      </c>
      <c r="BN463" s="86" t="s">
        <v>29136</v>
      </c>
      <c r="BO463" s="96" t="str">
        <f>HYPERLINK("https://twitter.com/ghostwebdigital")</f>
        <v>https://twitter.com/ghostwebdigital</v>
      </c>
      <c r="BP463" s="2"/>
    </row>
    <row r="464" spans="1:68" x14ac:dyDescent="0.25">
      <c r="A464" s="63" t="s">
        <v>621</v>
      </c>
      <c r="B464" s="64"/>
      <c r="C464" s="64"/>
      <c r="D464" s="65"/>
      <c r="E464" s="67"/>
      <c r="F464" s="111" t="str">
        <f>HYPERLINK("https://pbs.twimg.com/profile_images/1533812312993411076/KjYbD3Rl_normal.jpg")</f>
        <v>https://pbs.twimg.com/profile_images/1533812312993411076/KjYbD3Rl_normal.jpg</v>
      </c>
      <c r="G464" s="64"/>
      <c r="H464" s="68"/>
      <c r="I464" s="69"/>
      <c r="J464" s="69"/>
      <c r="K464" s="68" t="s">
        <v>29597</v>
      </c>
      <c r="L464" s="72"/>
      <c r="M464" s="73"/>
      <c r="N464" s="73"/>
      <c r="O464" s="74"/>
      <c r="P464" s="75"/>
      <c r="Q464" s="75"/>
      <c r="R464" s="102"/>
      <c r="S464" s="102"/>
      <c r="T464" s="102"/>
      <c r="U464" s="102"/>
      <c r="V464" s="48"/>
      <c r="W464" s="48"/>
      <c r="X464" s="48"/>
      <c r="Y464" s="48"/>
      <c r="Z464" s="47"/>
      <c r="AA464" s="70">
        <v>464</v>
      </c>
      <c r="AB464" s="70"/>
      <c r="AC464" s="71"/>
      <c r="AD464" s="86" t="s">
        <v>24093</v>
      </c>
      <c r="AE464" s="94" t="s">
        <v>23021</v>
      </c>
      <c r="AF464" s="86">
        <v>8</v>
      </c>
      <c r="AG464" s="86">
        <v>35</v>
      </c>
      <c r="AH464" s="86">
        <v>183</v>
      </c>
      <c r="AI464" s="86">
        <v>0</v>
      </c>
      <c r="AJ464" s="86">
        <v>0</v>
      </c>
      <c r="AK464" s="86">
        <v>177</v>
      </c>
      <c r="AL464" s="86" t="b">
        <v>0</v>
      </c>
      <c r="AM464" s="89">
        <v>44718.585185185184</v>
      </c>
      <c r="AN464" s="86"/>
      <c r="AO464" s="86" t="s">
        <v>26847</v>
      </c>
      <c r="AP464" s="96" t="str">
        <f>HYPERLINK("https://t.co/p87dEbFEN1")</f>
        <v>https://t.co/p87dEbFEN1</v>
      </c>
      <c r="AQ464" s="96" t="str">
        <f>HYPERLINK("http://www.mujeresemprendedorasswfl.com")</f>
        <v>http://www.mujeresemprendedorasswfl.com</v>
      </c>
      <c r="AR464" s="86" t="s">
        <v>28218</v>
      </c>
      <c r="AS464" s="86"/>
      <c r="AT464" s="86"/>
      <c r="AU464" s="86"/>
      <c r="AV464" s="86"/>
      <c r="AW464" s="96" t="str">
        <f>HYPERLINK("https://t.co/p87dEbFEN1")</f>
        <v>https://t.co/p87dEbFEN1</v>
      </c>
      <c r="AX464" s="86" t="b">
        <v>0</v>
      </c>
      <c r="AY464" s="86"/>
      <c r="AZ464" s="86"/>
      <c r="BA464" s="86" t="b">
        <v>0</v>
      </c>
      <c r="BB464" s="86" t="b">
        <v>1</v>
      </c>
      <c r="BC464" s="86" t="b">
        <v>1</v>
      </c>
      <c r="BD464" s="86" t="b">
        <v>0</v>
      </c>
      <c r="BE464" s="86" t="b">
        <v>0</v>
      </c>
      <c r="BF464" s="86" t="b">
        <v>0</v>
      </c>
      <c r="BG464" s="86" t="b">
        <v>0</v>
      </c>
      <c r="BH464" s="96" t="str">
        <f>HYPERLINK("https://pbs.twimg.com/profile_banners/1533810131921666050/1654533494")</f>
        <v>https://pbs.twimg.com/profile_banners/1533810131921666050/1654533494</v>
      </c>
      <c r="BI464" s="86"/>
      <c r="BJ464" s="86" t="s">
        <v>29134</v>
      </c>
      <c r="BK464" s="86" t="b">
        <v>0</v>
      </c>
      <c r="BL464" s="86"/>
      <c r="BM464" s="86" t="s">
        <v>66</v>
      </c>
      <c r="BN464" s="86" t="s">
        <v>29136</v>
      </c>
      <c r="BO464" s="96" t="str">
        <f>HYPERLINK("https://twitter.com/mujeresswfl")</f>
        <v>https://twitter.com/mujeresswfl</v>
      </c>
      <c r="BP464" s="2"/>
    </row>
    <row r="465" spans="1:68" x14ac:dyDescent="0.25">
      <c r="A465" s="63" t="s">
        <v>1672</v>
      </c>
      <c r="B465" s="64"/>
      <c r="C465" s="64"/>
      <c r="D465" s="65"/>
      <c r="E465" s="67"/>
      <c r="F465" s="111" t="str">
        <f>HYPERLINK("https://pbs.twimg.com/profile_images/813905944988020736/bBQltZHL_normal.jpg")</f>
        <v>https://pbs.twimg.com/profile_images/813905944988020736/bBQltZHL_normal.jpg</v>
      </c>
      <c r="G465" s="64"/>
      <c r="H465" s="68"/>
      <c r="I465" s="69"/>
      <c r="J465" s="69"/>
      <c r="K465" s="68" t="s">
        <v>29598</v>
      </c>
      <c r="L465" s="72"/>
      <c r="M465" s="73"/>
      <c r="N465" s="73"/>
      <c r="O465" s="74"/>
      <c r="P465" s="75"/>
      <c r="Q465" s="75"/>
      <c r="R465" s="102"/>
      <c r="S465" s="102"/>
      <c r="T465" s="102"/>
      <c r="U465" s="102"/>
      <c r="V465" s="48"/>
      <c r="W465" s="48"/>
      <c r="X465" s="48"/>
      <c r="Y465" s="48"/>
      <c r="Z465" s="47"/>
      <c r="AA465" s="70">
        <v>465</v>
      </c>
      <c r="AB465" s="70"/>
      <c r="AC465" s="71"/>
      <c r="AD465" s="86" t="s">
        <v>24094</v>
      </c>
      <c r="AE465" s="94" t="s">
        <v>25405</v>
      </c>
      <c r="AF465" s="86">
        <v>399</v>
      </c>
      <c r="AG465" s="86">
        <v>694</v>
      </c>
      <c r="AH465" s="86">
        <v>29</v>
      </c>
      <c r="AI465" s="86">
        <v>14</v>
      </c>
      <c r="AJ465" s="86">
        <v>126</v>
      </c>
      <c r="AK465" s="86">
        <v>0</v>
      </c>
      <c r="AL465" s="86" t="b">
        <v>0</v>
      </c>
      <c r="AM465" s="89">
        <v>39144.084791666668</v>
      </c>
      <c r="AN465" s="86" t="s">
        <v>26047</v>
      </c>
      <c r="AO465" s="86"/>
      <c r="AP465" s="86"/>
      <c r="AQ465" s="86"/>
      <c r="AR465" s="86"/>
      <c r="AS465" s="86"/>
      <c r="AT465" s="86"/>
      <c r="AU465" s="86"/>
      <c r="AV465" s="86"/>
      <c r="AW465" s="86"/>
      <c r="AX465" s="86" t="b">
        <v>0</v>
      </c>
      <c r="AY465" s="86"/>
      <c r="AZ465" s="86"/>
      <c r="BA465" s="86" t="b">
        <v>1</v>
      </c>
      <c r="BB465" s="86" t="b">
        <v>0</v>
      </c>
      <c r="BC465" s="86" t="b">
        <v>0</v>
      </c>
      <c r="BD465" s="86" t="b">
        <v>0</v>
      </c>
      <c r="BE465" s="86" t="b">
        <v>0</v>
      </c>
      <c r="BF465" s="86" t="b">
        <v>0</v>
      </c>
      <c r="BG465" s="86" t="b">
        <v>0</v>
      </c>
      <c r="BH465" s="86"/>
      <c r="BI465" s="86"/>
      <c r="BJ465" s="86" t="s">
        <v>29134</v>
      </c>
      <c r="BK465" s="86" t="b">
        <v>0</v>
      </c>
      <c r="BL465" s="86"/>
      <c r="BM465" s="86" t="s">
        <v>65</v>
      </c>
      <c r="BN465" s="86" t="s">
        <v>29136</v>
      </c>
      <c r="BO465" s="96" t="str">
        <f>HYPERLINK("https://twitter.com/florida")</f>
        <v>https://twitter.com/florida</v>
      </c>
      <c r="BP465" s="2"/>
    </row>
    <row r="466" spans="1:68" x14ac:dyDescent="0.25">
      <c r="A466" s="63" t="s">
        <v>622</v>
      </c>
      <c r="B466" s="64"/>
      <c r="C466" s="64"/>
      <c r="D466" s="65"/>
      <c r="E466" s="67"/>
      <c r="F466" s="111" t="str">
        <f>HYPERLINK("https://pbs.twimg.com/profile_images/1706461697362268160/ldR8kig2_normal.jpg")</f>
        <v>https://pbs.twimg.com/profile_images/1706461697362268160/ldR8kig2_normal.jpg</v>
      </c>
      <c r="G466" s="64"/>
      <c r="H466" s="68"/>
      <c r="I466" s="69"/>
      <c r="J466" s="69"/>
      <c r="K466" s="68" t="s">
        <v>29599</v>
      </c>
      <c r="L466" s="72"/>
      <c r="M466" s="73"/>
      <c r="N466" s="73"/>
      <c r="O466" s="74"/>
      <c r="P466" s="75"/>
      <c r="Q466" s="75"/>
      <c r="R466" s="102"/>
      <c r="S466" s="102"/>
      <c r="T466" s="102"/>
      <c r="U466" s="102"/>
      <c r="V466" s="48"/>
      <c r="W466" s="48"/>
      <c r="X466" s="48"/>
      <c r="Y466" s="48"/>
      <c r="Z466" s="47"/>
      <c r="AA466" s="70">
        <v>466</v>
      </c>
      <c r="AB466" s="70"/>
      <c r="AC466" s="71"/>
      <c r="AD466" s="86" t="s">
        <v>24095</v>
      </c>
      <c r="AE466" s="94" t="s">
        <v>23022</v>
      </c>
      <c r="AF466" s="86">
        <v>0</v>
      </c>
      <c r="AG466" s="86">
        <v>0</v>
      </c>
      <c r="AH466" s="86">
        <v>6</v>
      </c>
      <c r="AI466" s="86">
        <v>0</v>
      </c>
      <c r="AJ466" s="86">
        <v>0</v>
      </c>
      <c r="AK466" s="86">
        <v>0</v>
      </c>
      <c r="AL466" s="86" t="b">
        <v>0</v>
      </c>
      <c r="AM466" s="89">
        <v>45193.764710648145</v>
      </c>
      <c r="AN466" s="86"/>
      <c r="AO466" s="86" t="s">
        <v>26848</v>
      </c>
      <c r="AP466" s="96" t="str">
        <f>HYPERLINK("https://t.co/immJMUAezV")</f>
        <v>https://t.co/immJMUAezV</v>
      </c>
      <c r="AQ466" s="96" t="str">
        <f>HYPERLINK("https://www.instagram.com/estrategiaaguiadigital/")</f>
        <v>https://www.instagram.com/estrategiaaguiadigital/</v>
      </c>
      <c r="AR466" s="86" t="s">
        <v>28219</v>
      </c>
      <c r="AS466" s="86"/>
      <c r="AT466" s="86"/>
      <c r="AU466" s="86"/>
      <c r="AV466" s="86">
        <v>1.7060134551136599E+18</v>
      </c>
      <c r="AW466" s="96" t="str">
        <f>HYPERLINK("https://t.co/immJMUAezV")</f>
        <v>https://t.co/immJMUAezV</v>
      </c>
      <c r="AX466" s="86" t="b">
        <v>0</v>
      </c>
      <c r="AY466" s="86"/>
      <c r="AZ466" s="86"/>
      <c r="BA466" s="86" t="b">
        <v>0</v>
      </c>
      <c r="BB466" s="86" t="b">
        <v>1</v>
      </c>
      <c r="BC466" s="86" t="b">
        <v>1</v>
      </c>
      <c r="BD466" s="86" t="b">
        <v>0</v>
      </c>
      <c r="BE466" s="86" t="b">
        <v>0</v>
      </c>
      <c r="BF466" s="86" t="b">
        <v>0</v>
      </c>
      <c r="BG466" s="86" t="b">
        <v>0</v>
      </c>
      <c r="BH466" s="96" t="str">
        <f>HYPERLINK("https://pbs.twimg.com/profile_banners/1706010838140682240/1695687159")</f>
        <v>https://pbs.twimg.com/profile_banners/1706010838140682240/1695687159</v>
      </c>
      <c r="BI466" s="86"/>
      <c r="BJ466" s="86" t="s">
        <v>29134</v>
      </c>
      <c r="BK466" s="86" t="b">
        <v>0</v>
      </c>
      <c r="BL466" s="86"/>
      <c r="BM466" s="86" t="s">
        <v>66</v>
      </c>
      <c r="BN466" s="86" t="s">
        <v>29136</v>
      </c>
      <c r="BO466" s="96" t="str">
        <f>HYPERLINK("https://twitter.com/aguiaestrategia")</f>
        <v>https://twitter.com/aguiaestrategia</v>
      </c>
      <c r="BP466" s="2"/>
    </row>
    <row r="467" spans="1:68" x14ac:dyDescent="0.25">
      <c r="A467" s="63" t="s">
        <v>623</v>
      </c>
      <c r="B467" s="64"/>
      <c r="C467" s="64"/>
      <c r="D467" s="65"/>
      <c r="E467" s="67"/>
      <c r="F467" s="111" t="str">
        <f>HYPERLINK("https://pbs.twimg.com/profile_images/1691854167919263747/tI1pJ1jh_normal.jpg")</f>
        <v>https://pbs.twimg.com/profile_images/1691854167919263747/tI1pJ1jh_normal.jpg</v>
      </c>
      <c r="G467" s="64"/>
      <c r="H467" s="68"/>
      <c r="I467" s="69"/>
      <c r="J467" s="69"/>
      <c r="K467" s="68" t="s">
        <v>29600</v>
      </c>
      <c r="L467" s="72"/>
      <c r="M467" s="73"/>
      <c r="N467" s="73"/>
      <c r="O467" s="74"/>
      <c r="P467" s="75"/>
      <c r="Q467" s="75"/>
      <c r="R467" s="102"/>
      <c r="S467" s="102"/>
      <c r="T467" s="102"/>
      <c r="U467" s="102"/>
      <c r="V467" s="48"/>
      <c r="W467" s="48"/>
      <c r="X467" s="48"/>
      <c r="Y467" s="48"/>
      <c r="Z467" s="47"/>
      <c r="AA467" s="70">
        <v>467</v>
      </c>
      <c r="AB467" s="70"/>
      <c r="AC467" s="71"/>
      <c r="AD467" s="86" t="s">
        <v>24096</v>
      </c>
      <c r="AE467" s="94" t="s">
        <v>23023</v>
      </c>
      <c r="AF467" s="86">
        <v>0</v>
      </c>
      <c r="AG467" s="86">
        <v>1</v>
      </c>
      <c r="AH467" s="86">
        <v>8</v>
      </c>
      <c r="AI467" s="86">
        <v>0</v>
      </c>
      <c r="AJ467" s="86">
        <v>0</v>
      </c>
      <c r="AK467" s="86">
        <v>5</v>
      </c>
      <c r="AL467" s="86" t="b">
        <v>0</v>
      </c>
      <c r="AM467" s="89">
        <v>45154.695150462961</v>
      </c>
      <c r="AN467" s="86"/>
      <c r="AO467" s="86" t="s">
        <v>26849</v>
      </c>
      <c r="AP467" s="86"/>
      <c r="AQ467" s="86"/>
      <c r="AR467" s="86"/>
      <c r="AS467" s="86"/>
      <c r="AT467" s="86"/>
      <c r="AU467" s="86"/>
      <c r="AV467" s="86"/>
      <c r="AW467" s="86"/>
      <c r="AX467" s="86" t="b">
        <v>0</v>
      </c>
      <c r="AY467" s="86"/>
      <c r="AZ467" s="86"/>
      <c r="BA467" s="86" t="b">
        <v>0</v>
      </c>
      <c r="BB467" s="86" t="b">
        <v>1</v>
      </c>
      <c r="BC467" s="86" t="b">
        <v>1</v>
      </c>
      <c r="BD467" s="86" t="b">
        <v>0</v>
      </c>
      <c r="BE467" s="86" t="b">
        <v>0</v>
      </c>
      <c r="BF467" s="86" t="b">
        <v>0</v>
      </c>
      <c r="BG467" s="86" t="b">
        <v>0</v>
      </c>
      <c r="BH467" s="96" t="str">
        <f>HYPERLINK("https://pbs.twimg.com/profile_banners/1691852457926688777/1692205326")</f>
        <v>https://pbs.twimg.com/profile_banners/1691852457926688777/1692205326</v>
      </c>
      <c r="BI467" s="86"/>
      <c r="BJ467" s="86" t="s">
        <v>29134</v>
      </c>
      <c r="BK467" s="86" t="b">
        <v>0</v>
      </c>
      <c r="BL467" s="86"/>
      <c r="BM467" s="86" t="s">
        <v>66</v>
      </c>
      <c r="BN467" s="86" t="s">
        <v>29136</v>
      </c>
      <c r="BO467" s="96" t="str">
        <f>HYPERLINK("https://twitter.com/gleydsonfdutra")</f>
        <v>https://twitter.com/gleydsonfdutra</v>
      </c>
      <c r="BP467" s="2"/>
    </row>
    <row r="468" spans="1:68" x14ac:dyDescent="0.25">
      <c r="A468" s="63" t="s">
        <v>624</v>
      </c>
      <c r="B468" s="64"/>
      <c r="C468" s="64"/>
      <c r="D468" s="65"/>
      <c r="E468" s="67"/>
      <c r="F468" s="111" t="str">
        <f>HYPERLINK("https://pbs.twimg.com/profile_images/1689442184464916481/TbtJY1ZQ_normal.jpg")</f>
        <v>https://pbs.twimg.com/profile_images/1689442184464916481/TbtJY1ZQ_normal.jpg</v>
      </c>
      <c r="G468" s="64"/>
      <c r="H468" s="68"/>
      <c r="I468" s="69"/>
      <c r="J468" s="69"/>
      <c r="K468" s="68" t="s">
        <v>29601</v>
      </c>
      <c r="L468" s="72"/>
      <c r="M468" s="73"/>
      <c r="N468" s="73"/>
      <c r="O468" s="74"/>
      <c r="P468" s="75"/>
      <c r="Q468" s="75"/>
      <c r="R468" s="102"/>
      <c r="S468" s="102"/>
      <c r="T468" s="102"/>
      <c r="U468" s="102"/>
      <c r="V468" s="48"/>
      <c r="W468" s="48"/>
      <c r="X468" s="48"/>
      <c r="Y468" s="48"/>
      <c r="Z468" s="47"/>
      <c r="AA468" s="70">
        <v>468</v>
      </c>
      <c r="AB468" s="70"/>
      <c r="AC468" s="71"/>
      <c r="AD468" s="86" t="s">
        <v>24097</v>
      </c>
      <c r="AE468" s="94" t="s">
        <v>25406</v>
      </c>
      <c r="AF468" s="86">
        <v>110</v>
      </c>
      <c r="AG468" s="86">
        <v>244</v>
      </c>
      <c r="AH468" s="86">
        <v>13755</v>
      </c>
      <c r="AI468" s="86">
        <v>0</v>
      </c>
      <c r="AJ468" s="86">
        <v>45787</v>
      </c>
      <c r="AK468" s="86">
        <v>1410</v>
      </c>
      <c r="AL468" s="86" t="b">
        <v>0</v>
      </c>
      <c r="AM468" s="89">
        <v>40708.647268518522</v>
      </c>
      <c r="AN468" s="86" t="s">
        <v>26048</v>
      </c>
      <c r="AO468" s="86" t="s">
        <v>26850</v>
      </c>
      <c r="AP468" s="96" t="str">
        <f>HYPERLINK("https://t.co/mjyWWKAZ0w")</f>
        <v>https://t.co/mjyWWKAZ0w</v>
      </c>
      <c r="AQ468" s="96" t="str">
        <f>HYPERLINK("https://open.spotify.com/artist/7Ibw8THiiiWKv3aaf48MPt?si=IHw4gsewRBiGeVtp0vqaNQ&amp;utm_source=copy-lin")</f>
        <v>https://open.spotify.com/artist/7Ibw8THiiiWKv3aaf48MPt?si=IHw4gsewRBiGeVtp0vqaNQ&amp;utm_source=copy-lin</v>
      </c>
      <c r="AR468" s="86" t="s">
        <v>28220</v>
      </c>
      <c r="AS468" s="86"/>
      <c r="AT468" s="86"/>
      <c r="AU468" s="86"/>
      <c r="AV468" s="86">
        <v>1.59836026259935E+18</v>
      </c>
      <c r="AW468" s="96" t="str">
        <f>HYPERLINK("https://t.co/mjyWWKAZ0w")</f>
        <v>https://t.co/mjyWWKAZ0w</v>
      </c>
      <c r="AX468" s="86" t="b">
        <v>0</v>
      </c>
      <c r="AY468" s="86"/>
      <c r="AZ468" s="86"/>
      <c r="BA468" s="86" t="b">
        <v>0</v>
      </c>
      <c r="BB468" s="86" t="b">
        <v>1</v>
      </c>
      <c r="BC468" s="86" t="b">
        <v>0</v>
      </c>
      <c r="BD468" s="86" t="b">
        <v>0</v>
      </c>
      <c r="BE468" s="86" t="b">
        <v>1</v>
      </c>
      <c r="BF468" s="86" t="b">
        <v>0</v>
      </c>
      <c r="BG468" s="86" t="b">
        <v>0</v>
      </c>
      <c r="BH468" s="96" t="str">
        <f>HYPERLINK("https://pbs.twimg.com/profile_banners/317191725/1691629380")</f>
        <v>https://pbs.twimg.com/profile_banners/317191725/1691629380</v>
      </c>
      <c r="BI468" s="86"/>
      <c r="BJ468" s="86" t="s">
        <v>29134</v>
      </c>
      <c r="BK468" s="86" t="b">
        <v>0</v>
      </c>
      <c r="BL468" s="86"/>
      <c r="BM468" s="86" t="s">
        <v>66</v>
      </c>
      <c r="BN468" s="86" t="s">
        <v>29136</v>
      </c>
      <c r="BO468" s="96" t="str">
        <f>HYPERLINK("https://twitter.com/guto_sales1")</f>
        <v>https://twitter.com/guto_sales1</v>
      </c>
      <c r="BP468" s="2"/>
    </row>
    <row r="469" spans="1:68" x14ac:dyDescent="0.25">
      <c r="A469" s="63" t="s">
        <v>1673</v>
      </c>
      <c r="B469" s="64"/>
      <c r="C469" s="64"/>
      <c r="D469" s="65"/>
      <c r="E469" s="67"/>
      <c r="F469" s="111" t="str">
        <f>HYPERLINK("https://pbs.twimg.com/profile_images/1412891996369395721/WGnmJuf__normal.png")</f>
        <v>https://pbs.twimg.com/profile_images/1412891996369395721/WGnmJuf__normal.png</v>
      </c>
      <c r="G469" s="64"/>
      <c r="H469" s="68"/>
      <c r="I469" s="69"/>
      <c r="J469" s="69"/>
      <c r="K469" s="68" t="s">
        <v>29602</v>
      </c>
      <c r="L469" s="72"/>
      <c r="M469" s="73"/>
      <c r="N469" s="73"/>
      <c r="O469" s="74"/>
      <c r="P469" s="75"/>
      <c r="Q469" s="75"/>
      <c r="R469" s="102"/>
      <c r="S469" s="102"/>
      <c r="T469" s="102"/>
      <c r="U469" s="102"/>
      <c r="V469" s="48"/>
      <c r="W469" s="48"/>
      <c r="X469" s="48"/>
      <c r="Y469" s="48"/>
      <c r="Z469" s="47"/>
      <c r="AA469" s="70">
        <v>469</v>
      </c>
      <c r="AB469" s="70"/>
      <c r="AC469" s="71"/>
      <c r="AD469" s="86" t="s">
        <v>1673</v>
      </c>
      <c r="AE469" s="94" t="s">
        <v>25407</v>
      </c>
      <c r="AF469" s="86">
        <v>234652</v>
      </c>
      <c r="AG469" s="86">
        <v>76</v>
      </c>
      <c r="AH469" s="86">
        <v>220366</v>
      </c>
      <c r="AI469" s="86">
        <v>210</v>
      </c>
      <c r="AJ469" s="86">
        <v>17813</v>
      </c>
      <c r="AK469" s="86">
        <v>29626</v>
      </c>
      <c r="AL469" s="86" t="b">
        <v>0</v>
      </c>
      <c r="AM469" s="89">
        <v>39971.006319444445</v>
      </c>
      <c r="AN469" s="86" t="s">
        <v>15234</v>
      </c>
      <c r="AO469" s="86" t="s">
        <v>26851</v>
      </c>
      <c r="AP469" s="96" t="str">
        <f>HYPERLINK("https://t.co/qEYHtx0fJB")</f>
        <v>https://t.co/qEYHtx0fJB</v>
      </c>
      <c r="AQ469" s="96" t="str">
        <f>HYPERLINK("https://descomplica.com.br/")</f>
        <v>https://descomplica.com.br/</v>
      </c>
      <c r="AR469" s="86" t="s">
        <v>28221</v>
      </c>
      <c r="AS469" s="96" t="str">
        <f>HYPERLINK("https://t.co/HvDfVzcRto")</f>
        <v>https://t.co/HvDfVzcRto</v>
      </c>
      <c r="AT469" s="96" t="str">
        <f>HYPERLINK("http://bit.ly/3QzrzkQ")</f>
        <v>http://bit.ly/3QzrzkQ</v>
      </c>
      <c r="AU469" s="86" t="s">
        <v>29061</v>
      </c>
      <c r="AV469" s="86"/>
      <c r="AW469" s="96" t="str">
        <f>HYPERLINK("https://t.co/qEYHtx0fJB")</f>
        <v>https://t.co/qEYHtx0fJB</v>
      </c>
      <c r="AX469" s="86" t="b">
        <v>0</v>
      </c>
      <c r="AY469" s="86"/>
      <c r="AZ469" s="86"/>
      <c r="BA469" s="86" t="b">
        <v>1</v>
      </c>
      <c r="BB469" s="86" t="b">
        <v>1</v>
      </c>
      <c r="BC469" s="86" t="b">
        <v>0</v>
      </c>
      <c r="BD469" s="86" t="b">
        <v>0</v>
      </c>
      <c r="BE469" s="86" t="b">
        <v>1</v>
      </c>
      <c r="BF469" s="86" t="b">
        <v>0</v>
      </c>
      <c r="BG469" s="86" t="b">
        <v>0</v>
      </c>
      <c r="BH469" s="96" t="str">
        <f>HYPERLINK("https://pbs.twimg.com/profile_banners/45245002/1691609639")</f>
        <v>https://pbs.twimg.com/profile_banners/45245002/1691609639</v>
      </c>
      <c r="BI469" s="86"/>
      <c r="BJ469" s="86" t="s">
        <v>29135</v>
      </c>
      <c r="BK469" s="86" t="b">
        <v>0</v>
      </c>
      <c r="BL469" s="86"/>
      <c r="BM469" s="86" t="s">
        <v>65</v>
      </c>
      <c r="BN469" s="86" t="s">
        <v>29136</v>
      </c>
      <c r="BO469" s="96" t="str">
        <f>HYPERLINK("https://twitter.com/descomplica")</f>
        <v>https://twitter.com/descomplica</v>
      </c>
      <c r="BP469" s="2"/>
    </row>
    <row r="470" spans="1:68" x14ac:dyDescent="0.25">
      <c r="A470" s="63" t="s">
        <v>1674</v>
      </c>
      <c r="B470" s="64"/>
      <c r="C470" s="64"/>
      <c r="D470" s="65"/>
      <c r="E470" s="67"/>
      <c r="F470" s="111" t="str">
        <f>HYPERLINK("https://pbs.twimg.com/profile_images/548727714186657792/uv-SFscp_normal.jpeg")</f>
        <v>https://pbs.twimg.com/profile_images/548727714186657792/uv-SFscp_normal.jpeg</v>
      </c>
      <c r="G470" s="64"/>
      <c r="H470" s="68"/>
      <c r="I470" s="69"/>
      <c r="J470" s="69"/>
      <c r="K470" s="68" t="s">
        <v>29603</v>
      </c>
      <c r="L470" s="72"/>
      <c r="M470" s="73"/>
      <c r="N470" s="73"/>
      <c r="O470" s="74"/>
      <c r="P470" s="75"/>
      <c r="Q470" s="75"/>
      <c r="R470" s="102"/>
      <c r="S470" s="102"/>
      <c r="T470" s="102"/>
      <c r="U470" s="102"/>
      <c r="V470" s="48"/>
      <c r="W470" s="48"/>
      <c r="X470" s="48"/>
      <c r="Y470" s="48"/>
      <c r="Z470" s="47"/>
      <c r="AA470" s="70">
        <v>470</v>
      </c>
      <c r="AB470" s="70"/>
      <c r="AC470" s="71"/>
      <c r="AD470" s="86" t="s">
        <v>24098</v>
      </c>
      <c r="AE470" s="94" t="s">
        <v>25408</v>
      </c>
      <c r="AF470" s="86">
        <v>97269</v>
      </c>
      <c r="AG470" s="86">
        <v>10019</v>
      </c>
      <c r="AH470" s="86">
        <v>341</v>
      </c>
      <c r="AI470" s="86">
        <v>3210</v>
      </c>
      <c r="AJ470" s="86">
        <v>13562</v>
      </c>
      <c r="AK470" s="86">
        <v>208</v>
      </c>
      <c r="AL470" s="86" t="b">
        <v>0</v>
      </c>
      <c r="AM470" s="89">
        <v>39068.945659722223</v>
      </c>
      <c r="AN470" s="86" t="s">
        <v>26049</v>
      </c>
      <c r="AO470" s="86" t="s">
        <v>26852</v>
      </c>
      <c r="AP470" s="96" t="str">
        <f>HYPERLINK("https://t.co/vPehssBwB4")</f>
        <v>https://t.co/vPehssBwB4</v>
      </c>
      <c r="AQ470" s="96" t="str">
        <f>HYPERLINK("http://www.ft.com/tim-bradshaw")</f>
        <v>http://www.ft.com/tim-bradshaw</v>
      </c>
      <c r="AR470" s="86" t="s">
        <v>28222</v>
      </c>
      <c r="AS470" s="86"/>
      <c r="AT470" s="86"/>
      <c r="AU470" s="86"/>
      <c r="AV470" s="86">
        <v>1.5911019906498801E+18</v>
      </c>
      <c r="AW470" s="96" t="str">
        <f>HYPERLINK("https://t.co/vPehssBwB4")</f>
        <v>https://t.co/vPehssBwB4</v>
      </c>
      <c r="AX470" s="86" t="b">
        <v>0</v>
      </c>
      <c r="AY470" s="86"/>
      <c r="AZ470" s="86"/>
      <c r="BA470" s="86" t="b">
        <v>0</v>
      </c>
      <c r="BB470" s="86" t="b">
        <v>0</v>
      </c>
      <c r="BC470" s="86" t="b">
        <v>0</v>
      </c>
      <c r="BD470" s="86" t="b">
        <v>0</v>
      </c>
      <c r="BE470" s="86" t="b">
        <v>1</v>
      </c>
      <c r="BF470" s="86" t="b">
        <v>0</v>
      </c>
      <c r="BG470" s="86" t="b">
        <v>0</v>
      </c>
      <c r="BH470" s="96" t="str">
        <f>HYPERLINK("https://pbs.twimg.com/profile_banners/76133/1648833433")</f>
        <v>https://pbs.twimg.com/profile_banners/76133/1648833433</v>
      </c>
      <c r="BI470" s="86"/>
      <c r="BJ470" s="86" t="s">
        <v>29134</v>
      </c>
      <c r="BK470" s="86" t="b">
        <v>0</v>
      </c>
      <c r="BL470" s="86"/>
      <c r="BM470" s="86" t="s">
        <v>65</v>
      </c>
      <c r="BN470" s="86" t="s">
        <v>29136</v>
      </c>
      <c r="BO470" s="96" t="str">
        <f>HYPERLINK("https://twitter.com/tim")</f>
        <v>https://twitter.com/tim</v>
      </c>
      <c r="BP470" s="2"/>
    </row>
    <row r="471" spans="1:68" x14ac:dyDescent="0.25">
      <c r="A471" s="63" t="s">
        <v>625</v>
      </c>
      <c r="B471" s="64"/>
      <c r="C471" s="64"/>
      <c r="D471" s="65"/>
      <c r="E471" s="67"/>
      <c r="F471" s="111" t="str">
        <f>HYPERLINK("https://pbs.twimg.com/profile_images/1704173010008023040/aDytPGxT_normal.jpg")</f>
        <v>https://pbs.twimg.com/profile_images/1704173010008023040/aDytPGxT_normal.jpg</v>
      </c>
      <c r="G471" s="64"/>
      <c r="H471" s="68"/>
      <c r="I471" s="69"/>
      <c r="J471" s="69"/>
      <c r="K471" s="68" t="s">
        <v>29604</v>
      </c>
      <c r="L471" s="72"/>
      <c r="M471" s="73"/>
      <c r="N471" s="73"/>
      <c r="O471" s="74"/>
      <c r="P471" s="75"/>
      <c r="Q471" s="75"/>
      <c r="R471" s="102"/>
      <c r="S471" s="102"/>
      <c r="T471" s="102"/>
      <c r="U471" s="102"/>
      <c r="V471" s="48"/>
      <c r="W471" s="48"/>
      <c r="X471" s="48"/>
      <c r="Y471" s="48"/>
      <c r="Z471" s="47"/>
      <c r="AA471" s="70">
        <v>471</v>
      </c>
      <c r="AB471" s="70"/>
      <c r="AC471" s="71"/>
      <c r="AD471" s="86" t="s">
        <v>24099</v>
      </c>
      <c r="AE471" s="94" t="s">
        <v>25409</v>
      </c>
      <c r="AF471" s="86">
        <v>53349</v>
      </c>
      <c r="AG471" s="86">
        <v>117</v>
      </c>
      <c r="AH471" s="86">
        <v>56484</v>
      </c>
      <c r="AI471" s="86">
        <v>94</v>
      </c>
      <c r="AJ471" s="86">
        <v>3006</v>
      </c>
      <c r="AK471" s="86">
        <v>8972</v>
      </c>
      <c r="AL471" s="86" t="b">
        <v>0</v>
      </c>
      <c r="AM471" s="89">
        <v>40729.024918981479</v>
      </c>
      <c r="AN471" s="86" t="s">
        <v>26050</v>
      </c>
      <c r="AO471" s="86" t="s">
        <v>26853</v>
      </c>
      <c r="AP471" s="96" t="str">
        <f>HYPERLINK("https://t.co/sSz5EkRNRG")</f>
        <v>https://t.co/sSz5EkRNRG</v>
      </c>
      <c r="AQ471" s="96" t="str">
        <f>HYPERLINK("http://linktr.ee/prefeiturasantos")</f>
        <v>http://linktr.ee/prefeiturasantos</v>
      </c>
      <c r="AR471" s="86" t="s">
        <v>28223</v>
      </c>
      <c r="AS471" s="86"/>
      <c r="AT471" s="86"/>
      <c r="AU471" s="86"/>
      <c r="AV471" s="86"/>
      <c r="AW471" s="96" t="str">
        <f>HYPERLINK("https://t.co/sSz5EkRNRG")</f>
        <v>https://t.co/sSz5EkRNRG</v>
      </c>
      <c r="AX471" s="86" t="b">
        <v>0</v>
      </c>
      <c r="AY471" s="86"/>
      <c r="AZ471" s="86"/>
      <c r="BA471" s="86" t="b">
        <v>0</v>
      </c>
      <c r="BB471" s="86" t="b">
        <v>1</v>
      </c>
      <c r="BC471" s="86" t="b">
        <v>0</v>
      </c>
      <c r="BD471" s="86" t="b">
        <v>0</v>
      </c>
      <c r="BE471" s="86" t="b">
        <v>1</v>
      </c>
      <c r="BF471" s="86" t="b">
        <v>0</v>
      </c>
      <c r="BG471" s="86" t="b">
        <v>0</v>
      </c>
      <c r="BH471" s="96" t="str">
        <f>HYPERLINK("https://pbs.twimg.com/profile_banners/329392010/1687377196")</f>
        <v>https://pbs.twimg.com/profile_banners/329392010/1687377196</v>
      </c>
      <c r="BI471" s="86"/>
      <c r="BJ471" s="86" t="s">
        <v>29134</v>
      </c>
      <c r="BK471" s="86" t="b">
        <v>0</v>
      </c>
      <c r="BL471" s="86"/>
      <c r="BM471" s="86" t="s">
        <v>66</v>
      </c>
      <c r="BN471" s="86" t="s">
        <v>29136</v>
      </c>
      <c r="BO471" s="96" t="str">
        <f>HYPERLINK("https://twitter.com/santos_agora")</f>
        <v>https://twitter.com/santos_agora</v>
      </c>
      <c r="BP471" s="2"/>
    </row>
    <row r="472" spans="1:68" x14ac:dyDescent="0.25">
      <c r="A472" s="63" t="s">
        <v>626</v>
      </c>
      <c r="B472" s="64"/>
      <c r="C472" s="64"/>
      <c r="D472" s="65"/>
      <c r="E472" s="67"/>
      <c r="F472" s="111" t="str">
        <f>HYPERLINK("https://pbs.twimg.com/profile_images/1266928800778072064/PArXTEKO_normal.jpg")</f>
        <v>https://pbs.twimg.com/profile_images/1266928800778072064/PArXTEKO_normal.jpg</v>
      </c>
      <c r="G472" s="64"/>
      <c r="H472" s="68"/>
      <c r="I472" s="69"/>
      <c r="J472" s="69"/>
      <c r="K472" s="68" t="s">
        <v>29605</v>
      </c>
      <c r="L472" s="72"/>
      <c r="M472" s="73"/>
      <c r="N472" s="73"/>
      <c r="O472" s="74"/>
      <c r="P472" s="75"/>
      <c r="Q472" s="75"/>
      <c r="R472" s="102"/>
      <c r="S472" s="102"/>
      <c r="T472" s="102"/>
      <c r="U472" s="102"/>
      <c r="V472" s="48"/>
      <c r="W472" s="48"/>
      <c r="X472" s="48"/>
      <c r="Y472" s="48"/>
      <c r="Z472" s="47"/>
      <c r="AA472" s="70">
        <v>472</v>
      </c>
      <c r="AB472" s="70"/>
      <c r="AC472" s="71"/>
      <c r="AD472" s="86" t="s">
        <v>24100</v>
      </c>
      <c r="AE472" s="94" t="s">
        <v>22555</v>
      </c>
      <c r="AF472" s="86">
        <v>65</v>
      </c>
      <c r="AG472" s="86">
        <v>118</v>
      </c>
      <c r="AH472" s="86">
        <v>5333</v>
      </c>
      <c r="AI472" s="86">
        <v>1</v>
      </c>
      <c r="AJ472" s="86">
        <v>8121</v>
      </c>
      <c r="AK472" s="86">
        <v>3400</v>
      </c>
      <c r="AL472" s="86" t="b">
        <v>0</v>
      </c>
      <c r="AM472" s="89">
        <v>40263.706712962965</v>
      </c>
      <c r="AN472" s="86" t="s">
        <v>26051</v>
      </c>
      <c r="AO472" s="86" t="s">
        <v>26854</v>
      </c>
      <c r="AP472" s="96" t="str">
        <f>HYPERLINK("https://t.co/WTu2DTfW6C")</f>
        <v>https://t.co/WTu2DTfW6C</v>
      </c>
      <c r="AQ472" s="96" t="str">
        <f>HYPERLINK("https://links.jorgemorgado.vip/")</f>
        <v>https://links.jorgemorgado.vip/</v>
      </c>
      <c r="AR472" s="86" t="s">
        <v>28224</v>
      </c>
      <c r="AS472" s="86"/>
      <c r="AT472" s="86"/>
      <c r="AU472" s="86"/>
      <c r="AV472" s="86"/>
      <c r="AW472" s="96" t="str">
        <f>HYPERLINK("https://t.co/WTu2DTfW6C")</f>
        <v>https://t.co/WTu2DTfW6C</v>
      </c>
      <c r="AX472" s="86" t="b">
        <v>0</v>
      </c>
      <c r="AY472" s="86"/>
      <c r="AZ472" s="86"/>
      <c r="BA472" s="86" t="b">
        <v>0</v>
      </c>
      <c r="BB472" s="86" t="b">
        <v>1</v>
      </c>
      <c r="BC472" s="86" t="b">
        <v>1</v>
      </c>
      <c r="BD472" s="86" t="b">
        <v>0</v>
      </c>
      <c r="BE472" s="86" t="b">
        <v>0</v>
      </c>
      <c r="BF472" s="86" t="b">
        <v>0</v>
      </c>
      <c r="BG472" s="86" t="b">
        <v>0</v>
      </c>
      <c r="BH472" s="96" t="str">
        <f>HYPERLINK("https://pbs.twimg.com/profile_banners/126678900/1593223351")</f>
        <v>https://pbs.twimg.com/profile_banners/126678900/1593223351</v>
      </c>
      <c r="BI472" s="86"/>
      <c r="BJ472" s="86" t="s">
        <v>29134</v>
      </c>
      <c r="BK472" s="86" t="b">
        <v>0</v>
      </c>
      <c r="BL472" s="86"/>
      <c r="BM472" s="86" t="s">
        <v>66</v>
      </c>
      <c r="BN472" s="86" t="s">
        <v>29136</v>
      </c>
      <c r="BO472" s="96" t="str">
        <f>HYPERLINK("https://twitter.com/morgado996")</f>
        <v>https://twitter.com/morgado996</v>
      </c>
      <c r="BP472" s="2"/>
    </row>
    <row r="473" spans="1:68" x14ac:dyDescent="0.25">
      <c r="A473" s="63" t="s">
        <v>627</v>
      </c>
      <c r="B473" s="64"/>
      <c r="C473" s="64"/>
      <c r="D473" s="65"/>
      <c r="E473" s="67"/>
      <c r="F473" s="111" t="str">
        <f>HYPERLINK("https://pbs.twimg.com/profile_images/1528069488498855938/WUh5IiSb_normal.jpg")</f>
        <v>https://pbs.twimg.com/profile_images/1528069488498855938/WUh5IiSb_normal.jpg</v>
      </c>
      <c r="G473" s="64"/>
      <c r="H473" s="68"/>
      <c r="I473" s="69"/>
      <c r="J473" s="69"/>
      <c r="K473" s="68" t="s">
        <v>29606</v>
      </c>
      <c r="L473" s="72"/>
      <c r="M473" s="73"/>
      <c r="N473" s="73"/>
      <c r="O473" s="74"/>
      <c r="P473" s="75"/>
      <c r="Q473" s="75"/>
      <c r="R473" s="102"/>
      <c r="S473" s="102"/>
      <c r="T473" s="102"/>
      <c r="U473" s="102"/>
      <c r="V473" s="48"/>
      <c r="W473" s="48"/>
      <c r="X473" s="48"/>
      <c r="Y473" s="48"/>
      <c r="Z473" s="47"/>
      <c r="AA473" s="70">
        <v>473</v>
      </c>
      <c r="AB473" s="70"/>
      <c r="AC473" s="71"/>
      <c r="AD473" s="86" t="s">
        <v>627</v>
      </c>
      <c r="AE473" s="94" t="s">
        <v>23024</v>
      </c>
      <c r="AF473" s="86">
        <v>5</v>
      </c>
      <c r="AG473" s="86">
        <v>21</v>
      </c>
      <c r="AH473" s="86">
        <v>125</v>
      </c>
      <c r="AI473" s="86">
        <v>0</v>
      </c>
      <c r="AJ473" s="86">
        <v>1991</v>
      </c>
      <c r="AK473" s="86">
        <v>92</v>
      </c>
      <c r="AL473" s="86" t="b">
        <v>0</v>
      </c>
      <c r="AM473" s="89">
        <v>44675.482442129629</v>
      </c>
      <c r="AN473" s="86" t="s">
        <v>15234</v>
      </c>
      <c r="AO473" s="86" t="s">
        <v>26855</v>
      </c>
      <c r="AP473" s="96" t="str">
        <f>HYPERLINK("https://t.co/xcRGONUt27")</f>
        <v>https://t.co/xcRGONUt27</v>
      </c>
      <c r="AQ473" s="96" t="str">
        <f>HYPERLINK("https://linktr.ee/edbrindes")</f>
        <v>https://linktr.ee/edbrindes</v>
      </c>
      <c r="AR473" s="86" t="s">
        <v>28225</v>
      </c>
      <c r="AS473" s="86"/>
      <c r="AT473" s="86"/>
      <c r="AU473" s="86"/>
      <c r="AV473" s="86"/>
      <c r="AW473" s="96" t="str">
        <f>HYPERLINK("https://t.co/xcRGONUt27")</f>
        <v>https://t.co/xcRGONUt27</v>
      </c>
      <c r="AX473" s="86" t="b">
        <v>0</v>
      </c>
      <c r="AY473" s="86"/>
      <c r="AZ473" s="86"/>
      <c r="BA473" s="86" t="b">
        <v>0</v>
      </c>
      <c r="BB473" s="86" t="b">
        <v>1</v>
      </c>
      <c r="BC473" s="86" t="b">
        <v>1</v>
      </c>
      <c r="BD473" s="86" t="b">
        <v>0</v>
      </c>
      <c r="BE473" s="86" t="b">
        <v>0</v>
      </c>
      <c r="BF473" s="86" t="b">
        <v>0</v>
      </c>
      <c r="BG473" s="86" t="b">
        <v>0</v>
      </c>
      <c r="BH473" s="96" t="str">
        <f>HYPERLINK("https://pbs.twimg.com/profile_banners/1518191673653829632/1650800521")</f>
        <v>https://pbs.twimg.com/profile_banners/1518191673653829632/1650800521</v>
      </c>
      <c r="BI473" s="86"/>
      <c r="BJ473" s="86" t="s">
        <v>29134</v>
      </c>
      <c r="BK473" s="86" t="b">
        <v>0</v>
      </c>
      <c r="BL473" s="86"/>
      <c r="BM473" s="86" t="s">
        <v>66</v>
      </c>
      <c r="BN473" s="86" t="s">
        <v>29136</v>
      </c>
      <c r="BO473" s="96" t="str">
        <f>HYPERLINK("https://twitter.com/edbrindes")</f>
        <v>https://twitter.com/edbrindes</v>
      </c>
      <c r="BP473" s="2"/>
    </row>
    <row r="474" spans="1:68" x14ac:dyDescent="0.25">
      <c r="A474" s="63" t="s">
        <v>628</v>
      </c>
      <c r="B474" s="64"/>
      <c r="C474" s="64"/>
      <c r="D474" s="65"/>
      <c r="E474" s="67"/>
      <c r="F474" s="111" t="str">
        <f>HYPERLINK("https://pbs.twimg.com/profile_images/1602714453669191683/pCUMvW2r_normal.jpg")</f>
        <v>https://pbs.twimg.com/profile_images/1602714453669191683/pCUMvW2r_normal.jpg</v>
      </c>
      <c r="G474" s="64"/>
      <c r="H474" s="68"/>
      <c r="I474" s="69"/>
      <c r="J474" s="69"/>
      <c r="K474" s="68" t="s">
        <v>29607</v>
      </c>
      <c r="L474" s="72"/>
      <c r="M474" s="73"/>
      <c r="N474" s="73"/>
      <c r="O474" s="74"/>
      <c r="P474" s="75"/>
      <c r="Q474" s="75"/>
      <c r="R474" s="102"/>
      <c r="S474" s="102"/>
      <c r="T474" s="102"/>
      <c r="U474" s="102"/>
      <c r="V474" s="48"/>
      <c r="W474" s="48"/>
      <c r="X474" s="48"/>
      <c r="Y474" s="48"/>
      <c r="Z474" s="47"/>
      <c r="AA474" s="70">
        <v>474</v>
      </c>
      <c r="AB474" s="70"/>
      <c r="AC474" s="71"/>
      <c r="AD474" s="86" t="s">
        <v>24101</v>
      </c>
      <c r="AE474" s="94" t="s">
        <v>23025</v>
      </c>
      <c r="AF474" s="86">
        <v>1</v>
      </c>
      <c r="AG474" s="86">
        <v>16</v>
      </c>
      <c r="AH474" s="86">
        <v>35</v>
      </c>
      <c r="AI474" s="86">
        <v>0</v>
      </c>
      <c r="AJ474" s="86">
        <v>0</v>
      </c>
      <c r="AK474" s="86">
        <v>9</v>
      </c>
      <c r="AL474" s="86" t="b">
        <v>0</v>
      </c>
      <c r="AM474" s="89">
        <v>44908.720694444448</v>
      </c>
      <c r="AN474" s="86"/>
      <c r="AO474" s="86" t="s">
        <v>26856</v>
      </c>
      <c r="AP474" s="96" t="str">
        <f>HYPERLINK("https://t.co/EL3slyH9tM")</f>
        <v>https://t.co/EL3slyH9tM</v>
      </c>
      <c r="AQ474" s="96" t="str">
        <f>HYPERLINK("https://gopage.bio")</f>
        <v>https://gopage.bio</v>
      </c>
      <c r="AR474" s="86" t="s">
        <v>28226</v>
      </c>
      <c r="AS474" s="86"/>
      <c r="AT474" s="86"/>
      <c r="AU474" s="86"/>
      <c r="AV474" s="86"/>
      <c r="AW474" s="96" t="str">
        <f>HYPERLINK("https://t.co/EL3slyH9tM")</f>
        <v>https://t.co/EL3slyH9tM</v>
      </c>
      <c r="AX474" s="86" t="b">
        <v>0</v>
      </c>
      <c r="AY474" s="86"/>
      <c r="AZ474" s="86"/>
      <c r="BA474" s="86" t="b">
        <v>0</v>
      </c>
      <c r="BB474" s="86" t="b">
        <v>1</v>
      </c>
      <c r="BC474" s="86" t="b">
        <v>1</v>
      </c>
      <c r="BD474" s="86" t="b">
        <v>0</v>
      </c>
      <c r="BE474" s="86" t="b">
        <v>0</v>
      </c>
      <c r="BF474" s="86" t="b">
        <v>0</v>
      </c>
      <c r="BG474" s="86" t="b">
        <v>0</v>
      </c>
      <c r="BH474" s="96" t="str">
        <f>HYPERLINK("https://pbs.twimg.com/profile_banners/1602714376439582721/1689278511")</f>
        <v>https://pbs.twimg.com/profile_banners/1602714376439582721/1689278511</v>
      </c>
      <c r="BI474" s="86"/>
      <c r="BJ474" s="86" t="s">
        <v>29134</v>
      </c>
      <c r="BK474" s="86" t="b">
        <v>0</v>
      </c>
      <c r="BL474" s="86"/>
      <c r="BM474" s="86" t="s">
        <v>66</v>
      </c>
      <c r="BN474" s="86" t="s">
        <v>29136</v>
      </c>
      <c r="BO474" s="96" t="str">
        <f>HYPERLINK("https://twitter.com/gopage_")</f>
        <v>https://twitter.com/gopage_</v>
      </c>
      <c r="BP474" s="2"/>
    </row>
    <row r="475" spans="1:68" x14ac:dyDescent="0.25">
      <c r="A475" s="63" t="s">
        <v>629</v>
      </c>
      <c r="B475" s="64"/>
      <c r="C475" s="64"/>
      <c r="D475" s="65"/>
      <c r="E475" s="67"/>
      <c r="F475" s="111" t="str">
        <f>HYPERLINK("https://pbs.twimg.com/profile_images/1676740842545971200/YI1TM2Mc_normal.png")</f>
        <v>https://pbs.twimg.com/profile_images/1676740842545971200/YI1TM2Mc_normal.png</v>
      </c>
      <c r="G475" s="64"/>
      <c r="H475" s="68"/>
      <c r="I475" s="69"/>
      <c r="J475" s="69"/>
      <c r="K475" s="68" t="s">
        <v>29608</v>
      </c>
      <c r="L475" s="72"/>
      <c r="M475" s="73"/>
      <c r="N475" s="73"/>
      <c r="O475" s="74"/>
      <c r="P475" s="75"/>
      <c r="Q475" s="75"/>
      <c r="R475" s="102"/>
      <c r="S475" s="102"/>
      <c r="T475" s="102"/>
      <c r="U475" s="102"/>
      <c r="V475" s="48"/>
      <c r="W475" s="48"/>
      <c r="X475" s="48"/>
      <c r="Y475" s="48"/>
      <c r="Z475" s="47"/>
      <c r="AA475" s="70">
        <v>475</v>
      </c>
      <c r="AB475" s="70"/>
      <c r="AC475" s="71"/>
      <c r="AD475" s="86" t="s">
        <v>24102</v>
      </c>
      <c r="AE475" s="94" t="s">
        <v>23026</v>
      </c>
      <c r="AF475" s="86">
        <v>13</v>
      </c>
      <c r="AG475" s="86">
        <v>5</v>
      </c>
      <c r="AH475" s="86">
        <v>8</v>
      </c>
      <c r="AI475" s="86">
        <v>1</v>
      </c>
      <c r="AJ475" s="86">
        <v>8</v>
      </c>
      <c r="AK475" s="86">
        <v>8</v>
      </c>
      <c r="AL475" s="86" t="b">
        <v>0</v>
      </c>
      <c r="AM475" s="89">
        <v>42593.854097222225</v>
      </c>
      <c r="AN475" s="86"/>
      <c r="AO475" s="86" t="s">
        <v>26857</v>
      </c>
      <c r="AP475" s="96" t="str">
        <f>HYPERLINK("https://t.co/CFMPn8wcqq")</f>
        <v>https://t.co/CFMPn8wcqq</v>
      </c>
      <c r="AQ475" s="96" t="str">
        <f>HYPERLINK("https://piu.com.br")</f>
        <v>https://piu.com.br</v>
      </c>
      <c r="AR475" s="86" t="s">
        <v>28227</v>
      </c>
      <c r="AS475" s="86"/>
      <c r="AT475" s="86"/>
      <c r="AU475" s="86"/>
      <c r="AV475" s="86"/>
      <c r="AW475" s="96" t="str">
        <f>HYPERLINK("https://t.co/CFMPn8wcqq")</f>
        <v>https://t.co/CFMPn8wcqq</v>
      </c>
      <c r="AX475" s="86" t="b">
        <v>0</v>
      </c>
      <c r="AY475" s="86"/>
      <c r="AZ475" s="86"/>
      <c r="BA475" s="86" t="b">
        <v>0</v>
      </c>
      <c r="BB475" s="86" t="b">
        <v>1</v>
      </c>
      <c r="BC475" s="86" t="b">
        <v>0</v>
      </c>
      <c r="BD475" s="86" t="b">
        <v>0</v>
      </c>
      <c r="BE475" s="86" t="b">
        <v>0</v>
      </c>
      <c r="BF475" s="86" t="b">
        <v>0</v>
      </c>
      <c r="BG475" s="86" t="b">
        <v>0</v>
      </c>
      <c r="BH475" s="96" t="str">
        <f>HYPERLINK("https://pbs.twimg.com/profile_banners/763834848788217856/1688601951")</f>
        <v>https://pbs.twimg.com/profile_banners/763834848788217856/1688601951</v>
      </c>
      <c r="BI475" s="86"/>
      <c r="BJ475" s="86" t="s">
        <v>29134</v>
      </c>
      <c r="BK475" s="86" t="b">
        <v>0</v>
      </c>
      <c r="BL475" s="86"/>
      <c r="BM475" s="86" t="s">
        <v>66</v>
      </c>
      <c r="BN475" s="86" t="s">
        <v>29136</v>
      </c>
      <c r="BO475" s="96" t="str">
        <f>HYPERLINK("https://twitter.com/redepiubr")</f>
        <v>https://twitter.com/redepiubr</v>
      </c>
      <c r="BP475" s="2"/>
    </row>
    <row r="476" spans="1:68" x14ac:dyDescent="0.25">
      <c r="A476" s="63" t="s">
        <v>630</v>
      </c>
      <c r="B476" s="64"/>
      <c r="C476" s="64"/>
      <c r="D476" s="65"/>
      <c r="E476" s="67"/>
      <c r="F476" s="111" t="str">
        <f>HYPERLINK("https://pbs.twimg.com/profile_images/1603811987070353408/Dd1crDT9_normal.jpg")</f>
        <v>https://pbs.twimg.com/profile_images/1603811987070353408/Dd1crDT9_normal.jpg</v>
      </c>
      <c r="G476" s="64"/>
      <c r="H476" s="68"/>
      <c r="I476" s="69"/>
      <c r="J476" s="69"/>
      <c r="K476" s="68" t="s">
        <v>29609</v>
      </c>
      <c r="L476" s="72"/>
      <c r="M476" s="73"/>
      <c r="N476" s="73"/>
      <c r="O476" s="74"/>
      <c r="P476" s="75"/>
      <c r="Q476" s="75"/>
      <c r="R476" s="102"/>
      <c r="S476" s="102"/>
      <c r="T476" s="102"/>
      <c r="U476" s="102"/>
      <c r="V476" s="48"/>
      <c r="W476" s="48"/>
      <c r="X476" s="48"/>
      <c r="Y476" s="48"/>
      <c r="Z476" s="47"/>
      <c r="AA476" s="70">
        <v>476</v>
      </c>
      <c r="AB476" s="70"/>
      <c r="AC476" s="71"/>
      <c r="AD476" s="86" t="s">
        <v>24103</v>
      </c>
      <c r="AE476" s="94" t="s">
        <v>23027</v>
      </c>
      <c r="AF476" s="86">
        <v>2</v>
      </c>
      <c r="AG476" s="86">
        <v>72</v>
      </c>
      <c r="AH476" s="86">
        <v>67</v>
      </c>
      <c r="AI476" s="86">
        <v>0</v>
      </c>
      <c r="AJ476" s="86">
        <v>0</v>
      </c>
      <c r="AK476" s="86">
        <v>37</v>
      </c>
      <c r="AL476" s="86" t="b">
        <v>0</v>
      </c>
      <c r="AM476" s="89">
        <v>44911.74931712963</v>
      </c>
      <c r="AN476" s="86" t="s">
        <v>15235</v>
      </c>
      <c r="AO476" s="86" t="s">
        <v>26858</v>
      </c>
      <c r="AP476" s="96" t="str">
        <f>HYPERLINK("https://t.co/e2vj6Ek53q")</f>
        <v>https://t.co/e2vj6Ek53q</v>
      </c>
      <c r="AQ476" s="96" t="str">
        <f>HYPERLINK("https://hiperretail.com")</f>
        <v>https://hiperretail.com</v>
      </c>
      <c r="AR476" s="86" t="s">
        <v>28228</v>
      </c>
      <c r="AS476" s="86"/>
      <c r="AT476" s="86"/>
      <c r="AU476" s="86"/>
      <c r="AV476" s="86"/>
      <c r="AW476" s="96" t="str">
        <f>HYPERLINK("https://t.co/e2vj6Ek53q")</f>
        <v>https://t.co/e2vj6Ek53q</v>
      </c>
      <c r="AX476" s="86" t="b">
        <v>0</v>
      </c>
      <c r="AY476" s="86"/>
      <c r="AZ476" s="86"/>
      <c r="BA476" s="86" t="b">
        <v>0</v>
      </c>
      <c r="BB476" s="86" t="b">
        <v>1</v>
      </c>
      <c r="BC476" s="86" t="b">
        <v>1</v>
      </c>
      <c r="BD476" s="86" t="b">
        <v>0</v>
      </c>
      <c r="BE476" s="86" t="b">
        <v>0</v>
      </c>
      <c r="BF476" s="86" t="b">
        <v>0</v>
      </c>
      <c r="BG476" s="86" t="b">
        <v>0</v>
      </c>
      <c r="BH476" s="96" t="str">
        <f>HYPERLINK("https://pbs.twimg.com/profile_banners/1603811883970183180/1671213603")</f>
        <v>https://pbs.twimg.com/profile_banners/1603811883970183180/1671213603</v>
      </c>
      <c r="BI476" s="86"/>
      <c r="BJ476" s="86" t="s">
        <v>29134</v>
      </c>
      <c r="BK476" s="86" t="b">
        <v>0</v>
      </c>
      <c r="BL476" s="86"/>
      <c r="BM476" s="86" t="s">
        <v>66</v>
      </c>
      <c r="BN476" s="86" t="s">
        <v>29136</v>
      </c>
      <c r="BO476" s="96" t="str">
        <f>HYPERLINK("https://twitter.com/hiperretail")</f>
        <v>https://twitter.com/hiperretail</v>
      </c>
      <c r="BP476" s="2"/>
    </row>
    <row r="477" spans="1:68" x14ac:dyDescent="0.25">
      <c r="A477" s="63" t="s">
        <v>1675</v>
      </c>
      <c r="B477" s="64"/>
      <c r="C477" s="64"/>
      <c r="D477" s="65"/>
      <c r="E477" s="67"/>
      <c r="F477" s="111" t="str">
        <f>HYPERLINK("https://pbs.twimg.com/profile_images/1573289341081755648/NThJFb8D_normal.jpg")</f>
        <v>https://pbs.twimg.com/profile_images/1573289341081755648/NThJFb8D_normal.jpg</v>
      </c>
      <c r="G477" s="64"/>
      <c r="H477" s="68"/>
      <c r="I477" s="69"/>
      <c r="J477" s="69"/>
      <c r="K477" s="68" t="s">
        <v>29610</v>
      </c>
      <c r="L477" s="72"/>
      <c r="M477" s="73"/>
      <c r="N477" s="73"/>
      <c r="O477" s="74"/>
      <c r="P477" s="75"/>
      <c r="Q477" s="75"/>
      <c r="R477" s="102"/>
      <c r="S477" s="102"/>
      <c r="T477" s="102"/>
      <c r="U477" s="102"/>
      <c r="V477" s="48"/>
      <c r="W477" s="48"/>
      <c r="X477" s="48"/>
      <c r="Y477" s="48"/>
      <c r="Z477" s="47"/>
      <c r="AA477" s="70">
        <v>477</v>
      </c>
      <c r="AB477" s="70"/>
      <c r="AC477" s="71"/>
      <c r="AD477" s="86" t="s">
        <v>24104</v>
      </c>
      <c r="AE477" s="94" t="s">
        <v>25410</v>
      </c>
      <c r="AF477" s="86">
        <v>200</v>
      </c>
      <c r="AG477" s="86">
        <v>5</v>
      </c>
      <c r="AH477" s="86">
        <v>3604</v>
      </c>
      <c r="AI477" s="86">
        <v>3</v>
      </c>
      <c r="AJ477" s="86">
        <v>0</v>
      </c>
      <c r="AK477" s="86">
        <v>9</v>
      </c>
      <c r="AL477" s="86" t="b">
        <v>0</v>
      </c>
      <c r="AM477" s="89">
        <v>44827.517766203702</v>
      </c>
      <c r="AN477" s="86" t="s">
        <v>25951</v>
      </c>
      <c r="AO477" s="86" t="s">
        <v>26859</v>
      </c>
      <c r="AP477" s="96" t="str">
        <f>HYPERLINK("https://t.co/OXpy7t4509")</f>
        <v>https://t.co/OXpy7t4509</v>
      </c>
      <c r="AQ477" s="96" t="str">
        <f>HYPERLINK("https://www.forbespt.com/")</f>
        <v>https://www.forbespt.com/</v>
      </c>
      <c r="AR477" s="86" t="s">
        <v>8441</v>
      </c>
      <c r="AS477" s="86"/>
      <c r="AT477" s="86"/>
      <c r="AU477" s="86"/>
      <c r="AV477" s="86">
        <v>1.67363535389325E+18</v>
      </c>
      <c r="AW477" s="96" t="str">
        <f>HYPERLINK("https://t.co/OXpy7t4509")</f>
        <v>https://t.co/OXpy7t4509</v>
      </c>
      <c r="AX477" s="86" t="b">
        <v>0</v>
      </c>
      <c r="AY477" s="86"/>
      <c r="AZ477" s="86"/>
      <c r="BA477" s="86" t="b">
        <v>0</v>
      </c>
      <c r="BB477" s="86" t="b">
        <v>1</v>
      </c>
      <c r="BC477" s="86" t="b">
        <v>1</v>
      </c>
      <c r="BD477" s="86" t="b">
        <v>0</v>
      </c>
      <c r="BE477" s="86" t="b">
        <v>0</v>
      </c>
      <c r="BF477" s="86" t="b">
        <v>0</v>
      </c>
      <c r="BG477" s="86" t="b">
        <v>0</v>
      </c>
      <c r="BH477" s="96" t="str">
        <f>HYPERLINK("https://pbs.twimg.com/profile_banners/1573286977079840769/1663936386")</f>
        <v>https://pbs.twimg.com/profile_banners/1573286977079840769/1663936386</v>
      </c>
      <c r="BI477" s="86"/>
      <c r="BJ477" s="86" t="s">
        <v>29134</v>
      </c>
      <c r="BK477" s="86" t="b">
        <v>0</v>
      </c>
      <c r="BL477" s="86"/>
      <c r="BM477" s="86" t="s">
        <v>65</v>
      </c>
      <c r="BN477" s="86" t="s">
        <v>29136</v>
      </c>
      <c r="BO477" s="96" t="str">
        <f>HYPERLINK("https://twitter.com/forbes_portugal")</f>
        <v>https://twitter.com/forbes_portugal</v>
      </c>
      <c r="BP477" s="2"/>
    </row>
    <row r="478" spans="1:68" x14ac:dyDescent="0.25">
      <c r="A478" s="63" t="s">
        <v>631</v>
      </c>
      <c r="B478" s="64"/>
      <c r="C478" s="64"/>
      <c r="D478" s="65"/>
      <c r="E478" s="67"/>
      <c r="F478" s="111" t="str">
        <f>HYPERLINK("https://pbs.twimg.com/profile_images/1677503802860003328/Kd2iAXM2_normal.jpg")</f>
        <v>https://pbs.twimg.com/profile_images/1677503802860003328/Kd2iAXM2_normal.jpg</v>
      </c>
      <c r="G478" s="64"/>
      <c r="H478" s="68"/>
      <c r="I478" s="69"/>
      <c r="J478" s="69"/>
      <c r="K478" s="68" t="s">
        <v>29611</v>
      </c>
      <c r="L478" s="72"/>
      <c r="M478" s="73"/>
      <c r="N478" s="73"/>
      <c r="O478" s="74"/>
      <c r="P478" s="75"/>
      <c r="Q478" s="75"/>
      <c r="R478" s="102"/>
      <c r="S478" s="102"/>
      <c r="T478" s="102"/>
      <c r="U478" s="102"/>
      <c r="V478" s="48"/>
      <c r="W478" s="48"/>
      <c r="X478" s="48"/>
      <c r="Y478" s="48"/>
      <c r="Z478" s="47"/>
      <c r="AA478" s="70">
        <v>478</v>
      </c>
      <c r="AB478" s="70"/>
      <c r="AC478" s="71"/>
      <c r="AD478" s="86" t="s">
        <v>24105</v>
      </c>
      <c r="AE478" s="94" t="s">
        <v>23028</v>
      </c>
      <c r="AF478" s="86">
        <v>1</v>
      </c>
      <c r="AG478" s="86">
        <v>20</v>
      </c>
      <c r="AH478" s="86">
        <v>54</v>
      </c>
      <c r="AI478" s="86">
        <v>0</v>
      </c>
      <c r="AJ478" s="86">
        <v>22</v>
      </c>
      <c r="AK478" s="86">
        <v>7</v>
      </c>
      <c r="AL478" s="86" t="b">
        <v>0</v>
      </c>
      <c r="AM478" s="89">
        <v>45115.095717592594</v>
      </c>
      <c r="AN478" s="86"/>
      <c r="AO478" s="86" t="s">
        <v>26860</v>
      </c>
      <c r="AP478" s="96" t="str">
        <f>HYPERLINK("https://t.co/gU3B0jwbxh")</f>
        <v>https://t.co/gU3B0jwbxh</v>
      </c>
      <c r="AQ478" s="96" t="str">
        <f>HYPERLINK("https://youtube.com/@PercyCamilo")</f>
        <v>https://youtube.com/@PercyCamilo</v>
      </c>
      <c r="AR478" s="86" t="s">
        <v>28229</v>
      </c>
      <c r="AS478" s="86" t="s">
        <v>28999</v>
      </c>
      <c r="AT478" s="86" t="s">
        <v>29015</v>
      </c>
      <c r="AU478" s="86" t="s">
        <v>29062</v>
      </c>
      <c r="AV478" s="86"/>
      <c r="AW478" s="96" t="str">
        <f>HYPERLINK("https://t.co/gU3B0jwbxh")</f>
        <v>https://t.co/gU3B0jwbxh</v>
      </c>
      <c r="AX478" s="86" t="b">
        <v>0</v>
      </c>
      <c r="AY478" s="86"/>
      <c r="AZ478" s="86"/>
      <c r="BA478" s="86" t="b">
        <v>0</v>
      </c>
      <c r="BB478" s="86" t="b">
        <v>1</v>
      </c>
      <c r="BC478" s="86" t="b">
        <v>1</v>
      </c>
      <c r="BD478" s="86" t="b">
        <v>0</v>
      </c>
      <c r="BE478" s="86" t="b">
        <v>0</v>
      </c>
      <c r="BF478" s="86" t="b">
        <v>0</v>
      </c>
      <c r="BG478" s="86" t="b">
        <v>0</v>
      </c>
      <c r="BH478" s="96" t="str">
        <f>HYPERLINK("https://pbs.twimg.com/profile_banners/1677502012068380672/1688783048")</f>
        <v>https://pbs.twimg.com/profile_banners/1677502012068380672/1688783048</v>
      </c>
      <c r="BI478" s="86"/>
      <c r="BJ478" s="86" t="s">
        <v>29134</v>
      </c>
      <c r="BK478" s="86" t="b">
        <v>0</v>
      </c>
      <c r="BL478" s="86"/>
      <c r="BM478" s="86" t="s">
        <v>66</v>
      </c>
      <c r="BN478" s="86" t="s">
        <v>29136</v>
      </c>
      <c r="BO478" s="96" t="str">
        <f>HYPERLINK("https://twitter.com/percycamilo034")</f>
        <v>https://twitter.com/percycamilo034</v>
      </c>
      <c r="BP478" s="2"/>
    </row>
    <row r="479" spans="1:68" x14ac:dyDescent="0.25">
      <c r="A479" s="63" t="s">
        <v>632</v>
      </c>
      <c r="B479" s="64"/>
      <c r="C479" s="64"/>
      <c r="D479" s="65"/>
      <c r="E479" s="67"/>
      <c r="F479" s="111" t="str">
        <f>HYPERLINK("https://pbs.twimg.com/profile_images/1182054629653323777/wqAcrl9u_normal.jpg")</f>
        <v>https://pbs.twimg.com/profile_images/1182054629653323777/wqAcrl9u_normal.jpg</v>
      </c>
      <c r="G479" s="64"/>
      <c r="H479" s="68"/>
      <c r="I479" s="69"/>
      <c r="J479" s="69"/>
      <c r="K479" s="68" t="s">
        <v>29612</v>
      </c>
      <c r="L479" s="72"/>
      <c r="M479" s="73"/>
      <c r="N479" s="73"/>
      <c r="O479" s="74"/>
      <c r="P479" s="75"/>
      <c r="Q479" s="75"/>
      <c r="R479" s="102"/>
      <c r="S479" s="102"/>
      <c r="T479" s="102"/>
      <c r="U479" s="102"/>
      <c r="V479" s="48"/>
      <c r="W479" s="48"/>
      <c r="X479" s="48"/>
      <c r="Y479" s="48"/>
      <c r="Z479" s="47"/>
      <c r="AA479" s="70">
        <v>479</v>
      </c>
      <c r="AB479" s="70"/>
      <c r="AC479" s="71"/>
      <c r="AD479" s="86" t="s">
        <v>24106</v>
      </c>
      <c r="AE479" s="94" t="s">
        <v>23029</v>
      </c>
      <c r="AF479" s="86">
        <v>128</v>
      </c>
      <c r="AG479" s="86">
        <v>2</v>
      </c>
      <c r="AH479" s="86">
        <v>910</v>
      </c>
      <c r="AI479" s="86">
        <v>1</v>
      </c>
      <c r="AJ479" s="86">
        <v>903</v>
      </c>
      <c r="AK479" s="86">
        <v>904</v>
      </c>
      <c r="AL479" s="86" t="b">
        <v>0</v>
      </c>
      <c r="AM479" s="89">
        <v>43329.894965277781</v>
      </c>
      <c r="AN479" s="86" t="s">
        <v>15246</v>
      </c>
      <c r="AO479" s="86" t="s">
        <v>26861</v>
      </c>
      <c r="AP479" s="96" t="str">
        <f>HYPERLINK("https://t.co/dp1HkO1AbF")</f>
        <v>https://t.co/dp1HkO1AbF</v>
      </c>
      <c r="AQ479" s="96" t="str">
        <f>HYPERLINK("http://www.escola.digitalista.com.br")</f>
        <v>http://www.escola.digitalista.com.br</v>
      </c>
      <c r="AR479" s="86" t="s">
        <v>28095</v>
      </c>
      <c r="AS479" s="86"/>
      <c r="AT479" s="86"/>
      <c r="AU479" s="86"/>
      <c r="AV479" s="86"/>
      <c r="AW479" s="96" t="str">
        <f>HYPERLINK("https://t.co/dp1HkO1AbF")</f>
        <v>https://t.co/dp1HkO1AbF</v>
      </c>
      <c r="AX479" s="86" t="b">
        <v>0</v>
      </c>
      <c r="AY479" s="86"/>
      <c r="AZ479" s="86"/>
      <c r="BA479" s="86" t="b">
        <v>0</v>
      </c>
      <c r="BB479" s="86" t="b">
        <v>1</v>
      </c>
      <c r="BC479" s="86" t="b">
        <v>0</v>
      </c>
      <c r="BD479" s="86" t="b">
        <v>0</v>
      </c>
      <c r="BE479" s="86" t="b">
        <v>0</v>
      </c>
      <c r="BF479" s="86" t="b">
        <v>0</v>
      </c>
      <c r="BG479" s="86" t="b">
        <v>0</v>
      </c>
      <c r="BH479" s="96" t="str">
        <f>HYPERLINK("https://pbs.twimg.com/profile_banners/1030567127659556866/1586788877")</f>
        <v>https://pbs.twimg.com/profile_banners/1030567127659556866/1586788877</v>
      </c>
      <c r="BI479" s="86"/>
      <c r="BJ479" s="86" t="s">
        <v>29134</v>
      </c>
      <c r="BK479" s="86" t="b">
        <v>0</v>
      </c>
      <c r="BL479" s="86"/>
      <c r="BM479" s="86" t="s">
        <v>66</v>
      </c>
      <c r="BN479" s="86" t="s">
        <v>29136</v>
      </c>
      <c r="BO479" s="96" t="str">
        <f>HYPERLINK("https://twitter.com/digitalistaofic")</f>
        <v>https://twitter.com/digitalistaofic</v>
      </c>
      <c r="BP479" s="2"/>
    </row>
    <row r="480" spans="1:68" x14ac:dyDescent="0.25">
      <c r="A480" s="63" t="s">
        <v>633</v>
      </c>
      <c r="B480" s="64"/>
      <c r="C480" s="64"/>
      <c r="D480" s="65"/>
      <c r="E480" s="67"/>
      <c r="F480" s="111" t="str">
        <f>HYPERLINK("https://pbs.twimg.com/profile_images/1703500638619893760/ezaaceqs_normal.jpg")</f>
        <v>https://pbs.twimg.com/profile_images/1703500638619893760/ezaaceqs_normal.jpg</v>
      </c>
      <c r="G480" s="64"/>
      <c r="H480" s="68"/>
      <c r="I480" s="69"/>
      <c r="J480" s="69"/>
      <c r="K480" s="68" t="s">
        <v>29613</v>
      </c>
      <c r="L480" s="72"/>
      <c r="M480" s="73"/>
      <c r="N480" s="73"/>
      <c r="O480" s="74"/>
      <c r="P480" s="75"/>
      <c r="Q480" s="75"/>
      <c r="R480" s="102"/>
      <c r="S480" s="102"/>
      <c r="T480" s="102"/>
      <c r="U480" s="102"/>
      <c r="V480" s="48"/>
      <c r="W480" s="48"/>
      <c r="X480" s="48"/>
      <c r="Y480" s="48"/>
      <c r="Z480" s="47"/>
      <c r="AA480" s="70">
        <v>480</v>
      </c>
      <c r="AB480" s="70"/>
      <c r="AC480" s="71"/>
      <c r="AD480" s="86" t="s">
        <v>24107</v>
      </c>
      <c r="AE480" s="94" t="s">
        <v>23030</v>
      </c>
      <c r="AF480" s="86">
        <v>0</v>
      </c>
      <c r="AG480" s="86">
        <v>0</v>
      </c>
      <c r="AH480" s="86">
        <v>27</v>
      </c>
      <c r="AI480" s="86">
        <v>0</v>
      </c>
      <c r="AJ480" s="86">
        <v>83</v>
      </c>
      <c r="AK480" s="86">
        <v>18</v>
      </c>
      <c r="AL480" s="86" t="b">
        <v>0</v>
      </c>
      <c r="AM480" s="89">
        <v>45185.22488425926</v>
      </c>
      <c r="AN480" s="86"/>
      <c r="AO480" s="86" t="s">
        <v>26862</v>
      </c>
      <c r="AP480" s="96" t="str">
        <f>HYPERLINK("https://t.co/rPTdF5nKaq")</f>
        <v>https://t.co/rPTdF5nKaq</v>
      </c>
      <c r="AQ480" s="96" t="str">
        <f>HYPERLINK("https://abre.ai/mentoriaimpulsaopet")</f>
        <v>https://abre.ai/mentoriaimpulsaopet</v>
      </c>
      <c r="AR480" s="86" t="s">
        <v>28230</v>
      </c>
      <c r="AS480" s="86"/>
      <c r="AT480" s="86"/>
      <c r="AU480" s="86"/>
      <c r="AV480" s="86"/>
      <c r="AW480" s="96" t="str">
        <f>HYPERLINK("https://t.co/rPTdF5nKaq")</f>
        <v>https://t.co/rPTdF5nKaq</v>
      </c>
      <c r="AX480" s="86" t="b">
        <v>0</v>
      </c>
      <c r="AY480" s="86"/>
      <c r="AZ480" s="86"/>
      <c r="BA480" s="86" t="b">
        <v>0</v>
      </c>
      <c r="BB480" s="86" t="b">
        <v>1</v>
      </c>
      <c r="BC480" s="86" t="b">
        <v>1</v>
      </c>
      <c r="BD480" s="86" t="b">
        <v>0</v>
      </c>
      <c r="BE480" s="86" t="b">
        <v>0</v>
      </c>
      <c r="BF480" s="86" t="b">
        <v>0</v>
      </c>
      <c r="BG480" s="86" t="b">
        <v>0</v>
      </c>
      <c r="BH480" s="96" t="str">
        <f>HYPERLINK("https://pbs.twimg.com/profile_banners/1702916100885803008/1694981213")</f>
        <v>https://pbs.twimg.com/profile_banners/1702916100885803008/1694981213</v>
      </c>
      <c r="BI480" s="86"/>
      <c r="BJ480" s="86" t="s">
        <v>29134</v>
      </c>
      <c r="BK480" s="86" t="b">
        <v>0</v>
      </c>
      <c r="BL480" s="86"/>
      <c r="BM480" s="86" t="s">
        <v>66</v>
      </c>
      <c r="BN480" s="86" t="s">
        <v>29136</v>
      </c>
      <c r="BO480" s="96" t="str">
        <f>HYPERLINK("https://twitter.com/sheron_goveia")</f>
        <v>https://twitter.com/sheron_goveia</v>
      </c>
      <c r="BP480" s="2"/>
    </row>
    <row r="481" spans="1:68" x14ac:dyDescent="0.25">
      <c r="A481" s="63" t="s">
        <v>634</v>
      </c>
      <c r="B481" s="64"/>
      <c r="C481" s="64"/>
      <c r="D481" s="65"/>
      <c r="E481" s="67"/>
      <c r="F481" s="111" t="str">
        <f>HYPERLINK("https://pbs.twimg.com/profile_images/1435819723359404032/35blFrqD_normal.jpg")</f>
        <v>https://pbs.twimg.com/profile_images/1435819723359404032/35blFrqD_normal.jpg</v>
      </c>
      <c r="G481" s="64"/>
      <c r="H481" s="68"/>
      <c r="I481" s="69"/>
      <c r="J481" s="69"/>
      <c r="K481" s="68" t="s">
        <v>29614</v>
      </c>
      <c r="L481" s="72"/>
      <c r="M481" s="73"/>
      <c r="N481" s="73"/>
      <c r="O481" s="74"/>
      <c r="P481" s="75"/>
      <c r="Q481" s="75"/>
      <c r="R481" s="102"/>
      <c r="S481" s="102"/>
      <c r="T481" s="102"/>
      <c r="U481" s="102"/>
      <c r="V481" s="48"/>
      <c r="W481" s="48"/>
      <c r="X481" s="48"/>
      <c r="Y481" s="48"/>
      <c r="Z481" s="47"/>
      <c r="AA481" s="70">
        <v>481</v>
      </c>
      <c r="AB481" s="70"/>
      <c r="AC481" s="71"/>
      <c r="AD481" s="86" t="s">
        <v>24108</v>
      </c>
      <c r="AE481" s="94" t="s">
        <v>23031</v>
      </c>
      <c r="AF481" s="86">
        <v>418</v>
      </c>
      <c r="AG481" s="86">
        <v>935</v>
      </c>
      <c r="AH481" s="86">
        <v>2192</v>
      </c>
      <c r="AI481" s="86">
        <v>0</v>
      </c>
      <c r="AJ481" s="86">
        <v>6356</v>
      </c>
      <c r="AK481" s="86">
        <v>18</v>
      </c>
      <c r="AL481" s="86" t="b">
        <v>0</v>
      </c>
      <c r="AM481" s="89">
        <v>43953.166365740741</v>
      </c>
      <c r="AN481" s="86" t="s">
        <v>26024</v>
      </c>
      <c r="AO481" s="86" t="s">
        <v>26863</v>
      </c>
      <c r="AP481" s="96" t="str">
        <f>HYPERLINK("https://t.co/K7VwtPZsyO")</f>
        <v>https://t.co/K7VwtPZsyO</v>
      </c>
      <c r="AQ481" s="96" t="str">
        <f>HYPERLINK("https://www.instagram.com/rafaopreis")</f>
        <v>https://www.instagram.com/rafaopreis</v>
      </c>
      <c r="AR481" s="86" t="s">
        <v>28231</v>
      </c>
      <c r="AS481" s="86"/>
      <c r="AT481" s="86"/>
      <c r="AU481" s="86"/>
      <c r="AV481" s="86"/>
      <c r="AW481" s="96" t="str">
        <f>HYPERLINK("https://t.co/K7VwtPZsyO")</f>
        <v>https://t.co/K7VwtPZsyO</v>
      </c>
      <c r="AX481" s="86" t="b">
        <v>0</v>
      </c>
      <c r="AY481" s="86"/>
      <c r="AZ481" s="86"/>
      <c r="BA481" s="86" t="b">
        <v>0</v>
      </c>
      <c r="BB481" s="86" t="b">
        <v>1</v>
      </c>
      <c r="BC481" s="86" t="b">
        <v>1</v>
      </c>
      <c r="BD481" s="86" t="b">
        <v>0</v>
      </c>
      <c r="BE481" s="86" t="b">
        <v>0</v>
      </c>
      <c r="BF481" s="86" t="b">
        <v>0</v>
      </c>
      <c r="BG481" s="86" t="b">
        <v>0</v>
      </c>
      <c r="BH481" s="96" t="str">
        <f>HYPERLINK("https://pbs.twimg.com/profile_banners/1256433072297447424/1671382310")</f>
        <v>https://pbs.twimg.com/profile_banners/1256433072297447424/1671382310</v>
      </c>
      <c r="BI481" s="86"/>
      <c r="BJ481" s="86" t="s">
        <v>29134</v>
      </c>
      <c r="BK481" s="86" t="b">
        <v>0</v>
      </c>
      <c r="BL481" s="86"/>
      <c r="BM481" s="86" t="s">
        <v>66</v>
      </c>
      <c r="BN481" s="86" t="s">
        <v>29136</v>
      </c>
      <c r="BO481" s="96" t="str">
        <f>HYPERLINK("https://twitter.com/rafael_opreis")</f>
        <v>https://twitter.com/rafael_opreis</v>
      </c>
      <c r="BP481" s="2"/>
    </row>
    <row r="482" spans="1:68" x14ac:dyDescent="0.25">
      <c r="A482" s="63" t="s">
        <v>635</v>
      </c>
      <c r="B482" s="64"/>
      <c r="C482" s="64"/>
      <c r="D482" s="65"/>
      <c r="E482" s="67"/>
      <c r="F482" s="111" t="str">
        <f>HYPERLINK("https://pbs.twimg.com/profile_images/1682164291200245760/aJLX2kSC_normal.jpg")</f>
        <v>https://pbs.twimg.com/profile_images/1682164291200245760/aJLX2kSC_normal.jpg</v>
      </c>
      <c r="G482" s="64"/>
      <c r="H482" s="68"/>
      <c r="I482" s="69"/>
      <c r="J482" s="69"/>
      <c r="K482" s="68" t="s">
        <v>29615</v>
      </c>
      <c r="L482" s="72"/>
      <c r="M482" s="73"/>
      <c r="N482" s="73"/>
      <c r="O482" s="74"/>
      <c r="P482" s="75"/>
      <c r="Q482" s="75"/>
      <c r="R482" s="102"/>
      <c r="S482" s="102"/>
      <c r="T482" s="102"/>
      <c r="U482" s="102"/>
      <c r="V482" s="48"/>
      <c r="W482" s="48"/>
      <c r="X482" s="48"/>
      <c r="Y482" s="48"/>
      <c r="Z482" s="47"/>
      <c r="AA482" s="70">
        <v>482</v>
      </c>
      <c r="AB482" s="70"/>
      <c r="AC482" s="71"/>
      <c r="AD482" s="86" t="s">
        <v>24109</v>
      </c>
      <c r="AE482" s="94" t="s">
        <v>23032</v>
      </c>
      <c r="AF482" s="86">
        <v>2</v>
      </c>
      <c r="AG482" s="86">
        <v>11</v>
      </c>
      <c r="AH482" s="86">
        <v>20</v>
      </c>
      <c r="AI482" s="86">
        <v>0</v>
      </c>
      <c r="AJ482" s="86">
        <v>16</v>
      </c>
      <c r="AK482" s="86">
        <v>7</v>
      </c>
      <c r="AL482" s="86" t="b">
        <v>0</v>
      </c>
      <c r="AM482" s="89">
        <v>45127.45857638889</v>
      </c>
      <c r="AN482" s="86" t="s">
        <v>15234</v>
      </c>
      <c r="AO482" s="86" t="s">
        <v>26864</v>
      </c>
      <c r="AP482" s="96" t="str">
        <f>HYPERLINK("https://t.co/TBIB4JZLNb")</f>
        <v>https://t.co/TBIB4JZLNb</v>
      </c>
      <c r="AQ482" s="96" t="str">
        <f>HYPERLINK("http://linktr.ee/desafio75dias")</f>
        <v>http://linktr.ee/desafio75dias</v>
      </c>
      <c r="AR482" s="86" t="s">
        <v>28232</v>
      </c>
      <c r="AS482" s="86"/>
      <c r="AT482" s="86"/>
      <c r="AU482" s="86"/>
      <c r="AV482" s="86"/>
      <c r="AW482" s="96" t="str">
        <f>HYPERLINK("https://t.co/TBIB4JZLNb")</f>
        <v>https://t.co/TBIB4JZLNb</v>
      </c>
      <c r="AX482" s="86" t="b">
        <v>0</v>
      </c>
      <c r="AY482" s="86"/>
      <c r="AZ482" s="86"/>
      <c r="BA482" s="86" t="b">
        <v>0</v>
      </c>
      <c r="BB482" s="86" t="b">
        <v>1</v>
      </c>
      <c r="BC482" s="86" t="b">
        <v>1</v>
      </c>
      <c r="BD482" s="86" t="b">
        <v>0</v>
      </c>
      <c r="BE482" s="86" t="b">
        <v>0</v>
      </c>
      <c r="BF482" s="86" t="b">
        <v>0</v>
      </c>
      <c r="BG482" s="86" t="b">
        <v>0</v>
      </c>
      <c r="BH482" s="96" t="str">
        <f>HYPERLINK("https://pbs.twimg.com/profile_banners/1681982312471298053/1689894214")</f>
        <v>https://pbs.twimg.com/profile_banners/1681982312471298053/1689894214</v>
      </c>
      <c r="BI482" s="86"/>
      <c r="BJ482" s="86" t="s">
        <v>29134</v>
      </c>
      <c r="BK482" s="86" t="b">
        <v>0</v>
      </c>
      <c r="BL482" s="86"/>
      <c r="BM482" s="86" t="s">
        <v>66</v>
      </c>
      <c r="BN482" s="86" t="s">
        <v>29136</v>
      </c>
      <c r="BO482" s="96" t="str">
        <f>HYPERLINK("https://twitter.com/desafio75dias")</f>
        <v>https://twitter.com/desafio75dias</v>
      </c>
      <c r="BP482" s="2"/>
    </row>
    <row r="483" spans="1:68" x14ac:dyDescent="0.25">
      <c r="A483" s="63" t="s">
        <v>636</v>
      </c>
      <c r="B483" s="64"/>
      <c r="C483" s="64"/>
      <c r="D483" s="65"/>
      <c r="E483" s="67"/>
      <c r="F483" s="111" t="str">
        <f>HYPERLINK("https://pbs.twimg.com/profile_images/1697617809147129856/RtZQmZuG_normal.jpg")</f>
        <v>https://pbs.twimg.com/profile_images/1697617809147129856/RtZQmZuG_normal.jpg</v>
      </c>
      <c r="G483" s="64"/>
      <c r="H483" s="68"/>
      <c r="I483" s="69"/>
      <c r="J483" s="69"/>
      <c r="K483" s="68" t="s">
        <v>29616</v>
      </c>
      <c r="L483" s="72"/>
      <c r="M483" s="73"/>
      <c r="N483" s="73"/>
      <c r="O483" s="74"/>
      <c r="P483" s="75"/>
      <c r="Q483" s="75"/>
      <c r="R483" s="102"/>
      <c r="S483" s="102"/>
      <c r="T483" s="102"/>
      <c r="U483" s="102"/>
      <c r="V483" s="48"/>
      <c r="W483" s="48"/>
      <c r="X483" s="48"/>
      <c r="Y483" s="48"/>
      <c r="Z483" s="47"/>
      <c r="AA483" s="70">
        <v>483</v>
      </c>
      <c r="AB483" s="70"/>
      <c r="AC483" s="71"/>
      <c r="AD483" s="86" t="s">
        <v>24110</v>
      </c>
      <c r="AE483" s="94" t="s">
        <v>23033</v>
      </c>
      <c r="AF483" s="86">
        <v>0</v>
      </c>
      <c r="AG483" s="86">
        <v>2</v>
      </c>
      <c r="AH483" s="86">
        <v>195</v>
      </c>
      <c r="AI483" s="86">
        <v>0</v>
      </c>
      <c r="AJ483" s="86">
        <v>7</v>
      </c>
      <c r="AK483" s="86">
        <v>20</v>
      </c>
      <c r="AL483" s="86" t="b">
        <v>0</v>
      </c>
      <c r="AM483" s="89">
        <v>45170.604166666664</v>
      </c>
      <c r="AN483" s="86"/>
      <c r="AO483" s="86"/>
      <c r="AP483" s="86"/>
      <c r="AQ483" s="86"/>
      <c r="AR483" s="86"/>
      <c r="AS483" s="86"/>
      <c r="AT483" s="86"/>
      <c r="AU483" s="86"/>
      <c r="AV483" s="86"/>
      <c r="AW483" s="86"/>
      <c r="AX483" s="86" t="b">
        <v>0</v>
      </c>
      <c r="AY483" s="86"/>
      <c r="AZ483" s="86"/>
      <c r="BA483" s="86" t="b">
        <v>0</v>
      </c>
      <c r="BB483" s="86" t="b">
        <v>1</v>
      </c>
      <c r="BC483" s="86" t="b">
        <v>1</v>
      </c>
      <c r="BD483" s="86" t="b">
        <v>0</v>
      </c>
      <c r="BE483" s="86" t="b">
        <v>0</v>
      </c>
      <c r="BF483" s="86" t="b">
        <v>0</v>
      </c>
      <c r="BG483" s="86" t="b">
        <v>0</v>
      </c>
      <c r="BH483" s="86"/>
      <c r="BI483" s="86"/>
      <c r="BJ483" s="86" t="s">
        <v>29134</v>
      </c>
      <c r="BK483" s="86" t="b">
        <v>0</v>
      </c>
      <c r="BL483" s="86"/>
      <c r="BM483" s="86" t="s">
        <v>66</v>
      </c>
      <c r="BN483" s="86" t="s">
        <v>29136</v>
      </c>
      <c r="BO483" s="96" t="str">
        <f>HYPERLINK("https://twitter.com/guedesia")</f>
        <v>https://twitter.com/guedesia</v>
      </c>
      <c r="BP483" s="2"/>
    </row>
    <row r="484" spans="1:68" x14ac:dyDescent="0.25">
      <c r="A484" s="63" t="s">
        <v>637</v>
      </c>
      <c r="B484" s="64"/>
      <c r="C484" s="64"/>
      <c r="D484" s="65"/>
      <c r="E484" s="67"/>
      <c r="F484" s="111" t="str">
        <f>HYPERLINK("https://pbs.twimg.com/profile_images/1665367212910051331/yiqQX9XK_normal.png")</f>
        <v>https://pbs.twimg.com/profile_images/1665367212910051331/yiqQX9XK_normal.png</v>
      </c>
      <c r="G484" s="64"/>
      <c r="H484" s="68"/>
      <c r="I484" s="69"/>
      <c r="J484" s="69"/>
      <c r="K484" s="68" t="s">
        <v>29617</v>
      </c>
      <c r="L484" s="72"/>
      <c r="M484" s="73"/>
      <c r="N484" s="73"/>
      <c r="O484" s="74"/>
      <c r="P484" s="75"/>
      <c r="Q484" s="75"/>
      <c r="R484" s="102"/>
      <c r="S484" s="102"/>
      <c r="T484" s="102"/>
      <c r="U484" s="102"/>
      <c r="V484" s="48"/>
      <c r="W484" s="48"/>
      <c r="X484" s="48"/>
      <c r="Y484" s="48"/>
      <c r="Z484" s="47"/>
      <c r="AA484" s="70">
        <v>484</v>
      </c>
      <c r="AB484" s="70"/>
      <c r="AC484" s="71"/>
      <c r="AD484" s="86" t="s">
        <v>24111</v>
      </c>
      <c r="AE484" s="94" t="s">
        <v>23034</v>
      </c>
      <c r="AF484" s="86">
        <v>0</v>
      </c>
      <c r="AG484" s="86">
        <v>25</v>
      </c>
      <c r="AH484" s="86">
        <v>10</v>
      </c>
      <c r="AI484" s="86">
        <v>0</v>
      </c>
      <c r="AJ484" s="86">
        <v>10</v>
      </c>
      <c r="AK484" s="86">
        <v>10</v>
      </c>
      <c r="AL484" s="86" t="b">
        <v>0</v>
      </c>
      <c r="AM484" s="89">
        <v>45081.609467592592</v>
      </c>
      <c r="AN484" s="86"/>
      <c r="AO484" s="86" t="s">
        <v>26865</v>
      </c>
      <c r="AP484" s="96" t="str">
        <f>HYPERLINK("https://t.co/oPzwue5XIA")</f>
        <v>https://t.co/oPzwue5XIA</v>
      </c>
      <c r="AQ484" s="96" t="str">
        <f>HYPERLINK("https://metodoganheonline.com/link-FNO")</f>
        <v>https://metodoganheonline.com/link-FNO</v>
      </c>
      <c r="AR484" s="86" t="s">
        <v>28233</v>
      </c>
      <c r="AS484" s="86"/>
      <c r="AT484" s="86"/>
      <c r="AU484" s="86"/>
      <c r="AV484" s="86">
        <v>1.6778762158210801E+18</v>
      </c>
      <c r="AW484" s="96" t="str">
        <f>HYPERLINK("https://t.co/oPzwue5XIA")</f>
        <v>https://t.co/oPzwue5XIA</v>
      </c>
      <c r="AX484" s="86" t="b">
        <v>0</v>
      </c>
      <c r="AY484" s="86"/>
      <c r="AZ484" s="86"/>
      <c r="BA484" s="86" t="b">
        <v>0</v>
      </c>
      <c r="BB484" s="86" t="b">
        <v>1</v>
      </c>
      <c r="BC484" s="86" t="b">
        <v>1</v>
      </c>
      <c r="BD484" s="86" t="b">
        <v>0</v>
      </c>
      <c r="BE484" s="86" t="b">
        <v>0</v>
      </c>
      <c r="BF484" s="86" t="b">
        <v>0</v>
      </c>
      <c r="BG484" s="86" t="b">
        <v>0</v>
      </c>
      <c r="BH484" s="96" t="str">
        <f>HYPERLINK("https://pbs.twimg.com/profile_banners/1665367103115853826/1685890892")</f>
        <v>https://pbs.twimg.com/profile_banners/1665367103115853826/1685890892</v>
      </c>
      <c r="BI484" s="86"/>
      <c r="BJ484" s="86" t="s">
        <v>29134</v>
      </c>
      <c r="BK484" s="86" t="b">
        <v>0</v>
      </c>
      <c r="BL484" s="86"/>
      <c r="BM484" s="86" t="s">
        <v>66</v>
      </c>
      <c r="BN484" s="86" t="s">
        <v>29136</v>
      </c>
      <c r="BO484" s="96" t="str">
        <f>HYPERLINK("https://twitter.com/julyano_ma51484")</f>
        <v>https://twitter.com/julyano_ma51484</v>
      </c>
      <c r="BP484" s="2"/>
    </row>
    <row r="485" spans="1:68" x14ac:dyDescent="0.25">
      <c r="A485" s="63" t="s">
        <v>638</v>
      </c>
      <c r="B485" s="64"/>
      <c r="C485" s="64"/>
      <c r="D485" s="65"/>
      <c r="E485" s="67"/>
      <c r="F485" s="111" t="str">
        <f>HYPERLINK("https://pbs.twimg.com/profile_images/1571915198939729921/zqJCnRgh_normal.jpg")</f>
        <v>https://pbs.twimg.com/profile_images/1571915198939729921/zqJCnRgh_normal.jpg</v>
      </c>
      <c r="G485" s="64"/>
      <c r="H485" s="68"/>
      <c r="I485" s="69"/>
      <c r="J485" s="69"/>
      <c r="K485" s="68" t="s">
        <v>29618</v>
      </c>
      <c r="L485" s="72"/>
      <c r="M485" s="73"/>
      <c r="N485" s="73"/>
      <c r="O485" s="74"/>
      <c r="P485" s="75"/>
      <c r="Q485" s="75"/>
      <c r="R485" s="102"/>
      <c r="S485" s="102"/>
      <c r="T485" s="102"/>
      <c r="U485" s="102"/>
      <c r="V485" s="48"/>
      <c r="W485" s="48"/>
      <c r="X485" s="48"/>
      <c r="Y485" s="48"/>
      <c r="Z485" s="47"/>
      <c r="AA485" s="70">
        <v>485</v>
      </c>
      <c r="AB485" s="70"/>
      <c r="AC485" s="71"/>
      <c r="AD485" s="86" t="s">
        <v>24112</v>
      </c>
      <c r="AE485" s="94" t="s">
        <v>25411</v>
      </c>
      <c r="AF485" s="86">
        <v>814</v>
      </c>
      <c r="AG485" s="86">
        <v>328</v>
      </c>
      <c r="AH485" s="86">
        <v>12376</v>
      </c>
      <c r="AI485" s="86">
        <v>43</v>
      </c>
      <c r="AJ485" s="86">
        <v>1149</v>
      </c>
      <c r="AK485" s="86">
        <v>281</v>
      </c>
      <c r="AL485" s="86" t="b">
        <v>0</v>
      </c>
      <c r="AM485" s="89">
        <v>39167.559027777781</v>
      </c>
      <c r="AN485" s="86" t="s">
        <v>26052</v>
      </c>
      <c r="AO485" s="86" t="s">
        <v>26866</v>
      </c>
      <c r="AP485" s="96" t="str">
        <f>HYPERLINK("https://t.co/DsD1Iozk9E")</f>
        <v>https://t.co/DsD1Iozk9E</v>
      </c>
      <c r="AQ485" s="96" t="str">
        <f>HYPERLINK("https://marclopezweb.com/")</f>
        <v>https://marclopezweb.com/</v>
      </c>
      <c r="AR485" s="86" t="s">
        <v>28234</v>
      </c>
      <c r="AS485" s="86"/>
      <c r="AT485" s="86"/>
      <c r="AU485" s="86"/>
      <c r="AV485" s="86">
        <v>1.6382412238685701E+18</v>
      </c>
      <c r="AW485" s="96" t="str">
        <f>HYPERLINK("https://t.co/DsD1Iozk9E")</f>
        <v>https://t.co/DsD1Iozk9E</v>
      </c>
      <c r="AX485" s="86" t="b">
        <v>0</v>
      </c>
      <c r="AY485" s="86"/>
      <c r="AZ485" s="86"/>
      <c r="BA485" s="86" t="b">
        <v>1</v>
      </c>
      <c r="BB485" s="86" t="b">
        <v>0</v>
      </c>
      <c r="BC485" s="86" t="b">
        <v>0</v>
      </c>
      <c r="BD485" s="86" t="b">
        <v>0</v>
      </c>
      <c r="BE485" s="86" t="b">
        <v>1</v>
      </c>
      <c r="BF485" s="86" t="b">
        <v>0</v>
      </c>
      <c r="BG485" s="86" t="b">
        <v>0</v>
      </c>
      <c r="BH485" s="96" t="str">
        <f>HYPERLINK("https://pbs.twimg.com/profile_banners/2297961/1679421688")</f>
        <v>https://pbs.twimg.com/profile_banners/2297961/1679421688</v>
      </c>
      <c r="BI485" s="86"/>
      <c r="BJ485" s="86" t="s">
        <v>29134</v>
      </c>
      <c r="BK485" s="86" t="b">
        <v>0</v>
      </c>
      <c r="BL485" s="86"/>
      <c r="BM485" s="86" t="s">
        <v>66</v>
      </c>
      <c r="BN485" s="86" t="s">
        <v>29136</v>
      </c>
      <c r="BO485" s="96" t="str">
        <f>HYPERLINK("https://twitter.com/marclopezweb")</f>
        <v>https://twitter.com/marclopezweb</v>
      </c>
      <c r="BP485" s="2"/>
    </row>
    <row r="486" spans="1:68" x14ac:dyDescent="0.25">
      <c r="A486" s="63" t="s">
        <v>639</v>
      </c>
      <c r="B486" s="64"/>
      <c r="C486" s="64"/>
      <c r="D486" s="65"/>
      <c r="E486" s="67"/>
      <c r="F486" s="111" t="str">
        <f>HYPERLINK("https://pbs.twimg.com/profile_images/1611423648262328320/4D2iUWnk_normal.jpg")</f>
        <v>https://pbs.twimg.com/profile_images/1611423648262328320/4D2iUWnk_normal.jpg</v>
      </c>
      <c r="G486" s="64"/>
      <c r="H486" s="68"/>
      <c r="I486" s="69"/>
      <c r="J486" s="69"/>
      <c r="K486" s="68" t="s">
        <v>29619</v>
      </c>
      <c r="L486" s="72"/>
      <c r="M486" s="73"/>
      <c r="N486" s="73"/>
      <c r="O486" s="74"/>
      <c r="P486" s="75"/>
      <c r="Q486" s="75"/>
      <c r="R486" s="102"/>
      <c r="S486" s="102"/>
      <c r="T486" s="102"/>
      <c r="U486" s="102"/>
      <c r="V486" s="48"/>
      <c r="W486" s="48"/>
      <c r="X486" s="48"/>
      <c r="Y486" s="48"/>
      <c r="Z486" s="47"/>
      <c r="AA486" s="70">
        <v>486</v>
      </c>
      <c r="AB486" s="70"/>
      <c r="AC486" s="71"/>
      <c r="AD486" s="86" t="s">
        <v>24113</v>
      </c>
      <c r="AE486" s="94" t="s">
        <v>22556</v>
      </c>
      <c r="AF486" s="86">
        <v>1</v>
      </c>
      <c r="AG486" s="86">
        <v>1</v>
      </c>
      <c r="AH486" s="86">
        <v>565</v>
      </c>
      <c r="AI486" s="86">
        <v>0</v>
      </c>
      <c r="AJ486" s="86">
        <v>1</v>
      </c>
      <c r="AK486" s="86">
        <v>189</v>
      </c>
      <c r="AL486" s="86" t="b">
        <v>0</v>
      </c>
      <c r="AM486" s="89">
        <v>44929.861678240741</v>
      </c>
      <c r="AN486" s="86"/>
      <c r="AO486" s="86" t="s">
        <v>26867</v>
      </c>
      <c r="AP486" s="86"/>
      <c r="AQ486" s="86"/>
      <c r="AR486" s="86"/>
      <c r="AS486" s="86"/>
      <c r="AT486" s="86"/>
      <c r="AU486" s="86"/>
      <c r="AV486" s="86"/>
      <c r="AW486" s="86"/>
      <c r="AX486" s="86" t="b">
        <v>0</v>
      </c>
      <c r="AY486" s="86"/>
      <c r="AZ486" s="86"/>
      <c r="BA486" s="86" t="b">
        <v>1</v>
      </c>
      <c r="BB486" s="86" t="b">
        <v>1</v>
      </c>
      <c r="BC486" s="86" t="b">
        <v>1</v>
      </c>
      <c r="BD486" s="86" t="b">
        <v>0</v>
      </c>
      <c r="BE486" s="86" t="b">
        <v>0</v>
      </c>
      <c r="BF486" s="86" t="b">
        <v>0</v>
      </c>
      <c r="BG486" s="86" t="b">
        <v>0</v>
      </c>
      <c r="BH486" s="96" t="str">
        <f>HYPERLINK("https://pbs.twimg.com/profile_banners/1610375372016652288/1673025922")</f>
        <v>https://pbs.twimg.com/profile_banners/1610375372016652288/1673025922</v>
      </c>
      <c r="BI486" s="86"/>
      <c r="BJ486" s="86" t="s">
        <v>29134</v>
      </c>
      <c r="BK486" s="86" t="b">
        <v>0</v>
      </c>
      <c r="BL486" s="86"/>
      <c r="BM486" s="86" t="s">
        <v>66</v>
      </c>
      <c r="BN486" s="86" t="s">
        <v>29136</v>
      </c>
      <c r="BO486" s="96" t="str">
        <f>HYPERLINK("https://twitter.com/hilucasprado")</f>
        <v>https://twitter.com/hilucasprado</v>
      </c>
      <c r="BP486" s="2"/>
    </row>
    <row r="487" spans="1:68" x14ac:dyDescent="0.25">
      <c r="A487" s="63" t="s">
        <v>640</v>
      </c>
      <c r="B487" s="64"/>
      <c r="C487" s="64"/>
      <c r="D487" s="65"/>
      <c r="E487" s="67"/>
      <c r="F487" s="111" t="str">
        <f>HYPERLINK("https://pbs.twimg.com/profile_images/1593677046391218176/li5jbMcG_normal.jpg")</f>
        <v>https://pbs.twimg.com/profile_images/1593677046391218176/li5jbMcG_normal.jpg</v>
      </c>
      <c r="G487" s="64"/>
      <c r="H487" s="68"/>
      <c r="I487" s="69"/>
      <c r="J487" s="69"/>
      <c r="K487" s="68" t="s">
        <v>29620</v>
      </c>
      <c r="L487" s="72"/>
      <c r="M487" s="73"/>
      <c r="N487" s="73"/>
      <c r="O487" s="74"/>
      <c r="P487" s="75"/>
      <c r="Q487" s="75"/>
      <c r="R487" s="102"/>
      <c r="S487" s="102"/>
      <c r="T487" s="102"/>
      <c r="U487" s="102"/>
      <c r="V487" s="48"/>
      <c r="W487" s="48"/>
      <c r="X487" s="48"/>
      <c r="Y487" s="48"/>
      <c r="Z487" s="47"/>
      <c r="AA487" s="70">
        <v>487</v>
      </c>
      <c r="AB487" s="70"/>
      <c r="AC487" s="71"/>
      <c r="AD487" s="86" t="s">
        <v>24114</v>
      </c>
      <c r="AE487" s="94" t="s">
        <v>25412</v>
      </c>
      <c r="AF487" s="86">
        <v>12</v>
      </c>
      <c r="AG487" s="86">
        <v>15</v>
      </c>
      <c r="AH487" s="86">
        <v>461</v>
      </c>
      <c r="AI487" s="86">
        <v>0</v>
      </c>
      <c r="AJ487" s="86">
        <v>7</v>
      </c>
      <c r="AK487" s="86">
        <v>35</v>
      </c>
      <c r="AL487" s="86" t="b">
        <v>0</v>
      </c>
      <c r="AM487" s="89">
        <v>40592.636631944442</v>
      </c>
      <c r="AN487" s="86" t="s">
        <v>25967</v>
      </c>
      <c r="AO487" s="86" t="s">
        <v>26868</v>
      </c>
      <c r="AP487" s="96" t="str">
        <f>HYPERLINK("https://t.co/Nd3iYp5uX7")</f>
        <v>https://t.co/Nd3iYp5uX7</v>
      </c>
      <c r="AQ487" s="96" t="str">
        <f>HYPERLINK("http://www.allbatroz.com.br")</f>
        <v>http://www.allbatroz.com.br</v>
      </c>
      <c r="AR487" s="86" t="s">
        <v>28235</v>
      </c>
      <c r="AS487" s="86"/>
      <c r="AT487" s="86"/>
      <c r="AU487" s="86"/>
      <c r="AV487" s="86"/>
      <c r="AW487" s="96" t="str">
        <f>HYPERLINK("https://t.co/Nd3iYp5uX7")</f>
        <v>https://t.co/Nd3iYp5uX7</v>
      </c>
      <c r="AX487" s="86" t="b">
        <v>0</v>
      </c>
      <c r="AY487" s="86"/>
      <c r="AZ487" s="86"/>
      <c r="BA487" s="86" t="b">
        <v>0</v>
      </c>
      <c r="BB487" s="86" t="b">
        <v>1</v>
      </c>
      <c r="BC487" s="86" t="b">
        <v>0</v>
      </c>
      <c r="BD487" s="86" t="b">
        <v>0</v>
      </c>
      <c r="BE487" s="86" t="b">
        <v>0</v>
      </c>
      <c r="BF487" s="86" t="b">
        <v>0</v>
      </c>
      <c r="BG487" s="86" t="b">
        <v>0</v>
      </c>
      <c r="BH487" s="96" t="str">
        <f>HYPERLINK("https://pbs.twimg.com/profile_banners/254081358/1668797265")</f>
        <v>https://pbs.twimg.com/profile_banners/254081358/1668797265</v>
      </c>
      <c r="BI487" s="86"/>
      <c r="BJ487" s="86" t="s">
        <v>29134</v>
      </c>
      <c r="BK487" s="86" t="b">
        <v>0</v>
      </c>
      <c r="BL487" s="86"/>
      <c r="BM487" s="86" t="s">
        <v>66</v>
      </c>
      <c r="BN487" s="86" t="s">
        <v>29136</v>
      </c>
      <c r="BO487" s="96" t="str">
        <f>HYPERLINK("https://twitter.com/allbatrozcont")</f>
        <v>https://twitter.com/allbatrozcont</v>
      </c>
      <c r="BP487" s="2"/>
    </row>
    <row r="488" spans="1:68" x14ac:dyDescent="0.25">
      <c r="A488" s="63" t="s">
        <v>641</v>
      </c>
      <c r="B488" s="64"/>
      <c r="C488" s="64"/>
      <c r="D488" s="65"/>
      <c r="E488" s="67"/>
      <c r="F488" s="111" t="str">
        <f>HYPERLINK("https://pbs.twimg.com/profile_images/1665058985928433665/M3laI2pg_normal.jpg")</f>
        <v>https://pbs.twimg.com/profile_images/1665058985928433665/M3laI2pg_normal.jpg</v>
      </c>
      <c r="G488" s="64"/>
      <c r="H488" s="68"/>
      <c r="I488" s="69"/>
      <c r="J488" s="69"/>
      <c r="K488" s="68" t="s">
        <v>29621</v>
      </c>
      <c r="L488" s="72"/>
      <c r="M488" s="73"/>
      <c r="N488" s="73"/>
      <c r="O488" s="74"/>
      <c r="P488" s="75"/>
      <c r="Q488" s="75"/>
      <c r="R488" s="102"/>
      <c r="S488" s="102"/>
      <c r="T488" s="102"/>
      <c r="U488" s="102"/>
      <c r="V488" s="48"/>
      <c r="W488" s="48"/>
      <c r="X488" s="48"/>
      <c r="Y488" s="48"/>
      <c r="Z488" s="47"/>
      <c r="AA488" s="70">
        <v>488</v>
      </c>
      <c r="AB488" s="70"/>
      <c r="AC488" s="71"/>
      <c r="AD488" s="86" t="s">
        <v>24115</v>
      </c>
      <c r="AE488" s="94" t="s">
        <v>25413</v>
      </c>
      <c r="AF488" s="86">
        <v>13</v>
      </c>
      <c r="AG488" s="86">
        <v>113</v>
      </c>
      <c r="AH488" s="86">
        <v>49</v>
      </c>
      <c r="AI488" s="86">
        <v>0</v>
      </c>
      <c r="AJ488" s="86">
        <v>30</v>
      </c>
      <c r="AK488" s="86">
        <v>8</v>
      </c>
      <c r="AL488" s="86" t="b">
        <v>0</v>
      </c>
      <c r="AM488" s="89">
        <v>41753.622476851851</v>
      </c>
      <c r="AN488" s="86" t="s">
        <v>26053</v>
      </c>
      <c r="AO488" s="86" t="s">
        <v>26869</v>
      </c>
      <c r="AP488" s="96" t="str">
        <f>HYPERLINK("https://t.co/QDQUsDo0Td")</f>
        <v>https://t.co/QDQUsDo0Td</v>
      </c>
      <c r="AQ488" s="96" t="str">
        <f>HYPERLINK("https://youtube.com/@TOPGAIN")</f>
        <v>https://youtube.com/@TOPGAIN</v>
      </c>
      <c r="AR488" s="86" t="s">
        <v>28236</v>
      </c>
      <c r="AS488" s="86"/>
      <c r="AT488" s="86"/>
      <c r="AU488" s="86"/>
      <c r="AV488" s="86"/>
      <c r="AW488" s="96" t="str">
        <f>HYPERLINK("https://t.co/QDQUsDo0Td")</f>
        <v>https://t.co/QDQUsDo0Td</v>
      </c>
      <c r="AX488" s="86" t="b">
        <v>0</v>
      </c>
      <c r="AY488" s="86"/>
      <c r="AZ488" s="86"/>
      <c r="BA488" s="86" t="b">
        <v>1</v>
      </c>
      <c r="BB488" s="86" t="b">
        <v>1</v>
      </c>
      <c r="BC488" s="86" t="b">
        <v>1</v>
      </c>
      <c r="BD488" s="86" t="b">
        <v>0</v>
      </c>
      <c r="BE488" s="86" t="b">
        <v>0</v>
      </c>
      <c r="BF488" s="86" t="b">
        <v>0</v>
      </c>
      <c r="BG488" s="86" t="b">
        <v>0</v>
      </c>
      <c r="BH488" s="96" t="str">
        <f>HYPERLINK("https://pbs.twimg.com/profile_banners/2461792531/1685815971")</f>
        <v>https://pbs.twimg.com/profile_banners/2461792531/1685815971</v>
      </c>
      <c r="BI488" s="86"/>
      <c r="BJ488" s="86" t="s">
        <v>29134</v>
      </c>
      <c r="BK488" s="86" t="b">
        <v>0</v>
      </c>
      <c r="BL488" s="86"/>
      <c r="BM488" s="86" t="s">
        <v>66</v>
      </c>
      <c r="BN488" s="86" t="s">
        <v>29136</v>
      </c>
      <c r="BO488" s="96" t="str">
        <f>HYPERLINK("https://twitter.com/alison__correia")</f>
        <v>https://twitter.com/alison__correia</v>
      </c>
      <c r="BP488" s="2"/>
    </row>
    <row r="489" spans="1:68" x14ac:dyDescent="0.25">
      <c r="A489" s="63" t="s">
        <v>642</v>
      </c>
      <c r="B489" s="64"/>
      <c r="C489" s="64"/>
      <c r="D489" s="65"/>
      <c r="E489" s="67"/>
      <c r="F489" s="111" t="str">
        <f>HYPERLINK("https://pbs.twimg.com/profile_images/1373778682347720705/5ZYyOYJY_normal.jpg")</f>
        <v>https://pbs.twimg.com/profile_images/1373778682347720705/5ZYyOYJY_normal.jpg</v>
      </c>
      <c r="G489" s="64"/>
      <c r="H489" s="68"/>
      <c r="I489" s="69"/>
      <c r="J489" s="69"/>
      <c r="K489" s="68" t="s">
        <v>29622</v>
      </c>
      <c r="L489" s="72"/>
      <c r="M489" s="73"/>
      <c r="N489" s="73"/>
      <c r="O489" s="74"/>
      <c r="P489" s="75"/>
      <c r="Q489" s="75"/>
      <c r="R489" s="102"/>
      <c r="S489" s="102"/>
      <c r="T489" s="102"/>
      <c r="U489" s="102"/>
      <c r="V489" s="48"/>
      <c r="W489" s="48"/>
      <c r="X489" s="48"/>
      <c r="Y489" s="48"/>
      <c r="Z489" s="47"/>
      <c r="AA489" s="70">
        <v>489</v>
      </c>
      <c r="AB489" s="70"/>
      <c r="AC489" s="71"/>
      <c r="AD489" s="86" t="s">
        <v>24116</v>
      </c>
      <c r="AE489" s="94" t="s">
        <v>23035</v>
      </c>
      <c r="AF489" s="86">
        <v>2</v>
      </c>
      <c r="AG489" s="86">
        <v>8</v>
      </c>
      <c r="AH489" s="86">
        <v>58</v>
      </c>
      <c r="AI489" s="86">
        <v>0</v>
      </c>
      <c r="AJ489" s="86">
        <v>0</v>
      </c>
      <c r="AK489" s="86">
        <v>8</v>
      </c>
      <c r="AL489" s="86" t="b">
        <v>0</v>
      </c>
      <c r="AM489" s="89">
        <v>44073.79859953704</v>
      </c>
      <c r="AN489" s="86"/>
      <c r="AO489" s="86" t="s">
        <v>26870</v>
      </c>
      <c r="AP489" s="86"/>
      <c r="AQ489" s="86"/>
      <c r="AR489" s="86"/>
      <c r="AS489" s="86"/>
      <c r="AT489" s="86"/>
      <c r="AU489" s="86"/>
      <c r="AV489" s="86"/>
      <c r="AW489" s="86"/>
      <c r="AX489" s="86" t="b">
        <v>0</v>
      </c>
      <c r="AY489" s="86"/>
      <c r="AZ489" s="86"/>
      <c r="BA489" s="86" t="b">
        <v>0</v>
      </c>
      <c r="BB489" s="86" t="b">
        <v>1</v>
      </c>
      <c r="BC489" s="86" t="b">
        <v>1</v>
      </c>
      <c r="BD489" s="86" t="b">
        <v>0</v>
      </c>
      <c r="BE489" s="86" t="b">
        <v>0</v>
      </c>
      <c r="BF489" s="86" t="b">
        <v>0</v>
      </c>
      <c r="BG489" s="86" t="b">
        <v>0</v>
      </c>
      <c r="BH489" s="96" t="str">
        <f>HYPERLINK("https://pbs.twimg.com/profile_banners/1300148726791655429/1616369353")</f>
        <v>https://pbs.twimg.com/profile_banners/1300148726791655429/1616369353</v>
      </c>
      <c r="BI489" s="86"/>
      <c r="BJ489" s="86" t="s">
        <v>29134</v>
      </c>
      <c r="BK489" s="86" t="b">
        <v>0</v>
      </c>
      <c r="BL489" s="86"/>
      <c r="BM489" s="86" t="s">
        <v>66</v>
      </c>
      <c r="BN489" s="86" t="s">
        <v>29136</v>
      </c>
      <c r="BO489" s="96" t="str">
        <f>HYPERLINK("https://twitter.com/samarapaiva_a")</f>
        <v>https://twitter.com/samarapaiva_a</v>
      </c>
      <c r="BP489" s="2"/>
    </row>
    <row r="490" spans="1:68" x14ac:dyDescent="0.25">
      <c r="A490" s="63" t="s">
        <v>643</v>
      </c>
      <c r="B490" s="64"/>
      <c r="C490" s="64"/>
      <c r="D490" s="65"/>
      <c r="E490" s="67"/>
      <c r="F490" s="111" t="str">
        <f>HYPERLINK("https://pbs.twimg.com/profile_images/1674564277913415680/l8h3mfWe_normal.jpg")</f>
        <v>https://pbs.twimg.com/profile_images/1674564277913415680/l8h3mfWe_normal.jpg</v>
      </c>
      <c r="G490" s="64"/>
      <c r="H490" s="68"/>
      <c r="I490" s="69"/>
      <c r="J490" s="69"/>
      <c r="K490" s="68" t="s">
        <v>29623</v>
      </c>
      <c r="L490" s="72"/>
      <c r="M490" s="73"/>
      <c r="N490" s="73"/>
      <c r="O490" s="74"/>
      <c r="P490" s="75"/>
      <c r="Q490" s="75"/>
      <c r="R490" s="102"/>
      <c r="S490" s="102"/>
      <c r="T490" s="102"/>
      <c r="U490" s="102"/>
      <c r="V490" s="48"/>
      <c r="W490" s="48"/>
      <c r="X490" s="48"/>
      <c r="Y490" s="48"/>
      <c r="Z490" s="47"/>
      <c r="AA490" s="70">
        <v>490</v>
      </c>
      <c r="AB490" s="70"/>
      <c r="AC490" s="71"/>
      <c r="AD490" s="86" t="s">
        <v>24117</v>
      </c>
      <c r="AE490" s="94" t="s">
        <v>23036</v>
      </c>
      <c r="AF490" s="86">
        <v>1</v>
      </c>
      <c r="AG490" s="86">
        <v>3</v>
      </c>
      <c r="AH490" s="86">
        <v>95</v>
      </c>
      <c r="AI490" s="86">
        <v>0</v>
      </c>
      <c r="AJ490" s="86">
        <v>0</v>
      </c>
      <c r="AK490" s="86">
        <v>81</v>
      </c>
      <c r="AL490" s="86" t="b">
        <v>0</v>
      </c>
      <c r="AM490" s="89">
        <v>45106.986493055556</v>
      </c>
      <c r="AN490" s="86"/>
      <c r="AO490" s="86"/>
      <c r="AP490" s="96" t="str">
        <f>HYPERLINK("https://t.co/gNEKySHCoM")</f>
        <v>https://t.co/gNEKySHCoM</v>
      </c>
      <c r="AQ490" s="96" t="str">
        <f>HYPERLINK("https://bellahealthhaven.com/")</f>
        <v>https://bellahealthhaven.com/</v>
      </c>
      <c r="AR490" s="86" t="s">
        <v>28237</v>
      </c>
      <c r="AS490" s="86"/>
      <c r="AT490" s="86"/>
      <c r="AU490" s="86"/>
      <c r="AV490" s="86"/>
      <c r="AW490" s="96" t="str">
        <f>HYPERLINK("https://t.co/gNEKySHCoM")</f>
        <v>https://t.co/gNEKySHCoM</v>
      </c>
      <c r="AX490" s="86" t="b">
        <v>0</v>
      </c>
      <c r="AY490" s="86"/>
      <c r="AZ490" s="86"/>
      <c r="BA490" s="86" t="b">
        <v>0</v>
      </c>
      <c r="BB490" s="86" t="b">
        <v>1</v>
      </c>
      <c r="BC490" s="86" t="b">
        <v>1</v>
      </c>
      <c r="BD490" s="86" t="b">
        <v>0</v>
      </c>
      <c r="BE490" s="86" t="b">
        <v>0</v>
      </c>
      <c r="BF490" s="86" t="b">
        <v>0</v>
      </c>
      <c r="BG490" s="86" t="b">
        <v>0</v>
      </c>
      <c r="BH490" s="96" t="str">
        <f>HYPERLINK("https://pbs.twimg.com/profile_banners/1674563091810402305/1688082212")</f>
        <v>https://pbs.twimg.com/profile_banners/1674563091810402305/1688082212</v>
      </c>
      <c r="BI490" s="86"/>
      <c r="BJ490" s="86" t="s">
        <v>29134</v>
      </c>
      <c r="BK490" s="86" t="b">
        <v>0</v>
      </c>
      <c r="BL490" s="86"/>
      <c r="BM490" s="86" t="s">
        <v>66</v>
      </c>
      <c r="BN490" s="86" t="s">
        <v>29136</v>
      </c>
      <c r="BO490" s="96" t="str">
        <f>HYPERLINK("https://twitter.com/confeitariaana")</f>
        <v>https://twitter.com/confeitariaana</v>
      </c>
      <c r="BP490" s="2"/>
    </row>
    <row r="491" spans="1:68" x14ac:dyDescent="0.25">
      <c r="A491" s="63" t="s">
        <v>644</v>
      </c>
      <c r="B491" s="64"/>
      <c r="C491" s="64"/>
      <c r="D491" s="65"/>
      <c r="E491" s="67"/>
      <c r="F491" s="111" t="str">
        <f>HYPERLINK("https://pbs.twimg.com/profile_images/1434854135296401413/JnQoGHyW_normal.jpg")</f>
        <v>https://pbs.twimg.com/profile_images/1434854135296401413/JnQoGHyW_normal.jpg</v>
      </c>
      <c r="G491" s="64"/>
      <c r="H491" s="68"/>
      <c r="I491" s="69"/>
      <c r="J491" s="69"/>
      <c r="K491" s="68" t="s">
        <v>29624</v>
      </c>
      <c r="L491" s="72"/>
      <c r="M491" s="73"/>
      <c r="N491" s="73"/>
      <c r="O491" s="74"/>
      <c r="P491" s="75"/>
      <c r="Q491" s="75"/>
      <c r="R491" s="102"/>
      <c r="S491" s="102"/>
      <c r="T491" s="102"/>
      <c r="U491" s="102"/>
      <c r="V491" s="48"/>
      <c r="W491" s="48"/>
      <c r="X491" s="48"/>
      <c r="Y491" s="48"/>
      <c r="Z491" s="47"/>
      <c r="AA491" s="70">
        <v>491</v>
      </c>
      <c r="AB491" s="70"/>
      <c r="AC491" s="71"/>
      <c r="AD491" s="86" t="s">
        <v>24118</v>
      </c>
      <c r="AE491" s="94" t="s">
        <v>25414</v>
      </c>
      <c r="AF491" s="86">
        <v>122133</v>
      </c>
      <c r="AG491" s="86">
        <v>272</v>
      </c>
      <c r="AH491" s="86">
        <v>30663</v>
      </c>
      <c r="AI491" s="86">
        <v>357</v>
      </c>
      <c r="AJ491" s="86">
        <v>5108</v>
      </c>
      <c r="AK491" s="86">
        <v>13658</v>
      </c>
      <c r="AL491" s="86" t="b">
        <v>0</v>
      </c>
      <c r="AM491" s="89">
        <v>39890.651296296295</v>
      </c>
      <c r="AN491" s="86" t="s">
        <v>26054</v>
      </c>
      <c r="AO491" s="86" t="s">
        <v>26871</v>
      </c>
      <c r="AP491" s="96" t="str">
        <f>HYPERLINK("https://t.co/Y8ovPJ2Awq")</f>
        <v>https://t.co/Y8ovPJ2Awq</v>
      </c>
      <c r="AQ491" s="96" t="str">
        <f>HYPERLINK("http://www.damasio.com.br")</f>
        <v>http://www.damasio.com.br</v>
      </c>
      <c r="AR491" s="86" t="s">
        <v>28238</v>
      </c>
      <c r="AS491" s="86"/>
      <c r="AT491" s="86"/>
      <c r="AU491" s="86"/>
      <c r="AV491" s="86">
        <v>1.7066633193089999E+18</v>
      </c>
      <c r="AW491" s="96" t="str">
        <f>HYPERLINK("https://t.co/Y8ovPJ2Awq")</f>
        <v>https://t.co/Y8ovPJ2Awq</v>
      </c>
      <c r="AX491" s="86" t="b">
        <v>0</v>
      </c>
      <c r="AY491" s="86"/>
      <c r="AZ491" s="86"/>
      <c r="BA491" s="86" t="b">
        <v>1</v>
      </c>
      <c r="BB491" s="86" t="b">
        <v>0</v>
      </c>
      <c r="BC491" s="86" t="b">
        <v>0</v>
      </c>
      <c r="BD491" s="86" t="b">
        <v>0</v>
      </c>
      <c r="BE491" s="86" t="b">
        <v>0</v>
      </c>
      <c r="BF491" s="86" t="b">
        <v>0</v>
      </c>
      <c r="BG491" s="86" t="b">
        <v>0</v>
      </c>
      <c r="BH491" s="96" t="str">
        <f>HYPERLINK("https://pbs.twimg.com/profile_banners/25092395/1676330387")</f>
        <v>https://pbs.twimg.com/profile_banners/25092395/1676330387</v>
      </c>
      <c r="BI491" s="86"/>
      <c r="BJ491" s="86" t="s">
        <v>29134</v>
      </c>
      <c r="BK491" s="86" t="b">
        <v>0</v>
      </c>
      <c r="BL491" s="86"/>
      <c r="BM491" s="86" t="s">
        <v>66</v>
      </c>
      <c r="BN491" s="86" t="s">
        <v>29136</v>
      </c>
      <c r="BO491" s="96" t="str">
        <f>HYPERLINK("https://twitter.com/cursodamasio")</f>
        <v>https://twitter.com/cursodamasio</v>
      </c>
      <c r="BP491" s="2"/>
    </row>
    <row r="492" spans="1:68" x14ac:dyDescent="0.25">
      <c r="A492" s="63" t="s">
        <v>645</v>
      </c>
      <c r="B492" s="64"/>
      <c r="C492" s="64"/>
      <c r="D492" s="65"/>
      <c r="E492" s="67"/>
      <c r="F492" s="111" t="str">
        <f>HYPERLINK("https://pbs.twimg.com/profile_images/1675466189546434560/smk1FHmN_normal.jpg")</f>
        <v>https://pbs.twimg.com/profile_images/1675466189546434560/smk1FHmN_normal.jpg</v>
      </c>
      <c r="G492" s="64"/>
      <c r="H492" s="68"/>
      <c r="I492" s="69"/>
      <c r="J492" s="69"/>
      <c r="K492" s="68" t="s">
        <v>29625</v>
      </c>
      <c r="L492" s="72"/>
      <c r="M492" s="73"/>
      <c r="N492" s="73"/>
      <c r="O492" s="74"/>
      <c r="P492" s="75"/>
      <c r="Q492" s="75"/>
      <c r="R492" s="102"/>
      <c r="S492" s="102"/>
      <c r="T492" s="102"/>
      <c r="U492" s="102"/>
      <c r="V492" s="48"/>
      <c r="W492" s="48"/>
      <c r="X492" s="48"/>
      <c r="Y492" s="48"/>
      <c r="Z492" s="47"/>
      <c r="AA492" s="70">
        <v>492</v>
      </c>
      <c r="AB492" s="70"/>
      <c r="AC492" s="71"/>
      <c r="AD492" s="86" t="s">
        <v>24119</v>
      </c>
      <c r="AE492" s="94" t="s">
        <v>23037</v>
      </c>
      <c r="AF492" s="86">
        <v>11</v>
      </c>
      <c r="AG492" s="86">
        <v>136</v>
      </c>
      <c r="AH492" s="86">
        <v>47</v>
      </c>
      <c r="AI492" s="86">
        <v>0</v>
      </c>
      <c r="AJ492" s="86">
        <v>22</v>
      </c>
      <c r="AK492" s="86">
        <v>6</v>
      </c>
      <c r="AL492" s="86" t="b">
        <v>0</v>
      </c>
      <c r="AM492" s="89">
        <v>44910.510289351849</v>
      </c>
      <c r="AN492" s="86" t="s">
        <v>25912</v>
      </c>
      <c r="AO492" s="86"/>
      <c r="AP492" s="86"/>
      <c r="AQ492" s="86"/>
      <c r="AR492" s="86"/>
      <c r="AS492" s="86"/>
      <c r="AT492" s="86"/>
      <c r="AU492" s="86"/>
      <c r="AV492" s="86"/>
      <c r="AW492" s="86"/>
      <c r="AX492" s="86" t="b">
        <v>0</v>
      </c>
      <c r="AY492" s="86"/>
      <c r="AZ492" s="86"/>
      <c r="BA492" s="86" t="b">
        <v>1</v>
      </c>
      <c r="BB492" s="86" t="b">
        <v>1</v>
      </c>
      <c r="BC492" s="86" t="b">
        <v>1</v>
      </c>
      <c r="BD492" s="86" t="b">
        <v>0</v>
      </c>
      <c r="BE492" s="86" t="b">
        <v>0</v>
      </c>
      <c r="BF492" s="86" t="b">
        <v>0</v>
      </c>
      <c r="BG492" s="86" t="b">
        <v>0</v>
      </c>
      <c r="BH492" s="96" t="str">
        <f>HYPERLINK("https://pbs.twimg.com/profile_banners/1603362353701158912/1673313731")</f>
        <v>https://pbs.twimg.com/profile_banners/1603362353701158912/1673313731</v>
      </c>
      <c r="BI492" s="86"/>
      <c r="BJ492" s="86" t="s">
        <v>29134</v>
      </c>
      <c r="BK492" s="86" t="b">
        <v>0</v>
      </c>
      <c r="BL492" s="86"/>
      <c r="BM492" s="86" t="s">
        <v>66</v>
      </c>
      <c r="BN492" s="86" t="s">
        <v>29136</v>
      </c>
      <c r="BO492" s="96" t="str">
        <f>HYPERLINK("https://twitter.com/marcosrroficial")</f>
        <v>https://twitter.com/marcosrroficial</v>
      </c>
      <c r="BP492" s="2"/>
    </row>
    <row r="493" spans="1:68" x14ac:dyDescent="0.25">
      <c r="A493" s="63" t="s">
        <v>646</v>
      </c>
      <c r="B493" s="64"/>
      <c r="C493" s="64"/>
      <c r="D493" s="65"/>
      <c r="E493" s="67"/>
      <c r="F493" s="111" t="str">
        <f>HYPERLINK("https://pbs.twimg.com/profile_images/1154443393721917445/SowEs5WG_normal.jpg")</f>
        <v>https://pbs.twimg.com/profile_images/1154443393721917445/SowEs5WG_normal.jpg</v>
      </c>
      <c r="G493" s="64"/>
      <c r="H493" s="68"/>
      <c r="I493" s="69"/>
      <c r="J493" s="69"/>
      <c r="K493" s="68" t="s">
        <v>29626</v>
      </c>
      <c r="L493" s="72"/>
      <c r="M493" s="73"/>
      <c r="N493" s="73"/>
      <c r="O493" s="74"/>
      <c r="P493" s="75"/>
      <c r="Q493" s="75"/>
      <c r="R493" s="102"/>
      <c r="S493" s="102"/>
      <c r="T493" s="102"/>
      <c r="U493" s="102"/>
      <c r="V493" s="48"/>
      <c r="W493" s="48"/>
      <c r="X493" s="48"/>
      <c r="Y493" s="48"/>
      <c r="Z493" s="47"/>
      <c r="AA493" s="70">
        <v>493</v>
      </c>
      <c r="AB493" s="70"/>
      <c r="AC493" s="71"/>
      <c r="AD493" s="86" t="s">
        <v>24120</v>
      </c>
      <c r="AE493" s="94" t="s">
        <v>25415</v>
      </c>
      <c r="AF493" s="86">
        <v>3</v>
      </c>
      <c r="AG493" s="86">
        <v>0</v>
      </c>
      <c r="AH493" s="86">
        <v>111</v>
      </c>
      <c r="AI493" s="86">
        <v>0</v>
      </c>
      <c r="AJ493" s="86">
        <v>19</v>
      </c>
      <c r="AK493" s="86">
        <v>100</v>
      </c>
      <c r="AL493" s="86" t="b">
        <v>0</v>
      </c>
      <c r="AM493" s="89">
        <v>42062.729120370372</v>
      </c>
      <c r="AN493" s="86"/>
      <c r="AO493" s="86" t="s">
        <v>26872</v>
      </c>
      <c r="AP493" s="96" t="str">
        <f>HYPERLINK("https://t.co/vaQi1SS6Qc")</f>
        <v>https://t.co/vaQi1SS6Qc</v>
      </c>
      <c r="AQ493" s="96" t="str">
        <f>HYPERLINK("http://www.nuvemerp.com.br")</f>
        <v>http://www.nuvemerp.com.br</v>
      </c>
      <c r="AR493" s="86" t="s">
        <v>28239</v>
      </c>
      <c r="AS493" s="86"/>
      <c r="AT493" s="86"/>
      <c r="AU493" s="86"/>
      <c r="AV493" s="86"/>
      <c r="AW493" s="96" t="str">
        <f>HYPERLINK("https://t.co/vaQi1SS6Qc")</f>
        <v>https://t.co/vaQi1SS6Qc</v>
      </c>
      <c r="AX493" s="86" t="b">
        <v>0</v>
      </c>
      <c r="AY493" s="86"/>
      <c r="AZ493" s="86"/>
      <c r="BA493" s="86" t="b">
        <v>0</v>
      </c>
      <c r="BB493" s="86" t="b">
        <v>1</v>
      </c>
      <c r="BC493" s="86" t="b">
        <v>0</v>
      </c>
      <c r="BD493" s="86" t="b">
        <v>0</v>
      </c>
      <c r="BE493" s="86" t="b">
        <v>0</v>
      </c>
      <c r="BF493" s="86" t="b">
        <v>0</v>
      </c>
      <c r="BG493" s="86" t="b">
        <v>0</v>
      </c>
      <c r="BH493" s="96" t="str">
        <f>HYPERLINK("https://pbs.twimg.com/profile_banners/3064531630/1564075730")</f>
        <v>https://pbs.twimg.com/profile_banners/3064531630/1564075730</v>
      </c>
      <c r="BI493" s="86"/>
      <c r="BJ493" s="86" t="s">
        <v>29134</v>
      </c>
      <c r="BK493" s="86" t="b">
        <v>0</v>
      </c>
      <c r="BL493" s="86"/>
      <c r="BM493" s="86" t="s">
        <v>66</v>
      </c>
      <c r="BN493" s="86" t="s">
        <v>29136</v>
      </c>
      <c r="BO493" s="96" t="str">
        <f>HYPERLINK("https://twitter.com/nuvemerp")</f>
        <v>https://twitter.com/nuvemerp</v>
      </c>
      <c r="BP493" s="2"/>
    </row>
    <row r="494" spans="1:68" x14ac:dyDescent="0.25">
      <c r="A494" s="63" t="s">
        <v>647</v>
      </c>
      <c r="B494" s="64"/>
      <c r="C494" s="64"/>
      <c r="D494" s="65"/>
      <c r="E494" s="67"/>
      <c r="F494" s="111" t="str">
        <f>HYPERLINK("https://pbs.twimg.com/profile_images/1702428619501449216/qjEAl_-t_normal.png")</f>
        <v>https://pbs.twimg.com/profile_images/1702428619501449216/qjEAl_-t_normal.png</v>
      </c>
      <c r="G494" s="64"/>
      <c r="H494" s="68"/>
      <c r="I494" s="69"/>
      <c r="J494" s="69"/>
      <c r="K494" s="68" t="s">
        <v>29627</v>
      </c>
      <c r="L494" s="72"/>
      <c r="M494" s="73"/>
      <c r="N494" s="73"/>
      <c r="O494" s="74"/>
      <c r="P494" s="75"/>
      <c r="Q494" s="75"/>
      <c r="R494" s="102"/>
      <c r="S494" s="102"/>
      <c r="T494" s="102"/>
      <c r="U494" s="102"/>
      <c r="V494" s="48"/>
      <c r="W494" s="48"/>
      <c r="X494" s="48"/>
      <c r="Y494" s="48"/>
      <c r="Z494" s="47"/>
      <c r="AA494" s="70">
        <v>494</v>
      </c>
      <c r="AB494" s="70"/>
      <c r="AC494" s="71"/>
      <c r="AD494" s="86" t="s">
        <v>24121</v>
      </c>
      <c r="AE494" s="94" t="s">
        <v>23038</v>
      </c>
      <c r="AF494" s="86">
        <v>0</v>
      </c>
      <c r="AG494" s="86">
        <v>2</v>
      </c>
      <c r="AH494" s="86">
        <v>2</v>
      </c>
      <c r="AI494" s="86">
        <v>0</v>
      </c>
      <c r="AJ494" s="86">
        <v>0</v>
      </c>
      <c r="AK494" s="86">
        <v>2</v>
      </c>
      <c r="AL494" s="86" t="b">
        <v>0</v>
      </c>
      <c r="AM494" s="89">
        <v>45183.879467592589</v>
      </c>
      <c r="AN494" s="86" t="s">
        <v>26055</v>
      </c>
      <c r="AO494" s="86" t="s">
        <v>26873</v>
      </c>
      <c r="AP494" s="96" t="str">
        <f>HYPERLINK("https://t.co/sr64e0Dv3Y")</f>
        <v>https://t.co/sr64e0Dv3Y</v>
      </c>
      <c r="AQ494" s="96" t="str">
        <f>HYPERLINK("http://www.sthoudt.com.br")</f>
        <v>http://www.sthoudt.com.br</v>
      </c>
      <c r="AR494" s="86" t="s">
        <v>28240</v>
      </c>
      <c r="AS494" s="86"/>
      <c r="AT494" s="86"/>
      <c r="AU494" s="86"/>
      <c r="AV494" s="86"/>
      <c r="AW494" s="96" t="str">
        <f>HYPERLINK("https://t.co/sr64e0Dv3Y")</f>
        <v>https://t.co/sr64e0Dv3Y</v>
      </c>
      <c r="AX494" s="86" t="b">
        <v>0</v>
      </c>
      <c r="AY494" s="86"/>
      <c r="AZ494" s="86"/>
      <c r="BA494" s="86" t="b">
        <v>0</v>
      </c>
      <c r="BB494" s="86" t="b">
        <v>1</v>
      </c>
      <c r="BC494" s="86" t="b">
        <v>1</v>
      </c>
      <c r="BD494" s="86" t="b">
        <v>0</v>
      </c>
      <c r="BE494" s="86" t="b">
        <v>0</v>
      </c>
      <c r="BF494" s="86" t="b">
        <v>0</v>
      </c>
      <c r="BG494" s="86" t="b">
        <v>0</v>
      </c>
      <c r="BH494" s="96" t="str">
        <f>HYPERLINK("https://pbs.twimg.com/profile_banners/1702428567097798656/1694725986")</f>
        <v>https://pbs.twimg.com/profile_banners/1702428567097798656/1694725986</v>
      </c>
      <c r="BI494" s="86"/>
      <c r="BJ494" s="86" t="s">
        <v>29134</v>
      </c>
      <c r="BK494" s="86" t="b">
        <v>0</v>
      </c>
      <c r="BL494" s="86"/>
      <c r="BM494" s="86" t="s">
        <v>66</v>
      </c>
      <c r="BN494" s="86" t="s">
        <v>29136</v>
      </c>
      <c r="BO494" s="96" t="str">
        <f>HYPERLINK("https://twitter.com/sthoudt")</f>
        <v>https://twitter.com/sthoudt</v>
      </c>
      <c r="BP494" s="2"/>
    </row>
    <row r="495" spans="1:68" x14ac:dyDescent="0.25">
      <c r="A495" s="63" t="s">
        <v>648</v>
      </c>
      <c r="B495" s="64"/>
      <c r="C495" s="64"/>
      <c r="D495" s="65"/>
      <c r="E495" s="67"/>
      <c r="F495" s="111" t="str">
        <f>HYPERLINK("https://pbs.twimg.com/profile_images/1680710692335230976/Kwjd9XHv_normal.jpg")</f>
        <v>https://pbs.twimg.com/profile_images/1680710692335230976/Kwjd9XHv_normal.jpg</v>
      </c>
      <c r="G495" s="64"/>
      <c r="H495" s="68"/>
      <c r="I495" s="69"/>
      <c r="J495" s="69"/>
      <c r="K495" s="68" t="s">
        <v>29628</v>
      </c>
      <c r="L495" s="72"/>
      <c r="M495" s="73"/>
      <c r="N495" s="73"/>
      <c r="O495" s="74"/>
      <c r="P495" s="75"/>
      <c r="Q495" s="75"/>
      <c r="R495" s="102"/>
      <c r="S495" s="102"/>
      <c r="T495" s="102"/>
      <c r="U495" s="102"/>
      <c r="V495" s="48"/>
      <c r="W495" s="48"/>
      <c r="X495" s="48"/>
      <c r="Y495" s="48"/>
      <c r="Z495" s="47"/>
      <c r="AA495" s="70">
        <v>495</v>
      </c>
      <c r="AB495" s="70"/>
      <c r="AC495" s="71"/>
      <c r="AD495" s="86" t="s">
        <v>24122</v>
      </c>
      <c r="AE495" s="94" t="s">
        <v>23039</v>
      </c>
      <c r="AF495" s="86">
        <v>0</v>
      </c>
      <c r="AG495" s="86">
        <v>0</v>
      </c>
      <c r="AH495" s="86">
        <v>15</v>
      </c>
      <c r="AI495" s="86">
        <v>0</v>
      </c>
      <c r="AJ495" s="86">
        <v>0</v>
      </c>
      <c r="AK495" s="86">
        <v>13</v>
      </c>
      <c r="AL495" s="86" t="b">
        <v>0</v>
      </c>
      <c r="AM495" s="89">
        <v>45040.378657407404</v>
      </c>
      <c r="AN495" s="86"/>
      <c r="AO495" s="86"/>
      <c r="AP495" s="86"/>
      <c r="AQ495" s="86"/>
      <c r="AR495" s="86"/>
      <c r="AS495" s="86"/>
      <c r="AT495" s="86"/>
      <c r="AU495" s="86"/>
      <c r="AV495" s="86"/>
      <c r="AW495" s="86"/>
      <c r="AX495" s="86" t="b">
        <v>0</v>
      </c>
      <c r="AY495" s="86"/>
      <c r="AZ495" s="86"/>
      <c r="BA495" s="86" t="b">
        <v>0</v>
      </c>
      <c r="BB495" s="86" t="b">
        <v>1</v>
      </c>
      <c r="BC495" s="86" t="b">
        <v>1</v>
      </c>
      <c r="BD495" s="86" t="b">
        <v>0</v>
      </c>
      <c r="BE495" s="86" t="b">
        <v>0</v>
      </c>
      <c r="BF495" s="86" t="b">
        <v>0</v>
      </c>
      <c r="BG495" s="86" t="b">
        <v>0</v>
      </c>
      <c r="BH495" s="96" t="str">
        <f>HYPERLINK("https://pbs.twimg.com/profile_banners/1650425609212895232/1695762826")</f>
        <v>https://pbs.twimg.com/profile_banners/1650425609212895232/1695762826</v>
      </c>
      <c r="BI495" s="86"/>
      <c r="BJ495" s="86" t="s">
        <v>29134</v>
      </c>
      <c r="BK495" s="86" t="b">
        <v>0</v>
      </c>
      <c r="BL495" s="86"/>
      <c r="BM495" s="86" t="s">
        <v>66</v>
      </c>
      <c r="BN495" s="86" t="s">
        <v>29136</v>
      </c>
      <c r="BO495" s="96" t="str">
        <f>HYPERLINK("https://twitter.com/mrdt88")</f>
        <v>https://twitter.com/mrdt88</v>
      </c>
      <c r="BP495" s="2"/>
    </row>
    <row r="496" spans="1:68" x14ac:dyDescent="0.25">
      <c r="A496" s="63" t="s">
        <v>649</v>
      </c>
      <c r="B496" s="64"/>
      <c r="C496" s="64"/>
      <c r="D496" s="65"/>
      <c r="E496" s="67"/>
      <c r="F496" s="111" t="str">
        <f>HYPERLINK("https://pbs.twimg.com/profile_images/1687353860589813760/K8XkJv7n_normal.jpg")</f>
        <v>https://pbs.twimg.com/profile_images/1687353860589813760/K8XkJv7n_normal.jpg</v>
      </c>
      <c r="G496" s="64"/>
      <c r="H496" s="68"/>
      <c r="I496" s="69"/>
      <c r="J496" s="69"/>
      <c r="K496" s="68" t="s">
        <v>29629</v>
      </c>
      <c r="L496" s="72"/>
      <c r="M496" s="73"/>
      <c r="N496" s="73"/>
      <c r="O496" s="74"/>
      <c r="P496" s="75"/>
      <c r="Q496" s="75"/>
      <c r="R496" s="102"/>
      <c r="S496" s="102"/>
      <c r="T496" s="102"/>
      <c r="U496" s="102"/>
      <c r="V496" s="48"/>
      <c r="W496" s="48"/>
      <c r="X496" s="48"/>
      <c r="Y496" s="48"/>
      <c r="Z496" s="47"/>
      <c r="AA496" s="70">
        <v>496</v>
      </c>
      <c r="AB496" s="70"/>
      <c r="AC496" s="71"/>
      <c r="AD496" s="86" t="s">
        <v>24123</v>
      </c>
      <c r="AE496" s="94" t="s">
        <v>23040</v>
      </c>
      <c r="AF496" s="86">
        <v>45</v>
      </c>
      <c r="AG496" s="86">
        <v>24</v>
      </c>
      <c r="AH496" s="86">
        <v>210</v>
      </c>
      <c r="AI496" s="86">
        <v>0</v>
      </c>
      <c r="AJ496" s="86">
        <v>980</v>
      </c>
      <c r="AK496" s="86">
        <v>16</v>
      </c>
      <c r="AL496" s="86" t="b">
        <v>0</v>
      </c>
      <c r="AM496" s="89">
        <v>43178.533206018517</v>
      </c>
      <c r="AN496" s="86" t="s">
        <v>26056</v>
      </c>
      <c r="AO496" s="86" t="s">
        <v>26874</v>
      </c>
      <c r="AP496" s="96" t="str">
        <f>HYPERLINK("https://t.co/OqtLCGk01U")</f>
        <v>https://t.co/OqtLCGk01U</v>
      </c>
      <c r="AQ496" s="96" t="str">
        <f>HYPERLINK("http://www.amadoruben.com")</f>
        <v>http://www.amadoruben.com</v>
      </c>
      <c r="AR496" s="86" t="s">
        <v>28241</v>
      </c>
      <c r="AS496" s="86"/>
      <c r="AT496" s="86"/>
      <c r="AU496" s="86"/>
      <c r="AV496" s="86"/>
      <c r="AW496" s="96" t="str">
        <f>HYPERLINK("https://t.co/OqtLCGk01U")</f>
        <v>https://t.co/OqtLCGk01U</v>
      </c>
      <c r="AX496" s="86" t="b">
        <v>0</v>
      </c>
      <c r="AY496" s="86"/>
      <c r="AZ496" s="86"/>
      <c r="BA496" s="86" t="b">
        <v>1</v>
      </c>
      <c r="BB496" s="86" t="b">
        <v>1</v>
      </c>
      <c r="BC496" s="86" t="b">
        <v>1</v>
      </c>
      <c r="BD496" s="86" t="b">
        <v>0</v>
      </c>
      <c r="BE496" s="86" t="b">
        <v>0</v>
      </c>
      <c r="BF496" s="86" t="b">
        <v>0</v>
      </c>
      <c r="BG496" s="86" t="b">
        <v>1</v>
      </c>
      <c r="BH496" s="96" t="str">
        <f>HYPERLINK("https://pbs.twimg.com/profile_banners/975715465690603521/1560366775")</f>
        <v>https://pbs.twimg.com/profile_banners/975715465690603521/1560366775</v>
      </c>
      <c r="BI496" s="86"/>
      <c r="BJ496" s="86" t="s">
        <v>29134</v>
      </c>
      <c r="BK496" s="86" t="b">
        <v>0</v>
      </c>
      <c r="BL496" s="86"/>
      <c r="BM496" s="86" t="s">
        <v>66</v>
      </c>
      <c r="BN496" s="86" t="s">
        <v>29136</v>
      </c>
      <c r="BO496" s="96" t="str">
        <f>HYPERLINK("https://twitter.com/amadorubenn")</f>
        <v>https://twitter.com/amadorubenn</v>
      </c>
      <c r="BP496" s="2"/>
    </row>
    <row r="497" spans="1:68" x14ac:dyDescent="0.25">
      <c r="A497" s="63" t="s">
        <v>650</v>
      </c>
      <c r="B497" s="64"/>
      <c r="C497" s="64"/>
      <c r="D497" s="65"/>
      <c r="E497" s="67"/>
      <c r="F497" s="111" t="str">
        <f>HYPERLINK("https://pbs.twimg.com/profile_images/1693297786379182080/lKpDQcyo_normal.jpg")</f>
        <v>https://pbs.twimg.com/profile_images/1693297786379182080/lKpDQcyo_normal.jpg</v>
      </c>
      <c r="G497" s="64"/>
      <c r="H497" s="68"/>
      <c r="I497" s="69"/>
      <c r="J497" s="69"/>
      <c r="K497" s="68" t="s">
        <v>29630</v>
      </c>
      <c r="L497" s="72"/>
      <c r="M497" s="73"/>
      <c r="N497" s="73"/>
      <c r="O497" s="74"/>
      <c r="P497" s="75"/>
      <c r="Q497" s="75"/>
      <c r="R497" s="102"/>
      <c r="S497" s="102"/>
      <c r="T497" s="102"/>
      <c r="U497" s="102"/>
      <c r="V497" s="48"/>
      <c r="W497" s="48"/>
      <c r="X497" s="48"/>
      <c r="Y497" s="48"/>
      <c r="Z497" s="47"/>
      <c r="AA497" s="70">
        <v>497</v>
      </c>
      <c r="AB497" s="70"/>
      <c r="AC497" s="71"/>
      <c r="AD497" s="86" t="s">
        <v>24124</v>
      </c>
      <c r="AE497" s="94" t="s">
        <v>23041</v>
      </c>
      <c r="AF497" s="86">
        <v>13</v>
      </c>
      <c r="AG497" s="86">
        <v>72</v>
      </c>
      <c r="AH497" s="86">
        <v>166</v>
      </c>
      <c r="AI497" s="86">
        <v>0</v>
      </c>
      <c r="AJ497" s="86">
        <v>209</v>
      </c>
      <c r="AK497" s="86">
        <v>11</v>
      </c>
      <c r="AL497" s="86" t="b">
        <v>0</v>
      </c>
      <c r="AM497" s="89">
        <v>45105.9919212963</v>
      </c>
      <c r="AN497" s="86" t="s">
        <v>15240</v>
      </c>
      <c r="AO497" s="86" t="s">
        <v>26875</v>
      </c>
      <c r="AP497" s="96" t="str">
        <f>HYPERLINK("https://t.co/ZLfYwBWmTC")</f>
        <v>https://t.co/ZLfYwBWmTC</v>
      </c>
      <c r="AQ497" s="96" t="str">
        <f>HYPERLINK("https://youtube.com/@originalsanttos")</f>
        <v>https://youtube.com/@originalsanttos</v>
      </c>
      <c r="AR497" s="86" t="s">
        <v>28242</v>
      </c>
      <c r="AS497" s="86"/>
      <c r="AT497" s="86"/>
      <c r="AU497" s="86"/>
      <c r="AV497" s="86">
        <v>1.68618303377314E+18</v>
      </c>
      <c r="AW497" s="96" t="str">
        <f>HYPERLINK("https://t.co/ZLfYwBWmTC")</f>
        <v>https://t.co/ZLfYwBWmTC</v>
      </c>
      <c r="AX497" s="86" t="b">
        <v>0</v>
      </c>
      <c r="AY497" s="86"/>
      <c r="AZ497" s="86"/>
      <c r="BA497" s="86" t="b">
        <v>0</v>
      </c>
      <c r="BB497" s="86" t="b">
        <v>1</v>
      </c>
      <c r="BC497" s="86" t="b">
        <v>1</v>
      </c>
      <c r="BD497" s="86" t="b">
        <v>0</v>
      </c>
      <c r="BE497" s="86" t="b">
        <v>0</v>
      </c>
      <c r="BF497" s="86" t="b">
        <v>0</v>
      </c>
      <c r="BG497" s="86" t="b">
        <v>0</v>
      </c>
      <c r="BH497" s="96" t="str">
        <f>HYPERLINK("https://pbs.twimg.com/profile_banners/1674202966616682505/1687998505")</f>
        <v>https://pbs.twimg.com/profile_banners/1674202966616682505/1687998505</v>
      </c>
      <c r="BI497" s="86"/>
      <c r="BJ497" s="86" t="s">
        <v>29134</v>
      </c>
      <c r="BK497" s="86" t="b">
        <v>0</v>
      </c>
      <c r="BL497" s="86"/>
      <c r="BM497" s="86" t="s">
        <v>66</v>
      </c>
      <c r="BN497" s="86" t="s">
        <v>29136</v>
      </c>
      <c r="BO497" s="96" t="str">
        <f>HYPERLINK("https://twitter.com/originalsantt")</f>
        <v>https://twitter.com/originalsantt</v>
      </c>
      <c r="BP497" s="2"/>
    </row>
    <row r="498" spans="1:68" x14ac:dyDescent="0.25">
      <c r="A498" s="63" t="s">
        <v>651</v>
      </c>
      <c r="B498" s="64"/>
      <c r="C498" s="64"/>
      <c r="D498" s="65"/>
      <c r="E498" s="67"/>
      <c r="F498" s="111" t="str">
        <f>HYPERLINK("https://pbs.twimg.com/profile_images/1704624206573363200/AQqmsnds_normal.jpg")</f>
        <v>https://pbs.twimg.com/profile_images/1704624206573363200/AQqmsnds_normal.jpg</v>
      </c>
      <c r="G498" s="64"/>
      <c r="H498" s="68"/>
      <c r="I498" s="69"/>
      <c r="J498" s="69"/>
      <c r="K498" s="68" t="s">
        <v>29631</v>
      </c>
      <c r="L498" s="72"/>
      <c r="M498" s="73"/>
      <c r="N498" s="73"/>
      <c r="O498" s="74"/>
      <c r="P498" s="75"/>
      <c r="Q498" s="75"/>
      <c r="R498" s="102"/>
      <c r="S498" s="102"/>
      <c r="T498" s="102"/>
      <c r="U498" s="102"/>
      <c r="V498" s="48"/>
      <c r="W498" s="48"/>
      <c r="X498" s="48"/>
      <c r="Y498" s="48"/>
      <c r="Z498" s="47"/>
      <c r="AA498" s="70">
        <v>498</v>
      </c>
      <c r="AB498" s="70"/>
      <c r="AC498" s="71"/>
      <c r="AD498" s="86" t="s">
        <v>24125</v>
      </c>
      <c r="AE498" s="94" t="s">
        <v>25416</v>
      </c>
      <c r="AF498" s="86">
        <v>166</v>
      </c>
      <c r="AG498" s="86">
        <v>230</v>
      </c>
      <c r="AH498" s="86">
        <v>1734</v>
      </c>
      <c r="AI498" s="86">
        <v>0</v>
      </c>
      <c r="AJ498" s="86">
        <v>73</v>
      </c>
      <c r="AK498" s="86">
        <v>105</v>
      </c>
      <c r="AL498" s="86" t="b">
        <v>0</v>
      </c>
      <c r="AM498" s="89">
        <v>40096.071979166663</v>
      </c>
      <c r="AN498" s="86" t="s">
        <v>26057</v>
      </c>
      <c r="AO498" s="86" t="s">
        <v>26876</v>
      </c>
      <c r="AP498" s="96" t="str">
        <f>HYPERLINK("https://t.co/LfVXbEUjLJ")</f>
        <v>https://t.co/LfVXbEUjLJ</v>
      </c>
      <c r="AQ498" s="96" t="str">
        <f>HYPERLINK("http://www.cxcriativa.com.br")</f>
        <v>http://www.cxcriativa.com.br</v>
      </c>
      <c r="AR498" s="86" t="s">
        <v>28243</v>
      </c>
      <c r="AS498" s="86"/>
      <c r="AT498" s="86"/>
      <c r="AU498" s="86"/>
      <c r="AV498" s="86"/>
      <c r="AW498" s="96" t="str">
        <f>HYPERLINK("https://t.co/LfVXbEUjLJ")</f>
        <v>https://t.co/LfVXbEUjLJ</v>
      </c>
      <c r="AX498" s="86" t="b">
        <v>0</v>
      </c>
      <c r="AY498" s="86"/>
      <c r="AZ498" s="86"/>
      <c r="BA498" s="86" t="b">
        <v>0</v>
      </c>
      <c r="BB498" s="86" t="b">
        <v>1</v>
      </c>
      <c r="BC498" s="86" t="b">
        <v>0</v>
      </c>
      <c r="BD498" s="86" t="b">
        <v>0</v>
      </c>
      <c r="BE498" s="86" t="b">
        <v>0</v>
      </c>
      <c r="BF498" s="86" t="b">
        <v>0</v>
      </c>
      <c r="BG498" s="86" t="b">
        <v>0</v>
      </c>
      <c r="BH498" s="96" t="str">
        <f>HYPERLINK("https://pbs.twimg.com/profile_banners/81253042/1695249067")</f>
        <v>https://pbs.twimg.com/profile_banners/81253042/1695249067</v>
      </c>
      <c r="BI498" s="86"/>
      <c r="BJ498" s="86" t="s">
        <v>29134</v>
      </c>
      <c r="BK498" s="86" t="b">
        <v>0</v>
      </c>
      <c r="BL498" s="86"/>
      <c r="BM498" s="86" t="s">
        <v>66</v>
      </c>
      <c r="BN498" s="86" t="s">
        <v>29136</v>
      </c>
      <c r="BO498" s="96" t="str">
        <f>HYPERLINK("https://twitter.com/jefferson_cxc")</f>
        <v>https://twitter.com/jefferson_cxc</v>
      </c>
      <c r="BP498" s="2"/>
    </row>
    <row r="499" spans="1:68" x14ac:dyDescent="0.25">
      <c r="A499" s="63" t="s">
        <v>652</v>
      </c>
      <c r="B499" s="64"/>
      <c r="C499" s="64"/>
      <c r="D499" s="65"/>
      <c r="E499" s="67"/>
      <c r="F499" s="111" t="str">
        <f>HYPERLINK("https://pbs.twimg.com/profile_images/1350579875804020737/zuoyQDER_normal.jpg")</f>
        <v>https://pbs.twimg.com/profile_images/1350579875804020737/zuoyQDER_normal.jpg</v>
      </c>
      <c r="G499" s="64"/>
      <c r="H499" s="68"/>
      <c r="I499" s="69"/>
      <c r="J499" s="69"/>
      <c r="K499" s="68" t="s">
        <v>29632</v>
      </c>
      <c r="L499" s="72"/>
      <c r="M499" s="73"/>
      <c r="N499" s="73"/>
      <c r="O499" s="74"/>
      <c r="P499" s="75"/>
      <c r="Q499" s="75"/>
      <c r="R499" s="102"/>
      <c r="S499" s="102"/>
      <c r="T499" s="102"/>
      <c r="U499" s="102"/>
      <c r="V499" s="48"/>
      <c r="W499" s="48"/>
      <c r="X499" s="48"/>
      <c r="Y499" s="48"/>
      <c r="Z499" s="47"/>
      <c r="AA499" s="70">
        <v>499</v>
      </c>
      <c r="AB499" s="70"/>
      <c r="AC499" s="71"/>
      <c r="AD499" s="86" t="s">
        <v>24126</v>
      </c>
      <c r="AE499" s="94" t="s">
        <v>23042</v>
      </c>
      <c r="AF499" s="86">
        <v>28</v>
      </c>
      <c r="AG499" s="86">
        <v>182</v>
      </c>
      <c r="AH499" s="86">
        <v>312</v>
      </c>
      <c r="AI499" s="86">
        <v>0</v>
      </c>
      <c r="AJ499" s="86">
        <v>26</v>
      </c>
      <c r="AK499" s="86">
        <v>291</v>
      </c>
      <c r="AL499" s="86" t="b">
        <v>0</v>
      </c>
      <c r="AM499" s="89">
        <v>44190.962106481478</v>
      </c>
      <c r="AN499" s="86" t="s">
        <v>15246</v>
      </c>
      <c r="AO499" s="86" t="s">
        <v>26877</v>
      </c>
      <c r="AP499" s="96" t="str">
        <f>HYPERLINK("https://t.co/lMrEmeY6ya")</f>
        <v>https://t.co/lMrEmeY6ya</v>
      </c>
      <c r="AQ499" s="96" t="str">
        <f>HYPERLINK("http://www.contadorpj.com")</f>
        <v>http://www.contadorpj.com</v>
      </c>
      <c r="AR499" s="86" t="s">
        <v>28244</v>
      </c>
      <c r="AS499" s="96" t="str">
        <f>HYPERLINK("https://t.co/s26HkfPMjz")</f>
        <v>https://t.co/s26HkfPMjz</v>
      </c>
      <c r="AT499" s="96" t="str">
        <f>HYPERLINK("http://instabio.cc/4020615yCNj2Y")</f>
        <v>http://instabio.cc/4020615yCNj2Y</v>
      </c>
      <c r="AU499" s="86" t="s">
        <v>29063</v>
      </c>
      <c r="AV499" s="86"/>
      <c r="AW499" s="96" t="str">
        <f>HYPERLINK("https://t.co/lMrEmeY6ya")</f>
        <v>https://t.co/lMrEmeY6ya</v>
      </c>
      <c r="AX499" s="86" t="b">
        <v>0</v>
      </c>
      <c r="AY499" s="86"/>
      <c r="AZ499" s="86"/>
      <c r="BA499" s="86" t="b">
        <v>0</v>
      </c>
      <c r="BB499" s="86" t="b">
        <v>1</v>
      </c>
      <c r="BC499" s="86" t="b">
        <v>1</v>
      </c>
      <c r="BD499" s="86" t="b">
        <v>0</v>
      </c>
      <c r="BE499" s="86" t="b">
        <v>0</v>
      </c>
      <c r="BF499" s="86" t="b">
        <v>0</v>
      </c>
      <c r="BG499" s="86" t="b">
        <v>0</v>
      </c>
      <c r="BH499" s="96" t="str">
        <f>HYPERLINK("https://pbs.twimg.com/profile_banners/1342607334116364288/1609348938")</f>
        <v>https://pbs.twimg.com/profile_banners/1342607334116364288/1609348938</v>
      </c>
      <c r="BI499" s="86"/>
      <c r="BJ499" s="86" t="s">
        <v>29134</v>
      </c>
      <c r="BK499" s="86" t="b">
        <v>0</v>
      </c>
      <c r="BL499" s="86"/>
      <c r="BM499" s="86" t="s">
        <v>66</v>
      </c>
      <c r="BN499" s="86" t="s">
        <v>29136</v>
      </c>
      <c r="BO499" s="96" t="str">
        <f>HYPERLINK("https://twitter.com/tarcisiovmiran1")</f>
        <v>https://twitter.com/tarcisiovmiran1</v>
      </c>
      <c r="BP499" s="2"/>
    </row>
    <row r="500" spans="1:68" x14ac:dyDescent="0.25">
      <c r="A500" s="63" t="s">
        <v>654</v>
      </c>
      <c r="B500" s="64"/>
      <c r="C500" s="64"/>
      <c r="D500" s="65"/>
      <c r="E500" s="67"/>
      <c r="F500" s="111" t="str">
        <f>HYPERLINK("https://pbs.twimg.com/profile_images/1686126768699170817/2bR4gaB0_normal.jpg")</f>
        <v>https://pbs.twimg.com/profile_images/1686126768699170817/2bR4gaB0_normal.jpg</v>
      </c>
      <c r="G500" s="64"/>
      <c r="H500" s="68"/>
      <c r="I500" s="69"/>
      <c r="J500" s="69"/>
      <c r="K500" s="68" t="s">
        <v>29633</v>
      </c>
      <c r="L500" s="72"/>
      <c r="M500" s="73"/>
      <c r="N500" s="73"/>
      <c r="O500" s="74"/>
      <c r="P500" s="75"/>
      <c r="Q500" s="75"/>
      <c r="R500" s="102"/>
      <c r="S500" s="102"/>
      <c r="T500" s="102"/>
      <c r="U500" s="102"/>
      <c r="V500" s="48"/>
      <c r="W500" s="48"/>
      <c r="X500" s="48"/>
      <c r="Y500" s="48"/>
      <c r="Z500" s="47"/>
      <c r="AA500" s="70">
        <v>500</v>
      </c>
      <c r="AB500" s="70"/>
      <c r="AC500" s="71"/>
      <c r="AD500" s="86" t="s">
        <v>24127</v>
      </c>
      <c r="AE500" s="94" t="s">
        <v>23043</v>
      </c>
      <c r="AF500" s="86">
        <v>22</v>
      </c>
      <c r="AG500" s="86">
        <v>174</v>
      </c>
      <c r="AH500" s="86">
        <v>100</v>
      </c>
      <c r="AI500" s="86">
        <v>1</v>
      </c>
      <c r="AJ500" s="86">
        <v>406</v>
      </c>
      <c r="AK500" s="86">
        <v>68</v>
      </c>
      <c r="AL500" s="86" t="b">
        <v>0</v>
      </c>
      <c r="AM500" s="89">
        <v>43185.977546296293</v>
      </c>
      <c r="AN500" s="86" t="s">
        <v>15246</v>
      </c>
      <c r="AO500" s="86" t="s">
        <v>26878</v>
      </c>
      <c r="AP500" s="96" t="str">
        <f>HYPERLINK("https://t.co/EbyEATC5vv")</f>
        <v>https://t.co/EbyEATC5vv</v>
      </c>
      <c r="AQ500" s="96" t="str">
        <f>HYPERLINK("http://www.plataformaespinosa.com.br")</f>
        <v>http://www.plataformaespinosa.com.br</v>
      </c>
      <c r="AR500" s="86" t="s">
        <v>28245</v>
      </c>
      <c r="AS500" s="86"/>
      <c r="AT500" s="86"/>
      <c r="AU500" s="86"/>
      <c r="AV500" s="86"/>
      <c r="AW500" s="96" t="str">
        <f>HYPERLINK("https://t.co/EbyEATC5vv")</f>
        <v>https://t.co/EbyEATC5vv</v>
      </c>
      <c r="AX500" s="86" t="b">
        <v>0</v>
      </c>
      <c r="AY500" s="86"/>
      <c r="AZ500" s="86"/>
      <c r="BA500" s="86" t="b">
        <v>0</v>
      </c>
      <c r="BB500" s="86" t="b">
        <v>0</v>
      </c>
      <c r="BC500" s="86" t="b">
        <v>1</v>
      </c>
      <c r="BD500" s="86" t="b">
        <v>0</v>
      </c>
      <c r="BE500" s="86" t="b">
        <v>0</v>
      </c>
      <c r="BF500" s="86" t="b">
        <v>0</v>
      </c>
      <c r="BG500" s="86" t="b">
        <v>0</v>
      </c>
      <c r="BH500" s="96" t="str">
        <f>HYPERLINK("https://pbs.twimg.com/profile_banners/978413203993628672/1675383320")</f>
        <v>https://pbs.twimg.com/profile_banners/978413203993628672/1675383320</v>
      </c>
      <c r="BI500" s="86"/>
      <c r="BJ500" s="86" t="s">
        <v>29134</v>
      </c>
      <c r="BK500" s="86" t="b">
        <v>0</v>
      </c>
      <c r="BL500" s="86"/>
      <c r="BM500" s="86" t="s">
        <v>66</v>
      </c>
      <c r="BN500" s="86" t="s">
        <v>29136</v>
      </c>
      <c r="BO500" s="96" t="str">
        <f>HYPERLINK("https://twitter.com/plat_espinosa")</f>
        <v>https://twitter.com/plat_espinosa</v>
      </c>
      <c r="BP500" s="2"/>
    </row>
    <row r="501" spans="1:68" x14ac:dyDescent="0.25">
      <c r="A501" s="63" t="s">
        <v>655</v>
      </c>
      <c r="B501" s="64"/>
      <c r="C501" s="64"/>
      <c r="D501" s="65"/>
      <c r="E501" s="67"/>
      <c r="F501" s="111" t="str">
        <f>HYPERLINK("https://pbs.twimg.com/profile_images/456778101163175938/nReWujY2_normal.jpeg")</f>
        <v>https://pbs.twimg.com/profile_images/456778101163175938/nReWujY2_normal.jpeg</v>
      </c>
      <c r="G501" s="64"/>
      <c r="H501" s="68"/>
      <c r="I501" s="69"/>
      <c r="J501" s="69"/>
      <c r="K501" s="68" t="s">
        <v>29634</v>
      </c>
      <c r="L501" s="72"/>
      <c r="M501" s="73"/>
      <c r="N501" s="73"/>
      <c r="O501" s="74"/>
      <c r="P501" s="75"/>
      <c r="Q501" s="75"/>
      <c r="R501" s="102"/>
      <c r="S501" s="102"/>
      <c r="T501" s="102"/>
      <c r="U501" s="102"/>
      <c r="V501" s="48"/>
      <c r="W501" s="48"/>
      <c r="X501" s="48"/>
      <c r="Y501" s="48"/>
      <c r="Z501" s="47"/>
      <c r="AA501" s="70">
        <v>501</v>
      </c>
      <c r="AB501" s="70"/>
      <c r="AC501" s="71"/>
      <c r="AD501" s="86" t="s">
        <v>24128</v>
      </c>
      <c r="AE501" s="94" t="s">
        <v>25417</v>
      </c>
      <c r="AF501" s="86">
        <v>56</v>
      </c>
      <c r="AG501" s="86">
        <v>373</v>
      </c>
      <c r="AH501" s="86">
        <v>574</v>
      </c>
      <c r="AI501" s="86">
        <v>0</v>
      </c>
      <c r="AJ501" s="86">
        <v>66</v>
      </c>
      <c r="AK501" s="86">
        <v>184</v>
      </c>
      <c r="AL501" s="86" t="b">
        <v>0</v>
      </c>
      <c r="AM501" s="89">
        <v>40382.973749999997</v>
      </c>
      <c r="AN501" s="86" t="s">
        <v>25889</v>
      </c>
      <c r="AO501" s="86" t="s">
        <v>26879</v>
      </c>
      <c r="AP501" s="96" t="str">
        <f>HYPERLINK("https://t.co/MDmDo29Hjt")</f>
        <v>https://t.co/MDmDo29Hjt</v>
      </c>
      <c r="AQ501" s="96" t="str">
        <f>HYPERLINK("http://MidiaStudio.com.br")</f>
        <v>http://MidiaStudio.com.br</v>
      </c>
      <c r="AR501" s="86" t="s">
        <v>28246</v>
      </c>
      <c r="AS501" s="86"/>
      <c r="AT501" s="86"/>
      <c r="AU501" s="86"/>
      <c r="AV501" s="86"/>
      <c r="AW501" s="96" t="str">
        <f>HYPERLINK("https://t.co/MDmDo29Hjt")</f>
        <v>https://t.co/MDmDo29Hjt</v>
      </c>
      <c r="AX501" s="86" t="b">
        <v>0</v>
      </c>
      <c r="AY501" s="86"/>
      <c r="AZ501" s="86"/>
      <c r="BA501" s="86" t="b">
        <v>0</v>
      </c>
      <c r="BB501" s="86" t="b">
        <v>1</v>
      </c>
      <c r="BC501" s="86" t="b">
        <v>0</v>
      </c>
      <c r="BD501" s="86" t="b">
        <v>0</v>
      </c>
      <c r="BE501" s="86" t="b">
        <v>0</v>
      </c>
      <c r="BF501" s="86" t="b">
        <v>0</v>
      </c>
      <c r="BG501" s="86" t="b">
        <v>0</v>
      </c>
      <c r="BH501" s="96" t="str">
        <f>HYPERLINK("https://pbs.twimg.com/profile_banners/170102644/1603725319")</f>
        <v>https://pbs.twimg.com/profile_banners/170102644/1603725319</v>
      </c>
      <c r="BI501" s="86"/>
      <c r="BJ501" s="86" t="s">
        <v>29134</v>
      </c>
      <c r="BK501" s="86" t="b">
        <v>0</v>
      </c>
      <c r="BL501" s="86"/>
      <c r="BM501" s="86" t="s">
        <v>66</v>
      </c>
      <c r="BN501" s="86" t="s">
        <v>29136</v>
      </c>
      <c r="BO501" s="96" t="str">
        <f>HYPERLINK("https://twitter.com/midiastudio")</f>
        <v>https://twitter.com/midiastudio</v>
      </c>
      <c r="BP501" s="2"/>
    </row>
    <row r="502" spans="1:68" x14ac:dyDescent="0.25">
      <c r="A502" s="63" t="s">
        <v>656</v>
      </c>
      <c r="B502" s="64"/>
      <c r="C502" s="64"/>
      <c r="D502" s="65"/>
      <c r="E502" s="67"/>
      <c r="F502" s="111" t="str">
        <f>HYPERLINK("https://pbs.twimg.com/profile_images/1583462152752578562/IgOqfeS__normal.jpg")</f>
        <v>https://pbs.twimg.com/profile_images/1583462152752578562/IgOqfeS__normal.jpg</v>
      </c>
      <c r="G502" s="64"/>
      <c r="H502" s="68"/>
      <c r="I502" s="69"/>
      <c r="J502" s="69"/>
      <c r="K502" s="68" t="s">
        <v>29635</v>
      </c>
      <c r="L502" s="72"/>
      <c r="M502" s="73"/>
      <c r="N502" s="73"/>
      <c r="O502" s="74"/>
      <c r="P502" s="75"/>
      <c r="Q502" s="75"/>
      <c r="R502" s="102"/>
      <c r="S502" s="102"/>
      <c r="T502" s="102"/>
      <c r="U502" s="102"/>
      <c r="V502" s="48"/>
      <c r="W502" s="48"/>
      <c r="X502" s="48"/>
      <c r="Y502" s="48"/>
      <c r="Z502" s="47"/>
      <c r="AA502" s="70">
        <v>502</v>
      </c>
      <c r="AB502" s="70"/>
      <c r="AC502" s="71"/>
      <c r="AD502" s="86" t="s">
        <v>24129</v>
      </c>
      <c r="AE502" s="94" t="s">
        <v>25418</v>
      </c>
      <c r="AF502" s="86">
        <v>6796</v>
      </c>
      <c r="AG502" s="86">
        <v>168</v>
      </c>
      <c r="AH502" s="86">
        <v>208845</v>
      </c>
      <c r="AI502" s="86">
        <v>45</v>
      </c>
      <c r="AJ502" s="86">
        <v>34</v>
      </c>
      <c r="AK502" s="86">
        <v>376</v>
      </c>
      <c r="AL502" s="86" t="b">
        <v>0</v>
      </c>
      <c r="AM502" s="89">
        <v>40086.841851851852</v>
      </c>
      <c r="AN502" s="86" t="s">
        <v>26058</v>
      </c>
      <c r="AO502" s="86" t="s">
        <v>26880</v>
      </c>
      <c r="AP502" s="96" t="str">
        <f>HYPERLINK("https://t.co/enJujayrr8")</f>
        <v>https://t.co/enJujayrr8</v>
      </c>
      <c r="AQ502" s="96" t="str">
        <f>HYPERLINK("https://www.gp1.com.br/")</f>
        <v>https://www.gp1.com.br/</v>
      </c>
      <c r="AR502" s="86" t="s">
        <v>28247</v>
      </c>
      <c r="AS502" s="86"/>
      <c r="AT502" s="86"/>
      <c r="AU502" s="86"/>
      <c r="AV502" s="86"/>
      <c r="AW502" s="96" t="str">
        <f>HYPERLINK("https://t.co/enJujayrr8")</f>
        <v>https://t.co/enJujayrr8</v>
      </c>
      <c r="AX502" s="86" t="b">
        <v>1</v>
      </c>
      <c r="AY502" s="86"/>
      <c r="AZ502" s="86"/>
      <c r="BA502" s="86" t="b">
        <v>0</v>
      </c>
      <c r="BB502" s="86" t="b">
        <v>1</v>
      </c>
      <c r="BC502" s="86" t="b">
        <v>0</v>
      </c>
      <c r="BD502" s="86" t="b">
        <v>0</v>
      </c>
      <c r="BE502" s="86" t="b">
        <v>1</v>
      </c>
      <c r="BF502" s="86" t="b">
        <v>0</v>
      </c>
      <c r="BG502" s="86" t="b">
        <v>0</v>
      </c>
      <c r="BH502" s="96" t="str">
        <f>HYPERLINK("https://pbs.twimg.com/profile_banners/78697019/1667653565")</f>
        <v>https://pbs.twimg.com/profile_banners/78697019/1667653565</v>
      </c>
      <c r="BI502" s="86"/>
      <c r="BJ502" s="86" t="s">
        <v>29134</v>
      </c>
      <c r="BK502" s="86" t="b">
        <v>0</v>
      </c>
      <c r="BL502" s="86"/>
      <c r="BM502" s="86" t="s">
        <v>66</v>
      </c>
      <c r="BN502" s="86" t="s">
        <v>29136</v>
      </c>
      <c r="BO502" s="96" t="str">
        <f>HYPERLINK("https://twitter.com/portalgp1")</f>
        <v>https://twitter.com/portalgp1</v>
      </c>
      <c r="BP502" s="2"/>
    </row>
    <row r="503" spans="1:68" x14ac:dyDescent="0.25">
      <c r="A503" s="63" t="s">
        <v>657</v>
      </c>
      <c r="B503" s="64"/>
      <c r="C503" s="64"/>
      <c r="D503" s="65"/>
      <c r="E503" s="67"/>
      <c r="F503" s="111" t="str">
        <f>HYPERLINK("https://pbs.twimg.com/profile_images/1674945271086690309/J2UomEFr_normal.jpg")</f>
        <v>https://pbs.twimg.com/profile_images/1674945271086690309/J2UomEFr_normal.jpg</v>
      </c>
      <c r="G503" s="64"/>
      <c r="H503" s="68"/>
      <c r="I503" s="69"/>
      <c r="J503" s="69"/>
      <c r="K503" s="68" t="s">
        <v>29636</v>
      </c>
      <c r="L503" s="72"/>
      <c r="M503" s="73"/>
      <c r="N503" s="73"/>
      <c r="O503" s="74"/>
      <c r="P503" s="75"/>
      <c r="Q503" s="75"/>
      <c r="R503" s="102"/>
      <c r="S503" s="102"/>
      <c r="T503" s="102"/>
      <c r="U503" s="102"/>
      <c r="V503" s="48"/>
      <c r="W503" s="48"/>
      <c r="X503" s="48"/>
      <c r="Y503" s="48"/>
      <c r="Z503" s="47"/>
      <c r="AA503" s="70">
        <v>503</v>
      </c>
      <c r="AB503" s="70"/>
      <c r="AC503" s="71"/>
      <c r="AD503" s="86" t="s">
        <v>24130</v>
      </c>
      <c r="AE503" s="94" t="s">
        <v>22557</v>
      </c>
      <c r="AF503" s="86">
        <v>1</v>
      </c>
      <c r="AG503" s="86">
        <v>12</v>
      </c>
      <c r="AH503" s="86">
        <v>35</v>
      </c>
      <c r="AI503" s="86">
        <v>0</v>
      </c>
      <c r="AJ503" s="86">
        <v>15</v>
      </c>
      <c r="AK503" s="86">
        <v>24</v>
      </c>
      <c r="AL503" s="86" t="b">
        <v>0</v>
      </c>
      <c r="AM503" s="89">
        <v>43697.705497685187</v>
      </c>
      <c r="AN503" s="86"/>
      <c r="AO503" s="86" t="s">
        <v>26881</v>
      </c>
      <c r="AP503" s="86"/>
      <c r="AQ503" s="86"/>
      <c r="AR503" s="86"/>
      <c r="AS503" s="86"/>
      <c r="AT503" s="86"/>
      <c r="AU503" s="86"/>
      <c r="AV503" s="86"/>
      <c r="AW503" s="86"/>
      <c r="AX503" s="86" t="b">
        <v>0</v>
      </c>
      <c r="AY503" s="86"/>
      <c r="AZ503" s="86"/>
      <c r="BA503" s="86" t="b">
        <v>0</v>
      </c>
      <c r="BB503" s="86" t="b">
        <v>1</v>
      </c>
      <c r="BC503" s="86" t="b">
        <v>1</v>
      </c>
      <c r="BD503" s="86" t="b">
        <v>0</v>
      </c>
      <c r="BE503" s="86" t="b">
        <v>0</v>
      </c>
      <c r="BF503" s="86" t="b">
        <v>0</v>
      </c>
      <c r="BG503" s="86" t="b">
        <v>0</v>
      </c>
      <c r="BH503" s="96" t="str">
        <f>HYPERLINK("https://pbs.twimg.com/profile_banners/1163857161803522049/1688173047")</f>
        <v>https://pbs.twimg.com/profile_banners/1163857161803522049/1688173047</v>
      </c>
      <c r="BI503" s="86"/>
      <c r="BJ503" s="86" t="s">
        <v>29134</v>
      </c>
      <c r="BK503" s="86" t="b">
        <v>0</v>
      </c>
      <c r="BL503" s="86"/>
      <c r="BM503" s="86" t="s">
        <v>66</v>
      </c>
      <c r="BN503" s="86" t="s">
        <v>29136</v>
      </c>
      <c r="BO503" s="96" t="str">
        <f>HYPERLINK("https://twitter.com/pixeldigitalab")</f>
        <v>https://twitter.com/pixeldigitalab</v>
      </c>
      <c r="BP503" s="2"/>
    </row>
    <row r="504" spans="1:68" x14ac:dyDescent="0.25">
      <c r="A504" s="63" t="s">
        <v>658</v>
      </c>
      <c r="B504" s="64"/>
      <c r="C504" s="64"/>
      <c r="D504" s="65"/>
      <c r="E504" s="67"/>
      <c r="F504" s="111" t="str">
        <f>HYPERLINK("https://pbs.twimg.com/profile_images/1677723957007458305/G-Mj0rPI_normal.jpg")</f>
        <v>https://pbs.twimg.com/profile_images/1677723957007458305/G-Mj0rPI_normal.jpg</v>
      </c>
      <c r="G504" s="64"/>
      <c r="H504" s="68"/>
      <c r="I504" s="69"/>
      <c r="J504" s="69"/>
      <c r="K504" s="68" t="s">
        <v>29637</v>
      </c>
      <c r="L504" s="72"/>
      <c r="M504" s="73"/>
      <c r="N504" s="73"/>
      <c r="O504" s="74"/>
      <c r="P504" s="75"/>
      <c r="Q504" s="75"/>
      <c r="R504" s="102"/>
      <c r="S504" s="102"/>
      <c r="T504" s="102"/>
      <c r="U504" s="102"/>
      <c r="V504" s="48"/>
      <c r="W504" s="48"/>
      <c r="X504" s="48"/>
      <c r="Y504" s="48"/>
      <c r="Z504" s="47"/>
      <c r="AA504" s="70">
        <v>504</v>
      </c>
      <c r="AB504" s="70"/>
      <c r="AC504" s="71"/>
      <c r="AD504" s="86" t="s">
        <v>24131</v>
      </c>
      <c r="AE504" s="94" t="s">
        <v>23044</v>
      </c>
      <c r="AF504" s="86">
        <v>3340</v>
      </c>
      <c r="AG504" s="86">
        <v>4938</v>
      </c>
      <c r="AH504" s="86">
        <v>10595</v>
      </c>
      <c r="AI504" s="86">
        <v>1</v>
      </c>
      <c r="AJ504" s="86">
        <v>15171</v>
      </c>
      <c r="AK504" s="86">
        <v>3079</v>
      </c>
      <c r="AL504" s="86" t="b">
        <v>0</v>
      </c>
      <c r="AM504" s="89">
        <v>44985.626481481479</v>
      </c>
      <c r="AN504" s="86" t="s">
        <v>26059</v>
      </c>
      <c r="AO504" s="86" t="s">
        <v>26882</v>
      </c>
      <c r="AP504" s="96" t="str">
        <f>HYPERLINK("https://t.co/v1r5sgwrPe")</f>
        <v>https://t.co/v1r5sgwrPe</v>
      </c>
      <c r="AQ504" s="96" t="str">
        <f>HYPERLINK("https://instagram.com/noticias.em.post?igshid=MzNlNGNkZWQ4Mg==")</f>
        <v>https://instagram.com/noticias.em.post?igshid=MzNlNGNkZWQ4Mg==</v>
      </c>
      <c r="AR504" s="86" t="s">
        <v>28248</v>
      </c>
      <c r="AS504" s="86"/>
      <c r="AT504" s="86"/>
      <c r="AU504" s="86"/>
      <c r="AV504" s="86"/>
      <c r="AW504" s="96" t="str">
        <f>HYPERLINK("https://t.co/v1r5sgwrPe")</f>
        <v>https://t.co/v1r5sgwrPe</v>
      </c>
      <c r="AX504" s="86" t="b">
        <v>0</v>
      </c>
      <c r="AY504" s="86"/>
      <c r="AZ504" s="86"/>
      <c r="BA504" s="86" t="b">
        <v>0</v>
      </c>
      <c r="BB504" s="86" t="b">
        <v>0</v>
      </c>
      <c r="BC504" s="86" t="b">
        <v>1</v>
      </c>
      <c r="BD504" s="86" t="b">
        <v>0</v>
      </c>
      <c r="BE504" s="86" t="b">
        <v>0</v>
      </c>
      <c r="BF504" s="86" t="b">
        <v>0</v>
      </c>
      <c r="BG504" s="86" t="b">
        <v>0</v>
      </c>
      <c r="BH504" s="96" t="str">
        <f>HYPERLINK("https://pbs.twimg.com/profile_banners/1630583990959718401/1688835535")</f>
        <v>https://pbs.twimg.com/profile_banners/1630583990959718401/1688835535</v>
      </c>
      <c r="BI504" s="86"/>
      <c r="BJ504" s="86" t="s">
        <v>29134</v>
      </c>
      <c r="BK504" s="86" t="b">
        <v>0</v>
      </c>
      <c r="BL504" s="86"/>
      <c r="BM504" s="86" t="s">
        <v>66</v>
      </c>
      <c r="BN504" s="86" t="s">
        <v>29136</v>
      </c>
      <c r="BO504" s="96" t="str">
        <f>HYPERLINK("https://twitter.com/rogerpost66")</f>
        <v>https://twitter.com/rogerpost66</v>
      </c>
      <c r="BP504" s="2"/>
    </row>
    <row r="505" spans="1:68" x14ac:dyDescent="0.25">
      <c r="A505" s="63" t="s">
        <v>659</v>
      </c>
      <c r="B505" s="64"/>
      <c r="C505" s="64"/>
      <c r="D505" s="65"/>
      <c r="E505" s="67"/>
      <c r="F505" s="111" t="str">
        <f>HYPERLINK("https://pbs.twimg.com/profile_images/1643304178901475334/x-hhQRWa_normal.jpg")</f>
        <v>https://pbs.twimg.com/profile_images/1643304178901475334/x-hhQRWa_normal.jpg</v>
      </c>
      <c r="G505" s="64"/>
      <c r="H505" s="68"/>
      <c r="I505" s="69"/>
      <c r="J505" s="69"/>
      <c r="K505" s="68" t="s">
        <v>29638</v>
      </c>
      <c r="L505" s="72"/>
      <c r="M505" s="73"/>
      <c r="N505" s="73"/>
      <c r="O505" s="74"/>
      <c r="P505" s="75"/>
      <c r="Q505" s="75"/>
      <c r="R505" s="102"/>
      <c r="S505" s="102"/>
      <c r="T505" s="102"/>
      <c r="U505" s="102"/>
      <c r="V505" s="48"/>
      <c r="W505" s="48"/>
      <c r="X505" s="48"/>
      <c r="Y505" s="48"/>
      <c r="Z505" s="47"/>
      <c r="AA505" s="70">
        <v>505</v>
      </c>
      <c r="AB505" s="70"/>
      <c r="AC505" s="71"/>
      <c r="AD505" s="86" t="s">
        <v>24132</v>
      </c>
      <c r="AE505" s="94" t="s">
        <v>23045</v>
      </c>
      <c r="AF505" s="86">
        <v>5</v>
      </c>
      <c r="AG505" s="86">
        <v>3</v>
      </c>
      <c r="AH505" s="86">
        <v>108</v>
      </c>
      <c r="AI505" s="86">
        <v>0</v>
      </c>
      <c r="AJ505" s="86">
        <v>0</v>
      </c>
      <c r="AK505" s="86">
        <v>107</v>
      </c>
      <c r="AL505" s="86" t="b">
        <v>0</v>
      </c>
      <c r="AM505" s="89">
        <v>44821.025671296295</v>
      </c>
      <c r="AN505" s="86"/>
      <c r="AO505" s="86" t="s">
        <v>26883</v>
      </c>
      <c r="AP505" s="96" t="str">
        <f>HYPERLINK("https://t.co/ZcVBFdPEui")</f>
        <v>https://t.co/ZcVBFdPEui</v>
      </c>
      <c r="AQ505" s="96" t="str">
        <f>HYPERLINK("https://linkr.bio/iniciar_")</f>
        <v>https://linkr.bio/iniciar_</v>
      </c>
      <c r="AR505" s="86" t="s">
        <v>28249</v>
      </c>
      <c r="AS505" s="86"/>
      <c r="AT505" s="86"/>
      <c r="AU505" s="86"/>
      <c r="AV505" s="86"/>
      <c r="AW505" s="96" t="str">
        <f>HYPERLINK("https://t.co/ZcVBFdPEui")</f>
        <v>https://t.co/ZcVBFdPEui</v>
      </c>
      <c r="AX505" s="86" t="b">
        <v>0</v>
      </c>
      <c r="AY505" s="86"/>
      <c r="AZ505" s="86"/>
      <c r="BA505" s="86" t="b">
        <v>0</v>
      </c>
      <c r="BB505" s="86" t="b">
        <v>1</v>
      </c>
      <c r="BC505" s="86" t="b">
        <v>1</v>
      </c>
      <c r="BD505" s="86" t="b">
        <v>0</v>
      </c>
      <c r="BE505" s="86" t="b">
        <v>0</v>
      </c>
      <c r="BF505" s="86" t="b">
        <v>0</v>
      </c>
      <c r="BG505" s="86" t="b">
        <v>0</v>
      </c>
      <c r="BH505" s="96" t="str">
        <f>HYPERLINK("https://pbs.twimg.com/profile_banners/1570934663446683649/1680629834")</f>
        <v>https://pbs.twimg.com/profile_banners/1570934663446683649/1680629834</v>
      </c>
      <c r="BI505" s="86"/>
      <c r="BJ505" s="86" t="s">
        <v>29134</v>
      </c>
      <c r="BK505" s="86" t="b">
        <v>0</v>
      </c>
      <c r="BL505" s="86"/>
      <c r="BM505" s="86" t="s">
        <v>66</v>
      </c>
      <c r="BN505" s="86" t="s">
        <v>29136</v>
      </c>
      <c r="BO505" s="96" t="str">
        <f>HYPERLINK("https://twitter.com/rafaelamorimofc")</f>
        <v>https://twitter.com/rafaelamorimofc</v>
      </c>
      <c r="BP505" s="2"/>
    </row>
    <row r="506" spans="1:68" x14ac:dyDescent="0.25">
      <c r="A506" s="63" t="s">
        <v>660</v>
      </c>
      <c r="B506" s="64"/>
      <c r="C506" s="64"/>
      <c r="D506" s="65"/>
      <c r="E506" s="67"/>
      <c r="F506" s="111" t="str">
        <f>HYPERLINK("https://pbs.twimg.com/profile_images/1675506536683036672/jXC9VhJh_normal.jpg")</f>
        <v>https://pbs.twimg.com/profile_images/1675506536683036672/jXC9VhJh_normal.jpg</v>
      </c>
      <c r="G506" s="64"/>
      <c r="H506" s="68"/>
      <c r="I506" s="69"/>
      <c r="J506" s="69"/>
      <c r="K506" s="68" t="s">
        <v>29639</v>
      </c>
      <c r="L506" s="72"/>
      <c r="M506" s="73"/>
      <c r="N506" s="73"/>
      <c r="O506" s="74"/>
      <c r="P506" s="75"/>
      <c r="Q506" s="75"/>
      <c r="R506" s="102"/>
      <c r="S506" s="102"/>
      <c r="T506" s="102"/>
      <c r="U506" s="102"/>
      <c r="V506" s="48"/>
      <c r="W506" s="48"/>
      <c r="X506" s="48"/>
      <c r="Y506" s="48"/>
      <c r="Z506" s="47"/>
      <c r="AA506" s="70">
        <v>506</v>
      </c>
      <c r="AB506" s="70"/>
      <c r="AC506" s="71"/>
      <c r="AD506" s="86" t="s">
        <v>24133</v>
      </c>
      <c r="AE506" s="94" t="s">
        <v>23046</v>
      </c>
      <c r="AF506" s="86">
        <v>0</v>
      </c>
      <c r="AG506" s="86">
        <v>11</v>
      </c>
      <c r="AH506" s="86">
        <v>90</v>
      </c>
      <c r="AI506" s="86">
        <v>0</v>
      </c>
      <c r="AJ506" s="86">
        <v>98</v>
      </c>
      <c r="AK506" s="86">
        <v>69</v>
      </c>
      <c r="AL506" s="86" t="b">
        <v>0</v>
      </c>
      <c r="AM506" s="89">
        <v>45083.566307870373</v>
      </c>
      <c r="AN506" s="86" t="s">
        <v>26060</v>
      </c>
      <c r="AO506" s="86" t="s">
        <v>26884</v>
      </c>
      <c r="AP506" s="96" t="str">
        <f>HYPERLINK("https://t.co/1TBFoqwXNh")</f>
        <v>https://t.co/1TBFoqwXNh</v>
      </c>
      <c r="AQ506" s="96" t="str">
        <f>HYPERLINK("https://youtu.be/BxgIe76pLQ4?si=GV24KAWM7BcL17FZ")</f>
        <v>https://youtu.be/BxgIe76pLQ4?si=GV24KAWM7BcL17FZ</v>
      </c>
      <c r="AR506" s="86" t="s">
        <v>28250</v>
      </c>
      <c r="AS506" s="86"/>
      <c r="AT506" s="86"/>
      <c r="AU506" s="86"/>
      <c r="AV506" s="86">
        <v>1.67426906645697E+18</v>
      </c>
      <c r="AW506" s="96" t="str">
        <f>HYPERLINK("https://t.co/1TBFoqwXNh")</f>
        <v>https://t.co/1TBFoqwXNh</v>
      </c>
      <c r="AX506" s="86" t="b">
        <v>0</v>
      </c>
      <c r="AY506" s="86"/>
      <c r="AZ506" s="86"/>
      <c r="BA506" s="86" t="b">
        <v>0</v>
      </c>
      <c r="BB506" s="86" t="b">
        <v>1</v>
      </c>
      <c r="BC506" s="86" t="b">
        <v>1</v>
      </c>
      <c r="BD506" s="86" t="b">
        <v>0</v>
      </c>
      <c r="BE506" s="86" t="b">
        <v>0</v>
      </c>
      <c r="BF506" s="86" t="b">
        <v>0</v>
      </c>
      <c r="BG506" s="86" t="b">
        <v>0</v>
      </c>
      <c r="BH506" s="96" t="str">
        <f>HYPERLINK("https://pbs.twimg.com/profile_banners/1666076210437210112/1687963315")</f>
        <v>https://pbs.twimg.com/profile_banners/1666076210437210112/1687963315</v>
      </c>
      <c r="BI506" s="86"/>
      <c r="BJ506" s="86" t="s">
        <v>29134</v>
      </c>
      <c r="BK506" s="86" t="b">
        <v>0</v>
      </c>
      <c r="BL506" s="86"/>
      <c r="BM506" s="86" t="s">
        <v>66</v>
      </c>
      <c r="BN506" s="86" t="s">
        <v>29136</v>
      </c>
      <c r="BO506" s="96" t="str">
        <f>HYPERLINK("https://twitter.com/ricardo83976752")</f>
        <v>https://twitter.com/ricardo83976752</v>
      </c>
      <c r="BP506" s="2"/>
    </row>
    <row r="507" spans="1:68" x14ac:dyDescent="0.25">
      <c r="A507" s="63" t="s">
        <v>661</v>
      </c>
      <c r="B507" s="64"/>
      <c r="C507" s="64"/>
      <c r="D507" s="65"/>
      <c r="E507" s="67"/>
      <c r="F507" s="111" t="str">
        <f>HYPERLINK("https://pbs.twimg.com/profile_images/1667633145129123844/_dTZ1oJR_normal.jpg")</f>
        <v>https://pbs.twimg.com/profile_images/1667633145129123844/_dTZ1oJR_normal.jpg</v>
      </c>
      <c r="G507" s="64"/>
      <c r="H507" s="68"/>
      <c r="I507" s="69"/>
      <c r="J507" s="69"/>
      <c r="K507" s="68" t="s">
        <v>29640</v>
      </c>
      <c r="L507" s="72"/>
      <c r="M507" s="73"/>
      <c r="N507" s="73"/>
      <c r="O507" s="74"/>
      <c r="P507" s="75"/>
      <c r="Q507" s="75"/>
      <c r="R507" s="102"/>
      <c r="S507" s="102"/>
      <c r="T507" s="102"/>
      <c r="U507" s="102"/>
      <c r="V507" s="48"/>
      <c r="W507" s="48"/>
      <c r="X507" s="48"/>
      <c r="Y507" s="48"/>
      <c r="Z507" s="47"/>
      <c r="AA507" s="70">
        <v>507</v>
      </c>
      <c r="AB507" s="70"/>
      <c r="AC507" s="71"/>
      <c r="AD507" s="86" t="s">
        <v>24134</v>
      </c>
      <c r="AE507" s="94" t="s">
        <v>23047</v>
      </c>
      <c r="AF507" s="86">
        <v>22</v>
      </c>
      <c r="AG507" s="86">
        <v>165</v>
      </c>
      <c r="AH507" s="86">
        <v>483</v>
      </c>
      <c r="AI507" s="86">
        <v>0</v>
      </c>
      <c r="AJ507" s="86">
        <v>13</v>
      </c>
      <c r="AK507" s="86">
        <v>342</v>
      </c>
      <c r="AL507" s="86" t="b">
        <v>0</v>
      </c>
      <c r="AM507" s="89">
        <v>43362.506481481483</v>
      </c>
      <c r="AN507" s="86" t="s">
        <v>15246</v>
      </c>
      <c r="AO507" s="86" t="s">
        <v>26885</v>
      </c>
      <c r="AP507" s="96" t="str">
        <f>HYPERLINK("https://t.co/remNYKmE2I")</f>
        <v>https://t.co/remNYKmE2I</v>
      </c>
      <c r="AQ507" s="96" t="str">
        <f>HYPERLINK("https://allmylinks.com/king-representacoes")</f>
        <v>https://allmylinks.com/king-representacoes</v>
      </c>
      <c r="AR507" s="86" t="s">
        <v>28251</v>
      </c>
      <c r="AS507" s="86"/>
      <c r="AT507" s="86"/>
      <c r="AU507" s="86"/>
      <c r="AV507" s="86"/>
      <c r="AW507" s="96" t="str">
        <f>HYPERLINK("https://t.co/remNYKmE2I")</f>
        <v>https://t.co/remNYKmE2I</v>
      </c>
      <c r="AX507" s="86" t="b">
        <v>0</v>
      </c>
      <c r="AY507" s="86"/>
      <c r="AZ507" s="86"/>
      <c r="BA507" s="86" t="b">
        <v>1</v>
      </c>
      <c r="BB507" s="86" t="b">
        <v>1</v>
      </c>
      <c r="BC507" s="86" t="b">
        <v>0</v>
      </c>
      <c r="BD507" s="86" t="b">
        <v>0</v>
      </c>
      <c r="BE507" s="86" t="b">
        <v>0</v>
      </c>
      <c r="BF507" s="86" t="b">
        <v>0</v>
      </c>
      <c r="BG507" s="86" t="b">
        <v>0</v>
      </c>
      <c r="BH507" s="96" t="str">
        <f>HYPERLINK("https://pbs.twimg.com/profile_banners/1042385145389436933/1678426984")</f>
        <v>https://pbs.twimg.com/profile_banners/1042385145389436933/1678426984</v>
      </c>
      <c r="BI507" s="86"/>
      <c r="BJ507" s="86" t="s">
        <v>29134</v>
      </c>
      <c r="BK507" s="86" t="b">
        <v>0</v>
      </c>
      <c r="BL507" s="86"/>
      <c r="BM507" s="86" t="s">
        <v>66</v>
      </c>
      <c r="BN507" s="86" t="s">
        <v>29136</v>
      </c>
      <c r="BO507" s="96" t="str">
        <f>HYPERLINK("https://twitter.com/oteroking")</f>
        <v>https://twitter.com/oteroking</v>
      </c>
      <c r="BP507" s="2"/>
    </row>
    <row r="508" spans="1:68" x14ac:dyDescent="0.25">
      <c r="A508" s="63" t="s">
        <v>662</v>
      </c>
      <c r="B508" s="64"/>
      <c r="C508" s="64"/>
      <c r="D508" s="65"/>
      <c r="E508" s="67"/>
      <c r="F508" s="111" t="str">
        <f>HYPERLINK("https://pbs.twimg.com/profile_images/1622284911791964161/dx8Gg4Wk_normal.jpg")</f>
        <v>https://pbs.twimg.com/profile_images/1622284911791964161/dx8Gg4Wk_normal.jpg</v>
      </c>
      <c r="G508" s="64"/>
      <c r="H508" s="68"/>
      <c r="I508" s="69"/>
      <c r="J508" s="69"/>
      <c r="K508" s="68" t="s">
        <v>29641</v>
      </c>
      <c r="L508" s="72"/>
      <c r="M508" s="73"/>
      <c r="N508" s="73"/>
      <c r="O508" s="74"/>
      <c r="P508" s="75"/>
      <c r="Q508" s="75"/>
      <c r="R508" s="102"/>
      <c r="S508" s="102"/>
      <c r="T508" s="102"/>
      <c r="U508" s="102"/>
      <c r="V508" s="48"/>
      <c r="W508" s="48"/>
      <c r="X508" s="48"/>
      <c r="Y508" s="48"/>
      <c r="Z508" s="47"/>
      <c r="AA508" s="70">
        <v>508</v>
      </c>
      <c r="AB508" s="70"/>
      <c r="AC508" s="71"/>
      <c r="AD508" s="86" t="s">
        <v>24135</v>
      </c>
      <c r="AE508" s="94" t="s">
        <v>23048</v>
      </c>
      <c r="AF508" s="86">
        <v>0</v>
      </c>
      <c r="AG508" s="86">
        <v>11</v>
      </c>
      <c r="AH508" s="86">
        <v>15</v>
      </c>
      <c r="AI508" s="86">
        <v>0</v>
      </c>
      <c r="AJ508" s="86">
        <v>19</v>
      </c>
      <c r="AK508" s="86">
        <v>14</v>
      </c>
      <c r="AL508" s="86" t="b">
        <v>0</v>
      </c>
      <c r="AM508" s="89">
        <v>44962.721145833333</v>
      </c>
      <c r="AN508" s="86" t="s">
        <v>15246</v>
      </c>
      <c r="AO508" s="86" t="s">
        <v>26886</v>
      </c>
      <c r="AP508" s="86"/>
      <c r="AQ508" s="86"/>
      <c r="AR508" s="86"/>
      <c r="AS508" s="86"/>
      <c r="AT508" s="86"/>
      <c r="AU508" s="86"/>
      <c r="AV508" s="86"/>
      <c r="AW508" s="86"/>
      <c r="AX508" s="86" t="b">
        <v>0</v>
      </c>
      <c r="AY508" s="86"/>
      <c r="AZ508" s="86"/>
      <c r="BA508" s="86" t="b">
        <v>0</v>
      </c>
      <c r="BB508" s="86" t="b">
        <v>1</v>
      </c>
      <c r="BC508" s="86" t="b">
        <v>1</v>
      </c>
      <c r="BD508" s="86" t="b">
        <v>0</v>
      </c>
      <c r="BE508" s="86" t="b">
        <v>0</v>
      </c>
      <c r="BF508" s="86" t="b">
        <v>0</v>
      </c>
      <c r="BG508" s="86" t="b">
        <v>0</v>
      </c>
      <c r="BH508" s="86"/>
      <c r="BI508" s="86"/>
      <c r="BJ508" s="86" t="s">
        <v>29134</v>
      </c>
      <c r="BK508" s="86" t="b">
        <v>0</v>
      </c>
      <c r="BL508" s="86"/>
      <c r="BM508" s="86" t="s">
        <v>66</v>
      </c>
      <c r="BN508" s="86" t="s">
        <v>29136</v>
      </c>
      <c r="BO508" s="96" t="str">
        <f>HYPERLINK("https://twitter.com/leocrunfli_mkt")</f>
        <v>https://twitter.com/leocrunfli_mkt</v>
      </c>
      <c r="BP508" s="2"/>
    </row>
    <row r="509" spans="1:68" x14ac:dyDescent="0.25">
      <c r="A509" s="63" t="s">
        <v>663</v>
      </c>
      <c r="B509" s="64"/>
      <c r="C509" s="64"/>
      <c r="D509" s="65"/>
      <c r="E509" s="67"/>
      <c r="F509" s="111" t="str">
        <f>HYPERLINK("https://pbs.twimg.com/profile_images/1303407821522960385/D7XMlnS0_normal.jpg")</f>
        <v>https://pbs.twimg.com/profile_images/1303407821522960385/D7XMlnS0_normal.jpg</v>
      </c>
      <c r="G509" s="64"/>
      <c r="H509" s="68"/>
      <c r="I509" s="69"/>
      <c r="J509" s="69"/>
      <c r="K509" s="68" t="s">
        <v>29642</v>
      </c>
      <c r="L509" s="72"/>
      <c r="M509" s="73"/>
      <c r="N509" s="73"/>
      <c r="O509" s="74"/>
      <c r="P509" s="75"/>
      <c r="Q509" s="75"/>
      <c r="R509" s="102"/>
      <c r="S509" s="102"/>
      <c r="T509" s="102"/>
      <c r="U509" s="102"/>
      <c r="V509" s="48"/>
      <c r="W509" s="48"/>
      <c r="X509" s="48"/>
      <c r="Y509" s="48"/>
      <c r="Z509" s="47"/>
      <c r="AA509" s="70">
        <v>509</v>
      </c>
      <c r="AB509" s="70"/>
      <c r="AC509" s="71"/>
      <c r="AD509" s="86" t="s">
        <v>24136</v>
      </c>
      <c r="AE509" s="94" t="s">
        <v>25419</v>
      </c>
      <c r="AF509" s="86">
        <v>6</v>
      </c>
      <c r="AG509" s="86">
        <v>24</v>
      </c>
      <c r="AH509" s="86">
        <v>85</v>
      </c>
      <c r="AI509" s="86">
        <v>0</v>
      </c>
      <c r="AJ509" s="86">
        <v>1</v>
      </c>
      <c r="AK509" s="86">
        <v>41</v>
      </c>
      <c r="AL509" s="86" t="b">
        <v>0</v>
      </c>
      <c r="AM509" s="89">
        <v>41389.646435185183</v>
      </c>
      <c r="AN509" s="86" t="s">
        <v>26061</v>
      </c>
      <c r="AO509" s="86" t="s">
        <v>26887</v>
      </c>
      <c r="AP509" s="96" t="str">
        <f>HYPERLINK("https://t.co/7n9vFt0o8p")</f>
        <v>https://t.co/7n9vFt0o8p</v>
      </c>
      <c r="AQ509" s="96" t="str">
        <f>HYPERLINK("http://www.coppolacontabil.com.br")</f>
        <v>http://www.coppolacontabil.com.br</v>
      </c>
      <c r="AR509" s="86" t="s">
        <v>28252</v>
      </c>
      <c r="AS509" s="86"/>
      <c r="AT509" s="86"/>
      <c r="AU509" s="86"/>
      <c r="AV509" s="86">
        <v>1.65088277736815E+18</v>
      </c>
      <c r="AW509" s="96" t="str">
        <f>HYPERLINK("https://t.co/7n9vFt0o8p")</f>
        <v>https://t.co/7n9vFt0o8p</v>
      </c>
      <c r="AX509" s="86" t="b">
        <v>0</v>
      </c>
      <c r="AY509" s="86"/>
      <c r="AZ509" s="86"/>
      <c r="BA509" s="86" t="b">
        <v>0</v>
      </c>
      <c r="BB509" s="86" t="b">
        <v>1</v>
      </c>
      <c r="BC509" s="86" t="b">
        <v>1</v>
      </c>
      <c r="BD509" s="86" t="b">
        <v>0</v>
      </c>
      <c r="BE509" s="86" t="b">
        <v>0</v>
      </c>
      <c r="BF509" s="86" t="b">
        <v>0</v>
      </c>
      <c r="BG509" s="86" t="b">
        <v>0</v>
      </c>
      <c r="BH509" s="96" t="str">
        <f>HYPERLINK("https://pbs.twimg.com/profile_banners/1379704542/1599591616")</f>
        <v>https://pbs.twimg.com/profile_banners/1379704542/1599591616</v>
      </c>
      <c r="BI509" s="86"/>
      <c r="BJ509" s="86" t="s">
        <v>29134</v>
      </c>
      <c r="BK509" s="86" t="b">
        <v>0</v>
      </c>
      <c r="BL509" s="86"/>
      <c r="BM509" s="86" t="s">
        <v>66</v>
      </c>
      <c r="BN509" s="86" t="s">
        <v>29136</v>
      </c>
      <c r="BO509" s="96" t="str">
        <f>HYPERLINK("https://twitter.com/coppolacontabil")</f>
        <v>https://twitter.com/coppolacontabil</v>
      </c>
      <c r="BP509" s="2"/>
    </row>
    <row r="510" spans="1:68" x14ac:dyDescent="0.25">
      <c r="A510" s="63" t="s">
        <v>664</v>
      </c>
      <c r="B510" s="64"/>
      <c r="C510" s="64"/>
      <c r="D510" s="65"/>
      <c r="E510" s="67"/>
      <c r="F510" s="111" t="str">
        <f>HYPERLINK("https://pbs.twimg.com/profile_images/1702667210139820033/cboCeaUo_normal.jpg")</f>
        <v>https://pbs.twimg.com/profile_images/1702667210139820033/cboCeaUo_normal.jpg</v>
      </c>
      <c r="G510" s="64"/>
      <c r="H510" s="68"/>
      <c r="I510" s="69"/>
      <c r="J510" s="69"/>
      <c r="K510" s="68" t="s">
        <v>29643</v>
      </c>
      <c r="L510" s="72"/>
      <c r="M510" s="73"/>
      <c r="N510" s="73"/>
      <c r="O510" s="74"/>
      <c r="P510" s="75"/>
      <c r="Q510" s="75"/>
      <c r="R510" s="102"/>
      <c r="S510" s="102"/>
      <c r="T510" s="102"/>
      <c r="U510" s="102"/>
      <c r="V510" s="48"/>
      <c r="W510" s="48"/>
      <c r="X510" s="48"/>
      <c r="Y510" s="48"/>
      <c r="Z510" s="47"/>
      <c r="AA510" s="70">
        <v>510</v>
      </c>
      <c r="AB510" s="70"/>
      <c r="AC510" s="71"/>
      <c r="AD510" s="86" t="s">
        <v>24137</v>
      </c>
      <c r="AE510" s="94" t="s">
        <v>23049</v>
      </c>
      <c r="AF510" s="86">
        <v>29</v>
      </c>
      <c r="AG510" s="86">
        <v>106</v>
      </c>
      <c r="AH510" s="86">
        <v>826</v>
      </c>
      <c r="AI510" s="86">
        <v>0</v>
      </c>
      <c r="AJ510" s="86">
        <v>1431</v>
      </c>
      <c r="AK510" s="86">
        <v>106</v>
      </c>
      <c r="AL510" s="86" t="b">
        <v>0</v>
      </c>
      <c r="AM510" s="89">
        <v>43966.546620370369</v>
      </c>
      <c r="AN510" s="86" t="s">
        <v>25889</v>
      </c>
      <c r="AO510" s="86" t="s">
        <v>26888</v>
      </c>
      <c r="AP510" s="96" t="str">
        <f>HYPERLINK("https://t.co/An8y5xBeXM")</f>
        <v>https://t.co/An8y5xBeXM</v>
      </c>
      <c r="AQ510" s="96" t="str">
        <f>HYPERLINK("https://www.instagram.com/pedroferr_fotografia/")</f>
        <v>https://www.instagram.com/pedroferr_fotografia/</v>
      </c>
      <c r="AR510" s="86" t="s">
        <v>28253</v>
      </c>
      <c r="AS510" s="86"/>
      <c r="AT510" s="86"/>
      <c r="AU510" s="86"/>
      <c r="AV510" s="86"/>
      <c r="AW510" s="96" t="str">
        <f>HYPERLINK("https://t.co/An8y5xBeXM")</f>
        <v>https://t.co/An8y5xBeXM</v>
      </c>
      <c r="AX510" s="86" t="b">
        <v>0</v>
      </c>
      <c r="AY510" s="86"/>
      <c r="AZ510" s="86"/>
      <c r="BA510" s="86" t="b">
        <v>0</v>
      </c>
      <c r="BB510" s="86" t="b">
        <v>1</v>
      </c>
      <c r="BC510" s="86" t="b">
        <v>1</v>
      </c>
      <c r="BD510" s="86" t="b">
        <v>0</v>
      </c>
      <c r="BE510" s="86" t="b">
        <v>0</v>
      </c>
      <c r="BF510" s="86" t="b">
        <v>0</v>
      </c>
      <c r="BG510" s="86" t="b">
        <v>0</v>
      </c>
      <c r="BH510" s="96" t="str">
        <f>HYPERLINK("https://pbs.twimg.com/profile_banners/1261281897793105922/1695219889")</f>
        <v>https://pbs.twimg.com/profile_banners/1261281897793105922/1695219889</v>
      </c>
      <c r="BI510" s="86"/>
      <c r="BJ510" s="86" t="s">
        <v>29134</v>
      </c>
      <c r="BK510" s="86" t="b">
        <v>0</v>
      </c>
      <c r="BL510" s="86"/>
      <c r="BM510" s="86" t="s">
        <v>66</v>
      </c>
      <c r="BN510" s="86" t="s">
        <v>29136</v>
      </c>
      <c r="BO510" s="96" t="str">
        <f>HYPERLINK("https://twitter.com/ferr_explorer")</f>
        <v>https://twitter.com/ferr_explorer</v>
      </c>
      <c r="BP510" s="2"/>
    </row>
    <row r="511" spans="1:68" x14ac:dyDescent="0.25">
      <c r="A511" s="63" t="s">
        <v>665</v>
      </c>
      <c r="B511" s="64"/>
      <c r="C511" s="64"/>
      <c r="D511" s="65"/>
      <c r="E511" s="67"/>
      <c r="F511" s="111" t="str">
        <f>HYPERLINK("https://pbs.twimg.com/profile_images/1543710375782322176/rV_k9XNc_normal.jpg")</f>
        <v>https://pbs.twimg.com/profile_images/1543710375782322176/rV_k9XNc_normal.jpg</v>
      </c>
      <c r="G511" s="64"/>
      <c r="H511" s="68"/>
      <c r="I511" s="69"/>
      <c r="J511" s="69"/>
      <c r="K511" s="68" t="s">
        <v>29644</v>
      </c>
      <c r="L511" s="72"/>
      <c r="M511" s="73"/>
      <c r="N511" s="73"/>
      <c r="O511" s="74"/>
      <c r="P511" s="75"/>
      <c r="Q511" s="75"/>
      <c r="R511" s="102"/>
      <c r="S511" s="102"/>
      <c r="T511" s="102"/>
      <c r="U511" s="102"/>
      <c r="V511" s="48"/>
      <c r="W511" s="48"/>
      <c r="X511" s="48"/>
      <c r="Y511" s="48"/>
      <c r="Z511" s="47"/>
      <c r="AA511" s="70">
        <v>511</v>
      </c>
      <c r="AB511" s="70"/>
      <c r="AC511" s="71"/>
      <c r="AD511" s="86" t="s">
        <v>24138</v>
      </c>
      <c r="AE511" s="94" t="s">
        <v>25420</v>
      </c>
      <c r="AF511" s="86">
        <v>148</v>
      </c>
      <c r="AG511" s="86">
        <v>180</v>
      </c>
      <c r="AH511" s="86">
        <v>2794</v>
      </c>
      <c r="AI511" s="86">
        <v>1</v>
      </c>
      <c r="AJ511" s="86">
        <v>55</v>
      </c>
      <c r="AK511" s="86">
        <v>140</v>
      </c>
      <c r="AL511" s="86" t="b">
        <v>0</v>
      </c>
      <c r="AM511" s="89">
        <v>40120.653217592589</v>
      </c>
      <c r="AN511" s="86" t="s">
        <v>15268</v>
      </c>
      <c r="AO511" s="86" t="s">
        <v>26889</v>
      </c>
      <c r="AP511" s="86"/>
      <c r="AQ511" s="86"/>
      <c r="AR511" s="86"/>
      <c r="AS511" s="86"/>
      <c r="AT511" s="86"/>
      <c r="AU511" s="86"/>
      <c r="AV511" s="86"/>
      <c r="AW511" s="86"/>
      <c r="AX511" s="86" t="b">
        <v>0</v>
      </c>
      <c r="AY511" s="86"/>
      <c r="AZ511" s="86"/>
      <c r="BA511" s="86" t="b">
        <v>1</v>
      </c>
      <c r="BB511" s="86" t="b">
        <v>1</v>
      </c>
      <c r="BC511" s="86" t="b">
        <v>1</v>
      </c>
      <c r="BD511" s="86" t="b">
        <v>0</v>
      </c>
      <c r="BE511" s="86" t="b">
        <v>1</v>
      </c>
      <c r="BF511" s="86" t="b">
        <v>0</v>
      </c>
      <c r="BG511" s="86" t="b">
        <v>0</v>
      </c>
      <c r="BH511" s="96" t="str">
        <f>HYPERLINK("https://pbs.twimg.com/profile_banners/87216531/1676219180")</f>
        <v>https://pbs.twimg.com/profile_banners/87216531/1676219180</v>
      </c>
      <c r="BI511" s="86"/>
      <c r="BJ511" s="86" t="s">
        <v>29134</v>
      </c>
      <c r="BK511" s="86" t="b">
        <v>0</v>
      </c>
      <c r="BL511" s="86"/>
      <c r="BM511" s="86" t="s">
        <v>66</v>
      </c>
      <c r="BN511" s="86" t="s">
        <v>29136</v>
      </c>
      <c r="BO511" s="96" t="str">
        <f>HYPERLINK("https://twitter.com/jeovanibcosta")</f>
        <v>https://twitter.com/jeovanibcosta</v>
      </c>
      <c r="BP511" s="2"/>
    </row>
    <row r="512" spans="1:68" x14ac:dyDescent="0.25">
      <c r="A512" s="63" t="s">
        <v>666</v>
      </c>
      <c r="B512" s="64"/>
      <c r="C512" s="64"/>
      <c r="D512" s="65"/>
      <c r="E512" s="67"/>
      <c r="F512" s="111" t="str">
        <f>HYPERLINK("https://pbs.twimg.com/profile_images/1594321904495693825/-tj11fPT_normal.png")</f>
        <v>https://pbs.twimg.com/profile_images/1594321904495693825/-tj11fPT_normal.png</v>
      </c>
      <c r="G512" s="64"/>
      <c r="H512" s="68"/>
      <c r="I512" s="69"/>
      <c r="J512" s="69"/>
      <c r="K512" s="68" t="s">
        <v>29645</v>
      </c>
      <c r="L512" s="72"/>
      <c r="M512" s="73"/>
      <c r="N512" s="73"/>
      <c r="O512" s="74"/>
      <c r="P512" s="75"/>
      <c r="Q512" s="75"/>
      <c r="R512" s="102"/>
      <c r="S512" s="102"/>
      <c r="T512" s="102"/>
      <c r="U512" s="102"/>
      <c r="V512" s="48"/>
      <c r="W512" s="48"/>
      <c r="X512" s="48"/>
      <c r="Y512" s="48"/>
      <c r="Z512" s="47"/>
      <c r="AA512" s="70">
        <v>512</v>
      </c>
      <c r="AB512" s="70"/>
      <c r="AC512" s="71"/>
      <c r="AD512" s="86" t="s">
        <v>24139</v>
      </c>
      <c r="AE512" s="94" t="s">
        <v>23050</v>
      </c>
      <c r="AF512" s="86">
        <v>1</v>
      </c>
      <c r="AG512" s="86">
        <v>1</v>
      </c>
      <c r="AH512" s="86">
        <v>98</v>
      </c>
      <c r="AI512" s="86">
        <v>0</v>
      </c>
      <c r="AJ512" s="86">
        <v>0</v>
      </c>
      <c r="AK512" s="86">
        <v>22</v>
      </c>
      <c r="AL512" s="86" t="b">
        <v>0</v>
      </c>
      <c r="AM512" s="89">
        <v>44885.56177083333</v>
      </c>
      <c r="AN512" s="86"/>
      <c r="AO512" s="86"/>
      <c r="AP512" s="86"/>
      <c r="AQ512" s="86"/>
      <c r="AR512" s="86"/>
      <c r="AS512" s="86"/>
      <c r="AT512" s="86"/>
      <c r="AU512" s="86"/>
      <c r="AV512" s="86"/>
      <c r="AW512" s="86"/>
      <c r="AX512" s="86" t="b">
        <v>0</v>
      </c>
      <c r="AY512" s="86"/>
      <c r="AZ512" s="86"/>
      <c r="BA512" s="86" t="b">
        <v>0</v>
      </c>
      <c r="BB512" s="86" t="b">
        <v>1</v>
      </c>
      <c r="BC512" s="86" t="b">
        <v>1</v>
      </c>
      <c r="BD512" s="86" t="b">
        <v>0</v>
      </c>
      <c r="BE512" s="86" t="b">
        <v>0</v>
      </c>
      <c r="BF512" s="86" t="b">
        <v>0</v>
      </c>
      <c r="BG512" s="86" t="b">
        <v>0</v>
      </c>
      <c r="BH512" s="86"/>
      <c r="BI512" s="86"/>
      <c r="BJ512" s="86" t="s">
        <v>29134</v>
      </c>
      <c r="BK512" s="86" t="b">
        <v>0</v>
      </c>
      <c r="BL512" s="86"/>
      <c r="BM512" s="86" t="s">
        <v>66</v>
      </c>
      <c r="BN512" s="86" t="s">
        <v>29136</v>
      </c>
      <c r="BO512" s="96" t="str">
        <f>HYPERLINK("https://twitter.com/terezaomozama")</f>
        <v>https://twitter.com/terezaomozama</v>
      </c>
      <c r="BP512" s="2"/>
    </row>
    <row r="513" spans="1:68" x14ac:dyDescent="0.25">
      <c r="A513" s="63" t="s">
        <v>667</v>
      </c>
      <c r="B513" s="64"/>
      <c r="C513" s="64"/>
      <c r="D513" s="65"/>
      <c r="E513" s="67"/>
      <c r="F513" s="111" t="str">
        <f>HYPERLINK("https://pbs.twimg.com/profile_images/1458493246078865410/OtPcncbD_normal.jpg")</f>
        <v>https://pbs.twimg.com/profile_images/1458493246078865410/OtPcncbD_normal.jpg</v>
      </c>
      <c r="G513" s="64"/>
      <c r="H513" s="68"/>
      <c r="I513" s="69"/>
      <c r="J513" s="69"/>
      <c r="K513" s="68" t="s">
        <v>29646</v>
      </c>
      <c r="L513" s="72"/>
      <c r="M513" s="73"/>
      <c r="N513" s="73"/>
      <c r="O513" s="74"/>
      <c r="P513" s="75"/>
      <c r="Q513" s="75"/>
      <c r="R513" s="102"/>
      <c r="S513" s="102"/>
      <c r="T513" s="102"/>
      <c r="U513" s="102"/>
      <c r="V513" s="48"/>
      <c r="W513" s="48"/>
      <c r="X513" s="48"/>
      <c r="Y513" s="48"/>
      <c r="Z513" s="47"/>
      <c r="AA513" s="70">
        <v>513</v>
      </c>
      <c r="AB513" s="70"/>
      <c r="AC513" s="71"/>
      <c r="AD513" s="86" t="s">
        <v>24140</v>
      </c>
      <c r="AE513" s="94" t="s">
        <v>22558</v>
      </c>
      <c r="AF513" s="86">
        <v>60</v>
      </c>
      <c r="AG513" s="86">
        <v>976</v>
      </c>
      <c r="AH513" s="86">
        <v>663</v>
      </c>
      <c r="AI513" s="86">
        <v>1</v>
      </c>
      <c r="AJ513" s="86">
        <v>193</v>
      </c>
      <c r="AK513" s="86">
        <v>98</v>
      </c>
      <c r="AL513" s="86" t="b">
        <v>0</v>
      </c>
      <c r="AM513" s="89">
        <v>43207.603576388887</v>
      </c>
      <c r="AN513" s="86" t="s">
        <v>15240</v>
      </c>
      <c r="AO513" s="86" t="s">
        <v>26890</v>
      </c>
      <c r="AP513" s="96" t="str">
        <f>HYPERLINK("https://t.co/nMRJwWAIgg")</f>
        <v>https://t.co/nMRJwWAIgg</v>
      </c>
      <c r="AQ513" s="96" t="str">
        <f>HYPERLINK("http://www.moc.marketing")</f>
        <v>http://www.moc.marketing</v>
      </c>
      <c r="AR513" s="86" t="s">
        <v>28254</v>
      </c>
      <c r="AS513" s="86"/>
      <c r="AT513" s="86"/>
      <c r="AU513" s="86"/>
      <c r="AV513" s="86">
        <v>1.6455778255069499E+18</v>
      </c>
      <c r="AW513" s="96" t="str">
        <f>HYPERLINK("https://t.co/nMRJwWAIgg")</f>
        <v>https://t.co/nMRJwWAIgg</v>
      </c>
      <c r="AX513" s="86" t="b">
        <v>0</v>
      </c>
      <c r="AY513" s="86"/>
      <c r="AZ513" s="86"/>
      <c r="BA513" s="86" t="b">
        <v>0</v>
      </c>
      <c r="BB513" s="86" t="b">
        <v>1</v>
      </c>
      <c r="BC513" s="86" t="b">
        <v>1</v>
      </c>
      <c r="BD513" s="86" t="b">
        <v>0</v>
      </c>
      <c r="BE513" s="86" t="b">
        <v>1</v>
      </c>
      <c r="BF513" s="86" t="b">
        <v>0</v>
      </c>
      <c r="BG513" s="86" t="b">
        <v>0</v>
      </c>
      <c r="BH513" s="96" t="str">
        <f>HYPERLINK("https://pbs.twimg.com/profile_banners/986250213512896512/1695346757")</f>
        <v>https://pbs.twimg.com/profile_banners/986250213512896512/1695346757</v>
      </c>
      <c r="BI513" s="86"/>
      <c r="BJ513" s="86" t="s">
        <v>29134</v>
      </c>
      <c r="BK513" s="86" t="b">
        <v>0</v>
      </c>
      <c r="BL513" s="86"/>
      <c r="BM513" s="86" t="s">
        <v>66</v>
      </c>
      <c r="BN513" s="86" t="s">
        <v>29136</v>
      </c>
      <c r="BO513" s="96" t="str">
        <f>HYPERLINK("https://twitter.com/othomazmaciel")</f>
        <v>https://twitter.com/othomazmaciel</v>
      </c>
      <c r="BP513" s="2"/>
    </row>
    <row r="514" spans="1:68" x14ac:dyDescent="0.25">
      <c r="A514" s="63" t="s">
        <v>668</v>
      </c>
      <c r="B514" s="64"/>
      <c r="C514" s="64"/>
      <c r="D514" s="65"/>
      <c r="E514" s="67"/>
      <c r="F514" s="111" t="str">
        <f>HYPERLINK("https://pbs.twimg.com/profile_images/1039576837213638656/86eqYBM5_normal.jpg")</f>
        <v>https://pbs.twimg.com/profile_images/1039576837213638656/86eqYBM5_normal.jpg</v>
      </c>
      <c r="G514" s="64"/>
      <c r="H514" s="68"/>
      <c r="I514" s="69"/>
      <c r="J514" s="69"/>
      <c r="K514" s="68" t="s">
        <v>29647</v>
      </c>
      <c r="L514" s="72"/>
      <c r="M514" s="73"/>
      <c r="N514" s="73"/>
      <c r="O514" s="74"/>
      <c r="P514" s="75"/>
      <c r="Q514" s="75"/>
      <c r="R514" s="102"/>
      <c r="S514" s="102"/>
      <c r="T514" s="102"/>
      <c r="U514" s="102"/>
      <c r="V514" s="48"/>
      <c r="W514" s="48"/>
      <c r="X514" s="48"/>
      <c r="Y514" s="48"/>
      <c r="Z514" s="47"/>
      <c r="AA514" s="70">
        <v>514</v>
      </c>
      <c r="AB514" s="70"/>
      <c r="AC514" s="71"/>
      <c r="AD514" s="86" t="s">
        <v>24141</v>
      </c>
      <c r="AE514" s="94" t="s">
        <v>23051</v>
      </c>
      <c r="AF514" s="86">
        <v>54</v>
      </c>
      <c r="AG514" s="86">
        <v>139</v>
      </c>
      <c r="AH514" s="86">
        <v>1532</v>
      </c>
      <c r="AI514" s="86">
        <v>0</v>
      </c>
      <c r="AJ514" s="86">
        <v>2836</v>
      </c>
      <c r="AK514" s="86">
        <v>68</v>
      </c>
      <c r="AL514" s="86" t="b">
        <v>0</v>
      </c>
      <c r="AM514" s="89">
        <v>43354.755752314813</v>
      </c>
      <c r="AN514" s="86" t="s">
        <v>26062</v>
      </c>
      <c r="AO514" s="86" t="s">
        <v>26891</v>
      </c>
      <c r="AP514" s="96" t="str">
        <f>HYPERLINK("https://t.co/XHJRYaqMIY")</f>
        <v>https://t.co/XHJRYaqMIY</v>
      </c>
      <c r="AQ514" s="96" t="str">
        <f>HYPERLINK("https://www.facebook.com/profile.php?id=100027430060119")</f>
        <v>https://www.facebook.com/profile.php?id=100027430060119</v>
      </c>
      <c r="AR514" s="86" t="s">
        <v>28068</v>
      </c>
      <c r="AS514" s="86"/>
      <c r="AT514" s="86"/>
      <c r="AU514" s="86"/>
      <c r="AV514" s="86"/>
      <c r="AW514" s="96" t="str">
        <f>HYPERLINK("https://t.co/XHJRYaqMIY")</f>
        <v>https://t.co/XHJRYaqMIY</v>
      </c>
      <c r="AX514" s="86" t="b">
        <v>0</v>
      </c>
      <c r="AY514" s="86"/>
      <c r="AZ514" s="86"/>
      <c r="BA514" s="86" t="b">
        <v>0</v>
      </c>
      <c r="BB514" s="86" t="b">
        <v>1</v>
      </c>
      <c r="BC514" s="86" t="b">
        <v>1</v>
      </c>
      <c r="BD514" s="86" t="b">
        <v>0</v>
      </c>
      <c r="BE514" s="86" t="b">
        <v>0</v>
      </c>
      <c r="BF514" s="86" t="b">
        <v>0</v>
      </c>
      <c r="BG514" s="86" t="b">
        <v>0</v>
      </c>
      <c r="BH514" s="96" t="str">
        <f>HYPERLINK("https://pbs.twimg.com/profile_banners/1039576377605988352/1536689421")</f>
        <v>https://pbs.twimg.com/profile_banners/1039576377605988352/1536689421</v>
      </c>
      <c r="BI514" s="86"/>
      <c r="BJ514" s="86" t="s">
        <v>29134</v>
      </c>
      <c r="BK514" s="86" t="b">
        <v>0</v>
      </c>
      <c r="BL514" s="86"/>
      <c r="BM514" s="86" t="s">
        <v>66</v>
      </c>
      <c r="BN514" s="86" t="s">
        <v>29136</v>
      </c>
      <c r="BO514" s="96" t="str">
        <f>HYPERLINK("https://twitter.com/compraintelige3")</f>
        <v>https://twitter.com/compraintelige3</v>
      </c>
      <c r="BP514" s="2"/>
    </row>
    <row r="515" spans="1:68" x14ac:dyDescent="0.25">
      <c r="A515" s="63" t="s">
        <v>669</v>
      </c>
      <c r="B515" s="64"/>
      <c r="C515" s="64"/>
      <c r="D515" s="65"/>
      <c r="E515" s="67"/>
      <c r="F515" s="111" t="str">
        <f>HYPERLINK("https://pbs.twimg.com/profile_images/1615505451520491520/BQypLd2M_normal.png")</f>
        <v>https://pbs.twimg.com/profile_images/1615505451520491520/BQypLd2M_normal.png</v>
      </c>
      <c r="G515" s="64"/>
      <c r="H515" s="68"/>
      <c r="I515" s="69"/>
      <c r="J515" s="69"/>
      <c r="K515" s="68" t="s">
        <v>29648</v>
      </c>
      <c r="L515" s="72"/>
      <c r="M515" s="73"/>
      <c r="N515" s="73"/>
      <c r="O515" s="74"/>
      <c r="P515" s="75"/>
      <c r="Q515" s="75"/>
      <c r="R515" s="102"/>
      <c r="S515" s="102"/>
      <c r="T515" s="102"/>
      <c r="U515" s="102"/>
      <c r="V515" s="48"/>
      <c r="W515" s="48"/>
      <c r="X515" s="48"/>
      <c r="Y515" s="48"/>
      <c r="Z515" s="47"/>
      <c r="AA515" s="70">
        <v>515</v>
      </c>
      <c r="AB515" s="70"/>
      <c r="AC515" s="71"/>
      <c r="AD515" s="86" t="s">
        <v>24142</v>
      </c>
      <c r="AE515" s="94" t="s">
        <v>23052</v>
      </c>
      <c r="AF515" s="86">
        <v>2</v>
      </c>
      <c r="AG515" s="86">
        <v>26</v>
      </c>
      <c r="AH515" s="86">
        <v>36</v>
      </c>
      <c r="AI515" s="86">
        <v>0</v>
      </c>
      <c r="AJ515" s="86">
        <v>3</v>
      </c>
      <c r="AK515" s="86">
        <v>25</v>
      </c>
      <c r="AL515" s="86" t="b">
        <v>0</v>
      </c>
      <c r="AM515" s="89">
        <v>44944.017222222225</v>
      </c>
      <c r="AN515" s="86"/>
      <c r="AO515" s="86" t="s">
        <v>26892</v>
      </c>
      <c r="AP515" s="86"/>
      <c r="AQ515" s="86"/>
      <c r="AR515" s="86"/>
      <c r="AS515" s="86"/>
      <c r="AT515" s="86"/>
      <c r="AU515" s="86"/>
      <c r="AV515" s="86"/>
      <c r="AW515" s="86"/>
      <c r="AX515" s="86" t="b">
        <v>0</v>
      </c>
      <c r="AY515" s="86"/>
      <c r="AZ515" s="86"/>
      <c r="BA515" s="86" t="b">
        <v>0</v>
      </c>
      <c r="BB515" s="86" t="b">
        <v>1</v>
      </c>
      <c r="BC515" s="86" t="b">
        <v>1</v>
      </c>
      <c r="BD515" s="86" t="b">
        <v>0</v>
      </c>
      <c r="BE515" s="86" t="b">
        <v>0</v>
      </c>
      <c r="BF515" s="86" t="b">
        <v>0</v>
      </c>
      <c r="BG515" s="86" t="b">
        <v>0</v>
      </c>
      <c r="BH515" s="96" t="str">
        <f>HYPERLINK("https://pbs.twimg.com/profile_banners/1615505396902367234/1674002033")</f>
        <v>https://pbs.twimg.com/profile_banners/1615505396902367234/1674002033</v>
      </c>
      <c r="BI515" s="86"/>
      <c r="BJ515" s="86" t="s">
        <v>29134</v>
      </c>
      <c r="BK515" s="86" t="b">
        <v>0</v>
      </c>
      <c r="BL515" s="86"/>
      <c r="BM515" s="86" t="s">
        <v>66</v>
      </c>
      <c r="BN515" s="86" t="s">
        <v>29136</v>
      </c>
      <c r="BO515" s="96" t="str">
        <f>HYPERLINK("https://twitter.com/rocketmediapnz")</f>
        <v>https://twitter.com/rocketmediapnz</v>
      </c>
      <c r="BP515" s="2"/>
    </row>
    <row r="516" spans="1:68" x14ac:dyDescent="0.25">
      <c r="A516" s="63" t="s">
        <v>670</v>
      </c>
      <c r="B516" s="64"/>
      <c r="C516" s="64"/>
      <c r="D516" s="65"/>
      <c r="E516" s="67"/>
      <c r="F516" s="111" t="str">
        <f>HYPERLINK("https://pbs.twimg.com/profile_images/1703357517978288128/Fr2yxy8X_normal.jpg")</f>
        <v>https://pbs.twimg.com/profile_images/1703357517978288128/Fr2yxy8X_normal.jpg</v>
      </c>
      <c r="G516" s="64"/>
      <c r="H516" s="68"/>
      <c r="I516" s="69"/>
      <c r="J516" s="69"/>
      <c r="K516" s="68" t="s">
        <v>29649</v>
      </c>
      <c r="L516" s="72"/>
      <c r="M516" s="73"/>
      <c r="N516" s="73"/>
      <c r="O516" s="74"/>
      <c r="P516" s="75"/>
      <c r="Q516" s="75"/>
      <c r="R516" s="102"/>
      <c r="S516" s="102"/>
      <c r="T516" s="102"/>
      <c r="U516" s="102"/>
      <c r="V516" s="48"/>
      <c r="W516" s="48"/>
      <c r="X516" s="48"/>
      <c r="Y516" s="48"/>
      <c r="Z516" s="47"/>
      <c r="AA516" s="70">
        <v>516</v>
      </c>
      <c r="AB516" s="70"/>
      <c r="AC516" s="71"/>
      <c r="AD516" s="86" t="s">
        <v>24143</v>
      </c>
      <c r="AE516" s="94" t="s">
        <v>23053</v>
      </c>
      <c r="AF516" s="86">
        <v>8</v>
      </c>
      <c r="AG516" s="86">
        <v>22</v>
      </c>
      <c r="AH516" s="86">
        <v>424</v>
      </c>
      <c r="AI516" s="86">
        <v>0</v>
      </c>
      <c r="AJ516" s="86">
        <v>46</v>
      </c>
      <c r="AK516" s="86">
        <v>419</v>
      </c>
      <c r="AL516" s="86" t="b">
        <v>0</v>
      </c>
      <c r="AM516" s="89">
        <v>45034.120763888888</v>
      </c>
      <c r="AN516" s="86"/>
      <c r="AO516" s="86" t="s">
        <v>26893</v>
      </c>
      <c r="AP516" s="96" t="str">
        <f>HYPERLINK("https://t.co/HMS8bl1sbH")</f>
        <v>https://t.co/HMS8bl1sbH</v>
      </c>
      <c r="AQ516" s="96" t="str">
        <f>HYPERLINK("http://www.corumbaonline.com.br")</f>
        <v>http://www.corumbaonline.com.br</v>
      </c>
      <c r="AR516" s="86" t="s">
        <v>28255</v>
      </c>
      <c r="AS516" s="86"/>
      <c r="AT516" s="86"/>
      <c r="AU516" s="86"/>
      <c r="AV516" s="86"/>
      <c r="AW516" s="96" t="str">
        <f>HYPERLINK("https://t.co/HMS8bl1sbH")</f>
        <v>https://t.co/HMS8bl1sbH</v>
      </c>
      <c r="AX516" s="86" t="b">
        <v>0</v>
      </c>
      <c r="AY516" s="86"/>
      <c r="AZ516" s="86"/>
      <c r="BA516" s="86" t="b">
        <v>0</v>
      </c>
      <c r="BB516" s="86" t="b">
        <v>1</v>
      </c>
      <c r="BC516" s="86" t="b">
        <v>1</v>
      </c>
      <c r="BD516" s="86" t="b">
        <v>0</v>
      </c>
      <c r="BE516" s="86" t="b">
        <v>0</v>
      </c>
      <c r="BF516" s="86" t="b">
        <v>0</v>
      </c>
      <c r="BG516" s="86" t="b">
        <v>0</v>
      </c>
      <c r="BH516" s="96" t="str">
        <f>HYPERLINK("https://pbs.twimg.com/profile_banners/1648157827200962560/1694875202")</f>
        <v>https://pbs.twimg.com/profile_banners/1648157827200962560/1694875202</v>
      </c>
      <c r="BI516" s="86"/>
      <c r="BJ516" s="86" t="s">
        <v>29134</v>
      </c>
      <c r="BK516" s="86" t="b">
        <v>0</v>
      </c>
      <c r="BL516" s="86"/>
      <c r="BM516" s="86" t="s">
        <v>66</v>
      </c>
      <c r="BN516" s="86" t="s">
        <v>29136</v>
      </c>
      <c r="BO516" s="96" t="str">
        <f>HYPERLINK("https://twitter.com/corumbaonline1")</f>
        <v>https://twitter.com/corumbaonline1</v>
      </c>
      <c r="BP516" s="2"/>
    </row>
    <row r="517" spans="1:68" x14ac:dyDescent="0.25">
      <c r="A517" s="63" t="s">
        <v>671</v>
      </c>
      <c r="B517" s="64"/>
      <c r="C517" s="64"/>
      <c r="D517" s="65"/>
      <c r="E517" s="67"/>
      <c r="F517" s="111" t="str">
        <f>HYPERLINK("https://pbs.twimg.com/profile_images/1677000136701124608/bkma_mNv_normal.jpg")</f>
        <v>https://pbs.twimg.com/profile_images/1677000136701124608/bkma_mNv_normal.jpg</v>
      </c>
      <c r="G517" s="64"/>
      <c r="H517" s="68"/>
      <c r="I517" s="69"/>
      <c r="J517" s="69"/>
      <c r="K517" s="68" t="s">
        <v>29650</v>
      </c>
      <c r="L517" s="72"/>
      <c r="M517" s="73"/>
      <c r="N517" s="73"/>
      <c r="O517" s="74"/>
      <c r="P517" s="75"/>
      <c r="Q517" s="75"/>
      <c r="R517" s="102"/>
      <c r="S517" s="102"/>
      <c r="T517" s="102"/>
      <c r="U517" s="102"/>
      <c r="V517" s="48"/>
      <c r="W517" s="48"/>
      <c r="X517" s="48"/>
      <c r="Y517" s="48"/>
      <c r="Z517" s="47"/>
      <c r="AA517" s="70">
        <v>517</v>
      </c>
      <c r="AB517" s="70"/>
      <c r="AC517" s="71"/>
      <c r="AD517" s="86" t="s">
        <v>24144</v>
      </c>
      <c r="AE517" s="94" t="s">
        <v>22559</v>
      </c>
      <c r="AF517" s="86">
        <v>708</v>
      </c>
      <c r="AG517" s="86">
        <v>455</v>
      </c>
      <c r="AH517" s="86">
        <v>18027</v>
      </c>
      <c r="AI517" s="86">
        <v>9</v>
      </c>
      <c r="AJ517" s="86">
        <v>52231</v>
      </c>
      <c r="AK517" s="86">
        <v>365</v>
      </c>
      <c r="AL517" s="86" t="b">
        <v>0</v>
      </c>
      <c r="AM517" s="89">
        <v>43577.851944444446</v>
      </c>
      <c r="AN517" s="86" t="s">
        <v>26063</v>
      </c>
      <c r="AO517" s="96" t="str">
        <f>HYPERLINK("https://t.co/xIxV1zsRqu")</f>
        <v>https://t.co/xIxV1zsRqu</v>
      </c>
      <c r="AP517" s="86"/>
      <c r="AQ517" s="86"/>
      <c r="AR517" s="86"/>
      <c r="AS517" s="96" t="str">
        <f>HYPERLINK("https://t.co/xIxV1zsRqu")</f>
        <v>https://t.co/xIxV1zsRqu</v>
      </c>
      <c r="AT517" s="96" t="str">
        <f>HYPERLINK("http://dindinsemfim.blogspot.com")</f>
        <v>http://dindinsemfim.blogspot.com</v>
      </c>
      <c r="AU517" s="86" t="s">
        <v>29064</v>
      </c>
      <c r="AV517" s="86">
        <v>1.70688890491648E+18</v>
      </c>
      <c r="AW517" s="86"/>
      <c r="AX517" s="86" t="b">
        <v>1</v>
      </c>
      <c r="AY517" s="86"/>
      <c r="AZ517" s="86"/>
      <c r="BA517" s="86" t="b">
        <v>0</v>
      </c>
      <c r="BB517" s="86" t="b">
        <v>1</v>
      </c>
      <c r="BC517" s="86" t="b">
        <v>1</v>
      </c>
      <c r="BD517" s="86" t="b">
        <v>0</v>
      </c>
      <c r="BE517" s="86" t="b">
        <v>0</v>
      </c>
      <c r="BF517" s="86" t="b">
        <v>0</v>
      </c>
      <c r="BG517" s="86" t="b">
        <v>0</v>
      </c>
      <c r="BH517" s="96" t="str">
        <f>HYPERLINK("https://pbs.twimg.com/profile_banners/1120423731199975425/1567974890")</f>
        <v>https://pbs.twimg.com/profile_banners/1120423731199975425/1567974890</v>
      </c>
      <c r="BI517" s="86"/>
      <c r="BJ517" s="86" t="s">
        <v>29134</v>
      </c>
      <c r="BK517" s="86" t="b">
        <v>0</v>
      </c>
      <c r="BL517" s="86"/>
      <c r="BM517" s="86" t="s">
        <v>66</v>
      </c>
      <c r="BN517" s="86" t="s">
        <v>29136</v>
      </c>
      <c r="BO517" s="96" t="str">
        <f>HYPERLINK("https://twitter.com/realpauloborba")</f>
        <v>https://twitter.com/realpauloborba</v>
      </c>
      <c r="BP517" s="2"/>
    </row>
    <row r="518" spans="1:68" x14ac:dyDescent="0.25">
      <c r="A518" s="63" t="s">
        <v>672</v>
      </c>
      <c r="B518" s="64"/>
      <c r="C518" s="64"/>
      <c r="D518" s="65"/>
      <c r="E518" s="67"/>
      <c r="F518" s="111" t="str">
        <f>HYPERLINK("https://pbs.twimg.com/profile_images/1695481746484006914/tOxBh54r_normal.jpg")</f>
        <v>https://pbs.twimg.com/profile_images/1695481746484006914/tOxBh54r_normal.jpg</v>
      </c>
      <c r="G518" s="64"/>
      <c r="H518" s="68"/>
      <c r="I518" s="69"/>
      <c r="J518" s="69"/>
      <c r="K518" s="68" t="s">
        <v>29651</v>
      </c>
      <c r="L518" s="72"/>
      <c r="M518" s="73"/>
      <c r="N518" s="73"/>
      <c r="O518" s="74"/>
      <c r="P518" s="75"/>
      <c r="Q518" s="75"/>
      <c r="R518" s="102"/>
      <c r="S518" s="102"/>
      <c r="T518" s="102"/>
      <c r="U518" s="102"/>
      <c r="V518" s="48"/>
      <c r="W518" s="48"/>
      <c r="X518" s="48"/>
      <c r="Y518" s="48"/>
      <c r="Z518" s="47"/>
      <c r="AA518" s="70">
        <v>518</v>
      </c>
      <c r="AB518" s="70"/>
      <c r="AC518" s="71"/>
      <c r="AD518" s="86" t="s">
        <v>24145</v>
      </c>
      <c r="AE518" s="94" t="s">
        <v>23054</v>
      </c>
      <c r="AF518" s="86">
        <v>494</v>
      </c>
      <c r="AG518" s="86">
        <v>1</v>
      </c>
      <c r="AH518" s="86">
        <v>761</v>
      </c>
      <c r="AI518" s="86">
        <v>2</v>
      </c>
      <c r="AJ518" s="86">
        <v>322</v>
      </c>
      <c r="AK518" s="86">
        <v>259</v>
      </c>
      <c r="AL518" s="86" t="b">
        <v>0</v>
      </c>
      <c r="AM518" s="89">
        <v>43705.58021990741</v>
      </c>
      <c r="AN518" s="86" t="s">
        <v>15270</v>
      </c>
      <c r="AO518" s="86" t="s">
        <v>26894</v>
      </c>
      <c r="AP518" s="96" t="str">
        <f>HYPERLINK("https://t.co/LOgjUaqQIy")</f>
        <v>https://t.co/LOgjUaqQIy</v>
      </c>
      <c r="AQ518" s="96" t="str">
        <f>HYPERLINK("https://wa.me/message/MS7SNZOXHUN3A1")</f>
        <v>https://wa.me/message/MS7SNZOXHUN3A1</v>
      </c>
      <c r="AR518" s="86" t="s">
        <v>28256</v>
      </c>
      <c r="AS518" s="86"/>
      <c r="AT518" s="86"/>
      <c r="AU518" s="86"/>
      <c r="AV518" s="86">
        <v>1.6233710330455601E+18</v>
      </c>
      <c r="AW518" s="96" t="str">
        <f>HYPERLINK("https://t.co/LOgjUaqQIy")</f>
        <v>https://t.co/LOgjUaqQIy</v>
      </c>
      <c r="AX518" s="86" t="b">
        <v>0</v>
      </c>
      <c r="AY518" s="86"/>
      <c r="AZ518" s="86"/>
      <c r="BA518" s="86" t="b">
        <v>1</v>
      </c>
      <c r="BB518" s="86" t="b">
        <v>1</v>
      </c>
      <c r="BC518" s="86" t="b">
        <v>1</v>
      </c>
      <c r="BD518" s="86" t="b">
        <v>0</v>
      </c>
      <c r="BE518" s="86" t="b">
        <v>1</v>
      </c>
      <c r="BF518" s="86" t="b">
        <v>0</v>
      </c>
      <c r="BG518" s="86" t="b">
        <v>1</v>
      </c>
      <c r="BH518" s="96" t="str">
        <f>HYPERLINK("https://pbs.twimg.com/profile_banners/1166710846342516737/1604712577")</f>
        <v>https://pbs.twimg.com/profile_banners/1166710846342516737/1604712577</v>
      </c>
      <c r="BI518" s="86"/>
      <c r="BJ518" s="86" t="s">
        <v>29134</v>
      </c>
      <c r="BK518" s="86" t="b">
        <v>0</v>
      </c>
      <c r="BL518" s="86"/>
      <c r="BM518" s="86" t="s">
        <v>66</v>
      </c>
      <c r="BN518" s="86" t="s">
        <v>29136</v>
      </c>
      <c r="BO518" s="96" t="str">
        <f>HYPERLINK("https://twitter.com/luisdepilmen")</f>
        <v>https://twitter.com/luisdepilmen</v>
      </c>
      <c r="BP518" s="2"/>
    </row>
    <row r="519" spans="1:68" x14ac:dyDescent="0.25">
      <c r="A519" s="63" t="s">
        <v>673</v>
      </c>
      <c r="B519" s="64"/>
      <c r="C519" s="64"/>
      <c r="D519" s="65"/>
      <c r="E519" s="67"/>
      <c r="F519" s="111" t="str">
        <f>HYPERLINK("https://pbs.twimg.com/profile_images/799749303497584640/-yU1tKyG_normal.jpg")</f>
        <v>https://pbs.twimg.com/profile_images/799749303497584640/-yU1tKyG_normal.jpg</v>
      </c>
      <c r="G519" s="64"/>
      <c r="H519" s="68"/>
      <c r="I519" s="69"/>
      <c r="J519" s="69"/>
      <c r="K519" s="68" t="s">
        <v>29652</v>
      </c>
      <c r="L519" s="72"/>
      <c r="M519" s="73"/>
      <c r="N519" s="73"/>
      <c r="O519" s="74"/>
      <c r="P519" s="75"/>
      <c r="Q519" s="75"/>
      <c r="R519" s="102"/>
      <c r="S519" s="102"/>
      <c r="T519" s="102"/>
      <c r="U519" s="102"/>
      <c r="V519" s="48"/>
      <c r="W519" s="48"/>
      <c r="X519" s="48"/>
      <c r="Y519" s="48"/>
      <c r="Z519" s="47"/>
      <c r="AA519" s="70">
        <v>519</v>
      </c>
      <c r="AB519" s="70"/>
      <c r="AC519" s="71"/>
      <c r="AD519" s="86" t="s">
        <v>24146</v>
      </c>
      <c r="AE519" s="94" t="s">
        <v>25421</v>
      </c>
      <c r="AF519" s="86">
        <v>879</v>
      </c>
      <c r="AG519" s="86">
        <v>192</v>
      </c>
      <c r="AH519" s="86">
        <v>8002</v>
      </c>
      <c r="AI519" s="86">
        <v>9</v>
      </c>
      <c r="AJ519" s="86">
        <v>89</v>
      </c>
      <c r="AK519" s="86">
        <v>4140</v>
      </c>
      <c r="AL519" s="86" t="b">
        <v>0</v>
      </c>
      <c r="AM519" s="89">
        <v>39927.903414351851</v>
      </c>
      <c r="AN519" s="86" t="s">
        <v>26064</v>
      </c>
      <c r="AO519" s="86" t="s">
        <v>26895</v>
      </c>
      <c r="AP519" s="96" t="str">
        <f>HYPERLINK("https://t.co/upgSizsH9z")</f>
        <v>https://t.co/upgSizsH9z</v>
      </c>
      <c r="AQ519" s="96" t="str">
        <f>HYPERLINK("http://www.portalviva.com.br")</f>
        <v>http://www.portalviva.com.br</v>
      </c>
      <c r="AR519" s="86" t="s">
        <v>28257</v>
      </c>
      <c r="AS519" s="86"/>
      <c r="AT519" s="86"/>
      <c r="AU519" s="86"/>
      <c r="AV519" s="86"/>
      <c r="AW519" s="96" t="str">
        <f>HYPERLINK("https://t.co/upgSizsH9z")</f>
        <v>https://t.co/upgSizsH9z</v>
      </c>
      <c r="AX519" s="86" t="b">
        <v>0</v>
      </c>
      <c r="AY519" s="86"/>
      <c r="AZ519" s="86"/>
      <c r="BA519" s="86" t="b">
        <v>0</v>
      </c>
      <c r="BB519" s="86" t="b">
        <v>1</v>
      </c>
      <c r="BC519" s="86" t="b">
        <v>0</v>
      </c>
      <c r="BD519" s="86" t="b">
        <v>0</v>
      </c>
      <c r="BE519" s="86" t="b">
        <v>1</v>
      </c>
      <c r="BF519" s="86" t="b">
        <v>0</v>
      </c>
      <c r="BG519" s="86" t="b">
        <v>0</v>
      </c>
      <c r="BH519" s="96" t="str">
        <f>HYPERLINK("https://pbs.twimg.com/profile_banners/35049549/1479509924")</f>
        <v>https://pbs.twimg.com/profile_banners/35049549/1479509924</v>
      </c>
      <c r="BI519" s="86"/>
      <c r="BJ519" s="86" t="s">
        <v>29134</v>
      </c>
      <c r="BK519" s="86" t="b">
        <v>0</v>
      </c>
      <c r="BL519" s="86"/>
      <c r="BM519" s="86" t="s">
        <v>66</v>
      </c>
      <c r="BN519" s="86" t="s">
        <v>29136</v>
      </c>
      <c r="BO519" s="96" t="str">
        <f>HYPERLINK("https://twitter.com/portal_viva")</f>
        <v>https://twitter.com/portal_viva</v>
      </c>
      <c r="BP519" s="2"/>
    </row>
    <row r="520" spans="1:68" x14ac:dyDescent="0.25">
      <c r="A520" s="63" t="s">
        <v>674</v>
      </c>
      <c r="B520" s="64"/>
      <c r="C520" s="64"/>
      <c r="D520" s="65"/>
      <c r="E520" s="67"/>
      <c r="F520" s="111" t="str">
        <f>HYPERLINK("https://pbs.twimg.com/profile_images/1104417171076247552/NV8P1iay_normal.jpg")</f>
        <v>https://pbs.twimg.com/profile_images/1104417171076247552/NV8P1iay_normal.jpg</v>
      </c>
      <c r="G520" s="64"/>
      <c r="H520" s="68"/>
      <c r="I520" s="69"/>
      <c r="J520" s="69"/>
      <c r="K520" s="68" t="s">
        <v>29653</v>
      </c>
      <c r="L520" s="72"/>
      <c r="M520" s="73"/>
      <c r="N520" s="73"/>
      <c r="O520" s="74"/>
      <c r="P520" s="75"/>
      <c r="Q520" s="75"/>
      <c r="R520" s="102"/>
      <c r="S520" s="102"/>
      <c r="T520" s="102"/>
      <c r="U520" s="102"/>
      <c r="V520" s="48"/>
      <c r="W520" s="48"/>
      <c r="X520" s="48"/>
      <c r="Y520" s="48"/>
      <c r="Z520" s="47"/>
      <c r="AA520" s="70">
        <v>520</v>
      </c>
      <c r="AB520" s="70"/>
      <c r="AC520" s="71"/>
      <c r="AD520" s="86" t="s">
        <v>24147</v>
      </c>
      <c r="AE520" s="94" t="s">
        <v>23055</v>
      </c>
      <c r="AF520" s="86">
        <v>441</v>
      </c>
      <c r="AG520" s="86">
        <v>870</v>
      </c>
      <c r="AH520" s="86">
        <v>12698</v>
      </c>
      <c r="AI520" s="86">
        <v>1</v>
      </c>
      <c r="AJ520" s="86">
        <v>44035</v>
      </c>
      <c r="AK520" s="86">
        <v>2438</v>
      </c>
      <c r="AL520" s="86" t="b">
        <v>0</v>
      </c>
      <c r="AM520" s="89">
        <v>42986.880023148151</v>
      </c>
      <c r="AN520" s="86" t="s">
        <v>26065</v>
      </c>
      <c r="AO520" s="86" t="s">
        <v>26896</v>
      </c>
      <c r="AP520" s="86"/>
      <c r="AQ520" s="86"/>
      <c r="AR520" s="86"/>
      <c r="AS520" s="86"/>
      <c r="AT520" s="86"/>
      <c r="AU520" s="86"/>
      <c r="AV520" s="86">
        <v>1.6120987847285801E+18</v>
      </c>
      <c r="AW520" s="86"/>
      <c r="AX520" s="86" t="b">
        <v>0</v>
      </c>
      <c r="AY520" s="86"/>
      <c r="AZ520" s="86"/>
      <c r="BA520" s="86" t="b">
        <v>0</v>
      </c>
      <c r="BB520" s="86" t="b">
        <v>0</v>
      </c>
      <c r="BC520" s="86" t="b">
        <v>0</v>
      </c>
      <c r="BD520" s="86" t="b">
        <v>0</v>
      </c>
      <c r="BE520" s="86" t="b">
        <v>1</v>
      </c>
      <c r="BF520" s="86" t="b">
        <v>0</v>
      </c>
      <c r="BG520" s="86" t="b">
        <v>0</v>
      </c>
      <c r="BH520" s="96" t="str">
        <f>HYPERLINK("https://pbs.twimg.com/profile_banners/906262676598382592/1684755174")</f>
        <v>https://pbs.twimg.com/profile_banners/906262676598382592/1684755174</v>
      </c>
      <c r="BI520" s="86"/>
      <c r="BJ520" s="86" t="s">
        <v>29134</v>
      </c>
      <c r="BK520" s="86" t="b">
        <v>0</v>
      </c>
      <c r="BL520" s="86"/>
      <c r="BM520" s="86" t="s">
        <v>66</v>
      </c>
      <c r="BN520" s="86" t="s">
        <v>29136</v>
      </c>
      <c r="BO520" s="96" t="str">
        <f>HYPERLINK("https://twitter.com/parasubiculum")</f>
        <v>https://twitter.com/parasubiculum</v>
      </c>
      <c r="BP520" s="2"/>
    </row>
    <row r="521" spans="1:68" x14ac:dyDescent="0.25">
      <c r="A521" s="63" t="s">
        <v>1676</v>
      </c>
      <c r="B521" s="64"/>
      <c r="C521" s="64"/>
      <c r="D521" s="65"/>
      <c r="E521" s="67"/>
      <c r="F521" s="111" t="str">
        <f>HYPERLINK("https://pbs.twimg.com/profile_images/1609328321468276736/uOguoUIR_normal.jpg")</f>
        <v>https://pbs.twimg.com/profile_images/1609328321468276736/uOguoUIR_normal.jpg</v>
      </c>
      <c r="G521" s="64"/>
      <c r="H521" s="68"/>
      <c r="I521" s="69"/>
      <c r="J521" s="69"/>
      <c r="K521" s="68" t="s">
        <v>29654</v>
      </c>
      <c r="L521" s="72"/>
      <c r="M521" s="73"/>
      <c r="N521" s="73"/>
      <c r="O521" s="74"/>
      <c r="P521" s="75"/>
      <c r="Q521" s="75"/>
      <c r="R521" s="102"/>
      <c r="S521" s="102"/>
      <c r="T521" s="102"/>
      <c r="U521" s="102"/>
      <c r="V521" s="48"/>
      <c r="W521" s="48"/>
      <c r="X521" s="48"/>
      <c r="Y521" s="48"/>
      <c r="Z521" s="47"/>
      <c r="AA521" s="70">
        <v>521</v>
      </c>
      <c r="AB521" s="70"/>
      <c r="AC521" s="71"/>
      <c r="AD521" s="86" t="s">
        <v>24148</v>
      </c>
      <c r="AE521" s="94" t="s">
        <v>22560</v>
      </c>
      <c r="AF521" s="86">
        <v>6229</v>
      </c>
      <c r="AG521" s="86">
        <v>830</v>
      </c>
      <c r="AH521" s="86">
        <v>167141</v>
      </c>
      <c r="AI521" s="86">
        <v>24</v>
      </c>
      <c r="AJ521" s="86">
        <v>150009</v>
      </c>
      <c r="AK521" s="86">
        <v>8454</v>
      </c>
      <c r="AL521" s="86" t="b">
        <v>0</v>
      </c>
      <c r="AM521" s="89">
        <v>41702.695787037039</v>
      </c>
      <c r="AN521" s="86" t="s">
        <v>25958</v>
      </c>
      <c r="AO521" s="86" t="s">
        <v>26897</v>
      </c>
      <c r="AP521" s="96" t="str">
        <f>HYPERLINK("https://t.co/AYBmao5YQZ")</f>
        <v>https://t.co/AYBmao5YQZ</v>
      </c>
      <c r="AQ521" s="96" t="str">
        <f>HYPERLINK("https://www.instagram.com/petra_amaral/?hl=pt")</f>
        <v>https://www.instagram.com/petra_amaral/?hl=pt</v>
      </c>
      <c r="AR521" s="86" t="s">
        <v>28258</v>
      </c>
      <c r="AS521" s="86"/>
      <c r="AT521" s="86"/>
      <c r="AU521" s="86"/>
      <c r="AV521" s="86">
        <v>9.9791924127696794E+17</v>
      </c>
      <c r="AW521" s="96" t="str">
        <f>HYPERLINK("https://t.co/AYBmao5YQZ")</f>
        <v>https://t.co/AYBmao5YQZ</v>
      </c>
      <c r="AX521" s="86" t="b">
        <v>0</v>
      </c>
      <c r="AY521" s="86"/>
      <c r="AZ521" s="86"/>
      <c r="BA521" s="86" t="b">
        <v>0</v>
      </c>
      <c r="BB521" s="86" t="b">
        <v>1</v>
      </c>
      <c r="BC521" s="86" t="b">
        <v>0</v>
      </c>
      <c r="BD521" s="86" t="b">
        <v>0</v>
      </c>
      <c r="BE521" s="86" t="b">
        <v>1</v>
      </c>
      <c r="BF521" s="86" t="b">
        <v>0</v>
      </c>
      <c r="BG521" s="86" t="b">
        <v>0</v>
      </c>
      <c r="BH521" s="96" t="str">
        <f>HYPERLINK("https://pbs.twimg.com/profile_banners/2382968403/1522184342")</f>
        <v>https://pbs.twimg.com/profile_banners/2382968403/1522184342</v>
      </c>
      <c r="BI521" s="86"/>
      <c r="BJ521" s="86" t="s">
        <v>29134</v>
      </c>
      <c r="BK521" s="86" t="b">
        <v>0</v>
      </c>
      <c r="BL521" s="86"/>
      <c r="BM521" s="86" t="s">
        <v>65</v>
      </c>
      <c r="BN521" s="86" t="s">
        <v>29136</v>
      </c>
      <c r="BO521" s="96" t="str">
        <f>HYPERLINK("https://twitter.com/aestrelaleonina")</f>
        <v>https://twitter.com/aestrelaleonina</v>
      </c>
      <c r="BP521" s="2"/>
    </row>
    <row r="522" spans="1:68" x14ac:dyDescent="0.25">
      <c r="A522" s="63" t="s">
        <v>675</v>
      </c>
      <c r="B522" s="64"/>
      <c r="C522" s="64"/>
      <c r="D522" s="65"/>
      <c r="E522" s="67"/>
      <c r="F522" s="111" t="str">
        <f>HYPERLINK("https://pbs.twimg.com/profile_images/1587409150337859586/C2i8OTLv_normal.jpg")</f>
        <v>https://pbs.twimg.com/profile_images/1587409150337859586/C2i8OTLv_normal.jpg</v>
      </c>
      <c r="G522" s="64"/>
      <c r="H522" s="68"/>
      <c r="I522" s="69"/>
      <c r="J522" s="69"/>
      <c r="K522" s="68" t="s">
        <v>29655</v>
      </c>
      <c r="L522" s="72"/>
      <c r="M522" s="73"/>
      <c r="N522" s="73"/>
      <c r="O522" s="74"/>
      <c r="P522" s="75"/>
      <c r="Q522" s="75"/>
      <c r="R522" s="102"/>
      <c r="S522" s="102"/>
      <c r="T522" s="102"/>
      <c r="U522" s="102"/>
      <c r="V522" s="48"/>
      <c r="W522" s="48"/>
      <c r="X522" s="48"/>
      <c r="Y522" s="48"/>
      <c r="Z522" s="47"/>
      <c r="AA522" s="70">
        <v>522</v>
      </c>
      <c r="AB522" s="70"/>
      <c r="AC522" s="71"/>
      <c r="AD522" s="86" t="s">
        <v>24149</v>
      </c>
      <c r="AE522" s="94" t="s">
        <v>25422</v>
      </c>
      <c r="AF522" s="86">
        <v>9417</v>
      </c>
      <c r="AG522" s="86">
        <v>391</v>
      </c>
      <c r="AH522" s="86">
        <v>12523</v>
      </c>
      <c r="AI522" s="86">
        <v>71</v>
      </c>
      <c r="AJ522" s="86">
        <v>3600</v>
      </c>
      <c r="AK522" s="86">
        <v>3038</v>
      </c>
      <c r="AL522" s="86" t="b">
        <v>0</v>
      </c>
      <c r="AM522" s="89">
        <v>40287.652708333335</v>
      </c>
      <c r="AN522" s="86" t="s">
        <v>26066</v>
      </c>
      <c r="AO522" s="86" t="s">
        <v>26898</v>
      </c>
      <c r="AP522" s="96" t="str">
        <f>HYPERLINK("https://t.co/X26wXkOcsV")</f>
        <v>https://t.co/X26wXkOcsV</v>
      </c>
      <c r="AQ522" s="96" t="str">
        <f>HYPERLINK("https://linktr.ee/uflabr")</f>
        <v>https://linktr.ee/uflabr</v>
      </c>
      <c r="AR522" s="86" t="s">
        <v>28259</v>
      </c>
      <c r="AS522" s="86"/>
      <c r="AT522" s="86"/>
      <c r="AU522" s="86"/>
      <c r="AV522" s="86"/>
      <c r="AW522" s="96" t="str">
        <f>HYPERLINK("https://t.co/X26wXkOcsV")</f>
        <v>https://t.co/X26wXkOcsV</v>
      </c>
      <c r="AX522" s="86" t="b">
        <v>0</v>
      </c>
      <c r="AY522" s="86"/>
      <c r="AZ522" s="86"/>
      <c r="BA522" s="86" t="b">
        <v>1</v>
      </c>
      <c r="BB522" s="86" t="b">
        <v>1</v>
      </c>
      <c r="BC522" s="86" t="b">
        <v>0</v>
      </c>
      <c r="BD522" s="86" t="b">
        <v>0</v>
      </c>
      <c r="BE522" s="86" t="b">
        <v>0</v>
      </c>
      <c r="BF522" s="86" t="b">
        <v>0</v>
      </c>
      <c r="BG522" s="86" t="b">
        <v>0</v>
      </c>
      <c r="BH522" s="96" t="str">
        <f>HYPERLINK("https://pbs.twimg.com/profile_banners/134833776/1669917808")</f>
        <v>https://pbs.twimg.com/profile_banners/134833776/1669917808</v>
      </c>
      <c r="BI522" s="86"/>
      <c r="BJ522" s="86" t="s">
        <v>29134</v>
      </c>
      <c r="BK522" s="86" t="b">
        <v>0</v>
      </c>
      <c r="BL522" s="86"/>
      <c r="BM522" s="86" t="s">
        <v>66</v>
      </c>
      <c r="BN522" s="86" t="s">
        <v>29136</v>
      </c>
      <c r="BO522" s="96" t="str">
        <f>HYPERLINK("https://twitter.com/uflabr")</f>
        <v>https://twitter.com/uflabr</v>
      </c>
      <c r="BP522" s="2"/>
    </row>
    <row r="523" spans="1:68" x14ac:dyDescent="0.25">
      <c r="A523" s="63" t="s">
        <v>676</v>
      </c>
      <c r="B523" s="64"/>
      <c r="C523" s="64"/>
      <c r="D523" s="65"/>
      <c r="E523" s="67"/>
      <c r="F523" s="111" t="str">
        <f>HYPERLINK("https://pbs.twimg.com/profile_images/1255570914508488706/LfzS_JSY_normal.png")</f>
        <v>https://pbs.twimg.com/profile_images/1255570914508488706/LfzS_JSY_normal.png</v>
      </c>
      <c r="G523" s="64"/>
      <c r="H523" s="68"/>
      <c r="I523" s="69"/>
      <c r="J523" s="69"/>
      <c r="K523" s="68" t="s">
        <v>29656</v>
      </c>
      <c r="L523" s="72"/>
      <c r="M523" s="73"/>
      <c r="N523" s="73"/>
      <c r="O523" s="74"/>
      <c r="P523" s="75"/>
      <c r="Q523" s="75"/>
      <c r="R523" s="102"/>
      <c r="S523" s="102"/>
      <c r="T523" s="102"/>
      <c r="U523" s="102"/>
      <c r="V523" s="48"/>
      <c r="W523" s="48"/>
      <c r="X523" s="48"/>
      <c r="Y523" s="48"/>
      <c r="Z523" s="47"/>
      <c r="AA523" s="70">
        <v>523</v>
      </c>
      <c r="AB523" s="70"/>
      <c r="AC523" s="71"/>
      <c r="AD523" s="86" t="s">
        <v>24150</v>
      </c>
      <c r="AE523" s="94" t="s">
        <v>25423</v>
      </c>
      <c r="AF523" s="86">
        <v>100664</v>
      </c>
      <c r="AG523" s="86">
        <v>297</v>
      </c>
      <c r="AH523" s="86">
        <v>27424</v>
      </c>
      <c r="AI523" s="86">
        <v>1089</v>
      </c>
      <c r="AJ523" s="86">
        <v>10715</v>
      </c>
      <c r="AK523" s="86">
        <v>5464</v>
      </c>
      <c r="AL523" s="86" t="b">
        <v>0</v>
      </c>
      <c r="AM523" s="89">
        <v>39764.805671296293</v>
      </c>
      <c r="AN523" s="86" t="s">
        <v>15246</v>
      </c>
      <c r="AO523" s="86" t="s">
        <v>26899</v>
      </c>
      <c r="AP523" s="96" t="str">
        <f>HYPERLINK("https://t.co/ESXLrD2lNU")</f>
        <v>https://t.co/ESXLrD2lNU</v>
      </c>
      <c r="AQ523" s="96" t="str">
        <f>HYPERLINK("https://linktr.ee/campuspartybra")</f>
        <v>https://linktr.ee/campuspartybra</v>
      </c>
      <c r="AR523" s="86" t="s">
        <v>28260</v>
      </c>
      <c r="AS523" s="86"/>
      <c r="AT523" s="86"/>
      <c r="AU523" s="86"/>
      <c r="AV523" s="86"/>
      <c r="AW523" s="96" t="str">
        <f>HYPERLINK("https://t.co/ESXLrD2lNU")</f>
        <v>https://t.co/ESXLrD2lNU</v>
      </c>
      <c r="AX523" s="86" t="b">
        <v>0</v>
      </c>
      <c r="AY523" s="86"/>
      <c r="AZ523" s="86"/>
      <c r="BA523" s="86" t="b">
        <v>0</v>
      </c>
      <c r="BB523" s="86" t="b">
        <v>1</v>
      </c>
      <c r="BC523" s="86" t="b">
        <v>0</v>
      </c>
      <c r="BD523" s="86" t="b">
        <v>0</v>
      </c>
      <c r="BE523" s="86" t="b">
        <v>0</v>
      </c>
      <c r="BF523" s="86" t="b">
        <v>0</v>
      </c>
      <c r="BG523" s="86" t="b">
        <v>0</v>
      </c>
      <c r="BH523" s="96" t="str">
        <f>HYPERLINK("https://pbs.twimg.com/profile_banners/17346246/1691545908")</f>
        <v>https://pbs.twimg.com/profile_banners/17346246/1691545908</v>
      </c>
      <c r="BI523" s="86"/>
      <c r="BJ523" s="86" t="s">
        <v>29134</v>
      </c>
      <c r="BK523" s="86" t="b">
        <v>0</v>
      </c>
      <c r="BL523" s="86"/>
      <c r="BM523" s="86" t="s">
        <v>66</v>
      </c>
      <c r="BN523" s="86" t="s">
        <v>29136</v>
      </c>
      <c r="BO523" s="96" t="str">
        <f>HYPERLINK("https://twitter.com/campuspartybra")</f>
        <v>https://twitter.com/campuspartybra</v>
      </c>
      <c r="BP523" s="2"/>
    </row>
    <row r="524" spans="1:68" x14ac:dyDescent="0.25">
      <c r="A524" s="63" t="s">
        <v>677</v>
      </c>
      <c r="B524" s="64"/>
      <c r="C524" s="64"/>
      <c r="D524" s="65"/>
      <c r="E524" s="67"/>
      <c r="F524" s="111" t="str">
        <f>HYPERLINK("https://pbs.twimg.com/profile_images/1702628660123947008/MUWKX6Jx_normal.jpg")</f>
        <v>https://pbs.twimg.com/profile_images/1702628660123947008/MUWKX6Jx_normal.jpg</v>
      </c>
      <c r="G524" s="64"/>
      <c r="H524" s="68"/>
      <c r="I524" s="69"/>
      <c r="J524" s="69"/>
      <c r="K524" s="68" t="s">
        <v>29657</v>
      </c>
      <c r="L524" s="72"/>
      <c r="M524" s="73"/>
      <c r="N524" s="73"/>
      <c r="O524" s="74"/>
      <c r="P524" s="75"/>
      <c r="Q524" s="75"/>
      <c r="R524" s="102"/>
      <c r="S524" s="102"/>
      <c r="T524" s="102"/>
      <c r="U524" s="102"/>
      <c r="V524" s="48"/>
      <c r="W524" s="48"/>
      <c r="X524" s="48"/>
      <c r="Y524" s="48"/>
      <c r="Z524" s="47"/>
      <c r="AA524" s="70">
        <v>524</v>
      </c>
      <c r="AB524" s="70"/>
      <c r="AC524" s="71"/>
      <c r="AD524" s="86" t="s">
        <v>24151</v>
      </c>
      <c r="AE524" s="94" t="s">
        <v>23056</v>
      </c>
      <c r="AF524" s="86">
        <v>2</v>
      </c>
      <c r="AG524" s="86">
        <v>26</v>
      </c>
      <c r="AH524" s="86">
        <v>264</v>
      </c>
      <c r="AI524" s="86">
        <v>0</v>
      </c>
      <c r="AJ524" s="86">
        <v>8</v>
      </c>
      <c r="AK524" s="86">
        <v>160</v>
      </c>
      <c r="AL524" s="86" t="b">
        <v>0</v>
      </c>
      <c r="AM524" s="89">
        <v>45175.4141087963</v>
      </c>
      <c r="AN524" s="86" t="s">
        <v>15235</v>
      </c>
      <c r="AO524" s="86" t="s">
        <v>26900</v>
      </c>
      <c r="AP524" s="86"/>
      <c r="AQ524" s="86"/>
      <c r="AR524" s="86"/>
      <c r="AS524" s="86"/>
      <c r="AT524" s="86"/>
      <c r="AU524" s="86"/>
      <c r="AV524" s="86">
        <v>1.7063382946387999E+18</v>
      </c>
      <c r="AW524" s="86"/>
      <c r="AX524" s="86" t="b">
        <v>0</v>
      </c>
      <c r="AY524" s="86"/>
      <c r="AZ524" s="86"/>
      <c r="BA524" s="86" t="b">
        <v>0</v>
      </c>
      <c r="BB524" s="86" t="b">
        <v>1</v>
      </c>
      <c r="BC524" s="86" t="b">
        <v>1</v>
      </c>
      <c r="BD524" s="86" t="b">
        <v>0</v>
      </c>
      <c r="BE524" s="86" t="b">
        <v>0</v>
      </c>
      <c r="BF524" s="86" t="b">
        <v>0</v>
      </c>
      <c r="BG524" s="86" t="b">
        <v>0</v>
      </c>
      <c r="BH524" s="96" t="str">
        <f>HYPERLINK("https://pbs.twimg.com/profile_banners/1699360803692969984/1693998328")</f>
        <v>https://pbs.twimg.com/profile_banners/1699360803692969984/1693998328</v>
      </c>
      <c r="BI524" s="86"/>
      <c r="BJ524" s="86" t="s">
        <v>29134</v>
      </c>
      <c r="BK524" s="86" t="b">
        <v>0</v>
      </c>
      <c r="BL524" s="86"/>
      <c r="BM524" s="86" t="s">
        <v>66</v>
      </c>
      <c r="BN524" s="86" t="s">
        <v>29136</v>
      </c>
      <c r="BO524" s="96" t="str">
        <f>HYPERLINK("https://twitter.com/ia_matheuss")</f>
        <v>https://twitter.com/ia_matheuss</v>
      </c>
      <c r="BP524" s="2"/>
    </row>
    <row r="525" spans="1:68" x14ac:dyDescent="0.25">
      <c r="A525" s="63" t="s">
        <v>678</v>
      </c>
      <c r="B525" s="64"/>
      <c r="C525" s="64"/>
      <c r="D525" s="65"/>
      <c r="E525" s="67"/>
      <c r="F525" s="111" t="str">
        <f>HYPERLINK("https://pbs.twimg.com/profile_images/1550993569560797185/JVHQq33O_normal.jpg")</f>
        <v>https://pbs.twimg.com/profile_images/1550993569560797185/JVHQq33O_normal.jpg</v>
      </c>
      <c r="G525" s="64"/>
      <c r="H525" s="68"/>
      <c r="I525" s="69"/>
      <c r="J525" s="69"/>
      <c r="K525" s="68" t="s">
        <v>29658</v>
      </c>
      <c r="L525" s="72"/>
      <c r="M525" s="73"/>
      <c r="N525" s="73"/>
      <c r="O525" s="74"/>
      <c r="P525" s="75"/>
      <c r="Q525" s="75"/>
      <c r="R525" s="102"/>
      <c r="S525" s="102"/>
      <c r="T525" s="102"/>
      <c r="U525" s="102"/>
      <c r="V525" s="48"/>
      <c r="W525" s="48"/>
      <c r="X525" s="48"/>
      <c r="Y525" s="48"/>
      <c r="Z525" s="47"/>
      <c r="AA525" s="70">
        <v>525</v>
      </c>
      <c r="AB525" s="70"/>
      <c r="AC525" s="71"/>
      <c r="AD525" s="86" t="s">
        <v>24152</v>
      </c>
      <c r="AE525" s="94" t="s">
        <v>22561</v>
      </c>
      <c r="AF525" s="86">
        <v>128</v>
      </c>
      <c r="AG525" s="86">
        <v>703</v>
      </c>
      <c r="AH525" s="86">
        <v>502</v>
      </c>
      <c r="AI525" s="86">
        <v>0</v>
      </c>
      <c r="AJ525" s="86">
        <v>801</v>
      </c>
      <c r="AK525" s="86">
        <v>48</v>
      </c>
      <c r="AL525" s="86" t="b">
        <v>0</v>
      </c>
      <c r="AM525" s="89">
        <v>40235.141168981485</v>
      </c>
      <c r="AN525" s="86" t="s">
        <v>26067</v>
      </c>
      <c r="AO525" s="86" t="s">
        <v>26901</v>
      </c>
      <c r="AP525" s="96" t="str">
        <f>HYPERLINK("https://t.co/FJi0OBgRMn")</f>
        <v>https://t.co/FJi0OBgRMn</v>
      </c>
      <c r="AQ525" s="96" t="str">
        <f>HYPERLINK("http://www.agrotecnico.com.br")</f>
        <v>http://www.agrotecnico.com.br</v>
      </c>
      <c r="AR525" s="86" t="s">
        <v>28261</v>
      </c>
      <c r="AS525" s="86"/>
      <c r="AT525" s="86"/>
      <c r="AU525" s="86"/>
      <c r="AV525" s="86"/>
      <c r="AW525" s="96" t="str">
        <f>HYPERLINK("https://t.co/FJi0OBgRMn")</f>
        <v>https://t.co/FJi0OBgRMn</v>
      </c>
      <c r="AX525" s="86" t="b">
        <v>0</v>
      </c>
      <c r="AY525" s="86"/>
      <c r="AZ525" s="86"/>
      <c r="BA525" s="86" t="b">
        <v>1</v>
      </c>
      <c r="BB525" s="86" t="b">
        <v>1</v>
      </c>
      <c r="BC525" s="86" t="b">
        <v>0</v>
      </c>
      <c r="BD525" s="86" t="b">
        <v>0</v>
      </c>
      <c r="BE525" s="86" t="b">
        <v>0</v>
      </c>
      <c r="BF525" s="86" t="b">
        <v>0</v>
      </c>
      <c r="BG525" s="86" t="b">
        <v>0</v>
      </c>
      <c r="BH525" s="86"/>
      <c r="BI525" s="86"/>
      <c r="BJ525" s="86" t="s">
        <v>29134</v>
      </c>
      <c r="BK525" s="86" t="b">
        <v>0</v>
      </c>
      <c r="BL525" s="86"/>
      <c r="BM525" s="86" t="s">
        <v>66</v>
      </c>
      <c r="BN525" s="86" t="s">
        <v>29136</v>
      </c>
      <c r="BO525" s="96" t="str">
        <f>HYPERLINK("https://twitter.com/deyvidbueno")</f>
        <v>https://twitter.com/deyvidbueno</v>
      </c>
      <c r="BP525" s="2"/>
    </row>
    <row r="526" spans="1:68" x14ac:dyDescent="0.25">
      <c r="A526" s="63" t="s">
        <v>679</v>
      </c>
      <c r="B526" s="64"/>
      <c r="C526" s="64"/>
      <c r="D526" s="65"/>
      <c r="E526" s="67"/>
      <c r="F526" s="111" t="str">
        <f>HYPERLINK("https://pbs.twimg.com/profile_images/1687546364719144960/DPkfyyYM_normal.jpg")</f>
        <v>https://pbs.twimg.com/profile_images/1687546364719144960/DPkfyyYM_normal.jpg</v>
      </c>
      <c r="G526" s="64"/>
      <c r="H526" s="68"/>
      <c r="I526" s="69"/>
      <c r="J526" s="69"/>
      <c r="K526" s="68" t="s">
        <v>29659</v>
      </c>
      <c r="L526" s="72"/>
      <c r="M526" s="73"/>
      <c r="N526" s="73"/>
      <c r="O526" s="74"/>
      <c r="P526" s="75"/>
      <c r="Q526" s="75"/>
      <c r="R526" s="102"/>
      <c r="S526" s="102"/>
      <c r="T526" s="102"/>
      <c r="U526" s="102"/>
      <c r="V526" s="48"/>
      <c r="W526" s="48"/>
      <c r="X526" s="48"/>
      <c r="Y526" s="48"/>
      <c r="Z526" s="47"/>
      <c r="AA526" s="70">
        <v>526</v>
      </c>
      <c r="AB526" s="70"/>
      <c r="AC526" s="71"/>
      <c r="AD526" s="86" t="s">
        <v>24153</v>
      </c>
      <c r="AE526" s="94" t="s">
        <v>22562</v>
      </c>
      <c r="AF526" s="86">
        <v>1558</v>
      </c>
      <c r="AG526" s="86">
        <v>151</v>
      </c>
      <c r="AH526" s="86">
        <v>3333</v>
      </c>
      <c r="AI526" s="86">
        <v>6</v>
      </c>
      <c r="AJ526" s="86">
        <v>218</v>
      </c>
      <c r="AK526" s="86">
        <v>1602</v>
      </c>
      <c r="AL526" s="86" t="b">
        <v>0</v>
      </c>
      <c r="AM526" s="89">
        <v>42248.117615740739</v>
      </c>
      <c r="AN526" s="86" t="s">
        <v>26068</v>
      </c>
      <c r="AO526" s="86" t="s">
        <v>26902</v>
      </c>
      <c r="AP526" s="96" t="str">
        <f>HYPERLINK("https://t.co/Ce0AZWgmwL")</f>
        <v>https://t.co/Ce0AZWgmwL</v>
      </c>
      <c r="AQ526" s="96" t="str">
        <f>HYPERLINK("http://www.jucema.ma.gov.br")</f>
        <v>http://www.jucema.ma.gov.br</v>
      </c>
      <c r="AR526" s="86" t="s">
        <v>28262</v>
      </c>
      <c r="AS526" s="86"/>
      <c r="AT526" s="86"/>
      <c r="AU526" s="86"/>
      <c r="AV526" s="86"/>
      <c r="AW526" s="96" t="str">
        <f>HYPERLINK("https://t.co/Ce0AZWgmwL")</f>
        <v>https://t.co/Ce0AZWgmwL</v>
      </c>
      <c r="AX526" s="86" t="b">
        <v>0</v>
      </c>
      <c r="AY526" s="86"/>
      <c r="AZ526" s="86"/>
      <c r="BA526" s="86" t="b">
        <v>1</v>
      </c>
      <c r="BB526" s="86" t="b">
        <v>1</v>
      </c>
      <c r="BC526" s="86" t="b">
        <v>1</v>
      </c>
      <c r="BD526" s="86" t="b">
        <v>0</v>
      </c>
      <c r="BE526" s="86" t="b">
        <v>0</v>
      </c>
      <c r="BF526" s="86" t="b">
        <v>0</v>
      </c>
      <c r="BG526" s="86" t="b">
        <v>0</v>
      </c>
      <c r="BH526" s="96" t="str">
        <f>HYPERLINK("https://pbs.twimg.com/profile_banners/3508084281/1678379867")</f>
        <v>https://pbs.twimg.com/profile_banners/3508084281/1678379867</v>
      </c>
      <c r="BI526" s="86"/>
      <c r="BJ526" s="86" t="s">
        <v>29134</v>
      </c>
      <c r="BK526" s="86" t="b">
        <v>0</v>
      </c>
      <c r="BL526" s="86"/>
      <c r="BM526" s="86" t="s">
        <v>66</v>
      </c>
      <c r="BN526" s="86" t="s">
        <v>29136</v>
      </c>
      <c r="BO526" s="96" t="str">
        <f>HYPERLINK("https://twitter.com/jucemaoficial")</f>
        <v>https://twitter.com/jucemaoficial</v>
      </c>
      <c r="BP526" s="2"/>
    </row>
    <row r="527" spans="1:68" x14ac:dyDescent="0.25">
      <c r="A527" s="63" t="s">
        <v>1677</v>
      </c>
      <c r="B527" s="64"/>
      <c r="C527" s="64"/>
      <c r="D527" s="65"/>
      <c r="E527" s="67"/>
      <c r="F527" s="111" t="str">
        <f>HYPERLINK("https://pbs.twimg.com/profile_images/1325840364243214337/GElXjOpc_normal.jpg")</f>
        <v>https://pbs.twimg.com/profile_images/1325840364243214337/GElXjOpc_normal.jpg</v>
      </c>
      <c r="G527" s="64"/>
      <c r="H527" s="68"/>
      <c r="I527" s="69"/>
      <c r="J527" s="69"/>
      <c r="K527" s="68" t="s">
        <v>29660</v>
      </c>
      <c r="L527" s="72"/>
      <c r="M527" s="73"/>
      <c r="N527" s="73"/>
      <c r="O527" s="74"/>
      <c r="P527" s="75"/>
      <c r="Q527" s="75"/>
      <c r="R527" s="102"/>
      <c r="S527" s="102"/>
      <c r="T527" s="102"/>
      <c r="U527" s="102"/>
      <c r="V527" s="48"/>
      <c r="W527" s="48"/>
      <c r="X527" s="48"/>
      <c r="Y527" s="48"/>
      <c r="Z527" s="47"/>
      <c r="AA527" s="70">
        <v>527</v>
      </c>
      <c r="AB527" s="70"/>
      <c r="AC527" s="71"/>
      <c r="AD527" s="86" t="s">
        <v>24154</v>
      </c>
      <c r="AE527" s="94" t="s">
        <v>25424</v>
      </c>
      <c r="AF527" s="86">
        <v>55234</v>
      </c>
      <c r="AG527" s="86">
        <v>67</v>
      </c>
      <c r="AH527" s="86">
        <v>5459</v>
      </c>
      <c r="AI527" s="86">
        <v>169</v>
      </c>
      <c r="AJ527" s="86">
        <v>8556</v>
      </c>
      <c r="AK527" s="86">
        <v>2590</v>
      </c>
      <c r="AL527" s="86" t="b">
        <v>0</v>
      </c>
      <c r="AM527" s="89">
        <v>42402.621087962965</v>
      </c>
      <c r="AN527" s="86"/>
      <c r="AO527" s="86" t="s">
        <v>26903</v>
      </c>
      <c r="AP527" s="96" t="str">
        <f>HYPERLINK("https://t.co/V4kMmhiG0s")</f>
        <v>https://t.co/V4kMmhiG0s</v>
      </c>
      <c r="AQ527" s="96" t="str">
        <f>HYPERLINK("http://www.ilisp.org")</f>
        <v>http://www.ilisp.org</v>
      </c>
      <c r="AR527" s="86" t="s">
        <v>28263</v>
      </c>
      <c r="AS527" s="86"/>
      <c r="AT527" s="86"/>
      <c r="AU527" s="86"/>
      <c r="AV527" s="86"/>
      <c r="AW527" s="96" t="str">
        <f>HYPERLINK("https://t.co/V4kMmhiG0s")</f>
        <v>https://t.co/V4kMmhiG0s</v>
      </c>
      <c r="AX527" s="86" t="b">
        <v>1</v>
      </c>
      <c r="AY527" s="86"/>
      <c r="AZ527" s="86"/>
      <c r="BA527" s="86" t="b">
        <v>1</v>
      </c>
      <c r="BB527" s="86" t="b">
        <v>1</v>
      </c>
      <c r="BC527" s="86" t="b">
        <v>1</v>
      </c>
      <c r="BD527" s="86" t="b">
        <v>0</v>
      </c>
      <c r="BE527" s="86" t="b">
        <v>1</v>
      </c>
      <c r="BF527" s="86" t="b">
        <v>0</v>
      </c>
      <c r="BG527" s="86" t="b">
        <v>0</v>
      </c>
      <c r="BH527" s="96" t="str">
        <f>HYPERLINK("https://pbs.twimg.com/profile_banners/4871942260/1658525010")</f>
        <v>https://pbs.twimg.com/profile_banners/4871942260/1658525010</v>
      </c>
      <c r="BI527" s="86"/>
      <c r="BJ527" s="86" t="s">
        <v>29134</v>
      </c>
      <c r="BK527" s="86" t="b">
        <v>0</v>
      </c>
      <c r="BL527" s="86"/>
      <c r="BM527" s="86" t="s">
        <v>65</v>
      </c>
      <c r="BN527" s="86" t="s">
        <v>29136</v>
      </c>
      <c r="BO527" s="96" t="str">
        <f>HYPERLINK("https://twitter.com/ilisp_org")</f>
        <v>https://twitter.com/ilisp_org</v>
      </c>
      <c r="BP527" s="2"/>
    </row>
    <row r="528" spans="1:68" x14ac:dyDescent="0.25">
      <c r="A528" s="63" t="s">
        <v>1580</v>
      </c>
      <c r="B528" s="64"/>
      <c r="C528" s="64"/>
      <c r="D528" s="65"/>
      <c r="E528" s="67"/>
      <c r="F528" s="111" t="str">
        <f>HYPERLINK("https://pbs.twimg.com/profile_images/1587511791944630273/hEcAETFO_normal.jpg")</f>
        <v>https://pbs.twimg.com/profile_images/1587511791944630273/hEcAETFO_normal.jpg</v>
      </c>
      <c r="G528" s="64"/>
      <c r="H528" s="68"/>
      <c r="I528" s="69"/>
      <c r="J528" s="69"/>
      <c r="K528" s="68" t="s">
        <v>29661</v>
      </c>
      <c r="L528" s="72"/>
      <c r="M528" s="73"/>
      <c r="N528" s="73"/>
      <c r="O528" s="74"/>
      <c r="P528" s="75"/>
      <c r="Q528" s="75"/>
      <c r="R528" s="102"/>
      <c r="S528" s="102"/>
      <c r="T528" s="102"/>
      <c r="U528" s="102"/>
      <c r="V528" s="48"/>
      <c r="W528" s="48"/>
      <c r="X528" s="48"/>
      <c r="Y528" s="48"/>
      <c r="Z528" s="47"/>
      <c r="AA528" s="70">
        <v>528</v>
      </c>
      <c r="AB528" s="70"/>
      <c r="AC528" s="71"/>
      <c r="AD528" s="86" t="s">
        <v>24155</v>
      </c>
      <c r="AE528" s="94" t="s">
        <v>22663</v>
      </c>
      <c r="AF528" s="86">
        <v>54</v>
      </c>
      <c r="AG528" s="86">
        <v>13</v>
      </c>
      <c r="AH528" s="86">
        <v>837</v>
      </c>
      <c r="AI528" s="86">
        <v>0</v>
      </c>
      <c r="AJ528" s="86">
        <v>53</v>
      </c>
      <c r="AK528" s="86">
        <v>354</v>
      </c>
      <c r="AL528" s="86" t="b">
        <v>0</v>
      </c>
      <c r="AM528" s="89">
        <v>44181.825185185182</v>
      </c>
      <c r="AN528" s="86" t="s">
        <v>15397</v>
      </c>
      <c r="AO528" s="86" t="s">
        <v>26904</v>
      </c>
      <c r="AP528" s="96" t="str">
        <f>HYPERLINK("https://t.co/hcDE62AA3a")</f>
        <v>https://t.co/hcDE62AA3a</v>
      </c>
      <c r="AQ528" s="96" t="str">
        <f>HYPERLINK("https://www.juntacomercial.pr.gov.br/")</f>
        <v>https://www.juntacomercial.pr.gov.br/</v>
      </c>
      <c r="AR528" s="86" t="s">
        <v>28264</v>
      </c>
      <c r="AS528" s="86"/>
      <c r="AT528" s="86"/>
      <c r="AU528" s="86"/>
      <c r="AV528" s="86"/>
      <c r="AW528" s="96" t="str">
        <f>HYPERLINK("https://t.co/hcDE62AA3a")</f>
        <v>https://t.co/hcDE62AA3a</v>
      </c>
      <c r="AX528" s="86" t="b">
        <v>0</v>
      </c>
      <c r="AY528" s="86"/>
      <c r="AZ528" s="86"/>
      <c r="BA528" s="86" t="b">
        <v>0</v>
      </c>
      <c r="BB528" s="86" t="b">
        <v>0</v>
      </c>
      <c r="BC528" s="86" t="b">
        <v>1</v>
      </c>
      <c r="BD528" s="86" t="b">
        <v>0</v>
      </c>
      <c r="BE528" s="86" t="b">
        <v>0</v>
      </c>
      <c r="BF528" s="86" t="b">
        <v>0</v>
      </c>
      <c r="BG528" s="86" t="b">
        <v>0</v>
      </c>
      <c r="BH528" s="96" t="str">
        <f>HYPERLINK("https://pbs.twimg.com/profile_banners/1339296204635648003/1654520873")</f>
        <v>https://pbs.twimg.com/profile_banners/1339296204635648003/1654520873</v>
      </c>
      <c r="BI528" s="86"/>
      <c r="BJ528" s="86" t="s">
        <v>29134</v>
      </c>
      <c r="BK528" s="86" t="b">
        <v>0</v>
      </c>
      <c r="BL528" s="86"/>
      <c r="BM528" s="86" t="s">
        <v>66</v>
      </c>
      <c r="BN528" s="86" t="s">
        <v>29136</v>
      </c>
      <c r="BO528" s="96" t="str">
        <f>HYPERLINK("https://twitter.com/jucepar2")</f>
        <v>https://twitter.com/jucepar2</v>
      </c>
      <c r="BP528" s="2"/>
    </row>
    <row r="529" spans="1:68" x14ac:dyDescent="0.25">
      <c r="A529" s="63" t="s">
        <v>680</v>
      </c>
      <c r="B529" s="64"/>
      <c r="C529" s="64"/>
      <c r="D529" s="65"/>
      <c r="E529" s="67"/>
      <c r="F529" s="111" t="str">
        <f>HYPERLINK("https://pbs.twimg.com/profile_images/1688891338962391040/Gx7VKm0K_normal.png")</f>
        <v>https://pbs.twimg.com/profile_images/1688891338962391040/Gx7VKm0K_normal.png</v>
      </c>
      <c r="G529" s="64"/>
      <c r="H529" s="68"/>
      <c r="I529" s="69"/>
      <c r="J529" s="69"/>
      <c r="K529" s="68" t="s">
        <v>29662</v>
      </c>
      <c r="L529" s="72"/>
      <c r="M529" s="73"/>
      <c r="N529" s="73"/>
      <c r="O529" s="74"/>
      <c r="P529" s="75"/>
      <c r="Q529" s="75"/>
      <c r="R529" s="102"/>
      <c r="S529" s="102"/>
      <c r="T529" s="102"/>
      <c r="U529" s="102"/>
      <c r="V529" s="48"/>
      <c r="W529" s="48"/>
      <c r="X529" s="48"/>
      <c r="Y529" s="48"/>
      <c r="Z529" s="47"/>
      <c r="AA529" s="70">
        <v>529</v>
      </c>
      <c r="AB529" s="70"/>
      <c r="AC529" s="71"/>
      <c r="AD529" s="86" t="s">
        <v>680</v>
      </c>
      <c r="AE529" s="94" t="s">
        <v>23057</v>
      </c>
      <c r="AF529" s="86">
        <v>1</v>
      </c>
      <c r="AG529" s="86">
        <v>6</v>
      </c>
      <c r="AH529" s="86">
        <v>10</v>
      </c>
      <c r="AI529" s="86">
        <v>0</v>
      </c>
      <c r="AJ529" s="86">
        <v>0</v>
      </c>
      <c r="AK529" s="86">
        <v>9</v>
      </c>
      <c r="AL529" s="86" t="b">
        <v>0</v>
      </c>
      <c r="AM529" s="89">
        <v>45146.523692129631</v>
      </c>
      <c r="AN529" s="86" t="s">
        <v>15280</v>
      </c>
      <c r="AO529" s="86" t="s">
        <v>26905</v>
      </c>
      <c r="AP529" s="86"/>
      <c r="AQ529" s="86"/>
      <c r="AR529" s="86"/>
      <c r="AS529" s="86"/>
      <c r="AT529" s="86"/>
      <c r="AU529" s="86"/>
      <c r="AV529" s="86"/>
      <c r="AW529" s="86"/>
      <c r="AX529" s="86" t="b">
        <v>0</v>
      </c>
      <c r="AY529" s="86"/>
      <c r="AZ529" s="86"/>
      <c r="BA529" s="86" t="b">
        <v>0</v>
      </c>
      <c r="BB529" s="86" t="b">
        <v>1</v>
      </c>
      <c r="BC529" s="86" t="b">
        <v>1</v>
      </c>
      <c r="BD529" s="86" t="b">
        <v>0</v>
      </c>
      <c r="BE529" s="86" t="b">
        <v>0</v>
      </c>
      <c r="BF529" s="86" t="b">
        <v>0</v>
      </c>
      <c r="BG529" s="86" t="b">
        <v>0</v>
      </c>
      <c r="BH529" s="96" t="str">
        <f>HYPERLINK("https://pbs.twimg.com/profile_banners/1688891150487183360/1691499049")</f>
        <v>https://pbs.twimg.com/profile_banners/1688891150487183360/1691499049</v>
      </c>
      <c r="BI529" s="86"/>
      <c r="BJ529" s="86" t="s">
        <v>29134</v>
      </c>
      <c r="BK529" s="86" t="b">
        <v>0</v>
      </c>
      <c r="BL529" s="86"/>
      <c r="BM529" s="86" t="s">
        <v>66</v>
      </c>
      <c r="BN529" s="86" t="s">
        <v>29136</v>
      </c>
      <c r="BO529" s="96" t="str">
        <f>HYPERLINK("https://twitter.com/canalstevejob")</f>
        <v>https://twitter.com/canalstevejob</v>
      </c>
      <c r="BP529" s="2"/>
    </row>
    <row r="530" spans="1:68" x14ac:dyDescent="0.25">
      <c r="A530" s="63" t="s">
        <v>681</v>
      </c>
      <c r="B530" s="64"/>
      <c r="C530" s="64"/>
      <c r="D530" s="65"/>
      <c r="E530" s="67"/>
      <c r="F530" s="111" t="str">
        <f>HYPERLINK("https://pbs.twimg.com/profile_images/1371549175930830851/2x-T_vhV_normal.jpg")</f>
        <v>https://pbs.twimg.com/profile_images/1371549175930830851/2x-T_vhV_normal.jpg</v>
      </c>
      <c r="G530" s="64"/>
      <c r="H530" s="68"/>
      <c r="I530" s="69"/>
      <c r="J530" s="69"/>
      <c r="K530" s="68" t="s">
        <v>29663</v>
      </c>
      <c r="L530" s="72"/>
      <c r="M530" s="73"/>
      <c r="N530" s="73"/>
      <c r="O530" s="74"/>
      <c r="P530" s="75"/>
      <c r="Q530" s="75"/>
      <c r="R530" s="102"/>
      <c r="S530" s="102"/>
      <c r="T530" s="102"/>
      <c r="U530" s="102"/>
      <c r="V530" s="48"/>
      <c r="W530" s="48"/>
      <c r="X530" s="48"/>
      <c r="Y530" s="48"/>
      <c r="Z530" s="47"/>
      <c r="AA530" s="70">
        <v>530</v>
      </c>
      <c r="AB530" s="70"/>
      <c r="AC530" s="71"/>
      <c r="AD530" s="86" t="s">
        <v>24156</v>
      </c>
      <c r="AE530" s="94" t="s">
        <v>22563</v>
      </c>
      <c r="AF530" s="86">
        <v>136</v>
      </c>
      <c r="AG530" s="86">
        <v>102</v>
      </c>
      <c r="AH530" s="86">
        <v>678</v>
      </c>
      <c r="AI530" s="86">
        <v>2</v>
      </c>
      <c r="AJ530" s="86">
        <v>328</v>
      </c>
      <c r="AK530" s="86">
        <v>291</v>
      </c>
      <c r="AL530" s="86" t="b">
        <v>0</v>
      </c>
      <c r="AM530" s="89">
        <v>44270.824502314812</v>
      </c>
      <c r="AN530" s="86" t="s">
        <v>26069</v>
      </c>
      <c r="AO530" s="86" t="s">
        <v>26906</v>
      </c>
      <c r="AP530" s="96" t="str">
        <f>HYPERLINK("https://t.co/nT34vNaoO3")</f>
        <v>https://t.co/nT34vNaoO3</v>
      </c>
      <c r="AQ530" s="96" t="str">
        <f>HYPERLINK("http://www.fosofamilia.gob.sv/")</f>
        <v>http://www.fosofamilia.gob.sv/</v>
      </c>
      <c r="AR530" s="86" t="s">
        <v>28265</v>
      </c>
      <c r="AS530" s="86"/>
      <c r="AT530" s="86"/>
      <c r="AU530" s="86"/>
      <c r="AV530" s="86"/>
      <c r="AW530" s="96" t="str">
        <f>HYPERLINK("https://t.co/nT34vNaoO3")</f>
        <v>https://t.co/nT34vNaoO3</v>
      </c>
      <c r="AX530" s="86" t="b">
        <v>0</v>
      </c>
      <c r="AY530" s="86"/>
      <c r="AZ530" s="86"/>
      <c r="BA530" s="86" t="b">
        <v>0</v>
      </c>
      <c r="BB530" s="86" t="b">
        <v>1</v>
      </c>
      <c r="BC530" s="86" t="b">
        <v>1</v>
      </c>
      <c r="BD530" s="86" t="b">
        <v>0</v>
      </c>
      <c r="BE530" s="86" t="b">
        <v>0</v>
      </c>
      <c r="BF530" s="86" t="b">
        <v>0</v>
      </c>
      <c r="BG530" s="86" t="b">
        <v>0</v>
      </c>
      <c r="BH530" s="96" t="str">
        <f>HYPERLINK("https://pbs.twimg.com/profile_banners/1371548454703468546/1694750683")</f>
        <v>https://pbs.twimg.com/profile_banners/1371548454703468546/1694750683</v>
      </c>
      <c r="BI530" s="86"/>
      <c r="BJ530" s="86" t="s">
        <v>29134</v>
      </c>
      <c r="BK530" s="86" t="b">
        <v>0</v>
      </c>
      <c r="BL530" s="86"/>
      <c r="BM530" s="86" t="s">
        <v>66</v>
      </c>
      <c r="BN530" s="86" t="s">
        <v>29136</v>
      </c>
      <c r="BO530" s="96" t="str">
        <f>HYPERLINK("https://twitter.com/fosofamiliasv")</f>
        <v>https://twitter.com/fosofamiliasv</v>
      </c>
      <c r="BP530" s="2"/>
    </row>
    <row r="531" spans="1:68" x14ac:dyDescent="0.25">
      <c r="A531" s="63" t="s">
        <v>682</v>
      </c>
      <c r="B531" s="64"/>
      <c r="C531" s="64"/>
      <c r="D531" s="65"/>
      <c r="E531" s="67"/>
      <c r="F531" s="111" t="str">
        <f>HYPERLINK("https://pbs.twimg.com/profile_images/1680946665899917314/2O5AnB1u_normal.jpg")</f>
        <v>https://pbs.twimg.com/profile_images/1680946665899917314/2O5AnB1u_normal.jpg</v>
      </c>
      <c r="G531" s="64"/>
      <c r="H531" s="68"/>
      <c r="I531" s="69"/>
      <c r="J531" s="69"/>
      <c r="K531" s="68" t="s">
        <v>29664</v>
      </c>
      <c r="L531" s="72"/>
      <c r="M531" s="73"/>
      <c r="N531" s="73"/>
      <c r="O531" s="74"/>
      <c r="P531" s="75"/>
      <c r="Q531" s="75"/>
      <c r="R531" s="102"/>
      <c r="S531" s="102"/>
      <c r="T531" s="102"/>
      <c r="U531" s="102"/>
      <c r="V531" s="48"/>
      <c r="W531" s="48"/>
      <c r="X531" s="48"/>
      <c r="Y531" s="48"/>
      <c r="Z531" s="47"/>
      <c r="AA531" s="70">
        <v>531</v>
      </c>
      <c r="AB531" s="70"/>
      <c r="AC531" s="71"/>
      <c r="AD531" s="86" t="s">
        <v>24157</v>
      </c>
      <c r="AE531" s="94" t="s">
        <v>23058</v>
      </c>
      <c r="AF531" s="86">
        <v>20</v>
      </c>
      <c r="AG531" s="86">
        <v>150</v>
      </c>
      <c r="AH531" s="86">
        <v>933</v>
      </c>
      <c r="AI531" s="86">
        <v>1</v>
      </c>
      <c r="AJ531" s="86">
        <v>130</v>
      </c>
      <c r="AK531" s="86">
        <v>134</v>
      </c>
      <c r="AL531" s="86" t="b">
        <v>0</v>
      </c>
      <c r="AM531" s="89">
        <v>44529.545405092591</v>
      </c>
      <c r="AN531" s="86"/>
      <c r="AO531" s="86" t="s">
        <v>26907</v>
      </c>
      <c r="AP531" s="96" t="str">
        <f>HYPERLINK("https://t.co/W0onUdZC2b")</f>
        <v>https://t.co/W0onUdZC2b</v>
      </c>
      <c r="AQ531" s="96" t="str">
        <f>HYPERLINK("https://instagram.com/marcone.united?igshid=MzNlNGNkZWQ4Mg==")</f>
        <v>https://instagram.com/marcone.united?igshid=MzNlNGNkZWQ4Mg==</v>
      </c>
      <c r="AR531" s="86" t="s">
        <v>28266</v>
      </c>
      <c r="AS531" s="86"/>
      <c r="AT531" s="86"/>
      <c r="AU531" s="86"/>
      <c r="AV531" s="86">
        <v>1.6617292983304E+18</v>
      </c>
      <c r="AW531" s="96" t="str">
        <f>HYPERLINK("https://t.co/W0onUdZC2b")</f>
        <v>https://t.co/W0onUdZC2b</v>
      </c>
      <c r="AX531" s="86" t="b">
        <v>0</v>
      </c>
      <c r="AY531" s="86"/>
      <c r="AZ531" s="86"/>
      <c r="BA531" s="86" t="b">
        <v>0</v>
      </c>
      <c r="BB531" s="86" t="b">
        <v>1</v>
      </c>
      <c r="BC531" s="86" t="b">
        <v>1</v>
      </c>
      <c r="BD531" s="86" t="b">
        <v>0</v>
      </c>
      <c r="BE531" s="86" t="b">
        <v>1</v>
      </c>
      <c r="BF531" s="86" t="b">
        <v>0</v>
      </c>
      <c r="BG531" s="86" t="b">
        <v>0</v>
      </c>
      <c r="BH531" s="96" t="str">
        <f>HYPERLINK("https://pbs.twimg.com/profile_banners/1465305727329882113/1665171544")</f>
        <v>https://pbs.twimg.com/profile_banners/1465305727329882113/1665171544</v>
      </c>
      <c r="BI531" s="86"/>
      <c r="BJ531" s="86" t="s">
        <v>29134</v>
      </c>
      <c r="BK531" s="86" t="b">
        <v>0</v>
      </c>
      <c r="BL531" s="86"/>
      <c r="BM531" s="86" t="s">
        <v>66</v>
      </c>
      <c r="BN531" s="86" t="s">
        <v>29136</v>
      </c>
      <c r="BO531" s="96" t="str">
        <f>HYPERLINK("https://twitter.com/mvcosta22")</f>
        <v>https://twitter.com/mvcosta22</v>
      </c>
      <c r="BP531" s="2"/>
    </row>
    <row r="532" spans="1:68" x14ac:dyDescent="0.25">
      <c r="A532" s="63" t="s">
        <v>683</v>
      </c>
      <c r="B532" s="64"/>
      <c r="C532" s="64"/>
      <c r="D532" s="65"/>
      <c r="E532" s="67"/>
      <c r="F532" s="111" t="str">
        <f>HYPERLINK("https://pbs.twimg.com/profile_images/1249166983981137921/11eiKiPb_normal.jpg")</f>
        <v>https://pbs.twimg.com/profile_images/1249166983981137921/11eiKiPb_normal.jpg</v>
      </c>
      <c r="G532" s="64"/>
      <c r="H532" s="68"/>
      <c r="I532" s="69"/>
      <c r="J532" s="69"/>
      <c r="K532" s="68" t="s">
        <v>29665</v>
      </c>
      <c r="L532" s="72"/>
      <c r="M532" s="73"/>
      <c r="N532" s="73"/>
      <c r="O532" s="74"/>
      <c r="P532" s="75"/>
      <c r="Q532" s="75"/>
      <c r="R532" s="102"/>
      <c r="S532" s="102"/>
      <c r="T532" s="102"/>
      <c r="U532" s="102"/>
      <c r="V532" s="48"/>
      <c r="W532" s="48"/>
      <c r="X532" s="48"/>
      <c r="Y532" s="48"/>
      <c r="Z532" s="47"/>
      <c r="AA532" s="70">
        <v>532</v>
      </c>
      <c r="AB532" s="70"/>
      <c r="AC532" s="71"/>
      <c r="AD532" s="86" t="s">
        <v>24158</v>
      </c>
      <c r="AE532" s="94" t="s">
        <v>22564</v>
      </c>
      <c r="AF532" s="86">
        <v>581</v>
      </c>
      <c r="AG532" s="86">
        <v>741</v>
      </c>
      <c r="AH532" s="86">
        <v>3317</v>
      </c>
      <c r="AI532" s="86">
        <v>8</v>
      </c>
      <c r="AJ532" s="86">
        <v>23424</v>
      </c>
      <c r="AK532" s="86">
        <v>110</v>
      </c>
      <c r="AL532" s="86" t="b">
        <v>0</v>
      </c>
      <c r="AM532" s="89">
        <v>40029.725682870368</v>
      </c>
      <c r="AN532" s="86" t="s">
        <v>26070</v>
      </c>
      <c r="AO532" s="86" t="s">
        <v>26908</v>
      </c>
      <c r="AP532" s="96" t="str">
        <f>HYPERLINK("https://t.co/mMNTpsL2Zs")</f>
        <v>https://t.co/mMNTpsL2Zs</v>
      </c>
      <c r="AQ532" s="96" t="str">
        <f>HYPERLINK("http://www.tarcisosouza.com")</f>
        <v>http://www.tarcisosouza.com</v>
      </c>
      <c r="AR532" s="86" t="s">
        <v>28267</v>
      </c>
      <c r="AS532" s="86"/>
      <c r="AT532" s="86"/>
      <c r="AU532" s="86"/>
      <c r="AV532" s="86"/>
      <c r="AW532" s="96" t="str">
        <f>HYPERLINK("https://t.co/mMNTpsL2Zs")</f>
        <v>https://t.co/mMNTpsL2Zs</v>
      </c>
      <c r="AX532" s="86" t="b">
        <v>0</v>
      </c>
      <c r="AY532" s="86"/>
      <c r="AZ532" s="86"/>
      <c r="BA532" s="86" t="b">
        <v>0</v>
      </c>
      <c r="BB532" s="86" t="b">
        <v>1</v>
      </c>
      <c r="BC532" s="86" t="b">
        <v>0</v>
      </c>
      <c r="BD532" s="86" t="b">
        <v>0</v>
      </c>
      <c r="BE532" s="86" t="b">
        <v>1</v>
      </c>
      <c r="BF532" s="86" t="b">
        <v>0</v>
      </c>
      <c r="BG532" s="86" t="b">
        <v>0</v>
      </c>
      <c r="BH532" s="86"/>
      <c r="BI532" s="86"/>
      <c r="BJ532" s="86" t="s">
        <v>29134</v>
      </c>
      <c r="BK532" s="86" t="b">
        <v>0</v>
      </c>
      <c r="BL532" s="86"/>
      <c r="BM532" s="86" t="s">
        <v>66</v>
      </c>
      <c r="BN532" s="86" t="s">
        <v>29136</v>
      </c>
      <c r="BO532" s="96" t="str">
        <f>HYPERLINK("https://twitter.com/tarcisosouza")</f>
        <v>https://twitter.com/tarcisosouza</v>
      </c>
      <c r="BP532" s="2"/>
    </row>
    <row r="533" spans="1:68" x14ac:dyDescent="0.25">
      <c r="A533" s="63" t="s">
        <v>684</v>
      </c>
      <c r="B533" s="64"/>
      <c r="C533" s="64"/>
      <c r="D533" s="65"/>
      <c r="E533" s="67"/>
      <c r="F533" s="111" t="str">
        <f>HYPERLINK("https://pbs.twimg.com/profile_images/1670794809374658565/BXCoXc-G_normal.png")</f>
        <v>https://pbs.twimg.com/profile_images/1670794809374658565/BXCoXc-G_normal.png</v>
      </c>
      <c r="G533" s="64"/>
      <c r="H533" s="68"/>
      <c r="I533" s="69"/>
      <c r="J533" s="69"/>
      <c r="K533" s="68" t="s">
        <v>29666</v>
      </c>
      <c r="L533" s="72"/>
      <c r="M533" s="73"/>
      <c r="N533" s="73"/>
      <c r="O533" s="74"/>
      <c r="P533" s="75"/>
      <c r="Q533" s="75"/>
      <c r="R533" s="102"/>
      <c r="S533" s="102"/>
      <c r="T533" s="102"/>
      <c r="U533" s="102"/>
      <c r="V533" s="48"/>
      <c r="W533" s="48"/>
      <c r="X533" s="48"/>
      <c r="Y533" s="48"/>
      <c r="Z533" s="47"/>
      <c r="AA533" s="70">
        <v>533</v>
      </c>
      <c r="AB533" s="70"/>
      <c r="AC533" s="71"/>
      <c r="AD533" s="86" t="s">
        <v>24159</v>
      </c>
      <c r="AE533" s="94" t="s">
        <v>23059</v>
      </c>
      <c r="AF533" s="86">
        <v>1</v>
      </c>
      <c r="AG533" s="86">
        <v>7</v>
      </c>
      <c r="AH533" s="86">
        <v>16</v>
      </c>
      <c r="AI533" s="86">
        <v>0</v>
      </c>
      <c r="AJ533" s="86">
        <v>0</v>
      </c>
      <c r="AK533" s="86">
        <v>16</v>
      </c>
      <c r="AL533" s="86" t="b">
        <v>0</v>
      </c>
      <c r="AM533" s="89">
        <v>45096.586782407408</v>
      </c>
      <c r="AN533" s="86"/>
      <c r="AO533" s="86" t="s">
        <v>26909</v>
      </c>
      <c r="AP533" s="86"/>
      <c r="AQ533" s="86"/>
      <c r="AR533" s="86"/>
      <c r="AS533" s="86"/>
      <c r="AT533" s="86"/>
      <c r="AU533" s="86"/>
      <c r="AV533" s="86"/>
      <c r="AW533" s="86"/>
      <c r="AX533" s="86" t="b">
        <v>0</v>
      </c>
      <c r="AY533" s="86"/>
      <c r="AZ533" s="86"/>
      <c r="BA533" s="86" t="b">
        <v>0</v>
      </c>
      <c r="BB533" s="86" t="b">
        <v>1</v>
      </c>
      <c r="BC533" s="86" t="b">
        <v>1</v>
      </c>
      <c r="BD533" s="86" t="b">
        <v>0</v>
      </c>
      <c r="BE533" s="86" t="b">
        <v>0</v>
      </c>
      <c r="BF533" s="86" t="b">
        <v>0</v>
      </c>
      <c r="BG533" s="86" t="b">
        <v>0</v>
      </c>
      <c r="BH533" s="86"/>
      <c r="BI533" s="86"/>
      <c r="BJ533" s="86" t="s">
        <v>29134</v>
      </c>
      <c r="BK533" s="86" t="b">
        <v>0</v>
      </c>
      <c r="BL533" s="86"/>
      <c r="BM533" s="86" t="s">
        <v>66</v>
      </c>
      <c r="BN533" s="86" t="s">
        <v>29136</v>
      </c>
      <c r="BO533" s="96" t="str">
        <f>HYPERLINK("https://twitter.com/metalogsoft")</f>
        <v>https://twitter.com/metalogsoft</v>
      </c>
      <c r="BP533" s="2"/>
    </row>
    <row r="534" spans="1:68" x14ac:dyDescent="0.25">
      <c r="A534" s="63" t="s">
        <v>685</v>
      </c>
      <c r="B534" s="64"/>
      <c r="C534" s="64"/>
      <c r="D534" s="65"/>
      <c r="E534" s="67"/>
      <c r="F534" s="111" t="str">
        <f>HYPERLINK("https://pbs.twimg.com/profile_images/1546463682997239810/gd6pckJY_normal.jpg")</f>
        <v>https://pbs.twimg.com/profile_images/1546463682997239810/gd6pckJY_normal.jpg</v>
      </c>
      <c r="G534" s="64"/>
      <c r="H534" s="68"/>
      <c r="I534" s="69"/>
      <c r="J534" s="69"/>
      <c r="K534" s="68" t="s">
        <v>29667</v>
      </c>
      <c r="L534" s="72"/>
      <c r="M534" s="73"/>
      <c r="N534" s="73"/>
      <c r="O534" s="74"/>
      <c r="P534" s="75"/>
      <c r="Q534" s="75"/>
      <c r="R534" s="102"/>
      <c r="S534" s="102"/>
      <c r="T534" s="102"/>
      <c r="U534" s="102"/>
      <c r="V534" s="48"/>
      <c r="W534" s="48"/>
      <c r="X534" s="48"/>
      <c r="Y534" s="48"/>
      <c r="Z534" s="47"/>
      <c r="AA534" s="70">
        <v>534</v>
      </c>
      <c r="AB534" s="70"/>
      <c r="AC534" s="71"/>
      <c r="AD534" s="86" t="s">
        <v>24160</v>
      </c>
      <c r="AE534" s="94" t="s">
        <v>23060</v>
      </c>
      <c r="AF534" s="86">
        <v>788</v>
      </c>
      <c r="AG534" s="86">
        <v>857</v>
      </c>
      <c r="AH534" s="86">
        <v>1261</v>
      </c>
      <c r="AI534" s="86">
        <v>13</v>
      </c>
      <c r="AJ534" s="86">
        <v>945</v>
      </c>
      <c r="AK534" s="86">
        <v>365</v>
      </c>
      <c r="AL534" s="86" t="b">
        <v>0</v>
      </c>
      <c r="AM534" s="89">
        <v>43546.613680555558</v>
      </c>
      <c r="AN534" s="86" t="s">
        <v>15234</v>
      </c>
      <c r="AO534" s="86" t="s">
        <v>26910</v>
      </c>
      <c r="AP534" s="96" t="str">
        <f>HYPERLINK("https://t.co/UaFKW37hbC")</f>
        <v>https://t.co/UaFKW37hbC</v>
      </c>
      <c r="AQ534" s="96" t="str">
        <f>HYPERLINK("https://cptb.me/bio")</f>
        <v>https://cptb.me/bio</v>
      </c>
      <c r="AR534" s="86" t="s">
        <v>28268</v>
      </c>
      <c r="AS534" s="86"/>
      <c r="AT534" s="86"/>
      <c r="AU534" s="86"/>
      <c r="AV534" s="86">
        <v>1.6859950342465201E+18</v>
      </c>
      <c r="AW534" s="96" t="str">
        <f>HYPERLINK("https://t.co/UaFKW37hbC")</f>
        <v>https://t.co/UaFKW37hbC</v>
      </c>
      <c r="AX534" s="86" t="b">
        <v>0</v>
      </c>
      <c r="AY534" s="86"/>
      <c r="AZ534" s="86"/>
      <c r="BA534" s="86" t="b">
        <v>1</v>
      </c>
      <c r="BB534" s="86" t="b">
        <v>1</v>
      </c>
      <c r="BC534" s="86" t="b">
        <v>1</v>
      </c>
      <c r="BD534" s="86" t="b">
        <v>0</v>
      </c>
      <c r="BE534" s="86" t="b">
        <v>0</v>
      </c>
      <c r="BF534" s="86" t="b">
        <v>0</v>
      </c>
      <c r="BG534" s="86" t="b">
        <v>0</v>
      </c>
      <c r="BH534" s="96" t="str">
        <f>HYPERLINK("https://pbs.twimg.com/profile_banners/1109103362367209472/1657540578")</f>
        <v>https://pbs.twimg.com/profile_banners/1109103362367209472/1657540578</v>
      </c>
      <c r="BI534" s="86"/>
      <c r="BJ534" s="86" t="s">
        <v>29134</v>
      </c>
      <c r="BK534" s="86" t="b">
        <v>0</v>
      </c>
      <c r="BL534" s="86"/>
      <c r="BM534" s="86" t="s">
        <v>66</v>
      </c>
      <c r="BN534" s="86" t="s">
        <v>29136</v>
      </c>
      <c r="BO534" s="96" t="str">
        <f>HYPERLINK("https://twitter.com/captablebrasil")</f>
        <v>https://twitter.com/captablebrasil</v>
      </c>
      <c r="BP534" s="2"/>
    </row>
    <row r="535" spans="1:68" x14ac:dyDescent="0.25">
      <c r="A535" s="63" t="s">
        <v>686</v>
      </c>
      <c r="B535" s="64"/>
      <c r="C535" s="64"/>
      <c r="D535" s="65"/>
      <c r="E535" s="67"/>
      <c r="F535" s="111" t="str">
        <f>HYPERLINK("https://pbs.twimg.com/profile_images/1451575744480567308/Erxic7ym_normal.jpg")</f>
        <v>https://pbs.twimg.com/profile_images/1451575744480567308/Erxic7ym_normal.jpg</v>
      </c>
      <c r="G535" s="64"/>
      <c r="H535" s="68"/>
      <c r="I535" s="69"/>
      <c r="J535" s="69"/>
      <c r="K535" s="68" t="s">
        <v>29668</v>
      </c>
      <c r="L535" s="72"/>
      <c r="M535" s="73"/>
      <c r="N535" s="73"/>
      <c r="O535" s="74"/>
      <c r="P535" s="75"/>
      <c r="Q535" s="75"/>
      <c r="R535" s="102"/>
      <c r="S535" s="102"/>
      <c r="T535" s="102"/>
      <c r="U535" s="102"/>
      <c r="V535" s="48"/>
      <c r="W535" s="48"/>
      <c r="X535" s="48"/>
      <c r="Y535" s="48"/>
      <c r="Z535" s="47"/>
      <c r="AA535" s="70">
        <v>535</v>
      </c>
      <c r="AB535" s="70"/>
      <c r="AC535" s="71"/>
      <c r="AD535" s="86" t="s">
        <v>24161</v>
      </c>
      <c r="AE535" s="94" t="s">
        <v>25425</v>
      </c>
      <c r="AF535" s="86">
        <v>1355</v>
      </c>
      <c r="AG535" s="86">
        <v>85</v>
      </c>
      <c r="AH535" s="86">
        <v>973</v>
      </c>
      <c r="AI535" s="86">
        <v>57</v>
      </c>
      <c r="AJ535" s="86">
        <v>90</v>
      </c>
      <c r="AK535" s="86">
        <v>360</v>
      </c>
      <c r="AL535" s="86" t="b">
        <v>0</v>
      </c>
      <c r="AM535" s="89">
        <v>39989.595312500001</v>
      </c>
      <c r="AN535" s="86" t="s">
        <v>26071</v>
      </c>
      <c r="AO535" s="86" t="s">
        <v>26911</v>
      </c>
      <c r="AP535" s="96" t="str">
        <f>HYPERLINK("https://t.co/BqZ7jXgVsy")</f>
        <v>https://t.co/BqZ7jXgVsy</v>
      </c>
      <c r="AQ535" s="96" t="str">
        <f>HYPERLINK("http://www.tecminho.uminho.pt")</f>
        <v>http://www.tecminho.uminho.pt</v>
      </c>
      <c r="AR535" s="86" t="s">
        <v>28269</v>
      </c>
      <c r="AS535" s="86"/>
      <c r="AT535" s="86"/>
      <c r="AU535" s="86"/>
      <c r="AV535" s="86"/>
      <c r="AW535" s="96" t="str">
        <f>HYPERLINK("https://t.co/BqZ7jXgVsy")</f>
        <v>https://t.co/BqZ7jXgVsy</v>
      </c>
      <c r="AX535" s="86" t="b">
        <v>0</v>
      </c>
      <c r="AY535" s="86"/>
      <c r="AZ535" s="86"/>
      <c r="BA535" s="86" t="b">
        <v>0</v>
      </c>
      <c r="BB535" s="86" t="b">
        <v>1</v>
      </c>
      <c r="BC535" s="86" t="b">
        <v>0</v>
      </c>
      <c r="BD535" s="86" t="b">
        <v>0</v>
      </c>
      <c r="BE535" s="86" t="b">
        <v>0</v>
      </c>
      <c r="BF535" s="86" t="b">
        <v>0</v>
      </c>
      <c r="BG535" s="86" t="b">
        <v>0</v>
      </c>
      <c r="BH535" s="96" t="str">
        <f>HYPERLINK("https://pbs.twimg.com/profile_banners/50656917/1634917602")</f>
        <v>https://pbs.twimg.com/profile_banners/50656917/1634917602</v>
      </c>
      <c r="BI535" s="86"/>
      <c r="BJ535" s="86" t="s">
        <v>29134</v>
      </c>
      <c r="BK535" s="86" t="b">
        <v>0</v>
      </c>
      <c r="BL535" s="86"/>
      <c r="BM535" s="86" t="s">
        <v>66</v>
      </c>
      <c r="BN535" s="86" t="s">
        <v>29136</v>
      </c>
      <c r="BO535" s="96" t="str">
        <f>HYPERLINK("https://twitter.com/tecminho")</f>
        <v>https://twitter.com/tecminho</v>
      </c>
      <c r="BP535" s="2"/>
    </row>
    <row r="536" spans="1:68" x14ac:dyDescent="0.25">
      <c r="A536" s="63" t="s">
        <v>1678</v>
      </c>
      <c r="B536" s="64"/>
      <c r="C536" s="64"/>
      <c r="D536" s="65"/>
      <c r="E536" s="67"/>
      <c r="F536" s="111" t="str">
        <f>HYPERLINK("https://pbs.twimg.com/profile_images/1698944612365193216/JE_XKwTw_normal.jpg")</f>
        <v>https://pbs.twimg.com/profile_images/1698944612365193216/JE_XKwTw_normal.jpg</v>
      </c>
      <c r="G536" s="64"/>
      <c r="H536" s="68"/>
      <c r="I536" s="69"/>
      <c r="J536" s="69"/>
      <c r="K536" s="68" t="s">
        <v>29669</v>
      </c>
      <c r="L536" s="72"/>
      <c r="M536" s="73"/>
      <c r="N536" s="73"/>
      <c r="O536" s="74"/>
      <c r="P536" s="75"/>
      <c r="Q536" s="75"/>
      <c r="R536" s="102"/>
      <c r="S536" s="102"/>
      <c r="T536" s="102"/>
      <c r="U536" s="102"/>
      <c r="V536" s="48"/>
      <c r="W536" s="48"/>
      <c r="X536" s="48"/>
      <c r="Y536" s="48"/>
      <c r="Z536" s="47"/>
      <c r="AA536" s="70">
        <v>536</v>
      </c>
      <c r="AB536" s="70"/>
      <c r="AC536" s="71"/>
      <c r="AD536" s="86" t="s">
        <v>24162</v>
      </c>
      <c r="AE536" s="94" t="s">
        <v>25426</v>
      </c>
      <c r="AF536" s="86">
        <v>5</v>
      </c>
      <c r="AG536" s="86">
        <v>6</v>
      </c>
      <c r="AH536" s="86">
        <v>1</v>
      </c>
      <c r="AI536" s="86">
        <v>0</v>
      </c>
      <c r="AJ536" s="86">
        <v>0</v>
      </c>
      <c r="AK536" s="86">
        <v>0</v>
      </c>
      <c r="AL536" s="86" t="b">
        <v>0</v>
      </c>
      <c r="AM536" s="89">
        <v>45174.265289351853</v>
      </c>
      <c r="AN536" s="86" t="s">
        <v>26072</v>
      </c>
      <c r="AO536" s="86" t="s">
        <v>26912</v>
      </c>
      <c r="AP536" s="96" t="str">
        <f>HYPERLINK("https://t.co/lGivBG2oVL")</f>
        <v>https://t.co/lGivBG2oVL</v>
      </c>
      <c r="AQ536" s="96" t="str">
        <f>HYPERLINK("https://migrants-can-patent.eu/")</f>
        <v>https://migrants-can-patent.eu/</v>
      </c>
      <c r="AR536" s="86" t="s">
        <v>8448</v>
      </c>
      <c r="AS536" s="86"/>
      <c r="AT536" s="86"/>
      <c r="AU536" s="86"/>
      <c r="AV536" s="86"/>
      <c r="AW536" s="96" t="str">
        <f>HYPERLINK("https://t.co/lGivBG2oVL")</f>
        <v>https://t.co/lGivBG2oVL</v>
      </c>
      <c r="AX536" s="86" t="b">
        <v>0</v>
      </c>
      <c r="AY536" s="86"/>
      <c r="AZ536" s="86"/>
      <c r="BA536" s="86" t="b">
        <v>0</v>
      </c>
      <c r="BB536" s="86" t="b">
        <v>1</v>
      </c>
      <c r="BC536" s="86" t="b">
        <v>1</v>
      </c>
      <c r="BD536" s="86" t="b">
        <v>0</v>
      </c>
      <c r="BE536" s="86" t="b">
        <v>0</v>
      </c>
      <c r="BF536" s="86" t="b">
        <v>0</v>
      </c>
      <c r="BG536" s="86" t="b">
        <v>0</v>
      </c>
      <c r="BH536" s="96" t="str">
        <f>HYPERLINK("https://pbs.twimg.com/profile_banners/1698944511940956160/1693895249")</f>
        <v>https://pbs.twimg.com/profile_banners/1698944511940956160/1693895249</v>
      </c>
      <c r="BI536" s="86"/>
      <c r="BJ536" s="86" t="s">
        <v>29134</v>
      </c>
      <c r="BK536" s="86" t="b">
        <v>0</v>
      </c>
      <c r="BL536" s="86"/>
      <c r="BM536" s="86" t="s">
        <v>65</v>
      </c>
      <c r="BN536" s="86" t="s">
        <v>29136</v>
      </c>
      <c r="BO536" s="96" t="str">
        <f>HYPERLINK("https://twitter.com/patent_eu")</f>
        <v>https://twitter.com/patent_eu</v>
      </c>
      <c r="BP536" s="2"/>
    </row>
    <row r="537" spans="1:68" x14ac:dyDescent="0.25">
      <c r="A537" s="63" t="s">
        <v>687</v>
      </c>
      <c r="B537" s="64"/>
      <c r="C537" s="64"/>
      <c r="D537" s="65"/>
      <c r="E537" s="67"/>
      <c r="F537" s="111" t="str">
        <f>HYPERLINK("https://pbs.twimg.com/profile_images/1162423079395573760/I2mHCwNy_normal.png")</f>
        <v>https://pbs.twimg.com/profile_images/1162423079395573760/I2mHCwNy_normal.png</v>
      </c>
      <c r="G537" s="64"/>
      <c r="H537" s="68"/>
      <c r="I537" s="69"/>
      <c r="J537" s="69"/>
      <c r="K537" s="68" t="s">
        <v>29670</v>
      </c>
      <c r="L537" s="72"/>
      <c r="M537" s="73"/>
      <c r="N537" s="73"/>
      <c r="O537" s="74"/>
      <c r="P537" s="75"/>
      <c r="Q537" s="75"/>
      <c r="R537" s="102"/>
      <c r="S537" s="102"/>
      <c r="T537" s="102"/>
      <c r="U537" s="102"/>
      <c r="V537" s="48"/>
      <c r="W537" s="48"/>
      <c r="X537" s="48"/>
      <c r="Y537" s="48"/>
      <c r="Z537" s="47"/>
      <c r="AA537" s="70">
        <v>537</v>
      </c>
      <c r="AB537" s="70"/>
      <c r="AC537" s="71"/>
      <c r="AD537" s="86" t="s">
        <v>687</v>
      </c>
      <c r="AE537" s="94" t="s">
        <v>25427</v>
      </c>
      <c r="AF537" s="86">
        <v>194</v>
      </c>
      <c r="AG537" s="86">
        <v>317</v>
      </c>
      <c r="AH537" s="86">
        <v>2586</v>
      </c>
      <c r="AI537" s="86">
        <v>0</v>
      </c>
      <c r="AJ537" s="86">
        <v>110</v>
      </c>
      <c r="AK537" s="86">
        <v>2478</v>
      </c>
      <c r="AL537" s="86" t="b">
        <v>0</v>
      </c>
      <c r="AM537" s="89">
        <v>41556.946238425924</v>
      </c>
      <c r="AN537" s="86" t="s">
        <v>25996</v>
      </c>
      <c r="AO537" s="86" t="s">
        <v>26913</v>
      </c>
      <c r="AP537" s="96" t="str">
        <f>HYPERLINK("https://t.co/DiBwvaUj0y")</f>
        <v>https://t.co/DiBwvaUj0y</v>
      </c>
      <c r="AQ537" s="96" t="str">
        <f>HYPERLINK("http://www.espetoflex.com.br")</f>
        <v>http://www.espetoflex.com.br</v>
      </c>
      <c r="AR537" s="86" t="s">
        <v>28270</v>
      </c>
      <c r="AS537" s="86"/>
      <c r="AT537" s="86"/>
      <c r="AU537" s="86"/>
      <c r="AV537" s="86"/>
      <c r="AW537" s="96" t="str">
        <f>HYPERLINK("https://t.co/DiBwvaUj0y")</f>
        <v>https://t.co/DiBwvaUj0y</v>
      </c>
      <c r="AX537" s="86" t="b">
        <v>0</v>
      </c>
      <c r="AY537" s="86"/>
      <c r="AZ537" s="86"/>
      <c r="BA537" s="86" t="b">
        <v>0</v>
      </c>
      <c r="BB537" s="86" t="b">
        <v>1</v>
      </c>
      <c r="BC537" s="86" t="b">
        <v>0</v>
      </c>
      <c r="BD537" s="86" t="b">
        <v>0</v>
      </c>
      <c r="BE537" s="86" t="b">
        <v>0</v>
      </c>
      <c r="BF537" s="86" t="b">
        <v>0</v>
      </c>
      <c r="BG537" s="86" t="b">
        <v>0</v>
      </c>
      <c r="BH537" s="96" t="str">
        <f>HYPERLINK("https://pbs.twimg.com/profile_banners/1950263365/1565978578")</f>
        <v>https://pbs.twimg.com/profile_banners/1950263365/1565978578</v>
      </c>
      <c r="BI537" s="86"/>
      <c r="BJ537" s="86" t="s">
        <v>29134</v>
      </c>
      <c r="BK537" s="86" t="b">
        <v>0</v>
      </c>
      <c r="BL537" s="86"/>
      <c r="BM537" s="86" t="s">
        <v>66</v>
      </c>
      <c r="BN537" s="86" t="s">
        <v>29136</v>
      </c>
      <c r="BO537" s="96" t="str">
        <f>HYPERLINK("https://twitter.com/espetoflex")</f>
        <v>https://twitter.com/espetoflex</v>
      </c>
      <c r="BP537" s="2"/>
    </row>
    <row r="538" spans="1:68" x14ac:dyDescent="0.25">
      <c r="A538" s="63" t="s">
        <v>688</v>
      </c>
      <c r="B538" s="64"/>
      <c r="C538" s="64"/>
      <c r="D538" s="65"/>
      <c r="E538" s="67"/>
      <c r="F538" s="111" t="str">
        <f>HYPERLINK("https://pbs.twimg.com/profile_images/1538559139529515008/daIJe4Fm_normal.jpg")</f>
        <v>https://pbs.twimg.com/profile_images/1538559139529515008/daIJe4Fm_normal.jpg</v>
      </c>
      <c r="G538" s="64"/>
      <c r="H538" s="68"/>
      <c r="I538" s="69"/>
      <c r="J538" s="69"/>
      <c r="K538" s="68" t="s">
        <v>29671</v>
      </c>
      <c r="L538" s="72"/>
      <c r="M538" s="73"/>
      <c r="N538" s="73"/>
      <c r="O538" s="74"/>
      <c r="P538" s="75"/>
      <c r="Q538" s="75"/>
      <c r="R538" s="102"/>
      <c r="S538" s="102"/>
      <c r="T538" s="102"/>
      <c r="U538" s="102"/>
      <c r="V538" s="48"/>
      <c r="W538" s="48"/>
      <c r="X538" s="48"/>
      <c r="Y538" s="48"/>
      <c r="Z538" s="47"/>
      <c r="AA538" s="70">
        <v>538</v>
      </c>
      <c r="AB538" s="70"/>
      <c r="AC538" s="71"/>
      <c r="AD538" s="86" t="s">
        <v>24163</v>
      </c>
      <c r="AE538" s="94" t="s">
        <v>23061</v>
      </c>
      <c r="AF538" s="86">
        <v>12</v>
      </c>
      <c r="AG538" s="86">
        <v>706</v>
      </c>
      <c r="AH538" s="86">
        <v>484</v>
      </c>
      <c r="AI538" s="86">
        <v>0</v>
      </c>
      <c r="AJ538" s="86">
        <v>2236</v>
      </c>
      <c r="AK538" s="86">
        <v>5</v>
      </c>
      <c r="AL538" s="86" t="b">
        <v>0</v>
      </c>
      <c r="AM538" s="89">
        <v>43922.489687499998</v>
      </c>
      <c r="AN538" s="86" t="s">
        <v>15274</v>
      </c>
      <c r="AO538" s="86"/>
      <c r="AP538" s="86"/>
      <c r="AQ538" s="86"/>
      <c r="AR538" s="86"/>
      <c r="AS538" s="86"/>
      <c r="AT538" s="86"/>
      <c r="AU538" s="86"/>
      <c r="AV538" s="86"/>
      <c r="AW538" s="86"/>
      <c r="AX538" s="86" t="b">
        <v>0</v>
      </c>
      <c r="AY538" s="86"/>
      <c r="AZ538" s="86"/>
      <c r="BA538" s="86" t="b">
        <v>0</v>
      </c>
      <c r="BB538" s="86" t="b">
        <v>0</v>
      </c>
      <c r="BC538" s="86" t="b">
        <v>1</v>
      </c>
      <c r="BD538" s="86" t="b">
        <v>0</v>
      </c>
      <c r="BE538" s="86" t="b">
        <v>0</v>
      </c>
      <c r="BF538" s="86" t="b">
        <v>0</v>
      </c>
      <c r="BG538" s="86" t="b">
        <v>0</v>
      </c>
      <c r="BH538" s="96" t="str">
        <f>HYPERLINK("https://pbs.twimg.com/profile_banners/1245316222486491137/1587303400")</f>
        <v>https://pbs.twimg.com/profile_banners/1245316222486491137/1587303400</v>
      </c>
      <c r="BI538" s="86"/>
      <c r="BJ538" s="86" t="s">
        <v>29134</v>
      </c>
      <c r="BK538" s="86" t="b">
        <v>0</v>
      </c>
      <c r="BL538" s="86"/>
      <c r="BM538" s="86" t="s">
        <v>66</v>
      </c>
      <c r="BN538" s="86" t="s">
        <v>29136</v>
      </c>
      <c r="BO538" s="96" t="str">
        <f>HYPERLINK("https://twitter.com/willianpsouz")</f>
        <v>https://twitter.com/willianpsouz</v>
      </c>
      <c r="BP538" s="2"/>
    </row>
    <row r="539" spans="1:68" x14ac:dyDescent="0.25">
      <c r="A539" s="63" t="s">
        <v>689</v>
      </c>
      <c r="B539" s="64"/>
      <c r="C539" s="64"/>
      <c r="D539" s="65"/>
      <c r="E539" s="67"/>
      <c r="F539" s="111" t="str">
        <f>HYPERLINK("https://pbs.twimg.com/profile_images/1438905822176759811/P5HzYMK5_normal.jpg")</f>
        <v>https://pbs.twimg.com/profile_images/1438905822176759811/P5HzYMK5_normal.jpg</v>
      </c>
      <c r="G539" s="64"/>
      <c r="H539" s="68"/>
      <c r="I539" s="69"/>
      <c r="J539" s="69"/>
      <c r="K539" s="68" t="s">
        <v>29672</v>
      </c>
      <c r="L539" s="72"/>
      <c r="M539" s="73"/>
      <c r="N539" s="73"/>
      <c r="O539" s="74"/>
      <c r="P539" s="75"/>
      <c r="Q539" s="75"/>
      <c r="R539" s="102"/>
      <c r="S539" s="102"/>
      <c r="T539" s="102"/>
      <c r="U539" s="102"/>
      <c r="V539" s="48"/>
      <c r="W539" s="48"/>
      <c r="X539" s="48"/>
      <c r="Y539" s="48"/>
      <c r="Z539" s="47"/>
      <c r="AA539" s="70">
        <v>539</v>
      </c>
      <c r="AB539" s="70"/>
      <c r="AC539" s="71"/>
      <c r="AD539" s="86" t="s">
        <v>24164</v>
      </c>
      <c r="AE539" s="94" t="s">
        <v>25428</v>
      </c>
      <c r="AF539" s="86">
        <v>273</v>
      </c>
      <c r="AG539" s="86">
        <v>1641</v>
      </c>
      <c r="AH539" s="86">
        <v>7672</v>
      </c>
      <c r="AI539" s="86">
        <v>1</v>
      </c>
      <c r="AJ539" s="86">
        <v>379</v>
      </c>
      <c r="AK539" s="86">
        <v>704</v>
      </c>
      <c r="AL539" s="86" t="b">
        <v>0</v>
      </c>
      <c r="AM539" s="89">
        <v>40064.91615740741</v>
      </c>
      <c r="AN539" s="86" t="s">
        <v>26073</v>
      </c>
      <c r="AO539" s="86" t="s">
        <v>26914</v>
      </c>
      <c r="AP539" s="96" t="str">
        <f>HYPERLINK("https://t.co/H2fkDlcO6q")</f>
        <v>https://t.co/H2fkDlcO6q</v>
      </c>
      <c r="AQ539" s="96" t="str">
        <f>HYPERLINK("https://www.fronteiralivre.com.br/")</f>
        <v>https://www.fronteiralivre.com.br/</v>
      </c>
      <c r="AR539" s="86" t="s">
        <v>28271</v>
      </c>
      <c r="AS539" s="86"/>
      <c r="AT539" s="86"/>
      <c r="AU539" s="86"/>
      <c r="AV539" s="86"/>
      <c r="AW539" s="96" t="str">
        <f>HYPERLINK("https://t.co/H2fkDlcO6q")</f>
        <v>https://t.co/H2fkDlcO6q</v>
      </c>
      <c r="AX539" s="86" t="b">
        <v>0</v>
      </c>
      <c r="AY539" s="86"/>
      <c r="AZ539" s="86"/>
      <c r="BA539" s="86" t="b">
        <v>0</v>
      </c>
      <c r="BB539" s="86" t="b">
        <v>1</v>
      </c>
      <c r="BC539" s="86" t="b">
        <v>0</v>
      </c>
      <c r="BD539" s="86" t="b">
        <v>0</v>
      </c>
      <c r="BE539" s="86" t="b">
        <v>0</v>
      </c>
      <c r="BF539" s="86" t="b">
        <v>0</v>
      </c>
      <c r="BG539" s="86" t="b">
        <v>0</v>
      </c>
      <c r="BH539" s="96" t="str">
        <f>HYPERLINK("https://pbs.twimg.com/profile_banners/72681608/1648471948")</f>
        <v>https://pbs.twimg.com/profile_banners/72681608/1648471948</v>
      </c>
      <c r="BI539" s="86"/>
      <c r="BJ539" s="86" t="s">
        <v>29134</v>
      </c>
      <c r="BK539" s="86" t="b">
        <v>0</v>
      </c>
      <c r="BL539" s="86"/>
      <c r="BM539" s="86" t="s">
        <v>66</v>
      </c>
      <c r="BN539" s="86" t="s">
        <v>29136</v>
      </c>
      <c r="BO539" s="96" t="str">
        <f>HYPERLINK("https://twitter.com/fronteira_livre")</f>
        <v>https://twitter.com/fronteira_livre</v>
      </c>
      <c r="BP539" s="2"/>
    </row>
    <row r="540" spans="1:68" x14ac:dyDescent="0.25">
      <c r="A540" s="63" t="s">
        <v>690</v>
      </c>
      <c r="B540" s="64"/>
      <c r="C540" s="64"/>
      <c r="D540" s="65"/>
      <c r="E540" s="67"/>
      <c r="F540" s="111" t="str">
        <f>HYPERLINK("https://pbs.twimg.com/profile_images/1607849762216198145/hDYZBQjm_normal.jpg")</f>
        <v>https://pbs.twimg.com/profile_images/1607849762216198145/hDYZBQjm_normal.jpg</v>
      </c>
      <c r="G540" s="64"/>
      <c r="H540" s="68"/>
      <c r="I540" s="69"/>
      <c r="J540" s="69"/>
      <c r="K540" s="68" t="s">
        <v>29673</v>
      </c>
      <c r="L540" s="72"/>
      <c r="M540" s="73"/>
      <c r="N540" s="73"/>
      <c r="O540" s="74"/>
      <c r="P540" s="75"/>
      <c r="Q540" s="75"/>
      <c r="R540" s="102"/>
      <c r="S540" s="102"/>
      <c r="T540" s="102"/>
      <c r="U540" s="102"/>
      <c r="V540" s="48"/>
      <c r="W540" s="48"/>
      <c r="X540" s="48"/>
      <c r="Y540" s="48"/>
      <c r="Z540" s="47"/>
      <c r="AA540" s="70">
        <v>540</v>
      </c>
      <c r="AB540" s="70"/>
      <c r="AC540" s="71"/>
      <c r="AD540" s="86" t="s">
        <v>24165</v>
      </c>
      <c r="AE540" s="94" t="s">
        <v>25429</v>
      </c>
      <c r="AF540" s="86">
        <v>1719</v>
      </c>
      <c r="AG540" s="86">
        <v>735</v>
      </c>
      <c r="AH540" s="86">
        <v>48731</v>
      </c>
      <c r="AI540" s="86">
        <v>573</v>
      </c>
      <c r="AJ540" s="86">
        <v>3654</v>
      </c>
      <c r="AK540" s="86">
        <v>25909</v>
      </c>
      <c r="AL540" s="86" t="b">
        <v>0</v>
      </c>
      <c r="AM540" s="89">
        <v>40602.636284722219</v>
      </c>
      <c r="AN540" s="86" t="s">
        <v>15234</v>
      </c>
      <c r="AO540" s="86" t="s">
        <v>26915</v>
      </c>
      <c r="AP540" s="96" t="str">
        <f>HYPERLINK("https://t.co/4XtYvdAgSn")</f>
        <v>https://t.co/4XtYvdAgSn</v>
      </c>
      <c r="AQ540" s="96" t="str">
        <f>HYPERLINK("http://www.abes.org.br")</f>
        <v>http://www.abes.org.br</v>
      </c>
      <c r="AR540" s="86" t="s">
        <v>28272</v>
      </c>
      <c r="AS540" s="86"/>
      <c r="AT540" s="86"/>
      <c r="AU540" s="86"/>
      <c r="AV540" s="86"/>
      <c r="AW540" s="96" t="str">
        <f>HYPERLINK("https://t.co/4XtYvdAgSn")</f>
        <v>https://t.co/4XtYvdAgSn</v>
      </c>
      <c r="AX540" s="86" t="b">
        <v>0</v>
      </c>
      <c r="AY540" s="86"/>
      <c r="AZ540" s="86"/>
      <c r="BA540" s="86" t="b">
        <v>0</v>
      </c>
      <c r="BB540" s="86" t="b">
        <v>1</v>
      </c>
      <c r="BC540" s="86" t="b">
        <v>0</v>
      </c>
      <c r="BD540" s="86" t="b">
        <v>0</v>
      </c>
      <c r="BE540" s="86" t="b">
        <v>1</v>
      </c>
      <c r="BF540" s="86" t="b">
        <v>0</v>
      </c>
      <c r="BG540" s="86" t="b">
        <v>0</v>
      </c>
      <c r="BH540" s="96" t="str">
        <f>HYPERLINK("https://pbs.twimg.com/profile_banners/258812806/1692228748")</f>
        <v>https://pbs.twimg.com/profile_banners/258812806/1692228748</v>
      </c>
      <c r="BI540" s="86"/>
      <c r="BJ540" s="86" t="s">
        <v>29134</v>
      </c>
      <c r="BK540" s="86" t="b">
        <v>0</v>
      </c>
      <c r="BL540" s="86"/>
      <c r="BM540" s="86" t="s">
        <v>66</v>
      </c>
      <c r="BN540" s="86" t="s">
        <v>29136</v>
      </c>
      <c r="BO540" s="96" t="str">
        <f>HYPERLINK("https://twitter.com/abes_software")</f>
        <v>https://twitter.com/abes_software</v>
      </c>
      <c r="BP540" s="2"/>
    </row>
    <row r="541" spans="1:68" x14ac:dyDescent="0.25">
      <c r="A541" s="63" t="s">
        <v>691</v>
      </c>
      <c r="B541" s="64"/>
      <c r="C541" s="64"/>
      <c r="D541" s="65"/>
      <c r="E541" s="67"/>
      <c r="F541" s="111" t="str">
        <f>HYPERLINK("https://pbs.twimg.com/profile_images/1674774103864033280/lAlhtTaB_normal.jpg")</f>
        <v>https://pbs.twimg.com/profile_images/1674774103864033280/lAlhtTaB_normal.jpg</v>
      </c>
      <c r="G541" s="64"/>
      <c r="H541" s="68"/>
      <c r="I541" s="69"/>
      <c r="J541" s="69"/>
      <c r="K541" s="68" t="s">
        <v>29674</v>
      </c>
      <c r="L541" s="72"/>
      <c r="M541" s="73"/>
      <c r="N541" s="73"/>
      <c r="O541" s="74"/>
      <c r="P541" s="75"/>
      <c r="Q541" s="75"/>
      <c r="R541" s="102"/>
      <c r="S541" s="102"/>
      <c r="T541" s="102"/>
      <c r="U541" s="102"/>
      <c r="V541" s="48"/>
      <c r="W541" s="48"/>
      <c r="X541" s="48"/>
      <c r="Y541" s="48"/>
      <c r="Z541" s="47"/>
      <c r="AA541" s="70">
        <v>541</v>
      </c>
      <c r="AB541" s="70"/>
      <c r="AC541" s="71"/>
      <c r="AD541" s="86" t="s">
        <v>24166</v>
      </c>
      <c r="AE541" s="94" t="s">
        <v>23062</v>
      </c>
      <c r="AF541" s="86">
        <v>1</v>
      </c>
      <c r="AG541" s="86">
        <v>1</v>
      </c>
      <c r="AH541" s="86">
        <v>26</v>
      </c>
      <c r="AI541" s="86">
        <v>0</v>
      </c>
      <c r="AJ541" s="86">
        <v>7</v>
      </c>
      <c r="AK541" s="86">
        <v>26</v>
      </c>
      <c r="AL541" s="86" t="b">
        <v>0</v>
      </c>
      <c r="AM541" s="89">
        <v>45076.742465277777</v>
      </c>
      <c r="AN541" s="86"/>
      <c r="AO541" s="86" t="s">
        <v>26916</v>
      </c>
      <c r="AP541" s="96" t="str">
        <f>HYPERLINK("https://t.co/Ek6Ov8UeCd")</f>
        <v>https://t.co/Ek6Ov8UeCd</v>
      </c>
      <c r="AQ541" s="96" t="str">
        <f>HYPERLINK("https://linktr.ee/tankkercrm")</f>
        <v>https://linktr.ee/tankkercrm</v>
      </c>
      <c r="AR541" s="86" t="s">
        <v>28273</v>
      </c>
      <c r="AS541" s="86"/>
      <c r="AT541" s="86"/>
      <c r="AU541" s="86"/>
      <c r="AV541" s="86"/>
      <c r="AW541" s="96" t="str">
        <f>HYPERLINK("https://t.co/Ek6Ov8UeCd")</f>
        <v>https://t.co/Ek6Ov8UeCd</v>
      </c>
      <c r="AX541" s="86" t="b">
        <v>0</v>
      </c>
      <c r="AY541" s="86"/>
      <c r="AZ541" s="86"/>
      <c r="BA541" s="86" t="b">
        <v>0</v>
      </c>
      <c r="BB541" s="86" t="b">
        <v>1</v>
      </c>
      <c r="BC541" s="86" t="b">
        <v>1</v>
      </c>
      <c r="BD541" s="86" t="b">
        <v>0</v>
      </c>
      <c r="BE541" s="86" t="b">
        <v>0</v>
      </c>
      <c r="BF541" s="86" t="b">
        <v>0</v>
      </c>
      <c r="BG541" s="86" t="b">
        <v>0</v>
      </c>
      <c r="BH541" s="96" t="str">
        <f>HYPERLINK("https://pbs.twimg.com/profile_banners/1663603374531436544/1688584493")</f>
        <v>https://pbs.twimg.com/profile_banners/1663603374531436544/1688584493</v>
      </c>
      <c r="BI541" s="86"/>
      <c r="BJ541" s="86" t="s">
        <v>29134</v>
      </c>
      <c r="BK541" s="86" t="b">
        <v>0</v>
      </c>
      <c r="BL541" s="86"/>
      <c r="BM541" s="86" t="s">
        <v>66</v>
      </c>
      <c r="BN541" s="86" t="s">
        <v>29136</v>
      </c>
      <c r="BO541" s="96" t="str">
        <f>HYPERLINK("https://twitter.com/tankkerbr")</f>
        <v>https://twitter.com/tankkerbr</v>
      </c>
      <c r="BP541" s="2"/>
    </row>
    <row r="542" spans="1:68" x14ac:dyDescent="0.25">
      <c r="A542" s="63" t="s">
        <v>692</v>
      </c>
      <c r="B542" s="64"/>
      <c r="C542" s="64"/>
      <c r="D542" s="65"/>
      <c r="E542" s="67"/>
      <c r="F542" s="111" t="str">
        <f>HYPERLINK("https://pbs.twimg.com/profile_images/1679887548859002889/lYtGBkZJ_normal.jpg")</f>
        <v>https://pbs.twimg.com/profile_images/1679887548859002889/lYtGBkZJ_normal.jpg</v>
      </c>
      <c r="G542" s="64"/>
      <c r="H542" s="68"/>
      <c r="I542" s="69"/>
      <c r="J542" s="69"/>
      <c r="K542" s="68" t="s">
        <v>29675</v>
      </c>
      <c r="L542" s="72"/>
      <c r="M542" s="73"/>
      <c r="N542" s="73"/>
      <c r="O542" s="74"/>
      <c r="P542" s="75"/>
      <c r="Q542" s="75"/>
      <c r="R542" s="102"/>
      <c r="S542" s="102"/>
      <c r="T542" s="102"/>
      <c r="U542" s="102"/>
      <c r="V542" s="48"/>
      <c r="W542" s="48"/>
      <c r="X542" s="48"/>
      <c r="Y542" s="48"/>
      <c r="Z542" s="47"/>
      <c r="AA542" s="70">
        <v>542</v>
      </c>
      <c r="AB542" s="70"/>
      <c r="AC542" s="71"/>
      <c r="AD542" s="86" t="s">
        <v>24167</v>
      </c>
      <c r="AE542" s="94" t="s">
        <v>25430</v>
      </c>
      <c r="AF542" s="86">
        <v>12</v>
      </c>
      <c r="AG542" s="86">
        <v>79</v>
      </c>
      <c r="AH542" s="86">
        <v>44</v>
      </c>
      <c r="AI542" s="86">
        <v>0</v>
      </c>
      <c r="AJ542" s="86">
        <v>38</v>
      </c>
      <c r="AK542" s="86">
        <v>20</v>
      </c>
      <c r="AL542" s="86" t="b">
        <v>0</v>
      </c>
      <c r="AM542" s="89">
        <v>42057.044039351851</v>
      </c>
      <c r="AN542" s="86" t="s">
        <v>26074</v>
      </c>
      <c r="AO542" s="86" t="s">
        <v>26917</v>
      </c>
      <c r="AP542" s="96" t="str">
        <f>HYPERLINK("https://t.co/y22egc6plA")</f>
        <v>https://t.co/y22egc6plA</v>
      </c>
      <c r="AQ542" s="96" t="str">
        <f>HYPERLINK("https://forms.gle/t2L1oKdCbgxbueh68")</f>
        <v>https://forms.gle/t2L1oKdCbgxbueh68</v>
      </c>
      <c r="AR542" s="86" t="s">
        <v>28274</v>
      </c>
      <c r="AS542" s="86"/>
      <c r="AT542" s="86"/>
      <c r="AU542" s="86"/>
      <c r="AV542" s="86"/>
      <c r="AW542" s="96" t="str">
        <f>HYPERLINK("https://t.co/y22egc6plA")</f>
        <v>https://t.co/y22egc6plA</v>
      </c>
      <c r="AX542" s="86" t="b">
        <v>0</v>
      </c>
      <c r="AY542" s="86"/>
      <c r="AZ542" s="86"/>
      <c r="BA542" s="86" t="b">
        <v>0</v>
      </c>
      <c r="BB542" s="86" t="b">
        <v>1</v>
      </c>
      <c r="BC542" s="86" t="b">
        <v>1</v>
      </c>
      <c r="BD542" s="86" t="b">
        <v>0</v>
      </c>
      <c r="BE542" s="86" t="b">
        <v>0</v>
      </c>
      <c r="BF542" s="86" t="b">
        <v>0</v>
      </c>
      <c r="BG542" s="86" t="b">
        <v>0</v>
      </c>
      <c r="BH542" s="96" t="str">
        <f>HYPERLINK("https://pbs.twimg.com/profile_banners/3051297531/1689351380")</f>
        <v>https://pbs.twimg.com/profile_banners/3051297531/1689351380</v>
      </c>
      <c r="BI542" s="86"/>
      <c r="BJ542" s="86" t="s">
        <v>29134</v>
      </c>
      <c r="BK542" s="86" t="b">
        <v>0</v>
      </c>
      <c r="BL542" s="86"/>
      <c r="BM542" s="86" t="s">
        <v>66</v>
      </c>
      <c r="BN542" s="86" t="s">
        <v>29136</v>
      </c>
      <c r="BO542" s="96" t="str">
        <f>HYPERLINK("https://twitter.com/pabloberom")</f>
        <v>https://twitter.com/pabloberom</v>
      </c>
      <c r="BP542" s="2"/>
    </row>
    <row r="543" spans="1:68" x14ac:dyDescent="0.25">
      <c r="A543" s="63" t="s">
        <v>693</v>
      </c>
      <c r="B543" s="64"/>
      <c r="C543" s="64"/>
      <c r="D543" s="65"/>
      <c r="E543" s="67"/>
      <c r="F543" s="111" t="str">
        <f>HYPERLINK("https://pbs.twimg.com/profile_images/1692556784500674560/9MzyjbpW_normal.jpg")</f>
        <v>https://pbs.twimg.com/profile_images/1692556784500674560/9MzyjbpW_normal.jpg</v>
      </c>
      <c r="G543" s="64"/>
      <c r="H543" s="68"/>
      <c r="I543" s="69"/>
      <c r="J543" s="69"/>
      <c r="K543" s="68" t="s">
        <v>29676</v>
      </c>
      <c r="L543" s="72"/>
      <c r="M543" s="73"/>
      <c r="N543" s="73"/>
      <c r="O543" s="74"/>
      <c r="P543" s="75"/>
      <c r="Q543" s="75"/>
      <c r="R543" s="102"/>
      <c r="S543" s="102"/>
      <c r="T543" s="102"/>
      <c r="U543" s="102"/>
      <c r="V543" s="48"/>
      <c r="W543" s="48"/>
      <c r="X543" s="48"/>
      <c r="Y543" s="48"/>
      <c r="Z543" s="47"/>
      <c r="AA543" s="70">
        <v>543</v>
      </c>
      <c r="AB543" s="70"/>
      <c r="AC543" s="71"/>
      <c r="AD543" s="86" t="s">
        <v>24168</v>
      </c>
      <c r="AE543" s="94" t="s">
        <v>23063</v>
      </c>
      <c r="AF543" s="86">
        <v>1421</v>
      </c>
      <c r="AG543" s="86">
        <v>4975</v>
      </c>
      <c r="AH543" s="86">
        <v>85</v>
      </c>
      <c r="AI543" s="86">
        <v>0</v>
      </c>
      <c r="AJ543" s="86">
        <v>138</v>
      </c>
      <c r="AK543" s="86">
        <v>43</v>
      </c>
      <c r="AL543" s="86" t="b">
        <v>0</v>
      </c>
      <c r="AM543" s="89">
        <v>45156.626793981479</v>
      </c>
      <c r="AN543" s="86"/>
      <c r="AO543" s="86" t="s">
        <v>26918</v>
      </c>
      <c r="AP543" s="96" t="str">
        <f>HYPERLINK("https://t.co/v6CGt7JU3l")</f>
        <v>https://t.co/v6CGt7JU3l</v>
      </c>
      <c r="AQ543" s="96" t="str">
        <f>HYPERLINK("http://marketingnew.com.br")</f>
        <v>http://marketingnew.com.br</v>
      </c>
      <c r="AR543" s="86" t="s">
        <v>28275</v>
      </c>
      <c r="AS543" s="86"/>
      <c r="AT543" s="86"/>
      <c r="AU543" s="86"/>
      <c r="AV543" s="86"/>
      <c r="AW543" s="96" t="str">
        <f>HYPERLINK("https://t.co/v6CGt7JU3l")</f>
        <v>https://t.co/v6CGt7JU3l</v>
      </c>
      <c r="AX543" s="86" t="b">
        <v>0</v>
      </c>
      <c r="AY543" s="86"/>
      <c r="AZ543" s="86"/>
      <c r="BA543" s="86" t="b">
        <v>0</v>
      </c>
      <c r="BB543" s="86" t="b">
        <v>1</v>
      </c>
      <c r="BC543" s="86" t="b">
        <v>1</v>
      </c>
      <c r="BD543" s="86" t="b">
        <v>0</v>
      </c>
      <c r="BE543" s="86" t="b">
        <v>0</v>
      </c>
      <c r="BF543" s="86" t="b">
        <v>0</v>
      </c>
      <c r="BG543" s="86" t="b">
        <v>0</v>
      </c>
      <c r="BH543" s="96" t="str">
        <f>HYPERLINK("https://pbs.twimg.com/profile_banners/1692552443140186112/1692372000")</f>
        <v>https://pbs.twimg.com/profile_banners/1692552443140186112/1692372000</v>
      </c>
      <c r="BI543" s="86"/>
      <c r="BJ543" s="86" t="s">
        <v>29134</v>
      </c>
      <c r="BK543" s="86" t="b">
        <v>0</v>
      </c>
      <c r="BL543" s="86"/>
      <c r="BM543" s="86" t="s">
        <v>66</v>
      </c>
      <c r="BN543" s="86" t="s">
        <v>29136</v>
      </c>
      <c r="BO543" s="96" t="str">
        <f>HYPERLINK("https://twitter.com/bmarketingnew")</f>
        <v>https://twitter.com/bmarketingnew</v>
      </c>
      <c r="BP543" s="2"/>
    </row>
    <row r="544" spans="1:68" x14ac:dyDescent="0.25">
      <c r="A544" s="63" t="s">
        <v>694</v>
      </c>
      <c r="B544" s="64"/>
      <c r="C544" s="64"/>
      <c r="D544" s="65"/>
      <c r="E544" s="67"/>
      <c r="F544" s="111" t="str">
        <f>HYPERLINK("https://pbs.twimg.com/profile_images/1269352489935081474/sSF0-y_Q_normal.jpg")</f>
        <v>https://pbs.twimg.com/profile_images/1269352489935081474/sSF0-y_Q_normal.jpg</v>
      </c>
      <c r="G544" s="64"/>
      <c r="H544" s="68"/>
      <c r="I544" s="69"/>
      <c r="J544" s="69"/>
      <c r="K544" s="68" t="s">
        <v>29677</v>
      </c>
      <c r="L544" s="72"/>
      <c r="M544" s="73"/>
      <c r="N544" s="73"/>
      <c r="O544" s="74"/>
      <c r="P544" s="75"/>
      <c r="Q544" s="75"/>
      <c r="R544" s="102"/>
      <c r="S544" s="102"/>
      <c r="T544" s="102"/>
      <c r="U544" s="102"/>
      <c r="V544" s="48"/>
      <c r="W544" s="48"/>
      <c r="X544" s="48"/>
      <c r="Y544" s="48"/>
      <c r="Z544" s="47"/>
      <c r="AA544" s="70">
        <v>544</v>
      </c>
      <c r="AB544" s="70"/>
      <c r="AC544" s="71"/>
      <c r="AD544" s="86" t="s">
        <v>24169</v>
      </c>
      <c r="AE544" s="94" t="s">
        <v>23064</v>
      </c>
      <c r="AF544" s="86">
        <v>26</v>
      </c>
      <c r="AG544" s="86">
        <v>10</v>
      </c>
      <c r="AH544" s="86">
        <v>395</v>
      </c>
      <c r="AI544" s="86">
        <v>0</v>
      </c>
      <c r="AJ544" s="86">
        <v>272</v>
      </c>
      <c r="AK544" s="86">
        <v>299</v>
      </c>
      <c r="AL544" s="86" t="b">
        <v>0</v>
      </c>
      <c r="AM544" s="89">
        <v>43988.816643518519</v>
      </c>
      <c r="AN544" s="86" t="s">
        <v>15378</v>
      </c>
      <c r="AO544" s="86" t="s">
        <v>26919</v>
      </c>
      <c r="AP544" s="96" t="str">
        <f>HYPERLINK("https://t.co/LklmWrixgN")</f>
        <v>https://t.co/LklmWrixgN</v>
      </c>
      <c r="AQ544" s="96" t="str">
        <f>HYPERLINK("http://www.empresadefamilia.com.br")</f>
        <v>http://www.empresadefamilia.com.br</v>
      </c>
      <c r="AR544" s="86" t="s">
        <v>28276</v>
      </c>
      <c r="AS544" s="86"/>
      <c r="AT544" s="86"/>
      <c r="AU544" s="86"/>
      <c r="AV544" s="86"/>
      <c r="AW544" s="96" t="str">
        <f>HYPERLINK("https://t.co/LklmWrixgN")</f>
        <v>https://t.co/LklmWrixgN</v>
      </c>
      <c r="AX544" s="86" t="b">
        <v>0</v>
      </c>
      <c r="AY544" s="86"/>
      <c r="AZ544" s="86"/>
      <c r="BA544" s="86" t="b">
        <v>0</v>
      </c>
      <c r="BB544" s="86" t="b">
        <v>1</v>
      </c>
      <c r="BC544" s="86" t="b">
        <v>1</v>
      </c>
      <c r="BD544" s="86" t="b">
        <v>0</v>
      </c>
      <c r="BE544" s="86" t="b">
        <v>0</v>
      </c>
      <c r="BF544" s="86" t="b">
        <v>0</v>
      </c>
      <c r="BG544" s="86" t="b">
        <v>0</v>
      </c>
      <c r="BH544" s="86"/>
      <c r="BI544" s="86"/>
      <c r="BJ544" s="86" t="s">
        <v>29134</v>
      </c>
      <c r="BK544" s="86" t="b">
        <v>0</v>
      </c>
      <c r="BL544" s="86"/>
      <c r="BM544" s="86" t="s">
        <v>66</v>
      </c>
      <c r="BN544" s="86" t="s">
        <v>29136</v>
      </c>
      <c r="BO544" s="96" t="str">
        <f>HYPERLINK("https://twitter.com/iedfam")</f>
        <v>https://twitter.com/iedfam</v>
      </c>
      <c r="BP544" s="2"/>
    </row>
    <row r="545" spans="1:68" x14ac:dyDescent="0.25">
      <c r="A545" s="63" t="s">
        <v>1679</v>
      </c>
      <c r="B545" s="64"/>
      <c r="C545" s="64"/>
      <c r="D545" s="65"/>
      <c r="E545" s="67"/>
      <c r="F545" s="111" t="str">
        <f>HYPERLINK("https://pbs.twimg.com/profile_images/1412003782192472066/-I2a8aCs_normal.jpg")</f>
        <v>https://pbs.twimg.com/profile_images/1412003782192472066/-I2a8aCs_normal.jpg</v>
      </c>
      <c r="G545" s="64"/>
      <c r="H545" s="68"/>
      <c r="I545" s="69"/>
      <c r="J545" s="69"/>
      <c r="K545" s="68" t="s">
        <v>29678</v>
      </c>
      <c r="L545" s="72"/>
      <c r="M545" s="73"/>
      <c r="N545" s="73"/>
      <c r="O545" s="74"/>
      <c r="P545" s="75"/>
      <c r="Q545" s="75"/>
      <c r="R545" s="102"/>
      <c r="S545" s="102"/>
      <c r="T545" s="102"/>
      <c r="U545" s="102"/>
      <c r="V545" s="48"/>
      <c r="W545" s="48"/>
      <c r="X545" s="48"/>
      <c r="Y545" s="48"/>
      <c r="Z545" s="47"/>
      <c r="AA545" s="70">
        <v>545</v>
      </c>
      <c r="AB545" s="70"/>
      <c r="AC545" s="71"/>
      <c r="AD545" s="86" t="s">
        <v>11488</v>
      </c>
      <c r="AE545" s="94" t="s">
        <v>25431</v>
      </c>
      <c r="AF545" s="86">
        <v>49503</v>
      </c>
      <c r="AG545" s="86">
        <v>3866</v>
      </c>
      <c r="AH545" s="86">
        <v>20560</v>
      </c>
      <c r="AI545" s="86">
        <v>764</v>
      </c>
      <c r="AJ545" s="86">
        <v>6589</v>
      </c>
      <c r="AK545" s="86">
        <v>2325</v>
      </c>
      <c r="AL545" s="86" t="b">
        <v>0</v>
      </c>
      <c r="AM545" s="89">
        <v>39997.7966087963</v>
      </c>
      <c r="AN545" s="86" t="s">
        <v>26075</v>
      </c>
      <c r="AO545" s="86" t="s">
        <v>26920</v>
      </c>
      <c r="AP545" s="96" t="str">
        <f>HYPERLINK("https://t.co/dxhtyZ6j55")</f>
        <v>https://t.co/dxhtyZ6j55</v>
      </c>
      <c r="AQ545" s="96" t="str">
        <f>HYPERLINK("https://linktr.ee/spreaker")</f>
        <v>https://linktr.ee/spreaker</v>
      </c>
      <c r="AR545" s="86" t="s">
        <v>28277</v>
      </c>
      <c r="AS545" s="86"/>
      <c r="AT545" s="86"/>
      <c r="AU545" s="86"/>
      <c r="AV545" s="86"/>
      <c r="AW545" s="96" t="str">
        <f>HYPERLINK("https://t.co/dxhtyZ6j55")</f>
        <v>https://t.co/dxhtyZ6j55</v>
      </c>
      <c r="AX545" s="86" t="b">
        <v>0</v>
      </c>
      <c r="AY545" s="86"/>
      <c r="AZ545" s="86"/>
      <c r="BA545" s="86" t="b">
        <v>0</v>
      </c>
      <c r="BB545" s="86" t="b">
        <v>1</v>
      </c>
      <c r="BC545" s="86" t="b">
        <v>0</v>
      </c>
      <c r="BD545" s="86" t="b">
        <v>0</v>
      </c>
      <c r="BE545" s="86" t="b">
        <v>0</v>
      </c>
      <c r="BF545" s="86" t="b">
        <v>0</v>
      </c>
      <c r="BG545" s="86" t="b">
        <v>0</v>
      </c>
      <c r="BH545" s="96" t="str">
        <f>HYPERLINK("https://pbs.twimg.com/profile_banners/53469538/1656604190")</f>
        <v>https://pbs.twimg.com/profile_banners/53469538/1656604190</v>
      </c>
      <c r="BI545" s="86"/>
      <c r="BJ545" s="86" t="s">
        <v>29134</v>
      </c>
      <c r="BK545" s="86" t="b">
        <v>0</v>
      </c>
      <c r="BL545" s="86"/>
      <c r="BM545" s="86" t="s">
        <v>65</v>
      </c>
      <c r="BN545" s="86" t="s">
        <v>29136</v>
      </c>
      <c r="BO545" s="96" t="str">
        <f>HYPERLINK("https://twitter.com/spreaker")</f>
        <v>https://twitter.com/spreaker</v>
      </c>
      <c r="BP545" s="2"/>
    </row>
    <row r="546" spans="1:68" x14ac:dyDescent="0.25">
      <c r="A546" s="63" t="s">
        <v>695</v>
      </c>
      <c r="B546" s="64"/>
      <c r="C546" s="64"/>
      <c r="D546" s="65"/>
      <c r="E546" s="67"/>
      <c r="F546" s="111" t="str">
        <f>HYPERLINK("https://pbs.twimg.com/profile_images/1703773300373991424/PQKEgnu1_normal.png")</f>
        <v>https://pbs.twimg.com/profile_images/1703773300373991424/PQKEgnu1_normal.png</v>
      </c>
      <c r="G546" s="64"/>
      <c r="H546" s="68"/>
      <c r="I546" s="69"/>
      <c r="J546" s="69"/>
      <c r="K546" s="68" t="s">
        <v>29679</v>
      </c>
      <c r="L546" s="72"/>
      <c r="M546" s="73"/>
      <c r="N546" s="73"/>
      <c r="O546" s="74"/>
      <c r="P546" s="75"/>
      <c r="Q546" s="75"/>
      <c r="R546" s="102"/>
      <c r="S546" s="102"/>
      <c r="T546" s="102"/>
      <c r="U546" s="102"/>
      <c r="V546" s="48"/>
      <c r="W546" s="48"/>
      <c r="X546" s="48"/>
      <c r="Y546" s="48"/>
      <c r="Z546" s="47"/>
      <c r="AA546" s="70">
        <v>546</v>
      </c>
      <c r="AB546" s="70"/>
      <c r="AC546" s="71"/>
      <c r="AD546" s="86" t="s">
        <v>24170</v>
      </c>
      <c r="AE546" s="94" t="s">
        <v>23065</v>
      </c>
      <c r="AF546" s="86">
        <v>3</v>
      </c>
      <c r="AG546" s="86">
        <v>35</v>
      </c>
      <c r="AH546" s="86">
        <v>6</v>
      </c>
      <c r="AI546" s="86">
        <v>0</v>
      </c>
      <c r="AJ546" s="86">
        <v>0</v>
      </c>
      <c r="AK546" s="86">
        <v>0</v>
      </c>
      <c r="AL546" s="86" t="b">
        <v>0</v>
      </c>
      <c r="AM546" s="89">
        <v>45071.036944444444</v>
      </c>
      <c r="AN546" s="86"/>
      <c r="AO546" s="86" t="s">
        <v>26921</v>
      </c>
      <c r="AP546" s="86"/>
      <c r="AQ546" s="86"/>
      <c r="AR546" s="86"/>
      <c r="AS546" s="96" t="str">
        <f>HYPERLINK("https://t.co/cZ696EBHLy")</f>
        <v>https://t.co/cZ696EBHLy</v>
      </c>
      <c r="AT546" s="96" t="str">
        <f>HYPERLINK("http://henriquearaujomkt.online")</f>
        <v>http://henriquearaujomkt.online</v>
      </c>
      <c r="AU546" s="86" t="s">
        <v>29065</v>
      </c>
      <c r="AV546" s="86"/>
      <c r="AW546" s="86"/>
      <c r="AX546" s="86" t="b">
        <v>0</v>
      </c>
      <c r="AY546" s="86"/>
      <c r="AZ546" s="86"/>
      <c r="BA546" s="86" t="b">
        <v>0</v>
      </c>
      <c r="BB546" s="86" t="b">
        <v>1</v>
      </c>
      <c r="BC546" s="86" t="b">
        <v>1</v>
      </c>
      <c r="BD546" s="86" t="b">
        <v>0</v>
      </c>
      <c r="BE546" s="86" t="b">
        <v>0</v>
      </c>
      <c r="BF546" s="86" t="b">
        <v>0</v>
      </c>
      <c r="BG546" s="86" t="b">
        <v>0</v>
      </c>
      <c r="BH546" s="96" t="str">
        <f>HYPERLINK("https://pbs.twimg.com/profile_banners/1661535761106194432/1685040867")</f>
        <v>https://pbs.twimg.com/profile_banners/1661535761106194432/1685040867</v>
      </c>
      <c r="BI546" s="86"/>
      <c r="BJ546" s="86" t="s">
        <v>29134</v>
      </c>
      <c r="BK546" s="86" t="b">
        <v>0</v>
      </c>
      <c r="BL546" s="86"/>
      <c r="BM546" s="86" t="s">
        <v>66</v>
      </c>
      <c r="BN546" s="86" t="s">
        <v>29136</v>
      </c>
      <c r="BO546" s="96" t="str">
        <f>HYPERLINK("https://twitter.com/haraujomkt")</f>
        <v>https://twitter.com/haraujomkt</v>
      </c>
      <c r="BP546" s="2"/>
    </row>
    <row r="547" spans="1:68" x14ac:dyDescent="0.25">
      <c r="A547" s="63" t="s">
        <v>696</v>
      </c>
      <c r="B547" s="64"/>
      <c r="C547" s="64"/>
      <c r="D547" s="65"/>
      <c r="E547" s="67"/>
      <c r="F547" s="111" t="str">
        <f>HYPERLINK("https://pbs.twimg.com/profile_images/1348969483382247427/8FbE29nD_normal.jpg")</f>
        <v>https://pbs.twimg.com/profile_images/1348969483382247427/8FbE29nD_normal.jpg</v>
      </c>
      <c r="G547" s="64"/>
      <c r="H547" s="68"/>
      <c r="I547" s="69"/>
      <c r="J547" s="69"/>
      <c r="K547" s="68" t="s">
        <v>29680</v>
      </c>
      <c r="L547" s="72"/>
      <c r="M547" s="73"/>
      <c r="N547" s="73"/>
      <c r="O547" s="74"/>
      <c r="P547" s="75"/>
      <c r="Q547" s="75"/>
      <c r="R547" s="102"/>
      <c r="S547" s="102"/>
      <c r="T547" s="102"/>
      <c r="U547" s="102"/>
      <c r="V547" s="48"/>
      <c r="W547" s="48"/>
      <c r="X547" s="48"/>
      <c r="Y547" s="48"/>
      <c r="Z547" s="47"/>
      <c r="AA547" s="70">
        <v>547</v>
      </c>
      <c r="AB547" s="70"/>
      <c r="AC547" s="71"/>
      <c r="AD547" s="86" t="s">
        <v>24171</v>
      </c>
      <c r="AE547" s="94" t="s">
        <v>22565</v>
      </c>
      <c r="AF547" s="86">
        <v>2073</v>
      </c>
      <c r="AG547" s="86">
        <v>661</v>
      </c>
      <c r="AH547" s="86">
        <v>3421</v>
      </c>
      <c r="AI547" s="86">
        <v>31</v>
      </c>
      <c r="AJ547" s="86">
        <v>782</v>
      </c>
      <c r="AK547" s="86">
        <v>2021</v>
      </c>
      <c r="AL547" s="86" t="b">
        <v>0</v>
      </c>
      <c r="AM547" s="89">
        <v>40079.721736111111</v>
      </c>
      <c r="AN547" s="86" t="s">
        <v>26076</v>
      </c>
      <c r="AO547" s="86" t="s">
        <v>26922</v>
      </c>
      <c r="AP547" s="96" t="str">
        <f>HYPERLINK("https://t.co/da5lzeqWRN")</f>
        <v>https://t.co/da5lzeqWRN</v>
      </c>
      <c r="AQ547" s="96" t="str">
        <f>HYPERLINK("http://www.colatina.es.gov.br")</f>
        <v>http://www.colatina.es.gov.br</v>
      </c>
      <c r="AR547" s="86" t="s">
        <v>28278</v>
      </c>
      <c r="AS547" s="86"/>
      <c r="AT547" s="86"/>
      <c r="AU547" s="86"/>
      <c r="AV547" s="86"/>
      <c r="AW547" s="96" t="str">
        <f>HYPERLINK("https://t.co/da5lzeqWRN")</f>
        <v>https://t.co/da5lzeqWRN</v>
      </c>
      <c r="AX547" s="86" t="b">
        <v>0</v>
      </c>
      <c r="AY547" s="86"/>
      <c r="AZ547" s="86"/>
      <c r="BA547" s="86" t="b">
        <v>0</v>
      </c>
      <c r="BB547" s="86" t="b">
        <v>1</v>
      </c>
      <c r="BC547" s="86" t="b">
        <v>1</v>
      </c>
      <c r="BD547" s="86" t="b">
        <v>0</v>
      </c>
      <c r="BE547" s="86" t="b">
        <v>0</v>
      </c>
      <c r="BF547" s="86" t="b">
        <v>0</v>
      </c>
      <c r="BG547" s="86" t="b">
        <v>0</v>
      </c>
      <c r="BH547" s="96" t="str">
        <f>HYPERLINK("https://pbs.twimg.com/profile_banners/76698584/1647374803")</f>
        <v>https://pbs.twimg.com/profile_banners/76698584/1647374803</v>
      </c>
      <c r="BI547" s="86"/>
      <c r="BJ547" s="86" t="s">
        <v>29134</v>
      </c>
      <c r="BK547" s="86" t="b">
        <v>0</v>
      </c>
      <c r="BL547" s="86"/>
      <c r="BM547" s="86" t="s">
        <v>66</v>
      </c>
      <c r="BN547" s="86" t="s">
        <v>29136</v>
      </c>
      <c r="BO547" s="96" t="str">
        <f>HYPERLINK("https://twitter.com/guerinocolatina")</f>
        <v>https://twitter.com/guerinocolatina</v>
      </c>
      <c r="BP547" s="2"/>
    </row>
    <row r="548" spans="1:68" x14ac:dyDescent="0.25">
      <c r="A548" s="63" t="s">
        <v>697</v>
      </c>
      <c r="B548" s="64"/>
      <c r="C548" s="64"/>
      <c r="D548" s="65"/>
      <c r="E548" s="67"/>
      <c r="F548" s="111" t="str">
        <f>HYPERLINK("https://pbs.twimg.com/profile_images/1576344821584871424/G-CcrLxn_normal.jpg")</f>
        <v>https://pbs.twimg.com/profile_images/1576344821584871424/G-CcrLxn_normal.jpg</v>
      </c>
      <c r="G548" s="64"/>
      <c r="H548" s="68"/>
      <c r="I548" s="69"/>
      <c r="J548" s="69"/>
      <c r="K548" s="68" t="s">
        <v>29681</v>
      </c>
      <c r="L548" s="72"/>
      <c r="M548" s="73"/>
      <c r="N548" s="73"/>
      <c r="O548" s="74"/>
      <c r="P548" s="75"/>
      <c r="Q548" s="75"/>
      <c r="R548" s="102"/>
      <c r="S548" s="102"/>
      <c r="T548" s="102"/>
      <c r="U548" s="102"/>
      <c r="V548" s="48"/>
      <c r="W548" s="48"/>
      <c r="X548" s="48"/>
      <c r="Y548" s="48"/>
      <c r="Z548" s="47"/>
      <c r="AA548" s="70">
        <v>548</v>
      </c>
      <c r="AB548" s="70"/>
      <c r="AC548" s="71"/>
      <c r="AD548" s="86" t="s">
        <v>24172</v>
      </c>
      <c r="AE548" s="94" t="s">
        <v>25432</v>
      </c>
      <c r="AF548" s="86">
        <v>12310</v>
      </c>
      <c r="AG548" s="86">
        <v>750</v>
      </c>
      <c r="AH548" s="86">
        <v>54079</v>
      </c>
      <c r="AI548" s="86">
        <v>252</v>
      </c>
      <c r="AJ548" s="86">
        <v>229</v>
      </c>
      <c r="AK548" s="86">
        <v>23202</v>
      </c>
      <c r="AL548" s="86" t="b">
        <v>0</v>
      </c>
      <c r="AM548" s="89">
        <v>39892.599317129629</v>
      </c>
      <c r="AN548" s="86" t="s">
        <v>26077</v>
      </c>
      <c r="AO548" s="86" t="s">
        <v>26923</v>
      </c>
      <c r="AP548" s="96" t="str">
        <f>HYPERLINK("https://t.co/uCpRLL6lRv")</f>
        <v>https://t.co/uCpRLL6lRv</v>
      </c>
      <c r="AQ548" s="96" t="str">
        <f>HYPERLINK("http://www.acontecendoaqui.com.br")</f>
        <v>http://www.acontecendoaqui.com.br</v>
      </c>
      <c r="AR548" s="86" t="s">
        <v>28279</v>
      </c>
      <c r="AS548" s="86"/>
      <c r="AT548" s="86"/>
      <c r="AU548" s="86"/>
      <c r="AV548" s="86"/>
      <c r="AW548" s="96" t="str">
        <f>HYPERLINK("https://t.co/uCpRLL6lRv")</f>
        <v>https://t.co/uCpRLL6lRv</v>
      </c>
      <c r="AX548" s="86" t="b">
        <v>0</v>
      </c>
      <c r="AY548" s="86"/>
      <c r="AZ548" s="86"/>
      <c r="BA548" s="86" t="b">
        <v>0</v>
      </c>
      <c r="BB548" s="86" t="b">
        <v>1</v>
      </c>
      <c r="BC548" s="86" t="b">
        <v>0</v>
      </c>
      <c r="BD548" s="86" t="b">
        <v>0</v>
      </c>
      <c r="BE548" s="86" t="b">
        <v>1</v>
      </c>
      <c r="BF548" s="86" t="b">
        <v>0</v>
      </c>
      <c r="BG548" s="86" t="b">
        <v>0</v>
      </c>
      <c r="BH548" s="96" t="str">
        <f>HYPERLINK("https://pbs.twimg.com/profile_banners/25510417/1664664869")</f>
        <v>https://pbs.twimg.com/profile_banners/25510417/1664664869</v>
      </c>
      <c r="BI548" s="86"/>
      <c r="BJ548" s="86" t="s">
        <v>29134</v>
      </c>
      <c r="BK548" s="86" t="b">
        <v>0</v>
      </c>
      <c r="BL548" s="86"/>
      <c r="BM548" s="86" t="s">
        <v>66</v>
      </c>
      <c r="BN548" s="86" t="s">
        <v>29136</v>
      </c>
      <c r="BO548" s="96" t="str">
        <f>HYPERLINK("https://twitter.com/acontecendoaqui")</f>
        <v>https://twitter.com/acontecendoaqui</v>
      </c>
      <c r="BP548" s="2"/>
    </row>
    <row r="549" spans="1:68" x14ac:dyDescent="0.25">
      <c r="A549" s="63" t="s">
        <v>698</v>
      </c>
      <c r="B549" s="64"/>
      <c r="C549" s="64"/>
      <c r="D549" s="65"/>
      <c r="E549" s="67"/>
      <c r="F549" s="111" t="str">
        <f>HYPERLINK("https://pbs.twimg.com/profile_images/1637864715215855628/U8thQn_W_normal.jpg")</f>
        <v>https://pbs.twimg.com/profile_images/1637864715215855628/U8thQn_W_normal.jpg</v>
      </c>
      <c r="G549" s="64"/>
      <c r="H549" s="68"/>
      <c r="I549" s="69"/>
      <c r="J549" s="69"/>
      <c r="K549" s="68" t="s">
        <v>29682</v>
      </c>
      <c r="L549" s="72"/>
      <c r="M549" s="73"/>
      <c r="N549" s="73"/>
      <c r="O549" s="74"/>
      <c r="P549" s="75"/>
      <c r="Q549" s="75"/>
      <c r="R549" s="102"/>
      <c r="S549" s="102"/>
      <c r="T549" s="102"/>
      <c r="U549" s="102"/>
      <c r="V549" s="48"/>
      <c r="W549" s="48"/>
      <c r="X549" s="48"/>
      <c r="Y549" s="48"/>
      <c r="Z549" s="47"/>
      <c r="AA549" s="70">
        <v>549</v>
      </c>
      <c r="AB549" s="70"/>
      <c r="AC549" s="71"/>
      <c r="AD549" s="86" t="s">
        <v>24173</v>
      </c>
      <c r="AE549" s="94" t="s">
        <v>25433</v>
      </c>
      <c r="AF549" s="86">
        <v>3351</v>
      </c>
      <c r="AG549" s="86">
        <v>3033</v>
      </c>
      <c r="AH549" s="86">
        <v>19595</v>
      </c>
      <c r="AI549" s="86">
        <v>37</v>
      </c>
      <c r="AJ549" s="86">
        <v>33196</v>
      </c>
      <c r="AK549" s="86">
        <v>1894</v>
      </c>
      <c r="AL549" s="86" t="b">
        <v>0</v>
      </c>
      <c r="AM549" s="89">
        <v>39933.96025462963</v>
      </c>
      <c r="AN549" s="86" t="s">
        <v>26078</v>
      </c>
      <c r="AO549" s="86" t="s">
        <v>26924</v>
      </c>
      <c r="AP549" s="96" t="str">
        <f>HYPERLINK("https://t.co/cEzmGh3c77")</f>
        <v>https://t.co/cEzmGh3c77</v>
      </c>
      <c r="AQ549" s="96" t="str">
        <f>HYPERLINK("https://www.instagram.com/armando_caricaturas/")</f>
        <v>https://www.instagram.com/armando_caricaturas/</v>
      </c>
      <c r="AR549" s="86" t="s">
        <v>28280</v>
      </c>
      <c r="AS549" s="86"/>
      <c r="AT549" s="86"/>
      <c r="AU549" s="86"/>
      <c r="AV549" s="86">
        <v>1.70167896378387E+18</v>
      </c>
      <c r="AW549" s="96" t="str">
        <f>HYPERLINK("https://t.co/cEzmGh3c77")</f>
        <v>https://t.co/cEzmGh3c77</v>
      </c>
      <c r="AX549" s="86" t="b">
        <v>0</v>
      </c>
      <c r="AY549" s="86"/>
      <c r="AZ549" s="86"/>
      <c r="BA549" s="86" t="b">
        <v>1</v>
      </c>
      <c r="BB549" s="86" t="b">
        <v>0</v>
      </c>
      <c r="BC549" s="86" t="b">
        <v>0</v>
      </c>
      <c r="BD549" s="86" t="b">
        <v>0</v>
      </c>
      <c r="BE549" s="86" t="b">
        <v>1</v>
      </c>
      <c r="BF549" s="86" t="b">
        <v>0</v>
      </c>
      <c r="BG549" s="86" t="b">
        <v>0</v>
      </c>
      <c r="BH549" s="96" t="str">
        <f>HYPERLINK("https://pbs.twimg.com/profile_banners/36803790/1692813832")</f>
        <v>https://pbs.twimg.com/profile_banners/36803790/1692813832</v>
      </c>
      <c r="BI549" s="86"/>
      <c r="BJ549" s="86" t="s">
        <v>29134</v>
      </c>
      <c r="BK549" s="86" t="b">
        <v>0</v>
      </c>
      <c r="BL549" s="86"/>
      <c r="BM549" s="86" t="s">
        <v>66</v>
      </c>
      <c r="BN549" s="86" t="s">
        <v>29136</v>
      </c>
      <c r="BO549" s="96" t="str">
        <f>HYPERLINK("https://twitter.com/armandomarcos")</f>
        <v>https://twitter.com/armandomarcos</v>
      </c>
      <c r="BP549" s="2"/>
    </row>
    <row r="550" spans="1:68" x14ac:dyDescent="0.25">
      <c r="A550" s="63" t="s">
        <v>699</v>
      </c>
      <c r="B550" s="64"/>
      <c r="C550" s="64"/>
      <c r="D550" s="65"/>
      <c r="E550" s="67"/>
      <c r="F550" s="111" t="str">
        <f>HYPERLINK("https://pbs.twimg.com/profile_images/1678018672470761472/_FQBFHpk_normal.jpg")</f>
        <v>https://pbs.twimg.com/profile_images/1678018672470761472/_FQBFHpk_normal.jpg</v>
      </c>
      <c r="G550" s="64"/>
      <c r="H550" s="68"/>
      <c r="I550" s="69"/>
      <c r="J550" s="69"/>
      <c r="K550" s="68" t="s">
        <v>29683</v>
      </c>
      <c r="L550" s="72"/>
      <c r="M550" s="73"/>
      <c r="N550" s="73"/>
      <c r="O550" s="74"/>
      <c r="P550" s="75"/>
      <c r="Q550" s="75"/>
      <c r="R550" s="102"/>
      <c r="S550" s="102"/>
      <c r="T550" s="102"/>
      <c r="U550" s="102"/>
      <c r="V550" s="48"/>
      <c r="W550" s="48"/>
      <c r="X550" s="48"/>
      <c r="Y550" s="48"/>
      <c r="Z550" s="47"/>
      <c r="AA550" s="70">
        <v>550</v>
      </c>
      <c r="AB550" s="70"/>
      <c r="AC550" s="71"/>
      <c r="AD550" s="86" t="s">
        <v>24174</v>
      </c>
      <c r="AE550" s="94" t="s">
        <v>23066</v>
      </c>
      <c r="AF550" s="86">
        <v>0</v>
      </c>
      <c r="AG550" s="86">
        <v>24</v>
      </c>
      <c r="AH550" s="86">
        <v>67</v>
      </c>
      <c r="AI550" s="86">
        <v>0</v>
      </c>
      <c r="AJ550" s="86">
        <v>3</v>
      </c>
      <c r="AK550" s="86">
        <v>61</v>
      </c>
      <c r="AL550" s="86" t="b">
        <v>0</v>
      </c>
      <c r="AM550" s="89">
        <v>44538.486226851855</v>
      </c>
      <c r="AN550" s="86" t="s">
        <v>26079</v>
      </c>
      <c r="AO550" s="86" t="s">
        <v>26925</v>
      </c>
      <c r="AP550" s="96" t="str">
        <f>HYPERLINK("https://t.co/kVvhsdRQ2q")</f>
        <v>https://t.co/kVvhsdRQ2q</v>
      </c>
      <c r="AQ550" s="96" t="str">
        <f>HYPERLINK("http://www.itisolutions.com.br")</f>
        <v>http://www.itisolutions.com.br</v>
      </c>
      <c r="AR550" s="86" t="s">
        <v>28281</v>
      </c>
      <c r="AS550" s="86"/>
      <c r="AT550" s="86"/>
      <c r="AU550" s="86"/>
      <c r="AV550" s="86"/>
      <c r="AW550" s="96" t="str">
        <f>HYPERLINK("https://t.co/kVvhsdRQ2q")</f>
        <v>https://t.co/kVvhsdRQ2q</v>
      </c>
      <c r="AX550" s="86" t="b">
        <v>0</v>
      </c>
      <c r="AY550" s="86"/>
      <c r="AZ550" s="86"/>
      <c r="BA550" s="86" t="b">
        <v>0</v>
      </c>
      <c r="BB550" s="86" t="b">
        <v>1</v>
      </c>
      <c r="BC550" s="86" t="b">
        <v>1</v>
      </c>
      <c r="BD550" s="86" t="b">
        <v>0</v>
      </c>
      <c r="BE550" s="86" t="b">
        <v>0</v>
      </c>
      <c r="BF550" s="86" t="b">
        <v>0</v>
      </c>
      <c r="BG550" s="86" t="b">
        <v>0</v>
      </c>
      <c r="BH550" s="86"/>
      <c r="BI550" s="86"/>
      <c r="BJ550" s="86" t="s">
        <v>29134</v>
      </c>
      <c r="BK550" s="86" t="b">
        <v>0</v>
      </c>
      <c r="BL550" s="86"/>
      <c r="BM550" s="86" t="s">
        <v>66</v>
      </c>
      <c r="BN550" s="86" t="s">
        <v>29136</v>
      </c>
      <c r="BO550" s="96" t="str">
        <f>HYPERLINK("https://twitter.com/solutions_iti")</f>
        <v>https://twitter.com/solutions_iti</v>
      </c>
      <c r="BP550" s="2"/>
    </row>
    <row r="551" spans="1:68" x14ac:dyDescent="0.25">
      <c r="A551" s="63" t="s">
        <v>700</v>
      </c>
      <c r="B551" s="64"/>
      <c r="C551" s="64"/>
      <c r="D551" s="65"/>
      <c r="E551" s="67"/>
      <c r="F551" s="111" t="str">
        <f>HYPERLINK("https://pbs.twimg.com/profile_images/1154078419266756620/ctFDEOZb_normal.jpg")</f>
        <v>https://pbs.twimg.com/profile_images/1154078419266756620/ctFDEOZb_normal.jpg</v>
      </c>
      <c r="G551" s="64"/>
      <c r="H551" s="68"/>
      <c r="I551" s="69"/>
      <c r="J551" s="69"/>
      <c r="K551" s="68" t="s">
        <v>29684</v>
      </c>
      <c r="L551" s="72"/>
      <c r="M551" s="73"/>
      <c r="N551" s="73"/>
      <c r="O551" s="74"/>
      <c r="P551" s="75"/>
      <c r="Q551" s="75"/>
      <c r="R551" s="102"/>
      <c r="S551" s="102"/>
      <c r="T551" s="102"/>
      <c r="U551" s="102"/>
      <c r="V551" s="48"/>
      <c r="W551" s="48"/>
      <c r="X551" s="48"/>
      <c r="Y551" s="48"/>
      <c r="Z551" s="47"/>
      <c r="AA551" s="70">
        <v>551</v>
      </c>
      <c r="AB551" s="70"/>
      <c r="AC551" s="71"/>
      <c r="AD551" s="86" t="s">
        <v>24175</v>
      </c>
      <c r="AE551" s="94" t="s">
        <v>23067</v>
      </c>
      <c r="AF551" s="86">
        <v>619</v>
      </c>
      <c r="AG551" s="86">
        <v>145</v>
      </c>
      <c r="AH551" s="86">
        <v>300</v>
      </c>
      <c r="AI551" s="86">
        <v>7</v>
      </c>
      <c r="AJ551" s="86">
        <v>420</v>
      </c>
      <c r="AK551" s="86">
        <v>260</v>
      </c>
      <c r="AL551" s="86" t="b">
        <v>0</v>
      </c>
      <c r="AM551" s="89">
        <v>43374.688287037039</v>
      </c>
      <c r="AN551" s="86" t="s">
        <v>26080</v>
      </c>
      <c r="AO551" s="86" t="s">
        <v>26926</v>
      </c>
      <c r="AP551" s="96" t="str">
        <f>HYPERLINK("https://t.co/GpwXUsYY8b")</f>
        <v>https://t.co/GpwXUsYY8b</v>
      </c>
      <c r="AQ551" s="96" t="str">
        <f>HYPERLINK("https://fi.co")</f>
        <v>https://fi.co</v>
      </c>
      <c r="AR551" s="86" t="s">
        <v>8451</v>
      </c>
      <c r="AS551" s="96" t="str">
        <f>HYPERLINK("https://t.co/ezicO3qlFe")</f>
        <v>https://t.co/ezicO3qlFe</v>
      </c>
      <c r="AT551" s="96" t="str">
        <f>HYPERLINK("http://fi.co")</f>
        <v>http://fi.co</v>
      </c>
      <c r="AU551" s="86" t="s">
        <v>8451</v>
      </c>
      <c r="AV551" s="86"/>
      <c r="AW551" s="96" t="str">
        <f>HYPERLINK("https://t.co/GpwXUsYY8b")</f>
        <v>https://t.co/GpwXUsYY8b</v>
      </c>
      <c r="AX551" s="86" t="b">
        <v>0</v>
      </c>
      <c r="AY551" s="86"/>
      <c r="AZ551" s="86"/>
      <c r="BA551" s="86" t="b">
        <v>0</v>
      </c>
      <c r="BB551" s="86" t="b">
        <v>1</v>
      </c>
      <c r="BC551" s="86" t="b">
        <v>1</v>
      </c>
      <c r="BD551" s="86" t="b">
        <v>0</v>
      </c>
      <c r="BE551" s="86" t="b">
        <v>0</v>
      </c>
      <c r="BF551" s="86" t="b">
        <v>0</v>
      </c>
      <c r="BG551" s="86" t="b">
        <v>0</v>
      </c>
      <c r="BH551" s="96" t="str">
        <f>HYPERLINK("https://pbs.twimg.com/profile_banners/1046799687167201282/1570635340")</f>
        <v>https://pbs.twimg.com/profile_banners/1046799687167201282/1570635340</v>
      </c>
      <c r="BI551" s="86"/>
      <c r="BJ551" s="86" t="s">
        <v>29134</v>
      </c>
      <c r="BK551" s="86" t="b">
        <v>0</v>
      </c>
      <c r="BL551" s="86"/>
      <c r="BM551" s="86" t="s">
        <v>66</v>
      </c>
      <c r="BN551" s="86" t="s">
        <v>29136</v>
      </c>
      <c r="BO551" s="96" t="str">
        <f>HYPERLINK("https://twitter.com/founderluanda")</f>
        <v>https://twitter.com/founderluanda</v>
      </c>
      <c r="BP551" s="2"/>
    </row>
    <row r="552" spans="1:68" x14ac:dyDescent="0.25">
      <c r="A552" s="63" t="s">
        <v>1680</v>
      </c>
      <c r="B552" s="64"/>
      <c r="C552" s="64"/>
      <c r="D552" s="65"/>
      <c r="E552" s="67"/>
      <c r="F552" s="111" t="str">
        <f>HYPERLINK("https://pbs.twimg.com/profile_images/449566090419396609/MQBliWdf_normal.jpeg")</f>
        <v>https://pbs.twimg.com/profile_images/449566090419396609/MQBliWdf_normal.jpeg</v>
      </c>
      <c r="G552" s="64"/>
      <c r="H552" s="68"/>
      <c r="I552" s="69"/>
      <c r="J552" s="69"/>
      <c r="K552" s="68" t="s">
        <v>29685</v>
      </c>
      <c r="L552" s="72"/>
      <c r="M552" s="73"/>
      <c r="N552" s="73"/>
      <c r="O552" s="74"/>
      <c r="P552" s="75"/>
      <c r="Q552" s="75"/>
      <c r="R552" s="102"/>
      <c r="S552" s="102"/>
      <c r="T552" s="102"/>
      <c r="U552" s="102"/>
      <c r="V552" s="48"/>
      <c r="W552" s="48"/>
      <c r="X552" s="48"/>
      <c r="Y552" s="48"/>
      <c r="Z552" s="47"/>
      <c r="AA552" s="70">
        <v>552</v>
      </c>
      <c r="AB552" s="70"/>
      <c r="AC552" s="71"/>
      <c r="AD552" s="86" t="s">
        <v>24176</v>
      </c>
      <c r="AE552" s="94" t="s">
        <v>25434</v>
      </c>
      <c r="AF552" s="86">
        <v>89901</v>
      </c>
      <c r="AG552" s="86">
        <v>6502</v>
      </c>
      <c r="AH552" s="86">
        <v>43847</v>
      </c>
      <c r="AI552" s="86">
        <v>3164</v>
      </c>
      <c r="AJ552" s="86">
        <v>11684</v>
      </c>
      <c r="AK552" s="86">
        <v>19598</v>
      </c>
      <c r="AL552" s="86" t="b">
        <v>0</v>
      </c>
      <c r="AM552" s="89">
        <v>39908.844756944447</v>
      </c>
      <c r="AN552" s="86" t="s">
        <v>26081</v>
      </c>
      <c r="AO552" s="86" t="s">
        <v>26927</v>
      </c>
      <c r="AP552" s="96" t="str">
        <f>HYPERLINK("https://t.co/KgBX8Pn2SK")</f>
        <v>https://t.co/KgBX8Pn2SK</v>
      </c>
      <c r="AQ552" s="96" t="str">
        <f>HYPERLINK("http://fi.co")</f>
        <v>http://fi.co</v>
      </c>
      <c r="AR552" s="86" t="s">
        <v>8451</v>
      </c>
      <c r="AS552" s="86"/>
      <c r="AT552" s="86"/>
      <c r="AU552" s="86"/>
      <c r="AV552" s="86"/>
      <c r="AW552" s="96" t="str">
        <f>HYPERLINK("https://t.co/KgBX8Pn2SK")</f>
        <v>https://t.co/KgBX8Pn2SK</v>
      </c>
      <c r="AX552" s="86" t="b">
        <v>0</v>
      </c>
      <c r="AY552" s="86"/>
      <c r="AZ552" s="86"/>
      <c r="BA552" s="86" t="b">
        <v>0</v>
      </c>
      <c r="BB552" s="86" t="b">
        <v>1</v>
      </c>
      <c r="BC552" s="86" t="b">
        <v>0</v>
      </c>
      <c r="BD552" s="86" t="b">
        <v>0</v>
      </c>
      <c r="BE552" s="86" t="b">
        <v>1</v>
      </c>
      <c r="BF552" s="86" t="b">
        <v>0</v>
      </c>
      <c r="BG552" s="86" t="b">
        <v>0</v>
      </c>
      <c r="BH552" s="96" t="str">
        <f>HYPERLINK("https://pbs.twimg.com/profile_banners/29054405/1671648665")</f>
        <v>https://pbs.twimg.com/profile_banners/29054405/1671648665</v>
      </c>
      <c r="BI552" s="86"/>
      <c r="BJ552" s="86" t="s">
        <v>29134</v>
      </c>
      <c r="BK552" s="86" t="b">
        <v>0</v>
      </c>
      <c r="BL552" s="86"/>
      <c r="BM552" s="86" t="s">
        <v>65</v>
      </c>
      <c r="BN552" s="86" t="s">
        <v>29136</v>
      </c>
      <c r="BO552" s="96" t="str">
        <f>HYPERLINK("https://twitter.com/founding")</f>
        <v>https://twitter.com/founding</v>
      </c>
      <c r="BP552" s="2"/>
    </row>
    <row r="553" spans="1:68" x14ac:dyDescent="0.25">
      <c r="A553" s="63" t="s">
        <v>701</v>
      </c>
      <c r="B553" s="64"/>
      <c r="C553" s="64"/>
      <c r="D553" s="65"/>
      <c r="E553" s="67"/>
      <c r="F553" s="111" t="str">
        <f>HYPERLINK("https://pbs.twimg.com/profile_images/1607466844973146114/o92qgyX2_normal.jpg")</f>
        <v>https://pbs.twimg.com/profile_images/1607466844973146114/o92qgyX2_normal.jpg</v>
      </c>
      <c r="G553" s="64"/>
      <c r="H553" s="68"/>
      <c r="I553" s="69"/>
      <c r="J553" s="69"/>
      <c r="K553" s="68" t="s">
        <v>29686</v>
      </c>
      <c r="L553" s="72"/>
      <c r="M553" s="73"/>
      <c r="N553" s="73"/>
      <c r="O553" s="74"/>
      <c r="P553" s="75"/>
      <c r="Q553" s="75"/>
      <c r="R553" s="102"/>
      <c r="S553" s="102"/>
      <c r="T553" s="102"/>
      <c r="U553" s="102"/>
      <c r="V553" s="48"/>
      <c r="W553" s="48"/>
      <c r="X553" s="48"/>
      <c r="Y553" s="48"/>
      <c r="Z553" s="47"/>
      <c r="AA553" s="70">
        <v>553</v>
      </c>
      <c r="AB553" s="70"/>
      <c r="AC553" s="71"/>
      <c r="AD553" s="86" t="s">
        <v>24177</v>
      </c>
      <c r="AE553" s="94" t="s">
        <v>25435</v>
      </c>
      <c r="AF553" s="86">
        <v>221</v>
      </c>
      <c r="AG553" s="86">
        <v>205</v>
      </c>
      <c r="AH553" s="86">
        <v>1055</v>
      </c>
      <c r="AI553" s="86">
        <v>8</v>
      </c>
      <c r="AJ553" s="86">
        <v>89</v>
      </c>
      <c r="AK553" s="86">
        <v>688</v>
      </c>
      <c r="AL553" s="86" t="b">
        <v>0</v>
      </c>
      <c r="AM553" s="89">
        <v>39999.842685185184</v>
      </c>
      <c r="AN553" s="86" t="s">
        <v>26036</v>
      </c>
      <c r="AO553" s="86" t="s">
        <v>26928</v>
      </c>
      <c r="AP553" s="96" t="str">
        <f>HYPERLINK("https://t.co/4chd8SQ9b2")</f>
        <v>https://t.co/4chd8SQ9b2</v>
      </c>
      <c r="AQ553" s="96" t="str">
        <f>HYPERLINK("http://www.agenciacapella.com.br")</f>
        <v>http://www.agenciacapella.com.br</v>
      </c>
      <c r="AR553" s="86" t="s">
        <v>28282</v>
      </c>
      <c r="AS553" s="86"/>
      <c r="AT553" s="86"/>
      <c r="AU553" s="86"/>
      <c r="AV553" s="86"/>
      <c r="AW553" s="96" t="str">
        <f>HYPERLINK("https://t.co/4chd8SQ9b2")</f>
        <v>https://t.co/4chd8SQ9b2</v>
      </c>
      <c r="AX553" s="86" t="b">
        <v>0</v>
      </c>
      <c r="AY553" s="86"/>
      <c r="AZ553" s="86"/>
      <c r="BA553" s="86" t="b">
        <v>0</v>
      </c>
      <c r="BB553" s="86" t="b">
        <v>1</v>
      </c>
      <c r="BC553" s="86" t="b">
        <v>0</v>
      </c>
      <c r="BD553" s="86" t="b">
        <v>0</v>
      </c>
      <c r="BE553" s="86" t="b">
        <v>0</v>
      </c>
      <c r="BF553" s="86" t="b">
        <v>0</v>
      </c>
      <c r="BG553" s="86" t="b">
        <v>0</v>
      </c>
      <c r="BH553" s="96" t="str">
        <f>HYPERLINK("https://pbs.twimg.com/profile_banners/53993704/1672084937")</f>
        <v>https://pbs.twimg.com/profile_banners/53993704/1672084937</v>
      </c>
      <c r="BI553" s="86"/>
      <c r="BJ553" s="86" t="s">
        <v>29134</v>
      </c>
      <c r="BK553" s="86" t="b">
        <v>0</v>
      </c>
      <c r="BL553" s="86"/>
      <c r="BM553" s="86" t="s">
        <v>66</v>
      </c>
      <c r="BN553" s="86" t="s">
        <v>29136</v>
      </c>
      <c r="BO553" s="96" t="str">
        <f>HYPERLINK("https://twitter.com/agenciacapella")</f>
        <v>https://twitter.com/agenciacapella</v>
      </c>
      <c r="BP553" s="2"/>
    </row>
    <row r="554" spans="1:68" x14ac:dyDescent="0.25">
      <c r="A554" s="63" t="s">
        <v>702</v>
      </c>
      <c r="B554" s="64"/>
      <c r="C554" s="64"/>
      <c r="D554" s="65"/>
      <c r="E554" s="67"/>
      <c r="F554" s="111" t="str">
        <f>HYPERLINK("https://pbs.twimg.com/profile_images/1688262548339003392/_8kPGYge_normal.jpg")</f>
        <v>https://pbs.twimg.com/profile_images/1688262548339003392/_8kPGYge_normal.jpg</v>
      </c>
      <c r="G554" s="64"/>
      <c r="H554" s="68"/>
      <c r="I554" s="69"/>
      <c r="J554" s="69"/>
      <c r="K554" s="68" t="s">
        <v>29687</v>
      </c>
      <c r="L554" s="72"/>
      <c r="M554" s="73"/>
      <c r="N554" s="73"/>
      <c r="O554" s="74"/>
      <c r="P554" s="75"/>
      <c r="Q554" s="75"/>
      <c r="R554" s="102"/>
      <c r="S554" s="102"/>
      <c r="T554" s="102"/>
      <c r="U554" s="102"/>
      <c r="V554" s="48"/>
      <c r="W554" s="48"/>
      <c r="X554" s="48"/>
      <c r="Y554" s="48"/>
      <c r="Z554" s="47"/>
      <c r="AA554" s="70">
        <v>554</v>
      </c>
      <c r="AB554" s="70"/>
      <c r="AC554" s="71"/>
      <c r="AD554" s="86" t="s">
        <v>24178</v>
      </c>
      <c r="AE554" s="94" t="s">
        <v>23068</v>
      </c>
      <c r="AF554" s="86">
        <v>1</v>
      </c>
      <c r="AG554" s="86">
        <v>8</v>
      </c>
      <c r="AH554" s="86">
        <v>1</v>
      </c>
      <c r="AI554" s="86">
        <v>0</v>
      </c>
      <c r="AJ554" s="86">
        <v>2</v>
      </c>
      <c r="AK554" s="86">
        <v>0</v>
      </c>
      <c r="AL554" s="86" t="b">
        <v>0</v>
      </c>
      <c r="AM554" s="89">
        <v>45144.787939814814</v>
      </c>
      <c r="AN554" s="86"/>
      <c r="AO554" s="86" t="s">
        <v>26929</v>
      </c>
      <c r="AP554" s="96" t="str">
        <f>HYPERLINK("https://t.co/4WiPcibKR4")</f>
        <v>https://t.co/4WiPcibKR4</v>
      </c>
      <c r="AQ554" s="96" t="str">
        <f>HYPERLINK("https://linktr.ee/vika_invest")</f>
        <v>https://linktr.ee/vika_invest</v>
      </c>
      <c r="AR554" s="86" t="s">
        <v>28283</v>
      </c>
      <c r="AS554" s="86"/>
      <c r="AT554" s="86"/>
      <c r="AU554" s="86"/>
      <c r="AV554" s="86"/>
      <c r="AW554" s="96" t="str">
        <f>HYPERLINK("https://t.co/4WiPcibKR4")</f>
        <v>https://t.co/4WiPcibKR4</v>
      </c>
      <c r="AX554" s="86" t="b">
        <v>0</v>
      </c>
      <c r="AY554" s="86"/>
      <c r="AZ554" s="86"/>
      <c r="BA554" s="86" t="b">
        <v>0</v>
      </c>
      <c r="BB554" s="86" t="b">
        <v>1</v>
      </c>
      <c r="BC554" s="86" t="b">
        <v>1</v>
      </c>
      <c r="BD554" s="86" t="b">
        <v>0</v>
      </c>
      <c r="BE554" s="86" t="b">
        <v>0</v>
      </c>
      <c r="BF554" s="86" t="b">
        <v>0</v>
      </c>
      <c r="BG554" s="86" t="b">
        <v>0</v>
      </c>
      <c r="BH554" s="86"/>
      <c r="BI554" s="86"/>
      <c r="BJ554" s="86" t="s">
        <v>29134</v>
      </c>
      <c r="BK554" s="86" t="b">
        <v>0</v>
      </c>
      <c r="BL554" s="86"/>
      <c r="BM554" s="86" t="s">
        <v>66</v>
      </c>
      <c r="BN554" s="86" t="s">
        <v>29136</v>
      </c>
      <c r="BO554" s="96" t="str">
        <f>HYPERLINK("https://twitter.com/vikainvest")</f>
        <v>https://twitter.com/vikainvest</v>
      </c>
      <c r="BP554" s="2"/>
    </row>
    <row r="555" spans="1:68" x14ac:dyDescent="0.25">
      <c r="A555" s="63" t="s">
        <v>703</v>
      </c>
      <c r="B555" s="64"/>
      <c r="C555" s="64"/>
      <c r="D555" s="65"/>
      <c r="E555" s="67"/>
      <c r="F555" s="111" t="str">
        <f>HYPERLINK("https://pbs.twimg.com/profile_images/1583767193921142785/MXlMjskZ_normal.jpg")</f>
        <v>https://pbs.twimg.com/profile_images/1583767193921142785/MXlMjskZ_normal.jpg</v>
      </c>
      <c r="G555" s="64"/>
      <c r="H555" s="68"/>
      <c r="I555" s="69"/>
      <c r="J555" s="69"/>
      <c r="K555" s="68" t="s">
        <v>29688</v>
      </c>
      <c r="L555" s="72"/>
      <c r="M555" s="73"/>
      <c r="N555" s="73"/>
      <c r="O555" s="74"/>
      <c r="P555" s="75"/>
      <c r="Q555" s="75"/>
      <c r="R555" s="102"/>
      <c r="S555" s="102"/>
      <c r="T555" s="102"/>
      <c r="U555" s="102"/>
      <c r="V555" s="48"/>
      <c r="W555" s="48"/>
      <c r="X555" s="48"/>
      <c r="Y555" s="48"/>
      <c r="Z555" s="47"/>
      <c r="AA555" s="70">
        <v>555</v>
      </c>
      <c r="AB555" s="70"/>
      <c r="AC555" s="71"/>
      <c r="AD555" s="86" t="s">
        <v>24179</v>
      </c>
      <c r="AE555" s="94" t="s">
        <v>25436</v>
      </c>
      <c r="AF555" s="86">
        <v>31</v>
      </c>
      <c r="AG555" s="86">
        <v>171</v>
      </c>
      <c r="AH555" s="86">
        <v>31</v>
      </c>
      <c r="AI555" s="86">
        <v>0</v>
      </c>
      <c r="AJ555" s="86">
        <v>26</v>
      </c>
      <c r="AK555" s="86">
        <v>6</v>
      </c>
      <c r="AL555" s="86" t="b">
        <v>0</v>
      </c>
      <c r="AM555" s="89">
        <v>41481.650497685187</v>
      </c>
      <c r="AN555" s="86"/>
      <c r="AO555" s="86" t="s">
        <v>26930</v>
      </c>
      <c r="AP555" s="96" t="str">
        <f>HYPERLINK("https://t.co/RMvCscGNL3")</f>
        <v>https://t.co/RMvCscGNL3</v>
      </c>
      <c r="AQ555" s="96" t="str">
        <f>HYPERLINK("http://teixeirarecco.com")</f>
        <v>http://teixeirarecco.com</v>
      </c>
      <c r="AR555" s="86" t="s">
        <v>28284</v>
      </c>
      <c r="AS555" s="86"/>
      <c r="AT555" s="86"/>
      <c r="AU555" s="86"/>
      <c r="AV555" s="86"/>
      <c r="AW555" s="96" t="str">
        <f>HYPERLINK("https://t.co/RMvCscGNL3")</f>
        <v>https://t.co/RMvCscGNL3</v>
      </c>
      <c r="AX555" s="86" t="b">
        <v>0</v>
      </c>
      <c r="AY555" s="86"/>
      <c r="AZ555" s="86"/>
      <c r="BA555" s="86" t="b">
        <v>0</v>
      </c>
      <c r="BB555" s="86" t="b">
        <v>1</v>
      </c>
      <c r="BC555" s="86" t="b">
        <v>1</v>
      </c>
      <c r="BD555" s="86" t="b">
        <v>0</v>
      </c>
      <c r="BE555" s="86" t="b">
        <v>1</v>
      </c>
      <c r="BF555" s="86" t="b">
        <v>0</v>
      </c>
      <c r="BG555" s="86" t="b">
        <v>0</v>
      </c>
      <c r="BH555" s="96" t="str">
        <f>HYPERLINK("https://pbs.twimg.com/profile_banners/1623235532/1582426512")</f>
        <v>https://pbs.twimg.com/profile_banners/1623235532/1582426512</v>
      </c>
      <c r="BI555" s="86"/>
      <c r="BJ555" s="86" t="s">
        <v>29134</v>
      </c>
      <c r="BK555" s="86" t="b">
        <v>0</v>
      </c>
      <c r="BL555" s="86"/>
      <c r="BM555" s="86" t="s">
        <v>66</v>
      </c>
      <c r="BN555" s="86" t="s">
        <v>29136</v>
      </c>
      <c r="BO555" s="96" t="str">
        <f>HYPERLINK("https://twitter.com/danilorecco")</f>
        <v>https://twitter.com/danilorecco</v>
      </c>
      <c r="BP555" s="2"/>
    </row>
    <row r="556" spans="1:68" x14ac:dyDescent="0.25">
      <c r="A556" s="63" t="s">
        <v>704</v>
      </c>
      <c r="B556" s="64"/>
      <c r="C556" s="64"/>
      <c r="D556" s="65"/>
      <c r="E556" s="67"/>
      <c r="F556" s="111" t="str">
        <f>HYPERLINK("https://pbs.twimg.com/profile_images/1483019540510515200/5uHdLJZ4_normal.jpg")</f>
        <v>https://pbs.twimg.com/profile_images/1483019540510515200/5uHdLJZ4_normal.jpg</v>
      </c>
      <c r="G556" s="64"/>
      <c r="H556" s="68"/>
      <c r="I556" s="69"/>
      <c r="J556" s="69"/>
      <c r="K556" s="68" t="s">
        <v>29689</v>
      </c>
      <c r="L556" s="72"/>
      <c r="M556" s="73"/>
      <c r="N556" s="73"/>
      <c r="O556" s="74"/>
      <c r="P556" s="75"/>
      <c r="Q556" s="75"/>
      <c r="R556" s="102"/>
      <c r="S556" s="102"/>
      <c r="T556" s="102"/>
      <c r="U556" s="102"/>
      <c r="V556" s="48"/>
      <c r="W556" s="48"/>
      <c r="X556" s="48"/>
      <c r="Y556" s="48"/>
      <c r="Z556" s="47"/>
      <c r="AA556" s="70">
        <v>556</v>
      </c>
      <c r="AB556" s="70"/>
      <c r="AC556" s="71"/>
      <c r="AD556" s="86" t="s">
        <v>24180</v>
      </c>
      <c r="AE556" s="94" t="s">
        <v>23069</v>
      </c>
      <c r="AF556" s="86">
        <v>430</v>
      </c>
      <c r="AG556" s="86">
        <v>875</v>
      </c>
      <c r="AH556" s="86">
        <v>357</v>
      </c>
      <c r="AI556" s="86">
        <v>0</v>
      </c>
      <c r="AJ556" s="86">
        <v>254</v>
      </c>
      <c r="AK556" s="86">
        <v>183</v>
      </c>
      <c r="AL556" s="86" t="b">
        <v>0</v>
      </c>
      <c r="AM556" s="89">
        <v>44578.424270833333</v>
      </c>
      <c r="AN556" s="86"/>
      <c r="AO556" s="86" t="s">
        <v>26931</v>
      </c>
      <c r="AP556" s="86"/>
      <c r="AQ556" s="86"/>
      <c r="AR556" s="86"/>
      <c r="AS556" s="86"/>
      <c r="AT556" s="86"/>
      <c r="AU556" s="86"/>
      <c r="AV556" s="86"/>
      <c r="AW556" s="86"/>
      <c r="AX556" s="86" t="b">
        <v>0</v>
      </c>
      <c r="AY556" s="86"/>
      <c r="AZ556" s="86"/>
      <c r="BA556" s="86" t="b">
        <v>0</v>
      </c>
      <c r="BB556" s="86" t="b">
        <v>1</v>
      </c>
      <c r="BC556" s="86" t="b">
        <v>1</v>
      </c>
      <c r="BD556" s="86" t="b">
        <v>0</v>
      </c>
      <c r="BE556" s="86" t="b">
        <v>0</v>
      </c>
      <c r="BF556" s="86" t="b">
        <v>0</v>
      </c>
      <c r="BG556" s="86" t="b">
        <v>0</v>
      </c>
      <c r="BH556" s="96" t="str">
        <f>HYPERLINK("https://pbs.twimg.com/profile_banners/1483018647799046147/1642425414")</f>
        <v>https://pbs.twimg.com/profile_banners/1483018647799046147/1642425414</v>
      </c>
      <c r="BI556" s="86"/>
      <c r="BJ556" s="86" t="s">
        <v>29134</v>
      </c>
      <c r="BK556" s="86" t="b">
        <v>0</v>
      </c>
      <c r="BL556" s="86"/>
      <c r="BM556" s="86" t="s">
        <v>66</v>
      </c>
      <c r="BN556" s="86" t="s">
        <v>29136</v>
      </c>
      <c r="BO556" s="96" t="str">
        <f>HYPERLINK("https://twitter.com/moncave_space")</f>
        <v>https://twitter.com/moncave_space</v>
      </c>
      <c r="BP556" s="2"/>
    </row>
    <row r="557" spans="1:68" x14ac:dyDescent="0.25">
      <c r="A557" s="63" t="s">
        <v>705</v>
      </c>
      <c r="B557" s="64"/>
      <c r="C557" s="64"/>
      <c r="D557" s="65"/>
      <c r="E557" s="67"/>
      <c r="F557" s="111" t="str">
        <f>HYPERLINK("https://pbs.twimg.com/profile_images/1704885893306130433/bGPPLxbd_normal.jpg")</f>
        <v>https://pbs.twimg.com/profile_images/1704885893306130433/bGPPLxbd_normal.jpg</v>
      </c>
      <c r="G557" s="64"/>
      <c r="H557" s="68"/>
      <c r="I557" s="69"/>
      <c r="J557" s="69"/>
      <c r="K557" s="68" t="s">
        <v>29690</v>
      </c>
      <c r="L557" s="72"/>
      <c r="M557" s="73"/>
      <c r="N557" s="73"/>
      <c r="O557" s="74"/>
      <c r="P557" s="75"/>
      <c r="Q557" s="75"/>
      <c r="R557" s="102"/>
      <c r="S557" s="102"/>
      <c r="T557" s="102"/>
      <c r="U557" s="102"/>
      <c r="V557" s="48"/>
      <c r="W557" s="48"/>
      <c r="X557" s="48"/>
      <c r="Y557" s="48"/>
      <c r="Z557" s="47"/>
      <c r="AA557" s="70">
        <v>557</v>
      </c>
      <c r="AB557" s="70"/>
      <c r="AC557" s="71"/>
      <c r="AD557" s="86" t="s">
        <v>24181</v>
      </c>
      <c r="AE557" s="94" t="s">
        <v>23070</v>
      </c>
      <c r="AF557" s="86">
        <v>0</v>
      </c>
      <c r="AG557" s="86">
        <v>9</v>
      </c>
      <c r="AH557" s="86">
        <v>3</v>
      </c>
      <c r="AI557" s="86">
        <v>0</v>
      </c>
      <c r="AJ557" s="86">
        <v>0</v>
      </c>
      <c r="AK557" s="86">
        <v>1</v>
      </c>
      <c r="AL557" s="86" t="b">
        <v>0</v>
      </c>
      <c r="AM557" s="89">
        <v>44740.978888888887</v>
      </c>
      <c r="AN557" s="86"/>
      <c r="AO557" s="86" t="s">
        <v>26932</v>
      </c>
      <c r="AP557" s="96" t="str">
        <f>HYPERLINK("https://t.co/neezzBrzeD")</f>
        <v>https://t.co/neezzBrzeD</v>
      </c>
      <c r="AQ557" s="96" t="str">
        <f>HYPERLINK("https://bit.ly/packsojonathanpro")</f>
        <v>https://bit.ly/packsojonathanpro</v>
      </c>
      <c r="AR557" s="86" t="s">
        <v>28285</v>
      </c>
      <c r="AS557" s="86"/>
      <c r="AT557" s="86"/>
      <c r="AU557" s="86"/>
      <c r="AV557" s="86"/>
      <c r="AW557" s="96" t="str">
        <f>HYPERLINK("https://t.co/neezzBrzeD")</f>
        <v>https://t.co/neezzBrzeD</v>
      </c>
      <c r="AX557" s="86" t="b">
        <v>0</v>
      </c>
      <c r="AY557" s="86"/>
      <c r="AZ557" s="86"/>
      <c r="BA557" s="86" t="b">
        <v>0</v>
      </c>
      <c r="BB557" s="86" t="b">
        <v>1</v>
      </c>
      <c r="BC557" s="86" t="b">
        <v>1</v>
      </c>
      <c r="BD557" s="86" t="b">
        <v>0</v>
      </c>
      <c r="BE557" s="86" t="b">
        <v>0</v>
      </c>
      <c r="BF557" s="86" t="b">
        <v>0</v>
      </c>
      <c r="BG557" s="86" t="b">
        <v>0</v>
      </c>
      <c r="BH557" s="96" t="str">
        <f>HYPERLINK("https://pbs.twimg.com/profile_banners/1541926707917164545/1695311446")</f>
        <v>https://pbs.twimg.com/profile_banners/1541926707917164545/1695311446</v>
      </c>
      <c r="BI557" s="86"/>
      <c r="BJ557" s="86" t="s">
        <v>29134</v>
      </c>
      <c r="BK557" s="86" t="b">
        <v>0</v>
      </c>
      <c r="BL557" s="86"/>
      <c r="BM557" s="86" t="s">
        <v>66</v>
      </c>
      <c r="BN557" s="86" t="s">
        <v>29136</v>
      </c>
      <c r="BO557" s="96" t="str">
        <f>HYPERLINK("https://twitter.com/jonathanprobr")</f>
        <v>https://twitter.com/jonathanprobr</v>
      </c>
      <c r="BP557" s="2"/>
    </row>
    <row r="558" spans="1:68" x14ac:dyDescent="0.25">
      <c r="A558" s="63" t="s">
        <v>706</v>
      </c>
      <c r="B558" s="64"/>
      <c r="C558" s="64"/>
      <c r="D558" s="65"/>
      <c r="E558" s="67"/>
      <c r="F558" s="111" t="str">
        <f>HYPERLINK("https://pbs.twimg.com/profile_images/887707958540480512/LNuIcBe1_normal.jpg")</f>
        <v>https://pbs.twimg.com/profile_images/887707958540480512/LNuIcBe1_normal.jpg</v>
      </c>
      <c r="G558" s="64"/>
      <c r="H558" s="68"/>
      <c r="I558" s="69"/>
      <c r="J558" s="69"/>
      <c r="K558" s="68" t="s">
        <v>29691</v>
      </c>
      <c r="L558" s="72"/>
      <c r="M558" s="73"/>
      <c r="N558" s="73"/>
      <c r="O558" s="74"/>
      <c r="P558" s="75"/>
      <c r="Q558" s="75"/>
      <c r="R558" s="102"/>
      <c r="S558" s="102"/>
      <c r="T558" s="102"/>
      <c r="U558" s="102"/>
      <c r="V558" s="48"/>
      <c r="W558" s="48"/>
      <c r="X558" s="48"/>
      <c r="Y558" s="48"/>
      <c r="Z558" s="47"/>
      <c r="AA558" s="70">
        <v>558</v>
      </c>
      <c r="AB558" s="70"/>
      <c r="AC558" s="71"/>
      <c r="AD558" s="86" t="s">
        <v>24182</v>
      </c>
      <c r="AE558" s="94" t="s">
        <v>25437</v>
      </c>
      <c r="AF558" s="86">
        <v>1021</v>
      </c>
      <c r="AG558" s="86">
        <v>203</v>
      </c>
      <c r="AH558" s="86">
        <v>22130</v>
      </c>
      <c r="AI558" s="86">
        <v>11</v>
      </c>
      <c r="AJ558" s="86">
        <v>62</v>
      </c>
      <c r="AK558" s="86">
        <v>4495</v>
      </c>
      <c r="AL558" s="86" t="b">
        <v>0</v>
      </c>
      <c r="AM558" s="89">
        <v>40561.209652777776</v>
      </c>
      <c r="AN558" s="86" t="s">
        <v>26082</v>
      </c>
      <c r="AO558" s="86" t="s">
        <v>26933</v>
      </c>
      <c r="AP558" s="96" t="str">
        <f>HYPERLINK("http://t.co/gCjQn4ShzB")</f>
        <v>http://t.co/gCjQn4ShzB</v>
      </c>
      <c r="AQ558" s="96" t="str">
        <f>HYPERLINK("http://www.granjanews.com.br")</f>
        <v>http://www.granjanews.com.br</v>
      </c>
      <c r="AR558" s="86" t="s">
        <v>28286</v>
      </c>
      <c r="AS558" s="86"/>
      <c r="AT558" s="86"/>
      <c r="AU558" s="86"/>
      <c r="AV558" s="86"/>
      <c r="AW558" s="96" t="str">
        <f>HYPERLINK("http://t.co/gCjQn4ShzB")</f>
        <v>http://t.co/gCjQn4ShzB</v>
      </c>
      <c r="AX558" s="86" t="b">
        <v>0</v>
      </c>
      <c r="AY558" s="86"/>
      <c r="AZ558" s="86"/>
      <c r="BA558" s="86" t="b">
        <v>0</v>
      </c>
      <c r="BB558" s="86" t="b">
        <v>1</v>
      </c>
      <c r="BC558" s="86" t="b">
        <v>0</v>
      </c>
      <c r="BD558" s="86" t="b">
        <v>0</v>
      </c>
      <c r="BE558" s="86" t="b">
        <v>1</v>
      </c>
      <c r="BF558" s="86" t="b">
        <v>0</v>
      </c>
      <c r="BG558" s="86" t="b">
        <v>0</v>
      </c>
      <c r="BH558" s="96" t="str">
        <f>HYPERLINK("https://pbs.twimg.com/profile_banners/239678012/1566335119")</f>
        <v>https://pbs.twimg.com/profile_banners/239678012/1566335119</v>
      </c>
      <c r="BI558" s="86"/>
      <c r="BJ558" s="86" t="s">
        <v>29134</v>
      </c>
      <c r="BK558" s="86" t="b">
        <v>0</v>
      </c>
      <c r="BL558" s="86"/>
      <c r="BM558" s="86" t="s">
        <v>66</v>
      </c>
      <c r="BN558" s="86" t="s">
        <v>29136</v>
      </c>
      <c r="BO558" s="96" t="str">
        <f>HYPERLINK("https://twitter.com/granjanews")</f>
        <v>https://twitter.com/granjanews</v>
      </c>
      <c r="BP558" s="2"/>
    </row>
    <row r="559" spans="1:68" x14ac:dyDescent="0.25">
      <c r="A559" s="63" t="s">
        <v>707</v>
      </c>
      <c r="B559" s="64"/>
      <c r="C559" s="64"/>
      <c r="D559" s="65"/>
      <c r="E559" s="67"/>
      <c r="F559" s="111" t="str">
        <f>HYPERLINK("https://pbs.twimg.com/profile_images/1678068692926488577/XrnFty9K_normal.jpg")</f>
        <v>https://pbs.twimg.com/profile_images/1678068692926488577/XrnFty9K_normal.jpg</v>
      </c>
      <c r="G559" s="64"/>
      <c r="H559" s="68"/>
      <c r="I559" s="69"/>
      <c r="J559" s="69"/>
      <c r="K559" s="68" t="s">
        <v>29692</v>
      </c>
      <c r="L559" s="72"/>
      <c r="M559" s="73"/>
      <c r="N559" s="73"/>
      <c r="O559" s="74"/>
      <c r="P559" s="75"/>
      <c r="Q559" s="75"/>
      <c r="R559" s="102"/>
      <c r="S559" s="102"/>
      <c r="T559" s="102"/>
      <c r="U559" s="102"/>
      <c r="V559" s="48"/>
      <c r="W559" s="48"/>
      <c r="X559" s="48"/>
      <c r="Y559" s="48"/>
      <c r="Z559" s="47"/>
      <c r="AA559" s="70">
        <v>559</v>
      </c>
      <c r="AB559" s="70"/>
      <c r="AC559" s="71"/>
      <c r="AD559" s="86" t="s">
        <v>24183</v>
      </c>
      <c r="AE559" s="94" t="s">
        <v>23071</v>
      </c>
      <c r="AF559" s="86">
        <v>0</v>
      </c>
      <c r="AG559" s="86">
        <v>23</v>
      </c>
      <c r="AH559" s="86">
        <v>91</v>
      </c>
      <c r="AI559" s="86">
        <v>0</v>
      </c>
      <c r="AJ559" s="86">
        <v>105</v>
      </c>
      <c r="AK559" s="86">
        <v>37</v>
      </c>
      <c r="AL559" s="86" t="b">
        <v>0</v>
      </c>
      <c r="AM559" s="89">
        <v>45111.632974537039</v>
      </c>
      <c r="AN559" s="86"/>
      <c r="AO559" s="86"/>
      <c r="AP559" s="86"/>
      <c r="AQ559" s="86"/>
      <c r="AR559" s="86"/>
      <c r="AS559" s="86"/>
      <c r="AT559" s="86"/>
      <c r="AU559" s="86"/>
      <c r="AV559" s="86"/>
      <c r="AW559" s="86"/>
      <c r="AX559" s="86" t="b">
        <v>0</v>
      </c>
      <c r="AY559" s="86"/>
      <c r="AZ559" s="86"/>
      <c r="BA559" s="86" t="b">
        <v>0</v>
      </c>
      <c r="BB559" s="86" t="b">
        <v>1</v>
      </c>
      <c r="BC559" s="86" t="b">
        <v>1</v>
      </c>
      <c r="BD559" s="86" t="b">
        <v>0</v>
      </c>
      <c r="BE559" s="86" t="b">
        <v>0</v>
      </c>
      <c r="BF559" s="86" t="b">
        <v>0</v>
      </c>
      <c r="BG559" s="86" t="b">
        <v>0</v>
      </c>
      <c r="BH559" s="96" t="str">
        <f>HYPERLINK("https://pbs.twimg.com/profile_banners/1676247201511624706/1688925338")</f>
        <v>https://pbs.twimg.com/profile_banners/1676247201511624706/1688925338</v>
      </c>
      <c r="BI559" s="86"/>
      <c r="BJ559" s="86" t="s">
        <v>29134</v>
      </c>
      <c r="BK559" s="86" t="b">
        <v>0</v>
      </c>
      <c r="BL559" s="86"/>
      <c r="BM559" s="86" t="s">
        <v>66</v>
      </c>
      <c r="BN559" s="86" t="s">
        <v>29136</v>
      </c>
      <c r="BO559" s="96" t="str">
        <f>HYPERLINK("https://twitter.com/rodrigo9231101")</f>
        <v>https://twitter.com/rodrigo9231101</v>
      </c>
      <c r="BP559" s="2"/>
    </row>
    <row r="560" spans="1:68" x14ac:dyDescent="0.25">
      <c r="A560" s="63" t="s">
        <v>708</v>
      </c>
      <c r="B560" s="64"/>
      <c r="C560" s="64"/>
      <c r="D560" s="65"/>
      <c r="E560" s="67"/>
      <c r="F560" s="111" t="str">
        <f>HYPERLINK("https://pbs.twimg.com/profile_images/1640030219129049089/bZLsfly5_normal.png")</f>
        <v>https://pbs.twimg.com/profile_images/1640030219129049089/bZLsfly5_normal.png</v>
      </c>
      <c r="G560" s="64"/>
      <c r="H560" s="68"/>
      <c r="I560" s="69"/>
      <c r="J560" s="69"/>
      <c r="K560" s="68" t="s">
        <v>29693</v>
      </c>
      <c r="L560" s="72"/>
      <c r="M560" s="73"/>
      <c r="N560" s="73"/>
      <c r="O560" s="74"/>
      <c r="P560" s="75"/>
      <c r="Q560" s="75"/>
      <c r="R560" s="102"/>
      <c r="S560" s="102"/>
      <c r="T560" s="102"/>
      <c r="U560" s="102"/>
      <c r="V560" s="48"/>
      <c r="W560" s="48"/>
      <c r="X560" s="48"/>
      <c r="Y560" s="48"/>
      <c r="Z560" s="47"/>
      <c r="AA560" s="70">
        <v>560</v>
      </c>
      <c r="AB560" s="70"/>
      <c r="AC560" s="71"/>
      <c r="AD560" s="86" t="s">
        <v>24184</v>
      </c>
      <c r="AE560" s="94" t="s">
        <v>23072</v>
      </c>
      <c r="AF560" s="86">
        <v>0</v>
      </c>
      <c r="AG560" s="86">
        <v>10</v>
      </c>
      <c r="AH560" s="86">
        <v>25</v>
      </c>
      <c r="AI560" s="86">
        <v>0</v>
      </c>
      <c r="AJ560" s="86">
        <v>1</v>
      </c>
      <c r="AK560" s="86">
        <v>6</v>
      </c>
      <c r="AL560" s="86" t="b">
        <v>0</v>
      </c>
      <c r="AM560" s="89">
        <v>44276.844560185185</v>
      </c>
      <c r="AN560" s="86" t="s">
        <v>15246</v>
      </c>
      <c r="AO560" s="86" t="s">
        <v>26934</v>
      </c>
      <c r="AP560" s="96" t="str">
        <f>HYPERLINK("https://t.co/b6IzbiaTpL")</f>
        <v>https://t.co/b6IzbiaTpL</v>
      </c>
      <c r="AQ560" s="96" t="str">
        <f>HYPERLINK("https://jadsonempreendedor.com")</f>
        <v>https://jadsonempreendedor.com</v>
      </c>
      <c r="AR560" s="86" t="s">
        <v>28287</v>
      </c>
      <c r="AS560" s="86"/>
      <c r="AT560" s="86"/>
      <c r="AU560" s="86"/>
      <c r="AV560" s="86"/>
      <c r="AW560" s="96" t="str">
        <f>HYPERLINK("https://t.co/b6IzbiaTpL")</f>
        <v>https://t.co/b6IzbiaTpL</v>
      </c>
      <c r="AX560" s="86" t="b">
        <v>0</v>
      </c>
      <c r="AY560" s="86"/>
      <c r="AZ560" s="86"/>
      <c r="BA560" s="86" t="b">
        <v>0</v>
      </c>
      <c r="BB560" s="86" t="b">
        <v>1</v>
      </c>
      <c r="BC560" s="86" t="b">
        <v>1</v>
      </c>
      <c r="BD560" s="86" t="b">
        <v>0</v>
      </c>
      <c r="BE560" s="86" t="b">
        <v>0</v>
      </c>
      <c r="BF560" s="86" t="b">
        <v>0</v>
      </c>
      <c r="BG560" s="86" t="b">
        <v>0</v>
      </c>
      <c r="BH560" s="96" t="str">
        <f>HYPERLINK("https://pbs.twimg.com/profile_banners/1373730040798662656/1679922707")</f>
        <v>https://pbs.twimg.com/profile_banners/1373730040798662656/1679922707</v>
      </c>
      <c r="BI560" s="86"/>
      <c r="BJ560" s="86" t="s">
        <v>29134</v>
      </c>
      <c r="BK560" s="86" t="b">
        <v>0</v>
      </c>
      <c r="BL560" s="86"/>
      <c r="BM560" s="86" t="s">
        <v>66</v>
      </c>
      <c r="BN560" s="86" t="s">
        <v>29136</v>
      </c>
      <c r="BO560" s="96" t="str">
        <f>HYPERLINK("https://twitter.com/jjempreendedor")</f>
        <v>https://twitter.com/jjempreendedor</v>
      </c>
      <c r="BP560" s="2"/>
    </row>
    <row r="561" spans="1:68" x14ac:dyDescent="0.25">
      <c r="A561" s="63" t="s">
        <v>709</v>
      </c>
      <c r="B561" s="64"/>
      <c r="C561" s="64"/>
      <c r="D561" s="65"/>
      <c r="E561" s="67"/>
      <c r="F561" s="111" t="str">
        <f>HYPERLINK("https://pbs.twimg.com/profile_images/655103505/1092220_normal.jpg")</f>
        <v>https://pbs.twimg.com/profile_images/655103505/1092220_normal.jpg</v>
      </c>
      <c r="G561" s="64"/>
      <c r="H561" s="68"/>
      <c r="I561" s="69"/>
      <c r="J561" s="69"/>
      <c r="K561" s="68" t="s">
        <v>29694</v>
      </c>
      <c r="L561" s="72"/>
      <c r="M561" s="73"/>
      <c r="N561" s="73"/>
      <c r="O561" s="74"/>
      <c r="P561" s="75"/>
      <c r="Q561" s="75"/>
      <c r="R561" s="102"/>
      <c r="S561" s="102"/>
      <c r="T561" s="102"/>
      <c r="U561" s="102"/>
      <c r="V561" s="48"/>
      <c r="W561" s="48"/>
      <c r="X561" s="48"/>
      <c r="Y561" s="48"/>
      <c r="Z561" s="47"/>
      <c r="AA561" s="70">
        <v>561</v>
      </c>
      <c r="AB561" s="70"/>
      <c r="AC561" s="71"/>
      <c r="AD561" s="86" t="s">
        <v>24185</v>
      </c>
      <c r="AE561" s="94" t="s">
        <v>25438</v>
      </c>
      <c r="AF561" s="86">
        <v>311</v>
      </c>
      <c r="AG561" s="86">
        <v>1318</v>
      </c>
      <c r="AH561" s="86">
        <v>8085</v>
      </c>
      <c r="AI561" s="86">
        <v>1</v>
      </c>
      <c r="AJ561" s="86">
        <v>125488</v>
      </c>
      <c r="AK561" s="86">
        <v>399</v>
      </c>
      <c r="AL561" s="86" t="b">
        <v>0</v>
      </c>
      <c r="AM561" s="89">
        <v>40203.876342592594</v>
      </c>
      <c r="AN561" s="86" t="s">
        <v>26083</v>
      </c>
      <c r="AO561" s="86" t="s">
        <v>26935</v>
      </c>
      <c r="AP561" s="96" t="str">
        <f>HYPERLINK("https://t.co/dURKzDZBmX")</f>
        <v>https://t.co/dURKzDZBmX</v>
      </c>
      <c r="AQ561" s="96" t="str">
        <f>HYPERLINK("http://livronamochila.blogspot.com")</f>
        <v>http://livronamochila.blogspot.com</v>
      </c>
      <c r="AR561" s="86" t="s">
        <v>28288</v>
      </c>
      <c r="AS561" s="96" t="str">
        <f>HYPERLINK("https://t.co/meI8iOujsM")</f>
        <v>https://t.co/meI8iOujsM</v>
      </c>
      <c r="AT561" s="96" t="str">
        <f>HYPERLINK("http://vidasetechaves.wordpress.com/author/alinevianacruz/")</f>
        <v>http://vidasetechaves.wordpress.com/author/alinevianacruz/</v>
      </c>
      <c r="AU561" s="86" t="s">
        <v>29066</v>
      </c>
      <c r="AV561" s="86">
        <v>1.2759984575184799E+18</v>
      </c>
      <c r="AW561" s="96" t="str">
        <f>HYPERLINK("https://t.co/dURKzDZBmX")</f>
        <v>https://t.co/dURKzDZBmX</v>
      </c>
      <c r="AX561" s="86" t="b">
        <v>0</v>
      </c>
      <c r="AY561" s="86"/>
      <c r="AZ561" s="86"/>
      <c r="BA561" s="86" t="b">
        <v>0</v>
      </c>
      <c r="BB561" s="86" t="b">
        <v>1</v>
      </c>
      <c r="BC561" s="86" t="b">
        <v>1</v>
      </c>
      <c r="BD561" s="86" t="b">
        <v>0</v>
      </c>
      <c r="BE561" s="86" t="b">
        <v>1</v>
      </c>
      <c r="BF561" s="86" t="b">
        <v>0</v>
      </c>
      <c r="BG561" s="86" t="b">
        <v>0</v>
      </c>
      <c r="BH561" s="86"/>
      <c r="BI561" s="86"/>
      <c r="BJ561" s="86" t="s">
        <v>29134</v>
      </c>
      <c r="BK561" s="86" t="b">
        <v>0</v>
      </c>
      <c r="BL561" s="86"/>
      <c r="BM561" s="86" t="s">
        <v>66</v>
      </c>
      <c r="BN561" s="86" t="s">
        <v>29136</v>
      </c>
      <c r="BO561" s="96" t="str">
        <f>HYPERLINK("https://twitter.com/alinevcruz")</f>
        <v>https://twitter.com/alinevcruz</v>
      </c>
      <c r="BP561" s="2"/>
    </row>
    <row r="562" spans="1:68" x14ac:dyDescent="0.25">
      <c r="A562" s="63" t="s">
        <v>710</v>
      </c>
      <c r="B562" s="64"/>
      <c r="C562" s="64"/>
      <c r="D562" s="65"/>
      <c r="E562" s="67"/>
      <c r="F562" s="111" t="str">
        <f>HYPERLINK("https://pbs.twimg.com/profile_images/497031207872241665/EIYi4apN_normal.jpeg")</f>
        <v>https://pbs.twimg.com/profile_images/497031207872241665/EIYi4apN_normal.jpeg</v>
      </c>
      <c r="G562" s="64"/>
      <c r="H562" s="68"/>
      <c r="I562" s="69"/>
      <c r="J562" s="69"/>
      <c r="K562" s="68" t="s">
        <v>29695</v>
      </c>
      <c r="L562" s="72"/>
      <c r="M562" s="73"/>
      <c r="N562" s="73"/>
      <c r="O562" s="74"/>
      <c r="P562" s="75"/>
      <c r="Q562" s="75"/>
      <c r="R562" s="102"/>
      <c r="S562" s="102"/>
      <c r="T562" s="102"/>
      <c r="U562" s="102"/>
      <c r="V562" s="48"/>
      <c r="W562" s="48"/>
      <c r="X562" s="48"/>
      <c r="Y562" s="48"/>
      <c r="Z562" s="47"/>
      <c r="AA562" s="70">
        <v>562</v>
      </c>
      <c r="AB562" s="70"/>
      <c r="AC562" s="71"/>
      <c r="AD562" s="86" t="s">
        <v>710</v>
      </c>
      <c r="AE562" s="94" t="s">
        <v>25439</v>
      </c>
      <c r="AF562" s="86">
        <v>229866</v>
      </c>
      <c r="AG562" s="86">
        <v>404</v>
      </c>
      <c r="AH562" s="86">
        <v>162143</v>
      </c>
      <c r="AI562" s="86">
        <v>1588</v>
      </c>
      <c r="AJ562" s="86">
        <v>219</v>
      </c>
      <c r="AK562" s="86">
        <v>42985</v>
      </c>
      <c r="AL562" s="86" t="b">
        <v>0</v>
      </c>
      <c r="AM562" s="89">
        <v>39308.832476851851</v>
      </c>
      <c r="AN562" s="86" t="s">
        <v>15234</v>
      </c>
      <c r="AO562" s="86" t="s">
        <v>26936</v>
      </c>
      <c r="AP562" s="96" t="str">
        <f>HYPERLINK("https://t.co/TLF3ckUzLk")</f>
        <v>https://t.co/TLF3ckUzLk</v>
      </c>
      <c r="AQ562" s="96" t="str">
        <f>HYPERLINK("http://epocanegocios.globo.com/")</f>
        <v>http://epocanegocios.globo.com/</v>
      </c>
      <c r="AR562" s="86" t="s">
        <v>28289</v>
      </c>
      <c r="AS562" s="96" t="str">
        <f>HYPERLINK("https://t.co/UMeYVY4mwi")</f>
        <v>https://t.co/UMeYVY4mwi</v>
      </c>
      <c r="AT562" s="96" t="str">
        <f>HYPERLINK("http://bit.ly/3GQBYjx")</f>
        <v>http://bit.ly/3GQBYjx</v>
      </c>
      <c r="AU562" s="86" t="s">
        <v>29067</v>
      </c>
      <c r="AV562" s="86">
        <v>1.7015643855404201E+18</v>
      </c>
      <c r="AW562" s="96" t="str">
        <f>HYPERLINK("https://t.co/TLF3ckUzLk")</f>
        <v>https://t.co/TLF3ckUzLk</v>
      </c>
      <c r="AX562" s="86" t="b">
        <v>0</v>
      </c>
      <c r="AY562" s="86"/>
      <c r="AZ562" s="86"/>
      <c r="BA562" s="86" t="b">
        <v>0</v>
      </c>
      <c r="BB562" s="86" t="b">
        <v>1</v>
      </c>
      <c r="BC562" s="86" t="b">
        <v>0</v>
      </c>
      <c r="BD562" s="86" t="b">
        <v>0</v>
      </c>
      <c r="BE562" s="86" t="b">
        <v>1</v>
      </c>
      <c r="BF562" s="86" t="b">
        <v>0</v>
      </c>
      <c r="BG562" s="86" t="b">
        <v>0</v>
      </c>
      <c r="BH562" s="96" t="str">
        <f>HYPERLINK("https://pbs.twimg.com/profile_banners/8189252/1694519271")</f>
        <v>https://pbs.twimg.com/profile_banners/8189252/1694519271</v>
      </c>
      <c r="BI562" s="86"/>
      <c r="BJ562" s="86" t="s">
        <v>29134</v>
      </c>
      <c r="BK562" s="86" t="b">
        <v>0</v>
      </c>
      <c r="BL562" s="86"/>
      <c r="BM562" s="86" t="s">
        <v>66</v>
      </c>
      <c r="BN562" s="86" t="s">
        <v>29136</v>
      </c>
      <c r="BO562" s="96" t="str">
        <f>HYPERLINK("https://twitter.com/epocanegocios")</f>
        <v>https://twitter.com/epocanegocios</v>
      </c>
      <c r="BP562" s="2"/>
    </row>
    <row r="563" spans="1:68" x14ac:dyDescent="0.25">
      <c r="A563" s="63" t="s">
        <v>711</v>
      </c>
      <c r="B563" s="64"/>
      <c r="C563" s="64"/>
      <c r="D563" s="65"/>
      <c r="E563" s="67"/>
      <c r="F563" s="111" t="str">
        <f>HYPERLINK("https://pbs.twimg.com/profile_images/637597624678379520/r2ZEpF-n_normal.jpg")</f>
        <v>https://pbs.twimg.com/profile_images/637597624678379520/r2ZEpF-n_normal.jpg</v>
      </c>
      <c r="G563" s="64"/>
      <c r="H563" s="68"/>
      <c r="I563" s="69"/>
      <c r="J563" s="69"/>
      <c r="K563" s="68" t="s">
        <v>29696</v>
      </c>
      <c r="L563" s="72"/>
      <c r="M563" s="73"/>
      <c r="N563" s="73"/>
      <c r="O563" s="74"/>
      <c r="P563" s="75"/>
      <c r="Q563" s="75"/>
      <c r="R563" s="102"/>
      <c r="S563" s="102"/>
      <c r="T563" s="102"/>
      <c r="U563" s="102"/>
      <c r="V563" s="48"/>
      <c r="W563" s="48"/>
      <c r="X563" s="48"/>
      <c r="Y563" s="48"/>
      <c r="Z563" s="47"/>
      <c r="AA563" s="70">
        <v>563</v>
      </c>
      <c r="AB563" s="70"/>
      <c r="AC563" s="71"/>
      <c r="AD563" s="86" t="s">
        <v>24186</v>
      </c>
      <c r="AE563" s="94" t="s">
        <v>25440</v>
      </c>
      <c r="AF563" s="86">
        <v>525</v>
      </c>
      <c r="AG563" s="86">
        <v>1192</v>
      </c>
      <c r="AH563" s="86">
        <v>4906</v>
      </c>
      <c r="AI563" s="86">
        <v>0</v>
      </c>
      <c r="AJ563" s="86">
        <v>43578</v>
      </c>
      <c r="AK563" s="86">
        <v>250</v>
      </c>
      <c r="AL563" s="86" t="b">
        <v>0</v>
      </c>
      <c r="AM563" s="89">
        <v>41029.659814814811</v>
      </c>
      <c r="AN563" s="86" t="s">
        <v>26084</v>
      </c>
      <c r="AO563" s="86" t="s">
        <v>26937</v>
      </c>
      <c r="AP563" s="86"/>
      <c r="AQ563" s="86"/>
      <c r="AR563" s="86"/>
      <c r="AS563" s="86"/>
      <c r="AT563" s="86"/>
      <c r="AU563" s="86"/>
      <c r="AV563" s="86"/>
      <c r="AW563" s="86"/>
      <c r="AX563" s="86" t="b">
        <v>0</v>
      </c>
      <c r="AY563" s="86"/>
      <c r="AZ563" s="86"/>
      <c r="BA563" s="86" t="b">
        <v>0</v>
      </c>
      <c r="BB563" s="86" t="b">
        <v>1</v>
      </c>
      <c r="BC563" s="86" t="b">
        <v>1</v>
      </c>
      <c r="BD563" s="86" t="b">
        <v>0</v>
      </c>
      <c r="BE563" s="86" t="b">
        <v>1</v>
      </c>
      <c r="BF563" s="86" t="b">
        <v>0</v>
      </c>
      <c r="BG563" s="86" t="b">
        <v>0</v>
      </c>
      <c r="BH563" s="96" t="str">
        <f>HYPERLINK("https://pbs.twimg.com/profile_banners/567404670/1558971603")</f>
        <v>https://pbs.twimg.com/profile_banners/567404670/1558971603</v>
      </c>
      <c r="BI563" s="86"/>
      <c r="BJ563" s="86" t="s">
        <v>29134</v>
      </c>
      <c r="BK563" s="86" t="b">
        <v>0</v>
      </c>
      <c r="BL563" s="86"/>
      <c r="BM563" s="86" t="s">
        <v>66</v>
      </c>
      <c r="BN563" s="86" t="s">
        <v>29136</v>
      </c>
      <c r="BO563" s="96" t="str">
        <f>HYPERLINK("https://twitter.com/agromp")</f>
        <v>https://twitter.com/agromp</v>
      </c>
      <c r="BP563" s="2"/>
    </row>
    <row r="564" spans="1:68" x14ac:dyDescent="0.25">
      <c r="A564" s="63" t="s">
        <v>712</v>
      </c>
      <c r="B564" s="64"/>
      <c r="C564" s="64"/>
      <c r="D564" s="65"/>
      <c r="E564" s="67"/>
      <c r="F564" s="111" t="str">
        <f>HYPERLINK("https://pbs.twimg.com/profile_images/1669313537041154049/cz6Tsj-O_normal.png")</f>
        <v>https://pbs.twimg.com/profile_images/1669313537041154049/cz6Tsj-O_normal.png</v>
      </c>
      <c r="G564" s="64"/>
      <c r="H564" s="68"/>
      <c r="I564" s="69"/>
      <c r="J564" s="69"/>
      <c r="K564" s="68" t="s">
        <v>29697</v>
      </c>
      <c r="L564" s="72"/>
      <c r="M564" s="73"/>
      <c r="N564" s="73"/>
      <c r="O564" s="74"/>
      <c r="P564" s="75"/>
      <c r="Q564" s="75"/>
      <c r="R564" s="102"/>
      <c r="S564" s="102"/>
      <c r="T564" s="102"/>
      <c r="U564" s="102"/>
      <c r="V564" s="48"/>
      <c r="W564" s="48"/>
      <c r="X564" s="48"/>
      <c r="Y564" s="48"/>
      <c r="Z564" s="47"/>
      <c r="AA564" s="70">
        <v>564</v>
      </c>
      <c r="AB564" s="70"/>
      <c r="AC564" s="71"/>
      <c r="AD564" s="86" t="s">
        <v>24187</v>
      </c>
      <c r="AE564" s="94" t="s">
        <v>23073</v>
      </c>
      <c r="AF564" s="86">
        <v>2282</v>
      </c>
      <c r="AG564" s="86">
        <v>977</v>
      </c>
      <c r="AH564" s="86">
        <v>7880</v>
      </c>
      <c r="AI564" s="86">
        <v>27</v>
      </c>
      <c r="AJ564" s="86">
        <v>3078</v>
      </c>
      <c r="AK564" s="86">
        <v>5725</v>
      </c>
      <c r="AL564" s="86" t="b">
        <v>0</v>
      </c>
      <c r="AM564" s="89">
        <v>42684.525277777779</v>
      </c>
      <c r="AN564" s="86" t="s">
        <v>25951</v>
      </c>
      <c r="AO564" s="86" t="s">
        <v>26938</v>
      </c>
      <c r="AP564" s="96" t="str">
        <f>HYPERLINK("https://t.co/fRDDkIg5xp")</f>
        <v>https://t.co/fRDDkIg5xp</v>
      </c>
      <c r="AQ564" s="96" t="str">
        <f>HYPERLINK("https://www.compete2030.gov.pt/")</f>
        <v>https://www.compete2030.gov.pt/</v>
      </c>
      <c r="AR564" s="86" t="s">
        <v>28290</v>
      </c>
      <c r="AS564" s="86"/>
      <c r="AT564" s="86"/>
      <c r="AU564" s="86"/>
      <c r="AV564" s="86"/>
      <c r="AW564" s="96" t="str">
        <f>HYPERLINK("https://t.co/fRDDkIg5xp")</f>
        <v>https://t.co/fRDDkIg5xp</v>
      </c>
      <c r="AX564" s="86" t="b">
        <v>0</v>
      </c>
      <c r="AY564" s="86"/>
      <c r="AZ564" s="86"/>
      <c r="BA564" s="86" t="b">
        <v>0</v>
      </c>
      <c r="BB564" s="86" t="b">
        <v>1</v>
      </c>
      <c r="BC564" s="86" t="b">
        <v>1</v>
      </c>
      <c r="BD564" s="86" t="b">
        <v>0</v>
      </c>
      <c r="BE564" s="86" t="b">
        <v>1</v>
      </c>
      <c r="BF564" s="86" t="b">
        <v>0</v>
      </c>
      <c r="BG564" s="86" t="b">
        <v>0</v>
      </c>
      <c r="BH564" s="96" t="str">
        <f>HYPERLINK("https://pbs.twimg.com/profile_banners/796692984028942336/1686838195")</f>
        <v>https://pbs.twimg.com/profile_banners/796692984028942336/1686838195</v>
      </c>
      <c r="BI564" s="86"/>
      <c r="BJ564" s="86" t="s">
        <v>29134</v>
      </c>
      <c r="BK564" s="86" t="b">
        <v>0</v>
      </c>
      <c r="BL564" s="86"/>
      <c r="BM564" s="86" t="s">
        <v>66</v>
      </c>
      <c r="BN564" s="86" t="s">
        <v>29136</v>
      </c>
      <c r="BO564" s="96" t="str">
        <f>HYPERLINK("https://twitter.com/feeicompete2030")</f>
        <v>https://twitter.com/feeicompete2030</v>
      </c>
      <c r="BP564" s="2"/>
    </row>
    <row r="565" spans="1:68" x14ac:dyDescent="0.25">
      <c r="A565" s="63" t="s">
        <v>713</v>
      </c>
      <c r="B565" s="64"/>
      <c r="C565" s="64"/>
      <c r="D565" s="65"/>
      <c r="E565" s="67"/>
      <c r="F565" s="111" t="str">
        <f>HYPERLINK("https://pbs.twimg.com/profile_images/1612589208815763463/bm6BmdDT_normal.jpg")</f>
        <v>https://pbs.twimg.com/profile_images/1612589208815763463/bm6BmdDT_normal.jpg</v>
      </c>
      <c r="G565" s="64"/>
      <c r="H565" s="68"/>
      <c r="I565" s="69"/>
      <c r="J565" s="69"/>
      <c r="K565" s="68" t="s">
        <v>29698</v>
      </c>
      <c r="L565" s="72"/>
      <c r="M565" s="73"/>
      <c r="N565" s="73"/>
      <c r="O565" s="74"/>
      <c r="P565" s="75"/>
      <c r="Q565" s="75"/>
      <c r="R565" s="102"/>
      <c r="S565" s="102"/>
      <c r="T565" s="102"/>
      <c r="U565" s="102"/>
      <c r="V565" s="48"/>
      <c r="W565" s="48"/>
      <c r="X565" s="48"/>
      <c r="Y565" s="48"/>
      <c r="Z565" s="47"/>
      <c r="AA565" s="70">
        <v>565</v>
      </c>
      <c r="AB565" s="70"/>
      <c r="AC565" s="71"/>
      <c r="AD565" s="86" t="s">
        <v>24188</v>
      </c>
      <c r="AE565" s="94" t="s">
        <v>22566</v>
      </c>
      <c r="AF565" s="86">
        <v>1730</v>
      </c>
      <c r="AG565" s="86">
        <v>439</v>
      </c>
      <c r="AH565" s="86">
        <v>15029</v>
      </c>
      <c r="AI565" s="86">
        <v>20</v>
      </c>
      <c r="AJ565" s="86">
        <v>819</v>
      </c>
      <c r="AK565" s="86">
        <v>7071</v>
      </c>
      <c r="AL565" s="86" t="b">
        <v>0</v>
      </c>
      <c r="AM565" s="89">
        <v>41692.998553240737</v>
      </c>
      <c r="AN565" s="86" t="s">
        <v>26085</v>
      </c>
      <c r="AO565" s="86" t="s">
        <v>26939</v>
      </c>
      <c r="AP565" s="96" t="str">
        <f>HYPERLINK("https://t.co/ppUJWSpzLa")</f>
        <v>https://t.co/ppUJWSpzLa</v>
      </c>
      <c r="AQ565" s="96" t="str">
        <f>HYPERLINK("http://www.sebraema.com.br")</f>
        <v>http://www.sebraema.com.br</v>
      </c>
      <c r="AR565" s="86" t="s">
        <v>28291</v>
      </c>
      <c r="AS565" s="86"/>
      <c r="AT565" s="86"/>
      <c r="AU565" s="86"/>
      <c r="AV565" s="86"/>
      <c r="AW565" s="96" t="str">
        <f>HYPERLINK("https://t.co/ppUJWSpzLa")</f>
        <v>https://t.co/ppUJWSpzLa</v>
      </c>
      <c r="AX565" s="86" t="b">
        <v>0</v>
      </c>
      <c r="AY565" s="86"/>
      <c r="AZ565" s="86"/>
      <c r="BA565" s="86" t="b">
        <v>1</v>
      </c>
      <c r="BB565" s="86" t="b">
        <v>1</v>
      </c>
      <c r="BC565" s="86" t="b">
        <v>0</v>
      </c>
      <c r="BD565" s="86" t="b">
        <v>0</v>
      </c>
      <c r="BE565" s="86" t="b">
        <v>1</v>
      </c>
      <c r="BF565" s="86" t="b">
        <v>0</v>
      </c>
      <c r="BG565" s="86" t="b">
        <v>0</v>
      </c>
      <c r="BH565" s="96" t="str">
        <f>HYPERLINK("https://pbs.twimg.com/profile_banners/2357125110/1694452639")</f>
        <v>https://pbs.twimg.com/profile_banners/2357125110/1694452639</v>
      </c>
      <c r="BI565" s="86"/>
      <c r="BJ565" s="86" t="s">
        <v>29134</v>
      </c>
      <c r="BK565" s="86" t="b">
        <v>0</v>
      </c>
      <c r="BL565" s="86"/>
      <c r="BM565" s="86" t="s">
        <v>66</v>
      </c>
      <c r="BN565" s="86" t="s">
        <v>29136</v>
      </c>
      <c r="BO565" s="96" t="str">
        <f>HYPERLINK("https://twitter.com/sebrae_ma")</f>
        <v>https://twitter.com/sebrae_ma</v>
      </c>
      <c r="BP565" s="2"/>
    </row>
    <row r="566" spans="1:68" x14ac:dyDescent="0.25">
      <c r="A566" s="63" t="s">
        <v>714</v>
      </c>
      <c r="B566" s="64"/>
      <c r="C566" s="64"/>
      <c r="D566" s="65"/>
      <c r="E566" s="67"/>
      <c r="F566" s="111" t="str">
        <f>HYPERLINK("https://pbs.twimg.com/profile_images/1703085588151250944/z5ZOHvK2_normal.jpg")</f>
        <v>https://pbs.twimg.com/profile_images/1703085588151250944/z5ZOHvK2_normal.jpg</v>
      </c>
      <c r="G566" s="64"/>
      <c r="H566" s="68"/>
      <c r="I566" s="69"/>
      <c r="J566" s="69"/>
      <c r="K566" s="68" t="s">
        <v>29699</v>
      </c>
      <c r="L566" s="72"/>
      <c r="M566" s="73"/>
      <c r="N566" s="73"/>
      <c r="O566" s="74"/>
      <c r="P566" s="75"/>
      <c r="Q566" s="75"/>
      <c r="R566" s="102"/>
      <c r="S566" s="102"/>
      <c r="T566" s="102"/>
      <c r="U566" s="102"/>
      <c r="V566" s="48"/>
      <c r="W566" s="48"/>
      <c r="X566" s="48"/>
      <c r="Y566" s="48"/>
      <c r="Z566" s="47"/>
      <c r="AA566" s="70">
        <v>566</v>
      </c>
      <c r="AB566" s="70"/>
      <c r="AC566" s="71"/>
      <c r="AD566" s="86" t="s">
        <v>24189</v>
      </c>
      <c r="AE566" s="94" t="s">
        <v>23074</v>
      </c>
      <c r="AF566" s="86">
        <v>0</v>
      </c>
      <c r="AG566" s="86">
        <v>1</v>
      </c>
      <c r="AH566" s="86">
        <v>6</v>
      </c>
      <c r="AI566" s="86">
        <v>0</v>
      </c>
      <c r="AJ566" s="86">
        <v>0</v>
      </c>
      <c r="AK566" s="86">
        <v>6</v>
      </c>
      <c r="AL566" s="86" t="b">
        <v>0</v>
      </c>
      <c r="AM566" s="89">
        <v>45178.774571759262</v>
      </c>
      <c r="AN566" s="86"/>
      <c r="AO566" s="86" t="s">
        <v>26940</v>
      </c>
      <c r="AP566" s="86"/>
      <c r="AQ566" s="86"/>
      <c r="AR566" s="86"/>
      <c r="AS566" s="86"/>
      <c r="AT566" s="86"/>
      <c r="AU566" s="86"/>
      <c r="AV566" s="86"/>
      <c r="AW566" s="86"/>
      <c r="AX566" s="86" t="b">
        <v>0</v>
      </c>
      <c r="AY566" s="86"/>
      <c r="AZ566" s="86"/>
      <c r="BA566" s="86" t="b">
        <v>0</v>
      </c>
      <c r="BB566" s="86" t="b">
        <v>1</v>
      </c>
      <c r="BC566" s="86" t="b">
        <v>1</v>
      </c>
      <c r="BD566" s="86" t="b">
        <v>0</v>
      </c>
      <c r="BE566" s="86" t="b">
        <v>0</v>
      </c>
      <c r="BF566" s="86" t="b">
        <v>0</v>
      </c>
      <c r="BG566" s="86" t="b">
        <v>0</v>
      </c>
      <c r="BH566" s="86"/>
      <c r="BI566" s="86"/>
      <c r="BJ566" s="86" t="s">
        <v>29134</v>
      </c>
      <c r="BK566" s="86" t="b">
        <v>0</v>
      </c>
      <c r="BL566" s="86"/>
      <c r="BM566" s="86" t="s">
        <v>66</v>
      </c>
      <c r="BN566" s="86" t="s">
        <v>29136</v>
      </c>
      <c r="BO566" s="96" t="str">
        <f>HYPERLINK("https://twitter.com/ci_da_gow")</f>
        <v>https://twitter.com/ci_da_gow</v>
      </c>
      <c r="BP566" s="2"/>
    </row>
    <row r="567" spans="1:68" x14ac:dyDescent="0.25">
      <c r="A567" s="63" t="s">
        <v>715</v>
      </c>
      <c r="B567" s="64"/>
      <c r="C567" s="64"/>
      <c r="D567" s="65"/>
      <c r="E567" s="67"/>
      <c r="F567" s="111" t="str">
        <f>HYPERLINK("https://pbs.twimg.com/profile_images/1512770885966606346/6qb4U_On_normal.jpg")</f>
        <v>https://pbs.twimg.com/profile_images/1512770885966606346/6qb4U_On_normal.jpg</v>
      </c>
      <c r="G567" s="64"/>
      <c r="H567" s="68"/>
      <c r="I567" s="69"/>
      <c r="J567" s="69"/>
      <c r="K567" s="68" t="s">
        <v>29700</v>
      </c>
      <c r="L567" s="72"/>
      <c r="M567" s="73"/>
      <c r="N567" s="73"/>
      <c r="O567" s="74"/>
      <c r="P567" s="75"/>
      <c r="Q567" s="75"/>
      <c r="R567" s="102"/>
      <c r="S567" s="102"/>
      <c r="T567" s="102"/>
      <c r="U567" s="102"/>
      <c r="V567" s="48"/>
      <c r="W567" s="48"/>
      <c r="X567" s="48"/>
      <c r="Y567" s="48"/>
      <c r="Z567" s="47"/>
      <c r="AA567" s="70">
        <v>567</v>
      </c>
      <c r="AB567" s="70"/>
      <c r="AC567" s="71"/>
      <c r="AD567" s="86" t="s">
        <v>24190</v>
      </c>
      <c r="AE567" s="94" t="s">
        <v>23075</v>
      </c>
      <c r="AF567" s="86">
        <v>4</v>
      </c>
      <c r="AG567" s="86">
        <v>135</v>
      </c>
      <c r="AH567" s="86">
        <v>154</v>
      </c>
      <c r="AI567" s="86">
        <v>1</v>
      </c>
      <c r="AJ567" s="86">
        <v>56</v>
      </c>
      <c r="AK567" s="86">
        <v>10</v>
      </c>
      <c r="AL567" s="86" t="b">
        <v>0</v>
      </c>
      <c r="AM567" s="89">
        <v>44660.523668981485</v>
      </c>
      <c r="AN567" s="86"/>
      <c r="AO567" s="86" t="s">
        <v>26941</v>
      </c>
      <c r="AP567" s="86"/>
      <c r="AQ567" s="86"/>
      <c r="AR567" s="86"/>
      <c r="AS567" s="96" t="str">
        <f>HYPERLINK("https://t.co/cuSjzsAJW0")</f>
        <v>https://t.co/cuSjzsAJW0</v>
      </c>
      <c r="AT567" s="96" t="str">
        <f>HYPERLINK("https://www.youtube.com/channel/UC0byFjWd3NQ5HG4nF0Q2uEA")</f>
        <v>https://www.youtube.com/channel/UC0byFjWd3NQ5HG4nF0Q2uEA</v>
      </c>
      <c r="AU567" s="86" t="s">
        <v>29068</v>
      </c>
      <c r="AV567" s="86"/>
      <c r="AW567" s="86"/>
      <c r="AX567" s="86" t="b">
        <v>0</v>
      </c>
      <c r="AY567" s="86"/>
      <c r="AZ567" s="86"/>
      <c r="BA567" s="86" t="b">
        <v>0</v>
      </c>
      <c r="BB567" s="86" t="b">
        <v>1</v>
      </c>
      <c r="BC567" s="86" t="b">
        <v>1</v>
      </c>
      <c r="BD567" s="86" t="b">
        <v>0</v>
      </c>
      <c r="BE567" s="86" t="b">
        <v>0</v>
      </c>
      <c r="BF567" s="86" t="b">
        <v>0</v>
      </c>
      <c r="BG567" s="86" t="b">
        <v>0</v>
      </c>
      <c r="BH567" s="96" t="str">
        <f>HYPERLINK("https://pbs.twimg.com/profile_banners/1512770782878998534/1649508483")</f>
        <v>https://pbs.twimg.com/profile_banners/1512770782878998534/1649508483</v>
      </c>
      <c r="BI567" s="86"/>
      <c r="BJ567" s="86" t="s">
        <v>29134</v>
      </c>
      <c r="BK567" s="86" t="b">
        <v>0</v>
      </c>
      <c r="BL567" s="86"/>
      <c r="BM567" s="86" t="s">
        <v>66</v>
      </c>
      <c r="BN567" s="86" t="s">
        <v>29136</v>
      </c>
      <c r="BO567" s="96" t="str">
        <f>HYPERLINK("https://twitter.com/cristianrbtc")</f>
        <v>https://twitter.com/cristianrbtc</v>
      </c>
      <c r="BP567" s="2"/>
    </row>
    <row r="568" spans="1:68" x14ac:dyDescent="0.25">
      <c r="A568" s="63" t="s">
        <v>716</v>
      </c>
      <c r="B568" s="64"/>
      <c r="C568" s="64"/>
      <c r="D568" s="65"/>
      <c r="E568" s="67"/>
      <c r="F568" s="111" t="str">
        <f>HYPERLINK("https://pbs.twimg.com/profile_images/1696701896981889025/ZK6T2nmL_normal.jpg")</f>
        <v>https://pbs.twimg.com/profile_images/1696701896981889025/ZK6T2nmL_normal.jpg</v>
      </c>
      <c r="G568" s="64"/>
      <c r="H568" s="68"/>
      <c r="I568" s="69"/>
      <c r="J568" s="69"/>
      <c r="K568" s="68" t="s">
        <v>29701</v>
      </c>
      <c r="L568" s="72"/>
      <c r="M568" s="73"/>
      <c r="N568" s="73"/>
      <c r="O568" s="74"/>
      <c r="P568" s="75"/>
      <c r="Q568" s="75"/>
      <c r="R568" s="102"/>
      <c r="S568" s="102"/>
      <c r="T568" s="102"/>
      <c r="U568" s="102"/>
      <c r="V568" s="48"/>
      <c r="W568" s="48"/>
      <c r="X568" s="48"/>
      <c r="Y568" s="48"/>
      <c r="Z568" s="47"/>
      <c r="AA568" s="70">
        <v>568</v>
      </c>
      <c r="AB568" s="70"/>
      <c r="AC568" s="71"/>
      <c r="AD568" s="86" t="s">
        <v>716</v>
      </c>
      <c r="AE568" s="94" t="s">
        <v>23076</v>
      </c>
      <c r="AF568" s="86">
        <v>25</v>
      </c>
      <c r="AG568" s="86">
        <v>72</v>
      </c>
      <c r="AH568" s="86">
        <v>30</v>
      </c>
      <c r="AI568" s="86">
        <v>0</v>
      </c>
      <c r="AJ568" s="86">
        <v>96</v>
      </c>
      <c r="AK568" s="86">
        <v>21</v>
      </c>
      <c r="AL568" s="86" t="b">
        <v>0</v>
      </c>
      <c r="AM568" s="89">
        <v>45122.090324074074</v>
      </c>
      <c r="AN568" s="86"/>
      <c r="AO568" s="86" t="s">
        <v>26942</v>
      </c>
      <c r="AP568" s="86"/>
      <c r="AQ568" s="86"/>
      <c r="AR568" s="86"/>
      <c r="AS568" s="86"/>
      <c r="AT568" s="86"/>
      <c r="AU568" s="86"/>
      <c r="AV568" s="86">
        <v>1.6919310882501499E+18</v>
      </c>
      <c r="AW568" s="86"/>
      <c r="AX568" s="86" t="b">
        <v>0</v>
      </c>
      <c r="AY568" s="86"/>
      <c r="AZ568" s="86"/>
      <c r="BA568" s="86" t="b">
        <v>0</v>
      </c>
      <c r="BB568" s="86" t="b">
        <v>1</v>
      </c>
      <c r="BC568" s="86" t="b">
        <v>1</v>
      </c>
      <c r="BD568" s="86" t="b">
        <v>0</v>
      </c>
      <c r="BE568" s="86" t="b">
        <v>0</v>
      </c>
      <c r="BF568" s="86" t="b">
        <v>0</v>
      </c>
      <c r="BG568" s="86" t="b">
        <v>0</v>
      </c>
      <c r="BH568" s="96" t="str">
        <f>HYPERLINK("https://pbs.twimg.com/profile_banners/1680036916580831232/1690586540")</f>
        <v>https://pbs.twimg.com/profile_banners/1680036916580831232/1690586540</v>
      </c>
      <c r="BI568" s="86"/>
      <c r="BJ568" s="86" t="s">
        <v>29134</v>
      </c>
      <c r="BK568" s="86" t="b">
        <v>0</v>
      </c>
      <c r="BL568" s="86"/>
      <c r="BM568" s="86" t="s">
        <v>66</v>
      </c>
      <c r="BN568" s="86" t="s">
        <v>29136</v>
      </c>
      <c r="BO568" s="96" t="str">
        <f>HYPERLINK("https://twitter.com/visionarybossk")</f>
        <v>https://twitter.com/visionarybossk</v>
      </c>
      <c r="BP568" s="2"/>
    </row>
    <row r="569" spans="1:68" x14ac:dyDescent="0.25">
      <c r="A569" s="63" t="s">
        <v>717</v>
      </c>
      <c r="B569" s="64"/>
      <c r="C569" s="64"/>
      <c r="D569" s="65"/>
      <c r="E569" s="67"/>
      <c r="F569" s="111" t="str">
        <f>HYPERLINK("https://pbs.twimg.com/profile_images/1466862663540035594/BJ1dawcq_normal.png")</f>
        <v>https://pbs.twimg.com/profile_images/1466862663540035594/BJ1dawcq_normal.png</v>
      </c>
      <c r="G569" s="64"/>
      <c r="H569" s="68"/>
      <c r="I569" s="69"/>
      <c r="J569" s="69"/>
      <c r="K569" s="68" t="s">
        <v>29702</v>
      </c>
      <c r="L569" s="72"/>
      <c r="M569" s="73"/>
      <c r="N569" s="73"/>
      <c r="O569" s="74"/>
      <c r="P569" s="75"/>
      <c r="Q569" s="75"/>
      <c r="R569" s="102"/>
      <c r="S569" s="102"/>
      <c r="T569" s="102"/>
      <c r="U569" s="102"/>
      <c r="V569" s="48"/>
      <c r="W569" s="48"/>
      <c r="X569" s="48"/>
      <c r="Y569" s="48"/>
      <c r="Z569" s="47"/>
      <c r="AA569" s="70">
        <v>569</v>
      </c>
      <c r="AB569" s="70"/>
      <c r="AC569" s="71"/>
      <c r="AD569" s="86" t="s">
        <v>24191</v>
      </c>
      <c r="AE569" s="94" t="s">
        <v>23077</v>
      </c>
      <c r="AF569" s="86">
        <v>12</v>
      </c>
      <c r="AG569" s="86">
        <v>86</v>
      </c>
      <c r="AH569" s="86">
        <v>1240</v>
      </c>
      <c r="AI569" s="86">
        <v>0</v>
      </c>
      <c r="AJ569" s="86">
        <v>3208</v>
      </c>
      <c r="AK569" s="86">
        <v>0</v>
      </c>
      <c r="AL569" s="86" t="b">
        <v>0</v>
      </c>
      <c r="AM569" s="89">
        <v>44533.841273148151</v>
      </c>
      <c r="AN569" s="86"/>
      <c r="AO569" s="86"/>
      <c r="AP569" s="86"/>
      <c r="AQ569" s="86"/>
      <c r="AR569" s="86"/>
      <c r="AS569" s="86"/>
      <c r="AT569" s="86"/>
      <c r="AU569" s="86"/>
      <c r="AV569" s="86"/>
      <c r="AW569" s="86"/>
      <c r="AX569" s="86" t="b">
        <v>0</v>
      </c>
      <c r="AY569" s="86"/>
      <c r="AZ569" s="86"/>
      <c r="BA569" s="86" t="b">
        <v>0</v>
      </c>
      <c r="BB569" s="86" t="b">
        <v>1</v>
      </c>
      <c r="BC569" s="86" t="b">
        <v>1</v>
      </c>
      <c r="BD569" s="86" t="b">
        <v>0</v>
      </c>
      <c r="BE569" s="86" t="b">
        <v>0</v>
      </c>
      <c r="BF569" s="86" t="b">
        <v>0</v>
      </c>
      <c r="BG569" s="86" t="b">
        <v>0</v>
      </c>
      <c r="BH569" s="86"/>
      <c r="BI569" s="86"/>
      <c r="BJ569" s="86" t="s">
        <v>29134</v>
      </c>
      <c r="BK569" s="86" t="b">
        <v>0</v>
      </c>
      <c r="BL569" s="86"/>
      <c r="BM569" s="86" t="s">
        <v>66</v>
      </c>
      <c r="BN569" s="86" t="s">
        <v>29136</v>
      </c>
      <c r="BO569" s="96" t="str">
        <f>HYPERLINK("https://twitter.com/luis_orefice")</f>
        <v>https://twitter.com/luis_orefice</v>
      </c>
      <c r="BP569" s="2"/>
    </row>
    <row r="570" spans="1:68" x14ac:dyDescent="0.25">
      <c r="A570" s="63" t="s">
        <v>718</v>
      </c>
      <c r="B570" s="64"/>
      <c r="C570" s="64"/>
      <c r="D570" s="65"/>
      <c r="E570" s="67"/>
      <c r="F570" s="111" t="str">
        <f>HYPERLINK("https://pbs.twimg.com/profile_images/1395102441784451077/jQO817q5_normal.jpg")</f>
        <v>https://pbs.twimg.com/profile_images/1395102441784451077/jQO817q5_normal.jpg</v>
      </c>
      <c r="G570" s="64"/>
      <c r="H570" s="68"/>
      <c r="I570" s="69"/>
      <c r="J570" s="69"/>
      <c r="K570" s="68" t="s">
        <v>29703</v>
      </c>
      <c r="L570" s="72"/>
      <c r="M570" s="73"/>
      <c r="N570" s="73"/>
      <c r="O570" s="74"/>
      <c r="P570" s="75"/>
      <c r="Q570" s="75"/>
      <c r="R570" s="102"/>
      <c r="S570" s="102"/>
      <c r="T570" s="102"/>
      <c r="U570" s="102"/>
      <c r="V570" s="48"/>
      <c r="W570" s="48"/>
      <c r="X570" s="48"/>
      <c r="Y570" s="48"/>
      <c r="Z570" s="47"/>
      <c r="AA570" s="70">
        <v>570</v>
      </c>
      <c r="AB570" s="70"/>
      <c r="AC570" s="71"/>
      <c r="AD570" s="86" t="s">
        <v>24192</v>
      </c>
      <c r="AE570" s="94" t="s">
        <v>22567</v>
      </c>
      <c r="AF570" s="86">
        <v>28</v>
      </c>
      <c r="AG570" s="86">
        <v>5</v>
      </c>
      <c r="AH570" s="86">
        <v>40</v>
      </c>
      <c r="AI570" s="86">
        <v>2</v>
      </c>
      <c r="AJ570" s="86">
        <v>29</v>
      </c>
      <c r="AK570" s="86">
        <v>27</v>
      </c>
      <c r="AL570" s="86" t="b">
        <v>0</v>
      </c>
      <c r="AM570" s="89">
        <v>44335.820081018515</v>
      </c>
      <c r="AN570" s="86" t="s">
        <v>26086</v>
      </c>
      <c r="AO570" s="86" t="s">
        <v>26943</v>
      </c>
      <c r="AP570" s="96" t="str">
        <f>HYPERLINK("https://t.co/NuVfMCFHlW")</f>
        <v>https://t.co/NuVfMCFHlW</v>
      </c>
      <c r="AQ570" s="96" t="str">
        <f>HYPERLINK("https://facompcast.ufpa.br")</f>
        <v>https://facompcast.ufpa.br</v>
      </c>
      <c r="AR570" s="86" t="s">
        <v>28292</v>
      </c>
      <c r="AS570" s="86"/>
      <c r="AT570" s="86"/>
      <c r="AU570" s="86"/>
      <c r="AV570" s="86">
        <v>1.5733055422019699E+18</v>
      </c>
      <c r="AW570" s="96" t="str">
        <f>HYPERLINK("https://t.co/NuVfMCFHlW")</f>
        <v>https://t.co/NuVfMCFHlW</v>
      </c>
      <c r="AX570" s="86" t="b">
        <v>0</v>
      </c>
      <c r="AY570" s="86"/>
      <c r="AZ570" s="86"/>
      <c r="BA570" s="86" t="b">
        <v>0</v>
      </c>
      <c r="BB570" s="86" t="b">
        <v>1</v>
      </c>
      <c r="BC570" s="86" t="b">
        <v>1</v>
      </c>
      <c r="BD570" s="86" t="b">
        <v>0</v>
      </c>
      <c r="BE570" s="86" t="b">
        <v>0</v>
      </c>
      <c r="BF570" s="86" t="b">
        <v>0</v>
      </c>
      <c r="BG570" s="86" t="b">
        <v>0</v>
      </c>
      <c r="BH570" s="86"/>
      <c r="BI570" s="86"/>
      <c r="BJ570" s="86" t="s">
        <v>29134</v>
      </c>
      <c r="BK570" s="86" t="b">
        <v>0</v>
      </c>
      <c r="BL570" s="86"/>
      <c r="BM570" s="86" t="s">
        <v>66</v>
      </c>
      <c r="BN570" s="86" t="s">
        <v>29136</v>
      </c>
      <c r="BO570" s="96" t="str">
        <f>HYPERLINK("https://twitter.com/facompcast")</f>
        <v>https://twitter.com/facompcast</v>
      </c>
      <c r="BP570" s="2"/>
    </row>
    <row r="571" spans="1:68" x14ac:dyDescent="0.25">
      <c r="A571" s="63" t="s">
        <v>719</v>
      </c>
      <c r="B571" s="64"/>
      <c r="C571" s="64"/>
      <c r="D571" s="65"/>
      <c r="E571" s="67"/>
      <c r="F571" s="111" t="str">
        <f>HYPERLINK("https://pbs.twimg.com/profile_images/1693106086323064832/dUmngsfo_normal.jpg")</f>
        <v>https://pbs.twimg.com/profile_images/1693106086323064832/dUmngsfo_normal.jpg</v>
      </c>
      <c r="G571" s="64"/>
      <c r="H571" s="68"/>
      <c r="I571" s="69"/>
      <c r="J571" s="69"/>
      <c r="K571" s="68" t="s">
        <v>29704</v>
      </c>
      <c r="L571" s="72"/>
      <c r="M571" s="73"/>
      <c r="N571" s="73"/>
      <c r="O571" s="74"/>
      <c r="P571" s="75"/>
      <c r="Q571" s="75"/>
      <c r="R571" s="102"/>
      <c r="S571" s="102"/>
      <c r="T571" s="102"/>
      <c r="U571" s="102"/>
      <c r="V571" s="48"/>
      <c r="W571" s="48"/>
      <c r="X571" s="48"/>
      <c r="Y571" s="48"/>
      <c r="Z571" s="47"/>
      <c r="AA571" s="70">
        <v>571</v>
      </c>
      <c r="AB571" s="70"/>
      <c r="AC571" s="71"/>
      <c r="AD571" s="86" t="s">
        <v>24193</v>
      </c>
      <c r="AE571" s="94" t="s">
        <v>22568</v>
      </c>
      <c r="AF571" s="86">
        <v>101</v>
      </c>
      <c r="AG571" s="86">
        <v>679</v>
      </c>
      <c r="AH571" s="86">
        <v>35188</v>
      </c>
      <c r="AI571" s="86">
        <v>2</v>
      </c>
      <c r="AJ571" s="86">
        <v>8914</v>
      </c>
      <c r="AK571" s="86">
        <v>1488</v>
      </c>
      <c r="AL571" s="86" t="b">
        <v>0</v>
      </c>
      <c r="AM571" s="89">
        <v>40442.15996527778</v>
      </c>
      <c r="AN571" s="86" t="s">
        <v>15234</v>
      </c>
      <c r="AO571" s="86" t="s">
        <v>26944</v>
      </c>
      <c r="AP571" s="96" t="str">
        <f>HYPERLINK("https://t.co/H77aNJfHLJ")</f>
        <v>https://t.co/H77aNJfHLJ</v>
      </c>
      <c r="AQ571" s="96" t="str">
        <f>HYPERLINK("https://andersonlopesoficial.com.br/")</f>
        <v>https://andersonlopesoficial.com.br/</v>
      </c>
      <c r="AR571" s="86" t="s">
        <v>28293</v>
      </c>
      <c r="AS571" s="86"/>
      <c r="AT571" s="86"/>
      <c r="AU571" s="86"/>
      <c r="AV571" s="86"/>
      <c r="AW571" s="96" t="str">
        <f>HYPERLINK("https://t.co/H77aNJfHLJ")</f>
        <v>https://t.co/H77aNJfHLJ</v>
      </c>
      <c r="AX571" s="86" t="b">
        <v>0</v>
      </c>
      <c r="AY571" s="86"/>
      <c r="AZ571" s="86"/>
      <c r="BA571" s="86" t="b">
        <v>0</v>
      </c>
      <c r="BB571" s="86" t="b">
        <v>0</v>
      </c>
      <c r="BC571" s="86" t="b">
        <v>0</v>
      </c>
      <c r="BD571" s="86" t="b">
        <v>0</v>
      </c>
      <c r="BE571" s="86" t="b">
        <v>1</v>
      </c>
      <c r="BF571" s="86" t="b">
        <v>0</v>
      </c>
      <c r="BG571" s="86" t="b">
        <v>0</v>
      </c>
      <c r="BH571" s="96" t="str">
        <f>HYPERLINK("https://pbs.twimg.com/profile_banners/193166286/1690474559")</f>
        <v>https://pbs.twimg.com/profile_banners/193166286/1690474559</v>
      </c>
      <c r="BI571" s="86"/>
      <c r="BJ571" s="86" t="s">
        <v>29134</v>
      </c>
      <c r="BK571" s="86" t="b">
        <v>0</v>
      </c>
      <c r="BL571" s="86"/>
      <c r="BM571" s="86" t="s">
        <v>66</v>
      </c>
      <c r="BN571" s="86" t="s">
        <v>29136</v>
      </c>
      <c r="BO571" s="96" t="str">
        <f>HYPERLINK("https://twitter.com/lopesvmoficial")</f>
        <v>https://twitter.com/lopesvmoficial</v>
      </c>
      <c r="BP571" s="2"/>
    </row>
    <row r="572" spans="1:68" x14ac:dyDescent="0.25">
      <c r="A572" s="63" t="s">
        <v>720</v>
      </c>
      <c r="B572" s="64"/>
      <c r="C572" s="64"/>
      <c r="D572" s="65"/>
      <c r="E572" s="67"/>
      <c r="F572" s="111" t="str">
        <f>HYPERLINK("https://pbs.twimg.com/profile_images/1674783476695052291/RwIH7kIA_normal.jpg")</f>
        <v>https://pbs.twimg.com/profile_images/1674783476695052291/RwIH7kIA_normal.jpg</v>
      </c>
      <c r="G572" s="64"/>
      <c r="H572" s="68"/>
      <c r="I572" s="69"/>
      <c r="J572" s="69"/>
      <c r="K572" s="68" t="s">
        <v>29705</v>
      </c>
      <c r="L572" s="72"/>
      <c r="M572" s="73"/>
      <c r="N572" s="73"/>
      <c r="O572" s="74"/>
      <c r="P572" s="75"/>
      <c r="Q572" s="75"/>
      <c r="R572" s="102"/>
      <c r="S572" s="102"/>
      <c r="T572" s="102"/>
      <c r="U572" s="102"/>
      <c r="V572" s="48"/>
      <c r="W572" s="48"/>
      <c r="X572" s="48"/>
      <c r="Y572" s="48"/>
      <c r="Z572" s="47"/>
      <c r="AA572" s="70">
        <v>572</v>
      </c>
      <c r="AB572" s="70"/>
      <c r="AC572" s="71"/>
      <c r="AD572" s="86" t="s">
        <v>24194</v>
      </c>
      <c r="AE572" s="94" t="s">
        <v>23078</v>
      </c>
      <c r="AF572" s="86">
        <v>0</v>
      </c>
      <c r="AG572" s="86">
        <v>10</v>
      </c>
      <c r="AH572" s="86">
        <v>4</v>
      </c>
      <c r="AI572" s="86">
        <v>0</v>
      </c>
      <c r="AJ572" s="86">
        <v>0</v>
      </c>
      <c r="AK572" s="86">
        <v>2</v>
      </c>
      <c r="AL572" s="86" t="b">
        <v>0</v>
      </c>
      <c r="AM572" s="89">
        <v>45107.593414351853</v>
      </c>
      <c r="AN572" s="86"/>
      <c r="AO572" s="86" t="s">
        <v>26945</v>
      </c>
      <c r="AP572" s="96" t="str">
        <f>HYPERLINK("https://t.co/p8GAsKsmqP")</f>
        <v>https://t.co/p8GAsKsmqP</v>
      </c>
      <c r="AQ572" s="96" t="str">
        <f>HYPERLINK("https://youtube.com/@Laperch")</f>
        <v>https://youtube.com/@Laperch</v>
      </c>
      <c r="AR572" s="86" t="s">
        <v>28294</v>
      </c>
      <c r="AS572" s="86"/>
      <c r="AT572" s="86"/>
      <c r="AU572" s="86"/>
      <c r="AV572" s="86"/>
      <c r="AW572" s="96" t="str">
        <f>HYPERLINK("https://t.co/p8GAsKsmqP")</f>
        <v>https://t.co/p8GAsKsmqP</v>
      </c>
      <c r="AX572" s="86" t="b">
        <v>0</v>
      </c>
      <c r="AY572" s="86"/>
      <c r="AZ572" s="86"/>
      <c r="BA572" s="86" t="b">
        <v>0</v>
      </c>
      <c r="BB572" s="86" t="b">
        <v>1</v>
      </c>
      <c r="BC572" s="86" t="b">
        <v>1</v>
      </c>
      <c r="BD572" s="86" t="b">
        <v>0</v>
      </c>
      <c r="BE572" s="86" t="b">
        <v>0</v>
      </c>
      <c r="BF572" s="86" t="b">
        <v>0</v>
      </c>
      <c r="BG572" s="86" t="b">
        <v>1</v>
      </c>
      <c r="BH572" s="96" t="str">
        <f>HYPERLINK("https://pbs.twimg.com/profile_banners/1674783369811599360/1689306640")</f>
        <v>https://pbs.twimg.com/profile_banners/1674783369811599360/1689306640</v>
      </c>
      <c r="BI572" s="86" t="s">
        <v>29132</v>
      </c>
      <c r="BJ572" s="86" t="s">
        <v>29134</v>
      </c>
      <c r="BK572" s="86" t="b">
        <v>0</v>
      </c>
      <c r="BL572" s="86"/>
      <c r="BM572" s="86" t="s">
        <v>66</v>
      </c>
      <c r="BN572" s="86" t="s">
        <v>29136</v>
      </c>
      <c r="BO572" s="96" t="str">
        <f>HYPERLINK("https://twitter.com/laperch28")</f>
        <v>https://twitter.com/laperch28</v>
      </c>
      <c r="BP572" s="2"/>
    </row>
    <row r="573" spans="1:68" x14ac:dyDescent="0.25">
      <c r="A573" s="63" t="s">
        <v>721</v>
      </c>
      <c r="B573" s="64"/>
      <c r="C573" s="64"/>
      <c r="D573" s="65"/>
      <c r="E573" s="67"/>
      <c r="F573" s="111" t="str">
        <f>HYPERLINK("https://pbs.twimg.com/profile_images/1250104031223169030/jIgGpWbe_normal.jpg")</f>
        <v>https://pbs.twimg.com/profile_images/1250104031223169030/jIgGpWbe_normal.jpg</v>
      </c>
      <c r="G573" s="64"/>
      <c r="H573" s="68"/>
      <c r="I573" s="69"/>
      <c r="J573" s="69"/>
      <c r="K573" s="68" t="s">
        <v>29706</v>
      </c>
      <c r="L573" s="72"/>
      <c r="M573" s="73"/>
      <c r="N573" s="73"/>
      <c r="O573" s="74"/>
      <c r="P573" s="75"/>
      <c r="Q573" s="75"/>
      <c r="R573" s="102"/>
      <c r="S573" s="102"/>
      <c r="T573" s="102"/>
      <c r="U573" s="102"/>
      <c r="V573" s="48"/>
      <c r="W573" s="48"/>
      <c r="X573" s="48"/>
      <c r="Y573" s="48"/>
      <c r="Z573" s="47"/>
      <c r="AA573" s="70">
        <v>573</v>
      </c>
      <c r="AB573" s="70"/>
      <c r="AC573" s="71"/>
      <c r="AD573" s="86" t="s">
        <v>24195</v>
      </c>
      <c r="AE573" s="94" t="s">
        <v>25441</v>
      </c>
      <c r="AF573" s="86">
        <v>62</v>
      </c>
      <c r="AG573" s="86">
        <v>47</v>
      </c>
      <c r="AH573" s="86">
        <v>2053</v>
      </c>
      <c r="AI573" s="86">
        <v>3</v>
      </c>
      <c r="AJ573" s="86">
        <v>1</v>
      </c>
      <c r="AK573" s="86">
        <v>511</v>
      </c>
      <c r="AL573" s="86" t="b">
        <v>0</v>
      </c>
      <c r="AM573" s="89">
        <v>40399.071956018517</v>
      </c>
      <c r="AN573" s="86" t="s">
        <v>26087</v>
      </c>
      <c r="AO573" s="86" t="s">
        <v>26946</v>
      </c>
      <c r="AP573" s="96" t="str">
        <f>HYPERLINK("https://t.co/bg9L6lT3hQ")</f>
        <v>https://t.co/bg9L6lT3hQ</v>
      </c>
      <c r="AQ573" s="96" t="str">
        <f>HYPERLINK("http://www.ativu.com.br")</f>
        <v>http://www.ativu.com.br</v>
      </c>
      <c r="AR573" s="86" t="s">
        <v>28295</v>
      </c>
      <c r="AS573" s="86"/>
      <c r="AT573" s="86"/>
      <c r="AU573" s="86"/>
      <c r="AV573" s="86"/>
      <c r="AW573" s="96" t="str">
        <f>HYPERLINK("https://t.co/bg9L6lT3hQ")</f>
        <v>https://t.co/bg9L6lT3hQ</v>
      </c>
      <c r="AX573" s="86" t="b">
        <v>0</v>
      </c>
      <c r="AY573" s="86"/>
      <c r="AZ573" s="86"/>
      <c r="BA573" s="86" t="b">
        <v>0</v>
      </c>
      <c r="BB573" s="86" t="b">
        <v>1</v>
      </c>
      <c r="BC573" s="86" t="b">
        <v>0</v>
      </c>
      <c r="BD573" s="86" t="b">
        <v>0</v>
      </c>
      <c r="BE573" s="86" t="b">
        <v>0</v>
      </c>
      <c r="BF573" s="86" t="b">
        <v>0</v>
      </c>
      <c r="BG573" s="86" t="b">
        <v>0</v>
      </c>
      <c r="BH573" s="96" t="str">
        <f>HYPERLINK("https://pbs.twimg.com/profile_banners/176261766/1635362080")</f>
        <v>https://pbs.twimg.com/profile_banners/176261766/1635362080</v>
      </c>
      <c r="BI573" s="86"/>
      <c r="BJ573" s="86" t="s">
        <v>29134</v>
      </c>
      <c r="BK573" s="86" t="b">
        <v>0</v>
      </c>
      <c r="BL573" s="86"/>
      <c r="BM573" s="86" t="s">
        <v>66</v>
      </c>
      <c r="BN573" s="86" t="s">
        <v>29136</v>
      </c>
      <c r="BO573" s="96" t="str">
        <f>HYPERLINK("https://twitter.com/ativutecnologia")</f>
        <v>https://twitter.com/ativutecnologia</v>
      </c>
      <c r="BP573" s="2"/>
    </row>
    <row r="574" spans="1:68" x14ac:dyDescent="0.25">
      <c r="A574" s="63" t="s">
        <v>722</v>
      </c>
      <c r="B574" s="64"/>
      <c r="C574" s="64"/>
      <c r="D574" s="65"/>
      <c r="E574" s="67"/>
      <c r="F574" s="111" t="str">
        <f>HYPERLINK("https://pbs.twimg.com/profile_images/1642847192095379457/vwx9NMDH_normal.jpg")</f>
        <v>https://pbs.twimg.com/profile_images/1642847192095379457/vwx9NMDH_normal.jpg</v>
      </c>
      <c r="G574" s="64"/>
      <c r="H574" s="68"/>
      <c r="I574" s="69"/>
      <c r="J574" s="69"/>
      <c r="K574" s="68" t="s">
        <v>29707</v>
      </c>
      <c r="L574" s="72"/>
      <c r="M574" s="73"/>
      <c r="N574" s="73"/>
      <c r="O574" s="74"/>
      <c r="P574" s="75"/>
      <c r="Q574" s="75"/>
      <c r="R574" s="102"/>
      <c r="S574" s="102"/>
      <c r="T574" s="102"/>
      <c r="U574" s="102"/>
      <c r="V574" s="48"/>
      <c r="W574" s="48"/>
      <c r="X574" s="48"/>
      <c r="Y574" s="48"/>
      <c r="Z574" s="47"/>
      <c r="AA574" s="70">
        <v>574</v>
      </c>
      <c r="AB574" s="70"/>
      <c r="AC574" s="71"/>
      <c r="AD574" s="86" t="s">
        <v>24196</v>
      </c>
      <c r="AE574" s="94" t="s">
        <v>23079</v>
      </c>
      <c r="AF574" s="86">
        <v>501</v>
      </c>
      <c r="AG574" s="86">
        <v>37</v>
      </c>
      <c r="AH574" s="86">
        <v>4046</v>
      </c>
      <c r="AI574" s="86">
        <v>3</v>
      </c>
      <c r="AJ574" s="86">
        <v>14</v>
      </c>
      <c r="AK574" s="86">
        <v>356</v>
      </c>
      <c r="AL574" s="86" t="b">
        <v>0</v>
      </c>
      <c r="AM574" s="89">
        <v>44018.733888888892</v>
      </c>
      <c r="AN574" s="86" t="s">
        <v>26088</v>
      </c>
      <c r="AO574" s="86" t="s">
        <v>26947</v>
      </c>
      <c r="AP574" s="96" t="str">
        <f>HYPERLINK("https://t.co/02TBSpF3Pe")</f>
        <v>https://t.co/02TBSpF3Pe</v>
      </c>
      <c r="AQ574" s="96" t="str">
        <f>HYPERLINK("https://www.costanorte.com.br")</f>
        <v>https://www.costanorte.com.br</v>
      </c>
      <c r="AR574" s="86" t="s">
        <v>28296</v>
      </c>
      <c r="AS574" s="96" t="str">
        <f>HYPERLINK("https://t.co/l1MvqwJWIB")</f>
        <v>https://t.co/l1MvqwJWIB</v>
      </c>
      <c r="AT574" s="96" t="str">
        <f>HYPERLINK("http://linkin.bio/costanorteofic")</f>
        <v>http://linkin.bio/costanorteofic</v>
      </c>
      <c r="AU574" s="86" t="s">
        <v>29069</v>
      </c>
      <c r="AV574" s="86"/>
      <c r="AW574" s="96" t="str">
        <f>HYPERLINK("https://t.co/02TBSpF3Pe")</f>
        <v>https://t.co/02TBSpF3Pe</v>
      </c>
      <c r="AX574" s="86" t="b">
        <v>0</v>
      </c>
      <c r="AY574" s="86"/>
      <c r="AZ574" s="86"/>
      <c r="BA574" s="86" t="b">
        <v>0</v>
      </c>
      <c r="BB574" s="86" t="b">
        <v>1</v>
      </c>
      <c r="BC574" s="86" t="b">
        <v>1</v>
      </c>
      <c r="BD574" s="86" t="b">
        <v>0</v>
      </c>
      <c r="BE574" s="86" t="b">
        <v>1</v>
      </c>
      <c r="BF574" s="86" t="b">
        <v>0</v>
      </c>
      <c r="BG574" s="86" t="b">
        <v>0</v>
      </c>
      <c r="BH574" s="96" t="str">
        <f>HYPERLINK("https://pbs.twimg.com/profile_banners/1280193924401954816/1642770255")</f>
        <v>https://pbs.twimg.com/profile_banners/1280193924401954816/1642770255</v>
      </c>
      <c r="BI574" s="86"/>
      <c r="BJ574" s="86" t="s">
        <v>29134</v>
      </c>
      <c r="BK574" s="86" t="b">
        <v>0</v>
      </c>
      <c r="BL574" s="86"/>
      <c r="BM574" s="86" t="s">
        <v>66</v>
      </c>
      <c r="BN574" s="86" t="s">
        <v>29136</v>
      </c>
      <c r="BO574" s="96" t="str">
        <f>HYPERLINK("https://twitter.com/costanortenews")</f>
        <v>https://twitter.com/costanortenews</v>
      </c>
      <c r="BP574" s="2"/>
    </row>
    <row r="575" spans="1:68" x14ac:dyDescent="0.25">
      <c r="A575" s="63" t="s">
        <v>723</v>
      </c>
      <c r="B575" s="64"/>
      <c r="C575" s="64"/>
      <c r="D575" s="65"/>
      <c r="E575" s="67"/>
      <c r="F575" s="111" t="str">
        <f>HYPERLINK("https://pbs.twimg.com/profile_images/1457829594837438466/t5e3onAv_normal.jpg")</f>
        <v>https://pbs.twimg.com/profile_images/1457829594837438466/t5e3onAv_normal.jpg</v>
      </c>
      <c r="G575" s="64"/>
      <c r="H575" s="68"/>
      <c r="I575" s="69"/>
      <c r="J575" s="69"/>
      <c r="K575" s="68" t="s">
        <v>29708</v>
      </c>
      <c r="L575" s="72"/>
      <c r="M575" s="73"/>
      <c r="N575" s="73"/>
      <c r="O575" s="74"/>
      <c r="P575" s="75"/>
      <c r="Q575" s="75"/>
      <c r="R575" s="102"/>
      <c r="S575" s="102"/>
      <c r="T575" s="102"/>
      <c r="U575" s="102"/>
      <c r="V575" s="48"/>
      <c r="W575" s="48"/>
      <c r="X575" s="48"/>
      <c r="Y575" s="48"/>
      <c r="Z575" s="47"/>
      <c r="AA575" s="70">
        <v>575</v>
      </c>
      <c r="AB575" s="70"/>
      <c r="AC575" s="71"/>
      <c r="AD575" s="86" t="s">
        <v>24197</v>
      </c>
      <c r="AE575" s="94" t="s">
        <v>23080</v>
      </c>
      <c r="AF575" s="86">
        <v>22</v>
      </c>
      <c r="AG575" s="86">
        <v>20</v>
      </c>
      <c r="AH575" s="86">
        <v>129</v>
      </c>
      <c r="AI575" s="86">
        <v>0</v>
      </c>
      <c r="AJ575" s="86">
        <v>20</v>
      </c>
      <c r="AK575" s="86">
        <v>105</v>
      </c>
      <c r="AL575" s="86" t="b">
        <v>0</v>
      </c>
      <c r="AM575" s="89">
        <v>44508.909236111111</v>
      </c>
      <c r="AN575" s="86"/>
      <c r="AO575" s="86" t="s">
        <v>26948</v>
      </c>
      <c r="AP575" s="96" t="str">
        <f>HYPERLINK("https://t.co/6Ejx2Y2yan")</f>
        <v>https://t.co/6Ejx2Y2yan</v>
      </c>
      <c r="AQ575" s="96" t="str">
        <f>HYPERLINK("https://plenitudeeducacao.com.br/")</f>
        <v>https://plenitudeeducacao.com.br/</v>
      </c>
      <c r="AR575" s="86" t="s">
        <v>28297</v>
      </c>
      <c r="AS575" s="86"/>
      <c r="AT575" s="86"/>
      <c r="AU575" s="86"/>
      <c r="AV575" s="86"/>
      <c r="AW575" s="96" t="str">
        <f>HYPERLINK("https://t.co/6Ejx2Y2yan")</f>
        <v>https://t.co/6Ejx2Y2yan</v>
      </c>
      <c r="AX575" s="86" t="b">
        <v>0</v>
      </c>
      <c r="AY575" s="86"/>
      <c r="AZ575" s="86"/>
      <c r="BA575" s="86" t="b">
        <v>0</v>
      </c>
      <c r="BB575" s="86" t="b">
        <v>1</v>
      </c>
      <c r="BC575" s="86" t="b">
        <v>1</v>
      </c>
      <c r="BD575" s="86" t="b">
        <v>0</v>
      </c>
      <c r="BE575" s="86" t="b">
        <v>0</v>
      </c>
      <c r="BF575" s="86" t="b">
        <v>0</v>
      </c>
      <c r="BG575" s="86" t="b">
        <v>0</v>
      </c>
      <c r="BH575" s="96" t="str">
        <f>HYPERLINK("https://pbs.twimg.com/profile_banners/1457827554417692675/1636408666")</f>
        <v>https://pbs.twimg.com/profile_banners/1457827554417692675/1636408666</v>
      </c>
      <c r="BI575" s="86"/>
      <c r="BJ575" s="86" t="s">
        <v>29134</v>
      </c>
      <c r="BK575" s="86" t="b">
        <v>0</v>
      </c>
      <c r="BL575" s="86"/>
      <c r="BM575" s="86" t="s">
        <v>66</v>
      </c>
      <c r="BN575" s="86" t="s">
        <v>29136</v>
      </c>
      <c r="BO575" s="96" t="str">
        <f>HYPERLINK("https://twitter.com/_aplenitude")</f>
        <v>https://twitter.com/_aplenitude</v>
      </c>
      <c r="BP575" s="2"/>
    </row>
    <row r="576" spans="1:68" x14ac:dyDescent="0.25">
      <c r="A576" s="63" t="s">
        <v>724</v>
      </c>
      <c r="B576" s="64"/>
      <c r="C576" s="64"/>
      <c r="D576" s="65"/>
      <c r="E576" s="67"/>
      <c r="F576" s="111" t="str">
        <f>HYPERLINK("https://pbs.twimg.com/profile_images/1673677531893956621/eoawy_Yb_normal.jpg")</f>
        <v>https://pbs.twimg.com/profile_images/1673677531893956621/eoawy_Yb_normal.jpg</v>
      </c>
      <c r="G576" s="64"/>
      <c r="H576" s="68"/>
      <c r="I576" s="69"/>
      <c r="J576" s="69"/>
      <c r="K576" s="68" t="s">
        <v>29709</v>
      </c>
      <c r="L576" s="72"/>
      <c r="M576" s="73"/>
      <c r="N576" s="73"/>
      <c r="O576" s="74"/>
      <c r="P576" s="75"/>
      <c r="Q576" s="75"/>
      <c r="R576" s="102"/>
      <c r="S576" s="102"/>
      <c r="T576" s="102"/>
      <c r="U576" s="102"/>
      <c r="V576" s="48"/>
      <c r="W576" s="48"/>
      <c r="X576" s="48"/>
      <c r="Y576" s="48"/>
      <c r="Z576" s="47"/>
      <c r="AA576" s="70">
        <v>576</v>
      </c>
      <c r="AB576" s="70"/>
      <c r="AC576" s="71"/>
      <c r="AD576" s="86" t="s">
        <v>24198</v>
      </c>
      <c r="AE576" s="94" t="s">
        <v>23081</v>
      </c>
      <c r="AF576" s="86">
        <v>102</v>
      </c>
      <c r="AG576" s="86">
        <v>2</v>
      </c>
      <c r="AH576" s="86">
        <v>219</v>
      </c>
      <c r="AI576" s="86">
        <v>0</v>
      </c>
      <c r="AJ576" s="86">
        <v>269</v>
      </c>
      <c r="AK576" s="86">
        <v>51</v>
      </c>
      <c r="AL576" s="86" t="b">
        <v>0</v>
      </c>
      <c r="AM576" s="89">
        <v>42491.878067129626</v>
      </c>
      <c r="AN576" s="86"/>
      <c r="AO576" s="86" t="s">
        <v>26949</v>
      </c>
      <c r="AP576" s="96" t="str">
        <f>HYPERLINK("https://t.co/ohk5vRGEgE")</f>
        <v>https://t.co/ohk5vRGEgE</v>
      </c>
      <c r="AQ576" s="96" t="str">
        <f>HYPERLINK("https://youtube.com/@popissimouniverso01")</f>
        <v>https://youtube.com/@popissimouniverso01</v>
      </c>
      <c r="AR576" s="86" t="s">
        <v>28298</v>
      </c>
      <c r="AS576" s="86"/>
      <c r="AT576" s="86"/>
      <c r="AU576" s="86"/>
      <c r="AV576" s="86"/>
      <c r="AW576" s="96" t="str">
        <f>HYPERLINK("https://t.co/ohk5vRGEgE")</f>
        <v>https://t.co/ohk5vRGEgE</v>
      </c>
      <c r="AX576" s="86" t="b">
        <v>0</v>
      </c>
      <c r="AY576" s="86"/>
      <c r="AZ576" s="86"/>
      <c r="BA576" s="86" t="b">
        <v>1</v>
      </c>
      <c r="BB576" s="86" t="b">
        <v>0</v>
      </c>
      <c r="BC576" s="86" t="b">
        <v>1</v>
      </c>
      <c r="BD576" s="86" t="b">
        <v>0</v>
      </c>
      <c r="BE576" s="86" t="b">
        <v>1</v>
      </c>
      <c r="BF576" s="86" t="b">
        <v>0</v>
      </c>
      <c r="BG576" s="86" t="b">
        <v>0</v>
      </c>
      <c r="BH576" s="96" t="str">
        <f>HYPERLINK("https://pbs.twimg.com/profile_banners/726879973395566592/1687870793")</f>
        <v>https://pbs.twimg.com/profile_banners/726879973395566592/1687870793</v>
      </c>
      <c r="BI576" s="86"/>
      <c r="BJ576" s="86" t="s">
        <v>29134</v>
      </c>
      <c r="BK576" s="86" t="b">
        <v>0</v>
      </c>
      <c r="BL576" s="86"/>
      <c r="BM576" s="86" t="s">
        <v>66</v>
      </c>
      <c r="BN576" s="86" t="s">
        <v>29136</v>
      </c>
      <c r="BO576" s="96" t="str">
        <f>HYPERLINK("https://twitter.com/ok_tudo_bem")</f>
        <v>https://twitter.com/ok_tudo_bem</v>
      </c>
      <c r="BP576" s="2"/>
    </row>
    <row r="577" spans="1:68" x14ac:dyDescent="0.25">
      <c r="A577" s="63" t="s">
        <v>725</v>
      </c>
      <c r="B577" s="64"/>
      <c r="C577" s="64"/>
      <c r="D577" s="65"/>
      <c r="E577" s="67"/>
      <c r="F577" s="111" t="str">
        <f>HYPERLINK("https://pbs.twimg.com/profile_images/1588617750284476417/b2APCrQ-_normal.jpg")</f>
        <v>https://pbs.twimg.com/profile_images/1588617750284476417/b2APCrQ-_normal.jpg</v>
      </c>
      <c r="G577" s="64"/>
      <c r="H577" s="68"/>
      <c r="I577" s="69"/>
      <c r="J577" s="69"/>
      <c r="K577" s="68" t="s">
        <v>29710</v>
      </c>
      <c r="L577" s="72"/>
      <c r="M577" s="73"/>
      <c r="N577" s="73"/>
      <c r="O577" s="74"/>
      <c r="P577" s="75"/>
      <c r="Q577" s="75"/>
      <c r="R577" s="102"/>
      <c r="S577" s="102"/>
      <c r="T577" s="102"/>
      <c r="U577" s="102"/>
      <c r="V577" s="48"/>
      <c r="W577" s="48"/>
      <c r="X577" s="48"/>
      <c r="Y577" s="48"/>
      <c r="Z577" s="47"/>
      <c r="AA577" s="70">
        <v>577</v>
      </c>
      <c r="AB577" s="70"/>
      <c r="AC577" s="71"/>
      <c r="AD577" s="86" t="s">
        <v>24199</v>
      </c>
      <c r="AE577" s="94" t="s">
        <v>25442</v>
      </c>
      <c r="AF577" s="86">
        <v>1413</v>
      </c>
      <c r="AG577" s="86">
        <v>130</v>
      </c>
      <c r="AH577" s="86">
        <v>2811</v>
      </c>
      <c r="AI577" s="86">
        <v>17</v>
      </c>
      <c r="AJ577" s="86">
        <v>138</v>
      </c>
      <c r="AK577" s="86">
        <v>1857</v>
      </c>
      <c r="AL577" s="86" t="b">
        <v>0</v>
      </c>
      <c r="AM577" s="89">
        <v>40716.91710648148</v>
      </c>
      <c r="AN577" s="86" t="s">
        <v>26089</v>
      </c>
      <c r="AO577" s="86" t="s">
        <v>26950</v>
      </c>
      <c r="AP577" s="96" t="str">
        <f>HYPERLINK("https://t.co/XXpMxylVbK")</f>
        <v>https://t.co/XXpMxylVbK</v>
      </c>
      <c r="AQ577" s="96" t="str">
        <f>HYPERLINK("http://www.sebrae.com.br/tocantins")</f>
        <v>http://www.sebrae.com.br/tocantins</v>
      </c>
      <c r="AR577" s="86" t="s">
        <v>28299</v>
      </c>
      <c r="AS577" s="86"/>
      <c r="AT577" s="86"/>
      <c r="AU577" s="86"/>
      <c r="AV577" s="86"/>
      <c r="AW577" s="96" t="str">
        <f>HYPERLINK("https://t.co/XXpMxylVbK")</f>
        <v>https://t.co/XXpMxylVbK</v>
      </c>
      <c r="AX577" s="86" t="b">
        <v>0</v>
      </c>
      <c r="AY577" s="86"/>
      <c r="AZ577" s="86"/>
      <c r="BA577" s="86" t="b">
        <v>0</v>
      </c>
      <c r="BB577" s="86" t="b">
        <v>1</v>
      </c>
      <c r="BC577" s="86" t="b">
        <v>0</v>
      </c>
      <c r="BD577" s="86" t="b">
        <v>0</v>
      </c>
      <c r="BE577" s="86" t="b">
        <v>0</v>
      </c>
      <c r="BF577" s="86" t="b">
        <v>0</v>
      </c>
      <c r="BG577" s="86" t="b">
        <v>0</v>
      </c>
      <c r="BH577" s="96" t="str">
        <f>HYPERLINK("https://pbs.twimg.com/profile_banners/322260032/1687728786")</f>
        <v>https://pbs.twimg.com/profile_banners/322260032/1687728786</v>
      </c>
      <c r="BI577" s="86"/>
      <c r="BJ577" s="86" t="s">
        <v>29134</v>
      </c>
      <c r="BK577" s="86" t="b">
        <v>0</v>
      </c>
      <c r="BL577" s="86"/>
      <c r="BM577" s="86" t="s">
        <v>66</v>
      </c>
      <c r="BN577" s="86" t="s">
        <v>29136</v>
      </c>
      <c r="BO577" s="96" t="str">
        <f>HYPERLINK("https://twitter.com/sebraeto")</f>
        <v>https://twitter.com/sebraeto</v>
      </c>
      <c r="BP577" s="2"/>
    </row>
    <row r="578" spans="1:68" x14ac:dyDescent="0.25">
      <c r="A578" s="63" t="s">
        <v>726</v>
      </c>
      <c r="B578" s="64"/>
      <c r="C578" s="64"/>
      <c r="D578" s="65"/>
      <c r="E578" s="67"/>
      <c r="F578" s="111" t="str">
        <f>HYPERLINK("https://pbs.twimg.com/profile_images/1677370508994592768/JF96iWkY_normal.jpg")</f>
        <v>https://pbs.twimg.com/profile_images/1677370508994592768/JF96iWkY_normal.jpg</v>
      </c>
      <c r="G578" s="64"/>
      <c r="H578" s="68"/>
      <c r="I578" s="69"/>
      <c r="J578" s="69"/>
      <c r="K578" s="68" t="s">
        <v>29711</v>
      </c>
      <c r="L578" s="72"/>
      <c r="M578" s="73"/>
      <c r="N578" s="73"/>
      <c r="O578" s="74"/>
      <c r="P578" s="75"/>
      <c r="Q578" s="75"/>
      <c r="R578" s="102"/>
      <c r="S578" s="102"/>
      <c r="T578" s="102"/>
      <c r="U578" s="102"/>
      <c r="V578" s="48"/>
      <c r="W578" s="48"/>
      <c r="X578" s="48"/>
      <c r="Y578" s="48"/>
      <c r="Z578" s="47"/>
      <c r="AA578" s="70">
        <v>578</v>
      </c>
      <c r="AB578" s="70"/>
      <c r="AC578" s="71"/>
      <c r="AD578" s="86" t="s">
        <v>24200</v>
      </c>
      <c r="AE578" s="94" t="s">
        <v>23082</v>
      </c>
      <c r="AF578" s="86">
        <v>0</v>
      </c>
      <c r="AG578" s="86">
        <v>8</v>
      </c>
      <c r="AH578" s="86">
        <v>7</v>
      </c>
      <c r="AI578" s="86">
        <v>0</v>
      </c>
      <c r="AJ578" s="86">
        <v>0</v>
      </c>
      <c r="AK578" s="86">
        <v>2</v>
      </c>
      <c r="AL578" s="86" t="b">
        <v>0</v>
      </c>
      <c r="AM578" s="89">
        <v>45114.142754629633</v>
      </c>
      <c r="AN578" s="86"/>
      <c r="AO578" s="86" t="s">
        <v>26951</v>
      </c>
      <c r="AP578" s="96" t="str">
        <f>HYPERLINK("https://t.co/kRJVzSBmY5")</f>
        <v>https://t.co/kRJVzSBmY5</v>
      </c>
      <c r="AQ578" s="96" t="str">
        <f>HYPERLINK("https://micael-f.my.canva.site/")</f>
        <v>https://micael-f.my.canva.site/</v>
      </c>
      <c r="AR578" s="86" t="s">
        <v>28300</v>
      </c>
      <c r="AS578" s="86"/>
      <c r="AT578" s="86"/>
      <c r="AU578" s="86"/>
      <c r="AV578" s="86"/>
      <c r="AW578" s="96" t="str">
        <f>HYPERLINK("https://t.co/kRJVzSBmY5")</f>
        <v>https://t.co/kRJVzSBmY5</v>
      </c>
      <c r="AX578" s="86" t="b">
        <v>0</v>
      </c>
      <c r="AY578" s="86"/>
      <c r="AZ578" s="86"/>
      <c r="BA578" s="86" t="b">
        <v>0</v>
      </c>
      <c r="BB578" s="86" t="b">
        <v>1</v>
      </c>
      <c r="BC578" s="86" t="b">
        <v>1</v>
      </c>
      <c r="BD578" s="86" t="b">
        <v>0</v>
      </c>
      <c r="BE578" s="86" t="b">
        <v>0</v>
      </c>
      <c r="BF578" s="86" t="b">
        <v>0</v>
      </c>
      <c r="BG578" s="86" t="b">
        <v>0</v>
      </c>
      <c r="BH578" s="96" t="str">
        <f>HYPERLINK("https://pbs.twimg.com/profile_banners/1677156770807005184/1688751268")</f>
        <v>https://pbs.twimg.com/profile_banners/1677156770807005184/1688751268</v>
      </c>
      <c r="BI578" s="86"/>
      <c r="BJ578" s="86" t="s">
        <v>29134</v>
      </c>
      <c r="BK578" s="86" t="b">
        <v>0</v>
      </c>
      <c r="BL578" s="86"/>
      <c r="BM578" s="86" t="s">
        <v>66</v>
      </c>
      <c r="BN578" s="86" t="s">
        <v>29136</v>
      </c>
      <c r="BO578" s="96" t="str">
        <f>HYPERLINK("https://twitter.com/mik4eyso3")</f>
        <v>https://twitter.com/mik4eyso3</v>
      </c>
      <c r="BP578" s="2"/>
    </row>
    <row r="579" spans="1:68" x14ac:dyDescent="0.25">
      <c r="A579" s="63" t="s">
        <v>727</v>
      </c>
      <c r="B579" s="64"/>
      <c r="C579" s="64"/>
      <c r="D579" s="65"/>
      <c r="E579" s="67"/>
      <c r="F579" s="111" t="str">
        <f>HYPERLINK("https://pbs.twimg.com/profile_images/1478016741871652864/b_NJh157_normal.jpg")</f>
        <v>https://pbs.twimg.com/profile_images/1478016741871652864/b_NJh157_normal.jpg</v>
      </c>
      <c r="G579" s="64"/>
      <c r="H579" s="68"/>
      <c r="I579" s="69"/>
      <c r="J579" s="69"/>
      <c r="K579" s="68" t="s">
        <v>29712</v>
      </c>
      <c r="L579" s="72"/>
      <c r="M579" s="73"/>
      <c r="N579" s="73"/>
      <c r="O579" s="74"/>
      <c r="P579" s="75"/>
      <c r="Q579" s="75"/>
      <c r="R579" s="102"/>
      <c r="S579" s="102"/>
      <c r="T579" s="102"/>
      <c r="U579" s="102"/>
      <c r="V579" s="48"/>
      <c r="W579" s="48"/>
      <c r="X579" s="48"/>
      <c r="Y579" s="48"/>
      <c r="Z579" s="47"/>
      <c r="AA579" s="70">
        <v>579</v>
      </c>
      <c r="AB579" s="70"/>
      <c r="AC579" s="71"/>
      <c r="AD579" s="86" t="s">
        <v>24201</v>
      </c>
      <c r="AE579" s="94" t="s">
        <v>25443</v>
      </c>
      <c r="AF579" s="86">
        <v>4743</v>
      </c>
      <c r="AG579" s="86">
        <v>872</v>
      </c>
      <c r="AH579" s="86">
        <v>16965</v>
      </c>
      <c r="AI579" s="86">
        <v>48</v>
      </c>
      <c r="AJ579" s="86">
        <v>75</v>
      </c>
      <c r="AK579" s="86">
        <v>7283</v>
      </c>
      <c r="AL579" s="86" t="b">
        <v>0</v>
      </c>
      <c r="AM579" s="89">
        <v>39931.701643518521</v>
      </c>
      <c r="AN579" s="86" t="s">
        <v>25970</v>
      </c>
      <c r="AO579" s="86" t="s">
        <v>26952</v>
      </c>
      <c r="AP579" s="96" t="str">
        <f>HYPERLINK("https://t.co/WELxqGMSrh")</f>
        <v>https://t.co/WELxqGMSrh</v>
      </c>
      <c r="AQ579" s="96" t="str">
        <f>HYPERLINK("https://brasil61.com/")</f>
        <v>https://brasil61.com/</v>
      </c>
      <c r="AR579" s="86" t="s">
        <v>8455</v>
      </c>
      <c r="AS579" s="86"/>
      <c r="AT579" s="86"/>
      <c r="AU579" s="86"/>
      <c r="AV579" s="86"/>
      <c r="AW579" s="96" t="str">
        <f>HYPERLINK("https://t.co/WELxqGMSrh")</f>
        <v>https://t.co/WELxqGMSrh</v>
      </c>
      <c r="AX579" s="86" t="b">
        <v>0</v>
      </c>
      <c r="AY579" s="86"/>
      <c r="AZ579" s="86"/>
      <c r="BA579" s="86" t="b">
        <v>1</v>
      </c>
      <c r="BB579" s="86" t="b">
        <v>1</v>
      </c>
      <c r="BC579" s="86" t="b">
        <v>0</v>
      </c>
      <c r="BD579" s="86" t="b">
        <v>0</v>
      </c>
      <c r="BE579" s="86" t="b">
        <v>1</v>
      </c>
      <c r="BF579" s="86" t="b">
        <v>0</v>
      </c>
      <c r="BG579" s="86" t="b">
        <v>0</v>
      </c>
      <c r="BH579" s="96" t="str">
        <f>HYPERLINK("https://pbs.twimg.com/profile_banners/36115008/1641221639")</f>
        <v>https://pbs.twimg.com/profile_banners/36115008/1641221639</v>
      </c>
      <c r="BI579" s="86"/>
      <c r="BJ579" s="86" t="s">
        <v>29134</v>
      </c>
      <c r="BK579" s="86" t="b">
        <v>0</v>
      </c>
      <c r="BL579" s="86"/>
      <c r="BM579" s="86" t="s">
        <v>66</v>
      </c>
      <c r="BN579" s="86" t="s">
        <v>29136</v>
      </c>
      <c r="BO579" s="96" t="str">
        <f>HYPERLINK("https://twitter.com/brasil61_")</f>
        <v>https://twitter.com/brasil61_</v>
      </c>
      <c r="BP579" s="2"/>
    </row>
    <row r="580" spans="1:68" x14ac:dyDescent="0.25">
      <c r="A580" s="63" t="s">
        <v>728</v>
      </c>
      <c r="B580" s="64"/>
      <c r="C580" s="64"/>
      <c r="D580" s="65"/>
      <c r="E580" s="67"/>
      <c r="F580" s="111" t="str">
        <f>HYPERLINK("https://pbs.twimg.com/profile_images/1205597962350596097/cTHHQjwA_normal.jpg")</f>
        <v>https://pbs.twimg.com/profile_images/1205597962350596097/cTHHQjwA_normal.jpg</v>
      </c>
      <c r="G580" s="64"/>
      <c r="H580" s="68"/>
      <c r="I580" s="69"/>
      <c r="J580" s="69"/>
      <c r="K580" s="68" t="s">
        <v>29713</v>
      </c>
      <c r="L580" s="72"/>
      <c r="M580" s="73"/>
      <c r="N580" s="73"/>
      <c r="O580" s="74"/>
      <c r="P580" s="75"/>
      <c r="Q580" s="75"/>
      <c r="R580" s="102"/>
      <c r="S580" s="102"/>
      <c r="T580" s="102"/>
      <c r="U580" s="102"/>
      <c r="V580" s="48"/>
      <c r="W580" s="48"/>
      <c r="X580" s="48"/>
      <c r="Y580" s="48"/>
      <c r="Z580" s="47"/>
      <c r="AA580" s="70">
        <v>580</v>
      </c>
      <c r="AB580" s="70"/>
      <c r="AC580" s="71"/>
      <c r="AD580" s="86" t="s">
        <v>24202</v>
      </c>
      <c r="AE580" s="94" t="s">
        <v>23083</v>
      </c>
      <c r="AF580" s="86">
        <v>34</v>
      </c>
      <c r="AG580" s="86">
        <v>81</v>
      </c>
      <c r="AH580" s="86">
        <v>4842</v>
      </c>
      <c r="AI580" s="86">
        <v>1</v>
      </c>
      <c r="AJ580" s="86">
        <v>49</v>
      </c>
      <c r="AK580" s="86">
        <v>128</v>
      </c>
      <c r="AL580" s="86" t="b">
        <v>0</v>
      </c>
      <c r="AM580" s="89">
        <v>43804.997106481482</v>
      </c>
      <c r="AN580" s="86" t="s">
        <v>26090</v>
      </c>
      <c r="AO580" s="86" t="s">
        <v>26953</v>
      </c>
      <c r="AP580" s="96" t="str">
        <f>HYPERLINK("https://t.co/LoPK9DRX9I")</f>
        <v>https://t.co/LoPK9DRX9I</v>
      </c>
      <c r="AQ580" s="96" t="str">
        <f>HYPERLINK("https://valoramazonico.com/")</f>
        <v>https://valoramazonico.com/</v>
      </c>
      <c r="AR580" s="86" t="s">
        <v>8456</v>
      </c>
      <c r="AS580" s="86"/>
      <c r="AT580" s="86"/>
      <c r="AU580" s="86"/>
      <c r="AV580" s="86"/>
      <c r="AW580" s="96" t="str">
        <f>HYPERLINK("https://t.co/LoPK9DRX9I")</f>
        <v>https://t.co/LoPK9DRX9I</v>
      </c>
      <c r="AX580" s="86" t="b">
        <v>0</v>
      </c>
      <c r="AY580" s="86"/>
      <c r="AZ580" s="86"/>
      <c r="BA580" s="86" t="b">
        <v>1</v>
      </c>
      <c r="BB580" s="86" t="b">
        <v>0</v>
      </c>
      <c r="BC580" s="86" t="b">
        <v>1</v>
      </c>
      <c r="BD580" s="86" t="b">
        <v>0</v>
      </c>
      <c r="BE580" s="86" t="b">
        <v>0</v>
      </c>
      <c r="BF580" s="86" t="b">
        <v>0</v>
      </c>
      <c r="BG580" s="86" t="b">
        <v>0</v>
      </c>
      <c r="BH580" s="96" t="str">
        <f>HYPERLINK("https://pbs.twimg.com/profile_banners/1202738245685174272/1606510377")</f>
        <v>https://pbs.twimg.com/profile_banners/1202738245685174272/1606510377</v>
      </c>
      <c r="BI580" s="86"/>
      <c r="BJ580" s="86" t="s">
        <v>29134</v>
      </c>
      <c r="BK580" s="86" t="b">
        <v>0</v>
      </c>
      <c r="BL580" s="86"/>
      <c r="BM580" s="86" t="s">
        <v>66</v>
      </c>
      <c r="BN580" s="86" t="s">
        <v>29136</v>
      </c>
      <c r="BO580" s="96" t="str">
        <f>HYPERLINK("https://twitter.com/valoramazonico")</f>
        <v>https://twitter.com/valoramazonico</v>
      </c>
      <c r="BP580" s="2"/>
    </row>
    <row r="581" spans="1:68" x14ac:dyDescent="0.25">
      <c r="A581" s="63" t="s">
        <v>729</v>
      </c>
      <c r="B581" s="64"/>
      <c r="C581" s="64"/>
      <c r="D581" s="65"/>
      <c r="E581" s="67"/>
      <c r="F581" s="111" t="str">
        <f>HYPERLINK("https://pbs.twimg.com/profile_images/1688888957314953216/bWhjaVj7_normal.jpg")</f>
        <v>https://pbs.twimg.com/profile_images/1688888957314953216/bWhjaVj7_normal.jpg</v>
      </c>
      <c r="G581" s="64"/>
      <c r="H581" s="68"/>
      <c r="I581" s="69"/>
      <c r="J581" s="69"/>
      <c r="K581" s="68" t="s">
        <v>29714</v>
      </c>
      <c r="L581" s="72"/>
      <c r="M581" s="73"/>
      <c r="N581" s="73"/>
      <c r="O581" s="74"/>
      <c r="P581" s="75"/>
      <c r="Q581" s="75"/>
      <c r="R581" s="102"/>
      <c r="S581" s="102"/>
      <c r="T581" s="102"/>
      <c r="U581" s="102"/>
      <c r="V581" s="48"/>
      <c r="W581" s="48"/>
      <c r="X581" s="48"/>
      <c r="Y581" s="48"/>
      <c r="Z581" s="47"/>
      <c r="AA581" s="70">
        <v>581</v>
      </c>
      <c r="AB581" s="70"/>
      <c r="AC581" s="71"/>
      <c r="AD581" s="86" t="s">
        <v>24203</v>
      </c>
      <c r="AE581" s="94" t="s">
        <v>25444</v>
      </c>
      <c r="AF581" s="86">
        <v>559</v>
      </c>
      <c r="AG581" s="86">
        <v>89</v>
      </c>
      <c r="AH581" s="86">
        <v>360</v>
      </c>
      <c r="AI581" s="86">
        <v>0</v>
      </c>
      <c r="AJ581" s="86">
        <v>96</v>
      </c>
      <c r="AK581" s="86">
        <v>68</v>
      </c>
      <c r="AL581" s="86" t="b">
        <v>0</v>
      </c>
      <c r="AM581" s="89">
        <v>40371.635023148148</v>
      </c>
      <c r="AN581" s="86" t="s">
        <v>15253</v>
      </c>
      <c r="AO581" s="86" t="s">
        <v>26954</v>
      </c>
      <c r="AP581" s="96" t="str">
        <f>HYPERLINK("https://t.co/dc7w52Qbew")</f>
        <v>https://t.co/dc7w52Qbew</v>
      </c>
      <c r="AQ581" s="96" t="str">
        <f>HYPERLINK("https://linktr.ee/jeronimolucindo")</f>
        <v>https://linktr.ee/jeronimolucindo</v>
      </c>
      <c r="AR581" s="86" t="s">
        <v>28301</v>
      </c>
      <c r="AS581" s="86"/>
      <c r="AT581" s="86"/>
      <c r="AU581" s="86"/>
      <c r="AV581" s="86">
        <v>1.6857722317569201E+18</v>
      </c>
      <c r="AW581" s="96" t="str">
        <f>HYPERLINK("https://t.co/dc7w52Qbew")</f>
        <v>https://t.co/dc7w52Qbew</v>
      </c>
      <c r="AX581" s="86" t="b">
        <v>1</v>
      </c>
      <c r="AY581" s="86"/>
      <c r="AZ581" s="86"/>
      <c r="BA581" s="86" t="b">
        <v>1</v>
      </c>
      <c r="BB581" s="86" t="b">
        <v>1</v>
      </c>
      <c r="BC581" s="86" t="b">
        <v>0</v>
      </c>
      <c r="BD581" s="86" t="b">
        <v>0</v>
      </c>
      <c r="BE581" s="86" t="b">
        <v>1</v>
      </c>
      <c r="BF581" s="86" t="b">
        <v>0</v>
      </c>
      <c r="BG581" s="86" t="b">
        <v>0</v>
      </c>
      <c r="BH581" s="96" t="str">
        <f>HYPERLINK("https://pbs.twimg.com/profile_banners/165793000/1689760439")</f>
        <v>https://pbs.twimg.com/profile_banners/165793000/1689760439</v>
      </c>
      <c r="BI581" s="86"/>
      <c r="BJ581" s="86" t="s">
        <v>29134</v>
      </c>
      <c r="BK581" s="86" t="b">
        <v>0</v>
      </c>
      <c r="BL581" s="86"/>
      <c r="BM581" s="86" t="s">
        <v>66</v>
      </c>
      <c r="BN581" s="86" t="s">
        <v>29136</v>
      </c>
      <c r="BO581" s="96" t="str">
        <f>HYPERLINK("https://twitter.com/jeronimolucindo")</f>
        <v>https://twitter.com/jeronimolucindo</v>
      </c>
      <c r="BP581" s="2"/>
    </row>
    <row r="582" spans="1:68" x14ac:dyDescent="0.25">
      <c r="A582" s="63" t="s">
        <v>730</v>
      </c>
      <c r="B582" s="64"/>
      <c r="C582" s="64"/>
      <c r="D582" s="65"/>
      <c r="E582" s="67"/>
      <c r="F582" s="111" t="str">
        <f>HYPERLINK("https://pbs.twimg.com/profile_images/867832473962643458/LKnInkka_normal.jpg")</f>
        <v>https://pbs.twimg.com/profile_images/867832473962643458/LKnInkka_normal.jpg</v>
      </c>
      <c r="G582" s="64"/>
      <c r="H582" s="68"/>
      <c r="I582" s="69"/>
      <c r="J582" s="69"/>
      <c r="K582" s="68" t="s">
        <v>29715</v>
      </c>
      <c r="L582" s="72"/>
      <c r="M582" s="73"/>
      <c r="N582" s="73"/>
      <c r="O582" s="74"/>
      <c r="P582" s="75"/>
      <c r="Q582" s="75"/>
      <c r="R582" s="102"/>
      <c r="S582" s="102"/>
      <c r="T582" s="102"/>
      <c r="U582" s="102"/>
      <c r="V582" s="48"/>
      <c r="W582" s="48"/>
      <c r="X582" s="48"/>
      <c r="Y582" s="48"/>
      <c r="Z582" s="47"/>
      <c r="AA582" s="70">
        <v>582</v>
      </c>
      <c r="AB582" s="70"/>
      <c r="AC582" s="71"/>
      <c r="AD582" s="86" t="s">
        <v>24204</v>
      </c>
      <c r="AE582" s="94" t="s">
        <v>25445</v>
      </c>
      <c r="AF582" s="86">
        <v>2050</v>
      </c>
      <c r="AG582" s="86">
        <v>1205</v>
      </c>
      <c r="AH582" s="86">
        <v>732</v>
      </c>
      <c r="AI582" s="86">
        <v>94</v>
      </c>
      <c r="AJ582" s="86">
        <v>25</v>
      </c>
      <c r="AK582" s="86">
        <v>203</v>
      </c>
      <c r="AL582" s="86" t="b">
        <v>0</v>
      </c>
      <c r="AM582" s="89">
        <v>40539.89570601852</v>
      </c>
      <c r="AN582" s="86" t="s">
        <v>15234</v>
      </c>
      <c r="AO582" s="86" t="s">
        <v>26955</v>
      </c>
      <c r="AP582" s="96" t="str">
        <f>HYPERLINK("https://t.co/pWh5bqZihM")</f>
        <v>https://t.co/pWh5bqZihM</v>
      </c>
      <c r="AQ582" s="96" t="str">
        <f>HYPERLINK("https://bit.ly/filieseaoavante")</f>
        <v>https://bit.ly/filieseaoavante</v>
      </c>
      <c r="AR582" s="86" t="s">
        <v>28302</v>
      </c>
      <c r="AS582" s="86"/>
      <c r="AT582" s="86"/>
      <c r="AU582" s="86"/>
      <c r="AV582" s="86"/>
      <c r="AW582" s="96" t="str">
        <f>HYPERLINK("https://t.co/pWh5bqZihM")</f>
        <v>https://t.co/pWh5bqZihM</v>
      </c>
      <c r="AX582" s="86" t="b">
        <v>0</v>
      </c>
      <c r="AY582" s="86"/>
      <c r="AZ582" s="86"/>
      <c r="BA582" s="86" t="b">
        <v>0</v>
      </c>
      <c r="BB582" s="86" t="b">
        <v>1</v>
      </c>
      <c r="BC582" s="86" t="b">
        <v>0</v>
      </c>
      <c r="BD582" s="86" t="b">
        <v>0</v>
      </c>
      <c r="BE582" s="86" t="b">
        <v>1</v>
      </c>
      <c r="BF582" s="86" t="b">
        <v>0</v>
      </c>
      <c r="BG582" s="86" t="b">
        <v>0</v>
      </c>
      <c r="BH582" s="96" t="str">
        <f>HYPERLINK("https://pbs.twimg.com/profile_banners/231192764/1661366574")</f>
        <v>https://pbs.twimg.com/profile_banners/231192764/1661366574</v>
      </c>
      <c r="BI582" s="86"/>
      <c r="BJ582" s="86" t="s">
        <v>29134</v>
      </c>
      <c r="BK582" s="86" t="b">
        <v>0</v>
      </c>
      <c r="BL582" s="86"/>
      <c r="BM582" s="86" t="s">
        <v>66</v>
      </c>
      <c r="BN582" s="86" t="s">
        <v>29136</v>
      </c>
      <c r="BO582" s="96" t="str">
        <f>HYPERLINK("https://twitter.com/somosavante70")</f>
        <v>https://twitter.com/somosavante70</v>
      </c>
      <c r="BP582" s="2"/>
    </row>
    <row r="583" spans="1:68" x14ac:dyDescent="0.25">
      <c r="A583" s="63" t="s">
        <v>1681</v>
      </c>
      <c r="B583" s="64"/>
      <c r="C583" s="64"/>
      <c r="D583" s="65"/>
      <c r="E583" s="67"/>
      <c r="F583" s="111" t="str">
        <f>HYPERLINK("https://pbs.twimg.com/profile_images/805760026958819329/OqkqZ0CH_normal.jpg")</f>
        <v>https://pbs.twimg.com/profile_images/805760026958819329/OqkqZ0CH_normal.jpg</v>
      </c>
      <c r="G583" s="64"/>
      <c r="H583" s="68"/>
      <c r="I583" s="69"/>
      <c r="J583" s="69"/>
      <c r="K583" s="68" t="s">
        <v>29716</v>
      </c>
      <c r="L583" s="72"/>
      <c r="M583" s="73"/>
      <c r="N583" s="73"/>
      <c r="O583" s="74"/>
      <c r="P583" s="75"/>
      <c r="Q583" s="75"/>
      <c r="R583" s="102"/>
      <c r="S583" s="102"/>
      <c r="T583" s="102"/>
      <c r="U583" s="102"/>
      <c r="V583" s="48"/>
      <c r="W583" s="48"/>
      <c r="X583" s="48"/>
      <c r="Y583" s="48"/>
      <c r="Z583" s="47"/>
      <c r="AA583" s="70">
        <v>583</v>
      </c>
      <c r="AB583" s="70"/>
      <c r="AC583" s="71"/>
      <c r="AD583" s="86" t="s">
        <v>24205</v>
      </c>
      <c r="AE583" s="94" t="s">
        <v>25446</v>
      </c>
      <c r="AF583" s="86">
        <v>10</v>
      </c>
      <c r="AG583" s="86">
        <v>49</v>
      </c>
      <c r="AH583" s="86">
        <v>7</v>
      </c>
      <c r="AI583" s="86">
        <v>0</v>
      </c>
      <c r="AJ583" s="86">
        <v>26</v>
      </c>
      <c r="AK583" s="86">
        <v>1</v>
      </c>
      <c r="AL583" s="86" t="b">
        <v>0</v>
      </c>
      <c r="AM583" s="89">
        <v>42703.593090277776</v>
      </c>
      <c r="AN583" s="86"/>
      <c r="AO583" s="86"/>
      <c r="AP583" s="86"/>
      <c r="AQ583" s="86"/>
      <c r="AR583" s="86"/>
      <c r="AS583" s="86"/>
      <c r="AT583" s="86"/>
      <c r="AU583" s="86"/>
      <c r="AV583" s="86"/>
      <c r="AW583" s="86"/>
      <c r="AX583" s="86" t="b">
        <v>0</v>
      </c>
      <c r="AY583" s="86"/>
      <c r="AZ583" s="86"/>
      <c r="BA583" s="86" t="b">
        <v>0</v>
      </c>
      <c r="BB583" s="86" t="b">
        <v>1</v>
      </c>
      <c r="BC583" s="86" t="b">
        <v>1</v>
      </c>
      <c r="BD583" s="86" t="b">
        <v>0</v>
      </c>
      <c r="BE583" s="86" t="b">
        <v>0</v>
      </c>
      <c r="BF583" s="86" t="b">
        <v>0</v>
      </c>
      <c r="BG583" s="86" t="b">
        <v>0</v>
      </c>
      <c r="BH583" s="96" t="str">
        <f>HYPERLINK("https://pbs.twimg.com/profile_banners/803602929164881920/1480440892")</f>
        <v>https://pbs.twimg.com/profile_banners/803602929164881920/1480440892</v>
      </c>
      <c r="BI583" s="86"/>
      <c r="BJ583" s="86" t="s">
        <v>29134</v>
      </c>
      <c r="BK583" s="86" t="b">
        <v>0</v>
      </c>
      <c r="BL583" s="86"/>
      <c r="BM583" s="86" t="s">
        <v>65</v>
      </c>
      <c r="BN583" s="86" t="s">
        <v>29136</v>
      </c>
      <c r="BO583" s="96" t="str">
        <f>HYPERLINK("https://twitter.com/mayradias")</f>
        <v>https://twitter.com/mayradias</v>
      </c>
      <c r="BP583" s="2"/>
    </row>
    <row r="584" spans="1:68" x14ac:dyDescent="0.25">
      <c r="A584" s="63" t="s">
        <v>731</v>
      </c>
      <c r="B584" s="64"/>
      <c r="C584" s="64"/>
      <c r="D584" s="65"/>
      <c r="E584" s="67"/>
      <c r="F584" s="111" t="str">
        <f>HYPERLINK("https://pbs.twimg.com/profile_images/1701742753221120000/2Nxda95M_normal.jpg")</f>
        <v>https://pbs.twimg.com/profile_images/1701742753221120000/2Nxda95M_normal.jpg</v>
      </c>
      <c r="G584" s="64"/>
      <c r="H584" s="68"/>
      <c r="I584" s="69"/>
      <c r="J584" s="69"/>
      <c r="K584" s="68" t="s">
        <v>29717</v>
      </c>
      <c r="L584" s="72"/>
      <c r="M584" s="73"/>
      <c r="N584" s="73"/>
      <c r="O584" s="74"/>
      <c r="P584" s="75"/>
      <c r="Q584" s="75"/>
      <c r="R584" s="102"/>
      <c r="S584" s="102"/>
      <c r="T584" s="102"/>
      <c r="U584" s="102"/>
      <c r="V584" s="48"/>
      <c r="W584" s="48"/>
      <c r="X584" s="48"/>
      <c r="Y584" s="48"/>
      <c r="Z584" s="47"/>
      <c r="AA584" s="70">
        <v>584</v>
      </c>
      <c r="AB584" s="70"/>
      <c r="AC584" s="71"/>
      <c r="AD584" s="86" t="s">
        <v>24206</v>
      </c>
      <c r="AE584" s="94" t="s">
        <v>23084</v>
      </c>
      <c r="AF584" s="86">
        <v>17</v>
      </c>
      <c r="AG584" s="86">
        <v>299</v>
      </c>
      <c r="AH584" s="86">
        <v>43</v>
      </c>
      <c r="AI584" s="86">
        <v>0</v>
      </c>
      <c r="AJ584" s="86">
        <v>0</v>
      </c>
      <c r="AK584" s="86">
        <v>20</v>
      </c>
      <c r="AL584" s="86" t="b">
        <v>0</v>
      </c>
      <c r="AM584" s="89">
        <v>45042.733460648145</v>
      </c>
      <c r="AN584" s="86" t="s">
        <v>26091</v>
      </c>
      <c r="AO584" s="86" t="s">
        <v>26956</v>
      </c>
      <c r="AP584" s="96" t="str">
        <f>HYPERLINK("https://t.co/gH0r8mmHWJ")</f>
        <v>https://t.co/gH0r8mmHWJ</v>
      </c>
      <c r="AQ584" s="96" t="str">
        <f>HYPERLINK("https://www.tiktok.com/@moneyvibelife")</f>
        <v>https://www.tiktok.com/@moneyvibelife</v>
      </c>
      <c r="AR584" s="86" t="s">
        <v>28303</v>
      </c>
      <c r="AS584" s="86"/>
      <c r="AT584" s="86"/>
      <c r="AU584" s="86"/>
      <c r="AV584" s="86"/>
      <c r="AW584" s="96" t="str">
        <f>HYPERLINK("https://t.co/gH0r8mmHWJ")</f>
        <v>https://t.co/gH0r8mmHWJ</v>
      </c>
      <c r="AX584" s="86" t="b">
        <v>0</v>
      </c>
      <c r="AY584" s="86"/>
      <c r="AZ584" s="86"/>
      <c r="BA584" s="86" t="b">
        <v>0</v>
      </c>
      <c r="BB584" s="86" t="b">
        <v>1</v>
      </c>
      <c r="BC584" s="86" t="b">
        <v>1</v>
      </c>
      <c r="BD584" s="86" t="b">
        <v>0</v>
      </c>
      <c r="BE584" s="86" t="b">
        <v>0</v>
      </c>
      <c r="BF584" s="86" t="b">
        <v>0</v>
      </c>
      <c r="BG584" s="86" t="b">
        <v>0</v>
      </c>
      <c r="BH584" s="96" t="str">
        <f>HYPERLINK("https://pbs.twimg.com/profile_banners/1651278979821715497/1694564440")</f>
        <v>https://pbs.twimg.com/profile_banners/1651278979821715497/1694564440</v>
      </c>
      <c r="BI584" s="86"/>
      <c r="BJ584" s="86" t="s">
        <v>29134</v>
      </c>
      <c r="BK584" s="86" t="b">
        <v>0</v>
      </c>
      <c r="BL584" s="86"/>
      <c r="BM584" s="86" t="s">
        <v>66</v>
      </c>
      <c r="BN584" s="86" t="s">
        <v>29136</v>
      </c>
      <c r="BO584" s="96" t="str">
        <f>HYPERLINK("https://twitter.com/sanches92512")</f>
        <v>https://twitter.com/sanches92512</v>
      </c>
      <c r="BP584" s="2"/>
    </row>
    <row r="585" spans="1:68" x14ac:dyDescent="0.25">
      <c r="A585" s="63" t="s">
        <v>1682</v>
      </c>
      <c r="B585" s="64"/>
      <c r="C585" s="64"/>
      <c r="D585" s="65"/>
      <c r="E585" s="67"/>
      <c r="F585" s="111" t="str">
        <f>HYPERLINK("https://pbs.twimg.com/profile_images/744637834745634816/Vw0qQpd3_normal.jpg")</f>
        <v>https://pbs.twimg.com/profile_images/744637834745634816/Vw0qQpd3_normal.jpg</v>
      </c>
      <c r="G585" s="64"/>
      <c r="H585" s="68"/>
      <c r="I585" s="69"/>
      <c r="J585" s="69"/>
      <c r="K585" s="68" t="s">
        <v>29718</v>
      </c>
      <c r="L585" s="72"/>
      <c r="M585" s="73"/>
      <c r="N585" s="73"/>
      <c r="O585" s="74"/>
      <c r="P585" s="75"/>
      <c r="Q585" s="75"/>
      <c r="R585" s="102"/>
      <c r="S585" s="102"/>
      <c r="T585" s="102"/>
      <c r="U585" s="102"/>
      <c r="V585" s="48"/>
      <c r="W585" s="48"/>
      <c r="X585" s="48"/>
      <c r="Y585" s="48"/>
      <c r="Z585" s="47"/>
      <c r="AA585" s="70">
        <v>585</v>
      </c>
      <c r="AB585" s="70"/>
      <c r="AC585" s="71"/>
      <c r="AD585" s="86" t="s">
        <v>24207</v>
      </c>
      <c r="AE585" s="94" t="s">
        <v>25447</v>
      </c>
      <c r="AF585" s="86">
        <v>2145</v>
      </c>
      <c r="AG585" s="86">
        <v>112</v>
      </c>
      <c r="AH585" s="86">
        <v>5605</v>
      </c>
      <c r="AI585" s="86">
        <v>111</v>
      </c>
      <c r="AJ585" s="86">
        <v>45</v>
      </c>
      <c r="AK585" s="86">
        <v>72</v>
      </c>
      <c r="AL585" s="86" t="b">
        <v>0</v>
      </c>
      <c r="AM585" s="89">
        <v>39269.251516203702</v>
      </c>
      <c r="AN585" s="86" t="s">
        <v>26092</v>
      </c>
      <c r="AO585" s="86" t="s">
        <v>26957</v>
      </c>
      <c r="AP585" s="96" t="str">
        <f>HYPERLINK("https://t.co/W0BrNZPzf6")</f>
        <v>https://t.co/W0BrNZPzf6</v>
      </c>
      <c r="AQ585" s="96" t="str">
        <f>HYPERLINK("http://feli.pe")</f>
        <v>http://feli.pe</v>
      </c>
      <c r="AR585" s="86" t="s">
        <v>28304</v>
      </c>
      <c r="AS585" s="86"/>
      <c r="AT585" s="86"/>
      <c r="AU585" s="86"/>
      <c r="AV585" s="86"/>
      <c r="AW585" s="96" t="str">
        <f>HYPERLINK("https://t.co/W0BrNZPzf6")</f>
        <v>https://t.co/W0BrNZPzf6</v>
      </c>
      <c r="AX585" s="86" t="b">
        <v>0</v>
      </c>
      <c r="AY585" s="86"/>
      <c r="AZ585" s="86"/>
      <c r="BA585" s="86" t="b">
        <v>0</v>
      </c>
      <c r="BB585" s="86" t="b">
        <v>1</v>
      </c>
      <c r="BC585" s="86" t="b">
        <v>0</v>
      </c>
      <c r="BD585" s="86" t="b">
        <v>0</v>
      </c>
      <c r="BE585" s="86" t="b">
        <v>1</v>
      </c>
      <c r="BF585" s="86" t="b">
        <v>0</v>
      </c>
      <c r="BG585" s="86" t="b">
        <v>0</v>
      </c>
      <c r="BH585" s="96" t="str">
        <f>HYPERLINK("https://pbs.twimg.com/profile_banners/7283842/1466370738")</f>
        <v>https://pbs.twimg.com/profile_banners/7283842/1466370738</v>
      </c>
      <c r="BI585" s="86"/>
      <c r="BJ585" s="86" t="s">
        <v>29134</v>
      </c>
      <c r="BK585" s="86" t="b">
        <v>0</v>
      </c>
      <c r="BL585" s="86"/>
      <c r="BM585" s="86" t="s">
        <v>65</v>
      </c>
      <c r="BN585" s="86" t="s">
        <v>29136</v>
      </c>
      <c r="BO585" s="96" t="str">
        <f>HYPERLINK("https://twitter.com/felipe")</f>
        <v>https://twitter.com/felipe</v>
      </c>
      <c r="BP585" s="2"/>
    </row>
    <row r="586" spans="1:68" x14ac:dyDescent="0.25">
      <c r="A586" s="63" t="s">
        <v>1683</v>
      </c>
      <c r="B586" s="64"/>
      <c r="C586" s="64"/>
      <c r="D586" s="65"/>
      <c r="E586" s="67"/>
      <c r="F586" s="111" t="str">
        <f>HYPERLINK("https://pbs.twimg.com/profile_images/1059316620840067082/iixtW1C1_normal.jpg")</f>
        <v>https://pbs.twimg.com/profile_images/1059316620840067082/iixtW1C1_normal.jpg</v>
      </c>
      <c r="G586" s="64"/>
      <c r="H586" s="68"/>
      <c r="I586" s="69"/>
      <c r="J586" s="69"/>
      <c r="K586" s="68" t="s">
        <v>29719</v>
      </c>
      <c r="L586" s="72"/>
      <c r="M586" s="73"/>
      <c r="N586" s="73"/>
      <c r="O586" s="74"/>
      <c r="P586" s="75"/>
      <c r="Q586" s="75"/>
      <c r="R586" s="102"/>
      <c r="S586" s="102"/>
      <c r="T586" s="102"/>
      <c r="U586" s="102"/>
      <c r="V586" s="48"/>
      <c r="W586" s="48"/>
      <c r="X586" s="48"/>
      <c r="Y586" s="48"/>
      <c r="Z586" s="47"/>
      <c r="AA586" s="70">
        <v>586</v>
      </c>
      <c r="AB586" s="70"/>
      <c r="AC586" s="71"/>
      <c r="AD586" s="86" t="s">
        <v>24208</v>
      </c>
      <c r="AE586" s="94" t="s">
        <v>25448</v>
      </c>
      <c r="AF586" s="86">
        <v>623976</v>
      </c>
      <c r="AG586" s="86">
        <v>1088</v>
      </c>
      <c r="AH586" s="86">
        <v>11290</v>
      </c>
      <c r="AI586" s="86">
        <v>1361</v>
      </c>
      <c r="AJ586" s="86">
        <v>1834</v>
      </c>
      <c r="AK586" s="86">
        <v>627</v>
      </c>
      <c r="AL586" s="86" t="b">
        <v>0</v>
      </c>
      <c r="AM586" s="89">
        <v>40530.824340277781</v>
      </c>
      <c r="AN586" s="86" t="s">
        <v>26093</v>
      </c>
      <c r="AO586" s="86" t="s">
        <v>26958</v>
      </c>
      <c r="AP586" s="96" t="str">
        <f>HYPERLINK("https://t.co/xuorLyIYAJ")</f>
        <v>https://t.co/xuorLyIYAJ</v>
      </c>
      <c r="AQ586" s="96" t="str">
        <f>HYPERLINK("http://wiseup.com")</f>
        <v>http://wiseup.com</v>
      </c>
      <c r="AR586" s="86" t="s">
        <v>28305</v>
      </c>
      <c r="AS586" s="86"/>
      <c r="AT586" s="86"/>
      <c r="AU586" s="86"/>
      <c r="AV586" s="86">
        <v>9.0232414384418406E+17</v>
      </c>
      <c r="AW586" s="96" t="str">
        <f>HYPERLINK("https://t.co/xuorLyIYAJ")</f>
        <v>https://t.co/xuorLyIYAJ</v>
      </c>
      <c r="AX586" s="86" t="b">
        <v>1</v>
      </c>
      <c r="AY586" s="86"/>
      <c r="AZ586" s="86"/>
      <c r="BA586" s="86" t="b">
        <v>0</v>
      </c>
      <c r="BB586" s="86" t="b">
        <v>1</v>
      </c>
      <c r="BC586" s="86" t="b">
        <v>0</v>
      </c>
      <c r="BD586" s="86" t="b">
        <v>0</v>
      </c>
      <c r="BE586" s="86" t="b">
        <v>1</v>
      </c>
      <c r="BF586" s="86" t="b">
        <v>0</v>
      </c>
      <c r="BG586" s="86" t="b">
        <v>0</v>
      </c>
      <c r="BH586" s="96" t="str">
        <f>HYPERLINK("https://pbs.twimg.com/profile_banners/228120886/1590205954")</f>
        <v>https://pbs.twimg.com/profile_banners/228120886/1590205954</v>
      </c>
      <c r="BI586" s="86"/>
      <c r="BJ586" s="86" t="s">
        <v>29134</v>
      </c>
      <c r="BK586" s="86" t="b">
        <v>0</v>
      </c>
      <c r="BL586" s="86"/>
      <c r="BM586" s="86" t="s">
        <v>65</v>
      </c>
      <c r="BN586" s="86" t="s">
        <v>29136</v>
      </c>
      <c r="BO586" s="96" t="str">
        <f>HYPERLINK("https://twitter.com/geracaodevalor")</f>
        <v>https://twitter.com/geracaodevalor</v>
      </c>
      <c r="BP586" s="2"/>
    </row>
    <row r="587" spans="1:68" x14ac:dyDescent="0.25">
      <c r="A587" s="63" t="s">
        <v>732</v>
      </c>
      <c r="B587" s="64"/>
      <c r="C587" s="64"/>
      <c r="D587" s="65"/>
      <c r="E587" s="67"/>
      <c r="F587" s="111" t="str">
        <f>HYPERLINK("https://pbs.twimg.com/profile_images/1671976695929118722/HCqmVFYi_normal.jpg")</f>
        <v>https://pbs.twimg.com/profile_images/1671976695929118722/HCqmVFYi_normal.jpg</v>
      </c>
      <c r="G587" s="64"/>
      <c r="H587" s="68"/>
      <c r="I587" s="69"/>
      <c r="J587" s="69"/>
      <c r="K587" s="68" t="s">
        <v>29720</v>
      </c>
      <c r="L587" s="72"/>
      <c r="M587" s="73"/>
      <c r="N587" s="73"/>
      <c r="O587" s="74"/>
      <c r="P587" s="75"/>
      <c r="Q587" s="75"/>
      <c r="R587" s="102"/>
      <c r="S587" s="102"/>
      <c r="T587" s="102"/>
      <c r="U587" s="102"/>
      <c r="V587" s="48"/>
      <c r="W587" s="48"/>
      <c r="X587" s="48"/>
      <c r="Y587" s="48"/>
      <c r="Z587" s="47"/>
      <c r="AA587" s="70">
        <v>587</v>
      </c>
      <c r="AB587" s="70"/>
      <c r="AC587" s="71"/>
      <c r="AD587" s="86" t="s">
        <v>24209</v>
      </c>
      <c r="AE587" s="94" t="s">
        <v>23085</v>
      </c>
      <c r="AF587" s="86">
        <v>135</v>
      </c>
      <c r="AG587" s="86">
        <v>8</v>
      </c>
      <c r="AH587" s="86">
        <v>101</v>
      </c>
      <c r="AI587" s="86">
        <v>5</v>
      </c>
      <c r="AJ587" s="86">
        <v>17</v>
      </c>
      <c r="AK587" s="86">
        <v>88</v>
      </c>
      <c r="AL587" s="86" t="b">
        <v>0</v>
      </c>
      <c r="AM587" s="89">
        <v>43581.590902777774</v>
      </c>
      <c r="AN587" s="86"/>
      <c r="AO587" s="86" t="s">
        <v>26959</v>
      </c>
      <c r="AP587" s="96" t="str">
        <f>HYPERLINK("https://t.co/S7pJPB7x6w")</f>
        <v>https://t.co/S7pJPB7x6w</v>
      </c>
      <c r="AQ587" s="96" t="str">
        <f>HYPERLINK("http://www.deputadodanielsoares.com.br")</f>
        <v>http://www.deputadodanielsoares.com.br</v>
      </c>
      <c r="AR587" s="86" t="s">
        <v>28306</v>
      </c>
      <c r="AS587" s="86"/>
      <c r="AT587" s="86"/>
      <c r="AU587" s="86"/>
      <c r="AV587" s="86"/>
      <c r="AW587" s="96" t="str">
        <f>HYPERLINK("https://t.co/S7pJPB7x6w")</f>
        <v>https://t.co/S7pJPB7x6w</v>
      </c>
      <c r="AX587" s="86" t="b">
        <v>0</v>
      </c>
      <c r="AY587" s="86"/>
      <c r="AZ587" s="86"/>
      <c r="BA587" s="86" t="b">
        <v>0</v>
      </c>
      <c r="BB587" s="86" t="b">
        <v>1</v>
      </c>
      <c r="BC587" s="86" t="b">
        <v>1</v>
      </c>
      <c r="BD587" s="86" t="b">
        <v>0</v>
      </c>
      <c r="BE587" s="86" t="b">
        <v>0</v>
      </c>
      <c r="BF587" s="86" t="b">
        <v>0</v>
      </c>
      <c r="BG587" s="86" t="b">
        <v>0</v>
      </c>
      <c r="BH587" s="96" t="str">
        <f>HYPERLINK("https://pbs.twimg.com/profile_banners/1121778683059089413/1688958528")</f>
        <v>https://pbs.twimg.com/profile_banners/1121778683059089413/1688958528</v>
      </c>
      <c r="BI587" s="86"/>
      <c r="BJ587" s="86" t="s">
        <v>29134</v>
      </c>
      <c r="BK587" s="86" t="b">
        <v>0</v>
      </c>
      <c r="BL587" s="86"/>
      <c r="BM587" s="86" t="s">
        <v>66</v>
      </c>
      <c r="BN587" s="86" t="s">
        <v>29136</v>
      </c>
      <c r="BO587" s="96" t="str">
        <f>HYPERLINK("https://twitter.com/danielbrsoares")</f>
        <v>https://twitter.com/danielbrsoares</v>
      </c>
      <c r="BP587" s="2"/>
    </row>
    <row r="588" spans="1:68" x14ac:dyDescent="0.25">
      <c r="A588" s="63" t="s">
        <v>733</v>
      </c>
      <c r="B588" s="64"/>
      <c r="C588" s="64"/>
      <c r="D588" s="65"/>
      <c r="E588" s="67"/>
      <c r="F588" s="111" t="str">
        <f>HYPERLINK("https://pbs.twimg.com/profile_images/1668308404094345216/oYbN__t1_normal.jpg")</f>
        <v>https://pbs.twimg.com/profile_images/1668308404094345216/oYbN__t1_normal.jpg</v>
      </c>
      <c r="G588" s="64"/>
      <c r="H588" s="68"/>
      <c r="I588" s="69"/>
      <c r="J588" s="69"/>
      <c r="K588" s="68" t="s">
        <v>29721</v>
      </c>
      <c r="L588" s="72"/>
      <c r="M588" s="73"/>
      <c r="N588" s="73"/>
      <c r="O588" s="74"/>
      <c r="P588" s="75"/>
      <c r="Q588" s="75"/>
      <c r="R588" s="102"/>
      <c r="S588" s="102"/>
      <c r="T588" s="102"/>
      <c r="U588" s="102"/>
      <c r="V588" s="48"/>
      <c r="W588" s="48"/>
      <c r="X588" s="48"/>
      <c r="Y588" s="48"/>
      <c r="Z588" s="47"/>
      <c r="AA588" s="70">
        <v>588</v>
      </c>
      <c r="AB588" s="70"/>
      <c r="AC588" s="71"/>
      <c r="AD588" s="86" t="s">
        <v>24210</v>
      </c>
      <c r="AE588" s="94" t="s">
        <v>23086</v>
      </c>
      <c r="AF588" s="86">
        <v>0</v>
      </c>
      <c r="AG588" s="86">
        <v>9</v>
      </c>
      <c r="AH588" s="86">
        <v>8</v>
      </c>
      <c r="AI588" s="86">
        <v>0</v>
      </c>
      <c r="AJ588" s="86">
        <v>0</v>
      </c>
      <c r="AK588" s="86">
        <v>8</v>
      </c>
      <c r="AL588" s="86" t="b">
        <v>0</v>
      </c>
      <c r="AM588" s="89">
        <v>45089.721747685187</v>
      </c>
      <c r="AN588" s="86"/>
      <c r="AO588" s="86" t="s">
        <v>26960</v>
      </c>
      <c r="AP588" s="86"/>
      <c r="AQ588" s="86"/>
      <c r="AR588" s="86"/>
      <c r="AS588" s="86"/>
      <c r="AT588" s="86"/>
      <c r="AU588" s="86"/>
      <c r="AV588" s="86"/>
      <c r="AW588" s="86"/>
      <c r="AX588" s="86" t="b">
        <v>0</v>
      </c>
      <c r="AY588" s="86"/>
      <c r="AZ588" s="86"/>
      <c r="BA588" s="86" t="b">
        <v>0</v>
      </c>
      <c r="BB588" s="86" t="b">
        <v>1</v>
      </c>
      <c r="BC588" s="86" t="b">
        <v>1</v>
      </c>
      <c r="BD588" s="86" t="b">
        <v>0</v>
      </c>
      <c r="BE588" s="86" t="b">
        <v>0</v>
      </c>
      <c r="BF588" s="86" t="b">
        <v>0</v>
      </c>
      <c r="BG588" s="86" t="b">
        <v>0</v>
      </c>
      <c r="BH588" s="96" t="str">
        <f>HYPERLINK("https://pbs.twimg.com/profile_banners/1668306911458996260/1686590695")</f>
        <v>https://pbs.twimg.com/profile_banners/1668306911458996260/1686590695</v>
      </c>
      <c r="BI588" s="86"/>
      <c r="BJ588" s="86" t="s">
        <v>29134</v>
      </c>
      <c r="BK588" s="86" t="b">
        <v>0</v>
      </c>
      <c r="BL588" s="86"/>
      <c r="BM588" s="86" t="s">
        <v>66</v>
      </c>
      <c r="BN588" s="86" t="s">
        <v>29136</v>
      </c>
      <c r="BO588" s="96" t="str">
        <f>HYPERLINK("https://twitter.com/diamantebruto_")</f>
        <v>https://twitter.com/diamantebruto_</v>
      </c>
      <c r="BP588" s="2"/>
    </row>
    <row r="589" spans="1:68" x14ac:dyDescent="0.25">
      <c r="A589" s="63" t="s">
        <v>734</v>
      </c>
      <c r="B589" s="64"/>
      <c r="C589" s="64"/>
      <c r="D589" s="65"/>
      <c r="E589" s="67"/>
      <c r="F589" s="111" t="str">
        <f>HYPERLINK("https://pbs.twimg.com/profile_images/1678100968427118594/HSB-sy8z_normal.jpg")</f>
        <v>https://pbs.twimg.com/profile_images/1678100968427118594/HSB-sy8z_normal.jpg</v>
      </c>
      <c r="G589" s="64"/>
      <c r="H589" s="68"/>
      <c r="I589" s="69"/>
      <c r="J589" s="69"/>
      <c r="K589" s="68" t="s">
        <v>29722</v>
      </c>
      <c r="L589" s="72"/>
      <c r="M589" s="73"/>
      <c r="N589" s="73"/>
      <c r="O589" s="74"/>
      <c r="P589" s="75"/>
      <c r="Q589" s="75"/>
      <c r="R589" s="102"/>
      <c r="S589" s="102"/>
      <c r="T589" s="102"/>
      <c r="U589" s="102"/>
      <c r="V589" s="48"/>
      <c r="W589" s="48"/>
      <c r="X589" s="48"/>
      <c r="Y589" s="48"/>
      <c r="Z589" s="47"/>
      <c r="AA589" s="70">
        <v>589</v>
      </c>
      <c r="AB589" s="70"/>
      <c r="AC589" s="71"/>
      <c r="AD589" s="86" t="s">
        <v>24211</v>
      </c>
      <c r="AE589" s="94" t="s">
        <v>23087</v>
      </c>
      <c r="AF589" s="86">
        <v>0</v>
      </c>
      <c r="AG589" s="86">
        <v>2</v>
      </c>
      <c r="AH589" s="86">
        <v>2</v>
      </c>
      <c r="AI589" s="86">
        <v>0</v>
      </c>
      <c r="AJ589" s="86">
        <v>0</v>
      </c>
      <c r="AK589" s="86">
        <v>2</v>
      </c>
      <c r="AL589" s="86" t="b">
        <v>0</v>
      </c>
      <c r="AM589" s="89">
        <v>45116.741851851853</v>
      </c>
      <c r="AN589" s="86" t="s">
        <v>26094</v>
      </c>
      <c r="AO589" s="86" t="s">
        <v>26961</v>
      </c>
      <c r="AP589" s="96" t="str">
        <f>HYPERLINK("https://t.co/uVnswqoQSX")</f>
        <v>https://t.co/uVnswqoQSX</v>
      </c>
      <c r="AQ589" s="96" t="str">
        <f>HYPERLINK("http://www.impressosrp.com.br")</f>
        <v>http://www.impressosrp.com.br</v>
      </c>
      <c r="AR589" s="86" t="s">
        <v>28307</v>
      </c>
      <c r="AS589" s="86"/>
      <c r="AT589" s="86"/>
      <c r="AU589" s="86"/>
      <c r="AV589" s="86"/>
      <c r="AW589" s="96" t="str">
        <f>HYPERLINK("https://t.co/uVnswqoQSX")</f>
        <v>https://t.co/uVnswqoQSX</v>
      </c>
      <c r="AX589" s="86" t="b">
        <v>0</v>
      </c>
      <c r="AY589" s="86"/>
      <c r="AZ589" s="86"/>
      <c r="BA589" s="86" t="b">
        <v>0</v>
      </c>
      <c r="BB589" s="86" t="b">
        <v>1</v>
      </c>
      <c r="BC589" s="86" t="b">
        <v>1</v>
      </c>
      <c r="BD589" s="86" t="b">
        <v>0</v>
      </c>
      <c r="BE589" s="86" t="b">
        <v>0</v>
      </c>
      <c r="BF589" s="86" t="b">
        <v>0</v>
      </c>
      <c r="BG589" s="86" t="b">
        <v>0</v>
      </c>
      <c r="BH589" s="96" t="str">
        <f>HYPERLINK("https://pbs.twimg.com/profile_banners/1678098647777521665/1688925596")</f>
        <v>https://pbs.twimg.com/profile_banners/1678098647777521665/1688925596</v>
      </c>
      <c r="BI589" s="86"/>
      <c r="BJ589" s="86" t="s">
        <v>29134</v>
      </c>
      <c r="BK589" s="86" t="b">
        <v>0</v>
      </c>
      <c r="BL589" s="86"/>
      <c r="BM589" s="86" t="s">
        <v>66</v>
      </c>
      <c r="BN589" s="86" t="s">
        <v>29136</v>
      </c>
      <c r="BO589" s="96" t="str">
        <f>HYPERLINK("https://twitter.com/impressosrp")</f>
        <v>https://twitter.com/impressosrp</v>
      </c>
      <c r="BP589" s="2"/>
    </row>
    <row r="590" spans="1:68" x14ac:dyDescent="0.25">
      <c r="A590" s="63" t="s">
        <v>735</v>
      </c>
      <c r="B590" s="64"/>
      <c r="C590" s="64"/>
      <c r="D590" s="65"/>
      <c r="E590" s="67"/>
      <c r="F590" s="111" t="str">
        <f>HYPERLINK("https://pbs.twimg.com/profile_images/1581812111239438336/IvvzS_hy_normal.jpg")</f>
        <v>https://pbs.twimg.com/profile_images/1581812111239438336/IvvzS_hy_normal.jpg</v>
      </c>
      <c r="G590" s="64"/>
      <c r="H590" s="68"/>
      <c r="I590" s="69"/>
      <c r="J590" s="69"/>
      <c r="K590" s="68" t="s">
        <v>29723</v>
      </c>
      <c r="L590" s="72"/>
      <c r="M590" s="73"/>
      <c r="N590" s="73"/>
      <c r="O590" s="74"/>
      <c r="P590" s="75"/>
      <c r="Q590" s="75"/>
      <c r="R590" s="102"/>
      <c r="S590" s="102"/>
      <c r="T590" s="102"/>
      <c r="U590" s="102"/>
      <c r="V590" s="48"/>
      <c r="W590" s="48"/>
      <c r="X590" s="48"/>
      <c r="Y590" s="48"/>
      <c r="Z590" s="47"/>
      <c r="AA590" s="70">
        <v>590</v>
      </c>
      <c r="AB590" s="70"/>
      <c r="AC590" s="71"/>
      <c r="AD590" s="86" t="s">
        <v>24212</v>
      </c>
      <c r="AE590" s="94" t="s">
        <v>25449</v>
      </c>
      <c r="AF590" s="86">
        <v>727</v>
      </c>
      <c r="AG590" s="86">
        <v>371</v>
      </c>
      <c r="AH590" s="86">
        <v>840</v>
      </c>
      <c r="AI590" s="86">
        <v>0</v>
      </c>
      <c r="AJ590" s="86">
        <v>70</v>
      </c>
      <c r="AK590" s="86">
        <v>20</v>
      </c>
      <c r="AL590" s="86" t="b">
        <v>0</v>
      </c>
      <c r="AM590" s="89">
        <v>41103.855543981481</v>
      </c>
      <c r="AN590" s="86" t="s">
        <v>26095</v>
      </c>
      <c r="AO590" s="86" t="s">
        <v>26962</v>
      </c>
      <c r="AP590" s="86"/>
      <c r="AQ590" s="86"/>
      <c r="AR590" s="86"/>
      <c r="AS590" s="86"/>
      <c r="AT590" s="86"/>
      <c r="AU590" s="86"/>
      <c r="AV590" s="86"/>
      <c r="AW590" s="86"/>
      <c r="AX590" s="86" t="b">
        <v>0</v>
      </c>
      <c r="AY590" s="86"/>
      <c r="AZ590" s="86"/>
      <c r="BA590" s="86" t="b">
        <v>1</v>
      </c>
      <c r="BB590" s="86" t="b">
        <v>1</v>
      </c>
      <c r="BC590" s="86" t="b">
        <v>0</v>
      </c>
      <c r="BD590" s="86" t="b">
        <v>0</v>
      </c>
      <c r="BE590" s="86" t="b">
        <v>0</v>
      </c>
      <c r="BF590" s="86" t="b">
        <v>0</v>
      </c>
      <c r="BG590" s="86" t="b">
        <v>0</v>
      </c>
      <c r="BH590" s="96" t="str">
        <f>HYPERLINK("https://pbs.twimg.com/profile_banners/634846619/1630627113")</f>
        <v>https://pbs.twimg.com/profile_banners/634846619/1630627113</v>
      </c>
      <c r="BI590" s="86"/>
      <c r="BJ590" s="86" t="s">
        <v>29134</v>
      </c>
      <c r="BK590" s="86" t="b">
        <v>0</v>
      </c>
      <c r="BL590" s="86"/>
      <c r="BM590" s="86" t="s">
        <v>66</v>
      </c>
      <c r="BN590" s="86" t="s">
        <v>29136</v>
      </c>
      <c r="BO590" s="96" t="str">
        <f>HYPERLINK("https://twitter.com/_mayconalmeida_")</f>
        <v>https://twitter.com/_mayconalmeida_</v>
      </c>
      <c r="BP590" s="2"/>
    </row>
    <row r="591" spans="1:68" x14ac:dyDescent="0.25">
      <c r="A591" s="63" t="s">
        <v>736</v>
      </c>
      <c r="B591" s="64"/>
      <c r="C591" s="64"/>
      <c r="D591" s="65"/>
      <c r="E591" s="67"/>
      <c r="F591" s="111" t="str">
        <f>HYPERLINK("https://pbs.twimg.com/profile_images/1349434020715761664/ezTfY9rV_normal.jpg")</f>
        <v>https://pbs.twimg.com/profile_images/1349434020715761664/ezTfY9rV_normal.jpg</v>
      </c>
      <c r="G591" s="64"/>
      <c r="H591" s="68"/>
      <c r="I591" s="69"/>
      <c r="J591" s="69"/>
      <c r="K591" s="68" t="s">
        <v>29724</v>
      </c>
      <c r="L591" s="72"/>
      <c r="M591" s="73"/>
      <c r="N591" s="73"/>
      <c r="O591" s="74"/>
      <c r="P591" s="75"/>
      <c r="Q591" s="75"/>
      <c r="R591" s="102"/>
      <c r="S591" s="102"/>
      <c r="T591" s="102"/>
      <c r="U591" s="102"/>
      <c r="V591" s="48"/>
      <c r="W591" s="48"/>
      <c r="X591" s="48"/>
      <c r="Y591" s="48"/>
      <c r="Z591" s="47"/>
      <c r="AA591" s="70">
        <v>591</v>
      </c>
      <c r="AB591" s="70"/>
      <c r="AC591" s="71"/>
      <c r="AD591" s="86" t="s">
        <v>24213</v>
      </c>
      <c r="AE591" s="94" t="s">
        <v>23088</v>
      </c>
      <c r="AF591" s="86">
        <v>66</v>
      </c>
      <c r="AG591" s="86">
        <v>117</v>
      </c>
      <c r="AH591" s="86">
        <v>1209</v>
      </c>
      <c r="AI591" s="86">
        <v>0</v>
      </c>
      <c r="AJ591" s="86">
        <v>60</v>
      </c>
      <c r="AK591" s="86">
        <v>1197</v>
      </c>
      <c r="AL591" s="86" t="b">
        <v>0</v>
      </c>
      <c r="AM591" s="89">
        <v>44019.640659722223</v>
      </c>
      <c r="AN591" s="86"/>
      <c r="AO591" s="86" t="s">
        <v>26963</v>
      </c>
      <c r="AP591" s="96" t="str">
        <f>HYPERLINK("https://t.co/Ep56krMUwK")</f>
        <v>https://t.co/Ep56krMUwK</v>
      </c>
      <c r="AQ591" s="96" t="str">
        <f>HYPERLINK("http://www.enoticiapara.com.br")</f>
        <v>http://www.enoticiapara.com.br</v>
      </c>
      <c r="AR591" s="86" t="s">
        <v>28308</v>
      </c>
      <c r="AS591" s="96" t="str">
        <f>HYPERLINK("https://t.co/vZcifW1bJF")</f>
        <v>https://t.co/vZcifW1bJF</v>
      </c>
      <c r="AT591" s="96" t="str">
        <f>HYPERLINK("http://tinyurl.com/yy5bc6zr")</f>
        <v>http://tinyurl.com/yy5bc6zr</v>
      </c>
      <c r="AU591" s="86" t="s">
        <v>29070</v>
      </c>
      <c r="AV591" s="86"/>
      <c r="AW591" s="96" t="str">
        <f>HYPERLINK("https://t.co/Ep56krMUwK")</f>
        <v>https://t.co/Ep56krMUwK</v>
      </c>
      <c r="AX591" s="86" t="b">
        <v>0</v>
      </c>
      <c r="AY591" s="86"/>
      <c r="AZ591" s="86"/>
      <c r="BA591" s="86" t="b">
        <v>0</v>
      </c>
      <c r="BB591" s="86" t="b">
        <v>1</v>
      </c>
      <c r="BC591" s="86" t="b">
        <v>1</v>
      </c>
      <c r="BD591" s="86" t="b">
        <v>0</v>
      </c>
      <c r="BE591" s="86" t="b">
        <v>0</v>
      </c>
      <c r="BF591" s="86" t="b">
        <v>0</v>
      </c>
      <c r="BG591" s="86" t="b">
        <v>0</v>
      </c>
      <c r="BH591" s="96" t="str">
        <f>HYPERLINK("https://pbs.twimg.com/profile_banners/1280522514075127817/1594135507")</f>
        <v>https://pbs.twimg.com/profile_banners/1280522514075127817/1594135507</v>
      </c>
      <c r="BI591" s="86"/>
      <c r="BJ591" s="86" t="s">
        <v>29134</v>
      </c>
      <c r="BK591" s="86" t="b">
        <v>0</v>
      </c>
      <c r="BL591" s="86"/>
      <c r="BM591" s="86" t="s">
        <v>66</v>
      </c>
      <c r="BN591" s="86" t="s">
        <v>29136</v>
      </c>
      <c r="BO591" s="96" t="str">
        <f>HYPERLINK("https://twitter.com/enoticiapara")</f>
        <v>https://twitter.com/enoticiapara</v>
      </c>
      <c r="BP591" s="2"/>
    </row>
    <row r="592" spans="1:68" x14ac:dyDescent="0.25">
      <c r="A592" s="63" t="s">
        <v>737</v>
      </c>
      <c r="B592" s="64"/>
      <c r="C592" s="64"/>
      <c r="D592" s="65"/>
      <c r="E592" s="67"/>
      <c r="F592" s="111" t="str">
        <f>HYPERLINK("https://pbs.twimg.com/profile_images/1609684618923462656/E2ta5Yo4_normal.jpg")</f>
        <v>https://pbs.twimg.com/profile_images/1609684618923462656/E2ta5Yo4_normal.jpg</v>
      </c>
      <c r="G592" s="64"/>
      <c r="H592" s="68"/>
      <c r="I592" s="69"/>
      <c r="J592" s="69"/>
      <c r="K592" s="68" t="s">
        <v>29725</v>
      </c>
      <c r="L592" s="72"/>
      <c r="M592" s="73"/>
      <c r="N592" s="73"/>
      <c r="O592" s="74"/>
      <c r="P592" s="75"/>
      <c r="Q592" s="75"/>
      <c r="R592" s="102"/>
      <c r="S592" s="102"/>
      <c r="T592" s="102"/>
      <c r="U592" s="102"/>
      <c r="V592" s="48"/>
      <c r="W592" s="48"/>
      <c r="X592" s="48"/>
      <c r="Y592" s="48"/>
      <c r="Z592" s="47"/>
      <c r="AA592" s="70">
        <v>592</v>
      </c>
      <c r="AB592" s="70"/>
      <c r="AC592" s="71"/>
      <c r="AD592" s="86" t="s">
        <v>24214</v>
      </c>
      <c r="AE592" s="94" t="s">
        <v>25450</v>
      </c>
      <c r="AF592" s="86">
        <v>346</v>
      </c>
      <c r="AG592" s="86">
        <v>198</v>
      </c>
      <c r="AH592" s="86">
        <v>9516</v>
      </c>
      <c r="AI592" s="86">
        <v>6</v>
      </c>
      <c r="AJ592" s="86">
        <v>72</v>
      </c>
      <c r="AK592" s="86">
        <v>1742</v>
      </c>
      <c r="AL592" s="86" t="b">
        <v>0</v>
      </c>
      <c r="AM592" s="89">
        <v>40023.141516203701</v>
      </c>
      <c r="AN592" s="86" t="s">
        <v>25933</v>
      </c>
      <c r="AO592" s="86" t="s">
        <v>26964</v>
      </c>
      <c r="AP592" s="96" t="str">
        <f>HYPERLINK("https://t.co/3Kf6uHFn8o")</f>
        <v>https://t.co/3Kf6uHFn8o</v>
      </c>
      <c r="AQ592" s="96" t="str">
        <f>HYPERLINK("http://www.wtvbrasil.com.br")</f>
        <v>http://www.wtvbrasil.com.br</v>
      </c>
      <c r="AR592" s="86" t="s">
        <v>28309</v>
      </c>
      <c r="AS592" s="86"/>
      <c r="AT592" s="86"/>
      <c r="AU592" s="86"/>
      <c r="AV592" s="86"/>
      <c r="AW592" s="96" t="str">
        <f>HYPERLINK("https://t.co/3Kf6uHFn8o")</f>
        <v>https://t.co/3Kf6uHFn8o</v>
      </c>
      <c r="AX592" s="86" t="b">
        <v>0</v>
      </c>
      <c r="AY592" s="86"/>
      <c r="AZ592" s="86"/>
      <c r="BA592" s="86" t="b">
        <v>0</v>
      </c>
      <c r="BB592" s="86" t="b">
        <v>1</v>
      </c>
      <c r="BC592" s="86" t="b">
        <v>0</v>
      </c>
      <c r="BD592" s="86" t="b">
        <v>0</v>
      </c>
      <c r="BE592" s="86" t="b">
        <v>0</v>
      </c>
      <c r="BF592" s="86" t="b">
        <v>0</v>
      </c>
      <c r="BG592" s="86" t="b">
        <v>0</v>
      </c>
      <c r="BH592" s="96" t="str">
        <f>HYPERLINK("https://pbs.twimg.com/profile_banners/61100164/1672623194")</f>
        <v>https://pbs.twimg.com/profile_banners/61100164/1672623194</v>
      </c>
      <c r="BI592" s="86"/>
      <c r="BJ592" s="86" t="s">
        <v>29134</v>
      </c>
      <c r="BK592" s="86" t="b">
        <v>0</v>
      </c>
      <c r="BL592" s="86"/>
      <c r="BM592" s="86" t="s">
        <v>66</v>
      </c>
      <c r="BN592" s="86" t="s">
        <v>29136</v>
      </c>
      <c r="BO592" s="96" t="str">
        <f>HYPERLINK("https://twitter.com/wtvbrasil")</f>
        <v>https://twitter.com/wtvbrasil</v>
      </c>
      <c r="BP592" s="2"/>
    </row>
    <row r="593" spans="1:68" x14ac:dyDescent="0.25">
      <c r="A593" s="63" t="s">
        <v>738</v>
      </c>
      <c r="B593" s="64"/>
      <c r="C593" s="64"/>
      <c r="D593" s="65"/>
      <c r="E593" s="67"/>
      <c r="F593" s="111" t="str">
        <f>HYPERLINK("https://pbs.twimg.com/profile_images/1150601009632358406/FdvFT4s3_normal.jpg")</f>
        <v>https://pbs.twimg.com/profile_images/1150601009632358406/FdvFT4s3_normal.jpg</v>
      </c>
      <c r="G593" s="64"/>
      <c r="H593" s="68"/>
      <c r="I593" s="69"/>
      <c r="J593" s="69"/>
      <c r="K593" s="68" t="s">
        <v>29726</v>
      </c>
      <c r="L593" s="72"/>
      <c r="M593" s="73"/>
      <c r="N593" s="73"/>
      <c r="O593" s="74"/>
      <c r="P593" s="75"/>
      <c r="Q593" s="75"/>
      <c r="R593" s="102"/>
      <c r="S593" s="102"/>
      <c r="T593" s="102"/>
      <c r="U593" s="102"/>
      <c r="V593" s="48"/>
      <c r="W593" s="48"/>
      <c r="X593" s="48"/>
      <c r="Y593" s="48"/>
      <c r="Z593" s="47"/>
      <c r="AA593" s="70">
        <v>593</v>
      </c>
      <c r="AB593" s="70"/>
      <c r="AC593" s="71"/>
      <c r="AD593" s="86" t="s">
        <v>24215</v>
      </c>
      <c r="AE593" s="94" t="s">
        <v>25451</v>
      </c>
      <c r="AF593" s="86">
        <v>5</v>
      </c>
      <c r="AG593" s="86">
        <v>73</v>
      </c>
      <c r="AH593" s="86">
        <v>213</v>
      </c>
      <c r="AI593" s="86">
        <v>0</v>
      </c>
      <c r="AJ593" s="86">
        <v>126</v>
      </c>
      <c r="AK593" s="86">
        <v>2</v>
      </c>
      <c r="AL593" s="86" t="b">
        <v>0</v>
      </c>
      <c r="AM593" s="89">
        <v>41347.842777777776</v>
      </c>
      <c r="AN593" s="86"/>
      <c r="AO593" s="86"/>
      <c r="AP593" s="86"/>
      <c r="AQ593" s="86"/>
      <c r="AR593" s="86"/>
      <c r="AS593" s="86"/>
      <c r="AT593" s="86"/>
      <c r="AU593" s="86"/>
      <c r="AV593" s="86"/>
      <c r="AW593" s="86"/>
      <c r="AX593" s="86" t="b">
        <v>0</v>
      </c>
      <c r="AY593" s="86"/>
      <c r="AZ593" s="86"/>
      <c r="BA593" s="86" t="b">
        <v>1</v>
      </c>
      <c r="BB593" s="86" t="b">
        <v>0</v>
      </c>
      <c r="BC593" s="86" t="b">
        <v>1</v>
      </c>
      <c r="BD593" s="86" t="b">
        <v>0</v>
      </c>
      <c r="BE593" s="86" t="b">
        <v>0</v>
      </c>
      <c r="BF593" s="86" t="b">
        <v>0</v>
      </c>
      <c r="BG593" s="86" t="b">
        <v>1</v>
      </c>
      <c r="BH593" s="86"/>
      <c r="BI593" s="86"/>
      <c r="BJ593" s="86" t="s">
        <v>29134</v>
      </c>
      <c r="BK593" s="86" t="b">
        <v>0</v>
      </c>
      <c r="BL593" s="86"/>
      <c r="BM593" s="86" t="s">
        <v>66</v>
      </c>
      <c r="BN593" s="86" t="s">
        <v>29136</v>
      </c>
      <c r="BO593" s="96" t="str">
        <f>HYPERLINK("https://twitter.com/danielborgesrj")</f>
        <v>https://twitter.com/danielborgesrj</v>
      </c>
      <c r="BP593" s="2"/>
    </row>
    <row r="594" spans="1:68" x14ac:dyDescent="0.25">
      <c r="A594" s="63" t="s">
        <v>739</v>
      </c>
      <c r="B594" s="64"/>
      <c r="C594" s="64"/>
      <c r="D594" s="65"/>
      <c r="E594" s="67"/>
      <c r="F594" s="111" t="str">
        <f>HYPERLINK("https://pbs.twimg.com/profile_images/1644909839448162304/z_5QFj5I_normal.jpg")</f>
        <v>https://pbs.twimg.com/profile_images/1644909839448162304/z_5QFj5I_normal.jpg</v>
      </c>
      <c r="G594" s="64"/>
      <c r="H594" s="68"/>
      <c r="I594" s="69"/>
      <c r="J594" s="69"/>
      <c r="K594" s="68" t="s">
        <v>29727</v>
      </c>
      <c r="L594" s="72"/>
      <c r="M594" s="73"/>
      <c r="N594" s="73"/>
      <c r="O594" s="74"/>
      <c r="P594" s="75"/>
      <c r="Q594" s="75"/>
      <c r="R594" s="102"/>
      <c r="S594" s="102"/>
      <c r="T594" s="102"/>
      <c r="U594" s="102"/>
      <c r="V594" s="48"/>
      <c r="W594" s="48"/>
      <c r="X594" s="48"/>
      <c r="Y594" s="48"/>
      <c r="Z594" s="47"/>
      <c r="AA594" s="70">
        <v>594</v>
      </c>
      <c r="AB594" s="70"/>
      <c r="AC594" s="71"/>
      <c r="AD594" s="86" t="s">
        <v>24216</v>
      </c>
      <c r="AE594" s="94" t="s">
        <v>23089</v>
      </c>
      <c r="AF594" s="86">
        <v>39</v>
      </c>
      <c r="AG594" s="86">
        <v>57</v>
      </c>
      <c r="AH594" s="86">
        <v>1753</v>
      </c>
      <c r="AI594" s="86">
        <v>0</v>
      </c>
      <c r="AJ594" s="86">
        <v>6</v>
      </c>
      <c r="AK594" s="86">
        <v>2</v>
      </c>
      <c r="AL594" s="86" t="b">
        <v>0</v>
      </c>
      <c r="AM594" s="89">
        <v>45016.529305555552</v>
      </c>
      <c r="AN594" s="86" t="s">
        <v>26096</v>
      </c>
      <c r="AO594" s="86" t="s">
        <v>26965</v>
      </c>
      <c r="AP594" s="96" t="str">
        <f>HYPERLINK("https://t.co/PFxSHYUzyG")</f>
        <v>https://t.co/PFxSHYUzyG</v>
      </c>
      <c r="AQ594" s="96" t="str">
        <f>HYPERLINK("https://pronewsai.com")</f>
        <v>https://pronewsai.com</v>
      </c>
      <c r="AR594" s="86" t="s">
        <v>8458</v>
      </c>
      <c r="AS594" s="86"/>
      <c r="AT594" s="86"/>
      <c r="AU594" s="86"/>
      <c r="AV594" s="86">
        <v>1.6476372983039501E+18</v>
      </c>
      <c r="AW594" s="96" t="str">
        <f>HYPERLINK("https://t.co/PFxSHYUzyG")</f>
        <v>https://t.co/PFxSHYUzyG</v>
      </c>
      <c r="AX594" s="86" t="b">
        <v>1</v>
      </c>
      <c r="AY594" s="86"/>
      <c r="AZ594" s="86"/>
      <c r="BA594" s="86" t="b">
        <v>0</v>
      </c>
      <c r="BB594" s="86" t="b">
        <v>1</v>
      </c>
      <c r="BC594" s="86" t="b">
        <v>1</v>
      </c>
      <c r="BD594" s="86" t="b">
        <v>0</v>
      </c>
      <c r="BE594" s="86" t="b">
        <v>0</v>
      </c>
      <c r="BF594" s="86" t="b">
        <v>0</v>
      </c>
      <c r="BG594" s="86" t="b">
        <v>0</v>
      </c>
      <c r="BH594" s="96" t="str">
        <f>HYPERLINK("https://pbs.twimg.com/profile_banners/1641782872993300480/1681012139")</f>
        <v>https://pbs.twimg.com/profile_banners/1641782872993300480/1681012139</v>
      </c>
      <c r="BI594" s="86"/>
      <c r="BJ594" s="86" t="s">
        <v>29134</v>
      </c>
      <c r="BK594" s="86" t="b">
        <v>0</v>
      </c>
      <c r="BL594" s="86"/>
      <c r="BM594" s="86" t="s">
        <v>66</v>
      </c>
      <c r="BN594" s="86" t="s">
        <v>29136</v>
      </c>
      <c r="BO594" s="96" t="str">
        <f>HYPERLINK("https://twitter.com/pronewsai")</f>
        <v>https://twitter.com/pronewsai</v>
      </c>
      <c r="BP594" s="2"/>
    </row>
    <row r="595" spans="1:68" x14ac:dyDescent="0.25">
      <c r="A595" s="63" t="s">
        <v>740</v>
      </c>
      <c r="B595" s="64"/>
      <c r="C595" s="64"/>
      <c r="D595" s="65"/>
      <c r="E595" s="67"/>
      <c r="F595" s="111" t="str">
        <f>HYPERLINK("https://pbs.twimg.com/profile_images/1686739967152713728/N7vgEBdF_normal.jpg")</f>
        <v>https://pbs.twimg.com/profile_images/1686739967152713728/N7vgEBdF_normal.jpg</v>
      </c>
      <c r="G595" s="64"/>
      <c r="H595" s="68"/>
      <c r="I595" s="69"/>
      <c r="J595" s="69"/>
      <c r="K595" s="68" t="s">
        <v>29728</v>
      </c>
      <c r="L595" s="72"/>
      <c r="M595" s="73"/>
      <c r="N595" s="73"/>
      <c r="O595" s="74"/>
      <c r="P595" s="75"/>
      <c r="Q595" s="75"/>
      <c r="R595" s="102"/>
      <c r="S595" s="102"/>
      <c r="T595" s="102"/>
      <c r="U595" s="102"/>
      <c r="V595" s="48"/>
      <c r="W595" s="48"/>
      <c r="X595" s="48"/>
      <c r="Y595" s="48"/>
      <c r="Z595" s="47"/>
      <c r="AA595" s="70">
        <v>595</v>
      </c>
      <c r="AB595" s="70"/>
      <c r="AC595" s="71"/>
      <c r="AD595" s="86" t="s">
        <v>24217</v>
      </c>
      <c r="AE595" s="94" t="s">
        <v>23090</v>
      </c>
      <c r="AF595" s="86">
        <v>46</v>
      </c>
      <c r="AG595" s="86">
        <v>211</v>
      </c>
      <c r="AH595" s="86">
        <v>2455</v>
      </c>
      <c r="AI595" s="86">
        <v>0</v>
      </c>
      <c r="AJ595" s="86">
        <v>1525</v>
      </c>
      <c r="AK595" s="86">
        <v>1189</v>
      </c>
      <c r="AL595" s="86" t="b">
        <v>0</v>
      </c>
      <c r="AM595" s="89">
        <v>44792.65116898148</v>
      </c>
      <c r="AN595" s="86" t="s">
        <v>26097</v>
      </c>
      <c r="AO595" s="86"/>
      <c r="AP595" s="86"/>
      <c r="AQ595" s="86"/>
      <c r="AR595" s="86"/>
      <c r="AS595" s="86"/>
      <c r="AT595" s="86"/>
      <c r="AU595" s="86"/>
      <c r="AV595" s="86">
        <v>1.6838776274199301E+18</v>
      </c>
      <c r="AW595" s="86"/>
      <c r="AX595" s="86" t="b">
        <v>0</v>
      </c>
      <c r="AY595" s="86"/>
      <c r="AZ595" s="86"/>
      <c r="BA595" s="86" t="b">
        <v>0</v>
      </c>
      <c r="BB595" s="86" t="b">
        <v>1</v>
      </c>
      <c r="BC595" s="86" t="b">
        <v>1</v>
      </c>
      <c r="BD595" s="86" t="b">
        <v>0</v>
      </c>
      <c r="BE595" s="86" t="b">
        <v>0</v>
      </c>
      <c r="BF595" s="86" t="b">
        <v>0</v>
      </c>
      <c r="BG595" s="86" t="b">
        <v>0</v>
      </c>
      <c r="BH595" s="96" t="str">
        <f>HYPERLINK("https://pbs.twimg.com/profile_banners/1560652140959391744/1694944619")</f>
        <v>https://pbs.twimg.com/profile_banners/1560652140959391744/1694944619</v>
      </c>
      <c r="BI595" s="86"/>
      <c r="BJ595" s="86" t="s">
        <v>29134</v>
      </c>
      <c r="BK595" s="86" t="b">
        <v>0</v>
      </c>
      <c r="BL595" s="86"/>
      <c r="BM595" s="86" t="s">
        <v>66</v>
      </c>
      <c r="BN595" s="86" t="s">
        <v>29136</v>
      </c>
      <c r="BO595" s="96" t="str">
        <f>HYPERLINK("https://twitter.com/celsoteixeiraaa")</f>
        <v>https://twitter.com/celsoteixeiraaa</v>
      </c>
      <c r="BP595" s="2"/>
    </row>
    <row r="596" spans="1:68" x14ac:dyDescent="0.25">
      <c r="A596" s="63" t="s">
        <v>741</v>
      </c>
      <c r="B596" s="64"/>
      <c r="C596" s="64"/>
      <c r="D596" s="65"/>
      <c r="E596" s="67"/>
      <c r="F596" s="111" t="str">
        <f>HYPERLINK("https://pbs.twimg.com/profile_images/1518751089000169472/uVseSWYd_normal.jpg")</f>
        <v>https://pbs.twimg.com/profile_images/1518751089000169472/uVseSWYd_normal.jpg</v>
      </c>
      <c r="G596" s="64"/>
      <c r="H596" s="68"/>
      <c r="I596" s="69"/>
      <c r="J596" s="69"/>
      <c r="K596" s="68" t="s">
        <v>29729</v>
      </c>
      <c r="L596" s="72"/>
      <c r="M596" s="73"/>
      <c r="N596" s="73"/>
      <c r="O596" s="74"/>
      <c r="P596" s="75"/>
      <c r="Q596" s="75"/>
      <c r="R596" s="102"/>
      <c r="S596" s="102"/>
      <c r="T596" s="102"/>
      <c r="U596" s="102"/>
      <c r="V596" s="48"/>
      <c r="W596" s="48"/>
      <c r="X596" s="48"/>
      <c r="Y596" s="48"/>
      <c r="Z596" s="47"/>
      <c r="AA596" s="70">
        <v>596</v>
      </c>
      <c r="AB596" s="70"/>
      <c r="AC596" s="71"/>
      <c r="AD596" s="86" t="s">
        <v>24218</v>
      </c>
      <c r="AE596" s="94" t="s">
        <v>25452</v>
      </c>
      <c r="AF596" s="86">
        <v>175</v>
      </c>
      <c r="AG596" s="86">
        <v>72</v>
      </c>
      <c r="AH596" s="86">
        <v>14007</v>
      </c>
      <c r="AI596" s="86">
        <v>14</v>
      </c>
      <c r="AJ596" s="86">
        <v>755</v>
      </c>
      <c r="AK596" s="86">
        <v>931</v>
      </c>
      <c r="AL596" s="86" t="b">
        <v>0</v>
      </c>
      <c r="AM596" s="89">
        <v>41101.762395833335</v>
      </c>
      <c r="AN596" s="86" t="s">
        <v>26098</v>
      </c>
      <c r="AO596" s="86" t="s">
        <v>26966</v>
      </c>
      <c r="AP596" s="96" t="str">
        <f>HYPERLINK("https://t.co/8b6lCAmy8c")</f>
        <v>https://t.co/8b6lCAmy8c</v>
      </c>
      <c r="AQ596" s="96" t="str">
        <f>HYPERLINK("https://cristianethiel.com.br/")</f>
        <v>https://cristianethiel.com.br/</v>
      </c>
      <c r="AR596" s="86" t="s">
        <v>28310</v>
      </c>
      <c r="AS596" s="86"/>
      <c r="AT596" s="86"/>
      <c r="AU596" s="86"/>
      <c r="AV596" s="86"/>
      <c r="AW596" s="96" t="str">
        <f>HYPERLINK("https://t.co/8b6lCAmy8c")</f>
        <v>https://t.co/8b6lCAmy8c</v>
      </c>
      <c r="AX596" s="86" t="b">
        <v>0</v>
      </c>
      <c r="AY596" s="86"/>
      <c r="AZ596" s="86"/>
      <c r="BA596" s="86" t="b">
        <v>0</v>
      </c>
      <c r="BB596" s="86" t="b">
        <v>1</v>
      </c>
      <c r="BC596" s="86" t="b">
        <v>0</v>
      </c>
      <c r="BD596" s="86" t="b">
        <v>0</v>
      </c>
      <c r="BE596" s="86" t="b">
        <v>0</v>
      </c>
      <c r="BF596" s="86" t="b">
        <v>0</v>
      </c>
      <c r="BG596" s="86" t="b">
        <v>0</v>
      </c>
      <c r="BH596" s="96" t="str">
        <f>HYPERLINK("https://pbs.twimg.com/profile_banners/633185853/1650934693")</f>
        <v>https://pbs.twimg.com/profile_banners/633185853/1650934693</v>
      </c>
      <c r="BI596" s="86"/>
      <c r="BJ596" s="86" t="s">
        <v>29134</v>
      </c>
      <c r="BK596" s="86" t="b">
        <v>0</v>
      </c>
      <c r="BL596" s="86"/>
      <c r="BM596" s="86" t="s">
        <v>66</v>
      </c>
      <c r="BN596" s="86" t="s">
        <v>29136</v>
      </c>
      <c r="BO596" s="96" t="str">
        <f>HYPERLINK("https://twitter.com/brandingthiel")</f>
        <v>https://twitter.com/brandingthiel</v>
      </c>
      <c r="BP596" s="2"/>
    </row>
    <row r="597" spans="1:68" x14ac:dyDescent="0.25">
      <c r="A597" s="63" t="s">
        <v>742</v>
      </c>
      <c r="B597" s="64"/>
      <c r="C597" s="64"/>
      <c r="D597" s="65"/>
      <c r="E597" s="67"/>
      <c r="F597" s="111" t="str">
        <f>HYPERLINK("https://pbs.twimg.com/profile_images/1676970777726562304/bIvnuYOB_normal.jpg")</f>
        <v>https://pbs.twimg.com/profile_images/1676970777726562304/bIvnuYOB_normal.jpg</v>
      </c>
      <c r="G597" s="64"/>
      <c r="H597" s="68"/>
      <c r="I597" s="69"/>
      <c r="J597" s="69"/>
      <c r="K597" s="68" t="s">
        <v>29730</v>
      </c>
      <c r="L597" s="72"/>
      <c r="M597" s="73"/>
      <c r="N597" s="73"/>
      <c r="O597" s="74"/>
      <c r="P597" s="75"/>
      <c r="Q597" s="75"/>
      <c r="R597" s="102"/>
      <c r="S597" s="102"/>
      <c r="T597" s="102"/>
      <c r="U597" s="102"/>
      <c r="V597" s="48"/>
      <c r="W597" s="48"/>
      <c r="X597" s="48"/>
      <c r="Y597" s="48"/>
      <c r="Z597" s="47"/>
      <c r="AA597" s="70">
        <v>597</v>
      </c>
      <c r="AB597" s="70"/>
      <c r="AC597" s="71"/>
      <c r="AD597" s="86" t="s">
        <v>24219</v>
      </c>
      <c r="AE597" s="94" t="s">
        <v>22569</v>
      </c>
      <c r="AF597" s="86">
        <v>148686</v>
      </c>
      <c r="AG597" s="86">
        <v>136</v>
      </c>
      <c r="AH597" s="86">
        <v>18246</v>
      </c>
      <c r="AI597" s="86">
        <v>138</v>
      </c>
      <c r="AJ597" s="86">
        <v>894</v>
      </c>
      <c r="AK597" s="86">
        <v>9607</v>
      </c>
      <c r="AL597" s="86" t="b">
        <v>0</v>
      </c>
      <c r="AM597" s="89">
        <v>41373.860798611109</v>
      </c>
      <c r="AN597" s="86" t="s">
        <v>25956</v>
      </c>
      <c r="AO597" s="86" t="s">
        <v>26967</v>
      </c>
      <c r="AP597" s="96" t="str">
        <f>HYPERLINK("https://t.co/EB8nJijr85")</f>
        <v>https://t.co/EB8nJijr85</v>
      </c>
      <c r="AQ597" s="96" t="str">
        <f>HYPERLINK("http://niteroi.rj.gov.br")</f>
        <v>http://niteroi.rj.gov.br</v>
      </c>
      <c r="AR597" s="86" t="s">
        <v>28311</v>
      </c>
      <c r="AS597" s="86"/>
      <c r="AT597" s="86"/>
      <c r="AU597" s="86"/>
      <c r="AV597" s="86"/>
      <c r="AW597" s="96" t="str">
        <f>HYPERLINK("https://t.co/EB8nJijr85")</f>
        <v>https://t.co/EB8nJijr85</v>
      </c>
      <c r="AX597" s="86" t="b">
        <v>0</v>
      </c>
      <c r="AY597" s="86"/>
      <c r="AZ597" s="86"/>
      <c r="BA597" s="86" t="b">
        <v>0</v>
      </c>
      <c r="BB597" s="86" t="b">
        <v>0</v>
      </c>
      <c r="BC597" s="86" t="b">
        <v>0</v>
      </c>
      <c r="BD597" s="86" t="b">
        <v>0</v>
      </c>
      <c r="BE597" s="86" t="b">
        <v>1</v>
      </c>
      <c r="BF597" s="86" t="b">
        <v>0</v>
      </c>
      <c r="BG597" s="86" t="b">
        <v>0</v>
      </c>
      <c r="BH597" s="96" t="str">
        <f>HYPERLINK("https://pbs.twimg.com/profile_banners/1340156732/1649169255")</f>
        <v>https://pbs.twimg.com/profile_banners/1340156732/1649169255</v>
      </c>
      <c r="BI597" s="86"/>
      <c r="BJ597" s="86" t="s">
        <v>29134</v>
      </c>
      <c r="BK597" s="86" t="b">
        <v>0</v>
      </c>
      <c r="BL597" s="86"/>
      <c r="BM597" s="86" t="s">
        <v>66</v>
      </c>
      <c r="BN597" s="86" t="s">
        <v>29136</v>
      </c>
      <c r="BO597" s="96" t="str">
        <f>HYPERLINK("https://twitter.com/niteroipref")</f>
        <v>https://twitter.com/niteroipref</v>
      </c>
      <c r="BP597" s="2"/>
    </row>
    <row r="598" spans="1:68" x14ac:dyDescent="0.25">
      <c r="A598" s="63" t="s">
        <v>743</v>
      </c>
      <c r="B598" s="64"/>
      <c r="C598" s="64"/>
      <c r="D598" s="65"/>
      <c r="E598" s="67"/>
      <c r="F598" s="111" t="str">
        <f>HYPERLINK("https://pbs.twimg.com/profile_images/1320469488173797381/dpPod5D-_normal.jpg")</f>
        <v>https://pbs.twimg.com/profile_images/1320469488173797381/dpPod5D-_normal.jpg</v>
      </c>
      <c r="G598" s="64"/>
      <c r="H598" s="68"/>
      <c r="I598" s="69"/>
      <c r="J598" s="69"/>
      <c r="K598" s="68" t="s">
        <v>29731</v>
      </c>
      <c r="L598" s="72"/>
      <c r="M598" s="73"/>
      <c r="N598" s="73"/>
      <c r="O598" s="74"/>
      <c r="P598" s="75"/>
      <c r="Q598" s="75"/>
      <c r="R598" s="102"/>
      <c r="S598" s="102"/>
      <c r="T598" s="102"/>
      <c r="U598" s="102"/>
      <c r="V598" s="48"/>
      <c r="W598" s="48"/>
      <c r="X598" s="48"/>
      <c r="Y598" s="48"/>
      <c r="Z598" s="47"/>
      <c r="AA598" s="70">
        <v>598</v>
      </c>
      <c r="AB598" s="70"/>
      <c r="AC598" s="71"/>
      <c r="AD598" s="86" t="s">
        <v>24220</v>
      </c>
      <c r="AE598" s="94" t="s">
        <v>23091</v>
      </c>
      <c r="AF598" s="86">
        <v>355</v>
      </c>
      <c r="AG598" s="86">
        <v>2249</v>
      </c>
      <c r="AH598" s="86">
        <v>601</v>
      </c>
      <c r="AI598" s="86">
        <v>3</v>
      </c>
      <c r="AJ598" s="86">
        <v>35</v>
      </c>
      <c r="AK598" s="86">
        <v>482</v>
      </c>
      <c r="AL598" s="86" t="b">
        <v>0</v>
      </c>
      <c r="AM598" s="89">
        <v>43830.659594907411</v>
      </c>
      <c r="AN598" s="86" t="s">
        <v>26099</v>
      </c>
      <c r="AO598" s="86" t="s">
        <v>26968</v>
      </c>
      <c r="AP598" s="96" t="str">
        <f>HYPERLINK("https://t.co/SiRyvtcLQp")</f>
        <v>https://t.co/SiRyvtcLQp</v>
      </c>
      <c r="AQ598" s="96" t="str">
        <f>HYPERLINK("https://www.coddymoda.com/")</f>
        <v>https://www.coddymoda.com/</v>
      </c>
      <c r="AR598" s="86" t="s">
        <v>28312</v>
      </c>
      <c r="AS598" s="86"/>
      <c r="AT598" s="86"/>
      <c r="AU598" s="86"/>
      <c r="AV598" s="86">
        <v>1.4150169934980401E+18</v>
      </c>
      <c r="AW598" s="96" t="str">
        <f>HYPERLINK("https://t.co/SiRyvtcLQp")</f>
        <v>https://t.co/SiRyvtcLQp</v>
      </c>
      <c r="AX598" s="86" t="b">
        <v>0</v>
      </c>
      <c r="AY598" s="86"/>
      <c r="AZ598" s="86"/>
      <c r="BA598" s="86" t="b">
        <v>1</v>
      </c>
      <c r="BB598" s="86" t="b">
        <v>1</v>
      </c>
      <c r="BC598" s="86" t="b">
        <v>1</v>
      </c>
      <c r="BD598" s="86" t="b">
        <v>0</v>
      </c>
      <c r="BE598" s="86" t="b">
        <v>1</v>
      </c>
      <c r="BF598" s="86" t="b">
        <v>0</v>
      </c>
      <c r="BG598" s="86" t="b">
        <v>0</v>
      </c>
      <c r="BH598" s="96" t="str">
        <f>HYPERLINK("https://pbs.twimg.com/profile_banners/1212038027930787843/1586274375")</f>
        <v>https://pbs.twimg.com/profile_banners/1212038027930787843/1586274375</v>
      </c>
      <c r="BI598" s="86"/>
      <c r="BJ598" s="86" t="s">
        <v>29134</v>
      </c>
      <c r="BK598" s="86" t="b">
        <v>0</v>
      </c>
      <c r="BL598" s="86"/>
      <c r="BM598" s="86" t="s">
        <v>66</v>
      </c>
      <c r="BN598" s="86" t="s">
        <v>29136</v>
      </c>
      <c r="BO598" s="96" t="str">
        <f>HYPERLINK("https://twitter.com/coddymoda")</f>
        <v>https://twitter.com/coddymoda</v>
      </c>
      <c r="BP598" s="2"/>
    </row>
    <row r="599" spans="1:68" x14ac:dyDescent="0.25">
      <c r="A599" s="63" t="s">
        <v>744</v>
      </c>
      <c r="B599" s="64"/>
      <c r="C599" s="64"/>
      <c r="D599" s="65"/>
      <c r="E599" s="67"/>
      <c r="F599" s="111" t="str">
        <f>HYPERLINK("https://abs.twimg.com/sticky/default_profile_images/default_profile_normal.png")</f>
        <v>https://abs.twimg.com/sticky/default_profile_images/default_profile_normal.png</v>
      </c>
      <c r="G599" s="64"/>
      <c r="H599" s="68"/>
      <c r="I599" s="69"/>
      <c r="J599" s="69"/>
      <c r="K599" s="68" t="s">
        <v>29732</v>
      </c>
      <c r="L599" s="72"/>
      <c r="M599" s="73"/>
      <c r="N599" s="73"/>
      <c r="O599" s="74"/>
      <c r="P599" s="75"/>
      <c r="Q599" s="75"/>
      <c r="R599" s="102"/>
      <c r="S599" s="102"/>
      <c r="T599" s="102"/>
      <c r="U599" s="102"/>
      <c r="V599" s="48"/>
      <c r="W599" s="48"/>
      <c r="X599" s="48"/>
      <c r="Y599" s="48"/>
      <c r="Z599" s="47"/>
      <c r="AA599" s="70">
        <v>599</v>
      </c>
      <c r="AB599" s="70"/>
      <c r="AC599" s="71"/>
      <c r="AD599" s="86" t="s">
        <v>24221</v>
      </c>
      <c r="AE599" s="94" t="s">
        <v>25453</v>
      </c>
      <c r="AF599" s="86">
        <v>8</v>
      </c>
      <c r="AG599" s="86">
        <v>15</v>
      </c>
      <c r="AH599" s="86">
        <v>266</v>
      </c>
      <c r="AI599" s="86">
        <v>0</v>
      </c>
      <c r="AJ599" s="86">
        <v>3</v>
      </c>
      <c r="AK599" s="86">
        <v>17</v>
      </c>
      <c r="AL599" s="86" t="b">
        <v>0</v>
      </c>
      <c r="AM599" s="89">
        <v>41711.759328703702</v>
      </c>
      <c r="AN599" s="86" t="s">
        <v>26100</v>
      </c>
      <c r="AO599" s="86" t="s">
        <v>26969</v>
      </c>
      <c r="AP599" s="86"/>
      <c r="AQ599" s="86"/>
      <c r="AR599" s="86"/>
      <c r="AS599" s="86"/>
      <c r="AT599" s="86"/>
      <c r="AU599" s="86"/>
      <c r="AV599" s="86"/>
      <c r="AW599" s="86"/>
      <c r="AX599" s="86" t="b">
        <v>0</v>
      </c>
      <c r="AY599" s="86"/>
      <c r="AZ599" s="86"/>
      <c r="BA599" s="86" t="b">
        <v>0</v>
      </c>
      <c r="BB599" s="86" t="b">
        <v>1</v>
      </c>
      <c r="BC599" s="86" t="b">
        <v>1</v>
      </c>
      <c r="BD599" s="86" t="b">
        <v>1</v>
      </c>
      <c r="BE599" s="86" t="b">
        <v>0</v>
      </c>
      <c r="BF599" s="86" t="b">
        <v>0</v>
      </c>
      <c r="BG599" s="86" t="b">
        <v>0</v>
      </c>
      <c r="BH599" s="86"/>
      <c r="BI599" s="86"/>
      <c r="BJ599" s="86" t="s">
        <v>29134</v>
      </c>
      <c r="BK599" s="86" t="b">
        <v>0</v>
      </c>
      <c r="BL599" s="86"/>
      <c r="BM599" s="86" t="s">
        <v>66</v>
      </c>
      <c r="BN599" s="86" t="s">
        <v>29136</v>
      </c>
      <c r="BO599" s="96" t="str">
        <f>HYPERLINK("https://twitter.com/dcconsultorias")</f>
        <v>https://twitter.com/dcconsultorias</v>
      </c>
      <c r="BP599" s="2"/>
    </row>
    <row r="600" spans="1:68" x14ac:dyDescent="0.25">
      <c r="A600" s="63" t="s">
        <v>745</v>
      </c>
      <c r="B600" s="64"/>
      <c r="C600" s="64"/>
      <c r="D600" s="65"/>
      <c r="E600" s="67"/>
      <c r="F600" s="111" t="str">
        <f>HYPERLINK("https://pbs.twimg.com/profile_images/810199924239454208/nF73AlL1_normal.jpg")</f>
        <v>https://pbs.twimg.com/profile_images/810199924239454208/nF73AlL1_normal.jpg</v>
      </c>
      <c r="G600" s="64"/>
      <c r="H600" s="68"/>
      <c r="I600" s="69"/>
      <c r="J600" s="69"/>
      <c r="K600" s="68" t="s">
        <v>29733</v>
      </c>
      <c r="L600" s="72"/>
      <c r="M600" s="73"/>
      <c r="N600" s="73"/>
      <c r="O600" s="74"/>
      <c r="P600" s="75"/>
      <c r="Q600" s="75"/>
      <c r="R600" s="102"/>
      <c r="S600" s="102"/>
      <c r="T600" s="102"/>
      <c r="U600" s="102"/>
      <c r="V600" s="48"/>
      <c r="W600" s="48"/>
      <c r="X600" s="48"/>
      <c r="Y600" s="48"/>
      <c r="Z600" s="47"/>
      <c r="AA600" s="70">
        <v>600</v>
      </c>
      <c r="AB600" s="70"/>
      <c r="AC600" s="71"/>
      <c r="AD600" s="86" t="s">
        <v>24222</v>
      </c>
      <c r="AE600" s="94" t="s">
        <v>25454</v>
      </c>
      <c r="AF600" s="86">
        <v>225</v>
      </c>
      <c r="AG600" s="86">
        <v>2202</v>
      </c>
      <c r="AH600" s="86">
        <v>9611</v>
      </c>
      <c r="AI600" s="86">
        <v>13</v>
      </c>
      <c r="AJ600" s="86">
        <v>4926</v>
      </c>
      <c r="AK600" s="86">
        <v>316</v>
      </c>
      <c r="AL600" s="86" t="b">
        <v>0</v>
      </c>
      <c r="AM600" s="89">
        <v>41594.967592592591</v>
      </c>
      <c r="AN600" s="86" t="s">
        <v>15372</v>
      </c>
      <c r="AO600" s="86" t="s">
        <v>26970</v>
      </c>
      <c r="AP600" s="86"/>
      <c r="AQ600" s="86"/>
      <c r="AR600" s="86"/>
      <c r="AS600" s="86"/>
      <c r="AT600" s="86"/>
      <c r="AU600" s="86"/>
      <c r="AV600" s="86"/>
      <c r="AW600" s="86"/>
      <c r="AX600" s="86" t="b">
        <v>0</v>
      </c>
      <c r="AY600" s="86"/>
      <c r="AZ600" s="86"/>
      <c r="BA600" s="86" t="b">
        <v>1</v>
      </c>
      <c r="BB600" s="86" t="b">
        <v>1</v>
      </c>
      <c r="BC600" s="86" t="b">
        <v>1</v>
      </c>
      <c r="BD600" s="86" t="b">
        <v>0</v>
      </c>
      <c r="BE600" s="86" t="b">
        <v>1</v>
      </c>
      <c r="BF600" s="86" t="b">
        <v>0</v>
      </c>
      <c r="BG600" s="86" t="b">
        <v>0</v>
      </c>
      <c r="BH600" s="96" t="str">
        <f>HYPERLINK("https://pbs.twimg.com/profile_banners/2183843873/1461547292")</f>
        <v>https://pbs.twimg.com/profile_banners/2183843873/1461547292</v>
      </c>
      <c r="BI600" s="86"/>
      <c r="BJ600" s="86" t="s">
        <v>29134</v>
      </c>
      <c r="BK600" s="86" t="b">
        <v>0</v>
      </c>
      <c r="BL600" s="86"/>
      <c r="BM600" s="86" t="s">
        <v>66</v>
      </c>
      <c r="BN600" s="86" t="s">
        <v>29136</v>
      </c>
      <c r="BO600" s="96" t="str">
        <f>HYPERLINK("https://twitter.com/gpaivacfpaiva")</f>
        <v>https://twitter.com/gpaivacfpaiva</v>
      </c>
      <c r="BP600" s="2"/>
    </row>
    <row r="601" spans="1:68" x14ac:dyDescent="0.25">
      <c r="A601" s="63" t="s">
        <v>746</v>
      </c>
      <c r="B601" s="64"/>
      <c r="C601" s="64"/>
      <c r="D601" s="65"/>
      <c r="E601" s="67"/>
      <c r="F601" s="111" t="str">
        <f>HYPERLINK("https://pbs.twimg.com/profile_images/1681077869571604480/agdH3VR9_normal.jpg")</f>
        <v>https://pbs.twimg.com/profile_images/1681077869571604480/agdH3VR9_normal.jpg</v>
      </c>
      <c r="G601" s="64"/>
      <c r="H601" s="68"/>
      <c r="I601" s="69"/>
      <c r="J601" s="69"/>
      <c r="K601" s="68" t="s">
        <v>29734</v>
      </c>
      <c r="L601" s="72"/>
      <c r="M601" s="73"/>
      <c r="N601" s="73"/>
      <c r="O601" s="74"/>
      <c r="P601" s="75"/>
      <c r="Q601" s="75"/>
      <c r="R601" s="102"/>
      <c r="S601" s="102"/>
      <c r="T601" s="102"/>
      <c r="U601" s="102"/>
      <c r="V601" s="48"/>
      <c r="W601" s="48"/>
      <c r="X601" s="48"/>
      <c r="Y601" s="48"/>
      <c r="Z601" s="47"/>
      <c r="AA601" s="70">
        <v>601</v>
      </c>
      <c r="AB601" s="70"/>
      <c r="AC601" s="71"/>
      <c r="AD601" s="86" t="s">
        <v>24223</v>
      </c>
      <c r="AE601" s="94" t="s">
        <v>22570</v>
      </c>
      <c r="AF601" s="86">
        <v>439</v>
      </c>
      <c r="AG601" s="86">
        <v>770</v>
      </c>
      <c r="AH601" s="86">
        <v>45055</v>
      </c>
      <c r="AI601" s="86">
        <v>4</v>
      </c>
      <c r="AJ601" s="86">
        <v>162417</v>
      </c>
      <c r="AK601" s="86">
        <v>2309</v>
      </c>
      <c r="AL601" s="86" t="b">
        <v>0</v>
      </c>
      <c r="AM601" s="89">
        <v>43741.981516203705</v>
      </c>
      <c r="AN601" s="86" t="s">
        <v>26101</v>
      </c>
      <c r="AO601" s="86" t="s">
        <v>26971</v>
      </c>
      <c r="AP601" s="96" t="str">
        <f>HYPERLINK("https://t.co/2P9RSEJTHJ")</f>
        <v>https://t.co/2P9RSEJTHJ</v>
      </c>
      <c r="AQ601" s="96" t="str">
        <f>HYPERLINK("https://billala.carrd.co")</f>
        <v>https://billala.carrd.co</v>
      </c>
      <c r="AR601" s="86" t="s">
        <v>28313</v>
      </c>
      <c r="AS601" s="86"/>
      <c r="AT601" s="86"/>
      <c r="AU601" s="86"/>
      <c r="AV601" s="86">
        <v>1.68154417928801E+18</v>
      </c>
      <c r="AW601" s="96" t="str">
        <f>HYPERLINK("https://t.co/2P9RSEJTHJ")</f>
        <v>https://t.co/2P9RSEJTHJ</v>
      </c>
      <c r="AX601" s="86" t="b">
        <v>0</v>
      </c>
      <c r="AY601" s="86"/>
      <c r="AZ601" s="86"/>
      <c r="BA601" s="86" t="b">
        <v>1</v>
      </c>
      <c r="BB601" s="86" t="b">
        <v>1</v>
      </c>
      <c r="BC601" s="86" t="b">
        <v>1</v>
      </c>
      <c r="BD601" s="86" t="b">
        <v>0</v>
      </c>
      <c r="BE601" s="86" t="b">
        <v>1</v>
      </c>
      <c r="BF601" s="86" t="b">
        <v>0</v>
      </c>
      <c r="BG601" s="86" t="b">
        <v>0</v>
      </c>
      <c r="BH601" s="96" t="str">
        <f>HYPERLINK("https://pbs.twimg.com/profile_banners/1179902250342334469/1689635172")</f>
        <v>https://pbs.twimg.com/profile_banners/1179902250342334469/1689635172</v>
      </c>
      <c r="BI601" s="86"/>
      <c r="BJ601" s="86" t="s">
        <v>29134</v>
      </c>
      <c r="BK601" s="86" t="b">
        <v>0</v>
      </c>
      <c r="BL601" s="86"/>
      <c r="BM601" s="86" t="s">
        <v>66</v>
      </c>
      <c r="BN601" s="86" t="s">
        <v>29136</v>
      </c>
      <c r="BO601" s="96" t="str">
        <f>HYPERLINK("https://twitter.com/beebeey_")</f>
        <v>https://twitter.com/beebeey_</v>
      </c>
      <c r="BP601" s="2"/>
    </row>
    <row r="602" spans="1:68" x14ac:dyDescent="0.25">
      <c r="A602" s="63" t="s">
        <v>747</v>
      </c>
      <c r="B602" s="64"/>
      <c r="C602" s="64"/>
      <c r="D602" s="65"/>
      <c r="E602" s="67"/>
      <c r="F602" s="111" t="str">
        <f>HYPERLINK("https://pbs.twimg.com/profile_images/1582917980328960000/mh84vWhJ_normal.jpg")</f>
        <v>https://pbs.twimg.com/profile_images/1582917980328960000/mh84vWhJ_normal.jpg</v>
      </c>
      <c r="G602" s="64"/>
      <c r="H602" s="68"/>
      <c r="I602" s="69"/>
      <c r="J602" s="69"/>
      <c r="K602" s="68" t="s">
        <v>29735</v>
      </c>
      <c r="L602" s="72"/>
      <c r="M602" s="73"/>
      <c r="N602" s="73"/>
      <c r="O602" s="74"/>
      <c r="P602" s="75"/>
      <c r="Q602" s="75"/>
      <c r="R602" s="102"/>
      <c r="S602" s="102"/>
      <c r="T602" s="102"/>
      <c r="U602" s="102"/>
      <c r="V602" s="48"/>
      <c r="W602" s="48"/>
      <c r="X602" s="48"/>
      <c r="Y602" s="48"/>
      <c r="Z602" s="47"/>
      <c r="AA602" s="70">
        <v>602</v>
      </c>
      <c r="AB602" s="70"/>
      <c r="AC602" s="71"/>
      <c r="AD602" s="86" t="s">
        <v>24224</v>
      </c>
      <c r="AE602" s="94" t="s">
        <v>23092</v>
      </c>
      <c r="AF602" s="86">
        <v>359</v>
      </c>
      <c r="AG602" s="86">
        <v>368</v>
      </c>
      <c r="AH602" s="86">
        <v>11136</v>
      </c>
      <c r="AI602" s="86">
        <v>0</v>
      </c>
      <c r="AJ602" s="86">
        <v>13771</v>
      </c>
      <c r="AK602" s="86">
        <v>679</v>
      </c>
      <c r="AL602" s="86" t="b">
        <v>0</v>
      </c>
      <c r="AM602" s="89">
        <v>43540.760289351849</v>
      </c>
      <c r="AN602" s="86" t="s">
        <v>15274</v>
      </c>
      <c r="AO602" s="86" t="s">
        <v>26972</v>
      </c>
      <c r="AP602" s="86"/>
      <c r="AQ602" s="86"/>
      <c r="AR602" s="86"/>
      <c r="AS602" s="86"/>
      <c r="AT602" s="86"/>
      <c r="AU602" s="86"/>
      <c r="AV602" s="86">
        <v>1.67426154068015E+18</v>
      </c>
      <c r="AW602" s="86"/>
      <c r="AX602" s="86" t="b">
        <v>0</v>
      </c>
      <c r="AY602" s="86"/>
      <c r="AZ602" s="86"/>
      <c r="BA602" s="86" t="b">
        <v>0</v>
      </c>
      <c r="BB602" s="86" t="b">
        <v>0</v>
      </c>
      <c r="BC602" s="86" t="b">
        <v>1</v>
      </c>
      <c r="BD602" s="86" t="b">
        <v>0</v>
      </c>
      <c r="BE602" s="86" t="b">
        <v>1</v>
      </c>
      <c r="BF602" s="86" t="b">
        <v>0</v>
      </c>
      <c r="BG602" s="86" t="b">
        <v>0</v>
      </c>
      <c r="BH602" s="96" t="str">
        <f>HYPERLINK("https://pbs.twimg.com/profile_banners/1106982165538111489/1669002382")</f>
        <v>https://pbs.twimg.com/profile_banners/1106982165538111489/1669002382</v>
      </c>
      <c r="BI602" s="86"/>
      <c r="BJ602" s="86" t="s">
        <v>29134</v>
      </c>
      <c r="BK602" s="86" t="b">
        <v>0</v>
      </c>
      <c r="BL602" s="86"/>
      <c r="BM602" s="86" t="s">
        <v>66</v>
      </c>
      <c r="BN602" s="86" t="s">
        <v>29136</v>
      </c>
      <c r="BO602" s="96" t="str">
        <f>HYPERLINK("https://twitter.com/diasriccardo")</f>
        <v>https://twitter.com/diasriccardo</v>
      </c>
      <c r="BP602" s="2"/>
    </row>
    <row r="603" spans="1:68" x14ac:dyDescent="0.25">
      <c r="A603" s="63" t="s">
        <v>748</v>
      </c>
      <c r="B603" s="64"/>
      <c r="C603" s="64"/>
      <c r="D603" s="65"/>
      <c r="E603" s="67"/>
      <c r="F603" s="111" t="str">
        <f>HYPERLINK("https://pbs.twimg.com/profile_images/1470832099599036416/Rz1RRz1p_normal.jpg")</f>
        <v>https://pbs.twimg.com/profile_images/1470832099599036416/Rz1RRz1p_normal.jpg</v>
      </c>
      <c r="G603" s="64"/>
      <c r="H603" s="68"/>
      <c r="I603" s="69"/>
      <c r="J603" s="69"/>
      <c r="K603" s="68" t="s">
        <v>29736</v>
      </c>
      <c r="L603" s="72"/>
      <c r="M603" s="73"/>
      <c r="N603" s="73"/>
      <c r="O603" s="74"/>
      <c r="P603" s="75"/>
      <c r="Q603" s="75"/>
      <c r="R603" s="102"/>
      <c r="S603" s="102"/>
      <c r="T603" s="102"/>
      <c r="U603" s="102"/>
      <c r="V603" s="48"/>
      <c r="W603" s="48"/>
      <c r="X603" s="48"/>
      <c r="Y603" s="48"/>
      <c r="Z603" s="47"/>
      <c r="AA603" s="70">
        <v>603</v>
      </c>
      <c r="AB603" s="70"/>
      <c r="AC603" s="71"/>
      <c r="AD603" s="86" t="s">
        <v>24225</v>
      </c>
      <c r="AE603" s="94" t="s">
        <v>25455</v>
      </c>
      <c r="AF603" s="86">
        <v>1192</v>
      </c>
      <c r="AG603" s="86">
        <v>104</v>
      </c>
      <c r="AH603" s="86">
        <v>7709</v>
      </c>
      <c r="AI603" s="86">
        <v>12</v>
      </c>
      <c r="AJ603" s="86">
        <v>7</v>
      </c>
      <c r="AK603" s="86">
        <v>4401</v>
      </c>
      <c r="AL603" s="86" t="b">
        <v>0</v>
      </c>
      <c r="AM603" s="89">
        <v>40449.493715277778</v>
      </c>
      <c r="AN603" s="86" t="s">
        <v>26102</v>
      </c>
      <c r="AO603" s="86" t="s">
        <v>26973</v>
      </c>
      <c r="AP603" s="96" t="str">
        <f>HYPERLINK("https://t.co/xvzrk6J890")</f>
        <v>https://t.co/xvzrk6J890</v>
      </c>
      <c r="AQ603" s="96" t="str">
        <f>HYPERLINK("http://www.craceara.org.br")</f>
        <v>http://www.craceara.org.br</v>
      </c>
      <c r="AR603" s="86" t="s">
        <v>28314</v>
      </c>
      <c r="AS603" s="86"/>
      <c r="AT603" s="86"/>
      <c r="AU603" s="86"/>
      <c r="AV603" s="86"/>
      <c r="AW603" s="96" t="str">
        <f>HYPERLINK("https://t.co/xvzrk6J890")</f>
        <v>https://t.co/xvzrk6J890</v>
      </c>
      <c r="AX603" s="86" t="b">
        <v>0</v>
      </c>
      <c r="AY603" s="86"/>
      <c r="AZ603" s="86"/>
      <c r="BA603" s="86" t="b">
        <v>0</v>
      </c>
      <c r="BB603" s="86" t="b">
        <v>1</v>
      </c>
      <c r="BC603" s="86" t="b">
        <v>0</v>
      </c>
      <c r="BD603" s="86" t="b">
        <v>0</v>
      </c>
      <c r="BE603" s="86" t="b">
        <v>1</v>
      </c>
      <c r="BF603" s="86" t="b">
        <v>0</v>
      </c>
      <c r="BG603" s="86" t="b">
        <v>0</v>
      </c>
      <c r="BH603" s="96" t="str">
        <f>HYPERLINK("https://pbs.twimg.com/profile_banners/196124826/1663161736")</f>
        <v>https://pbs.twimg.com/profile_banners/196124826/1663161736</v>
      </c>
      <c r="BI603" s="86"/>
      <c r="BJ603" s="86" t="s">
        <v>29134</v>
      </c>
      <c r="BK603" s="86" t="b">
        <v>0</v>
      </c>
      <c r="BL603" s="86"/>
      <c r="BM603" s="86" t="s">
        <v>66</v>
      </c>
      <c r="BN603" s="86" t="s">
        <v>29136</v>
      </c>
      <c r="BO603" s="96" t="str">
        <f>HYPERLINK("https://twitter.com/craceara")</f>
        <v>https://twitter.com/craceara</v>
      </c>
      <c r="BP603" s="2"/>
    </row>
    <row r="604" spans="1:68" x14ac:dyDescent="0.25">
      <c r="A604" s="63" t="s">
        <v>749</v>
      </c>
      <c r="B604" s="64"/>
      <c r="C604" s="64"/>
      <c r="D604" s="65"/>
      <c r="E604" s="67"/>
      <c r="F604" s="111" t="str">
        <f>HYPERLINK("https://pbs.twimg.com/profile_images/1677361170779447304/US7WQJfp_normal.jpg")</f>
        <v>https://pbs.twimg.com/profile_images/1677361170779447304/US7WQJfp_normal.jpg</v>
      </c>
      <c r="G604" s="64"/>
      <c r="H604" s="68"/>
      <c r="I604" s="69"/>
      <c r="J604" s="69"/>
      <c r="K604" s="68" t="s">
        <v>29737</v>
      </c>
      <c r="L604" s="72"/>
      <c r="M604" s="73"/>
      <c r="N604" s="73"/>
      <c r="O604" s="74"/>
      <c r="P604" s="75"/>
      <c r="Q604" s="75"/>
      <c r="R604" s="102"/>
      <c r="S604" s="102"/>
      <c r="T604" s="102"/>
      <c r="U604" s="102"/>
      <c r="V604" s="48"/>
      <c r="W604" s="48"/>
      <c r="X604" s="48"/>
      <c r="Y604" s="48"/>
      <c r="Z604" s="47"/>
      <c r="AA604" s="70">
        <v>604</v>
      </c>
      <c r="AB604" s="70"/>
      <c r="AC604" s="71"/>
      <c r="AD604" s="86" t="s">
        <v>24226</v>
      </c>
      <c r="AE604" s="94" t="s">
        <v>23093</v>
      </c>
      <c r="AF604" s="86">
        <v>5</v>
      </c>
      <c r="AG604" s="86">
        <v>0</v>
      </c>
      <c r="AH604" s="86">
        <v>320</v>
      </c>
      <c r="AI604" s="86">
        <v>0</v>
      </c>
      <c r="AJ604" s="86">
        <v>0</v>
      </c>
      <c r="AK604" s="86">
        <v>273</v>
      </c>
      <c r="AL604" s="86" t="b">
        <v>0</v>
      </c>
      <c r="AM604" s="89">
        <v>45009.748391203706</v>
      </c>
      <c r="AN604" s="86" t="s">
        <v>15234</v>
      </c>
      <c r="AO604" s="86" t="s">
        <v>26974</v>
      </c>
      <c r="AP604" s="96" t="str">
        <f>HYPERLINK("https://t.co/62eV9u8peU")</f>
        <v>https://t.co/62eV9u8peU</v>
      </c>
      <c r="AQ604" s="96" t="str">
        <f>HYPERLINK("https://linktr.ee/mercado.digital.online")</f>
        <v>https://linktr.ee/mercado.digital.online</v>
      </c>
      <c r="AR604" s="86" t="s">
        <v>28315</v>
      </c>
      <c r="AS604" s="86"/>
      <c r="AT604" s="86"/>
      <c r="AU604" s="86"/>
      <c r="AV604" s="86">
        <v>1.6771377924914601E+18</v>
      </c>
      <c r="AW604" s="96" t="str">
        <f>HYPERLINK("https://t.co/62eV9u8peU")</f>
        <v>https://t.co/62eV9u8peU</v>
      </c>
      <c r="AX604" s="86" t="b">
        <v>0</v>
      </c>
      <c r="AY604" s="86"/>
      <c r="AZ604" s="86"/>
      <c r="BA604" s="86" t="b">
        <v>1</v>
      </c>
      <c r="BB604" s="86" t="b">
        <v>0</v>
      </c>
      <c r="BC604" s="86" t="b">
        <v>1</v>
      </c>
      <c r="BD604" s="86" t="b">
        <v>0</v>
      </c>
      <c r="BE604" s="86" t="b">
        <v>0</v>
      </c>
      <c r="BF604" s="86" t="b">
        <v>0</v>
      </c>
      <c r="BG604" s="86" t="b">
        <v>0</v>
      </c>
      <c r="BH604" s="96" t="str">
        <f>HYPERLINK("https://pbs.twimg.com/profile_banners/1639325260246810631/1688693505")</f>
        <v>https://pbs.twimg.com/profile_banners/1639325260246810631/1688693505</v>
      </c>
      <c r="BI604" s="86"/>
      <c r="BJ604" s="86" t="s">
        <v>29134</v>
      </c>
      <c r="BK604" s="86" t="b">
        <v>0</v>
      </c>
      <c r="BL604" s="86"/>
      <c r="BM604" s="86" t="s">
        <v>66</v>
      </c>
      <c r="BN604" s="86" t="s">
        <v>29136</v>
      </c>
      <c r="BO604" s="96" t="str">
        <f>HYPERLINK("https://twitter.com/digital_online_")</f>
        <v>https://twitter.com/digital_online_</v>
      </c>
      <c r="BP604" s="2"/>
    </row>
    <row r="605" spans="1:68" x14ac:dyDescent="0.25">
      <c r="A605" s="63" t="s">
        <v>750</v>
      </c>
      <c r="B605" s="64"/>
      <c r="C605" s="64"/>
      <c r="D605" s="65"/>
      <c r="E605" s="67"/>
      <c r="F605" s="111" t="str">
        <f>HYPERLINK("https://pbs.twimg.com/profile_images/1674157895837941761/8PJM9VMD_normal.jpg")</f>
        <v>https://pbs.twimg.com/profile_images/1674157895837941761/8PJM9VMD_normal.jpg</v>
      </c>
      <c r="G605" s="64"/>
      <c r="H605" s="68"/>
      <c r="I605" s="69"/>
      <c r="J605" s="69"/>
      <c r="K605" s="68" t="s">
        <v>29738</v>
      </c>
      <c r="L605" s="72"/>
      <c r="M605" s="73"/>
      <c r="N605" s="73"/>
      <c r="O605" s="74"/>
      <c r="P605" s="75"/>
      <c r="Q605" s="75"/>
      <c r="R605" s="102"/>
      <c r="S605" s="102"/>
      <c r="T605" s="102"/>
      <c r="U605" s="102"/>
      <c r="V605" s="48"/>
      <c r="W605" s="48"/>
      <c r="X605" s="48"/>
      <c r="Y605" s="48"/>
      <c r="Z605" s="47"/>
      <c r="AA605" s="70">
        <v>605</v>
      </c>
      <c r="AB605" s="70"/>
      <c r="AC605" s="71"/>
      <c r="AD605" s="86" t="s">
        <v>24227</v>
      </c>
      <c r="AE605" s="94" t="s">
        <v>23094</v>
      </c>
      <c r="AF605" s="86">
        <v>54</v>
      </c>
      <c r="AG605" s="86">
        <v>123</v>
      </c>
      <c r="AH605" s="86">
        <v>2307</v>
      </c>
      <c r="AI605" s="86">
        <v>0</v>
      </c>
      <c r="AJ605" s="86">
        <v>4738</v>
      </c>
      <c r="AK605" s="86">
        <v>322</v>
      </c>
      <c r="AL605" s="86" t="b">
        <v>0</v>
      </c>
      <c r="AM605" s="89">
        <v>43359.079016203701</v>
      </c>
      <c r="AN605" s="86" t="s">
        <v>15275</v>
      </c>
      <c r="AO605" s="86" t="s">
        <v>26975</v>
      </c>
      <c r="AP605" s="96" t="str">
        <f>HYPERLINK("https://t.co/OnTuBaVcEc")</f>
        <v>https://t.co/OnTuBaVcEc</v>
      </c>
      <c r="AQ605" s="96" t="str">
        <f>HYPERLINK("https://linktr.ee/julianabaltazarreal")</f>
        <v>https://linktr.ee/julianabaltazarreal</v>
      </c>
      <c r="AR605" s="86" t="s">
        <v>28316</v>
      </c>
      <c r="AS605" s="86"/>
      <c r="AT605" s="86"/>
      <c r="AU605" s="86"/>
      <c r="AV605" s="86"/>
      <c r="AW605" s="96" t="str">
        <f>HYPERLINK("https://t.co/OnTuBaVcEc")</f>
        <v>https://t.co/OnTuBaVcEc</v>
      </c>
      <c r="AX605" s="86" t="b">
        <v>0</v>
      </c>
      <c r="AY605" s="86"/>
      <c r="AZ605" s="86"/>
      <c r="BA605" s="86" t="b">
        <v>0</v>
      </c>
      <c r="BB605" s="86" t="b">
        <v>0</v>
      </c>
      <c r="BC605" s="86" t="b">
        <v>1</v>
      </c>
      <c r="BD605" s="86" t="b">
        <v>0</v>
      </c>
      <c r="BE605" s="86" t="b">
        <v>0</v>
      </c>
      <c r="BF605" s="86" t="b">
        <v>0</v>
      </c>
      <c r="BG605" s="86" t="b">
        <v>0</v>
      </c>
      <c r="BH605" s="96" t="str">
        <f>HYPERLINK("https://pbs.twimg.com/profile_banners/1041143073646903296/1675115794")</f>
        <v>https://pbs.twimg.com/profile_banners/1041143073646903296/1675115794</v>
      </c>
      <c r="BI605" s="86"/>
      <c r="BJ605" s="86" t="s">
        <v>29134</v>
      </c>
      <c r="BK605" s="86" t="b">
        <v>0</v>
      </c>
      <c r="BL605" s="86"/>
      <c r="BM605" s="86" t="s">
        <v>66</v>
      </c>
      <c r="BN605" s="86" t="s">
        <v>29136</v>
      </c>
      <c r="BO605" s="96" t="str">
        <f>HYPERLINK("https://twitter.com/jullieziiinha")</f>
        <v>https://twitter.com/jullieziiinha</v>
      </c>
      <c r="BP605" s="2"/>
    </row>
    <row r="606" spans="1:68" x14ac:dyDescent="0.25">
      <c r="A606" s="63" t="s">
        <v>751</v>
      </c>
      <c r="B606" s="64"/>
      <c r="C606" s="64"/>
      <c r="D606" s="65"/>
      <c r="E606" s="67"/>
      <c r="F606" s="111" t="str">
        <f>HYPERLINK("https://pbs.twimg.com/profile_images/1381630745458827265/GV8ZDUgB_normal.jpg")</f>
        <v>https://pbs.twimg.com/profile_images/1381630745458827265/GV8ZDUgB_normal.jpg</v>
      </c>
      <c r="G606" s="64"/>
      <c r="H606" s="68"/>
      <c r="I606" s="69"/>
      <c r="J606" s="69"/>
      <c r="K606" s="68" t="s">
        <v>29739</v>
      </c>
      <c r="L606" s="72"/>
      <c r="M606" s="73"/>
      <c r="N606" s="73"/>
      <c r="O606" s="74"/>
      <c r="P606" s="75"/>
      <c r="Q606" s="75"/>
      <c r="R606" s="102"/>
      <c r="S606" s="102"/>
      <c r="T606" s="102"/>
      <c r="U606" s="102"/>
      <c r="V606" s="48"/>
      <c r="W606" s="48"/>
      <c r="X606" s="48"/>
      <c r="Y606" s="48"/>
      <c r="Z606" s="47"/>
      <c r="AA606" s="70">
        <v>606</v>
      </c>
      <c r="AB606" s="70"/>
      <c r="AC606" s="71"/>
      <c r="AD606" s="86" t="s">
        <v>24228</v>
      </c>
      <c r="AE606" s="94" t="s">
        <v>25456</v>
      </c>
      <c r="AF606" s="86">
        <v>196</v>
      </c>
      <c r="AG606" s="86">
        <v>200</v>
      </c>
      <c r="AH606" s="86">
        <v>363</v>
      </c>
      <c r="AI606" s="86">
        <v>0</v>
      </c>
      <c r="AJ606" s="86">
        <v>172</v>
      </c>
      <c r="AK606" s="86">
        <v>216</v>
      </c>
      <c r="AL606" s="86" t="b">
        <v>0</v>
      </c>
      <c r="AM606" s="89">
        <v>42043.165277777778</v>
      </c>
      <c r="AN606" s="86"/>
      <c r="AO606" s="86" t="s">
        <v>26976</v>
      </c>
      <c r="AP606" s="96" t="str">
        <f>HYPERLINK("https://t.co/klPCAJUdfR")</f>
        <v>https://t.co/klPCAJUdfR</v>
      </c>
      <c r="AQ606" s="96" t="str">
        <f>HYPERLINK("http://www.ibarrayasesores.com.mx/")</f>
        <v>http://www.ibarrayasesores.com.mx/</v>
      </c>
      <c r="AR606" s="86" t="s">
        <v>28317</v>
      </c>
      <c r="AS606" s="86"/>
      <c r="AT606" s="86"/>
      <c r="AU606" s="86"/>
      <c r="AV606" s="86"/>
      <c r="AW606" s="96" t="str">
        <f>HYPERLINK("https://t.co/klPCAJUdfR")</f>
        <v>https://t.co/klPCAJUdfR</v>
      </c>
      <c r="AX606" s="86" t="b">
        <v>0</v>
      </c>
      <c r="AY606" s="86"/>
      <c r="AZ606" s="86"/>
      <c r="BA606" s="86" t="b">
        <v>0</v>
      </c>
      <c r="BB606" s="86" t="b">
        <v>1</v>
      </c>
      <c r="BC606" s="86" t="b">
        <v>1</v>
      </c>
      <c r="BD606" s="86" t="b">
        <v>0</v>
      </c>
      <c r="BE606" s="86" t="b">
        <v>0</v>
      </c>
      <c r="BF606" s="86" t="b">
        <v>0</v>
      </c>
      <c r="BG606" s="86" t="b">
        <v>0</v>
      </c>
      <c r="BH606" s="96" t="str">
        <f>HYPERLINK("https://pbs.twimg.com/profile_banners/3024421631/1618241415")</f>
        <v>https://pbs.twimg.com/profile_banners/3024421631/1618241415</v>
      </c>
      <c r="BI606" s="86"/>
      <c r="BJ606" s="86" t="s">
        <v>29134</v>
      </c>
      <c r="BK606" s="86" t="b">
        <v>0</v>
      </c>
      <c r="BL606" s="86"/>
      <c r="BM606" s="86" t="s">
        <v>66</v>
      </c>
      <c r="BN606" s="86" t="s">
        <v>29136</v>
      </c>
      <c r="BO606" s="96" t="str">
        <f>HYPERLINK("https://twitter.com/cpcibarra1")</f>
        <v>https://twitter.com/cpcibarra1</v>
      </c>
      <c r="BP606" s="2"/>
    </row>
    <row r="607" spans="1:68" x14ac:dyDescent="0.25">
      <c r="A607" s="63" t="s">
        <v>752</v>
      </c>
      <c r="B607" s="64"/>
      <c r="C607" s="64"/>
      <c r="D607" s="65"/>
      <c r="E607" s="67"/>
      <c r="F607" s="111" t="str">
        <f>HYPERLINK("https://pbs.twimg.com/profile_images/1606380864409112596/ojSB_34U_normal.jpg")</f>
        <v>https://pbs.twimg.com/profile_images/1606380864409112596/ojSB_34U_normal.jpg</v>
      </c>
      <c r="G607" s="64"/>
      <c r="H607" s="68"/>
      <c r="I607" s="69"/>
      <c r="J607" s="69"/>
      <c r="K607" s="68" t="s">
        <v>29740</v>
      </c>
      <c r="L607" s="72"/>
      <c r="M607" s="73"/>
      <c r="N607" s="73"/>
      <c r="O607" s="74"/>
      <c r="P607" s="75"/>
      <c r="Q607" s="75"/>
      <c r="R607" s="102"/>
      <c r="S607" s="102"/>
      <c r="T607" s="102"/>
      <c r="U607" s="102"/>
      <c r="V607" s="48"/>
      <c r="W607" s="48"/>
      <c r="X607" s="48"/>
      <c r="Y607" s="48"/>
      <c r="Z607" s="47"/>
      <c r="AA607" s="70">
        <v>607</v>
      </c>
      <c r="AB607" s="70"/>
      <c r="AC607" s="71"/>
      <c r="AD607" s="86" t="s">
        <v>24229</v>
      </c>
      <c r="AE607" s="94" t="s">
        <v>23095</v>
      </c>
      <c r="AF607" s="86">
        <v>1</v>
      </c>
      <c r="AG607" s="86">
        <v>2</v>
      </c>
      <c r="AH607" s="86">
        <v>111</v>
      </c>
      <c r="AI607" s="86">
        <v>0</v>
      </c>
      <c r="AJ607" s="86">
        <v>5</v>
      </c>
      <c r="AK607" s="86">
        <v>111</v>
      </c>
      <c r="AL607" s="86" t="b">
        <v>0</v>
      </c>
      <c r="AM607" s="89">
        <v>44918.836643518516</v>
      </c>
      <c r="AN607" s="86"/>
      <c r="AO607" s="86"/>
      <c r="AP607" s="86"/>
      <c r="AQ607" s="86"/>
      <c r="AR607" s="86"/>
      <c r="AS607" s="86"/>
      <c r="AT607" s="86"/>
      <c r="AU607" s="86"/>
      <c r="AV607" s="86"/>
      <c r="AW607" s="86"/>
      <c r="AX607" s="86" t="b">
        <v>0</v>
      </c>
      <c r="AY607" s="86"/>
      <c r="AZ607" s="86"/>
      <c r="BA607" s="86" t="b">
        <v>0</v>
      </c>
      <c r="BB607" s="86" t="b">
        <v>1</v>
      </c>
      <c r="BC607" s="86" t="b">
        <v>1</v>
      </c>
      <c r="BD607" s="86" t="b">
        <v>0</v>
      </c>
      <c r="BE607" s="86" t="b">
        <v>0</v>
      </c>
      <c r="BF607" s="86" t="b">
        <v>0</v>
      </c>
      <c r="BG607" s="86" t="b">
        <v>0</v>
      </c>
      <c r="BH607" s="96" t="str">
        <f>HYPERLINK("https://pbs.twimg.com/profile_banners/1606380254800580610/1674131936")</f>
        <v>https://pbs.twimg.com/profile_banners/1606380254800580610/1674131936</v>
      </c>
      <c r="BI607" s="86"/>
      <c r="BJ607" s="86" t="s">
        <v>29134</v>
      </c>
      <c r="BK607" s="86" t="b">
        <v>0</v>
      </c>
      <c r="BL607" s="86"/>
      <c r="BM607" s="86" t="s">
        <v>66</v>
      </c>
      <c r="BN607" s="86" t="s">
        <v>29136</v>
      </c>
      <c r="BO607" s="96" t="str">
        <f>HYPERLINK("https://twitter.com/fer_scatolin")</f>
        <v>https://twitter.com/fer_scatolin</v>
      </c>
      <c r="BP607" s="2"/>
    </row>
    <row r="608" spans="1:68" x14ac:dyDescent="0.25">
      <c r="A608" s="63" t="s">
        <v>753</v>
      </c>
      <c r="B608" s="64"/>
      <c r="C608" s="64"/>
      <c r="D608" s="65"/>
      <c r="E608" s="67"/>
      <c r="F608" s="111" t="str">
        <f>HYPERLINK("https://pbs.twimg.com/profile_images/936669440808275969/Qt1EpcOq_normal.jpg")</f>
        <v>https://pbs.twimg.com/profile_images/936669440808275969/Qt1EpcOq_normal.jpg</v>
      </c>
      <c r="G608" s="64"/>
      <c r="H608" s="68"/>
      <c r="I608" s="69"/>
      <c r="J608" s="69"/>
      <c r="K608" s="68" t="s">
        <v>29741</v>
      </c>
      <c r="L608" s="72"/>
      <c r="M608" s="73"/>
      <c r="N608" s="73"/>
      <c r="O608" s="74"/>
      <c r="P608" s="75"/>
      <c r="Q608" s="75"/>
      <c r="R608" s="102"/>
      <c r="S608" s="102"/>
      <c r="T608" s="102"/>
      <c r="U608" s="102"/>
      <c r="V608" s="48"/>
      <c r="W608" s="48"/>
      <c r="X608" s="48"/>
      <c r="Y608" s="48"/>
      <c r="Z608" s="47"/>
      <c r="AA608" s="70">
        <v>608</v>
      </c>
      <c r="AB608" s="70"/>
      <c r="AC608" s="71"/>
      <c r="AD608" s="86" t="s">
        <v>24230</v>
      </c>
      <c r="AE608" s="94" t="s">
        <v>23096</v>
      </c>
      <c r="AF608" s="86">
        <v>83</v>
      </c>
      <c r="AG608" s="86">
        <v>30</v>
      </c>
      <c r="AH608" s="86">
        <v>3214</v>
      </c>
      <c r="AI608" s="86">
        <v>3</v>
      </c>
      <c r="AJ608" s="86">
        <v>3</v>
      </c>
      <c r="AK608" s="86">
        <v>2964</v>
      </c>
      <c r="AL608" s="86" t="b">
        <v>0</v>
      </c>
      <c r="AM608" s="89">
        <v>42507.733101851853</v>
      </c>
      <c r="AN608" s="86" t="s">
        <v>26103</v>
      </c>
      <c r="AO608" s="86" t="s">
        <v>26977</v>
      </c>
      <c r="AP608" s="96" t="str">
        <f>HYPERLINK("https://t.co/2kWku0awOe")</f>
        <v>https://t.co/2kWku0awOe</v>
      </c>
      <c r="AQ608" s="96" t="str">
        <f>HYPERLINK("https://www.tecnicageracao.com.br/")</f>
        <v>https://www.tecnicageracao.com.br/</v>
      </c>
      <c r="AR608" s="86" t="s">
        <v>28318</v>
      </c>
      <c r="AS608" s="86"/>
      <c r="AT608" s="86"/>
      <c r="AU608" s="86"/>
      <c r="AV608" s="86"/>
      <c r="AW608" s="96" t="str">
        <f>HYPERLINK("https://t.co/2kWku0awOe")</f>
        <v>https://t.co/2kWku0awOe</v>
      </c>
      <c r="AX608" s="86" t="b">
        <v>0</v>
      </c>
      <c r="AY608" s="86"/>
      <c r="AZ608" s="86"/>
      <c r="BA608" s="86" t="b">
        <v>0</v>
      </c>
      <c r="BB608" s="86" t="b">
        <v>1</v>
      </c>
      <c r="BC608" s="86" t="b">
        <v>0</v>
      </c>
      <c r="BD608" s="86" t="b">
        <v>0</v>
      </c>
      <c r="BE608" s="86" t="b">
        <v>0</v>
      </c>
      <c r="BF608" s="86" t="b">
        <v>0</v>
      </c>
      <c r="BG608" s="86" t="b">
        <v>0</v>
      </c>
      <c r="BH608" s="96" t="str">
        <f>HYPERLINK("https://pbs.twimg.com/profile_banners/732625646036389888/1622162471")</f>
        <v>https://pbs.twimg.com/profile_banners/732625646036389888/1622162471</v>
      </c>
      <c r="BI608" s="86"/>
      <c r="BJ608" s="86" t="s">
        <v>29134</v>
      </c>
      <c r="BK608" s="86" t="b">
        <v>0</v>
      </c>
      <c r="BL608" s="86"/>
      <c r="BM608" s="86" t="s">
        <v>66</v>
      </c>
      <c r="BN608" s="86" t="s">
        <v>29136</v>
      </c>
      <c r="BO608" s="96" t="str">
        <f>HYPERLINK("https://twitter.com/escolatgeracao")</f>
        <v>https://twitter.com/escolatgeracao</v>
      </c>
      <c r="BP608" s="2"/>
    </row>
    <row r="609" spans="1:68" x14ac:dyDescent="0.25">
      <c r="A609" s="63" t="s">
        <v>754</v>
      </c>
      <c r="B609" s="64"/>
      <c r="C609" s="64"/>
      <c r="D609" s="65"/>
      <c r="E609" s="67"/>
      <c r="F609" s="111" t="str">
        <f>HYPERLINK("https://pbs.twimg.com/profile_images/1636440682511384613/8dJ5g33w_normal.jpg")</f>
        <v>https://pbs.twimg.com/profile_images/1636440682511384613/8dJ5g33w_normal.jpg</v>
      </c>
      <c r="G609" s="64"/>
      <c r="H609" s="68"/>
      <c r="I609" s="69"/>
      <c r="J609" s="69"/>
      <c r="K609" s="68" t="s">
        <v>29742</v>
      </c>
      <c r="L609" s="72"/>
      <c r="M609" s="73"/>
      <c r="N609" s="73"/>
      <c r="O609" s="74"/>
      <c r="P609" s="75"/>
      <c r="Q609" s="75"/>
      <c r="R609" s="102"/>
      <c r="S609" s="102"/>
      <c r="T609" s="102"/>
      <c r="U609" s="102"/>
      <c r="V609" s="48"/>
      <c r="W609" s="48"/>
      <c r="X609" s="48"/>
      <c r="Y609" s="48"/>
      <c r="Z609" s="47"/>
      <c r="AA609" s="70">
        <v>609</v>
      </c>
      <c r="AB609" s="70"/>
      <c r="AC609" s="71"/>
      <c r="AD609" s="86" t="s">
        <v>24231</v>
      </c>
      <c r="AE609" s="94" t="s">
        <v>22571</v>
      </c>
      <c r="AF609" s="86">
        <v>7</v>
      </c>
      <c r="AG609" s="86">
        <v>3</v>
      </c>
      <c r="AH609" s="86">
        <v>30</v>
      </c>
      <c r="AI609" s="86">
        <v>0</v>
      </c>
      <c r="AJ609" s="86">
        <v>0</v>
      </c>
      <c r="AK609" s="86">
        <v>30</v>
      </c>
      <c r="AL609" s="86" t="b">
        <v>0</v>
      </c>
      <c r="AM609" s="89">
        <v>44973.584710648145</v>
      </c>
      <c r="AN609" s="86" t="s">
        <v>26104</v>
      </c>
      <c r="AO609" s="86" t="s">
        <v>26978</v>
      </c>
      <c r="AP609" s="96" t="str">
        <f>HYPERLINK("https://t.co/fC3COJXtCe")</f>
        <v>https://t.co/fC3COJXtCe</v>
      </c>
      <c r="AQ609" s="96" t="str">
        <f>HYPERLINK("http://logistingroup.com")</f>
        <v>http://logistingroup.com</v>
      </c>
      <c r="AR609" s="86" t="s">
        <v>28319</v>
      </c>
      <c r="AS609" s="86"/>
      <c r="AT609" s="86"/>
      <c r="AU609" s="86"/>
      <c r="AV609" s="86"/>
      <c r="AW609" s="96" t="str">
        <f>HYPERLINK("https://t.co/fC3COJXtCe")</f>
        <v>https://t.co/fC3COJXtCe</v>
      </c>
      <c r="AX609" s="86" t="b">
        <v>0</v>
      </c>
      <c r="AY609" s="86"/>
      <c r="AZ609" s="86"/>
      <c r="BA609" s="86" t="b">
        <v>0</v>
      </c>
      <c r="BB609" s="86" t="b">
        <v>1</v>
      </c>
      <c r="BC609" s="86" t="b">
        <v>1</v>
      </c>
      <c r="BD609" s="86" t="b">
        <v>0</v>
      </c>
      <c r="BE609" s="86" t="b">
        <v>0</v>
      </c>
      <c r="BF609" s="86" t="b">
        <v>0</v>
      </c>
      <c r="BG609" s="86" t="b">
        <v>0</v>
      </c>
      <c r="BH609" s="96" t="str">
        <f>HYPERLINK("https://pbs.twimg.com/profile_banners/1626220322117517312/1679692730")</f>
        <v>https://pbs.twimg.com/profile_banners/1626220322117517312/1679692730</v>
      </c>
      <c r="BI609" s="86"/>
      <c r="BJ609" s="86" t="s">
        <v>29134</v>
      </c>
      <c r="BK609" s="86" t="b">
        <v>0</v>
      </c>
      <c r="BL609" s="86"/>
      <c r="BM609" s="86" t="s">
        <v>66</v>
      </c>
      <c r="BN609" s="86" t="s">
        <v>29136</v>
      </c>
      <c r="BO609" s="96" t="str">
        <f>HYPERLINK("https://twitter.com/logistingdigits")</f>
        <v>https://twitter.com/logistingdigits</v>
      </c>
      <c r="BP609" s="2"/>
    </row>
    <row r="610" spans="1:68" x14ac:dyDescent="0.25">
      <c r="A610" s="63" t="s">
        <v>755</v>
      </c>
      <c r="B610" s="64"/>
      <c r="C610" s="64"/>
      <c r="D610" s="65"/>
      <c r="E610" s="67"/>
      <c r="F610" s="111" t="str">
        <f>HYPERLINK("https://pbs.twimg.com/profile_images/1701645454025408513/HiDxJYT6_normal.jpg")</f>
        <v>https://pbs.twimg.com/profile_images/1701645454025408513/HiDxJYT6_normal.jpg</v>
      </c>
      <c r="G610" s="64"/>
      <c r="H610" s="68"/>
      <c r="I610" s="69"/>
      <c r="J610" s="69"/>
      <c r="K610" s="68" t="s">
        <v>29743</v>
      </c>
      <c r="L610" s="72"/>
      <c r="M610" s="73"/>
      <c r="N610" s="73"/>
      <c r="O610" s="74"/>
      <c r="P610" s="75"/>
      <c r="Q610" s="75"/>
      <c r="R610" s="102"/>
      <c r="S610" s="102"/>
      <c r="T610" s="102"/>
      <c r="U610" s="102"/>
      <c r="V610" s="48"/>
      <c r="W610" s="48"/>
      <c r="X610" s="48"/>
      <c r="Y610" s="48"/>
      <c r="Z610" s="47"/>
      <c r="AA610" s="70">
        <v>610</v>
      </c>
      <c r="AB610" s="70"/>
      <c r="AC610" s="71"/>
      <c r="AD610" s="86" t="s">
        <v>24232</v>
      </c>
      <c r="AE610" s="94" t="s">
        <v>23097</v>
      </c>
      <c r="AF610" s="86">
        <v>3</v>
      </c>
      <c r="AG610" s="86">
        <v>45</v>
      </c>
      <c r="AH610" s="86">
        <v>3</v>
      </c>
      <c r="AI610" s="86">
        <v>0</v>
      </c>
      <c r="AJ610" s="86">
        <v>24</v>
      </c>
      <c r="AK610" s="86">
        <v>2</v>
      </c>
      <c r="AL610" s="86" t="b">
        <v>0</v>
      </c>
      <c r="AM610" s="89">
        <v>43691.472291666665</v>
      </c>
      <c r="AN610" s="86"/>
      <c r="AO610" s="86" t="s">
        <v>26979</v>
      </c>
      <c r="AP610" s="86"/>
      <c r="AQ610" s="86"/>
      <c r="AR610" s="86"/>
      <c r="AS610" s="86"/>
      <c r="AT610" s="86"/>
      <c r="AU610" s="86"/>
      <c r="AV610" s="86"/>
      <c r="AW610" s="86"/>
      <c r="AX610" s="86" t="b">
        <v>0</v>
      </c>
      <c r="AY610" s="86"/>
      <c r="AZ610" s="86"/>
      <c r="BA610" s="86" t="b">
        <v>0</v>
      </c>
      <c r="BB610" s="86" t="b">
        <v>1</v>
      </c>
      <c r="BC610" s="86" t="b">
        <v>1</v>
      </c>
      <c r="BD610" s="86" t="b">
        <v>0</v>
      </c>
      <c r="BE610" s="86" t="b">
        <v>1</v>
      </c>
      <c r="BF610" s="86" t="b">
        <v>0</v>
      </c>
      <c r="BG610" s="86" t="b">
        <v>0</v>
      </c>
      <c r="BH610" s="96" t="str">
        <f>HYPERLINK("https://pbs.twimg.com/profile_banners/1161598365433565184/1694539054")</f>
        <v>https://pbs.twimg.com/profile_banners/1161598365433565184/1694539054</v>
      </c>
      <c r="BI610" s="86"/>
      <c r="BJ610" s="86" t="s">
        <v>29134</v>
      </c>
      <c r="BK610" s="86" t="b">
        <v>0</v>
      </c>
      <c r="BL610" s="86"/>
      <c r="BM610" s="86" t="s">
        <v>66</v>
      </c>
      <c r="BN610" s="86" t="s">
        <v>29136</v>
      </c>
      <c r="BO610" s="96" t="str">
        <f>HYPERLINK("https://twitter.com/eduardomads")</f>
        <v>https://twitter.com/eduardomads</v>
      </c>
      <c r="BP610" s="2"/>
    </row>
    <row r="611" spans="1:68" x14ac:dyDescent="0.25">
      <c r="A611" s="63" t="s">
        <v>756</v>
      </c>
      <c r="B611" s="64"/>
      <c r="C611" s="64"/>
      <c r="D611" s="65"/>
      <c r="E611" s="67"/>
      <c r="F611" s="111" t="str">
        <f>HYPERLINK("https://pbs.twimg.com/profile_images/1705930317423345664/fFXhUSBi_normal.jpg")</f>
        <v>https://pbs.twimg.com/profile_images/1705930317423345664/fFXhUSBi_normal.jpg</v>
      </c>
      <c r="G611" s="64"/>
      <c r="H611" s="68"/>
      <c r="I611" s="69"/>
      <c r="J611" s="69"/>
      <c r="K611" s="68" t="s">
        <v>29744</v>
      </c>
      <c r="L611" s="72"/>
      <c r="M611" s="73"/>
      <c r="N611" s="73"/>
      <c r="O611" s="74"/>
      <c r="P611" s="75"/>
      <c r="Q611" s="75"/>
      <c r="R611" s="102"/>
      <c r="S611" s="102"/>
      <c r="T611" s="102"/>
      <c r="U611" s="102"/>
      <c r="V611" s="48"/>
      <c r="W611" s="48"/>
      <c r="X611" s="48"/>
      <c r="Y611" s="48"/>
      <c r="Z611" s="47"/>
      <c r="AA611" s="70">
        <v>611</v>
      </c>
      <c r="AB611" s="70"/>
      <c r="AC611" s="71"/>
      <c r="AD611" s="86" t="s">
        <v>24233</v>
      </c>
      <c r="AE611" s="94" t="s">
        <v>23098</v>
      </c>
      <c r="AF611" s="86">
        <v>33</v>
      </c>
      <c r="AG611" s="86">
        <v>87</v>
      </c>
      <c r="AH611" s="86">
        <v>103</v>
      </c>
      <c r="AI611" s="86">
        <v>5</v>
      </c>
      <c r="AJ611" s="86">
        <v>220</v>
      </c>
      <c r="AK611" s="86">
        <v>30</v>
      </c>
      <c r="AL611" s="86" t="b">
        <v>0</v>
      </c>
      <c r="AM611" s="89">
        <v>44647.61482638889</v>
      </c>
      <c r="AN611" s="86"/>
      <c r="AO611" s="86" t="s">
        <v>26980</v>
      </c>
      <c r="AP611" s="96" t="str">
        <f>HYPERLINK("https://t.co/YxpzIZr81g")</f>
        <v>https://t.co/YxpzIZr81g</v>
      </c>
      <c r="AQ611" s="96" t="str">
        <f>HYPERLINK("http://ganhei_jogando.bio.link")</f>
        <v>http://ganhei_jogando.bio.link</v>
      </c>
      <c r="AR611" s="86" t="s">
        <v>28320</v>
      </c>
      <c r="AS611" s="86"/>
      <c r="AT611" s="86"/>
      <c r="AU611" s="86"/>
      <c r="AV611" s="86"/>
      <c r="AW611" s="96" t="str">
        <f>HYPERLINK("https://t.co/YxpzIZr81g")</f>
        <v>https://t.co/YxpzIZr81g</v>
      </c>
      <c r="AX611" s="86" t="b">
        <v>0</v>
      </c>
      <c r="AY611" s="86"/>
      <c r="AZ611" s="86"/>
      <c r="BA611" s="86" t="b">
        <v>0</v>
      </c>
      <c r="BB611" s="86" t="b">
        <v>1</v>
      </c>
      <c r="BC611" s="86" t="b">
        <v>1</v>
      </c>
      <c r="BD611" s="86" t="b">
        <v>0</v>
      </c>
      <c r="BE611" s="86" t="b">
        <v>1</v>
      </c>
      <c r="BF611" s="86" t="b">
        <v>0</v>
      </c>
      <c r="BG611" s="86" t="b">
        <v>0</v>
      </c>
      <c r="BH611" s="96" t="str">
        <f>HYPERLINK("https://pbs.twimg.com/profile_banners/1508092692496101386/1695560602")</f>
        <v>https://pbs.twimg.com/profile_banners/1508092692496101386/1695560602</v>
      </c>
      <c r="BI611" s="86"/>
      <c r="BJ611" s="86" t="s">
        <v>29134</v>
      </c>
      <c r="BK611" s="86" t="b">
        <v>0</v>
      </c>
      <c r="BL611" s="86"/>
      <c r="BM611" s="86" t="s">
        <v>66</v>
      </c>
      <c r="BN611" s="86" t="s">
        <v>29136</v>
      </c>
      <c r="BO611" s="96" t="str">
        <f>HYPERLINK("https://twitter.com/ganheijogando")</f>
        <v>https://twitter.com/ganheijogando</v>
      </c>
      <c r="BP611" s="2"/>
    </row>
    <row r="612" spans="1:68" x14ac:dyDescent="0.25">
      <c r="A612" s="63" t="s">
        <v>757</v>
      </c>
      <c r="B612" s="64"/>
      <c r="C612" s="64"/>
      <c r="D612" s="65"/>
      <c r="E612" s="67"/>
      <c r="F612" s="111" t="str">
        <f>HYPERLINK("https://pbs.twimg.com/profile_images/1676055533080526849/TLr4snRz_normal.jpg")</f>
        <v>https://pbs.twimg.com/profile_images/1676055533080526849/TLr4snRz_normal.jpg</v>
      </c>
      <c r="G612" s="64"/>
      <c r="H612" s="68"/>
      <c r="I612" s="69"/>
      <c r="J612" s="69"/>
      <c r="K612" s="68" t="s">
        <v>29745</v>
      </c>
      <c r="L612" s="72"/>
      <c r="M612" s="73"/>
      <c r="N612" s="73"/>
      <c r="O612" s="74"/>
      <c r="P612" s="75"/>
      <c r="Q612" s="75"/>
      <c r="R612" s="102"/>
      <c r="S612" s="102"/>
      <c r="T612" s="102"/>
      <c r="U612" s="102"/>
      <c r="V612" s="48"/>
      <c r="W612" s="48"/>
      <c r="X612" s="48"/>
      <c r="Y612" s="48"/>
      <c r="Z612" s="47"/>
      <c r="AA612" s="70">
        <v>612</v>
      </c>
      <c r="AB612" s="70"/>
      <c r="AC612" s="71"/>
      <c r="AD612" s="86" t="s">
        <v>24234</v>
      </c>
      <c r="AE612" s="94" t="s">
        <v>23099</v>
      </c>
      <c r="AF612" s="86">
        <v>12</v>
      </c>
      <c r="AG612" s="86">
        <v>226</v>
      </c>
      <c r="AH612" s="86">
        <v>33</v>
      </c>
      <c r="AI612" s="86">
        <v>0</v>
      </c>
      <c r="AJ612" s="86">
        <v>0</v>
      </c>
      <c r="AK612" s="86">
        <v>33</v>
      </c>
      <c r="AL612" s="86" t="b">
        <v>0</v>
      </c>
      <c r="AM612" s="89">
        <v>45110.965428240743</v>
      </c>
      <c r="AN612" s="86" t="s">
        <v>15234</v>
      </c>
      <c r="AO612" s="86" t="s">
        <v>26981</v>
      </c>
      <c r="AP612" s="96" t="str">
        <f>HYPERLINK("https://t.co/vPBHt1HRbP")</f>
        <v>https://t.co/vPBHt1HRbP</v>
      </c>
      <c r="AQ612" s="96" t="str">
        <f>HYPERLINK("http://www.portaldoempreendedor360.com.br")</f>
        <v>http://www.portaldoempreendedor360.com.br</v>
      </c>
      <c r="AR612" s="86" t="s">
        <v>28321</v>
      </c>
      <c r="AS612" s="86"/>
      <c r="AT612" s="86"/>
      <c r="AU612" s="86"/>
      <c r="AV612" s="86"/>
      <c r="AW612" s="96" t="str">
        <f>HYPERLINK("https://t.co/vPBHt1HRbP")</f>
        <v>https://t.co/vPBHt1HRbP</v>
      </c>
      <c r="AX612" s="86" t="b">
        <v>0</v>
      </c>
      <c r="AY612" s="86"/>
      <c r="AZ612" s="86"/>
      <c r="BA612" s="86" t="b">
        <v>0</v>
      </c>
      <c r="BB612" s="86" t="b">
        <v>1</v>
      </c>
      <c r="BC612" s="86" t="b">
        <v>1</v>
      </c>
      <c r="BD612" s="86" t="b">
        <v>0</v>
      </c>
      <c r="BE612" s="86" t="b">
        <v>0</v>
      </c>
      <c r="BF612" s="86" t="b">
        <v>0</v>
      </c>
      <c r="BG612" s="86" t="b">
        <v>0</v>
      </c>
      <c r="BH612" s="86"/>
      <c r="BI612" s="86"/>
      <c r="BJ612" s="86" t="s">
        <v>29134</v>
      </c>
      <c r="BK612" s="86" t="b">
        <v>0</v>
      </c>
      <c r="BL612" s="86"/>
      <c r="BM612" s="86" t="s">
        <v>66</v>
      </c>
      <c r="BN612" s="86" t="s">
        <v>29136</v>
      </c>
      <c r="BO612" s="96" t="str">
        <f>HYPERLINK("https://twitter.com/pde360")</f>
        <v>https://twitter.com/pde360</v>
      </c>
      <c r="BP612" s="2"/>
    </row>
    <row r="613" spans="1:68" x14ac:dyDescent="0.25">
      <c r="A613" s="63" t="s">
        <v>759</v>
      </c>
      <c r="B613" s="64"/>
      <c r="C613" s="64"/>
      <c r="D613" s="65"/>
      <c r="E613" s="67"/>
      <c r="F613" s="111" t="str">
        <f>HYPERLINK("https://pbs.twimg.com/profile_images/1549803230384857088/Q_CsKILk_normal.jpg")</f>
        <v>https://pbs.twimg.com/profile_images/1549803230384857088/Q_CsKILk_normal.jpg</v>
      </c>
      <c r="G613" s="64"/>
      <c r="H613" s="68"/>
      <c r="I613" s="69"/>
      <c r="J613" s="69"/>
      <c r="K613" s="68" t="s">
        <v>29746</v>
      </c>
      <c r="L613" s="72"/>
      <c r="M613" s="73"/>
      <c r="N613" s="73"/>
      <c r="O613" s="74"/>
      <c r="P613" s="75"/>
      <c r="Q613" s="75"/>
      <c r="R613" s="102"/>
      <c r="S613" s="102"/>
      <c r="T613" s="102"/>
      <c r="U613" s="102"/>
      <c r="V613" s="48"/>
      <c r="W613" s="48"/>
      <c r="X613" s="48"/>
      <c r="Y613" s="48"/>
      <c r="Z613" s="47"/>
      <c r="AA613" s="70">
        <v>613</v>
      </c>
      <c r="AB613" s="70"/>
      <c r="AC613" s="71"/>
      <c r="AD613" s="86" t="s">
        <v>759</v>
      </c>
      <c r="AE613" s="94" t="s">
        <v>22572</v>
      </c>
      <c r="AF613" s="86">
        <v>145</v>
      </c>
      <c r="AG613" s="86">
        <v>467</v>
      </c>
      <c r="AH613" s="86">
        <v>1351</v>
      </c>
      <c r="AI613" s="86">
        <v>1</v>
      </c>
      <c r="AJ613" s="86">
        <v>1496</v>
      </c>
      <c r="AK613" s="86">
        <v>118</v>
      </c>
      <c r="AL613" s="86" t="b">
        <v>0</v>
      </c>
      <c r="AM613" s="89">
        <v>44762.711527777778</v>
      </c>
      <c r="AN613" s="86"/>
      <c r="AO613" s="86" t="s">
        <v>26982</v>
      </c>
      <c r="AP613" s="86"/>
      <c r="AQ613" s="86"/>
      <c r="AR613" s="86"/>
      <c r="AS613" s="86"/>
      <c r="AT613" s="86"/>
      <c r="AU613" s="86"/>
      <c r="AV613" s="86"/>
      <c r="AW613" s="86"/>
      <c r="AX613" s="86" t="b">
        <v>0</v>
      </c>
      <c r="AY613" s="86"/>
      <c r="AZ613" s="86"/>
      <c r="BA613" s="86" t="b">
        <v>0</v>
      </c>
      <c r="BB613" s="86" t="b">
        <v>1</v>
      </c>
      <c r="BC613" s="86" t="b">
        <v>1</v>
      </c>
      <c r="BD613" s="86" t="b">
        <v>0</v>
      </c>
      <c r="BE613" s="86" t="b">
        <v>1</v>
      </c>
      <c r="BF613" s="86" t="b">
        <v>0</v>
      </c>
      <c r="BG613" s="86" t="b">
        <v>0</v>
      </c>
      <c r="BH613" s="96" t="str">
        <f>HYPERLINK("https://pbs.twimg.com/profile_banners/1549802413636427776/1685455498")</f>
        <v>https://pbs.twimg.com/profile_banners/1549802413636427776/1685455498</v>
      </c>
      <c r="BI613" s="86"/>
      <c r="BJ613" s="86" t="s">
        <v>29134</v>
      </c>
      <c r="BK613" s="86" t="b">
        <v>0</v>
      </c>
      <c r="BL613" s="86"/>
      <c r="BM613" s="86" t="s">
        <v>66</v>
      </c>
      <c r="BN613" s="86" t="s">
        <v>29136</v>
      </c>
      <c r="BO613" s="96" t="str">
        <f>HYPERLINK("https://twitter.com/hpgmmed")</f>
        <v>https://twitter.com/hpgmmed</v>
      </c>
      <c r="BP613" s="2"/>
    </row>
    <row r="614" spans="1:68" x14ac:dyDescent="0.25">
      <c r="A614" s="63" t="s">
        <v>760</v>
      </c>
      <c r="B614" s="64"/>
      <c r="C614" s="64"/>
      <c r="D614" s="65"/>
      <c r="E614" s="67"/>
      <c r="F614" s="111" t="str">
        <f>HYPERLINK("https://pbs.twimg.com/profile_images/1695463347905273856/sOF1E5F7_normal.jpg")</f>
        <v>https://pbs.twimg.com/profile_images/1695463347905273856/sOF1E5F7_normal.jpg</v>
      </c>
      <c r="G614" s="64"/>
      <c r="H614" s="68"/>
      <c r="I614" s="69"/>
      <c r="J614" s="69"/>
      <c r="K614" s="68" t="s">
        <v>29747</v>
      </c>
      <c r="L614" s="72"/>
      <c r="M614" s="73"/>
      <c r="N614" s="73"/>
      <c r="O614" s="74"/>
      <c r="P614" s="75"/>
      <c r="Q614" s="75"/>
      <c r="R614" s="102"/>
      <c r="S614" s="102"/>
      <c r="T614" s="102"/>
      <c r="U614" s="102"/>
      <c r="V614" s="48"/>
      <c r="W614" s="48"/>
      <c r="X614" s="48"/>
      <c r="Y614" s="48"/>
      <c r="Z614" s="47"/>
      <c r="AA614" s="70">
        <v>614</v>
      </c>
      <c r="AB614" s="70"/>
      <c r="AC614" s="71"/>
      <c r="AD614" s="86" t="s">
        <v>24235</v>
      </c>
      <c r="AE614" s="94" t="s">
        <v>23101</v>
      </c>
      <c r="AF614" s="86">
        <v>4</v>
      </c>
      <c r="AG614" s="86">
        <v>205</v>
      </c>
      <c r="AH614" s="86">
        <v>85</v>
      </c>
      <c r="AI614" s="86">
        <v>0</v>
      </c>
      <c r="AJ614" s="86">
        <v>69</v>
      </c>
      <c r="AK614" s="86">
        <v>16</v>
      </c>
      <c r="AL614" s="86" t="b">
        <v>0</v>
      </c>
      <c r="AM614" s="89">
        <v>45138.754571759258</v>
      </c>
      <c r="AN614" s="86" t="s">
        <v>15234</v>
      </c>
      <c r="AO614" s="86" t="s">
        <v>26983</v>
      </c>
      <c r="AP614" s="86"/>
      <c r="AQ614" s="86"/>
      <c r="AR614" s="86"/>
      <c r="AS614" s="86"/>
      <c r="AT614" s="86"/>
      <c r="AU614" s="86"/>
      <c r="AV614" s="86"/>
      <c r="AW614" s="86"/>
      <c r="AX614" s="86" t="b">
        <v>0</v>
      </c>
      <c r="AY614" s="86"/>
      <c r="AZ614" s="86"/>
      <c r="BA614" s="86" t="b">
        <v>0</v>
      </c>
      <c r="BB614" s="86" t="b">
        <v>1</v>
      </c>
      <c r="BC614" s="86" t="b">
        <v>1</v>
      </c>
      <c r="BD614" s="86" t="b">
        <v>0</v>
      </c>
      <c r="BE614" s="86" t="b">
        <v>0</v>
      </c>
      <c r="BF614" s="86" t="b">
        <v>0</v>
      </c>
      <c r="BG614" s="86" t="b">
        <v>0</v>
      </c>
      <c r="BH614" s="96" t="str">
        <f>HYPERLINK("https://pbs.twimg.com/profile_banners/1686075625692413954/1690912756")</f>
        <v>https://pbs.twimg.com/profile_banners/1686075625692413954/1690912756</v>
      </c>
      <c r="BI614" s="86"/>
      <c r="BJ614" s="86" t="s">
        <v>29134</v>
      </c>
      <c r="BK614" s="86" t="b">
        <v>0</v>
      </c>
      <c r="BL614" s="86"/>
      <c r="BM614" s="86" t="s">
        <v>66</v>
      </c>
      <c r="BN614" s="86" t="s">
        <v>29136</v>
      </c>
      <c r="BO614" s="96" t="str">
        <f>HYPERLINK("https://twitter.com/marcosmentoria")</f>
        <v>https://twitter.com/marcosmentoria</v>
      </c>
      <c r="BP614" s="2"/>
    </row>
    <row r="615" spans="1:68" x14ac:dyDescent="0.25">
      <c r="A615" s="63" t="s">
        <v>761</v>
      </c>
      <c r="B615" s="64"/>
      <c r="C615" s="64"/>
      <c r="D615" s="65"/>
      <c r="E615" s="67"/>
      <c r="F615" s="111" t="str">
        <f>HYPERLINK("https://pbs.twimg.com/profile_images/1446649890227040258/U_F8MHKi_normal.jpg")</f>
        <v>https://pbs.twimg.com/profile_images/1446649890227040258/U_F8MHKi_normal.jpg</v>
      </c>
      <c r="G615" s="64"/>
      <c r="H615" s="68"/>
      <c r="I615" s="69"/>
      <c r="J615" s="69"/>
      <c r="K615" s="68" t="s">
        <v>29748</v>
      </c>
      <c r="L615" s="72"/>
      <c r="M615" s="73"/>
      <c r="N615" s="73"/>
      <c r="O615" s="74"/>
      <c r="P615" s="75"/>
      <c r="Q615" s="75"/>
      <c r="R615" s="102"/>
      <c r="S615" s="102"/>
      <c r="T615" s="102"/>
      <c r="U615" s="102"/>
      <c r="V615" s="48"/>
      <c r="W615" s="48"/>
      <c r="X615" s="48"/>
      <c r="Y615" s="48"/>
      <c r="Z615" s="47"/>
      <c r="AA615" s="70">
        <v>615</v>
      </c>
      <c r="AB615" s="70"/>
      <c r="AC615" s="71"/>
      <c r="AD615" s="86" t="s">
        <v>24236</v>
      </c>
      <c r="AE615" s="94" t="s">
        <v>25457</v>
      </c>
      <c r="AF615" s="86">
        <v>635</v>
      </c>
      <c r="AG615" s="86">
        <v>577</v>
      </c>
      <c r="AH615" s="86">
        <v>50188</v>
      </c>
      <c r="AI615" s="86">
        <v>6</v>
      </c>
      <c r="AJ615" s="86">
        <v>61495</v>
      </c>
      <c r="AK615" s="86">
        <v>2182</v>
      </c>
      <c r="AL615" s="86" t="b">
        <v>0</v>
      </c>
      <c r="AM615" s="89">
        <v>40128.997615740744</v>
      </c>
      <c r="AN615" s="86" t="s">
        <v>26105</v>
      </c>
      <c r="AO615" s="86" t="s">
        <v>26984</v>
      </c>
      <c r="AP615" s="86"/>
      <c r="AQ615" s="86"/>
      <c r="AR615" s="86"/>
      <c r="AS615" s="86"/>
      <c r="AT615" s="86"/>
      <c r="AU615" s="86"/>
      <c r="AV615" s="86">
        <v>7.5832267878472E+17</v>
      </c>
      <c r="AW615" s="86"/>
      <c r="AX615" s="86" t="b">
        <v>0</v>
      </c>
      <c r="AY615" s="86"/>
      <c r="AZ615" s="86"/>
      <c r="BA615" s="86" t="b">
        <v>0</v>
      </c>
      <c r="BB615" s="86" t="b">
        <v>1</v>
      </c>
      <c r="BC615" s="86" t="b">
        <v>0</v>
      </c>
      <c r="BD615" s="86" t="b">
        <v>0</v>
      </c>
      <c r="BE615" s="86" t="b">
        <v>1</v>
      </c>
      <c r="BF615" s="86" t="b">
        <v>0</v>
      </c>
      <c r="BG615" s="86" t="b">
        <v>0</v>
      </c>
      <c r="BH615" s="96" t="str">
        <f>HYPERLINK("https://pbs.twimg.com/profile_banners/89320409/1420237007")</f>
        <v>https://pbs.twimg.com/profile_banners/89320409/1420237007</v>
      </c>
      <c r="BI615" s="86"/>
      <c r="BJ615" s="86" t="s">
        <v>29134</v>
      </c>
      <c r="BK615" s="86" t="b">
        <v>0</v>
      </c>
      <c r="BL615" s="86"/>
      <c r="BM615" s="86" t="s">
        <v>66</v>
      </c>
      <c r="BN615" s="86" t="s">
        <v>29136</v>
      </c>
      <c r="BO615" s="96" t="str">
        <f>HYPERLINK("https://twitter.com/vitornascimen")</f>
        <v>https://twitter.com/vitornascimen</v>
      </c>
      <c r="BP615" s="2"/>
    </row>
    <row r="616" spans="1:68" x14ac:dyDescent="0.25">
      <c r="A616" s="63" t="s">
        <v>762</v>
      </c>
      <c r="B616" s="64"/>
      <c r="C616" s="64"/>
      <c r="D616" s="65"/>
      <c r="E616" s="67"/>
      <c r="F616" s="111" t="str">
        <f>HYPERLINK("https://pbs.twimg.com/profile_images/1158841122439028744/PrFDgxOK_normal.png")</f>
        <v>https://pbs.twimg.com/profile_images/1158841122439028744/PrFDgxOK_normal.png</v>
      </c>
      <c r="G616" s="64"/>
      <c r="H616" s="68"/>
      <c r="I616" s="69"/>
      <c r="J616" s="69"/>
      <c r="K616" s="68" t="s">
        <v>29749</v>
      </c>
      <c r="L616" s="72"/>
      <c r="M616" s="73"/>
      <c r="N616" s="73"/>
      <c r="O616" s="74"/>
      <c r="P616" s="75"/>
      <c r="Q616" s="75"/>
      <c r="R616" s="102"/>
      <c r="S616" s="102"/>
      <c r="T616" s="102"/>
      <c r="U616" s="102"/>
      <c r="V616" s="48"/>
      <c r="W616" s="48"/>
      <c r="X616" s="48"/>
      <c r="Y616" s="48"/>
      <c r="Z616" s="47"/>
      <c r="AA616" s="70">
        <v>616</v>
      </c>
      <c r="AB616" s="70"/>
      <c r="AC616" s="71"/>
      <c r="AD616" s="86" t="s">
        <v>24237</v>
      </c>
      <c r="AE616" s="94" t="s">
        <v>23102</v>
      </c>
      <c r="AF616" s="86">
        <v>13</v>
      </c>
      <c r="AG616" s="86">
        <v>7</v>
      </c>
      <c r="AH616" s="86">
        <v>657</v>
      </c>
      <c r="AI616" s="86">
        <v>0</v>
      </c>
      <c r="AJ616" s="86">
        <v>0</v>
      </c>
      <c r="AK616" s="86">
        <v>626</v>
      </c>
      <c r="AL616" s="86" t="b">
        <v>0</v>
      </c>
      <c r="AM616" s="89">
        <v>42675.454131944447</v>
      </c>
      <c r="AN616" s="86" t="s">
        <v>15240</v>
      </c>
      <c r="AO616" s="86" t="s">
        <v>26985</v>
      </c>
      <c r="AP616" s="96" t="str">
        <f>HYPERLINK("https://t.co/PetZ4UbU3W")</f>
        <v>https://t.co/PetZ4UbU3W</v>
      </c>
      <c r="AQ616" s="96" t="str">
        <f>HYPERLINK("http://www.easycob.com.br")</f>
        <v>http://www.easycob.com.br</v>
      </c>
      <c r="AR616" s="86" t="s">
        <v>28322</v>
      </c>
      <c r="AS616" s="86"/>
      <c r="AT616" s="86"/>
      <c r="AU616" s="86"/>
      <c r="AV616" s="86"/>
      <c r="AW616" s="96" t="str">
        <f>HYPERLINK("https://t.co/PetZ4UbU3W")</f>
        <v>https://t.co/PetZ4UbU3W</v>
      </c>
      <c r="AX616" s="86" t="b">
        <v>0</v>
      </c>
      <c r="AY616" s="86"/>
      <c r="AZ616" s="86"/>
      <c r="BA616" s="86" t="b">
        <v>0</v>
      </c>
      <c r="BB616" s="86" t="b">
        <v>1</v>
      </c>
      <c r="BC616" s="86" t="b">
        <v>1</v>
      </c>
      <c r="BD616" s="86" t="b">
        <v>0</v>
      </c>
      <c r="BE616" s="86" t="b">
        <v>0</v>
      </c>
      <c r="BF616" s="86" t="b">
        <v>0</v>
      </c>
      <c r="BG616" s="86" t="b">
        <v>0</v>
      </c>
      <c r="BH616" s="96" t="str">
        <f>HYPERLINK("https://pbs.twimg.com/profile_banners/793405711267028992/1477998237")</f>
        <v>https://pbs.twimg.com/profile_banners/793405711267028992/1477998237</v>
      </c>
      <c r="BI616" s="86"/>
      <c r="BJ616" s="86" t="s">
        <v>29134</v>
      </c>
      <c r="BK616" s="86" t="b">
        <v>0</v>
      </c>
      <c r="BL616" s="86"/>
      <c r="BM616" s="86" t="s">
        <v>66</v>
      </c>
      <c r="BN616" s="86" t="s">
        <v>29136</v>
      </c>
      <c r="BO616" s="96" t="str">
        <f>HYPERLINK("https://twitter.com/easycoboficial")</f>
        <v>https://twitter.com/easycoboficial</v>
      </c>
      <c r="BP616" s="2"/>
    </row>
    <row r="617" spans="1:68" x14ac:dyDescent="0.25">
      <c r="A617" s="63" t="s">
        <v>763</v>
      </c>
      <c r="B617" s="64"/>
      <c r="C617" s="64"/>
      <c r="D617" s="65"/>
      <c r="E617" s="67"/>
      <c r="F617" s="111" t="str">
        <f>HYPERLINK("https://pbs.twimg.com/profile_images/1567188584997834756/gnZ16RIY_normal.jpg")</f>
        <v>https://pbs.twimg.com/profile_images/1567188584997834756/gnZ16RIY_normal.jpg</v>
      </c>
      <c r="G617" s="64"/>
      <c r="H617" s="68"/>
      <c r="I617" s="69"/>
      <c r="J617" s="69"/>
      <c r="K617" s="68" t="s">
        <v>29750</v>
      </c>
      <c r="L617" s="72"/>
      <c r="M617" s="73"/>
      <c r="N617" s="73"/>
      <c r="O617" s="74"/>
      <c r="P617" s="75"/>
      <c r="Q617" s="75"/>
      <c r="R617" s="102"/>
      <c r="S617" s="102"/>
      <c r="T617" s="102"/>
      <c r="U617" s="102"/>
      <c r="V617" s="48"/>
      <c r="W617" s="48"/>
      <c r="X617" s="48"/>
      <c r="Y617" s="48"/>
      <c r="Z617" s="47"/>
      <c r="AA617" s="70">
        <v>617</v>
      </c>
      <c r="AB617" s="70"/>
      <c r="AC617" s="71"/>
      <c r="AD617" s="86" t="s">
        <v>24238</v>
      </c>
      <c r="AE617" s="94" t="s">
        <v>25458</v>
      </c>
      <c r="AF617" s="86">
        <v>1746</v>
      </c>
      <c r="AG617" s="86">
        <v>40</v>
      </c>
      <c r="AH617" s="86">
        <v>36099</v>
      </c>
      <c r="AI617" s="86">
        <v>53</v>
      </c>
      <c r="AJ617" s="86">
        <v>9</v>
      </c>
      <c r="AK617" s="86">
        <v>206</v>
      </c>
      <c r="AL617" s="86" t="b">
        <v>0</v>
      </c>
      <c r="AM617" s="89">
        <v>40274.673993055556</v>
      </c>
      <c r="AN617" s="86" t="s">
        <v>26025</v>
      </c>
      <c r="AO617" s="86" t="s">
        <v>26986</v>
      </c>
      <c r="AP617" s="96" t="str">
        <f>HYPERLINK("https://t.co/U0gFEIqJfR")</f>
        <v>https://t.co/U0gFEIqJfR</v>
      </c>
      <c r="AQ617" s="96" t="str">
        <f>HYPERLINK("http://www.diariodominho.pt")</f>
        <v>http://www.diariodominho.pt</v>
      </c>
      <c r="AR617" s="86" t="s">
        <v>8461</v>
      </c>
      <c r="AS617" s="86" t="s">
        <v>29000</v>
      </c>
      <c r="AT617" s="86" t="s">
        <v>29016</v>
      </c>
      <c r="AU617" s="86" t="s">
        <v>29071</v>
      </c>
      <c r="AV617" s="86"/>
      <c r="AW617" s="96" t="str">
        <f>HYPERLINK("https://t.co/U0gFEIqJfR")</f>
        <v>https://t.co/U0gFEIqJfR</v>
      </c>
      <c r="AX617" s="86" t="b">
        <v>0</v>
      </c>
      <c r="AY617" s="86"/>
      <c r="AZ617" s="86"/>
      <c r="BA617" s="86" t="b">
        <v>0</v>
      </c>
      <c r="BB617" s="86" t="b">
        <v>1</v>
      </c>
      <c r="BC617" s="86" t="b">
        <v>1</v>
      </c>
      <c r="BD617" s="86" t="b">
        <v>0</v>
      </c>
      <c r="BE617" s="86" t="b">
        <v>1</v>
      </c>
      <c r="BF617" s="86" t="b">
        <v>0</v>
      </c>
      <c r="BG617" s="86" t="b">
        <v>0</v>
      </c>
      <c r="BH617" s="96" t="str">
        <f>HYPERLINK("https://pbs.twimg.com/profile_banners/130194940/1522762742")</f>
        <v>https://pbs.twimg.com/profile_banners/130194940/1522762742</v>
      </c>
      <c r="BI617" s="86"/>
      <c r="BJ617" s="86" t="s">
        <v>29134</v>
      </c>
      <c r="BK617" s="86" t="b">
        <v>0</v>
      </c>
      <c r="BL617" s="86"/>
      <c r="BM617" s="86" t="s">
        <v>66</v>
      </c>
      <c r="BN617" s="86" t="s">
        <v>29136</v>
      </c>
      <c r="BO617" s="96" t="str">
        <f>HYPERLINK("https://twitter.com/diariodominho")</f>
        <v>https://twitter.com/diariodominho</v>
      </c>
      <c r="BP617" s="2"/>
    </row>
    <row r="618" spans="1:68" x14ac:dyDescent="0.25">
      <c r="A618" s="63" t="s">
        <v>764</v>
      </c>
      <c r="B618" s="64"/>
      <c r="C618" s="64"/>
      <c r="D618" s="65"/>
      <c r="E618" s="67"/>
      <c r="F618" s="111" t="str">
        <f>HYPERLINK("https://pbs.twimg.com/profile_images/1587458717611614212/pnRdjpWz_normal.jpg")</f>
        <v>https://pbs.twimg.com/profile_images/1587458717611614212/pnRdjpWz_normal.jpg</v>
      </c>
      <c r="G618" s="64"/>
      <c r="H618" s="68"/>
      <c r="I618" s="69"/>
      <c r="J618" s="69"/>
      <c r="K618" s="68" t="s">
        <v>29751</v>
      </c>
      <c r="L618" s="72"/>
      <c r="M618" s="73"/>
      <c r="N618" s="73"/>
      <c r="O618" s="74"/>
      <c r="P618" s="75"/>
      <c r="Q618" s="75"/>
      <c r="R618" s="102"/>
      <c r="S618" s="102"/>
      <c r="T618" s="102"/>
      <c r="U618" s="102"/>
      <c r="V618" s="48"/>
      <c r="W618" s="48"/>
      <c r="X618" s="48"/>
      <c r="Y618" s="48"/>
      <c r="Z618" s="47"/>
      <c r="AA618" s="70">
        <v>618</v>
      </c>
      <c r="AB618" s="70"/>
      <c r="AC618" s="71"/>
      <c r="AD618" s="86" t="s">
        <v>24239</v>
      </c>
      <c r="AE618" s="94" t="s">
        <v>23103</v>
      </c>
      <c r="AF618" s="86">
        <v>34</v>
      </c>
      <c r="AG618" s="86">
        <v>207</v>
      </c>
      <c r="AH618" s="86">
        <v>869</v>
      </c>
      <c r="AI618" s="86">
        <v>0</v>
      </c>
      <c r="AJ618" s="86">
        <v>18</v>
      </c>
      <c r="AK618" s="86">
        <v>6</v>
      </c>
      <c r="AL618" s="86" t="b">
        <v>0</v>
      </c>
      <c r="AM618" s="89">
        <v>44533.482407407406</v>
      </c>
      <c r="AN618" s="86" t="s">
        <v>26106</v>
      </c>
      <c r="AO618" s="86" t="s">
        <v>26987</v>
      </c>
      <c r="AP618" s="96" t="str">
        <f>HYPERLINK("https://t.co/NEyz0CWC23")</f>
        <v>https://t.co/NEyz0CWC23</v>
      </c>
      <c r="AQ618" s="96" t="str">
        <f>HYPERLINK("https://40emais.com.br")</f>
        <v>https://40emais.com.br</v>
      </c>
      <c r="AR618" s="86" t="s">
        <v>28323</v>
      </c>
      <c r="AS618" s="86"/>
      <c r="AT618" s="86"/>
      <c r="AU618" s="86"/>
      <c r="AV618" s="86"/>
      <c r="AW618" s="96" t="str">
        <f>HYPERLINK("https://t.co/NEyz0CWC23")</f>
        <v>https://t.co/NEyz0CWC23</v>
      </c>
      <c r="AX618" s="86" t="b">
        <v>0</v>
      </c>
      <c r="AY618" s="86"/>
      <c r="AZ618" s="86"/>
      <c r="BA618" s="86" t="b">
        <v>0</v>
      </c>
      <c r="BB618" s="86" t="b">
        <v>1</v>
      </c>
      <c r="BC618" s="86" t="b">
        <v>1</v>
      </c>
      <c r="BD618" s="86" t="b">
        <v>0</v>
      </c>
      <c r="BE618" s="86" t="b">
        <v>0</v>
      </c>
      <c r="BF618" s="86" t="b">
        <v>0</v>
      </c>
      <c r="BG618" s="86" t="b">
        <v>0</v>
      </c>
      <c r="BH618" s="96" t="str">
        <f>HYPERLINK("https://pbs.twimg.com/profile_banners/1466732538676797440/1667314627")</f>
        <v>https://pbs.twimg.com/profile_banners/1466732538676797440/1667314627</v>
      </c>
      <c r="BI618" s="86"/>
      <c r="BJ618" s="86" t="s">
        <v>29134</v>
      </c>
      <c r="BK618" s="86" t="b">
        <v>0</v>
      </c>
      <c r="BL618" s="86"/>
      <c r="BM618" s="86" t="s">
        <v>66</v>
      </c>
      <c r="BN618" s="86" t="s">
        <v>29136</v>
      </c>
      <c r="BO618" s="96" t="str">
        <f>HYPERLINK("https://twitter.com/40_emais")</f>
        <v>https://twitter.com/40_emais</v>
      </c>
      <c r="BP618" s="2"/>
    </row>
    <row r="619" spans="1:68" x14ac:dyDescent="0.25">
      <c r="A619" s="63" t="s">
        <v>765</v>
      </c>
      <c r="B619" s="64"/>
      <c r="C619" s="64"/>
      <c r="D619" s="65"/>
      <c r="E619" s="67"/>
      <c r="F619" s="111" t="str">
        <f>HYPERLINK("https://pbs.twimg.com/profile_images/1696977358647934977/qfY91yg2_normal.jpg")</f>
        <v>https://pbs.twimg.com/profile_images/1696977358647934977/qfY91yg2_normal.jpg</v>
      </c>
      <c r="G619" s="64"/>
      <c r="H619" s="68"/>
      <c r="I619" s="69"/>
      <c r="J619" s="69"/>
      <c r="K619" s="68" t="s">
        <v>29752</v>
      </c>
      <c r="L619" s="72"/>
      <c r="M619" s="73"/>
      <c r="N619" s="73"/>
      <c r="O619" s="74"/>
      <c r="P619" s="75"/>
      <c r="Q619" s="75"/>
      <c r="R619" s="102"/>
      <c r="S619" s="102"/>
      <c r="T619" s="102"/>
      <c r="U619" s="102"/>
      <c r="V619" s="48"/>
      <c r="W619" s="48"/>
      <c r="X619" s="48"/>
      <c r="Y619" s="48"/>
      <c r="Z619" s="47"/>
      <c r="AA619" s="70">
        <v>619</v>
      </c>
      <c r="AB619" s="70"/>
      <c r="AC619" s="71"/>
      <c r="AD619" s="86" t="s">
        <v>24240</v>
      </c>
      <c r="AE619" s="94" t="s">
        <v>23104</v>
      </c>
      <c r="AF619" s="86">
        <v>5</v>
      </c>
      <c r="AG619" s="86">
        <v>14</v>
      </c>
      <c r="AH619" s="86">
        <v>17</v>
      </c>
      <c r="AI619" s="86">
        <v>0</v>
      </c>
      <c r="AJ619" s="86">
        <v>3</v>
      </c>
      <c r="AK619" s="86">
        <v>13</v>
      </c>
      <c r="AL619" s="86" t="b">
        <v>0</v>
      </c>
      <c r="AM619" s="89">
        <v>45167.185289351852</v>
      </c>
      <c r="AN619" s="86" t="s">
        <v>26107</v>
      </c>
      <c r="AO619" s="86" t="s">
        <v>26988</v>
      </c>
      <c r="AP619" s="96" t="str">
        <f>HYPERLINK("https://t.co/V0tp0EPSa1")</f>
        <v>https://t.co/V0tp0EPSa1</v>
      </c>
      <c r="AQ619" s="96" t="str">
        <f>HYPERLINK("https://open.spotify.com/show/3pHCbE8FjD7DXdqwpCLfjy?si=CJIGw6ipRjKTNBV3nVFNKg")</f>
        <v>https://open.spotify.com/show/3pHCbE8FjD7DXdqwpCLfjy?si=CJIGw6ipRjKTNBV3nVFNKg</v>
      </c>
      <c r="AR619" s="86" t="s">
        <v>28324</v>
      </c>
      <c r="AS619" s="86"/>
      <c r="AT619" s="86"/>
      <c r="AU619" s="86"/>
      <c r="AV619" s="86"/>
      <c r="AW619" s="96" t="str">
        <f>HYPERLINK("https://t.co/V0tp0EPSa1")</f>
        <v>https://t.co/V0tp0EPSa1</v>
      </c>
      <c r="AX619" s="86" t="b">
        <v>0</v>
      </c>
      <c r="AY619" s="86"/>
      <c r="AZ619" s="86"/>
      <c r="BA619" s="86" t="b">
        <v>0</v>
      </c>
      <c r="BB619" s="86" t="b">
        <v>1</v>
      </c>
      <c r="BC619" s="86" t="b">
        <v>1</v>
      </c>
      <c r="BD619" s="86" t="b">
        <v>0</v>
      </c>
      <c r="BE619" s="86" t="b">
        <v>0</v>
      </c>
      <c r="BF619" s="86" t="b">
        <v>0</v>
      </c>
      <c r="BG619" s="86" t="b">
        <v>0</v>
      </c>
      <c r="BH619" s="96" t="str">
        <f>HYPERLINK("https://pbs.twimg.com/profile_banners/1696378688840032257/1693426429")</f>
        <v>https://pbs.twimg.com/profile_banners/1696378688840032257/1693426429</v>
      </c>
      <c r="BI619" s="86"/>
      <c r="BJ619" s="86" t="s">
        <v>29134</v>
      </c>
      <c r="BK619" s="86" t="b">
        <v>0</v>
      </c>
      <c r="BL619" s="86"/>
      <c r="BM619" s="86" t="s">
        <v>66</v>
      </c>
      <c r="BN619" s="86" t="s">
        <v>29136</v>
      </c>
      <c r="BO619" s="96" t="str">
        <f>HYPERLINK("https://twitter.com/angelv0108")</f>
        <v>https://twitter.com/angelv0108</v>
      </c>
      <c r="BP619" s="2"/>
    </row>
    <row r="620" spans="1:68" x14ac:dyDescent="0.25">
      <c r="A620" s="63" t="s">
        <v>766</v>
      </c>
      <c r="B620" s="64"/>
      <c r="C620" s="64"/>
      <c r="D620" s="65"/>
      <c r="E620" s="67"/>
      <c r="F620" s="111" t="str">
        <f>HYPERLINK("https://pbs.twimg.com/profile_images/1641464966241832960/Zz94f_QH_normal.jpg")</f>
        <v>https://pbs.twimg.com/profile_images/1641464966241832960/Zz94f_QH_normal.jpg</v>
      </c>
      <c r="G620" s="64"/>
      <c r="H620" s="68"/>
      <c r="I620" s="69"/>
      <c r="J620" s="69"/>
      <c r="K620" s="68" t="s">
        <v>29753</v>
      </c>
      <c r="L620" s="72"/>
      <c r="M620" s="73"/>
      <c r="N620" s="73"/>
      <c r="O620" s="74"/>
      <c r="P620" s="75"/>
      <c r="Q620" s="75"/>
      <c r="R620" s="102"/>
      <c r="S620" s="102"/>
      <c r="T620" s="102"/>
      <c r="U620" s="102"/>
      <c r="V620" s="48"/>
      <c r="W620" s="48"/>
      <c r="X620" s="48"/>
      <c r="Y620" s="48"/>
      <c r="Z620" s="47"/>
      <c r="AA620" s="70">
        <v>620</v>
      </c>
      <c r="AB620" s="70"/>
      <c r="AC620" s="71"/>
      <c r="AD620" s="86" t="s">
        <v>24241</v>
      </c>
      <c r="AE620" s="94" t="s">
        <v>22573</v>
      </c>
      <c r="AF620" s="86">
        <v>2</v>
      </c>
      <c r="AG620" s="86">
        <v>6</v>
      </c>
      <c r="AH620" s="86">
        <v>85</v>
      </c>
      <c r="AI620" s="86">
        <v>0</v>
      </c>
      <c r="AJ620" s="86">
        <v>4</v>
      </c>
      <c r="AK620" s="86">
        <v>75</v>
      </c>
      <c r="AL620" s="86" t="b">
        <v>0</v>
      </c>
      <c r="AM620" s="89">
        <v>45015.65184027778</v>
      </c>
      <c r="AN620" s="86"/>
      <c r="AO620" s="86" t="s">
        <v>26989</v>
      </c>
      <c r="AP620" s="86"/>
      <c r="AQ620" s="86"/>
      <c r="AR620" s="86"/>
      <c r="AS620" s="86"/>
      <c r="AT620" s="86"/>
      <c r="AU620" s="86"/>
      <c r="AV620" s="86"/>
      <c r="AW620" s="86"/>
      <c r="AX620" s="86" t="b">
        <v>0</v>
      </c>
      <c r="AY620" s="86"/>
      <c r="AZ620" s="86"/>
      <c r="BA620" s="86" t="b">
        <v>0</v>
      </c>
      <c r="BB620" s="86" t="b">
        <v>1</v>
      </c>
      <c r="BC620" s="86" t="b">
        <v>1</v>
      </c>
      <c r="BD620" s="86" t="b">
        <v>0</v>
      </c>
      <c r="BE620" s="86" t="b">
        <v>0</v>
      </c>
      <c r="BF620" s="86" t="b">
        <v>0</v>
      </c>
      <c r="BG620" s="86" t="b">
        <v>0</v>
      </c>
      <c r="BH620" s="86"/>
      <c r="BI620" s="86"/>
      <c r="BJ620" s="86" t="s">
        <v>29134</v>
      </c>
      <c r="BK620" s="86" t="b">
        <v>0</v>
      </c>
      <c r="BL620" s="86"/>
      <c r="BM620" s="86" t="s">
        <v>66</v>
      </c>
      <c r="BN620" s="86" t="s">
        <v>29136</v>
      </c>
      <c r="BO620" s="96" t="str">
        <f>HYPERLINK("https://twitter.com/kenya_juli")</f>
        <v>https://twitter.com/kenya_juli</v>
      </c>
      <c r="BP620" s="2"/>
    </row>
    <row r="621" spans="1:68" x14ac:dyDescent="0.25">
      <c r="A621" s="63" t="s">
        <v>767</v>
      </c>
      <c r="B621" s="64"/>
      <c r="C621" s="64"/>
      <c r="D621" s="65"/>
      <c r="E621" s="67"/>
      <c r="F621" s="111" t="str">
        <f>HYPERLINK("https://pbs.twimg.com/profile_images/1687459878770524162/LTpu8EEa_normal.jpg")</f>
        <v>https://pbs.twimg.com/profile_images/1687459878770524162/LTpu8EEa_normal.jpg</v>
      </c>
      <c r="G621" s="64"/>
      <c r="H621" s="68"/>
      <c r="I621" s="69"/>
      <c r="J621" s="69"/>
      <c r="K621" s="68" t="s">
        <v>29754</v>
      </c>
      <c r="L621" s="72"/>
      <c r="M621" s="73"/>
      <c r="N621" s="73"/>
      <c r="O621" s="74"/>
      <c r="P621" s="75"/>
      <c r="Q621" s="75"/>
      <c r="R621" s="102"/>
      <c r="S621" s="102"/>
      <c r="T621" s="102"/>
      <c r="U621" s="102"/>
      <c r="V621" s="48"/>
      <c r="W621" s="48"/>
      <c r="X621" s="48"/>
      <c r="Y621" s="48"/>
      <c r="Z621" s="47"/>
      <c r="AA621" s="70">
        <v>621</v>
      </c>
      <c r="AB621" s="70"/>
      <c r="AC621" s="71"/>
      <c r="AD621" s="86" t="s">
        <v>24242</v>
      </c>
      <c r="AE621" s="94" t="s">
        <v>22574</v>
      </c>
      <c r="AF621" s="86">
        <v>17</v>
      </c>
      <c r="AG621" s="86">
        <v>364</v>
      </c>
      <c r="AH621" s="86">
        <v>293</v>
      </c>
      <c r="AI621" s="86">
        <v>0</v>
      </c>
      <c r="AJ621" s="86">
        <v>14</v>
      </c>
      <c r="AK621" s="86">
        <v>66</v>
      </c>
      <c r="AL621" s="86" t="b">
        <v>0</v>
      </c>
      <c r="AM621" s="89">
        <v>44466.230243055557</v>
      </c>
      <c r="AN621" s="86" t="s">
        <v>26108</v>
      </c>
      <c r="AO621" s="86" t="s">
        <v>26990</v>
      </c>
      <c r="AP621" s="96" t="str">
        <f>HYPERLINK("https://t.co/460ucp3dVg")</f>
        <v>https://t.co/460ucp3dVg</v>
      </c>
      <c r="AQ621" s="96" t="str">
        <f>HYPERLINK("http://trustbanga.co.mz")</f>
        <v>http://trustbanga.co.mz</v>
      </c>
      <c r="AR621" s="86" t="s">
        <v>28325</v>
      </c>
      <c r="AS621" s="86"/>
      <c r="AT621" s="86"/>
      <c r="AU621" s="86"/>
      <c r="AV621" s="86">
        <v>1.6998925457767601E+18</v>
      </c>
      <c r="AW621" s="96" t="str">
        <f>HYPERLINK("https://t.co/460ucp3dVg")</f>
        <v>https://t.co/460ucp3dVg</v>
      </c>
      <c r="AX621" s="86" t="b">
        <v>0</v>
      </c>
      <c r="AY621" s="86"/>
      <c r="AZ621" s="86"/>
      <c r="BA621" s="86" t="b">
        <v>1</v>
      </c>
      <c r="BB621" s="86" t="b">
        <v>0</v>
      </c>
      <c r="BC621" s="86" t="b">
        <v>1</v>
      </c>
      <c r="BD621" s="86" t="b">
        <v>0</v>
      </c>
      <c r="BE621" s="86" t="b">
        <v>0</v>
      </c>
      <c r="BF621" s="86" t="b">
        <v>0</v>
      </c>
      <c r="BG621" s="86" t="b">
        <v>0</v>
      </c>
      <c r="BH621" s="96" t="str">
        <f>HYPERLINK("https://pbs.twimg.com/profile_banners/1442361104416468992/1691156837")</f>
        <v>https://pbs.twimg.com/profile_banners/1442361104416468992/1691156837</v>
      </c>
      <c r="BI621" s="86"/>
      <c r="BJ621" s="86" t="s">
        <v>29134</v>
      </c>
      <c r="BK621" s="86" t="b">
        <v>0</v>
      </c>
      <c r="BL621" s="86"/>
      <c r="BM621" s="86" t="s">
        <v>66</v>
      </c>
      <c r="BN621" s="86" t="s">
        <v>29136</v>
      </c>
      <c r="BO621" s="96" t="str">
        <f>HYPERLINK("https://twitter.com/luciferrogue")</f>
        <v>https://twitter.com/luciferrogue</v>
      </c>
      <c r="BP621" s="2"/>
    </row>
    <row r="622" spans="1:68" x14ac:dyDescent="0.25">
      <c r="A622" s="63" t="s">
        <v>768</v>
      </c>
      <c r="B622" s="64"/>
      <c r="C622" s="64"/>
      <c r="D622" s="65"/>
      <c r="E622" s="67"/>
      <c r="F622" s="111" t="str">
        <f>HYPERLINK("https://pbs.twimg.com/profile_images/1646862984138850304/JKb-E0fO_normal.jpg")</f>
        <v>https://pbs.twimg.com/profile_images/1646862984138850304/JKb-E0fO_normal.jpg</v>
      </c>
      <c r="G622" s="64"/>
      <c r="H622" s="68"/>
      <c r="I622" s="69"/>
      <c r="J622" s="69"/>
      <c r="K622" s="68" t="s">
        <v>29755</v>
      </c>
      <c r="L622" s="72"/>
      <c r="M622" s="73"/>
      <c r="N622" s="73"/>
      <c r="O622" s="74"/>
      <c r="P622" s="75"/>
      <c r="Q622" s="75"/>
      <c r="R622" s="102"/>
      <c r="S622" s="102"/>
      <c r="T622" s="102"/>
      <c r="U622" s="102"/>
      <c r="V622" s="48"/>
      <c r="W622" s="48"/>
      <c r="X622" s="48"/>
      <c r="Y622" s="48"/>
      <c r="Z622" s="47"/>
      <c r="AA622" s="70">
        <v>622</v>
      </c>
      <c r="AB622" s="70"/>
      <c r="AC622" s="71"/>
      <c r="AD622" s="86" t="s">
        <v>24243</v>
      </c>
      <c r="AE622" s="94" t="s">
        <v>23105</v>
      </c>
      <c r="AF622" s="86">
        <v>428</v>
      </c>
      <c r="AG622" s="86">
        <v>594</v>
      </c>
      <c r="AH622" s="86">
        <v>552</v>
      </c>
      <c r="AI622" s="86">
        <v>0</v>
      </c>
      <c r="AJ622" s="86">
        <v>582</v>
      </c>
      <c r="AK622" s="86">
        <v>7</v>
      </c>
      <c r="AL622" s="86" t="b">
        <v>0</v>
      </c>
      <c r="AM622" s="89">
        <v>45030.547013888892</v>
      </c>
      <c r="AN622" s="86" t="s">
        <v>15240</v>
      </c>
      <c r="AO622" s="86" t="s">
        <v>26991</v>
      </c>
      <c r="AP622" s="86"/>
      <c r="AQ622" s="86"/>
      <c r="AR622" s="86"/>
      <c r="AS622" s="86"/>
      <c r="AT622" s="86"/>
      <c r="AU622" s="86"/>
      <c r="AV622" s="86"/>
      <c r="AW622" s="86"/>
      <c r="AX622" s="86" t="b">
        <v>0</v>
      </c>
      <c r="AY622" s="86"/>
      <c r="AZ622" s="86"/>
      <c r="BA622" s="86" t="b">
        <v>0</v>
      </c>
      <c r="BB622" s="86" t="b">
        <v>1</v>
      </c>
      <c r="BC622" s="86" t="b">
        <v>1</v>
      </c>
      <c r="BD622" s="86" t="b">
        <v>0</v>
      </c>
      <c r="BE622" s="86" t="b">
        <v>0</v>
      </c>
      <c r="BF622" s="86" t="b">
        <v>0</v>
      </c>
      <c r="BG622" s="86" t="b">
        <v>0</v>
      </c>
      <c r="BH622" s="96" t="str">
        <f>HYPERLINK("https://pbs.twimg.com/profile_banners/1646862690437025794/1681478138")</f>
        <v>https://pbs.twimg.com/profile_banners/1646862690437025794/1681478138</v>
      </c>
      <c r="BI622" s="86"/>
      <c r="BJ622" s="86" t="s">
        <v>29134</v>
      </c>
      <c r="BK622" s="86" t="b">
        <v>0</v>
      </c>
      <c r="BL622" s="86"/>
      <c r="BM622" s="86" t="s">
        <v>66</v>
      </c>
      <c r="BN622" s="86" t="s">
        <v>29136</v>
      </c>
      <c r="BO622" s="96" t="str">
        <f>HYPERLINK("https://twitter.com/luizthiagoma")</f>
        <v>https://twitter.com/luizthiagoma</v>
      </c>
      <c r="BP622" s="2"/>
    </row>
    <row r="623" spans="1:68" x14ac:dyDescent="0.25">
      <c r="A623" s="63" t="s">
        <v>865</v>
      </c>
      <c r="B623" s="64"/>
      <c r="C623" s="64"/>
      <c r="D623" s="65"/>
      <c r="E623" s="67"/>
      <c r="F623" s="111" t="str">
        <f>HYPERLINK("https://pbs.twimg.com/profile_images/1467283242390798349/mPXfKvFJ_normal.jpg")</f>
        <v>https://pbs.twimg.com/profile_images/1467283242390798349/mPXfKvFJ_normal.jpg</v>
      </c>
      <c r="G623" s="64"/>
      <c r="H623" s="68"/>
      <c r="I623" s="69"/>
      <c r="J623" s="69"/>
      <c r="K623" s="68" t="s">
        <v>29756</v>
      </c>
      <c r="L623" s="72"/>
      <c r="M623" s="73"/>
      <c r="N623" s="73"/>
      <c r="O623" s="74"/>
      <c r="P623" s="75"/>
      <c r="Q623" s="75"/>
      <c r="R623" s="102"/>
      <c r="S623" s="102"/>
      <c r="T623" s="102"/>
      <c r="U623" s="102"/>
      <c r="V623" s="48"/>
      <c r="W623" s="48"/>
      <c r="X623" s="48"/>
      <c r="Y623" s="48"/>
      <c r="Z623" s="47"/>
      <c r="AA623" s="70">
        <v>623</v>
      </c>
      <c r="AB623" s="70"/>
      <c r="AC623" s="71"/>
      <c r="AD623" s="86" t="s">
        <v>24244</v>
      </c>
      <c r="AE623" s="94" t="s">
        <v>25459</v>
      </c>
      <c r="AF623" s="86">
        <v>38907</v>
      </c>
      <c r="AG623" s="86">
        <v>291</v>
      </c>
      <c r="AH623" s="86">
        <v>8550</v>
      </c>
      <c r="AI623" s="86">
        <v>146</v>
      </c>
      <c r="AJ623" s="86">
        <v>3623</v>
      </c>
      <c r="AK623" s="86">
        <v>4094</v>
      </c>
      <c r="AL623" s="86" t="b">
        <v>0</v>
      </c>
      <c r="AM623" s="89">
        <v>40605.785555555558</v>
      </c>
      <c r="AN623" s="86" t="s">
        <v>15240</v>
      </c>
      <c r="AO623" s="86" t="s">
        <v>26992</v>
      </c>
      <c r="AP623" s="96" t="str">
        <f>HYPERLINK("https://t.co/L9cEemOafF")</f>
        <v>https://t.co/L9cEemOafF</v>
      </c>
      <c r="AQ623" s="96" t="str">
        <f>HYPERLINK("http://www.uerj.br")</f>
        <v>http://www.uerj.br</v>
      </c>
      <c r="AR623" s="86" t="s">
        <v>28326</v>
      </c>
      <c r="AS623" s="86" t="s">
        <v>29001</v>
      </c>
      <c r="AT623" s="86" t="s">
        <v>29017</v>
      </c>
      <c r="AU623" s="86" t="s">
        <v>29072</v>
      </c>
      <c r="AV623" s="86"/>
      <c r="AW623" s="96" t="str">
        <f>HYPERLINK("https://t.co/L9cEemOafF")</f>
        <v>https://t.co/L9cEemOafF</v>
      </c>
      <c r="AX623" s="86" t="b">
        <v>0</v>
      </c>
      <c r="AY623" s="86"/>
      <c r="AZ623" s="86"/>
      <c r="BA623" s="86" t="b">
        <v>0</v>
      </c>
      <c r="BB623" s="86" t="b">
        <v>1</v>
      </c>
      <c r="BC623" s="86" t="b">
        <v>0</v>
      </c>
      <c r="BD623" s="86" t="b">
        <v>0</v>
      </c>
      <c r="BE623" s="86" t="b">
        <v>1</v>
      </c>
      <c r="BF623" s="86" t="b">
        <v>0</v>
      </c>
      <c r="BG623" s="86" t="b">
        <v>0</v>
      </c>
      <c r="BH623" s="96" t="str">
        <f>HYPERLINK("https://pbs.twimg.com/profile_banners/260361481/1688772639")</f>
        <v>https://pbs.twimg.com/profile_banners/260361481/1688772639</v>
      </c>
      <c r="BI623" s="86"/>
      <c r="BJ623" s="86" t="s">
        <v>29134</v>
      </c>
      <c r="BK623" s="86" t="b">
        <v>0</v>
      </c>
      <c r="BL623" s="86"/>
      <c r="BM623" s="86" t="s">
        <v>66</v>
      </c>
      <c r="BN623" s="86" t="s">
        <v>29136</v>
      </c>
      <c r="BO623" s="96" t="str">
        <f>HYPERLINK("https://twitter.com/uerj_oficial")</f>
        <v>https://twitter.com/uerj_oficial</v>
      </c>
      <c r="BP623" s="2"/>
    </row>
    <row r="624" spans="1:68" x14ac:dyDescent="0.25">
      <c r="A624" s="63" t="s">
        <v>769</v>
      </c>
      <c r="B624" s="64"/>
      <c r="C624" s="64"/>
      <c r="D624" s="65"/>
      <c r="E624" s="67"/>
      <c r="F624" s="111" t="str">
        <f>HYPERLINK("https://pbs.twimg.com/profile_images/1706397208981962752/cgKe09VH_normal.jpg")</f>
        <v>https://pbs.twimg.com/profile_images/1706397208981962752/cgKe09VH_normal.jpg</v>
      </c>
      <c r="G624" s="64"/>
      <c r="H624" s="68"/>
      <c r="I624" s="69"/>
      <c r="J624" s="69"/>
      <c r="K624" s="68" t="s">
        <v>29757</v>
      </c>
      <c r="L624" s="72"/>
      <c r="M624" s="73"/>
      <c r="N624" s="73"/>
      <c r="O624" s="74"/>
      <c r="P624" s="75"/>
      <c r="Q624" s="75"/>
      <c r="R624" s="102"/>
      <c r="S624" s="102"/>
      <c r="T624" s="102"/>
      <c r="U624" s="102"/>
      <c r="V624" s="48"/>
      <c r="W624" s="48"/>
      <c r="X624" s="48"/>
      <c r="Y624" s="48"/>
      <c r="Z624" s="47"/>
      <c r="AA624" s="70">
        <v>624</v>
      </c>
      <c r="AB624" s="70"/>
      <c r="AC624" s="71"/>
      <c r="AD624" s="86" t="s">
        <v>24245</v>
      </c>
      <c r="AE624" s="94" t="s">
        <v>23106</v>
      </c>
      <c r="AF624" s="86">
        <v>5</v>
      </c>
      <c r="AG624" s="86">
        <v>25</v>
      </c>
      <c r="AH624" s="86">
        <v>5</v>
      </c>
      <c r="AI624" s="86">
        <v>0</v>
      </c>
      <c r="AJ624" s="86">
        <v>28</v>
      </c>
      <c r="AK624" s="86">
        <v>4</v>
      </c>
      <c r="AL624" s="86" t="b">
        <v>0</v>
      </c>
      <c r="AM624" s="89">
        <v>45194.830694444441</v>
      </c>
      <c r="AN624" s="86"/>
      <c r="AO624" s="86" t="s">
        <v>26993</v>
      </c>
      <c r="AP624" s="96" t="str">
        <f>HYPERLINK("https://t.co/KBNOAY26BB")</f>
        <v>https://t.co/KBNOAY26BB</v>
      </c>
      <c r="AQ624" s="96" t="str">
        <f>HYPERLINK("http://linktr.ee/orestesleal")</f>
        <v>http://linktr.ee/orestesleal</v>
      </c>
      <c r="AR624" s="86" t="s">
        <v>28327</v>
      </c>
      <c r="AS624" s="86"/>
      <c r="AT624" s="86"/>
      <c r="AU624" s="86"/>
      <c r="AV624" s="86"/>
      <c r="AW624" s="96" t="str">
        <f>HYPERLINK("https://t.co/KBNOAY26BB")</f>
        <v>https://t.co/KBNOAY26BB</v>
      </c>
      <c r="AX624" s="86" t="b">
        <v>0</v>
      </c>
      <c r="AY624" s="86"/>
      <c r="AZ624" s="86"/>
      <c r="BA624" s="86" t="b">
        <v>0</v>
      </c>
      <c r="BB624" s="86" t="b">
        <v>1</v>
      </c>
      <c r="BC624" s="86" t="b">
        <v>1</v>
      </c>
      <c r="BD624" s="86" t="b">
        <v>0</v>
      </c>
      <c r="BE624" s="86" t="b">
        <v>0</v>
      </c>
      <c r="BF624" s="86" t="b">
        <v>0</v>
      </c>
      <c r="BG624" s="86" t="b">
        <v>0</v>
      </c>
      <c r="BH624" s="96" t="str">
        <f>HYPERLINK("https://pbs.twimg.com/profile_banners/1706396983605235712/1695679495")</f>
        <v>https://pbs.twimg.com/profile_banners/1706396983605235712/1695679495</v>
      </c>
      <c r="BI624" s="86"/>
      <c r="BJ624" s="86" t="s">
        <v>29134</v>
      </c>
      <c r="BK624" s="86" t="b">
        <v>0</v>
      </c>
      <c r="BL624" s="86"/>
      <c r="BM624" s="86" t="s">
        <v>66</v>
      </c>
      <c r="BN624" s="86" t="s">
        <v>29136</v>
      </c>
      <c r="BO624" s="96" t="str">
        <f>HYPERLINK("https://twitter.com/orestesleal1")</f>
        <v>https://twitter.com/orestesleal1</v>
      </c>
      <c r="BP624" s="2"/>
    </row>
    <row r="625" spans="1:68" x14ac:dyDescent="0.25">
      <c r="A625" s="63" t="s">
        <v>770</v>
      </c>
      <c r="B625" s="64"/>
      <c r="C625" s="64"/>
      <c r="D625" s="65"/>
      <c r="E625" s="67"/>
      <c r="F625" s="111" t="str">
        <f>HYPERLINK("https://pbs.twimg.com/profile_images/1625874261561704454/7Vfy1GVT_normal.jpg")</f>
        <v>https://pbs.twimg.com/profile_images/1625874261561704454/7Vfy1GVT_normal.jpg</v>
      </c>
      <c r="G625" s="64"/>
      <c r="H625" s="68"/>
      <c r="I625" s="69"/>
      <c r="J625" s="69"/>
      <c r="K625" s="68" t="s">
        <v>29758</v>
      </c>
      <c r="L625" s="72"/>
      <c r="M625" s="73"/>
      <c r="N625" s="73"/>
      <c r="O625" s="74"/>
      <c r="P625" s="75"/>
      <c r="Q625" s="75"/>
      <c r="R625" s="102"/>
      <c r="S625" s="102"/>
      <c r="T625" s="102"/>
      <c r="U625" s="102"/>
      <c r="V625" s="48"/>
      <c r="W625" s="48"/>
      <c r="X625" s="48"/>
      <c r="Y625" s="48"/>
      <c r="Z625" s="47"/>
      <c r="AA625" s="70">
        <v>625</v>
      </c>
      <c r="AB625" s="70"/>
      <c r="AC625" s="71"/>
      <c r="AD625" s="86" t="s">
        <v>24246</v>
      </c>
      <c r="AE625" s="94" t="s">
        <v>23107</v>
      </c>
      <c r="AF625" s="86">
        <v>15</v>
      </c>
      <c r="AG625" s="86">
        <v>37</v>
      </c>
      <c r="AH625" s="86">
        <v>349</v>
      </c>
      <c r="AI625" s="86">
        <v>0</v>
      </c>
      <c r="AJ625" s="86">
        <v>0</v>
      </c>
      <c r="AK625" s="86">
        <v>228</v>
      </c>
      <c r="AL625" s="86" t="b">
        <v>0</v>
      </c>
      <c r="AM625" s="89">
        <v>44866.570891203701</v>
      </c>
      <c r="AN625" s="86" t="s">
        <v>15378</v>
      </c>
      <c r="AO625" s="86"/>
      <c r="AP625" s="96" t="str">
        <f>HYPERLINK("https://t.co/D8VeL9qDZ8")</f>
        <v>https://t.co/D8VeL9qDZ8</v>
      </c>
      <c r="AQ625" s="96" t="str">
        <f>HYPERLINK("https://conteudo.auddas.com/auddas-league")</f>
        <v>https://conteudo.auddas.com/auddas-league</v>
      </c>
      <c r="AR625" s="86" t="s">
        <v>28328</v>
      </c>
      <c r="AS625" s="86"/>
      <c r="AT625" s="86"/>
      <c r="AU625" s="86"/>
      <c r="AV625" s="86"/>
      <c r="AW625" s="96" t="str">
        <f>HYPERLINK("https://t.co/D8VeL9qDZ8")</f>
        <v>https://t.co/D8VeL9qDZ8</v>
      </c>
      <c r="AX625" s="86" t="b">
        <v>0</v>
      </c>
      <c r="AY625" s="86"/>
      <c r="AZ625" s="86"/>
      <c r="BA625" s="86" t="b">
        <v>0</v>
      </c>
      <c r="BB625" s="86" t="b">
        <v>1</v>
      </c>
      <c r="BC625" s="86" t="b">
        <v>1</v>
      </c>
      <c r="BD625" s="86" t="b">
        <v>0</v>
      </c>
      <c r="BE625" s="86" t="b">
        <v>0</v>
      </c>
      <c r="BF625" s="86" t="b">
        <v>0</v>
      </c>
      <c r="BG625" s="86" t="b">
        <v>0</v>
      </c>
      <c r="BH625" s="96" t="str">
        <f>HYPERLINK("https://pbs.twimg.com/profile_banners/1587439767171596292/1667479769")</f>
        <v>https://pbs.twimg.com/profile_banners/1587439767171596292/1667479769</v>
      </c>
      <c r="BI625" s="86"/>
      <c r="BJ625" s="86" t="s">
        <v>29134</v>
      </c>
      <c r="BK625" s="86" t="b">
        <v>0</v>
      </c>
      <c r="BL625" s="86"/>
      <c r="BM625" s="86" t="s">
        <v>66</v>
      </c>
      <c r="BN625" s="86" t="s">
        <v>29136</v>
      </c>
      <c r="BO625" s="96" t="str">
        <f>HYPERLINK("https://twitter.com/auddas_")</f>
        <v>https://twitter.com/auddas_</v>
      </c>
      <c r="BP625" s="2"/>
    </row>
    <row r="626" spans="1:68" x14ac:dyDescent="0.25">
      <c r="A626" s="63" t="s">
        <v>771</v>
      </c>
      <c r="B626" s="64"/>
      <c r="C626" s="64"/>
      <c r="D626" s="65"/>
      <c r="E626" s="67"/>
      <c r="F626" s="111" t="str">
        <f>HYPERLINK("https://pbs.twimg.com/profile_images/1671867122501275650/FeZokpmG_normal.jpg")</f>
        <v>https://pbs.twimg.com/profile_images/1671867122501275650/FeZokpmG_normal.jpg</v>
      </c>
      <c r="G626" s="64"/>
      <c r="H626" s="68"/>
      <c r="I626" s="69"/>
      <c r="J626" s="69"/>
      <c r="K626" s="68" t="s">
        <v>29759</v>
      </c>
      <c r="L626" s="72"/>
      <c r="M626" s="73"/>
      <c r="N626" s="73"/>
      <c r="O626" s="74"/>
      <c r="P626" s="75"/>
      <c r="Q626" s="75"/>
      <c r="R626" s="102"/>
      <c r="S626" s="102"/>
      <c r="T626" s="102"/>
      <c r="U626" s="102"/>
      <c r="V626" s="48"/>
      <c r="W626" s="48"/>
      <c r="X626" s="48"/>
      <c r="Y626" s="48"/>
      <c r="Z626" s="47"/>
      <c r="AA626" s="70">
        <v>626</v>
      </c>
      <c r="AB626" s="70"/>
      <c r="AC626" s="71"/>
      <c r="AD626" s="86" t="s">
        <v>24247</v>
      </c>
      <c r="AE626" s="94" t="s">
        <v>23108</v>
      </c>
      <c r="AF626" s="86">
        <v>70</v>
      </c>
      <c r="AG626" s="86">
        <v>25</v>
      </c>
      <c r="AH626" s="86">
        <v>2590</v>
      </c>
      <c r="AI626" s="86">
        <v>0</v>
      </c>
      <c r="AJ626" s="86">
        <v>1479</v>
      </c>
      <c r="AK626" s="86">
        <v>2005</v>
      </c>
      <c r="AL626" s="86" t="b">
        <v>0</v>
      </c>
      <c r="AM626" s="89">
        <v>43102.700706018521</v>
      </c>
      <c r="AN626" s="86" t="s">
        <v>15301</v>
      </c>
      <c r="AO626" s="86" t="s">
        <v>26994</v>
      </c>
      <c r="AP626" s="96" t="str">
        <f>HYPERLINK("https://t.co/jBfkK2MN83")</f>
        <v>https://t.co/jBfkK2MN83</v>
      </c>
      <c r="AQ626" s="96" t="str">
        <f>HYPERLINK("https://www.wyden.com.br/selecao?parceiro=14308581")</f>
        <v>https://www.wyden.com.br/selecao?parceiro=14308581</v>
      </c>
      <c r="AR626" s="86" t="s">
        <v>28329</v>
      </c>
      <c r="AS626" s="86"/>
      <c r="AT626" s="86"/>
      <c r="AU626" s="86"/>
      <c r="AV626" s="86">
        <v>1.66825724490178E+18</v>
      </c>
      <c r="AW626" s="96" t="str">
        <f>HYPERLINK("https://t.co/jBfkK2MN83")</f>
        <v>https://t.co/jBfkK2MN83</v>
      </c>
      <c r="AX626" s="86" t="b">
        <v>0</v>
      </c>
      <c r="AY626" s="86"/>
      <c r="AZ626" s="86"/>
      <c r="BA626" s="86" t="b">
        <v>0</v>
      </c>
      <c r="BB626" s="86" t="b">
        <v>1</v>
      </c>
      <c r="BC626" s="86" t="b">
        <v>1</v>
      </c>
      <c r="BD626" s="86" t="b">
        <v>0</v>
      </c>
      <c r="BE626" s="86" t="b">
        <v>1</v>
      </c>
      <c r="BF626" s="86" t="b">
        <v>0</v>
      </c>
      <c r="BG626" s="86" t="b">
        <v>0</v>
      </c>
      <c r="BH626" s="96" t="str">
        <f>HYPERLINK("https://pbs.twimg.com/profile_banners/948234688107307008/1633371601")</f>
        <v>https://pbs.twimg.com/profile_banners/948234688107307008/1633371601</v>
      </c>
      <c r="BI626" s="86"/>
      <c r="BJ626" s="86" t="s">
        <v>29134</v>
      </c>
      <c r="BK626" s="86" t="b">
        <v>0</v>
      </c>
      <c r="BL626" s="86"/>
      <c r="BM626" s="86" t="s">
        <v>66</v>
      </c>
      <c r="BN626" s="86" t="s">
        <v>29136</v>
      </c>
      <c r="BO626" s="96" t="str">
        <f>HYPERLINK("https://twitter.com/wydenaracatuba")</f>
        <v>https://twitter.com/wydenaracatuba</v>
      </c>
      <c r="BP626" s="2"/>
    </row>
    <row r="627" spans="1:68" x14ac:dyDescent="0.25">
      <c r="A627" s="63" t="s">
        <v>772</v>
      </c>
      <c r="B627" s="64"/>
      <c r="C627" s="64"/>
      <c r="D627" s="65"/>
      <c r="E627" s="67"/>
      <c r="F627" s="111" t="str">
        <f>HYPERLINK("https://pbs.twimg.com/profile_images/1657809596017262593/SWfHcHqT_normal.jpg")</f>
        <v>https://pbs.twimg.com/profile_images/1657809596017262593/SWfHcHqT_normal.jpg</v>
      </c>
      <c r="G627" s="64"/>
      <c r="H627" s="68"/>
      <c r="I627" s="69"/>
      <c r="J627" s="69"/>
      <c r="K627" s="68" t="s">
        <v>29760</v>
      </c>
      <c r="L627" s="72"/>
      <c r="M627" s="73"/>
      <c r="N627" s="73"/>
      <c r="O627" s="74"/>
      <c r="P627" s="75"/>
      <c r="Q627" s="75"/>
      <c r="R627" s="102"/>
      <c r="S627" s="102"/>
      <c r="T627" s="102"/>
      <c r="U627" s="102"/>
      <c r="V627" s="48"/>
      <c r="W627" s="48"/>
      <c r="X627" s="48"/>
      <c r="Y627" s="48"/>
      <c r="Z627" s="47"/>
      <c r="AA627" s="70">
        <v>627</v>
      </c>
      <c r="AB627" s="70"/>
      <c r="AC627" s="71"/>
      <c r="AD627" s="86" t="s">
        <v>24248</v>
      </c>
      <c r="AE627" s="94" t="s">
        <v>22575</v>
      </c>
      <c r="AF627" s="86">
        <v>7</v>
      </c>
      <c r="AG627" s="86">
        <v>81</v>
      </c>
      <c r="AH627" s="86">
        <v>754</v>
      </c>
      <c r="AI627" s="86">
        <v>0</v>
      </c>
      <c r="AJ627" s="86">
        <v>0</v>
      </c>
      <c r="AK627" s="86">
        <v>84</v>
      </c>
      <c r="AL627" s="86" t="b">
        <v>0</v>
      </c>
      <c r="AM627" s="89">
        <v>45044.734293981484</v>
      </c>
      <c r="AN627" s="86" t="s">
        <v>15234</v>
      </c>
      <c r="AO627" s="86" t="s">
        <v>26995</v>
      </c>
      <c r="AP627" s="96" t="str">
        <f>HYPERLINK("https://t.co/GytoaUT8NT")</f>
        <v>https://t.co/GytoaUT8NT</v>
      </c>
      <c r="AQ627" s="96" t="str">
        <f>HYPERLINK("https://mossca.xyz")</f>
        <v>https://mossca.xyz</v>
      </c>
      <c r="AR627" s="86" t="s">
        <v>28330</v>
      </c>
      <c r="AS627" s="86"/>
      <c r="AT627" s="86"/>
      <c r="AU627" s="86"/>
      <c r="AV627" s="86"/>
      <c r="AW627" s="96" t="str">
        <f>HYPERLINK("https://t.co/GytoaUT8NT")</f>
        <v>https://t.co/GytoaUT8NT</v>
      </c>
      <c r="AX627" s="86" t="b">
        <v>0</v>
      </c>
      <c r="AY627" s="86"/>
      <c r="AZ627" s="86"/>
      <c r="BA627" s="86" t="b">
        <v>0</v>
      </c>
      <c r="BB627" s="86" t="b">
        <v>1</v>
      </c>
      <c r="BC627" s="86" t="b">
        <v>1</v>
      </c>
      <c r="BD627" s="86" t="b">
        <v>0</v>
      </c>
      <c r="BE627" s="86" t="b">
        <v>0</v>
      </c>
      <c r="BF627" s="86" t="b">
        <v>0</v>
      </c>
      <c r="BG627" s="86" t="b">
        <v>0</v>
      </c>
      <c r="BH627" s="86"/>
      <c r="BI627" s="86"/>
      <c r="BJ627" s="86" t="s">
        <v>29134</v>
      </c>
      <c r="BK627" s="86" t="b">
        <v>0</v>
      </c>
      <c r="BL627" s="86"/>
      <c r="BM627" s="86" t="s">
        <v>66</v>
      </c>
      <c r="BN627" s="86" t="s">
        <v>29136</v>
      </c>
      <c r="BO627" s="96" t="str">
        <f>HYPERLINK("https://twitter.com/mosscaxyz")</f>
        <v>https://twitter.com/mosscaxyz</v>
      </c>
      <c r="BP627" s="2"/>
    </row>
    <row r="628" spans="1:68" x14ac:dyDescent="0.25">
      <c r="A628" s="63" t="s">
        <v>773</v>
      </c>
      <c r="B628" s="64"/>
      <c r="C628" s="64"/>
      <c r="D628" s="65"/>
      <c r="E628" s="67"/>
      <c r="F628" s="111" t="str">
        <f>HYPERLINK("https://pbs.twimg.com/profile_images/1157046558845620226/Hm9XMvje_normal.jpg")</f>
        <v>https://pbs.twimg.com/profile_images/1157046558845620226/Hm9XMvje_normal.jpg</v>
      </c>
      <c r="G628" s="64"/>
      <c r="H628" s="68"/>
      <c r="I628" s="69"/>
      <c r="J628" s="69"/>
      <c r="K628" s="68" t="s">
        <v>29761</v>
      </c>
      <c r="L628" s="72"/>
      <c r="M628" s="73"/>
      <c r="N628" s="73"/>
      <c r="O628" s="74"/>
      <c r="P628" s="75"/>
      <c r="Q628" s="75"/>
      <c r="R628" s="102"/>
      <c r="S628" s="102"/>
      <c r="T628" s="102"/>
      <c r="U628" s="102"/>
      <c r="V628" s="48"/>
      <c r="W628" s="48"/>
      <c r="X628" s="48"/>
      <c r="Y628" s="48"/>
      <c r="Z628" s="47"/>
      <c r="AA628" s="70">
        <v>628</v>
      </c>
      <c r="AB628" s="70"/>
      <c r="AC628" s="71"/>
      <c r="AD628" s="86" t="s">
        <v>24249</v>
      </c>
      <c r="AE628" s="94" t="s">
        <v>23109</v>
      </c>
      <c r="AF628" s="86">
        <v>19</v>
      </c>
      <c r="AG628" s="86">
        <v>166</v>
      </c>
      <c r="AH628" s="86">
        <v>747</v>
      </c>
      <c r="AI628" s="86">
        <v>0</v>
      </c>
      <c r="AJ628" s="86">
        <v>1270</v>
      </c>
      <c r="AK628" s="86">
        <v>22</v>
      </c>
      <c r="AL628" s="86" t="b">
        <v>0</v>
      </c>
      <c r="AM628" s="89">
        <v>43675.858391203707</v>
      </c>
      <c r="AN628" s="86" t="s">
        <v>26109</v>
      </c>
      <c r="AO628" s="86" t="s">
        <v>26996</v>
      </c>
      <c r="AP628" s="86"/>
      <c r="AQ628" s="86"/>
      <c r="AR628" s="86"/>
      <c r="AS628" s="86"/>
      <c r="AT628" s="86"/>
      <c r="AU628" s="86"/>
      <c r="AV628" s="86"/>
      <c r="AW628" s="86"/>
      <c r="AX628" s="86" t="b">
        <v>0</v>
      </c>
      <c r="AY628" s="86"/>
      <c r="AZ628" s="86"/>
      <c r="BA628" s="86" t="b">
        <v>0</v>
      </c>
      <c r="BB628" s="86" t="b">
        <v>1</v>
      </c>
      <c r="BC628" s="86" t="b">
        <v>1</v>
      </c>
      <c r="BD628" s="86" t="b">
        <v>0</v>
      </c>
      <c r="BE628" s="86" t="b">
        <v>0</v>
      </c>
      <c r="BF628" s="86" t="b">
        <v>0</v>
      </c>
      <c r="BG628" s="86" t="b">
        <v>0</v>
      </c>
      <c r="BH628" s="96" t="str">
        <f>HYPERLINK("https://pbs.twimg.com/profile_banners/1155940075563339776/1564696440")</f>
        <v>https://pbs.twimg.com/profile_banners/1155940075563339776/1564696440</v>
      </c>
      <c r="BI628" s="86"/>
      <c r="BJ628" s="86" t="s">
        <v>29134</v>
      </c>
      <c r="BK628" s="86" t="b">
        <v>0</v>
      </c>
      <c r="BL628" s="86"/>
      <c r="BM628" s="86" t="s">
        <v>66</v>
      </c>
      <c r="BN628" s="86" t="s">
        <v>29136</v>
      </c>
      <c r="BO628" s="96" t="str">
        <f>HYPERLINK("https://twitter.com/mbuenomr")</f>
        <v>https://twitter.com/mbuenomr</v>
      </c>
      <c r="BP628" s="2"/>
    </row>
    <row r="629" spans="1:68" x14ac:dyDescent="0.25">
      <c r="A629" s="63" t="s">
        <v>1325</v>
      </c>
      <c r="B629" s="64"/>
      <c r="C629" s="64"/>
      <c r="D629" s="65"/>
      <c r="E629" s="67"/>
      <c r="F629" s="111" t="str">
        <f>HYPERLINK("https://pbs.twimg.com/profile_images/1630047723058786304/YEjPcvRq_normal.png")</f>
        <v>https://pbs.twimg.com/profile_images/1630047723058786304/YEjPcvRq_normal.png</v>
      </c>
      <c r="G629" s="64"/>
      <c r="H629" s="68"/>
      <c r="I629" s="69"/>
      <c r="J629" s="69"/>
      <c r="K629" s="68" t="s">
        <v>29762</v>
      </c>
      <c r="L629" s="72"/>
      <c r="M629" s="73"/>
      <c r="N629" s="73"/>
      <c r="O629" s="74"/>
      <c r="P629" s="75"/>
      <c r="Q629" s="75"/>
      <c r="R629" s="102"/>
      <c r="S629" s="102"/>
      <c r="T629" s="102"/>
      <c r="U629" s="102"/>
      <c r="V629" s="48"/>
      <c r="W629" s="48"/>
      <c r="X629" s="48"/>
      <c r="Y629" s="48"/>
      <c r="Z629" s="47"/>
      <c r="AA629" s="70">
        <v>629</v>
      </c>
      <c r="AB629" s="70"/>
      <c r="AC629" s="71"/>
      <c r="AD629" s="86" t="s">
        <v>24250</v>
      </c>
      <c r="AE629" s="94" t="s">
        <v>23433</v>
      </c>
      <c r="AF629" s="86">
        <v>1</v>
      </c>
      <c r="AG629" s="86">
        <v>0</v>
      </c>
      <c r="AH629" s="86">
        <v>1</v>
      </c>
      <c r="AI629" s="86">
        <v>0</v>
      </c>
      <c r="AJ629" s="86">
        <v>0</v>
      </c>
      <c r="AK629" s="86">
        <v>1</v>
      </c>
      <c r="AL629" s="86" t="b">
        <v>0</v>
      </c>
      <c r="AM629" s="89">
        <v>44984.146099537036</v>
      </c>
      <c r="AN629" s="86"/>
      <c r="AO629" s="86" t="s">
        <v>26997</v>
      </c>
      <c r="AP629" s="96" t="str">
        <f>HYPERLINK("https://t.co/axyTZAH4zq")</f>
        <v>https://t.co/axyTZAH4zq</v>
      </c>
      <c r="AQ629" s="96" t="str">
        <f>HYPERLINK("http://linktr.ee/planb.hangout")</f>
        <v>http://linktr.ee/planb.hangout</v>
      </c>
      <c r="AR629" s="86" t="s">
        <v>28331</v>
      </c>
      <c r="AS629" s="86"/>
      <c r="AT629" s="86"/>
      <c r="AU629" s="86"/>
      <c r="AV629" s="86"/>
      <c r="AW629" s="96" t="str">
        <f>HYPERLINK("https://t.co/axyTZAH4zq")</f>
        <v>https://t.co/axyTZAH4zq</v>
      </c>
      <c r="AX629" s="86" t="b">
        <v>0</v>
      </c>
      <c r="AY629" s="86"/>
      <c r="AZ629" s="86"/>
      <c r="BA629" s="86" t="b">
        <v>0</v>
      </c>
      <c r="BB629" s="86" t="b">
        <v>1</v>
      </c>
      <c r="BC629" s="86" t="b">
        <v>1</v>
      </c>
      <c r="BD629" s="86" t="b">
        <v>0</v>
      </c>
      <c r="BE629" s="86" t="b">
        <v>0</v>
      </c>
      <c r="BF629" s="86" t="b">
        <v>0</v>
      </c>
      <c r="BG629" s="86" t="b">
        <v>0</v>
      </c>
      <c r="BH629" s="86"/>
      <c r="BI629" s="86"/>
      <c r="BJ629" s="86" t="s">
        <v>29134</v>
      </c>
      <c r="BK629" s="86" t="b">
        <v>0</v>
      </c>
      <c r="BL629" s="86"/>
      <c r="BM629" s="86" t="s">
        <v>66</v>
      </c>
      <c r="BN629" s="86" t="s">
        <v>29136</v>
      </c>
      <c r="BO629" s="96" t="str">
        <f>HYPERLINK("https://twitter.com/planbhangout")</f>
        <v>https://twitter.com/planbhangout</v>
      </c>
      <c r="BP629" s="2"/>
    </row>
    <row r="630" spans="1:68" x14ac:dyDescent="0.25">
      <c r="A630" s="63" t="s">
        <v>774</v>
      </c>
      <c r="B630" s="64"/>
      <c r="C630" s="64"/>
      <c r="D630" s="65"/>
      <c r="E630" s="67"/>
      <c r="F630" s="111" t="str">
        <f>HYPERLINK("https://pbs.twimg.com/profile_images/1270445932274999296/m4LZouzv_normal.jpg")</f>
        <v>https://pbs.twimg.com/profile_images/1270445932274999296/m4LZouzv_normal.jpg</v>
      </c>
      <c r="G630" s="64"/>
      <c r="H630" s="68"/>
      <c r="I630" s="69"/>
      <c r="J630" s="69"/>
      <c r="K630" s="68" t="s">
        <v>29763</v>
      </c>
      <c r="L630" s="72"/>
      <c r="M630" s="73"/>
      <c r="N630" s="73"/>
      <c r="O630" s="74"/>
      <c r="P630" s="75"/>
      <c r="Q630" s="75"/>
      <c r="R630" s="102"/>
      <c r="S630" s="102"/>
      <c r="T630" s="102"/>
      <c r="U630" s="102"/>
      <c r="V630" s="48"/>
      <c r="W630" s="48"/>
      <c r="X630" s="48"/>
      <c r="Y630" s="48"/>
      <c r="Z630" s="47"/>
      <c r="AA630" s="70">
        <v>630</v>
      </c>
      <c r="AB630" s="70"/>
      <c r="AC630" s="71"/>
      <c r="AD630" s="86" t="s">
        <v>24251</v>
      </c>
      <c r="AE630" s="94" t="s">
        <v>23110</v>
      </c>
      <c r="AF630" s="86">
        <v>106</v>
      </c>
      <c r="AG630" s="86">
        <v>587</v>
      </c>
      <c r="AH630" s="86">
        <v>592</v>
      </c>
      <c r="AI630" s="86">
        <v>1</v>
      </c>
      <c r="AJ630" s="86">
        <v>11</v>
      </c>
      <c r="AK630" s="86">
        <v>586</v>
      </c>
      <c r="AL630" s="86" t="b">
        <v>0</v>
      </c>
      <c r="AM630" s="89">
        <v>42647.720949074072</v>
      </c>
      <c r="AN630" s="86"/>
      <c r="AO630" s="86" t="s">
        <v>26998</v>
      </c>
      <c r="AP630" s="96" t="str">
        <f>HYPERLINK("https://t.co/6fqElodKdi")</f>
        <v>https://t.co/6fqElodKdi</v>
      </c>
      <c r="AQ630" s="96" t="str">
        <f>HYPERLINK("http://bit.ly/twitter2mi")</f>
        <v>http://bit.ly/twitter2mi</v>
      </c>
      <c r="AR630" s="86" t="s">
        <v>28332</v>
      </c>
      <c r="AS630" s="86"/>
      <c r="AT630" s="86"/>
      <c r="AU630" s="86"/>
      <c r="AV630" s="86"/>
      <c r="AW630" s="96" t="str">
        <f>HYPERLINK("https://t.co/6fqElodKdi")</f>
        <v>https://t.co/6fqElodKdi</v>
      </c>
      <c r="AX630" s="86" t="b">
        <v>0</v>
      </c>
      <c r="AY630" s="86"/>
      <c r="AZ630" s="86"/>
      <c r="BA630" s="86" t="b">
        <v>0</v>
      </c>
      <c r="BB630" s="86" t="b">
        <v>1</v>
      </c>
      <c r="BC630" s="86" t="b">
        <v>1</v>
      </c>
      <c r="BD630" s="86" t="b">
        <v>0</v>
      </c>
      <c r="BE630" s="86" t="b">
        <v>0</v>
      </c>
      <c r="BF630" s="86" t="b">
        <v>0</v>
      </c>
      <c r="BG630" s="86" t="b">
        <v>0</v>
      </c>
      <c r="BH630" s="96" t="str">
        <f>HYPERLINK("https://pbs.twimg.com/profile_banners/783355542764916736/1591832171")</f>
        <v>https://pbs.twimg.com/profile_banners/783355542764916736/1591832171</v>
      </c>
      <c r="BI630" s="86"/>
      <c r="BJ630" s="86" t="s">
        <v>29134</v>
      </c>
      <c r="BK630" s="86" t="b">
        <v>0</v>
      </c>
      <c r="BL630" s="86"/>
      <c r="BM630" s="86" t="s">
        <v>66</v>
      </c>
      <c r="BN630" s="86" t="s">
        <v>29136</v>
      </c>
      <c r="BO630" s="96" t="str">
        <f>HYPERLINK("https://twitter.com/grupo2mi")</f>
        <v>https://twitter.com/grupo2mi</v>
      </c>
      <c r="BP630" s="2"/>
    </row>
    <row r="631" spans="1:68" x14ac:dyDescent="0.25">
      <c r="A631" s="63" t="s">
        <v>775</v>
      </c>
      <c r="B631" s="64"/>
      <c r="C631" s="64"/>
      <c r="D631" s="65"/>
      <c r="E631" s="67"/>
      <c r="F631" s="111" t="str">
        <f>HYPERLINK("https://pbs.twimg.com/profile_images/1033670616455565312/aSl5DDQQ_normal.jpg")</f>
        <v>https://pbs.twimg.com/profile_images/1033670616455565312/aSl5DDQQ_normal.jpg</v>
      </c>
      <c r="G631" s="64"/>
      <c r="H631" s="68"/>
      <c r="I631" s="69"/>
      <c r="J631" s="69"/>
      <c r="K631" s="68" t="s">
        <v>29764</v>
      </c>
      <c r="L631" s="72"/>
      <c r="M631" s="73"/>
      <c r="N631" s="73"/>
      <c r="O631" s="74"/>
      <c r="P631" s="75"/>
      <c r="Q631" s="75"/>
      <c r="R631" s="102"/>
      <c r="S631" s="102"/>
      <c r="T631" s="102"/>
      <c r="U631" s="102"/>
      <c r="V631" s="48"/>
      <c r="W631" s="48"/>
      <c r="X631" s="48"/>
      <c r="Y631" s="48"/>
      <c r="Z631" s="47"/>
      <c r="AA631" s="70">
        <v>631</v>
      </c>
      <c r="AB631" s="70"/>
      <c r="AC631" s="71"/>
      <c r="AD631" s="86" t="s">
        <v>24252</v>
      </c>
      <c r="AE631" s="94" t="s">
        <v>25460</v>
      </c>
      <c r="AF631" s="86">
        <v>334</v>
      </c>
      <c r="AG631" s="86">
        <v>921</v>
      </c>
      <c r="AH631" s="86">
        <v>3886</v>
      </c>
      <c r="AI631" s="86">
        <v>2</v>
      </c>
      <c r="AJ631" s="86">
        <v>0</v>
      </c>
      <c r="AK631" s="86">
        <v>107</v>
      </c>
      <c r="AL631" s="86" t="b">
        <v>0</v>
      </c>
      <c r="AM631" s="89">
        <v>39952.542199074072</v>
      </c>
      <c r="AN631" s="86" t="s">
        <v>26110</v>
      </c>
      <c r="AO631" s="86" t="s">
        <v>26999</v>
      </c>
      <c r="AP631" s="96" t="str">
        <f>HYPERLINK("https://t.co/MDyPAhP4G2")</f>
        <v>https://t.co/MDyPAhP4G2</v>
      </c>
      <c r="AQ631" s="96" t="str">
        <f>HYPERLINK("http://trabalhoxriqueza.com")</f>
        <v>http://trabalhoxriqueza.com</v>
      </c>
      <c r="AR631" s="86" t="s">
        <v>28333</v>
      </c>
      <c r="AS631" s="86"/>
      <c r="AT631" s="86"/>
      <c r="AU631" s="86"/>
      <c r="AV631" s="86"/>
      <c r="AW631" s="96" t="str">
        <f>HYPERLINK("https://t.co/MDyPAhP4G2")</f>
        <v>https://t.co/MDyPAhP4G2</v>
      </c>
      <c r="AX631" s="86" t="b">
        <v>0</v>
      </c>
      <c r="AY631" s="86"/>
      <c r="AZ631" s="86"/>
      <c r="BA631" s="86" t="b">
        <v>0</v>
      </c>
      <c r="BB631" s="86" t="b">
        <v>1</v>
      </c>
      <c r="BC631" s="86" t="b">
        <v>0</v>
      </c>
      <c r="BD631" s="86" t="b">
        <v>0</v>
      </c>
      <c r="BE631" s="86" t="b">
        <v>0</v>
      </c>
      <c r="BF631" s="86" t="b">
        <v>0</v>
      </c>
      <c r="BG631" s="86" t="b">
        <v>0</v>
      </c>
      <c r="BH631" s="96" t="str">
        <f>HYPERLINK("https://pbs.twimg.com/profile_banners/41109902/1691330938")</f>
        <v>https://pbs.twimg.com/profile_banners/41109902/1691330938</v>
      </c>
      <c r="BI631" s="86"/>
      <c r="BJ631" s="86" t="s">
        <v>29134</v>
      </c>
      <c r="BK631" s="86" t="b">
        <v>0</v>
      </c>
      <c r="BL631" s="86"/>
      <c r="BM631" s="86" t="s">
        <v>66</v>
      </c>
      <c r="BN631" s="86" t="s">
        <v>29136</v>
      </c>
      <c r="BO631" s="96" t="str">
        <f>HYPERLINK("https://twitter.com/desouzasc")</f>
        <v>https://twitter.com/desouzasc</v>
      </c>
      <c r="BP631" s="2"/>
    </row>
    <row r="632" spans="1:68" x14ac:dyDescent="0.25">
      <c r="A632" s="63" t="s">
        <v>776</v>
      </c>
      <c r="B632" s="64"/>
      <c r="C632" s="64"/>
      <c r="D632" s="65"/>
      <c r="E632" s="67"/>
      <c r="F632" s="111" t="str">
        <f>HYPERLINK("https://pbs.twimg.com/profile_images/1701754066764795904/LOJm-E2l_normal.jpg")</f>
        <v>https://pbs.twimg.com/profile_images/1701754066764795904/LOJm-E2l_normal.jpg</v>
      </c>
      <c r="G632" s="64"/>
      <c r="H632" s="68"/>
      <c r="I632" s="69"/>
      <c r="J632" s="69"/>
      <c r="K632" s="68" t="s">
        <v>29765</v>
      </c>
      <c r="L632" s="72"/>
      <c r="M632" s="73"/>
      <c r="N632" s="73"/>
      <c r="O632" s="74"/>
      <c r="P632" s="75"/>
      <c r="Q632" s="75"/>
      <c r="R632" s="102"/>
      <c r="S632" s="102"/>
      <c r="T632" s="102"/>
      <c r="U632" s="102"/>
      <c r="V632" s="48"/>
      <c r="W632" s="48"/>
      <c r="X632" s="48"/>
      <c r="Y632" s="48"/>
      <c r="Z632" s="47"/>
      <c r="AA632" s="70">
        <v>632</v>
      </c>
      <c r="AB632" s="70"/>
      <c r="AC632" s="71"/>
      <c r="AD632" s="86" t="s">
        <v>24253</v>
      </c>
      <c r="AE632" s="94" t="s">
        <v>23111</v>
      </c>
      <c r="AF632" s="86">
        <v>0</v>
      </c>
      <c r="AG632" s="86">
        <v>3</v>
      </c>
      <c r="AH632" s="86">
        <v>23</v>
      </c>
      <c r="AI632" s="86">
        <v>0</v>
      </c>
      <c r="AJ632" s="86">
        <v>13</v>
      </c>
      <c r="AK632" s="86">
        <v>10</v>
      </c>
      <c r="AL632" s="86" t="b">
        <v>0</v>
      </c>
      <c r="AM632" s="89">
        <v>45175.611747685187</v>
      </c>
      <c r="AN632" s="86" t="s">
        <v>15234</v>
      </c>
      <c r="AO632" s="96" t="str">
        <f>HYPERLINK("https://t.co/VOMs5svvMj")</f>
        <v>https://t.co/VOMs5svvMj</v>
      </c>
      <c r="AP632" s="86"/>
      <c r="AQ632" s="86"/>
      <c r="AR632" s="86"/>
      <c r="AS632" s="96" t="str">
        <f>HYPERLINK("https://t.co/VOMs5svvMj")</f>
        <v>https://t.co/VOMs5svvMj</v>
      </c>
      <c r="AT632" s="96" t="str">
        <f>HYPERLINK("https://www.ton.com.br/catalogo/?referrer=F64D32EA-6814-4EB9-885")</f>
        <v>https://www.ton.com.br/catalogo/?referrer=F64D32EA-6814-4EB9-885</v>
      </c>
      <c r="AU632" s="86" t="s">
        <v>29073</v>
      </c>
      <c r="AV632" s="86"/>
      <c r="AW632" s="86"/>
      <c r="AX632" s="86" t="b">
        <v>0</v>
      </c>
      <c r="AY632" s="86"/>
      <c r="AZ632" s="86"/>
      <c r="BA632" s="86" t="b">
        <v>0</v>
      </c>
      <c r="BB632" s="86" t="b">
        <v>1</v>
      </c>
      <c r="BC632" s="86" t="b">
        <v>1</v>
      </c>
      <c r="BD632" s="86" t="b">
        <v>0</v>
      </c>
      <c r="BE632" s="86" t="b">
        <v>0</v>
      </c>
      <c r="BF632" s="86" t="b">
        <v>0</v>
      </c>
      <c r="BG632" s="86" t="b">
        <v>0</v>
      </c>
      <c r="BH632" s="96" t="str">
        <f>HYPERLINK("https://pbs.twimg.com/profile_banners/1699431844846956545/1694564763")</f>
        <v>https://pbs.twimg.com/profile_banners/1699431844846956545/1694564763</v>
      </c>
      <c r="BI632" s="86"/>
      <c r="BJ632" s="86" t="s">
        <v>29134</v>
      </c>
      <c r="BK632" s="86" t="b">
        <v>0</v>
      </c>
      <c r="BL632" s="86"/>
      <c r="BM632" s="86" t="s">
        <v>66</v>
      </c>
      <c r="BN632" s="86" t="s">
        <v>29136</v>
      </c>
      <c r="BO632" s="96" t="str">
        <f>HYPERLINK("https://twitter.com/maquininhaton1")</f>
        <v>https://twitter.com/maquininhaton1</v>
      </c>
      <c r="BP632" s="2"/>
    </row>
    <row r="633" spans="1:68" x14ac:dyDescent="0.25">
      <c r="A633" s="63" t="s">
        <v>777</v>
      </c>
      <c r="B633" s="64"/>
      <c r="C633" s="64"/>
      <c r="D633" s="65"/>
      <c r="E633" s="67"/>
      <c r="F633" s="111" t="str">
        <f>HYPERLINK("https://pbs.twimg.com/profile_images/1284304800935481344/GJy0P8aa_normal.jpg")</f>
        <v>https://pbs.twimg.com/profile_images/1284304800935481344/GJy0P8aa_normal.jpg</v>
      </c>
      <c r="G633" s="64"/>
      <c r="H633" s="68"/>
      <c r="I633" s="69"/>
      <c r="J633" s="69"/>
      <c r="K633" s="68" t="s">
        <v>29766</v>
      </c>
      <c r="L633" s="72"/>
      <c r="M633" s="73"/>
      <c r="N633" s="73"/>
      <c r="O633" s="74"/>
      <c r="P633" s="75"/>
      <c r="Q633" s="75"/>
      <c r="R633" s="102"/>
      <c r="S633" s="102"/>
      <c r="T633" s="102"/>
      <c r="U633" s="102"/>
      <c r="V633" s="48"/>
      <c r="W633" s="48"/>
      <c r="X633" s="48"/>
      <c r="Y633" s="48"/>
      <c r="Z633" s="47"/>
      <c r="AA633" s="70">
        <v>633</v>
      </c>
      <c r="AB633" s="70"/>
      <c r="AC633" s="71"/>
      <c r="AD633" s="86" t="s">
        <v>24254</v>
      </c>
      <c r="AE633" s="94" t="s">
        <v>23112</v>
      </c>
      <c r="AF633" s="86">
        <v>46</v>
      </c>
      <c r="AG633" s="86">
        <v>551</v>
      </c>
      <c r="AH633" s="86">
        <v>324</v>
      </c>
      <c r="AI633" s="86">
        <v>0</v>
      </c>
      <c r="AJ633" s="86">
        <v>533</v>
      </c>
      <c r="AK633" s="86">
        <v>7</v>
      </c>
      <c r="AL633" s="86" t="b">
        <v>0</v>
      </c>
      <c r="AM633" s="89">
        <v>44030.076909722222</v>
      </c>
      <c r="AN633" s="86"/>
      <c r="AO633" s="86"/>
      <c r="AP633" s="86"/>
      <c r="AQ633" s="86"/>
      <c r="AR633" s="86"/>
      <c r="AS633" s="86"/>
      <c r="AT633" s="86"/>
      <c r="AU633" s="86"/>
      <c r="AV633" s="86"/>
      <c r="AW633" s="86"/>
      <c r="AX633" s="86" t="b">
        <v>0</v>
      </c>
      <c r="AY633" s="86"/>
      <c r="AZ633" s="86"/>
      <c r="BA633" s="86" t="b">
        <v>0</v>
      </c>
      <c r="BB633" s="86" t="b">
        <v>1</v>
      </c>
      <c r="BC633" s="86" t="b">
        <v>1</v>
      </c>
      <c r="BD633" s="86" t="b">
        <v>0</v>
      </c>
      <c r="BE633" s="86" t="b">
        <v>0</v>
      </c>
      <c r="BF633" s="86" t="b">
        <v>0</v>
      </c>
      <c r="BG633" s="86" t="b">
        <v>0</v>
      </c>
      <c r="BH633" s="86"/>
      <c r="BI633" s="86"/>
      <c r="BJ633" s="86" t="s">
        <v>29134</v>
      </c>
      <c r="BK633" s="86" t="b">
        <v>0</v>
      </c>
      <c r="BL633" s="86"/>
      <c r="BM633" s="86" t="s">
        <v>66</v>
      </c>
      <c r="BN633" s="86" t="s">
        <v>29136</v>
      </c>
      <c r="BO633" s="96" t="str">
        <f>HYPERLINK("https://twitter.com/fincatchoficial")</f>
        <v>https://twitter.com/fincatchoficial</v>
      </c>
      <c r="BP633" s="2"/>
    </row>
    <row r="634" spans="1:68" x14ac:dyDescent="0.25">
      <c r="A634" s="63" t="s">
        <v>778</v>
      </c>
      <c r="B634" s="64"/>
      <c r="C634" s="64"/>
      <c r="D634" s="65"/>
      <c r="E634" s="67"/>
      <c r="F634" s="111" t="str">
        <f>HYPERLINK("https://pbs.twimg.com/profile_images/1427967112581156872/xmgk5cd7_normal.jpg")</f>
        <v>https://pbs.twimg.com/profile_images/1427967112581156872/xmgk5cd7_normal.jpg</v>
      </c>
      <c r="G634" s="64"/>
      <c r="H634" s="68"/>
      <c r="I634" s="69"/>
      <c r="J634" s="69"/>
      <c r="K634" s="68" t="s">
        <v>29767</v>
      </c>
      <c r="L634" s="72"/>
      <c r="M634" s="73"/>
      <c r="N634" s="73"/>
      <c r="O634" s="74"/>
      <c r="P634" s="75"/>
      <c r="Q634" s="75"/>
      <c r="R634" s="102"/>
      <c r="S634" s="102"/>
      <c r="T634" s="102"/>
      <c r="U634" s="102"/>
      <c r="V634" s="48"/>
      <c r="W634" s="48"/>
      <c r="X634" s="48"/>
      <c r="Y634" s="48"/>
      <c r="Z634" s="47"/>
      <c r="AA634" s="70">
        <v>634</v>
      </c>
      <c r="AB634" s="70"/>
      <c r="AC634" s="71"/>
      <c r="AD634" s="86" t="s">
        <v>24255</v>
      </c>
      <c r="AE634" s="94" t="s">
        <v>23113</v>
      </c>
      <c r="AF634" s="86">
        <v>20</v>
      </c>
      <c r="AG634" s="86">
        <v>87</v>
      </c>
      <c r="AH634" s="86">
        <v>659</v>
      </c>
      <c r="AI634" s="86">
        <v>0</v>
      </c>
      <c r="AJ634" s="86">
        <v>29</v>
      </c>
      <c r="AK634" s="86">
        <v>659</v>
      </c>
      <c r="AL634" s="86" t="b">
        <v>0</v>
      </c>
      <c r="AM634" s="89">
        <v>43838.056145833332</v>
      </c>
      <c r="AN634" s="86"/>
      <c r="AO634" s="86"/>
      <c r="AP634" s="86"/>
      <c r="AQ634" s="86"/>
      <c r="AR634" s="86"/>
      <c r="AS634" s="86"/>
      <c r="AT634" s="86"/>
      <c r="AU634" s="86"/>
      <c r="AV634" s="86"/>
      <c r="AW634" s="86"/>
      <c r="AX634" s="86" t="b">
        <v>0</v>
      </c>
      <c r="AY634" s="86"/>
      <c r="AZ634" s="86"/>
      <c r="BA634" s="86" t="b">
        <v>0</v>
      </c>
      <c r="BB634" s="86" t="b">
        <v>0</v>
      </c>
      <c r="BC634" s="86" t="b">
        <v>1</v>
      </c>
      <c r="BD634" s="86" t="b">
        <v>0</v>
      </c>
      <c r="BE634" s="86" t="b">
        <v>0</v>
      </c>
      <c r="BF634" s="86" t="b">
        <v>0</v>
      </c>
      <c r="BG634" s="86" t="b">
        <v>0</v>
      </c>
      <c r="BH634" s="96" t="str">
        <f>HYPERLINK("https://pbs.twimg.com/profile_banners/1214718510116560896/1578447033")</f>
        <v>https://pbs.twimg.com/profile_banners/1214718510116560896/1578447033</v>
      </c>
      <c r="BI634" s="86"/>
      <c r="BJ634" s="86" t="s">
        <v>29134</v>
      </c>
      <c r="BK634" s="86" t="b">
        <v>0</v>
      </c>
      <c r="BL634" s="86"/>
      <c r="BM634" s="86" t="s">
        <v>66</v>
      </c>
      <c r="BN634" s="86" t="s">
        <v>29136</v>
      </c>
      <c r="BO634" s="96" t="str">
        <f>HYPERLINK("https://twitter.com/focuscontabili2")</f>
        <v>https://twitter.com/focuscontabili2</v>
      </c>
      <c r="BP634" s="2"/>
    </row>
    <row r="635" spans="1:68" x14ac:dyDescent="0.25">
      <c r="A635" s="63" t="s">
        <v>779</v>
      </c>
      <c r="B635" s="64"/>
      <c r="C635" s="64"/>
      <c r="D635" s="65"/>
      <c r="E635" s="67"/>
      <c r="F635" s="111" t="str">
        <f>HYPERLINK("https://pbs.twimg.com/profile_images/1668369933598695429/YQIFCkNv_normal.png")</f>
        <v>https://pbs.twimg.com/profile_images/1668369933598695429/YQIFCkNv_normal.png</v>
      </c>
      <c r="G635" s="64"/>
      <c r="H635" s="68"/>
      <c r="I635" s="69"/>
      <c r="J635" s="69"/>
      <c r="K635" s="68" t="s">
        <v>29768</v>
      </c>
      <c r="L635" s="72"/>
      <c r="M635" s="73"/>
      <c r="N635" s="73"/>
      <c r="O635" s="74"/>
      <c r="P635" s="75"/>
      <c r="Q635" s="75"/>
      <c r="R635" s="102"/>
      <c r="S635" s="102"/>
      <c r="T635" s="102"/>
      <c r="U635" s="102"/>
      <c r="V635" s="48"/>
      <c r="W635" s="48"/>
      <c r="X635" s="48"/>
      <c r="Y635" s="48"/>
      <c r="Z635" s="47"/>
      <c r="AA635" s="70">
        <v>635</v>
      </c>
      <c r="AB635" s="70"/>
      <c r="AC635" s="71"/>
      <c r="AD635" s="86" t="s">
        <v>24256</v>
      </c>
      <c r="AE635" s="94" t="s">
        <v>23114</v>
      </c>
      <c r="AF635" s="86">
        <v>0</v>
      </c>
      <c r="AG635" s="86">
        <v>3</v>
      </c>
      <c r="AH635" s="86">
        <v>98</v>
      </c>
      <c r="AI635" s="86">
        <v>0</v>
      </c>
      <c r="AJ635" s="86">
        <v>0</v>
      </c>
      <c r="AK635" s="86">
        <v>0</v>
      </c>
      <c r="AL635" s="86" t="b">
        <v>0</v>
      </c>
      <c r="AM635" s="89">
        <v>45089.894490740742</v>
      </c>
      <c r="AN635" s="86"/>
      <c r="AO635" s="86"/>
      <c r="AP635" s="86"/>
      <c r="AQ635" s="86"/>
      <c r="AR635" s="86"/>
      <c r="AS635" s="86"/>
      <c r="AT635" s="86"/>
      <c r="AU635" s="86"/>
      <c r="AV635" s="86"/>
      <c r="AW635" s="86"/>
      <c r="AX635" s="86" t="b">
        <v>0</v>
      </c>
      <c r="AY635" s="86"/>
      <c r="AZ635" s="86"/>
      <c r="BA635" s="86" t="b">
        <v>0</v>
      </c>
      <c r="BB635" s="86" t="b">
        <v>1</v>
      </c>
      <c r="BC635" s="86" t="b">
        <v>1</v>
      </c>
      <c r="BD635" s="86" t="b">
        <v>0</v>
      </c>
      <c r="BE635" s="86" t="b">
        <v>0</v>
      </c>
      <c r="BF635" s="86" t="b">
        <v>0</v>
      </c>
      <c r="BG635" s="86" t="b">
        <v>0</v>
      </c>
      <c r="BH635" s="86"/>
      <c r="BI635" s="86"/>
      <c r="BJ635" s="86" t="s">
        <v>29134</v>
      </c>
      <c r="BK635" s="86" t="b">
        <v>0</v>
      </c>
      <c r="BL635" s="86"/>
      <c r="BM635" s="86" t="s">
        <v>66</v>
      </c>
      <c r="BN635" s="86" t="s">
        <v>29136</v>
      </c>
      <c r="BO635" s="96" t="str">
        <f>HYPERLINK("https://twitter.com/sr__info")</f>
        <v>https://twitter.com/sr__info</v>
      </c>
      <c r="BP635" s="2"/>
    </row>
    <row r="636" spans="1:68" x14ac:dyDescent="0.25">
      <c r="A636" s="63" t="s">
        <v>780</v>
      </c>
      <c r="B636" s="64"/>
      <c r="C636" s="64"/>
      <c r="D636" s="65"/>
      <c r="E636" s="67"/>
      <c r="F636" s="111" t="str">
        <f>HYPERLINK("https://pbs.twimg.com/profile_images/1458411261570453506/VWDBZfGA_normal.png")</f>
        <v>https://pbs.twimg.com/profile_images/1458411261570453506/VWDBZfGA_normal.png</v>
      </c>
      <c r="G636" s="64"/>
      <c r="H636" s="68"/>
      <c r="I636" s="69"/>
      <c r="J636" s="69"/>
      <c r="K636" s="68" t="s">
        <v>29769</v>
      </c>
      <c r="L636" s="72"/>
      <c r="M636" s="73"/>
      <c r="N636" s="73"/>
      <c r="O636" s="74"/>
      <c r="P636" s="75"/>
      <c r="Q636" s="75"/>
      <c r="R636" s="102"/>
      <c r="S636" s="102"/>
      <c r="T636" s="102"/>
      <c r="U636" s="102"/>
      <c r="V636" s="48"/>
      <c r="W636" s="48"/>
      <c r="X636" s="48"/>
      <c r="Y636" s="48"/>
      <c r="Z636" s="47"/>
      <c r="AA636" s="70">
        <v>636</v>
      </c>
      <c r="AB636" s="70"/>
      <c r="AC636" s="71"/>
      <c r="AD636" s="86" t="s">
        <v>24257</v>
      </c>
      <c r="AE636" s="94" t="s">
        <v>22576</v>
      </c>
      <c r="AF636" s="86">
        <v>12779</v>
      </c>
      <c r="AG636" s="86">
        <v>1981</v>
      </c>
      <c r="AH636" s="86">
        <v>11232</v>
      </c>
      <c r="AI636" s="86">
        <v>142</v>
      </c>
      <c r="AJ636" s="86">
        <v>1087</v>
      </c>
      <c r="AK636" s="86">
        <v>2544</v>
      </c>
      <c r="AL636" s="86" t="b">
        <v>0</v>
      </c>
      <c r="AM636" s="89">
        <v>39963.056921296295</v>
      </c>
      <c r="AN636" s="86" t="s">
        <v>15397</v>
      </c>
      <c r="AO636" s="86" t="s">
        <v>27000</v>
      </c>
      <c r="AP636" s="96" t="str">
        <f>HYPERLINK("https://t.co/Fn0oYaqFky")</f>
        <v>https://t.co/Fn0oYaqFky</v>
      </c>
      <c r="AQ636" s="96" t="str">
        <f>HYPERLINK("https://www.sebraepr.com.br/")</f>
        <v>https://www.sebraepr.com.br/</v>
      </c>
      <c r="AR636" s="86" t="s">
        <v>28334</v>
      </c>
      <c r="AS636" s="86"/>
      <c r="AT636" s="86"/>
      <c r="AU636" s="86"/>
      <c r="AV636" s="86"/>
      <c r="AW636" s="96" t="str">
        <f>HYPERLINK("https://t.co/Fn0oYaqFky")</f>
        <v>https://t.co/Fn0oYaqFky</v>
      </c>
      <c r="AX636" s="86" t="b">
        <v>0</v>
      </c>
      <c r="AY636" s="86"/>
      <c r="AZ636" s="86"/>
      <c r="BA636" s="86" t="b">
        <v>1</v>
      </c>
      <c r="BB636" s="86" t="b">
        <v>1</v>
      </c>
      <c r="BC636" s="86" t="b">
        <v>0</v>
      </c>
      <c r="BD636" s="86" t="b">
        <v>0</v>
      </c>
      <c r="BE636" s="86" t="b">
        <v>1</v>
      </c>
      <c r="BF636" s="86" t="b">
        <v>0</v>
      </c>
      <c r="BG636" s="86" t="b">
        <v>0</v>
      </c>
      <c r="BH636" s="96" t="str">
        <f>HYPERLINK("https://pbs.twimg.com/profile_banners/43452127/1695392079")</f>
        <v>https://pbs.twimg.com/profile_banners/43452127/1695392079</v>
      </c>
      <c r="BI636" s="86"/>
      <c r="BJ636" s="86" t="s">
        <v>29134</v>
      </c>
      <c r="BK636" s="86" t="b">
        <v>0</v>
      </c>
      <c r="BL636" s="86"/>
      <c r="BM636" s="86" t="s">
        <v>66</v>
      </c>
      <c r="BN636" s="86" t="s">
        <v>29136</v>
      </c>
      <c r="BO636" s="96" t="str">
        <f>HYPERLINK("https://twitter.com/sebrae_pr")</f>
        <v>https://twitter.com/sebrae_pr</v>
      </c>
      <c r="BP636" s="2"/>
    </row>
    <row r="637" spans="1:68" x14ac:dyDescent="0.25">
      <c r="A637" s="63" t="s">
        <v>781</v>
      </c>
      <c r="B637" s="64"/>
      <c r="C637" s="64"/>
      <c r="D637" s="65"/>
      <c r="E637" s="67"/>
      <c r="F637" s="111" t="str">
        <f>HYPERLINK("https://pbs.twimg.com/profile_images/1196695175/CERTFORM_QUADRO_normal.jpg")</f>
        <v>https://pbs.twimg.com/profile_images/1196695175/CERTFORM_QUADRO_normal.jpg</v>
      </c>
      <c r="G637" s="64"/>
      <c r="H637" s="68"/>
      <c r="I637" s="69"/>
      <c r="J637" s="69"/>
      <c r="K637" s="68" t="s">
        <v>29770</v>
      </c>
      <c r="L637" s="72"/>
      <c r="M637" s="73"/>
      <c r="N637" s="73"/>
      <c r="O637" s="74"/>
      <c r="P637" s="75"/>
      <c r="Q637" s="75"/>
      <c r="R637" s="102"/>
      <c r="S637" s="102"/>
      <c r="T637" s="102"/>
      <c r="U637" s="102"/>
      <c r="V637" s="48"/>
      <c r="W637" s="48"/>
      <c r="X637" s="48"/>
      <c r="Y637" s="48"/>
      <c r="Z637" s="47"/>
      <c r="AA637" s="70">
        <v>637</v>
      </c>
      <c r="AB637" s="70"/>
      <c r="AC637" s="71"/>
      <c r="AD637" s="86" t="s">
        <v>24258</v>
      </c>
      <c r="AE637" s="94" t="s">
        <v>25461</v>
      </c>
      <c r="AF637" s="86">
        <v>271</v>
      </c>
      <c r="AG637" s="86">
        <v>7</v>
      </c>
      <c r="AH637" s="86">
        <v>3874</v>
      </c>
      <c r="AI637" s="86">
        <v>1</v>
      </c>
      <c r="AJ637" s="86">
        <v>3</v>
      </c>
      <c r="AK637" s="86">
        <v>3077</v>
      </c>
      <c r="AL637" s="86" t="b">
        <v>0</v>
      </c>
      <c r="AM637" s="89">
        <v>40534.934606481482</v>
      </c>
      <c r="AN637" s="86" t="s">
        <v>26009</v>
      </c>
      <c r="AO637" s="86" t="s">
        <v>27001</v>
      </c>
      <c r="AP637" s="96" t="str">
        <f>HYPERLINK("http://t.co/ZxfT0b2rCB")</f>
        <v>http://t.co/ZxfT0b2rCB</v>
      </c>
      <c r="AQ637" s="96" t="str">
        <f>HYPERLINK("http://www.certform.pt")</f>
        <v>http://www.certform.pt</v>
      </c>
      <c r="AR637" s="86" t="s">
        <v>28335</v>
      </c>
      <c r="AS637" s="86"/>
      <c r="AT637" s="86"/>
      <c r="AU637" s="86"/>
      <c r="AV637" s="86"/>
      <c r="AW637" s="96" t="str">
        <f>HYPERLINK("http://t.co/ZxfT0b2rCB")</f>
        <v>http://t.co/ZxfT0b2rCB</v>
      </c>
      <c r="AX637" s="86" t="b">
        <v>0</v>
      </c>
      <c r="AY637" s="86"/>
      <c r="AZ637" s="86"/>
      <c r="BA637" s="86" t="b">
        <v>0</v>
      </c>
      <c r="BB637" s="86" t="b">
        <v>1</v>
      </c>
      <c r="BC637" s="86" t="b">
        <v>0</v>
      </c>
      <c r="BD637" s="86" t="b">
        <v>0</v>
      </c>
      <c r="BE637" s="86" t="b">
        <v>0</v>
      </c>
      <c r="BF637" s="86" t="b">
        <v>0</v>
      </c>
      <c r="BG637" s="86" t="b">
        <v>0</v>
      </c>
      <c r="BH637" s="96" t="str">
        <f>HYPERLINK("https://pbs.twimg.com/profile_banners/229629676/1532559870")</f>
        <v>https://pbs.twimg.com/profile_banners/229629676/1532559870</v>
      </c>
      <c r="BI637" s="86"/>
      <c r="BJ637" s="86" t="s">
        <v>29134</v>
      </c>
      <c r="BK637" s="86" t="b">
        <v>0</v>
      </c>
      <c r="BL637" s="86"/>
      <c r="BM637" s="86" t="s">
        <v>66</v>
      </c>
      <c r="BN637" s="86" t="s">
        <v>29136</v>
      </c>
      <c r="BO637" s="96" t="str">
        <f>HYPERLINK("https://twitter.com/certform")</f>
        <v>https://twitter.com/certform</v>
      </c>
      <c r="BP637" s="2"/>
    </row>
    <row r="638" spans="1:68" x14ac:dyDescent="0.25">
      <c r="A638" s="63" t="s">
        <v>782</v>
      </c>
      <c r="B638" s="64"/>
      <c r="C638" s="64"/>
      <c r="D638" s="65"/>
      <c r="E638" s="67"/>
      <c r="F638" s="111" t="str">
        <f>HYPERLINK("https://pbs.twimg.com/profile_images/1690850159192686592/IG6OcQD8_normal.jpg")</f>
        <v>https://pbs.twimg.com/profile_images/1690850159192686592/IG6OcQD8_normal.jpg</v>
      </c>
      <c r="G638" s="64"/>
      <c r="H638" s="68"/>
      <c r="I638" s="69"/>
      <c r="J638" s="69"/>
      <c r="K638" s="68" t="s">
        <v>29771</v>
      </c>
      <c r="L638" s="72"/>
      <c r="M638" s="73"/>
      <c r="N638" s="73"/>
      <c r="O638" s="74"/>
      <c r="P638" s="75"/>
      <c r="Q638" s="75"/>
      <c r="R638" s="102"/>
      <c r="S638" s="102"/>
      <c r="T638" s="102"/>
      <c r="U638" s="102"/>
      <c r="V638" s="48"/>
      <c r="W638" s="48"/>
      <c r="X638" s="48"/>
      <c r="Y638" s="48"/>
      <c r="Z638" s="47"/>
      <c r="AA638" s="70">
        <v>638</v>
      </c>
      <c r="AB638" s="70"/>
      <c r="AC638" s="71"/>
      <c r="AD638" s="86" t="s">
        <v>24259</v>
      </c>
      <c r="AE638" s="94" t="s">
        <v>25462</v>
      </c>
      <c r="AF638" s="86">
        <v>7154</v>
      </c>
      <c r="AG638" s="86">
        <v>4137</v>
      </c>
      <c r="AH638" s="86">
        <v>157</v>
      </c>
      <c r="AI638" s="86">
        <v>7</v>
      </c>
      <c r="AJ638" s="86">
        <v>723</v>
      </c>
      <c r="AK638" s="86">
        <v>13</v>
      </c>
      <c r="AL638" s="86" t="b">
        <v>0</v>
      </c>
      <c r="AM638" s="89">
        <v>40199.060752314814</v>
      </c>
      <c r="AN638" s="86" t="s">
        <v>26015</v>
      </c>
      <c r="AO638" s="86" t="s">
        <v>27002</v>
      </c>
      <c r="AP638" s="96" t="str">
        <f>HYPERLINK("https://t.co/l2LcGApIxz")</f>
        <v>https://t.co/l2LcGApIxz</v>
      </c>
      <c r="AQ638" s="96" t="str">
        <f>HYPERLINK("https://amzn.to/45YQ4vW")</f>
        <v>https://amzn.to/45YQ4vW</v>
      </c>
      <c r="AR638" s="86" t="s">
        <v>28336</v>
      </c>
      <c r="AS638" s="86"/>
      <c r="AT638" s="86"/>
      <c r="AU638" s="86"/>
      <c r="AV638" s="86"/>
      <c r="AW638" s="96" t="str">
        <f>HYPERLINK("https://t.co/l2LcGApIxz")</f>
        <v>https://t.co/l2LcGApIxz</v>
      </c>
      <c r="AX638" s="86" t="b">
        <v>0</v>
      </c>
      <c r="AY638" s="86"/>
      <c r="AZ638" s="86"/>
      <c r="BA638" s="86" t="b">
        <v>0</v>
      </c>
      <c r="BB638" s="86" t="b">
        <v>1</v>
      </c>
      <c r="BC638" s="86" t="b">
        <v>0</v>
      </c>
      <c r="BD638" s="86" t="b">
        <v>0</v>
      </c>
      <c r="BE638" s="86" t="b">
        <v>1</v>
      </c>
      <c r="BF638" s="86" t="b">
        <v>0</v>
      </c>
      <c r="BG638" s="86" t="b">
        <v>0</v>
      </c>
      <c r="BH638" s="96" t="str">
        <f>HYPERLINK("https://pbs.twimg.com/profile_banners/106904186/1691965366")</f>
        <v>https://pbs.twimg.com/profile_banners/106904186/1691965366</v>
      </c>
      <c r="BI638" s="86"/>
      <c r="BJ638" s="86" t="s">
        <v>29134</v>
      </c>
      <c r="BK638" s="86" t="b">
        <v>0</v>
      </c>
      <c r="BL638" s="86"/>
      <c r="BM638" s="86" t="s">
        <v>66</v>
      </c>
      <c r="BN638" s="86" t="s">
        <v>29136</v>
      </c>
      <c r="BO638" s="96" t="str">
        <f>HYPERLINK("https://twitter.com/anderson_ajon")</f>
        <v>https://twitter.com/anderson_ajon</v>
      </c>
      <c r="BP638" s="2"/>
    </row>
    <row r="639" spans="1:68" x14ac:dyDescent="0.25">
      <c r="A639" s="63" t="s">
        <v>783</v>
      </c>
      <c r="B639" s="64"/>
      <c r="C639" s="64"/>
      <c r="D639" s="65"/>
      <c r="E639" s="67"/>
      <c r="F639" s="111" t="str">
        <f>HYPERLINK("https://pbs.twimg.com/profile_images/1545368325756174336/8ZqJ-6pQ_normal.jpg")</f>
        <v>https://pbs.twimg.com/profile_images/1545368325756174336/8ZqJ-6pQ_normal.jpg</v>
      </c>
      <c r="G639" s="64"/>
      <c r="H639" s="68"/>
      <c r="I639" s="69"/>
      <c r="J639" s="69"/>
      <c r="K639" s="68" t="s">
        <v>29772</v>
      </c>
      <c r="L639" s="72"/>
      <c r="M639" s="73"/>
      <c r="N639" s="73"/>
      <c r="O639" s="74"/>
      <c r="P639" s="75"/>
      <c r="Q639" s="75"/>
      <c r="R639" s="102"/>
      <c r="S639" s="102"/>
      <c r="T639" s="102"/>
      <c r="U639" s="102"/>
      <c r="V639" s="48"/>
      <c r="W639" s="48"/>
      <c r="X639" s="48"/>
      <c r="Y639" s="48"/>
      <c r="Z639" s="47"/>
      <c r="AA639" s="70">
        <v>639</v>
      </c>
      <c r="AB639" s="70"/>
      <c r="AC639" s="71"/>
      <c r="AD639" s="86" t="s">
        <v>24260</v>
      </c>
      <c r="AE639" s="94" t="s">
        <v>25463</v>
      </c>
      <c r="AF639" s="86">
        <v>1239</v>
      </c>
      <c r="AG639" s="86">
        <v>160</v>
      </c>
      <c r="AH639" s="86">
        <v>6132</v>
      </c>
      <c r="AI639" s="86">
        <v>23</v>
      </c>
      <c r="AJ639" s="86">
        <v>13</v>
      </c>
      <c r="AK639" s="86">
        <v>502</v>
      </c>
      <c r="AL639" s="86" t="b">
        <v>0</v>
      </c>
      <c r="AM639" s="89">
        <v>40233.819965277777</v>
      </c>
      <c r="AN639" s="86" t="s">
        <v>26038</v>
      </c>
      <c r="AO639" s="86" t="s">
        <v>27003</v>
      </c>
      <c r="AP639" s="96" t="str">
        <f>HYPERLINK("https://t.co/DUj32qE3Vw")</f>
        <v>https://t.co/DUj32qE3Vw</v>
      </c>
      <c r="AQ639" s="96" t="str">
        <f>HYPERLINK("http://www.craes.org.br")</f>
        <v>http://www.craes.org.br</v>
      </c>
      <c r="AR639" s="86" t="s">
        <v>28337</v>
      </c>
      <c r="AS639" s="86"/>
      <c r="AT639" s="86"/>
      <c r="AU639" s="86"/>
      <c r="AV639" s="86">
        <v>1.6647986017746099E+18</v>
      </c>
      <c r="AW639" s="96" t="str">
        <f>HYPERLINK("https://t.co/DUj32qE3Vw")</f>
        <v>https://t.co/DUj32qE3Vw</v>
      </c>
      <c r="AX639" s="86" t="b">
        <v>0</v>
      </c>
      <c r="AY639" s="86"/>
      <c r="AZ639" s="86"/>
      <c r="BA639" s="86" t="b">
        <v>0</v>
      </c>
      <c r="BB639" s="86" t="b">
        <v>1</v>
      </c>
      <c r="BC639" s="86" t="b">
        <v>0</v>
      </c>
      <c r="BD639" s="86" t="b">
        <v>0</v>
      </c>
      <c r="BE639" s="86" t="b">
        <v>0</v>
      </c>
      <c r="BF639" s="86" t="b">
        <v>0</v>
      </c>
      <c r="BG639" s="86" t="b">
        <v>0</v>
      </c>
      <c r="BH639" s="96" t="str">
        <f>HYPERLINK("https://pbs.twimg.com/profile_banners/117174657/1657279430")</f>
        <v>https://pbs.twimg.com/profile_banners/117174657/1657279430</v>
      </c>
      <c r="BI639" s="86"/>
      <c r="BJ639" s="86" t="s">
        <v>29134</v>
      </c>
      <c r="BK639" s="86" t="b">
        <v>0</v>
      </c>
      <c r="BL639" s="86"/>
      <c r="BM639" s="86" t="s">
        <v>66</v>
      </c>
      <c r="BN639" s="86" t="s">
        <v>29136</v>
      </c>
      <c r="BO639" s="96" t="str">
        <f>HYPERLINK("https://twitter.com/cra_es")</f>
        <v>https://twitter.com/cra_es</v>
      </c>
      <c r="BP639" s="2"/>
    </row>
    <row r="640" spans="1:68" x14ac:dyDescent="0.25">
      <c r="A640" s="63" t="s">
        <v>784</v>
      </c>
      <c r="B640" s="64"/>
      <c r="C640" s="64"/>
      <c r="D640" s="65"/>
      <c r="E640" s="67"/>
      <c r="F640" s="111" t="str">
        <f>HYPERLINK("https://pbs.twimg.com/profile_images/1651994779071262731/UnJ5LVJJ_normal.jpg")</f>
        <v>https://pbs.twimg.com/profile_images/1651994779071262731/UnJ5LVJJ_normal.jpg</v>
      </c>
      <c r="G640" s="64"/>
      <c r="H640" s="68"/>
      <c r="I640" s="69"/>
      <c r="J640" s="69"/>
      <c r="K640" s="68" t="s">
        <v>29773</v>
      </c>
      <c r="L640" s="72"/>
      <c r="M640" s="73"/>
      <c r="N640" s="73"/>
      <c r="O640" s="74"/>
      <c r="P640" s="75"/>
      <c r="Q640" s="75"/>
      <c r="R640" s="102"/>
      <c r="S640" s="102"/>
      <c r="T640" s="102"/>
      <c r="U640" s="102"/>
      <c r="V640" s="48"/>
      <c r="W640" s="48"/>
      <c r="X640" s="48"/>
      <c r="Y640" s="48"/>
      <c r="Z640" s="47"/>
      <c r="AA640" s="70">
        <v>640</v>
      </c>
      <c r="AB640" s="70"/>
      <c r="AC640" s="71"/>
      <c r="AD640" s="86" t="s">
        <v>24261</v>
      </c>
      <c r="AE640" s="94" t="s">
        <v>23115</v>
      </c>
      <c r="AF640" s="86">
        <v>241</v>
      </c>
      <c r="AG640" s="86">
        <v>29</v>
      </c>
      <c r="AH640" s="86">
        <v>577</v>
      </c>
      <c r="AI640" s="86">
        <v>0</v>
      </c>
      <c r="AJ640" s="86">
        <v>0</v>
      </c>
      <c r="AK640" s="86">
        <v>0</v>
      </c>
      <c r="AL640" s="86" t="b">
        <v>0</v>
      </c>
      <c r="AM640" s="89">
        <v>45044.707870370374</v>
      </c>
      <c r="AN640" s="86" t="s">
        <v>15372</v>
      </c>
      <c r="AO640" s="86" t="s">
        <v>27004</v>
      </c>
      <c r="AP640" s="96" t="str">
        <f>HYPERLINK("https://t.co/Z9nUDBsRjY")</f>
        <v>https://t.co/Z9nUDBsRjY</v>
      </c>
      <c r="AQ640" s="96" t="str">
        <f>HYPERLINK("http://www.gazetaexpressa.com.br")</f>
        <v>http://www.gazetaexpressa.com.br</v>
      </c>
      <c r="AR640" s="86" t="s">
        <v>28338</v>
      </c>
      <c r="AS640" s="86"/>
      <c r="AT640" s="86"/>
      <c r="AU640" s="86"/>
      <c r="AV640" s="86"/>
      <c r="AW640" s="96" t="str">
        <f>HYPERLINK("https://t.co/Z9nUDBsRjY")</f>
        <v>https://t.co/Z9nUDBsRjY</v>
      </c>
      <c r="AX640" s="86" t="b">
        <v>0</v>
      </c>
      <c r="AY640" s="86"/>
      <c r="AZ640" s="86"/>
      <c r="BA640" s="86" t="b">
        <v>0</v>
      </c>
      <c r="BB640" s="86" t="b">
        <v>1</v>
      </c>
      <c r="BC640" s="86" t="b">
        <v>1</v>
      </c>
      <c r="BD640" s="86" t="b">
        <v>0</v>
      </c>
      <c r="BE640" s="86" t="b">
        <v>0</v>
      </c>
      <c r="BF640" s="86" t="b">
        <v>0</v>
      </c>
      <c r="BG640" s="86" t="b">
        <v>0</v>
      </c>
      <c r="BH640" s="96" t="str">
        <f>HYPERLINK("https://pbs.twimg.com/profile_banners/1651994455090642944/1682710572")</f>
        <v>https://pbs.twimg.com/profile_banners/1651994455090642944/1682710572</v>
      </c>
      <c r="BI640" s="86"/>
      <c r="BJ640" s="86" t="s">
        <v>29134</v>
      </c>
      <c r="BK640" s="86" t="b">
        <v>0</v>
      </c>
      <c r="BL640" s="86"/>
      <c r="BM640" s="86" t="s">
        <v>66</v>
      </c>
      <c r="BN640" s="86" t="s">
        <v>29136</v>
      </c>
      <c r="BO640" s="96" t="str">
        <f>HYPERLINK("https://twitter.com/gazetaexpressa")</f>
        <v>https://twitter.com/gazetaexpressa</v>
      </c>
      <c r="BP640" s="2"/>
    </row>
    <row r="641" spans="1:68" x14ac:dyDescent="0.25">
      <c r="A641" s="63" t="s">
        <v>785</v>
      </c>
      <c r="B641" s="64"/>
      <c r="C641" s="64"/>
      <c r="D641" s="65"/>
      <c r="E641" s="67"/>
      <c r="F641" s="111" t="str">
        <f>HYPERLINK("https://pbs.twimg.com/profile_images/1425160332515872777/VKBvpojG_normal.jpg")</f>
        <v>https://pbs.twimg.com/profile_images/1425160332515872777/VKBvpojG_normal.jpg</v>
      </c>
      <c r="G641" s="64"/>
      <c r="H641" s="68"/>
      <c r="I641" s="69"/>
      <c r="J641" s="69"/>
      <c r="K641" s="68" t="s">
        <v>29774</v>
      </c>
      <c r="L641" s="72"/>
      <c r="M641" s="73"/>
      <c r="N641" s="73"/>
      <c r="O641" s="74"/>
      <c r="P641" s="75"/>
      <c r="Q641" s="75"/>
      <c r="R641" s="102"/>
      <c r="S641" s="102"/>
      <c r="T641" s="102"/>
      <c r="U641" s="102"/>
      <c r="V641" s="48"/>
      <c r="W641" s="48"/>
      <c r="X641" s="48"/>
      <c r="Y641" s="48"/>
      <c r="Z641" s="47"/>
      <c r="AA641" s="70">
        <v>641</v>
      </c>
      <c r="AB641" s="70"/>
      <c r="AC641" s="71"/>
      <c r="AD641" s="86" t="s">
        <v>24262</v>
      </c>
      <c r="AE641" s="94" t="s">
        <v>22577</v>
      </c>
      <c r="AF641" s="86">
        <v>122</v>
      </c>
      <c r="AG641" s="86">
        <v>514</v>
      </c>
      <c r="AH641" s="86">
        <v>987</v>
      </c>
      <c r="AI641" s="86">
        <v>0</v>
      </c>
      <c r="AJ641" s="86">
        <v>1198</v>
      </c>
      <c r="AK641" s="86">
        <v>90</v>
      </c>
      <c r="AL641" s="86" t="b">
        <v>0</v>
      </c>
      <c r="AM641" s="89">
        <v>43108.186226851853</v>
      </c>
      <c r="AN641" s="86" t="s">
        <v>15257</v>
      </c>
      <c r="AO641" s="86" t="s">
        <v>27005</v>
      </c>
      <c r="AP641" s="96" t="str">
        <f>HYPERLINK("https://t.co/kW8ALzftRA")</f>
        <v>https://t.co/kW8ALzftRA</v>
      </c>
      <c r="AQ641" s="96" t="str">
        <f>HYPERLINK("https://calendly.com/blackmid/reuniao-pre-contratacao")</f>
        <v>https://calendly.com/blackmid/reuniao-pre-contratacao</v>
      </c>
      <c r="AR641" s="86" t="s">
        <v>28339</v>
      </c>
      <c r="AS641" s="86"/>
      <c r="AT641" s="86"/>
      <c r="AU641" s="86"/>
      <c r="AV641" s="86">
        <v>1.6770811012469E+18</v>
      </c>
      <c r="AW641" s="96" t="str">
        <f>HYPERLINK("https://t.co/kW8ALzftRA")</f>
        <v>https://t.co/kW8ALzftRA</v>
      </c>
      <c r="AX641" s="86" t="b">
        <v>1</v>
      </c>
      <c r="AY641" s="86"/>
      <c r="AZ641" s="86"/>
      <c r="BA641" s="86" t="b">
        <v>1</v>
      </c>
      <c r="BB641" s="86" t="b">
        <v>1</v>
      </c>
      <c r="BC641" s="86" t="b">
        <v>1</v>
      </c>
      <c r="BD641" s="86" t="b">
        <v>0</v>
      </c>
      <c r="BE641" s="86" t="b">
        <v>1</v>
      </c>
      <c r="BF641" s="86" t="b">
        <v>0</v>
      </c>
      <c r="BG641" s="86" t="b">
        <v>0</v>
      </c>
      <c r="BH641" s="96" t="str">
        <f>HYPERLINK("https://pbs.twimg.com/profile_banners/950222573765320704/1688648635")</f>
        <v>https://pbs.twimg.com/profile_banners/950222573765320704/1688648635</v>
      </c>
      <c r="BI641" s="86"/>
      <c r="BJ641" s="86" t="s">
        <v>29134</v>
      </c>
      <c r="BK641" s="86" t="b">
        <v>0</v>
      </c>
      <c r="BL641" s="86"/>
      <c r="BM641" s="86" t="s">
        <v>66</v>
      </c>
      <c r="BN641" s="86" t="s">
        <v>29136</v>
      </c>
      <c r="BO641" s="96" t="str">
        <f>HYPERLINK("https://twitter.com/lucasalexneves1")</f>
        <v>https://twitter.com/lucasalexneves1</v>
      </c>
      <c r="BP641" s="2"/>
    </row>
    <row r="642" spans="1:68" x14ac:dyDescent="0.25">
      <c r="A642" s="63" t="s">
        <v>786</v>
      </c>
      <c r="B642" s="64"/>
      <c r="C642" s="64"/>
      <c r="D642" s="65"/>
      <c r="E642" s="67"/>
      <c r="F642" s="111" t="str">
        <f>HYPERLINK("https://pbs.twimg.com/profile_images/1620494346284924928/tFuzXv3j_normal.jpg")</f>
        <v>https://pbs.twimg.com/profile_images/1620494346284924928/tFuzXv3j_normal.jpg</v>
      </c>
      <c r="G642" s="64"/>
      <c r="H642" s="68"/>
      <c r="I642" s="69"/>
      <c r="J642" s="69"/>
      <c r="K642" s="68" t="s">
        <v>29775</v>
      </c>
      <c r="L642" s="72"/>
      <c r="M642" s="73"/>
      <c r="N642" s="73"/>
      <c r="O642" s="74"/>
      <c r="P642" s="75"/>
      <c r="Q642" s="75"/>
      <c r="R642" s="102"/>
      <c r="S642" s="102"/>
      <c r="T642" s="102"/>
      <c r="U642" s="102"/>
      <c r="V642" s="48"/>
      <c r="W642" s="48"/>
      <c r="X642" s="48"/>
      <c r="Y642" s="48"/>
      <c r="Z642" s="47"/>
      <c r="AA642" s="70">
        <v>642</v>
      </c>
      <c r="AB642" s="70"/>
      <c r="AC642" s="71"/>
      <c r="AD642" s="86" t="s">
        <v>24263</v>
      </c>
      <c r="AE642" s="94" t="s">
        <v>23116</v>
      </c>
      <c r="AF642" s="86">
        <v>179</v>
      </c>
      <c r="AG642" s="86">
        <v>457</v>
      </c>
      <c r="AH642" s="86">
        <v>3159</v>
      </c>
      <c r="AI642" s="86">
        <v>2</v>
      </c>
      <c r="AJ642" s="86">
        <v>296</v>
      </c>
      <c r="AK642" s="86">
        <v>281</v>
      </c>
      <c r="AL642" s="86" t="b">
        <v>0</v>
      </c>
      <c r="AM642" s="89">
        <v>44001.71534722222</v>
      </c>
      <c r="AN642" s="86" t="s">
        <v>26042</v>
      </c>
      <c r="AO642" s="86" t="s">
        <v>27006</v>
      </c>
      <c r="AP642" s="96" t="str">
        <f>HYPERLINK("https://t.co/oWGFHzgchr")</f>
        <v>https://t.co/oWGFHzgchr</v>
      </c>
      <c r="AQ642" s="96" t="str">
        <f>HYPERLINK("http://www.nossomeio.com.br")</f>
        <v>http://www.nossomeio.com.br</v>
      </c>
      <c r="AR642" s="86" t="s">
        <v>28340</v>
      </c>
      <c r="AS642" s="86"/>
      <c r="AT642" s="86"/>
      <c r="AU642" s="86"/>
      <c r="AV642" s="86"/>
      <c r="AW642" s="96" t="str">
        <f>HYPERLINK("https://t.co/oWGFHzgchr")</f>
        <v>https://t.co/oWGFHzgchr</v>
      </c>
      <c r="AX642" s="86" t="b">
        <v>0</v>
      </c>
      <c r="AY642" s="86"/>
      <c r="AZ642" s="86"/>
      <c r="BA642" s="86" t="b">
        <v>1</v>
      </c>
      <c r="BB642" s="86" t="b">
        <v>1</v>
      </c>
      <c r="BC642" s="86" t="b">
        <v>1</v>
      </c>
      <c r="BD642" s="86" t="b">
        <v>0</v>
      </c>
      <c r="BE642" s="86" t="b">
        <v>0</v>
      </c>
      <c r="BF642" s="86" t="b">
        <v>0</v>
      </c>
      <c r="BG642" s="86" t="b">
        <v>0</v>
      </c>
      <c r="BH642" s="96" t="str">
        <f>HYPERLINK("https://pbs.twimg.com/profile_banners/1274026619968126978/1675192726")</f>
        <v>https://pbs.twimg.com/profile_banners/1274026619968126978/1675192726</v>
      </c>
      <c r="BI642" s="86"/>
      <c r="BJ642" s="86" t="s">
        <v>29134</v>
      </c>
      <c r="BK642" s="86" t="b">
        <v>0</v>
      </c>
      <c r="BL642" s="86"/>
      <c r="BM642" s="86" t="s">
        <v>66</v>
      </c>
      <c r="BN642" s="86" t="s">
        <v>29136</v>
      </c>
      <c r="BO642" s="96" t="str">
        <f>HYPERLINK("https://twitter.com/nossomeio")</f>
        <v>https://twitter.com/nossomeio</v>
      </c>
      <c r="BP642" s="2"/>
    </row>
    <row r="643" spans="1:68" x14ac:dyDescent="0.25">
      <c r="A643" s="63" t="s">
        <v>787</v>
      </c>
      <c r="B643" s="64"/>
      <c r="C643" s="64"/>
      <c r="D643" s="65"/>
      <c r="E643" s="67"/>
      <c r="F643" s="111" t="str">
        <f>HYPERLINK("https://pbs.twimg.com/profile_images/1691105301162758145/WKkABRHi_normal.jpg")</f>
        <v>https://pbs.twimg.com/profile_images/1691105301162758145/WKkABRHi_normal.jpg</v>
      </c>
      <c r="G643" s="64"/>
      <c r="H643" s="68"/>
      <c r="I643" s="69"/>
      <c r="J643" s="69"/>
      <c r="K643" s="68" t="s">
        <v>29776</v>
      </c>
      <c r="L643" s="72"/>
      <c r="M643" s="73"/>
      <c r="N643" s="73"/>
      <c r="O643" s="74"/>
      <c r="P643" s="75"/>
      <c r="Q643" s="75"/>
      <c r="R643" s="102"/>
      <c r="S643" s="102"/>
      <c r="T643" s="102"/>
      <c r="U643" s="102"/>
      <c r="V643" s="48"/>
      <c r="W643" s="48"/>
      <c r="X643" s="48"/>
      <c r="Y643" s="48"/>
      <c r="Z643" s="47"/>
      <c r="AA643" s="70">
        <v>643</v>
      </c>
      <c r="AB643" s="70"/>
      <c r="AC643" s="71"/>
      <c r="AD643" s="86" t="s">
        <v>24264</v>
      </c>
      <c r="AE643" s="94" t="s">
        <v>23117</v>
      </c>
      <c r="AF643" s="86">
        <v>1</v>
      </c>
      <c r="AG643" s="86">
        <v>0</v>
      </c>
      <c r="AH643" s="86">
        <v>1</v>
      </c>
      <c r="AI643" s="86">
        <v>0</v>
      </c>
      <c r="AJ643" s="86">
        <v>0</v>
      </c>
      <c r="AK643" s="86">
        <v>1</v>
      </c>
      <c r="AL643" s="86" t="b">
        <v>0</v>
      </c>
      <c r="AM643" s="89">
        <v>45152.631111111114</v>
      </c>
      <c r="AN643" s="86"/>
      <c r="AO643" s="86" t="s">
        <v>27007</v>
      </c>
      <c r="AP643" s="86"/>
      <c r="AQ643" s="86"/>
      <c r="AR643" s="86"/>
      <c r="AS643" s="86"/>
      <c r="AT643" s="86"/>
      <c r="AU643" s="86"/>
      <c r="AV643" s="86"/>
      <c r="AW643" s="86"/>
      <c r="AX643" s="86" t="b">
        <v>0</v>
      </c>
      <c r="AY643" s="86"/>
      <c r="AZ643" s="86"/>
      <c r="BA643" s="86" t="b">
        <v>0</v>
      </c>
      <c r="BB643" s="86" t="b">
        <v>1</v>
      </c>
      <c r="BC643" s="86" t="b">
        <v>1</v>
      </c>
      <c r="BD643" s="86" t="b">
        <v>0</v>
      </c>
      <c r="BE643" s="86" t="b">
        <v>0</v>
      </c>
      <c r="BF643" s="86" t="b">
        <v>0</v>
      </c>
      <c r="BG643" s="86" t="b">
        <v>0</v>
      </c>
      <c r="BH643" s="96" t="str">
        <f>HYPERLINK("https://pbs.twimg.com/profile_banners/1691104554614468608/1692025898")</f>
        <v>https://pbs.twimg.com/profile_banners/1691104554614468608/1692025898</v>
      </c>
      <c r="BI643" s="86"/>
      <c r="BJ643" s="86" t="s">
        <v>29134</v>
      </c>
      <c r="BK643" s="86" t="b">
        <v>0</v>
      </c>
      <c r="BL643" s="86"/>
      <c r="BM643" s="86" t="s">
        <v>66</v>
      </c>
      <c r="BN643" s="86" t="s">
        <v>29136</v>
      </c>
      <c r="BO643" s="96" t="str">
        <f>HYPERLINK("https://twitter.com/gestaolideranca")</f>
        <v>https://twitter.com/gestaolideranca</v>
      </c>
      <c r="BP643" s="2"/>
    </row>
    <row r="644" spans="1:68" x14ac:dyDescent="0.25">
      <c r="A644" s="63" t="s">
        <v>788</v>
      </c>
      <c r="B644" s="64"/>
      <c r="C644" s="64"/>
      <c r="D644" s="65"/>
      <c r="E644" s="67"/>
      <c r="F644" s="111" t="str">
        <f>HYPERLINK("https://pbs.twimg.com/profile_images/1691581877725908992/5Yy2k_im_normal.jpg")</f>
        <v>https://pbs.twimg.com/profile_images/1691581877725908992/5Yy2k_im_normal.jpg</v>
      </c>
      <c r="G644" s="64"/>
      <c r="H644" s="68"/>
      <c r="I644" s="69"/>
      <c r="J644" s="69"/>
      <c r="K644" s="68" t="s">
        <v>29777</v>
      </c>
      <c r="L644" s="72"/>
      <c r="M644" s="73"/>
      <c r="N644" s="73"/>
      <c r="O644" s="74"/>
      <c r="P644" s="75"/>
      <c r="Q644" s="75"/>
      <c r="R644" s="102"/>
      <c r="S644" s="102"/>
      <c r="T644" s="102"/>
      <c r="U644" s="102"/>
      <c r="V644" s="48"/>
      <c r="W644" s="48"/>
      <c r="X644" s="48"/>
      <c r="Y644" s="48"/>
      <c r="Z644" s="47"/>
      <c r="AA644" s="70">
        <v>644</v>
      </c>
      <c r="AB644" s="70"/>
      <c r="AC644" s="71"/>
      <c r="AD644" s="86" t="s">
        <v>24265</v>
      </c>
      <c r="AE644" s="94" t="s">
        <v>23118</v>
      </c>
      <c r="AF644" s="86">
        <v>1996</v>
      </c>
      <c r="AG644" s="86">
        <v>19</v>
      </c>
      <c r="AH644" s="86">
        <v>220</v>
      </c>
      <c r="AI644" s="86">
        <v>0</v>
      </c>
      <c r="AJ644" s="86">
        <v>48</v>
      </c>
      <c r="AK644" s="86">
        <v>192</v>
      </c>
      <c r="AL644" s="86" t="b">
        <v>0</v>
      </c>
      <c r="AM644" s="89">
        <v>44520.7656712963</v>
      </c>
      <c r="AN644" s="86" t="s">
        <v>15246</v>
      </c>
      <c r="AO644" s="86" t="s">
        <v>27008</v>
      </c>
      <c r="AP644" s="96" t="str">
        <f>HYPERLINK("https://t.co/mfmeSiVhtn")</f>
        <v>https://t.co/mfmeSiVhtn</v>
      </c>
      <c r="AQ644" s="96" t="str">
        <f>HYPERLINK("https://www.rodrigofalasobre.com.br/")</f>
        <v>https://www.rodrigofalasobre.com.br/</v>
      </c>
      <c r="AR644" s="86" t="s">
        <v>28341</v>
      </c>
      <c r="AS644" s="86"/>
      <c r="AT644" s="86"/>
      <c r="AU644" s="86"/>
      <c r="AV644" s="86"/>
      <c r="AW644" s="96" t="str">
        <f>HYPERLINK("https://t.co/mfmeSiVhtn")</f>
        <v>https://t.co/mfmeSiVhtn</v>
      </c>
      <c r="AX644" s="86" t="b">
        <v>0</v>
      </c>
      <c r="AY644" s="86"/>
      <c r="AZ644" s="86"/>
      <c r="BA644" s="86" t="b">
        <v>0</v>
      </c>
      <c r="BB644" s="86" t="b">
        <v>1</v>
      </c>
      <c r="BC644" s="86" t="b">
        <v>1</v>
      </c>
      <c r="BD644" s="86" t="b">
        <v>0</v>
      </c>
      <c r="BE644" s="86" t="b">
        <v>0</v>
      </c>
      <c r="BF644" s="86" t="b">
        <v>0</v>
      </c>
      <c r="BG644" s="86" t="b">
        <v>0</v>
      </c>
      <c r="BH644" s="96" t="str">
        <f>HYPERLINK("https://pbs.twimg.com/profile_banners/1462123907419410437/1692139758")</f>
        <v>https://pbs.twimg.com/profile_banners/1462123907419410437/1692139758</v>
      </c>
      <c r="BI644" s="86"/>
      <c r="BJ644" s="86" t="s">
        <v>29134</v>
      </c>
      <c r="BK644" s="86" t="b">
        <v>0</v>
      </c>
      <c r="BL644" s="86"/>
      <c r="BM644" s="86" t="s">
        <v>66</v>
      </c>
      <c r="BN644" s="86" t="s">
        <v>29136</v>
      </c>
      <c r="BO644" s="96" t="str">
        <f>HYPERLINK("https://twitter.com/sobre_rodrigo")</f>
        <v>https://twitter.com/sobre_rodrigo</v>
      </c>
      <c r="BP644" s="2"/>
    </row>
    <row r="645" spans="1:68" x14ac:dyDescent="0.25">
      <c r="A645" s="63" t="s">
        <v>789</v>
      </c>
      <c r="B645" s="64"/>
      <c r="C645" s="64"/>
      <c r="D645" s="65"/>
      <c r="E645" s="67"/>
      <c r="F645" s="111" t="str">
        <f>HYPERLINK("https://pbs.twimg.com/profile_images/1613205825199259649/hUcz1R6k_normal.jpg")</f>
        <v>https://pbs.twimg.com/profile_images/1613205825199259649/hUcz1R6k_normal.jpg</v>
      </c>
      <c r="G645" s="64"/>
      <c r="H645" s="68"/>
      <c r="I645" s="69"/>
      <c r="J645" s="69"/>
      <c r="K645" s="68" t="s">
        <v>29778</v>
      </c>
      <c r="L645" s="72"/>
      <c r="M645" s="73"/>
      <c r="N645" s="73"/>
      <c r="O645" s="74"/>
      <c r="P645" s="75"/>
      <c r="Q645" s="75"/>
      <c r="R645" s="102"/>
      <c r="S645" s="102"/>
      <c r="T645" s="102"/>
      <c r="U645" s="102"/>
      <c r="V645" s="48"/>
      <c r="W645" s="48"/>
      <c r="X645" s="48"/>
      <c r="Y645" s="48"/>
      <c r="Z645" s="47"/>
      <c r="AA645" s="70">
        <v>645</v>
      </c>
      <c r="AB645" s="70"/>
      <c r="AC645" s="71"/>
      <c r="AD645" s="86" t="s">
        <v>24266</v>
      </c>
      <c r="AE645" s="94" t="s">
        <v>25464</v>
      </c>
      <c r="AF645" s="86">
        <v>289</v>
      </c>
      <c r="AG645" s="86">
        <v>486</v>
      </c>
      <c r="AH645" s="86">
        <v>22168</v>
      </c>
      <c r="AI645" s="86">
        <v>0</v>
      </c>
      <c r="AJ645" s="86">
        <v>64</v>
      </c>
      <c r="AK645" s="86">
        <v>2075</v>
      </c>
      <c r="AL645" s="86" t="b">
        <v>0</v>
      </c>
      <c r="AM645" s="89">
        <v>40561.463692129626</v>
      </c>
      <c r="AN645" s="86" t="s">
        <v>26111</v>
      </c>
      <c r="AO645" s="96" t="str">
        <f>HYPERLINK("https://t.co/0793sMS7J1")</f>
        <v>https://t.co/0793sMS7J1</v>
      </c>
      <c r="AP645" s="96" t="str">
        <f>HYPERLINK("https://t.co/HfUnGUrb4j")</f>
        <v>https://t.co/HfUnGUrb4j</v>
      </c>
      <c r="AQ645" s="96" t="str">
        <f>HYPERLINK("https://jornalpanoramaminas.com.br/")</f>
        <v>https://jornalpanoramaminas.com.br/</v>
      </c>
      <c r="AR645" s="86" t="s">
        <v>28342</v>
      </c>
      <c r="AS645" s="96" t="str">
        <f>HYPERLINK("https://t.co/0793sMS7J1")</f>
        <v>https://t.co/0793sMS7J1</v>
      </c>
      <c r="AT645" s="96" t="str">
        <f>HYPERLINK("http://jornalpanoramaminas.com.br")</f>
        <v>http://jornalpanoramaminas.com.br</v>
      </c>
      <c r="AU645" s="86" t="s">
        <v>28342</v>
      </c>
      <c r="AV645" s="86"/>
      <c r="AW645" s="96" t="str">
        <f>HYPERLINK("https://t.co/HfUnGUrb4j")</f>
        <v>https://t.co/HfUnGUrb4j</v>
      </c>
      <c r="AX645" s="86" t="b">
        <v>0</v>
      </c>
      <c r="AY645" s="86"/>
      <c r="AZ645" s="86"/>
      <c r="BA645" s="86" t="b">
        <v>0</v>
      </c>
      <c r="BB645" s="86" t="b">
        <v>1</v>
      </c>
      <c r="BC645" s="86" t="b">
        <v>0</v>
      </c>
      <c r="BD645" s="86" t="b">
        <v>0</v>
      </c>
      <c r="BE645" s="86" t="b">
        <v>0</v>
      </c>
      <c r="BF645" s="86" t="b">
        <v>0</v>
      </c>
      <c r="BG645" s="86" t="b">
        <v>0</v>
      </c>
      <c r="BH645" s="96" t="str">
        <f>HYPERLINK("https://pbs.twimg.com/profile_banners/239762397/1672660904")</f>
        <v>https://pbs.twimg.com/profile_banners/239762397/1672660904</v>
      </c>
      <c r="BI645" s="86"/>
      <c r="BJ645" s="86" t="s">
        <v>29134</v>
      </c>
      <c r="BK645" s="86" t="b">
        <v>0</v>
      </c>
      <c r="BL645" s="86"/>
      <c r="BM645" s="86" t="s">
        <v>66</v>
      </c>
      <c r="BN645" s="86" t="s">
        <v>29136</v>
      </c>
      <c r="BO645" s="96" t="str">
        <f>HYPERLINK("https://twitter.com/jornal_panorama")</f>
        <v>https://twitter.com/jornal_panorama</v>
      </c>
      <c r="BP645" s="2"/>
    </row>
    <row r="646" spans="1:68" x14ac:dyDescent="0.25">
      <c r="A646" s="63" t="s">
        <v>790</v>
      </c>
      <c r="B646" s="64"/>
      <c r="C646" s="64"/>
      <c r="D646" s="65"/>
      <c r="E646" s="67"/>
      <c r="F646" s="111" t="str">
        <f>HYPERLINK("https://pbs.twimg.com/profile_images/1615822711137214474/rcOz3Nef_normal.jpg")</f>
        <v>https://pbs.twimg.com/profile_images/1615822711137214474/rcOz3Nef_normal.jpg</v>
      </c>
      <c r="G646" s="64"/>
      <c r="H646" s="68"/>
      <c r="I646" s="69"/>
      <c r="J646" s="69"/>
      <c r="K646" s="68" t="s">
        <v>29779</v>
      </c>
      <c r="L646" s="72"/>
      <c r="M646" s="73"/>
      <c r="N646" s="73"/>
      <c r="O646" s="74"/>
      <c r="P646" s="75"/>
      <c r="Q646" s="75"/>
      <c r="R646" s="102"/>
      <c r="S646" s="102"/>
      <c r="T646" s="102"/>
      <c r="U646" s="102"/>
      <c r="V646" s="48"/>
      <c r="W646" s="48"/>
      <c r="X646" s="48"/>
      <c r="Y646" s="48"/>
      <c r="Z646" s="47"/>
      <c r="AA646" s="70">
        <v>646</v>
      </c>
      <c r="AB646" s="70"/>
      <c r="AC646" s="71"/>
      <c r="AD646" s="86" t="s">
        <v>24267</v>
      </c>
      <c r="AE646" s="94" t="s">
        <v>22578</v>
      </c>
      <c r="AF646" s="86">
        <v>109</v>
      </c>
      <c r="AG646" s="86">
        <v>160</v>
      </c>
      <c r="AH646" s="86">
        <v>1588</v>
      </c>
      <c r="AI646" s="86">
        <v>5</v>
      </c>
      <c r="AJ646" s="86">
        <v>261</v>
      </c>
      <c r="AK646" s="86">
        <v>174</v>
      </c>
      <c r="AL646" s="86" t="b">
        <v>0</v>
      </c>
      <c r="AM646" s="89">
        <v>40000.686597222222</v>
      </c>
      <c r="AN646" s="86" t="s">
        <v>15234</v>
      </c>
      <c r="AO646" s="86" t="s">
        <v>27009</v>
      </c>
      <c r="AP646" s="96" t="str">
        <f>HYPERLINK("https://t.co/nutqmJcpOK")</f>
        <v>https://t.co/nutqmJcpOK</v>
      </c>
      <c r="AQ646" s="96" t="str">
        <f>HYPERLINK("https://mouramarcas.com/")</f>
        <v>https://mouramarcas.com/</v>
      </c>
      <c r="AR646" s="86" t="s">
        <v>8464</v>
      </c>
      <c r="AS646" s="86"/>
      <c r="AT646" s="86"/>
      <c r="AU646" s="86"/>
      <c r="AV646" s="86"/>
      <c r="AW646" s="96" t="str">
        <f>HYPERLINK("https://t.co/nutqmJcpOK")</f>
        <v>https://t.co/nutqmJcpOK</v>
      </c>
      <c r="AX646" s="86" t="b">
        <v>0</v>
      </c>
      <c r="AY646" s="86"/>
      <c r="AZ646" s="86"/>
      <c r="BA646" s="86" t="b">
        <v>0</v>
      </c>
      <c r="BB646" s="86" t="b">
        <v>1</v>
      </c>
      <c r="BC646" s="86" t="b">
        <v>1</v>
      </c>
      <c r="BD646" s="86" t="b">
        <v>0</v>
      </c>
      <c r="BE646" s="86" t="b">
        <v>0</v>
      </c>
      <c r="BF646" s="86" t="b">
        <v>0</v>
      </c>
      <c r="BG646" s="86" t="b">
        <v>0</v>
      </c>
      <c r="BH646" s="96" t="str">
        <f>HYPERLINK("https://pbs.twimg.com/profile_banners/54253569/1674085439")</f>
        <v>https://pbs.twimg.com/profile_banners/54253569/1674085439</v>
      </c>
      <c r="BI646" s="86"/>
      <c r="BJ646" s="86" t="s">
        <v>29134</v>
      </c>
      <c r="BK646" s="86" t="b">
        <v>0</v>
      </c>
      <c r="BL646" s="86"/>
      <c r="BM646" s="86" t="s">
        <v>66</v>
      </c>
      <c r="BN646" s="86" t="s">
        <v>29136</v>
      </c>
      <c r="BO646" s="96" t="str">
        <f>HYPERLINK("https://twitter.com/moura_marcas")</f>
        <v>https://twitter.com/moura_marcas</v>
      </c>
      <c r="BP646" s="2"/>
    </row>
    <row r="647" spans="1:68" x14ac:dyDescent="0.25">
      <c r="A647" s="63" t="s">
        <v>791</v>
      </c>
      <c r="B647" s="64"/>
      <c r="C647" s="64"/>
      <c r="D647" s="65"/>
      <c r="E647" s="67"/>
      <c r="F647" s="111" t="str">
        <f>HYPERLINK("https://pbs.twimg.com/profile_images/1704967634494615552/zyhSQs1Q_normal.jpg")</f>
        <v>https://pbs.twimg.com/profile_images/1704967634494615552/zyhSQs1Q_normal.jpg</v>
      </c>
      <c r="G647" s="64"/>
      <c r="H647" s="68"/>
      <c r="I647" s="69"/>
      <c r="J647" s="69"/>
      <c r="K647" s="68" t="s">
        <v>29780</v>
      </c>
      <c r="L647" s="72"/>
      <c r="M647" s="73"/>
      <c r="N647" s="73"/>
      <c r="O647" s="74"/>
      <c r="P647" s="75"/>
      <c r="Q647" s="75"/>
      <c r="R647" s="102"/>
      <c r="S647" s="102"/>
      <c r="T647" s="102"/>
      <c r="U647" s="102"/>
      <c r="V647" s="48"/>
      <c r="W647" s="48"/>
      <c r="X647" s="48"/>
      <c r="Y647" s="48"/>
      <c r="Z647" s="47"/>
      <c r="AA647" s="70">
        <v>647</v>
      </c>
      <c r="AB647" s="70"/>
      <c r="AC647" s="71"/>
      <c r="AD647" s="86" t="s">
        <v>24268</v>
      </c>
      <c r="AE647" s="94" t="s">
        <v>23119</v>
      </c>
      <c r="AF647" s="86">
        <v>27</v>
      </c>
      <c r="AG647" s="86">
        <v>56</v>
      </c>
      <c r="AH647" s="86">
        <v>832</v>
      </c>
      <c r="AI647" s="86">
        <v>0</v>
      </c>
      <c r="AJ647" s="86">
        <v>627</v>
      </c>
      <c r="AK647" s="86">
        <v>38</v>
      </c>
      <c r="AL647" s="86" t="b">
        <v>0</v>
      </c>
      <c r="AM647" s="89">
        <v>45059.598078703704</v>
      </c>
      <c r="AN647" s="86" t="s">
        <v>26112</v>
      </c>
      <c r="AO647" s="86" t="s">
        <v>27010</v>
      </c>
      <c r="AP647" s="86"/>
      <c r="AQ647" s="86"/>
      <c r="AR647" s="86"/>
      <c r="AS647" s="86"/>
      <c r="AT647" s="86"/>
      <c r="AU647" s="86"/>
      <c r="AV647" s="86">
        <v>1.7031802648625101E+18</v>
      </c>
      <c r="AW647" s="86"/>
      <c r="AX647" s="86" t="b">
        <v>0</v>
      </c>
      <c r="AY647" s="86"/>
      <c r="AZ647" s="86"/>
      <c r="BA647" s="86" t="b">
        <v>0</v>
      </c>
      <c r="BB647" s="86" t="b">
        <v>0</v>
      </c>
      <c r="BC647" s="86" t="b">
        <v>1</v>
      </c>
      <c r="BD647" s="86" t="b">
        <v>0</v>
      </c>
      <c r="BE647" s="86" t="b">
        <v>0</v>
      </c>
      <c r="BF647" s="86" t="b">
        <v>0</v>
      </c>
      <c r="BG647" s="86" t="b">
        <v>0</v>
      </c>
      <c r="BH647" s="96" t="str">
        <f>HYPERLINK("https://pbs.twimg.com/profile_banners/1657390441317163009/1690153926")</f>
        <v>https://pbs.twimg.com/profile_banners/1657390441317163009/1690153926</v>
      </c>
      <c r="BI647" s="86"/>
      <c r="BJ647" s="86" t="s">
        <v>29134</v>
      </c>
      <c r="BK647" s="86" t="b">
        <v>0</v>
      </c>
      <c r="BL647" s="86"/>
      <c r="BM647" s="86" t="s">
        <v>66</v>
      </c>
      <c r="BN647" s="86" t="s">
        <v>29136</v>
      </c>
      <c r="BO647" s="96" t="str">
        <f>HYPERLINK("https://twitter.com/geovanaamuller")</f>
        <v>https://twitter.com/geovanaamuller</v>
      </c>
      <c r="BP647" s="2"/>
    </row>
    <row r="648" spans="1:68" x14ac:dyDescent="0.25">
      <c r="A648" s="63" t="s">
        <v>792</v>
      </c>
      <c r="B648" s="64"/>
      <c r="C648" s="64"/>
      <c r="D648" s="65"/>
      <c r="E648" s="67"/>
      <c r="F648" s="111" t="str">
        <f>HYPERLINK("https://pbs.twimg.com/profile_images/1688706720007163905/3kLSwxjF_normal.jpg")</f>
        <v>https://pbs.twimg.com/profile_images/1688706720007163905/3kLSwxjF_normal.jpg</v>
      </c>
      <c r="G648" s="64"/>
      <c r="H648" s="68"/>
      <c r="I648" s="69"/>
      <c r="J648" s="69"/>
      <c r="K648" s="68" t="s">
        <v>29781</v>
      </c>
      <c r="L648" s="72"/>
      <c r="M648" s="73"/>
      <c r="N648" s="73"/>
      <c r="O648" s="74"/>
      <c r="P648" s="75"/>
      <c r="Q648" s="75"/>
      <c r="R648" s="102"/>
      <c r="S648" s="102"/>
      <c r="T648" s="102"/>
      <c r="U648" s="102"/>
      <c r="V648" s="48"/>
      <c r="W648" s="48"/>
      <c r="X648" s="48"/>
      <c r="Y648" s="48"/>
      <c r="Z648" s="47"/>
      <c r="AA648" s="70">
        <v>648</v>
      </c>
      <c r="AB648" s="70"/>
      <c r="AC648" s="71"/>
      <c r="AD648" s="86" t="s">
        <v>24269</v>
      </c>
      <c r="AE648" s="94" t="s">
        <v>23120</v>
      </c>
      <c r="AF648" s="86">
        <v>5</v>
      </c>
      <c r="AG648" s="86">
        <v>2</v>
      </c>
      <c r="AH648" s="86">
        <v>7</v>
      </c>
      <c r="AI648" s="86">
        <v>0</v>
      </c>
      <c r="AJ648" s="86">
        <v>5</v>
      </c>
      <c r="AK648" s="86">
        <v>5</v>
      </c>
      <c r="AL648" s="86" t="b">
        <v>0</v>
      </c>
      <c r="AM648" s="89">
        <v>44967.770624999997</v>
      </c>
      <c r="AN648" s="86" t="s">
        <v>15372</v>
      </c>
      <c r="AO648" s="86" t="s">
        <v>27011</v>
      </c>
      <c r="AP648" s="96" t="str">
        <f>HYPERLINK("https://t.co/1E17svn89N")</f>
        <v>https://t.co/1E17svn89N</v>
      </c>
      <c r="AQ648" s="96" t="str">
        <f>HYPERLINK("https://www.youtube.com/channel/UCSteBbAXmFkNi4XbkCXdHrw")</f>
        <v>https://www.youtube.com/channel/UCSteBbAXmFkNi4XbkCXdHrw</v>
      </c>
      <c r="AR648" s="86" t="s">
        <v>28343</v>
      </c>
      <c r="AS648" s="86"/>
      <c r="AT648" s="86"/>
      <c r="AU648" s="86"/>
      <c r="AV648" s="86"/>
      <c r="AW648" s="96" t="str">
        <f>HYPERLINK("https://t.co/1E17svn89N")</f>
        <v>https://t.co/1E17svn89N</v>
      </c>
      <c r="AX648" s="86" t="b">
        <v>0</v>
      </c>
      <c r="AY648" s="86"/>
      <c r="AZ648" s="86"/>
      <c r="BA648" s="86" t="b">
        <v>0</v>
      </c>
      <c r="BB648" s="86" t="b">
        <v>1</v>
      </c>
      <c r="BC648" s="86" t="b">
        <v>1</v>
      </c>
      <c r="BD648" s="86" t="b">
        <v>0</v>
      </c>
      <c r="BE648" s="86" t="b">
        <v>1</v>
      </c>
      <c r="BF648" s="86" t="b">
        <v>0</v>
      </c>
      <c r="BG648" s="86" t="b">
        <v>0</v>
      </c>
      <c r="BH648" s="96" t="str">
        <f>HYPERLINK("https://pbs.twimg.com/profile_banners/1624113168413753351/1689960181")</f>
        <v>https://pbs.twimg.com/profile_banners/1624113168413753351/1689960181</v>
      </c>
      <c r="BI648" s="86"/>
      <c r="BJ648" s="86" t="s">
        <v>29134</v>
      </c>
      <c r="BK648" s="86" t="b">
        <v>0</v>
      </c>
      <c r="BL648" s="86"/>
      <c r="BM648" s="86" t="s">
        <v>66</v>
      </c>
      <c r="BN648" s="86" t="s">
        <v>29136</v>
      </c>
      <c r="BO648" s="96" t="str">
        <f>HYPERLINK("https://twitter.com/vinnyvads")</f>
        <v>https://twitter.com/vinnyvads</v>
      </c>
      <c r="BP648" s="2"/>
    </row>
    <row r="649" spans="1:68" x14ac:dyDescent="0.25">
      <c r="A649" s="63" t="s">
        <v>793</v>
      </c>
      <c r="B649" s="64"/>
      <c r="C649" s="64"/>
      <c r="D649" s="65"/>
      <c r="E649" s="67"/>
      <c r="F649" s="111" t="str">
        <f>HYPERLINK("https://pbs.twimg.com/profile_images/1470761961415716868/vB4uUbyu_normal.jpg")</f>
        <v>https://pbs.twimg.com/profile_images/1470761961415716868/vB4uUbyu_normal.jpg</v>
      </c>
      <c r="G649" s="64"/>
      <c r="H649" s="68"/>
      <c r="I649" s="69"/>
      <c r="J649" s="69"/>
      <c r="K649" s="68" t="s">
        <v>29782</v>
      </c>
      <c r="L649" s="72"/>
      <c r="M649" s="73"/>
      <c r="N649" s="73"/>
      <c r="O649" s="74"/>
      <c r="P649" s="75"/>
      <c r="Q649" s="75"/>
      <c r="R649" s="102"/>
      <c r="S649" s="102"/>
      <c r="T649" s="102"/>
      <c r="U649" s="102"/>
      <c r="V649" s="48"/>
      <c r="W649" s="48"/>
      <c r="X649" s="48"/>
      <c r="Y649" s="48"/>
      <c r="Z649" s="47"/>
      <c r="AA649" s="70">
        <v>649</v>
      </c>
      <c r="AB649" s="70"/>
      <c r="AC649" s="71"/>
      <c r="AD649" s="86" t="s">
        <v>24270</v>
      </c>
      <c r="AE649" s="94" t="s">
        <v>25465</v>
      </c>
      <c r="AF649" s="86">
        <v>421</v>
      </c>
      <c r="AG649" s="86">
        <v>1161</v>
      </c>
      <c r="AH649" s="86">
        <v>19188</v>
      </c>
      <c r="AI649" s="86">
        <v>2</v>
      </c>
      <c r="AJ649" s="86">
        <v>6517</v>
      </c>
      <c r="AK649" s="86">
        <v>3202</v>
      </c>
      <c r="AL649" s="86" t="b">
        <v>0</v>
      </c>
      <c r="AM649" s="89">
        <v>41431.043796296297</v>
      </c>
      <c r="AN649" s="86" t="s">
        <v>26113</v>
      </c>
      <c r="AO649" s="86" t="s">
        <v>27012</v>
      </c>
      <c r="AP649" s="86"/>
      <c r="AQ649" s="86"/>
      <c r="AR649" s="86"/>
      <c r="AS649" s="86"/>
      <c r="AT649" s="86"/>
      <c r="AU649" s="86"/>
      <c r="AV649" s="86">
        <v>1.5526985291639099E+18</v>
      </c>
      <c r="AW649" s="86"/>
      <c r="AX649" s="86" t="b">
        <v>1</v>
      </c>
      <c r="AY649" s="86"/>
      <c r="AZ649" s="86"/>
      <c r="BA649" s="86" t="b">
        <v>0</v>
      </c>
      <c r="BB649" s="86" t="b">
        <v>1</v>
      </c>
      <c r="BC649" s="86" t="b">
        <v>0</v>
      </c>
      <c r="BD649" s="86" t="b">
        <v>0</v>
      </c>
      <c r="BE649" s="86" t="b">
        <v>1</v>
      </c>
      <c r="BF649" s="86" t="b">
        <v>0</v>
      </c>
      <c r="BG649" s="86" t="b">
        <v>1</v>
      </c>
      <c r="BH649" s="96" t="str">
        <f>HYPERLINK("https://pbs.twimg.com/profile_banners/1486435986/1541837717")</f>
        <v>https://pbs.twimg.com/profile_banners/1486435986/1541837717</v>
      </c>
      <c r="BI649" s="86" t="s">
        <v>29133</v>
      </c>
      <c r="BJ649" s="86" t="s">
        <v>29134</v>
      </c>
      <c r="BK649" s="86" t="b">
        <v>0</v>
      </c>
      <c r="BL649" s="86"/>
      <c r="BM649" s="86" t="s">
        <v>66</v>
      </c>
      <c r="BN649" s="86" t="s">
        <v>29136</v>
      </c>
      <c r="BO649" s="96" t="str">
        <f>HYPERLINK("https://twitter.com/porconildo")</f>
        <v>https://twitter.com/porconildo</v>
      </c>
      <c r="BP649" s="2"/>
    </row>
    <row r="650" spans="1:68" x14ac:dyDescent="0.25">
      <c r="A650" s="63" t="s">
        <v>1684</v>
      </c>
      <c r="B650" s="64"/>
      <c r="C650" s="64"/>
      <c r="D650" s="65"/>
      <c r="E650" s="67"/>
      <c r="F650" s="111" t="str">
        <f>HYPERLINK("https://pbs.twimg.com/profile_images/1521479546066939911/BoEzaBr9_normal.jpg")</f>
        <v>https://pbs.twimg.com/profile_images/1521479546066939911/BoEzaBr9_normal.jpg</v>
      </c>
      <c r="G650" s="64"/>
      <c r="H650" s="68"/>
      <c r="I650" s="69"/>
      <c r="J650" s="69"/>
      <c r="K650" s="68" t="s">
        <v>29783</v>
      </c>
      <c r="L650" s="72"/>
      <c r="M650" s="73"/>
      <c r="N650" s="73"/>
      <c r="O650" s="74"/>
      <c r="P650" s="75"/>
      <c r="Q650" s="75"/>
      <c r="R650" s="102"/>
      <c r="S650" s="102"/>
      <c r="T650" s="102"/>
      <c r="U650" s="102"/>
      <c r="V650" s="48"/>
      <c r="W650" s="48"/>
      <c r="X650" s="48"/>
      <c r="Y650" s="48"/>
      <c r="Z650" s="47"/>
      <c r="AA650" s="70">
        <v>650</v>
      </c>
      <c r="AB650" s="70"/>
      <c r="AC650" s="71"/>
      <c r="AD650" s="86" t="s">
        <v>24271</v>
      </c>
      <c r="AE650" s="94" t="s">
        <v>22579</v>
      </c>
      <c r="AF650" s="86">
        <v>225734</v>
      </c>
      <c r="AG650" s="86">
        <v>423</v>
      </c>
      <c r="AH650" s="86">
        <v>14019</v>
      </c>
      <c r="AI650" s="86">
        <v>267</v>
      </c>
      <c r="AJ650" s="86">
        <v>4352</v>
      </c>
      <c r="AK650" s="86">
        <v>6729</v>
      </c>
      <c r="AL650" s="86" t="b">
        <v>0</v>
      </c>
      <c r="AM650" s="89">
        <v>43088.893425925926</v>
      </c>
      <c r="AN650" s="86" t="s">
        <v>26114</v>
      </c>
      <c r="AO650" s="86" t="s">
        <v>27013</v>
      </c>
      <c r="AP650" s="96" t="str">
        <f>HYPERLINK("https://t.co/DvvklPb2pA")</f>
        <v>https://t.co/DvvklPb2pA</v>
      </c>
      <c r="AQ650" s="96" t="str">
        <f>HYPERLINK("http://instagram.com/corrupcaobrmeme/")</f>
        <v>http://instagram.com/corrupcaobrmeme/</v>
      </c>
      <c r="AR650" s="86" t="s">
        <v>28344</v>
      </c>
      <c r="AS650" s="86"/>
      <c r="AT650" s="86"/>
      <c r="AU650" s="86"/>
      <c r="AV650" s="86"/>
      <c r="AW650" s="96" t="str">
        <f>HYPERLINK("https://t.co/DvvklPb2pA")</f>
        <v>https://t.co/DvvklPb2pA</v>
      </c>
      <c r="AX650" s="86" t="b">
        <v>0</v>
      </c>
      <c r="AY650" s="86"/>
      <c r="AZ650" s="86"/>
      <c r="BA650" s="86" t="b">
        <v>1</v>
      </c>
      <c r="BB650" s="86" t="b">
        <v>1</v>
      </c>
      <c r="BC650" s="86" t="b">
        <v>0</v>
      </c>
      <c r="BD650" s="86" t="b">
        <v>0</v>
      </c>
      <c r="BE650" s="86" t="b">
        <v>1</v>
      </c>
      <c r="BF650" s="86" t="b">
        <v>0</v>
      </c>
      <c r="BG650" s="86" t="b">
        <v>0</v>
      </c>
      <c r="BH650" s="96" t="str">
        <f>HYPERLINK("https://pbs.twimg.com/profile_banners/943231097193852928/1592846626")</f>
        <v>https://pbs.twimg.com/profile_banners/943231097193852928/1592846626</v>
      </c>
      <c r="BI650" s="86"/>
      <c r="BJ650" s="86" t="s">
        <v>29134</v>
      </c>
      <c r="BK650" s="86" t="b">
        <v>0</v>
      </c>
      <c r="BL650" s="86"/>
      <c r="BM650" s="86" t="s">
        <v>65</v>
      </c>
      <c r="BN650" s="86" t="s">
        <v>29136</v>
      </c>
      <c r="BO650" s="96" t="str">
        <f>HYPERLINK("https://twitter.com/corrupcaomemes")</f>
        <v>https://twitter.com/corrupcaomemes</v>
      </c>
      <c r="BP650" s="2"/>
    </row>
    <row r="651" spans="1:68" x14ac:dyDescent="0.25">
      <c r="A651" s="63" t="s">
        <v>794</v>
      </c>
      <c r="B651" s="64"/>
      <c r="C651" s="64"/>
      <c r="D651" s="65"/>
      <c r="E651" s="67"/>
      <c r="F651" s="111" t="str">
        <f>HYPERLINK("https://pbs.twimg.com/profile_images/1377010893507198977/IYlkvx1h_normal.jpg")</f>
        <v>https://pbs.twimg.com/profile_images/1377010893507198977/IYlkvx1h_normal.jpg</v>
      </c>
      <c r="G651" s="64"/>
      <c r="H651" s="68"/>
      <c r="I651" s="69"/>
      <c r="J651" s="69"/>
      <c r="K651" s="68" t="s">
        <v>29784</v>
      </c>
      <c r="L651" s="72"/>
      <c r="M651" s="73"/>
      <c r="N651" s="73"/>
      <c r="O651" s="74"/>
      <c r="P651" s="75"/>
      <c r="Q651" s="75"/>
      <c r="R651" s="102"/>
      <c r="S651" s="102"/>
      <c r="T651" s="102"/>
      <c r="U651" s="102"/>
      <c r="V651" s="48"/>
      <c r="W651" s="48"/>
      <c r="X651" s="48"/>
      <c r="Y651" s="48"/>
      <c r="Z651" s="47"/>
      <c r="AA651" s="70">
        <v>651</v>
      </c>
      <c r="AB651" s="70"/>
      <c r="AC651" s="71"/>
      <c r="AD651" s="86" t="s">
        <v>24272</v>
      </c>
      <c r="AE651" s="94" t="s">
        <v>25466</v>
      </c>
      <c r="AF651" s="86">
        <v>1724</v>
      </c>
      <c r="AG651" s="86">
        <v>337</v>
      </c>
      <c r="AH651" s="86">
        <v>1292</v>
      </c>
      <c r="AI651" s="86">
        <v>7</v>
      </c>
      <c r="AJ651" s="86">
        <v>124</v>
      </c>
      <c r="AK651" s="86">
        <v>784</v>
      </c>
      <c r="AL651" s="86" t="b">
        <v>0</v>
      </c>
      <c r="AM651" s="89">
        <v>39981.138703703706</v>
      </c>
      <c r="AN651" s="86" t="s">
        <v>15276</v>
      </c>
      <c r="AO651" s="86" t="s">
        <v>27014</v>
      </c>
      <c r="AP651" s="96" t="str">
        <f>HYPERLINK("https://t.co/kGweuwbaf7")</f>
        <v>https://t.co/kGweuwbaf7</v>
      </c>
      <c r="AQ651" s="96" t="str">
        <f>HYPERLINK("https://www.rafaelresende.com.br")</f>
        <v>https://www.rafaelresende.com.br</v>
      </c>
      <c r="AR651" s="86" t="s">
        <v>28345</v>
      </c>
      <c r="AS651" s="86"/>
      <c r="AT651" s="86"/>
      <c r="AU651" s="86"/>
      <c r="AV651" s="86"/>
      <c r="AW651" s="96" t="str">
        <f>HYPERLINK("https://t.co/kGweuwbaf7")</f>
        <v>https://t.co/kGweuwbaf7</v>
      </c>
      <c r="AX651" s="86" t="b">
        <v>0</v>
      </c>
      <c r="AY651" s="86"/>
      <c r="AZ651" s="86"/>
      <c r="BA651" s="86" t="b">
        <v>0</v>
      </c>
      <c r="BB651" s="86" t="b">
        <v>1</v>
      </c>
      <c r="BC651" s="86" t="b">
        <v>0</v>
      </c>
      <c r="BD651" s="86" t="b">
        <v>0</v>
      </c>
      <c r="BE651" s="86" t="b">
        <v>0</v>
      </c>
      <c r="BF651" s="86" t="b">
        <v>0</v>
      </c>
      <c r="BG651" s="86" t="b">
        <v>0</v>
      </c>
      <c r="BH651" s="86"/>
      <c r="BI651" s="86"/>
      <c r="BJ651" s="86" t="s">
        <v>29134</v>
      </c>
      <c r="BK651" s="86" t="b">
        <v>0</v>
      </c>
      <c r="BL651" s="86"/>
      <c r="BM651" s="86" t="s">
        <v>66</v>
      </c>
      <c r="BN651" s="86" t="s">
        <v>29136</v>
      </c>
      <c r="BO651" s="96" t="str">
        <f>HYPERLINK("https://twitter.com/rresendeoficial")</f>
        <v>https://twitter.com/rresendeoficial</v>
      </c>
      <c r="BP651" s="2"/>
    </row>
    <row r="652" spans="1:68" x14ac:dyDescent="0.25">
      <c r="A652" s="63" t="s">
        <v>795</v>
      </c>
      <c r="B652" s="64"/>
      <c r="C652" s="64"/>
      <c r="D652" s="65"/>
      <c r="E652" s="67"/>
      <c r="F652" s="111" t="str">
        <f>HYPERLINK("https://pbs.twimg.com/profile_images/1653820819506618370/tS9-Y4Nn_normal.jpg")</f>
        <v>https://pbs.twimg.com/profile_images/1653820819506618370/tS9-Y4Nn_normal.jpg</v>
      </c>
      <c r="G652" s="64"/>
      <c r="H652" s="68"/>
      <c r="I652" s="69"/>
      <c r="J652" s="69"/>
      <c r="K652" s="68" t="s">
        <v>29785</v>
      </c>
      <c r="L652" s="72"/>
      <c r="M652" s="73"/>
      <c r="N652" s="73"/>
      <c r="O652" s="74"/>
      <c r="P652" s="75"/>
      <c r="Q652" s="75"/>
      <c r="R652" s="102"/>
      <c r="S652" s="102"/>
      <c r="T652" s="102"/>
      <c r="U652" s="102"/>
      <c r="V652" s="48"/>
      <c r="W652" s="48"/>
      <c r="X652" s="48"/>
      <c r="Y652" s="48"/>
      <c r="Z652" s="47"/>
      <c r="AA652" s="70">
        <v>652</v>
      </c>
      <c r="AB652" s="70"/>
      <c r="AC652" s="71"/>
      <c r="AD652" s="86" t="s">
        <v>24273</v>
      </c>
      <c r="AE652" s="94" t="s">
        <v>25467</v>
      </c>
      <c r="AF652" s="86">
        <v>1281</v>
      </c>
      <c r="AG652" s="86">
        <v>275</v>
      </c>
      <c r="AH652" s="86">
        <v>3389</v>
      </c>
      <c r="AI652" s="86">
        <v>7</v>
      </c>
      <c r="AJ652" s="86">
        <v>230</v>
      </c>
      <c r="AK652" s="86">
        <v>1667</v>
      </c>
      <c r="AL652" s="86" t="b">
        <v>0</v>
      </c>
      <c r="AM652" s="89">
        <v>40086.127812500003</v>
      </c>
      <c r="AN652" s="86" t="s">
        <v>26115</v>
      </c>
      <c r="AO652" s="86" t="s">
        <v>27015</v>
      </c>
      <c r="AP652" s="96" t="str">
        <f>HYPERLINK("https://t.co/79KccWfi0a")</f>
        <v>https://t.co/79KccWfi0a</v>
      </c>
      <c r="AQ652" s="96" t="str">
        <f>HYPERLINK("http://www.fecomercioto.com.br")</f>
        <v>http://www.fecomercioto.com.br</v>
      </c>
      <c r="AR652" s="86" t="s">
        <v>28346</v>
      </c>
      <c r="AS652" s="86"/>
      <c r="AT652" s="86"/>
      <c r="AU652" s="86"/>
      <c r="AV652" s="86">
        <v>1.6541424013410099E+18</v>
      </c>
      <c r="AW652" s="96" t="str">
        <f>HYPERLINK("https://t.co/79KccWfi0a")</f>
        <v>https://t.co/79KccWfi0a</v>
      </c>
      <c r="AX652" s="86" t="b">
        <v>0</v>
      </c>
      <c r="AY652" s="86"/>
      <c r="AZ652" s="86"/>
      <c r="BA652" s="86" t="b">
        <v>0</v>
      </c>
      <c r="BB652" s="86" t="b">
        <v>1</v>
      </c>
      <c r="BC652" s="86" t="b">
        <v>0</v>
      </c>
      <c r="BD652" s="86" t="b">
        <v>0</v>
      </c>
      <c r="BE652" s="86" t="b">
        <v>0</v>
      </c>
      <c r="BF652" s="86" t="b">
        <v>0</v>
      </c>
      <c r="BG652" s="86" t="b">
        <v>0</v>
      </c>
      <c r="BH652" s="96" t="str">
        <f>HYPERLINK("https://pbs.twimg.com/profile_banners/78497078/1683208521")</f>
        <v>https://pbs.twimg.com/profile_banners/78497078/1683208521</v>
      </c>
      <c r="BI652" s="86"/>
      <c r="BJ652" s="86" t="s">
        <v>29134</v>
      </c>
      <c r="BK652" s="86" t="b">
        <v>0</v>
      </c>
      <c r="BL652" s="86"/>
      <c r="BM652" s="86" t="s">
        <v>66</v>
      </c>
      <c r="BN652" s="86" t="s">
        <v>29136</v>
      </c>
      <c r="BO652" s="96" t="str">
        <f>HYPERLINK("https://twitter.com/fecomercioto")</f>
        <v>https://twitter.com/fecomercioto</v>
      </c>
      <c r="BP652" s="2"/>
    </row>
    <row r="653" spans="1:68" x14ac:dyDescent="0.25">
      <c r="A653" s="63" t="s">
        <v>796</v>
      </c>
      <c r="B653" s="64"/>
      <c r="C653" s="64"/>
      <c r="D653" s="65"/>
      <c r="E653" s="67"/>
      <c r="F653" s="111" t="str">
        <f>HYPERLINK("https://pbs.twimg.com/profile_images/1645827211486691346/sY0Tuyz2_normal.jpg")</f>
        <v>https://pbs.twimg.com/profile_images/1645827211486691346/sY0Tuyz2_normal.jpg</v>
      </c>
      <c r="G653" s="64"/>
      <c r="H653" s="68"/>
      <c r="I653" s="69"/>
      <c r="J653" s="69"/>
      <c r="K653" s="68" t="s">
        <v>29786</v>
      </c>
      <c r="L653" s="72"/>
      <c r="M653" s="73"/>
      <c r="N653" s="73"/>
      <c r="O653" s="74"/>
      <c r="P653" s="75"/>
      <c r="Q653" s="75"/>
      <c r="R653" s="102"/>
      <c r="S653" s="102"/>
      <c r="T653" s="102"/>
      <c r="U653" s="102"/>
      <c r="V653" s="48"/>
      <c r="W653" s="48"/>
      <c r="X653" s="48"/>
      <c r="Y653" s="48"/>
      <c r="Z653" s="47"/>
      <c r="AA653" s="70">
        <v>653</v>
      </c>
      <c r="AB653" s="70"/>
      <c r="AC653" s="71"/>
      <c r="AD653" s="86" t="s">
        <v>24274</v>
      </c>
      <c r="AE653" s="94" t="s">
        <v>23121</v>
      </c>
      <c r="AF653" s="86">
        <v>3</v>
      </c>
      <c r="AG653" s="86">
        <v>25</v>
      </c>
      <c r="AH653" s="86">
        <v>7</v>
      </c>
      <c r="AI653" s="86">
        <v>0</v>
      </c>
      <c r="AJ653" s="86">
        <v>14</v>
      </c>
      <c r="AK653" s="86">
        <v>1</v>
      </c>
      <c r="AL653" s="86" t="b">
        <v>0</v>
      </c>
      <c r="AM653" s="89">
        <v>45027.689340277779</v>
      </c>
      <c r="AN653" s="86"/>
      <c r="AO653" s="86"/>
      <c r="AP653" s="86"/>
      <c r="AQ653" s="86"/>
      <c r="AR653" s="86"/>
      <c r="AS653" s="86"/>
      <c r="AT653" s="86"/>
      <c r="AU653" s="86"/>
      <c r="AV653" s="86"/>
      <c r="AW653" s="86"/>
      <c r="AX653" s="86" t="b">
        <v>0</v>
      </c>
      <c r="AY653" s="86"/>
      <c r="AZ653" s="86"/>
      <c r="BA653" s="86" t="b">
        <v>0</v>
      </c>
      <c r="BB653" s="86" t="b">
        <v>1</v>
      </c>
      <c r="BC653" s="86" t="b">
        <v>1</v>
      </c>
      <c r="BD653" s="86" t="b">
        <v>0</v>
      </c>
      <c r="BE653" s="86" t="b">
        <v>0</v>
      </c>
      <c r="BF653" s="86" t="b">
        <v>0</v>
      </c>
      <c r="BG653" s="86" t="b">
        <v>0</v>
      </c>
      <c r="BH653" s="86"/>
      <c r="BI653" s="86"/>
      <c r="BJ653" s="86" t="s">
        <v>29134</v>
      </c>
      <c r="BK653" s="86" t="b">
        <v>0</v>
      </c>
      <c r="BL653" s="86"/>
      <c r="BM653" s="86" t="s">
        <v>66</v>
      </c>
      <c r="BN653" s="86" t="s">
        <v>29136</v>
      </c>
      <c r="BO653" s="96" t="str">
        <f>HYPERLINK("https://twitter.com/galassolobo")</f>
        <v>https://twitter.com/galassolobo</v>
      </c>
      <c r="BP653" s="2"/>
    </row>
    <row r="654" spans="1:68" x14ac:dyDescent="0.25">
      <c r="A654" s="63" t="s">
        <v>797</v>
      </c>
      <c r="B654" s="64"/>
      <c r="C654" s="64"/>
      <c r="D654" s="65"/>
      <c r="E654" s="67"/>
      <c r="F654" s="111" t="str">
        <f>HYPERLINK("https://pbs.twimg.com/profile_images/1678957900411092993/VXiLLzhs_normal.jpg")</f>
        <v>https://pbs.twimg.com/profile_images/1678957900411092993/VXiLLzhs_normal.jpg</v>
      </c>
      <c r="G654" s="64"/>
      <c r="H654" s="68"/>
      <c r="I654" s="69"/>
      <c r="J654" s="69"/>
      <c r="K654" s="68" t="s">
        <v>29787</v>
      </c>
      <c r="L654" s="72"/>
      <c r="M654" s="73"/>
      <c r="N654" s="73"/>
      <c r="O654" s="74"/>
      <c r="P654" s="75"/>
      <c r="Q654" s="75"/>
      <c r="R654" s="102"/>
      <c r="S654" s="102"/>
      <c r="T654" s="102"/>
      <c r="U654" s="102"/>
      <c r="V654" s="48"/>
      <c r="W654" s="48"/>
      <c r="X654" s="48"/>
      <c r="Y654" s="48"/>
      <c r="Z654" s="47"/>
      <c r="AA654" s="70">
        <v>654</v>
      </c>
      <c r="AB654" s="70"/>
      <c r="AC654" s="71"/>
      <c r="AD654" s="86" t="s">
        <v>24275</v>
      </c>
      <c r="AE654" s="94" t="s">
        <v>25468</v>
      </c>
      <c r="AF654" s="86">
        <v>532</v>
      </c>
      <c r="AG654" s="86">
        <v>191</v>
      </c>
      <c r="AH654" s="86">
        <v>14446</v>
      </c>
      <c r="AI654" s="86">
        <v>32</v>
      </c>
      <c r="AJ654" s="86">
        <v>350</v>
      </c>
      <c r="AK654" s="86">
        <v>133</v>
      </c>
      <c r="AL654" s="86" t="b">
        <v>0</v>
      </c>
      <c r="AM654" s="89">
        <v>40042.70684027778</v>
      </c>
      <c r="AN654" s="86" t="s">
        <v>26116</v>
      </c>
      <c r="AO654" s="86" t="s">
        <v>27016</v>
      </c>
      <c r="AP654" s="96" t="str">
        <f>HYPERLINK("https://t.co/lHvMojL9xr")</f>
        <v>https://t.co/lHvMojL9xr</v>
      </c>
      <c r="AQ654" s="96" t="str">
        <f>HYPERLINK("http://milagtbarros.blogspot.com/")</f>
        <v>http://milagtbarros.blogspot.com/</v>
      </c>
      <c r="AR654" s="86" t="s">
        <v>28347</v>
      </c>
      <c r="AS654" s="86"/>
      <c r="AT654" s="86"/>
      <c r="AU654" s="86"/>
      <c r="AV654" s="86"/>
      <c r="AW654" s="96" t="str">
        <f>HYPERLINK("https://t.co/lHvMojL9xr")</f>
        <v>https://t.co/lHvMojL9xr</v>
      </c>
      <c r="AX654" s="86" t="b">
        <v>0</v>
      </c>
      <c r="AY654" s="86"/>
      <c r="AZ654" s="86"/>
      <c r="BA654" s="86" t="b">
        <v>0</v>
      </c>
      <c r="BB654" s="86" t="b">
        <v>1</v>
      </c>
      <c r="BC654" s="86" t="b">
        <v>0</v>
      </c>
      <c r="BD654" s="86" t="b">
        <v>0</v>
      </c>
      <c r="BE654" s="86" t="b">
        <v>0</v>
      </c>
      <c r="BF654" s="86" t="b">
        <v>0</v>
      </c>
      <c r="BG654" s="86" t="b">
        <v>0</v>
      </c>
      <c r="BH654" s="96" t="str">
        <f>HYPERLINK("https://pbs.twimg.com/profile_banners/66409428/1466391150")</f>
        <v>https://pbs.twimg.com/profile_banners/66409428/1466391150</v>
      </c>
      <c r="BI654" s="86"/>
      <c r="BJ654" s="86" t="s">
        <v>29134</v>
      </c>
      <c r="BK654" s="86" t="b">
        <v>0</v>
      </c>
      <c r="BL654" s="86"/>
      <c r="BM654" s="86" t="s">
        <v>66</v>
      </c>
      <c r="BN654" s="86" t="s">
        <v>29136</v>
      </c>
      <c r="BO654" s="96" t="str">
        <f>HYPERLINK("https://twitter.com/milaadm")</f>
        <v>https://twitter.com/milaadm</v>
      </c>
      <c r="BP654" s="2"/>
    </row>
    <row r="655" spans="1:68" x14ac:dyDescent="0.25">
      <c r="A655" s="63" t="s">
        <v>798</v>
      </c>
      <c r="B655" s="64"/>
      <c r="C655" s="64"/>
      <c r="D655" s="65"/>
      <c r="E655" s="67"/>
      <c r="F655" s="111" t="str">
        <f>HYPERLINK("https://pbs.twimg.com/profile_images/1540401414614253568/LEGPazbC_normal.jpg")</f>
        <v>https://pbs.twimg.com/profile_images/1540401414614253568/LEGPazbC_normal.jpg</v>
      </c>
      <c r="G655" s="64"/>
      <c r="H655" s="68"/>
      <c r="I655" s="69"/>
      <c r="J655" s="69"/>
      <c r="K655" s="68" t="s">
        <v>29788</v>
      </c>
      <c r="L655" s="72"/>
      <c r="M655" s="73"/>
      <c r="N655" s="73"/>
      <c r="O655" s="74"/>
      <c r="P655" s="75"/>
      <c r="Q655" s="75"/>
      <c r="R655" s="102"/>
      <c r="S655" s="102"/>
      <c r="T655" s="102"/>
      <c r="U655" s="102"/>
      <c r="V655" s="48"/>
      <c r="W655" s="48"/>
      <c r="X655" s="48"/>
      <c r="Y655" s="48"/>
      <c r="Z655" s="47"/>
      <c r="AA655" s="70">
        <v>655</v>
      </c>
      <c r="AB655" s="70"/>
      <c r="AC655" s="71"/>
      <c r="AD655" s="86" t="s">
        <v>24276</v>
      </c>
      <c r="AE655" s="94" t="s">
        <v>23122</v>
      </c>
      <c r="AF655" s="86">
        <v>17</v>
      </c>
      <c r="AG655" s="86">
        <v>86</v>
      </c>
      <c r="AH655" s="86">
        <v>26</v>
      </c>
      <c r="AI655" s="86">
        <v>0</v>
      </c>
      <c r="AJ655" s="86">
        <v>58</v>
      </c>
      <c r="AK655" s="86">
        <v>8</v>
      </c>
      <c r="AL655" s="86" t="b">
        <v>0</v>
      </c>
      <c r="AM655" s="89">
        <v>42434.617407407408</v>
      </c>
      <c r="AN655" s="86"/>
      <c r="AO655" s="86" t="s">
        <v>27017</v>
      </c>
      <c r="AP655" s="86"/>
      <c r="AQ655" s="86"/>
      <c r="AR655" s="86"/>
      <c r="AS655" s="96" t="str">
        <f>HYPERLINK("https://t.co/K93gOk2OSK")</f>
        <v>https://t.co/K93gOk2OSK</v>
      </c>
      <c r="AT655" s="96" t="str">
        <f>HYPERLINK("https://wa.me/message/VSL7GOC5AZ6UI1")</f>
        <v>https://wa.me/message/VSL7GOC5AZ6UI1</v>
      </c>
      <c r="AU655" s="86" t="s">
        <v>29074</v>
      </c>
      <c r="AV655" s="86"/>
      <c r="AW655" s="86"/>
      <c r="AX655" s="86" t="b">
        <v>0</v>
      </c>
      <c r="AY655" s="86"/>
      <c r="AZ655" s="86"/>
      <c r="BA655" s="86" t="b">
        <v>1</v>
      </c>
      <c r="BB655" s="86" t="b">
        <v>1</v>
      </c>
      <c r="BC655" s="86" t="b">
        <v>1</v>
      </c>
      <c r="BD655" s="86" t="b">
        <v>0</v>
      </c>
      <c r="BE655" s="86" t="b">
        <v>0</v>
      </c>
      <c r="BF655" s="86" t="b">
        <v>0</v>
      </c>
      <c r="BG655" s="86" t="b">
        <v>0</v>
      </c>
      <c r="BH655" s="96" t="str">
        <f>HYPERLINK("https://pbs.twimg.com/profile_banners/706129405681209344/1680962355")</f>
        <v>https://pbs.twimg.com/profile_banners/706129405681209344/1680962355</v>
      </c>
      <c r="BI655" s="86"/>
      <c r="BJ655" s="86" t="s">
        <v>29134</v>
      </c>
      <c r="BK655" s="86" t="b">
        <v>0</v>
      </c>
      <c r="BL655" s="86"/>
      <c r="BM655" s="86" t="s">
        <v>66</v>
      </c>
      <c r="BN655" s="86" t="s">
        <v>29136</v>
      </c>
      <c r="BO655" s="96" t="str">
        <f>HYPERLINK("https://twitter.com/vhbmartins")</f>
        <v>https://twitter.com/vhbmartins</v>
      </c>
      <c r="BP655" s="2"/>
    </row>
    <row r="656" spans="1:68" x14ac:dyDescent="0.25">
      <c r="A656" s="63" t="s">
        <v>799</v>
      </c>
      <c r="B656" s="64"/>
      <c r="C656" s="64"/>
      <c r="D656" s="65"/>
      <c r="E656" s="67"/>
      <c r="F656" s="111" t="str">
        <f>HYPERLINK("https://pbs.twimg.com/profile_images/1675821978215743489/5PMUxIOv_normal.jpg")</f>
        <v>https://pbs.twimg.com/profile_images/1675821978215743489/5PMUxIOv_normal.jpg</v>
      </c>
      <c r="G656" s="64"/>
      <c r="H656" s="68"/>
      <c r="I656" s="69"/>
      <c r="J656" s="69"/>
      <c r="K656" s="68" t="s">
        <v>29789</v>
      </c>
      <c r="L656" s="72"/>
      <c r="M656" s="73"/>
      <c r="N656" s="73"/>
      <c r="O656" s="74"/>
      <c r="P656" s="75"/>
      <c r="Q656" s="75"/>
      <c r="R656" s="102"/>
      <c r="S656" s="102"/>
      <c r="T656" s="102"/>
      <c r="U656" s="102"/>
      <c r="V656" s="48"/>
      <c r="W656" s="48"/>
      <c r="X656" s="48"/>
      <c r="Y656" s="48"/>
      <c r="Z656" s="47"/>
      <c r="AA656" s="70">
        <v>656</v>
      </c>
      <c r="AB656" s="70"/>
      <c r="AC656" s="71"/>
      <c r="AD656" s="86" t="s">
        <v>24277</v>
      </c>
      <c r="AE656" s="94" t="s">
        <v>23123</v>
      </c>
      <c r="AF656" s="86">
        <v>10499</v>
      </c>
      <c r="AG656" s="86">
        <v>389</v>
      </c>
      <c r="AH656" s="86">
        <v>9663</v>
      </c>
      <c r="AI656" s="86">
        <v>59</v>
      </c>
      <c r="AJ656" s="86">
        <v>381</v>
      </c>
      <c r="AK656" s="86">
        <v>4257</v>
      </c>
      <c r="AL656" s="86" t="b">
        <v>0</v>
      </c>
      <c r="AM656" s="89">
        <v>43363.763287037036</v>
      </c>
      <c r="AN656" s="86"/>
      <c r="AO656" s="86" t="s">
        <v>27018</v>
      </c>
      <c r="AP656" s="96" t="str">
        <f>HYPERLINK("https://t.co/hMPkUuMGfb")</f>
        <v>https://t.co/hMPkUuMGfb</v>
      </c>
      <c r="AQ656" s="96" t="str">
        <f>HYPERLINK("http://www.bahia.ba.gov.br/")</f>
        <v>http://www.bahia.ba.gov.br/</v>
      </c>
      <c r="AR656" s="86" t="s">
        <v>28348</v>
      </c>
      <c r="AS656" s="86"/>
      <c r="AT656" s="86"/>
      <c r="AU656" s="86"/>
      <c r="AV656" s="86"/>
      <c r="AW656" s="96" t="str">
        <f>HYPERLINK("https://t.co/hMPkUuMGfb")</f>
        <v>https://t.co/hMPkUuMGfb</v>
      </c>
      <c r="AX656" s="86" t="b">
        <v>0</v>
      </c>
      <c r="AY656" s="86"/>
      <c r="AZ656" s="86"/>
      <c r="BA656" s="86" t="b">
        <v>0</v>
      </c>
      <c r="BB656" s="86" t="b">
        <v>1</v>
      </c>
      <c r="BC656" s="86" t="b">
        <v>0</v>
      </c>
      <c r="BD656" s="86" t="b">
        <v>0</v>
      </c>
      <c r="BE656" s="86" t="b">
        <v>0</v>
      </c>
      <c r="BF656" s="86" t="b">
        <v>0</v>
      </c>
      <c r="BG656" s="86" t="b">
        <v>0</v>
      </c>
      <c r="BH656" s="96" t="str">
        <f>HYPERLINK("https://pbs.twimg.com/profile_banners/1042840596585623553/1689883163")</f>
        <v>https://pbs.twimg.com/profile_banners/1042840596585623553/1689883163</v>
      </c>
      <c r="BI656" s="86"/>
      <c r="BJ656" s="86" t="s">
        <v>29134</v>
      </c>
      <c r="BK656" s="86" t="b">
        <v>0</v>
      </c>
      <c r="BL656" s="86"/>
      <c r="BM656" s="86" t="s">
        <v>66</v>
      </c>
      <c r="BN656" s="86" t="s">
        <v>29136</v>
      </c>
      <c r="BO656" s="96" t="str">
        <f>HYPERLINK("https://twitter.com/governodabahia")</f>
        <v>https://twitter.com/governodabahia</v>
      </c>
      <c r="BP656" s="2"/>
    </row>
    <row r="657" spans="1:68" x14ac:dyDescent="0.25">
      <c r="A657" s="63" t="s">
        <v>1685</v>
      </c>
      <c r="B657" s="64"/>
      <c r="C657" s="64"/>
      <c r="D657" s="65"/>
      <c r="E657" s="67"/>
      <c r="F657" s="111" t="str">
        <f>HYPERLINK("https://pbs.twimg.com/profile_images/1676069680568475649/OxP3xCJr_normal.jpg")</f>
        <v>https://pbs.twimg.com/profile_images/1676069680568475649/OxP3xCJr_normal.jpg</v>
      </c>
      <c r="G657" s="64"/>
      <c r="H657" s="68"/>
      <c r="I657" s="69"/>
      <c r="J657" s="69"/>
      <c r="K657" s="68" t="s">
        <v>29790</v>
      </c>
      <c r="L657" s="72"/>
      <c r="M657" s="73"/>
      <c r="N657" s="73"/>
      <c r="O657" s="74"/>
      <c r="P657" s="75"/>
      <c r="Q657" s="75"/>
      <c r="R657" s="102"/>
      <c r="S657" s="102"/>
      <c r="T657" s="102"/>
      <c r="U657" s="102"/>
      <c r="V657" s="48"/>
      <c r="W657" s="48"/>
      <c r="X657" s="48"/>
      <c r="Y657" s="48"/>
      <c r="Z657" s="47"/>
      <c r="AA657" s="70">
        <v>657</v>
      </c>
      <c r="AB657" s="70"/>
      <c r="AC657" s="71"/>
      <c r="AD657" s="86" t="s">
        <v>24278</v>
      </c>
      <c r="AE657" s="94" t="s">
        <v>25469</v>
      </c>
      <c r="AF657" s="86">
        <v>122</v>
      </c>
      <c r="AG657" s="86">
        <v>64</v>
      </c>
      <c r="AH657" s="86">
        <v>77</v>
      </c>
      <c r="AI657" s="86">
        <v>0</v>
      </c>
      <c r="AJ657" s="86">
        <v>19</v>
      </c>
      <c r="AK657" s="86">
        <v>42</v>
      </c>
      <c r="AL657" s="86" t="b">
        <v>0</v>
      </c>
      <c r="AM657" s="89">
        <v>45029.162511574075</v>
      </c>
      <c r="AN657" s="86" t="s">
        <v>26117</v>
      </c>
      <c r="AO657" s="86" t="s">
        <v>27019</v>
      </c>
      <c r="AP657" s="96" t="str">
        <f>HYPERLINK("https://t.co/yPpixqK0j4")</f>
        <v>https://t.co/yPpixqK0j4</v>
      </c>
      <c r="AQ657" s="96" t="str">
        <f>HYPERLINK("http://www.sepromi.ba.gov.br/")</f>
        <v>http://www.sepromi.ba.gov.br/</v>
      </c>
      <c r="AR657" s="86" t="s">
        <v>28349</v>
      </c>
      <c r="AS657" s="86"/>
      <c r="AT657" s="86"/>
      <c r="AU657" s="86"/>
      <c r="AV657" s="86"/>
      <c r="AW657" s="96" t="str">
        <f>HYPERLINK("https://t.co/yPpixqK0j4")</f>
        <v>https://t.co/yPpixqK0j4</v>
      </c>
      <c r="AX657" s="86" t="b">
        <v>0</v>
      </c>
      <c r="AY657" s="86"/>
      <c r="AZ657" s="86"/>
      <c r="BA657" s="86" t="b">
        <v>0</v>
      </c>
      <c r="BB657" s="86" t="b">
        <v>1</v>
      </c>
      <c r="BC657" s="86" t="b">
        <v>1</v>
      </c>
      <c r="BD657" s="86" t="b">
        <v>0</v>
      </c>
      <c r="BE657" s="86" t="b">
        <v>0</v>
      </c>
      <c r="BF657" s="86" t="b">
        <v>0</v>
      </c>
      <c r="BG657" s="86" t="b">
        <v>0</v>
      </c>
      <c r="BH657" s="96" t="str">
        <f>HYPERLINK("https://pbs.twimg.com/profile_banners/1646361002341007360/1689636860")</f>
        <v>https://pbs.twimg.com/profile_banners/1646361002341007360/1689636860</v>
      </c>
      <c r="BI657" s="86"/>
      <c r="BJ657" s="86" t="s">
        <v>29134</v>
      </c>
      <c r="BK657" s="86" t="b">
        <v>0</v>
      </c>
      <c r="BL657" s="86"/>
      <c r="BM657" s="86" t="s">
        <v>65</v>
      </c>
      <c r="BN657" s="86" t="s">
        <v>29136</v>
      </c>
      <c r="BO657" s="96" t="str">
        <f>HYPERLINK("https://twitter.com/sepromiba")</f>
        <v>https://twitter.com/sepromiba</v>
      </c>
      <c r="BP657" s="2"/>
    </row>
    <row r="658" spans="1:68" x14ac:dyDescent="0.25">
      <c r="A658" s="63" t="s">
        <v>800</v>
      </c>
      <c r="B658" s="64"/>
      <c r="C658" s="64"/>
      <c r="D658" s="65"/>
      <c r="E658" s="67"/>
      <c r="F658" s="111" t="str">
        <f>HYPERLINK("https://pbs.twimg.com/profile_images/1382800599402614786/Fz8PJeks_normal.jpg")</f>
        <v>https://pbs.twimg.com/profile_images/1382800599402614786/Fz8PJeks_normal.jpg</v>
      </c>
      <c r="G658" s="64"/>
      <c r="H658" s="68"/>
      <c r="I658" s="69"/>
      <c r="J658" s="69"/>
      <c r="K658" s="68" t="s">
        <v>29791</v>
      </c>
      <c r="L658" s="72"/>
      <c r="M658" s="73"/>
      <c r="N658" s="73"/>
      <c r="O658" s="74"/>
      <c r="P658" s="75"/>
      <c r="Q658" s="75"/>
      <c r="R658" s="102"/>
      <c r="S658" s="102"/>
      <c r="T658" s="102"/>
      <c r="U658" s="102"/>
      <c r="V658" s="48"/>
      <c r="W658" s="48"/>
      <c r="X658" s="48"/>
      <c r="Y658" s="48"/>
      <c r="Z658" s="47"/>
      <c r="AA658" s="70">
        <v>658</v>
      </c>
      <c r="AB658" s="70"/>
      <c r="AC658" s="71"/>
      <c r="AD658" s="86" t="s">
        <v>800</v>
      </c>
      <c r="AE658" s="94" t="s">
        <v>22580</v>
      </c>
      <c r="AF658" s="86">
        <v>30</v>
      </c>
      <c r="AG658" s="86">
        <v>147</v>
      </c>
      <c r="AH658" s="86">
        <v>1312</v>
      </c>
      <c r="AI658" s="86">
        <v>0</v>
      </c>
      <c r="AJ658" s="86">
        <v>216</v>
      </c>
      <c r="AK658" s="86">
        <v>527</v>
      </c>
      <c r="AL658" s="86" t="b">
        <v>0</v>
      </c>
      <c r="AM658" s="89">
        <v>44301.873842592591</v>
      </c>
      <c r="AN658" s="86"/>
      <c r="AO658" s="86" t="s">
        <v>27020</v>
      </c>
      <c r="AP658" s="86"/>
      <c r="AQ658" s="86"/>
      <c r="AR658" s="86"/>
      <c r="AS658" s="86"/>
      <c r="AT658" s="86"/>
      <c r="AU658" s="86"/>
      <c r="AV658" s="86"/>
      <c r="AW658" s="86"/>
      <c r="AX658" s="86" t="b">
        <v>0</v>
      </c>
      <c r="AY658" s="86"/>
      <c r="AZ658" s="86"/>
      <c r="BA658" s="86" t="b">
        <v>0</v>
      </c>
      <c r="BB658" s="86" t="b">
        <v>1</v>
      </c>
      <c r="BC658" s="86" t="b">
        <v>1</v>
      </c>
      <c r="BD658" s="86" t="b">
        <v>0</v>
      </c>
      <c r="BE658" s="86" t="b">
        <v>0</v>
      </c>
      <c r="BF658" s="86" t="b">
        <v>0</v>
      </c>
      <c r="BG658" s="86" t="b">
        <v>0</v>
      </c>
      <c r="BH658" s="96" t="str">
        <f>HYPERLINK("https://pbs.twimg.com/profile_banners/1382800346129563656/1646191171")</f>
        <v>https://pbs.twimg.com/profile_banners/1382800346129563656/1646191171</v>
      </c>
      <c r="BI658" s="86"/>
      <c r="BJ658" s="86" t="s">
        <v>29134</v>
      </c>
      <c r="BK658" s="86" t="b">
        <v>0</v>
      </c>
      <c r="BL658" s="86"/>
      <c r="BM658" s="86" t="s">
        <v>66</v>
      </c>
      <c r="BN658" s="86" t="s">
        <v>29136</v>
      </c>
      <c r="BO658" s="96" t="str">
        <f>HYPERLINK("https://twitter.com/apeccoficial")</f>
        <v>https://twitter.com/apeccoficial</v>
      </c>
      <c r="BP658" s="2"/>
    </row>
    <row r="659" spans="1:68" x14ac:dyDescent="0.25">
      <c r="A659" s="63" t="s">
        <v>801</v>
      </c>
      <c r="B659" s="64"/>
      <c r="C659" s="64"/>
      <c r="D659" s="65"/>
      <c r="E659" s="67"/>
      <c r="F659" s="111" t="str">
        <f>HYPERLINK("https://pbs.twimg.com/profile_images/1679926670755545100/11G8f7Fk_normal.jpg")</f>
        <v>https://pbs.twimg.com/profile_images/1679926670755545100/11G8f7Fk_normal.jpg</v>
      </c>
      <c r="G659" s="64"/>
      <c r="H659" s="68"/>
      <c r="I659" s="69"/>
      <c r="J659" s="69"/>
      <c r="K659" s="68" t="s">
        <v>29792</v>
      </c>
      <c r="L659" s="72"/>
      <c r="M659" s="73"/>
      <c r="N659" s="73"/>
      <c r="O659" s="74"/>
      <c r="P659" s="75"/>
      <c r="Q659" s="75"/>
      <c r="R659" s="102"/>
      <c r="S659" s="102"/>
      <c r="T659" s="102"/>
      <c r="U659" s="102"/>
      <c r="V659" s="48"/>
      <c r="W659" s="48"/>
      <c r="X659" s="48"/>
      <c r="Y659" s="48"/>
      <c r="Z659" s="47"/>
      <c r="AA659" s="70">
        <v>659</v>
      </c>
      <c r="AB659" s="70"/>
      <c r="AC659" s="71"/>
      <c r="AD659" s="86" t="s">
        <v>24279</v>
      </c>
      <c r="AE659" s="94" t="s">
        <v>25470</v>
      </c>
      <c r="AF659" s="86">
        <v>223</v>
      </c>
      <c r="AG659" s="86">
        <v>429</v>
      </c>
      <c r="AH659" s="86">
        <v>3194</v>
      </c>
      <c r="AI659" s="86">
        <v>1</v>
      </c>
      <c r="AJ659" s="86">
        <v>16</v>
      </c>
      <c r="AK659" s="86">
        <v>766</v>
      </c>
      <c r="AL659" s="86" t="b">
        <v>0</v>
      </c>
      <c r="AM659" s="89">
        <v>40421.470046296294</v>
      </c>
      <c r="AN659" s="86" t="s">
        <v>15234</v>
      </c>
      <c r="AO659" s="86" t="s">
        <v>27021</v>
      </c>
      <c r="AP659" s="96" t="str">
        <f>HYPERLINK("https://t.co/9oEIRDAZhN")</f>
        <v>https://t.co/9oEIRDAZhN</v>
      </c>
      <c r="AQ659" s="96" t="str">
        <f>HYPERLINK("http://biolinky.co/orobertovilelaoficial")</f>
        <v>http://biolinky.co/orobertovilelaoficial</v>
      </c>
      <c r="AR659" s="86" t="s">
        <v>28350</v>
      </c>
      <c r="AS659" s="86"/>
      <c r="AT659" s="86"/>
      <c r="AU659" s="86"/>
      <c r="AV659" s="86"/>
      <c r="AW659" s="96" t="str">
        <f>HYPERLINK("https://t.co/9oEIRDAZhN")</f>
        <v>https://t.co/9oEIRDAZhN</v>
      </c>
      <c r="AX659" s="86" t="b">
        <v>0</v>
      </c>
      <c r="AY659" s="86"/>
      <c r="AZ659" s="86"/>
      <c r="BA659" s="86" t="b">
        <v>0</v>
      </c>
      <c r="BB659" s="86" t="b">
        <v>1</v>
      </c>
      <c r="BC659" s="86" t="b">
        <v>0</v>
      </c>
      <c r="BD659" s="86" t="b">
        <v>0</v>
      </c>
      <c r="BE659" s="86" t="b">
        <v>1</v>
      </c>
      <c r="BF659" s="86" t="b">
        <v>0</v>
      </c>
      <c r="BG659" s="86" t="b">
        <v>0</v>
      </c>
      <c r="BH659" s="96" t="str">
        <f>HYPERLINK("https://pbs.twimg.com/profile_banners/185164195/1662154967")</f>
        <v>https://pbs.twimg.com/profile_banners/185164195/1662154967</v>
      </c>
      <c r="BI659" s="86"/>
      <c r="BJ659" s="86" t="s">
        <v>29134</v>
      </c>
      <c r="BK659" s="86" t="b">
        <v>0</v>
      </c>
      <c r="BL659" s="86"/>
      <c r="BM659" s="86" t="s">
        <v>66</v>
      </c>
      <c r="BN659" s="86" t="s">
        <v>29136</v>
      </c>
      <c r="BO659" s="96" t="str">
        <f>HYPERLINK("https://twitter.com/roberto_vilela")</f>
        <v>https://twitter.com/roberto_vilela</v>
      </c>
      <c r="BP659" s="2"/>
    </row>
    <row r="660" spans="1:68" x14ac:dyDescent="0.25">
      <c r="A660" s="63" t="s">
        <v>802</v>
      </c>
      <c r="B660" s="64"/>
      <c r="C660" s="64"/>
      <c r="D660" s="65"/>
      <c r="E660" s="67"/>
      <c r="F660" s="111" t="str">
        <f>HYPERLINK("https://pbs.twimg.com/profile_images/1559883556846977024/bXHnQFY0_normal.jpg")</f>
        <v>https://pbs.twimg.com/profile_images/1559883556846977024/bXHnQFY0_normal.jpg</v>
      </c>
      <c r="G660" s="64"/>
      <c r="H660" s="68"/>
      <c r="I660" s="69"/>
      <c r="J660" s="69"/>
      <c r="K660" s="68" t="s">
        <v>29793</v>
      </c>
      <c r="L660" s="72"/>
      <c r="M660" s="73"/>
      <c r="N660" s="73"/>
      <c r="O660" s="74"/>
      <c r="P660" s="75"/>
      <c r="Q660" s="75"/>
      <c r="R660" s="102"/>
      <c r="S660" s="102"/>
      <c r="T660" s="102"/>
      <c r="U660" s="102"/>
      <c r="V660" s="48"/>
      <c r="W660" s="48"/>
      <c r="X660" s="48"/>
      <c r="Y660" s="48"/>
      <c r="Z660" s="47"/>
      <c r="AA660" s="70">
        <v>660</v>
      </c>
      <c r="AB660" s="70"/>
      <c r="AC660" s="71"/>
      <c r="AD660" s="86" t="s">
        <v>24280</v>
      </c>
      <c r="AE660" s="94" t="s">
        <v>25471</v>
      </c>
      <c r="AF660" s="86">
        <v>142214</v>
      </c>
      <c r="AG660" s="86">
        <v>436</v>
      </c>
      <c r="AH660" s="86">
        <v>176771</v>
      </c>
      <c r="AI660" s="86">
        <v>1243</v>
      </c>
      <c r="AJ660" s="86">
        <v>1785</v>
      </c>
      <c r="AK660" s="86">
        <v>565</v>
      </c>
      <c r="AL660" s="86" t="b">
        <v>0</v>
      </c>
      <c r="AM660" s="89">
        <v>39990.739652777775</v>
      </c>
      <c r="AN660" s="86" t="s">
        <v>15246</v>
      </c>
      <c r="AO660" s="86" t="s">
        <v>27022</v>
      </c>
      <c r="AP660" s="96" t="str">
        <f>HYPERLINK("https://t.co/QCKDGJ5y1G")</f>
        <v>https://t.co/QCKDGJ5y1G</v>
      </c>
      <c r="AQ660" s="96" t="str">
        <f>HYPERLINK("https://www.moneytimes.com.br")</f>
        <v>https://www.moneytimes.com.br</v>
      </c>
      <c r="AR660" s="86" t="s">
        <v>28351</v>
      </c>
      <c r="AS660" s="86"/>
      <c r="AT660" s="86"/>
      <c r="AU660" s="86"/>
      <c r="AV660" s="86"/>
      <c r="AW660" s="96" t="str">
        <f>HYPERLINK("https://t.co/QCKDGJ5y1G")</f>
        <v>https://t.co/QCKDGJ5y1G</v>
      </c>
      <c r="AX660" s="86" t="b">
        <v>0</v>
      </c>
      <c r="AY660" s="86"/>
      <c r="AZ660" s="86"/>
      <c r="BA660" s="86" t="b">
        <v>0</v>
      </c>
      <c r="BB660" s="86" t="b">
        <v>1</v>
      </c>
      <c r="BC660" s="86" t="b">
        <v>1</v>
      </c>
      <c r="BD660" s="86" t="b">
        <v>0</v>
      </c>
      <c r="BE660" s="86" t="b">
        <v>1</v>
      </c>
      <c r="BF660" s="86" t="b">
        <v>0</v>
      </c>
      <c r="BG660" s="86" t="b">
        <v>0</v>
      </c>
      <c r="BH660" s="96" t="str">
        <f>HYPERLINK("https://pbs.twimg.com/profile_banners/51150679/1657567475")</f>
        <v>https://pbs.twimg.com/profile_banners/51150679/1657567475</v>
      </c>
      <c r="BI660" s="86"/>
      <c r="BJ660" s="86" t="s">
        <v>29134</v>
      </c>
      <c r="BK660" s="86" t="b">
        <v>0</v>
      </c>
      <c r="BL660" s="86"/>
      <c r="BM660" s="86" t="s">
        <v>66</v>
      </c>
      <c r="BN660" s="86" t="s">
        <v>29136</v>
      </c>
      <c r="BO660" s="96" t="str">
        <f>HYPERLINK("https://twitter.com/leiamoneytimes")</f>
        <v>https://twitter.com/leiamoneytimes</v>
      </c>
      <c r="BP660" s="2"/>
    </row>
    <row r="661" spans="1:68" x14ac:dyDescent="0.25">
      <c r="A661" s="63" t="s">
        <v>803</v>
      </c>
      <c r="B661" s="64"/>
      <c r="C661" s="64"/>
      <c r="D661" s="65"/>
      <c r="E661" s="67"/>
      <c r="F661" s="111" t="str">
        <f>HYPERLINK("https://pbs.twimg.com/profile_images/1517993637258436610/D4nEkM4__normal.jpg")</f>
        <v>https://pbs.twimg.com/profile_images/1517993637258436610/D4nEkM4__normal.jpg</v>
      </c>
      <c r="G661" s="64"/>
      <c r="H661" s="68"/>
      <c r="I661" s="69"/>
      <c r="J661" s="69"/>
      <c r="K661" s="68" t="s">
        <v>29794</v>
      </c>
      <c r="L661" s="72"/>
      <c r="M661" s="73"/>
      <c r="N661" s="73"/>
      <c r="O661" s="74"/>
      <c r="P661" s="75"/>
      <c r="Q661" s="75"/>
      <c r="R661" s="102"/>
      <c r="S661" s="102"/>
      <c r="T661" s="102"/>
      <c r="U661" s="102"/>
      <c r="V661" s="48"/>
      <c r="W661" s="48"/>
      <c r="X661" s="48"/>
      <c r="Y661" s="48"/>
      <c r="Z661" s="47"/>
      <c r="AA661" s="70">
        <v>661</v>
      </c>
      <c r="AB661" s="70"/>
      <c r="AC661" s="71"/>
      <c r="AD661" s="86" t="s">
        <v>24281</v>
      </c>
      <c r="AE661" s="94" t="s">
        <v>25472</v>
      </c>
      <c r="AF661" s="86">
        <v>4684</v>
      </c>
      <c r="AG661" s="86">
        <v>2422</v>
      </c>
      <c r="AH661" s="86">
        <v>19816</v>
      </c>
      <c r="AI661" s="86">
        <v>12</v>
      </c>
      <c r="AJ661" s="86">
        <v>30795</v>
      </c>
      <c r="AK661" s="86">
        <v>2344</v>
      </c>
      <c r="AL661" s="86" t="b">
        <v>0</v>
      </c>
      <c r="AM661" s="89">
        <v>40967.055949074071</v>
      </c>
      <c r="AN661" s="86" t="s">
        <v>26118</v>
      </c>
      <c r="AO661" s="86" t="s">
        <v>27023</v>
      </c>
      <c r="AP661" s="96" t="str">
        <f>HYPERLINK("https://t.co/Nimie8P25y")</f>
        <v>https://t.co/Nimie8P25y</v>
      </c>
      <c r="AQ661" s="96" t="str">
        <f>HYPERLINK("http://instagram.com/ricardojorgelima/")</f>
        <v>http://instagram.com/ricardojorgelima/</v>
      </c>
      <c r="AR661" s="86" t="s">
        <v>28352</v>
      </c>
      <c r="AS661" s="86"/>
      <c r="AT661" s="86"/>
      <c r="AU661" s="86"/>
      <c r="AV661" s="86"/>
      <c r="AW661" s="96" t="str">
        <f>HYPERLINK("https://t.co/Nimie8P25y")</f>
        <v>https://t.co/Nimie8P25y</v>
      </c>
      <c r="AX661" s="86" t="b">
        <v>0</v>
      </c>
      <c r="AY661" s="86"/>
      <c r="AZ661" s="86"/>
      <c r="BA661" s="86" t="b">
        <v>0</v>
      </c>
      <c r="BB661" s="86" t="b">
        <v>0</v>
      </c>
      <c r="BC661" s="86" t="b">
        <v>1</v>
      </c>
      <c r="BD661" s="86" t="b">
        <v>0</v>
      </c>
      <c r="BE661" s="86" t="b">
        <v>1</v>
      </c>
      <c r="BF661" s="86" t="b">
        <v>0</v>
      </c>
      <c r="BG661" s="86" t="b">
        <v>0</v>
      </c>
      <c r="BH661" s="96" t="str">
        <f>HYPERLINK("https://pbs.twimg.com/profile_banners/506676795/1650752905")</f>
        <v>https://pbs.twimg.com/profile_banners/506676795/1650752905</v>
      </c>
      <c r="BI661" s="86"/>
      <c r="BJ661" s="86" t="s">
        <v>29134</v>
      </c>
      <c r="BK661" s="86" t="b">
        <v>0</v>
      </c>
      <c r="BL661" s="86"/>
      <c r="BM661" s="86" t="s">
        <v>66</v>
      </c>
      <c r="BN661" s="86" t="s">
        <v>29136</v>
      </c>
      <c r="BO661" s="96" t="str">
        <f>HYPERLINK("https://twitter.com/rfiguralima")</f>
        <v>https://twitter.com/rfiguralima</v>
      </c>
      <c r="BP661" s="2"/>
    </row>
    <row r="662" spans="1:68" x14ac:dyDescent="0.25">
      <c r="A662" s="63" t="s">
        <v>1686</v>
      </c>
      <c r="B662" s="64"/>
      <c r="C662" s="64"/>
      <c r="D662" s="65"/>
      <c r="E662" s="67"/>
      <c r="F662" s="111" t="str">
        <f>HYPERLINK("https://pbs.twimg.com/profile_images/1651200891490369537/g2ZLFrv9_normal.jpg")</f>
        <v>https://pbs.twimg.com/profile_images/1651200891490369537/g2ZLFrv9_normal.jpg</v>
      </c>
      <c r="G662" s="64"/>
      <c r="H662" s="68"/>
      <c r="I662" s="69"/>
      <c r="J662" s="69"/>
      <c r="K662" s="68" t="s">
        <v>29795</v>
      </c>
      <c r="L662" s="72"/>
      <c r="M662" s="73"/>
      <c r="N662" s="73"/>
      <c r="O662" s="74"/>
      <c r="P662" s="75"/>
      <c r="Q662" s="75"/>
      <c r="R662" s="102"/>
      <c r="S662" s="102"/>
      <c r="T662" s="102"/>
      <c r="U662" s="102"/>
      <c r="V662" s="48"/>
      <c r="W662" s="48"/>
      <c r="X662" s="48"/>
      <c r="Y662" s="48"/>
      <c r="Z662" s="47"/>
      <c r="AA662" s="70">
        <v>662</v>
      </c>
      <c r="AB662" s="70"/>
      <c r="AC662" s="71"/>
      <c r="AD662" s="86" t="s">
        <v>24282</v>
      </c>
      <c r="AE662" s="94" t="s">
        <v>25473</v>
      </c>
      <c r="AF662" s="86">
        <v>20465</v>
      </c>
      <c r="AG662" s="86">
        <v>9988</v>
      </c>
      <c r="AH662" s="86">
        <v>136075</v>
      </c>
      <c r="AI662" s="86">
        <v>861</v>
      </c>
      <c r="AJ662" s="86">
        <v>177074</v>
      </c>
      <c r="AK662" s="86">
        <v>18048</v>
      </c>
      <c r="AL662" s="86" t="b">
        <v>0</v>
      </c>
      <c r="AM662" s="89">
        <v>41226.401655092595</v>
      </c>
      <c r="AN662" s="86" t="s">
        <v>25976</v>
      </c>
      <c r="AO662" s="86" t="s">
        <v>27024</v>
      </c>
      <c r="AP662" s="96" t="str">
        <f>HYPERLINK("https://t.co/RMCa1uQ2h2")</f>
        <v>https://t.co/RMCa1uQ2h2</v>
      </c>
      <c r="AQ662" s="96" t="str">
        <f>HYPERLINK("http://goncalocruz.pt")</f>
        <v>http://goncalocruz.pt</v>
      </c>
      <c r="AR662" s="86" t="s">
        <v>28353</v>
      </c>
      <c r="AS662" s="86"/>
      <c r="AT662" s="86"/>
      <c r="AU662" s="86"/>
      <c r="AV662" s="86">
        <v>1.63971746342317E+18</v>
      </c>
      <c r="AW662" s="96" t="str">
        <f>HYPERLINK("https://t.co/RMCa1uQ2h2")</f>
        <v>https://t.co/RMCa1uQ2h2</v>
      </c>
      <c r="AX662" s="86" t="b">
        <v>0</v>
      </c>
      <c r="AY662" s="86"/>
      <c r="AZ662" s="86"/>
      <c r="BA662" s="86" t="b">
        <v>1</v>
      </c>
      <c r="BB662" s="86" t="b">
        <v>0</v>
      </c>
      <c r="BC662" s="86" t="b">
        <v>1</v>
      </c>
      <c r="BD662" s="86" t="b">
        <v>0</v>
      </c>
      <c r="BE662" s="86" t="b">
        <v>1</v>
      </c>
      <c r="BF662" s="86" t="b">
        <v>0</v>
      </c>
      <c r="BG662" s="86" t="b">
        <v>0</v>
      </c>
      <c r="BH662" s="96" t="str">
        <f>HYPERLINK("https://pbs.twimg.com/profile_banners/945484250/1684142239")</f>
        <v>https://pbs.twimg.com/profile_banners/945484250/1684142239</v>
      </c>
      <c r="BI662" s="86"/>
      <c r="BJ662" s="86" t="s">
        <v>29134</v>
      </c>
      <c r="BK662" s="86" t="b">
        <v>0</v>
      </c>
      <c r="BL662" s="86"/>
      <c r="BM662" s="86" t="s">
        <v>65</v>
      </c>
      <c r="BN662" s="86" t="s">
        <v>29136</v>
      </c>
      <c r="BO662" s="96" t="str">
        <f>HYPERLINK("https://twitter.com/goncalopcruz")</f>
        <v>https://twitter.com/goncalopcruz</v>
      </c>
      <c r="BP662" s="2"/>
    </row>
    <row r="663" spans="1:68" x14ac:dyDescent="0.25">
      <c r="A663" s="63" t="s">
        <v>1687</v>
      </c>
      <c r="B663" s="64"/>
      <c r="C663" s="64"/>
      <c r="D663" s="65"/>
      <c r="E663" s="67"/>
      <c r="F663" s="111" t="str">
        <f>HYPERLINK("https://pbs.twimg.com/profile_images/1471216859626287108/fMl_WgJy_normal.jpg")</f>
        <v>https://pbs.twimg.com/profile_images/1471216859626287108/fMl_WgJy_normal.jpg</v>
      </c>
      <c r="G663" s="64"/>
      <c r="H663" s="68"/>
      <c r="I663" s="69"/>
      <c r="J663" s="69"/>
      <c r="K663" s="68" t="s">
        <v>29796</v>
      </c>
      <c r="L663" s="72"/>
      <c r="M663" s="73"/>
      <c r="N663" s="73"/>
      <c r="O663" s="74"/>
      <c r="P663" s="75"/>
      <c r="Q663" s="75"/>
      <c r="R663" s="102"/>
      <c r="S663" s="102"/>
      <c r="T663" s="102"/>
      <c r="U663" s="102"/>
      <c r="V663" s="48"/>
      <c r="W663" s="48"/>
      <c r="X663" s="48"/>
      <c r="Y663" s="48"/>
      <c r="Z663" s="47"/>
      <c r="AA663" s="70">
        <v>663</v>
      </c>
      <c r="AB663" s="70"/>
      <c r="AC663" s="71"/>
      <c r="AD663" s="86" t="s">
        <v>24283</v>
      </c>
      <c r="AE663" s="94" t="s">
        <v>22581</v>
      </c>
      <c r="AF663" s="86">
        <v>628</v>
      </c>
      <c r="AG663" s="86">
        <v>528</v>
      </c>
      <c r="AH663" s="86">
        <v>17915</v>
      </c>
      <c r="AI663" s="86">
        <v>2</v>
      </c>
      <c r="AJ663" s="86">
        <v>61679</v>
      </c>
      <c r="AK663" s="86">
        <v>718</v>
      </c>
      <c r="AL663" s="86" t="b">
        <v>0</v>
      </c>
      <c r="AM663" s="89">
        <v>43461.602858796294</v>
      </c>
      <c r="AN663" s="86"/>
      <c r="AO663" s="86"/>
      <c r="AP663" s="86"/>
      <c r="AQ663" s="86"/>
      <c r="AR663" s="86"/>
      <c r="AS663" s="86"/>
      <c r="AT663" s="86"/>
      <c r="AU663" s="86"/>
      <c r="AV663" s="86"/>
      <c r="AW663" s="86"/>
      <c r="AX663" s="86" t="b">
        <v>0</v>
      </c>
      <c r="AY663" s="86"/>
      <c r="AZ663" s="86"/>
      <c r="BA663" s="86" t="b">
        <v>0</v>
      </c>
      <c r="BB663" s="86" t="b">
        <v>0</v>
      </c>
      <c r="BC663" s="86" t="b">
        <v>0</v>
      </c>
      <c r="BD663" s="86" t="b">
        <v>0</v>
      </c>
      <c r="BE663" s="86" t="b">
        <v>1</v>
      </c>
      <c r="BF663" s="86" t="b">
        <v>0</v>
      </c>
      <c r="BG663" s="86" t="b">
        <v>0</v>
      </c>
      <c r="BH663" s="96" t="str">
        <f>HYPERLINK("https://pbs.twimg.com/profile_banners/1078296474016976897/1582573111")</f>
        <v>https://pbs.twimg.com/profile_banners/1078296474016976897/1582573111</v>
      </c>
      <c r="BI663" s="86"/>
      <c r="BJ663" s="86" t="s">
        <v>29134</v>
      </c>
      <c r="BK663" s="86" t="b">
        <v>0</v>
      </c>
      <c r="BL663" s="86"/>
      <c r="BM663" s="86" t="s">
        <v>65</v>
      </c>
      <c r="BN663" s="86" t="s">
        <v>29136</v>
      </c>
      <c r="BO663" s="96" t="str">
        <f>HYPERLINK("https://twitter.com/vasco__varela")</f>
        <v>https://twitter.com/vasco__varela</v>
      </c>
      <c r="BP663" s="2"/>
    </row>
    <row r="664" spans="1:68" x14ac:dyDescent="0.25">
      <c r="A664" s="63" t="s">
        <v>804</v>
      </c>
      <c r="B664" s="64"/>
      <c r="C664" s="64"/>
      <c r="D664" s="65"/>
      <c r="E664" s="67"/>
      <c r="F664" s="111" t="str">
        <f>HYPERLINK("https://pbs.twimg.com/profile_images/1157780273112715264/VrTYn4Si_normal.jpg")</f>
        <v>https://pbs.twimg.com/profile_images/1157780273112715264/VrTYn4Si_normal.jpg</v>
      </c>
      <c r="G664" s="64"/>
      <c r="H664" s="68"/>
      <c r="I664" s="69"/>
      <c r="J664" s="69"/>
      <c r="K664" s="68" t="s">
        <v>29797</v>
      </c>
      <c r="L664" s="72"/>
      <c r="M664" s="73"/>
      <c r="N664" s="73"/>
      <c r="O664" s="74"/>
      <c r="P664" s="75"/>
      <c r="Q664" s="75"/>
      <c r="R664" s="102"/>
      <c r="S664" s="102"/>
      <c r="T664" s="102"/>
      <c r="U664" s="102"/>
      <c r="V664" s="48"/>
      <c r="W664" s="48"/>
      <c r="X664" s="48"/>
      <c r="Y664" s="48"/>
      <c r="Z664" s="47"/>
      <c r="AA664" s="70">
        <v>664</v>
      </c>
      <c r="AB664" s="70"/>
      <c r="AC664" s="71"/>
      <c r="AD664" s="86" t="s">
        <v>24284</v>
      </c>
      <c r="AE664" s="94" t="s">
        <v>25474</v>
      </c>
      <c r="AF664" s="86">
        <v>15092</v>
      </c>
      <c r="AG664" s="86">
        <v>3790</v>
      </c>
      <c r="AH664" s="86">
        <v>40837</v>
      </c>
      <c r="AI664" s="86">
        <v>180</v>
      </c>
      <c r="AJ664" s="86">
        <v>10610</v>
      </c>
      <c r="AK664" s="86">
        <v>15716</v>
      </c>
      <c r="AL664" s="86" t="b">
        <v>0</v>
      </c>
      <c r="AM664" s="89">
        <v>40729.778067129628</v>
      </c>
      <c r="AN664" s="86" t="s">
        <v>15256</v>
      </c>
      <c r="AO664" s="86" t="s">
        <v>27025</v>
      </c>
      <c r="AP664" s="96" t="str">
        <f>HYPERLINK("https://t.co/diQhU18WJr")</f>
        <v>https://t.co/diQhU18WJr</v>
      </c>
      <c r="AQ664" s="96" t="str">
        <f>HYPERLINK("https://www.sonoticiaboa.com.br/")</f>
        <v>https://www.sonoticiaboa.com.br/</v>
      </c>
      <c r="AR664" s="86" t="s">
        <v>28354</v>
      </c>
      <c r="AS664" s="86"/>
      <c r="AT664" s="86"/>
      <c r="AU664" s="86"/>
      <c r="AV664" s="86">
        <v>1.7069977533629499E+18</v>
      </c>
      <c r="AW664" s="96" t="str">
        <f>HYPERLINK("https://t.co/diQhU18WJr")</f>
        <v>https://t.co/diQhU18WJr</v>
      </c>
      <c r="AX664" s="86" t="b">
        <v>0</v>
      </c>
      <c r="AY664" s="86"/>
      <c r="AZ664" s="86"/>
      <c r="BA664" s="86" t="b">
        <v>1</v>
      </c>
      <c r="BB664" s="86" t="b">
        <v>1</v>
      </c>
      <c r="BC664" s="86" t="b">
        <v>0</v>
      </c>
      <c r="BD664" s="86" t="b">
        <v>0</v>
      </c>
      <c r="BE664" s="86" t="b">
        <v>0</v>
      </c>
      <c r="BF664" s="86" t="b">
        <v>0</v>
      </c>
      <c r="BG664" s="86" t="b">
        <v>1</v>
      </c>
      <c r="BH664" s="96" t="str">
        <f>HYPERLINK("https://pbs.twimg.com/profile_banners/329857969/1564871306")</f>
        <v>https://pbs.twimg.com/profile_banners/329857969/1564871306</v>
      </c>
      <c r="BI664" s="86"/>
      <c r="BJ664" s="86" t="s">
        <v>29134</v>
      </c>
      <c r="BK664" s="86" t="b">
        <v>0</v>
      </c>
      <c r="BL664" s="86"/>
      <c r="BM664" s="86" t="s">
        <v>66</v>
      </c>
      <c r="BN664" s="86" t="s">
        <v>29136</v>
      </c>
      <c r="BO664" s="96" t="str">
        <f>HYPERLINK("https://twitter.com/sonoticiaboaofc")</f>
        <v>https://twitter.com/sonoticiaboaofc</v>
      </c>
      <c r="BP664" s="2"/>
    </row>
    <row r="665" spans="1:68" x14ac:dyDescent="0.25">
      <c r="A665" s="63" t="s">
        <v>1688</v>
      </c>
      <c r="B665" s="64"/>
      <c r="C665" s="64"/>
      <c r="D665" s="65"/>
      <c r="E665" s="67"/>
      <c r="F665" s="111" t="str">
        <f>HYPERLINK("https://pbs.twimg.com/profile_images/518094091427389440/F_K4ZSGh_normal.jpeg")</f>
        <v>https://pbs.twimg.com/profile_images/518094091427389440/F_K4ZSGh_normal.jpeg</v>
      </c>
      <c r="G665" s="64"/>
      <c r="H665" s="68"/>
      <c r="I665" s="69"/>
      <c r="J665" s="69"/>
      <c r="K665" s="68" t="s">
        <v>29798</v>
      </c>
      <c r="L665" s="72"/>
      <c r="M665" s="73"/>
      <c r="N665" s="73"/>
      <c r="O665" s="74"/>
      <c r="P665" s="75"/>
      <c r="Q665" s="75"/>
      <c r="R665" s="102"/>
      <c r="S665" s="102"/>
      <c r="T665" s="102"/>
      <c r="U665" s="102"/>
      <c r="V665" s="48"/>
      <c r="W665" s="48"/>
      <c r="X665" s="48"/>
      <c r="Y665" s="48"/>
      <c r="Z665" s="47"/>
      <c r="AA665" s="70">
        <v>665</v>
      </c>
      <c r="AB665" s="70"/>
      <c r="AC665" s="71"/>
      <c r="AD665" s="86" t="s">
        <v>24285</v>
      </c>
      <c r="AE665" s="94" t="s">
        <v>25475</v>
      </c>
      <c r="AF665" s="86">
        <v>4249</v>
      </c>
      <c r="AG665" s="86">
        <v>28</v>
      </c>
      <c r="AH665" s="86">
        <v>244</v>
      </c>
      <c r="AI665" s="86">
        <v>6</v>
      </c>
      <c r="AJ665" s="86">
        <v>141</v>
      </c>
      <c r="AK665" s="86">
        <v>83</v>
      </c>
      <c r="AL665" s="86" t="b">
        <v>0</v>
      </c>
      <c r="AM665" s="89">
        <v>40287.931805555556</v>
      </c>
      <c r="AN665" s="86" t="s">
        <v>26078</v>
      </c>
      <c r="AO665" s="86" t="s">
        <v>27026</v>
      </c>
      <c r="AP665" s="96" t="str">
        <f>HYPERLINK("https://t.co/R6k5jujoT4")</f>
        <v>https://t.co/R6k5jujoT4</v>
      </c>
      <c r="AQ665" s="96" t="str">
        <f>HYPERLINK("https://www.youtube.com/channel/UCbm-s6TPy8aXSZchTVB--fA")</f>
        <v>https://www.youtube.com/channel/UCbm-s6TPy8aXSZchTVB--fA</v>
      </c>
      <c r="AR665" s="86" t="s">
        <v>28355</v>
      </c>
      <c r="AS665" s="86"/>
      <c r="AT665" s="86"/>
      <c r="AU665" s="86"/>
      <c r="AV665" s="86"/>
      <c r="AW665" s="96" t="str">
        <f>HYPERLINK("https://t.co/R6k5jujoT4")</f>
        <v>https://t.co/R6k5jujoT4</v>
      </c>
      <c r="AX665" s="86" t="b">
        <v>0</v>
      </c>
      <c r="AY665" s="86"/>
      <c r="AZ665" s="86"/>
      <c r="BA665" s="86" t="b">
        <v>0</v>
      </c>
      <c r="BB665" s="86" t="b">
        <v>1</v>
      </c>
      <c r="BC665" s="86" t="b">
        <v>0</v>
      </c>
      <c r="BD665" s="86" t="b">
        <v>0</v>
      </c>
      <c r="BE665" s="86" t="b">
        <v>0</v>
      </c>
      <c r="BF665" s="86" t="b">
        <v>0</v>
      </c>
      <c r="BG665" s="86" t="b">
        <v>0</v>
      </c>
      <c r="BH665" s="86"/>
      <c r="BI665" s="86"/>
      <c r="BJ665" s="86" t="s">
        <v>29134</v>
      </c>
      <c r="BK665" s="86" t="b">
        <v>0</v>
      </c>
      <c r="BL665" s="86"/>
      <c r="BM665" s="86" t="s">
        <v>65</v>
      </c>
      <c r="BN665" s="86" t="s">
        <v>29136</v>
      </c>
      <c r="BO665" s="96" t="str">
        <f>HYPERLINK("https://twitter.com/williancorrea")</f>
        <v>https://twitter.com/williancorrea</v>
      </c>
      <c r="BP665" s="2"/>
    </row>
    <row r="666" spans="1:68" x14ac:dyDescent="0.25">
      <c r="A666" s="63" t="s">
        <v>805</v>
      </c>
      <c r="B666" s="64"/>
      <c r="C666" s="64"/>
      <c r="D666" s="65"/>
      <c r="E666" s="67"/>
      <c r="F666" s="111" t="str">
        <f>HYPERLINK("https://pbs.twimg.com/profile_images/1682365203852189697/QChQlubL_normal.jpg")</f>
        <v>https://pbs.twimg.com/profile_images/1682365203852189697/QChQlubL_normal.jpg</v>
      </c>
      <c r="G666" s="64"/>
      <c r="H666" s="68"/>
      <c r="I666" s="69"/>
      <c r="J666" s="69"/>
      <c r="K666" s="68" t="s">
        <v>29799</v>
      </c>
      <c r="L666" s="72"/>
      <c r="M666" s="73"/>
      <c r="N666" s="73"/>
      <c r="O666" s="74"/>
      <c r="P666" s="75"/>
      <c r="Q666" s="75"/>
      <c r="R666" s="102"/>
      <c r="S666" s="102"/>
      <c r="T666" s="102"/>
      <c r="U666" s="102"/>
      <c r="V666" s="48"/>
      <c r="W666" s="48"/>
      <c r="X666" s="48"/>
      <c r="Y666" s="48"/>
      <c r="Z666" s="47"/>
      <c r="AA666" s="70">
        <v>666</v>
      </c>
      <c r="AB666" s="70"/>
      <c r="AC666" s="71"/>
      <c r="AD666" s="86" t="s">
        <v>24286</v>
      </c>
      <c r="AE666" s="94" t="s">
        <v>23124</v>
      </c>
      <c r="AF666" s="86">
        <v>14</v>
      </c>
      <c r="AG666" s="86">
        <v>1</v>
      </c>
      <c r="AH666" s="86">
        <v>5</v>
      </c>
      <c r="AI666" s="86">
        <v>0</v>
      </c>
      <c r="AJ666" s="86">
        <v>29</v>
      </c>
      <c r="AK666" s="86">
        <v>5</v>
      </c>
      <c r="AL666" s="86" t="b">
        <v>0</v>
      </c>
      <c r="AM666" s="89">
        <v>45128.511701388888</v>
      </c>
      <c r="AN666" s="86" t="s">
        <v>25930</v>
      </c>
      <c r="AO666" s="86" t="s">
        <v>27027</v>
      </c>
      <c r="AP666" s="96" t="str">
        <f>HYPERLINK("https://t.co/wQbw2W01O9")</f>
        <v>https://t.co/wQbw2W01O9</v>
      </c>
      <c r="AQ666" s="96" t="str">
        <f>HYPERLINK("https://youtube.com/@ideologiaativada")</f>
        <v>https://youtube.com/@ideologiaativada</v>
      </c>
      <c r="AR666" s="86" t="s">
        <v>28356</v>
      </c>
      <c r="AS666" s="86"/>
      <c r="AT666" s="86"/>
      <c r="AU666" s="86"/>
      <c r="AV666" s="86"/>
      <c r="AW666" s="96" t="str">
        <f>HYPERLINK("https://t.co/wQbw2W01O9")</f>
        <v>https://t.co/wQbw2W01O9</v>
      </c>
      <c r="AX666" s="86" t="b">
        <v>0</v>
      </c>
      <c r="AY666" s="86"/>
      <c r="AZ666" s="86"/>
      <c r="BA666" s="86" t="b">
        <v>0</v>
      </c>
      <c r="BB666" s="86" t="b">
        <v>1</v>
      </c>
      <c r="BC666" s="86" t="b">
        <v>1</v>
      </c>
      <c r="BD666" s="86" t="b">
        <v>0</v>
      </c>
      <c r="BE666" s="86" t="b">
        <v>0</v>
      </c>
      <c r="BF666" s="86" t="b">
        <v>0</v>
      </c>
      <c r="BG666" s="86" t="b">
        <v>0</v>
      </c>
      <c r="BH666" s="96" t="str">
        <f>HYPERLINK("https://pbs.twimg.com/profile_banners/1682363984727486465/1689942107")</f>
        <v>https://pbs.twimg.com/profile_banners/1682363984727486465/1689942107</v>
      </c>
      <c r="BI666" s="86"/>
      <c r="BJ666" s="86" t="s">
        <v>29134</v>
      </c>
      <c r="BK666" s="86" t="b">
        <v>0</v>
      </c>
      <c r="BL666" s="86"/>
      <c r="BM666" s="86" t="s">
        <v>66</v>
      </c>
      <c r="BN666" s="86" t="s">
        <v>29136</v>
      </c>
      <c r="BO666" s="96" t="str">
        <f>HYPERLINK("https://twitter.com/pablounindo")</f>
        <v>https://twitter.com/pablounindo</v>
      </c>
      <c r="BP666" s="2"/>
    </row>
    <row r="667" spans="1:68" x14ac:dyDescent="0.25">
      <c r="A667" s="63" t="s">
        <v>806</v>
      </c>
      <c r="B667" s="64"/>
      <c r="C667" s="64"/>
      <c r="D667" s="65"/>
      <c r="E667" s="67"/>
      <c r="F667" s="111" t="str">
        <f>HYPERLINK("https://pbs.twimg.com/profile_images/1619914701487443968/ENwZP8Fq_normal.jpg")</f>
        <v>https://pbs.twimg.com/profile_images/1619914701487443968/ENwZP8Fq_normal.jpg</v>
      </c>
      <c r="G667" s="64"/>
      <c r="H667" s="68"/>
      <c r="I667" s="69"/>
      <c r="J667" s="69"/>
      <c r="K667" s="68" t="s">
        <v>29800</v>
      </c>
      <c r="L667" s="72"/>
      <c r="M667" s="73"/>
      <c r="N667" s="73"/>
      <c r="O667" s="74"/>
      <c r="P667" s="75"/>
      <c r="Q667" s="75"/>
      <c r="R667" s="102"/>
      <c r="S667" s="102"/>
      <c r="T667" s="102"/>
      <c r="U667" s="102"/>
      <c r="V667" s="48"/>
      <c r="W667" s="48"/>
      <c r="X667" s="48"/>
      <c r="Y667" s="48"/>
      <c r="Z667" s="47"/>
      <c r="AA667" s="70">
        <v>667</v>
      </c>
      <c r="AB667" s="70"/>
      <c r="AC667" s="71"/>
      <c r="AD667" s="86" t="s">
        <v>24287</v>
      </c>
      <c r="AE667" s="94" t="s">
        <v>23125</v>
      </c>
      <c r="AF667" s="86">
        <v>939</v>
      </c>
      <c r="AG667" s="86">
        <v>13</v>
      </c>
      <c r="AH667" s="86">
        <v>55</v>
      </c>
      <c r="AI667" s="86">
        <v>1</v>
      </c>
      <c r="AJ667" s="86">
        <v>15</v>
      </c>
      <c r="AK667" s="86">
        <v>51</v>
      </c>
      <c r="AL667" s="86" t="b">
        <v>0</v>
      </c>
      <c r="AM667" s="89">
        <v>44641.789548611108</v>
      </c>
      <c r="AN667" s="86" t="s">
        <v>15235</v>
      </c>
      <c r="AO667" s="86" t="s">
        <v>27028</v>
      </c>
      <c r="AP667" s="96" t="str">
        <f>HYPERLINK("https://t.co/ph9DxyN4z0")</f>
        <v>https://t.co/ph9DxyN4z0</v>
      </c>
      <c r="AQ667" s="96" t="str">
        <f>HYPERLINK("http://thetryum.com")</f>
        <v>http://thetryum.com</v>
      </c>
      <c r="AR667" s="86" t="s">
        <v>28357</v>
      </c>
      <c r="AS667" s="96" t="str">
        <f>HYPERLINK("https://t.co/NocB3Zvlhc")</f>
        <v>https://t.co/NocB3Zvlhc</v>
      </c>
      <c r="AT667" s="96" t="str">
        <f>HYPERLINK("http://t.me/thetryum")</f>
        <v>http://t.me/thetryum</v>
      </c>
      <c r="AU667" s="86" t="s">
        <v>29075</v>
      </c>
      <c r="AV667" s="86"/>
      <c r="AW667" s="96" t="str">
        <f>HYPERLINK("https://t.co/ph9DxyN4z0")</f>
        <v>https://t.co/ph9DxyN4z0</v>
      </c>
      <c r="AX667" s="86" t="b">
        <v>1</v>
      </c>
      <c r="AY667" s="86"/>
      <c r="AZ667" s="86"/>
      <c r="BA667" s="86" t="b">
        <v>0</v>
      </c>
      <c r="BB667" s="86" t="b">
        <v>1</v>
      </c>
      <c r="BC667" s="86" t="b">
        <v>1</v>
      </c>
      <c r="BD667" s="86" t="b">
        <v>0</v>
      </c>
      <c r="BE667" s="86" t="b">
        <v>0</v>
      </c>
      <c r="BF667" s="86" t="b">
        <v>0</v>
      </c>
      <c r="BG667" s="86" t="b">
        <v>0</v>
      </c>
      <c r="BH667" s="96" t="str">
        <f>HYPERLINK("https://pbs.twimg.com/profile_banners/1505981757648261121/1673104074")</f>
        <v>https://pbs.twimg.com/profile_banners/1505981757648261121/1673104074</v>
      </c>
      <c r="BI667" s="86"/>
      <c r="BJ667" s="86" t="s">
        <v>29134</v>
      </c>
      <c r="BK667" s="86" t="b">
        <v>0</v>
      </c>
      <c r="BL667" s="86"/>
      <c r="BM667" s="86" t="s">
        <v>66</v>
      </c>
      <c r="BN667" s="86" t="s">
        <v>29136</v>
      </c>
      <c r="BO667" s="96" t="str">
        <f>HYPERLINK("https://twitter.com/thetryum")</f>
        <v>https://twitter.com/thetryum</v>
      </c>
      <c r="BP667" s="2"/>
    </row>
    <row r="668" spans="1:68" x14ac:dyDescent="0.25">
      <c r="A668" s="63" t="s">
        <v>807</v>
      </c>
      <c r="B668" s="64"/>
      <c r="C668" s="64"/>
      <c r="D668" s="65"/>
      <c r="E668" s="67"/>
      <c r="F668" s="111" t="str">
        <f>HYPERLINK("https://pbs.twimg.com/profile_images/1616628862082846724/tJ4OMl8G_normal.jpg")</f>
        <v>https://pbs.twimg.com/profile_images/1616628862082846724/tJ4OMl8G_normal.jpg</v>
      </c>
      <c r="G668" s="64"/>
      <c r="H668" s="68"/>
      <c r="I668" s="69"/>
      <c r="J668" s="69"/>
      <c r="K668" s="68" t="s">
        <v>29801</v>
      </c>
      <c r="L668" s="72"/>
      <c r="M668" s="73"/>
      <c r="N668" s="73"/>
      <c r="O668" s="74"/>
      <c r="P668" s="75"/>
      <c r="Q668" s="75"/>
      <c r="R668" s="102"/>
      <c r="S668" s="102"/>
      <c r="T668" s="102"/>
      <c r="U668" s="102"/>
      <c r="V668" s="48"/>
      <c r="W668" s="48"/>
      <c r="X668" s="48"/>
      <c r="Y668" s="48"/>
      <c r="Z668" s="47"/>
      <c r="AA668" s="70">
        <v>668</v>
      </c>
      <c r="AB668" s="70"/>
      <c r="AC668" s="71"/>
      <c r="AD668" s="86" t="s">
        <v>24288</v>
      </c>
      <c r="AE668" s="94" t="s">
        <v>23126</v>
      </c>
      <c r="AF668" s="86">
        <v>4</v>
      </c>
      <c r="AG668" s="86">
        <v>77</v>
      </c>
      <c r="AH668" s="86">
        <v>69</v>
      </c>
      <c r="AI668" s="86">
        <v>6</v>
      </c>
      <c r="AJ668" s="86">
        <v>68</v>
      </c>
      <c r="AK668" s="86">
        <v>0</v>
      </c>
      <c r="AL668" s="86" t="b">
        <v>0</v>
      </c>
      <c r="AM668" s="89">
        <v>44591.975428240738</v>
      </c>
      <c r="AN668" s="86"/>
      <c r="AO668" s="86"/>
      <c r="AP668" s="86"/>
      <c r="AQ668" s="86"/>
      <c r="AR668" s="86"/>
      <c r="AS668" s="86"/>
      <c r="AT668" s="86"/>
      <c r="AU668" s="86"/>
      <c r="AV668" s="86"/>
      <c r="AW668" s="86"/>
      <c r="AX668" s="86" t="b">
        <v>0</v>
      </c>
      <c r="AY668" s="86"/>
      <c r="AZ668" s="86"/>
      <c r="BA668" s="86" t="b">
        <v>0</v>
      </c>
      <c r="BB668" s="86" t="b">
        <v>1</v>
      </c>
      <c r="BC668" s="86" t="b">
        <v>1</v>
      </c>
      <c r="BD668" s="86" t="b">
        <v>0</v>
      </c>
      <c r="BE668" s="86" t="b">
        <v>0</v>
      </c>
      <c r="BF668" s="86" t="b">
        <v>0</v>
      </c>
      <c r="BG668" s="86" t="b">
        <v>0</v>
      </c>
      <c r="BH668" s="86"/>
      <c r="BI668" s="86"/>
      <c r="BJ668" s="86" t="s">
        <v>29134</v>
      </c>
      <c r="BK668" s="86" t="b">
        <v>0</v>
      </c>
      <c r="BL668" s="86"/>
      <c r="BM668" s="86" t="s">
        <v>66</v>
      </c>
      <c r="BN668" s="86" t="s">
        <v>29136</v>
      </c>
      <c r="BO668" s="96" t="str">
        <f>HYPERLINK("https://twitter.com/peuquerio")</f>
        <v>https://twitter.com/peuquerio</v>
      </c>
      <c r="BP668" s="2"/>
    </row>
    <row r="669" spans="1:68" x14ac:dyDescent="0.25">
      <c r="A669" s="63" t="s">
        <v>808</v>
      </c>
      <c r="B669" s="64"/>
      <c r="C669" s="64"/>
      <c r="D669" s="65"/>
      <c r="E669" s="67"/>
      <c r="F669" s="111" t="str">
        <f>HYPERLINK("https://pbs.twimg.com/profile_images/1667812470168211457/QRWnmP_m_normal.jpg")</f>
        <v>https://pbs.twimg.com/profile_images/1667812470168211457/QRWnmP_m_normal.jpg</v>
      </c>
      <c r="G669" s="64"/>
      <c r="H669" s="68"/>
      <c r="I669" s="69"/>
      <c r="J669" s="69"/>
      <c r="K669" s="68" t="s">
        <v>29802</v>
      </c>
      <c r="L669" s="72"/>
      <c r="M669" s="73"/>
      <c r="N669" s="73"/>
      <c r="O669" s="74"/>
      <c r="P669" s="75"/>
      <c r="Q669" s="75"/>
      <c r="R669" s="102"/>
      <c r="S669" s="102"/>
      <c r="T669" s="102"/>
      <c r="U669" s="102"/>
      <c r="V669" s="48"/>
      <c r="W669" s="48"/>
      <c r="X669" s="48"/>
      <c r="Y669" s="48"/>
      <c r="Z669" s="47"/>
      <c r="AA669" s="70">
        <v>669</v>
      </c>
      <c r="AB669" s="70"/>
      <c r="AC669" s="71"/>
      <c r="AD669" s="86" t="s">
        <v>24289</v>
      </c>
      <c r="AE669" s="94" t="s">
        <v>23127</v>
      </c>
      <c r="AF669" s="86">
        <v>6</v>
      </c>
      <c r="AG669" s="86">
        <v>65</v>
      </c>
      <c r="AH669" s="86">
        <v>602</v>
      </c>
      <c r="AI669" s="86">
        <v>0</v>
      </c>
      <c r="AJ669" s="86">
        <v>700</v>
      </c>
      <c r="AK669" s="86">
        <v>93</v>
      </c>
      <c r="AL669" s="86" t="b">
        <v>0</v>
      </c>
      <c r="AM669" s="89">
        <v>44742.536307870374</v>
      </c>
      <c r="AN669" s="86" t="s">
        <v>15246</v>
      </c>
      <c r="AO669" s="86" t="s">
        <v>27029</v>
      </c>
      <c r="AP669" s="96" t="str">
        <f>HYPERLINK("https://t.co/wksXcCi6tg")</f>
        <v>https://t.co/wksXcCi6tg</v>
      </c>
      <c r="AQ669" s="96" t="str">
        <f>HYPERLINK("https://linktr.ee/Josuemarksofc")</f>
        <v>https://linktr.ee/Josuemarksofc</v>
      </c>
      <c r="AR669" s="86" t="s">
        <v>28358</v>
      </c>
      <c r="AS669" s="86"/>
      <c r="AT669" s="86"/>
      <c r="AU669" s="86"/>
      <c r="AV669" s="86"/>
      <c r="AW669" s="96" t="str">
        <f>HYPERLINK("https://t.co/wksXcCi6tg")</f>
        <v>https://t.co/wksXcCi6tg</v>
      </c>
      <c r="AX669" s="86" t="b">
        <v>0</v>
      </c>
      <c r="AY669" s="86"/>
      <c r="AZ669" s="86"/>
      <c r="BA669" s="86" t="b">
        <v>0</v>
      </c>
      <c r="BB669" s="86" t="b">
        <v>1</v>
      </c>
      <c r="BC669" s="86" t="b">
        <v>1</v>
      </c>
      <c r="BD669" s="86" t="b">
        <v>0</v>
      </c>
      <c r="BE669" s="86" t="b">
        <v>1</v>
      </c>
      <c r="BF669" s="86" t="b">
        <v>0</v>
      </c>
      <c r="BG669" s="86" t="b">
        <v>0</v>
      </c>
      <c r="BH669" s="96" t="str">
        <f>HYPERLINK("https://pbs.twimg.com/profile_banners/1542491137507745792/1679710137")</f>
        <v>https://pbs.twimg.com/profile_banners/1542491137507745792/1679710137</v>
      </c>
      <c r="BI669" s="86"/>
      <c r="BJ669" s="86" t="s">
        <v>29134</v>
      </c>
      <c r="BK669" s="86" t="b">
        <v>0</v>
      </c>
      <c r="BL669" s="86"/>
      <c r="BM669" s="86" t="s">
        <v>66</v>
      </c>
      <c r="BN669" s="86" t="s">
        <v>29136</v>
      </c>
      <c r="BO669" s="96" t="str">
        <f>HYPERLINK("https://twitter.com/josuemarks_ofc")</f>
        <v>https://twitter.com/josuemarks_ofc</v>
      </c>
      <c r="BP669" s="2"/>
    </row>
    <row r="670" spans="1:68" x14ac:dyDescent="0.25">
      <c r="A670" s="63" t="s">
        <v>809</v>
      </c>
      <c r="B670" s="64"/>
      <c r="C670" s="64"/>
      <c r="D670" s="65"/>
      <c r="E670" s="67"/>
      <c r="F670" s="111" t="str">
        <f>HYPERLINK("https://pbs.twimg.com/profile_images/1386772436629311489/ZAD2tMw9_normal.jpg")</f>
        <v>https://pbs.twimg.com/profile_images/1386772436629311489/ZAD2tMw9_normal.jpg</v>
      </c>
      <c r="G670" s="64"/>
      <c r="H670" s="68"/>
      <c r="I670" s="69"/>
      <c r="J670" s="69"/>
      <c r="K670" s="68" t="s">
        <v>29803</v>
      </c>
      <c r="L670" s="72"/>
      <c r="M670" s="73"/>
      <c r="N670" s="73"/>
      <c r="O670" s="74"/>
      <c r="P670" s="75"/>
      <c r="Q670" s="75"/>
      <c r="R670" s="102"/>
      <c r="S670" s="102"/>
      <c r="T670" s="102"/>
      <c r="U670" s="102"/>
      <c r="V670" s="48"/>
      <c r="W670" s="48"/>
      <c r="X670" s="48"/>
      <c r="Y670" s="48"/>
      <c r="Z670" s="47"/>
      <c r="AA670" s="70">
        <v>670</v>
      </c>
      <c r="AB670" s="70"/>
      <c r="AC670" s="71"/>
      <c r="AD670" s="86" t="s">
        <v>24290</v>
      </c>
      <c r="AE670" s="94" t="s">
        <v>25476</v>
      </c>
      <c r="AF670" s="86">
        <v>149</v>
      </c>
      <c r="AG670" s="86">
        <v>65</v>
      </c>
      <c r="AH670" s="86">
        <v>1196</v>
      </c>
      <c r="AI670" s="86">
        <v>3</v>
      </c>
      <c r="AJ670" s="86">
        <v>154</v>
      </c>
      <c r="AK670" s="86">
        <v>815</v>
      </c>
      <c r="AL670" s="86" t="b">
        <v>0</v>
      </c>
      <c r="AM670" s="89">
        <v>40092.067893518521</v>
      </c>
      <c r="AN670" s="86" t="s">
        <v>26119</v>
      </c>
      <c r="AO670" s="86" t="s">
        <v>27030</v>
      </c>
      <c r="AP670" s="96" t="str">
        <f>HYPERLINK("https://t.co/tqbDKQwNms")</f>
        <v>https://t.co/tqbDKQwNms</v>
      </c>
      <c r="AQ670" s="96" t="str">
        <f>HYPERLINK("http://www.youtube.com/FernandoVitolo")</f>
        <v>http://www.youtube.com/FernandoVitolo</v>
      </c>
      <c r="AR670" s="86" t="s">
        <v>28359</v>
      </c>
      <c r="AS670" s="86"/>
      <c r="AT670" s="86"/>
      <c r="AU670" s="86"/>
      <c r="AV670" s="86">
        <v>1.67894361671297E+18</v>
      </c>
      <c r="AW670" s="96" t="str">
        <f>HYPERLINK("https://t.co/tqbDKQwNms")</f>
        <v>https://t.co/tqbDKQwNms</v>
      </c>
      <c r="AX670" s="86" t="b">
        <v>0</v>
      </c>
      <c r="AY670" s="86"/>
      <c r="AZ670" s="86"/>
      <c r="BA670" s="86" t="b">
        <v>0</v>
      </c>
      <c r="BB670" s="86" t="b">
        <v>1</v>
      </c>
      <c r="BC670" s="86" t="b">
        <v>0</v>
      </c>
      <c r="BD670" s="86" t="b">
        <v>0</v>
      </c>
      <c r="BE670" s="86" t="b">
        <v>0</v>
      </c>
      <c r="BF670" s="86" t="b">
        <v>0</v>
      </c>
      <c r="BG670" s="86" t="b">
        <v>0</v>
      </c>
      <c r="BH670" s="96" t="str">
        <f>HYPERLINK("https://pbs.twimg.com/profile_banners/80182692/1655334326")</f>
        <v>https://pbs.twimg.com/profile_banners/80182692/1655334326</v>
      </c>
      <c r="BI670" s="86"/>
      <c r="BJ670" s="86" t="s">
        <v>29134</v>
      </c>
      <c r="BK670" s="86" t="b">
        <v>0</v>
      </c>
      <c r="BL670" s="86"/>
      <c r="BM670" s="86" t="s">
        <v>66</v>
      </c>
      <c r="BN670" s="86" t="s">
        <v>29136</v>
      </c>
      <c r="BO670" s="96" t="str">
        <f>HYPERLINK("https://twitter.com/fernandovitolo")</f>
        <v>https://twitter.com/fernandovitolo</v>
      </c>
      <c r="BP670" s="2"/>
    </row>
    <row r="671" spans="1:68" x14ac:dyDescent="0.25">
      <c r="A671" s="63" t="s">
        <v>810</v>
      </c>
      <c r="B671" s="64"/>
      <c r="C671" s="64"/>
      <c r="D671" s="65"/>
      <c r="E671" s="67"/>
      <c r="F671" s="111" t="str">
        <f>HYPERLINK("https://pbs.twimg.com/profile_images/1684174757560741892/DxUC4ntO_normal.jpg")</f>
        <v>https://pbs.twimg.com/profile_images/1684174757560741892/DxUC4ntO_normal.jpg</v>
      </c>
      <c r="G671" s="64"/>
      <c r="H671" s="68"/>
      <c r="I671" s="69"/>
      <c r="J671" s="69"/>
      <c r="K671" s="68" t="s">
        <v>29804</v>
      </c>
      <c r="L671" s="72"/>
      <c r="M671" s="73"/>
      <c r="N671" s="73"/>
      <c r="O671" s="74"/>
      <c r="P671" s="75"/>
      <c r="Q671" s="75"/>
      <c r="R671" s="102"/>
      <c r="S671" s="102"/>
      <c r="T671" s="102"/>
      <c r="U671" s="102"/>
      <c r="V671" s="48"/>
      <c r="W671" s="48"/>
      <c r="X671" s="48"/>
      <c r="Y671" s="48"/>
      <c r="Z671" s="47"/>
      <c r="AA671" s="70">
        <v>671</v>
      </c>
      <c r="AB671" s="70"/>
      <c r="AC671" s="71"/>
      <c r="AD671" s="86" t="s">
        <v>810</v>
      </c>
      <c r="AE671" s="94" t="s">
        <v>25477</v>
      </c>
      <c r="AF671" s="86">
        <v>15</v>
      </c>
      <c r="AG671" s="86">
        <v>41</v>
      </c>
      <c r="AH671" s="86">
        <v>196</v>
      </c>
      <c r="AI671" s="86">
        <v>3</v>
      </c>
      <c r="AJ671" s="86">
        <v>225</v>
      </c>
      <c r="AK671" s="86">
        <v>43</v>
      </c>
      <c r="AL671" s="86" t="b">
        <v>0</v>
      </c>
      <c r="AM671" s="89">
        <v>40666.589594907404</v>
      </c>
      <c r="AN671" s="86"/>
      <c r="AO671" s="86" t="s">
        <v>27031</v>
      </c>
      <c r="AP671" s="96" t="str">
        <f>HYPERLINK("https://t.co/S84rl8WCKI")</f>
        <v>https://t.co/S84rl8WCKI</v>
      </c>
      <c r="AQ671" s="96" t="str">
        <f>HYPERLINK("http://www.execsy.io/links")</f>
        <v>http://www.execsy.io/links</v>
      </c>
      <c r="AR671" s="86" t="s">
        <v>28360</v>
      </c>
      <c r="AS671" s="86"/>
      <c r="AT671" s="86"/>
      <c r="AU671" s="86"/>
      <c r="AV671" s="86">
        <v>1.4896043316870899E+18</v>
      </c>
      <c r="AW671" s="96" t="str">
        <f>HYPERLINK("https://t.co/S84rl8WCKI")</f>
        <v>https://t.co/S84rl8WCKI</v>
      </c>
      <c r="AX671" s="86" t="b">
        <v>0</v>
      </c>
      <c r="AY671" s="86"/>
      <c r="AZ671" s="86"/>
      <c r="BA671" s="86" t="b">
        <v>0</v>
      </c>
      <c r="BB671" s="86" t="b">
        <v>0</v>
      </c>
      <c r="BC671" s="86" t="b">
        <v>0</v>
      </c>
      <c r="BD671" s="86" t="b">
        <v>0</v>
      </c>
      <c r="BE671" s="86" t="b">
        <v>0</v>
      </c>
      <c r="BF671" s="86" t="b">
        <v>0</v>
      </c>
      <c r="BG671" s="86" t="b">
        <v>0</v>
      </c>
      <c r="BH671" s="96" t="str">
        <f>HYPERLINK("https://pbs.twimg.com/profile_banners/292343529/1695491533")</f>
        <v>https://pbs.twimg.com/profile_banners/292343529/1695491533</v>
      </c>
      <c r="BI671" s="86"/>
      <c r="BJ671" s="86" t="s">
        <v>29134</v>
      </c>
      <c r="BK671" s="86" t="b">
        <v>0</v>
      </c>
      <c r="BL671" s="86"/>
      <c r="BM671" s="86" t="s">
        <v>66</v>
      </c>
      <c r="BN671" s="86" t="s">
        <v>29136</v>
      </c>
      <c r="BO671" s="96" t="str">
        <f>HYPERLINK("https://twitter.com/execsy")</f>
        <v>https://twitter.com/execsy</v>
      </c>
      <c r="BP671" s="2"/>
    </row>
    <row r="672" spans="1:68" x14ac:dyDescent="0.25">
      <c r="A672" s="63" t="s">
        <v>811</v>
      </c>
      <c r="B672" s="64"/>
      <c r="C672" s="64"/>
      <c r="D672" s="65"/>
      <c r="E672" s="67"/>
      <c r="F672" s="111" t="str">
        <f>HYPERLINK("https://pbs.twimg.com/profile_images/1275423403726573569/u_FxNQmd_normal.jpg")</f>
        <v>https://pbs.twimg.com/profile_images/1275423403726573569/u_FxNQmd_normal.jpg</v>
      </c>
      <c r="G672" s="64"/>
      <c r="H672" s="68"/>
      <c r="I672" s="69"/>
      <c r="J672" s="69"/>
      <c r="K672" s="68" t="s">
        <v>29805</v>
      </c>
      <c r="L672" s="72"/>
      <c r="M672" s="73"/>
      <c r="N672" s="73"/>
      <c r="O672" s="74"/>
      <c r="P672" s="75"/>
      <c r="Q672" s="75"/>
      <c r="R672" s="102"/>
      <c r="S672" s="102"/>
      <c r="T672" s="102"/>
      <c r="U672" s="102"/>
      <c r="V672" s="48"/>
      <c r="W672" s="48"/>
      <c r="X672" s="48"/>
      <c r="Y672" s="48"/>
      <c r="Z672" s="47"/>
      <c r="AA672" s="70">
        <v>672</v>
      </c>
      <c r="AB672" s="70"/>
      <c r="AC672" s="71"/>
      <c r="AD672" s="86" t="s">
        <v>24291</v>
      </c>
      <c r="AE672" s="94" t="s">
        <v>23128</v>
      </c>
      <c r="AF672" s="86">
        <v>8</v>
      </c>
      <c r="AG672" s="86">
        <v>12</v>
      </c>
      <c r="AH672" s="86">
        <v>1611</v>
      </c>
      <c r="AI672" s="86">
        <v>1</v>
      </c>
      <c r="AJ672" s="86">
        <v>14</v>
      </c>
      <c r="AK672" s="86">
        <v>1507</v>
      </c>
      <c r="AL672" s="86" t="b">
        <v>0</v>
      </c>
      <c r="AM672" s="89">
        <v>44005.568483796298</v>
      </c>
      <c r="AN672" s="86" t="s">
        <v>26120</v>
      </c>
      <c r="AO672" s="86" t="s">
        <v>27032</v>
      </c>
      <c r="AP672" s="96" t="str">
        <f>HYPERLINK("https://t.co/EWDGrg1dka")</f>
        <v>https://t.co/EWDGrg1dka</v>
      </c>
      <c r="AQ672" s="96" t="str">
        <f>HYPERLINK("http://www.conexaoamazonica.com.br")</f>
        <v>http://www.conexaoamazonica.com.br</v>
      </c>
      <c r="AR672" s="86" t="s">
        <v>28361</v>
      </c>
      <c r="AS672" s="86"/>
      <c r="AT672" s="86"/>
      <c r="AU672" s="86"/>
      <c r="AV672" s="86"/>
      <c r="AW672" s="96" t="str">
        <f>HYPERLINK("https://t.co/EWDGrg1dka")</f>
        <v>https://t.co/EWDGrg1dka</v>
      </c>
      <c r="AX672" s="86" t="b">
        <v>0</v>
      </c>
      <c r="AY672" s="86"/>
      <c r="AZ672" s="86"/>
      <c r="BA672" s="86" t="b">
        <v>0</v>
      </c>
      <c r="BB672" s="86" t="b">
        <v>1</v>
      </c>
      <c r="BC672" s="86" t="b">
        <v>1</v>
      </c>
      <c r="BD672" s="86" t="b">
        <v>0</v>
      </c>
      <c r="BE672" s="86" t="b">
        <v>0</v>
      </c>
      <c r="BF672" s="86" t="b">
        <v>0</v>
      </c>
      <c r="BG672" s="86" t="b">
        <v>0</v>
      </c>
      <c r="BH672" s="96" t="str">
        <f>HYPERLINK("https://pbs.twimg.com/profile_banners/1275422933440135168/1592919959")</f>
        <v>https://pbs.twimg.com/profile_banners/1275422933440135168/1592919959</v>
      </c>
      <c r="BI672" s="86"/>
      <c r="BJ672" s="86" t="s">
        <v>29134</v>
      </c>
      <c r="BK672" s="86" t="b">
        <v>0</v>
      </c>
      <c r="BL672" s="86"/>
      <c r="BM672" s="86" t="s">
        <v>66</v>
      </c>
      <c r="BN672" s="86" t="s">
        <v>29136</v>
      </c>
      <c r="BO672" s="96" t="str">
        <f>HYPERLINK("https://twitter.com/conexoamaznica1")</f>
        <v>https://twitter.com/conexoamaznica1</v>
      </c>
      <c r="BP672" s="2"/>
    </row>
    <row r="673" spans="1:68" x14ac:dyDescent="0.25">
      <c r="A673" s="63" t="s">
        <v>812</v>
      </c>
      <c r="B673" s="64"/>
      <c r="C673" s="64"/>
      <c r="D673" s="65"/>
      <c r="E673" s="67"/>
      <c r="F673" s="111" t="str">
        <f>HYPERLINK("https://pbs.twimg.com/profile_images/1398677078074134530/yQOS3lLr_normal.jpg")</f>
        <v>https://pbs.twimg.com/profile_images/1398677078074134530/yQOS3lLr_normal.jpg</v>
      </c>
      <c r="G673" s="64"/>
      <c r="H673" s="68"/>
      <c r="I673" s="69"/>
      <c r="J673" s="69"/>
      <c r="K673" s="68" t="s">
        <v>29806</v>
      </c>
      <c r="L673" s="72"/>
      <c r="M673" s="73"/>
      <c r="N673" s="73"/>
      <c r="O673" s="74"/>
      <c r="P673" s="75"/>
      <c r="Q673" s="75"/>
      <c r="R673" s="102"/>
      <c r="S673" s="102"/>
      <c r="T673" s="102"/>
      <c r="U673" s="102"/>
      <c r="V673" s="48"/>
      <c r="W673" s="48"/>
      <c r="X673" s="48"/>
      <c r="Y673" s="48"/>
      <c r="Z673" s="47"/>
      <c r="AA673" s="70">
        <v>673</v>
      </c>
      <c r="AB673" s="70"/>
      <c r="AC673" s="71"/>
      <c r="AD673" s="86" t="s">
        <v>24292</v>
      </c>
      <c r="AE673" s="94" t="s">
        <v>23129</v>
      </c>
      <c r="AF673" s="86">
        <v>141</v>
      </c>
      <c r="AG673" s="86">
        <v>506</v>
      </c>
      <c r="AH673" s="86">
        <v>1517</v>
      </c>
      <c r="AI673" s="86">
        <v>3</v>
      </c>
      <c r="AJ673" s="86">
        <v>1968</v>
      </c>
      <c r="AK673" s="86">
        <v>150</v>
      </c>
      <c r="AL673" s="86" t="b">
        <v>0</v>
      </c>
      <c r="AM673" s="89">
        <v>43123.779699074075</v>
      </c>
      <c r="AN673" s="86"/>
      <c r="AO673" s="86" t="s">
        <v>27033</v>
      </c>
      <c r="AP673" s="86"/>
      <c r="AQ673" s="86"/>
      <c r="AR673" s="86"/>
      <c r="AS673" s="86"/>
      <c r="AT673" s="86"/>
      <c r="AU673" s="86"/>
      <c r="AV673" s="86"/>
      <c r="AW673" s="86"/>
      <c r="AX673" s="86" t="b">
        <v>0</v>
      </c>
      <c r="AY673" s="86"/>
      <c r="AZ673" s="86"/>
      <c r="BA673" s="86" t="b">
        <v>0</v>
      </c>
      <c r="BB673" s="86" t="b">
        <v>1</v>
      </c>
      <c r="BC673" s="86" t="b">
        <v>0</v>
      </c>
      <c r="BD673" s="86" t="b">
        <v>0</v>
      </c>
      <c r="BE673" s="86" t="b">
        <v>0</v>
      </c>
      <c r="BF673" s="86" t="b">
        <v>0</v>
      </c>
      <c r="BG673" s="86" t="b">
        <v>0</v>
      </c>
      <c r="BH673" s="96" t="str">
        <f>HYPERLINK("https://pbs.twimg.com/profile_banners/955873456738000896/1622305579")</f>
        <v>https://pbs.twimg.com/profile_banners/955873456738000896/1622305579</v>
      </c>
      <c r="BI673" s="86"/>
      <c r="BJ673" s="86" t="s">
        <v>29134</v>
      </c>
      <c r="BK673" s="86" t="b">
        <v>0</v>
      </c>
      <c r="BL673" s="86"/>
      <c r="BM673" s="86" t="s">
        <v>66</v>
      </c>
      <c r="BN673" s="86" t="s">
        <v>29136</v>
      </c>
      <c r="BO673" s="96" t="str">
        <f>HYPERLINK("https://twitter.com/bitcoinecashbr")</f>
        <v>https://twitter.com/bitcoinecashbr</v>
      </c>
      <c r="BP673" s="2"/>
    </row>
    <row r="674" spans="1:68" x14ac:dyDescent="0.25">
      <c r="A674" s="63" t="s">
        <v>814</v>
      </c>
      <c r="B674" s="64"/>
      <c r="C674" s="64"/>
      <c r="D674" s="65"/>
      <c r="E674" s="67"/>
      <c r="F674" s="111" t="str">
        <f>HYPERLINK("https://pbs.twimg.com/profile_images/1674413627514691584/g_rGN6RI_normal.jpg")</f>
        <v>https://pbs.twimg.com/profile_images/1674413627514691584/g_rGN6RI_normal.jpg</v>
      </c>
      <c r="G674" s="64"/>
      <c r="H674" s="68"/>
      <c r="I674" s="69"/>
      <c r="J674" s="69"/>
      <c r="K674" s="68" t="s">
        <v>29807</v>
      </c>
      <c r="L674" s="72"/>
      <c r="M674" s="73"/>
      <c r="N674" s="73"/>
      <c r="O674" s="74"/>
      <c r="P674" s="75"/>
      <c r="Q674" s="75"/>
      <c r="R674" s="102"/>
      <c r="S674" s="102"/>
      <c r="T674" s="102"/>
      <c r="U674" s="102"/>
      <c r="V674" s="48"/>
      <c r="W674" s="48"/>
      <c r="X674" s="48"/>
      <c r="Y674" s="48"/>
      <c r="Z674" s="47"/>
      <c r="AA674" s="70">
        <v>674</v>
      </c>
      <c r="AB674" s="70"/>
      <c r="AC674" s="71"/>
      <c r="AD674" s="86" t="s">
        <v>24293</v>
      </c>
      <c r="AE674" s="94" t="s">
        <v>23130</v>
      </c>
      <c r="AF674" s="86">
        <v>92</v>
      </c>
      <c r="AG674" s="86">
        <v>47</v>
      </c>
      <c r="AH674" s="86">
        <v>90604</v>
      </c>
      <c r="AI674" s="86">
        <v>0</v>
      </c>
      <c r="AJ674" s="86">
        <v>106368</v>
      </c>
      <c r="AK674" s="86">
        <v>88</v>
      </c>
      <c r="AL674" s="86" t="b">
        <v>0</v>
      </c>
      <c r="AM674" s="89">
        <v>44349.551631944443</v>
      </c>
      <c r="AN674" s="86"/>
      <c r="AO674" s="86" t="s">
        <v>27034</v>
      </c>
      <c r="AP674" s="96" t="str">
        <f>HYPERLINK("https://t.co/bLeIbUeBXe")</f>
        <v>https://t.co/bLeIbUeBXe</v>
      </c>
      <c r="AQ674" s="96" t="str">
        <f>HYPERLINK("https://www.amazon.com.br/hz/wishlist/ls/17SKZRELHUGG9?ref_=wl_share")</f>
        <v>https://www.amazon.com.br/hz/wishlist/ls/17SKZRELHUGG9?ref_=wl_share</v>
      </c>
      <c r="AR674" s="86" t="s">
        <v>28362</v>
      </c>
      <c r="AS674" s="86"/>
      <c r="AT674" s="86"/>
      <c r="AU674" s="86"/>
      <c r="AV674" s="86">
        <v>1.5872495889724301E+18</v>
      </c>
      <c r="AW674" s="96" t="str">
        <f>HYPERLINK("https://t.co/bLeIbUeBXe")</f>
        <v>https://t.co/bLeIbUeBXe</v>
      </c>
      <c r="AX674" s="86" t="b">
        <v>0</v>
      </c>
      <c r="AY674" s="86"/>
      <c r="AZ674" s="86"/>
      <c r="BA674" s="86" t="b">
        <v>0</v>
      </c>
      <c r="BB674" s="86" t="b">
        <v>1</v>
      </c>
      <c r="BC674" s="86" t="b">
        <v>1</v>
      </c>
      <c r="BD674" s="86" t="b">
        <v>0</v>
      </c>
      <c r="BE674" s="86" t="b">
        <v>1</v>
      </c>
      <c r="BF674" s="86" t="b">
        <v>0</v>
      </c>
      <c r="BG674" s="86" t="b">
        <v>0</v>
      </c>
      <c r="BH674" s="86"/>
      <c r="BI674" s="86"/>
      <c r="BJ674" s="86" t="s">
        <v>29134</v>
      </c>
      <c r="BK674" s="86" t="b">
        <v>0</v>
      </c>
      <c r="BL674" s="86"/>
      <c r="BM674" s="86" t="s">
        <v>66</v>
      </c>
      <c r="BN674" s="86" t="s">
        <v>29136</v>
      </c>
      <c r="BO674" s="96" t="str">
        <f>HYPERLINK("https://twitter.com/lavidaparada")</f>
        <v>https://twitter.com/lavidaparada</v>
      </c>
      <c r="BP674" s="2"/>
    </row>
    <row r="675" spans="1:68" x14ac:dyDescent="0.25">
      <c r="A675" s="63" t="s">
        <v>815</v>
      </c>
      <c r="B675" s="64"/>
      <c r="C675" s="64"/>
      <c r="D675" s="65"/>
      <c r="E675" s="67"/>
      <c r="F675" s="111" t="str">
        <f>HYPERLINK("https://pbs.twimg.com/profile_images/1273688366874333185/YGYFqQiM_normal.jpg")</f>
        <v>https://pbs.twimg.com/profile_images/1273688366874333185/YGYFqQiM_normal.jpg</v>
      </c>
      <c r="G675" s="64"/>
      <c r="H675" s="68"/>
      <c r="I675" s="69"/>
      <c r="J675" s="69"/>
      <c r="K675" s="68" t="s">
        <v>29808</v>
      </c>
      <c r="L675" s="72"/>
      <c r="M675" s="73"/>
      <c r="N675" s="73"/>
      <c r="O675" s="74"/>
      <c r="P675" s="75"/>
      <c r="Q675" s="75"/>
      <c r="R675" s="102"/>
      <c r="S675" s="102"/>
      <c r="T675" s="102"/>
      <c r="U675" s="102"/>
      <c r="V675" s="48"/>
      <c r="W675" s="48"/>
      <c r="X675" s="48"/>
      <c r="Y675" s="48"/>
      <c r="Z675" s="47"/>
      <c r="AA675" s="70">
        <v>675</v>
      </c>
      <c r="AB675" s="70"/>
      <c r="AC675" s="71"/>
      <c r="AD675" s="86" t="s">
        <v>24294</v>
      </c>
      <c r="AE675" s="94" t="s">
        <v>23131</v>
      </c>
      <c r="AF675" s="86">
        <v>6</v>
      </c>
      <c r="AG675" s="86">
        <v>1</v>
      </c>
      <c r="AH675" s="86">
        <v>69</v>
      </c>
      <c r="AI675" s="86">
        <v>0</v>
      </c>
      <c r="AJ675" s="86">
        <v>3</v>
      </c>
      <c r="AK675" s="86">
        <v>20</v>
      </c>
      <c r="AL675" s="86" t="b">
        <v>0</v>
      </c>
      <c r="AM675" s="89">
        <v>43691.657256944447</v>
      </c>
      <c r="AN675" s="86" t="s">
        <v>26121</v>
      </c>
      <c r="AO675" s="86" t="s">
        <v>27035</v>
      </c>
      <c r="AP675" s="96" t="str">
        <f>HYPERLINK("https://t.co/Xv9IICOdaB")</f>
        <v>https://t.co/Xv9IICOdaB</v>
      </c>
      <c r="AQ675" s="96" t="str">
        <f>HYPERLINK("https://aligom.com")</f>
        <v>https://aligom.com</v>
      </c>
      <c r="AR675" s="86" t="s">
        <v>28363</v>
      </c>
      <c r="AS675" s="86"/>
      <c r="AT675" s="86"/>
      <c r="AU675" s="86"/>
      <c r="AV675" s="86"/>
      <c r="AW675" s="96" t="str">
        <f>HYPERLINK("https://t.co/Xv9IICOdaB")</f>
        <v>https://t.co/Xv9IICOdaB</v>
      </c>
      <c r="AX675" s="86" t="b">
        <v>0</v>
      </c>
      <c r="AY675" s="86"/>
      <c r="AZ675" s="86"/>
      <c r="BA675" s="86" t="b">
        <v>0</v>
      </c>
      <c r="BB675" s="86" t="b">
        <v>1</v>
      </c>
      <c r="BC675" s="86" t="b">
        <v>1</v>
      </c>
      <c r="BD675" s="86" t="b">
        <v>0</v>
      </c>
      <c r="BE675" s="86" t="b">
        <v>0</v>
      </c>
      <c r="BF675" s="86" t="b">
        <v>0</v>
      </c>
      <c r="BG675" s="86" t="b">
        <v>0</v>
      </c>
      <c r="BH675" s="96" t="str">
        <f>HYPERLINK("https://pbs.twimg.com/profile_banners/1161665393007763457/1584445431")</f>
        <v>https://pbs.twimg.com/profile_banners/1161665393007763457/1584445431</v>
      </c>
      <c r="BI675" s="86"/>
      <c r="BJ675" s="86" t="s">
        <v>29134</v>
      </c>
      <c r="BK675" s="86" t="b">
        <v>0</v>
      </c>
      <c r="BL675" s="86"/>
      <c r="BM675" s="86" t="s">
        <v>66</v>
      </c>
      <c r="BN675" s="86" t="s">
        <v>29136</v>
      </c>
      <c r="BO675" s="96" t="str">
        <f>HYPERLINK("https://twitter.com/aligombr")</f>
        <v>https://twitter.com/aligombr</v>
      </c>
      <c r="BP675" s="2"/>
    </row>
    <row r="676" spans="1:68" x14ac:dyDescent="0.25">
      <c r="A676" s="63" t="s">
        <v>816</v>
      </c>
      <c r="B676" s="64"/>
      <c r="C676" s="64"/>
      <c r="D676" s="65"/>
      <c r="E676" s="67"/>
      <c r="F676" s="111" t="str">
        <f>HYPERLINK("https://pbs.twimg.com/profile_images/1478452280189927426/pi0GK5yK_normal.jpg")</f>
        <v>https://pbs.twimg.com/profile_images/1478452280189927426/pi0GK5yK_normal.jpg</v>
      </c>
      <c r="G676" s="64"/>
      <c r="H676" s="68"/>
      <c r="I676" s="69"/>
      <c r="J676" s="69"/>
      <c r="K676" s="68" t="s">
        <v>29809</v>
      </c>
      <c r="L676" s="72"/>
      <c r="M676" s="73"/>
      <c r="N676" s="73"/>
      <c r="O676" s="74"/>
      <c r="P676" s="75"/>
      <c r="Q676" s="75"/>
      <c r="R676" s="102"/>
      <c r="S676" s="102"/>
      <c r="T676" s="102"/>
      <c r="U676" s="102"/>
      <c r="V676" s="48"/>
      <c r="W676" s="48"/>
      <c r="X676" s="48"/>
      <c r="Y676" s="48"/>
      <c r="Z676" s="47"/>
      <c r="AA676" s="70">
        <v>676</v>
      </c>
      <c r="AB676" s="70"/>
      <c r="AC676" s="71"/>
      <c r="AD676" s="86" t="s">
        <v>24295</v>
      </c>
      <c r="AE676" s="94" t="s">
        <v>25478</v>
      </c>
      <c r="AF676" s="86">
        <v>312</v>
      </c>
      <c r="AG676" s="86">
        <v>146</v>
      </c>
      <c r="AH676" s="86">
        <v>40262</v>
      </c>
      <c r="AI676" s="86">
        <v>28</v>
      </c>
      <c r="AJ676" s="86">
        <v>38</v>
      </c>
      <c r="AK676" s="86">
        <v>665</v>
      </c>
      <c r="AL676" s="86" t="b">
        <v>0</v>
      </c>
      <c r="AM676" s="89">
        <v>41694.051747685182</v>
      </c>
      <c r="AN676" s="86" t="s">
        <v>26122</v>
      </c>
      <c r="AO676" s="86" t="s">
        <v>27036</v>
      </c>
      <c r="AP676" s="96" t="str">
        <f>HYPERLINK("https://t.co/Fd50bNuNlr")</f>
        <v>https://t.co/Fd50bNuNlr</v>
      </c>
      <c r="AQ676" s="96" t="str">
        <f>HYPERLINK("http://www.portalvalentina.com.br")</f>
        <v>http://www.portalvalentina.com.br</v>
      </c>
      <c r="AR676" s="86" t="s">
        <v>28364</v>
      </c>
      <c r="AS676" s="86"/>
      <c r="AT676" s="86"/>
      <c r="AU676" s="86"/>
      <c r="AV676" s="86"/>
      <c r="AW676" s="96" t="str">
        <f>HYPERLINK("https://t.co/Fd50bNuNlr")</f>
        <v>https://t.co/Fd50bNuNlr</v>
      </c>
      <c r="AX676" s="86" t="b">
        <v>0</v>
      </c>
      <c r="AY676" s="86"/>
      <c r="AZ676" s="86"/>
      <c r="BA676" s="86" t="b">
        <v>0</v>
      </c>
      <c r="BB676" s="86" t="b">
        <v>1</v>
      </c>
      <c r="BC676" s="86" t="b">
        <v>0</v>
      </c>
      <c r="BD676" s="86" t="b">
        <v>0</v>
      </c>
      <c r="BE676" s="86" t="b">
        <v>0</v>
      </c>
      <c r="BF676" s="86" t="b">
        <v>0</v>
      </c>
      <c r="BG676" s="86" t="b">
        <v>0</v>
      </c>
      <c r="BH676" s="96" t="str">
        <f>HYPERLINK("https://pbs.twimg.com/profile_banners/2358738354/1483334380")</f>
        <v>https://pbs.twimg.com/profile_banners/2358738354/1483334380</v>
      </c>
      <c r="BI676" s="86"/>
      <c r="BJ676" s="86" t="s">
        <v>29134</v>
      </c>
      <c r="BK676" s="86" t="b">
        <v>0</v>
      </c>
      <c r="BL676" s="86"/>
      <c r="BM676" s="86" t="s">
        <v>66</v>
      </c>
      <c r="BN676" s="86" t="s">
        <v>29136</v>
      </c>
      <c r="BO676" s="96" t="str">
        <f>HYPERLINK("https://twitter.com/portalvalentlna")</f>
        <v>https://twitter.com/portalvalentlna</v>
      </c>
      <c r="BP676" s="2"/>
    </row>
    <row r="677" spans="1:68" x14ac:dyDescent="0.25">
      <c r="A677" s="63" t="s">
        <v>818</v>
      </c>
      <c r="B677" s="64"/>
      <c r="C677" s="64"/>
      <c r="D677" s="65"/>
      <c r="E677" s="67"/>
      <c r="F677" s="111" t="str">
        <f>HYPERLINK("https://pbs.twimg.com/profile_images/1691556203556401152/QS-V3TDx_normal.jpg")</f>
        <v>https://pbs.twimg.com/profile_images/1691556203556401152/QS-V3TDx_normal.jpg</v>
      </c>
      <c r="G677" s="64"/>
      <c r="H677" s="68"/>
      <c r="I677" s="69"/>
      <c r="J677" s="69"/>
      <c r="K677" s="68" t="s">
        <v>29810</v>
      </c>
      <c r="L677" s="72"/>
      <c r="M677" s="73"/>
      <c r="N677" s="73"/>
      <c r="O677" s="74"/>
      <c r="P677" s="75"/>
      <c r="Q677" s="75"/>
      <c r="R677" s="102"/>
      <c r="S677" s="102"/>
      <c r="T677" s="102"/>
      <c r="U677" s="102"/>
      <c r="V677" s="48"/>
      <c r="W677" s="48"/>
      <c r="X677" s="48"/>
      <c r="Y677" s="48"/>
      <c r="Z677" s="47"/>
      <c r="AA677" s="70">
        <v>677</v>
      </c>
      <c r="AB677" s="70"/>
      <c r="AC677" s="71"/>
      <c r="AD677" s="86" t="s">
        <v>24296</v>
      </c>
      <c r="AE677" s="94" t="s">
        <v>23132</v>
      </c>
      <c r="AF677" s="86">
        <v>16</v>
      </c>
      <c r="AG677" s="86">
        <v>126</v>
      </c>
      <c r="AH677" s="86">
        <v>69</v>
      </c>
      <c r="AI677" s="86">
        <v>0</v>
      </c>
      <c r="AJ677" s="86">
        <v>1058</v>
      </c>
      <c r="AK677" s="86">
        <v>2</v>
      </c>
      <c r="AL677" s="86" t="b">
        <v>0</v>
      </c>
      <c r="AM677" s="89">
        <v>44936.179571759261</v>
      </c>
      <c r="AN677" s="86"/>
      <c r="AO677" s="86" t="s">
        <v>27037</v>
      </c>
      <c r="AP677" s="86"/>
      <c r="AQ677" s="86"/>
      <c r="AR677" s="86"/>
      <c r="AS677" s="86"/>
      <c r="AT677" s="86"/>
      <c r="AU677" s="86"/>
      <c r="AV677" s="86"/>
      <c r="AW677" s="86"/>
      <c r="AX677" s="86" t="b">
        <v>0</v>
      </c>
      <c r="AY677" s="86"/>
      <c r="AZ677" s="86"/>
      <c r="BA677" s="86" t="b">
        <v>0</v>
      </c>
      <c r="BB677" s="86" t="b">
        <v>1</v>
      </c>
      <c r="BC677" s="86" t="b">
        <v>1</v>
      </c>
      <c r="BD677" s="86" t="b">
        <v>0</v>
      </c>
      <c r="BE677" s="86" t="b">
        <v>0</v>
      </c>
      <c r="BF677" s="86" t="b">
        <v>0</v>
      </c>
      <c r="BG677" s="86" t="b">
        <v>0</v>
      </c>
      <c r="BH677" s="96" t="str">
        <f>HYPERLINK("https://pbs.twimg.com/profile_banners/1612665025121902593/1694860069")</f>
        <v>https://pbs.twimg.com/profile_banners/1612665025121902593/1694860069</v>
      </c>
      <c r="BI677" s="86"/>
      <c r="BJ677" s="86" t="s">
        <v>29134</v>
      </c>
      <c r="BK677" s="86" t="b">
        <v>0</v>
      </c>
      <c r="BL677" s="86"/>
      <c r="BM677" s="86" t="s">
        <v>66</v>
      </c>
      <c r="BN677" s="86" t="s">
        <v>29136</v>
      </c>
      <c r="BO677" s="96" t="str">
        <f>HYPERLINK("https://twitter.com/ludsonsilva15")</f>
        <v>https://twitter.com/ludsonsilva15</v>
      </c>
      <c r="BP677" s="2"/>
    </row>
    <row r="678" spans="1:68" x14ac:dyDescent="0.25">
      <c r="A678" s="63" t="s">
        <v>819</v>
      </c>
      <c r="B678" s="64"/>
      <c r="C678" s="64"/>
      <c r="D678" s="65"/>
      <c r="E678" s="67"/>
      <c r="F678" s="111" t="str">
        <f>HYPERLINK("https://pbs.twimg.com/profile_images/1687331847590547456/wMSu7Qa8_normal.jpg")</f>
        <v>https://pbs.twimg.com/profile_images/1687331847590547456/wMSu7Qa8_normal.jpg</v>
      </c>
      <c r="G678" s="64"/>
      <c r="H678" s="68"/>
      <c r="I678" s="69"/>
      <c r="J678" s="69"/>
      <c r="K678" s="68" t="s">
        <v>29811</v>
      </c>
      <c r="L678" s="72"/>
      <c r="M678" s="73"/>
      <c r="N678" s="73"/>
      <c r="O678" s="74"/>
      <c r="P678" s="75"/>
      <c r="Q678" s="75"/>
      <c r="R678" s="102"/>
      <c r="S678" s="102"/>
      <c r="T678" s="102"/>
      <c r="U678" s="102"/>
      <c r="V678" s="48"/>
      <c r="W678" s="48"/>
      <c r="X678" s="48"/>
      <c r="Y678" s="48"/>
      <c r="Z678" s="47"/>
      <c r="AA678" s="70">
        <v>678</v>
      </c>
      <c r="AB678" s="70"/>
      <c r="AC678" s="71"/>
      <c r="AD678" s="86" t="s">
        <v>24297</v>
      </c>
      <c r="AE678" s="94" t="s">
        <v>25479</v>
      </c>
      <c r="AF678" s="86">
        <v>834</v>
      </c>
      <c r="AG678" s="86">
        <v>251</v>
      </c>
      <c r="AH678" s="86">
        <v>975</v>
      </c>
      <c r="AI678" s="86">
        <v>0</v>
      </c>
      <c r="AJ678" s="86">
        <v>848</v>
      </c>
      <c r="AK678" s="86">
        <v>154</v>
      </c>
      <c r="AL678" s="86" t="b">
        <v>0</v>
      </c>
      <c r="AM678" s="89">
        <v>42145.691168981481</v>
      </c>
      <c r="AN678" s="86"/>
      <c r="AO678" s="86"/>
      <c r="AP678" s="86"/>
      <c r="AQ678" s="86"/>
      <c r="AR678" s="86"/>
      <c r="AS678" s="86"/>
      <c r="AT678" s="86"/>
      <c r="AU678" s="86"/>
      <c r="AV678" s="86"/>
      <c r="AW678" s="86"/>
      <c r="AX678" s="86" t="b">
        <v>0</v>
      </c>
      <c r="AY678" s="86"/>
      <c r="AZ678" s="86"/>
      <c r="BA678" s="86" t="b">
        <v>1</v>
      </c>
      <c r="BB678" s="86" t="b">
        <v>1</v>
      </c>
      <c r="BC678" s="86" t="b">
        <v>0</v>
      </c>
      <c r="BD678" s="86" t="b">
        <v>0</v>
      </c>
      <c r="BE678" s="86" t="b">
        <v>1</v>
      </c>
      <c r="BF678" s="86" t="b">
        <v>0</v>
      </c>
      <c r="BG678" s="86" t="b">
        <v>0</v>
      </c>
      <c r="BH678" s="96" t="str">
        <f>HYPERLINK("https://pbs.twimg.com/profile_banners/3293231278/1692383958")</f>
        <v>https://pbs.twimg.com/profile_banners/3293231278/1692383958</v>
      </c>
      <c r="BI678" s="86"/>
      <c r="BJ678" s="86" t="s">
        <v>29134</v>
      </c>
      <c r="BK678" s="86" t="b">
        <v>0</v>
      </c>
      <c r="BL678" s="86"/>
      <c r="BM678" s="86" t="s">
        <v>66</v>
      </c>
      <c r="BN678" s="86" t="s">
        <v>29136</v>
      </c>
      <c r="BO678" s="96" t="str">
        <f>HYPERLINK("https://twitter.com/obrasdigitais")</f>
        <v>https://twitter.com/obrasdigitais</v>
      </c>
      <c r="BP678" s="2"/>
    </row>
    <row r="679" spans="1:68" x14ac:dyDescent="0.25">
      <c r="A679" s="63" t="s">
        <v>1383</v>
      </c>
      <c r="B679" s="64"/>
      <c r="C679" s="64"/>
      <c r="D679" s="65"/>
      <c r="E679" s="67"/>
      <c r="F679" s="111" t="str">
        <f>HYPERLINK("https://pbs.twimg.com/profile_images/1676667847001653248/FuLyHAok_normal.jpg")</f>
        <v>https://pbs.twimg.com/profile_images/1676667847001653248/FuLyHAok_normal.jpg</v>
      </c>
      <c r="G679" s="64"/>
      <c r="H679" s="68"/>
      <c r="I679" s="69"/>
      <c r="J679" s="69"/>
      <c r="K679" s="68" t="s">
        <v>29812</v>
      </c>
      <c r="L679" s="72"/>
      <c r="M679" s="73"/>
      <c r="N679" s="73"/>
      <c r="O679" s="74"/>
      <c r="P679" s="75"/>
      <c r="Q679" s="75"/>
      <c r="R679" s="102"/>
      <c r="S679" s="102"/>
      <c r="T679" s="102"/>
      <c r="U679" s="102"/>
      <c r="V679" s="48"/>
      <c r="W679" s="48"/>
      <c r="X679" s="48"/>
      <c r="Y679" s="48"/>
      <c r="Z679" s="47"/>
      <c r="AA679" s="70">
        <v>679</v>
      </c>
      <c r="AB679" s="70"/>
      <c r="AC679" s="71"/>
      <c r="AD679" s="86" t="s">
        <v>24298</v>
      </c>
      <c r="AE679" s="94" t="s">
        <v>23466</v>
      </c>
      <c r="AF679" s="86">
        <v>2613</v>
      </c>
      <c r="AG679" s="86">
        <v>2442</v>
      </c>
      <c r="AH679" s="86">
        <v>4667</v>
      </c>
      <c r="AI679" s="86">
        <v>3</v>
      </c>
      <c r="AJ679" s="86">
        <v>6756</v>
      </c>
      <c r="AK679" s="86">
        <v>667</v>
      </c>
      <c r="AL679" s="86" t="b">
        <v>0</v>
      </c>
      <c r="AM679" s="89">
        <v>44538.939212962963</v>
      </c>
      <c r="AN679" s="86" t="s">
        <v>26123</v>
      </c>
      <c r="AO679" s="86" t="s">
        <v>27038</v>
      </c>
      <c r="AP679" s="86"/>
      <c r="AQ679" s="86"/>
      <c r="AR679" s="86"/>
      <c r="AS679" s="86"/>
      <c r="AT679" s="86"/>
      <c r="AU679" s="86"/>
      <c r="AV679" s="86">
        <v>1.69542494280289E+18</v>
      </c>
      <c r="AW679" s="86"/>
      <c r="AX679" s="86" t="b">
        <v>0</v>
      </c>
      <c r="AY679" s="86"/>
      <c r="AZ679" s="86"/>
      <c r="BA679" s="86" t="b">
        <v>0</v>
      </c>
      <c r="BB679" s="86" t="b">
        <v>1</v>
      </c>
      <c r="BC679" s="86" t="b">
        <v>1</v>
      </c>
      <c r="BD679" s="86" t="b">
        <v>0</v>
      </c>
      <c r="BE679" s="86" t="b">
        <v>1</v>
      </c>
      <c r="BF679" s="86" t="b">
        <v>0</v>
      </c>
      <c r="BG679" s="86" t="b">
        <v>0</v>
      </c>
      <c r="BH679" s="96" t="str">
        <f>HYPERLINK("https://pbs.twimg.com/profile_banners/1468709710920491009/1691884557")</f>
        <v>https://pbs.twimg.com/profile_banners/1468709710920491009/1691884557</v>
      </c>
      <c r="BI679" s="86"/>
      <c r="BJ679" s="86" t="s">
        <v>29134</v>
      </c>
      <c r="BK679" s="86" t="b">
        <v>0</v>
      </c>
      <c r="BL679" s="86"/>
      <c r="BM679" s="86" t="s">
        <v>66</v>
      </c>
      <c r="BN679" s="86" t="s">
        <v>29136</v>
      </c>
      <c r="BO679" s="96" t="str">
        <f>HYPERLINK("https://twitter.com/charlesdematos5")</f>
        <v>https://twitter.com/charlesdematos5</v>
      </c>
      <c r="BP679" s="2"/>
    </row>
    <row r="680" spans="1:68" x14ac:dyDescent="0.25">
      <c r="A680" s="63" t="s">
        <v>820</v>
      </c>
      <c r="B680" s="64"/>
      <c r="C680" s="64"/>
      <c r="D680" s="65"/>
      <c r="E680" s="67"/>
      <c r="F680" s="111" t="str">
        <f>HYPERLINK("https://pbs.twimg.com/profile_images/1703234660359077888/RsEpuXQp_normal.png")</f>
        <v>https://pbs.twimg.com/profile_images/1703234660359077888/RsEpuXQp_normal.png</v>
      </c>
      <c r="G680" s="64"/>
      <c r="H680" s="68"/>
      <c r="I680" s="69"/>
      <c r="J680" s="69"/>
      <c r="K680" s="68" t="s">
        <v>29813</v>
      </c>
      <c r="L680" s="72"/>
      <c r="M680" s="73"/>
      <c r="N680" s="73"/>
      <c r="O680" s="74"/>
      <c r="P680" s="75"/>
      <c r="Q680" s="75"/>
      <c r="R680" s="102"/>
      <c r="S680" s="102"/>
      <c r="T680" s="102"/>
      <c r="U680" s="102"/>
      <c r="V680" s="48"/>
      <c r="W680" s="48"/>
      <c r="X680" s="48"/>
      <c r="Y680" s="48"/>
      <c r="Z680" s="47"/>
      <c r="AA680" s="70">
        <v>680</v>
      </c>
      <c r="AB680" s="70"/>
      <c r="AC680" s="71"/>
      <c r="AD680" s="86" t="s">
        <v>24299</v>
      </c>
      <c r="AE680" s="94" t="s">
        <v>23133</v>
      </c>
      <c r="AF680" s="86">
        <v>0</v>
      </c>
      <c r="AG680" s="86">
        <v>1</v>
      </c>
      <c r="AH680" s="86">
        <v>2</v>
      </c>
      <c r="AI680" s="86">
        <v>0</v>
      </c>
      <c r="AJ680" s="86">
        <v>1</v>
      </c>
      <c r="AK680" s="86">
        <v>2</v>
      </c>
      <c r="AL680" s="86" t="b">
        <v>0</v>
      </c>
      <c r="AM680" s="89">
        <v>45186.103715277779</v>
      </c>
      <c r="AN680" s="86"/>
      <c r="AO680" s="86"/>
      <c r="AP680" s="86"/>
      <c r="AQ680" s="86"/>
      <c r="AR680" s="86"/>
      <c r="AS680" s="86"/>
      <c r="AT680" s="86"/>
      <c r="AU680" s="86"/>
      <c r="AV680" s="86"/>
      <c r="AW680" s="86"/>
      <c r="AX680" s="86" t="b">
        <v>0</v>
      </c>
      <c r="AY680" s="86"/>
      <c r="AZ680" s="86"/>
      <c r="BA680" s="86" t="b">
        <v>0</v>
      </c>
      <c r="BB680" s="86" t="b">
        <v>1</v>
      </c>
      <c r="BC680" s="86" t="b">
        <v>1</v>
      </c>
      <c r="BD680" s="86" t="b">
        <v>0</v>
      </c>
      <c r="BE680" s="86" t="b">
        <v>0</v>
      </c>
      <c r="BF680" s="86" t="b">
        <v>0</v>
      </c>
      <c r="BG680" s="86" t="b">
        <v>0</v>
      </c>
      <c r="BH680" s="86"/>
      <c r="BI680" s="86"/>
      <c r="BJ680" s="86" t="s">
        <v>29134</v>
      </c>
      <c r="BK680" s="86" t="b">
        <v>0</v>
      </c>
      <c r="BL680" s="86"/>
      <c r="BM680" s="86" t="s">
        <v>66</v>
      </c>
      <c r="BN680" s="86" t="s">
        <v>29136</v>
      </c>
      <c r="BO680" s="96" t="str">
        <f>HYPERLINK("https://twitter.com/valormilionario")</f>
        <v>https://twitter.com/valormilionario</v>
      </c>
      <c r="BP680" s="2"/>
    </row>
    <row r="681" spans="1:68" x14ac:dyDescent="0.25">
      <c r="A681" s="63" t="s">
        <v>821</v>
      </c>
      <c r="B681" s="64"/>
      <c r="C681" s="64"/>
      <c r="D681" s="65"/>
      <c r="E681" s="67"/>
      <c r="F681" s="111" t="str">
        <f>HYPERLINK("https://pbs.twimg.com/profile_images/1675920426810200064/AGS_7WzJ_normal.jpg")</f>
        <v>https://pbs.twimg.com/profile_images/1675920426810200064/AGS_7WzJ_normal.jpg</v>
      </c>
      <c r="G681" s="64"/>
      <c r="H681" s="68"/>
      <c r="I681" s="69"/>
      <c r="J681" s="69"/>
      <c r="K681" s="68" t="s">
        <v>29814</v>
      </c>
      <c r="L681" s="72"/>
      <c r="M681" s="73"/>
      <c r="N681" s="73"/>
      <c r="O681" s="74"/>
      <c r="P681" s="75"/>
      <c r="Q681" s="75"/>
      <c r="R681" s="102"/>
      <c r="S681" s="102"/>
      <c r="T681" s="102"/>
      <c r="U681" s="102"/>
      <c r="V681" s="48"/>
      <c r="W681" s="48"/>
      <c r="X681" s="48"/>
      <c r="Y681" s="48"/>
      <c r="Z681" s="47"/>
      <c r="AA681" s="70">
        <v>681</v>
      </c>
      <c r="AB681" s="70"/>
      <c r="AC681" s="71"/>
      <c r="AD681" s="86" t="s">
        <v>24300</v>
      </c>
      <c r="AE681" s="94" t="s">
        <v>23134</v>
      </c>
      <c r="AF681" s="86">
        <v>0</v>
      </c>
      <c r="AG681" s="86">
        <v>0</v>
      </c>
      <c r="AH681" s="86">
        <v>26</v>
      </c>
      <c r="AI681" s="86">
        <v>0</v>
      </c>
      <c r="AJ681" s="86">
        <v>0</v>
      </c>
      <c r="AK681" s="86">
        <v>5</v>
      </c>
      <c r="AL681" s="86" t="b">
        <v>0</v>
      </c>
      <c r="AM681" s="89">
        <v>45110.727210648147</v>
      </c>
      <c r="AN681" s="86" t="s">
        <v>15246</v>
      </c>
      <c r="AO681" s="86" t="s">
        <v>27039</v>
      </c>
      <c r="AP681" s="86"/>
      <c r="AQ681" s="86"/>
      <c r="AR681" s="86"/>
      <c r="AS681" s="86"/>
      <c r="AT681" s="86"/>
      <c r="AU681" s="86"/>
      <c r="AV681" s="86"/>
      <c r="AW681" s="86"/>
      <c r="AX681" s="86" t="b">
        <v>0</v>
      </c>
      <c r="AY681" s="86"/>
      <c r="AZ681" s="86"/>
      <c r="BA681" s="86" t="b">
        <v>0</v>
      </c>
      <c r="BB681" s="86" t="b">
        <v>0</v>
      </c>
      <c r="BC681" s="86" t="b">
        <v>1</v>
      </c>
      <c r="BD681" s="86" t="b">
        <v>0</v>
      </c>
      <c r="BE681" s="86" t="b">
        <v>0</v>
      </c>
      <c r="BF681" s="86" t="b">
        <v>0</v>
      </c>
      <c r="BG681" s="86" t="b">
        <v>1</v>
      </c>
      <c r="BH681" s="96" t="str">
        <f>HYPERLINK("https://pbs.twimg.com/profile_banners/1675919026608807936/1688583596")</f>
        <v>https://pbs.twimg.com/profile_banners/1675919026608807936/1688583596</v>
      </c>
      <c r="BI681" s="86"/>
      <c r="BJ681" s="86" t="s">
        <v>29134</v>
      </c>
      <c r="BK681" s="86" t="b">
        <v>0</v>
      </c>
      <c r="BL681" s="86"/>
      <c r="BM681" s="86" t="s">
        <v>66</v>
      </c>
      <c r="BN681" s="86" t="s">
        <v>29136</v>
      </c>
      <c r="BO681" s="96" t="str">
        <f>HYPERLINK("https://twitter.com/bernardokikuthi")</f>
        <v>https://twitter.com/bernardokikuthi</v>
      </c>
      <c r="BP681" s="2"/>
    </row>
    <row r="682" spans="1:68" x14ac:dyDescent="0.25">
      <c r="A682" s="63" t="s">
        <v>822</v>
      </c>
      <c r="B682" s="64"/>
      <c r="C682" s="64"/>
      <c r="D682" s="65"/>
      <c r="E682" s="67"/>
      <c r="F682" s="111" t="str">
        <f>HYPERLINK("https://pbs.twimg.com/profile_images/1677624998138109952/0k-WxAUP_normal.png")</f>
        <v>https://pbs.twimg.com/profile_images/1677624998138109952/0k-WxAUP_normal.png</v>
      </c>
      <c r="G682" s="64"/>
      <c r="H682" s="68"/>
      <c r="I682" s="69"/>
      <c r="J682" s="69"/>
      <c r="K682" s="68" t="s">
        <v>29815</v>
      </c>
      <c r="L682" s="72"/>
      <c r="M682" s="73"/>
      <c r="N682" s="73"/>
      <c r="O682" s="74"/>
      <c r="P682" s="75"/>
      <c r="Q682" s="75"/>
      <c r="R682" s="102"/>
      <c r="S682" s="102"/>
      <c r="T682" s="102"/>
      <c r="U682" s="102"/>
      <c r="V682" s="48"/>
      <c r="W682" s="48"/>
      <c r="X682" s="48"/>
      <c r="Y682" s="48"/>
      <c r="Z682" s="47"/>
      <c r="AA682" s="70">
        <v>682</v>
      </c>
      <c r="AB682" s="70"/>
      <c r="AC682" s="71"/>
      <c r="AD682" s="86" t="s">
        <v>24301</v>
      </c>
      <c r="AE682" s="94" t="s">
        <v>23135</v>
      </c>
      <c r="AF682" s="86">
        <v>6</v>
      </c>
      <c r="AG682" s="86">
        <v>51</v>
      </c>
      <c r="AH682" s="86">
        <v>6</v>
      </c>
      <c r="AI682" s="86">
        <v>0</v>
      </c>
      <c r="AJ682" s="86">
        <v>33</v>
      </c>
      <c r="AK682" s="86">
        <v>4</v>
      </c>
      <c r="AL682" s="86" t="b">
        <v>0</v>
      </c>
      <c r="AM682" s="89">
        <v>45115.434513888889</v>
      </c>
      <c r="AN682" s="86"/>
      <c r="AO682" s="86" t="s">
        <v>27040</v>
      </c>
      <c r="AP682" s="96" t="str">
        <f>HYPERLINK("https://t.co/PVE4zlfnsN")</f>
        <v>https://t.co/PVE4zlfnsN</v>
      </c>
      <c r="AQ682" s="96" t="str">
        <f>HYPERLINK("http://futuro.ooo")</f>
        <v>http://futuro.ooo</v>
      </c>
      <c r="AR682" s="86" t="s">
        <v>8468</v>
      </c>
      <c r="AS682" s="96" t="str">
        <f>HYPERLINK("https://t.co/onZDstOidw")</f>
        <v>https://t.co/onZDstOidw</v>
      </c>
      <c r="AT682" s="96" t="str">
        <f>HYPERLINK("http://futuro.ooo/servicos")</f>
        <v>http://futuro.ooo/servicos</v>
      </c>
      <c r="AU682" s="86" t="s">
        <v>29076</v>
      </c>
      <c r="AV682" s="86">
        <v>1.67949167573822E+18</v>
      </c>
      <c r="AW682" s="96" t="str">
        <f>HYPERLINK("https://t.co/PVE4zlfnsN")</f>
        <v>https://t.co/PVE4zlfnsN</v>
      </c>
      <c r="AX682" s="86" t="b">
        <v>0</v>
      </c>
      <c r="AY682" s="86"/>
      <c r="AZ682" s="86"/>
      <c r="BA682" s="86" t="b">
        <v>0</v>
      </c>
      <c r="BB682" s="86" t="b">
        <v>1</v>
      </c>
      <c r="BC682" s="86" t="b">
        <v>1</v>
      </c>
      <c r="BD682" s="86" t="b">
        <v>0</v>
      </c>
      <c r="BE682" s="86" t="b">
        <v>0</v>
      </c>
      <c r="BF682" s="86" t="b">
        <v>0</v>
      </c>
      <c r="BG682" s="86" t="b">
        <v>0</v>
      </c>
      <c r="BH682" s="96" t="str">
        <f>HYPERLINK("https://pbs.twimg.com/profile_banners/1677624943419305984/1689647639")</f>
        <v>https://pbs.twimg.com/profile_banners/1677624943419305984/1689647639</v>
      </c>
      <c r="BI682" s="86"/>
      <c r="BJ682" s="86" t="s">
        <v>29134</v>
      </c>
      <c r="BK682" s="86" t="b">
        <v>0</v>
      </c>
      <c r="BL682" s="86"/>
      <c r="BM682" s="86" t="s">
        <v>66</v>
      </c>
      <c r="BN682" s="86" t="s">
        <v>29136</v>
      </c>
      <c r="BO682" s="96" t="str">
        <f>HYPERLINK("https://twitter.com/futuroservicos")</f>
        <v>https://twitter.com/futuroservicos</v>
      </c>
      <c r="BP682" s="2"/>
    </row>
    <row r="683" spans="1:68" x14ac:dyDescent="0.25">
      <c r="A683" s="63" t="s">
        <v>823</v>
      </c>
      <c r="B683" s="64"/>
      <c r="C683" s="64"/>
      <c r="D683" s="65"/>
      <c r="E683" s="67"/>
      <c r="F683" s="111" t="str">
        <f>HYPERLINK("https://pbs.twimg.com/profile_images/1605006567887314945/0Pr9uoCK_normal.jpg")</f>
        <v>https://pbs.twimg.com/profile_images/1605006567887314945/0Pr9uoCK_normal.jpg</v>
      </c>
      <c r="G683" s="64"/>
      <c r="H683" s="68"/>
      <c r="I683" s="69"/>
      <c r="J683" s="69"/>
      <c r="K683" s="68" t="s">
        <v>29816</v>
      </c>
      <c r="L683" s="72"/>
      <c r="M683" s="73"/>
      <c r="N683" s="73"/>
      <c r="O683" s="74"/>
      <c r="P683" s="75"/>
      <c r="Q683" s="75"/>
      <c r="R683" s="102"/>
      <c r="S683" s="102"/>
      <c r="T683" s="102"/>
      <c r="U683" s="102"/>
      <c r="V683" s="48"/>
      <c r="W683" s="48"/>
      <c r="X683" s="48"/>
      <c r="Y683" s="48"/>
      <c r="Z683" s="47"/>
      <c r="AA683" s="70">
        <v>683</v>
      </c>
      <c r="AB683" s="70"/>
      <c r="AC683" s="71"/>
      <c r="AD683" s="86" t="s">
        <v>24302</v>
      </c>
      <c r="AE683" s="94" t="s">
        <v>23136</v>
      </c>
      <c r="AF683" s="86">
        <v>0</v>
      </c>
      <c r="AG683" s="86">
        <v>0</v>
      </c>
      <c r="AH683" s="86">
        <v>14</v>
      </c>
      <c r="AI683" s="86">
        <v>0</v>
      </c>
      <c r="AJ683" s="86">
        <v>0</v>
      </c>
      <c r="AK683" s="86">
        <v>6</v>
      </c>
      <c r="AL683" s="86" t="b">
        <v>0</v>
      </c>
      <c r="AM683" s="89">
        <v>44915.045393518521</v>
      </c>
      <c r="AN683" s="86"/>
      <c r="AO683" s="86"/>
      <c r="AP683" s="86"/>
      <c r="AQ683" s="86"/>
      <c r="AR683" s="86"/>
      <c r="AS683" s="86"/>
      <c r="AT683" s="86"/>
      <c r="AU683" s="86"/>
      <c r="AV683" s="86"/>
      <c r="AW683" s="86"/>
      <c r="AX683" s="86" t="b">
        <v>0</v>
      </c>
      <c r="AY683" s="86"/>
      <c r="AZ683" s="86"/>
      <c r="BA683" s="86" t="b">
        <v>0</v>
      </c>
      <c r="BB683" s="86" t="b">
        <v>1</v>
      </c>
      <c r="BC683" s="86" t="b">
        <v>1</v>
      </c>
      <c r="BD683" s="86" t="b">
        <v>0</v>
      </c>
      <c r="BE683" s="86" t="b">
        <v>0</v>
      </c>
      <c r="BF683" s="86" t="b">
        <v>0</v>
      </c>
      <c r="BG683" s="86" t="b">
        <v>0</v>
      </c>
      <c r="BH683" s="96" t="str">
        <f>HYPERLINK("https://pbs.twimg.com/profile_banners/1605006207927947264/1671676433")</f>
        <v>https://pbs.twimg.com/profile_banners/1605006207927947264/1671676433</v>
      </c>
      <c r="BI683" s="86"/>
      <c r="BJ683" s="86" t="s">
        <v>29134</v>
      </c>
      <c r="BK683" s="86" t="b">
        <v>0</v>
      </c>
      <c r="BL683" s="86"/>
      <c r="BM683" s="86" t="s">
        <v>66</v>
      </c>
      <c r="BN683" s="86" t="s">
        <v>29136</v>
      </c>
      <c r="BO683" s="96" t="str">
        <f>HYPERLINK("https://twitter.com/robfelix")</f>
        <v>https://twitter.com/robfelix</v>
      </c>
      <c r="BP683" s="2"/>
    </row>
    <row r="684" spans="1:68" x14ac:dyDescent="0.25">
      <c r="A684" s="63" t="s">
        <v>824</v>
      </c>
      <c r="B684" s="64"/>
      <c r="C684" s="64"/>
      <c r="D684" s="65"/>
      <c r="E684" s="67"/>
      <c r="F684" s="111" t="str">
        <f>HYPERLINK("https://pbs.twimg.com/profile_images/1247482290709639168/vblszaDz_normal.jpg")</f>
        <v>https://pbs.twimg.com/profile_images/1247482290709639168/vblszaDz_normal.jpg</v>
      </c>
      <c r="G684" s="64"/>
      <c r="H684" s="68"/>
      <c r="I684" s="69"/>
      <c r="J684" s="69"/>
      <c r="K684" s="68" t="s">
        <v>29817</v>
      </c>
      <c r="L684" s="72"/>
      <c r="M684" s="73"/>
      <c r="N684" s="73"/>
      <c r="O684" s="74"/>
      <c r="P684" s="75"/>
      <c r="Q684" s="75"/>
      <c r="R684" s="102"/>
      <c r="S684" s="102"/>
      <c r="T684" s="102"/>
      <c r="U684" s="102"/>
      <c r="V684" s="48"/>
      <c r="W684" s="48"/>
      <c r="X684" s="48"/>
      <c r="Y684" s="48"/>
      <c r="Z684" s="47"/>
      <c r="AA684" s="70">
        <v>684</v>
      </c>
      <c r="AB684" s="70"/>
      <c r="AC684" s="71"/>
      <c r="AD684" s="86" t="s">
        <v>24303</v>
      </c>
      <c r="AE684" s="94" t="s">
        <v>22582</v>
      </c>
      <c r="AF684" s="86">
        <v>39</v>
      </c>
      <c r="AG684" s="86">
        <v>52</v>
      </c>
      <c r="AH684" s="86">
        <v>35</v>
      </c>
      <c r="AI684" s="86">
        <v>0</v>
      </c>
      <c r="AJ684" s="86">
        <v>56</v>
      </c>
      <c r="AK684" s="86">
        <v>5</v>
      </c>
      <c r="AL684" s="86" t="b">
        <v>0</v>
      </c>
      <c r="AM684" s="89">
        <v>43925.13082175926</v>
      </c>
      <c r="AN684" s="86" t="s">
        <v>26124</v>
      </c>
      <c r="AO684" s="86" t="s">
        <v>27041</v>
      </c>
      <c r="AP684" s="86"/>
      <c r="AQ684" s="86"/>
      <c r="AR684" s="86"/>
      <c r="AS684" s="86"/>
      <c r="AT684" s="86"/>
      <c r="AU684" s="86"/>
      <c r="AV684" s="86"/>
      <c r="AW684" s="86"/>
      <c r="AX684" s="86" t="b">
        <v>0</v>
      </c>
      <c r="AY684" s="86"/>
      <c r="AZ684" s="86"/>
      <c r="BA684" s="86" t="b">
        <v>0</v>
      </c>
      <c r="BB684" s="86" t="b">
        <v>1</v>
      </c>
      <c r="BC684" s="86" t="b">
        <v>1</v>
      </c>
      <c r="BD684" s="86" t="b">
        <v>0</v>
      </c>
      <c r="BE684" s="86" t="b">
        <v>1</v>
      </c>
      <c r="BF684" s="86" t="b">
        <v>0</v>
      </c>
      <c r="BG684" s="86" t="b">
        <v>0</v>
      </c>
      <c r="BH684" s="96" t="str">
        <f>HYPERLINK("https://pbs.twimg.com/profile_banners/1246273274025332737/1586258166")</f>
        <v>https://pbs.twimg.com/profile_banners/1246273274025332737/1586258166</v>
      </c>
      <c r="BI684" s="86"/>
      <c r="BJ684" s="86" t="s">
        <v>29134</v>
      </c>
      <c r="BK684" s="86" t="b">
        <v>0</v>
      </c>
      <c r="BL684" s="86"/>
      <c r="BM684" s="86" t="s">
        <v>66</v>
      </c>
      <c r="BN684" s="86" t="s">
        <v>29136</v>
      </c>
      <c r="BO684" s="96" t="str">
        <f>HYPERLINK("https://twitter.com/opretojohn")</f>
        <v>https://twitter.com/opretojohn</v>
      </c>
      <c r="BP684" s="2"/>
    </row>
    <row r="685" spans="1:68" x14ac:dyDescent="0.25">
      <c r="A685" s="63" t="s">
        <v>825</v>
      </c>
      <c r="B685" s="64"/>
      <c r="C685" s="64"/>
      <c r="D685" s="65"/>
      <c r="E685" s="67"/>
      <c r="F685" s="111" t="str">
        <f>HYPERLINK("https://pbs.twimg.com/profile_images/1638607586126602245/LYjws-en_normal.jpg")</f>
        <v>https://pbs.twimg.com/profile_images/1638607586126602245/LYjws-en_normal.jpg</v>
      </c>
      <c r="G685" s="64"/>
      <c r="H685" s="68"/>
      <c r="I685" s="69"/>
      <c r="J685" s="69"/>
      <c r="K685" s="68" t="s">
        <v>29818</v>
      </c>
      <c r="L685" s="72"/>
      <c r="M685" s="73"/>
      <c r="N685" s="73"/>
      <c r="O685" s="74"/>
      <c r="P685" s="75"/>
      <c r="Q685" s="75"/>
      <c r="R685" s="102"/>
      <c r="S685" s="102"/>
      <c r="T685" s="102"/>
      <c r="U685" s="102"/>
      <c r="V685" s="48"/>
      <c r="W685" s="48"/>
      <c r="X685" s="48"/>
      <c r="Y685" s="48"/>
      <c r="Z685" s="47"/>
      <c r="AA685" s="70">
        <v>685</v>
      </c>
      <c r="AB685" s="70"/>
      <c r="AC685" s="71"/>
      <c r="AD685" s="86" t="s">
        <v>24304</v>
      </c>
      <c r="AE685" s="94" t="s">
        <v>23137</v>
      </c>
      <c r="AF685" s="86">
        <v>0</v>
      </c>
      <c r="AG685" s="86">
        <v>12</v>
      </c>
      <c r="AH685" s="86">
        <v>17</v>
      </c>
      <c r="AI685" s="86">
        <v>0</v>
      </c>
      <c r="AJ685" s="86">
        <v>0</v>
      </c>
      <c r="AK685" s="86">
        <v>17</v>
      </c>
      <c r="AL685" s="86" t="b">
        <v>0</v>
      </c>
      <c r="AM685" s="89">
        <v>45007.766967592594</v>
      </c>
      <c r="AN685" s="86"/>
      <c r="AO685" s="86"/>
      <c r="AP685" s="86"/>
      <c r="AQ685" s="86"/>
      <c r="AR685" s="86"/>
      <c r="AS685" s="86"/>
      <c r="AT685" s="86"/>
      <c r="AU685" s="86"/>
      <c r="AV685" s="86"/>
      <c r="AW685" s="86"/>
      <c r="AX685" s="86" t="b">
        <v>0</v>
      </c>
      <c r="AY685" s="86"/>
      <c r="AZ685" s="86"/>
      <c r="BA685" s="86" t="b">
        <v>0</v>
      </c>
      <c r="BB685" s="86" t="b">
        <v>1</v>
      </c>
      <c r="BC685" s="86" t="b">
        <v>1</v>
      </c>
      <c r="BD685" s="86" t="b">
        <v>0</v>
      </c>
      <c r="BE685" s="86" t="b">
        <v>0</v>
      </c>
      <c r="BF685" s="86" t="b">
        <v>0</v>
      </c>
      <c r="BG685" s="86" t="b">
        <v>0</v>
      </c>
      <c r="BH685" s="86"/>
      <c r="BI685" s="86"/>
      <c r="BJ685" s="86" t="s">
        <v>29134</v>
      </c>
      <c r="BK685" s="86" t="b">
        <v>0</v>
      </c>
      <c r="BL685" s="86"/>
      <c r="BM685" s="86" t="s">
        <v>66</v>
      </c>
      <c r="BN685" s="86" t="s">
        <v>29136</v>
      </c>
      <c r="BO685" s="96" t="str">
        <f>HYPERLINK("https://twitter.com/pauloro15660532")</f>
        <v>https://twitter.com/pauloro15660532</v>
      </c>
      <c r="BP685" s="2"/>
    </row>
    <row r="686" spans="1:68" x14ac:dyDescent="0.25">
      <c r="A686" s="63" t="s">
        <v>826</v>
      </c>
      <c r="B686" s="64"/>
      <c r="C686" s="64"/>
      <c r="D686" s="65"/>
      <c r="E686" s="67"/>
      <c r="F686" s="111" t="str">
        <f>HYPERLINK("https://pbs.twimg.com/profile_images/1528174882000871425/yZOliRcP_normal.jpg")</f>
        <v>https://pbs.twimg.com/profile_images/1528174882000871425/yZOliRcP_normal.jpg</v>
      </c>
      <c r="G686" s="64"/>
      <c r="H686" s="68"/>
      <c r="I686" s="69"/>
      <c r="J686" s="69"/>
      <c r="K686" s="68" t="s">
        <v>29819</v>
      </c>
      <c r="L686" s="72"/>
      <c r="M686" s="73"/>
      <c r="N686" s="73"/>
      <c r="O686" s="74"/>
      <c r="P686" s="75"/>
      <c r="Q686" s="75"/>
      <c r="R686" s="102"/>
      <c r="S686" s="102"/>
      <c r="T686" s="102"/>
      <c r="U686" s="102"/>
      <c r="V686" s="48"/>
      <c r="W686" s="48"/>
      <c r="X686" s="48"/>
      <c r="Y686" s="48"/>
      <c r="Z686" s="47"/>
      <c r="AA686" s="70">
        <v>686</v>
      </c>
      <c r="AB686" s="70"/>
      <c r="AC686" s="71"/>
      <c r="AD686" s="86" t="s">
        <v>24305</v>
      </c>
      <c r="AE686" s="94" t="s">
        <v>23138</v>
      </c>
      <c r="AF686" s="86">
        <v>6</v>
      </c>
      <c r="AG686" s="86">
        <v>41</v>
      </c>
      <c r="AH686" s="86">
        <v>160</v>
      </c>
      <c r="AI686" s="86">
        <v>0</v>
      </c>
      <c r="AJ686" s="86">
        <v>453</v>
      </c>
      <c r="AK686" s="86">
        <v>95</v>
      </c>
      <c r="AL686" s="86" t="b">
        <v>0</v>
      </c>
      <c r="AM686" s="89">
        <v>44703.029814814814</v>
      </c>
      <c r="AN686" s="86"/>
      <c r="AO686" s="86" t="s">
        <v>27042</v>
      </c>
      <c r="AP686" s="86"/>
      <c r="AQ686" s="86"/>
      <c r="AR686" s="86"/>
      <c r="AS686" s="86"/>
      <c r="AT686" s="86"/>
      <c r="AU686" s="86"/>
      <c r="AV686" s="86"/>
      <c r="AW686" s="86"/>
      <c r="AX686" s="86" t="b">
        <v>0</v>
      </c>
      <c r="AY686" s="86"/>
      <c r="AZ686" s="86"/>
      <c r="BA686" s="86" t="b">
        <v>0</v>
      </c>
      <c r="BB686" s="86" t="b">
        <v>1</v>
      </c>
      <c r="BC686" s="86" t="b">
        <v>1</v>
      </c>
      <c r="BD686" s="86" t="b">
        <v>0</v>
      </c>
      <c r="BE686" s="86" t="b">
        <v>0</v>
      </c>
      <c r="BF686" s="86" t="b">
        <v>0</v>
      </c>
      <c r="BG686" s="86" t="b">
        <v>0</v>
      </c>
      <c r="BH686" s="96" t="str">
        <f>HYPERLINK("https://pbs.twimg.com/profile_banners/1528174476344676352/1663499823")</f>
        <v>https://pbs.twimg.com/profile_banners/1528174476344676352/1663499823</v>
      </c>
      <c r="BI686" s="86"/>
      <c r="BJ686" s="86" t="s">
        <v>29134</v>
      </c>
      <c r="BK686" s="86" t="b">
        <v>0</v>
      </c>
      <c r="BL686" s="86"/>
      <c r="BM686" s="86" t="s">
        <v>66</v>
      </c>
      <c r="BN686" s="86" t="s">
        <v>29136</v>
      </c>
      <c r="BO686" s="96" t="str">
        <f>HYPERLINK("https://twitter.com/delicias_dmaria")</f>
        <v>https://twitter.com/delicias_dmaria</v>
      </c>
      <c r="BP686" s="2"/>
    </row>
    <row r="687" spans="1:68" x14ac:dyDescent="0.25">
      <c r="A687" s="63" t="s">
        <v>827</v>
      </c>
      <c r="B687" s="64"/>
      <c r="C687" s="64"/>
      <c r="D687" s="65"/>
      <c r="E687" s="67"/>
      <c r="F687" s="111" t="str">
        <f>HYPERLINK("https://pbs.twimg.com/profile_images/1702501314926690304/ViyXW0hj_normal.jpg")</f>
        <v>https://pbs.twimg.com/profile_images/1702501314926690304/ViyXW0hj_normal.jpg</v>
      </c>
      <c r="G687" s="64"/>
      <c r="H687" s="68"/>
      <c r="I687" s="69"/>
      <c r="J687" s="69"/>
      <c r="K687" s="68" t="s">
        <v>29820</v>
      </c>
      <c r="L687" s="72"/>
      <c r="M687" s="73"/>
      <c r="N687" s="73"/>
      <c r="O687" s="74"/>
      <c r="P687" s="75"/>
      <c r="Q687" s="75"/>
      <c r="R687" s="102"/>
      <c r="S687" s="102"/>
      <c r="T687" s="102"/>
      <c r="U687" s="102"/>
      <c r="V687" s="48"/>
      <c r="W687" s="48"/>
      <c r="X687" s="48"/>
      <c r="Y687" s="48"/>
      <c r="Z687" s="47"/>
      <c r="AA687" s="70">
        <v>687</v>
      </c>
      <c r="AB687" s="70"/>
      <c r="AC687" s="71"/>
      <c r="AD687" s="86" t="s">
        <v>24306</v>
      </c>
      <c r="AE687" s="94" t="s">
        <v>23139</v>
      </c>
      <c r="AF687" s="86">
        <v>89</v>
      </c>
      <c r="AG687" s="86">
        <v>85</v>
      </c>
      <c r="AH687" s="86">
        <v>1548</v>
      </c>
      <c r="AI687" s="86">
        <v>0</v>
      </c>
      <c r="AJ687" s="86">
        <v>1114</v>
      </c>
      <c r="AK687" s="86">
        <v>62</v>
      </c>
      <c r="AL687" s="86" t="b">
        <v>0</v>
      </c>
      <c r="AM687" s="89">
        <v>44837.044872685183</v>
      </c>
      <c r="AN687" s="86" t="s">
        <v>26125</v>
      </c>
      <c r="AO687" s="86" t="s">
        <v>27043</v>
      </c>
      <c r="AP687" s="86"/>
      <c r="AQ687" s="86"/>
      <c r="AR687" s="86"/>
      <c r="AS687" s="96" t="str">
        <f>HYPERLINK("https://t.co/ZjIOdYWZ2B")</f>
        <v>https://t.co/ZjIOdYWZ2B</v>
      </c>
      <c r="AT687" s="96" t="str">
        <f>HYPERLINK("https://instagram.com/andrecolles?igshid=YmMyMTA2M2Y=")</f>
        <v>https://instagram.com/andrecolles?igshid=YmMyMTA2M2Y=</v>
      </c>
      <c r="AU687" s="86" t="s">
        <v>29077</v>
      </c>
      <c r="AV687" s="86"/>
      <c r="AW687" s="86"/>
      <c r="AX687" s="86" t="b">
        <v>0</v>
      </c>
      <c r="AY687" s="86"/>
      <c r="AZ687" s="86"/>
      <c r="BA687" s="86" t="b">
        <v>0</v>
      </c>
      <c r="BB687" s="86" t="b">
        <v>0</v>
      </c>
      <c r="BC687" s="86" t="b">
        <v>1</v>
      </c>
      <c r="BD687" s="86" t="b">
        <v>0</v>
      </c>
      <c r="BE687" s="86" t="b">
        <v>0</v>
      </c>
      <c r="BF687" s="86" t="b">
        <v>0</v>
      </c>
      <c r="BG687" s="86" t="b">
        <v>0</v>
      </c>
      <c r="BH687" s="96" t="str">
        <f>HYPERLINK("https://pbs.twimg.com/profile_banners/1576739854620188672/1690992771")</f>
        <v>https://pbs.twimg.com/profile_banners/1576739854620188672/1690992771</v>
      </c>
      <c r="BI687" s="86"/>
      <c r="BJ687" s="86" t="s">
        <v>29134</v>
      </c>
      <c r="BK687" s="86" t="b">
        <v>0</v>
      </c>
      <c r="BL687" s="86"/>
      <c r="BM687" s="86" t="s">
        <v>66</v>
      </c>
      <c r="BN687" s="86" t="s">
        <v>29136</v>
      </c>
      <c r="BO687" s="96" t="str">
        <f>HYPERLINK("https://twitter.com/andrecolles")</f>
        <v>https://twitter.com/andrecolles</v>
      </c>
      <c r="BP687" s="2"/>
    </row>
    <row r="688" spans="1:68" x14ac:dyDescent="0.25">
      <c r="A688" s="63" t="s">
        <v>828</v>
      </c>
      <c r="B688" s="64"/>
      <c r="C688" s="64"/>
      <c r="D688" s="65"/>
      <c r="E688" s="67"/>
      <c r="F688" s="111" t="str">
        <f>HYPERLINK("https://pbs.twimg.com/profile_images/1670715142038773763/bT15rHP1_normal.jpg")</f>
        <v>https://pbs.twimg.com/profile_images/1670715142038773763/bT15rHP1_normal.jpg</v>
      </c>
      <c r="G688" s="64"/>
      <c r="H688" s="68"/>
      <c r="I688" s="69"/>
      <c r="J688" s="69"/>
      <c r="K688" s="68" t="s">
        <v>29821</v>
      </c>
      <c r="L688" s="72"/>
      <c r="M688" s="73"/>
      <c r="N688" s="73"/>
      <c r="O688" s="74"/>
      <c r="P688" s="75"/>
      <c r="Q688" s="75"/>
      <c r="R688" s="102"/>
      <c r="S688" s="102"/>
      <c r="T688" s="102"/>
      <c r="U688" s="102"/>
      <c r="V688" s="48"/>
      <c r="W688" s="48"/>
      <c r="X688" s="48"/>
      <c r="Y688" s="48"/>
      <c r="Z688" s="47"/>
      <c r="AA688" s="70">
        <v>688</v>
      </c>
      <c r="AB688" s="70"/>
      <c r="AC688" s="71"/>
      <c r="AD688" s="86" t="s">
        <v>24307</v>
      </c>
      <c r="AE688" s="94" t="s">
        <v>23140</v>
      </c>
      <c r="AF688" s="86">
        <v>19</v>
      </c>
      <c r="AG688" s="86">
        <v>275</v>
      </c>
      <c r="AH688" s="86">
        <v>1141</v>
      </c>
      <c r="AI688" s="86">
        <v>0</v>
      </c>
      <c r="AJ688" s="86">
        <v>77</v>
      </c>
      <c r="AK688" s="86">
        <v>212</v>
      </c>
      <c r="AL688" s="86" t="b">
        <v>0</v>
      </c>
      <c r="AM688" s="89">
        <v>42757.63726851852</v>
      </c>
      <c r="AN688" s="86" t="s">
        <v>26126</v>
      </c>
      <c r="AO688" s="86" t="s">
        <v>27044</v>
      </c>
      <c r="AP688" s="96" t="str">
        <f>HYPERLINK("https://t.co/9tfmY2oYq0")</f>
        <v>https://t.co/9tfmY2oYq0</v>
      </c>
      <c r="AQ688" s="96" t="str">
        <f>HYPERLINK("https://www.Instagram.com/fabriziohraofc")</f>
        <v>https://www.Instagram.com/fabriziohraofc</v>
      </c>
      <c r="AR688" s="86" t="s">
        <v>28365</v>
      </c>
      <c r="AS688" s="86"/>
      <c r="AT688" s="86"/>
      <c r="AU688" s="86"/>
      <c r="AV688" s="86"/>
      <c r="AW688" s="96" t="str">
        <f>HYPERLINK("https://t.co/9tfmY2oYq0")</f>
        <v>https://t.co/9tfmY2oYq0</v>
      </c>
      <c r="AX688" s="86" t="b">
        <v>0</v>
      </c>
      <c r="AY688" s="86"/>
      <c r="AZ688" s="86"/>
      <c r="BA688" s="86" t="b">
        <v>0</v>
      </c>
      <c r="BB688" s="86" t="b">
        <v>1</v>
      </c>
      <c r="BC688" s="86" t="b">
        <v>0</v>
      </c>
      <c r="BD688" s="86" t="b">
        <v>0</v>
      </c>
      <c r="BE688" s="86" t="b">
        <v>1</v>
      </c>
      <c r="BF688" s="86" t="b">
        <v>0</v>
      </c>
      <c r="BG688" s="86" t="b">
        <v>0</v>
      </c>
      <c r="BH688" s="96" t="str">
        <f>HYPERLINK("https://pbs.twimg.com/profile_banners/823187882454253568/1687166325")</f>
        <v>https://pbs.twimg.com/profile_banners/823187882454253568/1687166325</v>
      </c>
      <c r="BI688" s="86"/>
      <c r="BJ688" s="86" t="s">
        <v>29134</v>
      </c>
      <c r="BK688" s="86" t="b">
        <v>0</v>
      </c>
      <c r="BL688" s="86"/>
      <c r="BM688" s="86" t="s">
        <v>66</v>
      </c>
      <c r="BN688" s="86" t="s">
        <v>29136</v>
      </c>
      <c r="BO688" s="96" t="str">
        <f>HYPERLINK("https://twitter.com/fabriziohraofc")</f>
        <v>https://twitter.com/fabriziohraofc</v>
      </c>
      <c r="BP688" s="2"/>
    </row>
    <row r="689" spans="1:68" x14ac:dyDescent="0.25">
      <c r="A689" s="63" t="s">
        <v>829</v>
      </c>
      <c r="B689" s="64"/>
      <c r="C689" s="64"/>
      <c r="D689" s="65"/>
      <c r="E689" s="67"/>
      <c r="F689" s="111" t="str">
        <f>HYPERLINK("https://pbs.twimg.com/profile_images/1165401726/logo_facebook_normal.jpg")</f>
        <v>https://pbs.twimg.com/profile_images/1165401726/logo_facebook_normal.jpg</v>
      </c>
      <c r="G689" s="64"/>
      <c r="H689" s="68"/>
      <c r="I689" s="69"/>
      <c r="J689" s="69"/>
      <c r="K689" s="68" t="s">
        <v>29822</v>
      </c>
      <c r="L689" s="72"/>
      <c r="M689" s="73"/>
      <c r="N689" s="73"/>
      <c r="O689" s="74"/>
      <c r="P689" s="75"/>
      <c r="Q689" s="75"/>
      <c r="R689" s="102"/>
      <c r="S689" s="102"/>
      <c r="T689" s="102"/>
      <c r="U689" s="102"/>
      <c r="V689" s="48"/>
      <c r="W689" s="48"/>
      <c r="X689" s="48"/>
      <c r="Y689" s="48"/>
      <c r="Z689" s="47"/>
      <c r="AA689" s="70">
        <v>689</v>
      </c>
      <c r="AB689" s="70"/>
      <c r="AC689" s="71"/>
      <c r="AD689" s="86" t="s">
        <v>24308</v>
      </c>
      <c r="AE689" s="94" t="s">
        <v>25480</v>
      </c>
      <c r="AF689" s="86">
        <v>196484</v>
      </c>
      <c r="AG689" s="86">
        <v>2413</v>
      </c>
      <c r="AH689" s="86">
        <v>8295</v>
      </c>
      <c r="AI689" s="86">
        <v>821</v>
      </c>
      <c r="AJ689" s="86">
        <v>721</v>
      </c>
      <c r="AK689" s="86">
        <v>1951</v>
      </c>
      <c r="AL689" s="86" t="b">
        <v>0</v>
      </c>
      <c r="AM689" s="89">
        <v>39846.495023148149</v>
      </c>
      <c r="AN689" s="86" t="s">
        <v>25951</v>
      </c>
      <c r="AO689" s="96" t="str">
        <f>HYPERLINK("https://t.co/U0aSK9ca9a")</f>
        <v>https://t.co/U0aSK9ca9a</v>
      </c>
      <c r="AP689" s="96" t="str">
        <f>HYPERLINK("http://t.co/SIW5E5Ra3G")</f>
        <v>http://t.co/SIW5E5Ra3G</v>
      </c>
      <c r="AQ689" s="96" t="str">
        <f>HYPERLINK("http://www.turismodeportugal.pt")</f>
        <v>http://www.turismodeportugal.pt</v>
      </c>
      <c r="AR689" s="86" t="s">
        <v>28366</v>
      </c>
      <c r="AS689" s="96" t="str">
        <f>HYPERLINK("https://t.co/U0aSK9ca9a")</f>
        <v>https://t.co/U0aSK9ca9a</v>
      </c>
      <c r="AT689" s="96" t="str">
        <f>HYPERLINK("http://www.turismodeportugal.pt")</f>
        <v>http://www.turismodeportugal.pt</v>
      </c>
      <c r="AU689" s="86" t="s">
        <v>28366</v>
      </c>
      <c r="AV689" s="86"/>
      <c r="AW689" s="96" t="str">
        <f>HYPERLINK("http://t.co/SIW5E5Ra3G")</f>
        <v>http://t.co/SIW5E5Ra3G</v>
      </c>
      <c r="AX689" s="86" t="b">
        <v>0</v>
      </c>
      <c r="AY689" s="86"/>
      <c r="AZ689" s="86"/>
      <c r="BA689" s="86" t="b">
        <v>0</v>
      </c>
      <c r="BB689" s="86" t="b">
        <v>1</v>
      </c>
      <c r="BC689" s="86" t="b">
        <v>0</v>
      </c>
      <c r="BD689" s="86" t="b">
        <v>0</v>
      </c>
      <c r="BE689" s="86" t="b">
        <v>0</v>
      </c>
      <c r="BF689" s="86" t="b">
        <v>0</v>
      </c>
      <c r="BG689" s="86" t="b">
        <v>0</v>
      </c>
      <c r="BH689" s="96" t="str">
        <f>HYPERLINK("https://pbs.twimg.com/profile_banners/19903099/1621598410")</f>
        <v>https://pbs.twimg.com/profile_banners/19903099/1621598410</v>
      </c>
      <c r="BI689" s="86"/>
      <c r="BJ689" s="86" t="s">
        <v>29134</v>
      </c>
      <c r="BK689" s="86" t="b">
        <v>0</v>
      </c>
      <c r="BL689" s="86"/>
      <c r="BM689" s="86" t="s">
        <v>66</v>
      </c>
      <c r="BN689" s="86" t="s">
        <v>29136</v>
      </c>
      <c r="BO689" s="96" t="str">
        <f>HYPERLINK("https://twitter.com/turismoportugal")</f>
        <v>https://twitter.com/turismoportugal</v>
      </c>
      <c r="BP689" s="2"/>
    </row>
    <row r="690" spans="1:68" x14ac:dyDescent="0.25">
      <c r="A690" s="63" t="s">
        <v>830</v>
      </c>
      <c r="B690" s="64"/>
      <c r="C690" s="64"/>
      <c r="D690" s="65"/>
      <c r="E690" s="67"/>
      <c r="F690" s="111" t="str">
        <f>HYPERLINK("https://pbs.twimg.com/profile_images/1674207887629983745/wDLk8ehQ_normal.jpg")</f>
        <v>https://pbs.twimg.com/profile_images/1674207887629983745/wDLk8ehQ_normal.jpg</v>
      </c>
      <c r="G690" s="64"/>
      <c r="H690" s="68"/>
      <c r="I690" s="69"/>
      <c r="J690" s="69"/>
      <c r="K690" s="68" t="s">
        <v>29823</v>
      </c>
      <c r="L690" s="72"/>
      <c r="M690" s="73"/>
      <c r="N690" s="73"/>
      <c r="O690" s="74"/>
      <c r="P690" s="75"/>
      <c r="Q690" s="75"/>
      <c r="R690" s="102"/>
      <c r="S690" s="102"/>
      <c r="T690" s="102"/>
      <c r="U690" s="102"/>
      <c r="V690" s="48"/>
      <c r="W690" s="48"/>
      <c r="X690" s="48"/>
      <c r="Y690" s="48"/>
      <c r="Z690" s="47"/>
      <c r="AA690" s="70">
        <v>690</v>
      </c>
      <c r="AB690" s="70"/>
      <c r="AC690" s="71"/>
      <c r="AD690" s="86" t="s">
        <v>24309</v>
      </c>
      <c r="AE690" s="94" t="s">
        <v>25481</v>
      </c>
      <c r="AF690" s="86">
        <v>83057</v>
      </c>
      <c r="AG690" s="86">
        <v>197</v>
      </c>
      <c r="AH690" s="86">
        <v>63741</v>
      </c>
      <c r="AI690" s="86">
        <v>855</v>
      </c>
      <c r="AJ690" s="86">
        <v>330</v>
      </c>
      <c r="AK690" s="86">
        <v>13073</v>
      </c>
      <c r="AL690" s="86" t="b">
        <v>0</v>
      </c>
      <c r="AM690" s="89">
        <v>39990.599143518521</v>
      </c>
      <c r="AN690" s="86" t="s">
        <v>15388</v>
      </c>
      <c r="AO690" s="86" t="s">
        <v>27045</v>
      </c>
      <c r="AP690" s="96" t="str">
        <f>HYPERLINK("https://t.co/Axpbqu4uIB")</f>
        <v>https://t.co/Axpbqu4uIB</v>
      </c>
      <c r="AQ690" s="96" t="str">
        <f>HYPERLINK("http://www.senado.leg.br/tv")</f>
        <v>http://www.senado.leg.br/tv</v>
      </c>
      <c r="AR690" s="86" t="s">
        <v>28367</v>
      </c>
      <c r="AS690" s="86"/>
      <c r="AT690" s="86"/>
      <c r="AU690" s="86"/>
      <c r="AV690" s="86">
        <v>1.7071181942284401E+18</v>
      </c>
      <c r="AW690" s="96" t="str">
        <f>HYPERLINK("https://t.co/Axpbqu4uIB")</f>
        <v>https://t.co/Axpbqu4uIB</v>
      </c>
      <c r="AX690" s="86" t="b">
        <v>0</v>
      </c>
      <c r="AY690" s="86"/>
      <c r="AZ690" s="86"/>
      <c r="BA690" s="86" t="b">
        <v>0</v>
      </c>
      <c r="BB690" s="86" t="b">
        <v>1</v>
      </c>
      <c r="BC690" s="86" t="b">
        <v>0</v>
      </c>
      <c r="BD690" s="86" t="b">
        <v>0</v>
      </c>
      <c r="BE690" s="86" t="b">
        <v>1</v>
      </c>
      <c r="BF690" s="86" t="b">
        <v>0</v>
      </c>
      <c r="BG690" s="86" t="b">
        <v>0</v>
      </c>
      <c r="BH690" s="96" t="str">
        <f>HYPERLINK("https://pbs.twimg.com/profile_banners/51075078/1646338250")</f>
        <v>https://pbs.twimg.com/profile_banners/51075078/1646338250</v>
      </c>
      <c r="BI690" s="86"/>
      <c r="BJ690" s="86" t="s">
        <v>29134</v>
      </c>
      <c r="BK690" s="86" t="b">
        <v>0</v>
      </c>
      <c r="BL690" s="86"/>
      <c r="BM690" s="86" t="s">
        <v>66</v>
      </c>
      <c r="BN690" s="86" t="s">
        <v>29136</v>
      </c>
      <c r="BO690" s="96" t="str">
        <f>HYPERLINK("https://twitter.com/tvsenado")</f>
        <v>https://twitter.com/tvsenado</v>
      </c>
      <c r="BP690" s="2"/>
    </row>
    <row r="691" spans="1:68" x14ac:dyDescent="0.25">
      <c r="A691" s="63" t="s">
        <v>1689</v>
      </c>
      <c r="B691" s="64"/>
      <c r="C691" s="64"/>
      <c r="D691" s="65"/>
      <c r="E691" s="67"/>
      <c r="F691" s="111" t="str">
        <f>HYPERLINK("https://pbs.twimg.com/profile_images/1559588599254994952/4KWrlNhr_normal.jpg")</f>
        <v>https://pbs.twimg.com/profile_images/1559588599254994952/4KWrlNhr_normal.jpg</v>
      </c>
      <c r="G691" s="64"/>
      <c r="H691" s="68"/>
      <c r="I691" s="69"/>
      <c r="J691" s="69"/>
      <c r="K691" s="68" t="s">
        <v>29824</v>
      </c>
      <c r="L691" s="72"/>
      <c r="M691" s="73"/>
      <c r="N691" s="73"/>
      <c r="O691" s="74"/>
      <c r="P691" s="75"/>
      <c r="Q691" s="75"/>
      <c r="R691" s="102"/>
      <c r="S691" s="102"/>
      <c r="T691" s="102"/>
      <c r="U691" s="102"/>
      <c r="V691" s="48"/>
      <c r="W691" s="48"/>
      <c r="X691" s="48"/>
      <c r="Y691" s="48"/>
      <c r="Z691" s="47"/>
      <c r="AA691" s="70">
        <v>691</v>
      </c>
      <c r="AB691" s="70"/>
      <c r="AC691" s="71"/>
      <c r="AD691" s="86" t="s">
        <v>24310</v>
      </c>
      <c r="AE691" s="94" t="s">
        <v>25482</v>
      </c>
      <c r="AF691" s="86">
        <v>7032</v>
      </c>
      <c r="AG691" s="86">
        <v>373</v>
      </c>
      <c r="AH691" s="86">
        <v>470</v>
      </c>
      <c r="AI691" s="86">
        <v>186</v>
      </c>
      <c r="AJ691" s="86">
        <v>36</v>
      </c>
      <c r="AK691" s="86">
        <v>148</v>
      </c>
      <c r="AL691" s="86" t="b">
        <v>0</v>
      </c>
      <c r="AM691" s="89">
        <v>43502.792766203704</v>
      </c>
      <c r="AN691" s="86"/>
      <c r="AO691" s="86" t="s">
        <v>27046</v>
      </c>
      <c r="AP691" s="86"/>
      <c r="AQ691" s="86"/>
      <c r="AR691" s="86"/>
      <c r="AS691" s="86"/>
      <c r="AT691" s="86"/>
      <c r="AU691" s="86"/>
      <c r="AV691" s="86">
        <v>1.70646558184563E+18</v>
      </c>
      <c r="AW691" s="86"/>
      <c r="AX691" s="86" t="b">
        <v>0</v>
      </c>
      <c r="AY691" s="86"/>
      <c r="AZ691" s="86"/>
      <c r="BA691" s="86" t="b">
        <v>1</v>
      </c>
      <c r="BB691" s="86" t="b">
        <v>1</v>
      </c>
      <c r="BC691" s="86" t="b">
        <v>1</v>
      </c>
      <c r="BD691" s="86" t="b">
        <v>0</v>
      </c>
      <c r="BE691" s="86" t="b">
        <v>0</v>
      </c>
      <c r="BF691" s="86" t="b">
        <v>0</v>
      </c>
      <c r="BG691" s="86" t="b">
        <v>0</v>
      </c>
      <c r="BH691" s="96" t="str">
        <f>HYPERLINK("https://pbs.twimg.com/profile_banners/1093223195258298368/1669246167")</f>
        <v>https://pbs.twimg.com/profile_banners/1093223195258298368/1669246167</v>
      </c>
      <c r="BI691" s="86"/>
      <c r="BJ691" s="86" t="s">
        <v>29134</v>
      </c>
      <c r="BK691" s="86" t="b">
        <v>0</v>
      </c>
      <c r="BL691" s="86"/>
      <c r="BM691" s="86" t="s">
        <v>65</v>
      </c>
      <c r="BN691" s="86" t="s">
        <v>29136</v>
      </c>
      <c r="BO691" s="96" t="str">
        <f>HYPERLINK("https://twitter.com/zequinhamarinho")</f>
        <v>https://twitter.com/zequinhamarinho</v>
      </c>
      <c r="BP691" s="2"/>
    </row>
    <row r="692" spans="1:68" x14ac:dyDescent="0.25">
      <c r="A692" s="63" t="s">
        <v>1690</v>
      </c>
      <c r="B692" s="64"/>
      <c r="C692" s="64"/>
      <c r="D692" s="65"/>
      <c r="E692" s="67"/>
      <c r="F692" s="111" t="str">
        <f>HYPERLINK("https://pbs.twimg.com/profile_images/1399382728362102786/_wBHKEhc_normal.jpg")</f>
        <v>https://pbs.twimg.com/profile_images/1399382728362102786/_wBHKEhc_normal.jpg</v>
      </c>
      <c r="G692" s="64"/>
      <c r="H692" s="68"/>
      <c r="I692" s="69"/>
      <c r="J692" s="69"/>
      <c r="K692" s="68" t="s">
        <v>29825</v>
      </c>
      <c r="L692" s="72"/>
      <c r="M692" s="73"/>
      <c r="N692" s="73"/>
      <c r="O692" s="74"/>
      <c r="P692" s="75"/>
      <c r="Q692" s="75"/>
      <c r="R692" s="102"/>
      <c r="S692" s="102"/>
      <c r="T692" s="102"/>
      <c r="U692" s="102"/>
      <c r="V692" s="48"/>
      <c r="W692" s="48"/>
      <c r="X692" s="48"/>
      <c r="Y692" s="48"/>
      <c r="Z692" s="47"/>
      <c r="AA692" s="70">
        <v>692</v>
      </c>
      <c r="AB692" s="70"/>
      <c r="AC692" s="71"/>
      <c r="AD692" s="86" t="s">
        <v>24311</v>
      </c>
      <c r="AE692" s="94" t="s">
        <v>25483</v>
      </c>
      <c r="AF692" s="86">
        <v>1323194</v>
      </c>
      <c r="AG692" s="86">
        <v>86</v>
      </c>
      <c r="AH692" s="86">
        <v>98122</v>
      </c>
      <c r="AI692" s="86">
        <v>3778</v>
      </c>
      <c r="AJ692" s="86">
        <v>21</v>
      </c>
      <c r="AK692" s="86">
        <v>41566</v>
      </c>
      <c r="AL692" s="86" t="b">
        <v>0</v>
      </c>
      <c r="AM692" s="89">
        <v>39947.913865740738</v>
      </c>
      <c r="AN692" s="86" t="s">
        <v>15388</v>
      </c>
      <c r="AO692" s="86" t="s">
        <v>27047</v>
      </c>
      <c r="AP692" s="96" t="str">
        <f>HYPERLINK("https://t.co/HKbsIPrZQ3")</f>
        <v>https://t.co/HKbsIPrZQ3</v>
      </c>
      <c r="AQ692" s="96" t="str">
        <f>HYPERLINK("https://www12.senado.leg.br/")</f>
        <v>https://www12.senado.leg.br/</v>
      </c>
      <c r="AR692" s="86" t="s">
        <v>28368</v>
      </c>
      <c r="AS692" s="86"/>
      <c r="AT692" s="86"/>
      <c r="AU692" s="86"/>
      <c r="AV692" s="86"/>
      <c r="AW692" s="96" t="str">
        <f>HYPERLINK("https://t.co/HKbsIPrZQ3")</f>
        <v>https://t.co/HKbsIPrZQ3</v>
      </c>
      <c r="AX692" s="86" t="b">
        <v>1</v>
      </c>
      <c r="AY692" s="86"/>
      <c r="AZ692" s="86"/>
      <c r="BA692" s="86" t="b">
        <v>0</v>
      </c>
      <c r="BB692" s="86" t="b">
        <v>0</v>
      </c>
      <c r="BC692" s="86" t="b">
        <v>0</v>
      </c>
      <c r="BD692" s="86" t="b">
        <v>0</v>
      </c>
      <c r="BE692" s="86" t="b">
        <v>1</v>
      </c>
      <c r="BF692" s="86" t="b">
        <v>0</v>
      </c>
      <c r="BG692" s="86" t="b">
        <v>0</v>
      </c>
      <c r="BH692" s="96" t="str">
        <f>HYPERLINK("https://pbs.twimg.com/profile_banners/40095953/1626445625")</f>
        <v>https://pbs.twimg.com/profile_banners/40095953/1626445625</v>
      </c>
      <c r="BI692" s="86"/>
      <c r="BJ692" s="86" t="s">
        <v>29134</v>
      </c>
      <c r="BK692" s="86" t="b">
        <v>0</v>
      </c>
      <c r="BL692" s="86"/>
      <c r="BM692" s="86" t="s">
        <v>65</v>
      </c>
      <c r="BN692" s="86" t="s">
        <v>29136</v>
      </c>
      <c r="BO692" s="96" t="str">
        <f>HYPERLINK("https://twitter.com/senadofederal")</f>
        <v>https://twitter.com/senadofederal</v>
      </c>
      <c r="BP692" s="2"/>
    </row>
    <row r="693" spans="1:68" x14ac:dyDescent="0.25">
      <c r="A693" s="63" t="s">
        <v>1691</v>
      </c>
      <c r="B693" s="64"/>
      <c r="C693" s="64"/>
      <c r="D693" s="65"/>
      <c r="E693" s="67"/>
      <c r="F693" s="111" t="str">
        <f>HYPERLINK("https://pbs.twimg.com/profile_images/1577029992273281043/YjVghnF-_normal.jpg")</f>
        <v>https://pbs.twimg.com/profile_images/1577029992273281043/YjVghnF-_normal.jpg</v>
      </c>
      <c r="G693" s="64"/>
      <c r="H693" s="68"/>
      <c r="I693" s="69"/>
      <c r="J693" s="69"/>
      <c r="K693" s="68" t="s">
        <v>29826</v>
      </c>
      <c r="L693" s="72"/>
      <c r="M693" s="73"/>
      <c r="N693" s="73"/>
      <c r="O693" s="74"/>
      <c r="P693" s="75"/>
      <c r="Q693" s="75"/>
      <c r="R693" s="102"/>
      <c r="S693" s="102"/>
      <c r="T693" s="102"/>
      <c r="U693" s="102"/>
      <c r="V693" s="48"/>
      <c r="W693" s="48"/>
      <c r="X693" s="48"/>
      <c r="Y693" s="48"/>
      <c r="Z693" s="47"/>
      <c r="AA693" s="70">
        <v>693</v>
      </c>
      <c r="AB693" s="70"/>
      <c r="AC693" s="71"/>
      <c r="AD693" s="86" t="s">
        <v>24312</v>
      </c>
      <c r="AE693" s="94" t="s">
        <v>25484</v>
      </c>
      <c r="AF693" s="86">
        <v>7995</v>
      </c>
      <c r="AG693" s="86">
        <v>1147</v>
      </c>
      <c r="AH693" s="86">
        <v>7753</v>
      </c>
      <c r="AI693" s="86">
        <v>214</v>
      </c>
      <c r="AJ693" s="86">
        <v>287</v>
      </c>
      <c r="AK693" s="86">
        <v>2623</v>
      </c>
      <c r="AL693" s="86" t="b">
        <v>0</v>
      </c>
      <c r="AM693" s="89">
        <v>40604.529641203706</v>
      </c>
      <c r="AN693" s="86" t="s">
        <v>26127</v>
      </c>
      <c r="AO693" s="86" t="s">
        <v>27048</v>
      </c>
      <c r="AP693" s="86"/>
      <c r="AQ693" s="86"/>
      <c r="AR693" s="86"/>
      <c r="AS693" s="86"/>
      <c r="AT693" s="86"/>
      <c r="AU693" s="86"/>
      <c r="AV693" s="86"/>
      <c r="AW693" s="86"/>
      <c r="AX693" s="86" t="b">
        <v>0</v>
      </c>
      <c r="AY693" s="86"/>
      <c r="AZ693" s="86"/>
      <c r="BA693" s="86" t="b">
        <v>0</v>
      </c>
      <c r="BB693" s="86" t="b">
        <v>0</v>
      </c>
      <c r="BC693" s="86" t="b">
        <v>0</v>
      </c>
      <c r="BD693" s="86" t="b">
        <v>0</v>
      </c>
      <c r="BE693" s="86" t="b">
        <v>0</v>
      </c>
      <c r="BF693" s="86" t="b">
        <v>0</v>
      </c>
      <c r="BG693" s="86" t="b">
        <v>0</v>
      </c>
      <c r="BH693" s="96" t="str">
        <f>HYPERLINK("https://pbs.twimg.com/profile_banners/259707478/1681478784")</f>
        <v>https://pbs.twimg.com/profile_banners/259707478/1681478784</v>
      </c>
      <c r="BI693" s="86"/>
      <c r="BJ693" s="86" t="s">
        <v>29134</v>
      </c>
      <c r="BK693" s="86" t="b">
        <v>0</v>
      </c>
      <c r="BL693" s="86"/>
      <c r="BM693" s="86" t="s">
        <v>65</v>
      </c>
      <c r="BN693" s="86" t="s">
        <v>29136</v>
      </c>
      <c r="BO693" s="96" t="str">
        <f>HYPERLINK("https://twitter.com/irajasenador")</f>
        <v>https://twitter.com/irajasenador</v>
      </c>
      <c r="BP693" s="2"/>
    </row>
    <row r="694" spans="1:68" x14ac:dyDescent="0.25">
      <c r="A694" s="63" t="s">
        <v>1692</v>
      </c>
      <c r="B694" s="64"/>
      <c r="C694" s="64"/>
      <c r="D694" s="65"/>
      <c r="E694" s="67"/>
      <c r="F694" s="111" t="str">
        <f>HYPERLINK("https://pbs.twimg.com/profile_images/1663224886091825178/XOAwvgmm_normal.jpg")</f>
        <v>https://pbs.twimg.com/profile_images/1663224886091825178/XOAwvgmm_normal.jpg</v>
      </c>
      <c r="G694" s="64"/>
      <c r="H694" s="68"/>
      <c r="I694" s="69"/>
      <c r="J694" s="69"/>
      <c r="K694" s="68" t="s">
        <v>29827</v>
      </c>
      <c r="L694" s="72"/>
      <c r="M694" s="73"/>
      <c r="N694" s="73"/>
      <c r="O694" s="74"/>
      <c r="P694" s="75"/>
      <c r="Q694" s="75"/>
      <c r="R694" s="102"/>
      <c r="S694" s="102"/>
      <c r="T694" s="102"/>
      <c r="U694" s="102"/>
      <c r="V694" s="48"/>
      <c r="W694" s="48"/>
      <c r="X694" s="48"/>
      <c r="Y694" s="48"/>
      <c r="Z694" s="47"/>
      <c r="AA694" s="70">
        <v>694</v>
      </c>
      <c r="AB694" s="70"/>
      <c r="AC694" s="71"/>
      <c r="AD694" s="86" t="s">
        <v>24313</v>
      </c>
      <c r="AE694" s="94" t="s">
        <v>25485</v>
      </c>
      <c r="AF694" s="86">
        <v>21837</v>
      </c>
      <c r="AG694" s="86">
        <v>1300</v>
      </c>
      <c r="AH694" s="86">
        <v>17913</v>
      </c>
      <c r="AI694" s="86">
        <v>267</v>
      </c>
      <c r="AJ694" s="86">
        <v>5992</v>
      </c>
      <c r="AK694" s="86">
        <v>7941</v>
      </c>
      <c r="AL694" s="86" t="b">
        <v>0</v>
      </c>
      <c r="AM694" s="89">
        <v>40114.704016203701</v>
      </c>
      <c r="AN694" s="86" t="s">
        <v>15234</v>
      </c>
      <c r="AO694" s="86" t="s">
        <v>27049</v>
      </c>
      <c r="AP694" s="96" t="str">
        <f>HYPERLINK("https://t.co/jqosw0jOkO")</f>
        <v>https://t.co/jqosw0jOkO</v>
      </c>
      <c r="AQ694" s="96" t="str">
        <f>HYPERLINK("https://linktr.ee/Wevertonrocha")</f>
        <v>https://linktr.ee/Wevertonrocha</v>
      </c>
      <c r="AR694" s="86" t="s">
        <v>28369</v>
      </c>
      <c r="AS694" s="86"/>
      <c r="AT694" s="86"/>
      <c r="AU694" s="86"/>
      <c r="AV694" s="86"/>
      <c r="AW694" s="96" t="str">
        <f>HYPERLINK("https://t.co/jqosw0jOkO")</f>
        <v>https://t.co/jqosw0jOkO</v>
      </c>
      <c r="AX694" s="86" t="b">
        <v>0</v>
      </c>
      <c r="AY694" s="86"/>
      <c r="AZ694" s="86"/>
      <c r="BA694" s="86" t="b">
        <v>0</v>
      </c>
      <c r="BB694" s="86" t="b">
        <v>1</v>
      </c>
      <c r="BC694" s="86" t="b">
        <v>0</v>
      </c>
      <c r="BD694" s="86" t="b">
        <v>0</v>
      </c>
      <c r="BE694" s="86" t="b">
        <v>0</v>
      </c>
      <c r="BF694" s="86" t="b">
        <v>0</v>
      </c>
      <c r="BG694" s="86" t="b">
        <v>0</v>
      </c>
      <c r="BH694" s="96" t="str">
        <f>HYPERLINK("https://pbs.twimg.com/profile_banners/85859074/1674103278")</f>
        <v>https://pbs.twimg.com/profile_banners/85859074/1674103278</v>
      </c>
      <c r="BI694" s="86"/>
      <c r="BJ694" s="86" t="s">
        <v>29134</v>
      </c>
      <c r="BK694" s="86" t="b">
        <v>0</v>
      </c>
      <c r="BL694" s="86"/>
      <c r="BM694" s="86" t="s">
        <v>65</v>
      </c>
      <c r="BN694" s="86" t="s">
        <v>29136</v>
      </c>
      <c r="BO694" s="96" t="str">
        <f>HYPERLINK("https://twitter.com/wevertonrocha")</f>
        <v>https://twitter.com/wevertonrocha</v>
      </c>
      <c r="BP694" s="2"/>
    </row>
    <row r="695" spans="1:68" x14ac:dyDescent="0.25">
      <c r="A695" s="63" t="s">
        <v>831</v>
      </c>
      <c r="B695" s="64"/>
      <c r="C695" s="64"/>
      <c r="D695" s="65"/>
      <c r="E695" s="67"/>
      <c r="F695" s="111" t="str">
        <f>HYPERLINK("https://pbs.twimg.com/profile_images/1531317937075806210/7oEvwlvr_normal.jpg")</f>
        <v>https://pbs.twimg.com/profile_images/1531317937075806210/7oEvwlvr_normal.jpg</v>
      </c>
      <c r="G695" s="64"/>
      <c r="H695" s="68"/>
      <c r="I695" s="69"/>
      <c r="J695" s="69"/>
      <c r="K695" s="68" t="s">
        <v>29828</v>
      </c>
      <c r="L695" s="72"/>
      <c r="M695" s="73"/>
      <c r="N695" s="73"/>
      <c r="O695" s="74"/>
      <c r="P695" s="75"/>
      <c r="Q695" s="75"/>
      <c r="R695" s="102"/>
      <c r="S695" s="102"/>
      <c r="T695" s="102"/>
      <c r="U695" s="102"/>
      <c r="V695" s="48"/>
      <c r="W695" s="48"/>
      <c r="X695" s="48"/>
      <c r="Y695" s="48"/>
      <c r="Z695" s="47"/>
      <c r="AA695" s="70">
        <v>695</v>
      </c>
      <c r="AB695" s="70"/>
      <c r="AC695" s="71"/>
      <c r="AD695" s="86" t="s">
        <v>24314</v>
      </c>
      <c r="AE695" s="94" t="s">
        <v>25486</v>
      </c>
      <c r="AF695" s="86">
        <v>79268</v>
      </c>
      <c r="AG695" s="86">
        <v>5434</v>
      </c>
      <c r="AH695" s="86">
        <v>136883</v>
      </c>
      <c r="AI695" s="86">
        <v>706</v>
      </c>
      <c r="AJ695" s="86">
        <v>4256</v>
      </c>
      <c r="AK695" s="86">
        <v>38794</v>
      </c>
      <c r="AL695" s="86" t="b">
        <v>0</v>
      </c>
      <c r="AM695" s="89">
        <v>39754.840763888889</v>
      </c>
      <c r="AN695" s="86" t="s">
        <v>15415</v>
      </c>
      <c r="AO695" s="86" t="s">
        <v>27050</v>
      </c>
      <c r="AP695" s="96" t="str">
        <f>HYPERLINK("https://t.co/yR8pzD6ApI")</f>
        <v>https://t.co/yR8pzD6ApI</v>
      </c>
      <c r="AQ695" s="96" t="str">
        <f>HYPERLINK("http://www.jornaldocomercio.com")</f>
        <v>http://www.jornaldocomercio.com</v>
      </c>
      <c r="AR695" s="86" t="s">
        <v>8470</v>
      </c>
      <c r="AS695" s="86"/>
      <c r="AT695" s="86"/>
      <c r="AU695" s="86"/>
      <c r="AV695" s="86"/>
      <c r="AW695" s="96" t="str">
        <f>HYPERLINK("https://t.co/yR8pzD6ApI")</f>
        <v>https://t.co/yR8pzD6ApI</v>
      </c>
      <c r="AX695" s="86" t="b">
        <v>0</v>
      </c>
      <c r="AY695" s="86"/>
      <c r="AZ695" s="86"/>
      <c r="BA695" s="86" t="b">
        <v>0</v>
      </c>
      <c r="BB695" s="86" t="b">
        <v>1</v>
      </c>
      <c r="BC695" s="86" t="b">
        <v>0</v>
      </c>
      <c r="BD695" s="86" t="b">
        <v>0</v>
      </c>
      <c r="BE695" s="86" t="b">
        <v>1</v>
      </c>
      <c r="BF695" s="86" t="b">
        <v>0</v>
      </c>
      <c r="BG695" s="86" t="b">
        <v>0</v>
      </c>
      <c r="BH695" s="96" t="str">
        <f>HYPERLINK("https://pbs.twimg.com/profile_banners/17118982/1683207252")</f>
        <v>https://pbs.twimg.com/profile_banners/17118982/1683207252</v>
      </c>
      <c r="BI695" s="86"/>
      <c r="BJ695" s="86" t="s">
        <v>29134</v>
      </c>
      <c r="BK695" s="86" t="b">
        <v>0</v>
      </c>
      <c r="BL695" s="86"/>
      <c r="BM695" s="86" t="s">
        <v>66</v>
      </c>
      <c r="BN695" s="86" t="s">
        <v>29136</v>
      </c>
      <c r="BO695" s="96" t="str">
        <f>HYPERLINK("https://twitter.com/jc_rs")</f>
        <v>https://twitter.com/jc_rs</v>
      </c>
      <c r="BP695" s="2"/>
    </row>
    <row r="696" spans="1:68" x14ac:dyDescent="0.25">
      <c r="A696" s="63" t="s">
        <v>832</v>
      </c>
      <c r="B696" s="64"/>
      <c r="C696" s="64"/>
      <c r="D696" s="65"/>
      <c r="E696" s="67"/>
      <c r="F696" s="111" t="str">
        <f>HYPERLINK("https://pbs.twimg.com/profile_images/1696854985873485824/6i8VEgc8_normal.jpg")</f>
        <v>https://pbs.twimg.com/profile_images/1696854985873485824/6i8VEgc8_normal.jpg</v>
      </c>
      <c r="G696" s="64"/>
      <c r="H696" s="68"/>
      <c r="I696" s="69"/>
      <c r="J696" s="69"/>
      <c r="K696" s="68" t="s">
        <v>29829</v>
      </c>
      <c r="L696" s="72"/>
      <c r="M696" s="73"/>
      <c r="N696" s="73"/>
      <c r="O696" s="74"/>
      <c r="P696" s="75"/>
      <c r="Q696" s="75"/>
      <c r="R696" s="102"/>
      <c r="S696" s="102"/>
      <c r="T696" s="102"/>
      <c r="U696" s="102"/>
      <c r="V696" s="48"/>
      <c r="W696" s="48"/>
      <c r="X696" s="48"/>
      <c r="Y696" s="48"/>
      <c r="Z696" s="47"/>
      <c r="AA696" s="70">
        <v>696</v>
      </c>
      <c r="AB696" s="70"/>
      <c r="AC696" s="71"/>
      <c r="AD696" s="86" t="s">
        <v>24315</v>
      </c>
      <c r="AE696" s="94" t="s">
        <v>25487</v>
      </c>
      <c r="AF696" s="86">
        <v>273</v>
      </c>
      <c r="AG696" s="86">
        <v>675</v>
      </c>
      <c r="AH696" s="86">
        <v>2531</v>
      </c>
      <c r="AI696" s="86">
        <v>2</v>
      </c>
      <c r="AJ696" s="86">
        <v>10332</v>
      </c>
      <c r="AK696" s="86">
        <v>330</v>
      </c>
      <c r="AL696" s="86" t="b">
        <v>0</v>
      </c>
      <c r="AM696" s="89">
        <v>41222.842800925922</v>
      </c>
      <c r="AN696" s="86"/>
      <c r="AO696" s="86" t="s">
        <v>27051</v>
      </c>
      <c r="AP696" s="86"/>
      <c r="AQ696" s="86"/>
      <c r="AR696" s="86"/>
      <c r="AS696" s="86"/>
      <c r="AT696" s="86"/>
      <c r="AU696" s="86"/>
      <c r="AV696" s="86">
        <v>1.69213407824017E+18</v>
      </c>
      <c r="AW696" s="86"/>
      <c r="AX696" s="86" t="b">
        <v>0</v>
      </c>
      <c r="AY696" s="86"/>
      <c r="AZ696" s="86"/>
      <c r="BA696" s="86" t="b">
        <v>0</v>
      </c>
      <c r="BB696" s="86" t="b">
        <v>1</v>
      </c>
      <c r="BC696" s="86" t="b">
        <v>0</v>
      </c>
      <c r="BD696" s="86" t="b">
        <v>0</v>
      </c>
      <c r="BE696" s="86" t="b">
        <v>1</v>
      </c>
      <c r="BF696" s="86" t="b">
        <v>0</v>
      </c>
      <c r="BG696" s="86" t="b">
        <v>0</v>
      </c>
      <c r="BH696" s="96" t="str">
        <f>HYPERLINK("https://pbs.twimg.com/profile_banners/937664700/1452506796")</f>
        <v>https://pbs.twimg.com/profile_banners/937664700/1452506796</v>
      </c>
      <c r="BI696" s="86"/>
      <c r="BJ696" s="86" t="s">
        <v>29134</v>
      </c>
      <c r="BK696" s="86" t="b">
        <v>0</v>
      </c>
      <c r="BL696" s="86"/>
      <c r="BM696" s="86" t="s">
        <v>66</v>
      </c>
      <c r="BN696" s="86" t="s">
        <v>29136</v>
      </c>
      <c r="BO696" s="96" t="str">
        <f>HYPERLINK("https://twitter.com/haruki_br")</f>
        <v>https://twitter.com/haruki_br</v>
      </c>
      <c r="BP696" s="2"/>
    </row>
    <row r="697" spans="1:68" x14ac:dyDescent="0.25">
      <c r="A697" s="63" t="s">
        <v>1045</v>
      </c>
      <c r="B697" s="64"/>
      <c r="C697" s="64"/>
      <c r="D697" s="65"/>
      <c r="E697" s="67"/>
      <c r="F697" s="111" t="str">
        <f>HYPERLINK("https://pbs.twimg.com/profile_images/1633810752908795906/gMBrHfHf_normal.jpg")</f>
        <v>https://pbs.twimg.com/profile_images/1633810752908795906/gMBrHfHf_normal.jpg</v>
      </c>
      <c r="G697" s="64"/>
      <c r="H697" s="68"/>
      <c r="I697" s="69"/>
      <c r="J697" s="69"/>
      <c r="K697" s="68" t="s">
        <v>29830</v>
      </c>
      <c r="L697" s="72"/>
      <c r="M697" s="73"/>
      <c r="N697" s="73"/>
      <c r="O697" s="74"/>
      <c r="P697" s="75"/>
      <c r="Q697" s="75"/>
      <c r="R697" s="102"/>
      <c r="S697" s="102"/>
      <c r="T697" s="102"/>
      <c r="U697" s="102"/>
      <c r="V697" s="48"/>
      <c r="W697" s="48"/>
      <c r="X697" s="48"/>
      <c r="Y697" s="48"/>
      <c r="Z697" s="47"/>
      <c r="AA697" s="70">
        <v>697</v>
      </c>
      <c r="AB697" s="70"/>
      <c r="AC697" s="71"/>
      <c r="AD697" s="86" t="s">
        <v>24316</v>
      </c>
      <c r="AE697" s="94" t="s">
        <v>25488</v>
      </c>
      <c r="AF697" s="86">
        <v>86814</v>
      </c>
      <c r="AG697" s="86">
        <v>81</v>
      </c>
      <c r="AH697" s="86">
        <v>24879</v>
      </c>
      <c r="AI697" s="86">
        <v>571</v>
      </c>
      <c r="AJ697" s="86">
        <v>736</v>
      </c>
      <c r="AK697" s="86">
        <v>5427</v>
      </c>
      <c r="AL697" s="86" t="b">
        <v>0</v>
      </c>
      <c r="AM697" s="89">
        <v>39882.720995370371</v>
      </c>
      <c r="AN697" s="86" t="s">
        <v>26128</v>
      </c>
      <c r="AO697" s="86" t="s">
        <v>27052</v>
      </c>
      <c r="AP697" s="96" t="str">
        <f>HYPERLINK("https://t.co/QSikvsNKsA")</f>
        <v>https://t.co/QSikvsNKsA</v>
      </c>
      <c r="AQ697" s="96" t="str">
        <f>HYPERLINK("http://www.sebraesp.com.br")</f>
        <v>http://www.sebraesp.com.br</v>
      </c>
      <c r="AR697" s="86" t="s">
        <v>28370</v>
      </c>
      <c r="AS697" s="86"/>
      <c r="AT697" s="86"/>
      <c r="AU697" s="86"/>
      <c r="AV697" s="86"/>
      <c r="AW697" s="96" t="str">
        <f>HYPERLINK("https://t.co/QSikvsNKsA")</f>
        <v>https://t.co/QSikvsNKsA</v>
      </c>
      <c r="AX697" s="86" t="b">
        <v>0</v>
      </c>
      <c r="AY697" s="86"/>
      <c r="AZ697" s="86"/>
      <c r="BA697" s="86" t="b">
        <v>0</v>
      </c>
      <c r="BB697" s="86" t="b">
        <v>1</v>
      </c>
      <c r="BC697" s="86" t="b">
        <v>0</v>
      </c>
      <c r="BD697" s="86" t="b">
        <v>0</v>
      </c>
      <c r="BE697" s="86" t="b">
        <v>1</v>
      </c>
      <c r="BF697" s="86" t="b">
        <v>0</v>
      </c>
      <c r="BG697" s="86" t="b">
        <v>0</v>
      </c>
      <c r="BH697" s="96" t="str">
        <f>HYPERLINK("https://pbs.twimg.com/profile_banners/23618348/1685134370")</f>
        <v>https://pbs.twimg.com/profile_banners/23618348/1685134370</v>
      </c>
      <c r="BI697" s="86"/>
      <c r="BJ697" s="86" t="s">
        <v>29134</v>
      </c>
      <c r="BK697" s="86" t="b">
        <v>0</v>
      </c>
      <c r="BL697" s="86"/>
      <c r="BM697" s="86" t="s">
        <v>66</v>
      </c>
      <c r="BN697" s="86" t="s">
        <v>29136</v>
      </c>
      <c r="BO697" s="96" t="str">
        <f>HYPERLINK("https://twitter.com/sebraesp")</f>
        <v>https://twitter.com/sebraesp</v>
      </c>
      <c r="BP697" s="2"/>
    </row>
    <row r="698" spans="1:68" x14ac:dyDescent="0.25">
      <c r="A698" s="63" t="s">
        <v>833</v>
      </c>
      <c r="B698" s="64"/>
      <c r="C698" s="64"/>
      <c r="D698" s="65"/>
      <c r="E698" s="67"/>
      <c r="F698" s="111" t="str">
        <f>HYPERLINK("https://pbs.twimg.com/profile_images/1082658784462495744/GIn2Pa6__normal.jpg")</f>
        <v>https://pbs.twimg.com/profile_images/1082658784462495744/GIn2Pa6__normal.jpg</v>
      </c>
      <c r="G698" s="64"/>
      <c r="H698" s="68"/>
      <c r="I698" s="69"/>
      <c r="J698" s="69"/>
      <c r="K698" s="68" t="s">
        <v>29831</v>
      </c>
      <c r="L698" s="72"/>
      <c r="M698" s="73"/>
      <c r="N698" s="73"/>
      <c r="O698" s="74"/>
      <c r="P698" s="75"/>
      <c r="Q698" s="75"/>
      <c r="R698" s="102"/>
      <c r="S698" s="102"/>
      <c r="T698" s="102"/>
      <c r="U698" s="102"/>
      <c r="V698" s="48"/>
      <c r="W698" s="48"/>
      <c r="X698" s="48"/>
      <c r="Y698" s="48"/>
      <c r="Z698" s="47"/>
      <c r="AA698" s="70">
        <v>698</v>
      </c>
      <c r="AB698" s="70"/>
      <c r="AC698" s="71"/>
      <c r="AD698" s="86" t="s">
        <v>24317</v>
      </c>
      <c r="AE698" s="94" t="s">
        <v>23141</v>
      </c>
      <c r="AF698" s="86">
        <v>6</v>
      </c>
      <c r="AG698" s="86">
        <v>2</v>
      </c>
      <c r="AH698" s="86">
        <v>451</v>
      </c>
      <c r="AI698" s="86">
        <v>0</v>
      </c>
      <c r="AJ698" s="86">
        <v>0</v>
      </c>
      <c r="AK698" s="86">
        <v>448</v>
      </c>
      <c r="AL698" s="86" t="b">
        <v>0</v>
      </c>
      <c r="AM698" s="89">
        <v>43473.63658564815</v>
      </c>
      <c r="AN698" s="86" t="s">
        <v>25891</v>
      </c>
      <c r="AO698" s="86" t="s">
        <v>27053</v>
      </c>
      <c r="AP698" s="96" t="str">
        <f>HYPERLINK("https://t.co/qjx1Y7K2Dw")</f>
        <v>https://t.co/qjx1Y7K2Dw</v>
      </c>
      <c r="AQ698" s="96" t="str">
        <f>HYPERLINK("http://www.tmotacontabil.com.br")</f>
        <v>http://www.tmotacontabil.com.br</v>
      </c>
      <c r="AR698" s="86" t="s">
        <v>28371</v>
      </c>
      <c r="AS698" s="86"/>
      <c r="AT698" s="86"/>
      <c r="AU698" s="86"/>
      <c r="AV698" s="86"/>
      <c r="AW698" s="96" t="str">
        <f>HYPERLINK("https://t.co/qjx1Y7K2Dw")</f>
        <v>https://t.co/qjx1Y7K2Dw</v>
      </c>
      <c r="AX698" s="86" t="b">
        <v>0</v>
      </c>
      <c r="AY698" s="86"/>
      <c r="AZ698" s="86"/>
      <c r="BA698" s="86" t="b">
        <v>0</v>
      </c>
      <c r="BB698" s="86" t="b">
        <v>1</v>
      </c>
      <c r="BC698" s="86" t="b">
        <v>1</v>
      </c>
      <c r="BD698" s="86" t="b">
        <v>0</v>
      </c>
      <c r="BE698" s="86" t="b">
        <v>0</v>
      </c>
      <c r="BF698" s="86" t="b">
        <v>0</v>
      </c>
      <c r="BG698" s="86" t="b">
        <v>0</v>
      </c>
      <c r="BH698" s="96" t="str">
        <f>HYPERLINK("https://pbs.twimg.com/profile_banners/1082657349079318531/1546961018")</f>
        <v>https://pbs.twimg.com/profile_banners/1082657349079318531/1546961018</v>
      </c>
      <c r="BI698" s="86"/>
      <c r="BJ698" s="86" t="s">
        <v>29134</v>
      </c>
      <c r="BK698" s="86" t="b">
        <v>0</v>
      </c>
      <c r="BL698" s="86"/>
      <c r="BM698" s="86" t="s">
        <v>66</v>
      </c>
      <c r="BN698" s="86" t="s">
        <v>29136</v>
      </c>
      <c r="BO698" s="96" t="str">
        <f>HYPERLINK("https://twitter.com/tmota_contabil")</f>
        <v>https://twitter.com/tmota_contabil</v>
      </c>
      <c r="BP698" s="2"/>
    </row>
    <row r="699" spans="1:68" x14ac:dyDescent="0.25">
      <c r="A699" s="63" t="s">
        <v>834</v>
      </c>
      <c r="B699" s="64"/>
      <c r="C699" s="64"/>
      <c r="D699" s="65"/>
      <c r="E699" s="67"/>
      <c r="F699" s="111" t="str">
        <f>HYPERLINK("https://pbs.twimg.com/profile_images/1590848840827080704/sLjzr9Q8_normal.jpg")</f>
        <v>https://pbs.twimg.com/profile_images/1590848840827080704/sLjzr9Q8_normal.jpg</v>
      </c>
      <c r="G699" s="64"/>
      <c r="H699" s="68"/>
      <c r="I699" s="69"/>
      <c r="J699" s="69"/>
      <c r="K699" s="68" t="s">
        <v>29832</v>
      </c>
      <c r="L699" s="72"/>
      <c r="M699" s="73"/>
      <c r="N699" s="73"/>
      <c r="O699" s="74"/>
      <c r="P699" s="75"/>
      <c r="Q699" s="75"/>
      <c r="R699" s="102"/>
      <c r="S699" s="102"/>
      <c r="T699" s="102"/>
      <c r="U699" s="102"/>
      <c r="V699" s="48"/>
      <c r="W699" s="48"/>
      <c r="X699" s="48"/>
      <c r="Y699" s="48"/>
      <c r="Z699" s="47"/>
      <c r="AA699" s="70">
        <v>699</v>
      </c>
      <c r="AB699" s="70"/>
      <c r="AC699" s="71"/>
      <c r="AD699" s="86" t="s">
        <v>24318</v>
      </c>
      <c r="AE699" s="94" t="s">
        <v>23142</v>
      </c>
      <c r="AF699" s="86">
        <v>24</v>
      </c>
      <c r="AG699" s="86">
        <v>7</v>
      </c>
      <c r="AH699" s="86">
        <v>116</v>
      </c>
      <c r="AI699" s="86">
        <v>0</v>
      </c>
      <c r="AJ699" s="86">
        <v>22</v>
      </c>
      <c r="AK699" s="86">
        <v>84</v>
      </c>
      <c r="AL699" s="86" t="b">
        <v>0</v>
      </c>
      <c r="AM699" s="89">
        <v>42560.571319444447</v>
      </c>
      <c r="AN699" s="86" t="s">
        <v>15249</v>
      </c>
      <c r="AO699" s="86" t="s">
        <v>27054</v>
      </c>
      <c r="AP699" s="96" t="str">
        <f>HYPERLINK("https://t.co/zeauHxoSym")</f>
        <v>https://t.co/zeauHxoSym</v>
      </c>
      <c r="AQ699" s="96" t="str">
        <f>HYPERLINK("https://ig.rdstation.com/ph.dsports?utm_source=RD+Station+BIO")</f>
        <v>https://ig.rdstation.com/ph.dsports?utm_source=RD+Station+BIO</v>
      </c>
      <c r="AR699" s="86" t="s">
        <v>28372</v>
      </c>
      <c r="AS699" s="86"/>
      <c r="AT699" s="86"/>
      <c r="AU699" s="86"/>
      <c r="AV699" s="86"/>
      <c r="AW699" s="96" t="str">
        <f>HYPERLINK("https://t.co/zeauHxoSym")</f>
        <v>https://t.co/zeauHxoSym</v>
      </c>
      <c r="AX699" s="86" t="b">
        <v>0</v>
      </c>
      <c r="AY699" s="86"/>
      <c r="AZ699" s="86"/>
      <c r="BA699" s="86" t="b">
        <v>1</v>
      </c>
      <c r="BB699" s="86" t="b">
        <v>1</v>
      </c>
      <c r="BC699" s="86" t="b">
        <v>1</v>
      </c>
      <c r="BD699" s="86" t="b">
        <v>0</v>
      </c>
      <c r="BE699" s="86" t="b">
        <v>0</v>
      </c>
      <c r="BF699" s="86" t="b">
        <v>0</v>
      </c>
      <c r="BG699" s="86" t="b">
        <v>0</v>
      </c>
      <c r="BH699" s="96" t="str">
        <f>HYPERLINK("https://pbs.twimg.com/profile_banners/751773576613748736/1668123001")</f>
        <v>https://pbs.twimg.com/profile_banners/751773576613748736/1668123001</v>
      </c>
      <c r="BI699" s="86"/>
      <c r="BJ699" s="86" t="s">
        <v>29134</v>
      </c>
      <c r="BK699" s="86" t="b">
        <v>0</v>
      </c>
      <c r="BL699" s="86"/>
      <c r="BM699" s="86" t="s">
        <v>66</v>
      </c>
      <c r="BN699" s="86" t="s">
        <v>29136</v>
      </c>
      <c r="BO699" s="96" t="str">
        <f>HYPERLINK("https://twitter.com/viktorrossa")</f>
        <v>https://twitter.com/viktorrossa</v>
      </c>
      <c r="BP699" s="2"/>
    </row>
    <row r="700" spans="1:68" x14ac:dyDescent="0.25">
      <c r="A700" s="63" t="s">
        <v>835</v>
      </c>
      <c r="B700" s="64"/>
      <c r="C700" s="64"/>
      <c r="D700" s="65"/>
      <c r="E700" s="67"/>
      <c r="F700" s="111" t="str">
        <f>HYPERLINK("https://pbs.twimg.com/profile_images/1536400658676449280/Ad2hwIH1_normal.jpg")</f>
        <v>https://pbs.twimg.com/profile_images/1536400658676449280/Ad2hwIH1_normal.jpg</v>
      </c>
      <c r="G700" s="64"/>
      <c r="H700" s="68"/>
      <c r="I700" s="69"/>
      <c r="J700" s="69"/>
      <c r="K700" s="68" t="s">
        <v>29833</v>
      </c>
      <c r="L700" s="72"/>
      <c r="M700" s="73"/>
      <c r="N700" s="73"/>
      <c r="O700" s="74"/>
      <c r="P700" s="75"/>
      <c r="Q700" s="75"/>
      <c r="R700" s="102"/>
      <c r="S700" s="102"/>
      <c r="T700" s="102"/>
      <c r="U700" s="102"/>
      <c r="V700" s="48"/>
      <c r="W700" s="48"/>
      <c r="X700" s="48"/>
      <c r="Y700" s="48"/>
      <c r="Z700" s="47"/>
      <c r="AA700" s="70">
        <v>700</v>
      </c>
      <c r="AB700" s="70"/>
      <c r="AC700" s="71"/>
      <c r="AD700" s="86" t="s">
        <v>24319</v>
      </c>
      <c r="AE700" s="94" t="s">
        <v>22583</v>
      </c>
      <c r="AF700" s="86">
        <v>3214</v>
      </c>
      <c r="AG700" s="86">
        <v>1508</v>
      </c>
      <c r="AH700" s="86">
        <v>2693</v>
      </c>
      <c r="AI700" s="86">
        <v>17</v>
      </c>
      <c r="AJ700" s="86">
        <v>2946</v>
      </c>
      <c r="AK700" s="86">
        <v>860</v>
      </c>
      <c r="AL700" s="86" t="b">
        <v>0</v>
      </c>
      <c r="AM700" s="89">
        <v>42522.983842592592</v>
      </c>
      <c r="AN700" s="86"/>
      <c r="AO700" s="86" t="s">
        <v>27055</v>
      </c>
      <c r="AP700" s="96" t="str">
        <f>HYPERLINK("https://t.co/NGu9cyHNGN")</f>
        <v>https://t.co/NGu9cyHNGN</v>
      </c>
      <c r="AQ700" s="96" t="str">
        <f>HYPERLINK("https://linktr.ee/todxsbrasil")</f>
        <v>https://linktr.ee/todxsbrasil</v>
      </c>
      <c r="AR700" s="86" t="s">
        <v>28373</v>
      </c>
      <c r="AS700" s="86"/>
      <c r="AT700" s="86"/>
      <c r="AU700" s="86"/>
      <c r="AV700" s="86">
        <v>1.69724923635682E+18</v>
      </c>
      <c r="AW700" s="96" t="str">
        <f>HYPERLINK("https://t.co/NGu9cyHNGN")</f>
        <v>https://t.co/NGu9cyHNGN</v>
      </c>
      <c r="AX700" s="86" t="b">
        <v>0</v>
      </c>
      <c r="AY700" s="86"/>
      <c r="AZ700" s="86"/>
      <c r="BA700" s="86" t="b">
        <v>1</v>
      </c>
      <c r="BB700" s="86" t="b">
        <v>1</v>
      </c>
      <c r="BC700" s="86" t="b">
        <v>1</v>
      </c>
      <c r="BD700" s="86" t="b">
        <v>0</v>
      </c>
      <c r="BE700" s="86" t="b">
        <v>1</v>
      </c>
      <c r="BF700" s="86" t="b">
        <v>0</v>
      </c>
      <c r="BG700" s="86" t="b">
        <v>0</v>
      </c>
      <c r="BH700" s="96" t="str">
        <f>HYPERLINK("https://pbs.twimg.com/profile_banners/738152328801325057/1625620185")</f>
        <v>https://pbs.twimg.com/profile_banners/738152328801325057/1625620185</v>
      </c>
      <c r="BI700" s="86"/>
      <c r="BJ700" s="86" t="s">
        <v>29134</v>
      </c>
      <c r="BK700" s="86" t="b">
        <v>0</v>
      </c>
      <c r="BL700" s="86"/>
      <c r="BM700" s="86" t="s">
        <v>66</v>
      </c>
      <c r="BN700" s="86" t="s">
        <v>29136</v>
      </c>
      <c r="BO700" s="96" t="str">
        <f>HYPERLINK("https://twitter.com/todxsbrasil")</f>
        <v>https://twitter.com/todxsbrasil</v>
      </c>
      <c r="BP700" s="2"/>
    </row>
    <row r="701" spans="1:68" x14ac:dyDescent="0.25">
      <c r="A701" s="63" t="s">
        <v>836</v>
      </c>
      <c r="B701" s="64"/>
      <c r="C701" s="64"/>
      <c r="D701" s="65"/>
      <c r="E701" s="67"/>
      <c r="F701" s="111" t="str">
        <f>HYPERLINK("https://pbs.twimg.com/profile_images/1687437756333441024/zMcokoOM_normal.jpg")</f>
        <v>https://pbs.twimg.com/profile_images/1687437756333441024/zMcokoOM_normal.jpg</v>
      </c>
      <c r="G701" s="64"/>
      <c r="H701" s="68"/>
      <c r="I701" s="69"/>
      <c r="J701" s="69"/>
      <c r="K701" s="68" t="s">
        <v>29834</v>
      </c>
      <c r="L701" s="72"/>
      <c r="M701" s="73"/>
      <c r="N701" s="73"/>
      <c r="O701" s="74"/>
      <c r="P701" s="75"/>
      <c r="Q701" s="75"/>
      <c r="R701" s="102"/>
      <c r="S701" s="102"/>
      <c r="T701" s="102"/>
      <c r="U701" s="102"/>
      <c r="V701" s="48"/>
      <c r="W701" s="48"/>
      <c r="X701" s="48"/>
      <c r="Y701" s="48"/>
      <c r="Z701" s="47"/>
      <c r="AA701" s="70">
        <v>701</v>
      </c>
      <c r="AB701" s="70"/>
      <c r="AC701" s="71"/>
      <c r="AD701" s="86" t="s">
        <v>24320</v>
      </c>
      <c r="AE701" s="94" t="s">
        <v>23143</v>
      </c>
      <c r="AF701" s="86">
        <v>564</v>
      </c>
      <c r="AG701" s="86">
        <v>559</v>
      </c>
      <c r="AH701" s="86">
        <v>15439</v>
      </c>
      <c r="AI701" s="86">
        <v>2</v>
      </c>
      <c r="AJ701" s="86">
        <v>43732</v>
      </c>
      <c r="AK701" s="86">
        <v>640</v>
      </c>
      <c r="AL701" s="86" t="b">
        <v>0</v>
      </c>
      <c r="AM701" s="89">
        <v>42517.198437500003</v>
      </c>
      <c r="AN701" s="86" t="s">
        <v>15283</v>
      </c>
      <c r="AO701" s="86" t="s">
        <v>27056</v>
      </c>
      <c r="AP701" s="86"/>
      <c r="AQ701" s="86"/>
      <c r="AR701" s="86"/>
      <c r="AS701" s="86"/>
      <c r="AT701" s="86"/>
      <c r="AU701" s="86"/>
      <c r="AV701" s="86">
        <v>1.44842213913314E+18</v>
      </c>
      <c r="AW701" s="86"/>
      <c r="AX701" s="86" t="b">
        <v>0</v>
      </c>
      <c r="AY701" s="86"/>
      <c r="AZ701" s="86"/>
      <c r="BA701" s="86" t="b">
        <v>1</v>
      </c>
      <c r="BB701" s="86" t="b">
        <v>0</v>
      </c>
      <c r="BC701" s="86" t="b">
        <v>0</v>
      </c>
      <c r="BD701" s="86" t="b">
        <v>0</v>
      </c>
      <c r="BE701" s="86" t="b">
        <v>1</v>
      </c>
      <c r="BF701" s="86" t="b">
        <v>0</v>
      </c>
      <c r="BG701" s="86" t="b">
        <v>0</v>
      </c>
      <c r="BH701" s="96" t="str">
        <f>HYPERLINK("https://pbs.twimg.com/profile_banners/736055771041910789/1567369010")</f>
        <v>https://pbs.twimg.com/profile_banners/736055771041910789/1567369010</v>
      </c>
      <c r="BI701" s="86"/>
      <c r="BJ701" s="86" t="s">
        <v>29134</v>
      </c>
      <c r="BK701" s="86" t="b">
        <v>0</v>
      </c>
      <c r="BL701" s="86"/>
      <c r="BM701" s="86" t="s">
        <v>66</v>
      </c>
      <c r="BN701" s="86" t="s">
        <v>29136</v>
      </c>
      <c r="BO701" s="96" t="str">
        <f>HYPERLINK("https://twitter.com/tomasacentuado")</f>
        <v>https://twitter.com/tomasacentuado</v>
      </c>
      <c r="BP701" s="2"/>
    </row>
    <row r="702" spans="1:68" x14ac:dyDescent="0.25">
      <c r="A702" s="63" t="s">
        <v>1693</v>
      </c>
      <c r="B702" s="64"/>
      <c r="C702" s="64"/>
      <c r="D702" s="65"/>
      <c r="E702" s="67"/>
      <c r="F702" s="111" t="str">
        <f>HYPERLINK("https://pbs.twimg.com/profile_images/1706435354276859904/X9IEEQdU_normal.jpg")</f>
        <v>https://pbs.twimg.com/profile_images/1706435354276859904/X9IEEQdU_normal.jpg</v>
      </c>
      <c r="G702" s="64"/>
      <c r="H702" s="68"/>
      <c r="I702" s="69"/>
      <c r="J702" s="69"/>
      <c r="K702" s="68" t="s">
        <v>29835</v>
      </c>
      <c r="L702" s="72"/>
      <c r="M702" s="73"/>
      <c r="N702" s="73"/>
      <c r="O702" s="74"/>
      <c r="P702" s="75"/>
      <c r="Q702" s="75"/>
      <c r="R702" s="102"/>
      <c r="S702" s="102"/>
      <c r="T702" s="102"/>
      <c r="U702" s="102"/>
      <c r="V702" s="48"/>
      <c r="W702" s="48"/>
      <c r="X702" s="48"/>
      <c r="Y702" s="48"/>
      <c r="Z702" s="47"/>
      <c r="AA702" s="70">
        <v>702</v>
      </c>
      <c r="AB702" s="70"/>
      <c r="AC702" s="71"/>
      <c r="AD702" s="86" t="s">
        <v>24321</v>
      </c>
      <c r="AE702" s="94" t="s">
        <v>22584</v>
      </c>
      <c r="AF702" s="86">
        <v>199</v>
      </c>
      <c r="AG702" s="86">
        <v>269</v>
      </c>
      <c r="AH702" s="86">
        <v>24459</v>
      </c>
      <c r="AI702" s="86">
        <v>0</v>
      </c>
      <c r="AJ702" s="86">
        <v>64866</v>
      </c>
      <c r="AK702" s="86">
        <v>1734</v>
      </c>
      <c r="AL702" s="86" t="b">
        <v>0</v>
      </c>
      <c r="AM702" s="89">
        <v>42871.746099537035</v>
      </c>
      <c r="AN702" s="86" t="s">
        <v>15415</v>
      </c>
      <c r="AO702" s="86" t="s">
        <v>27057</v>
      </c>
      <c r="AP702" s="96" t="str">
        <f>HYPERLINK("https://t.co/Fwf5BO2PzJ")</f>
        <v>https://t.co/Fwf5BO2PzJ</v>
      </c>
      <c r="AQ702" s="96" t="str">
        <f>HYPERLINK("http://letterboxd.com/ufoisis")</f>
        <v>http://letterboxd.com/ufoisis</v>
      </c>
      <c r="AR702" s="86" t="s">
        <v>28374</v>
      </c>
      <c r="AS702" s="86"/>
      <c r="AT702" s="86"/>
      <c r="AU702" s="86"/>
      <c r="AV702" s="86">
        <v>1.63528581992064E+18</v>
      </c>
      <c r="AW702" s="96" t="str">
        <f>HYPERLINK("https://t.co/Fwf5BO2PzJ")</f>
        <v>https://t.co/Fwf5BO2PzJ</v>
      </c>
      <c r="AX702" s="86" t="b">
        <v>0</v>
      </c>
      <c r="AY702" s="86"/>
      <c r="AZ702" s="86"/>
      <c r="BA702" s="86" t="b">
        <v>0</v>
      </c>
      <c r="BB702" s="86" t="b">
        <v>0</v>
      </c>
      <c r="BC702" s="86" t="b">
        <v>0</v>
      </c>
      <c r="BD702" s="86" t="b">
        <v>0</v>
      </c>
      <c r="BE702" s="86" t="b">
        <v>1</v>
      </c>
      <c r="BF702" s="86" t="b">
        <v>0</v>
      </c>
      <c r="BG702" s="86" t="b">
        <v>1</v>
      </c>
      <c r="BH702" s="96" t="str">
        <f>HYPERLINK("https://pbs.twimg.com/profile_banners/864539541918670848/1549165843")</f>
        <v>https://pbs.twimg.com/profile_banners/864539541918670848/1549165843</v>
      </c>
      <c r="BI702" s="86"/>
      <c r="BJ702" s="86" t="s">
        <v>29134</v>
      </c>
      <c r="BK702" s="86" t="b">
        <v>0</v>
      </c>
      <c r="BL702" s="86"/>
      <c r="BM702" s="86" t="s">
        <v>65</v>
      </c>
      <c r="BN702" s="86" t="s">
        <v>29136</v>
      </c>
      <c r="BO702" s="96" t="str">
        <f>HYPERLINK("https://twitter.com/ufoisis")</f>
        <v>https://twitter.com/ufoisis</v>
      </c>
      <c r="BP702" s="2"/>
    </row>
    <row r="703" spans="1:68" x14ac:dyDescent="0.25">
      <c r="A703" s="63" t="s">
        <v>837</v>
      </c>
      <c r="B703" s="64"/>
      <c r="C703" s="64"/>
      <c r="D703" s="65"/>
      <c r="E703" s="67"/>
      <c r="F703" s="111" t="str">
        <f>HYPERLINK("https://pbs.twimg.com/profile_images/1435577733250265093/rub_23kx_normal.jpg")</f>
        <v>https://pbs.twimg.com/profile_images/1435577733250265093/rub_23kx_normal.jpg</v>
      </c>
      <c r="G703" s="64"/>
      <c r="H703" s="68"/>
      <c r="I703" s="69"/>
      <c r="J703" s="69"/>
      <c r="K703" s="68" t="s">
        <v>29836</v>
      </c>
      <c r="L703" s="72"/>
      <c r="M703" s="73"/>
      <c r="N703" s="73"/>
      <c r="O703" s="74"/>
      <c r="P703" s="75"/>
      <c r="Q703" s="75"/>
      <c r="R703" s="102"/>
      <c r="S703" s="102"/>
      <c r="T703" s="102"/>
      <c r="U703" s="102"/>
      <c r="V703" s="48"/>
      <c r="W703" s="48"/>
      <c r="X703" s="48"/>
      <c r="Y703" s="48"/>
      <c r="Z703" s="47"/>
      <c r="AA703" s="70">
        <v>703</v>
      </c>
      <c r="AB703" s="70"/>
      <c r="AC703" s="71"/>
      <c r="AD703" s="86" t="s">
        <v>24322</v>
      </c>
      <c r="AE703" s="94" t="s">
        <v>23144</v>
      </c>
      <c r="AF703" s="86">
        <v>4</v>
      </c>
      <c r="AG703" s="86">
        <v>246</v>
      </c>
      <c r="AH703" s="86">
        <v>553</v>
      </c>
      <c r="AI703" s="86">
        <v>0</v>
      </c>
      <c r="AJ703" s="86">
        <v>84</v>
      </c>
      <c r="AK703" s="86">
        <v>20</v>
      </c>
      <c r="AL703" s="86" t="b">
        <v>0</v>
      </c>
      <c r="AM703" s="89">
        <v>43954.476585648146</v>
      </c>
      <c r="AN703" s="86" t="s">
        <v>15249</v>
      </c>
      <c r="AO703" s="86" t="s">
        <v>27058</v>
      </c>
      <c r="AP703" s="86"/>
      <c r="AQ703" s="86"/>
      <c r="AR703" s="86"/>
      <c r="AS703" s="86"/>
      <c r="AT703" s="86"/>
      <c r="AU703" s="86"/>
      <c r="AV703" s="86"/>
      <c r="AW703" s="86"/>
      <c r="AX703" s="86" t="b">
        <v>0</v>
      </c>
      <c r="AY703" s="86"/>
      <c r="AZ703" s="86"/>
      <c r="BA703" s="86" t="b">
        <v>1</v>
      </c>
      <c r="BB703" s="86" t="b">
        <v>0</v>
      </c>
      <c r="BC703" s="86" t="b">
        <v>1</v>
      </c>
      <c r="BD703" s="86" t="b">
        <v>0</v>
      </c>
      <c r="BE703" s="86" t="b">
        <v>0</v>
      </c>
      <c r="BF703" s="86" t="b">
        <v>0</v>
      </c>
      <c r="BG703" s="86" t="b">
        <v>0</v>
      </c>
      <c r="BH703" s="86"/>
      <c r="BI703" s="86"/>
      <c r="BJ703" s="86" t="s">
        <v>29134</v>
      </c>
      <c r="BK703" s="86" t="b">
        <v>0</v>
      </c>
      <c r="BL703" s="86"/>
      <c r="BM703" s="86" t="s">
        <v>66</v>
      </c>
      <c r="BN703" s="86" t="s">
        <v>29136</v>
      </c>
      <c r="BO703" s="96" t="str">
        <f>HYPERLINK("https://twitter.com/veritascuritiba")</f>
        <v>https://twitter.com/veritascuritiba</v>
      </c>
      <c r="BP703" s="2"/>
    </row>
    <row r="704" spans="1:68" x14ac:dyDescent="0.25">
      <c r="A704" s="63" t="s">
        <v>838</v>
      </c>
      <c r="B704" s="64"/>
      <c r="C704" s="64"/>
      <c r="D704" s="65"/>
      <c r="E704" s="67"/>
      <c r="F704" s="111" t="str">
        <f>HYPERLINK("https://pbs.twimg.com/profile_images/1678623715129532418/tAeLP2zk_normal.jpg")</f>
        <v>https://pbs.twimg.com/profile_images/1678623715129532418/tAeLP2zk_normal.jpg</v>
      </c>
      <c r="G704" s="64"/>
      <c r="H704" s="68"/>
      <c r="I704" s="69"/>
      <c r="J704" s="69"/>
      <c r="K704" s="68" t="s">
        <v>29837</v>
      </c>
      <c r="L704" s="72"/>
      <c r="M704" s="73"/>
      <c r="N704" s="73"/>
      <c r="O704" s="74"/>
      <c r="P704" s="75"/>
      <c r="Q704" s="75"/>
      <c r="R704" s="102"/>
      <c r="S704" s="102"/>
      <c r="T704" s="102"/>
      <c r="U704" s="102"/>
      <c r="V704" s="48"/>
      <c r="W704" s="48"/>
      <c r="X704" s="48"/>
      <c r="Y704" s="48"/>
      <c r="Z704" s="47"/>
      <c r="AA704" s="70">
        <v>704</v>
      </c>
      <c r="AB704" s="70"/>
      <c r="AC704" s="71"/>
      <c r="AD704" s="86" t="s">
        <v>24323</v>
      </c>
      <c r="AE704" s="94" t="s">
        <v>23145</v>
      </c>
      <c r="AF704" s="86">
        <v>2</v>
      </c>
      <c r="AG704" s="86">
        <v>30</v>
      </c>
      <c r="AH704" s="86">
        <v>21</v>
      </c>
      <c r="AI704" s="86">
        <v>0</v>
      </c>
      <c r="AJ704" s="86">
        <v>1</v>
      </c>
      <c r="AK704" s="86">
        <v>1</v>
      </c>
      <c r="AL704" s="86" t="b">
        <v>0</v>
      </c>
      <c r="AM704" s="89">
        <v>44928.752129629633</v>
      </c>
      <c r="AN704" s="86" t="s">
        <v>26129</v>
      </c>
      <c r="AO704" s="86" t="s">
        <v>27059</v>
      </c>
      <c r="AP704" s="96" t="str">
        <f>HYPERLINK("https://t.co/Yc8c6P6oiM")</f>
        <v>https://t.co/Yc8c6P6oiM</v>
      </c>
      <c r="AQ704" s="96" t="str">
        <f>HYPERLINK("https://agenciagrifo.com.br")</f>
        <v>https://agenciagrifo.com.br</v>
      </c>
      <c r="AR704" s="86" t="s">
        <v>28375</v>
      </c>
      <c r="AS704" s="86"/>
      <c r="AT704" s="86"/>
      <c r="AU704" s="86"/>
      <c r="AV704" s="86"/>
      <c r="AW704" s="96" t="str">
        <f>HYPERLINK("https://t.co/Yc8c6P6oiM")</f>
        <v>https://t.co/Yc8c6P6oiM</v>
      </c>
      <c r="AX704" s="86" t="b">
        <v>0</v>
      </c>
      <c r="AY704" s="86"/>
      <c r="AZ704" s="86"/>
      <c r="BA704" s="86" t="b">
        <v>0</v>
      </c>
      <c r="BB704" s="86" t="b">
        <v>0</v>
      </c>
      <c r="BC704" s="86" t="b">
        <v>1</v>
      </c>
      <c r="BD704" s="86" t="b">
        <v>0</v>
      </c>
      <c r="BE704" s="86" t="b">
        <v>0</v>
      </c>
      <c r="BF704" s="86" t="b">
        <v>0</v>
      </c>
      <c r="BG704" s="86" t="b">
        <v>0</v>
      </c>
      <c r="BH704" s="96" t="str">
        <f>HYPERLINK("https://pbs.twimg.com/profile_banners/1609973477557080064/1689050056")</f>
        <v>https://pbs.twimg.com/profile_banners/1609973477557080064/1689050056</v>
      </c>
      <c r="BI704" s="86"/>
      <c r="BJ704" s="86" t="s">
        <v>29134</v>
      </c>
      <c r="BK704" s="86" t="b">
        <v>0</v>
      </c>
      <c r="BL704" s="86"/>
      <c r="BM704" s="86" t="s">
        <v>66</v>
      </c>
      <c r="BN704" s="86" t="s">
        <v>29136</v>
      </c>
      <c r="BO704" s="96" t="str">
        <f>HYPERLINK("https://twitter.com/grifoart")</f>
        <v>https://twitter.com/grifoart</v>
      </c>
      <c r="BP704" s="2"/>
    </row>
    <row r="705" spans="1:68" x14ac:dyDescent="0.25">
      <c r="A705" s="63" t="s">
        <v>839</v>
      </c>
      <c r="B705" s="64"/>
      <c r="C705" s="64"/>
      <c r="D705" s="65"/>
      <c r="E705" s="67"/>
      <c r="F705" s="111" t="str">
        <f>HYPERLINK("https://pbs.twimg.com/profile_images/1660735693709103104/rqfpZox-_normal.jpg")</f>
        <v>https://pbs.twimg.com/profile_images/1660735693709103104/rqfpZox-_normal.jpg</v>
      </c>
      <c r="G705" s="64"/>
      <c r="H705" s="68"/>
      <c r="I705" s="69"/>
      <c r="J705" s="69"/>
      <c r="K705" s="68" t="s">
        <v>29838</v>
      </c>
      <c r="L705" s="72"/>
      <c r="M705" s="73"/>
      <c r="N705" s="73"/>
      <c r="O705" s="74"/>
      <c r="P705" s="75"/>
      <c r="Q705" s="75"/>
      <c r="R705" s="102"/>
      <c r="S705" s="102"/>
      <c r="T705" s="102"/>
      <c r="U705" s="102"/>
      <c r="V705" s="48"/>
      <c r="W705" s="48"/>
      <c r="X705" s="48"/>
      <c r="Y705" s="48"/>
      <c r="Z705" s="47"/>
      <c r="AA705" s="70">
        <v>705</v>
      </c>
      <c r="AB705" s="70"/>
      <c r="AC705" s="71"/>
      <c r="AD705" s="86" t="s">
        <v>24324</v>
      </c>
      <c r="AE705" s="94" t="s">
        <v>23146</v>
      </c>
      <c r="AF705" s="86">
        <v>13</v>
      </c>
      <c r="AG705" s="86">
        <v>62</v>
      </c>
      <c r="AH705" s="86">
        <v>246</v>
      </c>
      <c r="AI705" s="86">
        <v>0</v>
      </c>
      <c r="AJ705" s="86">
        <v>148</v>
      </c>
      <c r="AK705" s="86">
        <v>38</v>
      </c>
      <c r="AL705" s="86" t="b">
        <v>0</v>
      </c>
      <c r="AM705" s="89">
        <v>44068.525405092594</v>
      </c>
      <c r="AN705" s="86" t="s">
        <v>25980</v>
      </c>
      <c r="AO705" s="86" t="s">
        <v>27060</v>
      </c>
      <c r="AP705" s="96" t="str">
        <f>HYPERLINK("https://t.co/AFO01exUU1")</f>
        <v>https://t.co/AFO01exUU1</v>
      </c>
      <c r="AQ705" s="96" t="str">
        <f>HYPERLINK("http://www.buuk.com.br")</f>
        <v>http://www.buuk.com.br</v>
      </c>
      <c r="AR705" s="86" t="s">
        <v>28376</v>
      </c>
      <c r="AS705" s="86"/>
      <c r="AT705" s="86"/>
      <c r="AU705" s="86"/>
      <c r="AV705" s="86">
        <v>1.6799577574058399E+18</v>
      </c>
      <c r="AW705" s="96" t="str">
        <f>HYPERLINK("https://t.co/AFO01exUU1")</f>
        <v>https://t.co/AFO01exUU1</v>
      </c>
      <c r="AX705" s="86" t="b">
        <v>0</v>
      </c>
      <c r="AY705" s="86"/>
      <c r="AZ705" s="86"/>
      <c r="BA705" s="86" t="b">
        <v>1</v>
      </c>
      <c r="BB705" s="86" t="b">
        <v>1</v>
      </c>
      <c r="BC705" s="86" t="b">
        <v>1</v>
      </c>
      <c r="BD705" s="86" t="b">
        <v>0</v>
      </c>
      <c r="BE705" s="86" t="b">
        <v>1</v>
      </c>
      <c r="BF705" s="86" t="b">
        <v>0</v>
      </c>
      <c r="BG705" s="86" t="b">
        <v>0</v>
      </c>
      <c r="BH705" s="96" t="str">
        <f>HYPERLINK("https://pbs.twimg.com/profile_banners/1298237802908459008/1641687460")</f>
        <v>https://pbs.twimg.com/profile_banners/1298237802908459008/1641687460</v>
      </c>
      <c r="BI705" s="86"/>
      <c r="BJ705" s="86" t="s">
        <v>29134</v>
      </c>
      <c r="BK705" s="86" t="b">
        <v>0</v>
      </c>
      <c r="BL705" s="86"/>
      <c r="BM705" s="86" t="s">
        <v>66</v>
      </c>
      <c r="BN705" s="86" t="s">
        <v>29136</v>
      </c>
      <c r="BO705" s="96" t="str">
        <f>HYPERLINK("https://twitter.com/buuk_ad")</f>
        <v>https://twitter.com/buuk_ad</v>
      </c>
      <c r="BP705" s="2"/>
    </row>
    <row r="706" spans="1:68" x14ac:dyDescent="0.25">
      <c r="A706" s="63" t="s">
        <v>840</v>
      </c>
      <c r="B706" s="64"/>
      <c r="C706" s="64"/>
      <c r="D706" s="65"/>
      <c r="E706" s="67"/>
      <c r="F706" s="111" t="str">
        <f>HYPERLINK("https://pbs.twimg.com/profile_images/1211689228087812096/Gn7stsEq_normal.jpg")</f>
        <v>https://pbs.twimg.com/profile_images/1211689228087812096/Gn7stsEq_normal.jpg</v>
      </c>
      <c r="G706" s="64"/>
      <c r="H706" s="68"/>
      <c r="I706" s="69"/>
      <c r="J706" s="69"/>
      <c r="K706" s="68" t="s">
        <v>29839</v>
      </c>
      <c r="L706" s="72"/>
      <c r="M706" s="73"/>
      <c r="N706" s="73"/>
      <c r="O706" s="74"/>
      <c r="P706" s="75"/>
      <c r="Q706" s="75"/>
      <c r="R706" s="102"/>
      <c r="S706" s="102"/>
      <c r="T706" s="102"/>
      <c r="U706" s="102"/>
      <c r="V706" s="48"/>
      <c r="W706" s="48"/>
      <c r="X706" s="48"/>
      <c r="Y706" s="48"/>
      <c r="Z706" s="47"/>
      <c r="AA706" s="70">
        <v>706</v>
      </c>
      <c r="AB706" s="70"/>
      <c r="AC706" s="71"/>
      <c r="AD706" s="86" t="s">
        <v>24325</v>
      </c>
      <c r="AE706" s="94" t="s">
        <v>25489</v>
      </c>
      <c r="AF706" s="86">
        <v>181</v>
      </c>
      <c r="AG706" s="86">
        <v>1152</v>
      </c>
      <c r="AH706" s="86">
        <v>18670</v>
      </c>
      <c r="AI706" s="86">
        <v>0</v>
      </c>
      <c r="AJ706" s="86">
        <v>17444</v>
      </c>
      <c r="AK706" s="86">
        <v>285</v>
      </c>
      <c r="AL706" s="86" t="b">
        <v>0</v>
      </c>
      <c r="AM706" s="89">
        <v>40010.936273148145</v>
      </c>
      <c r="AN706" s="86" t="s">
        <v>25895</v>
      </c>
      <c r="AO706" s="86" t="s">
        <v>27061</v>
      </c>
      <c r="AP706" s="86"/>
      <c r="AQ706" s="86"/>
      <c r="AR706" s="86"/>
      <c r="AS706" s="86"/>
      <c r="AT706" s="86"/>
      <c r="AU706" s="86"/>
      <c r="AV706" s="86">
        <v>1.2892113958091799E+18</v>
      </c>
      <c r="AW706" s="86"/>
      <c r="AX706" s="86" t="b">
        <v>0</v>
      </c>
      <c r="AY706" s="86"/>
      <c r="AZ706" s="86"/>
      <c r="BA706" s="86" t="b">
        <v>0</v>
      </c>
      <c r="BB706" s="86" t="b">
        <v>1</v>
      </c>
      <c r="BC706" s="86" t="b">
        <v>0</v>
      </c>
      <c r="BD706" s="86" t="b">
        <v>0</v>
      </c>
      <c r="BE706" s="86" t="b">
        <v>1</v>
      </c>
      <c r="BF706" s="86" t="b">
        <v>0</v>
      </c>
      <c r="BG706" s="86" t="b">
        <v>0</v>
      </c>
      <c r="BH706" s="86"/>
      <c r="BI706" s="86"/>
      <c r="BJ706" s="86" t="s">
        <v>29134</v>
      </c>
      <c r="BK706" s="86" t="b">
        <v>0</v>
      </c>
      <c r="BL706" s="86"/>
      <c r="BM706" s="86" t="s">
        <v>66</v>
      </c>
      <c r="BN706" s="86" t="s">
        <v>29136</v>
      </c>
      <c r="BO706" s="96" t="str">
        <f>HYPERLINK("https://twitter.com/garciaimoveis")</f>
        <v>https://twitter.com/garciaimoveis</v>
      </c>
      <c r="BP706" s="2"/>
    </row>
    <row r="707" spans="1:68" x14ac:dyDescent="0.25">
      <c r="A707" s="63" t="s">
        <v>841</v>
      </c>
      <c r="B707" s="64"/>
      <c r="C707" s="64"/>
      <c r="D707" s="65"/>
      <c r="E707" s="67"/>
      <c r="F707" s="111" t="str">
        <f>HYPERLINK("https://pbs.twimg.com/profile_images/1584511648060112897/tOugcNco_normal.png")</f>
        <v>https://pbs.twimg.com/profile_images/1584511648060112897/tOugcNco_normal.png</v>
      </c>
      <c r="G707" s="64"/>
      <c r="H707" s="68"/>
      <c r="I707" s="69"/>
      <c r="J707" s="69"/>
      <c r="K707" s="68" t="s">
        <v>29840</v>
      </c>
      <c r="L707" s="72"/>
      <c r="M707" s="73"/>
      <c r="N707" s="73"/>
      <c r="O707" s="74"/>
      <c r="P707" s="75"/>
      <c r="Q707" s="75"/>
      <c r="R707" s="102"/>
      <c r="S707" s="102"/>
      <c r="T707" s="102"/>
      <c r="U707" s="102"/>
      <c r="V707" s="48"/>
      <c r="W707" s="48"/>
      <c r="X707" s="48"/>
      <c r="Y707" s="48"/>
      <c r="Z707" s="47"/>
      <c r="AA707" s="70">
        <v>707</v>
      </c>
      <c r="AB707" s="70"/>
      <c r="AC707" s="71"/>
      <c r="AD707" s="86" t="s">
        <v>24326</v>
      </c>
      <c r="AE707" s="94" t="s">
        <v>23147</v>
      </c>
      <c r="AF707" s="86">
        <v>19</v>
      </c>
      <c r="AG707" s="86">
        <v>18</v>
      </c>
      <c r="AH707" s="86">
        <v>3643</v>
      </c>
      <c r="AI707" s="86">
        <v>0</v>
      </c>
      <c r="AJ707" s="86">
        <v>13691</v>
      </c>
      <c r="AK707" s="86">
        <v>113</v>
      </c>
      <c r="AL707" s="86" t="b">
        <v>0</v>
      </c>
      <c r="AM707" s="89">
        <v>44858.490624999999</v>
      </c>
      <c r="AN707" s="86" t="s">
        <v>26130</v>
      </c>
      <c r="AO707" s="86" t="s">
        <v>27062</v>
      </c>
      <c r="AP707" s="96" t="str">
        <f>HYPERLINK("https://t.co/4tpknjVhth")</f>
        <v>https://t.co/4tpknjVhth</v>
      </c>
      <c r="AQ707" s="96" t="str">
        <f>HYPERLINK("https://www.artesdadri.com.br/")</f>
        <v>https://www.artesdadri.com.br/</v>
      </c>
      <c r="AR707" s="86" t="s">
        <v>28377</v>
      </c>
      <c r="AS707" s="86"/>
      <c r="AT707" s="86"/>
      <c r="AU707" s="86"/>
      <c r="AV707" s="86"/>
      <c r="AW707" s="96" t="str">
        <f>HYPERLINK("https://t.co/4tpknjVhth")</f>
        <v>https://t.co/4tpknjVhth</v>
      </c>
      <c r="AX707" s="86" t="b">
        <v>0</v>
      </c>
      <c r="AY707" s="86"/>
      <c r="AZ707" s="86"/>
      <c r="BA707" s="86" t="b">
        <v>0</v>
      </c>
      <c r="BB707" s="86" t="b">
        <v>1</v>
      </c>
      <c r="BC707" s="86" t="b">
        <v>1</v>
      </c>
      <c r="BD707" s="86" t="b">
        <v>0</v>
      </c>
      <c r="BE707" s="86" t="b">
        <v>1</v>
      </c>
      <c r="BF707" s="86" t="b">
        <v>0</v>
      </c>
      <c r="BG707" s="86" t="b">
        <v>0</v>
      </c>
      <c r="BH707" s="96" t="str">
        <f>HYPERLINK("https://pbs.twimg.com/profile_banners/1584511544314023938/1676679513")</f>
        <v>https://pbs.twimg.com/profile_banners/1584511544314023938/1676679513</v>
      </c>
      <c r="BI707" s="86"/>
      <c r="BJ707" s="86" t="s">
        <v>29134</v>
      </c>
      <c r="BK707" s="86" t="b">
        <v>0</v>
      </c>
      <c r="BL707" s="86"/>
      <c r="BM707" s="86" t="s">
        <v>66</v>
      </c>
      <c r="BN707" s="86" t="s">
        <v>29136</v>
      </c>
      <c r="BO707" s="96" t="str">
        <f>HYPERLINK("https://twitter.com/passanuma")</f>
        <v>https://twitter.com/passanuma</v>
      </c>
      <c r="BP707" s="2"/>
    </row>
    <row r="708" spans="1:68" x14ac:dyDescent="0.25">
      <c r="A708" s="63" t="s">
        <v>842</v>
      </c>
      <c r="B708" s="64"/>
      <c r="C708" s="64"/>
      <c r="D708" s="65"/>
      <c r="E708" s="67"/>
      <c r="F708" s="111" t="str">
        <f>HYPERLINK("https://pbs.twimg.com/profile_images/1667326263093067777/r3PmTWr2_normal.jpg")</f>
        <v>https://pbs.twimg.com/profile_images/1667326263093067777/r3PmTWr2_normal.jpg</v>
      </c>
      <c r="G708" s="64"/>
      <c r="H708" s="68"/>
      <c r="I708" s="69"/>
      <c r="J708" s="69"/>
      <c r="K708" s="68" t="s">
        <v>29841</v>
      </c>
      <c r="L708" s="72"/>
      <c r="M708" s="73"/>
      <c r="N708" s="73"/>
      <c r="O708" s="74"/>
      <c r="P708" s="75"/>
      <c r="Q708" s="75"/>
      <c r="R708" s="102"/>
      <c r="S708" s="102"/>
      <c r="T708" s="102"/>
      <c r="U708" s="102"/>
      <c r="V708" s="48"/>
      <c r="W708" s="48"/>
      <c r="X708" s="48"/>
      <c r="Y708" s="48"/>
      <c r="Z708" s="47"/>
      <c r="AA708" s="70">
        <v>708</v>
      </c>
      <c r="AB708" s="70"/>
      <c r="AC708" s="71"/>
      <c r="AD708" s="86" t="s">
        <v>24327</v>
      </c>
      <c r="AE708" s="94" t="s">
        <v>23148</v>
      </c>
      <c r="AF708" s="86">
        <v>0</v>
      </c>
      <c r="AG708" s="86">
        <v>39</v>
      </c>
      <c r="AH708" s="86">
        <v>104</v>
      </c>
      <c r="AI708" s="86">
        <v>0</v>
      </c>
      <c r="AJ708" s="86">
        <v>0</v>
      </c>
      <c r="AK708" s="86">
        <v>53</v>
      </c>
      <c r="AL708" s="86" t="b">
        <v>0</v>
      </c>
      <c r="AM708" s="89">
        <v>44571.453287037039</v>
      </c>
      <c r="AN708" s="86" t="s">
        <v>15285</v>
      </c>
      <c r="AO708" s="86" t="s">
        <v>27063</v>
      </c>
      <c r="AP708" s="86"/>
      <c r="AQ708" s="86"/>
      <c r="AR708" s="86"/>
      <c r="AS708" s="86"/>
      <c r="AT708" s="86"/>
      <c r="AU708" s="86"/>
      <c r="AV708" s="86"/>
      <c r="AW708" s="86"/>
      <c r="AX708" s="86" t="b">
        <v>0</v>
      </c>
      <c r="AY708" s="86"/>
      <c r="AZ708" s="86"/>
      <c r="BA708" s="86" t="b">
        <v>0</v>
      </c>
      <c r="BB708" s="86" t="b">
        <v>1</v>
      </c>
      <c r="BC708" s="86" t="b">
        <v>1</v>
      </c>
      <c r="BD708" s="86" t="b">
        <v>0</v>
      </c>
      <c r="BE708" s="86" t="b">
        <v>0</v>
      </c>
      <c r="BF708" s="86" t="b">
        <v>0</v>
      </c>
      <c r="BG708" s="86" t="b">
        <v>0</v>
      </c>
      <c r="BH708" s="96" t="str">
        <f>HYPERLINK("https://pbs.twimg.com/profile_banners/1480492619541139457/1686356532")</f>
        <v>https://pbs.twimg.com/profile_banners/1480492619541139457/1686356532</v>
      </c>
      <c r="BI708" s="86"/>
      <c r="BJ708" s="86" t="s">
        <v>29134</v>
      </c>
      <c r="BK708" s="86" t="b">
        <v>0</v>
      </c>
      <c r="BL708" s="86"/>
      <c r="BM708" s="86" t="s">
        <v>66</v>
      </c>
      <c r="BN708" s="86" t="s">
        <v>29136</v>
      </c>
      <c r="BO708" s="96" t="str">
        <f>HYPERLINK("https://twitter.com/iberezanski")</f>
        <v>https://twitter.com/iberezanski</v>
      </c>
      <c r="BP708" s="2"/>
    </row>
    <row r="709" spans="1:68" x14ac:dyDescent="0.25">
      <c r="A709" s="63" t="s">
        <v>843</v>
      </c>
      <c r="B709" s="64"/>
      <c r="C709" s="64"/>
      <c r="D709" s="65"/>
      <c r="E709" s="67"/>
      <c r="F709" s="111" t="str">
        <f>HYPERLINK("https://pbs.twimg.com/profile_images/1599027557248155649/21S4sgGK_normal.png")</f>
        <v>https://pbs.twimg.com/profile_images/1599027557248155649/21S4sgGK_normal.png</v>
      </c>
      <c r="G709" s="64"/>
      <c r="H709" s="68"/>
      <c r="I709" s="69"/>
      <c r="J709" s="69"/>
      <c r="K709" s="68" t="s">
        <v>29842</v>
      </c>
      <c r="L709" s="72"/>
      <c r="M709" s="73"/>
      <c r="N709" s="73"/>
      <c r="O709" s="74"/>
      <c r="P709" s="75"/>
      <c r="Q709" s="75"/>
      <c r="R709" s="102"/>
      <c r="S709" s="102"/>
      <c r="T709" s="102"/>
      <c r="U709" s="102"/>
      <c r="V709" s="48"/>
      <c r="W709" s="48"/>
      <c r="X709" s="48"/>
      <c r="Y709" s="48"/>
      <c r="Z709" s="47"/>
      <c r="AA709" s="70">
        <v>709</v>
      </c>
      <c r="AB709" s="70"/>
      <c r="AC709" s="71"/>
      <c r="AD709" s="86" t="s">
        <v>24328</v>
      </c>
      <c r="AE709" s="94" t="s">
        <v>23149</v>
      </c>
      <c r="AF709" s="86">
        <v>8</v>
      </c>
      <c r="AG709" s="86">
        <v>82</v>
      </c>
      <c r="AH709" s="86">
        <v>155</v>
      </c>
      <c r="AI709" s="86">
        <v>1</v>
      </c>
      <c r="AJ709" s="86">
        <v>12</v>
      </c>
      <c r="AK709" s="86">
        <v>148</v>
      </c>
      <c r="AL709" s="86" t="b">
        <v>0</v>
      </c>
      <c r="AM709" s="89">
        <v>44898.546898148146</v>
      </c>
      <c r="AN709" s="86" t="s">
        <v>26131</v>
      </c>
      <c r="AO709" s="86" t="s">
        <v>27064</v>
      </c>
      <c r="AP709" s="96" t="str">
        <f>HYPERLINK("https://t.co/HRAhGU0wZP")</f>
        <v>https://t.co/HRAhGU0wZP</v>
      </c>
      <c r="AQ709" s="96" t="str">
        <f>HYPERLINK("https://taxservicesinfinity.com/")</f>
        <v>https://taxservicesinfinity.com/</v>
      </c>
      <c r="AR709" s="86" t="s">
        <v>28378</v>
      </c>
      <c r="AS709" s="86"/>
      <c r="AT709" s="86"/>
      <c r="AU709" s="86"/>
      <c r="AV709" s="86"/>
      <c r="AW709" s="96" t="str">
        <f>HYPERLINK("https://t.co/HRAhGU0wZP")</f>
        <v>https://t.co/HRAhGU0wZP</v>
      </c>
      <c r="AX709" s="86" t="b">
        <v>0</v>
      </c>
      <c r="AY709" s="86"/>
      <c r="AZ709" s="86"/>
      <c r="BA709" s="86" t="b">
        <v>0</v>
      </c>
      <c r="BB709" s="86" t="b">
        <v>1</v>
      </c>
      <c r="BC709" s="86" t="b">
        <v>1</v>
      </c>
      <c r="BD709" s="86" t="b">
        <v>0</v>
      </c>
      <c r="BE709" s="86" t="b">
        <v>0</v>
      </c>
      <c r="BF709" s="86" t="b">
        <v>0</v>
      </c>
      <c r="BG709" s="86" t="b">
        <v>0</v>
      </c>
      <c r="BH709" s="96" t="str">
        <f>HYPERLINK("https://pbs.twimg.com/profile_banners/1599027403380097032/1690558613")</f>
        <v>https://pbs.twimg.com/profile_banners/1599027403380097032/1690558613</v>
      </c>
      <c r="BI709" s="86"/>
      <c r="BJ709" s="86" t="s">
        <v>29134</v>
      </c>
      <c r="BK709" s="86" t="b">
        <v>0</v>
      </c>
      <c r="BL709" s="86"/>
      <c r="BM709" s="86" t="s">
        <v>66</v>
      </c>
      <c r="BN709" s="86" t="s">
        <v>29136</v>
      </c>
      <c r="BO709" s="96" t="str">
        <f>HYPERLINK("https://twitter.com/tax_infinity")</f>
        <v>https://twitter.com/tax_infinity</v>
      </c>
      <c r="BP709" s="2"/>
    </row>
    <row r="710" spans="1:68" x14ac:dyDescent="0.25">
      <c r="A710" s="63" t="s">
        <v>844</v>
      </c>
      <c r="B710" s="64"/>
      <c r="C710" s="64"/>
      <c r="D710" s="65"/>
      <c r="E710" s="67"/>
      <c r="F710" s="111" t="str">
        <f>HYPERLINK("https://abs.twimg.com/sticky/default_profile_images/default_profile_normal.png")</f>
        <v>https://abs.twimg.com/sticky/default_profile_images/default_profile_normal.png</v>
      </c>
      <c r="G710" s="64"/>
      <c r="H710" s="68"/>
      <c r="I710" s="69"/>
      <c r="J710" s="69"/>
      <c r="K710" s="68" t="s">
        <v>29843</v>
      </c>
      <c r="L710" s="72"/>
      <c r="M710" s="73"/>
      <c r="N710" s="73"/>
      <c r="O710" s="74"/>
      <c r="P710" s="75"/>
      <c r="Q710" s="75"/>
      <c r="R710" s="102"/>
      <c r="S710" s="102"/>
      <c r="T710" s="102"/>
      <c r="U710" s="102"/>
      <c r="V710" s="48"/>
      <c r="W710" s="48"/>
      <c r="X710" s="48"/>
      <c r="Y710" s="48"/>
      <c r="Z710" s="47"/>
      <c r="AA710" s="70">
        <v>710</v>
      </c>
      <c r="AB710" s="70"/>
      <c r="AC710" s="71"/>
      <c r="AD710" s="86" t="s">
        <v>24329</v>
      </c>
      <c r="AE710" s="94" t="s">
        <v>25490</v>
      </c>
      <c r="AF710" s="86">
        <v>13</v>
      </c>
      <c r="AG710" s="86">
        <v>4</v>
      </c>
      <c r="AH710" s="86">
        <v>295</v>
      </c>
      <c r="AI710" s="86">
        <v>1</v>
      </c>
      <c r="AJ710" s="86">
        <v>29</v>
      </c>
      <c r="AK710" s="86">
        <v>282</v>
      </c>
      <c r="AL710" s="86" t="b">
        <v>0</v>
      </c>
      <c r="AM710" s="89">
        <v>40720.050057870372</v>
      </c>
      <c r="AN710" s="86"/>
      <c r="AO710" s="86"/>
      <c r="AP710" s="86"/>
      <c r="AQ710" s="86"/>
      <c r="AR710" s="86"/>
      <c r="AS710" s="86"/>
      <c r="AT710" s="86"/>
      <c r="AU710" s="86"/>
      <c r="AV710" s="86"/>
      <c r="AW710" s="86"/>
      <c r="AX710" s="86" t="b">
        <v>0</v>
      </c>
      <c r="AY710" s="86"/>
      <c r="AZ710" s="86"/>
      <c r="BA710" s="86" t="b">
        <v>0</v>
      </c>
      <c r="BB710" s="86" t="b">
        <v>1</v>
      </c>
      <c r="BC710" s="86" t="b">
        <v>1</v>
      </c>
      <c r="BD710" s="86" t="b">
        <v>1</v>
      </c>
      <c r="BE710" s="86" t="b">
        <v>0</v>
      </c>
      <c r="BF710" s="86" t="b">
        <v>0</v>
      </c>
      <c r="BG710" s="86" t="b">
        <v>0</v>
      </c>
      <c r="BH710" s="86"/>
      <c r="BI710" s="86"/>
      <c r="BJ710" s="86" t="s">
        <v>29134</v>
      </c>
      <c r="BK710" s="86" t="b">
        <v>0</v>
      </c>
      <c r="BL710" s="86"/>
      <c r="BM710" s="86" t="s">
        <v>66</v>
      </c>
      <c r="BN710" s="86" t="s">
        <v>29136</v>
      </c>
      <c r="BO710" s="96" t="str">
        <f>HYPERLINK("https://twitter.com/wkalaes")</f>
        <v>https://twitter.com/wkalaes</v>
      </c>
      <c r="BP710" s="2"/>
    </row>
    <row r="711" spans="1:68" x14ac:dyDescent="0.25">
      <c r="A711" s="63" t="s">
        <v>845</v>
      </c>
      <c r="B711" s="64"/>
      <c r="C711" s="64"/>
      <c r="D711" s="65"/>
      <c r="E711" s="67"/>
      <c r="F711" s="111" t="str">
        <f>HYPERLINK("https://pbs.twimg.com/profile_images/1675615260902916098/3oylFcXt_normal.jpg")</f>
        <v>https://pbs.twimg.com/profile_images/1675615260902916098/3oylFcXt_normal.jpg</v>
      </c>
      <c r="G711" s="64"/>
      <c r="H711" s="68"/>
      <c r="I711" s="69"/>
      <c r="J711" s="69"/>
      <c r="K711" s="68" t="s">
        <v>29844</v>
      </c>
      <c r="L711" s="72"/>
      <c r="M711" s="73"/>
      <c r="N711" s="73"/>
      <c r="O711" s="74"/>
      <c r="P711" s="75"/>
      <c r="Q711" s="75"/>
      <c r="R711" s="102"/>
      <c r="S711" s="102"/>
      <c r="T711" s="102"/>
      <c r="U711" s="102"/>
      <c r="V711" s="48"/>
      <c r="W711" s="48"/>
      <c r="X711" s="48"/>
      <c r="Y711" s="48"/>
      <c r="Z711" s="47"/>
      <c r="AA711" s="70">
        <v>711</v>
      </c>
      <c r="AB711" s="70"/>
      <c r="AC711" s="71"/>
      <c r="AD711" s="86" t="s">
        <v>24330</v>
      </c>
      <c r="AE711" s="94" t="s">
        <v>23150</v>
      </c>
      <c r="AF711" s="86">
        <v>2</v>
      </c>
      <c r="AG711" s="86">
        <v>10</v>
      </c>
      <c r="AH711" s="86">
        <v>447</v>
      </c>
      <c r="AI711" s="86">
        <v>0</v>
      </c>
      <c r="AJ711" s="86">
        <v>56</v>
      </c>
      <c r="AK711" s="86">
        <v>442</v>
      </c>
      <c r="AL711" s="86" t="b">
        <v>0</v>
      </c>
      <c r="AM711" s="89">
        <v>43980.113807870373</v>
      </c>
      <c r="AN711" s="86" t="s">
        <v>15246</v>
      </c>
      <c r="AO711" s="86" t="s">
        <v>27065</v>
      </c>
      <c r="AP711" s="86"/>
      <c r="AQ711" s="86"/>
      <c r="AR711" s="86"/>
      <c r="AS711" s="86"/>
      <c r="AT711" s="86"/>
      <c r="AU711" s="86"/>
      <c r="AV711" s="86"/>
      <c r="AW711" s="86"/>
      <c r="AX711" s="86" t="b">
        <v>0</v>
      </c>
      <c r="AY711" s="86"/>
      <c r="AZ711" s="86"/>
      <c r="BA711" s="86" t="b">
        <v>0</v>
      </c>
      <c r="BB711" s="86" t="b">
        <v>1</v>
      </c>
      <c r="BC711" s="86" t="b">
        <v>1</v>
      </c>
      <c r="BD711" s="86" t="b">
        <v>0</v>
      </c>
      <c r="BE711" s="86" t="b">
        <v>0</v>
      </c>
      <c r="BF711" s="86" t="b">
        <v>0</v>
      </c>
      <c r="BG711" s="86" t="b">
        <v>0</v>
      </c>
      <c r="BH711" s="96" t="str">
        <f>HYPERLINK("https://pbs.twimg.com/profile_banners/1266198501551194114/1686417194")</f>
        <v>https://pbs.twimg.com/profile_banners/1266198501551194114/1686417194</v>
      </c>
      <c r="BI711" s="86"/>
      <c r="BJ711" s="86" t="s">
        <v>29134</v>
      </c>
      <c r="BK711" s="86" t="b">
        <v>0</v>
      </c>
      <c r="BL711" s="86"/>
      <c r="BM711" s="86" t="s">
        <v>66</v>
      </c>
      <c r="BN711" s="86" t="s">
        <v>29136</v>
      </c>
      <c r="BO711" s="96" t="str">
        <f>HYPERLINK("https://twitter.com/fernandoxucrobr")</f>
        <v>https://twitter.com/fernandoxucrobr</v>
      </c>
      <c r="BP711" s="2"/>
    </row>
    <row r="712" spans="1:68" x14ac:dyDescent="0.25">
      <c r="A712" s="63" t="s">
        <v>846</v>
      </c>
      <c r="B712" s="64"/>
      <c r="C712" s="64"/>
      <c r="D712" s="65"/>
      <c r="E712" s="67"/>
      <c r="F712" s="111" t="str">
        <f>HYPERLINK("https://pbs.twimg.com/profile_images/1590722620378456066/A4jN7U-Y_normal.jpg")</f>
        <v>https://pbs.twimg.com/profile_images/1590722620378456066/A4jN7U-Y_normal.jpg</v>
      </c>
      <c r="G712" s="64"/>
      <c r="H712" s="68"/>
      <c r="I712" s="69"/>
      <c r="J712" s="69"/>
      <c r="K712" s="68" t="s">
        <v>29845</v>
      </c>
      <c r="L712" s="72"/>
      <c r="M712" s="73"/>
      <c r="N712" s="73"/>
      <c r="O712" s="74"/>
      <c r="P712" s="75"/>
      <c r="Q712" s="75"/>
      <c r="R712" s="102"/>
      <c r="S712" s="102"/>
      <c r="T712" s="102"/>
      <c r="U712" s="102"/>
      <c r="V712" s="48"/>
      <c r="W712" s="48"/>
      <c r="X712" s="48"/>
      <c r="Y712" s="48"/>
      <c r="Z712" s="47"/>
      <c r="AA712" s="70">
        <v>712</v>
      </c>
      <c r="AB712" s="70"/>
      <c r="AC712" s="71"/>
      <c r="AD712" s="86" t="s">
        <v>24331</v>
      </c>
      <c r="AE712" s="94" t="s">
        <v>23151</v>
      </c>
      <c r="AF712" s="86">
        <v>16</v>
      </c>
      <c r="AG712" s="86">
        <v>45</v>
      </c>
      <c r="AH712" s="86">
        <v>788</v>
      </c>
      <c r="AI712" s="86">
        <v>0</v>
      </c>
      <c r="AJ712" s="86">
        <v>54</v>
      </c>
      <c r="AK712" s="86">
        <v>668</v>
      </c>
      <c r="AL712" s="86" t="b">
        <v>0</v>
      </c>
      <c r="AM712" s="89">
        <v>44718.484398148146</v>
      </c>
      <c r="AN712" s="86"/>
      <c r="AO712" s="86" t="s">
        <v>27066</v>
      </c>
      <c r="AP712" s="96" t="str">
        <f>HYPERLINK("https://t.co/wreBr2p6JE")</f>
        <v>https://t.co/wreBr2p6JE</v>
      </c>
      <c r="AQ712" s="96" t="str">
        <f>HYPERLINK("https://www.chatguru.com.br")</f>
        <v>https://www.chatguru.com.br</v>
      </c>
      <c r="AR712" s="86" t="s">
        <v>28379</v>
      </c>
      <c r="AS712" s="86"/>
      <c r="AT712" s="86"/>
      <c r="AU712" s="86"/>
      <c r="AV712" s="86"/>
      <c r="AW712" s="96" t="str">
        <f>HYPERLINK("https://t.co/wreBr2p6JE")</f>
        <v>https://t.co/wreBr2p6JE</v>
      </c>
      <c r="AX712" s="86" t="b">
        <v>0</v>
      </c>
      <c r="AY712" s="86"/>
      <c r="AZ712" s="86"/>
      <c r="BA712" s="86" t="b">
        <v>0</v>
      </c>
      <c r="BB712" s="86" t="b">
        <v>1</v>
      </c>
      <c r="BC712" s="86" t="b">
        <v>1</v>
      </c>
      <c r="BD712" s="86" t="b">
        <v>0</v>
      </c>
      <c r="BE712" s="86" t="b">
        <v>0</v>
      </c>
      <c r="BF712" s="86" t="b">
        <v>0</v>
      </c>
      <c r="BG712" s="86" t="b">
        <v>0</v>
      </c>
      <c r="BH712" s="96" t="str">
        <f>HYPERLINK("https://pbs.twimg.com/profile_banners/1533774887252279297/1679667774")</f>
        <v>https://pbs.twimg.com/profile_banners/1533774887252279297/1679667774</v>
      </c>
      <c r="BI712" s="86"/>
      <c r="BJ712" s="86" t="s">
        <v>29134</v>
      </c>
      <c r="BK712" s="86" t="b">
        <v>0</v>
      </c>
      <c r="BL712" s="86"/>
      <c r="BM712" s="86" t="s">
        <v>66</v>
      </c>
      <c r="BN712" s="86" t="s">
        <v>29136</v>
      </c>
      <c r="BO712" s="96" t="str">
        <f>HYPERLINK("https://twitter.com/chatguruoficial")</f>
        <v>https://twitter.com/chatguruoficial</v>
      </c>
      <c r="BP712" s="2"/>
    </row>
    <row r="713" spans="1:68" x14ac:dyDescent="0.25">
      <c r="A713" s="63" t="s">
        <v>847</v>
      </c>
      <c r="B713" s="64"/>
      <c r="C713" s="64"/>
      <c r="D713" s="65"/>
      <c r="E713" s="67"/>
      <c r="F713" s="111" t="str">
        <f>HYPERLINK("https://pbs.twimg.com/profile_images/1693599426743283712/wZBtGYQA_normal.jpg")</f>
        <v>https://pbs.twimg.com/profile_images/1693599426743283712/wZBtGYQA_normal.jpg</v>
      </c>
      <c r="G713" s="64"/>
      <c r="H713" s="68"/>
      <c r="I713" s="69"/>
      <c r="J713" s="69"/>
      <c r="K713" s="68" t="s">
        <v>29846</v>
      </c>
      <c r="L713" s="72"/>
      <c r="M713" s="73"/>
      <c r="N713" s="73"/>
      <c r="O713" s="74"/>
      <c r="P713" s="75"/>
      <c r="Q713" s="75"/>
      <c r="R713" s="102"/>
      <c r="S713" s="102"/>
      <c r="T713" s="102"/>
      <c r="U713" s="102"/>
      <c r="V713" s="48"/>
      <c r="W713" s="48"/>
      <c r="X713" s="48"/>
      <c r="Y713" s="48"/>
      <c r="Z713" s="47"/>
      <c r="AA713" s="70">
        <v>713</v>
      </c>
      <c r="AB713" s="70"/>
      <c r="AC713" s="71"/>
      <c r="AD713" s="86" t="s">
        <v>24332</v>
      </c>
      <c r="AE713" s="94" t="s">
        <v>23152</v>
      </c>
      <c r="AF713" s="86">
        <v>106</v>
      </c>
      <c r="AG713" s="86">
        <v>130</v>
      </c>
      <c r="AH713" s="86">
        <v>219</v>
      </c>
      <c r="AI713" s="86">
        <v>0</v>
      </c>
      <c r="AJ713" s="86">
        <v>71</v>
      </c>
      <c r="AK713" s="86">
        <v>157</v>
      </c>
      <c r="AL713" s="86" t="b">
        <v>0</v>
      </c>
      <c r="AM713" s="89">
        <v>45158.445370370369</v>
      </c>
      <c r="AN713" s="86"/>
      <c r="AO713" s="86" t="s">
        <v>27067</v>
      </c>
      <c r="AP713" s="96" t="str">
        <f>HYPERLINK("https://t.co/PtrCtSbvo9")</f>
        <v>https://t.co/PtrCtSbvo9</v>
      </c>
      <c r="AQ713" s="96" t="str">
        <f>HYPERLINK("https://t.me/+iMy2__Z_vH8yODEx")</f>
        <v>https://t.me/+iMy2__Z_vH8yODEx</v>
      </c>
      <c r="AR713" s="86" t="s">
        <v>28380</v>
      </c>
      <c r="AS713" s="86"/>
      <c r="AT713" s="86"/>
      <c r="AU713" s="86"/>
      <c r="AV713" s="86"/>
      <c r="AW713" s="96" t="str">
        <f>HYPERLINK("https://t.co/PtrCtSbvo9")</f>
        <v>https://t.co/PtrCtSbvo9</v>
      </c>
      <c r="AX713" s="86" t="b">
        <v>0</v>
      </c>
      <c r="AY713" s="86"/>
      <c r="AZ713" s="86"/>
      <c r="BA713" s="86" t="b">
        <v>0</v>
      </c>
      <c r="BB713" s="86" t="b">
        <v>1</v>
      </c>
      <c r="BC713" s="86" t="b">
        <v>1</v>
      </c>
      <c r="BD713" s="86" t="b">
        <v>0</v>
      </c>
      <c r="BE713" s="86" t="b">
        <v>0</v>
      </c>
      <c r="BF713" s="86" t="b">
        <v>0</v>
      </c>
      <c r="BG713" s="86" t="b">
        <v>0</v>
      </c>
      <c r="BH713" s="96" t="str">
        <f>HYPERLINK("https://pbs.twimg.com/profile_banners/1693211440142848000/1692537248")</f>
        <v>https://pbs.twimg.com/profile_banners/1693211440142848000/1692537248</v>
      </c>
      <c r="BI713" s="86"/>
      <c r="BJ713" s="86" t="s">
        <v>29134</v>
      </c>
      <c r="BK713" s="86" t="b">
        <v>0</v>
      </c>
      <c r="BL713" s="86"/>
      <c r="BM713" s="86" t="s">
        <v>66</v>
      </c>
      <c r="BN713" s="86" t="s">
        <v>29136</v>
      </c>
      <c r="BO713" s="96" t="str">
        <f>HYPERLINK("https://twitter.com/cupomention")</f>
        <v>https://twitter.com/cupomention</v>
      </c>
      <c r="BP713" s="2"/>
    </row>
    <row r="714" spans="1:68" x14ac:dyDescent="0.25">
      <c r="A714" s="63" t="s">
        <v>848</v>
      </c>
      <c r="B714" s="64"/>
      <c r="C714" s="64"/>
      <c r="D714" s="65"/>
      <c r="E714" s="67"/>
      <c r="F714" s="111" t="str">
        <f>HYPERLINK("https://pbs.twimg.com/profile_images/1650878862304083968/NH4NzqFe_normal.jpg")</f>
        <v>https://pbs.twimg.com/profile_images/1650878862304083968/NH4NzqFe_normal.jpg</v>
      </c>
      <c r="G714" s="64"/>
      <c r="H714" s="68"/>
      <c r="I714" s="69"/>
      <c r="J714" s="69"/>
      <c r="K714" s="68" t="s">
        <v>29847</v>
      </c>
      <c r="L714" s="72"/>
      <c r="M714" s="73"/>
      <c r="N714" s="73"/>
      <c r="O714" s="74"/>
      <c r="P714" s="75"/>
      <c r="Q714" s="75"/>
      <c r="R714" s="102"/>
      <c r="S714" s="102"/>
      <c r="T714" s="102"/>
      <c r="U714" s="102"/>
      <c r="V714" s="48"/>
      <c r="W714" s="48"/>
      <c r="X714" s="48"/>
      <c r="Y714" s="48"/>
      <c r="Z714" s="47"/>
      <c r="AA714" s="70">
        <v>714</v>
      </c>
      <c r="AB714" s="70"/>
      <c r="AC714" s="71"/>
      <c r="AD714" s="86" t="s">
        <v>24333</v>
      </c>
      <c r="AE714" s="94" t="s">
        <v>22585</v>
      </c>
      <c r="AF714" s="86">
        <v>2057</v>
      </c>
      <c r="AG714" s="86">
        <v>5000</v>
      </c>
      <c r="AH714" s="86">
        <v>24645</v>
      </c>
      <c r="AI714" s="86">
        <v>23</v>
      </c>
      <c r="AJ714" s="86">
        <v>29232</v>
      </c>
      <c r="AK714" s="86">
        <v>3484</v>
      </c>
      <c r="AL714" s="86" t="b">
        <v>0</v>
      </c>
      <c r="AM714" s="89">
        <v>39916.217928240738</v>
      </c>
      <c r="AN714" s="86" t="s">
        <v>25939</v>
      </c>
      <c r="AO714" s="86" t="s">
        <v>27068</v>
      </c>
      <c r="AP714" s="96" t="str">
        <f>HYPERLINK("https://t.co/RD8C963Nym")</f>
        <v>https://t.co/RD8C963Nym</v>
      </c>
      <c r="AQ714" s="96" t="str">
        <f>HYPERLINK("https://linktr.ee/profcrisricardo")</f>
        <v>https://linktr.ee/profcrisricardo</v>
      </c>
      <c r="AR714" s="86" t="s">
        <v>28381</v>
      </c>
      <c r="AS714" s="86"/>
      <c r="AT714" s="86"/>
      <c r="AU714" s="86"/>
      <c r="AV714" s="86"/>
      <c r="AW714" s="96" t="str">
        <f>HYPERLINK("https://t.co/RD8C963Nym")</f>
        <v>https://t.co/RD8C963Nym</v>
      </c>
      <c r="AX714" s="86" t="b">
        <v>0</v>
      </c>
      <c r="AY714" s="86"/>
      <c r="AZ714" s="86"/>
      <c r="BA714" s="86" t="b">
        <v>1</v>
      </c>
      <c r="BB714" s="86" t="b">
        <v>1</v>
      </c>
      <c r="BC714" s="86" t="b">
        <v>0</v>
      </c>
      <c r="BD714" s="86" t="b">
        <v>0</v>
      </c>
      <c r="BE714" s="86" t="b">
        <v>1</v>
      </c>
      <c r="BF714" s="86" t="b">
        <v>0</v>
      </c>
      <c r="BG714" s="86" t="b">
        <v>0</v>
      </c>
      <c r="BH714" s="96" t="str">
        <f>HYPERLINK("https://pbs.twimg.com/profile_banners/30813029/1682435187")</f>
        <v>https://pbs.twimg.com/profile_banners/30813029/1682435187</v>
      </c>
      <c r="BI714" s="86"/>
      <c r="BJ714" s="86" t="s">
        <v>29134</v>
      </c>
      <c r="BK714" s="86" t="b">
        <v>0</v>
      </c>
      <c r="BL714" s="86"/>
      <c r="BM714" s="86" t="s">
        <v>66</v>
      </c>
      <c r="BN714" s="86" t="s">
        <v>29136</v>
      </c>
      <c r="BO714" s="96" t="str">
        <f>HYPERLINK("https://twitter.com/profcrisricardo")</f>
        <v>https://twitter.com/profcrisricardo</v>
      </c>
      <c r="BP714" s="2"/>
    </row>
    <row r="715" spans="1:68" x14ac:dyDescent="0.25">
      <c r="A715" s="63" t="s">
        <v>849</v>
      </c>
      <c r="B715" s="64"/>
      <c r="C715" s="64"/>
      <c r="D715" s="65"/>
      <c r="E715" s="67"/>
      <c r="F715" s="111" t="str">
        <f>HYPERLINK("https://pbs.twimg.com/profile_images/1697662376206557184/sGtI7yO__normal.jpg")</f>
        <v>https://pbs.twimg.com/profile_images/1697662376206557184/sGtI7yO__normal.jpg</v>
      </c>
      <c r="G715" s="64"/>
      <c r="H715" s="68"/>
      <c r="I715" s="69"/>
      <c r="J715" s="69"/>
      <c r="K715" s="68" t="s">
        <v>29848</v>
      </c>
      <c r="L715" s="72"/>
      <c r="M715" s="73"/>
      <c r="N715" s="73"/>
      <c r="O715" s="74"/>
      <c r="P715" s="75"/>
      <c r="Q715" s="75"/>
      <c r="R715" s="102"/>
      <c r="S715" s="102"/>
      <c r="T715" s="102"/>
      <c r="U715" s="102"/>
      <c r="V715" s="48"/>
      <c r="W715" s="48"/>
      <c r="X715" s="48"/>
      <c r="Y715" s="48"/>
      <c r="Z715" s="47"/>
      <c r="AA715" s="70">
        <v>715</v>
      </c>
      <c r="AB715" s="70"/>
      <c r="AC715" s="71"/>
      <c r="AD715" s="86" t="s">
        <v>24334</v>
      </c>
      <c r="AE715" s="94" t="s">
        <v>23153</v>
      </c>
      <c r="AF715" s="86">
        <v>2</v>
      </c>
      <c r="AG715" s="86">
        <v>11</v>
      </c>
      <c r="AH715" s="86">
        <v>56</v>
      </c>
      <c r="AI715" s="86">
        <v>0</v>
      </c>
      <c r="AJ715" s="86">
        <v>12</v>
      </c>
      <c r="AK715" s="86">
        <v>56</v>
      </c>
      <c r="AL715" s="86" t="b">
        <v>0</v>
      </c>
      <c r="AM715" s="89">
        <v>45082.82603009259</v>
      </c>
      <c r="AN715" s="86" t="s">
        <v>15410</v>
      </c>
      <c r="AO715" s="86" t="s">
        <v>27069</v>
      </c>
      <c r="AP715" s="96" t="str">
        <f>HYPERLINK("https://t.co/dWg8lvG9T2")</f>
        <v>https://t.co/dWg8lvG9T2</v>
      </c>
      <c r="AQ715" s="96" t="str">
        <f>HYPERLINK("http://fluir.ibgtaubate.com.br")</f>
        <v>http://fluir.ibgtaubate.com.br</v>
      </c>
      <c r="AR715" s="86" t="s">
        <v>28382</v>
      </c>
      <c r="AS715" s="86"/>
      <c r="AT715" s="86"/>
      <c r="AU715" s="86"/>
      <c r="AV715" s="86"/>
      <c r="AW715" s="96" t="str">
        <f>HYPERLINK("https://t.co/dWg8lvG9T2")</f>
        <v>https://t.co/dWg8lvG9T2</v>
      </c>
      <c r="AX715" s="86" t="b">
        <v>0</v>
      </c>
      <c r="AY715" s="86"/>
      <c r="AZ715" s="86"/>
      <c r="BA715" s="86" t="b">
        <v>0</v>
      </c>
      <c r="BB715" s="86" t="b">
        <v>1</v>
      </c>
      <c r="BC715" s="86" t="b">
        <v>1</v>
      </c>
      <c r="BD715" s="86" t="b">
        <v>0</v>
      </c>
      <c r="BE715" s="86" t="b">
        <v>0</v>
      </c>
      <c r="BF715" s="86" t="b">
        <v>0</v>
      </c>
      <c r="BG715" s="86" t="b">
        <v>0</v>
      </c>
      <c r="BH715" s="96" t="str">
        <f>HYPERLINK("https://pbs.twimg.com/profile_banners/1665807949309018115/1693589227")</f>
        <v>https://pbs.twimg.com/profile_banners/1665807949309018115/1693589227</v>
      </c>
      <c r="BI715" s="86"/>
      <c r="BJ715" s="86" t="s">
        <v>29134</v>
      </c>
      <c r="BK715" s="86" t="b">
        <v>0</v>
      </c>
      <c r="BL715" s="86"/>
      <c r="BM715" s="86" t="s">
        <v>66</v>
      </c>
      <c r="BN715" s="86" t="s">
        <v>29136</v>
      </c>
      <c r="BO715" s="96" t="str">
        <f>HYPERLINK("https://twitter.com/fluir_ibg")</f>
        <v>https://twitter.com/fluir_ibg</v>
      </c>
      <c r="BP715" s="2"/>
    </row>
    <row r="716" spans="1:68" x14ac:dyDescent="0.25">
      <c r="A716" s="63" t="s">
        <v>850</v>
      </c>
      <c r="B716" s="64"/>
      <c r="C716" s="64"/>
      <c r="D716" s="65"/>
      <c r="E716" s="67"/>
      <c r="F716" s="111" t="str">
        <f>HYPERLINK("https://pbs.twimg.com/profile_images/1587862141675212803/si2bBLR9_normal.jpg")</f>
        <v>https://pbs.twimg.com/profile_images/1587862141675212803/si2bBLR9_normal.jpg</v>
      </c>
      <c r="G716" s="64"/>
      <c r="H716" s="68"/>
      <c r="I716" s="69"/>
      <c r="J716" s="69"/>
      <c r="K716" s="68" t="s">
        <v>29849</v>
      </c>
      <c r="L716" s="72"/>
      <c r="M716" s="73"/>
      <c r="N716" s="73"/>
      <c r="O716" s="74"/>
      <c r="P716" s="75"/>
      <c r="Q716" s="75"/>
      <c r="R716" s="102"/>
      <c r="S716" s="102"/>
      <c r="T716" s="102"/>
      <c r="U716" s="102"/>
      <c r="V716" s="48"/>
      <c r="W716" s="48"/>
      <c r="X716" s="48"/>
      <c r="Y716" s="48"/>
      <c r="Z716" s="47"/>
      <c r="AA716" s="70">
        <v>716</v>
      </c>
      <c r="AB716" s="70"/>
      <c r="AC716" s="71"/>
      <c r="AD716" s="86" t="s">
        <v>24335</v>
      </c>
      <c r="AE716" s="94" t="s">
        <v>23154</v>
      </c>
      <c r="AF716" s="86">
        <v>20</v>
      </c>
      <c r="AG716" s="86">
        <v>120</v>
      </c>
      <c r="AH716" s="86">
        <v>182</v>
      </c>
      <c r="AI716" s="86">
        <v>0</v>
      </c>
      <c r="AJ716" s="86">
        <v>9</v>
      </c>
      <c r="AK716" s="86">
        <v>30</v>
      </c>
      <c r="AL716" s="86" t="b">
        <v>0</v>
      </c>
      <c r="AM716" s="89">
        <v>42532.691550925927</v>
      </c>
      <c r="AN716" s="86" t="s">
        <v>15240</v>
      </c>
      <c r="AO716" s="86" t="s">
        <v>27070</v>
      </c>
      <c r="AP716" s="96" t="str">
        <f>HYPERLINK("https://t.co/1RpN9tqVR0")</f>
        <v>https://t.co/1RpN9tqVR0</v>
      </c>
      <c r="AQ716" s="96" t="str">
        <f>HYPERLINK("http://www.smartwebinfo.com.br")</f>
        <v>http://www.smartwebinfo.com.br</v>
      </c>
      <c r="AR716" s="86" t="s">
        <v>28383</v>
      </c>
      <c r="AS716" s="86"/>
      <c r="AT716" s="86"/>
      <c r="AU716" s="86"/>
      <c r="AV716" s="86"/>
      <c r="AW716" s="96" t="str">
        <f>HYPERLINK("https://t.co/1RpN9tqVR0")</f>
        <v>https://t.co/1RpN9tqVR0</v>
      </c>
      <c r="AX716" s="86" t="b">
        <v>0</v>
      </c>
      <c r="AY716" s="86"/>
      <c r="AZ716" s="86"/>
      <c r="BA716" s="86" t="b">
        <v>0</v>
      </c>
      <c r="BB716" s="86" t="b">
        <v>1</v>
      </c>
      <c r="BC716" s="86" t="b">
        <v>1</v>
      </c>
      <c r="BD716" s="86" t="b">
        <v>0</v>
      </c>
      <c r="BE716" s="86" t="b">
        <v>0</v>
      </c>
      <c r="BF716" s="86" t="b">
        <v>0</v>
      </c>
      <c r="BG716" s="86" t="b">
        <v>0</v>
      </c>
      <c r="BH716" s="96" t="str">
        <f>HYPERLINK("https://pbs.twimg.com/profile_banners/741670286743998464/1667410809")</f>
        <v>https://pbs.twimg.com/profile_banners/741670286743998464/1667410809</v>
      </c>
      <c r="BI716" s="86"/>
      <c r="BJ716" s="86" t="s">
        <v>29134</v>
      </c>
      <c r="BK716" s="86" t="b">
        <v>0</v>
      </c>
      <c r="BL716" s="86"/>
      <c r="BM716" s="86" t="s">
        <v>66</v>
      </c>
      <c r="BN716" s="86" t="s">
        <v>29136</v>
      </c>
      <c r="BO716" s="96" t="str">
        <f>HYPERLINK("https://twitter.com/smartweb_info")</f>
        <v>https://twitter.com/smartweb_info</v>
      </c>
      <c r="BP716" s="2"/>
    </row>
    <row r="717" spans="1:68" x14ac:dyDescent="0.25">
      <c r="A717" s="63" t="s">
        <v>851</v>
      </c>
      <c r="B717" s="64"/>
      <c r="C717" s="64"/>
      <c r="D717" s="65"/>
      <c r="E717" s="67"/>
      <c r="F717" s="111" t="str">
        <f>HYPERLINK("https://pbs.twimg.com/profile_images/1401994871209185280/ieg0QOnW_normal.jpg")</f>
        <v>https://pbs.twimg.com/profile_images/1401994871209185280/ieg0QOnW_normal.jpg</v>
      </c>
      <c r="G717" s="64"/>
      <c r="H717" s="68"/>
      <c r="I717" s="69"/>
      <c r="J717" s="69"/>
      <c r="K717" s="68" t="s">
        <v>29850</v>
      </c>
      <c r="L717" s="72"/>
      <c r="M717" s="73"/>
      <c r="N717" s="73"/>
      <c r="O717" s="74"/>
      <c r="P717" s="75"/>
      <c r="Q717" s="75"/>
      <c r="R717" s="102"/>
      <c r="S717" s="102"/>
      <c r="T717" s="102"/>
      <c r="U717" s="102"/>
      <c r="V717" s="48"/>
      <c r="W717" s="48"/>
      <c r="X717" s="48"/>
      <c r="Y717" s="48"/>
      <c r="Z717" s="47"/>
      <c r="AA717" s="70">
        <v>717</v>
      </c>
      <c r="AB717" s="70"/>
      <c r="AC717" s="71"/>
      <c r="AD717" s="86" t="s">
        <v>24336</v>
      </c>
      <c r="AE717" s="94" t="s">
        <v>22586</v>
      </c>
      <c r="AF717" s="86">
        <v>9</v>
      </c>
      <c r="AG717" s="86">
        <v>5</v>
      </c>
      <c r="AH717" s="86">
        <v>74</v>
      </c>
      <c r="AI717" s="86">
        <v>1</v>
      </c>
      <c r="AJ717" s="86">
        <v>46</v>
      </c>
      <c r="AK717" s="86">
        <v>34</v>
      </c>
      <c r="AL717" s="86" t="b">
        <v>0</v>
      </c>
      <c r="AM717" s="89">
        <v>44210.828252314815</v>
      </c>
      <c r="AN717" s="86" t="s">
        <v>15234</v>
      </c>
      <c r="AO717" s="86" t="s">
        <v>27071</v>
      </c>
      <c r="AP717" s="96" t="str">
        <f>HYPERLINK("https://t.co/6JsYSke5Cw")</f>
        <v>https://t.co/6JsYSke5Cw</v>
      </c>
      <c r="AQ717" s="96" t="str">
        <f>HYPERLINK("https://revin.com.br/")</f>
        <v>https://revin.com.br/</v>
      </c>
      <c r="AR717" s="86" t="s">
        <v>28384</v>
      </c>
      <c r="AS717" s="86"/>
      <c r="AT717" s="86"/>
      <c r="AU717" s="86"/>
      <c r="AV717" s="86"/>
      <c r="AW717" s="96" t="str">
        <f>HYPERLINK("https://t.co/6JsYSke5Cw")</f>
        <v>https://t.co/6JsYSke5Cw</v>
      </c>
      <c r="AX717" s="86" t="b">
        <v>0</v>
      </c>
      <c r="AY717" s="86"/>
      <c r="AZ717" s="86"/>
      <c r="BA717" s="86" t="b">
        <v>0</v>
      </c>
      <c r="BB717" s="86" t="b">
        <v>1</v>
      </c>
      <c r="BC717" s="86" t="b">
        <v>1</v>
      </c>
      <c r="BD717" s="86" t="b">
        <v>0</v>
      </c>
      <c r="BE717" s="86" t="b">
        <v>0</v>
      </c>
      <c r="BF717" s="86" t="b">
        <v>0</v>
      </c>
      <c r="BG717" s="86" t="b">
        <v>0</v>
      </c>
      <c r="BH717" s="96" t="str">
        <f>HYPERLINK("https://pbs.twimg.com/profile_banners/1349806636735586306/1647872236")</f>
        <v>https://pbs.twimg.com/profile_banners/1349806636735586306/1647872236</v>
      </c>
      <c r="BI717" s="86"/>
      <c r="BJ717" s="86" t="s">
        <v>29134</v>
      </c>
      <c r="BK717" s="86" t="b">
        <v>0</v>
      </c>
      <c r="BL717" s="86"/>
      <c r="BM717" s="86" t="s">
        <v>66</v>
      </c>
      <c r="BN717" s="86" t="s">
        <v>29136</v>
      </c>
      <c r="BO717" s="96" t="str">
        <f>HYPERLINK("https://twitter.com/revininvest")</f>
        <v>https://twitter.com/revininvest</v>
      </c>
      <c r="BP717" s="2"/>
    </row>
    <row r="718" spans="1:68" x14ac:dyDescent="0.25">
      <c r="A718" s="63" t="s">
        <v>852</v>
      </c>
      <c r="B718" s="64"/>
      <c r="C718" s="64"/>
      <c r="D718" s="65"/>
      <c r="E718" s="67"/>
      <c r="F718" s="111" t="str">
        <f>HYPERLINK("https://pbs.twimg.com/profile_images/1636415082207887370/6Uf7DQii_normal.png")</f>
        <v>https://pbs.twimg.com/profile_images/1636415082207887370/6Uf7DQii_normal.png</v>
      </c>
      <c r="G718" s="64"/>
      <c r="H718" s="68"/>
      <c r="I718" s="69"/>
      <c r="J718" s="69"/>
      <c r="K718" s="68" t="s">
        <v>29851</v>
      </c>
      <c r="L718" s="72"/>
      <c r="M718" s="73"/>
      <c r="N718" s="73"/>
      <c r="O718" s="74"/>
      <c r="P718" s="75"/>
      <c r="Q718" s="75"/>
      <c r="R718" s="102"/>
      <c r="S718" s="102"/>
      <c r="T718" s="102"/>
      <c r="U718" s="102"/>
      <c r="V718" s="48"/>
      <c r="W718" s="48"/>
      <c r="X718" s="48"/>
      <c r="Y718" s="48"/>
      <c r="Z718" s="47"/>
      <c r="AA718" s="70">
        <v>718</v>
      </c>
      <c r="AB718" s="70"/>
      <c r="AC718" s="71"/>
      <c r="AD718" s="86" t="s">
        <v>24337</v>
      </c>
      <c r="AE718" s="94" t="s">
        <v>23155</v>
      </c>
      <c r="AF718" s="86">
        <v>13</v>
      </c>
      <c r="AG718" s="86">
        <v>8</v>
      </c>
      <c r="AH718" s="86">
        <v>251</v>
      </c>
      <c r="AI718" s="86">
        <v>0</v>
      </c>
      <c r="AJ718" s="86">
        <v>0</v>
      </c>
      <c r="AK718" s="86">
        <v>243</v>
      </c>
      <c r="AL718" s="86" t="b">
        <v>0</v>
      </c>
      <c r="AM718" s="89">
        <v>45001.716817129629</v>
      </c>
      <c r="AN718" s="86" t="s">
        <v>26132</v>
      </c>
      <c r="AO718" s="86" t="s">
        <v>27072</v>
      </c>
      <c r="AP718" s="96" t="str">
        <f>HYPERLINK("https://t.co/7kh6Rkxwsl")</f>
        <v>https://t.co/7kh6Rkxwsl</v>
      </c>
      <c r="AQ718" s="96" t="str">
        <f>HYPERLINK("http://araquari.sc.gov.br")</f>
        <v>http://araquari.sc.gov.br</v>
      </c>
      <c r="AR718" s="86" t="s">
        <v>28385</v>
      </c>
      <c r="AS718" s="86"/>
      <c r="AT718" s="86"/>
      <c r="AU718" s="86"/>
      <c r="AV718" s="86"/>
      <c r="AW718" s="96" t="str">
        <f>HYPERLINK("https://t.co/7kh6Rkxwsl")</f>
        <v>https://t.co/7kh6Rkxwsl</v>
      </c>
      <c r="AX718" s="86" t="b">
        <v>0</v>
      </c>
      <c r="AY718" s="86"/>
      <c r="AZ718" s="86"/>
      <c r="BA718" s="86" t="b">
        <v>0</v>
      </c>
      <c r="BB718" s="86" t="b">
        <v>1</v>
      </c>
      <c r="BC718" s="86" t="b">
        <v>1</v>
      </c>
      <c r="BD718" s="86" t="b">
        <v>0</v>
      </c>
      <c r="BE718" s="86" t="b">
        <v>0</v>
      </c>
      <c r="BF718" s="86" t="b">
        <v>0</v>
      </c>
      <c r="BG718" s="86" t="b">
        <v>0</v>
      </c>
      <c r="BH718" s="96" t="str">
        <f>HYPERLINK("https://pbs.twimg.com/profile_banners/1636414964247166977/1678987070")</f>
        <v>https://pbs.twimg.com/profile_banners/1636414964247166977/1678987070</v>
      </c>
      <c r="BI718" s="86"/>
      <c r="BJ718" s="86" t="s">
        <v>29134</v>
      </c>
      <c r="BK718" s="86" t="b">
        <v>0</v>
      </c>
      <c r="BL718" s="86"/>
      <c r="BM718" s="86" t="s">
        <v>66</v>
      </c>
      <c r="BN718" s="86" t="s">
        <v>29136</v>
      </c>
      <c r="BO718" s="96" t="str">
        <f>HYPERLINK("https://twitter.com/prefesaraquari")</f>
        <v>https://twitter.com/prefesaraquari</v>
      </c>
      <c r="BP718" s="2"/>
    </row>
    <row r="719" spans="1:68" x14ac:dyDescent="0.25">
      <c r="A719" s="63" t="s">
        <v>853</v>
      </c>
      <c r="B719" s="64"/>
      <c r="C719" s="64"/>
      <c r="D719" s="65"/>
      <c r="E719" s="67"/>
      <c r="F719" s="111" t="str">
        <f>HYPERLINK("https://pbs.twimg.com/profile_images/1689259287451762688/TzlwQe30_normal.jpg")</f>
        <v>https://pbs.twimg.com/profile_images/1689259287451762688/TzlwQe30_normal.jpg</v>
      </c>
      <c r="G719" s="64"/>
      <c r="H719" s="68"/>
      <c r="I719" s="69"/>
      <c r="J719" s="69"/>
      <c r="K719" s="68" t="s">
        <v>29852</v>
      </c>
      <c r="L719" s="72"/>
      <c r="M719" s="73"/>
      <c r="N719" s="73"/>
      <c r="O719" s="74"/>
      <c r="P719" s="75"/>
      <c r="Q719" s="75"/>
      <c r="R719" s="102"/>
      <c r="S719" s="102"/>
      <c r="T719" s="102"/>
      <c r="U719" s="102"/>
      <c r="V719" s="48"/>
      <c r="W719" s="48"/>
      <c r="X719" s="48"/>
      <c r="Y719" s="48"/>
      <c r="Z719" s="47"/>
      <c r="AA719" s="70">
        <v>719</v>
      </c>
      <c r="AB719" s="70"/>
      <c r="AC719" s="71"/>
      <c r="AD719" s="86" t="s">
        <v>24338</v>
      </c>
      <c r="AE719" s="94" t="s">
        <v>23156</v>
      </c>
      <c r="AF719" s="86">
        <v>0</v>
      </c>
      <c r="AG719" s="86">
        <v>8</v>
      </c>
      <c r="AH719" s="86">
        <v>5</v>
      </c>
      <c r="AI719" s="86">
        <v>0</v>
      </c>
      <c r="AJ719" s="86">
        <v>16</v>
      </c>
      <c r="AK719" s="86">
        <v>5</v>
      </c>
      <c r="AL719" s="86" t="b">
        <v>0</v>
      </c>
      <c r="AM719" s="89">
        <v>45147.536157407405</v>
      </c>
      <c r="AN719" s="86"/>
      <c r="AO719" s="86" t="s">
        <v>27073</v>
      </c>
      <c r="AP719" s="86"/>
      <c r="AQ719" s="86"/>
      <c r="AR719" s="86"/>
      <c r="AS719" s="86"/>
      <c r="AT719" s="86"/>
      <c r="AU719" s="86"/>
      <c r="AV719" s="86"/>
      <c r="AW719" s="86"/>
      <c r="AX719" s="86" t="b">
        <v>0</v>
      </c>
      <c r="AY719" s="86"/>
      <c r="AZ719" s="86"/>
      <c r="BA719" s="86" t="b">
        <v>0</v>
      </c>
      <c r="BB719" s="86" t="b">
        <v>1</v>
      </c>
      <c r="BC719" s="86" t="b">
        <v>1</v>
      </c>
      <c r="BD719" s="86" t="b">
        <v>0</v>
      </c>
      <c r="BE719" s="86" t="b">
        <v>0</v>
      </c>
      <c r="BF719" s="86" t="b">
        <v>0</v>
      </c>
      <c r="BG719" s="86" t="b">
        <v>0</v>
      </c>
      <c r="BH719" s="96" t="str">
        <f>HYPERLINK("https://pbs.twimg.com/profile_banners/1689258164091285505/1691585811")</f>
        <v>https://pbs.twimg.com/profile_banners/1689258164091285505/1691585811</v>
      </c>
      <c r="BI719" s="86"/>
      <c r="BJ719" s="86" t="s">
        <v>29134</v>
      </c>
      <c r="BK719" s="86" t="b">
        <v>0</v>
      </c>
      <c r="BL719" s="86"/>
      <c r="BM719" s="86" t="s">
        <v>66</v>
      </c>
      <c r="BN719" s="86" t="s">
        <v>29136</v>
      </c>
      <c r="BO719" s="96" t="str">
        <f>HYPERLINK("https://twitter.com/prodcastexplore")</f>
        <v>https://twitter.com/prodcastexplore</v>
      </c>
      <c r="BP719" s="2"/>
    </row>
    <row r="720" spans="1:68" x14ac:dyDescent="0.25">
      <c r="A720" s="63" t="s">
        <v>854</v>
      </c>
      <c r="B720" s="64"/>
      <c r="C720" s="64"/>
      <c r="D720" s="65"/>
      <c r="E720" s="67"/>
      <c r="F720" s="111" t="str">
        <f>HYPERLINK("https://pbs.twimg.com/profile_images/1671020604256911360/o1kxNsDp_normal.jpg")</f>
        <v>https://pbs.twimg.com/profile_images/1671020604256911360/o1kxNsDp_normal.jpg</v>
      </c>
      <c r="G720" s="64"/>
      <c r="H720" s="68"/>
      <c r="I720" s="69"/>
      <c r="J720" s="69"/>
      <c r="K720" s="68" t="s">
        <v>29853</v>
      </c>
      <c r="L720" s="72"/>
      <c r="M720" s="73"/>
      <c r="N720" s="73"/>
      <c r="O720" s="74"/>
      <c r="P720" s="75"/>
      <c r="Q720" s="75"/>
      <c r="R720" s="102"/>
      <c r="S720" s="102"/>
      <c r="T720" s="102"/>
      <c r="U720" s="102"/>
      <c r="V720" s="48"/>
      <c r="W720" s="48"/>
      <c r="X720" s="48"/>
      <c r="Y720" s="48"/>
      <c r="Z720" s="47"/>
      <c r="AA720" s="70">
        <v>720</v>
      </c>
      <c r="AB720" s="70"/>
      <c r="AC720" s="71"/>
      <c r="AD720" s="86" t="s">
        <v>24339</v>
      </c>
      <c r="AE720" s="94" t="s">
        <v>23157</v>
      </c>
      <c r="AF720" s="86">
        <v>3</v>
      </c>
      <c r="AG720" s="86">
        <v>93</v>
      </c>
      <c r="AH720" s="86">
        <v>28</v>
      </c>
      <c r="AI720" s="86">
        <v>0</v>
      </c>
      <c r="AJ720" s="86">
        <v>27</v>
      </c>
      <c r="AK720" s="86">
        <v>0</v>
      </c>
      <c r="AL720" s="86" t="b">
        <v>0</v>
      </c>
      <c r="AM720" s="89">
        <v>45097.209155092591</v>
      </c>
      <c r="AN720" s="86" t="s">
        <v>26133</v>
      </c>
      <c r="AO720" s="86" t="s">
        <v>27074</v>
      </c>
      <c r="AP720" s="86"/>
      <c r="AQ720" s="86"/>
      <c r="AR720" s="86"/>
      <c r="AS720" s="86"/>
      <c r="AT720" s="86"/>
      <c r="AU720" s="86"/>
      <c r="AV720" s="86"/>
      <c r="AW720" s="86"/>
      <c r="AX720" s="86" t="b">
        <v>0</v>
      </c>
      <c r="AY720" s="86"/>
      <c r="AZ720" s="86"/>
      <c r="BA720" s="86" t="b">
        <v>0</v>
      </c>
      <c r="BB720" s="86" t="b">
        <v>1</v>
      </c>
      <c r="BC720" s="86" t="b">
        <v>1</v>
      </c>
      <c r="BD720" s="86" t="b">
        <v>0</v>
      </c>
      <c r="BE720" s="86" t="b">
        <v>0</v>
      </c>
      <c r="BF720" s="86" t="b">
        <v>0</v>
      </c>
      <c r="BG720" s="86" t="b">
        <v>0</v>
      </c>
      <c r="BH720" s="86"/>
      <c r="BI720" s="86"/>
      <c r="BJ720" s="86" t="s">
        <v>29134</v>
      </c>
      <c r="BK720" s="86" t="b">
        <v>0</v>
      </c>
      <c r="BL720" s="86"/>
      <c r="BM720" s="86" t="s">
        <v>66</v>
      </c>
      <c r="BN720" s="86" t="s">
        <v>29136</v>
      </c>
      <c r="BO720" s="96" t="str">
        <f>HYPERLINK("https://twitter.com/samuelg07559905")</f>
        <v>https://twitter.com/samuelg07559905</v>
      </c>
      <c r="BP720" s="2"/>
    </row>
    <row r="721" spans="1:68" x14ac:dyDescent="0.25">
      <c r="A721" s="63" t="s">
        <v>855</v>
      </c>
      <c r="B721" s="64"/>
      <c r="C721" s="64"/>
      <c r="D721" s="65"/>
      <c r="E721" s="67"/>
      <c r="F721" s="111" t="str">
        <f>HYPERLINK("https://pbs.twimg.com/profile_images/1653856004113678340/gbwhgBTQ_normal.jpg")</f>
        <v>https://pbs.twimg.com/profile_images/1653856004113678340/gbwhgBTQ_normal.jpg</v>
      </c>
      <c r="G721" s="64"/>
      <c r="H721" s="68"/>
      <c r="I721" s="69"/>
      <c r="J721" s="69"/>
      <c r="K721" s="68" t="s">
        <v>29854</v>
      </c>
      <c r="L721" s="72"/>
      <c r="M721" s="73"/>
      <c r="N721" s="73"/>
      <c r="O721" s="74"/>
      <c r="P721" s="75"/>
      <c r="Q721" s="75"/>
      <c r="R721" s="102"/>
      <c r="S721" s="102"/>
      <c r="T721" s="102"/>
      <c r="U721" s="102"/>
      <c r="V721" s="48"/>
      <c r="W721" s="48"/>
      <c r="X721" s="48"/>
      <c r="Y721" s="48"/>
      <c r="Z721" s="47"/>
      <c r="AA721" s="70">
        <v>721</v>
      </c>
      <c r="AB721" s="70"/>
      <c r="AC721" s="71"/>
      <c r="AD721" s="86" t="s">
        <v>24340</v>
      </c>
      <c r="AE721" s="94" t="s">
        <v>23158</v>
      </c>
      <c r="AF721" s="86">
        <v>1</v>
      </c>
      <c r="AG721" s="86">
        <v>13</v>
      </c>
      <c r="AH721" s="86">
        <v>1</v>
      </c>
      <c r="AI721" s="86">
        <v>1</v>
      </c>
      <c r="AJ721" s="86">
        <v>0</v>
      </c>
      <c r="AK721" s="86">
        <v>1</v>
      </c>
      <c r="AL721" s="86" t="b">
        <v>0</v>
      </c>
      <c r="AM721" s="89">
        <v>45049.844583333332</v>
      </c>
      <c r="AN721" s="86"/>
      <c r="AO721" s="86" t="s">
        <v>27075</v>
      </c>
      <c r="AP721" s="96" t="str">
        <f>HYPERLINK("https://t.co/lSCpdVMC0P")</f>
        <v>https://t.co/lSCpdVMC0P</v>
      </c>
      <c r="AQ721" s="96" t="str">
        <f>HYPERLINK("https://pay.kiwify.com.br/If2CjrO")</f>
        <v>https://pay.kiwify.com.br/If2CjrO</v>
      </c>
      <c r="AR721" s="86" t="s">
        <v>28386</v>
      </c>
      <c r="AS721" s="86"/>
      <c r="AT721" s="86"/>
      <c r="AU721" s="86"/>
      <c r="AV721" s="86"/>
      <c r="AW721" s="96" t="str">
        <f>HYPERLINK("https://t.co/lSCpdVMC0P")</f>
        <v>https://t.co/lSCpdVMC0P</v>
      </c>
      <c r="AX721" s="86" t="b">
        <v>0</v>
      </c>
      <c r="AY721" s="86"/>
      <c r="AZ721" s="86"/>
      <c r="BA721" s="86" t="b">
        <v>0</v>
      </c>
      <c r="BB721" s="86" t="b">
        <v>1</v>
      </c>
      <c r="BC721" s="86" t="b">
        <v>1</v>
      </c>
      <c r="BD721" s="86" t="b">
        <v>0</v>
      </c>
      <c r="BE721" s="86" t="b">
        <v>0</v>
      </c>
      <c r="BF721" s="86" t="b">
        <v>0</v>
      </c>
      <c r="BG721" s="86" t="b">
        <v>0</v>
      </c>
      <c r="BH721" s="86"/>
      <c r="BI721" s="86"/>
      <c r="BJ721" s="86" t="s">
        <v>29134</v>
      </c>
      <c r="BK721" s="86" t="b">
        <v>0</v>
      </c>
      <c r="BL721" s="86"/>
      <c r="BM721" s="86" t="s">
        <v>66</v>
      </c>
      <c r="BN721" s="86" t="s">
        <v>29136</v>
      </c>
      <c r="BO721" s="96" t="str">
        <f>HYPERLINK("https://twitter.com/vegasstore14")</f>
        <v>https://twitter.com/vegasstore14</v>
      </c>
      <c r="BP721" s="2"/>
    </row>
    <row r="722" spans="1:68" x14ac:dyDescent="0.25">
      <c r="A722" s="63" t="s">
        <v>856</v>
      </c>
      <c r="B722" s="64"/>
      <c r="C722" s="64"/>
      <c r="D722" s="65"/>
      <c r="E722" s="67"/>
      <c r="F722" s="111" t="str">
        <f>HYPERLINK("https://pbs.twimg.com/profile_images/1571909864225398785/ni2CYKeX_normal.jpg")</f>
        <v>https://pbs.twimg.com/profile_images/1571909864225398785/ni2CYKeX_normal.jpg</v>
      </c>
      <c r="G722" s="64"/>
      <c r="H722" s="68"/>
      <c r="I722" s="69"/>
      <c r="J722" s="69"/>
      <c r="K722" s="68" t="s">
        <v>29855</v>
      </c>
      <c r="L722" s="72"/>
      <c r="M722" s="73"/>
      <c r="N722" s="73"/>
      <c r="O722" s="74"/>
      <c r="P722" s="75"/>
      <c r="Q722" s="75"/>
      <c r="R722" s="102"/>
      <c r="S722" s="102"/>
      <c r="T722" s="102"/>
      <c r="U722" s="102"/>
      <c r="V722" s="48"/>
      <c r="W722" s="48"/>
      <c r="X722" s="48"/>
      <c r="Y722" s="48"/>
      <c r="Z722" s="47"/>
      <c r="AA722" s="70">
        <v>722</v>
      </c>
      <c r="AB722" s="70"/>
      <c r="AC722" s="71"/>
      <c r="AD722" s="86" t="s">
        <v>24341</v>
      </c>
      <c r="AE722" s="94" t="s">
        <v>25491</v>
      </c>
      <c r="AF722" s="86">
        <v>75</v>
      </c>
      <c r="AG722" s="86">
        <v>275</v>
      </c>
      <c r="AH722" s="86">
        <v>374</v>
      </c>
      <c r="AI722" s="86">
        <v>1</v>
      </c>
      <c r="AJ722" s="86">
        <v>61</v>
      </c>
      <c r="AK722" s="86">
        <v>25</v>
      </c>
      <c r="AL722" s="86" t="b">
        <v>0</v>
      </c>
      <c r="AM722" s="89">
        <v>40036.591192129628</v>
      </c>
      <c r="AN722" s="86" t="s">
        <v>26134</v>
      </c>
      <c r="AO722" s="86" t="s">
        <v>27076</v>
      </c>
      <c r="AP722" s="96" t="str">
        <f>HYPERLINK("https://t.co/9mpT918d7A")</f>
        <v>https://t.co/9mpT918d7A</v>
      </c>
      <c r="AQ722" s="96" t="str">
        <f>HYPERLINK("https://instagram.com/ericjolopes?igshid=NDRkN2NkYzU=")</f>
        <v>https://instagram.com/ericjolopes?igshid=NDRkN2NkYzU=</v>
      </c>
      <c r="AR722" s="86" t="s">
        <v>28387</v>
      </c>
      <c r="AS722" s="86"/>
      <c r="AT722" s="86"/>
      <c r="AU722" s="86"/>
      <c r="AV722" s="86"/>
      <c r="AW722" s="96" t="str">
        <f>HYPERLINK("https://t.co/9mpT918d7A")</f>
        <v>https://t.co/9mpT918d7A</v>
      </c>
      <c r="AX722" s="86" t="b">
        <v>0</v>
      </c>
      <c r="AY722" s="86"/>
      <c r="AZ722" s="86"/>
      <c r="BA722" s="86" t="b">
        <v>0</v>
      </c>
      <c r="BB722" s="86" t="b">
        <v>1</v>
      </c>
      <c r="BC722" s="86" t="b">
        <v>0</v>
      </c>
      <c r="BD722" s="86" t="b">
        <v>0</v>
      </c>
      <c r="BE722" s="86" t="b">
        <v>0</v>
      </c>
      <c r="BF722" s="86" t="b">
        <v>0</v>
      </c>
      <c r="BG722" s="86" t="b">
        <v>0</v>
      </c>
      <c r="BH722" s="96" t="str">
        <f>HYPERLINK("https://pbs.twimg.com/profile_banners/64722960/1471457237")</f>
        <v>https://pbs.twimg.com/profile_banners/64722960/1471457237</v>
      </c>
      <c r="BI722" s="86"/>
      <c r="BJ722" s="86" t="s">
        <v>29134</v>
      </c>
      <c r="BK722" s="86" t="b">
        <v>0</v>
      </c>
      <c r="BL722" s="86"/>
      <c r="BM722" s="86" t="s">
        <v>66</v>
      </c>
      <c r="BN722" s="86" t="s">
        <v>29136</v>
      </c>
      <c r="BO722" s="96" t="str">
        <f>HYPERLINK("https://twitter.com/ericjolopes")</f>
        <v>https://twitter.com/ericjolopes</v>
      </c>
      <c r="BP722" s="2"/>
    </row>
    <row r="723" spans="1:68" x14ac:dyDescent="0.25">
      <c r="A723" s="63" t="s">
        <v>857</v>
      </c>
      <c r="B723" s="64"/>
      <c r="C723" s="64"/>
      <c r="D723" s="65"/>
      <c r="E723" s="67"/>
      <c r="F723" s="111" t="str">
        <f>HYPERLINK("https://pbs.twimg.com/profile_images/1221221106276696065/XuYVdvf__normal.jpg")</f>
        <v>https://pbs.twimg.com/profile_images/1221221106276696065/XuYVdvf__normal.jpg</v>
      </c>
      <c r="G723" s="64"/>
      <c r="H723" s="68"/>
      <c r="I723" s="69"/>
      <c r="J723" s="69"/>
      <c r="K723" s="68" t="s">
        <v>29856</v>
      </c>
      <c r="L723" s="72"/>
      <c r="M723" s="73"/>
      <c r="N723" s="73"/>
      <c r="O723" s="74"/>
      <c r="P723" s="75"/>
      <c r="Q723" s="75"/>
      <c r="R723" s="102"/>
      <c r="S723" s="102"/>
      <c r="T723" s="102"/>
      <c r="U723" s="102"/>
      <c r="V723" s="48"/>
      <c r="W723" s="48"/>
      <c r="X723" s="48"/>
      <c r="Y723" s="48"/>
      <c r="Z723" s="47"/>
      <c r="AA723" s="70">
        <v>723</v>
      </c>
      <c r="AB723" s="70"/>
      <c r="AC723" s="71"/>
      <c r="AD723" s="86" t="s">
        <v>24342</v>
      </c>
      <c r="AE723" s="94" t="s">
        <v>22587</v>
      </c>
      <c r="AF723" s="86">
        <v>292</v>
      </c>
      <c r="AG723" s="86">
        <v>302</v>
      </c>
      <c r="AH723" s="86">
        <v>2940</v>
      </c>
      <c r="AI723" s="86">
        <v>11</v>
      </c>
      <c r="AJ723" s="86">
        <v>514</v>
      </c>
      <c r="AK723" s="86">
        <v>371</v>
      </c>
      <c r="AL723" s="86" t="b">
        <v>0</v>
      </c>
      <c r="AM723" s="89">
        <v>40022.954641203702</v>
      </c>
      <c r="AN723" s="86" t="s">
        <v>15234</v>
      </c>
      <c r="AO723" s="86" t="s">
        <v>27077</v>
      </c>
      <c r="AP723" s="96" t="str">
        <f>HYPERLINK("https://t.co/HgXwZTwuwp")</f>
        <v>https://t.co/HgXwZTwuwp</v>
      </c>
      <c r="AQ723" s="96" t="str">
        <f>HYPERLINK("http://www.singcomunica.com.br")</f>
        <v>http://www.singcomunica.com.br</v>
      </c>
      <c r="AR723" s="86" t="s">
        <v>28388</v>
      </c>
      <c r="AS723" s="86"/>
      <c r="AT723" s="86"/>
      <c r="AU723" s="86"/>
      <c r="AV723" s="86"/>
      <c r="AW723" s="96" t="str">
        <f>HYPERLINK("https://t.co/HgXwZTwuwp")</f>
        <v>https://t.co/HgXwZTwuwp</v>
      </c>
      <c r="AX723" s="86" t="b">
        <v>0</v>
      </c>
      <c r="AY723" s="86"/>
      <c r="AZ723" s="86"/>
      <c r="BA723" s="86" t="b">
        <v>0</v>
      </c>
      <c r="BB723" s="86" t="b">
        <v>1</v>
      </c>
      <c r="BC723" s="86" t="b">
        <v>0</v>
      </c>
      <c r="BD723" s="86" t="b">
        <v>0</v>
      </c>
      <c r="BE723" s="86" t="b">
        <v>0</v>
      </c>
      <c r="BF723" s="86" t="b">
        <v>0</v>
      </c>
      <c r="BG723" s="86" t="b">
        <v>0</v>
      </c>
      <c r="BH723" s="96" t="str">
        <f>HYPERLINK("https://pbs.twimg.com/profile_banners/61044674/1685472960")</f>
        <v>https://pbs.twimg.com/profile_banners/61044674/1685472960</v>
      </c>
      <c r="BI723" s="86"/>
      <c r="BJ723" s="86" t="s">
        <v>29134</v>
      </c>
      <c r="BK723" s="86" t="b">
        <v>0</v>
      </c>
      <c r="BL723" s="86"/>
      <c r="BM723" s="86" t="s">
        <v>66</v>
      </c>
      <c r="BN723" s="86" t="s">
        <v>29136</v>
      </c>
      <c r="BO723" s="96" t="str">
        <f>HYPERLINK("https://twitter.com/sing_comunica")</f>
        <v>https://twitter.com/sing_comunica</v>
      </c>
      <c r="BP723" s="2"/>
    </row>
    <row r="724" spans="1:68" x14ac:dyDescent="0.25">
      <c r="A724" s="63" t="s">
        <v>858</v>
      </c>
      <c r="B724" s="64"/>
      <c r="C724" s="64"/>
      <c r="D724" s="65"/>
      <c r="E724" s="67"/>
      <c r="F724" s="111" t="str">
        <f>HYPERLINK("https://pbs.twimg.com/profile_images/1166437490883997696/70-ELHCq_normal.png")</f>
        <v>https://pbs.twimg.com/profile_images/1166437490883997696/70-ELHCq_normal.png</v>
      </c>
      <c r="G724" s="64"/>
      <c r="H724" s="68"/>
      <c r="I724" s="69"/>
      <c r="J724" s="69"/>
      <c r="K724" s="68" t="s">
        <v>29857</v>
      </c>
      <c r="L724" s="72"/>
      <c r="M724" s="73"/>
      <c r="N724" s="73"/>
      <c r="O724" s="74"/>
      <c r="P724" s="75"/>
      <c r="Q724" s="75"/>
      <c r="R724" s="102"/>
      <c r="S724" s="102"/>
      <c r="T724" s="102"/>
      <c r="U724" s="102"/>
      <c r="V724" s="48"/>
      <c r="W724" s="48"/>
      <c r="X724" s="48"/>
      <c r="Y724" s="48"/>
      <c r="Z724" s="47"/>
      <c r="AA724" s="70">
        <v>724</v>
      </c>
      <c r="AB724" s="70"/>
      <c r="AC724" s="71"/>
      <c r="AD724" s="86" t="s">
        <v>24343</v>
      </c>
      <c r="AE724" s="94" t="s">
        <v>23159</v>
      </c>
      <c r="AF724" s="86">
        <v>41</v>
      </c>
      <c r="AG724" s="86">
        <v>5</v>
      </c>
      <c r="AH724" s="86">
        <v>1352</v>
      </c>
      <c r="AI724" s="86">
        <v>0</v>
      </c>
      <c r="AJ724" s="86">
        <v>1</v>
      </c>
      <c r="AK724" s="86">
        <v>0</v>
      </c>
      <c r="AL724" s="86" t="b">
        <v>0</v>
      </c>
      <c r="AM724" s="89">
        <v>43704.82476851852</v>
      </c>
      <c r="AN724" s="86"/>
      <c r="AO724" s="86" t="s">
        <v>27078</v>
      </c>
      <c r="AP724" s="96" t="str">
        <f>HYPERLINK("https://t.co/GCIKGyHYXJ")</f>
        <v>https://t.co/GCIKGyHYXJ</v>
      </c>
      <c r="AQ724" s="96" t="str">
        <f>HYPERLINK("https://linktr.ee/TodosOsNossosLinks")</f>
        <v>https://linktr.ee/TodosOsNossosLinks</v>
      </c>
      <c r="AR724" s="86" t="s">
        <v>28389</v>
      </c>
      <c r="AS724" s="86"/>
      <c r="AT724" s="86"/>
      <c r="AU724" s="86"/>
      <c r="AV724" s="86"/>
      <c r="AW724" s="96" t="str">
        <f>HYPERLINK("https://t.co/GCIKGyHYXJ")</f>
        <v>https://t.co/GCIKGyHYXJ</v>
      </c>
      <c r="AX724" s="86" t="b">
        <v>0</v>
      </c>
      <c r="AY724" s="86"/>
      <c r="AZ724" s="86"/>
      <c r="BA724" s="86" t="b">
        <v>0</v>
      </c>
      <c r="BB724" s="86" t="b">
        <v>1</v>
      </c>
      <c r="BC724" s="86" t="b">
        <v>1</v>
      </c>
      <c r="BD724" s="86" t="b">
        <v>0</v>
      </c>
      <c r="BE724" s="86" t="b">
        <v>0</v>
      </c>
      <c r="BF724" s="86" t="b">
        <v>0</v>
      </c>
      <c r="BG724" s="86" t="b">
        <v>0</v>
      </c>
      <c r="BH724" s="96" t="str">
        <f>HYPERLINK("https://pbs.twimg.com/profile_banners/1166437030332641280/1692046104")</f>
        <v>https://pbs.twimg.com/profile_banners/1166437030332641280/1692046104</v>
      </c>
      <c r="BI724" s="86"/>
      <c r="BJ724" s="86" t="s">
        <v>29134</v>
      </c>
      <c r="BK724" s="86" t="b">
        <v>0</v>
      </c>
      <c r="BL724" s="86"/>
      <c r="BM724" s="86" t="s">
        <v>66</v>
      </c>
      <c r="BN724" s="86" t="s">
        <v>29136</v>
      </c>
      <c r="BO724" s="96" t="str">
        <f>HYPERLINK("https://twitter.com/mercadoerotico1")</f>
        <v>https://twitter.com/mercadoerotico1</v>
      </c>
      <c r="BP724" s="2"/>
    </row>
    <row r="725" spans="1:68" x14ac:dyDescent="0.25">
      <c r="A725" s="63" t="s">
        <v>859</v>
      </c>
      <c r="B725" s="64"/>
      <c r="C725" s="64"/>
      <c r="D725" s="65"/>
      <c r="E725" s="67"/>
      <c r="F725" s="111" t="str">
        <f>HYPERLINK("https://pbs.twimg.com/profile_images/1686711791873581057/b5zjQoai_normal.jpg")</f>
        <v>https://pbs.twimg.com/profile_images/1686711791873581057/b5zjQoai_normal.jpg</v>
      </c>
      <c r="G725" s="64"/>
      <c r="H725" s="68"/>
      <c r="I725" s="69"/>
      <c r="J725" s="69"/>
      <c r="K725" s="68" t="s">
        <v>29858</v>
      </c>
      <c r="L725" s="72"/>
      <c r="M725" s="73"/>
      <c r="N725" s="73"/>
      <c r="O725" s="74"/>
      <c r="P725" s="75"/>
      <c r="Q725" s="75"/>
      <c r="R725" s="102"/>
      <c r="S725" s="102"/>
      <c r="T725" s="102"/>
      <c r="U725" s="102"/>
      <c r="V725" s="48"/>
      <c r="W725" s="48"/>
      <c r="X725" s="48"/>
      <c r="Y725" s="48"/>
      <c r="Z725" s="47"/>
      <c r="AA725" s="70">
        <v>725</v>
      </c>
      <c r="AB725" s="70"/>
      <c r="AC725" s="71"/>
      <c r="AD725" s="86" t="s">
        <v>24344</v>
      </c>
      <c r="AE725" s="94" t="s">
        <v>23160</v>
      </c>
      <c r="AF725" s="86">
        <v>1</v>
      </c>
      <c r="AG725" s="86">
        <v>8</v>
      </c>
      <c r="AH725" s="86">
        <v>6</v>
      </c>
      <c r="AI725" s="86">
        <v>0</v>
      </c>
      <c r="AJ725" s="86">
        <v>4</v>
      </c>
      <c r="AK725" s="86">
        <v>4</v>
      </c>
      <c r="AL725" s="86" t="b">
        <v>0</v>
      </c>
      <c r="AM725" s="89">
        <v>45140.508935185186</v>
      </c>
      <c r="AN725" s="86" t="s">
        <v>15234</v>
      </c>
      <c r="AO725" s="86" t="s">
        <v>27079</v>
      </c>
      <c r="AP725" s="86"/>
      <c r="AQ725" s="86"/>
      <c r="AR725" s="86"/>
      <c r="AS725" s="86"/>
      <c r="AT725" s="86"/>
      <c r="AU725" s="86"/>
      <c r="AV725" s="86"/>
      <c r="AW725" s="86"/>
      <c r="AX725" s="86" t="b">
        <v>0</v>
      </c>
      <c r="AY725" s="86"/>
      <c r="AZ725" s="86"/>
      <c r="BA725" s="86" t="b">
        <v>0</v>
      </c>
      <c r="BB725" s="86" t="b">
        <v>1</v>
      </c>
      <c r="BC725" s="86" t="b">
        <v>1</v>
      </c>
      <c r="BD725" s="86" t="b">
        <v>0</v>
      </c>
      <c r="BE725" s="86" t="b">
        <v>0</v>
      </c>
      <c r="BF725" s="86" t="b">
        <v>0</v>
      </c>
      <c r="BG725" s="86" t="b">
        <v>0</v>
      </c>
      <c r="BH725" s="96" t="str">
        <f>HYPERLINK("https://pbs.twimg.com/profile_banners/1686711621333262342/1692013561")</f>
        <v>https://pbs.twimg.com/profile_banners/1686711621333262342/1692013561</v>
      </c>
      <c r="BI725" s="86"/>
      <c r="BJ725" s="86" t="s">
        <v>29134</v>
      </c>
      <c r="BK725" s="86" t="b">
        <v>0</v>
      </c>
      <c r="BL725" s="86"/>
      <c r="BM725" s="86" t="s">
        <v>66</v>
      </c>
      <c r="BN725" s="86" t="s">
        <v>29136</v>
      </c>
      <c r="BO725" s="96" t="str">
        <f>HYPERLINK("https://twitter.com/gabrielispoiler")</f>
        <v>https://twitter.com/gabrielispoiler</v>
      </c>
      <c r="BP725" s="2"/>
    </row>
    <row r="726" spans="1:68" x14ac:dyDescent="0.25">
      <c r="A726" s="63" t="s">
        <v>860</v>
      </c>
      <c r="B726" s="64"/>
      <c r="C726" s="64"/>
      <c r="D726" s="65"/>
      <c r="E726" s="67"/>
      <c r="F726" s="111" t="str">
        <f>HYPERLINK("https://pbs.twimg.com/profile_images/1641138641735909384/jBVBKD9-_normal.png")</f>
        <v>https://pbs.twimg.com/profile_images/1641138641735909384/jBVBKD9-_normal.png</v>
      </c>
      <c r="G726" s="64"/>
      <c r="H726" s="68"/>
      <c r="I726" s="69"/>
      <c r="J726" s="69"/>
      <c r="K726" s="68" t="s">
        <v>29859</v>
      </c>
      <c r="L726" s="72"/>
      <c r="M726" s="73"/>
      <c r="N726" s="73"/>
      <c r="O726" s="74"/>
      <c r="P726" s="75"/>
      <c r="Q726" s="75"/>
      <c r="R726" s="102"/>
      <c r="S726" s="102"/>
      <c r="T726" s="102"/>
      <c r="U726" s="102"/>
      <c r="V726" s="48"/>
      <c r="W726" s="48"/>
      <c r="X726" s="48"/>
      <c r="Y726" s="48"/>
      <c r="Z726" s="47"/>
      <c r="AA726" s="70">
        <v>726</v>
      </c>
      <c r="AB726" s="70"/>
      <c r="AC726" s="71"/>
      <c r="AD726" s="86" t="s">
        <v>24345</v>
      </c>
      <c r="AE726" s="94" t="s">
        <v>23161</v>
      </c>
      <c r="AF726" s="86">
        <v>3</v>
      </c>
      <c r="AG726" s="86">
        <v>64</v>
      </c>
      <c r="AH726" s="86">
        <v>68</v>
      </c>
      <c r="AI726" s="86">
        <v>0</v>
      </c>
      <c r="AJ726" s="86">
        <v>0</v>
      </c>
      <c r="AK726" s="86">
        <v>55</v>
      </c>
      <c r="AL726" s="86" t="b">
        <v>0</v>
      </c>
      <c r="AM726" s="89">
        <v>44939.561516203707</v>
      </c>
      <c r="AN726" s="86" t="s">
        <v>15374</v>
      </c>
      <c r="AO726" s="86" t="s">
        <v>27080</v>
      </c>
      <c r="AP726" s="96" t="str">
        <f>HYPERLINK("https://t.co/c8ib0zK5ld")</f>
        <v>https://t.co/c8ib0zK5ld</v>
      </c>
      <c r="AQ726" s="96" t="str">
        <f>HYPERLINK("https://www.galaxpay.com.br/")</f>
        <v>https://www.galaxpay.com.br/</v>
      </c>
      <c r="AR726" s="86" t="s">
        <v>28390</v>
      </c>
      <c r="AS726" s="86"/>
      <c r="AT726" s="86"/>
      <c r="AU726" s="86"/>
      <c r="AV726" s="86"/>
      <c r="AW726" s="96" t="str">
        <f>HYPERLINK("https://t.co/c8ib0zK5ld")</f>
        <v>https://t.co/c8ib0zK5ld</v>
      </c>
      <c r="AX726" s="86" t="b">
        <v>0</v>
      </c>
      <c r="AY726" s="86"/>
      <c r="AZ726" s="86"/>
      <c r="BA726" s="86" t="b">
        <v>0</v>
      </c>
      <c r="BB726" s="86" t="b">
        <v>1</v>
      </c>
      <c r="BC726" s="86" t="b">
        <v>1</v>
      </c>
      <c r="BD726" s="86" t="b">
        <v>0</v>
      </c>
      <c r="BE726" s="86" t="b">
        <v>0</v>
      </c>
      <c r="BF726" s="86" t="b">
        <v>0</v>
      </c>
      <c r="BG726" s="86" t="b">
        <v>0</v>
      </c>
      <c r="BH726" s="96" t="str">
        <f>HYPERLINK("https://pbs.twimg.com/profile_banners/1613890665183678464/1680112990")</f>
        <v>https://pbs.twimg.com/profile_banners/1613890665183678464/1680112990</v>
      </c>
      <c r="BI726" s="86"/>
      <c r="BJ726" s="86" t="s">
        <v>29134</v>
      </c>
      <c r="BK726" s="86" t="b">
        <v>0</v>
      </c>
      <c r="BL726" s="86"/>
      <c r="BM726" s="86" t="s">
        <v>66</v>
      </c>
      <c r="BN726" s="86" t="s">
        <v>29136</v>
      </c>
      <c r="BO726" s="96" t="str">
        <f>HYPERLINK("https://twitter.com/galaxpay")</f>
        <v>https://twitter.com/galaxpay</v>
      </c>
      <c r="BP726" s="2"/>
    </row>
    <row r="727" spans="1:68" x14ac:dyDescent="0.25">
      <c r="A727" s="63" t="s">
        <v>861</v>
      </c>
      <c r="B727" s="64"/>
      <c r="C727" s="64"/>
      <c r="D727" s="65"/>
      <c r="E727" s="67"/>
      <c r="F727" s="111" t="str">
        <f>HYPERLINK("https://pbs.twimg.com/profile_images/1552997521097719808/axrWwEU6_normal.jpg")</f>
        <v>https://pbs.twimg.com/profile_images/1552997521097719808/axrWwEU6_normal.jpg</v>
      </c>
      <c r="G727" s="64"/>
      <c r="H727" s="68"/>
      <c r="I727" s="69"/>
      <c r="J727" s="69"/>
      <c r="K727" s="68" t="s">
        <v>29860</v>
      </c>
      <c r="L727" s="72"/>
      <c r="M727" s="73"/>
      <c r="N727" s="73"/>
      <c r="O727" s="74"/>
      <c r="P727" s="75"/>
      <c r="Q727" s="75"/>
      <c r="R727" s="102"/>
      <c r="S727" s="102"/>
      <c r="T727" s="102"/>
      <c r="U727" s="102"/>
      <c r="V727" s="48"/>
      <c r="W727" s="48"/>
      <c r="X727" s="48"/>
      <c r="Y727" s="48"/>
      <c r="Z727" s="47"/>
      <c r="AA727" s="70">
        <v>727</v>
      </c>
      <c r="AB727" s="70"/>
      <c r="AC727" s="71"/>
      <c r="AD727" s="86" t="s">
        <v>24346</v>
      </c>
      <c r="AE727" s="94" t="s">
        <v>25492</v>
      </c>
      <c r="AF727" s="86">
        <v>1597</v>
      </c>
      <c r="AG727" s="86">
        <v>155</v>
      </c>
      <c r="AH727" s="86">
        <v>22102</v>
      </c>
      <c r="AI727" s="86">
        <v>29</v>
      </c>
      <c r="AJ727" s="86">
        <v>78</v>
      </c>
      <c r="AK727" s="86">
        <v>4170</v>
      </c>
      <c r="AL727" s="86" t="b">
        <v>0</v>
      </c>
      <c r="AM727" s="89">
        <v>39976.436793981484</v>
      </c>
      <c r="AN727" s="86" t="s">
        <v>26135</v>
      </c>
      <c r="AO727" s="86" t="s">
        <v>27081</v>
      </c>
      <c r="AP727" s="96" t="str">
        <f>HYPERLINK("https://t.co/gGRR3AumyI")</f>
        <v>https://t.co/gGRR3AumyI</v>
      </c>
      <c r="AQ727" s="96" t="str">
        <f>HYPERLINK("http://www.jornaldooeste.com.br")</f>
        <v>http://www.jornaldooeste.com.br</v>
      </c>
      <c r="AR727" s="86" t="s">
        <v>28391</v>
      </c>
      <c r="AS727" s="86"/>
      <c r="AT727" s="86"/>
      <c r="AU727" s="86"/>
      <c r="AV727" s="86"/>
      <c r="AW727" s="96" t="str">
        <f>HYPERLINK("https://t.co/gGRR3AumyI")</f>
        <v>https://t.co/gGRR3AumyI</v>
      </c>
      <c r="AX727" s="86" t="b">
        <v>0</v>
      </c>
      <c r="AY727" s="86"/>
      <c r="AZ727" s="86"/>
      <c r="BA727" s="86" t="b">
        <v>0</v>
      </c>
      <c r="BB727" s="86" t="b">
        <v>1</v>
      </c>
      <c r="BC727" s="86" t="b">
        <v>0</v>
      </c>
      <c r="BD727" s="86" t="b">
        <v>0</v>
      </c>
      <c r="BE727" s="86" t="b">
        <v>0</v>
      </c>
      <c r="BF727" s="86" t="b">
        <v>0</v>
      </c>
      <c r="BG727" s="86" t="b">
        <v>0</v>
      </c>
      <c r="BH727" s="96" t="str">
        <f>HYPERLINK("https://pbs.twimg.com/profile_banners/46624815/1677763695")</f>
        <v>https://pbs.twimg.com/profile_banners/46624815/1677763695</v>
      </c>
      <c r="BI727" s="86"/>
      <c r="BJ727" s="86" t="s">
        <v>29134</v>
      </c>
      <c r="BK727" s="86" t="b">
        <v>0</v>
      </c>
      <c r="BL727" s="86"/>
      <c r="BM727" s="86" t="s">
        <v>66</v>
      </c>
      <c r="BN727" s="86" t="s">
        <v>29136</v>
      </c>
      <c r="BO727" s="96" t="str">
        <f>HYPERLINK("https://twitter.com/jornaldooeste")</f>
        <v>https://twitter.com/jornaldooeste</v>
      </c>
      <c r="BP727" s="2"/>
    </row>
    <row r="728" spans="1:68" x14ac:dyDescent="0.25">
      <c r="A728" s="63" t="s">
        <v>862</v>
      </c>
      <c r="B728" s="64"/>
      <c r="C728" s="64"/>
      <c r="D728" s="65"/>
      <c r="E728" s="67"/>
      <c r="F728" s="111" t="str">
        <f>HYPERLINK("https://pbs.twimg.com/profile_images/1698587362782040064/d-FYyRQi_normal.jpg")</f>
        <v>https://pbs.twimg.com/profile_images/1698587362782040064/d-FYyRQi_normal.jpg</v>
      </c>
      <c r="G728" s="64"/>
      <c r="H728" s="68"/>
      <c r="I728" s="69"/>
      <c r="J728" s="69"/>
      <c r="K728" s="68" t="s">
        <v>29861</v>
      </c>
      <c r="L728" s="72"/>
      <c r="M728" s="73"/>
      <c r="N728" s="73"/>
      <c r="O728" s="74"/>
      <c r="P728" s="75"/>
      <c r="Q728" s="75"/>
      <c r="R728" s="102"/>
      <c r="S728" s="102"/>
      <c r="T728" s="102"/>
      <c r="U728" s="102"/>
      <c r="V728" s="48"/>
      <c r="W728" s="48"/>
      <c r="X728" s="48"/>
      <c r="Y728" s="48"/>
      <c r="Z728" s="47"/>
      <c r="AA728" s="70">
        <v>728</v>
      </c>
      <c r="AB728" s="70"/>
      <c r="AC728" s="71"/>
      <c r="AD728" s="86" t="s">
        <v>24347</v>
      </c>
      <c r="AE728" s="94" t="s">
        <v>23162</v>
      </c>
      <c r="AF728" s="86">
        <v>3</v>
      </c>
      <c r="AG728" s="86">
        <v>19</v>
      </c>
      <c r="AH728" s="86">
        <v>5</v>
      </c>
      <c r="AI728" s="86">
        <v>0</v>
      </c>
      <c r="AJ728" s="86">
        <v>25</v>
      </c>
      <c r="AK728" s="86">
        <v>3</v>
      </c>
      <c r="AL728" s="86" t="b">
        <v>0</v>
      </c>
      <c r="AM728" s="89">
        <v>44840.454675925925</v>
      </c>
      <c r="AN728" s="86" t="s">
        <v>26136</v>
      </c>
      <c r="AO728" s="86" t="s">
        <v>27082</v>
      </c>
      <c r="AP728" s="96" t="str">
        <f>HYPERLINK("https://t.co/TGR5ASnzht")</f>
        <v>https://t.co/TGR5ASnzht</v>
      </c>
      <c r="AQ728" s="96" t="str">
        <f>HYPERLINK("https://bit.ly/3OVmYa4")</f>
        <v>https://bit.ly/3OVmYa4</v>
      </c>
      <c r="AR728" s="86" t="s">
        <v>28392</v>
      </c>
      <c r="AS728" s="86"/>
      <c r="AT728" s="86"/>
      <c r="AU728" s="86"/>
      <c r="AV728" s="86"/>
      <c r="AW728" s="96" t="str">
        <f>HYPERLINK("https://t.co/TGR5ASnzht")</f>
        <v>https://t.co/TGR5ASnzht</v>
      </c>
      <c r="AX728" s="86" t="b">
        <v>0</v>
      </c>
      <c r="AY728" s="86"/>
      <c r="AZ728" s="86"/>
      <c r="BA728" s="86" t="b">
        <v>0</v>
      </c>
      <c r="BB728" s="86" t="b">
        <v>1</v>
      </c>
      <c r="BC728" s="86" t="b">
        <v>1</v>
      </c>
      <c r="BD728" s="86" t="b">
        <v>0</v>
      </c>
      <c r="BE728" s="86" t="b">
        <v>0</v>
      </c>
      <c r="BF728" s="86" t="b">
        <v>0</v>
      </c>
      <c r="BG728" s="86" t="b">
        <v>0</v>
      </c>
      <c r="BH728" s="96" t="str">
        <f>HYPERLINK("https://pbs.twimg.com/profile_banners/1577975521861926912/1693809760")</f>
        <v>https://pbs.twimg.com/profile_banners/1577975521861926912/1693809760</v>
      </c>
      <c r="BI728" s="86"/>
      <c r="BJ728" s="86" t="s">
        <v>29134</v>
      </c>
      <c r="BK728" s="86" t="b">
        <v>0</v>
      </c>
      <c r="BL728" s="86"/>
      <c r="BM728" s="86" t="s">
        <v>66</v>
      </c>
      <c r="BN728" s="86" t="s">
        <v>29136</v>
      </c>
      <c r="BO728" s="96" t="str">
        <f>HYPERLINK("https://twitter.com/gleycontorquato")</f>
        <v>https://twitter.com/gleycontorquato</v>
      </c>
      <c r="BP728" s="2"/>
    </row>
    <row r="729" spans="1:68" x14ac:dyDescent="0.25">
      <c r="A729" s="63" t="s">
        <v>863</v>
      </c>
      <c r="B729" s="64"/>
      <c r="C729" s="64"/>
      <c r="D729" s="65"/>
      <c r="E729" s="67"/>
      <c r="F729" s="111" t="str">
        <f>HYPERLINK("https://pbs.twimg.com/profile_images/1630184131651928069/r4rU6eE8_normal.jpg")</f>
        <v>https://pbs.twimg.com/profile_images/1630184131651928069/r4rU6eE8_normal.jpg</v>
      </c>
      <c r="G729" s="64"/>
      <c r="H729" s="68"/>
      <c r="I729" s="69"/>
      <c r="J729" s="69"/>
      <c r="K729" s="68" t="s">
        <v>29862</v>
      </c>
      <c r="L729" s="72"/>
      <c r="M729" s="73"/>
      <c r="N729" s="73"/>
      <c r="O729" s="74"/>
      <c r="P729" s="75"/>
      <c r="Q729" s="75"/>
      <c r="R729" s="102"/>
      <c r="S729" s="102"/>
      <c r="T729" s="102"/>
      <c r="U729" s="102"/>
      <c r="V729" s="48"/>
      <c r="W729" s="48"/>
      <c r="X729" s="48"/>
      <c r="Y729" s="48"/>
      <c r="Z729" s="47"/>
      <c r="AA729" s="70">
        <v>729</v>
      </c>
      <c r="AB729" s="70"/>
      <c r="AC729" s="71"/>
      <c r="AD729" s="86" t="s">
        <v>24348</v>
      </c>
      <c r="AE729" s="94" t="s">
        <v>23163</v>
      </c>
      <c r="AF729" s="86">
        <v>56</v>
      </c>
      <c r="AG729" s="86">
        <v>79</v>
      </c>
      <c r="AH729" s="86">
        <v>186</v>
      </c>
      <c r="AI729" s="86">
        <v>1</v>
      </c>
      <c r="AJ729" s="86">
        <v>47</v>
      </c>
      <c r="AK729" s="86">
        <v>97</v>
      </c>
      <c r="AL729" s="86" t="b">
        <v>0</v>
      </c>
      <c r="AM729" s="89">
        <v>43958.903437499997</v>
      </c>
      <c r="AN729" s="86" t="s">
        <v>26137</v>
      </c>
      <c r="AO729" s="86" t="s">
        <v>27083</v>
      </c>
      <c r="AP729" s="96" t="str">
        <f>HYPERLINK("https://t.co/prOZXDVZ5k")</f>
        <v>https://t.co/prOZXDVZ5k</v>
      </c>
      <c r="AQ729" s="96" t="str">
        <f>HYPERLINK("http://www.giovanimattos.com.br")</f>
        <v>http://www.giovanimattos.com.br</v>
      </c>
      <c r="AR729" s="86" t="s">
        <v>28393</v>
      </c>
      <c r="AS729" s="86"/>
      <c r="AT729" s="86"/>
      <c r="AU729" s="86"/>
      <c r="AV729" s="86"/>
      <c r="AW729" s="96" t="str">
        <f>HYPERLINK("https://t.co/prOZXDVZ5k")</f>
        <v>https://t.co/prOZXDVZ5k</v>
      </c>
      <c r="AX729" s="86" t="b">
        <v>0</v>
      </c>
      <c r="AY729" s="86"/>
      <c r="AZ729" s="86"/>
      <c r="BA729" s="86" t="b">
        <v>0</v>
      </c>
      <c r="BB729" s="86" t="b">
        <v>1</v>
      </c>
      <c r="BC729" s="86" t="b">
        <v>1</v>
      </c>
      <c r="BD729" s="86" t="b">
        <v>0</v>
      </c>
      <c r="BE729" s="86" t="b">
        <v>0</v>
      </c>
      <c r="BF729" s="86" t="b">
        <v>0</v>
      </c>
      <c r="BG729" s="86" t="b">
        <v>0</v>
      </c>
      <c r="BH729" s="96" t="str">
        <f>HYPERLINK("https://pbs.twimg.com/profile_banners/1258511929146040320/1677501611")</f>
        <v>https://pbs.twimg.com/profile_banners/1258511929146040320/1677501611</v>
      </c>
      <c r="BI729" s="86"/>
      <c r="BJ729" s="86" t="s">
        <v>29134</v>
      </c>
      <c r="BK729" s="86" t="b">
        <v>0</v>
      </c>
      <c r="BL729" s="86"/>
      <c r="BM729" s="86" t="s">
        <v>66</v>
      </c>
      <c r="BN729" s="86" t="s">
        <v>29136</v>
      </c>
      <c r="BO729" s="96" t="str">
        <f>HYPERLINK("https://twitter.com/giovanimattoss")</f>
        <v>https://twitter.com/giovanimattoss</v>
      </c>
      <c r="BP729" s="2"/>
    </row>
    <row r="730" spans="1:68" x14ac:dyDescent="0.25">
      <c r="A730" s="63" t="s">
        <v>864</v>
      </c>
      <c r="B730" s="64"/>
      <c r="C730" s="64"/>
      <c r="D730" s="65"/>
      <c r="E730" s="67"/>
      <c r="F730" s="111" t="str">
        <f>HYPERLINK("https://pbs.twimg.com/profile_images/1492200969807052801/WmOqsNu4_normal.jpg")</f>
        <v>https://pbs.twimg.com/profile_images/1492200969807052801/WmOqsNu4_normal.jpg</v>
      </c>
      <c r="G730" s="64"/>
      <c r="H730" s="68"/>
      <c r="I730" s="69"/>
      <c r="J730" s="69"/>
      <c r="K730" s="68" t="s">
        <v>29863</v>
      </c>
      <c r="L730" s="72"/>
      <c r="M730" s="73"/>
      <c r="N730" s="73"/>
      <c r="O730" s="74"/>
      <c r="P730" s="75"/>
      <c r="Q730" s="75"/>
      <c r="R730" s="102"/>
      <c r="S730" s="102"/>
      <c r="T730" s="102"/>
      <c r="U730" s="102"/>
      <c r="V730" s="48"/>
      <c r="W730" s="48"/>
      <c r="X730" s="48"/>
      <c r="Y730" s="48"/>
      <c r="Z730" s="47"/>
      <c r="AA730" s="70">
        <v>730</v>
      </c>
      <c r="AB730" s="70"/>
      <c r="AC730" s="71"/>
      <c r="AD730" s="86" t="s">
        <v>24349</v>
      </c>
      <c r="AE730" s="94" t="s">
        <v>23164</v>
      </c>
      <c r="AF730" s="86">
        <v>31</v>
      </c>
      <c r="AG730" s="86">
        <v>27</v>
      </c>
      <c r="AH730" s="86">
        <v>889</v>
      </c>
      <c r="AI730" s="86">
        <v>1</v>
      </c>
      <c r="AJ730" s="86">
        <v>16</v>
      </c>
      <c r="AK730" s="86">
        <v>51</v>
      </c>
      <c r="AL730" s="86" t="b">
        <v>0</v>
      </c>
      <c r="AM730" s="89">
        <v>43593.423668981479</v>
      </c>
      <c r="AN730" s="86" t="s">
        <v>26138</v>
      </c>
      <c r="AO730" s="86" t="s">
        <v>27084</v>
      </c>
      <c r="AP730" s="96" t="str">
        <f>HYPERLINK("https://t.co/Fbcw5x9WUW")</f>
        <v>https://t.co/Fbcw5x9WUW</v>
      </c>
      <c r="AQ730" s="96" t="str">
        <f>HYPERLINK("https://mediatosi.com.br")</f>
        <v>https://mediatosi.com.br</v>
      </c>
      <c r="AR730" s="86" t="s">
        <v>28394</v>
      </c>
      <c r="AS730" s="86"/>
      <c r="AT730" s="86"/>
      <c r="AU730" s="86"/>
      <c r="AV730" s="86">
        <v>1.52655957062109E+18</v>
      </c>
      <c r="AW730" s="96" t="str">
        <f>HYPERLINK("https://t.co/Fbcw5x9WUW")</f>
        <v>https://t.co/Fbcw5x9WUW</v>
      </c>
      <c r="AX730" s="86" t="b">
        <v>0</v>
      </c>
      <c r="AY730" s="86"/>
      <c r="AZ730" s="86"/>
      <c r="BA730" s="86" t="b">
        <v>0</v>
      </c>
      <c r="BB730" s="86" t="b">
        <v>1</v>
      </c>
      <c r="BC730" s="86" t="b">
        <v>0</v>
      </c>
      <c r="BD730" s="86" t="b">
        <v>0</v>
      </c>
      <c r="BE730" s="86" t="b">
        <v>0</v>
      </c>
      <c r="BF730" s="86" t="b">
        <v>0</v>
      </c>
      <c r="BG730" s="86" t="b">
        <v>0</v>
      </c>
      <c r="BH730" s="96" t="str">
        <f>HYPERLINK("https://pbs.twimg.com/profile_banners/1126066733935149057/1644603410")</f>
        <v>https://pbs.twimg.com/profile_banners/1126066733935149057/1644603410</v>
      </c>
      <c r="BI730" s="86"/>
      <c r="BJ730" s="86" t="s">
        <v>29134</v>
      </c>
      <c r="BK730" s="86" t="b">
        <v>0</v>
      </c>
      <c r="BL730" s="86"/>
      <c r="BM730" s="86" t="s">
        <v>66</v>
      </c>
      <c r="BN730" s="86" t="s">
        <v>29136</v>
      </c>
      <c r="BO730" s="96" t="str">
        <f>HYPERLINK("https://twitter.com/nandotosi")</f>
        <v>https://twitter.com/nandotosi</v>
      </c>
      <c r="BP730" s="2"/>
    </row>
    <row r="731" spans="1:68" x14ac:dyDescent="0.25">
      <c r="A731" s="63" t="s">
        <v>1694</v>
      </c>
      <c r="B731" s="64"/>
      <c r="C731" s="64"/>
      <c r="D731" s="65"/>
      <c r="E731" s="67"/>
      <c r="F731" s="111" t="str">
        <f>HYPERLINK("https://pbs.twimg.com/profile_images/1478435485169160195/KR7OTblU_normal.jpg")</f>
        <v>https://pbs.twimg.com/profile_images/1478435485169160195/KR7OTblU_normal.jpg</v>
      </c>
      <c r="G731" s="64"/>
      <c r="H731" s="68"/>
      <c r="I731" s="69"/>
      <c r="J731" s="69"/>
      <c r="K731" s="68" t="s">
        <v>29864</v>
      </c>
      <c r="L731" s="72"/>
      <c r="M731" s="73"/>
      <c r="N731" s="73"/>
      <c r="O731" s="74"/>
      <c r="P731" s="75"/>
      <c r="Q731" s="75"/>
      <c r="R731" s="102"/>
      <c r="S731" s="102"/>
      <c r="T731" s="102"/>
      <c r="U731" s="102"/>
      <c r="V731" s="48"/>
      <c r="W731" s="48"/>
      <c r="X731" s="48"/>
      <c r="Y731" s="48"/>
      <c r="Z731" s="47"/>
      <c r="AA731" s="70">
        <v>731</v>
      </c>
      <c r="AB731" s="70"/>
      <c r="AC731" s="71"/>
      <c r="AD731" s="86" t="s">
        <v>24350</v>
      </c>
      <c r="AE731" s="94" t="s">
        <v>25493</v>
      </c>
      <c r="AF731" s="86">
        <v>2477</v>
      </c>
      <c r="AG731" s="86">
        <v>288</v>
      </c>
      <c r="AH731" s="86">
        <v>4752</v>
      </c>
      <c r="AI731" s="86">
        <v>42</v>
      </c>
      <c r="AJ731" s="86">
        <v>3349</v>
      </c>
      <c r="AK731" s="86">
        <v>856</v>
      </c>
      <c r="AL731" s="86" t="b">
        <v>0</v>
      </c>
      <c r="AM731" s="89">
        <v>40165.773020833331</v>
      </c>
      <c r="AN731" s="86" t="s">
        <v>15234</v>
      </c>
      <c r="AO731" s="86" t="s">
        <v>27085</v>
      </c>
      <c r="AP731" s="96" t="str">
        <f>HYPERLINK("https://t.co/oo1m8Z2ba4")</f>
        <v>https://t.co/oo1m8Z2ba4</v>
      </c>
      <c r="AQ731" s="96" t="str">
        <f>HYPERLINK("http://www.confap.org.br")</f>
        <v>http://www.confap.org.br</v>
      </c>
      <c r="AR731" s="86" t="s">
        <v>28395</v>
      </c>
      <c r="AS731" s="86"/>
      <c r="AT731" s="86"/>
      <c r="AU731" s="86"/>
      <c r="AV731" s="86">
        <v>1.67731631972354E+18</v>
      </c>
      <c r="AW731" s="96" t="str">
        <f>HYPERLINK("https://t.co/oo1m8Z2ba4")</f>
        <v>https://t.co/oo1m8Z2ba4</v>
      </c>
      <c r="AX731" s="86" t="b">
        <v>0</v>
      </c>
      <c r="AY731" s="86"/>
      <c r="AZ731" s="86"/>
      <c r="BA731" s="86" t="b">
        <v>1</v>
      </c>
      <c r="BB731" s="86" t="b">
        <v>1</v>
      </c>
      <c r="BC731" s="86" t="b">
        <v>1</v>
      </c>
      <c r="BD731" s="86" t="b">
        <v>0</v>
      </c>
      <c r="BE731" s="86" t="b">
        <v>0</v>
      </c>
      <c r="BF731" s="86" t="b">
        <v>0</v>
      </c>
      <c r="BG731" s="86" t="b">
        <v>0</v>
      </c>
      <c r="BH731" s="96" t="str">
        <f>HYPERLINK("https://pbs.twimg.com/profile_banners/97722847/1641321787")</f>
        <v>https://pbs.twimg.com/profile_banners/97722847/1641321787</v>
      </c>
      <c r="BI731" s="86"/>
      <c r="BJ731" s="86" t="s">
        <v>29134</v>
      </c>
      <c r="BK731" s="86" t="b">
        <v>0</v>
      </c>
      <c r="BL731" s="86"/>
      <c r="BM731" s="86" t="s">
        <v>65</v>
      </c>
      <c r="BN731" s="86" t="s">
        <v>29136</v>
      </c>
      <c r="BO731" s="96" t="str">
        <f>HYPERLINK("https://twitter.com/confapbr")</f>
        <v>https://twitter.com/confapbr</v>
      </c>
      <c r="BP731" s="2"/>
    </row>
    <row r="732" spans="1:68" x14ac:dyDescent="0.25">
      <c r="A732" s="63" t="s">
        <v>1695</v>
      </c>
      <c r="B732" s="64"/>
      <c r="C732" s="64"/>
      <c r="D732" s="65"/>
      <c r="E732" s="67"/>
      <c r="F732" s="111" t="str">
        <f>HYPERLINK("https://pbs.twimg.com/profile_images/1525222606965710848/_vlyf35o_normal.jpg")</f>
        <v>https://pbs.twimg.com/profile_images/1525222606965710848/_vlyf35o_normal.jpg</v>
      </c>
      <c r="G732" s="64"/>
      <c r="H732" s="68"/>
      <c r="I732" s="69"/>
      <c r="J732" s="69"/>
      <c r="K732" s="68" t="s">
        <v>29865</v>
      </c>
      <c r="L732" s="72"/>
      <c r="M732" s="73"/>
      <c r="N732" s="73"/>
      <c r="O732" s="74"/>
      <c r="P732" s="75"/>
      <c r="Q732" s="75"/>
      <c r="R732" s="102"/>
      <c r="S732" s="102"/>
      <c r="T732" s="102"/>
      <c r="U732" s="102"/>
      <c r="V732" s="48"/>
      <c r="W732" s="48"/>
      <c r="X732" s="48"/>
      <c r="Y732" s="48"/>
      <c r="Z732" s="47"/>
      <c r="AA732" s="70">
        <v>732</v>
      </c>
      <c r="AB732" s="70"/>
      <c r="AC732" s="71"/>
      <c r="AD732" s="86" t="s">
        <v>24351</v>
      </c>
      <c r="AE732" s="94" t="s">
        <v>25494</v>
      </c>
      <c r="AF732" s="86">
        <v>123006</v>
      </c>
      <c r="AG732" s="86">
        <v>638</v>
      </c>
      <c r="AH732" s="86">
        <v>6399</v>
      </c>
      <c r="AI732" s="86">
        <v>863</v>
      </c>
      <c r="AJ732" s="86">
        <v>579</v>
      </c>
      <c r="AK732" s="86">
        <v>1855</v>
      </c>
      <c r="AL732" s="86" t="b">
        <v>0</v>
      </c>
      <c r="AM732" s="89">
        <v>40753.88108796296</v>
      </c>
      <c r="AN732" s="86" t="s">
        <v>26139</v>
      </c>
      <c r="AO732" s="86" t="s">
        <v>27086</v>
      </c>
      <c r="AP732" s="96" t="str">
        <f>HYPERLINK("https://t.co/MNiEs0xZ31")</f>
        <v>https://t.co/MNiEs0xZ31</v>
      </c>
      <c r="AQ732" s="96" t="str">
        <f>HYPERLINK("http://www.gov.br/cnpq")</f>
        <v>http://www.gov.br/cnpq</v>
      </c>
      <c r="AR732" s="86" t="s">
        <v>28396</v>
      </c>
      <c r="AS732" s="86"/>
      <c r="AT732" s="86"/>
      <c r="AU732" s="86"/>
      <c r="AV732" s="86"/>
      <c r="AW732" s="96" t="str">
        <f>HYPERLINK("https://t.co/MNiEs0xZ31")</f>
        <v>https://t.co/MNiEs0xZ31</v>
      </c>
      <c r="AX732" s="86" t="b">
        <v>0</v>
      </c>
      <c r="AY732" s="86"/>
      <c r="AZ732" s="86"/>
      <c r="BA732" s="86" t="b">
        <v>0</v>
      </c>
      <c r="BB732" s="86" t="b">
        <v>1</v>
      </c>
      <c r="BC732" s="86" t="b">
        <v>0</v>
      </c>
      <c r="BD732" s="86" t="b">
        <v>0</v>
      </c>
      <c r="BE732" s="86" t="b">
        <v>1</v>
      </c>
      <c r="BF732" s="86" t="b">
        <v>0</v>
      </c>
      <c r="BG732" s="86" t="b">
        <v>0</v>
      </c>
      <c r="BH732" s="96" t="str">
        <f>HYPERLINK("https://pbs.twimg.com/profile_banners/344956335/1656598095")</f>
        <v>https://pbs.twimg.com/profile_banners/344956335/1656598095</v>
      </c>
      <c r="BI732" s="86"/>
      <c r="BJ732" s="86" t="s">
        <v>29134</v>
      </c>
      <c r="BK732" s="86" t="b">
        <v>0</v>
      </c>
      <c r="BL732" s="86"/>
      <c r="BM732" s="86" t="s">
        <v>65</v>
      </c>
      <c r="BN732" s="86" t="s">
        <v>29136</v>
      </c>
      <c r="BO732" s="96" t="str">
        <f>HYPERLINK("https://twitter.com/cnpq_oficial")</f>
        <v>https://twitter.com/cnpq_oficial</v>
      </c>
      <c r="BP732" s="2"/>
    </row>
    <row r="733" spans="1:68" x14ac:dyDescent="0.25">
      <c r="A733" s="63" t="s">
        <v>866</v>
      </c>
      <c r="B733" s="64"/>
      <c r="C733" s="64"/>
      <c r="D733" s="65"/>
      <c r="E733" s="67"/>
      <c r="F733" s="111" t="str">
        <f>HYPERLINK("https://pbs.twimg.com/profile_images/1576653194888990721/AnQzJqBr_normal.jpg")</f>
        <v>https://pbs.twimg.com/profile_images/1576653194888990721/AnQzJqBr_normal.jpg</v>
      </c>
      <c r="G733" s="64"/>
      <c r="H733" s="68"/>
      <c r="I733" s="69"/>
      <c r="J733" s="69"/>
      <c r="K733" s="68" t="s">
        <v>29866</v>
      </c>
      <c r="L733" s="72"/>
      <c r="M733" s="73"/>
      <c r="N733" s="73"/>
      <c r="O733" s="74"/>
      <c r="P733" s="75"/>
      <c r="Q733" s="75"/>
      <c r="R733" s="102"/>
      <c r="S733" s="102"/>
      <c r="T733" s="102"/>
      <c r="U733" s="102"/>
      <c r="V733" s="48"/>
      <c r="W733" s="48"/>
      <c r="X733" s="48"/>
      <c r="Y733" s="48"/>
      <c r="Z733" s="47"/>
      <c r="AA733" s="70">
        <v>733</v>
      </c>
      <c r="AB733" s="70"/>
      <c r="AC733" s="71"/>
      <c r="AD733" s="86" t="s">
        <v>24352</v>
      </c>
      <c r="AE733" s="94" t="s">
        <v>25495</v>
      </c>
      <c r="AF733" s="86">
        <v>529</v>
      </c>
      <c r="AG733" s="86">
        <v>1913</v>
      </c>
      <c r="AH733" s="86">
        <v>25639</v>
      </c>
      <c r="AI733" s="86">
        <v>6</v>
      </c>
      <c r="AJ733" s="86">
        <v>58498</v>
      </c>
      <c r="AK733" s="86">
        <v>3911</v>
      </c>
      <c r="AL733" s="86" t="b">
        <v>0</v>
      </c>
      <c r="AM733" s="89">
        <v>40629.986435185187</v>
      </c>
      <c r="AN733" s="86" t="s">
        <v>26140</v>
      </c>
      <c r="AO733" s="86" t="s">
        <v>27087</v>
      </c>
      <c r="AP733" s="86"/>
      <c r="AQ733" s="86"/>
      <c r="AR733" s="86"/>
      <c r="AS733" s="86"/>
      <c r="AT733" s="86"/>
      <c r="AU733" s="86"/>
      <c r="AV733" s="86"/>
      <c r="AW733" s="86"/>
      <c r="AX733" s="86" t="b">
        <v>0</v>
      </c>
      <c r="AY733" s="86"/>
      <c r="AZ733" s="86"/>
      <c r="BA733" s="86" t="b">
        <v>0</v>
      </c>
      <c r="BB733" s="86" t="b">
        <v>0</v>
      </c>
      <c r="BC733" s="86" t="b">
        <v>1</v>
      </c>
      <c r="BD733" s="86" t="b">
        <v>0</v>
      </c>
      <c r="BE733" s="86" t="b">
        <v>1</v>
      </c>
      <c r="BF733" s="86" t="b">
        <v>0</v>
      </c>
      <c r="BG733" s="86" t="b">
        <v>0</v>
      </c>
      <c r="BH733" s="96" t="str">
        <f>HYPERLINK("https://pbs.twimg.com/profile_banners/273163509/1664738430")</f>
        <v>https://pbs.twimg.com/profile_banners/273163509/1664738430</v>
      </c>
      <c r="BI733" s="86"/>
      <c r="BJ733" s="86" t="s">
        <v>29134</v>
      </c>
      <c r="BK733" s="86" t="b">
        <v>0</v>
      </c>
      <c r="BL733" s="86"/>
      <c r="BM733" s="86" t="s">
        <v>66</v>
      </c>
      <c r="BN733" s="86" t="s">
        <v>29136</v>
      </c>
      <c r="BO733" s="96" t="str">
        <f>HYPERLINK("https://twitter.com/kleber_zonaro")</f>
        <v>https://twitter.com/kleber_zonaro</v>
      </c>
      <c r="BP733" s="2"/>
    </row>
    <row r="734" spans="1:68" x14ac:dyDescent="0.25">
      <c r="A734" s="63" t="s">
        <v>1696</v>
      </c>
      <c r="B734" s="64"/>
      <c r="C734" s="64"/>
      <c r="D734" s="65"/>
      <c r="E734" s="67"/>
      <c r="F734" s="111" t="str">
        <f>HYPERLINK("https://pbs.twimg.com/profile_images/1652035272379342857/p5HezB06_normal.jpg")</f>
        <v>https://pbs.twimg.com/profile_images/1652035272379342857/p5HezB06_normal.jpg</v>
      </c>
      <c r="G734" s="64"/>
      <c r="H734" s="68"/>
      <c r="I734" s="69"/>
      <c r="J734" s="69"/>
      <c r="K734" s="68" t="s">
        <v>29867</v>
      </c>
      <c r="L734" s="72"/>
      <c r="M734" s="73"/>
      <c r="N734" s="73"/>
      <c r="O734" s="74"/>
      <c r="P734" s="75"/>
      <c r="Q734" s="75"/>
      <c r="R734" s="102"/>
      <c r="S734" s="102"/>
      <c r="T734" s="102"/>
      <c r="U734" s="102"/>
      <c r="V734" s="48"/>
      <c r="W734" s="48"/>
      <c r="X734" s="48"/>
      <c r="Y734" s="48"/>
      <c r="Z734" s="47"/>
      <c r="AA734" s="70">
        <v>734</v>
      </c>
      <c r="AB734" s="70"/>
      <c r="AC734" s="71"/>
      <c r="AD734" s="86" t="s">
        <v>24353</v>
      </c>
      <c r="AE734" s="94" t="s">
        <v>22588</v>
      </c>
      <c r="AF734" s="86">
        <v>2825</v>
      </c>
      <c r="AG734" s="86">
        <v>2515</v>
      </c>
      <c r="AH734" s="86">
        <v>27865</v>
      </c>
      <c r="AI734" s="86">
        <v>1</v>
      </c>
      <c r="AJ734" s="86">
        <v>15100</v>
      </c>
      <c r="AK734" s="86">
        <v>1864</v>
      </c>
      <c r="AL734" s="86" t="b">
        <v>0</v>
      </c>
      <c r="AM734" s="89">
        <v>43689.863333333335</v>
      </c>
      <c r="AN734" s="86"/>
      <c r="AO734" s="86" t="s">
        <v>27088</v>
      </c>
      <c r="AP734" s="86"/>
      <c r="AQ734" s="86"/>
      <c r="AR734" s="86"/>
      <c r="AS734" s="86"/>
      <c r="AT734" s="86"/>
      <c r="AU734" s="86"/>
      <c r="AV734" s="86">
        <v>1.6961706163808901E+18</v>
      </c>
      <c r="AW734" s="86"/>
      <c r="AX734" s="86" t="b">
        <v>0</v>
      </c>
      <c r="AY734" s="86"/>
      <c r="AZ734" s="86"/>
      <c r="BA734" s="86" t="b">
        <v>0</v>
      </c>
      <c r="BB734" s="86" t="b">
        <v>1</v>
      </c>
      <c r="BC734" s="86" t="b">
        <v>1</v>
      </c>
      <c r="BD734" s="86" t="b">
        <v>0</v>
      </c>
      <c r="BE734" s="86" t="b">
        <v>1</v>
      </c>
      <c r="BF734" s="86" t="b">
        <v>0</v>
      </c>
      <c r="BG734" s="86" t="b">
        <v>0</v>
      </c>
      <c r="BH734" s="96" t="str">
        <f>HYPERLINK("https://pbs.twimg.com/profile_banners/1161015296762818560/1695687677")</f>
        <v>https://pbs.twimg.com/profile_banners/1161015296762818560/1695687677</v>
      </c>
      <c r="BI734" s="86"/>
      <c r="BJ734" s="86" t="s">
        <v>29134</v>
      </c>
      <c r="BK734" s="86" t="b">
        <v>0</v>
      </c>
      <c r="BL734" s="86"/>
      <c r="BM734" s="86" t="s">
        <v>65</v>
      </c>
      <c r="BN734" s="86" t="s">
        <v>29136</v>
      </c>
      <c r="BO734" s="96" t="str">
        <f>HYPERLINK("https://twitter.com/vidapegueleve")</f>
        <v>https://twitter.com/vidapegueleve</v>
      </c>
      <c r="BP734" s="2"/>
    </row>
    <row r="735" spans="1:68" x14ac:dyDescent="0.25">
      <c r="A735" s="63" t="s">
        <v>867</v>
      </c>
      <c r="B735" s="64"/>
      <c r="C735" s="64"/>
      <c r="D735" s="65"/>
      <c r="E735" s="67"/>
      <c r="F735" s="111" t="str">
        <f>HYPERLINK("https://pbs.twimg.com/profile_images/1560214806937931776/FqxSr81r_normal.jpg")</f>
        <v>https://pbs.twimg.com/profile_images/1560214806937931776/FqxSr81r_normal.jpg</v>
      </c>
      <c r="G735" s="64"/>
      <c r="H735" s="68"/>
      <c r="I735" s="69"/>
      <c r="J735" s="69"/>
      <c r="K735" s="68" t="s">
        <v>29868</v>
      </c>
      <c r="L735" s="72"/>
      <c r="M735" s="73"/>
      <c r="N735" s="73"/>
      <c r="O735" s="74"/>
      <c r="P735" s="75"/>
      <c r="Q735" s="75"/>
      <c r="R735" s="102"/>
      <c r="S735" s="102"/>
      <c r="T735" s="102"/>
      <c r="U735" s="102"/>
      <c r="V735" s="48"/>
      <c r="W735" s="48"/>
      <c r="X735" s="48"/>
      <c r="Y735" s="48"/>
      <c r="Z735" s="47"/>
      <c r="AA735" s="70">
        <v>735</v>
      </c>
      <c r="AB735" s="70"/>
      <c r="AC735" s="71"/>
      <c r="AD735" s="86" t="s">
        <v>867</v>
      </c>
      <c r="AE735" s="94" t="s">
        <v>23165</v>
      </c>
      <c r="AF735" s="86">
        <v>12</v>
      </c>
      <c r="AG735" s="86">
        <v>69</v>
      </c>
      <c r="AH735" s="86">
        <v>99</v>
      </c>
      <c r="AI735" s="86">
        <v>0</v>
      </c>
      <c r="AJ735" s="86">
        <v>176</v>
      </c>
      <c r="AK735" s="86">
        <v>7</v>
      </c>
      <c r="AL735" s="86" t="b">
        <v>0</v>
      </c>
      <c r="AM735" s="89">
        <v>43722.725659722222</v>
      </c>
      <c r="AN735" s="86"/>
      <c r="AO735" s="86" t="s">
        <v>27089</v>
      </c>
      <c r="AP735" s="86"/>
      <c r="AQ735" s="86"/>
      <c r="AR735" s="86"/>
      <c r="AS735" s="86"/>
      <c r="AT735" s="86"/>
      <c r="AU735" s="86"/>
      <c r="AV735" s="86"/>
      <c r="AW735" s="86"/>
      <c r="AX735" s="86" t="b">
        <v>0</v>
      </c>
      <c r="AY735" s="86"/>
      <c r="AZ735" s="86"/>
      <c r="BA735" s="86" t="b">
        <v>1</v>
      </c>
      <c r="BB735" s="86" t="b">
        <v>0</v>
      </c>
      <c r="BC735" s="86" t="b">
        <v>1</v>
      </c>
      <c r="BD735" s="86" t="b">
        <v>0</v>
      </c>
      <c r="BE735" s="86" t="b">
        <v>0</v>
      </c>
      <c r="BF735" s="86" t="b">
        <v>0</v>
      </c>
      <c r="BG735" s="86" t="b">
        <v>1</v>
      </c>
      <c r="BH735" s="86"/>
      <c r="BI735" s="86"/>
      <c r="BJ735" s="86" t="s">
        <v>29134</v>
      </c>
      <c r="BK735" s="86" t="b">
        <v>0</v>
      </c>
      <c r="BL735" s="86"/>
      <c r="BM735" s="86" t="s">
        <v>66</v>
      </c>
      <c r="BN735" s="86" t="s">
        <v>29136</v>
      </c>
      <c r="BO735" s="96" t="str">
        <f>HYPERLINK("https://twitter.com/rikypai")</f>
        <v>https://twitter.com/rikypai</v>
      </c>
      <c r="BP735" s="2"/>
    </row>
    <row r="736" spans="1:68" x14ac:dyDescent="0.25">
      <c r="A736" s="63" t="s">
        <v>868</v>
      </c>
      <c r="B736" s="64"/>
      <c r="C736" s="64"/>
      <c r="D736" s="65"/>
      <c r="E736" s="67"/>
      <c r="F736" s="111" t="str">
        <f>HYPERLINK("https://pbs.twimg.com/profile_images/1579542987813552138/M9n5v8GX_normal.jpg")</f>
        <v>https://pbs.twimg.com/profile_images/1579542987813552138/M9n5v8GX_normal.jpg</v>
      </c>
      <c r="G736" s="64"/>
      <c r="H736" s="68"/>
      <c r="I736" s="69"/>
      <c r="J736" s="69"/>
      <c r="K736" s="68" t="s">
        <v>29869</v>
      </c>
      <c r="L736" s="72"/>
      <c r="M736" s="73"/>
      <c r="N736" s="73"/>
      <c r="O736" s="74"/>
      <c r="P736" s="75"/>
      <c r="Q736" s="75"/>
      <c r="R736" s="102"/>
      <c r="S736" s="102"/>
      <c r="T736" s="102"/>
      <c r="U736" s="102"/>
      <c r="V736" s="48"/>
      <c r="W736" s="48"/>
      <c r="X736" s="48"/>
      <c r="Y736" s="48"/>
      <c r="Z736" s="47"/>
      <c r="AA736" s="70">
        <v>736</v>
      </c>
      <c r="AB736" s="70"/>
      <c r="AC736" s="71"/>
      <c r="AD736" s="86" t="s">
        <v>24354</v>
      </c>
      <c r="AE736" s="94" t="s">
        <v>22589</v>
      </c>
      <c r="AF736" s="86">
        <v>1673</v>
      </c>
      <c r="AG736" s="86">
        <v>758</v>
      </c>
      <c r="AH736" s="86">
        <v>12949</v>
      </c>
      <c r="AI736" s="86">
        <v>0</v>
      </c>
      <c r="AJ736" s="86">
        <v>11386</v>
      </c>
      <c r="AK736" s="86">
        <v>3518</v>
      </c>
      <c r="AL736" s="86" t="b">
        <v>0</v>
      </c>
      <c r="AM736" s="89">
        <v>40184.851400462961</v>
      </c>
      <c r="AN736" s="86" t="s">
        <v>26141</v>
      </c>
      <c r="AO736" s="86" t="s">
        <v>27090</v>
      </c>
      <c r="AP736" s="86"/>
      <c r="AQ736" s="86"/>
      <c r="AR736" s="86"/>
      <c r="AS736" s="96" t="str">
        <f>HYPERLINK("https://t.co/0XMFqKnXo9")</f>
        <v>https://t.co/0XMFqKnXo9</v>
      </c>
      <c r="AT736" s="96" t="str">
        <f>HYPERLINK("http://facebook.com/SPFrenteCidada")</f>
        <v>http://facebook.com/SPFrenteCidada</v>
      </c>
      <c r="AU736" s="86" t="s">
        <v>29078</v>
      </c>
      <c r="AV736" s="86">
        <v>1.65238172297197E+18</v>
      </c>
      <c r="AW736" s="86"/>
      <c r="AX736" s="86" t="b">
        <v>0</v>
      </c>
      <c r="AY736" s="86"/>
      <c r="AZ736" s="86"/>
      <c r="BA736" s="86" t="b">
        <v>0</v>
      </c>
      <c r="BB736" s="86" t="b">
        <v>1</v>
      </c>
      <c r="BC736" s="86" t="b">
        <v>0</v>
      </c>
      <c r="BD736" s="86" t="b">
        <v>0</v>
      </c>
      <c r="BE736" s="86" t="b">
        <v>1</v>
      </c>
      <c r="BF736" s="86" t="b">
        <v>0</v>
      </c>
      <c r="BG736" s="86" t="b">
        <v>0</v>
      </c>
      <c r="BH736" s="96" t="str">
        <f>HYPERLINK("https://pbs.twimg.com/profile_banners/102469911/1675976457")</f>
        <v>https://pbs.twimg.com/profile_banners/102469911/1675976457</v>
      </c>
      <c r="BI736" s="86"/>
      <c r="BJ736" s="86" t="s">
        <v>29134</v>
      </c>
      <c r="BK736" s="86" t="b">
        <v>0</v>
      </c>
      <c r="BL736" s="86"/>
      <c r="BM736" s="86" t="s">
        <v>66</v>
      </c>
      <c r="BN736" s="86" t="s">
        <v>29136</v>
      </c>
      <c r="BO736" s="96" t="str">
        <f>HYPERLINK("https://twitter.com/campos_machado")</f>
        <v>https://twitter.com/campos_machado</v>
      </c>
      <c r="BP736" s="2"/>
    </row>
    <row r="737" spans="1:68" x14ac:dyDescent="0.25">
      <c r="A737" s="63" t="s">
        <v>869</v>
      </c>
      <c r="B737" s="64"/>
      <c r="C737" s="64"/>
      <c r="D737" s="65"/>
      <c r="E737" s="67"/>
      <c r="F737" s="111" t="str">
        <f>HYPERLINK("https://pbs.twimg.com/profile_images/1594474656773406722/BzTwaPbF_normal.jpg")</f>
        <v>https://pbs.twimg.com/profile_images/1594474656773406722/BzTwaPbF_normal.jpg</v>
      </c>
      <c r="G737" s="64"/>
      <c r="H737" s="68"/>
      <c r="I737" s="69"/>
      <c r="J737" s="69"/>
      <c r="K737" s="68" t="s">
        <v>29870</v>
      </c>
      <c r="L737" s="72"/>
      <c r="M737" s="73"/>
      <c r="N737" s="73"/>
      <c r="O737" s="74"/>
      <c r="P737" s="75"/>
      <c r="Q737" s="75"/>
      <c r="R737" s="102"/>
      <c r="S737" s="102"/>
      <c r="T737" s="102"/>
      <c r="U737" s="102"/>
      <c r="V737" s="48"/>
      <c r="W737" s="48"/>
      <c r="X737" s="48"/>
      <c r="Y737" s="48"/>
      <c r="Z737" s="47"/>
      <c r="AA737" s="70">
        <v>737</v>
      </c>
      <c r="AB737" s="70"/>
      <c r="AC737" s="71"/>
      <c r="AD737" s="86" t="s">
        <v>24355</v>
      </c>
      <c r="AE737" s="94" t="s">
        <v>22590</v>
      </c>
      <c r="AF737" s="86">
        <v>29520</v>
      </c>
      <c r="AG737" s="86">
        <v>19728</v>
      </c>
      <c r="AH737" s="86">
        <v>16462</v>
      </c>
      <c r="AI737" s="86">
        <v>493</v>
      </c>
      <c r="AJ737" s="86">
        <v>2412</v>
      </c>
      <c r="AK737" s="86">
        <v>632</v>
      </c>
      <c r="AL737" s="86" t="b">
        <v>0</v>
      </c>
      <c r="AM737" s="89">
        <v>39826.947696759256</v>
      </c>
      <c r="AN737" s="86" t="s">
        <v>26142</v>
      </c>
      <c r="AO737" s="86" t="s">
        <v>27091</v>
      </c>
      <c r="AP737" s="96" t="str">
        <f>HYPERLINK("https://t.co/j2swLQ2i8a")</f>
        <v>https://t.co/j2swLQ2i8a</v>
      </c>
      <c r="AQ737" s="96" t="str">
        <f>HYPERLINK("http://www.efraimfilho.com.br")</f>
        <v>http://www.efraimfilho.com.br</v>
      </c>
      <c r="AR737" s="86" t="s">
        <v>28397</v>
      </c>
      <c r="AS737" s="86"/>
      <c r="AT737" s="86"/>
      <c r="AU737" s="86"/>
      <c r="AV737" s="86"/>
      <c r="AW737" s="96" t="str">
        <f>HYPERLINK("https://t.co/j2swLQ2i8a")</f>
        <v>https://t.co/j2swLQ2i8a</v>
      </c>
      <c r="AX737" s="86" t="b">
        <v>0</v>
      </c>
      <c r="AY737" s="86"/>
      <c r="AZ737" s="86"/>
      <c r="BA737" s="86" t="b">
        <v>0</v>
      </c>
      <c r="BB737" s="86" t="b">
        <v>1</v>
      </c>
      <c r="BC737" s="86" t="b">
        <v>0</v>
      </c>
      <c r="BD737" s="86" t="b">
        <v>0</v>
      </c>
      <c r="BE737" s="86" t="b">
        <v>1</v>
      </c>
      <c r="BF737" s="86" t="b">
        <v>0</v>
      </c>
      <c r="BG737" s="86" t="b">
        <v>0</v>
      </c>
      <c r="BH737" s="96" t="str">
        <f>HYPERLINK("https://pbs.twimg.com/profile_banners/18957078/1669169400")</f>
        <v>https://pbs.twimg.com/profile_banners/18957078/1669169400</v>
      </c>
      <c r="BI737" s="86"/>
      <c r="BJ737" s="86" t="s">
        <v>29134</v>
      </c>
      <c r="BK737" s="86" t="b">
        <v>0</v>
      </c>
      <c r="BL737" s="86"/>
      <c r="BM737" s="86" t="s">
        <v>66</v>
      </c>
      <c r="BN737" s="86" t="s">
        <v>29136</v>
      </c>
      <c r="BO737" s="96" t="str">
        <f>HYPERLINK("https://twitter.com/efraimfilho")</f>
        <v>https://twitter.com/efraimfilho</v>
      </c>
      <c r="BP737" s="2"/>
    </row>
    <row r="738" spans="1:68" x14ac:dyDescent="0.25">
      <c r="A738" s="63" t="s">
        <v>870</v>
      </c>
      <c r="B738" s="64"/>
      <c r="C738" s="64"/>
      <c r="D738" s="65"/>
      <c r="E738" s="67"/>
      <c r="F738" s="111" t="str">
        <f>HYPERLINK("https://pbs.twimg.com/profile_images/1704343922376372224/1-3-_cAd_normal.jpg")</f>
        <v>https://pbs.twimg.com/profile_images/1704343922376372224/1-3-_cAd_normal.jpg</v>
      </c>
      <c r="G738" s="64"/>
      <c r="H738" s="68"/>
      <c r="I738" s="69"/>
      <c r="J738" s="69"/>
      <c r="K738" s="68" t="s">
        <v>29871</v>
      </c>
      <c r="L738" s="72"/>
      <c r="M738" s="73"/>
      <c r="N738" s="73"/>
      <c r="O738" s="74"/>
      <c r="P738" s="75"/>
      <c r="Q738" s="75"/>
      <c r="R738" s="102"/>
      <c r="S738" s="102"/>
      <c r="T738" s="102"/>
      <c r="U738" s="102"/>
      <c r="V738" s="48"/>
      <c r="W738" s="48"/>
      <c r="X738" s="48"/>
      <c r="Y738" s="48"/>
      <c r="Z738" s="47"/>
      <c r="AA738" s="70">
        <v>738</v>
      </c>
      <c r="AB738" s="70"/>
      <c r="AC738" s="71"/>
      <c r="AD738" s="86" t="s">
        <v>24356</v>
      </c>
      <c r="AE738" s="94" t="s">
        <v>23166</v>
      </c>
      <c r="AF738" s="86">
        <v>760</v>
      </c>
      <c r="AG738" s="86">
        <v>4999</v>
      </c>
      <c r="AH738" s="86">
        <v>13800</v>
      </c>
      <c r="AI738" s="86">
        <v>10</v>
      </c>
      <c r="AJ738" s="86">
        <v>11766</v>
      </c>
      <c r="AK738" s="86">
        <v>5483</v>
      </c>
      <c r="AL738" s="86" t="b">
        <v>0</v>
      </c>
      <c r="AM738" s="89">
        <v>43536.065844907411</v>
      </c>
      <c r="AN738" s="86" t="s">
        <v>26143</v>
      </c>
      <c r="AO738" s="86" t="s">
        <v>27092</v>
      </c>
      <c r="AP738" s="96" t="str">
        <f>HYPERLINK("https://t.co/S3jQ16pVsT")</f>
        <v>https://t.co/S3jQ16pVsT</v>
      </c>
      <c r="AQ738" s="96" t="str">
        <f>HYPERLINK("https://bit.ly/contracocfilter")</f>
        <v>https://bit.ly/contracocfilter</v>
      </c>
      <c r="AR738" s="86" t="s">
        <v>28398</v>
      </c>
      <c r="AS738" s="96" t="str">
        <f>HYPERLINK("https://t.co/S3jQ16pVsT")</f>
        <v>https://t.co/S3jQ16pVsT</v>
      </c>
      <c r="AT738" s="96" t="str">
        <f>HYPERLINK("https://bit.ly/contracocfilter")</f>
        <v>https://bit.ly/contracocfilter</v>
      </c>
      <c r="AU738" s="86" t="s">
        <v>28398</v>
      </c>
      <c r="AV738" s="86">
        <v>1.7043435906740101E+18</v>
      </c>
      <c r="AW738" s="96" t="str">
        <f>HYPERLINK("https://t.co/S3jQ16pVsT")</f>
        <v>https://t.co/S3jQ16pVsT</v>
      </c>
      <c r="AX738" s="86" t="b">
        <v>0</v>
      </c>
      <c r="AY738" s="86"/>
      <c r="AZ738" s="86"/>
      <c r="BA738" s="86" t="b">
        <v>0</v>
      </c>
      <c r="BB738" s="86" t="b">
        <v>0</v>
      </c>
      <c r="BC738" s="86" t="b">
        <v>1</v>
      </c>
      <c r="BD738" s="86" t="b">
        <v>0</v>
      </c>
      <c r="BE738" s="86" t="b">
        <v>1</v>
      </c>
      <c r="BF738" s="86" t="b">
        <v>0</v>
      </c>
      <c r="BG738" s="86" t="b">
        <v>0</v>
      </c>
      <c r="BH738" s="96" t="str">
        <f>HYPERLINK("https://pbs.twimg.com/profile_banners/1105280955344961536/1695182219")</f>
        <v>https://pbs.twimg.com/profile_banners/1105280955344961536/1695182219</v>
      </c>
      <c r="BI738" s="86"/>
      <c r="BJ738" s="86" t="s">
        <v>29134</v>
      </c>
      <c r="BK738" s="86" t="b">
        <v>0</v>
      </c>
      <c r="BL738" s="86"/>
      <c r="BM738" s="86" t="s">
        <v>66</v>
      </c>
      <c r="BN738" s="86" t="s">
        <v>29136</v>
      </c>
      <c r="BO738" s="96" t="str">
        <f>HYPERLINK("https://twitter.com/affiliatetiki")</f>
        <v>https://twitter.com/affiliatetiki</v>
      </c>
      <c r="BP738" s="2"/>
    </row>
    <row r="739" spans="1:68" x14ac:dyDescent="0.25">
      <c r="A739" s="63" t="s">
        <v>871</v>
      </c>
      <c r="B739" s="64"/>
      <c r="C739" s="64"/>
      <c r="D739" s="65"/>
      <c r="E739" s="67"/>
      <c r="F739" s="111" t="str">
        <f>HYPERLINK("https://pbs.twimg.com/profile_images/1587784136680521728/t7W5SfPz_normal.png")</f>
        <v>https://pbs.twimg.com/profile_images/1587784136680521728/t7W5SfPz_normal.png</v>
      </c>
      <c r="G739" s="64"/>
      <c r="H739" s="68"/>
      <c r="I739" s="69"/>
      <c r="J739" s="69"/>
      <c r="K739" s="68" t="s">
        <v>29872</v>
      </c>
      <c r="L739" s="72"/>
      <c r="M739" s="73"/>
      <c r="N739" s="73"/>
      <c r="O739" s="74"/>
      <c r="P739" s="75"/>
      <c r="Q739" s="75"/>
      <c r="R739" s="102"/>
      <c r="S739" s="102"/>
      <c r="T739" s="102"/>
      <c r="U739" s="102"/>
      <c r="V739" s="48"/>
      <c r="W739" s="48"/>
      <c r="X739" s="48"/>
      <c r="Y739" s="48"/>
      <c r="Z739" s="47"/>
      <c r="AA739" s="70">
        <v>739</v>
      </c>
      <c r="AB739" s="70"/>
      <c r="AC739" s="71"/>
      <c r="AD739" s="86" t="s">
        <v>24357</v>
      </c>
      <c r="AE739" s="94" t="s">
        <v>23167</v>
      </c>
      <c r="AF739" s="86">
        <v>20</v>
      </c>
      <c r="AG739" s="86">
        <v>96</v>
      </c>
      <c r="AH739" s="86">
        <v>749</v>
      </c>
      <c r="AI739" s="86">
        <v>1</v>
      </c>
      <c r="AJ739" s="86">
        <v>21</v>
      </c>
      <c r="AK739" s="86">
        <v>164</v>
      </c>
      <c r="AL739" s="86" t="b">
        <v>0</v>
      </c>
      <c r="AM739" s="89">
        <v>44867.520972222221</v>
      </c>
      <c r="AN739" s="86" t="s">
        <v>26144</v>
      </c>
      <c r="AO739" s="86" t="s">
        <v>27093</v>
      </c>
      <c r="AP739" s="96" t="str">
        <f>HYPERLINK("https://t.co/h75r9Up41t")</f>
        <v>https://t.co/h75r9Up41t</v>
      </c>
      <c r="AQ739" s="96" t="str">
        <f>HYPERLINK("http://www.jornalvozdolitoral.com")</f>
        <v>http://www.jornalvozdolitoral.com</v>
      </c>
      <c r="AR739" s="86" t="s">
        <v>8475</v>
      </c>
      <c r="AS739" s="86"/>
      <c r="AT739" s="86"/>
      <c r="AU739" s="86"/>
      <c r="AV739" s="86"/>
      <c r="AW739" s="96" t="str">
        <f>HYPERLINK("https://t.co/h75r9Up41t")</f>
        <v>https://t.co/h75r9Up41t</v>
      </c>
      <c r="AX739" s="86" t="b">
        <v>0</v>
      </c>
      <c r="AY739" s="86"/>
      <c r="AZ739" s="86"/>
      <c r="BA739" s="86" t="b">
        <v>0</v>
      </c>
      <c r="BB739" s="86" t="b">
        <v>1</v>
      </c>
      <c r="BC739" s="86" t="b">
        <v>1</v>
      </c>
      <c r="BD739" s="86" t="b">
        <v>0</v>
      </c>
      <c r="BE739" s="86" t="b">
        <v>0</v>
      </c>
      <c r="BF739" s="86" t="b">
        <v>0</v>
      </c>
      <c r="BG739" s="86" t="b">
        <v>0</v>
      </c>
      <c r="BH739" s="96" t="str">
        <f>HYPERLINK("https://pbs.twimg.com/profile_banners/1587784066111344645/1669911880")</f>
        <v>https://pbs.twimg.com/profile_banners/1587784066111344645/1669911880</v>
      </c>
      <c r="BI739" s="86"/>
      <c r="BJ739" s="86" t="s">
        <v>29134</v>
      </c>
      <c r="BK739" s="86" t="b">
        <v>0</v>
      </c>
      <c r="BL739" s="86"/>
      <c r="BM739" s="86" t="s">
        <v>66</v>
      </c>
      <c r="BN739" s="86" t="s">
        <v>29136</v>
      </c>
      <c r="BO739" s="96" t="str">
        <f>HYPERLINK("https://twitter.com/voz_do_litoral")</f>
        <v>https://twitter.com/voz_do_litoral</v>
      </c>
      <c r="BP739" s="2"/>
    </row>
    <row r="740" spans="1:68" x14ac:dyDescent="0.25">
      <c r="A740" s="63" t="s">
        <v>872</v>
      </c>
      <c r="B740" s="64"/>
      <c r="C740" s="64"/>
      <c r="D740" s="65"/>
      <c r="E740" s="67"/>
      <c r="F740" s="111" t="str">
        <f>HYPERLINK("https://pbs.twimg.com/profile_images/1609509255630962688/UkEBVttw_normal.jpg")</f>
        <v>https://pbs.twimg.com/profile_images/1609509255630962688/UkEBVttw_normal.jpg</v>
      </c>
      <c r="G740" s="64"/>
      <c r="H740" s="68"/>
      <c r="I740" s="69"/>
      <c r="J740" s="69"/>
      <c r="K740" s="68" t="s">
        <v>29873</v>
      </c>
      <c r="L740" s="72"/>
      <c r="M740" s="73"/>
      <c r="N740" s="73"/>
      <c r="O740" s="74"/>
      <c r="P740" s="75"/>
      <c r="Q740" s="75"/>
      <c r="R740" s="102"/>
      <c r="S740" s="102"/>
      <c r="T740" s="102"/>
      <c r="U740" s="102"/>
      <c r="V740" s="48"/>
      <c r="W740" s="48"/>
      <c r="X740" s="48"/>
      <c r="Y740" s="48"/>
      <c r="Z740" s="47"/>
      <c r="AA740" s="70">
        <v>740</v>
      </c>
      <c r="AB740" s="70"/>
      <c r="AC740" s="71"/>
      <c r="AD740" s="86" t="s">
        <v>24358</v>
      </c>
      <c r="AE740" s="94" t="s">
        <v>23168</v>
      </c>
      <c r="AF740" s="86">
        <v>0</v>
      </c>
      <c r="AG740" s="86">
        <v>32</v>
      </c>
      <c r="AH740" s="86">
        <v>9</v>
      </c>
      <c r="AI740" s="86">
        <v>0</v>
      </c>
      <c r="AJ740" s="86">
        <v>0</v>
      </c>
      <c r="AK740" s="86">
        <v>1</v>
      </c>
      <c r="AL740" s="86" t="b">
        <v>0</v>
      </c>
      <c r="AM740" s="89">
        <v>44708.653738425928</v>
      </c>
      <c r="AN740" s="86" t="s">
        <v>15283</v>
      </c>
      <c r="AO740" s="86" t="s">
        <v>27094</v>
      </c>
      <c r="AP740" s="96" t="str">
        <f>HYPERLINK("https://t.co/J7W0pKBuCe")</f>
        <v>https://t.co/J7W0pKBuCe</v>
      </c>
      <c r="AQ740" s="96" t="str">
        <f>HYPERLINK("https://clubedeautores.com.br/livro/amaras-ao-teu-proximo-como-a-ti-mesmo")</f>
        <v>https://clubedeautores.com.br/livro/amaras-ao-teu-proximo-como-a-ti-mesmo</v>
      </c>
      <c r="AR740" s="86" t="s">
        <v>28399</v>
      </c>
      <c r="AS740" s="86"/>
      <c r="AT740" s="86"/>
      <c r="AU740" s="86"/>
      <c r="AV740" s="86"/>
      <c r="AW740" s="96" t="str">
        <f>HYPERLINK("https://t.co/J7W0pKBuCe")</f>
        <v>https://t.co/J7W0pKBuCe</v>
      </c>
      <c r="AX740" s="86" t="b">
        <v>0</v>
      </c>
      <c r="AY740" s="86"/>
      <c r="AZ740" s="86"/>
      <c r="BA740" s="86" t="b">
        <v>0</v>
      </c>
      <c r="BB740" s="86" t="b">
        <v>1</v>
      </c>
      <c r="BC740" s="86" t="b">
        <v>1</v>
      </c>
      <c r="BD740" s="86" t="b">
        <v>0</v>
      </c>
      <c r="BE740" s="86" t="b">
        <v>0</v>
      </c>
      <c r="BF740" s="86" t="b">
        <v>0</v>
      </c>
      <c r="BG740" s="86" t="b">
        <v>0</v>
      </c>
      <c r="BH740" s="86"/>
      <c r="BI740" s="86"/>
      <c r="BJ740" s="86" t="s">
        <v>29134</v>
      </c>
      <c r="BK740" s="86" t="b">
        <v>0</v>
      </c>
      <c r="BL740" s="86"/>
      <c r="BM740" s="86" t="s">
        <v>66</v>
      </c>
      <c r="BN740" s="86" t="s">
        <v>29136</v>
      </c>
      <c r="BO740" s="96" t="str">
        <f>HYPERLINK("https://twitter.com/marciopominaj")</f>
        <v>https://twitter.com/marciopominaj</v>
      </c>
      <c r="BP740" s="2"/>
    </row>
    <row r="741" spans="1:68" x14ac:dyDescent="0.25">
      <c r="A741" s="63" t="s">
        <v>873</v>
      </c>
      <c r="B741" s="64"/>
      <c r="C741" s="64"/>
      <c r="D741" s="65"/>
      <c r="E741" s="67"/>
      <c r="F741" s="111" t="str">
        <f>HYPERLINK("https://pbs.twimg.com/profile_images/1695841188048195584/l1GIJ7I2_normal.jpg")</f>
        <v>https://pbs.twimg.com/profile_images/1695841188048195584/l1GIJ7I2_normal.jpg</v>
      </c>
      <c r="G741" s="64"/>
      <c r="H741" s="68"/>
      <c r="I741" s="69"/>
      <c r="J741" s="69"/>
      <c r="K741" s="68" t="s">
        <v>29874</v>
      </c>
      <c r="L741" s="72"/>
      <c r="M741" s="73"/>
      <c r="N741" s="73"/>
      <c r="O741" s="74"/>
      <c r="P741" s="75"/>
      <c r="Q741" s="75"/>
      <c r="R741" s="102"/>
      <c r="S741" s="102"/>
      <c r="T741" s="102"/>
      <c r="U741" s="102"/>
      <c r="V741" s="48"/>
      <c r="W741" s="48"/>
      <c r="X741" s="48"/>
      <c r="Y741" s="48"/>
      <c r="Z741" s="47"/>
      <c r="AA741" s="70">
        <v>741</v>
      </c>
      <c r="AB741" s="70"/>
      <c r="AC741" s="71"/>
      <c r="AD741" s="86" t="s">
        <v>24359</v>
      </c>
      <c r="AE741" s="94" t="s">
        <v>23169</v>
      </c>
      <c r="AF741" s="86">
        <v>2</v>
      </c>
      <c r="AG741" s="86">
        <v>5</v>
      </c>
      <c r="AH741" s="86">
        <v>8</v>
      </c>
      <c r="AI741" s="86">
        <v>0</v>
      </c>
      <c r="AJ741" s="86">
        <v>5</v>
      </c>
      <c r="AK741" s="86">
        <v>0</v>
      </c>
      <c r="AL741" s="86" t="b">
        <v>0</v>
      </c>
      <c r="AM741" s="89">
        <v>45165.699386574073</v>
      </c>
      <c r="AN741" s="86"/>
      <c r="AO741" s="86" t="s">
        <v>27095</v>
      </c>
      <c r="AP741" s="86"/>
      <c r="AQ741" s="86"/>
      <c r="AR741" s="86"/>
      <c r="AS741" s="86"/>
      <c r="AT741" s="86"/>
      <c r="AU741" s="86"/>
      <c r="AV741" s="86"/>
      <c r="AW741" s="86"/>
      <c r="AX741" s="86" t="b">
        <v>0</v>
      </c>
      <c r="AY741" s="86"/>
      <c r="AZ741" s="86"/>
      <c r="BA741" s="86" t="b">
        <v>0</v>
      </c>
      <c r="BB741" s="86" t="b">
        <v>1</v>
      </c>
      <c r="BC741" s="86" t="b">
        <v>1</v>
      </c>
      <c r="BD741" s="86" t="b">
        <v>0</v>
      </c>
      <c r="BE741" s="86" t="b">
        <v>0</v>
      </c>
      <c r="BF741" s="86" t="b">
        <v>0</v>
      </c>
      <c r="BG741" s="86" t="b">
        <v>0</v>
      </c>
      <c r="BH741" s="96" t="str">
        <f>HYPERLINK("https://pbs.twimg.com/profile_banners/1695840326642991105/1693155214")</f>
        <v>https://pbs.twimg.com/profile_banners/1695840326642991105/1693155214</v>
      </c>
      <c r="BI741" s="86"/>
      <c r="BJ741" s="86" t="s">
        <v>29134</v>
      </c>
      <c r="BK741" s="86" t="b">
        <v>0</v>
      </c>
      <c r="BL741" s="86"/>
      <c r="BM741" s="86" t="s">
        <v>66</v>
      </c>
      <c r="BN741" s="86" t="s">
        <v>29136</v>
      </c>
      <c r="BO741" s="96" t="str">
        <f>HYPERLINK("https://twitter.com/raquelsampaiors")</f>
        <v>https://twitter.com/raquelsampaiors</v>
      </c>
      <c r="BP741" s="2"/>
    </row>
    <row r="742" spans="1:68" x14ac:dyDescent="0.25">
      <c r="A742" s="63" t="s">
        <v>874</v>
      </c>
      <c r="B742" s="64"/>
      <c r="C742" s="64"/>
      <c r="D742" s="65"/>
      <c r="E742" s="67"/>
      <c r="F742" s="111" t="str">
        <f>HYPERLINK("https://pbs.twimg.com/profile_images/1676700125496852480/9MaGFni9_normal.jpg")</f>
        <v>https://pbs.twimg.com/profile_images/1676700125496852480/9MaGFni9_normal.jpg</v>
      </c>
      <c r="G742" s="64"/>
      <c r="H742" s="68"/>
      <c r="I742" s="69"/>
      <c r="J742" s="69"/>
      <c r="K742" s="68" t="s">
        <v>29875</v>
      </c>
      <c r="L742" s="72"/>
      <c r="M742" s="73"/>
      <c r="N742" s="73"/>
      <c r="O742" s="74"/>
      <c r="P742" s="75"/>
      <c r="Q742" s="75"/>
      <c r="R742" s="102"/>
      <c r="S742" s="102"/>
      <c r="T742" s="102"/>
      <c r="U742" s="102"/>
      <c r="V742" s="48"/>
      <c r="W742" s="48"/>
      <c r="X742" s="48"/>
      <c r="Y742" s="48"/>
      <c r="Z742" s="47"/>
      <c r="AA742" s="70">
        <v>742</v>
      </c>
      <c r="AB742" s="70"/>
      <c r="AC742" s="71"/>
      <c r="AD742" s="86" t="s">
        <v>24360</v>
      </c>
      <c r="AE742" s="94" t="s">
        <v>23170</v>
      </c>
      <c r="AF742" s="86">
        <v>412</v>
      </c>
      <c r="AG742" s="86">
        <v>347</v>
      </c>
      <c r="AH742" s="86">
        <v>15646</v>
      </c>
      <c r="AI742" s="86">
        <v>0</v>
      </c>
      <c r="AJ742" s="86">
        <v>9412</v>
      </c>
      <c r="AK742" s="86">
        <v>3236</v>
      </c>
      <c r="AL742" s="86" t="b">
        <v>0</v>
      </c>
      <c r="AM742" s="89">
        <v>44293.067164351851</v>
      </c>
      <c r="AN742" s="86"/>
      <c r="AO742" s="86" t="s">
        <v>27096</v>
      </c>
      <c r="AP742" s="86"/>
      <c r="AQ742" s="86"/>
      <c r="AR742" s="86"/>
      <c r="AS742" s="86"/>
      <c r="AT742" s="86"/>
      <c r="AU742" s="86"/>
      <c r="AV742" s="86">
        <v>1.4074983841104E+18</v>
      </c>
      <c r="AW742" s="86"/>
      <c r="AX742" s="86" t="b">
        <v>0</v>
      </c>
      <c r="AY742" s="86"/>
      <c r="AZ742" s="86"/>
      <c r="BA742" s="86" t="b">
        <v>1</v>
      </c>
      <c r="BB742" s="86" t="b">
        <v>0</v>
      </c>
      <c r="BC742" s="86" t="b">
        <v>1</v>
      </c>
      <c r="BD742" s="86" t="b">
        <v>0</v>
      </c>
      <c r="BE742" s="86" t="b">
        <v>1</v>
      </c>
      <c r="BF742" s="86" t="b">
        <v>0</v>
      </c>
      <c r="BG742" s="86" t="b">
        <v>0</v>
      </c>
      <c r="BH742" s="86"/>
      <c r="BI742" s="86"/>
      <c r="BJ742" s="86" t="s">
        <v>29134</v>
      </c>
      <c r="BK742" s="86" t="b">
        <v>0</v>
      </c>
      <c r="BL742" s="86"/>
      <c r="BM742" s="86" t="s">
        <v>66</v>
      </c>
      <c r="BN742" s="86" t="s">
        <v>29136</v>
      </c>
      <c r="BO742" s="96" t="str">
        <f>HYPERLINK("https://twitter.com/clsomon")</f>
        <v>https://twitter.com/clsomon</v>
      </c>
      <c r="BP742" s="2"/>
    </row>
    <row r="743" spans="1:68" x14ac:dyDescent="0.25">
      <c r="A743" s="63" t="s">
        <v>875</v>
      </c>
      <c r="B743" s="64"/>
      <c r="C743" s="64"/>
      <c r="D743" s="65"/>
      <c r="E743" s="67"/>
      <c r="F743" s="111" t="str">
        <f>HYPERLINK("https://pbs.twimg.com/profile_images/1685831655976501248/p4Yj-D92_normal.jpg")</f>
        <v>https://pbs.twimg.com/profile_images/1685831655976501248/p4Yj-D92_normal.jpg</v>
      </c>
      <c r="G743" s="64"/>
      <c r="H743" s="68"/>
      <c r="I743" s="69"/>
      <c r="J743" s="69"/>
      <c r="K743" s="68" t="s">
        <v>29876</v>
      </c>
      <c r="L743" s="72"/>
      <c r="M743" s="73"/>
      <c r="N743" s="73"/>
      <c r="O743" s="74"/>
      <c r="P743" s="75"/>
      <c r="Q743" s="75"/>
      <c r="R743" s="102"/>
      <c r="S743" s="102"/>
      <c r="T743" s="102"/>
      <c r="U743" s="102"/>
      <c r="V743" s="48"/>
      <c r="W743" s="48"/>
      <c r="X743" s="48"/>
      <c r="Y743" s="48"/>
      <c r="Z743" s="47"/>
      <c r="AA743" s="70">
        <v>743</v>
      </c>
      <c r="AB743" s="70"/>
      <c r="AC743" s="71"/>
      <c r="AD743" s="86" t="s">
        <v>24361</v>
      </c>
      <c r="AE743" s="94" t="s">
        <v>25496</v>
      </c>
      <c r="AF743" s="86">
        <v>59273</v>
      </c>
      <c r="AG743" s="86">
        <v>17</v>
      </c>
      <c r="AH743" s="86">
        <v>47818</v>
      </c>
      <c r="AI743" s="86">
        <v>939</v>
      </c>
      <c r="AJ743" s="86">
        <v>220</v>
      </c>
      <c r="AK743" s="86">
        <v>548</v>
      </c>
      <c r="AL743" s="86" t="b">
        <v>0</v>
      </c>
      <c r="AM743" s="89">
        <v>39881.252962962964</v>
      </c>
      <c r="AN743" s="86" t="s">
        <v>15234</v>
      </c>
      <c r="AO743" s="86" t="s">
        <v>27097</v>
      </c>
      <c r="AP743" s="96" t="str">
        <f>HYPERLINK("https://t.co/DkoNZgqTIx")</f>
        <v>https://t.co/DkoNZgqTIx</v>
      </c>
      <c r="AQ743" s="96" t="str">
        <f>HYPERLINK("http://www.dinheirama.com")</f>
        <v>http://www.dinheirama.com</v>
      </c>
      <c r="AR743" s="86" t="s">
        <v>8476</v>
      </c>
      <c r="AS743" s="86"/>
      <c r="AT743" s="86"/>
      <c r="AU743" s="86"/>
      <c r="AV743" s="86"/>
      <c r="AW743" s="96" t="str">
        <f>HYPERLINK("https://t.co/DkoNZgqTIx")</f>
        <v>https://t.co/DkoNZgqTIx</v>
      </c>
      <c r="AX743" s="86" t="b">
        <v>0</v>
      </c>
      <c r="AY743" s="86"/>
      <c r="AZ743" s="86"/>
      <c r="BA743" s="86" t="b">
        <v>1</v>
      </c>
      <c r="BB743" s="86" t="b">
        <v>1</v>
      </c>
      <c r="BC743" s="86" t="b">
        <v>0</v>
      </c>
      <c r="BD743" s="86" t="b">
        <v>0</v>
      </c>
      <c r="BE743" s="86" t="b">
        <v>1</v>
      </c>
      <c r="BF743" s="86" t="b">
        <v>0</v>
      </c>
      <c r="BG743" s="86" t="b">
        <v>0</v>
      </c>
      <c r="BH743" s="96" t="str">
        <f>HYPERLINK("https://pbs.twimg.com/profile_banners/23408209/1690769016")</f>
        <v>https://pbs.twimg.com/profile_banners/23408209/1690769016</v>
      </c>
      <c r="BI743" s="86"/>
      <c r="BJ743" s="86" t="s">
        <v>29134</v>
      </c>
      <c r="BK743" s="86" t="b">
        <v>0</v>
      </c>
      <c r="BL743" s="86"/>
      <c r="BM743" s="86" t="s">
        <v>66</v>
      </c>
      <c r="BN743" s="86" t="s">
        <v>29136</v>
      </c>
      <c r="BO743" s="96" t="str">
        <f>HYPERLINK("https://twitter.com/dinheirama")</f>
        <v>https://twitter.com/dinheirama</v>
      </c>
      <c r="BP743" s="2"/>
    </row>
    <row r="744" spans="1:68" x14ac:dyDescent="0.25">
      <c r="A744" s="63" t="s">
        <v>876</v>
      </c>
      <c r="B744" s="64"/>
      <c r="C744" s="64"/>
      <c r="D744" s="65"/>
      <c r="E744" s="67"/>
      <c r="F744" s="111" t="str">
        <f>HYPERLINK("https://pbs.twimg.com/profile_images/1547781092874211329/2yf4yidC_normal.jpg")</f>
        <v>https://pbs.twimg.com/profile_images/1547781092874211329/2yf4yidC_normal.jpg</v>
      </c>
      <c r="G744" s="64"/>
      <c r="H744" s="68"/>
      <c r="I744" s="69"/>
      <c r="J744" s="69"/>
      <c r="K744" s="68" t="s">
        <v>29877</v>
      </c>
      <c r="L744" s="72"/>
      <c r="M744" s="73"/>
      <c r="N744" s="73"/>
      <c r="O744" s="74"/>
      <c r="P744" s="75"/>
      <c r="Q744" s="75"/>
      <c r="R744" s="102"/>
      <c r="S744" s="102"/>
      <c r="T744" s="102"/>
      <c r="U744" s="102"/>
      <c r="V744" s="48"/>
      <c r="W744" s="48"/>
      <c r="X744" s="48"/>
      <c r="Y744" s="48"/>
      <c r="Z744" s="47"/>
      <c r="AA744" s="70">
        <v>744</v>
      </c>
      <c r="AB744" s="70"/>
      <c r="AC744" s="71"/>
      <c r="AD744" s="86" t="s">
        <v>24362</v>
      </c>
      <c r="AE744" s="94" t="s">
        <v>23171</v>
      </c>
      <c r="AF744" s="86">
        <v>63</v>
      </c>
      <c r="AG744" s="86">
        <v>151</v>
      </c>
      <c r="AH744" s="86">
        <v>426</v>
      </c>
      <c r="AI744" s="86">
        <v>0</v>
      </c>
      <c r="AJ744" s="86">
        <v>26</v>
      </c>
      <c r="AK744" s="86">
        <v>372</v>
      </c>
      <c r="AL744" s="86" t="b">
        <v>0</v>
      </c>
      <c r="AM744" s="89">
        <v>43567.950925925928</v>
      </c>
      <c r="AN744" s="86" t="s">
        <v>26145</v>
      </c>
      <c r="AO744" s="86" t="s">
        <v>27098</v>
      </c>
      <c r="AP744" s="86"/>
      <c r="AQ744" s="86"/>
      <c r="AR744" s="86"/>
      <c r="AS744" s="86"/>
      <c r="AT744" s="86"/>
      <c r="AU744" s="86"/>
      <c r="AV744" s="86"/>
      <c r="AW744" s="86"/>
      <c r="AX744" s="86" t="b">
        <v>0</v>
      </c>
      <c r="AY744" s="86"/>
      <c r="AZ744" s="86"/>
      <c r="BA744" s="86" t="b">
        <v>0</v>
      </c>
      <c r="BB744" s="86" t="b">
        <v>1</v>
      </c>
      <c r="BC744" s="86" t="b">
        <v>1</v>
      </c>
      <c r="BD744" s="86" t="b">
        <v>0</v>
      </c>
      <c r="BE744" s="86" t="b">
        <v>1</v>
      </c>
      <c r="BF744" s="86" t="b">
        <v>0</v>
      </c>
      <c r="BG744" s="86" t="b">
        <v>0</v>
      </c>
      <c r="BH744" s="96" t="str">
        <f>HYPERLINK("https://pbs.twimg.com/profile_banners/1116835720344342533/1577677567")</f>
        <v>https://pbs.twimg.com/profile_banners/1116835720344342533/1577677567</v>
      </c>
      <c r="BI744" s="86"/>
      <c r="BJ744" s="86" t="s">
        <v>29134</v>
      </c>
      <c r="BK744" s="86" t="b">
        <v>0</v>
      </c>
      <c r="BL744" s="86"/>
      <c r="BM744" s="86" t="s">
        <v>66</v>
      </c>
      <c r="BN744" s="86" t="s">
        <v>29136</v>
      </c>
      <c r="BO744" s="96" t="str">
        <f>HYPERLINK("https://twitter.com/negociosenvnzla")</f>
        <v>https://twitter.com/negociosenvnzla</v>
      </c>
      <c r="BP744" s="2"/>
    </row>
    <row r="745" spans="1:68" x14ac:dyDescent="0.25">
      <c r="A745" s="63" t="s">
        <v>877</v>
      </c>
      <c r="B745" s="64"/>
      <c r="C745" s="64"/>
      <c r="D745" s="65"/>
      <c r="E745" s="67"/>
      <c r="F745" s="111" t="str">
        <f>HYPERLINK("https://pbs.twimg.com/profile_images/1585826936177266688/edil2spm_normal.jpg")</f>
        <v>https://pbs.twimg.com/profile_images/1585826936177266688/edil2spm_normal.jpg</v>
      </c>
      <c r="G745" s="64"/>
      <c r="H745" s="68"/>
      <c r="I745" s="69"/>
      <c r="J745" s="69"/>
      <c r="K745" s="68" t="s">
        <v>29878</v>
      </c>
      <c r="L745" s="72"/>
      <c r="M745" s="73"/>
      <c r="N745" s="73"/>
      <c r="O745" s="74"/>
      <c r="P745" s="75"/>
      <c r="Q745" s="75"/>
      <c r="R745" s="102"/>
      <c r="S745" s="102"/>
      <c r="T745" s="102"/>
      <c r="U745" s="102"/>
      <c r="V745" s="48"/>
      <c r="W745" s="48"/>
      <c r="X745" s="48"/>
      <c r="Y745" s="48"/>
      <c r="Z745" s="47"/>
      <c r="AA745" s="70">
        <v>745</v>
      </c>
      <c r="AB745" s="70"/>
      <c r="AC745" s="71"/>
      <c r="AD745" s="86" t="s">
        <v>24363</v>
      </c>
      <c r="AE745" s="94" t="s">
        <v>23172</v>
      </c>
      <c r="AF745" s="86">
        <v>6</v>
      </c>
      <c r="AG745" s="86">
        <v>18</v>
      </c>
      <c r="AH745" s="86">
        <v>232</v>
      </c>
      <c r="AI745" s="86">
        <v>0</v>
      </c>
      <c r="AJ745" s="86">
        <v>84</v>
      </c>
      <c r="AK745" s="86">
        <v>126</v>
      </c>
      <c r="AL745" s="86" t="b">
        <v>0</v>
      </c>
      <c r="AM745" s="89">
        <v>44862.120127314818</v>
      </c>
      <c r="AN745" s="86" t="s">
        <v>25926</v>
      </c>
      <c r="AO745" s="86" t="s">
        <v>27099</v>
      </c>
      <c r="AP745" s="96" t="str">
        <f>HYPERLINK("https://t.co/DZ2zujxzBl")</f>
        <v>https://t.co/DZ2zujxzBl</v>
      </c>
      <c r="AQ745" s="96" t="str">
        <f>HYPERLINK("http://bipocontabilidade.com.br")</f>
        <v>http://bipocontabilidade.com.br</v>
      </c>
      <c r="AR745" s="86" t="s">
        <v>28400</v>
      </c>
      <c r="AS745" s="86"/>
      <c r="AT745" s="86"/>
      <c r="AU745" s="86"/>
      <c r="AV745" s="86"/>
      <c r="AW745" s="96" t="str">
        <f>HYPERLINK("https://t.co/DZ2zujxzBl")</f>
        <v>https://t.co/DZ2zujxzBl</v>
      </c>
      <c r="AX745" s="86" t="b">
        <v>0</v>
      </c>
      <c r="AY745" s="86"/>
      <c r="AZ745" s="86"/>
      <c r="BA745" s="86" t="b">
        <v>0</v>
      </c>
      <c r="BB745" s="86" t="b">
        <v>1</v>
      </c>
      <c r="BC745" s="86" t="b">
        <v>1</v>
      </c>
      <c r="BD745" s="86" t="b">
        <v>0</v>
      </c>
      <c r="BE745" s="86" t="b">
        <v>1</v>
      </c>
      <c r="BF745" s="86" t="b">
        <v>0</v>
      </c>
      <c r="BG745" s="86" t="b">
        <v>0</v>
      </c>
      <c r="BH745" s="96" t="str">
        <f>HYPERLINK("https://pbs.twimg.com/profile_banners/1585826738612862977/1666992728")</f>
        <v>https://pbs.twimg.com/profile_banners/1585826738612862977/1666992728</v>
      </c>
      <c r="BI745" s="86"/>
      <c r="BJ745" s="86" t="s">
        <v>29134</v>
      </c>
      <c r="BK745" s="86" t="b">
        <v>0</v>
      </c>
      <c r="BL745" s="86"/>
      <c r="BM745" s="86" t="s">
        <v>66</v>
      </c>
      <c r="BN745" s="86" t="s">
        <v>29136</v>
      </c>
      <c r="BO745" s="96" t="str">
        <f>HYPERLINK("https://twitter.com/joaodabipo")</f>
        <v>https://twitter.com/joaodabipo</v>
      </c>
      <c r="BP745" s="2"/>
    </row>
    <row r="746" spans="1:68" x14ac:dyDescent="0.25">
      <c r="A746" s="63" t="s">
        <v>878</v>
      </c>
      <c r="B746" s="64"/>
      <c r="C746" s="64"/>
      <c r="D746" s="65"/>
      <c r="E746" s="67"/>
      <c r="F746" s="111" t="str">
        <f>HYPERLINK("https://pbs.twimg.com/profile_images/1276292703261732870/AbfDPkmn_normal.jpg")</f>
        <v>https://pbs.twimg.com/profile_images/1276292703261732870/AbfDPkmn_normal.jpg</v>
      </c>
      <c r="G746" s="64"/>
      <c r="H746" s="68"/>
      <c r="I746" s="69"/>
      <c r="J746" s="69"/>
      <c r="K746" s="68" t="s">
        <v>29879</v>
      </c>
      <c r="L746" s="72"/>
      <c r="M746" s="73"/>
      <c r="N746" s="73"/>
      <c r="O746" s="74"/>
      <c r="P746" s="75"/>
      <c r="Q746" s="75"/>
      <c r="R746" s="102"/>
      <c r="S746" s="102"/>
      <c r="T746" s="102"/>
      <c r="U746" s="102"/>
      <c r="V746" s="48"/>
      <c r="W746" s="48"/>
      <c r="X746" s="48"/>
      <c r="Y746" s="48"/>
      <c r="Z746" s="47"/>
      <c r="AA746" s="70">
        <v>746</v>
      </c>
      <c r="AB746" s="70"/>
      <c r="AC746" s="71"/>
      <c r="AD746" s="86" t="s">
        <v>24364</v>
      </c>
      <c r="AE746" s="94" t="s">
        <v>23173</v>
      </c>
      <c r="AF746" s="86">
        <v>28</v>
      </c>
      <c r="AG746" s="86">
        <v>38</v>
      </c>
      <c r="AH746" s="86">
        <v>54</v>
      </c>
      <c r="AI746" s="86">
        <v>0</v>
      </c>
      <c r="AJ746" s="86">
        <v>38</v>
      </c>
      <c r="AK746" s="86">
        <v>35</v>
      </c>
      <c r="AL746" s="86" t="b">
        <v>0</v>
      </c>
      <c r="AM746" s="89">
        <v>44007.968136574076</v>
      </c>
      <c r="AN746" s="86" t="s">
        <v>26146</v>
      </c>
      <c r="AO746" s="86" t="s">
        <v>27100</v>
      </c>
      <c r="AP746" s="96" t="str">
        <f>HYPERLINK("https://t.co/wh3yqw4gaE")</f>
        <v>https://t.co/wh3yqw4gaE</v>
      </c>
      <c r="AQ746" s="96" t="str">
        <f>HYPERLINK("http://linktr.ee/marcopatinha")</f>
        <v>http://linktr.ee/marcopatinha</v>
      </c>
      <c r="AR746" s="86" t="s">
        <v>28401</v>
      </c>
      <c r="AS746" s="86"/>
      <c r="AT746" s="86"/>
      <c r="AU746" s="86"/>
      <c r="AV746" s="86">
        <v>1.4344220939161201E+18</v>
      </c>
      <c r="AW746" s="96" t="str">
        <f>HYPERLINK("https://t.co/wh3yqw4gaE")</f>
        <v>https://t.co/wh3yqw4gaE</v>
      </c>
      <c r="AX746" s="86" t="b">
        <v>0</v>
      </c>
      <c r="AY746" s="86"/>
      <c r="AZ746" s="86"/>
      <c r="BA746" s="86" t="b">
        <v>0</v>
      </c>
      <c r="BB746" s="86" t="b">
        <v>1</v>
      </c>
      <c r="BC746" s="86" t="b">
        <v>1</v>
      </c>
      <c r="BD746" s="86" t="b">
        <v>0</v>
      </c>
      <c r="BE746" s="86" t="b">
        <v>0</v>
      </c>
      <c r="BF746" s="86" t="b">
        <v>0</v>
      </c>
      <c r="BG746" s="86" t="b">
        <v>0</v>
      </c>
      <c r="BH746" s="86"/>
      <c r="BI746" s="86"/>
      <c r="BJ746" s="86" t="s">
        <v>29134</v>
      </c>
      <c r="BK746" s="86" t="b">
        <v>0</v>
      </c>
      <c r="BL746" s="86"/>
      <c r="BM746" s="86" t="s">
        <v>66</v>
      </c>
      <c r="BN746" s="86" t="s">
        <v>29136</v>
      </c>
      <c r="BO746" s="96" t="str">
        <f>HYPERLINK("https://twitter.com/mpatinha")</f>
        <v>https://twitter.com/mpatinha</v>
      </c>
      <c r="BP746" s="2"/>
    </row>
    <row r="747" spans="1:68" x14ac:dyDescent="0.25">
      <c r="A747" s="63" t="s">
        <v>879</v>
      </c>
      <c r="B747" s="64"/>
      <c r="C747" s="64"/>
      <c r="D747" s="65"/>
      <c r="E747" s="67"/>
      <c r="F747" s="111" t="str">
        <f>HYPERLINK("https://pbs.twimg.com/profile_images/1636090344310816772/PV2slIIL_normal.jpg")</f>
        <v>https://pbs.twimg.com/profile_images/1636090344310816772/PV2slIIL_normal.jpg</v>
      </c>
      <c r="G747" s="64"/>
      <c r="H747" s="68"/>
      <c r="I747" s="69"/>
      <c r="J747" s="69"/>
      <c r="K747" s="68" t="s">
        <v>29880</v>
      </c>
      <c r="L747" s="72"/>
      <c r="M747" s="73"/>
      <c r="N747" s="73"/>
      <c r="O747" s="74"/>
      <c r="P747" s="75"/>
      <c r="Q747" s="75"/>
      <c r="R747" s="102"/>
      <c r="S747" s="102"/>
      <c r="T747" s="102"/>
      <c r="U747" s="102"/>
      <c r="V747" s="48"/>
      <c r="W747" s="48"/>
      <c r="X747" s="48"/>
      <c r="Y747" s="48"/>
      <c r="Z747" s="47"/>
      <c r="AA747" s="70">
        <v>747</v>
      </c>
      <c r="AB747" s="70"/>
      <c r="AC747" s="71"/>
      <c r="AD747" s="86" t="s">
        <v>24365</v>
      </c>
      <c r="AE747" s="94" t="s">
        <v>25497</v>
      </c>
      <c r="AF747" s="86">
        <v>86</v>
      </c>
      <c r="AG747" s="86">
        <v>99</v>
      </c>
      <c r="AH747" s="86">
        <v>1102</v>
      </c>
      <c r="AI747" s="86">
        <v>3</v>
      </c>
      <c r="AJ747" s="86">
        <v>568</v>
      </c>
      <c r="AK747" s="86">
        <v>318</v>
      </c>
      <c r="AL747" s="86" t="b">
        <v>0</v>
      </c>
      <c r="AM747" s="89">
        <v>39923.515810185185</v>
      </c>
      <c r="AN747" s="86" t="s">
        <v>26147</v>
      </c>
      <c r="AO747" s="86" t="s">
        <v>27101</v>
      </c>
      <c r="AP747" s="86"/>
      <c r="AQ747" s="86"/>
      <c r="AR747" s="86"/>
      <c r="AS747" s="86"/>
      <c r="AT747" s="86"/>
      <c r="AU747" s="86"/>
      <c r="AV747" s="86"/>
      <c r="AW747" s="86"/>
      <c r="AX747" s="86" t="b">
        <v>0</v>
      </c>
      <c r="AY747" s="86"/>
      <c r="AZ747" s="86"/>
      <c r="BA747" s="86" t="b">
        <v>0</v>
      </c>
      <c r="BB747" s="86" t="b">
        <v>1</v>
      </c>
      <c r="BC747" s="86" t="b">
        <v>0</v>
      </c>
      <c r="BD747" s="86" t="b">
        <v>0</v>
      </c>
      <c r="BE747" s="86" t="b">
        <v>0</v>
      </c>
      <c r="BF747" s="86" t="b">
        <v>0</v>
      </c>
      <c r="BG747" s="86" t="b">
        <v>0</v>
      </c>
      <c r="BH747" s="86"/>
      <c r="BI747" s="86"/>
      <c r="BJ747" s="86" t="s">
        <v>29134</v>
      </c>
      <c r="BK747" s="86" t="b">
        <v>0</v>
      </c>
      <c r="BL747" s="86"/>
      <c r="BM747" s="86" t="s">
        <v>66</v>
      </c>
      <c r="BN747" s="86" t="s">
        <v>29136</v>
      </c>
      <c r="BO747" s="96" t="str">
        <f>HYPERLINK("https://twitter.com/lieneide")</f>
        <v>https://twitter.com/lieneide</v>
      </c>
      <c r="BP747" s="2"/>
    </row>
    <row r="748" spans="1:68" x14ac:dyDescent="0.25">
      <c r="A748" s="63" t="s">
        <v>880</v>
      </c>
      <c r="B748" s="64"/>
      <c r="C748" s="64"/>
      <c r="D748" s="65"/>
      <c r="E748" s="67"/>
      <c r="F748" s="111" t="str">
        <f>HYPERLINK("https://pbs.twimg.com/profile_images/1700526704727306240/NzgTEe-z_normal.jpg")</f>
        <v>https://pbs.twimg.com/profile_images/1700526704727306240/NzgTEe-z_normal.jpg</v>
      </c>
      <c r="G748" s="64"/>
      <c r="H748" s="68"/>
      <c r="I748" s="69"/>
      <c r="J748" s="69"/>
      <c r="K748" s="68" t="s">
        <v>29881</v>
      </c>
      <c r="L748" s="72"/>
      <c r="M748" s="73"/>
      <c r="N748" s="73"/>
      <c r="O748" s="74"/>
      <c r="P748" s="75"/>
      <c r="Q748" s="75"/>
      <c r="R748" s="102"/>
      <c r="S748" s="102"/>
      <c r="T748" s="102"/>
      <c r="U748" s="102"/>
      <c r="V748" s="48"/>
      <c r="W748" s="48"/>
      <c r="X748" s="48"/>
      <c r="Y748" s="48"/>
      <c r="Z748" s="47"/>
      <c r="AA748" s="70">
        <v>748</v>
      </c>
      <c r="AB748" s="70"/>
      <c r="AC748" s="71"/>
      <c r="AD748" s="86" t="s">
        <v>24366</v>
      </c>
      <c r="AE748" s="94" t="s">
        <v>23174</v>
      </c>
      <c r="AF748" s="86">
        <v>0</v>
      </c>
      <c r="AG748" s="86">
        <v>9</v>
      </c>
      <c r="AH748" s="86">
        <v>21</v>
      </c>
      <c r="AI748" s="86">
        <v>0</v>
      </c>
      <c r="AJ748" s="86">
        <v>12</v>
      </c>
      <c r="AK748" s="86">
        <v>10</v>
      </c>
      <c r="AL748" s="86" t="b">
        <v>0</v>
      </c>
      <c r="AM748" s="89">
        <v>45178.626192129632</v>
      </c>
      <c r="AN748" s="86"/>
      <c r="AO748" s="86" t="s">
        <v>27102</v>
      </c>
      <c r="AP748" s="96" t="str">
        <f>HYPERLINK("https://t.co/rK1ur8K9WQ")</f>
        <v>https://t.co/rK1ur8K9WQ</v>
      </c>
      <c r="AQ748" s="96" t="str">
        <f>HYPERLINK("http://tiktok.com/@paitadoscortes")</f>
        <v>http://tiktok.com/@paitadoscortes</v>
      </c>
      <c r="AR748" s="86" t="s">
        <v>28402</v>
      </c>
      <c r="AS748" s="86"/>
      <c r="AT748" s="86"/>
      <c r="AU748" s="86"/>
      <c r="AV748" s="86">
        <v>1.70340293919523E+18</v>
      </c>
      <c r="AW748" s="96" t="str">
        <f>HYPERLINK("https://t.co/rK1ur8K9WQ")</f>
        <v>https://t.co/rK1ur8K9WQ</v>
      </c>
      <c r="AX748" s="86" t="b">
        <v>0</v>
      </c>
      <c r="AY748" s="86"/>
      <c r="AZ748" s="86"/>
      <c r="BA748" s="86" t="b">
        <v>0</v>
      </c>
      <c r="BB748" s="86" t="b">
        <v>1</v>
      </c>
      <c r="BC748" s="86" t="b">
        <v>1</v>
      </c>
      <c r="BD748" s="86" t="b">
        <v>0</v>
      </c>
      <c r="BE748" s="86" t="b">
        <v>0</v>
      </c>
      <c r="BF748" s="86" t="b">
        <v>0</v>
      </c>
      <c r="BG748" s="86" t="b">
        <v>1</v>
      </c>
      <c r="BH748" s="96" t="str">
        <f>HYPERLINK("https://pbs.twimg.com/profile_banners/1700524721928876032/1694272138")</f>
        <v>https://pbs.twimg.com/profile_banners/1700524721928876032/1694272138</v>
      </c>
      <c r="BI748" s="86" t="s">
        <v>29132</v>
      </c>
      <c r="BJ748" s="86" t="s">
        <v>29134</v>
      </c>
      <c r="BK748" s="86" t="b">
        <v>0</v>
      </c>
      <c r="BL748" s="86"/>
      <c r="BM748" s="86" t="s">
        <v>66</v>
      </c>
      <c r="BN748" s="86" t="s">
        <v>29136</v>
      </c>
      <c r="BO748" s="96" t="str">
        <f>HYPERLINK("https://twitter.com/paitadoscortes")</f>
        <v>https://twitter.com/paitadoscortes</v>
      </c>
      <c r="BP748" s="2"/>
    </row>
    <row r="749" spans="1:68" x14ac:dyDescent="0.25">
      <c r="A749" s="63" t="s">
        <v>881</v>
      </c>
      <c r="B749" s="64"/>
      <c r="C749" s="64"/>
      <c r="D749" s="65"/>
      <c r="E749" s="67"/>
      <c r="F749" s="111" t="str">
        <f>HYPERLINK("https://pbs.twimg.com/profile_images/1677468789514940417/-4F1x8t__normal.jpg")</f>
        <v>https://pbs.twimg.com/profile_images/1677468789514940417/-4F1x8t__normal.jpg</v>
      </c>
      <c r="G749" s="64"/>
      <c r="H749" s="68"/>
      <c r="I749" s="69"/>
      <c r="J749" s="69"/>
      <c r="K749" s="68" t="s">
        <v>29882</v>
      </c>
      <c r="L749" s="72"/>
      <c r="M749" s="73"/>
      <c r="N749" s="73"/>
      <c r="O749" s="74"/>
      <c r="P749" s="75"/>
      <c r="Q749" s="75"/>
      <c r="R749" s="102"/>
      <c r="S749" s="102"/>
      <c r="T749" s="102"/>
      <c r="U749" s="102"/>
      <c r="V749" s="48"/>
      <c r="W749" s="48"/>
      <c r="X749" s="48"/>
      <c r="Y749" s="48"/>
      <c r="Z749" s="47"/>
      <c r="AA749" s="70">
        <v>749</v>
      </c>
      <c r="AB749" s="70"/>
      <c r="AC749" s="71"/>
      <c r="AD749" s="86" t="s">
        <v>24367</v>
      </c>
      <c r="AE749" s="94" t="s">
        <v>23175</v>
      </c>
      <c r="AF749" s="86">
        <v>1</v>
      </c>
      <c r="AG749" s="86">
        <v>7</v>
      </c>
      <c r="AH749" s="86">
        <v>11</v>
      </c>
      <c r="AI749" s="86">
        <v>0</v>
      </c>
      <c r="AJ749" s="86">
        <v>0</v>
      </c>
      <c r="AK749" s="86">
        <v>2</v>
      </c>
      <c r="AL749" s="86" t="b">
        <v>0</v>
      </c>
      <c r="AM749" s="89">
        <v>45033.819687499999</v>
      </c>
      <c r="AN749" s="86" t="s">
        <v>15246</v>
      </c>
      <c r="AO749" s="86" t="s">
        <v>27103</v>
      </c>
      <c r="AP749" s="86"/>
      <c r="AQ749" s="86"/>
      <c r="AR749" s="86"/>
      <c r="AS749" s="86"/>
      <c r="AT749" s="86"/>
      <c r="AU749" s="86"/>
      <c r="AV749" s="86"/>
      <c r="AW749" s="86"/>
      <c r="AX749" s="86" t="b">
        <v>0</v>
      </c>
      <c r="AY749" s="86"/>
      <c r="AZ749" s="86"/>
      <c r="BA749" s="86" t="b">
        <v>0</v>
      </c>
      <c r="BB749" s="86" t="b">
        <v>1</v>
      </c>
      <c r="BC749" s="86" t="b">
        <v>1</v>
      </c>
      <c r="BD749" s="86" t="b">
        <v>0</v>
      </c>
      <c r="BE749" s="86" t="b">
        <v>0</v>
      </c>
      <c r="BF749" s="86" t="b">
        <v>0</v>
      </c>
      <c r="BG749" s="86" t="b">
        <v>0</v>
      </c>
      <c r="BH749" s="96" t="str">
        <f>HYPERLINK("https://pbs.twimg.com/profile_banners/1648048706728386561/1688774711")</f>
        <v>https://pbs.twimg.com/profile_banners/1648048706728386561/1688774711</v>
      </c>
      <c r="BI749" s="86"/>
      <c r="BJ749" s="86" t="s">
        <v>29134</v>
      </c>
      <c r="BK749" s="86" t="b">
        <v>0</v>
      </c>
      <c r="BL749" s="86"/>
      <c r="BM749" s="86" t="s">
        <v>66</v>
      </c>
      <c r="BN749" s="86" t="s">
        <v>29136</v>
      </c>
      <c r="BO749" s="96" t="str">
        <f>HYPERLINK("https://twitter.com/tecnologiastek")</f>
        <v>https://twitter.com/tecnologiastek</v>
      </c>
      <c r="BP749" s="2"/>
    </row>
    <row r="750" spans="1:68" x14ac:dyDescent="0.25">
      <c r="A750" s="63" t="s">
        <v>882</v>
      </c>
      <c r="B750" s="64"/>
      <c r="C750" s="64"/>
      <c r="D750" s="65"/>
      <c r="E750" s="67"/>
      <c r="F750" s="111" t="str">
        <f>HYPERLINK("https://pbs.twimg.com/profile_images/1351995735777161216/6La4E3q0_normal.jpg")</f>
        <v>https://pbs.twimg.com/profile_images/1351995735777161216/6La4E3q0_normal.jpg</v>
      </c>
      <c r="G750" s="64"/>
      <c r="H750" s="68"/>
      <c r="I750" s="69"/>
      <c r="J750" s="69"/>
      <c r="K750" s="68" t="s">
        <v>29883</v>
      </c>
      <c r="L750" s="72"/>
      <c r="M750" s="73"/>
      <c r="N750" s="73"/>
      <c r="O750" s="74"/>
      <c r="P750" s="75"/>
      <c r="Q750" s="75"/>
      <c r="R750" s="102"/>
      <c r="S750" s="102"/>
      <c r="T750" s="102"/>
      <c r="U750" s="102"/>
      <c r="V750" s="48"/>
      <c r="W750" s="48"/>
      <c r="X750" s="48"/>
      <c r="Y750" s="48"/>
      <c r="Z750" s="47"/>
      <c r="AA750" s="70">
        <v>750</v>
      </c>
      <c r="AB750" s="70"/>
      <c r="AC750" s="71"/>
      <c r="AD750" s="86" t="s">
        <v>24368</v>
      </c>
      <c r="AE750" s="94" t="s">
        <v>23176</v>
      </c>
      <c r="AF750" s="86">
        <v>34</v>
      </c>
      <c r="AG750" s="86">
        <v>18</v>
      </c>
      <c r="AH750" s="86">
        <v>2006</v>
      </c>
      <c r="AI750" s="86">
        <v>0</v>
      </c>
      <c r="AJ750" s="86">
        <v>3</v>
      </c>
      <c r="AK750" s="86">
        <v>1386</v>
      </c>
      <c r="AL750" s="86" t="b">
        <v>0</v>
      </c>
      <c r="AM750" s="89">
        <v>44215.689895833333</v>
      </c>
      <c r="AN750" s="86" t="s">
        <v>26148</v>
      </c>
      <c r="AO750" s="86"/>
      <c r="AP750" s="96" t="str">
        <f>HYPERLINK("https://t.co/LQjKwSfPcV")</f>
        <v>https://t.co/LQjKwSfPcV</v>
      </c>
      <c r="AQ750" s="96" t="str">
        <f>HYPERLINK("https://linktr.ee/prefeituradesaojosedoserido")</f>
        <v>https://linktr.ee/prefeituradesaojosedoserido</v>
      </c>
      <c r="AR750" s="86" t="s">
        <v>28403</v>
      </c>
      <c r="AS750" s="86"/>
      <c r="AT750" s="86"/>
      <c r="AU750" s="86"/>
      <c r="AV750" s="86"/>
      <c r="AW750" s="96" t="str">
        <f>HYPERLINK("https://t.co/LQjKwSfPcV")</f>
        <v>https://t.co/LQjKwSfPcV</v>
      </c>
      <c r="AX750" s="86" t="b">
        <v>0</v>
      </c>
      <c r="AY750" s="86"/>
      <c r="AZ750" s="86"/>
      <c r="BA750" s="86" t="b">
        <v>0</v>
      </c>
      <c r="BB750" s="86" t="b">
        <v>1</v>
      </c>
      <c r="BC750" s="86" t="b">
        <v>1</v>
      </c>
      <c r="BD750" s="86" t="b">
        <v>0</v>
      </c>
      <c r="BE750" s="86" t="b">
        <v>0</v>
      </c>
      <c r="BF750" s="86" t="b">
        <v>0</v>
      </c>
      <c r="BG750" s="86" t="b">
        <v>0</v>
      </c>
      <c r="BH750" s="96" t="str">
        <f>HYPERLINK("https://pbs.twimg.com/profile_banners/1351568430923735041/1642428962")</f>
        <v>https://pbs.twimg.com/profile_banners/1351568430923735041/1642428962</v>
      </c>
      <c r="BI750" s="86"/>
      <c r="BJ750" s="86" t="s">
        <v>29134</v>
      </c>
      <c r="BK750" s="86" t="b">
        <v>0</v>
      </c>
      <c r="BL750" s="86"/>
      <c r="BM750" s="86" t="s">
        <v>66</v>
      </c>
      <c r="BN750" s="86" t="s">
        <v>29136</v>
      </c>
      <c r="BO750" s="96" t="str">
        <f>HYPERLINK("https://twitter.com/prefsjs")</f>
        <v>https://twitter.com/prefsjs</v>
      </c>
      <c r="BP750" s="2"/>
    </row>
    <row r="751" spans="1:68" x14ac:dyDescent="0.25">
      <c r="A751" s="63" t="s">
        <v>883</v>
      </c>
      <c r="B751" s="64"/>
      <c r="C751" s="64"/>
      <c r="D751" s="65"/>
      <c r="E751" s="67"/>
      <c r="F751" s="111" t="str">
        <f>HYPERLINK("https://pbs.twimg.com/profile_images/1392086029243400193/AQHujfbT_normal.jpg")</f>
        <v>https://pbs.twimg.com/profile_images/1392086029243400193/AQHujfbT_normal.jpg</v>
      </c>
      <c r="G751" s="64"/>
      <c r="H751" s="68"/>
      <c r="I751" s="69"/>
      <c r="J751" s="69"/>
      <c r="K751" s="68" t="s">
        <v>29884</v>
      </c>
      <c r="L751" s="72"/>
      <c r="M751" s="73"/>
      <c r="N751" s="73"/>
      <c r="O751" s="74"/>
      <c r="P751" s="75"/>
      <c r="Q751" s="75"/>
      <c r="R751" s="102"/>
      <c r="S751" s="102"/>
      <c r="T751" s="102"/>
      <c r="U751" s="102"/>
      <c r="V751" s="48"/>
      <c r="W751" s="48"/>
      <c r="X751" s="48"/>
      <c r="Y751" s="48"/>
      <c r="Z751" s="47"/>
      <c r="AA751" s="70">
        <v>751</v>
      </c>
      <c r="AB751" s="70"/>
      <c r="AC751" s="71"/>
      <c r="AD751" s="86" t="s">
        <v>24369</v>
      </c>
      <c r="AE751" s="94" t="s">
        <v>25498</v>
      </c>
      <c r="AF751" s="86">
        <v>4526</v>
      </c>
      <c r="AG751" s="86">
        <v>986</v>
      </c>
      <c r="AH751" s="86">
        <v>33010</v>
      </c>
      <c r="AI751" s="86">
        <v>21</v>
      </c>
      <c r="AJ751" s="86">
        <v>2986</v>
      </c>
      <c r="AK751" s="86">
        <v>1594</v>
      </c>
      <c r="AL751" s="86" t="b">
        <v>0</v>
      </c>
      <c r="AM751" s="89">
        <v>40356.122430555559</v>
      </c>
      <c r="AN751" s="86" t="s">
        <v>26149</v>
      </c>
      <c r="AO751" s="86" t="s">
        <v>27104</v>
      </c>
      <c r="AP751" s="96" t="str">
        <f>HYPERLINK("https://t.co/dVOlvQiAnk")</f>
        <v>https://t.co/dVOlvQiAnk</v>
      </c>
      <c r="AQ751" s="96" t="str">
        <f>HYPERLINK("http://josielalcolumbre.com.br")</f>
        <v>http://josielalcolumbre.com.br</v>
      </c>
      <c r="AR751" s="86" t="s">
        <v>28404</v>
      </c>
      <c r="AS751" s="86"/>
      <c r="AT751" s="86"/>
      <c r="AU751" s="86"/>
      <c r="AV751" s="86"/>
      <c r="AW751" s="96" t="str">
        <f>HYPERLINK("https://t.co/dVOlvQiAnk")</f>
        <v>https://t.co/dVOlvQiAnk</v>
      </c>
      <c r="AX751" s="86" t="b">
        <v>0</v>
      </c>
      <c r="AY751" s="86"/>
      <c r="AZ751" s="86"/>
      <c r="BA751" s="86" t="b">
        <v>0</v>
      </c>
      <c r="BB751" s="86" t="b">
        <v>0</v>
      </c>
      <c r="BC751" s="86" t="b">
        <v>0</v>
      </c>
      <c r="BD751" s="86" t="b">
        <v>0</v>
      </c>
      <c r="BE751" s="86" t="b">
        <v>1</v>
      </c>
      <c r="BF751" s="86" t="b">
        <v>0</v>
      </c>
      <c r="BG751" s="86" t="b">
        <v>0</v>
      </c>
      <c r="BH751" s="96" t="str">
        <f>HYPERLINK("https://pbs.twimg.com/profile_banners/160063510/1609991891")</f>
        <v>https://pbs.twimg.com/profile_banners/160063510/1609991891</v>
      </c>
      <c r="BI751" s="86"/>
      <c r="BJ751" s="86" t="s">
        <v>29134</v>
      </c>
      <c r="BK751" s="86" t="b">
        <v>0</v>
      </c>
      <c r="BL751" s="86"/>
      <c r="BM751" s="86" t="s">
        <v>66</v>
      </c>
      <c r="BN751" s="86" t="s">
        <v>29136</v>
      </c>
      <c r="BO751" s="96" t="str">
        <f>HYPERLINK("https://twitter.com/josiel_at")</f>
        <v>https://twitter.com/josiel_at</v>
      </c>
      <c r="BP751" s="2"/>
    </row>
    <row r="752" spans="1:68" x14ac:dyDescent="0.25">
      <c r="A752" s="63" t="s">
        <v>1095</v>
      </c>
      <c r="B752" s="64"/>
      <c r="C752" s="64"/>
      <c r="D752" s="65"/>
      <c r="E752" s="67"/>
      <c r="F752" s="111" t="str">
        <f>HYPERLINK("https://pbs.twimg.com/profile_images/1211027151870402560/9JIqaKmf_normal.jpg")</f>
        <v>https://pbs.twimg.com/profile_images/1211027151870402560/9JIqaKmf_normal.jpg</v>
      </c>
      <c r="G752" s="64"/>
      <c r="H752" s="68"/>
      <c r="I752" s="69"/>
      <c r="J752" s="69"/>
      <c r="K752" s="68" t="s">
        <v>29885</v>
      </c>
      <c r="L752" s="72"/>
      <c r="M752" s="73"/>
      <c r="N752" s="73"/>
      <c r="O752" s="74"/>
      <c r="P752" s="75"/>
      <c r="Q752" s="75"/>
      <c r="R752" s="102"/>
      <c r="S752" s="102"/>
      <c r="T752" s="102"/>
      <c r="U752" s="102"/>
      <c r="V752" s="48"/>
      <c r="W752" s="48"/>
      <c r="X752" s="48"/>
      <c r="Y752" s="48"/>
      <c r="Z752" s="47"/>
      <c r="AA752" s="70">
        <v>752</v>
      </c>
      <c r="AB752" s="70"/>
      <c r="AC752" s="71"/>
      <c r="AD752" s="86" t="s">
        <v>11502</v>
      </c>
      <c r="AE752" s="94" t="s">
        <v>23295</v>
      </c>
      <c r="AF752" s="86">
        <v>220</v>
      </c>
      <c r="AG752" s="86">
        <v>4</v>
      </c>
      <c r="AH752" s="86">
        <v>11108</v>
      </c>
      <c r="AI752" s="86">
        <v>4</v>
      </c>
      <c r="AJ752" s="86">
        <v>617</v>
      </c>
      <c r="AK752" s="86">
        <v>3732</v>
      </c>
      <c r="AL752" s="86" t="b">
        <v>0</v>
      </c>
      <c r="AM752" s="89">
        <v>42812.901909722219</v>
      </c>
      <c r="AN752" s="86" t="s">
        <v>15234</v>
      </c>
      <c r="AO752" s="86" t="s">
        <v>27105</v>
      </c>
      <c r="AP752" s="96" t="str">
        <f>HYPERLINK("https://t.co/QCMImeye1K")</f>
        <v>https://t.co/QCMImeye1K</v>
      </c>
      <c r="AQ752" s="96" t="str">
        <f>HYPERLINK("https://www.economicnewsbrasil.com.br/")</f>
        <v>https://www.economicnewsbrasil.com.br/</v>
      </c>
      <c r="AR752" s="86" t="s">
        <v>28405</v>
      </c>
      <c r="AS752" s="86"/>
      <c r="AT752" s="86"/>
      <c r="AU752" s="86"/>
      <c r="AV752" s="86"/>
      <c r="AW752" s="96" t="str">
        <f>HYPERLINK("https://t.co/QCMImeye1K")</f>
        <v>https://t.co/QCMImeye1K</v>
      </c>
      <c r="AX752" s="86" t="b">
        <v>0</v>
      </c>
      <c r="AY752" s="86"/>
      <c r="AZ752" s="86"/>
      <c r="BA752" s="86" t="b">
        <v>1</v>
      </c>
      <c r="BB752" s="86" t="b">
        <v>0</v>
      </c>
      <c r="BC752" s="86" t="b">
        <v>1</v>
      </c>
      <c r="BD752" s="86" t="b">
        <v>0</v>
      </c>
      <c r="BE752" s="86" t="b">
        <v>0</v>
      </c>
      <c r="BF752" s="86" t="b">
        <v>0</v>
      </c>
      <c r="BG752" s="86" t="b">
        <v>0</v>
      </c>
      <c r="BH752" s="96" t="str">
        <f>HYPERLINK("https://pbs.twimg.com/profile_banners/843215121505816576/1626615287")</f>
        <v>https://pbs.twimg.com/profile_banners/843215121505816576/1626615287</v>
      </c>
      <c r="BI752" s="86"/>
      <c r="BJ752" s="86" t="s">
        <v>29134</v>
      </c>
      <c r="BK752" s="86" t="b">
        <v>0</v>
      </c>
      <c r="BL752" s="86"/>
      <c r="BM752" s="86" t="s">
        <v>66</v>
      </c>
      <c r="BN752" s="86" t="s">
        <v>29136</v>
      </c>
      <c r="BO752" s="96" t="str">
        <f>HYPERLINK("https://twitter.com/economicnewsbr")</f>
        <v>https://twitter.com/economicnewsbr</v>
      </c>
      <c r="BP752" s="2"/>
    </row>
    <row r="753" spans="1:68" x14ac:dyDescent="0.25">
      <c r="A753" s="63" t="s">
        <v>884</v>
      </c>
      <c r="B753" s="64"/>
      <c r="C753" s="64"/>
      <c r="D753" s="65"/>
      <c r="E753" s="67"/>
      <c r="F753" s="111" t="str">
        <f>HYPERLINK("https://pbs.twimg.com/profile_images/1676937812359118848/3yCMvkG8_normal.jpg")</f>
        <v>https://pbs.twimg.com/profile_images/1676937812359118848/3yCMvkG8_normal.jpg</v>
      </c>
      <c r="G753" s="64"/>
      <c r="H753" s="68"/>
      <c r="I753" s="69"/>
      <c r="J753" s="69"/>
      <c r="K753" s="68" t="s">
        <v>29886</v>
      </c>
      <c r="L753" s="72"/>
      <c r="M753" s="73"/>
      <c r="N753" s="73"/>
      <c r="O753" s="74"/>
      <c r="P753" s="75"/>
      <c r="Q753" s="75"/>
      <c r="R753" s="102"/>
      <c r="S753" s="102"/>
      <c r="T753" s="102"/>
      <c r="U753" s="102"/>
      <c r="V753" s="48"/>
      <c r="W753" s="48"/>
      <c r="X753" s="48"/>
      <c r="Y753" s="48"/>
      <c r="Z753" s="47"/>
      <c r="AA753" s="70">
        <v>753</v>
      </c>
      <c r="AB753" s="70"/>
      <c r="AC753" s="71"/>
      <c r="AD753" s="86" t="s">
        <v>24370</v>
      </c>
      <c r="AE753" s="94" t="s">
        <v>25499</v>
      </c>
      <c r="AF753" s="86">
        <v>5731</v>
      </c>
      <c r="AG753" s="86">
        <v>569</v>
      </c>
      <c r="AH753" s="86">
        <v>8617</v>
      </c>
      <c r="AI753" s="86">
        <v>84</v>
      </c>
      <c r="AJ753" s="86">
        <v>639</v>
      </c>
      <c r="AK753" s="86">
        <v>3727</v>
      </c>
      <c r="AL753" s="86" t="b">
        <v>0</v>
      </c>
      <c r="AM753" s="89">
        <v>40380.667650462965</v>
      </c>
      <c r="AN753" s="86" t="s">
        <v>26150</v>
      </c>
      <c r="AO753" s="86" t="s">
        <v>27106</v>
      </c>
      <c r="AP753" s="96" t="str">
        <f>HYPERLINK("https://t.co/G63ybUNNub")</f>
        <v>https://t.co/G63ybUNNub</v>
      </c>
      <c r="AQ753" s="96" t="str">
        <f>HYPERLINK("https://lojasebraedf.com.br/")</f>
        <v>https://lojasebraedf.com.br/</v>
      </c>
      <c r="AR753" s="86" t="s">
        <v>28406</v>
      </c>
      <c r="AS753" s="86"/>
      <c r="AT753" s="86"/>
      <c r="AU753" s="86"/>
      <c r="AV753" s="86"/>
      <c r="AW753" s="96" t="str">
        <f>HYPERLINK("https://t.co/G63ybUNNub")</f>
        <v>https://t.co/G63ybUNNub</v>
      </c>
      <c r="AX753" s="86" t="b">
        <v>0</v>
      </c>
      <c r="AY753" s="86"/>
      <c r="AZ753" s="86"/>
      <c r="BA753" s="86" t="b">
        <v>1</v>
      </c>
      <c r="BB753" s="86" t="b">
        <v>1</v>
      </c>
      <c r="BC753" s="86" t="b">
        <v>1</v>
      </c>
      <c r="BD753" s="86" t="b">
        <v>0</v>
      </c>
      <c r="BE753" s="86" t="b">
        <v>1</v>
      </c>
      <c r="BF753" s="86" t="b">
        <v>0</v>
      </c>
      <c r="BG753" s="86" t="b">
        <v>0</v>
      </c>
      <c r="BH753" s="96" t="str">
        <f>HYPERLINK("https://pbs.twimg.com/profile_banners/169120275/1688648110")</f>
        <v>https://pbs.twimg.com/profile_banners/169120275/1688648110</v>
      </c>
      <c r="BI753" s="86"/>
      <c r="BJ753" s="86" t="s">
        <v>29134</v>
      </c>
      <c r="BK753" s="86" t="b">
        <v>0</v>
      </c>
      <c r="BL753" s="86"/>
      <c r="BM753" s="86" t="s">
        <v>66</v>
      </c>
      <c r="BN753" s="86" t="s">
        <v>29136</v>
      </c>
      <c r="BO753" s="96" t="str">
        <f>HYPERLINK("https://twitter.com/sebraenodf")</f>
        <v>https://twitter.com/sebraenodf</v>
      </c>
      <c r="BP753" s="2"/>
    </row>
    <row r="754" spans="1:68" x14ac:dyDescent="0.25">
      <c r="A754" s="63" t="s">
        <v>885</v>
      </c>
      <c r="B754" s="64"/>
      <c r="C754" s="64"/>
      <c r="D754" s="65"/>
      <c r="E754" s="67"/>
      <c r="F754" s="111" t="str">
        <f>HYPERLINK("https://pbs.twimg.com/profile_images/1683946535619272705/7vtLd0an_normal.jpg")</f>
        <v>https://pbs.twimg.com/profile_images/1683946535619272705/7vtLd0an_normal.jpg</v>
      </c>
      <c r="G754" s="64"/>
      <c r="H754" s="68"/>
      <c r="I754" s="69"/>
      <c r="J754" s="69"/>
      <c r="K754" s="68" t="s">
        <v>29887</v>
      </c>
      <c r="L754" s="72"/>
      <c r="M754" s="73"/>
      <c r="N754" s="73"/>
      <c r="O754" s="74"/>
      <c r="P754" s="75"/>
      <c r="Q754" s="75"/>
      <c r="R754" s="102"/>
      <c r="S754" s="102"/>
      <c r="T754" s="102"/>
      <c r="U754" s="102"/>
      <c r="V754" s="48"/>
      <c r="W754" s="48"/>
      <c r="X754" s="48"/>
      <c r="Y754" s="48"/>
      <c r="Z754" s="47"/>
      <c r="AA754" s="70">
        <v>754</v>
      </c>
      <c r="AB754" s="70"/>
      <c r="AC754" s="71"/>
      <c r="AD754" s="86" t="s">
        <v>24371</v>
      </c>
      <c r="AE754" s="94" t="s">
        <v>22591</v>
      </c>
      <c r="AF754" s="86">
        <v>109</v>
      </c>
      <c r="AG754" s="86">
        <v>89</v>
      </c>
      <c r="AH754" s="86">
        <v>16587</v>
      </c>
      <c r="AI754" s="86">
        <v>0</v>
      </c>
      <c r="AJ754" s="86">
        <v>48540</v>
      </c>
      <c r="AK754" s="86">
        <v>195</v>
      </c>
      <c r="AL754" s="86" t="b">
        <v>0</v>
      </c>
      <c r="AM754" s="89">
        <v>40744.763993055552</v>
      </c>
      <c r="AN754" s="86"/>
      <c r="AO754" s="86" t="s">
        <v>27107</v>
      </c>
      <c r="AP754" s="86"/>
      <c r="AQ754" s="86"/>
      <c r="AR754" s="86"/>
      <c r="AS754" s="86"/>
      <c r="AT754" s="86"/>
      <c r="AU754" s="86"/>
      <c r="AV754" s="86">
        <v>1.6650587408930801E+18</v>
      </c>
      <c r="AW754" s="86"/>
      <c r="AX754" s="86" t="b">
        <v>0</v>
      </c>
      <c r="AY754" s="86"/>
      <c r="AZ754" s="86"/>
      <c r="BA754" s="86" t="b">
        <v>1</v>
      </c>
      <c r="BB754" s="86" t="b">
        <v>0</v>
      </c>
      <c r="BC754" s="86" t="b">
        <v>1</v>
      </c>
      <c r="BD754" s="86" t="b">
        <v>0</v>
      </c>
      <c r="BE754" s="86" t="b">
        <v>0</v>
      </c>
      <c r="BF754" s="86" t="b">
        <v>0</v>
      </c>
      <c r="BG754" s="86" t="b">
        <v>0</v>
      </c>
      <c r="BH754" s="96" t="str">
        <f>HYPERLINK("https://pbs.twimg.com/profile_banners/339183332/1695213370")</f>
        <v>https://pbs.twimg.com/profile_banners/339183332/1695213370</v>
      </c>
      <c r="BI754" s="86"/>
      <c r="BJ754" s="86" t="s">
        <v>29134</v>
      </c>
      <c r="BK754" s="86" t="b">
        <v>0</v>
      </c>
      <c r="BL754" s="86"/>
      <c r="BM754" s="86" t="s">
        <v>66</v>
      </c>
      <c r="BN754" s="86" t="s">
        <v>29136</v>
      </c>
      <c r="BO754" s="96" t="str">
        <f>HYPERLINK("https://twitter.com/nerimarmendes")</f>
        <v>https://twitter.com/nerimarmendes</v>
      </c>
      <c r="BP754" s="2"/>
    </row>
    <row r="755" spans="1:68" x14ac:dyDescent="0.25">
      <c r="A755" s="63" t="s">
        <v>886</v>
      </c>
      <c r="B755" s="64"/>
      <c r="C755" s="64"/>
      <c r="D755" s="65"/>
      <c r="E755" s="67"/>
      <c r="F755" s="111" t="str">
        <f>HYPERLINK("https://pbs.twimg.com/profile_images/1509547394081374210/vH4qoyO4_normal.jpg")</f>
        <v>https://pbs.twimg.com/profile_images/1509547394081374210/vH4qoyO4_normal.jpg</v>
      </c>
      <c r="G755" s="64"/>
      <c r="H755" s="68"/>
      <c r="I755" s="69"/>
      <c r="J755" s="69"/>
      <c r="K755" s="68" t="s">
        <v>29888</v>
      </c>
      <c r="L755" s="72"/>
      <c r="M755" s="73"/>
      <c r="N755" s="73"/>
      <c r="O755" s="74"/>
      <c r="P755" s="75"/>
      <c r="Q755" s="75"/>
      <c r="R755" s="102"/>
      <c r="S755" s="102"/>
      <c r="T755" s="102"/>
      <c r="U755" s="102"/>
      <c r="V755" s="48"/>
      <c r="W755" s="48"/>
      <c r="X755" s="48"/>
      <c r="Y755" s="48"/>
      <c r="Z755" s="47"/>
      <c r="AA755" s="70">
        <v>755</v>
      </c>
      <c r="AB755" s="70"/>
      <c r="AC755" s="71"/>
      <c r="AD755" s="86" t="s">
        <v>24372</v>
      </c>
      <c r="AE755" s="94" t="s">
        <v>23177</v>
      </c>
      <c r="AF755" s="86">
        <v>238</v>
      </c>
      <c r="AG755" s="86">
        <v>2604</v>
      </c>
      <c r="AH755" s="86">
        <v>260</v>
      </c>
      <c r="AI755" s="86">
        <v>1</v>
      </c>
      <c r="AJ755" s="86">
        <v>54</v>
      </c>
      <c r="AK755" s="86">
        <v>208</v>
      </c>
      <c r="AL755" s="86" t="b">
        <v>0</v>
      </c>
      <c r="AM755" s="89">
        <v>44649.765289351853</v>
      </c>
      <c r="AN755" s="86" t="s">
        <v>15281</v>
      </c>
      <c r="AO755" s="86" t="s">
        <v>27108</v>
      </c>
      <c r="AP755" s="96" t="str">
        <f>HYPERLINK("https://t.co/3i9u2ocbYS")</f>
        <v>https://t.co/3i9u2ocbYS</v>
      </c>
      <c r="AQ755" s="96" t="str">
        <f>HYPERLINK("https://www.delightart.com.br")</f>
        <v>https://www.delightart.com.br</v>
      </c>
      <c r="AR755" s="86" t="s">
        <v>28407</v>
      </c>
      <c r="AS755" s="86"/>
      <c r="AT755" s="86"/>
      <c r="AU755" s="86"/>
      <c r="AV755" s="86"/>
      <c r="AW755" s="96" t="str">
        <f>HYPERLINK("https://t.co/3i9u2ocbYS")</f>
        <v>https://t.co/3i9u2ocbYS</v>
      </c>
      <c r="AX755" s="86" t="b">
        <v>0</v>
      </c>
      <c r="AY755" s="86"/>
      <c r="AZ755" s="86"/>
      <c r="BA755" s="86" t="b">
        <v>0</v>
      </c>
      <c r="BB755" s="86" t="b">
        <v>1</v>
      </c>
      <c r="BC755" s="86" t="b">
        <v>1</v>
      </c>
      <c r="BD755" s="86" t="b">
        <v>0</v>
      </c>
      <c r="BE755" s="86" t="b">
        <v>0</v>
      </c>
      <c r="BF755" s="86" t="b">
        <v>0</v>
      </c>
      <c r="BG755" s="86" t="b">
        <v>0</v>
      </c>
      <c r="BH755" s="96" t="str">
        <f>HYPERLINK("https://pbs.twimg.com/profile_banners/1508872073959153671/1656777779")</f>
        <v>https://pbs.twimg.com/profile_banners/1508872073959153671/1656777779</v>
      </c>
      <c r="BI755" s="86"/>
      <c r="BJ755" s="86" t="s">
        <v>29134</v>
      </c>
      <c r="BK755" s="86" t="b">
        <v>0</v>
      </c>
      <c r="BL755" s="86"/>
      <c r="BM755" s="86" t="s">
        <v>66</v>
      </c>
      <c r="BN755" s="86" t="s">
        <v>29136</v>
      </c>
      <c r="BO755" s="96" t="str">
        <f>HYPERLINK("https://twitter.com/letciamachador3")</f>
        <v>https://twitter.com/letciamachador3</v>
      </c>
      <c r="BP755" s="2"/>
    </row>
    <row r="756" spans="1:68" x14ac:dyDescent="0.25">
      <c r="A756" s="63" t="s">
        <v>887</v>
      </c>
      <c r="B756" s="64"/>
      <c r="C756" s="64"/>
      <c r="D756" s="65"/>
      <c r="E756" s="67"/>
      <c r="F756" s="111" t="str">
        <f>HYPERLINK("https://pbs.twimg.com/profile_images/1300858464546230272/0rDaXrv__normal.jpg")</f>
        <v>https://pbs.twimg.com/profile_images/1300858464546230272/0rDaXrv__normal.jpg</v>
      </c>
      <c r="G756" s="64"/>
      <c r="H756" s="68"/>
      <c r="I756" s="69"/>
      <c r="J756" s="69"/>
      <c r="K756" s="68" t="s">
        <v>29889</v>
      </c>
      <c r="L756" s="72"/>
      <c r="M756" s="73"/>
      <c r="N756" s="73"/>
      <c r="O756" s="74"/>
      <c r="P756" s="75"/>
      <c r="Q756" s="75"/>
      <c r="R756" s="102"/>
      <c r="S756" s="102"/>
      <c r="T756" s="102"/>
      <c r="U756" s="102"/>
      <c r="V756" s="48"/>
      <c r="W756" s="48"/>
      <c r="X756" s="48"/>
      <c r="Y756" s="48"/>
      <c r="Z756" s="47"/>
      <c r="AA756" s="70">
        <v>756</v>
      </c>
      <c r="AB756" s="70"/>
      <c r="AC756" s="71"/>
      <c r="AD756" s="86" t="s">
        <v>24373</v>
      </c>
      <c r="AE756" s="94" t="s">
        <v>23178</v>
      </c>
      <c r="AF756" s="86">
        <v>16</v>
      </c>
      <c r="AG756" s="86">
        <v>90</v>
      </c>
      <c r="AH756" s="86">
        <v>220</v>
      </c>
      <c r="AI756" s="86">
        <v>0</v>
      </c>
      <c r="AJ756" s="86">
        <v>1908</v>
      </c>
      <c r="AK756" s="86">
        <v>18</v>
      </c>
      <c r="AL756" s="86" t="b">
        <v>0</v>
      </c>
      <c r="AM756" s="89">
        <v>43454.956226851849</v>
      </c>
      <c r="AN756" s="86" t="s">
        <v>26151</v>
      </c>
      <c r="AO756" s="86" t="s">
        <v>27109</v>
      </c>
      <c r="AP756" s="86"/>
      <c r="AQ756" s="86"/>
      <c r="AR756" s="86"/>
      <c r="AS756" s="86"/>
      <c r="AT756" s="86"/>
      <c r="AU756" s="86"/>
      <c r="AV756" s="86"/>
      <c r="AW756" s="86"/>
      <c r="AX756" s="86" t="b">
        <v>0</v>
      </c>
      <c r="AY756" s="86"/>
      <c r="AZ756" s="86"/>
      <c r="BA756" s="86" t="b">
        <v>0</v>
      </c>
      <c r="BB756" s="86" t="b">
        <v>1</v>
      </c>
      <c r="BC756" s="86" t="b">
        <v>1</v>
      </c>
      <c r="BD756" s="86" t="b">
        <v>0</v>
      </c>
      <c r="BE756" s="86" t="b">
        <v>1</v>
      </c>
      <c r="BF756" s="86" t="b">
        <v>0</v>
      </c>
      <c r="BG756" s="86" t="b">
        <v>0</v>
      </c>
      <c r="BH756" s="96" t="str">
        <f>HYPERLINK("https://pbs.twimg.com/profile_banners/1075887814590500864/1689376423")</f>
        <v>https://pbs.twimg.com/profile_banners/1075887814590500864/1689376423</v>
      </c>
      <c r="BI756" s="86"/>
      <c r="BJ756" s="86" t="s">
        <v>29134</v>
      </c>
      <c r="BK756" s="86" t="b">
        <v>0</v>
      </c>
      <c r="BL756" s="86"/>
      <c r="BM756" s="86" t="s">
        <v>66</v>
      </c>
      <c r="BN756" s="86" t="s">
        <v>29136</v>
      </c>
      <c r="BO756" s="96" t="str">
        <f>HYPERLINK("https://twitter.com/magnabarbosa10")</f>
        <v>https://twitter.com/magnabarbosa10</v>
      </c>
      <c r="BP756" s="2"/>
    </row>
    <row r="757" spans="1:68" x14ac:dyDescent="0.25">
      <c r="A757" s="63" t="s">
        <v>888</v>
      </c>
      <c r="B757" s="64"/>
      <c r="C757" s="64"/>
      <c r="D757" s="65"/>
      <c r="E757" s="67"/>
      <c r="F757" s="111" t="str">
        <f>HYPERLINK("https://pbs.twimg.com/profile_images/1261706441330745347/WPpi5_ob_normal.jpg")</f>
        <v>https://pbs.twimg.com/profile_images/1261706441330745347/WPpi5_ob_normal.jpg</v>
      </c>
      <c r="G757" s="64"/>
      <c r="H757" s="68"/>
      <c r="I757" s="69"/>
      <c r="J757" s="69"/>
      <c r="K757" s="68" t="s">
        <v>29890</v>
      </c>
      <c r="L757" s="72"/>
      <c r="M757" s="73"/>
      <c r="N757" s="73"/>
      <c r="O757" s="74"/>
      <c r="P757" s="75"/>
      <c r="Q757" s="75"/>
      <c r="R757" s="102"/>
      <c r="S757" s="102"/>
      <c r="T757" s="102"/>
      <c r="U757" s="102"/>
      <c r="V757" s="48"/>
      <c r="W757" s="48"/>
      <c r="X757" s="48"/>
      <c r="Y757" s="48"/>
      <c r="Z757" s="47"/>
      <c r="AA757" s="70">
        <v>757</v>
      </c>
      <c r="AB757" s="70"/>
      <c r="AC757" s="71"/>
      <c r="AD757" s="86" t="s">
        <v>24374</v>
      </c>
      <c r="AE757" s="94" t="s">
        <v>22592</v>
      </c>
      <c r="AF757" s="86">
        <v>613</v>
      </c>
      <c r="AG757" s="86">
        <v>14</v>
      </c>
      <c r="AH757" s="86">
        <v>3249</v>
      </c>
      <c r="AI757" s="86">
        <v>8</v>
      </c>
      <c r="AJ757" s="86">
        <v>69</v>
      </c>
      <c r="AK757" s="86">
        <v>2030</v>
      </c>
      <c r="AL757" s="86" t="b">
        <v>0</v>
      </c>
      <c r="AM757" s="89">
        <v>43967.717037037037</v>
      </c>
      <c r="AN757" s="86" t="s">
        <v>15378</v>
      </c>
      <c r="AO757" s="86" t="s">
        <v>27110</v>
      </c>
      <c r="AP757" s="96" t="str">
        <f>HYPERLINK("https://t.co/QKcg1S1ny3")</f>
        <v>https://t.co/QKcg1S1ny3</v>
      </c>
      <c r="AQ757" s="96" t="str">
        <f>HYPERLINK("https://beacons.ai/institutoexito")</f>
        <v>https://beacons.ai/institutoexito</v>
      </c>
      <c r="AR757" s="86" t="s">
        <v>28408</v>
      </c>
      <c r="AS757" s="86"/>
      <c r="AT757" s="86"/>
      <c r="AU757" s="86"/>
      <c r="AV757" s="86"/>
      <c r="AW757" s="96" t="str">
        <f>HYPERLINK("https://t.co/QKcg1S1ny3")</f>
        <v>https://t.co/QKcg1S1ny3</v>
      </c>
      <c r="AX757" s="86" t="b">
        <v>0</v>
      </c>
      <c r="AY757" s="86"/>
      <c r="AZ757" s="86"/>
      <c r="BA757" s="86" t="b">
        <v>0</v>
      </c>
      <c r="BB757" s="86" t="b">
        <v>1</v>
      </c>
      <c r="BC757" s="86" t="b">
        <v>1</v>
      </c>
      <c r="BD757" s="86" t="b">
        <v>0</v>
      </c>
      <c r="BE757" s="86" t="b">
        <v>1</v>
      </c>
      <c r="BF757" s="86" t="b">
        <v>0</v>
      </c>
      <c r="BG757" s="86" t="b">
        <v>0</v>
      </c>
      <c r="BH757" s="96" t="str">
        <f>HYPERLINK("https://pbs.twimg.com/profile_banners/1261706053550473216/1681908749")</f>
        <v>https://pbs.twimg.com/profile_banners/1261706053550473216/1681908749</v>
      </c>
      <c r="BI757" s="86"/>
      <c r="BJ757" s="86" t="s">
        <v>29134</v>
      </c>
      <c r="BK757" s="86" t="b">
        <v>0</v>
      </c>
      <c r="BL757" s="86"/>
      <c r="BM757" s="86" t="s">
        <v>66</v>
      </c>
      <c r="BN757" s="86" t="s">
        <v>29136</v>
      </c>
      <c r="BO757" s="96" t="str">
        <f>HYPERLINK("https://twitter.com/exito_oficial")</f>
        <v>https://twitter.com/exito_oficial</v>
      </c>
      <c r="BP757" s="2"/>
    </row>
    <row r="758" spans="1:68" x14ac:dyDescent="0.25">
      <c r="A758" s="63" t="s">
        <v>889</v>
      </c>
      <c r="B758" s="64"/>
      <c r="C758" s="64"/>
      <c r="D758" s="65"/>
      <c r="E758" s="67"/>
      <c r="F758" s="111" t="str">
        <f>HYPERLINK("https://pbs.twimg.com/profile_images/1666783842366111748/SOsZ6OS4_normal.jpg")</f>
        <v>https://pbs.twimg.com/profile_images/1666783842366111748/SOsZ6OS4_normal.jpg</v>
      </c>
      <c r="G758" s="64"/>
      <c r="H758" s="68"/>
      <c r="I758" s="69"/>
      <c r="J758" s="69"/>
      <c r="K758" s="68" t="s">
        <v>29891</v>
      </c>
      <c r="L758" s="72"/>
      <c r="M758" s="73"/>
      <c r="N758" s="73"/>
      <c r="O758" s="74"/>
      <c r="P758" s="75"/>
      <c r="Q758" s="75"/>
      <c r="R758" s="102"/>
      <c r="S758" s="102"/>
      <c r="T758" s="102"/>
      <c r="U758" s="102"/>
      <c r="V758" s="48"/>
      <c r="W758" s="48"/>
      <c r="X758" s="48"/>
      <c r="Y758" s="48"/>
      <c r="Z758" s="47"/>
      <c r="AA758" s="70">
        <v>758</v>
      </c>
      <c r="AB758" s="70"/>
      <c r="AC758" s="71"/>
      <c r="AD758" s="86" t="s">
        <v>24375</v>
      </c>
      <c r="AE758" s="94" t="s">
        <v>25500</v>
      </c>
      <c r="AF758" s="86">
        <v>28</v>
      </c>
      <c r="AG758" s="86">
        <v>115</v>
      </c>
      <c r="AH758" s="86">
        <v>398</v>
      </c>
      <c r="AI758" s="86">
        <v>1</v>
      </c>
      <c r="AJ758" s="86">
        <v>363</v>
      </c>
      <c r="AK758" s="86">
        <v>17</v>
      </c>
      <c r="AL758" s="86" t="b">
        <v>0</v>
      </c>
      <c r="AM758" s="89">
        <v>41763.766458333332</v>
      </c>
      <c r="AN758" s="86" t="s">
        <v>26152</v>
      </c>
      <c r="AO758" s="86" t="s">
        <v>27111</v>
      </c>
      <c r="AP758" s="86"/>
      <c r="AQ758" s="86"/>
      <c r="AR758" s="86"/>
      <c r="AS758" s="86"/>
      <c r="AT758" s="86"/>
      <c r="AU758" s="86"/>
      <c r="AV758" s="86"/>
      <c r="AW758" s="86"/>
      <c r="AX758" s="86" t="b">
        <v>0</v>
      </c>
      <c r="AY758" s="86"/>
      <c r="AZ758" s="86"/>
      <c r="BA758" s="86" t="b">
        <v>1</v>
      </c>
      <c r="BB758" s="86" t="b">
        <v>0</v>
      </c>
      <c r="BC758" s="86" t="b">
        <v>1</v>
      </c>
      <c r="BD758" s="86" t="b">
        <v>0</v>
      </c>
      <c r="BE758" s="86" t="b">
        <v>0</v>
      </c>
      <c r="BF758" s="86" t="b">
        <v>0</v>
      </c>
      <c r="BG758" s="86" t="b">
        <v>0</v>
      </c>
      <c r="BH758" s="96" t="str">
        <f>HYPERLINK("https://pbs.twimg.com/profile_banners/2477233950/1686223582")</f>
        <v>https://pbs.twimg.com/profile_banners/2477233950/1686223582</v>
      </c>
      <c r="BI758" s="86"/>
      <c r="BJ758" s="86" t="s">
        <v>29134</v>
      </c>
      <c r="BK758" s="86" t="b">
        <v>0</v>
      </c>
      <c r="BL758" s="86"/>
      <c r="BM758" s="86" t="s">
        <v>66</v>
      </c>
      <c r="BN758" s="86" t="s">
        <v>29136</v>
      </c>
      <c r="BO758" s="96" t="str">
        <f>HYPERLINK("https://twitter.com/crismartinin2")</f>
        <v>https://twitter.com/crismartinin2</v>
      </c>
      <c r="BP758" s="2"/>
    </row>
    <row r="759" spans="1:68" x14ac:dyDescent="0.25">
      <c r="A759" s="63" t="s">
        <v>890</v>
      </c>
      <c r="B759" s="64"/>
      <c r="C759" s="64"/>
      <c r="D759" s="65"/>
      <c r="E759" s="67"/>
      <c r="F759" s="111" t="str">
        <f>HYPERLINK("https://pbs.twimg.com/profile_images/1201224296019976193/8YFdpwYe_normal.jpg")</f>
        <v>https://pbs.twimg.com/profile_images/1201224296019976193/8YFdpwYe_normal.jpg</v>
      </c>
      <c r="G759" s="64"/>
      <c r="H759" s="68"/>
      <c r="I759" s="69"/>
      <c r="J759" s="69"/>
      <c r="K759" s="68" t="s">
        <v>29892</v>
      </c>
      <c r="L759" s="72"/>
      <c r="M759" s="73"/>
      <c r="N759" s="73"/>
      <c r="O759" s="74"/>
      <c r="P759" s="75"/>
      <c r="Q759" s="75"/>
      <c r="R759" s="102"/>
      <c r="S759" s="102"/>
      <c r="T759" s="102"/>
      <c r="U759" s="102"/>
      <c r="V759" s="48"/>
      <c r="W759" s="48"/>
      <c r="X759" s="48"/>
      <c r="Y759" s="48"/>
      <c r="Z759" s="47"/>
      <c r="AA759" s="70">
        <v>759</v>
      </c>
      <c r="AB759" s="70"/>
      <c r="AC759" s="71"/>
      <c r="AD759" s="86" t="s">
        <v>24376</v>
      </c>
      <c r="AE759" s="94" t="s">
        <v>22593</v>
      </c>
      <c r="AF759" s="86">
        <v>176</v>
      </c>
      <c r="AG759" s="86">
        <v>391</v>
      </c>
      <c r="AH759" s="86">
        <v>18451</v>
      </c>
      <c r="AI759" s="86">
        <v>5</v>
      </c>
      <c r="AJ759" s="86">
        <v>9201</v>
      </c>
      <c r="AK759" s="86">
        <v>112</v>
      </c>
      <c r="AL759" s="86" t="b">
        <v>0</v>
      </c>
      <c r="AM759" s="89">
        <v>39799.752118055556</v>
      </c>
      <c r="AN759" s="86" t="s">
        <v>15234</v>
      </c>
      <c r="AO759" s="86" t="s">
        <v>27112</v>
      </c>
      <c r="AP759" s="96" t="str">
        <f>HYPERLINK("https://t.co/9alA6tgQDK")</f>
        <v>https://t.co/9alA6tgQDK</v>
      </c>
      <c r="AQ759" s="96" t="str">
        <f>HYPERLINK("https://twitter.com/KimSoyYo")</f>
        <v>https://twitter.com/KimSoyYo</v>
      </c>
      <c r="AR759" s="86" t="s">
        <v>28409</v>
      </c>
      <c r="AS759" s="86"/>
      <c r="AT759" s="86"/>
      <c r="AU759" s="86"/>
      <c r="AV759" s="86"/>
      <c r="AW759" s="96" t="str">
        <f>HYPERLINK("https://t.co/9alA6tgQDK")</f>
        <v>https://t.co/9alA6tgQDK</v>
      </c>
      <c r="AX759" s="86" t="b">
        <v>0</v>
      </c>
      <c r="AY759" s="86"/>
      <c r="AZ759" s="86"/>
      <c r="BA759" s="86" t="b">
        <v>1</v>
      </c>
      <c r="BB759" s="86" t="b">
        <v>1</v>
      </c>
      <c r="BC759" s="86" t="b">
        <v>1</v>
      </c>
      <c r="BD759" s="86" t="b">
        <v>0</v>
      </c>
      <c r="BE759" s="86" t="b">
        <v>0</v>
      </c>
      <c r="BF759" s="86" t="b">
        <v>0</v>
      </c>
      <c r="BG759" s="86" t="b">
        <v>0</v>
      </c>
      <c r="BH759" s="96" t="str">
        <f>HYPERLINK("https://pbs.twimg.com/profile_banners/18194861/1575229164")</f>
        <v>https://pbs.twimg.com/profile_banners/18194861/1575229164</v>
      </c>
      <c r="BI759" s="86"/>
      <c r="BJ759" s="86" t="s">
        <v>29134</v>
      </c>
      <c r="BK759" s="86" t="b">
        <v>0</v>
      </c>
      <c r="BL759" s="86"/>
      <c r="BM759" s="86" t="s">
        <v>66</v>
      </c>
      <c r="BN759" s="86" t="s">
        <v>29136</v>
      </c>
      <c r="BO759" s="96" t="str">
        <f>HYPERLINK("https://twitter.com/dishumor")</f>
        <v>https://twitter.com/dishumor</v>
      </c>
      <c r="BP759" s="2"/>
    </row>
    <row r="760" spans="1:68" x14ac:dyDescent="0.25">
      <c r="A760" s="63" t="s">
        <v>1697</v>
      </c>
      <c r="B760" s="64"/>
      <c r="C760" s="64"/>
      <c r="D760" s="65"/>
      <c r="E760" s="67"/>
      <c r="F760" s="111" t="str">
        <f>HYPERLINK("https://pbs.twimg.com/profile_images/1702782142659395584/5RQef_V7_normal.jpg")</f>
        <v>https://pbs.twimg.com/profile_images/1702782142659395584/5RQef_V7_normal.jpg</v>
      </c>
      <c r="G760" s="64"/>
      <c r="H760" s="68"/>
      <c r="I760" s="69"/>
      <c r="J760" s="69"/>
      <c r="K760" s="68" t="s">
        <v>29893</v>
      </c>
      <c r="L760" s="72"/>
      <c r="M760" s="73"/>
      <c r="N760" s="73"/>
      <c r="O760" s="74"/>
      <c r="P760" s="75"/>
      <c r="Q760" s="75"/>
      <c r="R760" s="102"/>
      <c r="S760" s="102"/>
      <c r="T760" s="102"/>
      <c r="U760" s="102"/>
      <c r="V760" s="48"/>
      <c r="W760" s="48"/>
      <c r="X760" s="48"/>
      <c r="Y760" s="48"/>
      <c r="Z760" s="47"/>
      <c r="AA760" s="70">
        <v>760</v>
      </c>
      <c r="AB760" s="70"/>
      <c r="AC760" s="71"/>
      <c r="AD760" s="86" t="s">
        <v>24377</v>
      </c>
      <c r="AE760" s="94" t="s">
        <v>25501</v>
      </c>
      <c r="AF760" s="86">
        <v>656898</v>
      </c>
      <c r="AG760" s="86">
        <v>68035</v>
      </c>
      <c r="AH760" s="86">
        <v>1363632</v>
      </c>
      <c r="AI760" s="86">
        <v>1927</v>
      </c>
      <c r="AJ760" s="86">
        <v>3572</v>
      </c>
      <c r="AK760" s="86">
        <v>8787</v>
      </c>
      <c r="AL760" s="86" t="b">
        <v>0</v>
      </c>
      <c r="AM760" s="89">
        <v>39961.957349537035</v>
      </c>
      <c r="AN760" s="86"/>
      <c r="AO760" s="86" t="s">
        <v>27113</v>
      </c>
      <c r="AP760" s="96" t="str">
        <f>HYPERLINK("https://t.co/rL0DHe5DbS")</f>
        <v>https://t.co/rL0DHe5DbS</v>
      </c>
      <c r="AQ760" s="96" t="str">
        <f>HYPERLINK("http://www.vivo.com.br/Pré")</f>
        <v>http://www.vivo.com.br/Pré</v>
      </c>
      <c r="AR760" s="86" t="s">
        <v>28410</v>
      </c>
      <c r="AS760" s="86"/>
      <c r="AT760" s="86"/>
      <c r="AU760" s="86"/>
      <c r="AV760" s="86">
        <v>1.70521371815648E+18</v>
      </c>
      <c r="AW760" s="96" t="str">
        <f>HYPERLINK("https://t.co/rL0DHe5DbS")</f>
        <v>https://t.co/rL0DHe5DbS</v>
      </c>
      <c r="AX760" s="86" t="b">
        <v>0</v>
      </c>
      <c r="AY760" s="86"/>
      <c r="AZ760" s="86"/>
      <c r="BA760" s="86" t="b">
        <v>1</v>
      </c>
      <c r="BB760" s="86" t="b">
        <v>0</v>
      </c>
      <c r="BC760" s="86" t="b">
        <v>0</v>
      </c>
      <c r="BD760" s="86" t="b">
        <v>0</v>
      </c>
      <c r="BE760" s="86" t="b">
        <v>1</v>
      </c>
      <c r="BF760" s="86" t="b">
        <v>0</v>
      </c>
      <c r="BG760" s="86" t="b">
        <v>0</v>
      </c>
      <c r="BH760" s="96" t="str">
        <f>HYPERLINK("https://pbs.twimg.com/profile_banners/43218789/1694809875")</f>
        <v>https://pbs.twimg.com/profile_banners/43218789/1694809875</v>
      </c>
      <c r="BI760" s="86"/>
      <c r="BJ760" s="86" t="s">
        <v>29134</v>
      </c>
      <c r="BK760" s="86" t="b">
        <v>0</v>
      </c>
      <c r="BL760" s="86"/>
      <c r="BM760" s="86" t="s">
        <v>65</v>
      </c>
      <c r="BN760" s="86" t="s">
        <v>29136</v>
      </c>
      <c r="BO760" s="96" t="str">
        <f>HYPERLINK("https://twitter.com/vivobr")</f>
        <v>https://twitter.com/vivobr</v>
      </c>
      <c r="BP760" s="2"/>
    </row>
    <row r="761" spans="1:68" x14ac:dyDescent="0.25">
      <c r="A761" s="63" t="s">
        <v>891</v>
      </c>
      <c r="B761" s="64"/>
      <c r="C761" s="64"/>
      <c r="D761" s="65"/>
      <c r="E761" s="67"/>
      <c r="F761" s="111" t="str">
        <f>HYPERLINK("https://pbs.twimg.com/profile_images/1516565827197222927/1BjWcpe8_normal.jpg")</f>
        <v>https://pbs.twimg.com/profile_images/1516565827197222927/1BjWcpe8_normal.jpg</v>
      </c>
      <c r="G761" s="64"/>
      <c r="H761" s="68"/>
      <c r="I761" s="69"/>
      <c r="J761" s="69"/>
      <c r="K761" s="68" t="s">
        <v>29894</v>
      </c>
      <c r="L761" s="72"/>
      <c r="M761" s="73"/>
      <c r="N761" s="73"/>
      <c r="O761" s="74"/>
      <c r="P761" s="75"/>
      <c r="Q761" s="75"/>
      <c r="R761" s="102"/>
      <c r="S761" s="102"/>
      <c r="T761" s="102"/>
      <c r="U761" s="102"/>
      <c r="V761" s="48"/>
      <c r="W761" s="48"/>
      <c r="X761" s="48"/>
      <c r="Y761" s="48"/>
      <c r="Z761" s="47"/>
      <c r="AA761" s="70">
        <v>761</v>
      </c>
      <c r="AB761" s="70"/>
      <c r="AC761" s="71"/>
      <c r="AD761" s="86" t="s">
        <v>24378</v>
      </c>
      <c r="AE761" s="94" t="s">
        <v>25502</v>
      </c>
      <c r="AF761" s="86">
        <v>262</v>
      </c>
      <c r="AG761" s="86">
        <v>465</v>
      </c>
      <c r="AH761" s="86">
        <v>4803</v>
      </c>
      <c r="AI761" s="86">
        <v>6</v>
      </c>
      <c r="AJ761" s="86">
        <v>2414</v>
      </c>
      <c r="AK761" s="86">
        <v>59</v>
      </c>
      <c r="AL761" s="86" t="b">
        <v>0</v>
      </c>
      <c r="AM761" s="89">
        <v>39912.581597222219</v>
      </c>
      <c r="AN761" s="86" t="s">
        <v>26153</v>
      </c>
      <c r="AO761" s="86" t="s">
        <v>27114</v>
      </c>
      <c r="AP761" s="86"/>
      <c r="AQ761" s="86"/>
      <c r="AR761" s="86"/>
      <c r="AS761" s="86"/>
      <c r="AT761" s="86"/>
      <c r="AU761" s="86"/>
      <c r="AV761" s="86"/>
      <c r="AW761" s="86"/>
      <c r="AX761" s="86" t="b">
        <v>0</v>
      </c>
      <c r="AY761" s="86"/>
      <c r="AZ761" s="86"/>
      <c r="BA761" s="86" t="b">
        <v>0</v>
      </c>
      <c r="BB761" s="86" t="b">
        <v>1</v>
      </c>
      <c r="BC761" s="86" t="b">
        <v>1</v>
      </c>
      <c r="BD761" s="86" t="b">
        <v>0</v>
      </c>
      <c r="BE761" s="86" t="b">
        <v>1</v>
      </c>
      <c r="BF761" s="86" t="b">
        <v>0</v>
      </c>
      <c r="BG761" s="86" t="b">
        <v>0</v>
      </c>
      <c r="BH761" s="96" t="str">
        <f>HYPERLINK("https://pbs.twimg.com/profile_banners/29988179/1553275172")</f>
        <v>https://pbs.twimg.com/profile_banners/29988179/1553275172</v>
      </c>
      <c r="BI761" s="86"/>
      <c r="BJ761" s="86" t="s">
        <v>29134</v>
      </c>
      <c r="BK761" s="86" t="b">
        <v>0</v>
      </c>
      <c r="BL761" s="86"/>
      <c r="BM761" s="86" t="s">
        <v>66</v>
      </c>
      <c r="BN761" s="86" t="s">
        <v>29136</v>
      </c>
      <c r="BO761" s="96" t="str">
        <f>HYPERLINK("https://twitter.com/acasolhepague")</f>
        <v>https://twitter.com/acasolhepague</v>
      </c>
      <c r="BP761" s="2"/>
    </row>
    <row r="762" spans="1:68" x14ac:dyDescent="0.25">
      <c r="A762" s="63" t="s">
        <v>1698</v>
      </c>
      <c r="B762" s="64"/>
      <c r="C762" s="64"/>
      <c r="D762" s="65"/>
      <c r="E762" s="67"/>
      <c r="F762" s="111" t="str">
        <f>HYPERLINK("https://pbs.twimg.com/profile_images/1580496815190835200/Yrl4iVAA_normal.jpg")</f>
        <v>https://pbs.twimg.com/profile_images/1580496815190835200/Yrl4iVAA_normal.jpg</v>
      </c>
      <c r="G762" s="64"/>
      <c r="H762" s="68"/>
      <c r="I762" s="69"/>
      <c r="J762" s="69"/>
      <c r="K762" s="68" t="s">
        <v>29895</v>
      </c>
      <c r="L762" s="72"/>
      <c r="M762" s="73"/>
      <c r="N762" s="73"/>
      <c r="O762" s="74"/>
      <c r="P762" s="75"/>
      <c r="Q762" s="75"/>
      <c r="R762" s="102"/>
      <c r="S762" s="102"/>
      <c r="T762" s="102"/>
      <c r="U762" s="102"/>
      <c r="V762" s="48"/>
      <c r="W762" s="48"/>
      <c r="X762" s="48"/>
      <c r="Y762" s="48"/>
      <c r="Z762" s="47"/>
      <c r="AA762" s="70">
        <v>762</v>
      </c>
      <c r="AB762" s="70"/>
      <c r="AC762" s="71"/>
      <c r="AD762" s="86" t="s">
        <v>24379</v>
      </c>
      <c r="AE762" s="94" t="s">
        <v>22594</v>
      </c>
      <c r="AF762" s="86">
        <v>52252</v>
      </c>
      <c r="AG762" s="86">
        <v>666</v>
      </c>
      <c r="AH762" s="86">
        <v>86048</v>
      </c>
      <c r="AI762" s="86">
        <v>306</v>
      </c>
      <c r="AJ762" s="86">
        <v>201177</v>
      </c>
      <c r="AK762" s="86">
        <v>10810</v>
      </c>
      <c r="AL762" s="86" t="b">
        <v>0</v>
      </c>
      <c r="AM762" s="89">
        <v>40634.60297453704</v>
      </c>
      <c r="AN762" s="86" t="s">
        <v>26154</v>
      </c>
      <c r="AO762" s="86" t="s">
        <v>27115</v>
      </c>
      <c r="AP762" s="96" t="str">
        <f>HYPERLINK("https://t.co/UfsFwPQXju")</f>
        <v>https://t.co/UfsFwPQXju</v>
      </c>
      <c r="AQ762" s="96" t="str">
        <f>HYPERLINK("http://ouricodecartola.com.br")</f>
        <v>http://ouricodecartola.com.br</v>
      </c>
      <c r="AR762" s="86" t="s">
        <v>28411</v>
      </c>
      <c r="AS762" s="96" t="str">
        <f>HYPERLINK("https://t.co/jyBnNN3VNH")</f>
        <v>https://t.co/jyBnNN3VNH</v>
      </c>
      <c r="AT762" s="96" t="str">
        <f>HYPERLINK("https://linktr.ee/cegadede")</f>
        <v>https://linktr.ee/cegadede</v>
      </c>
      <c r="AU762" s="86" t="s">
        <v>29079</v>
      </c>
      <c r="AV762" s="86">
        <v>1.61545097351358E+18</v>
      </c>
      <c r="AW762" s="96" t="str">
        <f>HYPERLINK("https://t.co/UfsFwPQXju")</f>
        <v>https://t.co/UfsFwPQXju</v>
      </c>
      <c r="AX762" s="86" t="b">
        <v>1</v>
      </c>
      <c r="AY762" s="86"/>
      <c r="AZ762" s="86"/>
      <c r="BA762" s="86" t="b">
        <v>1</v>
      </c>
      <c r="BB762" s="86" t="b">
        <v>0</v>
      </c>
      <c r="BC762" s="86" t="b">
        <v>1</v>
      </c>
      <c r="BD762" s="86" t="b">
        <v>0</v>
      </c>
      <c r="BE762" s="86" t="b">
        <v>1</v>
      </c>
      <c r="BF762" s="86" t="b">
        <v>0</v>
      </c>
      <c r="BG762" s="86" t="b">
        <v>0</v>
      </c>
      <c r="BH762" s="96" t="str">
        <f>HYPERLINK("https://pbs.twimg.com/profile_banners/275555877/1608416538")</f>
        <v>https://pbs.twimg.com/profile_banners/275555877/1608416538</v>
      </c>
      <c r="BI762" s="86"/>
      <c r="BJ762" s="86" t="s">
        <v>29134</v>
      </c>
      <c r="BK762" s="86" t="b">
        <v>0</v>
      </c>
      <c r="BL762" s="86"/>
      <c r="BM762" s="86" t="s">
        <v>65</v>
      </c>
      <c r="BN762" s="86" t="s">
        <v>29136</v>
      </c>
      <c r="BO762" s="96" t="str">
        <f>HYPERLINK("https://twitter.com/cegadede")</f>
        <v>https://twitter.com/cegadede</v>
      </c>
      <c r="BP762" s="2"/>
    </row>
    <row r="763" spans="1:68" x14ac:dyDescent="0.25">
      <c r="A763" s="63" t="s">
        <v>892</v>
      </c>
      <c r="B763" s="64"/>
      <c r="C763" s="64"/>
      <c r="D763" s="65"/>
      <c r="E763" s="67"/>
      <c r="F763" s="111" t="str">
        <f>HYPERLINK("https://pbs.twimg.com/profile_images/1699916097464475648/w96zPj4n_normal.jpg")</f>
        <v>https://pbs.twimg.com/profile_images/1699916097464475648/w96zPj4n_normal.jpg</v>
      </c>
      <c r="G763" s="64"/>
      <c r="H763" s="68"/>
      <c r="I763" s="69"/>
      <c r="J763" s="69"/>
      <c r="K763" s="68" t="s">
        <v>29896</v>
      </c>
      <c r="L763" s="72"/>
      <c r="M763" s="73"/>
      <c r="N763" s="73"/>
      <c r="O763" s="74"/>
      <c r="P763" s="75"/>
      <c r="Q763" s="75"/>
      <c r="R763" s="102"/>
      <c r="S763" s="102"/>
      <c r="T763" s="102"/>
      <c r="U763" s="102"/>
      <c r="V763" s="48"/>
      <c r="W763" s="48"/>
      <c r="X763" s="48"/>
      <c r="Y763" s="48"/>
      <c r="Z763" s="47"/>
      <c r="AA763" s="70">
        <v>763</v>
      </c>
      <c r="AB763" s="70"/>
      <c r="AC763" s="71"/>
      <c r="AD763" s="86" t="s">
        <v>892</v>
      </c>
      <c r="AE763" s="94" t="s">
        <v>23179</v>
      </c>
      <c r="AF763" s="86">
        <v>0</v>
      </c>
      <c r="AG763" s="86">
        <v>6</v>
      </c>
      <c r="AH763" s="86">
        <v>3</v>
      </c>
      <c r="AI763" s="86">
        <v>0</v>
      </c>
      <c r="AJ763" s="86">
        <v>0</v>
      </c>
      <c r="AK763" s="86">
        <v>1</v>
      </c>
      <c r="AL763" s="86" t="b">
        <v>0</v>
      </c>
      <c r="AM763" s="89">
        <v>45176.946006944447</v>
      </c>
      <c r="AN763" s="86" t="s">
        <v>15243</v>
      </c>
      <c r="AO763" s="86" t="s">
        <v>27116</v>
      </c>
      <c r="AP763" s="96" t="str">
        <f>HYPERLINK("https://t.co/veaQDD0ggz")</f>
        <v>https://t.co/veaQDD0ggz</v>
      </c>
      <c r="AQ763" s="96" t="str">
        <f>HYPERLINK("http://escola.riopreto.br")</f>
        <v>http://escola.riopreto.br</v>
      </c>
      <c r="AR763" s="86" t="s">
        <v>28412</v>
      </c>
      <c r="AS763" s="86"/>
      <c r="AT763" s="86"/>
      <c r="AU763" s="86"/>
      <c r="AV763" s="86"/>
      <c r="AW763" s="96" t="str">
        <f>HYPERLINK("https://t.co/veaQDD0ggz")</f>
        <v>https://t.co/veaQDD0ggz</v>
      </c>
      <c r="AX763" s="86" t="b">
        <v>0</v>
      </c>
      <c r="AY763" s="86"/>
      <c r="AZ763" s="86"/>
      <c r="BA763" s="86" t="b">
        <v>0</v>
      </c>
      <c r="BB763" s="86" t="b">
        <v>1</v>
      </c>
      <c r="BC763" s="86" t="b">
        <v>1</v>
      </c>
      <c r="BD763" s="86" t="b">
        <v>0</v>
      </c>
      <c r="BE763" s="86" t="b">
        <v>0</v>
      </c>
      <c r="BF763" s="86" t="b">
        <v>0</v>
      </c>
      <c r="BG763" s="86" t="b">
        <v>0</v>
      </c>
      <c r="BH763" s="96" t="str">
        <f>HYPERLINK("https://pbs.twimg.com/profile_banners/1699915938970394624/1694126731")</f>
        <v>https://pbs.twimg.com/profile_banners/1699915938970394624/1694126731</v>
      </c>
      <c r="BI763" s="86"/>
      <c r="BJ763" s="86" t="s">
        <v>29134</v>
      </c>
      <c r="BK763" s="86" t="b">
        <v>0</v>
      </c>
      <c r="BL763" s="86"/>
      <c r="BM763" s="86" t="s">
        <v>66</v>
      </c>
      <c r="BN763" s="86" t="s">
        <v>29136</v>
      </c>
      <c r="BO763" s="96" t="str">
        <f>HYPERLINK("https://twitter.com/escolariopreto")</f>
        <v>https://twitter.com/escolariopreto</v>
      </c>
      <c r="BP763" s="2"/>
    </row>
    <row r="764" spans="1:68" x14ac:dyDescent="0.25">
      <c r="A764" s="63" t="s">
        <v>893</v>
      </c>
      <c r="B764" s="64"/>
      <c r="C764" s="64"/>
      <c r="D764" s="65"/>
      <c r="E764" s="67"/>
      <c r="F764" s="111" t="str">
        <f>HYPERLINK("https://pbs.twimg.com/profile_images/1687642100903624704/u2ouAn6o_normal.jpg")</f>
        <v>https://pbs.twimg.com/profile_images/1687642100903624704/u2ouAn6o_normal.jpg</v>
      </c>
      <c r="G764" s="64"/>
      <c r="H764" s="68"/>
      <c r="I764" s="69"/>
      <c r="J764" s="69"/>
      <c r="K764" s="68" t="s">
        <v>29897</v>
      </c>
      <c r="L764" s="72"/>
      <c r="M764" s="73"/>
      <c r="N764" s="73"/>
      <c r="O764" s="74"/>
      <c r="P764" s="75"/>
      <c r="Q764" s="75"/>
      <c r="R764" s="102"/>
      <c r="S764" s="102"/>
      <c r="T764" s="102"/>
      <c r="U764" s="102"/>
      <c r="V764" s="48"/>
      <c r="W764" s="48"/>
      <c r="X764" s="48"/>
      <c r="Y764" s="48"/>
      <c r="Z764" s="47"/>
      <c r="AA764" s="70">
        <v>764</v>
      </c>
      <c r="AB764" s="70"/>
      <c r="AC764" s="71"/>
      <c r="AD764" s="86" t="s">
        <v>24380</v>
      </c>
      <c r="AE764" s="94" t="s">
        <v>23180</v>
      </c>
      <c r="AF764" s="86">
        <v>43</v>
      </c>
      <c r="AG764" s="86">
        <v>126</v>
      </c>
      <c r="AH764" s="86">
        <v>11</v>
      </c>
      <c r="AI764" s="86">
        <v>0</v>
      </c>
      <c r="AJ764" s="86">
        <v>121</v>
      </c>
      <c r="AK764" s="86">
        <v>8</v>
      </c>
      <c r="AL764" s="86" t="b">
        <v>0</v>
      </c>
      <c r="AM764" s="89">
        <v>45068.297291666669</v>
      </c>
      <c r="AN764" s="86" t="s">
        <v>26155</v>
      </c>
      <c r="AO764" s="86" t="s">
        <v>27117</v>
      </c>
      <c r="AP764" s="96" t="str">
        <f>HYPERLINK("https://t.co/Lwg4JFXqqW")</f>
        <v>https://t.co/Lwg4JFXqqW</v>
      </c>
      <c r="AQ764" s="96" t="str">
        <f>HYPERLINK("https://www.linkedin.com/in/alamin-sheikh-87175128b/")</f>
        <v>https://www.linkedin.com/in/alamin-sheikh-87175128b/</v>
      </c>
      <c r="AR764" s="86" t="s">
        <v>28413</v>
      </c>
      <c r="AS764" s="86"/>
      <c r="AT764" s="86"/>
      <c r="AU764" s="86"/>
      <c r="AV764" s="86"/>
      <c r="AW764" s="96" t="str">
        <f>HYPERLINK("https://t.co/Lwg4JFXqqW")</f>
        <v>https://t.co/Lwg4JFXqqW</v>
      </c>
      <c r="AX764" s="86" t="b">
        <v>0</v>
      </c>
      <c r="AY764" s="86"/>
      <c r="AZ764" s="86"/>
      <c r="BA764" s="86" t="b">
        <v>0</v>
      </c>
      <c r="BB764" s="86" t="b">
        <v>1</v>
      </c>
      <c r="BC764" s="86" t="b">
        <v>1</v>
      </c>
      <c r="BD764" s="86" t="b">
        <v>0</v>
      </c>
      <c r="BE764" s="86" t="b">
        <v>0</v>
      </c>
      <c r="BF764" s="86" t="b">
        <v>0</v>
      </c>
      <c r="BG764" s="86" t="b">
        <v>0</v>
      </c>
      <c r="BH764" s="96" t="str">
        <f>HYPERLINK("https://pbs.twimg.com/profile_banners/1660542860582871040/1693830210")</f>
        <v>https://pbs.twimg.com/profile_banners/1660542860582871040/1693830210</v>
      </c>
      <c r="BI764" s="86"/>
      <c r="BJ764" s="86" t="s">
        <v>29134</v>
      </c>
      <c r="BK764" s="86" t="b">
        <v>0</v>
      </c>
      <c r="BL764" s="86"/>
      <c r="BM764" s="86" t="s">
        <v>66</v>
      </c>
      <c r="BN764" s="86" t="s">
        <v>29136</v>
      </c>
      <c r="BO764" s="96" t="str">
        <f>HYPERLINK("https://twitter.com/alamin42213")</f>
        <v>https://twitter.com/alamin42213</v>
      </c>
      <c r="BP764" s="2"/>
    </row>
    <row r="765" spans="1:68" x14ac:dyDescent="0.25">
      <c r="A765" s="63" t="s">
        <v>894</v>
      </c>
      <c r="B765" s="64"/>
      <c r="C765" s="64"/>
      <c r="D765" s="65"/>
      <c r="E765" s="67"/>
      <c r="F765" s="111" t="str">
        <f>HYPERLINK("https://pbs.twimg.com/profile_images/742508053233324032/hy2BJ5up_normal.jpg")</f>
        <v>https://pbs.twimg.com/profile_images/742508053233324032/hy2BJ5up_normal.jpg</v>
      </c>
      <c r="G765" s="64"/>
      <c r="H765" s="68"/>
      <c r="I765" s="69"/>
      <c r="J765" s="69"/>
      <c r="K765" s="68" t="s">
        <v>29898</v>
      </c>
      <c r="L765" s="72"/>
      <c r="M765" s="73"/>
      <c r="N765" s="73"/>
      <c r="O765" s="74"/>
      <c r="P765" s="75"/>
      <c r="Q765" s="75"/>
      <c r="R765" s="102"/>
      <c r="S765" s="102"/>
      <c r="T765" s="102"/>
      <c r="U765" s="102"/>
      <c r="V765" s="48"/>
      <c r="W765" s="48"/>
      <c r="X765" s="48"/>
      <c r="Y765" s="48"/>
      <c r="Z765" s="47"/>
      <c r="AA765" s="70">
        <v>765</v>
      </c>
      <c r="AB765" s="70"/>
      <c r="AC765" s="71"/>
      <c r="AD765" s="86" t="s">
        <v>24381</v>
      </c>
      <c r="AE765" s="94" t="s">
        <v>23181</v>
      </c>
      <c r="AF765" s="86">
        <v>88</v>
      </c>
      <c r="AG765" s="86">
        <v>514</v>
      </c>
      <c r="AH765" s="86">
        <v>2814</v>
      </c>
      <c r="AI765" s="86">
        <v>0</v>
      </c>
      <c r="AJ765" s="86">
        <v>330</v>
      </c>
      <c r="AK765" s="86">
        <v>1226</v>
      </c>
      <c r="AL765" s="86" t="b">
        <v>0</v>
      </c>
      <c r="AM765" s="89">
        <v>42502.192962962959</v>
      </c>
      <c r="AN765" s="86" t="s">
        <v>15283</v>
      </c>
      <c r="AO765" s="86" t="s">
        <v>27118</v>
      </c>
      <c r="AP765" s="96" t="str">
        <f>HYPERLINK("https://t.co/GSzlKT5NfT")</f>
        <v>https://t.co/GSzlKT5NfT</v>
      </c>
      <c r="AQ765" s="96" t="str">
        <f>HYPERLINK("http://www.grupojbg3.com.br")</f>
        <v>http://www.grupojbg3.com.br</v>
      </c>
      <c r="AR765" s="86" t="s">
        <v>28414</v>
      </c>
      <c r="AS765" s="86"/>
      <c r="AT765" s="86"/>
      <c r="AU765" s="86"/>
      <c r="AV765" s="86"/>
      <c r="AW765" s="96" t="str">
        <f>HYPERLINK("https://t.co/GSzlKT5NfT")</f>
        <v>https://t.co/GSzlKT5NfT</v>
      </c>
      <c r="AX765" s="86" t="b">
        <v>0</v>
      </c>
      <c r="AY765" s="86"/>
      <c r="AZ765" s="86"/>
      <c r="BA765" s="86" t="b">
        <v>1</v>
      </c>
      <c r="BB765" s="86" t="b">
        <v>1</v>
      </c>
      <c r="BC765" s="86" t="b">
        <v>0</v>
      </c>
      <c r="BD765" s="86" t="b">
        <v>0</v>
      </c>
      <c r="BE765" s="86" t="b">
        <v>0</v>
      </c>
      <c r="BF765" s="86" t="b">
        <v>0</v>
      </c>
      <c r="BG765" s="86" t="b">
        <v>0</v>
      </c>
      <c r="BH765" s="96" t="str">
        <f>HYPERLINK("https://pbs.twimg.com/profile_banners/730617969395531776/1514601312")</f>
        <v>https://pbs.twimg.com/profile_banners/730617969395531776/1514601312</v>
      </c>
      <c r="BI765" s="86"/>
      <c r="BJ765" s="86" t="s">
        <v>29134</v>
      </c>
      <c r="BK765" s="86" t="b">
        <v>0</v>
      </c>
      <c r="BL765" s="86"/>
      <c r="BM765" s="86" t="s">
        <v>66</v>
      </c>
      <c r="BN765" s="86" t="s">
        <v>29136</v>
      </c>
      <c r="BO765" s="96" t="str">
        <f>HYPERLINK("https://twitter.com/grupojbg3")</f>
        <v>https://twitter.com/grupojbg3</v>
      </c>
      <c r="BP765" s="2"/>
    </row>
    <row r="766" spans="1:68" x14ac:dyDescent="0.25">
      <c r="A766" s="63" t="s">
        <v>895</v>
      </c>
      <c r="B766" s="64"/>
      <c r="C766" s="64"/>
      <c r="D766" s="65"/>
      <c r="E766" s="67"/>
      <c r="F766" s="111" t="str">
        <f>HYPERLINK("https://pbs.twimg.com/profile_images/1031269592981757952/jq-a1X5A_normal.jpg")</f>
        <v>https://pbs.twimg.com/profile_images/1031269592981757952/jq-a1X5A_normal.jpg</v>
      </c>
      <c r="G766" s="64"/>
      <c r="H766" s="68"/>
      <c r="I766" s="69"/>
      <c r="J766" s="69"/>
      <c r="K766" s="68" t="s">
        <v>29899</v>
      </c>
      <c r="L766" s="72"/>
      <c r="M766" s="73"/>
      <c r="N766" s="73"/>
      <c r="O766" s="74"/>
      <c r="P766" s="75"/>
      <c r="Q766" s="75"/>
      <c r="R766" s="102"/>
      <c r="S766" s="102"/>
      <c r="T766" s="102"/>
      <c r="U766" s="102"/>
      <c r="V766" s="48"/>
      <c r="W766" s="48"/>
      <c r="X766" s="48"/>
      <c r="Y766" s="48"/>
      <c r="Z766" s="47"/>
      <c r="AA766" s="70">
        <v>766</v>
      </c>
      <c r="AB766" s="70"/>
      <c r="AC766" s="71"/>
      <c r="AD766" s="86" t="s">
        <v>24382</v>
      </c>
      <c r="AE766" s="94" t="s">
        <v>23182</v>
      </c>
      <c r="AF766" s="86">
        <v>17</v>
      </c>
      <c r="AG766" s="86">
        <v>703</v>
      </c>
      <c r="AH766" s="86">
        <v>1699</v>
      </c>
      <c r="AI766" s="86">
        <v>0</v>
      </c>
      <c r="AJ766" s="86">
        <v>6304</v>
      </c>
      <c r="AK766" s="86">
        <v>128</v>
      </c>
      <c r="AL766" s="86" t="b">
        <v>0</v>
      </c>
      <c r="AM766" s="89">
        <v>42680.757268518515</v>
      </c>
      <c r="AN766" s="86" t="s">
        <v>15284</v>
      </c>
      <c r="AO766" s="86" t="s">
        <v>27119</v>
      </c>
      <c r="AP766" s="96" t="str">
        <f>HYPERLINK("https://t.co/fKxBS4BlFc")</f>
        <v>https://t.co/fKxBS4BlFc</v>
      </c>
      <c r="AQ766" s="96" t="str">
        <f>HYPERLINK("https://www.mastermaverick.com.br")</f>
        <v>https://www.mastermaverick.com.br</v>
      </c>
      <c r="AR766" s="86" t="s">
        <v>28415</v>
      </c>
      <c r="AS766" s="86"/>
      <c r="AT766" s="86"/>
      <c r="AU766" s="86"/>
      <c r="AV766" s="86"/>
      <c r="AW766" s="96" t="str">
        <f>HYPERLINK("https://t.co/fKxBS4BlFc")</f>
        <v>https://t.co/fKxBS4BlFc</v>
      </c>
      <c r="AX766" s="86" t="b">
        <v>0</v>
      </c>
      <c r="AY766" s="86"/>
      <c r="AZ766" s="86"/>
      <c r="BA766" s="86" t="b">
        <v>0</v>
      </c>
      <c r="BB766" s="86" t="b">
        <v>1</v>
      </c>
      <c r="BC766" s="86" t="b">
        <v>0</v>
      </c>
      <c r="BD766" s="86" t="b">
        <v>0</v>
      </c>
      <c r="BE766" s="86" t="b">
        <v>0</v>
      </c>
      <c r="BF766" s="86" t="b">
        <v>0</v>
      </c>
      <c r="BG766" s="86" t="b">
        <v>0</v>
      </c>
      <c r="BH766" s="96" t="str">
        <f>HYPERLINK("https://pbs.twimg.com/profile_banners/795327504496164864/1629994322")</f>
        <v>https://pbs.twimg.com/profile_banners/795327504496164864/1629994322</v>
      </c>
      <c r="BI766" s="86"/>
      <c r="BJ766" s="86" t="s">
        <v>29134</v>
      </c>
      <c r="BK766" s="86" t="b">
        <v>0</v>
      </c>
      <c r="BL766" s="86"/>
      <c r="BM766" s="86" t="s">
        <v>66</v>
      </c>
      <c r="BN766" s="86" t="s">
        <v>29136</v>
      </c>
      <c r="BO766" s="96" t="str">
        <f>HYPERLINK("https://twitter.com/rafaelr36886877")</f>
        <v>https://twitter.com/rafaelr36886877</v>
      </c>
      <c r="BP766" s="2"/>
    </row>
    <row r="767" spans="1:68" x14ac:dyDescent="0.25">
      <c r="A767" s="63" t="s">
        <v>896</v>
      </c>
      <c r="B767" s="64"/>
      <c r="C767" s="64"/>
      <c r="D767" s="65"/>
      <c r="E767" s="67"/>
      <c r="F767" s="111" t="str">
        <f>HYPERLINK("https://pbs.twimg.com/profile_images/1225023376789590016/GASg_-Fs_normal.jpg")</f>
        <v>https://pbs.twimg.com/profile_images/1225023376789590016/GASg_-Fs_normal.jpg</v>
      </c>
      <c r="G767" s="64"/>
      <c r="H767" s="68"/>
      <c r="I767" s="69"/>
      <c r="J767" s="69"/>
      <c r="K767" s="68" t="s">
        <v>29900</v>
      </c>
      <c r="L767" s="72"/>
      <c r="M767" s="73"/>
      <c r="N767" s="73"/>
      <c r="O767" s="74"/>
      <c r="P767" s="75"/>
      <c r="Q767" s="75"/>
      <c r="R767" s="102"/>
      <c r="S767" s="102"/>
      <c r="T767" s="102"/>
      <c r="U767" s="102"/>
      <c r="V767" s="48"/>
      <c r="W767" s="48"/>
      <c r="X767" s="48"/>
      <c r="Y767" s="48"/>
      <c r="Z767" s="47"/>
      <c r="AA767" s="70">
        <v>767</v>
      </c>
      <c r="AB767" s="70"/>
      <c r="AC767" s="71"/>
      <c r="AD767" s="86" t="s">
        <v>24383</v>
      </c>
      <c r="AE767" s="94" t="s">
        <v>23183</v>
      </c>
      <c r="AF767" s="86">
        <v>21</v>
      </c>
      <c r="AG767" s="86">
        <v>37</v>
      </c>
      <c r="AH767" s="86">
        <v>61</v>
      </c>
      <c r="AI767" s="86">
        <v>0</v>
      </c>
      <c r="AJ767" s="86">
        <v>9</v>
      </c>
      <c r="AK767" s="86">
        <v>55</v>
      </c>
      <c r="AL767" s="86" t="b">
        <v>0</v>
      </c>
      <c r="AM767" s="89">
        <v>43866.490266203706</v>
      </c>
      <c r="AN767" s="86" t="s">
        <v>15421</v>
      </c>
      <c r="AO767" s="86" t="s">
        <v>27120</v>
      </c>
      <c r="AP767" s="96" t="str">
        <f>HYPERLINK("https://t.co/5pl8Kxsb5H")</f>
        <v>https://t.co/5pl8Kxsb5H</v>
      </c>
      <c r="AQ767" s="96" t="str">
        <f>HYPERLINK("https://www.bbgtelecom.com.br/")</f>
        <v>https://www.bbgtelecom.com.br/</v>
      </c>
      <c r="AR767" s="86" t="s">
        <v>28416</v>
      </c>
      <c r="AS767" s="86"/>
      <c r="AT767" s="86"/>
      <c r="AU767" s="86"/>
      <c r="AV767" s="86"/>
      <c r="AW767" s="96" t="str">
        <f>HYPERLINK("https://t.co/5pl8Kxsb5H")</f>
        <v>https://t.co/5pl8Kxsb5H</v>
      </c>
      <c r="AX767" s="86" t="b">
        <v>0</v>
      </c>
      <c r="AY767" s="86"/>
      <c r="AZ767" s="86"/>
      <c r="BA767" s="86" t="b">
        <v>1</v>
      </c>
      <c r="BB767" s="86" t="b">
        <v>1</v>
      </c>
      <c r="BC767" s="86" t="b">
        <v>1</v>
      </c>
      <c r="BD767" s="86" t="b">
        <v>0</v>
      </c>
      <c r="BE767" s="86" t="b">
        <v>0</v>
      </c>
      <c r="BF767" s="86" t="b">
        <v>0</v>
      </c>
      <c r="BG767" s="86" t="b">
        <v>0</v>
      </c>
      <c r="BH767" s="96" t="str">
        <f>HYPERLINK("https://pbs.twimg.com/profile_banners/1225022697811447809/1656333916")</f>
        <v>https://pbs.twimg.com/profile_banners/1225022697811447809/1656333916</v>
      </c>
      <c r="BI767" s="86"/>
      <c r="BJ767" s="86" t="s">
        <v>29134</v>
      </c>
      <c r="BK767" s="86" t="b">
        <v>0</v>
      </c>
      <c r="BL767" s="86"/>
      <c r="BM767" s="86" t="s">
        <v>66</v>
      </c>
      <c r="BN767" s="86" t="s">
        <v>29136</v>
      </c>
      <c r="BO767" s="96" t="str">
        <f>HYPERLINK("https://twitter.com/bbgtelecom_")</f>
        <v>https://twitter.com/bbgtelecom_</v>
      </c>
      <c r="BP767" s="2"/>
    </row>
    <row r="768" spans="1:68" x14ac:dyDescent="0.25">
      <c r="A768" s="63" t="s">
        <v>897</v>
      </c>
      <c r="B768" s="64"/>
      <c r="C768" s="64"/>
      <c r="D768" s="65"/>
      <c r="E768" s="67"/>
      <c r="F768" s="111" t="str">
        <f>HYPERLINK("https://pbs.twimg.com/profile_images/1680046544395939841/tIWEXzn-_normal.jpg")</f>
        <v>https://pbs.twimg.com/profile_images/1680046544395939841/tIWEXzn-_normal.jpg</v>
      </c>
      <c r="G768" s="64"/>
      <c r="H768" s="68"/>
      <c r="I768" s="69"/>
      <c r="J768" s="69"/>
      <c r="K768" s="68" t="s">
        <v>29901</v>
      </c>
      <c r="L768" s="72"/>
      <c r="M768" s="73"/>
      <c r="N768" s="73"/>
      <c r="O768" s="74"/>
      <c r="P768" s="75"/>
      <c r="Q768" s="75"/>
      <c r="R768" s="102"/>
      <c r="S768" s="102"/>
      <c r="T768" s="102"/>
      <c r="U768" s="102"/>
      <c r="V768" s="48"/>
      <c r="W768" s="48"/>
      <c r="X768" s="48"/>
      <c r="Y768" s="48"/>
      <c r="Z768" s="47"/>
      <c r="AA768" s="70">
        <v>768</v>
      </c>
      <c r="AB768" s="70"/>
      <c r="AC768" s="71"/>
      <c r="AD768" s="86" t="s">
        <v>24384</v>
      </c>
      <c r="AE768" s="94" t="s">
        <v>23184</v>
      </c>
      <c r="AF768" s="86">
        <v>1</v>
      </c>
      <c r="AG768" s="86">
        <v>21</v>
      </c>
      <c r="AH768" s="86">
        <v>12</v>
      </c>
      <c r="AI768" s="86">
        <v>0</v>
      </c>
      <c r="AJ768" s="86">
        <v>38</v>
      </c>
      <c r="AK768" s="86">
        <v>4</v>
      </c>
      <c r="AL768" s="86" t="b">
        <v>0</v>
      </c>
      <c r="AM768" s="89">
        <v>45107.926712962966</v>
      </c>
      <c r="AN768" s="86"/>
      <c r="AO768" s="86" t="s">
        <v>27121</v>
      </c>
      <c r="AP768" s="86"/>
      <c r="AQ768" s="86"/>
      <c r="AR768" s="86"/>
      <c r="AS768" s="86"/>
      <c r="AT768" s="86"/>
      <c r="AU768" s="86"/>
      <c r="AV768" s="86"/>
      <c r="AW768" s="86"/>
      <c r="AX768" s="86" t="b">
        <v>0</v>
      </c>
      <c r="AY768" s="86"/>
      <c r="AZ768" s="86"/>
      <c r="BA768" s="86" t="b">
        <v>0</v>
      </c>
      <c r="BB768" s="86" t="b">
        <v>1</v>
      </c>
      <c r="BC768" s="86" t="b">
        <v>1</v>
      </c>
      <c r="BD768" s="86" t="b">
        <v>0</v>
      </c>
      <c r="BE768" s="86" t="b">
        <v>0</v>
      </c>
      <c r="BF768" s="86" t="b">
        <v>0</v>
      </c>
      <c r="BG768" s="86" t="b">
        <v>0</v>
      </c>
      <c r="BH768" s="96" t="str">
        <f>HYPERLINK("https://pbs.twimg.com/profile_banners/1674904141506789376/1689389296")</f>
        <v>https://pbs.twimg.com/profile_banners/1674904141506789376/1689389296</v>
      </c>
      <c r="BI768" s="86"/>
      <c r="BJ768" s="86" t="s">
        <v>29134</v>
      </c>
      <c r="BK768" s="86" t="b">
        <v>0</v>
      </c>
      <c r="BL768" s="86"/>
      <c r="BM768" s="86" t="s">
        <v>66</v>
      </c>
      <c r="BN768" s="86" t="s">
        <v>29136</v>
      </c>
      <c r="BO768" s="96" t="str">
        <f>HYPERLINK("https://twitter.com/barbosamari_")</f>
        <v>https://twitter.com/barbosamari_</v>
      </c>
      <c r="BP768" s="2"/>
    </row>
    <row r="769" spans="1:68" x14ac:dyDescent="0.25">
      <c r="A769" s="63" t="s">
        <v>898</v>
      </c>
      <c r="B769" s="64"/>
      <c r="C769" s="64"/>
      <c r="D769" s="65"/>
      <c r="E769" s="67"/>
      <c r="F769" s="111" t="str">
        <f>HYPERLINK("https://pbs.twimg.com/profile_images/1706028515643031552/UhAmczNy_normal.jpg")</f>
        <v>https://pbs.twimg.com/profile_images/1706028515643031552/UhAmczNy_normal.jpg</v>
      </c>
      <c r="G769" s="64"/>
      <c r="H769" s="68"/>
      <c r="I769" s="69"/>
      <c r="J769" s="69"/>
      <c r="K769" s="68" t="s">
        <v>29902</v>
      </c>
      <c r="L769" s="72"/>
      <c r="M769" s="73"/>
      <c r="N769" s="73"/>
      <c r="O769" s="74"/>
      <c r="P769" s="75"/>
      <c r="Q769" s="75"/>
      <c r="R769" s="102"/>
      <c r="S769" s="102"/>
      <c r="T769" s="102"/>
      <c r="U769" s="102"/>
      <c r="V769" s="48"/>
      <c r="W769" s="48"/>
      <c r="X769" s="48"/>
      <c r="Y769" s="48"/>
      <c r="Z769" s="47"/>
      <c r="AA769" s="70">
        <v>769</v>
      </c>
      <c r="AB769" s="70"/>
      <c r="AC769" s="71"/>
      <c r="AD769" s="86" t="s">
        <v>24385</v>
      </c>
      <c r="AE769" s="94" t="s">
        <v>25503</v>
      </c>
      <c r="AF769" s="86">
        <v>2240</v>
      </c>
      <c r="AG769" s="86">
        <v>1967</v>
      </c>
      <c r="AH769" s="86">
        <v>35129</v>
      </c>
      <c r="AI769" s="86">
        <v>11</v>
      </c>
      <c r="AJ769" s="86">
        <v>38755</v>
      </c>
      <c r="AK769" s="86">
        <v>3317</v>
      </c>
      <c r="AL769" s="86" t="b">
        <v>0</v>
      </c>
      <c r="AM769" s="89">
        <v>40079.608055555553</v>
      </c>
      <c r="AN769" s="86" t="s">
        <v>26156</v>
      </c>
      <c r="AO769" s="86" t="s">
        <v>27122</v>
      </c>
      <c r="AP769" s="86"/>
      <c r="AQ769" s="86"/>
      <c r="AR769" s="86"/>
      <c r="AS769" s="86"/>
      <c r="AT769" s="86"/>
      <c r="AU769" s="86"/>
      <c r="AV769" s="86"/>
      <c r="AW769" s="86"/>
      <c r="AX769" s="86" t="b">
        <v>0</v>
      </c>
      <c r="AY769" s="86"/>
      <c r="AZ769" s="86"/>
      <c r="BA769" s="86" t="b">
        <v>0</v>
      </c>
      <c r="BB769" s="86" t="b">
        <v>1</v>
      </c>
      <c r="BC769" s="86" t="b">
        <v>0</v>
      </c>
      <c r="BD769" s="86" t="b">
        <v>0</v>
      </c>
      <c r="BE769" s="86" t="b">
        <v>1</v>
      </c>
      <c r="BF769" s="86" t="b">
        <v>0</v>
      </c>
      <c r="BG769" s="86" t="b">
        <v>0</v>
      </c>
      <c r="BH769" s="96" t="str">
        <f>HYPERLINK("https://pbs.twimg.com/profile_banners/76658345/1695583880")</f>
        <v>https://pbs.twimg.com/profile_banners/76658345/1695583880</v>
      </c>
      <c r="BI769" s="86"/>
      <c r="BJ769" s="86" t="s">
        <v>29134</v>
      </c>
      <c r="BK769" s="86" t="b">
        <v>0</v>
      </c>
      <c r="BL769" s="86"/>
      <c r="BM769" s="86" t="s">
        <v>66</v>
      </c>
      <c r="BN769" s="86" t="s">
        <v>29136</v>
      </c>
      <c r="BO769" s="96" t="str">
        <f>HYPERLINK("https://twitter.com/josivalbezerra")</f>
        <v>https://twitter.com/josivalbezerra</v>
      </c>
      <c r="BP769" s="2"/>
    </row>
    <row r="770" spans="1:68" x14ac:dyDescent="0.25">
      <c r="A770" s="63" t="s">
        <v>899</v>
      </c>
      <c r="B770" s="64"/>
      <c r="C770" s="64"/>
      <c r="D770" s="65"/>
      <c r="E770" s="67"/>
      <c r="F770" s="111" t="str">
        <f>HYPERLINK("https://pbs.twimg.com/profile_images/519532361499701248/zEfZ2F7I_normal.jpeg")</f>
        <v>https://pbs.twimg.com/profile_images/519532361499701248/zEfZ2F7I_normal.jpeg</v>
      </c>
      <c r="G770" s="64"/>
      <c r="H770" s="68"/>
      <c r="I770" s="69"/>
      <c r="J770" s="69"/>
      <c r="K770" s="68" t="s">
        <v>29903</v>
      </c>
      <c r="L770" s="72"/>
      <c r="M770" s="73"/>
      <c r="N770" s="73"/>
      <c r="O770" s="74"/>
      <c r="P770" s="75"/>
      <c r="Q770" s="75"/>
      <c r="R770" s="102"/>
      <c r="S770" s="102"/>
      <c r="T770" s="102"/>
      <c r="U770" s="102"/>
      <c r="V770" s="48"/>
      <c r="W770" s="48"/>
      <c r="X770" s="48"/>
      <c r="Y770" s="48"/>
      <c r="Z770" s="47"/>
      <c r="AA770" s="70">
        <v>770</v>
      </c>
      <c r="AB770" s="70"/>
      <c r="AC770" s="71"/>
      <c r="AD770" s="86" t="s">
        <v>24386</v>
      </c>
      <c r="AE770" s="94" t="s">
        <v>25504</v>
      </c>
      <c r="AF770" s="86">
        <v>66</v>
      </c>
      <c r="AG770" s="86">
        <v>314</v>
      </c>
      <c r="AH770" s="86">
        <v>1117</v>
      </c>
      <c r="AI770" s="86">
        <v>0</v>
      </c>
      <c r="AJ770" s="86">
        <v>1564</v>
      </c>
      <c r="AK770" s="86">
        <v>198</v>
      </c>
      <c r="AL770" s="86" t="b">
        <v>0</v>
      </c>
      <c r="AM770" s="89">
        <v>40500.774386574078</v>
      </c>
      <c r="AN770" s="86" t="s">
        <v>26157</v>
      </c>
      <c r="AO770" s="86" t="s">
        <v>27123</v>
      </c>
      <c r="AP770" s="86"/>
      <c r="AQ770" s="86"/>
      <c r="AR770" s="86"/>
      <c r="AS770" s="86"/>
      <c r="AT770" s="86"/>
      <c r="AU770" s="86"/>
      <c r="AV770" s="86"/>
      <c r="AW770" s="86"/>
      <c r="AX770" s="86" t="b">
        <v>0</v>
      </c>
      <c r="AY770" s="86"/>
      <c r="AZ770" s="86"/>
      <c r="BA770" s="86" t="b">
        <v>0</v>
      </c>
      <c r="BB770" s="86" t="b">
        <v>0</v>
      </c>
      <c r="BC770" s="86" t="b">
        <v>0</v>
      </c>
      <c r="BD770" s="86" t="b">
        <v>0</v>
      </c>
      <c r="BE770" s="86" t="b">
        <v>1</v>
      </c>
      <c r="BF770" s="86" t="b">
        <v>0</v>
      </c>
      <c r="BG770" s="86" t="b">
        <v>0</v>
      </c>
      <c r="BH770" s="96" t="str">
        <f>HYPERLINK("https://pbs.twimg.com/profile_banners/217150741/1621735605")</f>
        <v>https://pbs.twimg.com/profile_banners/217150741/1621735605</v>
      </c>
      <c r="BI770" s="86"/>
      <c r="BJ770" s="86" t="s">
        <v>29134</v>
      </c>
      <c r="BK770" s="86" t="b">
        <v>0</v>
      </c>
      <c r="BL770" s="86"/>
      <c r="BM770" s="86" t="s">
        <v>66</v>
      </c>
      <c r="BN770" s="86" t="s">
        <v>29136</v>
      </c>
      <c r="BO770" s="96" t="str">
        <f>HYPERLINK("https://twitter.com/alexandre_koch")</f>
        <v>https://twitter.com/alexandre_koch</v>
      </c>
      <c r="BP770" s="2"/>
    </row>
    <row r="771" spans="1:68" x14ac:dyDescent="0.25">
      <c r="A771" s="63" t="s">
        <v>900</v>
      </c>
      <c r="B771" s="64"/>
      <c r="C771" s="64"/>
      <c r="D771" s="65"/>
      <c r="E771" s="67"/>
      <c r="F771" s="111" t="str">
        <f>HYPERLINK("https://pbs.twimg.com/profile_images/1666864261216256000/OmjCgPM2_normal.jpg")</f>
        <v>https://pbs.twimg.com/profile_images/1666864261216256000/OmjCgPM2_normal.jpg</v>
      </c>
      <c r="G771" s="64"/>
      <c r="H771" s="68"/>
      <c r="I771" s="69"/>
      <c r="J771" s="69"/>
      <c r="K771" s="68" t="s">
        <v>29904</v>
      </c>
      <c r="L771" s="72"/>
      <c r="M771" s="73"/>
      <c r="N771" s="73"/>
      <c r="O771" s="74"/>
      <c r="P771" s="75"/>
      <c r="Q771" s="75"/>
      <c r="R771" s="102"/>
      <c r="S771" s="102"/>
      <c r="T771" s="102"/>
      <c r="U771" s="102"/>
      <c r="V771" s="48"/>
      <c r="W771" s="48"/>
      <c r="X771" s="48"/>
      <c r="Y771" s="48"/>
      <c r="Z771" s="47"/>
      <c r="AA771" s="70">
        <v>771</v>
      </c>
      <c r="AB771" s="70"/>
      <c r="AC771" s="71"/>
      <c r="AD771" s="86" t="s">
        <v>24387</v>
      </c>
      <c r="AE771" s="94" t="s">
        <v>25505</v>
      </c>
      <c r="AF771" s="86">
        <v>550</v>
      </c>
      <c r="AG771" s="86">
        <v>1994</v>
      </c>
      <c r="AH771" s="86">
        <v>2672</v>
      </c>
      <c r="AI771" s="86">
        <v>3</v>
      </c>
      <c r="AJ771" s="86">
        <v>9106</v>
      </c>
      <c r="AK771" s="86">
        <v>128</v>
      </c>
      <c r="AL771" s="86" t="b">
        <v>0</v>
      </c>
      <c r="AM771" s="89">
        <v>39953.98133101852</v>
      </c>
      <c r="AN771" s="86" t="s">
        <v>26158</v>
      </c>
      <c r="AO771" s="86" t="s">
        <v>27124</v>
      </c>
      <c r="AP771" s="96" t="str">
        <f>HYPERLINK("https://t.co/j0Tu1vIG3M")</f>
        <v>https://t.co/j0Tu1vIG3M</v>
      </c>
      <c r="AQ771" s="96" t="str">
        <f>HYPERLINK("https://linktr.ee/positiva.financas")</f>
        <v>https://linktr.ee/positiva.financas</v>
      </c>
      <c r="AR771" s="86" t="s">
        <v>28417</v>
      </c>
      <c r="AS771" s="86"/>
      <c r="AT771" s="86"/>
      <c r="AU771" s="86"/>
      <c r="AV771" s="86"/>
      <c r="AW771" s="96" t="str">
        <f>HYPERLINK("https://t.co/j0Tu1vIG3M")</f>
        <v>https://t.co/j0Tu1vIG3M</v>
      </c>
      <c r="AX771" s="86" t="b">
        <v>0</v>
      </c>
      <c r="AY771" s="86"/>
      <c r="AZ771" s="86"/>
      <c r="BA771" s="86" t="b">
        <v>0</v>
      </c>
      <c r="BB771" s="86" t="b">
        <v>1</v>
      </c>
      <c r="BC771" s="86" t="b">
        <v>0</v>
      </c>
      <c r="BD771" s="86" t="b">
        <v>0</v>
      </c>
      <c r="BE771" s="86" t="b">
        <v>1</v>
      </c>
      <c r="BF771" s="86" t="b">
        <v>0</v>
      </c>
      <c r="BG771" s="86" t="b">
        <v>0</v>
      </c>
      <c r="BH771" s="96" t="str">
        <f>HYPERLINK("https://pbs.twimg.com/profile_banners/41479382/1686246384")</f>
        <v>https://pbs.twimg.com/profile_banners/41479382/1686246384</v>
      </c>
      <c r="BI771" s="86"/>
      <c r="BJ771" s="86" t="s">
        <v>29134</v>
      </c>
      <c r="BK771" s="86" t="b">
        <v>0</v>
      </c>
      <c r="BL771" s="86"/>
      <c r="BM771" s="86" t="s">
        <v>66</v>
      </c>
      <c r="BN771" s="86" t="s">
        <v>29136</v>
      </c>
      <c r="BO771" s="96" t="str">
        <f>HYPERLINK("https://twitter.com/ricgaldino")</f>
        <v>https://twitter.com/ricgaldino</v>
      </c>
      <c r="BP771" s="2"/>
    </row>
    <row r="772" spans="1:68" x14ac:dyDescent="0.25">
      <c r="A772" s="63" t="s">
        <v>901</v>
      </c>
      <c r="B772" s="64"/>
      <c r="C772" s="64"/>
      <c r="D772" s="65"/>
      <c r="E772" s="67"/>
      <c r="F772" s="111" t="str">
        <f>HYPERLINK("https://pbs.twimg.com/profile_images/1494829803626811392/phBdjYCS_normal.jpg")</f>
        <v>https://pbs.twimg.com/profile_images/1494829803626811392/phBdjYCS_normal.jpg</v>
      </c>
      <c r="G772" s="64"/>
      <c r="H772" s="68"/>
      <c r="I772" s="69"/>
      <c r="J772" s="69"/>
      <c r="K772" s="68" t="s">
        <v>29905</v>
      </c>
      <c r="L772" s="72"/>
      <c r="M772" s="73"/>
      <c r="N772" s="73"/>
      <c r="O772" s="74"/>
      <c r="P772" s="75"/>
      <c r="Q772" s="75"/>
      <c r="R772" s="102"/>
      <c r="S772" s="102"/>
      <c r="T772" s="102"/>
      <c r="U772" s="102"/>
      <c r="V772" s="48"/>
      <c r="W772" s="48"/>
      <c r="X772" s="48"/>
      <c r="Y772" s="48"/>
      <c r="Z772" s="47"/>
      <c r="AA772" s="70">
        <v>772</v>
      </c>
      <c r="AB772" s="70"/>
      <c r="AC772" s="71"/>
      <c r="AD772" s="86" t="s">
        <v>24388</v>
      </c>
      <c r="AE772" s="94" t="s">
        <v>23185</v>
      </c>
      <c r="AF772" s="86">
        <v>526</v>
      </c>
      <c r="AG772" s="86">
        <v>290</v>
      </c>
      <c r="AH772" s="86">
        <v>4148</v>
      </c>
      <c r="AI772" s="86">
        <v>2</v>
      </c>
      <c r="AJ772" s="86">
        <v>45</v>
      </c>
      <c r="AK772" s="86">
        <v>875</v>
      </c>
      <c r="AL772" s="86" t="b">
        <v>0</v>
      </c>
      <c r="AM772" s="89">
        <v>44610.981979166667</v>
      </c>
      <c r="AN772" s="86" t="s">
        <v>26159</v>
      </c>
      <c r="AO772" s="86" t="s">
        <v>27125</v>
      </c>
      <c r="AP772" s="96" t="str">
        <f>HYPERLINK("https://t.co/7QH0e7C4eo")</f>
        <v>https://t.co/7QH0e7C4eo</v>
      </c>
      <c r="AQ772" s="96" t="str">
        <f>HYPERLINK("http://www.tribunahoje.com")</f>
        <v>http://www.tribunahoje.com</v>
      </c>
      <c r="AR772" s="86" t="s">
        <v>8478</v>
      </c>
      <c r="AS772" s="86"/>
      <c r="AT772" s="86"/>
      <c r="AU772" s="86"/>
      <c r="AV772" s="86"/>
      <c r="AW772" s="96" t="str">
        <f>HYPERLINK("https://t.co/7QH0e7C4eo")</f>
        <v>https://t.co/7QH0e7C4eo</v>
      </c>
      <c r="AX772" s="86" t="b">
        <v>0</v>
      </c>
      <c r="AY772" s="86"/>
      <c r="AZ772" s="86"/>
      <c r="BA772" s="86" t="b">
        <v>0</v>
      </c>
      <c r="BB772" s="86" t="b">
        <v>1</v>
      </c>
      <c r="BC772" s="86" t="b">
        <v>1</v>
      </c>
      <c r="BD772" s="86" t="b">
        <v>0</v>
      </c>
      <c r="BE772" s="86" t="b">
        <v>0</v>
      </c>
      <c r="BF772" s="86" t="b">
        <v>0</v>
      </c>
      <c r="BG772" s="86" t="b">
        <v>0</v>
      </c>
      <c r="BH772" s="96" t="str">
        <f>HYPERLINK("https://pbs.twimg.com/profile_banners/1494816867663425547/1665991872")</f>
        <v>https://pbs.twimg.com/profile_banners/1494816867663425547/1665991872</v>
      </c>
      <c r="BI772" s="86"/>
      <c r="BJ772" s="86" t="s">
        <v>29134</v>
      </c>
      <c r="BK772" s="86" t="b">
        <v>0</v>
      </c>
      <c r="BL772" s="86"/>
      <c r="BM772" s="86" t="s">
        <v>66</v>
      </c>
      <c r="BN772" s="86" t="s">
        <v>29136</v>
      </c>
      <c r="BO772" s="96" t="str">
        <f>HYPERLINK("https://twitter.com/tribuna_hoje")</f>
        <v>https://twitter.com/tribuna_hoje</v>
      </c>
      <c r="BP772" s="2"/>
    </row>
    <row r="773" spans="1:68" x14ac:dyDescent="0.25">
      <c r="A773" s="63" t="s">
        <v>902</v>
      </c>
      <c r="B773" s="64"/>
      <c r="C773" s="64"/>
      <c r="D773" s="65"/>
      <c r="E773" s="67"/>
      <c r="F773" s="111" t="str">
        <f>HYPERLINK("https://pbs.twimg.com/profile_images/1597992779216478209/6PL2qniN_normal.jpg")</f>
        <v>https://pbs.twimg.com/profile_images/1597992779216478209/6PL2qniN_normal.jpg</v>
      </c>
      <c r="G773" s="64"/>
      <c r="H773" s="68"/>
      <c r="I773" s="69"/>
      <c r="J773" s="69"/>
      <c r="K773" s="68" t="s">
        <v>29906</v>
      </c>
      <c r="L773" s="72"/>
      <c r="M773" s="73"/>
      <c r="N773" s="73"/>
      <c r="O773" s="74"/>
      <c r="P773" s="75"/>
      <c r="Q773" s="75"/>
      <c r="R773" s="102"/>
      <c r="S773" s="102"/>
      <c r="T773" s="102"/>
      <c r="U773" s="102"/>
      <c r="V773" s="48"/>
      <c r="W773" s="48"/>
      <c r="X773" s="48"/>
      <c r="Y773" s="48"/>
      <c r="Z773" s="47"/>
      <c r="AA773" s="70">
        <v>773</v>
      </c>
      <c r="AB773" s="70"/>
      <c r="AC773" s="71"/>
      <c r="AD773" s="86" t="s">
        <v>24389</v>
      </c>
      <c r="AE773" s="94" t="s">
        <v>23186</v>
      </c>
      <c r="AF773" s="86">
        <v>8</v>
      </c>
      <c r="AG773" s="86">
        <v>1</v>
      </c>
      <c r="AH773" s="86">
        <v>141</v>
      </c>
      <c r="AI773" s="86">
        <v>0</v>
      </c>
      <c r="AJ773" s="86">
        <v>4</v>
      </c>
      <c r="AK773" s="86">
        <v>138</v>
      </c>
      <c r="AL773" s="86" t="b">
        <v>0</v>
      </c>
      <c r="AM773" s="89">
        <v>44830.779340277775</v>
      </c>
      <c r="AN773" s="86" t="s">
        <v>26160</v>
      </c>
      <c r="AO773" s="86" t="s">
        <v>27126</v>
      </c>
      <c r="AP773" s="96" t="str">
        <f>HYPERLINK("https://t.co/JHuBOYrfJS")</f>
        <v>https://t.co/JHuBOYrfJS</v>
      </c>
      <c r="AQ773" s="96" t="str">
        <f>HYPERLINK("http://tipzar.io")</f>
        <v>http://tipzar.io</v>
      </c>
      <c r="AR773" s="86" t="s">
        <v>28418</v>
      </c>
      <c r="AS773" s="96" t="str">
        <f>HYPERLINK("https://t.co/LMdyBBhj9g")</f>
        <v>https://t.co/LMdyBBhj9g</v>
      </c>
      <c r="AT773" s="96" t="str">
        <f>HYPERLINK("http://tipzar.io/")</f>
        <v>http://tipzar.io/</v>
      </c>
      <c r="AU773" s="86" t="s">
        <v>28418</v>
      </c>
      <c r="AV773" s="86"/>
      <c r="AW773" s="96" t="str">
        <f>HYPERLINK("https://t.co/JHuBOYrfJS")</f>
        <v>https://t.co/JHuBOYrfJS</v>
      </c>
      <c r="AX773" s="86" t="b">
        <v>0</v>
      </c>
      <c r="AY773" s="86"/>
      <c r="AZ773" s="86"/>
      <c r="BA773" s="86" t="b">
        <v>0</v>
      </c>
      <c r="BB773" s="86" t="b">
        <v>1</v>
      </c>
      <c r="BC773" s="86" t="b">
        <v>1</v>
      </c>
      <c r="BD773" s="86" t="b">
        <v>0</v>
      </c>
      <c r="BE773" s="86" t="b">
        <v>0</v>
      </c>
      <c r="BF773" s="86" t="b">
        <v>0</v>
      </c>
      <c r="BG773" s="86" t="b">
        <v>0</v>
      </c>
      <c r="BH773" s="96" t="str">
        <f>HYPERLINK("https://pbs.twimg.com/profile_banners/1574469222767497248/1667231604")</f>
        <v>https://pbs.twimg.com/profile_banners/1574469222767497248/1667231604</v>
      </c>
      <c r="BI773" s="86"/>
      <c r="BJ773" s="86" t="s">
        <v>29134</v>
      </c>
      <c r="BK773" s="86" t="b">
        <v>0</v>
      </c>
      <c r="BL773" s="86"/>
      <c r="BM773" s="86" t="s">
        <v>66</v>
      </c>
      <c r="BN773" s="86" t="s">
        <v>29136</v>
      </c>
      <c r="BO773" s="96" t="str">
        <f>HYPERLINK("https://twitter.com/tipzar_io")</f>
        <v>https://twitter.com/tipzar_io</v>
      </c>
      <c r="BP773" s="2"/>
    </row>
    <row r="774" spans="1:68" x14ac:dyDescent="0.25">
      <c r="A774" s="63" t="s">
        <v>903</v>
      </c>
      <c r="B774" s="64"/>
      <c r="C774" s="64"/>
      <c r="D774" s="65"/>
      <c r="E774" s="67"/>
      <c r="F774" s="111" t="str">
        <f>HYPERLINK("https://pbs.twimg.com/profile_images/1672382842582564867/j1qeL4Ta_normal.jpg")</f>
        <v>https://pbs.twimg.com/profile_images/1672382842582564867/j1qeL4Ta_normal.jpg</v>
      </c>
      <c r="G774" s="64"/>
      <c r="H774" s="68"/>
      <c r="I774" s="69"/>
      <c r="J774" s="69"/>
      <c r="K774" s="68" t="s">
        <v>29907</v>
      </c>
      <c r="L774" s="72"/>
      <c r="M774" s="73"/>
      <c r="N774" s="73"/>
      <c r="O774" s="74"/>
      <c r="P774" s="75"/>
      <c r="Q774" s="75"/>
      <c r="R774" s="102"/>
      <c r="S774" s="102"/>
      <c r="T774" s="102"/>
      <c r="U774" s="102"/>
      <c r="V774" s="48"/>
      <c r="W774" s="48"/>
      <c r="X774" s="48"/>
      <c r="Y774" s="48"/>
      <c r="Z774" s="47"/>
      <c r="AA774" s="70">
        <v>774</v>
      </c>
      <c r="AB774" s="70"/>
      <c r="AC774" s="71"/>
      <c r="AD774" s="86" t="s">
        <v>24390</v>
      </c>
      <c r="AE774" s="94" t="s">
        <v>25506</v>
      </c>
      <c r="AF774" s="86">
        <v>309</v>
      </c>
      <c r="AG774" s="86">
        <v>832</v>
      </c>
      <c r="AH774" s="86">
        <v>2227</v>
      </c>
      <c r="AI774" s="86">
        <v>0</v>
      </c>
      <c r="AJ774" s="86">
        <v>1347</v>
      </c>
      <c r="AK774" s="86">
        <v>933</v>
      </c>
      <c r="AL774" s="86" t="b">
        <v>0</v>
      </c>
      <c r="AM774" s="89">
        <v>41761.437407407408</v>
      </c>
      <c r="AN774" s="86" t="s">
        <v>15283</v>
      </c>
      <c r="AO774" s="86" t="s">
        <v>27127</v>
      </c>
      <c r="AP774" s="86"/>
      <c r="AQ774" s="86"/>
      <c r="AR774" s="86"/>
      <c r="AS774" s="86"/>
      <c r="AT774" s="86"/>
      <c r="AU774" s="86"/>
      <c r="AV774" s="86">
        <v>1.2627242103314401E+18</v>
      </c>
      <c r="AW774" s="86"/>
      <c r="AX774" s="86" t="b">
        <v>0</v>
      </c>
      <c r="AY774" s="86"/>
      <c r="AZ774" s="86"/>
      <c r="BA774" s="86" t="b">
        <v>1</v>
      </c>
      <c r="BB774" s="86" t="b">
        <v>0</v>
      </c>
      <c r="BC774" s="86" t="b">
        <v>1</v>
      </c>
      <c r="BD774" s="86" t="b">
        <v>0</v>
      </c>
      <c r="BE774" s="86" t="b">
        <v>1</v>
      </c>
      <c r="BF774" s="86" t="b">
        <v>0</v>
      </c>
      <c r="BG774" s="86" t="b">
        <v>0</v>
      </c>
      <c r="BH774" s="96" t="str">
        <f>HYPERLINK("https://pbs.twimg.com/profile_banners/2523063850/1661383507")</f>
        <v>https://pbs.twimg.com/profile_banners/2523063850/1661383507</v>
      </c>
      <c r="BI774" s="86"/>
      <c r="BJ774" s="86" t="s">
        <v>29134</v>
      </c>
      <c r="BK774" s="86" t="b">
        <v>0</v>
      </c>
      <c r="BL774" s="86"/>
      <c r="BM774" s="86" t="s">
        <v>66</v>
      </c>
      <c r="BN774" s="86" t="s">
        <v>29136</v>
      </c>
      <c r="BO774" s="96" t="str">
        <f>HYPERLINK("https://twitter.com/santannareal_")</f>
        <v>https://twitter.com/santannareal_</v>
      </c>
      <c r="BP774" s="2"/>
    </row>
    <row r="775" spans="1:68" x14ac:dyDescent="0.25">
      <c r="A775" s="63" t="s">
        <v>904</v>
      </c>
      <c r="B775" s="64"/>
      <c r="C775" s="64"/>
      <c r="D775" s="65"/>
      <c r="E775" s="67"/>
      <c r="F775" s="111" t="str">
        <f>HYPERLINK("https://pbs.twimg.com/profile_images/1396125266649432066/PIKxLcie_normal.jpg")</f>
        <v>https://pbs.twimg.com/profile_images/1396125266649432066/PIKxLcie_normal.jpg</v>
      </c>
      <c r="G775" s="64"/>
      <c r="H775" s="68"/>
      <c r="I775" s="69"/>
      <c r="J775" s="69"/>
      <c r="K775" s="68" t="s">
        <v>29908</v>
      </c>
      <c r="L775" s="72"/>
      <c r="M775" s="73"/>
      <c r="N775" s="73"/>
      <c r="O775" s="74"/>
      <c r="P775" s="75"/>
      <c r="Q775" s="75"/>
      <c r="R775" s="102"/>
      <c r="S775" s="102"/>
      <c r="T775" s="102"/>
      <c r="U775" s="102"/>
      <c r="V775" s="48"/>
      <c r="W775" s="48"/>
      <c r="X775" s="48"/>
      <c r="Y775" s="48"/>
      <c r="Z775" s="47"/>
      <c r="AA775" s="70">
        <v>775</v>
      </c>
      <c r="AB775" s="70"/>
      <c r="AC775" s="71"/>
      <c r="AD775" s="86" t="s">
        <v>24391</v>
      </c>
      <c r="AE775" s="94" t="s">
        <v>23187</v>
      </c>
      <c r="AF775" s="86">
        <v>2</v>
      </c>
      <c r="AG775" s="86">
        <v>13</v>
      </c>
      <c r="AH775" s="86">
        <v>90</v>
      </c>
      <c r="AI775" s="86">
        <v>0</v>
      </c>
      <c r="AJ775" s="86">
        <v>135</v>
      </c>
      <c r="AK775" s="86">
        <v>90</v>
      </c>
      <c r="AL775" s="86" t="b">
        <v>0</v>
      </c>
      <c r="AM775" s="89">
        <v>44338.643113425926</v>
      </c>
      <c r="AN775" s="86" t="s">
        <v>26161</v>
      </c>
      <c r="AO775" s="86" t="s">
        <v>27128</v>
      </c>
      <c r="AP775" s="96" t="str">
        <f>HYPERLINK("https://t.co/JsohjEfhF2")</f>
        <v>https://t.co/JsohjEfhF2</v>
      </c>
      <c r="AQ775" s="96" t="str">
        <f>HYPERLINK("http://lfssantoscontabilidade.page/")</f>
        <v>http://lfssantoscontabilidade.page/</v>
      </c>
      <c r="AR775" s="86" t="s">
        <v>28419</v>
      </c>
      <c r="AS775" s="86"/>
      <c r="AT775" s="86"/>
      <c r="AU775" s="86"/>
      <c r="AV775" s="86"/>
      <c r="AW775" s="96" t="str">
        <f>HYPERLINK("https://t.co/JsohjEfhF2")</f>
        <v>https://t.co/JsohjEfhF2</v>
      </c>
      <c r="AX775" s="86" t="b">
        <v>0</v>
      </c>
      <c r="AY775" s="86"/>
      <c r="AZ775" s="86"/>
      <c r="BA775" s="86" t="b">
        <v>0</v>
      </c>
      <c r="BB775" s="86" t="b">
        <v>1</v>
      </c>
      <c r="BC775" s="86" t="b">
        <v>1</v>
      </c>
      <c r="BD775" s="86" t="b">
        <v>0</v>
      </c>
      <c r="BE775" s="86" t="b">
        <v>0</v>
      </c>
      <c r="BF775" s="86" t="b">
        <v>0</v>
      </c>
      <c r="BG775" s="86" t="b">
        <v>0</v>
      </c>
      <c r="BH775" s="96" t="str">
        <f>HYPERLINK("https://pbs.twimg.com/profile_banners/1396125112395616257/1623871617")</f>
        <v>https://pbs.twimg.com/profile_banners/1396125112395616257/1623871617</v>
      </c>
      <c r="BI775" s="86"/>
      <c r="BJ775" s="86" t="s">
        <v>29134</v>
      </c>
      <c r="BK775" s="86" t="b">
        <v>0</v>
      </c>
      <c r="BL775" s="86"/>
      <c r="BM775" s="86" t="s">
        <v>66</v>
      </c>
      <c r="BN775" s="86" t="s">
        <v>29136</v>
      </c>
      <c r="BO775" s="96" t="str">
        <f>HYPERLINK("https://twitter.com/lfscontadora")</f>
        <v>https://twitter.com/lfscontadora</v>
      </c>
      <c r="BP775" s="2"/>
    </row>
    <row r="776" spans="1:68" x14ac:dyDescent="0.25">
      <c r="A776" s="63" t="s">
        <v>905</v>
      </c>
      <c r="B776" s="64"/>
      <c r="C776" s="64"/>
      <c r="D776" s="65"/>
      <c r="E776" s="67"/>
      <c r="F776" s="111" t="str">
        <f>HYPERLINK("https://pbs.twimg.com/profile_images/978058396137074688/EZTYSmyg_normal.jpg")</f>
        <v>https://pbs.twimg.com/profile_images/978058396137074688/EZTYSmyg_normal.jpg</v>
      </c>
      <c r="G776" s="64"/>
      <c r="H776" s="68"/>
      <c r="I776" s="69"/>
      <c r="J776" s="69"/>
      <c r="K776" s="68" t="s">
        <v>29909</v>
      </c>
      <c r="L776" s="72"/>
      <c r="M776" s="73"/>
      <c r="N776" s="73"/>
      <c r="O776" s="74"/>
      <c r="P776" s="75"/>
      <c r="Q776" s="75"/>
      <c r="R776" s="102"/>
      <c r="S776" s="102"/>
      <c r="T776" s="102"/>
      <c r="U776" s="102"/>
      <c r="V776" s="48"/>
      <c r="W776" s="48"/>
      <c r="X776" s="48"/>
      <c r="Y776" s="48"/>
      <c r="Z776" s="47"/>
      <c r="AA776" s="70">
        <v>776</v>
      </c>
      <c r="AB776" s="70"/>
      <c r="AC776" s="71"/>
      <c r="AD776" s="86" t="s">
        <v>24392</v>
      </c>
      <c r="AE776" s="94" t="s">
        <v>25507</v>
      </c>
      <c r="AF776" s="86">
        <v>190</v>
      </c>
      <c r="AG776" s="86">
        <v>1357</v>
      </c>
      <c r="AH776" s="86">
        <v>5089</v>
      </c>
      <c r="AI776" s="86">
        <v>0</v>
      </c>
      <c r="AJ776" s="86">
        <v>219</v>
      </c>
      <c r="AK776" s="86">
        <v>821</v>
      </c>
      <c r="AL776" s="86" t="b">
        <v>0</v>
      </c>
      <c r="AM776" s="89">
        <v>40378.056203703702</v>
      </c>
      <c r="AN776" s="86" t="s">
        <v>15234</v>
      </c>
      <c r="AO776" s="86"/>
      <c r="AP776" s="86"/>
      <c r="AQ776" s="86"/>
      <c r="AR776" s="86"/>
      <c r="AS776" s="86"/>
      <c r="AT776" s="86"/>
      <c r="AU776" s="86"/>
      <c r="AV776" s="86">
        <v>1.6758893175776399E+18</v>
      </c>
      <c r="AW776" s="86"/>
      <c r="AX776" s="86" t="b">
        <v>0</v>
      </c>
      <c r="AY776" s="86"/>
      <c r="AZ776" s="86"/>
      <c r="BA776" s="86" t="b">
        <v>1</v>
      </c>
      <c r="BB776" s="86" t="b">
        <v>0</v>
      </c>
      <c r="BC776" s="86" t="b">
        <v>0</v>
      </c>
      <c r="BD776" s="86" t="b">
        <v>0</v>
      </c>
      <c r="BE776" s="86" t="b">
        <v>1</v>
      </c>
      <c r="BF776" s="86" t="b">
        <v>0</v>
      </c>
      <c r="BG776" s="86" t="b">
        <v>0</v>
      </c>
      <c r="BH776" s="96" t="str">
        <f>HYPERLINK("https://pbs.twimg.com/profile_banners/168320813/1522294299")</f>
        <v>https://pbs.twimg.com/profile_banners/168320813/1522294299</v>
      </c>
      <c r="BI776" s="86"/>
      <c r="BJ776" s="86" t="s">
        <v>29134</v>
      </c>
      <c r="BK776" s="86" t="b">
        <v>0</v>
      </c>
      <c r="BL776" s="86"/>
      <c r="BM776" s="86" t="s">
        <v>66</v>
      </c>
      <c r="BN776" s="86" t="s">
        <v>29136</v>
      </c>
      <c r="BO776" s="96" t="str">
        <f>HYPERLINK("https://twitter.com/beto9andrades")</f>
        <v>https://twitter.com/beto9andrades</v>
      </c>
      <c r="BP776" s="2"/>
    </row>
    <row r="777" spans="1:68" x14ac:dyDescent="0.25">
      <c r="A777" s="63" t="s">
        <v>906</v>
      </c>
      <c r="B777" s="64"/>
      <c r="C777" s="64"/>
      <c r="D777" s="65"/>
      <c r="E777" s="67"/>
      <c r="F777" s="111" t="str">
        <f>HYPERLINK("https://pbs.twimg.com/profile_images/1669690944533278724/FcK9DAhU_normal.jpg")</f>
        <v>https://pbs.twimg.com/profile_images/1669690944533278724/FcK9DAhU_normal.jpg</v>
      </c>
      <c r="G777" s="64"/>
      <c r="H777" s="68"/>
      <c r="I777" s="69"/>
      <c r="J777" s="69"/>
      <c r="K777" s="68" t="s">
        <v>29910</v>
      </c>
      <c r="L777" s="72"/>
      <c r="M777" s="73"/>
      <c r="N777" s="73"/>
      <c r="O777" s="74"/>
      <c r="P777" s="75"/>
      <c r="Q777" s="75"/>
      <c r="R777" s="102"/>
      <c r="S777" s="102"/>
      <c r="T777" s="102"/>
      <c r="U777" s="102"/>
      <c r="V777" s="48"/>
      <c r="W777" s="48"/>
      <c r="X777" s="48"/>
      <c r="Y777" s="48"/>
      <c r="Z777" s="47"/>
      <c r="AA777" s="70">
        <v>777</v>
      </c>
      <c r="AB777" s="70"/>
      <c r="AC777" s="71"/>
      <c r="AD777" s="86" t="s">
        <v>24393</v>
      </c>
      <c r="AE777" s="94" t="s">
        <v>23188</v>
      </c>
      <c r="AF777" s="86">
        <v>28</v>
      </c>
      <c r="AG777" s="86">
        <v>40</v>
      </c>
      <c r="AH777" s="86">
        <v>47</v>
      </c>
      <c r="AI777" s="86">
        <v>2</v>
      </c>
      <c r="AJ777" s="86">
        <v>16</v>
      </c>
      <c r="AK777" s="86">
        <v>26</v>
      </c>
      <c r="AL777" s="86" t="b">
        <v>0</v>
      </c>
      <c r="AM777" s="89">
        <v>44506.803738425922</v>
      </c>
      <c r="AN777" s="86" t="s">
        <v>15234</v>
      </c>
      <c r="AO777" s="86" t="s">
        <v>27129</v>
      </c>
      <c r="AP777" s="96" t="str">
        <f>HYPERLINK("https://t.co/mzv6BnGivt")</f>
        <v>https://t.co/mzv6BnGivt</v>
      </c>
      <c r="AQ777" s="96" t="str">
        <f>HYPERLINK("https://www.jonnyviccari.com/links")</f>
        <v>https://www.jonnyviccari.com/links</v>
      </c>
      <c r="AR777" s="86" t="s">
        <v>28420</v>
      </c>
      <c r="AS777" s="86"/>
      <c r="AT777" s="86"/>
      <c r="AU777" s="86"/>
      <c r="AV777" s="86"/>
      <c r="AW777" s="96" t="str">
        <f>HYPERLINK("https://t.co/mzv6BnGivt")</f>
        <v>https://t.co/mzv6BnGivt</v>
      </c>
      <c r="AX777" s="86" t="b">
        <v>0</v>
      </c>
      <c r="AY777" s="86"/>
      <c r="AZ777" s="86"/>
      <c r="BA777" s="86" t="b">
        <v>1</v>
      </c>
      <c r="BB777" s="86" t="b">
        <v>1</v>
      </c>
      <c r="BC777" s="86" t="b">
        <v>1</v>
      </c>
      <c r="BD777" s="86" t="b">
        <v>0</v>
      </c>
      <c r="BE777" s="86" t="b">
        <v>0</v>
      </c>
      <c r="BF777" s="86" t="b">
        <v>0</v>
      </c>
      <c r="BG777" s="86" t="b">
        <v>0</v>
      </c>
      <c r="BH777" s="96" t="str">
        <f>HYPERLINK("https://pbs.twimg.com/profile_banners/1457064501803724800/1686919469")</f>
        <v>https://pbs.twimg.com/profile_banners/1457064501803724800/1686919469</v>
      </c>
      <c r="BI777" s="86"/>
      <c r="BJ777" s="86" t="s">
        <v>29134</v>
      </c>
      <c r="BK777" s="86" t="b">
        <v>0</v>
      </c>
      <c r="BL777" s="86"/>
      <c r="BM777" s="86" t="s">
        <v>66</v>
      </c>
      <c r="BN777" s="86" t="s">
        <v>29136</v>
      </c>
      <c r="BO777" s="96" t="str">
        <f>HYPERLINK("https://twitter.com/viccarijonny")</f>
        <v>https://twitter.com/viccarijonny</v>
      </c>
      <c r="BP777" s="2"/>
    </row>
    <row r="778" spans="1:68" x14ac:dyDescent="0.25">
      <c r="A778" s="63" t="s">
        <v>907</v>
      </c>
      <c r="B778" s="64"/>
      <c r="C778" s="64"/>
      <c r="D778" s="65"/>
      <c r="E778" s="67"/>
      <c r="F778" s="111" t="str">
        <f>HYPERLINK("https://pbs.twimg.com/profile_images/1636703451441668096/lVDFcZOg_normal.jpg")</f>
        <v>https://pbs.twimg.com/profile_images/1636703451441668096/lVDFcZOg_normal.jpg</v>
      </c>
      <c r="G778" s="64"/>
      <c r="H778" s="68"/>
      <c r="I778" s="69"/>
      <c r="J778" s="69"/>
      <c r="K778" s="68" t="s">
        <v>29911</v>
      </c>
      <c r="L778" s="72"/>
      <c r="M778" s="73"/>
      <c r="N778" s="73"/>
      <c r="O778" s="74"/>
      <c r="P778" s="75"/>
      <c r="Q778" s="75"/>
      <c r="R778" s="102"/>
      <c r="S778" s="102"/>
      <c r="T778" s="102"/>
      <c r="U778" s="102"/>
      <c r="V778" s="48"/>
      <c r="W778" s="48"/>
      <c r="X778" s="48"/>
      <c r="Y778" s="48"/>
      <c r="Z778" s="47"/>
      <c r="AA778" s="70">
        <v>778</v>
      </c>
      <c r="AB778" s="70"/>
      <c r="AC778" s="71"/>
      <c r="AD778" s="86" t="s">
        <v>24394</v>
      </c>
      <c r="AE778" s="94" t="s">
        <v>23189</v>
      </c>
      <c r="AF778" s="86">
        <v>36</v>
      </c>
      <c r="AG778" s="86">
        <v>216</v>
      </c>
      <c r="AH778" s="86">
        <v>137</v>
      </c>
      <c r="AI778" s="86">
        <v>0</v>
      </c>
      <c r="AJ778" s="86">
        <v>28</v>
      </c>
      <c r="AK778" s="86">
        <v>134</v>
      </c>
      <c r="AL778" s="86" t="b">
        <v>0</v>
      </c>
      <c r="AM778" s="89">
        <v>44981.428391203706</v>
      </c>
      <c r="AN778" s="86" t="s">
        <v>26162</v>
      </c>
      <c r="AO778" s="86" t="s">
        <v>27130</v>
      </c>
      <c r="AP778" s="96" t="str">
        <f>HYPERLINK("https://t.co/eST9qopkGh")</f>
        <v>https://t.co/eST9qopkGh</v>
      </c>
      <c r="AQ778" s="96" t="str">
        <f>HYPERLINK("http://www.smartdefence.pt")</f>
        <v>http://www.smartdefence.pt</v>
      </c>
      <c r="AR778" s="86" t="s">
        <v>28421</v>
      </c>
      <c r="AS778" s="86"/>
      <c r="AT778" s="86"/>
      <c r="AU778" s="86"/>
      <c r="AV778" s="86"/>
      <c r="AW778" s="96" t="str">
        <f>HYPERLINK("https://t.co/eST9qopkGh")</f>
        <v>https://t.co/eST9qopkGh</v>
      </c>
      <c r="AX778" s="86" t="b">
        <v>0</v>
      </c>
      <c r="AY778" s="86"/>
      <c r="AZ778" s="86"/>
      <c r="BA778" s="86" t="b">
        <v>0</v>
      </c>
      <c r="BB778" s="86" t="b">
        <v>1</v>
      </c>
      <c r="BC778" s="86" t="b">
        <v>1</v>
      </c>
      <c r="BD778" s="86" t="b">
        <v>0</v>
      </c>
      <c r="BE778" s="86" t="b">
        <v>0</v>
      </c>
      <c r="BF778" s="86" t="b">
        <v>0</v>
      </c>
      <c r="BG778" s="86" t="b">
        <v>0</v>
      </c>
      <c r="BH778" s="96" t="str">
        <f>HYPERLINK("https://pbs.twimg.com/profile_banners/1629062757801664514/1681207704")</f>
        <v>https://pbs.twimg.com/profile_banners/1629062757801664514/1681207704</v>
      </c>
      <c r="BI778" s="86"/>
      <c r="BJ778" s="86" t="s">
        <v>29134</v>
      </c>
      <c r="BK778" s="86" t="b">
        <v>0</v>
      </c>
      <c r="BL778" s="86"/>
      <c r="BM778" s="86" t="s">
        <v>66</v>
      </c>
      <c r="BN778" s="86" t="s">
        <v>29136</v>
      </c>
      <c r="BO778" s="96" t="str">
        <f>HYPERLINK("https://twitter.com/smartdefenceidd")</f>
        <v>https://twitter.com/smartdefenceidd</v>
      </c>
      <c r="BP778" s="2"/>
    </row>
    <row r="779" spans="1:68" x14ac:dyDescent="0.25">
      <c r="A779" s="63" t="s">
        <v>1202</v>
      </c>
      <c r="B779" s="64"/>
      <c r="C779" s="64"/>
      <c r="D779" s="65"/>
      <c r="E779" s="67"/>
      <c r="F779" s="111" t="str">
        <f>HYPERLINK("https://pbs.twimg.com/profile_images/1190355721/iapmei_twt_peq_normal.jpg")</f>
        <v>https://pbs.twimg.com/profile_images/1190355721/iapmei_twt_peq_normal.jpg</v>
      </c>
      <c r="G779" s="64"/>
      <c r="H779" s="68"/>
      <c r="I779" s="69"/>
      <c r="J779" s="69"/>
      <c r="K779" s="68" t="s">
        <v>29912</v>
      </c>
      <c r="L779" s="72"/>
      <c r="M779" s="73"/>
      <c r="N779" s="73"/>
      <c r="O779" s="74"/>
      <c r="P779" s="75"/>
      <c r="Q779" s="75"/>
      <c r="R779" s="102"/>
      <c r="S779" s="102"/>
      <c r="T779" s="102"/>
      <c r="U779" s="102"/>
      <c r="V779" s="48"/>
      <c r="W779" s="48"/>
      <c r="X779" s="48"/>
      <c r="Y779" s="48"/>
      <c r="Z779" s="47"/>
      <c r="AA779" s="70">
        <v>779</v>
      </c>
      <c r="AB779" s="70"/>
      <c r="AC779" s="71"/>
      <c r="AD779" s="86" t="s">
        <v>24395</v>
      </c>
      <c r="AE779" s="94" t="s">
        <v>25508</v>
      </c>
      <c r="AF779" s="86">
        <v>2955</v>
      </c>
      <c r="AG779" s="86">
        <v>131</v>
      </c>
      <c r="AH779" s="86">
        <v>1089</v>
      </c>
      <c r="AI779" s="86">
        <v>44</v>
      </c>
      <c r="AJ779" s="86">
        <v>24</v>
      </c>
      <c r="AK779" s="86">
        <v>796</v>
      </c>
      <c r="AL779" s="86" t="b">
        <v>0</v>
      </c>
      <c r="AM779" s="89">
        <v>40526.496701388889</v>
      </c>
      <c r="AN779" s="86" t="s">
        <v>15235</v>
      </c>
      <c r="AO779" s="86" t="s">
        <v>27131</v>
      </c>
      <c r="AP779" s="96" t="str">
        <f>HYPERLINK("http://t.co/lveAHfUHxM")</f>
        <v>http://t.co/lveAHfUHxM</v>
      </c>
      <c r="AQ779" s="96" t="str">
        <f>HYPERLINK("http://www.iapmei.pt")</f>
        <v>http://www.iapmei.pt</v>
      </c>
      <c r="AR779" s="86" t="s">
        <v>28422</v>
      </c>
      <c r="AS779" s="86"/>
      <c r="AT779" s="86"/>
      <c r="AU779" s="86"/>
      <c r="AV779" s="86"/>
      <c r="AW779" s="96" t="str">
        <f>HYPERLINK("http://t.co/lveAHfUHxM")</f>
        <v>http://t.co/lveAHfUHxM</v>
      </c>
      <c r="AX779" s="86" t="b">
        <v>0</v>
      </c>
      <c r="AY779" s="86"/>
      <c r="AZ779" s="86"/>
      <c r="BA779" s="86" t="b">
        <v>1</v>
      </c>
      <c r="BB779" s="86" t="b">
        <v>1</v>
      </c>
      <c r="BC779" s="86" t="b">
        <v>0</v>
      </c>
      <c r="BD779" s="86" t="b">
        <v>0</v>
      </c>
      <c r="BE779" s="86" t="b">
        <v>1</v>
      </c>
      <c r="BF779" s="86" t="b">
        <v>0</v>
      </c>
      <c r="BG779" s="86" t="b">
        <v>0</v>
      </c>
      <c r="BH779" s="96" t="str">
        <f>HYPERLINK("https://pbs.twimg.com/profile_banners/226531436/1399656199")</f>
        <v>https://pbs.twimg.com/profile_banners/226531436/1399656199</v>
      </c>
      <c r="BI779" s="86"/>
      <c r="BJ779" s="86" t="s">
        <v>29134</v>
      </c>
      <c r="BK779" s="86" t="b">
        <v>0</v>
      </c>
      <c r="BL779" s="86"/>
      <c r="BM779" s="86" t="s">
        <v>66</v>
      </c>
      <c r="BN779" s="86" t="s">
        <v>29136</v>
      </c>
      <c r="BO779" s="96" t="str">
        <f>HYPERLINK("https://twitter.com/iapmei")</f>
        <v>https://twitter.com/iapmei</v>
      </c>
      <c r="BP779" s="2"/>
    </row>
    <row r="780" spans="1:68" x14ac:dyDescent="0.25">
      <c r="A780" s="63" t="s">
        <v>908</v>
      </c>
      <c r="B780" s="64"/>
      <c r="C780" s="64"/>
      <c r="D780" s="65"/>
      <c r="E780" s="67"/>
      <c r="F780" s="111" t="str">
        <f>HYPERLINK("https://pbs.twimg.com/profile_images/1703547541390839808/asQ7H_kG_normal.jpg")</f>
        <v>https://pbs.twimg.com/profile_images/1703547541390839808/asQ7H_kG_normal.jpg</v>
      </c>
      <c r="G780" s="64"/>
      <c r="H780" s="68"/>
      <c r="I780" s="69"/>
      <c r="J780" s="69"/>
      <c r="K780" s="68" t="s">
        <v>29913</v>
      </c>
      <c r="L780" s="72"/>
      <c r="M780" s="73"/>
      <c r="N780" s="73"/>
      <c r="O780" s="74"/>
      <c r="P780" s="75"/>
      <c r="Q780" s="75"/>
      <c r="R780" s="102"/>
      <c r="S780" s="102"/>
      <c r="T780" s="102"/>
      <c r="U780" s="102"/>
      <c r="V780" s="48"/>
      <c r="W780" s="48"/>
      <c r="X780" s="48"/>
      <c r="Y780" s="48"/>
      <c r="Z780" s="47"/>
      <c r="AA780" s="70">
        <v>780</v>
      </c>
      <c r="AB780" s="70"/>
      <c r="AC780" s="71"/>
      <c r="AD780" s="86" t="s">
        <v>24396</v>
      </c>
      <c r="AE780" s="94" t="s">
        <v>23190</v>
      </c>
      <c r="AF780" s="86">
        <v>2</v>
      </c>
      <c r="AG780" s="86">
        <v>26</v>
      </c>
      <c r="AH780" s="86">
        <v>52</v>
      </c>
      <c r="AI780" s="86">
        <v>0</v>
      </c>
      <c r="AJ780" s="86">
        <v>34</v>
      </c>
      <c r="AK780" s="86">
        <v>19</v>
      </c>
      <c r="AL780" s="86" t="b">
        <v>0</v>
      </c>
      <c r="AM780" s="89">
        <v>45160.771886574075</v>
      </c>
      <c r="AN780" s="86" t="s">
        <v>15246</v>
      </c>
      <c r="AO780" s="86" t="s">
        <v>27132</v>
      </c>
      <c r="AP780" s="96" t="str">
        <f>HYPERLINK("https://t.co/Aj16F52Jcp")</f>
        <v>https://t.co/Aj16F52Jcp</v>
      </c>
      <c r="AQ780" s="96" t="str">
        <f>HYPERLINK("https://instabio.cc/motivadorexpert")</f>
        <v>https://instabio.cc/motivadorexpert</v>
      </c>
      <c r="AR780" s="86" t="s">
        <v>28423</v>
      </c>
      <c r="AS780" s="86"/>
      <c r="AT780" s="86"/>
      <c r="AU780" s="86"/>
      <c r="AV780" s="86">
        <v>1.6950544316439199E+18</v>
      </c>
      <c r="AW780" s="96" t="str">
        <f>HYPERLINK("https://t.co/Aj16F52Jcp")</f>
        <v>https://t.co/Aj16F52Jcp</v>
      </c>
      <c r="AX780" s="86" t="b">
        <v>0</v>
      </c>
      <c r="AY780" s="86"/>
      <c r="AZ780" s="86"/>
      <c r="BA780" s="86" t="b">
        <v>0</v>
      </c>
      <c r="BB780" s="86" t="b">
        <v>1</v>
      </c>
      <c r="BC780" s="86" t="b">
        <v>1</v>
      </c>
      <c r="BD780" s="86" t="b">
        <v>0</v>
      </c>
      <c r="BE780" s="86" t="b">
        <v>0</v>
      </c>
      <c r="BF780" s="86" t="b">
        <v>0</v>
      </c>
      <c r="BG780" s="86" t="b">
        <v>0</v>
      </c>
      <c r="BH780" s="96" t="str">
        <f>HYPERLINK("https://pbs.twimg.com/profile_banners/1694054600116936704/1694992358")</f>
        <v>https://pbs.twimg.com/profile_banners/1694054600116936704/1694992358</v>
      </c>
      <c r="BI780" s="86"/>
      <c r="BJ780" s="86" t="s">
        <v>29134</v>
      </c>
      <c r="BK780" s="86" t="b">
        <v>0</v>
      </c>
      <c r="BL780" s="86"/>
      <c r="BM780" s="86" t="s">
        <v>66</v>
      </c>
      <c r="BN780" s="86" t="s">
        <v>29136</v>
      </c>
      <c r="BO780" s="96" t="str">
        <f>HYPERLINK("https://twitter.com/caiiohenriquetv")</f>
        <v>https://twitter.com/caiiohenriquetv</v>
      </c>
      <c r="BP780" s="2"/>
    </row>
    <row r="781" spans="1:68" x14ac:dyDescent="0.25">
      <c r="A781" s="63" t="s">
        <v>909</v>
      </c>
      <c r="B781" s="64"/>
      <c r="C781" s="64"/>
      <c r="D781" s="65"/>
      <c r="E781" s="67"/>
      <c r="F781" s="111" t="str">
        <f>HYPERLINK("https://pbs.twimg.com/profile_images/1598374605550456850/-yQJDoPV_normal.jpg")</f>
        <v>https://pbs.twimg.com/profile_images/1598374605550456850/-yQJDoPV_normal.jpg</v>
      </c>
      <c r="G781" s="64"/>
      <c r="H781" s="68"/>
      <c r="I781" s="69"/>
      <c r="J781" s="69"/>
      <c r="K781" s="68" t="s">
        <v>29914</v>
      </c>
      <c r="L781" s="72"/>
      <c r="M781" s="73"/>
      <c r="N781" s="73"/>
      <c r="O781" s="74"/>
      <c r="P781" s="75"/>
      <c r="Q781" s="75"/>
      <c r="R781" s="102"/>
      <c r="S781" s="102"/>
      <c r="T781" s="102"/>
      <c r="U781" s="102"/>
      <c r="V781" s="48"/>
      <c r="W781" s="48"/>
      <c r="X781" s="48"/>
      <c r="Y781" s="48"/>
      <c r="Z781" s="47"/>
      <c r="AA781" s="70">
        <v>781</v>
      </c>
      <c r="AB781" s="70"/>
      <c r="AC781" s="71"/>
      <c r="AD781" s="86" t="s">
        <v>24397</v>
      </c>
      <c r="AE781" s="94" t="s">
        <v>25509</v>
      </c>
      <c r="AF781" s="86">
        <v>485</v>
      </c>
      <c r="AG781" s="86">
        <v>41</v>
      </c>
      <c r="AH781" s="86">
        <v>5368</v>
      </c>
      <c r="AI781" s="86">
        <v>9</v>
      </c>
      <c r="AJ781" s="86">
        <v>8</v>
      </c>
      <c r="AK781" s="86">
        <v>3541</v>
      </c>
      <c r="AL781" s="86" t="b">
        <v>0</v>
      </c>
      <c r="AM781" s="89">
        <v>40114.724108796298</v>
      </c>
      <c r="AN781" s="86" t="s">
        <v>26163</v>
      </c>
      <c r="AO781" s="86" t="s">
        <v>27133</v>
      </c>
      <c r="AP781" s="96" t="str">
        <f>HYPERLINK("https://t.co/QxwUfdtIHt")</f>
        <v>https://t.co/QxwUfdtIHt</v>
      </c>
      <c r="AQ781" s="96" t="str">
        <f>HYPERLINK("http://www.sindpdce.org.br/")</f>
        <v>http://www.sindpdce.org.br/</v>
      </c>
      <c r="AR781" s="86" t="s">
        <v>28424</v>
      </c>
      <c r="AS781" s="86"/>
      <c r="AT781" s="86"/>
      <c r="AU781" s="86"/>
      <c r="AV781" s="86"/>
      <c r="AW781" s="96" t="str">
        <f>HYPERLINK("https://t.co/QxwUfdtIHt")</f>
        <v>https://t.co/QxwUfdtIHt</v>
      </c>
      <c r="AX781" s="86" t="b">
        <v>0</v>
      </c>
      <c r="AY781" s="86"/>
      <c r="AZ781" s="86"/>
      <c r="BA781" s="86" t="b">
        <v>0</v>
      </c>
      <c r="BB781" s="86" t="b">
        <v>1</v>
      </c>
      <c r="BC781" s="86" t="b">
        <v>0</v>
      </c>
      <c r="BD781" s="86" t="b">
        <v>0</v>
      </c>
      <c r="BE781" s="86" t="b">
        <v>0</v>
      </c>
      <c r="BF781" s="86" t="b">
        <v>0</v>
      </c>
      <c r="BG781" s="86" t="b">
        <v>0</v>
      </c>
      <c r="BH781" s="96" t="str">
        <f>HYPERLINK("https://pbs.twimg.com/profile_banners/85865113/1669917178")</f>
        <v>https://pbs.twimg.com/profile_banners/85865113/1669917178</v>
      </c>
      <c r="BI781" s="86"/>
      <c r="BJ781" s="86" t="s">
        <v>29134</v>
      </c>
      <c r="BK781" s="86" t="b">
        <v>0</v>
      </c>
      <c r="BL781" s="86"/>
      <c r="BM781" s="86" t="s">
        <v>66</v>
      </c>
      <c r="BN781" s="86" t="s">
        <v>29136</v>
      </c>
      <c r="BO781" s="96" t="str">
        <f>HYPERLINK("https://twitter.com/sindpdce")</f>
        <v>https://twitter.com/sindpdce</v>
      </c>
      <c r="BP781" s="2"/>
    </row>
    <row r="782" spans="1:68" x14ac:dyDescent="0.25">
      <c r="A782" s="63" t="s">
        <v>910</v>
      </c>
      <c r="B782" s="64"/>
      <c r="C782" s="64"/>
      <c r="D782" s="65"/>
      <c r="E782" s="67"/>
      <c r="F782" s="111" t="str">
        <f>HYPERLINK("https://pbs.twimg.com/profile_images/1656338467096330241/us9nGBbn_normal.jpg")</f>
        <v>https://pbs.twimg.com/profile_images/1656338467096330241/us9nGBbn_normal.jpg</v>
      </c>
      <c r="G782" s="64"/>
      <c r="H782" s="68"/>
      <c r="I782" s="69"/>
      <c r="J782" s="69"/>
      <c r="K782" s="68" t="s">
        <v>29915</v>
      </c>
      <c r="L782" s="72"/>
      <c r="M782" s="73"/>
      <c r="N782" s="73"/>
      <c r="O782" s="74"/>
      <c r="P782" s="75"/>
      <c r="Q782" s="75"/>
      <c r="R782" s="102"/>
      <c r="S782" s="102"/>
      <c r="T782" s="102"/>
      <c r="U782" s="102"/>
      <c r="V782" s="48"/>
      <c r="W782" s="48"/>
      <c r="X782" s="48"/>
      <c r="Y782" s="48"/>
      <c r="Z782" s="47"/>
      <c r="AA782" s="70">
        <v>782</v>
      </c>
      <c r="AB782" s="70"/>
      <c r="AC782" s="71"/>
      <c r="AD782" s="86" t="s">
        <v>24398</v>
      </c>
      <c r="AE782" s="94" t="s">
        <v>23191</v>
      </c>
      <c r="AF782" s="86">
        <v>10</v>
      </c>
      <c r="AG782" s="86">
        <v>73</v>
      </c>
      <c r="AH782" s="86">
        <v>211</v>
      </c>
      <c r="AI782" s="86">
        <v>0</v>
      </c>
      <c r="AJ782" s="86">
        <v>93</v>
      </c>
      <c r="AK782" s="86">
        <v>68</v>
      </c>
      <c r="AL782" s="86" t="b">
        <v>0</v>
      </c>
      <c r="AM782" s="89">
        <v>45056.610150462962</v>
      </c>
      <c r="AN782" s="86" t="s">
        <v>15240</v>
      </c>
      <c r="AO782" s="86" t="s">
        <v>27134</v>
      </c>
      <c r="AP782" s="96" t="str">
        <f>HYPERLINK("https://t.co/bsI1I4CE0T")</f>
        <v>https://t.co/bsI1I4CE0T</v>
      </c>
      <c r="AQ782" s="96" t="str">
        <f>HYPERLINK("https://www.youtube.com/@Creatorboss7")</f>
        <v>https://www.youtube.com/@Creatorboss7</v>
      </c>
      <c r="AR782" s="86" t="s">
        <v>28425</v>
      </c>
      <c r="AS782" s="86"/>
      <c r="AT782" s="86"/>
      <c r="AU782" s="86"/>
      <c r="AV782" s="86"/>
      <c r="AW782" s="96" t="str">
        <f>HYPERLINK("https://t.co/bsI1I4CE0T")</f>
        <v>https://t.co/bsI1I4CE0T</v>
      </c>
      <c r="AX782" s="86" t="b">
        <v>0</v>
      </c>
      <c r="AY782" s="86"/>
      <c r="AZ782" s="86"/>
      <c r="BA782" s="86" t="b">
        <v>1</v>
      </c>
      <c r="BB782" s="86" t="b">
        <v>1</v>
      </c>
      <c r="BC782" s="86" t="b">
        <v>1</v>
      </c>
      <c r="BD782" s="86" t="b">
        <v>0</v>
      </c>
      <c r="BE782" s="86" t="b">
        <v>0</v>
      </c>
      <c r="BF782" s="86" t="b">
        <v>0</v>
      </c>
      <c r="BG782" s="86" t="b">
        <v>0</v>
      </c>
      <c r="BH782" s="96" t="str">
        <f>HYPERLINK("https://pbs.twimg.com/profile_banners/1656307557906907137/1683736865")</f>
        <v>https://pbs.twimg.com/profile_banners/1656307557906907137/1683736865</v>
      </c>
      <c r="BI782" s="86"/>
      <c r="BJ782" s="86" t="s">
        <v>29134</v>
      </c>
      <c r="BK782" s="86" t="b">
        <v>0</v>
      </c>
      <c r="BL782" s="86"/>
      <c r="BM782" s="86" t="s">
        <v>66</v>
      </c>
      <c r="BN782" s="86" t="s">
        <v>29136</v>
      </c>
      <c r="BO782" s="96" t="str">
        <f>HYPERLINK("https://twitter.com/hiltonboss90841")</f>
        <v>https://twitter.com/hiltonboss90841</v>
      </c>
      <c r="BP782" s="2"/>
    </row>
    <row r="783" spans="1:68" x14ac:dyDescent="0.25">
      <c r="A783" s="63" t="s">
        <v>1699</v>
      </c>
      <c r="B783" s="64"/>
      <c r="C783" s="64"/>
      <c r="D783" s="65"/>
      <c r="E783" s="67"/>
      <c r="F783" s="111" t="str">
        <f>HYPERLINK("https://pbs.twimg.com/profile_images/1533759960164843520/KOhPknaV_normal.jpg")</f>
        <v>https://pbs.twimg.com/profile_images/1533759960164843520/KOhPknaV_normal.jpg</v>
      </c>
      <c r="G783" s="64"/>
      <c r="H783" s="68"/>
      <c r="I783" s="69"/>
      <c r="J783" s="69"/>
      <c r="K783" s="68" t="s">
        <v>29916</v>
      </c>
      <c r="L783" s="72"/>
      <c r="M783" s="73"/>
      <c r="N783" s="73"/>
      <c r="O783" s="74"/>
      <c r="P783" s="75"/>
      <c r="Q783" s="75"/>
      <c r="R783" s="102"/>
      <c r="S783" s="102"/>
      <c r="T783" s="102"/>
      <c r="U783" s="102"/>
      <c r="V783" s="48"/>
      <c r="W783" s="48"/>
      <c r="X783" s="48"/>
      <c r="Y783" s="48"/>
      <c r="Z783" s="47"/>
      <c r="AA783" s="70">
        <v>783</v>
      </c>
      <c r="AB783" s="70"/>
      <c r="AC783" s="71"/>
      <c r="AD783" s="86" t="s">
        <v>24399</v>
      </c>
      <c r="AE783" s="94" t="s">
        <v>25510</v>
      </c>
      <c r="AF783" s="86">
        <v>23585</v>
      </c>
      <c r="AG783" s="86">
        <v>1074</v>
      </c>
      <c r="AH783" s="86">
        <v>85346</v>
      </c>
      <c r="AI783" s="86">
        <v>459</v>
      </c>
      <c r="AJ783" s="86">
        <v>1665</v>
      </c>
      <c r="AK783" s="86">
        <v>1309</v>
      </c>
      <c r="AL783" s="86" t="b">
        <v>0</v>
      </c>
      <c r="AM783" s="89">
        <v>39932.937604166669</v>
      </c>
      <c r="AN783" s="86" t="s">
        <v>26164</v>
      </c>
      <c r="AO783" s="86" t="s">
        <v>27135</v>
      </c>
      <c r="AP783" s="96" t="str">
        <f>HYPERLINK("https://t.co/igwGO4uQsp")</f>
        <v>https://t.co/igwGO4uQsp</v>
      </c>
      <c r="AQ783" s="96" t="str">
        <f>HYPERLINK("http://hil.tn/s6V6a4")</f>
        <v>http://hil.tn/s6V6a4</v>
      </c>
      <c r="AR783" s="86" t="s">
        <v>28426</v>
      </c>
      <c r="AS783" s="86"/>
      <c r="AT783" s="86"/>
      <c r="AU783" s="86"/>
      <c r="AV783" s="86"/>
      <c r="AW783" s="96" t="str">
        <f>HYPERLINK("https://t.co/igwGO4uQsp")</f>
        <v>https://t.co/igwGO4uQsp</v>
      </c>
      <c r="AX783" s="86" t="b">
        <v>0</v>
      </c>
      <c r="AY783" s="86"/>
      <c r="AZ783" s="86"/>
      <c r="BA783" s="86" t="b">
        <v>1</v>
      </c>
      <c r="BB783" s="86" t="b">
        <v>1</v>
      </c>
      <c r="BC783" s="86" t="b">
        <v>0</v>
      </c>
      <c r="BD783" s="86" t="b">
        <v>0</v>
      </c>
      <c r="BE783" s="86" t="b">
        <v>1</v>
      </c>
      <c r="BF783" s="86" t="b">
        <v>0</v>
      </c>
      <c r="BG783" s="86" t="b">
        <v>0</v>
      </c>
      <c r="BH783" s="96" t="str">
        <f>HYPERLINK("https://pbs.twimg.com/profile_banners/36504210/1654511866")</f>
        <v>https://pbs.twimg.com/profile_banners/36504210/1654511866</v>
      </c>
      <c r="BI783" s="86"/>
      <c r="BJ783" s="86" t="s">
        <v>29134</v>
      </c>
      <c r="BK783" s="86" t="b">
        <v>0</v>
      </c>
      <c r="BL783" s="86"/>
      <c r="BM783" s="86" t="s">
        <v>65</v>
      </c>
      <c r="BN783" s="86" t="s">
        <v>29136</v>
      </c>
      <c r="BO783" s="96" t="str">
        <f>HYPERLINK("https://twitter.com/hilton")</f>
        <v>https://twitter.com/hilton</v>
      </c>
      <c r="BP783" s="2"/>
    </row>
    <row r="784" spans="1:68" x14ac:dyDescent="0.25">
      <c r="A784" s="63" t="s">
        <v>911</v>
      </c>
      <c r="B784" s="64"/>
      <c r="C784" s="64"/>
      <c r="D784" s="65"/>
      <c r="E784" s="67"/>
      <c r="F784" s="111" t="str">
        <f>HYPERLINK("https://pbs.twimg.com/profile_images/1683648326040707072/3kjGyy18_normal.jpg")</f>
        <v>https://pbs.twimg.com/profile_images/1683648326040707072/3kjGyy18_normal.jpg</v>
      </c>
      <c r="G784" s="64"/>
      <c r="H784" s="68"/>
      <c r="I784" s="69"/>
      <c r="J784" s="69"/>
      <c r="K784" s="68" t="s">
        <v>29917</v>
      </c>
      <c r="L784" s="72"/>
      <c r="M784" s="73"/>
      <c r="N784" s="73"/>
      <c r="O784" s="74"/>
      <c r="P784" s="75"/>
      <c r="Q784" s="75"/>
      <c r="R784" s="102"/>
      <c r="S784" s="102"/>
      <c r="T784" s="102"/>
      <c r="U784" s="102"/>
      <c r="V784" s="48"/>
      <c r="W784" s="48"/>
      <c r="X784" s="48"/>
      <c r="Y784" s="48"/>
      <c r="Z784" s="47"/>
      <c r="AA784" s="70">
        <v>784</v>
      </c>
      <c r="AB784" s="70"/>
      <c r="AC784" s="71"/>
      <c r="AD784" s="86" t="s">
        <v>24400</v>
      </c>
      <c r="AE784" s="94" t="s">
        <v>23192</v>
      </c>
      <c r="AF784" s="86">
        <v>1</v>
      </c>
      <c r="AG784" s="86">
        <v>22</v>
      </c>
      <c r="AH784" s="86">
        <v>28</v>
      </c>
      <c r="AI784" s="86">
        <v>0</v>
      </c>
      <c r="AJ784" s="86">
        <v>78</v>
      </c>
      <c r="AK784" s="86">
        <v>6</v>
      </c>
      <c r="AL784" s="86" t="b">
        <v>0</v>
      </c>
      <c r="AM784" s="89">
        <v>45132.052094907405</v>
      </c>
      <c r="AN784" s="86" t="s">
        <v>15246</v>
      </c>
      <c r="AO784" s="86" t="s">
        <v>27136</v>
      </c>
      <c r="AP784" s="86"/>
      <c r="AQ784" s="86"/>
      <c r="AR784" s="86"/>
      <c r="AS784" s="86"/>
      <c r="AT784" s="86"/>
      <c r="AU784" s="86"/>
      <c r="AV784" s="86"/>
      <c r="AW784" s="86"/>
      <c r="AX784" s="86" t="b">
        <v>0</v>
      </c>
      <c r="AY784" s="86"/>
      <c r="AZ784" s="86"/>
      <c r="BA784" s="86" t="b">
        <v>0</v>
      </c>
      <c r="BB784" s="86" t="b">
        <v>1</v>
      </c>
      <c r="BC784" s="86" t="b">
        <v>1</v>
      </c>
      <c r="BD784" s="86" t="b">
        <v>0</v>
      </c>
      <c r="BE784" s="86" t="b">
        <v>0</v>
      </c>
      <c r="BF784" s="86" t="b">
        <v>0</v>
      </c>
      <c r="BG784" s="86" t="b">
        <v>0</v>
      </c>
      <c r="BH784" s="96" t="str">
        <f>HYPERLINK("https://pbs.twimg.com/profile_banners/1683646941966499840/1690248048")</f>
        <v>https://pbs.twimg.com/profile_banners/1683646941966499840/1690248048</v>
      </c>
      <c r="BI784" s="86"/>
      <c r="BJ784" s="86" t="s">
        <v>29134</v>
      </c>
      <c r="BK784" s="86" t="b">
        <v>0</v>
      </c>
      <c r="BL784" s="86"/>
      <c r="BM784" s="86" t="s">
        <v>66</v>
      </c>
      <c r="BN784" s="86" t="s">
        <v>29136</v>
      </c>
      <c r="BO784" s="96" t="str">
        <f>HYPERLINK("https://twitter.com/lincoln2pac")</f>
        <v>https://twitter.com/lincoln2pac</v>
      </c>
      <c r="BP784" s="2"/>
    </row>
    <row r="785" spans="1:68" x14ac:dyDescent="0.25">
      <c r="A785" s="63" t="s">
        <v>912</v>
      </c>
      <c r="B785" s="64"/>
      <c r="C785" s="64"/>
      <c r="D785" s="65"/>
      <c r="E785" s="67"/>
      <c r="F785" s="111" t="str">
        <f>HYPERLINK("https://pbs.twimg.com/profile_images/1659356416035962881/dZi3gnfP_normal.jpg")</f>
        <v>https://pbs.twimg.com/profile_images/1659356416035962881/dZi3gnfP_normal.jpg</v>
      </c>
      <c r="G785" s="64"/>
      <c r="H785" s="68"/>
      <c r="I785" s="69"/>
      <c r="J785" s="69"/>
      <c r="K785" s="68" t="s">
        <v>29918</v>
      </c>
      <c r="L785" s="72"/>
      <c r="M785" s="73"/>
      <c r="N785" s="73"/>
      <c r="O785" s="74"/>
      <c r="P785" s="75"/>
      <c r="Q785" s="75"/>
      <c r="R785" s="102"/>
      <c r="S785" s="102"/>
      <c r="T785" s="102"/>
      <c r="U785" s="102"/>
      <c r="V785" s="48"/>
      <c r="W785" s="48"/>
      <c r="X785" s="48"/>
      <c r="Y785" s="48"/>
      <c r="Z785" s="47"/>
      <c r="AA785" s="70">
        <v>785</v>
      </c>
      <c r="AB785" s="70"/>
      <c r="AC785" s="71"/>
      <c r="AD785" s="86" t="s">
        <v>24401</v>
      </c>
      <c r="AE785" s="94" t="s">
        <v>23193</v>
      </c>
      <c r="AF785" s="86">
        <v>184</v>
      </c>
      <c r="AG785" s="86">
        <v>66</v>
      </c>
      <c r="AH785" s="86">
        <v>500</v>
      </c>
      <c r="AI785" s="86">
        <v>0</v>
      </c>
      <c r="AJ785" s="86">
        <v>132</v>
      </c>
      <c r="AK785" s="86">
        <v>8</v>
      </c>
      <c r="AL785" s="86" t="b">
        <v>0</v>
      </c>
      <c r="AM785" s="89">
        <v>44719.805208333331</v>
      </c>
      <c r="AN785" s="86" t="s">
        <v>15246</v>
      </c>
      <c r="AO785" s="86" t="s">
        <v>27137</v>
      </c>
      <c r="AP785" s="86"/>
      <c r="AQ785" s="86"/>
      <c r="AR785" s="86"/>
      <c r="AS785" s="86"/>
      <c r="AT785" s="86"/>
      <c r="AU785" s="86"/>
      <c r="AV785" s="86"/>
      <c r="AW785" s="86"/>
      <c r="AX785" s="86" t="b">
        <v>0</v>
      </c>
      <c r="AY785" s="86"/>
      <c r="AZ785" s="86"/>
      <c r="BA785" s="86" t="b">
        <v>0</v>
      </c>
      <c r="BB785" s="86" t="b">
        <v>1</v>
      </c>
      <c r="BC785" s="86" t="b">
        <v>1</v>
      </c>
      <c r="BD785" s="86" t="b">
        <v>0</v>
      </c>
      <c r="BE785" s="86" t="b">
        <v>0</v>
      </c>
      <c r="BF785" s="86" t="b">
        <v>0</v>
      </c>
      <c r="BG785" s="86" t="b">
        <v>0</v>
      </c>
      <c r="BH785" s="96" t="str">
        <f>HYPERLINK("https://pbs.twimg.com/profile_banners/1534253613379379200/1684456385")</f>
        <v>https://pbs.twimg.com/profile_banners/1534253613379379200/1684456385</v>
      </c>
      <c r="BI785" s="86"/>
      <c r="BJ785" s="86" t="s">
        <v>29134</v>
      </c>
      <c r="BK785" s="86" t="b">
        <v>0</v>
      </c>
      <c r="BL785" s="86"/>
      <c r="BM785" s="86" t="s">
        <v>66</v>
      </c>
      <c r="BN785" s="86" t="s">
        <v>29136</v>
      </c>
      <c r="BO785" s="96" t="str">
        <f>HYPERLINK("https://twitter.com/angelomcanuto")</f>
        <v>https://twitter.com/angelomcanuto</v>
      </c>
      <c r="BP785" s="2"/>
    </row>
    <row r="786" spans="1:68" x14ac:dyDescent="0.25">
      <c r="A786" s="63" t="s">
        <v>913</v>
      </c>
      <c r="B786" s="64"/>
      <c r="C786" s="64"/>
      <c r="D786" s="65"/>
      <c r="E786" s="67"/>
      <c r="F786" s="111" t="str">
        <f>HYPERLINK("https://pbs.twimg.com/profile_images/1603181094588784642/O5OZVv4t_normal.jpg")</f>
        <v>https://pbs.twimg.com/profile_images/1603181094588784642/O5OZVv4t_normal.jpg</v>
      </c>
      <c r="G786" s="64"/>
      <c r="H786" s="68"/>
      <c r="I786" s="69"/>
      <c r="J786" s="69"/>
      <c r="K786" s="68" t="s">
        <v>29919</v>
      </c>
      <c r="L786" s="72"/>
      <c r="M786" s="73"/>
      <c r="N786" s="73"/>
      <c r="O786" s="74"/>
      <c r="P786" s="75"/>
      <c r="Q786" s="75"/>
      <c r="R786" s="102"/>
      <c r="S786" s="102"/>
      <c r="T786" s="102"/>
      <c r="U786" s="102"/>
      <c r="V786" s="48"/>
      <c r="W786" s="48"/>
      <c r="X786" s="48"/>
      <c r="Y786" s="48"/>
      <c r="Z786" s="47"/>
      <c r="AA786" s="70">
        <v>786</v>
      </c>
      <c r="AB786" s="70"/>
      <c r="AC786" s="71"/>
      <c r="AD786" s="86" t="s">
        <v>24402</v>
      </c>
      <c r="AE786" s="94" t="s">
        <v>25511</v>
      </c>
      <c r="AF786" s="86">
        <v>481</v>
      </c>
      <c r="AG786" s="86">
        <v>1102</v>
      </c>
      <c r="AH786" s="86">
        <v>6159</v>
      </c>
      <c r="AI786" s="86">
        <v>3</v>
      </c>
      <c r="AJ786" s="86">
        <v>1811</v>
      </c>
      <c r="AK786" s="86">
        <v>683</v>
      </c>
      <c r="AL786" s="86" t="b">
        <v>0</v>
      </c>
      <c r="AM786" s="89">
        <v>39940.024224537039</v>
      </c>
      <c r="AN786" s="86" t="s">
        <v>25980</v>
      </c>
      <c r="AO786" s="86" t="s">
        <v>27138</v>
      </c>
      <c r="AP786" s="96" t="str">
        <f>HYPERLINK("https://t.co/VMorn3B34Y")</f>
        <v>https://t.co/VMorn3B34Y</v>
      </c>
      <c r="AQ786" s="96" t="str">
        <f>HYPERLINK("http://instagram.com/maraisamatosoficial")</f>
        <v>http://instagram.com/maraisamatosoficial</v>
      </c>
      <c r="AR786" s="86" t="s">
        <v>28427</v>
      </c>
      <c r="AS786" s="86"/>
      <c r="AT786" s="86"/>
      <c r="AU786" s="86"/>
      <c r="AV786" s="86"/>
      <c r="AW786" s="96" t="str">
        <f>HYPERLINK("https://t.co/VMorn3B34Y")</f>
        <v>https://t.co/VMorn3B34Y</v>
      </c>
      <c r="AX786" s="86" t="b">
        <v>0</v>
      </c>
      <c r="AY786" s="86"/>
      <c r="AZ786" s="86"/>
      <c r="BA786" s="86" t="b">
        <v>0</v>
      </c>
      <c r="BB786" s="86" t="b">
        <v>1</v>
      </c>
      <c r="BC786" s="86" t="b">
        <v>0</v>
      </c>
      <c r="BD786" s="86" t="b">
        <v>0</v>
      </c>
      <c r="BE786" s="86" t="b">
        <v>1</v>
      </c>
      <c r="BF786" s="86" t="b">
        <v>0</v>
      </c>
      <c r="BG786" s="86" t="b">
        <v>0</v>
      </c>
      <c r="BH786" s="96" t="str">
        <f>HYPERLINK("https://pbs.twimg.com/profile_banners/38321097/1620180657")</f>
        <v>https://pbs.twimg.com/profile_banners/38321097/1620180657</v>
      </c>
      <c r="BI786" s="86"/>
      <c r="BJ786" s="86" t="s">
        <v>29134</v>
      </c>
      <c r="BK786" s="86" t="b">
        <v>0</v>
      </c>
      <c r="BL786" s="86"/>
      <c r="BM786" s="86" t="s">
        <v>66</v>
      </c>
      <c r="BN786" s="86" t="s">
        <v>29136</v>
      </c>
      <c r="BO786" s="96" t="str">
        <f>HYPERLINK("https://twitter.com/maraisamatos")</f>
        <v>https://twitter.com/maraisamatos</v>
      </c>
      <c r="BP786" s="2"/>
    </row>
    <row r="787" spans="1:68" x14ac:dyDescent="0.25">
      <c r="A787" s="63" t="s">
        <v>914</v>
      </c>
      <c r="B787" s="64"/>
      <c r="C787" s="64"/>
      <c r="D787" s="65"/>
      <c r="E787" s="67"/>
      <c r="F787" s="111" t="str">
        <f>HYPERLINK("https://pbs.twimg.com/profile_images/1653301047153299457/LAQx0kuO_normal.jpg")</f>
        <v>https://pbs.twimg.com/profile_images/1653301047153299457/LAQx0kuO_normal.jpg</v>
      </c>
      <c r="G787" s="64"/>
      <c r="H787" s="68"/>
      <c r="I787" s="69"/>
      <c r="J787" s="69"/>
      <c r="K787" s="68" t="s">
        <v>29920</v>
      </c>
      <c r="L787" s="72"/>
      <c r="M787" s="73"/>
      <c r="N787" s="73"/>
      <c r="O787" s="74"/>
      <c r="P787" s="75"/>
      <c r="Q787" s="75"/>
      <c r="R787" s="102"/>
      <c r="S787" s="102"/>
      <c r="T787" s="102"/>
      <c r="U787" s="102"/>
      <c r="V787" s="48"/>
      <c r="W787" s="48"/>
      <c r="X787" s="48"/>
      <c r="Y787" s="48"/>
      <c r="Z787" s="47"/>
      <c r="AA787" s="70">
        <v>787</v>
      </c>
      <c r="AB787" s="70"/>
      <c r="AC787" s="71"/>
      <c r="AD787" s="86" t="s">
        <v>24403</v>
      </c>
      <c r="AE787" s="94" t="s">
        <v>23194</v>
      </c>
      <c r="AF787" s="86">
        <v>61</v>
      </c>
      <c r="AG787" s="86">
        <v>89</v>
      </c>
      <c r="AH787" s="86">
        <v>176</v>
      </c>
      <c r="AI787" s="86">
        <v>1</v>
      </c>
      <c r="AJ787" s="86">
        <v>2</v>
      </c>
      <c r="AK787" s="86">
        <v>176</v>
      </c>
      <c r="AL787" s="86" t="b">
        <v>0</v>
      </c>
      <c r="AM787" s="89">
        <v>45048.307638888888</v>
      </c>
      <c r="AN787" s="86" t="s">
        <v>26165</v>
      </c>
      <c r="AO787" s="86" t="s">
        <v>27139</v>
      </c>
      <c r="AP787" s="96" t="str">
        <f>HYPERLINK("https://t.co/Ow4f5JS23c")</f>
        <v>https://t.co/Ow4f5JS23c</v>
      </c>
      <c r="AQ787" s="96" t="str">
        <f>HYPERLINK("http://www.learnknowdigital.com")</f>
        <v>http://www.learnknowdigital.com</v>
      </c>
      <c r="AR787" s="86" t="s">
        <v>28428</v>
      </c>
      <c r="AS787" s="86"/>
      <c r="AT787" s="86"/>
      <c r="AU787" s="86"/>
      <c r="AV787" s="86"/>
      <c r="AW787" s="96" t="str">
        <f>HYPERLINK("https://t.co/Ow4f5JS23c")</f>
        <v>https://t.co/Ow4f5JS23c</v>
      </c>
      <c r="AX787" s="86" t="b">
        <v>0</v>
      </c>
      <c r="AY787" s="86"/>
      <c r="AZ787" s="86"/>
      <c r="BA787" s="86" t="b">
        <v>0</v>
      </c>
      <c r="BB787" s="86" t="b">
        <v>1</v>
      </c>
      <c r="BC787" s="86" t="b">
        <v>1</v>
      </c>
      <c r="BD787" s="86" t="b">
        <v>0</v>
      </c>
      <c r="BE787" s="86" t="b">
        <v>0</v>
      </c>
      <c r="BF787" s="86" t="b">
        <v>0</v>
      </c>
      <c r="BG787" s="86" t="b">
        <v>0</v>
      </c>
      <c r="BH787" s="96" t="str">
        <f>HYPERLINK("https://pbs.twimg.com/profile_banners/1653298703372029956/1683819912")</f>
        <v>https://pbs.twimg.com/profile_banners/1653298703372029956/1683819912</v>
      </c>
      <c r="BI787" s="86"/>
      <c r="BJ787" s="86" t="s">
        <v>29134</v>
      </c>
      <c r="BK787" s="86" t="b">
        <v>0</v>
      </c>
      <c r="BL787" s="86"/>
      <c r="BM787" s="86" t="s">
        <v>66</v>
      </c>
      <c r="BN787" s="86" t="s">
        <v>29136</v>
      </c>
      <c r="BO787" s="96" t="str">
        <f>HYPERLINK("https://twitter.com/learnknowd")</f>
        <v>https://twitter.com/learnknowd</v>
      </c>
      <c r="BP787" s="2"/>
    </row>
    <row r="788" spans="1:68" x14ac:dyDescent="0.25">
      <c r="A788" s="63" t="s">
        <v>915</v>
      </c>
      <c r="B788" s="64"/>
      <c r="C788" s="64"/>
      <c r="D788" s="65"/>
      <c r="E788" s="67"/>
      <c r="F788" s="111" t="str">
        <f>HYPERLINK("https://pbs.twimg.com/profile_images/1701942118455861248/xBJU1fAj_normal.jpg")</f>
        <v>https://pbs.twimg.com/profile_images/1701942118455861248/xBJU1fAj_normal.jpg</v>
      </c>
      <c r="G788" s="64"/>
      <c r="H788" s="68"/>
      <c r="I788" s="69"/>
      <c r="J788" s="69"/>
      <c r="K788" s="68" t="s">
        <v>29921</v>
      </c>
      <c r="L788" s="72"/>
      <c r="M788" s="73"/>
      <c r="N788" s="73"/>
      <c r="O788" s="74"/>
      <c r="P788" s="75"/>
      <c r="Q788" s="75"/>
      <c r="R788" s="102"/>
      <c r="S788" s="102"/>
      <c r="T788" s="102"/>
      <c r="U788" s="102"/>
      <c r="V788" s="48"/>
      <c r="W788" s="48"/>
      <c r="X788" s="48"/>
      <c r="Y788" s="48"/>
      <c r="Z788" s="47"/>
      <c r="AA788" s="70">
        <v>788</v>
      </c>
      <c r="AB788" s="70"/>
      <c r="AC788" s="71"/>
      <c r="AD788" s="86" t="s">
        <v>24404</v>
      </c>
      <c r="AE788" s="94" t="s">
        <v>25512</v>
      </c>
      <c r="AF788" s="86">
        <v>1097</v>
      </c>
      <c r="AG788" s="86">
        <v>1399</v>
      </c>
      <c r="AH788" s="86">
        <v>4424</v>
      </c>
      <c r="AI788" s="86">
        <v>0</v>
      </c>
      <c r="AJ788" s="86">
        <v>2383</v>
      </c>
      <c r="AK788" s="86">
        <v>83</v>
      </c>
      <c r="AL788" s="86" t="b">
        <v>0</v>
      </c>
      <c r="AM788" s="89">
        <v>41844.548321759263</v>
      </c>
      <c r="AN788" s="86" t="s">
        <v>15284</v>
      </c>
      <c r="AO788" s="86" t="s">
        <v>27140</v>
      </c>
      <c r="AP788" s="86"/>
      <c r="AQ788" s="86"/>
      <c r="AR788" s="86"/>
      <c r="AS788" s="86"/>
      <c r="AT788" s="86"/>
      <c r="AU788" s="86"/>
      <c r="AV788" s="86"/>
      <c r="AW788" s="86"/>
      <c r="AX788" s="86" t="b">
        <v>0</v>
      </c>
      <c r="AY788" s="86"/>
      <c r="AZ788" s="86"/>
      <c r="BA788" s="86" t="b">
        <v>0</v>
      </c>
      <c r="BB788" s="86" t="b">
        <v>1</v>
      </c>
      <c r="BC788" s="86" t="b">
        <v>1</v>
      </c>
      <c r="BD788" s="86" t="b">
        <v>0</v>
      </c>
      <c r="BE788" s="86" t="b">
        <v>1</v>
      </c>
      <c r="BF788" s="86" t="b">
        <v>0</v>
      </c>
      <c r="BG788" s="86" t="b">
        <v>0</v>
      </c>
      <c r="BH788" s="96" t="str">
        <f>HYPERLINK("https://pbs.twimg.com/profile_banners/2676824358/1456753198")</f>
        <v>https://pbs.twimg.com/profile_banners/2676824358/1456753198</v>
      </c>
      <c r="BI788" s="86"/>
      <c r="BJ788" s="86" t="s">
        <v>29134</v>
      </c>
      <c r="BK788" s="86" t="b">
        <v>0</v>
      </c>
      <c r="BL788" s="86"/>
      <c r="BM788" s="86" t="s">
        <v>66</v>
      </c>
      <c r="BN788" s="86" t="s">
        <v>29136</v>
      </c>
      <c r="BO788" s="96" t="str">
        <f>HYPERLINK("https://twitter.com/tiagofr29")</f>
        <v>https://twitter.com/tiagofr29</v>
      </c>
      <c r="BP788" s="2"/>
    </row>
    <row r="789" spans="1:68" x14ac:dyDescent="0.25">
      <c r="A789" s="63" t="s">
        <v>916</v>
      </c>
      <c r="B789" s="64"/>
      <c r="C789" s="64"/>
      <c r="D789" s="65"/>
      <c r="E789" s="67"/>
      <c r="F789" s="111" t="str">
        <f>HYPERLINK("https://pbs.twimg.com/profile_images/1580300183929331728/-kf-FNd4_normal.jpg")</f>
        <v>https://pbs.twimg.com/profile_images/1580300183929331728/-kf-FNd4_normal.jpg</v>
      </c>
      <c r="G789" s="64"/>
      <c r="H789" s="68"/>
      <c r="I789" s="69"/>
      <c r="J789" s="69"/>
      <c r="K789" s="68" t="s">
        <v>29922</v>
      </c>
      <c r="L789" s="72"/>
      <c r="M789" s="73"/>
      <c r="N789" s="73"/>
      <c r="O789" s="74"/>
      <c r="P789" s="75"/>
      <c r="Q789" s="75"/>
      <c r="R789" s="102"/>
      <c r="S789" s="102"/>
      <c r="T789" s="102"/>
      <c r="U789" s="102"/>
      <c r="V789" s="48"/>
      <c r="W789" s="48"/>
      <c r="X789" s="48"/>
      <c r="Y789" s="48"/>
      <c r="Z789" s="47"/>
      <c r="AA789" s="70">
        <v>789</v>
      </c>
      <c r="AB789" s="70"/>
      <c r="AC789" s="71"/>
      <c r="AD789" s="86" t="s">
        <v>24405</v>
      </c>
      <c r="AE789" s="94" t="s">
        <v>25513</v>
      </c>
      <c r="AF789" s="86">
        <v>66</v>
      </c>
      <c r="AG789" s="86">
        <v>327</v>
      </c>
      <c r="AH789" s="86">
        <v>9675</v>
      </c>
      <c r="AI789" s="86">
        <v>1</v>
      </c>
      <c r="AJ789" s="86">
        <v>2494</v>
      </c>
      <c r="AK789" s="86">
        <v>693</v>
      </c>
      <c r="AL789" s="86" t="b">
        <v>0</v>
      </c>
      <c r="AM789" s="89">
        <v>40962.072152777779</v>
      </c>
      <c r="AN789" s="86" t="s">
        <v>26166</v>
      </c>
      <c r="AO789" s="86" t="s">
        <v>27141</v>
      </c>
      <c r="AP789" s="96" t="str">
        <f>HYPERLINK("https://t.co/rM3B8w6O8v")</f>
        <v>https://t.co/rM3B8w6O8v</v>
      </c>
      <c r="AQ789" s="96" t="str">
        <f>HYPERLINK("http://github.com/allandonega")</f>
        <v>http://github.com/allandonega</v>
      </c>
      <c r="AR789" s="86" t="s">
        <v>28429</v>
      </c>
      <c r="AS789" s="86"/>
      <c r="AT789" s="86"/>
      <c r="AU789" s="86"/>
      <c r="AV789" s="86">
        <v>1.57981531074369E+18</v>
      </c>
      <c r="AW789" s="96" t="str">
        <f>HYPERLINK("https://t.co/rM3B8w6O8v")</f>
        <v>https://t.co/rM3B8w6O8v</v>
      </c>
      <c r="AX789" s="86" t="b">
        <v>0</v>
      </c>
      <c r="AY789" s="86"/>
      <c r="AZ789" s="86"/>
      <c r="BA789" s="86" t="b">
        <v>1</v>
      </c>
      <c r="BB789" s="86" t="b">
        <v>0</v>
      </c>
      <c r="BC789" s="86" t="b">
        <v>0</v>
      </c>
      <c r="BD789" s="86" t="b">
        <v>0</v>
      </c>
      <c r="BE789" s="86" t="b">
        <v>0</v>
      </c>
      <c r="BF789" s="86" t="b">
        <v>0</v>
      </c>
      <c r="BG789" s="86" t="b">
        <v>0</v>
      </c>
      <c r="BH789" s="96" t="str">
        <f>HYPERLINK("https://pbs.twimg.com/profile_banners/500342735/1665607089")</f>
        <v>https://pbs.twimg.com/profile_banners/500342735/1665607089</v>
      </c>
      <c r="BI789" s="86"/>
      <c r="BJ789" s="86" t="s">
        <v>29134</v>
      </c>
      <c r="BK789" s="86" t="b">
        <v>0</v>
      </c>
      <c r="BL789" s="86"/>
      <c r="BM789" s="86" t="s">
        <v>66</v>
      </c>
      <c r="BN789" s="86" t="s">
        <v>29136</v>
      </c>
      <c r="BO789" s="96" t="str">
        <f>HYPERLINK("https://twitter.com/allandonega")</f>
        <v>https://twitter.com/allandonega</v>
      </c>
      <c r="BP789" s="2"/>
    </row>
    <row r="790" spans="1:68" x14ac:dyDescent="0.25">
      <c r="A790" s="63" t="s">
        <v>917</v>
      </c>
      <c r="B790" s="64"/>
      <c r="C790" s="64"/>
      <c r="D790" s="65"/>
      <c r="E790" s="67"/>
      <c r="F790" s="111" t="str">
        <f>HYPERLINK("https://pbs.twimg.com/profile_images/1551318165308821504/fW0At9te_normal.jpg")</f>
        <v>https://pbs.twimg.com/profile_images/1551318165308821504/fW0At9te_normal.jpg</v>
      </c>
      <c r="G790" s="64"/>
      <c r="H790" s="68"/>
      <c r="I790" s="69"/>
      <c r="J790" s="69"/>
      <c r="K790" s="68" t="s">
        <v>29923</v>
      </c>
      <c r="L790" s="72"/>
      <c r="M790" s="73"/>
      <c r="N790" s="73"/>
      <c r="O790" s="74"/>
      <c r="P790" s="75"/>
      <c r="Q790" s="75"/>
      <c r="R790" s="102"/>
      <c r="S790" s="102"/>
      <c r="T790" s="102"/>
      <c r="U790" s="102"/>
      <c r="V790" s="48"/>
      <c r="W790" s="48"/>
      <c r="X790" s="48"/>
      <c r="Y790" s="48"/>
      <c r="Z790" s="47"/>
      <c r="AA790" s="70">
        <v>790</v>
      </c>
      <c r="AB790" s="70"/>
      <c r="AC790" s="71"/>
      <c r="AD790" s="86" t="s">
        <v>24406</v>
      </c>
      <c r="AE790" s="94" t="s">
        <v>22595</v>
      </c>
      <c r="AF790" s="86">
        <v>0</v>
      </c>
      <c r="AG790" s="86">
        <v>96</v>
      </c>
      <c r="AH790" s="86">
        <v>168</v>
      </c>
      <c r="AI790" s="86">
        <v>0</v>
      </c>
      <c r="AJ790" s="86">
        <v>32</v>
      </c>
      <c r="AK790" s="86">
        <v>8</v>
      </c>
      <c r="AL790" s="86" t="b">
        <v>0</v>
      </c>
      <c r="AM790" s="89">
        <v>44766.893553240741</v>
      </c>
      <c r="AN790" s="86"/>
      <c r="AO790" s="86"/>
      <c r="AP790" s="86"/>
      <c r="AQ790" s="86"/>
      <c r="AR790" s="86"/>
      <c r="AS790" s="86"/>
      <c r="AT790" s="86"/>
      <c r="AU790" s="86"/>
      <c r="AV790" s="86"/>
      <c r="AW790" s="86"/>
      <c r="AX790" s="86" t="b">
        <v>0</v>
      </c>
      <c r="AY790" s="86"/>
      <c r="AZ790" s="86"/>
      <c r="BA790" s="86" t="b">
        <v>0</v>
      </c>
      <c r="BB790" s="86" t="b">
        <v>1</v>
      </c>
      <c r="BC790" s="86" t="b">
        <v>1</v>
      </c>
      <c r="BD790" s="86" t="b">
        <v>0</v>
      </c>
      <c r="BE790" s="86" t="b">
        <v>0</v>
      </c>
      <c r="BF790" s="86" t="b">
        <v>0</v>
      </c>
      <c r="BG790" s="86" t="b">
        <v>0</v>
      </c>
      <c r="BH790" s="86"/>
      <c r="BI790" s="86"/>
      <c r="BJ790" s="86" t="s">
        <v>29134</v>
      </c>
      <c r="BK790" s="86" t="b">
        <v>0</v>
      </c>
      <c r="BL790" s="86"/>
      <c r="BM790" s="86" t="s">
        <v>66</v>
      </c>
      <c r="BN790" s="86" t="s">
        <v>29136</v>
      </c>
      <c r="BO790" s="96" t="str">
        <f>HYPERLINK("https://twitter.com/jhonata0ficial")</f>
        <v>https://twitter.com/jhonata0ficial</v>
      </c>
      <c r="BP790" s="2"/>
    </row>
    <row r="791" spans="1:68" x14ac:dyDescent="0.25">
      <c r="A791" s="63" t="s">
        <v>918</v>
      </c>
      <c r="B791" s="64"/>
      <c r="C791" s="64"/>
      <c r="D791" s="65"/>
      <c r="E791" s="67"/>
      <c r="F791" s="111" t="str">
        <f>HYPERLINK("https://pbs.twimg.com/profile_images/1625150507408039937/yQ47c-X2_normal.jpg")</f>
        <v>https://pbs.twimg.com/profile_images/1625150507408039937/yQ47c-X2_normal.jpg</v>
      </c>
      <c r="G791" s="64"/>
      <c r="H791" s="68"/>
      <c r="I791" s="69"/>
      <c r="J791" s="69"/>
      <c r="K791" s="68" t="s">
        <v>29924</v>
      </c>
      <c r="L791" s="72"/>
      <c r="M791" s="73"/>
      <c r="N791" s="73"/>
      <c r="O791" s="74"/>
      <c r="P791" s="75"/>
      <c r="Q791" s="75"/>
      <c r="R791" s="102"/>
      <c r="S791" s="102"/>
      <c r="T791" s="102"/>
      <c r="U791" s="102"/>
      <c r="V791" s="48"/>
      <c r="W791" s="48"/>
      <c r="X791" s="48"/>
      <c r="Y791" s="48"/>
      <c r="Z791" s="47"/>
      <c r="AA791" s="70">
        <v>791</v>
      </c>
      <c r="AB791" s="70"/>
      <c r="AC791" s="71"/>
      <c r="AD791" s="86" t="s">
        <v>24407</v>
      </c>
      <c r="AE791" s="94" t="s">
        <v>25514</v>
      </c>
      <c r="AF791" s="86">
        <v>58</v>
      </c>
      <c r="AG791" s="86">
        <v>66</v>
      </c>
      <c r="AH791" s="86">
        <v>190</v>
      </c>
      <c r="AI791" s="86">
        <v>2</v>
      </c>
      <c r="AJ791" s="86">
        <v>3</v>
      </c>
      <c r="AK791" s="86">
        <v>67</v>
      </c>
      <c r="AL791" s="86" t="b">
        <v>0</v>
      </c>
      <c r="AM791" s="89">
        <v>39969.867465277777</v>
      </c>
      <c r="AN791" s="86" t="s">
        <v>25913</v>
      </c>
      <c r="AO791" s="86" t="s">
        <v>27142</v>
      </c>
      <c r="AP791" s="96" t="str">
        <f>HYPERLINK("https://t.co/lhXjTJZ77v")</f>
        <v>https://t.co/lhXjTJZ77v</v>
      </c>
      <c r="AQ791" s="96" t="str">
        <f>HYPERLINK("https://www.comunicacaocubo.com.br/carolina")</f>
        <v>https://www.comunicacaocubo.com.br/carolina</v>
      </c>
      <c r="AR791" s="86" t="s">
        <v>28430</v>
      </c>
      <c r="AS791" s="86"/>
      <c r="AT791" s="86"/>
      <c r="AU791" s="86"/>
      <c r="AV791" s="86"/>
      <c r="AW791" s="96" t="str">
        <f>HYPERLINK("https://t.co/lhXjTJZ77v")</f>
        <v>https://t.co/lhXjTJZ77v</v>
      </c>
      <c r="AX791" s="86" t="b">
        <v>0</v>
      </c>
      <c r="AY791" s="86"/>
      <c r="AZ791" s="86"/>
      <c r="BA791" s="86" t="b">
        <v>0</v>
      </c>
      <c r="BB791" s="86" t="b">
        <v>1</v>
      </c>
      <c r="BC791" s="86" t="b">
        <v>0</v>
      </c>
      <c r="BD791" s="86" t="b">
        <v>0</v>
      </c>
      <c r="BE791" s="86" t="b">
        <v>1</v>
      </c>
      <c r="BF791" s="86" t="b">
        <v>0</v>
      </c>
      <c r="BG791" s="86" t="b">
        <v>0</v>
      </c>
      <c r="BH791" s="96" t="str">
        <f>HYPERLINK("https://pbs.twimg.com/profile_banners/44992008/1676301052")</f>
        <v>https://pbs.twimg.com/profile_banners/44992008/1676301052</v>
      </c>
      <c r="BI791" s="86"/>
      <c r="BJ791" s="86" t="s">
        <v>29134</v>
      </c>
      <c r="BK791" s="86" t="b">
        <v>0</v>
      </c>
      <c r="BL791" s="86"/>
      <c r="BM791" s="86" t="s">
        <v>66</v>
      </c>
      <c r="BN791" s="86" t="s">
        <v>29136</v>
      </c>
      <c r="BO791" s="96" t="str">
        <f>HYPERLINK("https://twitter.com/carufernandes")</f>
        <v>https://twitter.com/carufernandes</v>
      </c>
      <c r="BP791" s="2"/>
    </row>
    <row r="792" spans="1:68" x14ac:dyDescent="0.25">
      <c r="A792" s="63" t="s">
        <v>919</v>
      </c>
      <c r="B792" s="64"/>
      <c r="C792" s="64"/>
      <c r="D792" s="65"/>
      <c r="E792" s="67"/>
      <c r="F792" s="111" t="str">
        <f>HYPERLINK("https://pbs.twimg.com/profile_images/1663819957442838531/tNTcWfAC_normal.jpg")</f>
        <v>https://pbs.twimg.com/profile_images/1663819957442838531/tNTcWfAC_normal.jpg</v>
      </c>
      <c r="G792" s="64"/>
      <c r="H792" s="68"/>
      <c r="I792" s="69"/>
      <c r="J792" s="69"/>
      <c r="K792" s="68" t="s">
        <v>29925</v>
      </c>
      <c r="L792" s="72"/>
      <c r="M792" s="73"/>
      <c r="N792" s="73"/>
      <c r="O792" s="74"/>
      <c r="P792" s="75"/>
      <c r="Q792" s="75"/>
      <c r="R792" s="102"/>
      <c r="S792" s="102"/>
      <c r="T792" s="102"/>
      <c r="U792" s="102"/>
      <c r="V792" s="48"/>
      <c r="W792" s="48"/>
      <c r="X792" s="48"/>
      <c r="Y792" s="48"/>
      <c r="Z792" s="47"/>
      <c r="AA792" s="70">
        <v>792</v>
      </c>
      <c r="AB792" s="70"/>
      <c r="AC792" s="71"/>
      <c r="AD792" s="86" t="s">
        <v>24408</v>
      </c>
      <c r="AE792" s="94" t="s">
        <v>23195</v>
      </c>
      <c r="AF792" s="86">
        <v>3</v>
      </c>
      <c r="AG792" s="86">
        <v>2</v>
      </c>
      <c r="AH792" s="86">
        <v>44</v>
      </c>
      <c r="AI792" s="86">
        <v>0</v>
      </c>
      <c r="AJ792" s="86">
        <v>4</v>
      </c>
      <c r="AK792" s="86">
        <v>44</v>
      </c>
      <c r="AL792" s="86" t="b">
        <v>0</v>
      </c>
      <c r="AM792" s="89">
        <v>45077.338414351849</v>
      </c>
      <c r="AN792" s="86"/>
      <c r="AO792" s="86" t="s">
        <v>27143</v>
      </c>
      <c r="AP792" s="86"/>
      <c r="AQ792" s="86"/>
      <c r="AR792" s="86"/>
      <c r="AS792" s="86"/>
      <c r="AT792" s="86"/>
      <c r="AU792" s="86"/>
      <c r="AV792" s="86"/>
      <c r="AW792" s="86"/>
      <c r="AX792" s="86" t="b">
        <v>0</v>
      </c>
      <c r="AY792" s="86"/>
      <c r="AZ792" s="86"/>
      <c r="BA792" s="86" t="b">
        <v>0</v>
      </c>
      <c r="BB792" s="86" t="b">
        <v>1</v>
      </c>
      <c r="BC792" s="86" t="b">
        <v>1</v>
      </c>
      <c r="BD792" s="86" t="b">
        <v>0</v>
      </c>
      <c r="BE792" s="86" t="b">
        <v>0</v>
      </c>
      <c r="BF792" s="86" t="b">
        <v>0</v>
      </c>
      <c r="BG792" s="86" t="b">
        <v>0</v>
      </c>
      <c r="BH792" s="96" t="str">
        <f>HYPERLINK("https://pbs.twimg.com/profile_banners/1663819278867464192/1685521502")</f>
        <v>https://pbs.twimg.com/profile_banners/1663819278867464192/1685521502</v>
      </c>
      <c r="BI792" s="86"/>
      <c r="BJ792" s="86" t="s">
        <v>29134</v>
      </c>
      <c r="BK792" s="86" t="b">
        <v>0</v>
      </c>
      <c r="BL792" s="86"/>
      <c r="BM792" s="86" t="s">
        <v>66</v>
      </c>
      <c r="BN792" s="86" t="s">
        <v>29136</v>
      </c>
      <c r="BO792" s="96" t="str">
        <f>HYPERLINK("https://twitter.com/imcubaangola")</f>
        <v>https://twitter.com/imcubaangola</v>
      </c>
      <c r="BP792" s="2"/>
    </row>
    <row r="793" spans="1:68" x14ac:dyDescent="0.25">
      <c r="A793" s="63" t="s">
        <v>920</v>
      </c>
      <c r="B793" s="64"/>
      <c r="C793" s="64"/>
      <c r="D793" s="65"/>
      <c r="E793" s="67"/>
      <c r="F793" s="111" t="str">
        <f>HYPERLINK("https://pbs.twimg.com/profile_images/1675322498987032577/QM7R__nU_normal.jpg")</f>
        <v>https://pbs.twimg.com/profile_images/1675322498987032577/QM7R__nU_normal.jpg</v>
      </c>
      <c r="G793" s="64"/>
      <c r="H793" s="68"/>
      <c r="I793" s="69"/>
      <c r="J793" s="69"/>
      <c r="K793" s="68" t="s">
        <v>29926</v>
      </c>
      <c r="L793" s="72"/>
      <c r="M793" s="73"/>
      <c r="N793" s="73"/>
      <c r="O793" s="74"/>
      <c r="P793" s="75"/>
      <c r="Q793" s="75"/>
      <c r="R793" s="102"/>
      <c r="S793" s="102"/>
      <c r="T793" s="102"/>
      <c r="U793" s="102"/>
      <c r="V793" s="48"/>
      <c r="W793" s="48"/>
      <c r="X793" s="48"/>
      <c r="Y793" s="48"/>
      <c r="Z793" s="47"/>
      <c r="AA793" s="70">
        <v>793</v>
      </c>
      <c r="AB793" s="70"/>
      <c r="AC793" s="71"/>
      <c r="AD793" s="86" t="s">
        <v>24409</v>
      </c>
      <c r="AE793" s="94" t="s">
        <v>23196</v>
      </c>
      <c r="AF793" s="86">
        <v>0</v>
      </c>
      <c r="AG793" s="86">
        <v>0</v>
      </c>
      <c r="AH793" s="86">
        <v>5</v>
      </c>
      <c r="AI793" s="86">
        <v>0</v>
      </c>
      <c r="AJ793" s="86">
        <v>2</v>
      </c>
      <c r="AK793" s="86">
        <v>5</v>
      </c>
      <c r="AL793" s="86" t="b">
        <v>0</v>
      </c>
      <c r="AM793" s="89">
        <v>45109.078634259262</v>
      </c>
      <c r="AN793" s="86"/>
      <c r="AO793" s="86" t="s">
        <v>27144</v>
      </c>
      <c r="AP793" s="96" t="str">
        <f>HYPERLINK("https://t.co/vuaQJzI3QR")</f>
        <v>https://t.co/vuaQJzI3QR</v>
      </c>
      <c r="AQ793" s="96" t="str">
        <f>HYPERLINK("https://linktr.ee/Zacombisk")</f>
        <v>https://linktr.ee/Zacombisk</v>
      </c>
      <c r="AR793" s="86" t="s">
        <v>28431</v>
      </c>
      <c r="AS793" s="86"/>
      <c r="AT793" s="86"/>
      <c r="AU793" s="86"/>
      <c r="AV793" s="86"/>
      <c r="AW793" s="96" t="str">
        <f>HYPERLINK("https://t.co/vuaQJzI3QR")</f>
        <v>https://t.co/vuaQJzI3QR</v>
      </c>
      <c r="AX793" s="86" t="b">
        <v>0</v>
      </c>
      <c r="AY793" s="86"/>
      <c r="AZ793" s="86"/>
      <c r="BA793" s="86" t="b">
        <v>0</v>
      </c>
      <c r="BB793" s="86" t="b">
        <v>1</v>
      </c>
      <c r="BC793" s="86" t="b">
        <v>1</v>
      </c>
      <c r="BD793" s="86" t="b">
        <v>0</v>
      </c>
      <c r="BE793" s="86" t="b">
        <v>0</v>
      </c>
      <c r="BF793" s="86" t="b">
        <v>0</v>
      </c>
      <c r="BG793" s="86" t="b">
        <v>0</v>
      </c>
      <c r="BH793" s="96" t="str">
        <f>HYPERLINK("https://pbs.twimg.com/profile_banners/1675321544048779264/1688263199")</f>
        <v>https://pbs.twimg.com/profile_banners/1675321544048779264/1688263199</v>
      </c>
      <c r="BI793" s="86"/>
      <c r="BJ793" s="86" t="s">
        <v>29134</v>
      </c>
      <c r="BK793" s="86" t="b">
        <v>0</v>
      </c>
      <c r="BL793" s="86"/>
      <c r="BM793" s="86" t="s">
        <v>66</v>
      </c>
      <c r="BN793" s="86" t="s">
        <v>29136</v>
      </c>
      <c r="BO793" s="96" t="str">
        <f>HYPERLINK("https://twitter.com/zacombisk")</f>
        <v>https://twitter.com/zacombisk</v>
      </c>
      <c r="BP793" s="2"/>
    </row>
    <row r="794" spans="1:68" x14ac:dyDescent="0.25">
      <c r="A794" s="63" t="s">
        <v>921</v>
      </c>
      <c r="B794" s="64"/>
      <c r="C794" s="64"/>
      <c r="D794" s="65"/>
      <c r="E794" s="67"/>
      <c r="F794" s="111" t="str">
        <f>HYPERLINK("https://pbs.twimg.com/profile_images/1470460244547485699/ba-p2LAf_normal.jpg")</f>
        <v>https://pbs.twimg.com/profile_images/1470460244547485699/ba-p2LAf_normal.jpg</v>
      </c>
      <c r="G794" s="64"/>
      <c r="H794" s="68"/>
      <c r="I794" s="69"/>
      <c r="J794" s="69"/>
      <c r="K794" s="68" t="s">
        <v>29927</v>
      </c>
      <c r="L794" s="72"/>
      <c r="M794" s="73"/>
      <c r="N794" s="73"/>
      <c r="O794" s="74"/>
      <c r="P794" s="75"/>
      <c r="Q794" s="75"/>
      <c r="R794" s="102"/>
      <c r="S794" s="102"/>
      <c r="T794" s="102"/>
      <c r="U794" s="102"/>
      <c r="V794" s="48"/>
      <c r="W794" s="48"/>
      <c r="X794" s="48"/>
      <c r="Y794" s="48"/>
      <c r="Z794" s="47"/>
      <c r="AA794" s="70">
        <v>794</v>
      </c>
      <c r="AB794" s="70"/>
      <c r="AC794" s="71"/>
      <c r="AD794" s="86" t="s">
        <v>24410</v>
      </c>
      <c r="AE794" s="94" t="s">
        <v>23197</v>
      </c>
      <c r="AF794" s="86">
        <v>17</v>
      </c>
      <c r="AG794" s="86">
        <v>132</v>
      </c>
      <c r="AH794" s="86">
        <v>110</v>
      </c>
      <c r="AI794" s="86">
        <v>0</v>
      </c>
      <c r="AJ794" s="86">
        <v>73</v>
      </c>
      <c r="AK794" s="86">
        <v>80</v>
      </c>
      <c r="AL794" s="86" t="b">
        <v>0</v>
      </c>
      <c r="AM794" s="89">
        <v>44053.422384259262</v>
      </c>
      <c r="AN794" s="86" t="s">
        <v>15234</v>
      </c>
      <c r="AO794" s="86" t="s">
        <v>27145</v>
      </c>
      <c r="AP794" s="96" t="str">
        <f>HYPERLINK("https://t.co/Cf4RQLt8iU")</f>
        <v>https://t.co/Cf4RQLt8iU</v>
      </c>
      <c r="AQ794" s="96" t="str">
        <f>HYPERLINK("https://www.easybiz.com.br")</f>
        <v>https://www.easybiz.com.br</v>
      </c>
      <c r="AR794" s="86" t="s">
        <v>28432</v>
      </c>
      <c r="AS794" s="86"/>
      <c r="AT794" s="86"/>
      <c r="AU794" s="86"/>
      <c r="AV794" s="86">
        <v>1.3018683351063199E+18</v>
      </c>
      <c r="AW794" s="96" t="str">
        <f>HYPERLINK("https://t.co/Cf4RQLt8iU")</f>
        <v>https://t.co/Cf4RQLt8iU</v>
      </c>
      <c r="AX794" s="86" t="b">
        <v>0</v>
      </c>
      <c r="AY794" s="86"/>
      <c r="AZ794" s="86"/>
      <c r="BA794" s="86" t="b">
        <v>0</v>
      </c>
      <c r="BB794" s="86" t="b">
        <v>1</v>
      </c>
      <c r="BC794" s="86" t="b">
        <v>1</v>
      </c>
      <c r="BD794" s="86" t="b">
        <v>0</v>
      </c>
      <c r="BE794" s="86" t="b">
        <v>0</v>
      </c>
      <c r="BF794" s="86" t="b">
        <v>0</v>
      </c>
      <c r="BG794" s="86" t="b">
        <v>0</v>
      </c>
      <c r="BH794" s="96" t="str">
        <f>HYPERLINK("https://pbs.twimg.com/profile_banners/1292764621531754498/1693483044")</f>
        <v>https://pbs.twimg.com/profile_banners/1292764621531754498/1693483044</v>
      </c>
      <c r="BI794" s="86"/>
      <c r="BJ794" s="86" t="s">
        <v>29134</v>
      </c>
      <c r="BK794" s="86" t="b">
        <v>0</v>
      </c>
      <c r="BL794" s="86"/>
      <c r="BM794" s="86" t="s">
        <v>66</v>
      </c>
      <c r="BN794" s="86" t="s">
        <v>29136</v>
      </c>
      <c r="BO794" s="96" t="str">
        <f>HYPERLINK("https://twitter.com/easybiznegocios")</f>
        <v>https://twitter.com/easybiznegocios</v>
      </c>
      <c r="BP794" s="2"/>
    </row>
    <row r="795" spans="1:68" x14ac:dyDescent="0.25">
      <c r="A795" s="63" t="s">
        <v>922</v>
      </c>
      <c r="B795" s="64"/>
      <c r="C795" s="64"/>
      <c r="D795" s="65"/>
      <c r="E795" s="67"/>
      <c r="F795" s="111" t="str">
        <f>HYPERLINK("https://pbs.twimg.com/profile_images/1455017869520121861/xAUnhapA_normal.jpg")</f>
        <v>https://pbs.twimg.com/profile_images/1455017869520121861/xAUnhapA_normal.jpg</v>
      </c>
      <c r="G795" s="64"/>
      <c r="H795" s="68"/>
      <c r="I795" s="69"/>
      <c r="J795" s="69"/>
      <c r="K795" s="68" t="s">
        <v>29928</v>
      </c>
      <c r="L795" s="72"/>
      <c r="M795" s="73"/>
      <c r="N795" s="73"/>
      <c r="O795" s="74"/>
      <c r="P795" s="75"/>
      <c r="Q795" s="75"/>
      <c r="R795" s="102"/>
      <c r="S795" s="102"/>
      <c r="T795" s="102"/>
      <c r="U795" s="102"/>
      <c r="V795" s="48"/>
      <c r="W795" s="48"/>
      <c r="X795" s="48"/>
      <c r="Y795" s="48"/>
      <c r="Z795" s="47"/>
      <c r="AA795" s="70">
        <v>795</v>
      </c>
      <c r="AB795" s="70"/>
      <c r="AC795" s="71"/>
      <c r="AD795" s="86" t="s">
        <v>24411</v>
      </c>
      <c r="AE795" s="94" t="s">
        <v>25515</v>
      </c>
      <c r="AF795" s="86">
        <v>1410</v>
      </c>
      <c r="AG795" s="86">
        <v>1718</v>
      </c>
      <c r="AH795" s="86">
        <v>8472</v>
      </c>
      <c r="AI795" s="86">
        <v>5</v>
      </c>
      <c r="AJ795" s="86">
        <v>517</v>
      </c>
      <c r="AK795" s="86">
        <v>935</v>
      </c>
      <c r="AL795" s="86" t="b">
        <v>0</v>
      </c>
      <c r="AM795" s="89">
        <v>41166.769317129627</v>
      </c>
      <c r="AN795" s="86" t="s">
        <v>15283</v>
      </c>
      <c r="AO795" s="86" t="s">
        <v>27146</v>
      </c>
      <c r="AP795" s="96" t="str">
        <f>HYPERLINK("https://t.co/CL4ZXriHiX")</f>
        <v>https://t.co/CL4ZXriHiX</v>
      </c>
      <c r="AQ795" s="96" t="str">
        <f>HYPERLINK("http://www.setorsaude.com.br")</f>
        <v>http://www.setorsaude.com.br</v>
      </c>
      <c r="AR795" s="86" t="s">
        <v>28433</v>
      </c>
      <c r="AS795" s="96" t="str">
        <f>HYPERLINK("https://t.co/4Ygb7gT0A6")</f>
        <v>https://t.co/4Ygb7gT0A6</v>
      </c>
      <c r="AT795" s="96" t="str">
        <f>HYPERLINK("http://setorsaude.com.br")</f>
        <v>http://setorsaude.com.br</v>
      </c>
      <c r="AU795" s="86" t="s">
        <v>28433</v>
      </c>
      <c r="AV795" s="86"/>
      <c r="AW795" s="96" t="str">
        <f>HYPERLINK("https://t.co/CL4ZXriHiX")</f>
        <v>https://t.co/CL4ZXriHiX</v>
      </c>
      <c r="AX795" s="86" t="b">
        <v>0</v>
      </c>
      <c r="AY795" s="86"/>
      <c r="AZ795" s="86"/>
      <c r="BA795" s="86" t="b">
        <v>1</v>
      </c>
      <c r="BB795" s="86" t="b">
        <v>1</v>
      </c>
      <c r="BC795" s="86" t="b">
        <v>0</v>
      </c>
      <c r="BD795" s="86" t="b">
        <v>0</v>
      </c>
      <c r="BE795" s="86" t="b">
        <v>1</v>
      </c>
      <c r="BF795" s="86" t="b">
        <v>0</v>
      </c>
      <c r="BG795" s="86" t="b">
        <v>0</v>
      </c>
      <c r="BH795" s="96" t="str">
        <f>HYPERLINK("https://pbs.twimg.com/profile_banners/823749648/1549473410")</f>
        <v>https://pbs.twimg.com/profile_banners/823749648/1549473410</v>
      </c>
      <c r="BI795" s="86"/>
      <c r="BJ795" s="86" t="s">
        <v>29134</v>
      </c>
      <c r="BK795" s="86" t="b">
        <v>0</v>
      </c>
      <c r="BL795" s="86"/>
      <c r="BM795" s="86" t="s">
        <v>66</v>
      </c>
      <c r="BN795" s="86" t="s">
        <v>29136</v>
      </c>
      <c r="BO795" s="96" t="str">
        <f>HYPERLINK("https://twitter.com/setor_saude")</f>
        <v>https://twitter.com/setor_saude</v>
      </c>
      <c r="BP795" s="2"/>
    </row>
    <row r="796" spans="1:68" x14ac:dyDescent="0.25">
      <c r="A796" s="63" t="s">
        <v>1700</v>
      </c>
      <c r="B796" s="64"/>
      <c r="C796" s="64"/>
      <c r="D796" s="65"/>
      <c r="E796" s="67"/>
      <c r="F796" s="111" t="str">
        <f>HYPERLINK("https://pbs.twimg.com/profile_images/1588500423337558016/dxdIsoJg_normal.jpg")</f>
        <v>https://pbs.twimg.com/profile_images/1588500423337558016/dxdIsoJg_normal.jpg</v>
      </c>
      <c r="G796" s="64"/>
      <c r="H796" s="68"/>
      <c r="I796" s="69"/>
      <c r="J796" s="69"/>
      <c r="K796" s="68" t="s">
        <v>29929</v>
      </c>
      <c r="L796" s="72"/>
      <c r="M796" s="73"/>
      <c r="N796" s="73"/>
      <c r="O796" s="74"/>
      <c r="P796" s="75"/>
      <c r="Q796" s="75"/>
      <c r="R796" s="102"/>
      <c r="S796" s="102"/>
      <c r="T796" s="102"/>
      <c r="U796" s="102"/>
      <c r="V796" s="48"/>
      <c r="W796" s="48"/>
      <c r="X796" s="48"/>
      <c r="Y796" s="48"/>
      <c r="Z796" s="47"/>
      <c r="AA796" s="70">
        <v>796</v>
      </c>
      <c r="AB796" s="70"/>
      <c r="AC796" s="71"/>
      <c r="AD796" s="86" t="s">
        <v>24412</v>
      </c>
      <c r="AE796" s="94" t="s">
        <v>25516</v>
      </c>
      <c r="AF796" s="86">
        <v>6051</v>
      </c>
      <c r="AG796" s="86">
        <v>149</v>
      </c>
      <c r="AH796" s="86">
        <v>2254</v>
      </c>
      <c r="AI796" s="86">
        <v>30</v>
      </c>
      <c r="AJ796" s="86">
        <v>107</v>
      </c>
      <c r="AK796" s="86">
        <v>328</v>
      </c>
      <c r="AL796" s="86" t="b">
        <v>0</v>
      </c>
      <c r="AM796" s="89">
        <v>41213.547962962963</v>
      </c>
      <c r="AN796" s="86" t="s">
        <v>26167</v>
      </c>
      <c r="AO796" s="86" t="s">
        <v>27147</v>
      </c>
      <c r="AP796" s="86"/>
      <c r="AQ796" s="86"/>
      <c r="AR796" s="86"/>
      <c r="AS796" s="96" t="str">
        <f>HYPERLINK("https://t.co/r0P3kzZcaR")</f>
        <v>https://t.co/r0P3kzZcaR</v>
      </c>
      <c r="AT796" s="96" t="str">
        <f>HYPERLINK("http://hcpa.edu.br")</f>
        <v>http://hcpa.edu.br</v>
      </c>
      <c r="AU796" s="86" t="s">
        <v>29080</v>
      </c>
      <c r="AV796" s="86"/>
      <c r="AW796" s="86"/>
      <c r="AX796" s="86" t="b">
        <v>0</v>
      </c>
      <c r="AY796" s="86"/>
      <c r="AZ796" s="86"/>
      <c r="BA796" s="86" t="b">
        <v>0</v>
      </c>
      <c r="BB796" s="86" t="b">
        <v>0</v>
      </c>
      <c r="BC796" s="86" t="b">
        <v>0</v>
      </c>
      <c r="BD796" s="86" t="b">
        <v>0</v>
      </c>
      <c r="BE796" s="86" t="b">
        <v>1</v>
      </c>
      <c r="BF796" s="86" t="b">
        <v>0</v>
      </c>
      <c r="BG796" s="86" t="b">
        <v>0</v>
      </c>
      <c r="BH796" s="96" t="str">
        <f>HYPERLINK("https://pbs.twimg.com/profile_banners/916855076/1667563178")</f>
        <v>https://pbs.twimg.com/profile_banners/916855076/1667563178</v>
      </c>
      <c r="BI796" s="86"/>
      <c r="BJ796" s="86" t="s">
        <v>29134</v>
      </c>
      <c r="BK796" s="86" t="b">
        <v>0</v>
      </c>
      <c r="BL796" s="86"/>
      <c r="BM796" s="86" t="s">
        <v>65</v>
      </c>
      <c r="BN796" s="86" t="s">
        <v>29136</v>
      </c>
      <c r="BO796" s="96" t="str">
        <f>HYPERLINK("https://twitter.com/hcpa_")</f>
        <v>https://twitter.com/hcpa_</v>
      </c>
      <c r="BP796" s="2"/>
    </row>
    <row r="797" spans="1:68" x14ac:dyDescent="0.25">
      <c r="A797" s="63" t="s">
        <v>1406</v>
      </c>
      <c r="B797" s="64"/>
      <c r="C797" s="64"/>
      <c r="D797" s="65"/>
      <c r="E797" s="67"/>
      <c r="F797" s="111" t="str">
        <f>HYPERLINK("https://pbs.twimg.com/profile_images/1201605603455651841/XlBMt0o4_normal.jpg")</f>
        <v>https://pbs.twimg.com/profile_images/1201605603455651841/XlBMt0o4_normal.jpg</v>
      </c>
      <c r="G797" s="64"/>
      <c r="H797" s="68"/>
      <c r="I797" s="69"/>
      <c r="J797" s="69"/>
      <c r="K797" s="68" t="s">
        <v>29930</v>
      </c>
      <c r="L797" s="72"/>
      <c r="M797" s="73"/>
      <c r="N797" s="73"/>
      <c r="O797" s="74"/>
      <c r="P797" s="75"/>
      <c r="Q797" s="75"/>
      <c r="R797" s="102"/>
      <c r="S797" s="102"/>
      <c r="T797" s="102"/>
      <c r="U797" s="102"/>
      <c r="V797" s="48"/>
      <c r="W797" s="48"/>
      <c r="X797" s="48"/>
      <c r="Y797" s="48"/>
      <c r="Z797" s="47"/>
      <c r="AA797" s="70">
        <v>797</v>
      </c>
      <c r="AB797" s="70"/>
      <c r="AC797" s="71"/>
      <c r="AD797" s="86" t="s">
        <v>24413</v>
      </c>
      <c r="AE797" s="94" t="s">
        <v>22644</v>
      </c>
      <c r="AF797" s="86">
        <v>4462</v>
      </c>
      <c r="AG797" s="86">
        <v>88</v>
      </c>
      <c r="AH797" s="86">
        <v>10632</v>
      </c>
      <c r="AI797" s="86">
        <v>41</v>
      </c>
      <c r="AJ797" s="86">
        <v>780</v>
      </c>
      <c r="AK797" s="86">
        <v>2035</v>
      </c>
      <c r="AL797" s="86" t="b">
        <v>0</v>
      </c>
      <c r="AM797" s="89">
        <v>40889.723541666666</v>
      </c>
      <c r="AN797" s="86" t="s">
        <v>15415</v>
      </c>
      <c r="AO797" s="86" t="s">
        <v>27148</v>
      </c>
      <c r="AP797" s="96" t="str">
        <f>HYPERLINK("https://t.co/n9GOo6Airr")</f>
        <v>https://t.co/n9GOo6Airr</v>
      </c>
      <c r="AQ797" s="96" t="str">
        <f>HYPERLINK("http://www.sebraers.com.br")</f>
        <v>http://www.sebraers.com.br</v>
      </c>
      <c r="AR797" s="86" t="s">
        <v>28434</v>
      </c>
      <c r="AS797" s="86"/>
      <c r="AT797" s="86"/>
      <c r="AU797" s="86"/>
      <c r="AV797" s="86">
        <v>1.66908299484015E+18</v>
      </c>
      <c r="AW797" s="96" t="str">
        <f>HYPERLINK("https://t.co/n9GOo6Airr")</f>
        <v>https://t.co/n9GOo6Airr</v>
      </c>
      <c r="AX797" s="86" t="b">
        <v>0</v>
      </c>
      <c r="AY797" s="86"/>
      <c r="AZ797" s="86"/>
      <c r="BA797" s="86" t="b">
        <v>1</v>
      </c>
      <c r="BB797" s="86" t="b">
        <v>1</v>
      </c>
      <c r="BC797" s="86" t="b">
        <v>0</v>
      </c>
      <c r="BD797" s="86" t="b">
        <v>0</v>
      </c>
      <c r="BE797" s="86" t="b">
        <v>1</v>
      </c>
      <c r="BF797" s="86" t="b">
        <v>0</v>
      </c>
      <c r="BG797" s="86" t="b">
        <v>0</v>
      </c>
      <c r="BH797" s="96" t="str">
        <f>HYPERLINK("https://pbs.twimg.com/profile_banners/435089518/1686775692")</f>
        <v>https://pbs.twimg.com/profile_banners/435089518/1686775692</v>
      </c>
      <c r="BI797" s="86"/>
      <c r="BJ797" s="86" t="s">
        <v>29134</v>
      </c>
      <c r="BK797" s="86" t="b">
        <v>0</v>
      </c>
      <c r="BL797" s="86"/>
      <c r="BM797" s="86" t="s">
        <v>66</v>
      </c>
      <c r="BN797" s="86" t="s">
        <v>29136</v>
      </c>
      <c r="BO797" s="96" t="str">
        <f>HYPERLINK("https://twitter.com/sebraers")</f>
        <v>https://twitter.com/sebraers</v>
      </c>
      <c r="BP797" s="2"/>
    </row>
    <row r="798" spans="1:68" x14ac:dyDescent="0.25">
      <c r="A798" s="63" t="s">
        <v>923</v>
      </c>
      <c r="B798" s="64"/>
      <c r="C798" s="64"/>
      <c r="D798" s="65"/>
      <c r="E798" s="67"/>
      <c r="F798" s="111" t="str">
        <f>HYPERLINK("https://pbs.twimg.com/profile_images/1683627550302404608/_j9g6UXx_normal.jpg")</f>
        <v>https://pbs.twimg.com/profile_images/1683627550302404608/_j9g6UXx_normal.jpg</v>
      </c>
      <c r="G798" s="64"/>
      <c r="H798" s="68"/>
      <c r="I798" s="69"/>
      <c r="J798" s="69"/>
      <c r="K798" s="68" t="s">
        <v>29931</v>
      </c>
      <c r="L798" s="72"/>
      <c r="M798" s="73"/>
      <c r="N798" s="73"/>
      <c r="O798" s="74"/>
      <c r="P798" s="75"/>
      <c r="Q798" s="75"/>
      <c r="R798" s="102"/>
      <c r="S798" s="102"/>
      <c r="T798" s="102"/>
      <c r="U798" s="102"/>
      <c r="V798" s="48"/>
      <c r="W798" s="48"/>
      <c r="X798" s="48"/>
      <c r="Y798" s="48"/>
      <c r="Z798" s="47"/>
      <c r="AA798" s="70">
        <v>798</v>
      </c>
      <c r="AB798" s="70"/>
      <c r="AC798" s="71"/>
      <c r="AD798" s="86" t="s">
        <v>24414</v>
      </c>
      <c r="AE798" s="94" t="s">
        <v>23198</v>
      </c>
      <c r="AF798" s="86">
        <v>2</v>
      </c>
      <c r="AG798" s="86">
        <v>0</v>
      </c>
      <c r="AH798" s="86">
        <v>37</v>
      </c>
      <c r="AI798" s="86">
        <v>0</v>
      </c>
      <c r="AJ798" s="86">
        <v>11</v>
      </c>
      <c r="AK798" s="86">
        <v>27</v>
      </c>
      <c r="AL798" s="86" t="b">
        <v>0</v>
      </c>
      <c r="AM798" s="89">
        <v>44682.973657407405</v>
      </c>
      <c r="AN798" s="86"/>
      <c r="AO798" s="86" t="s">
        <v>27149</v>
      </c>
      <c r="AP798" s="96" t="str">
        <f>HYPERLINK("https://t.co/6dW41TXjgk")</f>
        <v>https://t.co/6dW41TXjgk</v>
      </c>
      <c r="AQ798" s="96" t="str">
        <f>HYPERLINK("https://linktr.ee/lanjer.7")</f>
        <v>https://linktr.ee/lanjer.7</v>
      </c>
      <c r="AR798" s="86" t="s">
        <v>28435</v>
      </c>
      <c r="AS798" s="86"/>
      <c r="AT798" s="86"/>
      <c r="AU798" s="86"/>
      <c r="AV798" s="86"/>
      <c r="AW798" s="96" t="str">
        <f>HYPERLINK("https://t.co/6dW41TXjgk")</f>
        <v>https://t.co/6dW41TXjgk</v>
      </c>
      <c r="AX798" s="86" t="b">
        <v>0</v>
      </c>
      <c r="AY798" s="86"/>
      <c r="AZ798" s="86"/>
      <c r="BA798" s="86" t="b">
        <v>0</v>
      </c>
      <c r="BB798" s="86" t="b">
        <v>1</v>
      </c>
      <c r="BC798" s="86" t="b">
        <v>1</v>
      </c>
      <c r="BD798" s="86" t="b">
        <v>0</v>
      </c>
      <c r="BE798" s="86" t="b">
        <v>0</v>
      </c>
      <c r="BF798" s="86" t="b">
        <v>0</v>
      </c>
      <c r="BG798" s="86" t="b">
        <v>0</v>
      </c>
      <c r="BH798" s="96" t="str">
        <f>HYPERLINK("https://pbs.twimg.com/profile_banners/1520906306042933251/1687509287")</f>
        <v>https://pbs.twimg.com/profile_banners/1520906306042933251/1687509287</v>
      </c>
      <c r="BI798" s="86"/>
      <c r="BJ798" s="86" t="s">
        <v>29134</v>
      </c>
      <c r="BK798" s="86" t="b">
        <v>0</v>
      </c>
      <c r="BL798" s="86"/>
      <c r="BM798" s="86" t="s">
        <v>66</v>
      </c>
      <c r="BN798" s="86" t="s">
        <v>29136</v>
      </c>
      <c r="BO798" s="96" t="str">
        <f>HYPERLINK("https://twitter.com/jerlan_7")</f>
        <v>https://twitter.com/jerlan_7</v>
      </c>
      <c r="BP798" s="2"/>
    </row>
    <row r="799" spans="1:68" x14ac:dyDescent="0.25">
      <c r="A799" s="63" t="s">
        <v>924</v>
      </c>
      <c r="B799" s="64"/>
      <c r="C799" s="64"/>
      <c r="D799" s="65"/>
      <c r="E799" s="67"/>
      <c r="F799" s="111" t="str">
        <f>HYPERLINK("https://pbs.twimg.com/profile_images/1620770353969614848/ncv6mtE1_normal.jpg")</f>
        <v>https://pbs.twimg.com/profile_images/1620770353969614848/ncv6mtE1_normal.jpg</v>
      </c>
      <c r="G799" s="64"/>
      <c r="H799" s="68"/>
      <c r="I799" s="69"/>
      <c r="J799" s="69"/>
      <c r="K799" s="68" t="s">
        <v>29932</v>
      </c>
      <c r="L799" s="72"/>
      <c r="M799" s="73"/>
      <c r="N799" s="73"/>
      <c r="O799" s="74"/>
      <c r="P799" s="75"/>
      <c r="Q799" s="75"/>
      <c r="R799" s="102"/>
      <c r="S799" s="102"/>
      <c r="T799" s="102"/>
      <c r="U799" s="102"/>
      <c r="V799" s="48"/>
      <c r="W799" s="48"/>
      <c r="X799" s="48"/>
      <c r="Y799" s="48"/>
      <c r="Z799" s="47"/>
      <c r="AA799" s="70">
        <v>799</v>
      </c>
      <c r="AB799" s="70"/>
      <c r="AC799" s="71"/>
      <c r="AD799" s="86" t="s">
        <v>24415</v>
      </c>
      <c r="AE799" s="94" t="s">
        <v>25517</v>
      </c>
      <c r="AF799" s="86">
        <v>324</v>
      </c>
      <c r="AG799" s="86">
        <v>220</v>
      </c>
      <c r="AH799" s="86">
        <v>1465</v>
      </c>
      <c r="AI799" s="86">
        <v>0</v>
      </c>
      <c r="AJ799" s="86">
        <v>837</v>
      </c>
      <c r="AK799" s="86">
        <v>357</v>
      </c>
      <c r="AL799" s="86" t="b">
        <v>0</v>
      </c>
      <c r="AM799" s="89">
        <v>41321.610092592593</v>
      </c>
      <c r="AN799" s="86" t="s">
        <v>15372</v>
      </c>
      <c r="AO799" s="86" t="s">
        <v>27150</v>
      </c>
      <c r="AP799" s="96" t="str">
        <f>HYPERLINK("https://t.co/36AQirnQB2")</f>
        <v>https://t.co/36AQirnQB2</v>
      </c>
      <c r="AQ799" s="96" t="str">
        <f>HYPERLINK("https://www.mindtek.com.br/vem-pra-mind/")</f>
        <v>https://www.mindtek.com.br/vem-pra-mind/</v>
      </c>
      <c r="AR799" s="86" t="s">
        <v>28436</v>
      </c>
      <c r="AS799" s="86"/>
      <c r="AT799" s="86"/>
      <c r="AU799" s="86"/>
      <c r="AV799" s="86"/>
      <c r="AW799" s="96" t="str">
        <f>HYPERLINK("https://t.co/36AQirnQB2")</f>
        <v>https://t.co/36AQirnQB2</v>
      </c>
      <c r="AX799" s="86" t="b">
        <v>0</v>
      </c>
      <c r="AY799" s="86"/>
      <c r="AZ799" s="86"/>
      <c r="BA799" s="86" t="b">
        <v>0</v>
      </c>
      <c r="BB799" s="86" t="b">
        <v>1</v>
      </c>
      <c r="BC799" s="86" t="b">
        <v>0</v>
      </c>
      <c r="BD799" s="86" t="b">
        <v>0</v>
      </c>
      <c r="BE799" s="86" t="b">
        <v>1</v>
      </c>
      <c r="BF799" s="86" t="b">
        <v>0</v>
      </c>
      <c r="BG799" s="86" t="b">
        <v>0</v>
      </c>
      <c r="BH799" s="96" t="str">
        <f>HYPERLINK("https://pbs.twimg.com/profile_banners/1186422144/1680787040")</f>
        <v>https://pbs.twimg.com/profile_banners/1186422144/1680787040</v>
      </c>
      <c r="BI799" s="86"/>
      <c r="BJ799" s="86" t="s">
        <v>29134</v>
      </c>
      <c r="BK799" s="86" t="b">
        <v>0</v>
      </c>
      <c r="BL799" s="86"/>
      <c r="BM799" s="86" t="s">
        <v>66</v>
      </c>
      <c r="BN799" s="86" t="s">
        <v>29136</v>
      </c>
      <c r="BO799" s="96" t="str">
        <f>HYPERLINK("https://twitter.com/mindtekbr")</f>
        <v>https://twitter.com/mindtekbr</v>
      </c>
      <c r="BP799" s="2"/>
    </row>
    <row r="800" spans="1:68" x14ac:dyDescent="0.25">
      <c r="A800" s="63" t="s">
        <v>925</v>
      </c>
      <c r="B800" s="64"/>
      <c r="C800" s="64"/>
      <c r="D800" s="65"/>
      <c r="E800" s="67"/>
      <c r="F800" s="111" t="str">
        <f>HYPERLINK("https://pbs.twimg.com/profile_images/1680864665692241920/md4TGAxn_normal.jpg")</f>
        <v>https://pbs.twimg.com/profile_images/1680864665692241920/md4TGAxn_normal.jpg</v>
      </c>
      <c r="G800" s="64"/>
      <c r="H800" s="68"/>
      <c r="I800" s="69"/>
      <c r="J800" s="69"/>
      <c r="K800" s="68" t="s">
        <v>29933</v>
      </c>
      <c r="L800" s="72"/>
      <c r="M800" s="73"/>
      <c r="N800" s="73"/>
      <c r="O800" s="74"/>
      <c r="P800" s="75"/>
      <c r="Q800" s="75"/>
      <c r="R800" s="102"/>
      <c r="S800" s="102"/>
      <c r="T800" s="102"/>
      <c r="U800" s="102"/>
      <c r="V800" s="48"/>
      <c r="W800" s="48"/>
      <c r="X800" s="48"/>
      <c r="Y800" s="48"/>
      <c r="Z800" s="47"/>
      <c r="AA800" s="70">
        <v>800</v>
      </c>
      <c r="AB800" s="70"/>
      <c r="AC800" s="71"/>
      <c r="AD800" s="86" t="s">
        <v>24416</v>
      </c>
      <c r="AE800" s="94" t="s">
        <v>23199</v>
      </c>
      <c r="AF800" s="86">
        <v>1</v>
      </c>
      <c r="AG800" s="86">
        <v>19</v>
      </c>
      <c r="AH800" s="86">
        <v>6</v>
      </c>
      <c r="AI800" s="86">
        <v>0</v>
      </c>
      <c r="AJ800" s="86">
        <v>1</v>
      </c>
      <c r="AK800" s="86">
        <v>2</v>
      </c>
      <c r="AL800" s="86" t="b">
        <v>0</v>
      </c>
      <c r="AM800" s="89">
        <v>44978.892395833333</v>
      </c>
      <c r="AN800" s="86" t="s">
        <v>25993</v>
      </c>
      <c r="AO800" s="86" t="s">
        <v>27151</v>
      </c>
      <c r="AP800" s="96" t="str">
        <f>HYPERLINK("https://t.co/kuHh6ggmzw")</f>
        <v>https://t.co/kuHh6ggmzw</v>
      </c>
      <c r="AQ800" s="96" t="str">
        <f>HYPERLINK("https://webmor.com.br")</f>
        <v>https://webmor.com.br</v>
      </c>
      <c r="AR800" s="86" t="s">
        <v>28437</v>
      </c>
      <c r="AS800" s="96" t="str">
        <f>HYPERLINK("https://t.co/wWb2h0WPMY")</f>
        <v>https://t.co/wWb2h0WPMY</v>
      </c>
      <c r="AT800" s="96" t="str">
        <f>HYPERLINK("http://webmor.com.br")</f>
        <v>http://webmor.com.br</v>
      </c>
      <c r="AU800" s="86" t="s">
        <v>28437</v>
      </c>
      <c r="AV800" s="86"/>
      <c r="AW800" s="96" t="str">
        <f>HYPERLINK("https://t.co/kuHh6ggmzw")</f>
        <v>https://t.co/kuHh6ggmzw</v>
      </c>
      <c r="AX800" s="86" t="b">
        <v>0</v>
      </c>
      <c r="AY800" s="86"/>
      <c r="AZ800" s="86"/>
      <c r="BA800" s="86" t="b">
        <v>0</v>
      </c>
      <c r="BB800" s="86" t="b">
        <v>1</v>
      </c>
      <c r="BC800" s="86" t="b">
        <v>1</v>
      </c>
      <c r="BD800" s="86" t="b">
        <v>0</v>
      </c>
      <c r="BE800" s="86" t="b">
        <v>0</v>
      </c>
      <c r="BF800" s="86" t="b">
        <v>0</v>
      </c>
      <c r="BG800" s="86" t="b">
        <v>0</v>
      </c>
      <c r="BH800" s="96" t="str">
        <f>HYPERLINK("https://pbs.twimg.com/profile_banners/1628143743852244992/1689584341")</f>
        <v>https://pbs.twimg.com/profile_banners/1628143743852244992/1689584341</v>
      </c>
      <c r="BI800" s="86"/>
      <c r="BJ800" s="86" t="s">
        <v>29134</v>
      </c>
      <c r="BK800" s="86" t="b">
        <v>0</v>
      </c>
      <c r="BL800" s="86"/>
      <c r="BM800" s="86" t="s">
        <v>66</v>
      </c>
      <c r="BN800" s="86" t="s">
        <v>29136</v>
      </c>
      <c r="BO800" s="96" t="str">
        <f>HYPERLINK("https://twitter.com/awebmor")</f>
        <v>https://twitter.com/awebmor</v>
      </c>
      <c r="BP800" s="2"/>
    </row>
    <row r="801" spans="1:68" x14ac:dyDescent="0.25">
      <c r="A801" s="63" t="s">
        <v>926</v>
      </c>
      <c r="B801" s="64"/>
      <c r="C801" s="64"/>
      <c r="D801" s="65"/>
      <c r="E801" s="67"/>
      <c r="F801" s="111" t="str">
        <f>HYPERLINK("https://pbs.twimg.com/profile_images/1598322970006634500/3Yujn1Iq_normal.jpg")</f>
        <v>https://pbs.twimg.com/profile_images/1598322970006634500/3Yujn1Iq_normal.jpg</v>
      </c>
      <c r="G801" s="64"/>
      <c r="H801" s="68"/>
      <c r="I801" s="69"/>
      <c r="J801" s="69"/>
      <c r="K801" s="68" t="s">
        <v>29934</v>
      </c>
      <c r="L801" s="72"/>
      <c r="M801" s="73"/>
      <c r="N801" s="73"/>
      <c r="O801" s="74"/>
      <c r="P801" s="75"/>
      <c r="Q801" s="75"/>
      <c r="R801" s="102"/>
      <c r="S801" s="102"/>
      <c r="T801" s="102"/>
      <c r="U801" s="102"/>
      <c r="V801" s="48"/>
      <c r="W801" s="48"/>
      <c r="X801" s="48"/>
      <c r="Y801" s="48"/>
      <c r="Z801" s="47"/>
      <c r="AA801" s="70">
        <v>801</v>
      </c>
      <c r="AB801" s="70"/>
      <c r="AC801" s="71"/>
      <c r="AD801" s="86" t="s">
        <v>24417</v>
      </c>
      <c r="AE801" s="94" t="s">
        <v>23200</v>
      </c>
      <c r="AF801" s="86">
        <v>163</v>
      </c>
      <c r="AG801" s="86">
        <v>9</v>
      </c>
      <c r="AH801" s="86">
        <v>5965</v>
      </c>
      <c r="AI801" s="86">
        <v>0</v>
      </c>
      <c r="AJ801" s="86">
        <v>67</v>
      </c>
      <c r="AK801" s="86">
        <v>1190</v>
      </c>
      <c r="AL801" s="86" t="b">
        <v>0</v>
      </c>
      <c r="AM801" s="89">
        <v>44341.715694444443</v>
      </c>
      <c r="AN801" s="86" t="s">
        <v>26168</v>
      </c>
      <c r="AO801" s="86" t="s">
        <v>27152</v>
      </c>
      <c r="AP801" s="96" t="str">
        <f>HYPERLINK("https://t.co/qzxudjyiF1")</f>
        <v>https://t.co/qzxudjyiF1</v>
      </c>
      <c r="AQ801" s="96" t="str">
        <f>HYPERLINK("https://dolcarajas.com.br")</f>
        <v>https://dolcarajas.com.br</v>
      </c>
      <c r="AR801" s="86" t="s">
        <v>28438</v>
      </c>
      <c r="AS801" s="86"/>
      <c r="AT801" s="86"/>
      <c r="AU801" s="86"/>
      <c r="AV801" s="86"/>
      <c r="AW801" s="96" t="str">
        <f>HYPERLINK("https://t.co/qzxudjyiF1")</f>
        <v>https://t.co/qzxudjyiF1</v>
      </c>
      <c r="AX801" s="86" t="b">
        <v>0</v>
      </c>
      <c r="AY801" s="86"/>
      <c r="AZ801" s="86"/>
      <c r="BA801" s="86" t="b">
        <v>0</v>
      </c>
      <c r="BB801" s="86" t="b">
        <v>1</v>
      </c>
      <c r="BC801" s="86" t="b">
        <v>1</v>
      </c>
      <c r="BD801" s="86" t="b">
        <v>0</v>
      </c>
      <c r="BE801" s="86" t="b">
        <v>0</v>
      </c>
      <c r="BF801" s="86" t="b">
        <v>0</v>
      </c>
      <c r="BG801" s="86" t="b">
        <v>0</v>
      </c>
      <c r="BH801" s="96" t="str">
        <f>HYPERLINK("https://pbs.twimg.com/profile_banners/1397238293926801408/1673386178")</f>
        <v>https://pbs.twimg.com/profile_banners/1397238293926801408/1673386178</v>
      </c>
      <c r="BI801" s="86"/>
      <c r="BJ801" s="86" t="s">
        <v>29134</v>
      </c>
      <c r="BK801" s="86" t="b">
        <v>0</v>
      </c>
      <c r="BL801" s="86"/>
      <c r="BM801" s="86" t="s">
        <v>66</v>
      </c>
      <c r="BN801" s="86" t="s">
        <v>29136</v>
      </c>
      <c r="BO801" s="96" t="str">
        <f>HYPERLINK("https://twitter.com/dolcarajas")</f>
        <v>https://twitter.com/dolcarajas</v>
      </c>
      <c r="BP801" s="2"/>
    </row>
    <row r="802" spans="1:68" x14ac:dyDescent="0.25">
      <c r="A802" s="63" t="s">
        <v>927</v>
      </c>
      <c r="B802" s="64"/>
      <c r="C802" s="64"/>
      <c r="D802" s="65"/>
      <c r="E802" s="67"/>
      <c r="F802" s="111" t="str">
        <f>HYPERLINK("https://pbs.twimg.com/profile_images/1483038877384425474/8Kl4p-Eu_normal.jpg")</f>
        <v>https://pbs.twimg.com/profile_images/1483038877384425474/8Kl4p-Eu_normal.jpg</v>
      </c>
      <c r="G802" s="64"/>
      <c r="H802" s="68"/>
      <c r="I802" s="69"/>
      <c r="J802" s="69"/>
      <c r="K802" s="68" t="s">
        <v>29935</v>
      </c>
      <c r="L802" s="72"/>
      <c r="M802" s="73"/>
      <c r="N802" s="73"/>
      <c r="O802" s="74"/>
      <c r="P802" s="75"/>
      <c r="Q802" s="75"/>
      <c r="R802" s="102"/>
      <c r="S802" s="102"/>
      <c r="T802" s="102"/>
      <c r="U802" s="102"/>
      <c r="V802" s="48"/>
      <c r="W802" s="48"/>
      <c r="X802" s="48"/>
      <c r="Y802" s="48"/>
      <c r="Z802" s="47"/>
      <c r="AA802" s="70">
        <v>802</v>
      </c>
      <c r="AB802" s="70"/>
      <c r="AC802" s="71"/>
      <c r="AD802" s="86" t="s">
        <v>24418</v>
      </c>
      <c r="AE802" s="94" t="s">
        <v>25518</v>
      </c>
      <c r="AF802" s="86">
        <v>1315</v>
      </c>
      <c r="AG802" s="86">
        <v>2241</v>
      </c>
      <c r="AH802" s="86">
        <v>72052</v>
      </c>
      <c r="AI802" s="86">
        <v>6</v>
      </c>
      <c r="AJ802" s="86">
        <v>134643</v>
      </c>
      <c r="AK802" s="86">
        <v>3498</v>
      </c>
      <c r="AL802" s="86" t="b">
        <v>0</v>
      </c>
      <c r="AM802" s="89">
        <v>39920.635115740741</v>
      </c>
      <c r="AN802" s="86" t="s">
        <v>25980</v>
      </c>
      <c r="AO802" s="86" t="s">
        <v>27153</v>
      </c>
      <c r="AP802" s="96" t="str">
        <f>HYPERLINK("https://t.co/4wvkw2dTfl")</f>
        <v>https://t.co/4wvkw2dTfl</v>
      </c>
      <c r="AQ802" s="96" t="str">
        <f>HYPERLINK("http://www.victorgaete.com.br")</f>
        <v>http://www.victorgaete.com.br</v>
      </c>
      <c r="AR802" s="86" t="s">
        <v>28439</v>
      </c>
      <c r="AS802" s="86"/>
      <c r="AT802" s="86"/>
      <c r="AU802" s="86"/>
      <c r="AV802" s="86">
        <v>1.10006380717774E+18</v>
      </c>
      <c r="AW802" s="96" t="str">
        <f>HYPERLINK("https://t.co/4wvkw2dTfl")</f>
        <v>https://t.co/4wvkw2dTfl</v>
      </c>
      <c r="AX802" s="86" t="b">
        <v>0</v>
      </c>
      <c r="AY802" s="86"/>
      <c r="AZ802" s="86"/>
      <c r="BA802" s="86" t="b">
        <v>0</v>
      </c>
      <c r="BB802" s="86" t="b">
        <v>1</v>
      </c>
      <c r="BC802" s="86" t="b">
        <v>0</v>
      </c>
      <c r="BD802" s="86" t="b">
        <v>0</v>
      </c>
      <c r="BE802" s="86" t="b">
        <v>1</v>
      </c>
      <c r="BF802" s="86" t="b">
        <v>0</v>
      </c>
      <c r="BG802" s="86" t="b">
        <v>0</v>
      </c>
      <c r="BH802" s="86"/>
      <c r="BI802" s="86"/>
      <c r="BJ802" s="86" t="s">
        <v>29134</v>
      </c>
      <c r="BK802" s="86" t="b">
        <v>0</v>
      </c>
      <c r="BL802" s="86"/>
      <c r="BM802" s="86" t="s">
        <v>66</v>
      </c>
      <c r="BN802" s="86" t="s">
        <v>29136</v>
      </c>
      <c r="BO802" s="96" t="str">
        <f>HYPERLINK("https://twitter.com/victorgaete")</f>
        <v>https://twitter.com/victorgaete</v>
      </c>
      <c r="BP802" s="2"/>
    </row>
    <row r="803" spans="1:68" x14ac:dyDescent="0.25">
      <c r="A803" s="63" t="s">
        <v>1701</v>
      </c>
      <c r="B803" s="64"/>
      <c r="C803" s="64"/>
      <c r="D803" s="65"/>
      <c r="E803" s="67"/>
      <c r="F803" s="111" t="str">
        <f>HYPERLINK("https://pbs.twimg.com/profile_images/3226714836/25c21f03747403ac81a50c661b8e3c77_normal.jpeg")</f>
        <v>https://pbs.twimg.com/profile_images/3226714836/25c21f03747403ac81a50c661b8e3c77_normal.jpeg</v>
      </c>
      <c r="G803" s="64"/>
      <c r="H803" s="68"/>
      <c r="I803" s="69"/>
      <c r="J803" s="69"/>
      <c r="K803" s="68" t="s">
        <v>29936</v>
      </c>
      <c r="L803" s="72"/>
      <c r="M803" s="73"/>
      <c r="N803" s="73"/>
      <c r="O803" s="74"/>
      <c r="P803" s="75"/>
      <c r="Q803" s="75"/>
      <c r="R803" s="102"/>
      <c r="S803" s="102"/>
      <c r="T803" s="102"/>
      <c r="U803" s="102"/>
      <c r="V803" s="48"/>
      <c r="W803" s="48"/>
      <c r="X803" s="48"/>
      <c r="Y803" s="48"/>
      <c r="Z803" s="47"/>
      <c r="AA803" s="70">
        <v>803</v>
      </c>
      <c r="AB803" s="70"/>
      <c r="AC803" s="71"/>
      <c r="AD803" s="86" t="s">
        <v>24419</v>
      </c>
      <c r="AE803" s="94" t="s">
        <v>25519</v>
      </c>
      <c r="AF803" s="86">
        <v>14</v>
      </c>
      <c r="AG803" s="86">
        <v>1584</v>
      </c>
      <c r="AH803" s="86">
        <v>416</v>
      </c>
      <c r="AI803" s="86">
        <v>0</v>
      </c>
      <c r="AJ803" s="86">
        <v>78</v>
      </c>
      <c r="AK803" s="86">
        <v>4</v>
      </c>
      <c r="AL803" s="86" t="b">
        <v>0</v>
      </c>
      <c r="AM803" s="89">
        <v>40033.158599537041</v>
      </c>
      <c r="AN803" s="86" t="s">
        <v>26169</v>
      </c>
      <c r="AO803" s="86" t="s">
        <v>27154</v>
      </c>
      <c r="AP803" s="86"/>
      <c r="AQ803" s="86"/>
      <c r="AR803" s="86"/>
      <c r="AS803" s="86"/>
      <c r="AT803" s="86"/>
      <c r="AU803" s="86"/>
      <c r="AV803" s="86"/>
      <c r="AW803" s="86"/>
      <c r="AX803" s="86" t="b">
        <v>0</v>
      </c>
      <c r="AY803" s="86"/>
      <c r="AZ803" s="86"/>
      <c r="BA803" s="86" t="b">
        <v>0</v>
      </c>
      <c r="BB803" s="86" t="b">
        <v>0</v>
      </c>
      <c r="BC803" s="86" t="b">
        <v>0</v>
      </c>
      <c r="BD803" s="86" t="b">
        <v>0</v>
      </c>
      <c r="BE803" s="86" t="b">
        <v>0</v>
      </c>
      <c r="BF803" s="86" t="b">
        <v>0</v>
      </c>
      <c r="BG803" s="86" t="b">
        <v>1</v>
      </c>
      <c r="BH803" s="96" t="str">
        <f>HYPERLINK("https://pbs.twimg.com/profile_banners/63898953/1360368638")</f>
        <v>https://pbs.twimg.com/profile_banners/63898953/1360368638</v>
      </c>
      <c r="BI803" s="86"/>
      <c r="BJ803" s="86" t="s">
        <v>29134</v>
      </c>
      <c r="BK803" s="86" t="b">
        <v>0</v>
      </c>
      <c r="BL803" s="86"/>
      <c r="BM803" s="86" t="s">
        <v>65</v>
      </c>
      <c r="BN803" s="86" t="s">
        <v>29136</v>
      </c>
      <c r="BO803" s="96" t="str">
        <f>HYPERLINK("https://twitter.com/moisesleal")</f>
        <v>https://twitter.com/moisesleal</v>
      </c>
      <c r="BP803" s="2"/>
    </row>
    <row r="804" spans="1:68" x14ac:dyDescent="0.25">
      <c r="A804" s="63" t="s">
        <v>928</v>
      </c>
      <c r="B804" s="64"/>
      <c r="C804" s="64"/>
      <c r="D804" s="65"/>
      <c r="E804" s="67"/>
      <c r="F804" s="111" t="str">
        <f>HYPERLINK("https://pbs.twimg.com/profile_images/1409816346737664000/dIZle52U_normal.jpg")</f>
        <v>https://pbs.twimg.com/profile_images/1409816346737664000/dIZle52U_normal.jpg</v>
      </c>
      <c r="G804" s="64"/>
      <c r="H804" s="68"/>
      <c r="I804" s="69"/>
      <c r="J804" s="69"/>
      <c r="K804" s="68" t="s">
        <v>29937</v>
      </c>
      <c r="L804" s="72"/>
      <c r="M804" s="73"/>
      <c r="N804" s="73"/>
      <c r="O804" s="74"/>
      <c r="P804" s="75"/>
      <c r="Q804" s="75"/>
      <c r="R804" s="102"/>
      <c r="S804" s="102"/>
      <c r="T804" s="102"/>
      <c r="U804" s="102"/>
      <c r="V804" s="48"/>
      <c r="W804" s="48"/>
      <c r="X804" s="48"/>
      <c r="Y804" s="48"/>
      <c r="Z804" s="47"/>
      <c r="AA804" s="70">
        <v>804</v>
      </c>
      <c r="AB804" s="70"/>
      <c r="AC804" s="71"/>
      <c r="AD804" s="86" t="s">
        <v>24420</v>
      </c>
      <c r="AE804" s="94" t="s">
        <v>25520</v>
      </c>
      <c r="AF804" s="86">
        <v>580830</v>
      </c>
      <c r="AG804" s="86">
        <v>403</v>
      </c>
      <c r="AH804" s="86">
        <v>343019</v>
      </c>
      <c r="AI804" s="86">
        <v>1065</v>
      </c>
      <c r="AJ804" s="86">
        <v>706</v>
      </c>
      <c r="AK804" s="86">
        <v>113846</v>
      </c>
      <c r="AL804" s="86" t="b">
        <v>0</v>
      </c>
      <c r="AM804" s="89">
        <v>40416.935856481483</v>
      </c>
      <c r="AN804" s="86" t="s">
        <v>15374</v>
      </c>
      <c r="AO804" s="86" t="s">
        <v>27155</v>
      </c>
      <c r="AP804" s="96" t="str">
        <f>HYPERLINK("https://t.co/uiNISR0ZsJ")</f>
        <v>https://t.co/uiNISR0ZsJ</v>
      </c>
      <c r="AQ804" s="96" t="str">
        <f>HYPERLINK("http://www.em.com.br")</f>
        <v>http://www.em.com.br</v>
      </c>
      <c r="AR804" s="86" t="s">
        <v>28440</v>
      </c>
      <c r="AS804" s="86" t="s">
        <v>29002</v>
      </c>
      <c r="AT804" s="86" t="s">
        <v>29018</v>
      </c>
      <c r="AU804" s="86" t="s">
        <v>29081</v>
      </c>
      <c r="AV804" s="86">
        <v>1.7069770257207099E+18</v>
      </c>
      <c r="AW804" s="96" t="str">
        <f>HYPERLINK("https://t.co/uiNISR0ZsJ")</f>
        <v>https://t.co/uiNISR0ZsJ</v>
      </c>
      <c r="AX804" s="86" t="b">
        <v>0</v>
      </c>
      <c r="AY804" s="86"/>
      <c r="AZ804" s="86"/>
      <c r="BA804" s="86" t="b">
        <v>0</v>
      </c>
      <c r="BB804" s="86" t="b">
        <v>1</v>
      </c>
      <c r="BC804" s="86" t="b">
        <v>0</v>
      </c>
      <c r="BD804" s="86" t="b">
        <v>0</v>
      </c>
      <c r="BE804" s="86" t="b">
        <v>1</v>
      </c>
      <c r="BF804" s="86" t="b">
        <v>0</v>
      </c>
      <c r="BG804" s="86" t="b">
        <v>0</v>
      </c>
      <c r="BH804" s="96" t="str">
        <f>HYPERLINK("https://pbs.twimg.com/profile_banners/183398510/1468846263")</f>
        <v>https://pbs.twimg.com/profile_banners/183398510/1468846263</v>
      </c>
      <c r="BI804" s="86"/>
      <c r="BJ804" s="86" t="s">
        <v>29134</v>
      </c>
      <c r="BK804" s="86" t="b">
        <v>0</v>
      </c>
      <c r="BL804" s="86"/>
      <c r="BM804" s="86" t="s">
        <v>66</v>
      </c>
      <c r="BN804" s="86" t="s">
        <v>29136</v>
      </c>
      <c r="BO804" s="96" t="str">
        <f>HYPERLINK("https://twitter.com/em_com")</f>
        <v>https://twitter.com/em_com</v>
      </c>
      <c r="BP804" s="2"/>
    </row>
    <row r="805" spans="1:68" x14ac:dyDescent="0.25">
      <c r="A805" s="63" t="s">
        <v>929</v>
      </c>
      <c r="B805" s="64"/>
      <c r="C805" s="64"/>
      <c r="D805" s="65"/>
      <c r="E805" s="67"/>
      <c r="F805" s="111" t="str">
        <f>HYPERLINK("https://pbs.twimg.com/profile_images/1667616575485083648/FjXhDJoW_normal.jpg")</f>
        <v>https://pbs.twimg.com/profile_images/1667616575485083648/FjXhDJoW_normal.jpg</v>
      </c>
      <c r="G805" s="64"/>
      <c r="H805" s="68"/>
      <c r="I805" s="69"/>
      <c r="J805" s="69"/>
      <c r="K805" s="68" t="s">
        <v>29938</v>
      </c>
      <c r="L805" s="72"/>
      <c r="M805" s="73"/>
      <c r="N805" s="73"/>
      <c r="O805" s="74"/>
      <c r="P805" s="75"/>
      <c r="Q805" s="75"/>
      <c r="R805" s="102"/>
      <c r="S805" s="102"/>
      <c r="T805" s="102"/>
      <c r="U805" s="102"/>
      <c r="V805" s="48"/>
      <c r="W805" s="48"/>
      <c r="X805" s="48"/>
      <c r="Y805" s="48"/>
      <c r="Z805" s="47"/>
      <c r="AA805" s="70">
        <v>805</v>
      </c>
      <c r="AB805" s="70"/>
      <c r="AC805" s="71"/>
      <c r="AD805" s="86" t="s">
        <v>24421</v>
      </c>
      <c r="AE805" s="94" t="s">
        <v>25521</v>
      </c>
      <c r="AF805" s="86">
        <v>56117</v>
      </c>
      <c r="AG805" s="86">
        <v>1665</v>
      </c>
      <c r="AH805" s="86">
        <v>147847</v>
      </c>
      <c r="AI805" s="86">
        <v>619</v>
      </c>
      <c r="AJ805" s="86">
        <v>264731</v>
      </c>
      <c r="AK805" s="86">
        <v>7003</v>
      </c>
      <c r="AL805" s="86" t="b">
        <v>0</v>
      </c>
      <c r="AM805" s="89">
        <v>40318.549259259256</v>
      </c>
      <c r="AN805" s="86" t="s">
        <v>26170</v>
      </c>
      <c r="AO805" s="86" t="s">
        <v>27156</v>
      </c>
      <c r="AP805" s="96" t="str">
        <f>HYPERLINK("https://t.co/4rXlakOvN0")</f>
        <v>https://t.co/4rXlakOvN0</v>
      </c>
      <c r="AQ805" s="96" t="str">
        <f>HYPERLINK("https://alphaefficiency.com/portfolio")</f>
        <v>https://alphaefficiency.com/portfolio</v>
      </c>
      <c r="AR805" s="86" t="s">
        <v>28441</v>
      </c>
      <c r="AS805" s="96" t="str">
        <f>HYPERLINK("https://t.co/vWvHxtXk1c")</f>
        <v>https://t.co/vWvHxtXk1c</v>
      </c>
      <c r="AT805" s="96" t="str">
        <f>HYPERLINK("http://conversioninsider.com")</f>
        <v>http://conversioninsider.com</v>
      </c>
      <c r="AU805" s="86" t="s">
        <v>29082</v>
      </c>
      <c r="AV805" s="86">
        <v>1.6980901287349199E+18</v>
      </c>
      <c r="AW805" s="96" t="str">
        <f>HYPERLINK("https://t.co/4rXlakOvN0")</f>
        <v>https://t.co/4rXlakOvN0</v>
      </c>
      <c r="AX805" s="86" t="b">
        <v>1</v>
      </c>
      <c r="AY805" s="86"/>
      <c r="AZ805" s="86"/>
      <c r="BA805" s="86" t="b">
        <v>1</v>
      </c>
      <c r="BB805" s="86" t="b">
        <v>0</v>
      </c>
      <c r="BC805" s="86" t="b">
        <v>0</v>
      </c>
      <c r="BD805" s="86" t="b">
        <v>0</v>
      </c>
      <c r="BE805" s="86" t="b">
        <v>1</v>
      </c>
      <c r="BF805" s="86" t="b">
        <v>0</v>
      </c>
      <c r="BG805" s="86" t="b">
        <v>0</v>
      </c>
      <c r="BH805" s="96" t="str">
        <f>HYPERLINK("https://pbs.twimg.com/profile_banners/146037421/1693354491")</f>
        <v>https://pbs.twimg.com/profile_banners/146037421/1693354491</v>
      </c>
      <c r="BI805" s="86"/>
      <c r="BJ805" s="86" t="s">
        <v>29134</v>
      </c>
      <c r="BK805" s="86" t="b">
        <v>0</v>
      </c>
      <c r="BL805" s="86"/>
      <c r="BM805" s="86" t="s">
        <v>66</v>
      </c>
      <c r="BN805" s="86" t="s">
        <v>29136</v>
      </c>
      <c r="BO805" s="96" t="str">
        <f>HYPERLINK("https://twitter.com/briandordevic")</f>
        <v>https://twitter.com/briandordevic</v>
      </c>
      <c r="BP805" s="2"/>
    </row>
    <row r="806" spans="1:68" x14ac:dyDescent="0.25">
      <c r="A806" s="63" t="s">
        <v>1702</v>
      </c>
      <c r="B806" s="64"/>
      <c r="C806" s="64"/>
      <c r="D806" s="65"/>
      <c r="E806" s="67"/>
      <c r="F806" s="111" t="str">
        <f>HYPERLINK("https://pbs.twimg.com/profile_images/1643287079928074241/sjnc9o9q_normal.jpg")</f>
        <v>https://pbs.twimg.com/profile_images/1643287079928074241/sjnc9o9q_normal.jpg</v>
      </c>
      <c r="G806" s="64"/>
      <c r="H806" s="68"/>
      <c r="I806" s="69"/>
      <c r="J806" s="69"/>
      <c r="K806" s="68" t="s">
        <v>29939</v>
      </c>
      <c r="L806" s="72"/>
      <c r="M806" s="73"/>
      <c r="N806" s="73"/>
      <c r="O806" s="74"/>
      <c r="P806" s="75"/>
      <c r="Q806" s="75"/>
      <c r="R806" s="102"/>
      <c r="S806" s="102"/>
      <c r="T806" s="102"/>
      <c r="U806" s="102"/>
      <c r="V806" s="48"/>
      <c r="W806" s="48"/>
      <c r="X806" s="48"/>
      <c r="Y806" s="48"/>
      <c r="Z806" s="47"/>
      <c r="AA806" s="70">
        <v>806</v>
      </c>
      <c r="AB806" s="70"/>
      <c r="AC806" s="71"/>
      <c r="AD806" s="86" t="s">
        <v>24422</v>
      </c>
      <c r="AE806" s="94" t="s">
        <v>25522</v>
      </c>
      <c r="AF806" s="86">
        <v>441476</v>
      </c>
      <c r="AG806" s="86">
        <v>3578</v>
      </c>
      <c r="AH806" s="86">
        <v>50274</v>
      </c>
      <c r="AI806" s="86">
        <v>4605</v>
      </c>
      <c r="AJ806" s="86">
        <v>44660</v>
      </c>
      <c r="AK806" s="86">
        <v>1755</v>
      </c>
      <c r="AL806" s="86" t="b">
        <v>0</v>
      </c>
      <c r="AM806" s="89">
        <v>42442.305358796293</v>
      </c>
      <c r="AN806" s="86" t="s">
        <v>26171</v>
      </c>
      <c r="AO806" s="86" t="s">
        <v>27157</v>
      </c>
      <c r="AP806" s="96" t="str">
        <f>HYPERLINK("https://t.co/By9b4InZco")</f>
        <v>https://t.co/By9b4InZco</v>
      </c>
      <c r="AQ806" s="96" t="str">
        <f>HYPERLINK("http://www.notion.so")</f>
        <v>http://www.notion.so</v>
      </c>
      <c r="AR806" s="86" t="s">
        <v>28442</v>
      </c>
      <c r="AS806" s="86"/>
      <c r="AT806" s="86"/>
      <c r="AU806" s="86"/>
      <c r="AV806" s="86">
        <v>1.6998288054085499E+18</v>
      </c>
      <c r="AW806" s="96" t="str">
        <f>HYPERLINK("https://t.co/By9b4InZco")</f>
        <v>https://t.co/By9b4InZco</v>
      </c>
      <c r="AX806" s="86" t="b">
        <v>1</v>
      </c>
      <c r="AY806" s="86"/>
      <c r="AZ806" s="86"/>
      <c r="BA806" s="86" t="b">
        <v>1</v>
      </c>
      <c r="BB806" s="86" t="b">
        <v>1</v>
      </c>
      <c r="BC806" s="86" t="b">
        <v>0</v>
      </c>
      <c r="BD806" s="86" t="b">
        <v>0</v>
      </c>
      <c r="BE806" s="86" t="b">
        <v>1</v>
      </c>
      <c r="BF806" s="86" t="b">
        <v>0</v>
      </c>
      <c r="BG806" s="86" t="b">
        <v>0</v>
      </c>
      <c r="BH806" s="96" t="str">
        <f>HYPERLINK("https://pbs.twimg.com/profile_banners/708915428454576128/1680539186")</f>
        <v>https://pbs.twimg.com/profile_banners/708915428454576128/1680539186</v>
      </c>
      <c r="BI806" s="86"/>
      <c r="BJ806" s="86" t="s">
        <v>29134</v>
      </c>
      <c r="BK806" s="86" t="b">
        <v>0</v>
      </c>
      <c r="BL806" s="86"/>
      <c r="BM806" s="86" t="s">
        <v>65</v>
      </c>
      <c r="BN806" s="86" t="s">
        <v>29136</v>
      </c>
      <c r="BO806" s="96" t="str">
        <f>HYPERLINK("https://twitter.com/notionhq")</f>
        <v>https://twitter.com/notionhq</v>
      </c>
      <c r="BP806" s="2"/>
    </row>
    <row r="807" spans="1:68" x14ac:dyDescent="0.25">
      <c r="A807" s="63" t="s">
        <v>1703</v>
      </c>
      <c r="B807" s="64"/>
      <c r="C807" s="64"/>
      <c r="D807" s="65"/>
      <c r="E807" s="67"/>
      <c r="F807" s="111" t="str">
        <f>HYPERLINK("https://pbs.twimg.com/profile_images/1597395341044760578/QbB0voQO_normal.jpg")</f>
        <v>https://pbs.twimg.com/profile_images/1597395341044760578/QbB0voQO_normal.jpg</v>
      </c>
      <c r="G807" s="64"/>
      <c r="H807" s="68"/>
      <c r="I807" s="69"/>
      <c r="J807" s="69"/>
      <c r="K807" s="68" t="s">
        <v>29940</v>
      </c>
      <c r="L807" s="72"/>
      <c r="M807" s="73"/>
      <c r="N807" s="73"/>
      <c r="O807" s="74"/>
      <c r="P807" s="75"/>
      <c r="Q807" s="75"/>
      <c r="R807" s="102"/>
      <c r="S807" s="102"/>
      <c r="T807" s="102"/>
      <c r="U807" s="102"/>
      <c r="V807" s="48"/>
      <c r="W807" s="48"/>
      <c r="X807" s="48"/>
      <c r="Y807" s="48"/>
      <c r="Z807" s="47"/>
      <c r="AA807" s="70">
        <v>807</v>
      </c>
      <c r="AB807" s="70"/>
      <c r="AC807" s="71"/>
      <c r="AD807" s="86" t="s">
        <v>24423</v>
      </c>
      <c r="AE807" s="94" t="s">
        <v>25523</v>
      </c>
      <c r="AF807" s="86">
        <v>235308</v>
      </c>
      <c r="AG807" s="86">
        <v>3636</v>
      </c>
      <c r="AH807" s="86">
        <v>40707</v>
      </c>
      <c r="AI807" s="86">
        <v>3043</v>
      </c>
      <c r="AJ807" s="86">
        <v>21467</v>
      </c>
      <c r="AK807" s="86">
        <v>9768</v>
      </c>
      <c r="AL807" s="86" t="b">
        <v>0</v>
      </c>
      <c r="AM807" s="89">
        <v>39978.933240740742</v>
      </c>
      <c r="AN807" s="86" t="s">
        <v>26172</v>
      </c>
      <c r="AO807" s="86" t="s">
        <v>27158</v>
      </c>
      <c r="AP807" s="96" t="str">
        <f>HYPERLINK("https://t.co/xebR9R4LJJ")</f>
        <v>https://t.co/xebR9R4LJJ</v>
      </c>
      <c r="AQ807" s="96" t="str">
        <f>HYPERLINK("http://gram.ly/GGO")</f>
        <v>http://gram.ly/GGO</v>
      </c>
      <c r="AR807" s="86" t="s">
        <v>28443</v>
      </c>
      <c r="AS807" s="86"/>
      <c r="AT807" s="86"/>
      <c r="AU807" s="86"/>
      <c r="AV807" s="86"/>
      <c r="AW807" s="96" t="str">
        <f>HYPERLINK("https://t.co/xebR9R4LJJ")</f>
        <v>https://t.co/xebR9R4LJJ</v>
      </c>
      <c r="AX807" s="86" t="b">
        <v>0</v>
      </c>
      <c r="AY807" s="86"/>
      <c r="AZ807" s="86"/>
      <c r="BA807" s="86" t="b">
        <v>1</v>
      </c>
      <c r="BB807" s="86" t="b">
        <v>0</v>
      </c>
      <c r="BC807" s="86" t="b">
        <v>0</v>
      </c>
      <c r="BD807" s="86" t="b">
        <v>0</v>
      </c>
      <c r="BE807" s="86" t="b">
        <v>1</v>
      </c>
      <c r="BF807" s="86" t="b">
        <v>0</v>
      </c>
      <c r="BG807" s="86" t="b">
        <v>0</v>
      </c>
      <c r="BH807" s="96" t="str">
        <f>HYPERLINK("https://pbs.twimg.com/profile_banners/47191725/1669649374")</f>
        <v>https://pbs.twimg.com/profile_banners/47191725/1669649374</v>
      </c>
      <c r="BI807" s="86"/>
      <c r="BJ807" s="86" t="s">
        <v>29135</v>
      </c>
      <c r="BK807" s="86" t="b">
        <v>0</v>
      </c>
      <c r="BL807" s="86"/>
      <c r="BM807" s="86" t="s">
        <v>65</v>
      </c>
      <c r="BN807" s="86" t="s">
        <v>29136</v>
      </c>
      <c r="BO807" s="96" t="str">
        <f>HYPERLINK("https://twitter.com/grammarly")</f>
        <v>https://twitter.com/grammarly</v>
      </c>
      <c r="BP807" s="2"/>
    </row>
    <row r="808" spans="1:68" x14ac:dyDescent="0.25">
      <c r="A808" s="63" t="s">
        <v>1704</v>
      </c>
      <c r="B808" s="64"/>
      <c r="C808" s="64"/>
      <c r="D808" s="65"/>
      <c r="E808" s="67"/>
      <c r="F808" s="111" t="str">
        <f>HYPERLINK("https://pbs.twimg.com/profile_images/1278896602745274369/1neATIDG_normal.jpg")</f>
        <v>https://pbs.twimg.com/profile_images/1278896602745274369/1neATIDG_normal.jpg</v>
      </c>
      <c r="G808" s="64"/>
      <c r="H808" s="68"/>
      <c r="I808" s="69"/>
      <c r="J808" s="69"/>
      <c r="K808" s="68" t="s">
        <v>29941</v>
      </c>
      <c r="L808" s="72"/>
      <c r="M808" s="73"/>
      <c r="N808" s="73"/>
      <c r="O808" s="74"/>
      <c r="P808" s="75"/>
      <c r="Q808" s="75"/>
      <c r="R808" s="102"/>
      <c r="S808" s="102"/>
      <c r="T808" s="102"/>
      <c r="U808" s="102"/>
      <c r="V808" s="48"/>
      <c r="W808" s="48"/>
      <c r="X808" s="48"/>
      <c r="Y808" s="48"/>
      <c r="Z808" s="47"/>
      <c r="AA808" s="70">
        <v>808</v>
      </c>
      <c r="AB808" s="70"/>
      <c r="AC808" s="71"/>
      <c r="AD808" s="86" t="s">
        <v>24424</v>
      </c>
      <c r="AE808" s="94" t="s">
        <v>25524</v>
      </c>
      <c r="AF808" s="86">
        <v>396882</v>
      </c>
      <c r="AG808" s="86">
        <v>15834</v>
      </c>
      <c r="AH808" s="86">
        <v>16085</v>
      </c>
      <c r="AI808" s="86">
        <v>13678</v>
      </c>
      <c r="AJ808" s="86">
        <v>24462</v>
      </c>
      <c r="AK808" s="86">
        <v>2306</v>
      </c>
      <c r="AL808" s="86" t="b">
        <v>0</v>
      </c>
      <c r="AM808" s="89">
        <v>39500.867638888885</v>
      </c>
      <c r="AN808" s="86" t="s">
        <v>26173</v>
      </c>
      <c r="AO808" s="86" t="s">
        <v>27159</v>
      </c>
      <c r="AP808" s="96" t="str">
        <f>HYPERLINK("https://t.co/iedUdJRxG8")</f>
        <v>https://t.co/iedUdJRxG8</v>
      </c>
      <c r="AQ808" s="96" t="str">
        <f>HYPERLINK("http://evernote.com")</f>
        <v>http://evernote.com</v>
      </c>
      <c r="AR808" s="86" t="s">
        <v>28444</v>
      </c>
      <c r="AS808" s="86" t="s">
        <v>29003</v>
      </c>
      <c r="AT808" s="86" t="s">
        <v>29019</v>
      </c>
      <c r="AU808" s="86" t="s">
        <v>29083</v>
      </c>
      <c r="AV808" s="86"/>
      <c r="AW808" s="96" t="str">
        <f>HYPERLINK("https://t.co/iedUdJRxG8")</f>
        <v>https://t.co/iedUdJRxG8</v>
      </c>
      <c r="AX808" s="86" t="b">
        <v>0</v>
      </c>
      <c r="AY808" s="86"/>
      <c r="AZ808" s="86"/>
      <c r="BA808" s="86" t="b">
        <v>0</v>
      </c>
      <c r="BB808" s="86" t="b">
        <v>1</v>
      </c>
      <c r="BC808" s="86" t="b">
        <v>0</v>
      </c>
      <c r="BD808" s="86" t="b">
        <v>0</v>
      </c>
      <c r="BE808" s="86" t="b">
        <v>0</v>
      </c>
      <c r="BF808" s="86" t="b">
        <v>0</v>
      </c>
      <c r="BG808" s="86" t="b">
        <v>0</v>
      </c>
      <c r="BH808" s="96" t="str">
        <f>HYPERLINK("https://pbs.twimg.com/profile_banners/13837292/1657244258")</f>
        <v>https://pbs.twimg.com/profile_banners/13837292/1657244258</v>
      </c>
      <c r="BI808" s="86"/>
      <c r="BJ808" s="86" t="s">
        <v>29134</v>
      </c>
      <c r="BK808" s="86" t="b">
        <v>0</v>
      </c>
      <c r="BL808" s="86"/>
      <c r="BM808" s="86" t="s">
        <v>65</v>
      </c>
      <c r="BN808" s="86" t="s">
        <v>29136</v>
      </c>
      <c r="BO808" s="96" t="str">
        <f>HYPERLINK("https://twitter.com/evernote")</f>
        <v>https://twitter.com/evernote</v>
      </c>
      <c r="BP808" s="2"/>
    </row>
    <row r="809" spans="1:68" x14ac:dyDescent="0.25">
      <c r="A809" s="63" t="s">
        <v>1705</v>
      </c>
      <c r="B809" s="64"/>
      <c r="C809" s="64"/>
      <c r="D809" s="65"/>
      <c r="E809" s="67"/>
      <c r="F809" s="111" t="str">
        <f>HYPERLINK("https://pbs.twimg.com/profile_images/1542647040756568064/YbE5Hs-5_normal.jpg")</f>
        <v>https://pbs.twimg.com/profile_images/1542647040756568064/YbE5Hs-5_normal.jpg</v>
      </c>
      <c r="G809" s="64"/>
      <c r="H809" s="68"/>
      <c r="I809" s="69"/>
      <c r="J809" s="69"/>
      <c r="K809" s="68" t="s">
        <v>29942</v>
      </c>
      <c r="L809" s="72"/>
      <c r="M809" s="73"/>
      <c r="N809" s="73"/>
      <c r="O809" s="74"/>
      <c r="P809" s="75"/>
      <c r="Q809" s="75"/>
      <c r="R809" s="102"/>
      <c r="S809" s="102"/>
      <c r="T809" s="102"/>
      <c r="U809" s="102"/>
      <c r="V809" s="48"/>
      <c r="W809" s="48"/>
      <c r="X809" s="48"/>
      <c r="Y809" s="48"/>
      <c r="Z809" s="47"/>
      <c r="AA809" s="70">
        <v>809</v>
      </c>
      <c r="AB809" s="70"/>
      <c r="AC809" s="71"/>
      <c r="AD809" s="86" t="s">
        <v>11485</v>
      </c>
      <c r="AE809" s="94" t="s">
        <v>25525</v>
      </c>
      <c r="AF809" s="86">
        <v>293673</v>
      </c>
      <c r="AG809" s="86">
        <v>302</v>
      </c>
      <c r="AH809" s="86">
        <v>196402</v>
      </c>
      <c r="AI809" s="86">
        <v>4217</v>
      </c>
      <c r="AJ809" s="86">
        <v>60620</v>
      </c>
      <c r="AK809" s="86">
        <v>23477</v>
      </c>
      <c r="AL809" s="86" t="b">
        <v>0</v>
      </c>
      <c r="AM809" s="89">
        <v>39933.037777777776</v>
      </c>
      <c r="AN809" s="86" t="s">
        <v>26174</v>
      </c>
      <c r="AO809" s="86" t="s">
        <v>27160</v>
      </c>
      <c r="AP809" s="96" t="str">
        <f>HYPERLINK("https://t.co/9zAqPUnwoy")</f>
        <v>https://t.co/9zAqPUnwoy</v>
      </c>
      <c r="AQ809" s="96" t="str">
        <f>HYPERLINK("https://canva.me/create")</f>
        <v>https://canva.me/create</v>
      </c>
      <c r="AR809" s="86" t="s">
        <v>28445</v>
      </c>
      <c r="AS809" s="96" t="str">
        <f>HYPERLINK("https://t.co/aiUZ91blfu")</f>
        <v>https://t.co/aiUZ91blfu</v>
      </c>
      <c r="AT809" s="96" t="str">
        <f>HYPERLINK("http://canva.me/help-center")</f>
        <v>http://canva.me/help-center</v>
      </c>
      <c r="AU809" s="86" t="s">
        <v>29084</v>
      </c>
      <c r="AV809" s="86"/>
      <c r="AW809" s="96" t="str">
        <f>HYPERLINK("https://t.co/9zAqPUnwoy")</f>
        <v>https://t.co/9zAqPUnwoy</v>
      </c>
      <c r="AX809" s="86" t="b">
        <v>1</v>
      </c>
      <c r="AY809" s="86"/>
      <c r="AZ809" s="86"/>
      <c r="BA809" s="86" t="b">
        <v>1</v>
      </c>
      <c r="BB809" s="86" t="b">
        <v>0</v>
      </c>
      <c r="BC809" s="86" t="b">
        <v>0</v>
      </c>
      <c r="BD809" s="86" t="b">
        <v>0</v>
      </c>
      <c r="BE809" s="86" t="b">
        <v>1</v>
      </c>
      <c r="BF809" s="86" t="b">
        <v>0</v>
      </c>
      <c r="BG809" s="86" t="b">
        <v>0</v>
      </c>
      <c r="BH809" s="96" t="str">
        <f>HYPERLINK("https://pbs.twimg.com/profile_banners/36542528/1663201535")</f>
        <v>https://pbs.twimg.com/profile_banners/36542528/1663201535</v>
      </c>
      <c r="BI809" s="86"/>
      <c r="BJ809" s="86" t="s">
        <v>29134</v>
      </c>
      <c r="BK809" s="86" t="b">
        <v>0</v>
      </c>
      <c r="BL809" s="86"/>
      <c r="BM809" s="86" t="s">
        <v>65</v>
      </c>
      <c r="BN809" s="86" t="s">
        <v>29136</v>
      </c>
      <c r="BO809" s="96" t="str">
        <f>HYPERLINK("https://twitter.com/canva")</f>
        <v>https://twitter.com/canva</v>
      </c>
      <c r="BP809" s="2"/>
    </row>
    <row r="810" spans="1:68" x14ac:dyDescent="0.25">
      <c r="A810" s="63" t="s">
        <v>1706</v>
      </c>
      <c r="B810" s="64"/>
      <c r="C810" s="64"/>
      <c r="D810" s="65"/>
      <c r="E810" s="67"/>
      <c r="F810" s="111" t="str">
        <f>HYPERLINK("https://pbs.twimg.com/profile_images/1418307222313054211/EF-ka8yB_normal.jpg")</f>
        <v>https://pbs.twimg.com/profile_images/1418307222313054211/EF-ka8yB_normal.jpg</v>
      </c>
      <c r="G810" s="64"/>
      <c r="H810" s="68"/>
      <c r="I810" s="69"/>
      <c r="J810" s="69"/>
      <c r="K810" s="68" t="s">
        <v>29943</v>
      </c>
      <c r="L810" s="72"/>
      <c r="M810" s="73"/>
      <c r="N810" s="73"/>
      <c r="O810" s="74"/>
      <c r="P810" s="75"/>
      <c r="Q810" s="75"/>
      <c r="R810" s="102"/>
      <c r="S810" s="102"/>
      <c r="T810" s="102"/>
      <c r="U810" s="102"/>
      <c r="V810" s="48"/>
      <c r="W810" s="48"/>
      <c r="X810" s="48"/>
      <c r="Y810" s="48"/>
      <c r="Z810" s="47"/>
      <c r="AA810" s="70">
        <v>810</v>
      </c>
      <c r="AB810" s="70"/>
      <c r="AC810" s="71"/>
      <c r="AD810" s="86" t="s">
        <v>11467</v>
      </c>
      <c r="AE810" s="94" t="s">
        <v>25526</v>
      </c>
      <c r="AF810" s="86">
        <v>975667</v>
      </c>
      <c r="AG810" s="86">
        <v>57854</v>
      </c>
      <c r="AH810" s="86">
        <v>442841</v>
      </c>
      <c r="AI810" s="86">
        <v>13058</v>
      </c>
      <c r="AJ810" s="86">
        <v>312323</v>
      </c>
      <c r="AK810" s="86">
        <v>25813</v>
      </c>
      <c r="AL810" s="86" t="b">
        <v>0</v>
      </c>
      <c r="AM810" s="89">
        <v>40453.985243055555</v>
      </c>
      <c r="AN810" s="86" t="s">
        <v>26164</v>
      </c>
      <c r="AO810" s="86" t="s">
        <v>27161</v>
      </c>
      <c r="AP810" s="96" t="str">
        <f>HYPERLINK("https://t.co/Bl7CHAdzvp")</f>
        <v>https://t.co/Bl7CHAdzvp</v>
      </c>
      <c r="AQ810" s="96" t="str">
        <f>HYPERLINK("https://buffer.start.page/")</f>
        <v>https://buffer.start.page/</v>
      </c>
      <c r="AR810" s="86" t="s">
        <v>28446</v>
      </c>
      <c r="AS810" s="86"/>
      <c r="AT810" s="86"/>
      <c r="AU810" s="86"/>
      <c r="AV810" s="86">
        <v>1.69979169670656E+18</v>
      </c>
      <c r="AW810" s="96" t="str">
        <f>HYPERLINK("https://t.co/Bl7CHAdzvp")</f>
        <v>https://t.co/Bl7CHAdzvp</v>
      </c>
      <c r="AX810" s="86" t="b">
        <v>1</v>
      </c>
      <c r="AY810" s="86"/>
      <c r="AZ810" s="86"/>
      <c r="BA810" s="86" t="b">
        <v>1</v>
      </c>
      <c r="BB810" s="86" t="b">
        <v>1</v>
      </c>
      <c r="BC810" s="86" t="b">
        <v>0</v>
      </c>
      <c r="BD810" s="86" t="b">
        <v>0</v>
      </c>
      <c r="BE810" s="86" t="b">
        <v>0</v>
      </c>
      <c r="BF810" s="86" t="b">
        <v>0</v>
      </c>
      <c r="BG810" s="86" t="b">
        <v>0</v>
      </c>
      <c r="BH810" s="96" t="str">
        <f>HYPERLINK("https://pbs.twimg.com/profile_banners/197962366/1663275585")</f>
        <v>https://pbs.twimg.com/profile_banners/197962366/1663275585</v>
      </c>
      <c r="BI810" s="86"/>
      <c r="BJ810" s="86" t="s">
        <v>29134</v>
      </c>
      <c r="BK810" s="86" t="b">
        <v>0</v>
      </c>
      <c r="BL810" s="86"/>
      <c r="BM810" s="86" t="s">
        <v>65</v>
      </c>
      <c r="BN810" s="86" t="s">
        <v>29136</v>
      </c>
      <c r="BO810" s="96" t="str">
        <f>HYPERLINK("https://twitter.com/buffer")</f>
        <v>https://twitter.com/buffer</v>
      </c>
      <c r="BP810" s="2"/>
    </row>
    <row r="811" spans="1:68" x14ac:dyDescent="0.25">
      <c r="A811" s="63" t="s">
        <v>1707</v>
      </c>
      <c r="B811" s="64"/>
      <c r="C811" s="64"/>
      <c r="D811" s="65"/>
      <c r="E811" s="67"/>
      <c r="F811" s="111" t="str">
        <f>HYPERLINK("https://pbs.twimg.com/profile_images/1616347273860120577/YAgzpZQa_normal.jpg")</f>
        <v>https://pbs.twimg.com/profile_images/1616347273860120577/YAgzpZQa_normal.jpg</v>
      </c>
      <c r="G811" s="64"/>
      <c r="H811" s="68"/>
      <c r="I811" s="69"/>
      <c r="J811" s="69"/>
      <c r="K811" s="68" t="s">
        <v>29944</v>
      </c>
      <c r="L811" s="72"/>
      <c r="M811" s="73"/>
      <c r="N811" s="73"/>
      <c r="O811" s="74"/>
      <c r="P811" s="75"/>
      <c r="Q811" s="75"/>
      <c r="R811" s="102"/>
      <c r="S811" s="102"/>
      <c r="T811" s="102"/>
      <c r="U811" s="102"/>
      <c r="V811" s="48"/>
      <c r="W811" s="48"/>
      <c r="X811" s="48"/>
      <c r="Y811" s="48"/>
      <c r="Z811" s="47"/>
      <c r="AA811" s="70">
        <v>811</v>
      </c>
      <c r="AB811" s="70"/>
      <c r="AC811" s="71"/>
      <c r="AD811" s="86" t="s">
        <v>24425</v>
      </c>
      <c r="AE811" s="94" t="s">
        <v>25527</v>
      </c>
      <c r="AF811" s="86">
        <v>12306</v>
      </c>
      <c r="AG811" s="86">
        <v>1164</v>
      </c>
      <c r="AH811" s="86">
        <v>20941</v>
      </c>
      <c r="AI811" s="86">
        <v>530</v>
      </c>
      <c r="AJ811" s="86">
        <v>108933</v>
      </c>
      <c r="AK811" s="86">
        <v>3746</v>
      </c>
      <c r="AL811" s="86" t="b">
        <v>0</v>
      </c>
      <c r="AM811" s="89">
        <v>40803.947858796295</v>
      </c>
      <c r="AN811" s="86" t="s">
        <v>26175</v>
      </c>
      <c r="AO811" s="86" t="s">
        <v>27162</v>
      </c>
      <c r="AP811" s="96" t="str">
        <f>HYPERLINK("https://t.co/PI3sIBLrCJ")</f>
        <v>https://t.co/PI3sIBLrCJ</v>
      </c>
      <c r="AQ811" s="96" t="str">
        <f>HYPERLINK("https://hubstaff.com/")</f>
        <v>https://hubstaff.com/</v>
      </c>
      <c r="AR811" s="86" t="s">
        <v>28447</v>
      </c>
      <c r="AS811" s="96" t="str">
        <f>HYPERLINK("https://t.co/whLYBRH3at")</f>
        <v>https://t.co/whLYBRH3at</v>
      </c>
      <c r="AT811" s="96" t="str">
        <f>HYPERLINK("https://status.hubstaff.com/")</f>
        <v>https://status.hubstaff.com/</v>
      </c>
      <c r="AU811" s="86" t="s">
        <v>29085</v>
      </c>
      <c r="AV811" s="86">
        <v>1.6951368307845E+18</v>
      </c>
      <c r="AW811" s="96" t="str">
        <f>HYPERLINK("https://t.co/PI3sIBLrCJ")</f>
        <v>https://t.co/PI3sIBLrCJ</v>
      </c>
      <c r="AX811" s="86" t="b">
        <v>0</v>
      </c>
      <c r="AY811" s="86"/>
      <c r="AZ811" s="86"/>
      <c r="BA811" s="86" t="b">
        <v>0</v>
      </c>
      <c r="BB811" s="86" t="b">
        <v>1</v>
      </c>
      <c r="BC811" s="86" t="b">
        <v>0</v>
      </c>
      <c r="BD811" s="86" t="b">
        <v>0</v>
      </c>
      <c r="BE811" s="86" t="b">
        <v>0</v>
      </c>
      <c r="BF811" s="86" t="b">
        <v>0</v>
      </c>
      <c r="BG811" s="86" t="b">
        <v>0</v>
      </c>
      <c r="BH811" s="96" t="str">
        <f>HYPERLINK("https://pbs.twimg.com/profile_banners/375323855/1674033282")</f>
        <v>https://pbs.twimg.com/profile_banners/375323855/1674033282</v>
      </c>
      <c r="BI811" s="86"/>
      <c r="BJ811" s="86" t="s">
        <v>29134</v>
      </c>
      <c r="BK811" s="86" t="b">
        <v>0</v>
      </c>
      <c r="BL811" s="86"/>
      <c r="BM811" s="86" t="s">
        <v>65</v>
      </c>
      <c r="BN811" s="86" t="s">
        <v>29136</v>
      </c>
      <c r="BO811" s="96" t="str">
        <f>HYPERLINK("https://twitter.com/hubstaff")</f>
        <v>https://twitter.com/hubstaff</v>
      </c>
      <c r="BP811" s="2"/>
    </row>
    <row r="812" spans="1:68" x14ac:dyDescent="0.25">
      <c r="A812" s="63" t="s">
        <v>1708</v>
      </c>
      <c r="B812" s="64"/>
      <c r="C812" s="64"/>
      <c r="D812" s="65"/>
      <c r="E812" s="67"/>
      <c r="F812" s="111" t="str">
        <f>HYPERLINK("https://pbs.twimg.com/profile_images/1519767207034736641/RS48k4Jv_normal.jpg")</f>
        <v>https://pbs.twimg.com/profile_images/1519767207034736641/RS48k4Jv_normal.jpg</v>
      </c>
      <c r="G812" s="64"/>
      <c r="H812" s="68"/>
      <c r="I812" s="69"/>
      <c r="J812" s="69"/>
      <c r="K812" s="68" t="s">
        <v>29945</v>
      </c>
      <c r="L812" s="72"/>
      <c r="M812" s="73"/>
      <c r="N812" s="73"/>
      <c r="O812" s="74"/>
      <c r="P812" s="75"/>
      <c r="Q812" s="75"/>
      <c r="R812" s="102"/>
      <c r="S812" s="102"/>
      <c r="T812" s="102"/>
      <c r="U812" s="102"/>
      <c r="V812" s="48"/>
      <c r="W812" s="48"/>
      <c r="X812" s="48"/>
      <c r="Y812" s="48"/>
      <c r="Z812" s="47"/>
      <c r="AA812" s="70">
        <v>812</v>
      </c>
      <c r="AB812" s="70"/>
      <c r="AC812" s="71"/>
      <c r="AD812" s="86" t="s">
        <v>24426</v>
      </c>
      <c r="AE812" s="94" t="s">
        <v>25528</v>
      </c>
      <c r="AF812" s="86">
        <v>25327</v>
      </c>
      <c r="AG812" s="86">
        <v>1697</v>
      </c>
      <c r="AH812" s="86">
        <v>2547</v>
      </c>
      <c r="AI812" s="86">
        <v>198</v>
      </c>
      <c r="AJ812" s="86">
        <v>1802</v>
      </c>
      <c r="AK812" s="86">
        <v>824</v>
      </c>
      <c r="AL812" s="86" t="b">
        <v>0</v>
      </c>
      <c r="AM812" s="89">
        <v>42148.259398148148</v>
      </c>
      <c r="AN812" s="86"/>
      <c r="AO812" s="86" t="s">
        <v>27163</v>
      </c>
      <c r="AP812" s="96" t="str">
        <f>HYPERLINK("https://t.co/JuyIFVKmE2")</f>
        <v>https://t.co/JuyIFVKmE2</v>
      </c>
      <c r="AQ812" s="96" t="str">
        <f>HYPERLINK("https://rocket.chat")</f>
        <v>https://rocket.chat</v>
      </c>
      <c r="AR812" s="86" t="s">
        <v>28448</v>
      </c>
      <c r="AS812" s="86"/>
      <c r="AT812" s="86"/>
      <c r="AU812" s="86"/>
      <c r="AV812" s="86"/>
      <c r="AW812" s="96" t="str">
        <f>HYPERLINK("https://t.co/JuyIFVKmE2")</f>
        <v>https://t.co/JuyIFVKmE2</v>
      </c>
      <c r="AX812" s="86" t="b">
        <v>0</v>
      </c>
      <c r="AY812" s="86"/>
      <c r="AZ812" s="86"/>
      <c r="BA812" s="86" t="b">
        <v>1</v>
      </c>
      <c r="BB812" s="86" t="b">
        <v>1</v>
      </c>
      <c r="BC812" s="86" t="b">
        <v>0</v>
      </c>
      <c r="BD812" s="86" t="b">
        <v>0</v>
      </c>
      <c r="BE812" s="86" t="b">
        <v>0</v>
      </c>
      <c r="BF812" s="86" t="b">
        <v>0</v>
      </c>
      <c r="BG812" s="86" t="b">
        <v>0</v>
      </c>
      <c r="BH812" s="96" t="str">
        <f>HYPERLINK("https://pbs.twimg.com/profile_banners/3296136369/1651496959")</f>
        <v>https://pbs.twimg.com/profile_banners/3296136369/1651496959</v>
      </c>
      <c r="BI812" s="86"/>
      <c r="BJ812" s="86" t="s">
        <v>29134</v>
      </c>
      <c r="BK812" s="86" t="b">
        <v>0</v>
      </c>
      <c r="BL812" s="86"/>
      <c r="BM812" s="86" t="s">
        <v>65</v>
      </c>
      <c r="BN812" s="86" t="s">
        <v>29136</v>
      </c>
      <c r="BO812" s="96" t="str">
        <f>HYPERLINK("https://twitter.com/rocketchat")</f>
        <v>https://twitter.com/rocketchat</v>
      </c>
      <c r="BP812" s="2"/>
    </row>
    <row r="813" spans="1:68" x14ac:dyDescent="0.25">
      <c r="A813" s="63" t="s">
        <v>930</v>
      </c>
      <c r="B813" s="64"/>
      <c r="C813" s="64"/>
      <c r="D813" s="65"/>
      <c r="E813" s="67"/>
      <c r="F813" s="111" t="str">
        <f>HYPERLINK("https://pbs.twimg.com/profile_images/1607433920374513664/Gy97f-Vp_normal.jpg")</f>
        <v>https://pbs.twimg.com/profile_images/1607433920374513664/Gy97f-Vp_normal.jpg</v>
      </c>
      <c r="G813" s="64"/>
      <c r="H813" s="68"/>
      <c r="I813" s="69"/>
      <c r="J813" s="69"/>
      <c r="K813" s="68" t="s">
        <v>29946</v>
      </c>
      <c r="L813" s="72"/>
      <c r="M813" s="73"/>
      <c r="N813" s="73"/>
      <c r="O813" s="74"/>
      <c r="P813" s="75"/>
      <c r="Q813" s="75"/>
      <c r="R813" s="102"/>
      <c r="S813" s="102"/>
      <c r="T813" s="102"/>
      <c r="U813" s="102"/>
      <c r="V813" s="48"/>
      <c r="W813" s="48"/>
      <c r="X813" s="48"/>
      <c r="Y813" s="48"/>
      <c r="Z813" s="47"/>
      <c r="AA813" s="70">
        <v>813</v>
      </c>
      <c r="AB813" s="70"/>
      <c r="AC813" s="71"/>
      <c r="AD813" s="86" t="s">
        <v>24427</v>
      </c>
      <c r="AE813" s="94" t="s">
        <v>25529</v>
      </c>
      <c r="AF813" s="86">
        <v>138</v>
      </c>
      <c r="AG813" s="86">
        <v>241</v>
      </c>
      <c r="AH813" s="86">
        <v>1295</v>
      </c>
      <c r="AI813" s="86">
        <v>5</v>
      </c>
      <c r="AJ813" s="86">
        <v>27</v>
      </c>
      <c r="AK813" s="86">
        <v>149</v>
      </c>
      <c r="AL813" s="86" t="b">
        <v>0</v>
      </c>
      <c r="AM813" s="89">
        <v>40047.712731481479</v>
      </c>
      <c r="AN813" s="86" t="s">
        <v>15375</v>
      </c>
      <c r="AO813" s="86" t="s">
        <v>27164</v>
      </c>
      <c r="AP813" s="96" t="str">
        <f>HYPERLINK("https://t.co/P4Whgzcfdw")</f>
        <v>https://t.co/P4Whgzcfdw</v>
      </c>
      <c r="AQ813" s="96" t="str">
        <f>HYPERLINK("https://www.novaeraestrategia.com")</f>
        <v>https://www.novaeraestrategia.com</v>
      </c>
      <c r="AR813" s="86" t="s">
        <v>28449</v>
      </c>
      <c r="AS813" s="96" t="str">
        <f>HYPERLINK("https://t.co/CPnVjXKr0g")</f>
        <v>https://t.co/CPnVjXKr0g</v>
      </c>
      <c r="AT813" s="96" t="str">
        <f>HYPERLINK("https://wa.me/551732316976")</f>
        <v>https://wa.me/551732316976</v>
      </c>
      <c r="AU813" s="86" t="s">
        <v>29086</v>
      </c>
      <c r="AV813" s="86"/>
      <c r="AW813" s="96" t="str">
        <f>HYPERLINK("https://t.co/P4Whgzcfdw")</f>
        <v>https://t.co/P4Whgzcfdw</v>
      </c>
      <c r="AX813" s="86" t="b">
        <v>0</v>
      </c>
      <c r="AY813" s="86"/>
      <c r="AZ813" s="86"/>
      <c r="BA813" s="86" t="b">
        <v>0</v>
      </c>
      <c r="BB813" s="86" t="b">
        <v>1</v>
      </c>
      <c r="BC813" s="86" t="b">
        <v>0</v>
      </c>
      <c r="BD813" s="86" t="b">
        <v>0</v>
      </c>
      <c r="BE813" s="86" t="b">
        <v>0</v>
      </c>
      <c r="BF813" s="86" t="b">
        <v>0</v>
      </c>
      <c r="BG813" s="86" t="b">
        <v>0</v>
      </c>
      <c r="BH813" s="96" t="str">
        <f>HYPERLINK("https://pbs.twimg.com/profile_banners/67931727/1672077087")</f>
        <v>https://pbs.twimg.com/profile_banners/67931727/1672077087</v>
      </c>
      <c r="BI813" s="86"/>
      <c r="BJ813" s="86" t="s">
        <v>29134</v>
      </c>
      <c r="BK813" s="86" t="b">
        <v>0</v>
      </c>
      <c r="BL813" s="86"/>
      <c r="BM813" s="86" t="s">
        <v>66</v>
      </c>
      <c r="BN813" s="86" t="s">
        <v>29136</v>
      </c>
      <c r="BO813" s="96" t="str">
        <f>HYPERLINK("https://twitter.com/jbcanovas")</f>
        <v>https://twitter.com/jbcanovas</v>
      </c>
      <c r="BP813" s="2"/>
    </row>
    <row r="814" spans="1:68" x14ac:dyDescent="0.25">
      <c r="A814" s="63" t="s">
        <v>942</v>
      </c>
      <c r="B814" s="64"/>
      <c r="C814" s="64"/>
      <c r="D814" s="65"/>
      <c r="E814" s="67"/>
      <c r="F814" s="111" t="str">
        <f>HYPERLINK("https://pbs.twimg.com/profile_images/1607433526156181507/dFZ8cWcP_normal.jpg")</f>
        <v>https://pbs.twimg.com/profile_images/1607433526156181507/dFZ8cWcP_normal.jpg</v>
      </c>
      <c r="G814" s="64"/>
      <c r="H814" s="68"/>
      <c r="I814" s="69"/>
      <c r="J814" s="69"/>
      <c r="K814" s="68" t="s">
        <v>29947</v>
      </c>
      <c r="L814" s="72"/>
      <c r="M814" s="73"/>
      <c r="N814" s="73"/>
      <c r="O814" s="74"/>
      <c r="P814" s="75"/>
      <c r="Q814" s="75"/>
      <c r="R814" s="102"/>
      <c r="S814" s="102"/>
      <c r="T814" s="102"/>
      <c r="U814" s="102"/>
      <c r="V814" s="48"/>
      <c r="W814" s="48"/>
      <c r="X814" s="48"/>
      <c r="Y814" s="48"/>
      <c r="Z814" s="47"/>
      <c r="AA814" s="70">
        <v>814</v>
      </c>
      <c r="AB814" s="70"/>
      <c r="AC814" s="71"/>
      <c r="AD814" s="86" t="s">
        <v>24428</v>
      </c>
      <c r="AE814" s="94" t="s">
        <v>23209</v>
      </c>
      <c r="AF814" s="86">
        <v>36</v>
      </c>
      <c r="AG814" s="86">
        <v>177</v>
      </c>
      <c r="AH814" s="86">
        <v>1235</v>
      </c>
      <c r="AI814" s="86">
        <v>0</v>
      </c>
      <c r="AJ814" s="86">
        <v>14</v>
      </c>
      <c r="AK814" s="86">
        <v>828</v>
      </c>
      <c r="AL814" s="86" t="b">
        <v>0</v>
      </c>
      <c r="AM814" s="89">
        <v>42521.983854166669</v>
      </c>
      <c r="AN814" s="86" t="s">
        <v>15243</v>
      </c>
      <c r="AO814" s="86" t="s">
        <v>27165</v>
      </c>
      <c r="AP814" s="96" t="str">
        <f>HYPERLINK("https://t.co/VN5DRcnNN1")</f>
        <v>https://t.co/VN5DRcnNN1</v>
      </c>
      <c r="AQ814" s="96" t="str">
        <f>HYPERLINK("https://www.novaeraestrategia.com")</f>
        <v>https://www.novaeraestrategia.com</v>
      </c>
      <c r="AR814" s="86" t="s">
        <v>28449</v>
      </c>
      <c r="AS814" s="96" t="str">
        <f>HYPERLINK("https://t.co/2ydm8IusEk")</f>
        <v>https://t.co/2ydm8IusEk</v>
      </c>
      <c r="AT814" s="96" t="str">
        <f>HYPERLINK("https://wa.me/551732316976")</f>
        <v>https://wa.me/551732316976</v>
      </c>
      <c r="AU814" s="86" t="s">
        <v>29086</v>
      </c>
      <c r="AV814" s="86"/>
      <c r="AW814" s="96" t="str">
        <f>HYPERLINK("https://t.co/VN5DRcnNN1")</f>
        <v>https://t.co/VN5DRcnNN1</v>
      </c>
      <c r="AX814" s="86" t="b">
        <v>0</v>
      </c>
      <c r="AY814" s="86"/>
      <c r="AZ814" s="86"/>
      <c r="BA814" s="86" t="b">
        <v>0</v>
      </c>
      <c r="BB814" s="86" t="b">
        <v>1</v>
      </c>
      <c r="BC814" s="86" t="b">
        <v>0</v>
      </c>
      <c r="BD814" s="86" t="b">
        <v>0</v>
      </c>
      <c r="BE814" s="86" t="b">
        <v>0</v>
      </c>
      <c r="BF814" s="86" t="b">
        <v>0</v>
      </c>
      <c r="BG814" s="86" t="b">
        <v>0</v>
      </c>
      <c r="BH814" s="96" t="str">
        <f>HYPERLINK("https://pbs.twimg.com/profile_banners/737789944488448000/1672076993")</f>
        <v>https://pbs.twimg.com/profile_banners/737789944488448000/1672076993</v>
      </c>
      <c r="BI814" s="86"/>
      <c r="BJ814" s="86" t="s">
        <v>29134</v>
      </c>
      <c r="BK814" s="86" t="b">
        <v>0</v>
      </c>
      <c r="BL814" s="86"/>
      <c r="BM814" s="86" t="s">
        <v>66</v>
      </c>
      <c r="BN814" s="86" t="s">
        <v>29136</v>
      </c>
      <c r="BO814" s="96" t="str">
        <f>HYPERLINK("https://twitter.com/novaeraestrateg")</f>
        <v>https://twitter.com/novaeraestrateg</v>
      </c>
      <c r="BP814" s="2"/>
    </row>
    <row r="815" spans="1:68" x14ac:dyDescent="0.25">
      <c r="A815" s="63" t="s">
        <v>931</v>
      </c>
      <c r="B815" s="64"/>
      <c r="C815" s="64"/>
      <c r="D815" s="65"/>
      <c r="E815" s="67"/>
      <c r="F815" s="111" t="str">
        <f>HYPERLINK("https://pbs.twimg.com/profile_images/1688086567573651456/EUaqZoN3_normal.jpg")</f>
        <v>https://pbs.twimg.com/profile_images/1688086567573651456/EUaqZoN3_normal.jpg</v>
      </c>
      <c r="G815" s="64"/>
      <c r="H815" s="68"/>
      <c r="I815" s="69"/>
      <c r="J815" s="69"/>
      <c r="K815" s="68" t="s">
        <v>29948</v>
      </c>
      <c r="L815" s="72"/>
      <c r="M815" s="73"/>
      <c r="N815" s="73"/>
      <c r="O815" s="74"/>
      <c r="P815" s="75"/>
      <c r="Q815" s="75"/>
      <c r="R815" s="102"/>
      <c r="S815" s="102"/>
      <c r="T815" s="102"/>
      <c r="U815" s="102"/>
      <c r="V815" s="48"/>
      <c r="W815" s="48"/>
      <c r="X815" s="48"/>
      <c r="Y815" s="48"/>
      <c r="Z815" s="47"/>
      <c r="AA815" s="70">
        <v>815</v>
      </c>
      <c r="AB815" s="70"/>
      <c r="AC815" s="71"/>
      <c r="AD815" s="86" t="s">
        <v>24429</v>
      </c>
      <c r="AE815" s="94" t="s">
        <v>23201</v>
      </c>
      <c r="AF815" s="86">
        <v>0</v>
      </c>
      <c r="AG815" s="86">
        <v>3</v>
      </c>
      <c r="AH815" s="86">
        <v>78</v>
      </c>
      <c r="AI815" s="86">
        <v>0</v>
      </c>
      <c r="AJ815" s="86">
        <v>1</v>
      </c>
      <c r="AK815" s="86">
        <v>37</v>
      </c>
      <c r="AL815" s="86" t="b">
        <v>0</v>
      </c>
      <c r="AM815" s="89">
        <v>45137.945254629631</v>
      </c>
      <c r="AN815" s="86"/>
      <c r="AO815" s="86" t="s">
        <v>27166</v>
      </c>
      <c r="AP815" s="96" t="str">
        <f>HYPERLINK("https://t.co/ZDkb1PWpUI")</f>
        <v>https://t.co/ZDkb1PWpUI</v>
      </c>
      <c r="AQ815" s="96" t="str">
        <f>HYPERLINK("https://bio.site/universidadeblackrat")</f>
        <v>https://bio.site/universidadeblackrat</v>
      </c>
      <c r="AR815" s="86" t="s">
        <v>28450</v>
      </c>
      <c r="AS815" s="86"/>
      <c r="AT815" s="86"/>
      <c r="AU815" s="86"/>
      <c r="AV815" s="86">
        <v>1.68823103258621E+18</v>
      </c>
      <c r="AW815" s="96" t="str">
        <f>HYPERLINK("https://t.co/ZDkb1PWpUI")</f>
        <v>https://t.co/ZDkb1PWpUI</v>
      </c>
      <c r="AX815" s="86" t="b">
        <v>0</v>
      </c>
      <c r="AY815" s="86"/>
      <c r="AZ815" s="86"/>
      <c r="BA815" s="86" t="b">
        <v>0</v>
      </c>
      <c r="BB815" s="86" t="b">
        <v>1</v>
      </c>
      <c r="BC815" s="86" t="b">
        <v>1</v>
      </c>
      <c r="BD815" s="86" t="b">
        <v>0</v>
      </c>
      <c r="BE815" s="86" t="b">
        <v>0</v>
      </c>
      <c r="BF815" s="86" t="b">
        <v>0</v>
      </c>
      <c r="BG815" s="86" t="b">
        <v>0</v>
      </c>
      <c r="BH815" s="96" t="str">
        <f>HYPERLINK("https://pbs.twimg.com/profile_banners/1685782535668678657/1690771092")</f>
        <v>https://pbs.twimg.com/profile_banners/1685782535668678657/1690771092</v>
      </c>
      <c r="BI815" s="86"/>
      <c r="BJ815" s="86" t="s">
        <v>29134</v>
      </c>
      <c r="BK815" s="86" t="b">
        <v>0</v>
      </c>
      <c r="BL815" s="86"/>
      <c r="BM815" s="86" t="s">
        <v>66</v>
      </c>
      <c r="BN815" s="86" t="s">
        <v>29136</v>
      </c>
      <c r="BO815" s="96" t="str">
        <f>HYPERLINK("https://twitter.com/universidaderat")</f>
        <v>https://twitter.com/universidaderat</v>
      </c>
      <c r="BP815" s="2"/>
    </row>
    <row r="816" spans="1:68" x14ac:dyDescent="0.25">
      <c r="A816" s="63" t="s">
        <v>932</v>
      </c>
      <c r="B816" s="64"/>
      <c r="C816" s="64"/>
      <c r="D816" s="65"/>
      <c r="E816" s="67"/>
      <c r="F816" s="111" t="str">
        <f>HYPERLINK("https://pbs.twimg.com/profile_images/1674078476616323072/gjYRjmaG_normal.png")</f>
        <v>https://pbs.twimg.com/profile_images/1674078476616323072/gjYRjmaG_normal.png</v>
      </c>
      <c r="G816" s="64"/>
      <c r="H816" s="68"/>
      <c r="I816" s="69"/>
      <c r="J816" s="69"/>
      <c r="K816" s="68" t="s">
        <v>29949</v>
      </c>
      <c r="L816" s="72"/>
      <c r="M816" s="73"/>
      <c r="N816" s="73"/>
      <c r="O816" s="74"/>
      <c r="P816" s="75"/>
      <c r="Q816" s="75"/>
      <c r="R816" s="102"/>
      <c r="S816" s="102"/>
      <c r="T816" s="102"/>
      <c r="U816" s="102"/>
      <c r="V816" s="48"/>
      <c r="W816" s="48"/>
      <c r="X816" s="48"/>
      <c r="Y816" s="48"/>
      <c r="Z816" s="47"/>
      <c r="AA816" s="70">
        <v>816</v>
      </c>
      <c r="AB816" s="70"/>
      <c r="AC816" s="71"/>
      <c r="AD816" s="86" t="s">
        <v>24430</v>
      </c>
      <c r="AE816" s="94" t="s">
        <v>23202</v>
      </c>
      <c r="AF816" s="86">
        <v>0</v>
      </c>
      <c r="AG816" s="86">
        <v>12</v>
      </c>
      <c r="AH816" s="86">
        <v>35</v>
      </c>
      <c r="AI816" s="86">
        <v>0</v>
      </c>
      <c r="AJ816" s="86">
        <v>29</v>
      </c>
      <c r="AK816" s="86">
        <v>1</v>
      </c>
      <c r="AL816" s="86" t="b">
        <v>0</v>
      </c>
      <c r="AM816" s="89">
        <v>45105.647974537038</v>
      </c>
      <c r="AN816" s="86"/>
      <c r="AO816" s="86" t="s">
        <v>27167</v>
      </c>
      <c r="AP816" s="86"/>
      <c r="AQ816" s="86"/>
      <c r="AR816" s="86"/>
      <c r="AS816" s="86"/>
      <c r="AT816" s="86"/>
      <c r="AU816" s="86"/>
      <c r="AV816" s="86"/>
      <c r="AW816" s="86"/>
      <c r="AX816" s="86" t="b">
        <v>0</v>
      </c>
      <c r="AY816" s="86"/>
      <c r="AZ816" s="86"/>
      <c r="BA816" s="86" t="b">
        <v>0</v>
      </c>
      <c r="BB816" s="86" t="b">
        <v>1</v>
      </c>
      <c r="BC816" s="86" t="b">
        <v>1</v>
      </c>
      <c r="BD816" s="86" t="b">
        <v>0</v>
      </c>
      <c r="BE816" s="86" t="b">
        <v>0</v>
      </c>
      <c r="BF816" s="86" t="b">
        <v>0</v>
      </c>
      <c r="BG816" s="86" t="b">
        <v>0</v>
      </c>
      <c r="BH816" s="86"/>
      <c r="BI816" s="86"/>
      <c r="BJ816" s="86" t="s">
        <v>29134</v>
      </c>
      <c r="BK816" s="86" t="b">
        <v>0</v>
      </c>
      <c r="BL816" s="86"/>
      <c r="BM816" s="86" t="s">
        <v>66</v>
      </c>
      <c r="BN816" s="86" t="s">
        <v>29136</v>
      </c>
      <c r="BO816" s="96" t="str">
        <f>HYPERLINK("https://twitter.com/thiagoireland")</f>
        <v>https://twitter.com/thiagoireland</v>
      </c>
      <c r="BP816" s="2"/>
    </row>
    <row r="817" spans="1:68" x14ac:dyDescent="0.25">
      <c r="A817" s="63" t="s">
        <v>933</v>
      </c>
      <c r="B817" s="64"/>
      <c r="C817" s="64"/>
      <c r="D817" s="65"/>
      <c r="E817" s="67"/>
      <c r="F817" s="111" t="str">
        <f>HYPERLINK("https://pbs.twimg.com/profile_images/1605218053465194497/sDFPBTlb_normal.jpg")</f>
        <v>https://pbs.twimg.com/profile_images/1605218053465194497/sDFPBTlb_normal.jpg</v>
      </c>
      <c r="G817" s="64"/>
      <c r="H817" s="68"/>
      <c r="I817" s="69"/>
      <c r="J817" s="69"/>
      <c r="K817" s="68" t="s">
        <v>29950</v>
      </c>
      <c r="L817" s="72"/>
      <c r="M817" s="73"/>
      <c r="N817" s="73"/>
      <c r="O817" s="74"/>
      <c r="P817" s="75"/>
      <c r="Q817" s="75"/>
      <c r="R817" s="102"/>
      <c r="S817" s="102"/>
      <c r="T817" s="102"/>
      <c r="U817" s="102"/>
      <c r="V817" s="48"/>
      <c r="W817" s="48"/>
      <c r="X817" s="48"/>
      <c r="Y817" s="48"/>
      <c r="Z817" s="47"/>
      <c r="AA817" s="70">
        <v>817</v>
      </c>
      <c r="AB817" s="70"/>
      <c r="AC817" s="71"/>
      <c r="AD817" s="86" t="s">
        <v>24431</v>
      </c>
      <c r="AE817" s="94" t="s">
        <v>23203</v>
      </c>
      <c r="AF817" s="86">
        <v>2</v>
      </c>
      <c r="AG817" s="86">
        <v>68</v>
      </c>
      <c r="AH817" s="86">
        <v>218</v>
      </c>
      <c r="AI817" s="86">
        <v>0</v>
      </c>
      <c r="AJ817" s="86">
        <v>397</v>
      </c>
      <c r="AK817" s="86">
        <v>14</v>
      </c>
      <c r="AL817" s="86" t="b">
        <v>0</v>
      </c>
      <c r="AM817" s="89">
        <v>44802.038831018515</v>
      </c>
      <c r="AN817" s="86" t="s">
        <v>15249</v>
      </c>
      <c r="AO817" s="86" t="s">
        <v>27168</v>
      </c>
      <c r="AP817" s="86"/>
      <c r="AQ817" s="86"/>
      <c r="AR817" s="86"/>
      <c r="AS817" s="86"/>
      <c r="AT817" s="86"/>
      <c r="AU817" s="86"/>
      <c r="AV817" s="86"/>
      <c r="AW817" s="86"/>
      <c r="AX817" s="86" t="b">
        <v>0</v>
      </c>
      <c r="AY817" s="86"/>
      <c r="AZ817" s="86"/>
      <c r="BA817" s="86" t="b">
        <v>0</v>
      </c>
      <c r="BB817" s="86" t="b">
        <v>0</v>
      </c>
      <c r="BC817" s="86" t="b">
        <v>1</v>
      </c>
      <c r="BD817" s="86" t="b">
        <v>0</v>
      </c>
      <c r="BE817" s="86" t="b">
        <v>0</v>
      </c>
      <c r="BF817" s="86" t="b">
        <v>0</v>
      </c>
      <c r="BG817" s="86" t="b">
        <v>0</v>
      </c>
      <c r="BH817" s="96" t="str">
        <f>HYPERLINK("https://pbs.twimg.com/profile_banners/1564054045714677769/1661738155")</f>
        <v>https://pbs.twimg.com/profile_banners/1564054045714677769/1661738155</v>
      </c>
      <c r="BI817" s="86"/>
      <c r="BJ817" s="86" t="s">
        <v>29134</v>
      </c>
      <c r="BK817" s="86" t="b">
        <v>0</v>
      </c>
      <c r="BL817" s="86"/>
      <c r="BM817" s="86" t="s">
        <v>66</v>
      </c>
      <c r="BN817" s="86" t="s">
        <v>29136</v>
      </c>
      <c r="BO817" s="96" t="str">
        <f>HYPERLINK("https://twitter.com/nimzoindia__")</f>
        <v>https://twitter.com/nimzoindia__</v>
      </c>
      <c r="BP817" s="2"/>
    </row>
    <row r="818" spans="1:68" x14ac:dyDescent="0.25">
      <c r="A818" s="63" t="s">
        <v>934</v>
      </c>
      <c r="B818" s="64"/>
      <c r="C818" s="64"/>
      <c r="D818" s="65"/>
      <c r="E818" s="67"/>
      <c r="F818" s="111" t="str">
        <f>HYPERLINK("https://pbs.twimg.com/profile_images/1595427363713650689/rEcoLsTW_normal.jpg")</f>
        <v>https://pbs.twimg.com/profile_images/1595427363713650689/rEcoLsTW_normal.jpg</v>
      </c>
      <c r="G818" s="64"/>
      <c r="H818" s="68"/>
      <c r="I818" s="69"/>
      <c r="J818" s="69"/>
      <c r="K818" s="68" t="s">
        <v>29951</v>
      </c>
      <c r="L818" s="72"/>
      <c r="M818" s="73"/>
      <c r="N818" s="73"/>
      <c r="O818" s="74"/>
      <c r="P818" s="75"/>
      <c r="Q818" s="75"/>
      <c r="R818" s="102"/>
      <c r="S818" s="102"/>
      <c r="T818" s="102"/>
      <c r="U818" s="102"/>
      <c r="V818" s="48"/>
      <c r="W818" s="48"/>
      <c r="X818" s="48"/>
      <c r="Y818" s="48"/>
      <c r="Z818" s="47"/>
      <c r="AA818" s="70">
        <v>818</v>
      </c>
      <c r="AB818" s="70"/>
      <c r="AC818" s="71"/>
      <c r="AD818" s="86" t="s">
        <v>24432</v>
      </c>
      <c r="AE818" s="94" t="s">
        <v>23204</v>
      </c>
      <c r="AF818" s="86">
        <v>23</v>
      </c>
      <c r="AG818" s="86">
        <v>170</v>
      </c>
      <c r="AH818" s="86">
        <v>5212</v>
      </c>
      <c r="AI818" s="86">
        <v>0</v>
      </c>
      <c r="AJ818" s="86">
        <v>1463</v>
      </c>
      <c r="AK818" s="86">
        <v>154</v>
      </c>
      <c r="AL818" s="86" t="b">
        <v>0</v>
      </c>
      <c r="AM818" s="89">
        <v>44888.612256944441</v>
      </c>
      <c r="AN818" s="86"/>
      <c r="AO818" s="86"/>
      <c r="AP818" s="86"/>
      <c r="AQ818" s="86"/>
      <c r="AR818" s="86"/>
      <c r="AS818" s="86"/>
      <c r="AT818" s="86"/>
      <c r="AU818" s="86"/>
      <c r="AV818" s="86"/>
      <c r="AW818" s="86"/>
      <c r="AX818" s="86" t="b">
        <v>0</v>
      </c>
      <c r="AY818" s="86"/>
      <c r="AZ818" s="86"/>
      <c r="BA818" s="86" t="b">
        <v>0</v>
      </c>
      <c r="BB818" s="86" t="b">
        <v>1</v>
      </c>
      <c r="BC818" s="86" t="b">
        <v>1</v>
      </c>
      <c r="BD818" s="86" t="b">
        <v>0</v>
      </c>
      <c r="BE818" s="86" t="b">
        <v>0</v>
      </c>
      <c r="BF818" s="86" t="b">
        <v>0</v>
      </c>
      <c r="BG818" s="86" t="b">
        <v>0</v>
      </c>
      <c r="BH818" s="86"/>
      <c r="BI818" s="86"/>
      <c r="BJ818" s="86" t="s">
        <v>29134</v>
      </c>
      <c r="BK818" s="86" t="b">
        <v>0</v>
      </c>
      <c r="BL818" s="86"/>
      <c r="BM818" s="86" t="s">
        <v>66</v>
      </c>
      <c r="BN818" s="86" t="s">
        <v>29136</v>
      </c>
      <c r="BO818" s="96" t="str">
        <f>HYPERLINK("https://twitter.com/radunz_carlos")</f>
        <v>https://twitter.com/radunz_carlos</v>
      </c>
      <c r="BP818" s="2"/>
    </row>
    <row r="819" spans="1:68" x14ac:dyDescent="0.25">
      <c r="A819" s="63" t="s">
        <v>935</v>
      </c>
      <c r="B819" s="64"/>
      <c r="C819" s="64"/>
      <c r="D819" s="65"/>
      <c r="E819" s="67"/>
      <c r="F819" s="111" t="str">
        <f>HYPERLINK("https://pbs.twimg.com/profile_images/1022303095626362880/bpf8CabR_normal.jpg")</f>
        <v>https://pbs.twimg.com/profile_images/1022303095626362880/bpf8CabR_normal.jpg</v>
      </c>
      <c r="G819" s="64"/>
      <c r="H819" s="68"/>
      <c r="I819" s="69"/>
      <c r="J819" s="69"/>
      <c r="K819" s="68" t="s">
        <v>29952</v>
      </c>
      <c r="L819" s="72"/>
      <c r="M819" s="73"/>
      <c r="N819" s="73"/>
      <c r="O819" s="74"/>
      <c r="P819" s="75"/>
      <c r="Q819" s="75"/>
      <c r="R819" s="102"/>
      <c r="S819" s="102"/>
      <c r="T819" s="102"/>
      <c r="U819" s="102"/>
      <c r="V819" s="48"/>
      <c r="W819" s="48"/>
      <c r="X819" s="48"/>
      <c r="Y819" s="48"/>
      <c r="Z819" s="47"/>
      <c r="AA819" s="70">
        <v>819</v>
      </c>
      <c r="AB819" s="70"/>
      <c r="AC819" s="71"/>
      <c r="AD819" s="86" t="s">
        <v>24433</v>
      </c>
      <c r="AE819" s="94" t="s">
        <v>23205</v>
      </c>
      <c r="AF819" s="86">
        <v>16</v>
      </c>
      <c r="AG819" s="86">
        <v>43</v>
      </c>
      <c r="AH819" s="86">
        <v>1259</v>
      </c>
      <c r="AI819" s="86">
        <v>0</v>
      </c>
      <c r="AJ819" s="86">
        <v>2594</v>
      </c>
      <c r="AK819" s="86">
        <v>339</v>
      </c>
      <c r="AL819" s="86" t="b">
        <v>0</v>
      </c>
      <c r="AM819" s="89">
        <v>43075.47896990741</v>
      </c>
      <c r="AN819" s="86" t="s">
        <v>15234</v>
      </c>
      <c r="AO819" s="86" t="s">
        <v>27169</v>
      </c>
      <c r="AP819" s="96" t="str">
        <f>HYPERLINK("https://t.co/aotVi8kW0f")</f>
        <v>https://t.co/aotVi8kW0f</v>
      </c>
      <c r="AQ819" s="96" t="str">
        <f>HYPERLINK("https://www.assimvocegosta.com.br")</f>
        <v>https://www.assimvocegosta.com.br</v>
      </c>
      <c r="AR819" s="86" t="s">
        <v>28451</v>
      </c>
      <c r="AS819" s="86"/>
      <c r="AT819" s="86"/>
      <c r="AU819" s="86"/>
      <c r="AV819" s="86">
        <v>1.6853322898011E+18</v>
      </c>
      <c r="AW819" s="96" t="str">
        <f>HYPERLINK("https://t.co/aotVi8kW0f")</f>
        <v>https://t.co/aotVi8kW0f</v>
      </c>
      <c r="AX819" s="86" t="b">
        <v>0</v>
      </c>
      <c r="AY819" s="86"/>
      <c r="AZ819" s="86"/>
      <c r="BA819" s="86" t="b">
        <v>0</v>
      </c>
      <c r="BB819" s="86" t="b">
        <v>0</v>
      </c>
      <c r="BC819" s="86" t="b">
        <v>1</v>
      </c>
      <c r="BD819" s="86" t="b">
        <v>0</v>
      </c>
      <c r="BE819" s="86" t="b">
        <v>0</v>
      </c>
      <c r="BF819" s="86" t="b">
        <v>0</v>
      </c>
      <c r="BG819" s="86" t="b">
        <v>0</v>
      </c>
      <c r="BH819" s="96" t="str">
        <f>HYPERLINK("https://pbs.twimg.com/profile_banners/938369859422969856/1656623750")</f>
        <v>https://pbs.twimg.com/profile_banners/938369859422969856/1656623750</v>
      </c>
      <c r="BI819" s="86"/>
      <c r="BJ819" s="86" t="s">
        <v>29134</v>
      </c>
      <c r="BK819" s="86" t="b">
        <v>0</v>
      </c>
      <c r="BL819" s="86"/>
      <c r="BM819" s="86" t="s">
        <v>66</v>
      </c>
      <c r="BN819" s="86" t="s">
        <v>29136</v>
      </c>
      <c r="BO819" s="96" t="str">
        <f>HYPERLINK("https://twitter.com/diogo_andreia32")</f>
        <v>https://twitter.com/diogo_andreia32</v>
      </c>
      <c r="BP819" s="2"/>
    </row>
    <row r="820" spans="1:68" x14ac:dyDescent="0.25">
      <c r="A820" s="63" t="s">
        <v>936</v>
      </c>
      <c r="B820" s="64"/>
      <c r="C820" s="64"/>
      <c r="D820" s="65"/>
      <c r="E820" s="67"/>
      <c r="F820" s="111" t="str">
        <f>HYPERLINK("https://pbs.twimg.com/profile_images/1582009451418189824/GXuJTp_J_normal.jpg")</f>
        <v>https://pbs.twimg.com/profile_images/1582009451418189824/GXuJTp_J_normal.jpg</v>
      </c>
      <c r="G820" s="64"/>
      <c r="H820" s="68"/>
      <c r="I820" s="69"/>
      <c r="J820" s="69"/>
      <c r="K820" s="68" t="s">
        <v>29953</v>
      </c>
      <c r="L820" s="72"/>
      <c r="M820" s="73"/>
      <c r="N820" s="73"/>
      <c r="O820" s="74"/>
      <c r="P820" s="75"/>
      <c r="Q820" s="75"/>
      <c r="R820" s="102"/>
      <c r="S820" s="102"/>
      <c r="T820" s="102"/>
      <c r="U820" s="102"/>
      <c r="V820" s="48"/>
      <c r="W820" s="48"/>
      <c r="X820" s="48"/>
      <c r="Y820" s="48"/>
      <c r="Z820" s="47"/>
      <c r="AA820" s="70">
        <v>820</v>
      </c>
      <c r="AB820" s="70"/>
      <c r="AC820" s="71"/>
      <c r="AD820" s="86" t="s">
        <v>24434</v>
      </c>
      <c r="AE820" s="94" t="s">
        <v>25530</v>
      </c>
      <c r="AF820" s="86">
        <v>33</v>
      </c>
      <c r="AG820" s="86">
        <v>41</v>
      </c>
      <c r="AH820" s="86">
        <v>545</v>
      </c>
      <c r="AI820" s="86">
        <v>0</v>
      </c>
      <c r="AJ820" s="86">
        <v>78</v>
      </c>
      <c r="AK820" s="86">
        <v>520</v>
      </c>
      <c r="AL820" s="86" t="b">
        <v>0</v>
      </c>
      <c r="AM820" s="89">
        <v>40743.510092592594</v>
      </c>
      <c r="AN820" s="86" t="s">
        <v>15240</v>
      </c>
      <c r="AO820" s="86" t="s">
        <v>27170</v>
      </c>
      <c r="AP820" s="96" t="str">
        <f>HYPERLINK("https://t.co/fBKfwtWmlh")</f>
        <v>https://t.co/fBKfwtWmlh</v>
      </c>
      <c r="AQ820" s="96" t="str">
        <f>HYPERLINK("https://tinyurl.com/santosandrea")</f>
        <v>https://tinyurl.com/santosandrea</v>
      </c>
      <c r="AR820" s="86" t="s">
        <v>28452</v>
      </c>
      <c r="AS820" s="86"/>
      <c r="AT820" s="86"/>
      <c r="AU820" s="86"/>
      <c r="AV820" s="86"/>
      <c r="AW820" s="96" t="str">
        <f>HYPERLINK("https://t.co/fBKfwtWmlh")</f>
        <v>https://t.co/fBKfwtWmlh</v>
      </c>
      <c r="AX820" s="86" t="b">
        <v>0</v>
      </c>
      <c r="AY820" s="86"/>
      <c r="AZ820" s="86"/>
      <c r="BA820" s="86" t="b">
        <v>0</v>
      </c>
      <c r="BB820" s="86" t="b">
        <v>1</v>
      </c>
      <c r="BC820" s="86" t="b">
        <v>0</v>
      </c>
      <c r="BD820" s="86" t="b">
        <v>0</v>
      </c>
      <c r="BE820" s="86" t="b">
        <v>0</v>
      </c>
      <c r="BF820" s="86" t="b">
        <v>0</v>
      </c>
      <c r="BG820" s="86" t="b">
        <v>0</v>
      </c>
      <c r="BH820" s="96" t="str">
        <f>HYPERLINK("https://pbs.twimg.com/profile_banners/338324185/1682816795")</f>
        <v>https://pbs.twimg.com/profile_banners/338324185/1682816795</v>
      </c>
      <c r="BI820" s="86"/>
      <c r="BJ820" s="86" t="s">
        <v>29134</v>
      </c>
      <c r="BK820" s="86" t="b">
        <v>0</v>
      </c>
      <c r="BL820" s="86"/>
      <c r="BM820" s="86" t="s">
        <v>66</v>
      </c>
      <c r="BN820" s="86" t="s">
        <v>29136</v>
      </c>
      <c r="BO820" s="96" t="str">
        <f>HYPERLINK("https://twitter.com/andrea0170")</f>
        <v>https://twitter.com/andrea0170</v>
      </c>
      <c r="BP820" s="2"/>
    </row>
    <row r="821" spans="1:68" x14ac:dyDescent="0.25">
      <c r="A821" s="63" t="s">
        <v>937</v>
      </c>
      <c r="B821" s="64"/>
      <c r="C821" s="64"/>
      <c r="D821" s="65"/>
      <c r="E821" s="67"/>
      <c r="F821" s="111" t="str">
        <f>HYPERLINK("https://pbs.twimg.com/profile_images/1628806068687065092/J8qfrZd3_normal.jpg")</f>
        <v>https://pbs.twimg.com/profile_images/1628806068687065092/J8qfrZd3_normal.jpg</v>
      </c>
      <c r="G821" s="64"/>
      <c r="H821" s="68"/>
      <c r="I821" s="69"/>
      <c r="J821" s="69"/>
      <c r="K821" s="68" t="s">
        <v>29954</v>
      </c>
      <c r="L821" s="72"/>
      <c r="M821" s="73"/>
      <c r="N821" s="73"/>
      <c r="O821" s="74"/>
      <c r="P821" s="75"/>
      <c r="Q821" s="75"/>
      <c r="R821" s="102"/>
      <c r="S821" s="102"/>
      <c r="T821" s="102"/>
      <c r="U821" s="102"/>
      <c r="V821" s="48"/>
      <c r="W821" s="48"/>
      <c r="X821" s="48"/>
      <c r="Y821" s="48"/>
      <c r="Z821" s="47"/>
      <c r="AA821" s="70">
        <v>821</v>
      </c>
      <c r="AB821" s="70"/>
      <c r="AC821" s="71"/>
      <c r="AD821" s="86" t="s">
        <v>24435</v>
      </c>
      <c r="AE821" s="94" t="s">
        <v>25531</v>
      </c>
      <c r="AF821" s="86">
        <v>833</v>
      </c>
      <c r="AG821" s="86">
        <v>453</v>
      </c>
      <c r="AH821" s="86">
        <v>16156</v>
      </c>
      <c r="AI821" s="86">
        <v>124</v>
      </c>
      <c r="AJ821" s="86">
        <v>601</v>
      </c>
      <c r="AK821" s="86">
        <v>49</v>
      </c>
      <c r="AL821" s="86" t="b">
        <v>0</v>
      </c>
      <c r="AM821" s="89">
        <v>39878.102210648147</v>
      </c>
      <c r="AN821" s="86" t="s">
        <v>15388</v>
      </c>
      <c r="AO821" s="86" t="s">
        <v>27171</v>
      </c>
      <c r="AP821" s="96" t="str">
        <f>HYPERLINK("https://t.co/oDjmRQGish")</f>
        <v>https://t.co/oDjmRQGish</v>
      </c>
      <c r="AQ821" s="96" t="str">
        <f>HYPERLINK("http://www.henriquearake.com.br")</f>
        <v>http://www.henriquearake.com.br</v>
      </c>
      <c r="AR821" s="86" t="s">
        <v>28453</v>
      </c>
      <c r="AS821" s="86"/>
      <c r="AT821" s="86"/>
      <c r="AU821" s="86"/>
      <c r="AV821" s="86">
        <v>1.6230118476066099E+18</v>
      </c>
      <c r="AW821" s="96" t="str">
        <f>HYPERLINK("https://t.co/oDjmRQGish")</f>
        <v>https://t.co/oDjmRQGish</v>
      </c>
      <c r="AX821" s="86" t="b">
        <v>0</v>
      </c>
      <c r="AY821" s="86"/>
      <c r="AZ821" s="86"/>
      <c r="BA821" s="86" t="b">
        <v>1</v>
      </c>
      <c r="BB821" s="86" t="b">
        <v>1</v>
      </c>
      <c r="BC821" s="86" t="b">
        <v>0</v>
      </c>
      <c r="BD821" s="86" t="b">
        <v>0</v>
      </c>
      <c r="BE821" s="86" t="b">
        <v>1</v>
      </c>
      <c r="BF821" s="86" t="b">
        <v>0</v>
      </c>
      <c r="BG821" s="86" t="b">
        <v>0</v>
      </c>
      <c r="BH821" s="96" t="str">
        <f>HYPERLINK("https://pbs.twimg.com/profile_banners/23017164/1606398019")</f>
        <v>https://pbs.twimg.com/profile_banners/23017164/1606398019</v>
      </c>
      <c r="BI821" s="86"/>
      <c r="BJ821" s="86" t="s">
        <v>29134</v>
      </c>
      <c r="BK821" s="86" t="b">
        <v>0</v>
      </c>
      <c r="BL821" s="86"/>
      <c r="BM821" s="86" t="s">
        <v>66</v>
      </c>
      <c r="BN821" s="86" t="s">
        <v>29136</v>
      </c>
      <c r="BO821" s="96" t="str">
        <f>HYPERLINK("https://twitter.com/henriquearake")</f>
        <v>https://twitter.com/henriquearake</v>
      </c>
      <c r="BP821" s="2"/>
    </row>
    <row r="822" spans="1:68" x14ac:dyDescent="0.25">
      <c r="A822" s="63" t="s">
        <v>938</v>
      </c>
      <c r="B822" s="64"/>
      <c r="C822" s="64"/>
      <c r="D822" s="65"/>
      <c r="E822" s="67"/>
      <c r="F822" s="111" t="str">
        <f>HYPERLINK("https://pbs.twimg.com/profile_images/862775196280926208/Kkv1rGUT_normal.jpg")</f>
        <v>https://pbs.twimg.com/profile_images/862775196280926208/Kkv1rGUT_normal.jpg</v>
      </c>
      <c r="G822" s="64"/>
      <c r="H822" s="68"/>
      <c r="I822" s="69"/>
      <c r="J822" s="69"/>
      <c r="K822" s="68" t="s">
        <v>29955</v>
      </c>
      <c r="L822" s="72"/>
      <c r="M822" s="73"/>
      <c r="N822" s="73"/>
      <c r="O822" s="74"/>
      <c r="P822" s="75"/>
      <c r="Q822" s="75"/>
      <c r="R822" s="102"/>
      <c r="S822" s="102"/>
      <c r="T822" s="102"/>
      <c r="U822" s="102"/>
      <c r="V822" s="48"/>
      <c r="W822" s="48"/>
      <c r="X822" s="48"/>
      <c r="Y822" s="48"/>
      <c r="Z822" s="47"/>
      <c r="AA822" s="70">
        <v>822</v>
      </c>
      <c r="AB822" s="70"/>
      <c r="AC822" s="71"/>
      <c r="AD822" s="86" t="s">
        <v>24436</v>
      </c>
      <c r="AE822" s="94" t="s">
        <v>25532</v>
      </c>
      <c r="AF822" s="86">
        <v>1781</v>
      </c>
      <c r="AG822" s="86">
        <v>2071</v>
      </c>
      <c r="AH822" s="86">
        <v>25353</v>
      </c>
      <c r="AI822" s="86">
        <v>3</v>
      </c>
      <c r="AJ822" s="86">
        <v>136898</v>
      </c>
      <c r="AK822" s="86">
        <v>9</v>
      </c>
      <c r="AL822" s="86" t="b">
        <v>0</v>
      </c>
      <c r="AM822" s="89">
        <v>40605.952488425923</v>
      </c>
      <c r="AN822" s="86"/>
      <c r="AO822" s="86"/>
      <c r="AP822" s="86"/>
      <c r="AQ822" s="86"/>
      <c r="AR822" s="86"/>
      <c r="AS822" s="86"/>
      <c r="AT822" s="86"/>
      <c r="AU822" s="86"/>
      <c r="AV822" s="86"/>
      <c r="AW822" s="86"/>
      <c r="AX822" s="86" t="b">
        <v>0</v>
      </c>
      <c r="AY822" s="86"/>
      <c r="AZ822" s="86"/>
      <c r="BA822" s="86" t="b">
        <v>0</v>
      </c>
      <c r="BB822" s="86" t="b">
        <v>1</v>
      </c>
      <c r="BC822" s="86" t="b">
        <v>1</v>
      </c>
      <c r="BD822" s="86" t="b">
        <v>0</v>
      </c>
      <c r="BE822" s="86" t="b">
        <v>0</v>
      </c>
      <c r="BF822" s="86" t="b">
        <v>0</v>
      </c>
      <c r="BG822" s="86" t="b">
        <v>0</v>
      </c>
      <c r="BH822" s="96" t="str">
        <f>HYPERLINK("https://pbs.twimg.com/profile_banners/260459956/1600968258")</f>
        <v>https://pbs.twimg.com/profile_banners/260459956/1600968258</v>
      </c>
      <c r="BI822" s="86"/>
      <c r="BJ822" s="86" t="s">
        <v>29134</v>
      </c>
      <c r="BK822" s="86" t="b">
        <v>0</v>
      </c>
      <c r="BL822" s="86"/>
      <c r="BM822" s="86" t="s">
        <v>66</v>
      </c>
      <c r="BN822" s="86" t="s">
        <v>29136</v>
      </c>
      <c r="BO822" s="96" t="str">
        <f>HYPERLINK("https://twitter.com/wagnerreisch")</f>
        <v>https://twitter.com/wagnerreisch</v>
      </c>
      <c r="BP822" s="2"/>
    </row>
    <row r="823" spans="1:68" x14ac:dyDescent="0.25">
      <c r="A823" s="63" t="s">
        <v>1268</v>
      </c>
      <c r="B823" s="64"/>
      <c r="C823" s="64"/>
      <c r="D823" s="65"/>
      <c r="E823" s="67"/>
      <c r="F823" s="111" t="str">
        <f>HYPERLINK("https://pbs.twimg.com/profile_images/1688005524099309568/kSzq9lkT_normal.jpg")</f>
        <v>https://pbs.twimg.com/profile_images/1688005524099309568/kSzq9lkT_normal.jpg</v>
      </c>
      <c r="G823" s="64"/>
      <c r="H823" s="68"/>
      <c r="I823" s="69"/>
      <c r="J823" s="69"/>
      <c r="K823" s="68" t="s">
        <v>29956</v>
      </c>
      <c r="L823" s="72"/>
      <c r="M823" s="73"/>
      <c r="N823" s="73"/>
      <c r="O823" s="74"/>
      <c r="P823" s="75"/>
      <c r="Q823" s="75"/>
      <c r="R823" s="102"/>
      <c r="S823" s="102"/>
      <c r="T823" s="102"/>
      <c r="U823" s="102"/>
      <c r="V823" s="48"/>
      <c r="W823" s="48"/>
      <c r="X823" s="48"/>
      <c r="Y823" s="48"/>
      <c r="Z823" s="47"/>
      <c r="AA823" s="70">
        <v>823</v>
      </c>
      <c r="AB823" s="70"/>
      <c r="AC823" s="71"/>
      <c r="AD823" s="86" t="s">
        <v>24437</v>
      </c>
      <c r="AE823" s="94" t="s">
        <v>25533</v>
      </c>
      <c r="AF823" s="86">
        <v>19174</v>
      </c>
      <c r="AG823" s="86">
        <v>5223</v>
      </c>
      <c r="AH823" s="86">
        <v>27550</v>
      </c>
      <c r="AI823" s="86">
        <v>38</v>
      </c>
      <c r="AJ823" s="86">
        <v>66672</v>
      </c>
      <c r="AK823" s="86">
        <v>1239</v>
      </c>
      <c r="AL823" s="86" t="b">
        <v>0</v>
      </c>
      <c r="AM823" s="89">
        <v>39987.720462962963</v>
      </c>
      <c r="AN823" s="86" t="s">
        <v>15234</v>
      </c>
      <c r="AO823" s="86" t="s">
        <v>27172</v>
      </c>
      <c r="AP823" s="96" t="str">
        <f>HYPERLINK("https://t.co/cx9Ne08Af8")</f>
        <v>https://t.co/cx9Ne08Af8</v>
      </c>
      <c r="AQ823" s="96" t="str">
        <f>HYPERLINK("https://linktr.ee/professorjulioreis")</f>
        <v>https://linktr.ee/professorjulioreis</v>
      </c>
      <c r="AR823" s="86" t="s">
        <v>28454</v>
      </c>
      <c r="AS823" s="86"/>
      <c r="AT823" s="86"/>
      <c r="AU823" s="86"/>
      <c r="AV823" s="86">
        <v>1.6401503457948401E+18</v>
      </c>
      <c r="AW823" s="96" t="str">
        <f>HYPERLINK("https://t.co/cx9Ne08Af8")</f>
        <v>https://t.co/cx9Ne08Af8</v>
      </c>
      <c r="AX823" s="86" t="b">
        <v>1</v>
      </c>
      <c r="AY823" s="86"/>
      <c r="AZ823" s="86"/>
      <c r="BA823" s="86" t="b">
        <v>1</v>
      </c>
      <c r="BB823" s="86" t="b">
        <v>1</v>
      </c>
      <c r="BC823" s="86" t="b">
        <v>1</v>
      </c>
      <c r="BD823" s="86" t="b">
        <v>0</v>
      </c>
      <c r="BE823" s="86" t="b">
        <v>1</v>
      </c>
      <c r="BF823" s="86" t="b">
        <v>0</v>
      </c>
      <c r="BG823" s="86" t="b">
        <v>0</v>
      </c>
      <c r="BH823" s="96" t="str">
        <f>HYPERLINK("https://pbs.twimg.com/profile_banners/50036480/1691286864")</f>
        <v>https://pbs.twimg.com/profile_banners/50036480/1691286864</v>
      </c>
      <c r="BI823" s="86"/>
      <c r="BJ823" s="86" t="s">
        <v>29134</v>
      </c>
      <c r="BK823" s="86" t="b">
        <v>0</v>
      </c>
      <c r="BL823" s="86"/>
      <c r="BM823" s="86" t="s">
        <v>66</v>
      </c>
      <c r="BN823" s="86" t="s">
        <v>29136</v>
      </c>
      <c r="BO823" s="96" t="str">
        <f>HYPERLINK("https://twitter.com/julioreis78")</f>
        <v>https://twitter.com/julioreis78</v>
      </c>
      <c r="BP823" s="2"/>
    </row>
    <row r="824" spans="1:68" x14ac:dyDescent="0.25">
      <c r="A824" s="63" t="s">
        <v>939</v>
      </c>
      <c r="B824" s="64"/>
      <c r="C824" s="64"/>
      <c r="D824" s="65"/>
      <c r="E824" s="67"/>
      <c r="F824" s="111" t="str">
        <f>HYPERLINK("https://pbs.twimg.com/profile_images/1692224259974705160/Je24WTUj_normal.jpg")</f>
        <v>https://pbs.twimg.com/profile_images/1692224259974705160/Je24WTUj_normal.jpg</v>
      </c>
      <c r="G824" s="64"/>
      <c r="H824" s="68"/>
      <c r="I824" s="69"/>
      <c r="J824" s="69"/>
      <c r="K824" s="68" t="s">
        <v>29957</v>
      </c>
      <c r="L824" s="72"/>
      <c r="M824" s="73"/>
      <c r="N824" s="73"/>
      <c r="O824" s="74"/>
      <c r="P824" s="75"/>
      <c r="Q824" s="75"/>
      <c r="R824" s="102"/>
      <c r="S824" s="102"/>
      <c r="T824" s="102"/>
      <c r="U824" s="102"/>
      <c r="V824" s="48"/>
      <c r="W824" s="48"/>
      <c r="X824" s="48"/>
      <c r="Y824" s="48"/>
      <c r="Z824" s="47"/>
      <c r="AA824" s="70">
        <v>824</v>
      </c>
      <c r="AB824" s="70"/>
      <c r="AC824" s="71"/>
      <c r="AD824" s="86" t="s">
        <v>24438</v>
      </c>
      <c r="AE824" s="94" t="s">
        <v>23206</v>
      </c>
      <c r="AF824" s="86">
        <v>356</v>
      </c>
      <c r="AG824" s="86">
        <v>502</v>
      </c>
      <c r="AH824" s="86">
        <v>1413</v>
      </c>
      <c r="AI824" s="86">
        <v>3</v>
      </c>
      <c r="AJ824" s="86">
        <v>9635</v>
      </c>
      <c r="AK824" s="86">
        <v>295</v>
      </c>
      <c r="AL824" s="86" t="b">
        <v>0</v>
      </c>
      <c r="AM824" s="89">
        <v>42986.772777777776</v>
      </c>
      <c r="AN824" s="86" t="s">
        <v>25913</v>
      </c>
      <c r="AO824" s="86" t="s">
        <v>27173</v>
      </c>
      <c r="AP824" s="96" t="str">
        <f>HYPERLINK("https://t.co/E6raVYuE3e")</f>
        <v>https://t.co/E6raVYuE3e</v>
      </c>
      <c r="AQ824" s="96" t="str">
        <f>HYPERLINK("https://www.jonesarruda.com/")</f>
        <v>https://www.jonesarruda.com/</v>
      </c>
      <c r="AR824" s="86" t="s">
        <v>28455</v>
      </c>
      <c r="AS824" s="86"/>
      <c r="AT824" s="86"/>
      <c r="AU824" s="86"/>
      <c r="AV824" s="86">
        <v>1.6633284832153001E+18</v>
      </c>
      <c r="AW824" s="96" t="str">
        <f>HYPERLINK("https://t.co/E6raVYuE3e")</f>
        <v>https://t.co/E6raVYuE3e</v>
      </c>
      <c r="AX824" s="86" t="b">
        <v>0</v>
      </c>
      <c r="AY824" s="86"/>
      <c r="AZ824" s="86"/>
      <c r="BA824" s="86" t="b">
        <v>1</v>
      </c>
      <c r="BB824" s="86" t="b">
        <v>0</v>
      </c>
      <c r="BC824" s="86" t="b">
        <v>1</v>
      </c>
      <c r="BD824" s="86" t="b">
        <v>0</v>
      </c>
      <c r="BE824" s="86" t="b">
        <v>1</v>
      </c>
      <c r="BF824" s="86" t="b">
        <v>0</v>
      </c>
      <c r="BG824" s="86" t="b">
        <v>0</v>
      </c>
      <c r="BH824" s="96" t="str">
        <f>HYPERLINK("https://pbs.twimg.com/profile_banners/906223813444210689/1649880536")</f>
        <v>https://pbs.twimg.com/profile_banners/906223813444210689/1649880536</v>
      </c>
      <c r="BI824" s="86"/>
      <c r="BJ824" s="86" t="s">
        <v>29134</v>
      </c>
      <c r="BK824" s="86" t="b">
        <v>0</v>
      </c>
      <c r="BL824" s="86"/>
      <c r="BM824" s="86" t="s">
        <v>66</v>
      </c>
      <c r="BN824" s="86" t="s">
        <v>29136</v>
      </c>
      <c r="BO824" s="96" t="str">
        <f>HYPERLINK("https://twitter.com/byjonesarruda")</f>
        <v>https://twitter.com/byjonesarruda</v>
      </c>
      <c r="BP824" s="2"/>
    </row>
    <row r="825" spans="1:68" x14ac:dyDescent="0.25">
      <c r="A825" s="63" t="s">
        <v>940</v>
      </c>
      <c r="B825" s="64"/>
      <c r="C825" s="64"/>
      <c r="D825" s="65"/>
      <c r="E825" s="67"/>
      <c r="F825" s="111" t="str">
        <f>HYPERLINK("https://pbs.twimg.com/profile_images/1702012204306886656/HTe9rmOc_normal.jpg")</f>
        <v>https://pbs.twimg.com/profile_images/1702012204306886656/HTe9rmOc_normal.jpg</v>
      </c>
      <c r="G825" s="64"/>
      <c r="H825" s="68"/>
      <c r="I825" s="69"/>
      <c r="J825" s="69"/>
      <c r="K825" s="68" t="s">
        <v>29958</v>
      </c>
      <c r="L825" s="72"/>
      <c r="M825" s="73"/>
      <c r="N825" s="73"/>
      <c r="O825" s="74"/>
      <c r="P825" s="75"/>
      <c r="Q825" s="75"/>
      <c r="R825" s="102"/>
      <c r="S825" s="102"/>
      <c r="T825" s="102"/>
      <c r="U825" s="102"/>
      <c r="V825" s="48"/>
      <c r="W825" s="48"/>
      <c r="X825" s="48"/>
      <c r="Y825" s="48"/>
      <c r="Z825" s="47"/>
      <c r="AA825" s="70">
        <v>825</v>
      </c>
      <c r="AB825" s="70"/>
      <c r="AC825" s="71"/>
      <c r="AD825" s="86" t="s">
        <v>24439</v>
      </c>
      <c r="AE825" s="94" t="s">
        <v>23207</v>
      </c>
      <c r="AF825" s="86">
        <v>1530</v>
      </c>
      <c r="AG825" s="86">
        <v>1460</v>
      </c>
      <c r="AH825" s="86">
        <v>6714</v>
      </c>
      <c r="AI825" s="86">
        <v>1</v>
      </c>
      <c r="AJ825" s="86">
        <v>70049</v>
      </c>
      <c r="AK825" s="86">
        <v>459</v>
      </c>
      <c r="AL825" s="86" t="b">
        <v>0</v>
      </c>
      <c r="AM825" s="89">
        <v>44131.473703703705</v>
      </c>
      <c r="AN825" s="86" t="s">
        <v>26176</v>
      </c>
      <c r="AO825" s="86" t="s">
        <v>27174</v>
      </c>
      <c r="AP825" s="96" t="str">
        <f>HYPERLINK("https://t.co/Sc5KJFkLzM")</f>
        <v>https://t.co/Sc5KJFkLzM</v>
      </c>
      <c r="AQ825" s="96" t="str">
        <f>HYPERLINK("http://instagram.com/pedrohcmeira")</f>
        <v>http://instagram.com/pedrohcmeira</v>
      </c>
      <c r="AR825" s="86" t="s">
        <v>28456</v>
      </c>
      <c r="AS825" s="86"/>
      <c r="AT825" s="86"/>
      <c r="AU825" s="86"/>
      <c r="AV825" s="86">
        <v>1.6258431171181801E+18</v>
      </c>
      <c r="AW825" s="96" t="str">
        <f>HYPERLINK("https://t.co/Sc5KJFkLzM")</f>
        <v>https://t.co/Sc5KJFkLzM</v>
      </c>
      <c r="AX825" s="86" t="b">
        <v>0</v>
      </c>
      <c r="AY825" s="86"/>
      <c r="AZ825" s="86"/>
      <c r="BA825" s="86" t="b">
        <v>0</v>
      </c>
      <c r="BB825" s="86" t="b">
        <v>0</v>
      </c>
      <c r="BC825" s="86" t="b">
        <v>1</v>
      </c>
      <c r="BD825" s="86" t="b">
        <v>0</v>
      </c>
      <c r="BE825" s="86" t="b">
        <v>1</v>
      </c>
      <c r="BF825" s="86" t="b">
        <v>0</v>
      </c>
      <c r="BG825" s="86" t="b">
        <v>0</v>
      </c>
      <c r="BH825" s="96" t="str">
        <f>HYPERLINK("https://pbs.twimg.com/profile_banners/1321049488803450881/1675904445")</f>
        <v>https://pbs.twimg.com/profile_banners/1321049488803450881/1675904445</v>
      </c>
      <c r="BI825" s="86"/>
      <c r="BJ825" s="86" t="s">
        <v>29134</v>
      </c>
      <c r="BK825" s="86" t="b">
        <v>0</v>
      </c>
      <c r="BL825" s="86"/>
      <c r="BM825" s="86" t="s">
        <v>66</v>
      </c>
      <c r="BN825" s="86" t="s">
        <v>29136</v>
      </c>
      <c r="BO825" s="96" t="str">
        <f>HYPERLINK("https://twitter.com/pedrohcmeira")</f>
        <v>https://twitter.com/pedrohcmeira</v>
      </c>
      <c r="BP825" s="2"/>
    </row>
    <row r="826" spans="1:68" x14ac:dyDescent="0.25">
      <c r="A826" s="63" t="s">
        <v>1709</v>
      </c>
      <c r="B826" s="64"/>
      <c r="C826" s="64"/>
      <c r="D826" s="65"/>
      <c r="E826" s="67"/>
      <c r="F826" s="111" t="str">
        <f>HYPERLINK("https://pbs.twimg.com/profile_images/1536520807895146497/EiUmmFXN_normal.jpg")</f>
        <v>https://pbs.twimg.com/profile_images/1536520807895146497/EiUmmFXN_normal.jpg</v>
      </c>
      <c r="G826" s="64"/>
      <c r="H826" s="68"/>
      <c r="I826" s="69"/>
      <c r="J826" s="69"/>
      <c r="K826" s="68" t="s">
        <v>29959</v>
      </c>
      <c r="L826" s="72"/>
      <c r="M826" s="73"/>
      <c r="N826" s="73"/>
      <c r="O826" s="74"/>
      <c r="P826" s="75"/>
      <c r="Q826" s="75"/>
      <c r="R826" s="102"/>
      <c r="S826" s="102"/>
      <c r="T826" s="102"/>
      <c r="U826" s="102"/>
      <c r="V826" s="48"/>
      <c r="W826" s="48"/>
      <c r="X826" s="48"/>
      <c r="Y826" s="48"/>
      <c r="Z826" s="47"/>
      <c r="AA826" s="70">
        <v>826</v>
      </c>
      <c r="AB826" s="70"/>
      <c r="AC826" s="71"/>
      <c r="AD826" s="86" t="s">
        <v>1709</v>
      </c>
      <c r="AE826" s="94" t="s">
        <v>22596</v>
      </c>
      <c r="AF826" s="86">
        <v>4832</v>
      </c>
      <c r="AG826" s="86">
        <v>626</v>
      </c>
      <c r="AH826" s="86">
        <v>21787</v>
      </c>
      <c r="AI826" s="86">
        <v>12</v>
      </c>
      <c r="AJ826" s="86">
        <v>35520</v>
      </c>
      <c r="AK826" s="86">
        <v>2152</v>
      </c>
      <c r="AL826" s="86" t="b">
        <v>0</v>
      </c>
      <c r="AM826" s="89">
        <v>40449.617291666669</v>
      </c>
      <c r="AN826" s="86" t="s">
        <v>15246</v>
      </c>
      <c r="AO826" s="86" t="s">
        <v>27175</v>
      </c>
      <c r="AP826" s="96" t="str">
        <f>HYPERLINK("https://t.co/9PaHiyH1pZ")</f>
        <v>https://t.co/9PaHiyH1pZ</v>
      </c>
      <c r="AQ826" s="96" t="str">
        <f>HYPERLINK("https://www.instagram.com/nasthadja/")</f>
        <v>https://www.instagram.com/nasthadja/</v>
      </c>
      <c r="AR826" s="86" t="s">
        <v>28457</v>
      </c>
      <c r="AS826" s="86"/>
      <c r="AT826" s="86"/>
      <c r="AU826" s="86"/>
      <c r="AV826" s="86">
        <v>1.4647433197754501E+18</v>
      </c>
      <c r="AW826" s="96" t="str">
        <f>HYPERLINK("https://t.co/9PaHiyH1pZ")</f>
        <v>https://t.co/9PaHiyH1pZ</v>
      </c>
      <c r="AX826" s="86" t="b">
        <v>0</v>
      </c>
      <c r="AY826" s="86"/>
      <c r="AZ826" s="86"/>
      <c r="BA826" s="86" t="b">
        <v>1</v>
      </c>
      <c r="BB826" s="86" t="b">
        <v>1</v>
      </c>
      <c r="BC826" s="86" t="b">
        <v>0</v>
      </c>
      <c r="BD826" s="86" t="b">
        <v>0</v>
      </c>
      <c r="BE826" s="86" t="b">
        <v>1</v>
      </c>
      <c r="BF826" s="86" t="b">
        <v>0</v>
      </c>
      <c r="BG826" s="86" t="b">
        <v>0</v>
      </c>
      <c r="BH826" s="96" t="str">
        <f>HYPERLINK("https://pbs.twimg.com/profile_banners/196185134/1570710471")</f>
        <v>https://pbs.twimg.com/profile_banners/196185134/1570710471</v>
      </c>
      <c r="BI826" s="86"/>
      <c r="BJ826" s="86" t="s">
        <v>29134</v>
      </c>
      <c r="BK826" s="86" t="b">
        <v>0</v>
      </c>
      <c r="BL826" s="86"/>
      <c r="BM826" s="86" t="s">
        <v>65</v>
      </c>
      <c r="BN826" s="86" t="s">
        <v>29136</v>
      </c>
      <c r="BO826" s="96" t="str">
        <f>HYPERLINK("https://twitter.com/nasthadja")</f>
        <v>https://twitter.com/nasthadja</v>
      </c>
      <c r="BP826" s="2"/>
    </row>
    <row r="827" spans="1:68" x14ac:dyDescent="0.25">
      <c r="A827" s="63" t="s">
        <v>941</v>
      </c>
      <c r="B827" s="64"/>
      <c r="C827" s="64"/>
      <c r="D827" s="65"/>
      <c r="E827" s="67"/>
      <c r="F827" s="111" t="str">
        <f>HYPERLINK("https://pbs.twimg.com/profile_images/1694033945648652288/kIhVAc_u_normal.jpg")</f>
        <v>https://pbs.twimg.com/profile_images/1694033945648652288/kIhVAc_u_normal.jpg</v>
      </c>
      <c r="G827" s="64"/>
      <c r="H827" s="68"/>
      <c r="I827" s="69"/>
      <c r="J827" s="69"/>
      <c r="K827" s="68" t="s">
        <v>29960</v>
      </c>
      <c r="L827" s="72"/>
      <c r="M827" s="73"/>
      <c r="N827" s="73"/>
      <c r="O827" s="74"/>
      <c r="P827" s="75"/>
      <c r="Q827" s="75"/>
      <c r="R827" s="102"/>
      <c r="S827" s="102"/>
      <c r="T827" s="102"/>
      <c r="U827" s="102"/>
      <c r="V827" s="48"/>
      <c r="W827" s="48"/>
      <c r="X827" s="48"/>
      <c r="Y827" s="48"/>
      <c r="Z827" s="47"/>
      <c r="AA827" s="70">
        <v>827</v>
      </c>
      <c r="AB827" s="70"/>
      <c r="AC827" s="71"/>
      <c r="AD827" s="86" t="s">
        <v>24440</v>
      </c>
      <c r="AE827" s="94" t="s">
        <v>23208</v>
      </c>
      <c r="AF827" s="86">
        <v>37</v>
      </c>
      <c r="AG827" s="86">
        <v>16</v>
      </c>
      <c r="AH827" s="86">
        <v>141</v>
      </c>
      <c r="AI827" s="86">
        <v>0</v>
      </c>
      <c r="AJ827" s="86">
        <v>146</v>
      </c>
      <c r="AK827" s="86">
        <v>136</v>
      </c>
      <c r="AL827" s="86" t="b">
        <v>0</v>
      </c>
      <c r="AM827" s="89">
        <v>44204.939942129633</v>
      </c>
      <c r="AN827" s="86" t="s">
        <v>26177</v>
      </c>
      <c r="AO827" s="86" t="s">
        <v>27176</v>
      </c>
      <c r="AP827" s="96" t="str">
        <f>HYPERLINK("https://t.co/wQqctvOUKs")</f>
        <v>https://t.co/wQqctvOUKs</v>
      </c>
      <c r="AQ827" s="96" t="str">
        <f>HYPERLINK("https://linktr.ee/tungalabel")</f>
        <v>https://linktr.ee/tungalabel</v>
      </c>
      <c r="AR827" s="86" t="s">
        <v>28458</v>
      </c>
      <c r="AS827" s="86"/>
      <c r="AT827" s="86"/>
      <c r="AU827" s="86"/>
      <c r="AV827" s="86">
        <v>1.6940003591892101E+18</v>
      </c>
      <c r="AW827" s="96" t="str">
        <f>HYPERLINK("https://t.co/wQqctvOUKs")</f>
        <v>https://t.co/wQqctvOUKs</v>
      </c>
      <c r="AX827" s="86" t="b">
        <v>0</v>
      </c>
      <c r="AY827" s="86"/>
      <c r="AZ827" s="86"/>
      <c r="BA827" s="86" t="b">
        <v>0</v>
      </c>
      <c r="BB827" s="86" t="b">
        <v>1</v>
      </c>
      <c r="BC827" s="86" t="b">
        <v>1</v>
      </c>
      <c r="BD827" s="86" t="b">
        <v>0</v>
      </c>
      <c r="BE827" s="86" t="b">
        <v>1</v>
      </c>
      <c r="BF827" s="86" t="b">
        <v>0</v>
      </c>
      <c r="BG827" s="86" t="b">
        <v>0</v>
      </c>
      <c r="BH827" s="96" t="str">
        <f>HYPERLINK("https://pbs.twimg.com/profile_banners/1347672719207387136/1692724100")</f>
        <v>https://pbs.twimg.com/profile_banners/1347672719207387136/1692724100</v>
      </c>
      <c r="BI827" s="86"/>
      <c r="BJ827" s="86" t="s">
        <v>29134</v>
      </c>
      <c r="BK827" s="86" t="b">
        <v>0</v>
      </c>
      <c r="BL827" s="86"/>
      <c r="BM827" s="86" t="s">
        <v>66</v>
      </c>
      <c r="BN827" s="86" t="s">
        <v>29136</v>
      </c>
      <c r="BO827" s="96" t="str">
        <f>HYPERLINK("https://twitter.com/tudosoonline")</f>
        <v>https://twitter.com/tudosoonline</v>
      </c>
      <c r="BP827" s="2"/>
    </row>
    <row r="828" spans="1:68" x14ac:dyDescent="0.25">
      <c r="A828" s="63" t="s">
        <v>943</v>
      </c>
      <c r="B828" s="64"/>
      <c r="C828" s="64"/>
      <c r="D828" s="65"/>
      <c r="E828" s="67"/>
      <c r="F828" s="111" t="str">
        <f>HYPERLINK("https://pbs.twimg.com/profile_images/1285720734673887233/AZckeSwB_normal.jpg")</f>
        <v>https://pbs.twimg.com/profile_images/1285720734673887233/AZckeSwB_normal.jpg</v>
      </c>
      <c r="G828" s="64"/>
      <c r="H828" s="68"/>
      <c r="I828" s="69"/>
      <c r="J828" s="69"/>
      <c r="K828" s="68" t="s">
        <v>29961</v>
      </c>
      <c r="L828" s="72"/>
      <c r="M828" s="73"/>
      <c r="N828" s="73"/>
      <c r="O828" s="74"/>
      <c r="P828" s="75"/>
      <c r="Q828" s="75"/>
      <c r="R828" s="102"/>
      <c r="S828" s="102"/>
      <c r="T828" s="102"/>
      <c r="U828" s="102"/>
      <c r="V828" s="48"/>
      <c r="W828" s="48"/>
      <c r="X828" s="48"/>
      <c r="Y828" s="48"/>
      <c r="Z828" s="47"/>
      <c r="AA828" s="70">
        <v>828</v>
      </c>
      <c r="AB828" s="70"/>
      <c r="AC828" s="71"/>
      <c r="AD828" s="86" t="s">
        <v>24441</v>
      </c>
      <c r="AE828" s="94" t="s">
        <v>25534</v>
      </c>
      <c r="AF828" s="86">
        <v>45</v>
      </c>
      <c r="AG828" s="86">
        <v>92</v>
      </c>
      <c r="AH828" s="86">
        <v>939</v>
      </c>
      <c r="AI828" s="86">
        <v>0</v>
      </c>
      <c r="AJ828" s="86">
        <v>7178</v>
      </c>
      <c r="AK828" s="86">
        <v>154</v>
      </c>
      <c r="AL828" s="86" t="b">
        <v>0</v>
      </c>
      <c r="AM828" s="89">
        <v>40316.14334490741</v>
      </c>
      <c r="AN828" s="86" t="s">
        <v>26178</v>
      </c>
      <c r="AO828" s="86" t="s">
        <v>27177</v>
      </c>
      <c r="AP828" s="96" t="str">
        <f>HYPERLINK("https://t.co/fx7wfC2OiY")</f>
        <v>https://t.co/fx7wfC2OiY</v>
      </c>
      <c r="AQ828" s="96" t="str">
        <f>HYPERLINK("http://soryguillen.jeunessglobal.com")</f>
        <v>http://soryguillen.jeunessglobal.com</v>
      </c>
      <c r="AR828" s="86" t="s">
        <v>28459</v>
      </c>
      <c r="AS828" s="86"/>
      <c r="AT828" s="86"/>
      <c r="AU828" s="86"/>
      <c r="AV828" s="86"/>
      <c r="AW828" s="96" t="str">
        <f>HYPERLINK("https://t.co/fx7wfC2OiY")</f>
        <v>https://t.co/fx7wfC2OiY</v>
      </c>
      <c r="AX828" s="86" t="b">
        <v>0</v>
      </c>
      <c r="AY828" s="86"/>
      <c r="AZ828" s="86"/>
      <c r="BA828" s="86" t="b">
        <v>0</v>
      </c>
      <c r="BB828" s="86" t="b">
        <v>0</v>
      </c>
      <c r="BC828" s="86" t="b">
        <v>0</v>
      </c>
      <c r="BD828" s="86" t="b">
        <v>0</v>
      </c>
      <c r="BE828" s="86" t="b">
        <v>0</v>
      </c>
      <c r="BF828" s="86" t="b">
        <v>0</v>
      </c>
      <c r="BG828" s="86" t="b">
        <v>0</v>
      </c>
      <c r="BH828" s="96" t="str">
        <f>HYPERLINK("https://pbs.twimg.com/profile_banners/145095756/1637811955")</f>
        <v>https://pbs.twimg.com/profile_banners/145095756/1637811955</v>
      </c>
      <c r="BI828" s="86"/>
      <c r="BJ828" s="86" t="s">
        <v>29134</v>
      </c>
      <c r="BK828" s="86" t="b">
        <v>0</v>
      </c>
      <c r="BL828" s="86"/>
      <c r="BM828" s="86" t="s">
        <v>66</v>
      </c>
      <c r="BN828" s="86" t="s">
        <v>29136</v>
      </c>
      <c r="BO828" s="96" t="str">
        <f>HYPERLINK("https://twitter.com/sorayaguillenl")</f>
        <v>https://twitter.com/sorayaguillenl</v>
      </c>
      <c r="BP828" s="2"/>
    </row>
    <row r="829" spans="1:68" x14ac:dyDescent="0.25">
      <c r="A829" s="63" t="s">
        <v>944</v>
      </c>
      <c r="B829" s="64"/>
      <c r="C829" s="64"/>
      <c r="D829" s="65"/>
      <c r="E829" s="67"/>
      <c r="F829" s="111" t="str">
        <f>HYPERLINK("https://pbs.twimg.com/profile_images/1490479855821111299/xXmuF76M_normal.jpg")</f>
        <v>https://pbs.twimg.com/profile_images/1490479855821111299/xXmuF76M_normal.jpg</v>
      </c>
      <c r="G829" s="64"/>
      <c r="H829" s="68"/>
      <c r="I829" s="69"/>
      <c r="J829" s="69"/>
      <c r="K829" s="68" t="s">
        <v>29962</v>
      </c>
      <c r="L829" s="72"/>
      <c r="M829" s="73"/>
      <c r="N829" s="73"/>
      <c r="O829" s="74"/>
      <c r="P829" s="75"/>
      <c r="Q829" s="75"/>
      <c r="R829" s="102"/>
      <c r="S829" s="102"/>
      <c r="T829" s="102"/>
      <c r="U829" s="102"/>
      <c r="V829" s="48"/>
      <c r="W829" s="48"/>
      <c r="X829" s="48"/>
      <c r="Y829" s="48"/>
      <c r="Z829" s="47"/>
      <c r="AA829" s="70">
        <v>829</v>
      </c>
      <c r="AB829" s="70"/>
      <c r="AC829" s="71"/>
      <c r="AD829" s="86" t="s">
        <v>24442</v>
      </c>
      <c r="AE829" s="94" t="s">
        <v>25535</v>
      </c>
      <c r="AF829" s="86">
        <v>89</v>
      </c>
      <c r="AG829" s="86">
        <v>128</v>
      </c>
      <c r="AH829" s="86">
        <v>1309</v>
      </c>
      <c r="AI829" s="86">
        <v>0</v>
      </c>
      <c r="AJ829" s="86">
        <v>1463</v>
      </c>
      <c r="AK829" s="86">
        <v>62</v>
      </c>
      <c r="AL829" s="86" t="b">
        <v>0</v>
      </c>
      <c r="AM829" s="89">
        <v>40353.005381944444</v>
      </c>
      <c r="AN829" s="86" t="s">
        <v>26179</v>
      </c>
      <c r="AO829" s="86" t="s">
        <v>27178</v>
      </c>
      <c r="AP829" s="86"/>
      <c r="AQ829" s="86"/>
      <c r="AR829" s="86"/>
      <c r="AS829" s="86"/>
      <c r="AT829" s="86"/>
      <c r="AU829" s="86"/>
      <c r="AV829" s="86"/>
      <c r="AW829" s="86"/>
      <c r="AX829" s="86" t="b">
        <v>0</v>
      </c>
      <c r="AY829" s="86"/>
      <c r="AZ829" s="86"/>
      <c r="BA829" s="86" t="b">
        <v>0</v>
      </c>
      <c r="BB829" s="86" t="b">
        <v>1</v>
      </c>
      <c r="BC829" s="86" t="b">
        <v>0</v>
      </c>
      <c r="BD829" s="86" t="b">
        <v>0</v>
      </c>
      <c r="BE829" s="86" t="b">
        <v>1</v>
      </c>
      <c r="BF829" s="86" t="b">
        <v>0</v>
      </c>
      <c r="BG829" s="86" t="b">
        <v>0</v>
      </c>
      <c r="BH829" s="96" t="str">
        <f>HYPERLINK("https://pbs.twimg.com/profile_banners/158909997/1660070001")</f>
        <v>https://pbs.twimg.com/profile_banners/158909997/1660070001</v>
      </c>
      <c r="BI829" s="86"/>
      <c r="BJ829" s="86" t="s">
        <v>29134</v>
      </c>
      <c r="BK829" s="86" t="b">
        <v>0</v>
      </c>
      <c r="BL829" s="86"/>
      <c r="BM829" s="86" t="s">
        <v>66</v>
      </c>
      <c r="BN829" s="86" t="s">
        <v>29136</v>
      </c>
      <c r="BO829" s="96" t="str">
        <f>HYPERLINK("https://twitter.com/alanpernanchini")</f>
        <v>https://twitter.com/alanpernanchini</v>
      </c>
      <c r="BP829" s="2"/>
    </row>
    <row r="830" spans="1:68" x14ac:dyDescent="0.25">
      <c r="A830" s="63" t="s">
        <v>945</v>
      </c>
      <c r="B830" s="64"/>
      <c r="C830" s="64"/>
      <c r="D830" s="65"/>
      <c r="E830" s="67"/>
      <c r="F830" s="111" t="str">
        <f>HYPERLINK("https://pbs.twimg.com/profile_images/1705717405417127936/Det3LB-f_normal.jpg")</f>
        <v>https://pbs.twimg.com/profile_images/1705717405417127936/Det3LB-f_normal.jpg</v>
      </c>
      <c r="G830" s="64"/>
      <c r="H830" s="68"/>
      <c r="I830" s="69"/>
      <c r="J830" s="69"/>
      <c r="K830" s="68" t="s">
        <v>29963</v>
      </c>
      <c r="L830" s="72"/>
      <c r="M830" s="73"/>
      <c r="N830" s="73"/>
      <c r="O830" s="74"/>
      <c r="P830" s="75"/>
      <c r="Q830" s="75"/>
      <c r="R830" s="102"/>
      <c r="S830" s="102"/>
      <c r="T830" s="102"/>
      <c r="U830" s="102"/>
      <c r="V830" s="48"/>
      <c r="W830" s="48"/>
      <c r="X830" s="48"/>
      <c r="Y830" s="48"/>
      <c r="Z830" s="47"/>
      <c r="AA830" s="70">
        <v>830</v>
      </c>
      <c r="AB830" s="70"/>
      <c r="AC830" s="71"/>
      <c r="AD830" s="86" t="s">
        <v>24443</v>
      </c>
      <c r="AE830" s="94" t="s">
        <v>23210</v>
      </c>
      <c r="AF830" s="86">
        <v>3</v>
      </c>
      <c r="AG830" s="86">
        <v>55</v>
      </c>
      <c r="AH830" s="86">
        <v>8</v>
      </c>
      <c r="AI830" s="86">
        <v>0</v>
      </c>
      <c r="AJ830" s="86">
        <v>10</v>
      </c>
      <c r="AK830" s="86">
        <v>1</v>
      </c>
      <c r="AL830" s="86" t="b">
        <v>0</v>
      </c>
      <c r="AM830" s="89">
        <v>44848.44122685185</v>
      </c>
      <c r="AN830" s="86" t="s">
        <v>26180</v>
      </c>
      <c r="AO830" s="86" t="s">
        <v>27179</v>
      </c>
      <c r="AP830" s="96" t="str">
        <f>HYPERLINK("https://t.co/N3jfGTgnne")</f>
        <v>https://t.co/N3jfGTgnne</v>
      </c>
      <c r="AQ830" s="96" t="str">
        <f>HYPERLINK("http://linktr.ee/roabreu93")</f>
        <v>http://linktr.ee/roabreu93</v>
      </c>
      <c r="AR830" s="86" t="s">
        <v>28460</v>
      </c>
      <c r="AS830" s="86"/>
      <c r="AT830" s="86"/>
      <c r="AU830" s="86"/>
      <c r="AV830" s="86"/>
      <c r="AW830" s="96" t="str">
        <f>HYPERLINK("https://t.co/N3jfGTgnne")</f>
        <v>https://t.co/N3jfGTgnne</v>
      </c>
      <c r="AX830" s="86" t="b">
        <v>0</v>
      </c>
      <c r="AY830" s="86"/>
      <c r="AZ830" s="86"/>
      <c r="BA830" s="86" t="b">
        <v>1</v>
      </c>
      <c r="BB830" s="86" t="b">
        <v>1</v>
      </c>
      <c r="BC830" s="86" t="b">
        <v>1</v>
      </c>
      <c r="BD830" s="86" t="b">
        <v>0</v>
      </c>
      <c r="BE830" s="86" t="b">
        <v>0</v>
      </c>
      <c r="BF830" s="86" t="b">
        <v>0</v>
      </c>
      <c r="BG830" s="86" t="b">
        <v>0</v>
      </c>
      <c r="BH830" s="96" t="str">
        <f>HYPERLINK("https://pbs.twimg.com/profile_banners/1580869645015388162/1695591194")</f>
        <v>https://pbs.twimg.com/profile_banners/1580869645015388162/1695591194</v>
      </c>
      <c r="BI830" s="86"/>
      <c r="BJ830" s="86" t="s">
        <v>29134</v>
      </c>
      <c r="BK830" s="86" t="b">
        <v>0</v>
      </c>
      <c r="BL830" s="86"/>
      <c r="BM830" s="86" t="s">
        <v>66</v>
      </c>
      <c r="BN830" s="86" t="s">
        <v>29136</v>
      </c>
      <c r="BO830" s="96" t="str">
        <f>HYPERLINK("https://twitter.com/roabreu93")</f>
        <v>https://twitter.com/roabreu93</v>
      </c>
      <c r="BP830" s="2"/>
    </row>
    <row r="831" spans="1:68" x14ac:dyDescent="0.25">
      <c r="A831" s="63" t="s">
        <v>946</v>
      </c>
      <c r="B831" s="64"/>
      <c r="C831" s="64"/>
      <c r="D831" s="65"/>
      <c r="E831" s="67"/>
      <c r="F831" s="111" t="str">
        <f>HYPERLINK("https://pbs.twimg.com/profile_images/1415512895694192642/XJzUsfr9_normal.jpg")</f>
        <v>https://pbs.twimg.com/profile_images/1415512895694192642/XJzUsfr9_normal.jpg</v>
      </c>
      <c r="G831" s="64"/>
      <c r="H831" s="68"/>
      <c r="I831" s="69"/>
      <c r="J831" s="69"/>
      <c r="K831" s="68" t="s">
        <v>29964</v>
      </c>
      <c r="L831" s="72"/>
      <c r="M831" s="73"/>
      <c r="N831" s="73"/>
      <c r="O831" s="74"/>
      <c r="P831" s="75"/>
      <c r="Q831" s="75"/>
      <c r="R831" s="102"/>
      <c r="S831" s="102"/>
      <c r="T831" s="102"/>
      <c r="U831" s="102"/>
      <c r="V831" s="48"/>
      <c r="W831" s="48"/>
      <c r="X831" s="48"/>
      <c r="Y831" s="48"/>
      <c r="Z831" s="47"/>
      <c r="AA831" s="70">
        <v>831</v>
      </c>
      <c r="AB831" s="70"/>
      <c r="AC831" s="71"/>
      <c r="AD831" s="86" t="s">
        <v>24444</v>
      </c>
      <c r="AE831" s="94" t="s">
        <v>25536</v>
      </c>
      <c r="AF831" s="86">
        <v>8009</v>
      </c>
      <c r="AG831" s="86">
        <v>1477</v>
      </c>
      <c r="AH831" s="86">
        <v>11652</v>
      </c>
      <c r="AI831" s="86">
        <v>72</v>
      </c>
      <c r="AJ831" s="86">
        <v>847</v>
      </c>
      <c r="AK831" s="86">
        <v>1928</v>
      </c>
      <c r="AL831" s="86" t="b">
        <v>0</v>
      </c>
      <c r="AM831" s="89">
        <v>39948.767974537041</v>
      </c>
      <c r="AN831" s="86" t="s">
        <v>26181</v>
      </c>
      <c r="AO831" s="86" t="s">
        <v>27180</v>
      </c>
      <c r="AP831" s="96" t="str">
        <f>HYPERLINK("https://t.co/i3djhFfW8P")</f>
        <v>https://t.co/i3djhFfW8P</v>
      </c>
      <c r="AQ831" s="96" t="str">
        <f>HYPERLINK("http://www.universidadefm.ufma.br")</f>
        <v>http://www.universidadefm.ufma.br</v>
      </c>
      <c r="AR831" s="86" t="s">
        <v>28133</v>
      </c>
      <c r="AS831" s="86"/>
      <c r="AT831" s="86"/>
      <c r="AU831" s="86"/>
      <c r="AV831" s="86"/>
      <c r="AW831" s="96" t="str">
        <f>HYPERLINK("https://t.co/i3djhFfW8P")</f>
        <v>https://t.co/i3djhFfW8P</v>
      </c>
      <c r="AX831" s="86" t="b">
        <v>0</v>
      </c>
      <c r="AY831" s="86"/>
      <c r="AZ831" s="86"/>
      <c r="BA831" s="86" t="b">
        <v>0</v>
      </c>
      <c r="BB831" s="86" t="b">
        <v>1</v>
      </c>
      <c r="BC831" s="86" t="b">
        <v>0</v>
      </c>
      <c r="BD831" s="86" t="b">
        <v>0</v>
      </c>
      <c r="BE831" s="86" t="b">
        <v>0</v>
      </c>
      <c r="BF831" s="86" t="b">
        <v>0</v>
      </c>
      <c r="BG831" s="86" t="b">
        <v>0</v>
      </c>
      <c r="BH831" s="96" t="str">
        <f>HYPERLINK("https://pbs.twimg.com/profile_banners/40299874/1626342672")</f>
        <v>https://pbs.twimg.com/profile_banners/40299874/1626342672</v>
      </c>
      <c r="BI831" s="86"/>
      <c r="BJ831" s="86" t="s">
        <v>29134</v>
      </c>
      <c r="BK831" s="86" t="b">
        <v>0</v>
      </c>
      <c r="BL831" s="86"/>
      <c r="BM831" s="86" t="s">
        <v>66</v>
      </c>
      <c r="BN831" s="86" t="s">
        <v>29136</v>
      </c>
      <c r="BO831" s="96" t="str">
        <f>HYPERLINK("https://twitter.com/universidadefm")</f>
        <v>https://twitter.com/universidadefm</v>
      </c>
      <c r="BP831" s="2"/>
    </row>
    <row r="832" spans="1:68" x14ac:dyDescent="0.25">
      <c r="A832" s="63" t="s">
        <v>947</v>
      </c>
      <c r="B832" s="64"/>
      <c r="C832" s="64"/>
      <c r="D832" s="65"/>
      <c r="E832" s="67"/>
      <c r="F832" s="111" t="str">
        <f>HYPERLINK("https://pbs.twimg.com/profile_images/1658443903442251778/cilBNgXW_normal.jpg")</f>
        <v>https://pbs.twimg.com/profile_images/1658443903442251778/cilBNgXW_normal.jpg</v>
      </c>
      <c r="G832" s="64"/>
      <c r="H832" s="68"/>
      <c r="I832" s="69"/>
      <c r="J832" s="69"/>
      <c r="K832" s="68" t="s">
        <v>29965</v>
      </c>
      <c r="L832" s="72"/>
      <c r="M832" s="73"/>
      <c r="N832" s="73"/>
      <c r="O832" s="74"/>
      <c r="P832" s="75"/>
      <c r="Q832" s="75"/>
      <c r="R832" s="102"/>
      <c r="S832" s="102"/>
      <c r="T832" s="102"/>
      <c r="U832" s="102"/>
      <c r="V832" s="48"/>
      <c r="W832" s="48"/>
      <c r="X832" s="48"/>
      <c r="Y832" s="48"/>
      <c r="Z832" s="47"/>
      <c r="AA832" s="70">
        <v>832</v>
      </c>
      <c r="AB832" s="70"/>
      <c r="AC832" s="71"/>
      <c r="AD832" s="86" t="s">
        <v>24445</v>
      </c>
      <c r="AE832" s="94" t="s">
        <v>23211</v>
      </c>
      <c r="AF832" s="86">
        <v>1</v>
      </c>
      <c r="AG832" s="86">
        <v>1</v>
      </c>
      <c r="AH832" s="86">
        <v>29</v>
      </c>
      <c r="AI832" s="86">
        <v>1</v>
      </c>
      <c r="AJ832" s="86">
        <v>0</v>
      </c>
      <c r="AK832" s="86">
        <v>29</v>
      </c>
      <c r="AL832" s="86" t="b">
        <v>0</v>
      </c>
      <c r="AM832" s="89">
        <v>45048.152141203704</v>
      </c>
      <c r="AN832" s="86"/>
      <c r="AO832" s="86" t="s">
        <v>27181</v>
      </c>
      <c r="AP832" s="86"/>
      <c r="AQ832" s="86"/>
      <c r="AR832" s="86"/>
      <c r="AS832" s="86"/>
      <c r="AT832" s="86"/>
      <c r="AU832" s="86"/>
      <c r="AV832" s="86"/>
      <c r="AW832" s="86"/>
      <c r="AX832" s="86" t="b">
        <v>0</v>
      </c>
      <c r="AY832" s="86"/>
      <c r="AZ832" s="86"/>
      <c r="BA832" s="86" t="b">
        <v>0</v>
      </c>
      <c r="BB832" s="86" t="b">
        <v>1</v>
      </c>
      <c r="BC832" s="86" t="b">
        <v>1</v>
      </c>
      <c r="BD832" s="86" t="b">
        <v>0</v>
      </c>
      <c r="BE832" s="86" t="b">
        <v>0</v>
      </c>
      <c r="BF832" s="86" t="b">
        <v>0</v>
      </c>
      <c r="BG832" s="86" t="b">
        <v>0</v>
      </c>
      <c r="BH832" s="96" t="str">
        <f>HYPERLINK("https://pbs.twimg.com/profile_banners/1653242522926305286/1685091379")</f>
        <v>https://pbs.twimg.com/profile_banners/1653242522926305286/1685091379</v>
      </c>
      <c r="BI832" s="86"/>
      <c r="BJ832" s="86" t="s">
        <v>29134</v>
      </c>
      <c r="BK832" s="86" t="b">
        <v>0</v>
      </c>
      <c r="BL832" s="86"/>
      <c r="BM832" s="86" t="s">
        <v>66</v>
      </c>
      <c r="BN832" s="86" t="s">
        <v>29136</v>
      </c>
      <c r="BO832" s="96" t="str">
        <f>HYPERLINK("https://twitter.com/eclcontabil")</f>
        <v>https://twitter.com/eclcontabil</v>
      </c>
      <c r="BP832" s="2"/>
    </row>
    <row r="833" spans="1:68" x14ac:dyDescent="0.25">
      <c r="A833" s="63" t="s">
        <v>948</v>
      </c>
      <c r="B833" s="64"/>
      <c r="C833" s="64"/>
      <c r="D833" s="65"/>
      <c r="E833" s="67"/>
      <c r="F833" s="111" t="str">
        <f>HYPERLINK("https://pbs.twimg.com/profile_images/1587581443294781441/1mCepP3x_normal.jpg")</f>
        <v>https://pbs.twimg.com/profile_images/1587581443294781441/1mCepP3x_normal.jpg</v>
      </c>
      <c r="G833" s="64"/>
      <c r="H833" s="68"/>
      <c r="I833" s="69"/>
      <c r="J833" s="69"/>
      <c r="K833" s="68" t="s">
        <v>29966</v>
      </c>
      <c r="L833" s="72"/>
      <c r="M833" s="73"/>
      <c r="N833" s="73"/>
      <c r="O833" s="74"/>
      <c r="P833" s="75"/>
      <c r="Q833" s="75"/>
      <c r="R833" s="102"/>
      <c r="S833" s="102"/>
      <c r="T833" s="102"/>
      <c r="U833" s="102"/>
      <c r="V833" s="48"/>
      <c r="W833" s="48"/>
      <c r="X833" s="48"/>
      <c r="Y833" s="48"/>
      <c r="Z833" s="47"/>
      <c r="AA833" s="70">
        <v>833</v>
      </c>
      <c r="AB833" s="70"/>
      <c r="AC833" s="71"/>
      <c r="AD833" s="86" t="s">
        <v>24446</v>
      </c>
      <c r="AE833" s="94" t="s">
        <v>25537</v>
      </c>
      <c r="AF833" s="86">
        <v>1629</v>
      </c>
      <c r="AG833" s="86">
        <v>1226</v>
      </c>
      <c r="AH833" s="86">
        <v>3488</v>
      </c>
      <c r="AI833" s="86">
        <v>15</v>
      </c>
      <c r="AJ833" s="86">
        <v>41</v>
      </c>
      <c r="AK833" s="86">
        <v>305</v>
      </c>
      <c r="AL833" s="86" t="b">
        <v>0</v>
      </c>
      <c r="AM833" s="89">
        <v>39947.727430555555</v>
      </c>
      <c r="AN833" s="86" t="s">
        <v>26182</v>
      </c>
      <c r="AO833" s="86" t="s">
        <v>27182</v>
      </c>
      <c r="AP833" s="86"/>
      <c r="AQ833" s="86"/>
      <c r="AR833" s="86"/>
      <c r="AS833" s="86"/>
      <c r="AT833" s="86"/>
      <c r="AU833" s="86"/>
      <c r="AV833" s="86"/>
      <c r="AW833" s="86"/>
      <c r="AX833" s="86" t="b">
        <v>0</v>
      </c>
      <c r="AY833" s="86"/>
      <c r="AZ833" s="86"/>
      <c r="BA833" s="86" t="b">
        <v>0</v>
      </c>
      <c r="BB833" s="86" t="b">
        <v>1</v>
      </c>
      <c r="BC833" s="86" t="b">
        <v>0</v>
      </c>
      <c r="BD833" s="86" t="b">
        <v>0</v>
      </c>
      <c r="BE833" s="86" t="b">
        <v>1</v>
      </c>
      <c r="BF833" s="86" t="b">
        <v>0</v>
      </c>
      <c r="BG833" s="86" t="b">
        <v>0</v>
      </c>
      <c r="BH833" s="96" t="str">
        <f>HYPERLINK("https://pbs.twimg.com/profile_banners/40040727/1675253798")</f>
        <v>https://pbs.twimg.com/profile_banners/40040727/1675253798</v>
      </c>
      <c r="BI833" s="86"/>
      <c r="BJ833" s="86" t="s">
        <v>29134</v>
      </c>
      <c r="BK833" s="86" t="b">
        <v>0</v>
      </c>
      <c r="BL833" s="86"/>
      <c r="BM833" s="86" t="s">
        <v>66</v>
      </c>
      <c r="BN833" s="86" t="s">
        <v>29136</v>
      </c>
      <c r="BO833" s="96" t="str">
        <f>HYPERLINK("https://twitter.com/murilogaldinopb")</f>
        <v>https://twitter.com/murilogaldinopb</v>
      </c>
      <c r="BP833" s="2"/>
    </row>
    <row r="834" spans="1:68" x14ac:dyDescent="0.25">
      <c r="A834" s="63" t="s">
        <v>949</v>
      </c>
      <c r="B834" s="64"/>
      <c r="C834" s="64"/>
      <c r="D834" s="65"/>
      <c r="E834" s="67"/>
      <c r="F834" s="111" t="str">
        <f>HYPERLINK("https://pbs.twimg.com/profile_images/1232779965231484929/uCllHVNU_normal.jpg")</f>
        <v>https://pbs.twimg.com/profile_images/1232779965231484929/uCllHVNU_normal.jpg</v>
      </c>
      <c r="G834" s="64"/>
      <c r="H834" s="68"/>
      <c r="I834" s="69"/>
      <c r="J834" s="69"/>
      <c r="K834" s="68" t="s">
        <v>29967</v>
      </c>
      <c r="L834" s="72"/>
      <c r="M834" s="73"/>
      <c r="N834" s="73"/>
      <c r="O834" s="74"/>
      <c r="P834" s="75"/>
      <c r="Q834" s="75"/>
      <c r="R834" s="102"/>
      <c r="S834" s="102"/>
      <c r="T834" s="102"/>
      <c r="U834" s="102"/>
      <c r="V834" s="48"/>
      <c r="W834" s="48"/>
      <c r="X834" s="48"/>
      <c r="Y834" s="48"/>
      <c r="Z834" s="47"/>
      <c r="AA834" s="70">
        <v>834</v>
      </c>
      <c r="AB834" s="70"/>
      <c r="AC834" s="71"/>
      <c r="AD834" s="86" t="s">
        <v>24447</v>
      </c>
      <c r="AE834" s="94" t="s">
        <v>23212</v>
      </c>
      <c r="AF834" s="86">
        <v>54</v>
      </c>
      <c r="AG834" s="86">
        <v>331</v>
      </c>
      <c r="AH834" s="86">
        <v>252</v>
      </c>
      <c r="AI834" s="86">
        <v>1</v>
      </c>
      <c r="AJ834" s="86">
        <v>257</v>
      </c>
      <c r="AK834" s="86">
        <v>209</v>
      </c>
      <c r="AL834" s="86" t="b">
        <v>0</v>
      </c>
      <c r="AM834" s="89">
        <v>43009.129120370373</v>
      </c>
      <c r="AN834" s="86" t="s">
        <v>26183</v>
      </c>
      <c r="AO834" s="86" t="s">
        <v>27183</v>
      </c>
      <c r="AP834" s="96" t="str">
        <f>HYPERLINK("https://t.co/dP8zYWdUL3")</f>
        <v>https://t.co/dP8zYWdUL3</v>
      </c>
      <c r="AQ834" s="96" t="str">
        <f>HYPERLINK("https://hofmk.com.br")</f>
        <v>https://hofmk.com.br</v>
      </c>
      <c r="AR834" s="86" t="s">
        <v>28461</v>
      </c>
      <c r="AS834" s="86"/>
      <c r="AT834" s="86"/>
      <c r="AU834" s="86"/>
      <c r="AV834" s="86"/>
      <c r="AW834" s="96" t="str">
        <f>HYPERLINK("https://t.co/dP8zYWdUL3")</f>
        <v>https://t.co/dP8zYWdUL3</v>
      </c>
      <c r="AX834" s="86" t="b">
        <v>0</v>
      </c>
      <c r="AY834" s="86"/>
      <c r="AZ834" s="86"/>
      <c r="BA834" s="86" t="b">
        <v>0</v>
      </c>
      <c r="BB834" s="86" t="b">
        <v>1</v>
      </c>
      <c r="BC834" s="86" t="b">
        <v>0</v>
      </c>
      <c r="BD834" s="86" t="b">
        <v>0</v>
      </c>
      <c r="BE834" s="86" t="b">
        <v>0</v>
      </c>
      <c r="BF834" s="86" t="b">
        <v>0</v>
      </c>
      <c r="BG834" s="86" t="b">
        <v>0</v>
      </c>
      <c r="BH834" s="96" t="str">
        <f>HYPERLINK("https://pbs.twimg.com/profile_banners/914325477707350017/1582752776")</f>
        <v>https://pbs.twimg.com/profile_banners/914325477707350017/1582752776</v>
      </c>
      <c r="BI834" s="86"/>
      <c r="BJ834" s="86" t="s">
        <v>29134</v>
      </c>
      <c r="BK834" s="86" t="b">
        <v>0</v>
      </c>
      <c r="BL834" s="86"/>
      <c r="BM834" s="86" t="s">
        <v>66</v>
      </c>
      <c r="BN834" s="86" t="s">
        <v>29136</v>
      </c>
      <c r="BO834" s="96" t="str">
        <f>HYPERLINK("https://twitter.com/hofmkt")</f>
        <v>https://twitter.com/hofmkt</v>
      </c>
      <c r="BP834" s="2"/>
    </row>
    <row r="835" spans="1:68" x14ac:dyDescent="0.25">
      <c r="A835" s="63" t="s">
        <v>950</v>
      </c>
      <c r="B835" s="64"/>
      <c r="C835" s="64"/>
      <c r="D835" s="65"/>
      <c r="E835" s="67"/>
      <c r="F835" s="111" t="str">
        <f>HYPERLINK("https://pbs.twimg.com/profile_images/1693462355424714752/Ymc13L7a_normal.jpg")</f>
        <v>https://pbs.twimg.com/profile_images/1693462355424714752/Ymc13L7a_normal.jpg</v>
      </c>
      <c r="G835" s="64"/>
      <c r="H835" s="68"/>
      <c r="I835" s="69"/>
      <c r="J835" s="69"/>
      <c r="K835" s="68" t="s">
        <v>29968</v>
      </c>
      <c r="L835" s="72"/>
      <c r="M835" s="73"/>
      <c r="N835" s="73"/>
      <c r="O835" s="74"/>
      <c r="P835" s="75"/>
      <c r="Q835" s="75"/>
      <c r="R835" s="102"/>
      <c r="S835" s="102"/>
      <c r="T835" s="102"/>
      <c r="U835" s="102"/>
      <c r="V835" s="48"/>
      <c r="W835" s="48"/>
      <c r="X835" s="48"/>
      <c r="Y835" s="48"/>
      <c r="Z835" s="47"/>
      <c r="AA835" s="70">
        <v>835</v>
      </c>
      <c r="AB835" s="70"/>
      <c r="AC835" s="71"/>
      <c r="AD835" s="86" t="s">
        <v>24448</v>
      </c>
      <c r="AE835" s="94" t="s">
        <v>25538</v>
      </c>
      <c r="AF835" s="86">
        <v>64</v>
      </c>
      <c r="AG835" s="86">
        <v>173</v>
      </c>
      <c r="AH835" s="86">
        <v>2068</v>
      </c>
      <c r="AI835" s="86">
        <v>0</v>
      </c>
      <c r="AJ835" s="86">
        <v>47</v>
      </c>
      <c r="AK835" s="86">
        <v>307</v>
      </c>
      <c r="AL835" s="86" t="b">
        <v>0</v>
      </c>
      <c r="AM835" s="89">
        <v>39987.754386574074</v>
      </c>
      <c r="AN835" s="86" t="s">
        <v>26184</v>
      </c>
      <c r="AO835" s="86" t="s">
        <v>27184</v>
      </c>
      <c r="AP835" s="96" t="str">
        <f>HYPERLINK("https://t.co/AKKi0L7f6r")</f>
        <v>https://t.co/AKKi0L7f6r</v>
      </c>
      <c r="AQ835" s="96" t="str">
        <f>HYPERLINK("https://bit.ly/3Oq02h1")</f>
        <v>https://bit.ly/3Oq02h1</v>
      </c>
      <c r="AR835" s="86" t="s">
        <v>28462</v>
      </c>
      <c r="AS835" s="86"/>
      <c r="AT835" s="86"/>
      <c r="AU835" s="86"/>
      <c r="AV835" s="86"/>
      <c r="AW835" s="96" t="str">
        <f>HYPERLINK("https://t.co/AKKi0L7f6r")</f>
        <v>https://t.co/AKKi0L7f6r</v>
      </c>
      <c r="AX835" s="86" t="b">
        <v>0</v>
      </c>
      <c r="AY835" s="86"/>
      <c r="AZ835" s="86"/>
      <c r="BA835" s="86" t="b">
        <v>0</v>
      </c>
      <c r="BB835" s="86" t="b">
        <v>1</v>
      </c>
      <c r="BC835" s="86" t="b">
        <v>0</v>
      </c>
      <c r="BD835" s="86" t="b">
        <v>0</v>
      </c>
      <c r="BE835" s="86" t="b">
        <v>0</v>
      </c>
      <c r="BF835" s="86" t="b">
        <v>0</v>
      </c>
      <c r="BG835" s="86" t="b">
        <v>0</v>
      </c>
      <c r="BH835" s="96" t="str">
        <f>HYPERLINK("https://pbs.twimg.com/profile_banners/50050828/1681585201")</f>
        <v>https://pbs.twimg.com/profile_banners/50050828/1681585201</v>
      </c>
      <c r="BI835" s="86"/>
      <c r="BJ835" s="86" t="s">
        <v>29134</v>
      </c>
      <c r="BK835" s="86" t="b">
        <v>0</v>
      </c>
      <c r="BL835" s="86"/>
      <c r="BM835" s="86" t="s">
        <v>66</v>
      </c>
      <c r="BN835" s="86" t="s">
        <v>29136</v>
      </c>
      <c r="BO835" s="96" t="str">
        <f>HYPERLINK("https://twitter.com/proffavoretto")</f>
        <v>https://twitter.com/proffavoretto</v>
      </c>
      <c r="BP835" s="2"/>
    </row>
    <row r="836" spans="1:68" x14ac:dyDescent="0.25">
      <c r="A836" s="63" t="s">
        <v>951</v>
      </c>
      <c r="B836" s="64"/>
      <c r="C836" s="64"/>
      <c r="D836" s="65"/>
      <c r="E836" s="67"/>
      <c r="F836" s="111" t="str">
        <f>HYPERLINK("https://pbs.twimg.com/profile_images/1643797366296674305/LhL8NSmF_normal.jpg")</f>
        <v>https://pbs.twimg.com/profile_images/1643797366296674305/LhL8NSmF_normal.jpg</v>
      </c>
      <c r="G836" s="64"/>
      <c r="H836" s="68"/>
      <c r="I836" s="69"/>
      <c r="J836" s="69"/>
      <c r="K836" s="68" t="s">
        <v>29969</v>
      </c>
      <c r="L836" s="72"/>
      <c r="M836" s="73"/>
      <c r="N836" s="73"/>
      <c r="O836" s="74"/>
      <c r="P836" s="75"/>
      <c r="Q836" s="75"/>
      <c r="R836" s="102"/>
      <c r="S836" s="102"/>
      <c r="T836" s="102"/>
      <c r="U836" s="102"/>
      <c r="V836" s="48"/>
      <c r="W836" s="48"/>
      <c r="X836" s="48"/>
      <c r="Y836" s="48"/>
      <c r="Z836" s="47"/>
      <c r="AA836" s="70">
        <v>836</v>
      </c>
      <c r="AB836" s="70"/>
      <c r="AC836" s="71"/>
      <c r="AD836" s="86" t="s">
        <v>951</v>
      </c>
      <c r="AE836" s="94" t="s">
        <v>22597</v>
      </c>
      <c r="AF836" s="86">
        <v>445</v>
      </c>
      <c r="AG836" s="86">
        <v>2062</v>
      </c>
      <c r="AH836" s="86">
        <v>27516</v>
      </c>
      <c r="AI836" s="86">
        <v>12</v>
      </c>
      <c r="AJ836" s="86">
        <v>675</v>
      </c>
      <c r="AK836" s="86">
        <v>4621</v>
      </c>
      <c r="AL836" s="86" t="b">
        <v>0</v>
      </c>
      <c r="AM836" s="89">
        <v>39568.994363425925</v>
      </c>
      <c r="AN836" s="86" t="s">
        <v>25970</v>
      </c>
      <c r="AO836" s="86" t="s">
        <v>27185</v>
      </c>
      <c r="AP836" s="96" t="str">
        <f>HYPERLINK("https://t.co/zwxT0bIQQt")</f>
        <v>https://t.co/zwxT0bIQQt</v>
      </c>
      <c r="AQ836" s="96" t="str">
        <f>HYPERLINK("https://linktr.ee/metalomega")</f>
        <v>https://linktr.ee/metalomega</v>
      </c>
      <c r="AR836" s="86" t="s">
        <v>28463</v>
      </c>
      <c r="AS836" s="96" t="str">
        <f>HYPERLINK("https://t.co/kOJMFH7zdc")</f>
        <v>https://t.co/kOJMFH7zdc</v>
      </c>
      <c r="AT836" s="96" t="str">
        <f>HYPERLINK("http://linktr.ee/metalomega")</f>
        <v>http://linktr.ee/metalomega</v>
      </c>
      <c r="AU836" s="86" t="s">
        <v>28463</v>
      </c>
      <c r="AV836" s="86">
        <v>1.64391173794131E+18</v>
      </c>
      <c r="AW836" s="96" t="str">
        <f>HYPERLINK("https://t.co/zwxT0bIQQt")</f>
        <v>https://t.co/zwxT0bIQQt</v>
      </c>
      <c r="AX836" s="86" t="b">
        <v>0</v>
      </c>
      <c r="AY836" s="86"/>
      <c r="AZ836" s="86"/>
      <c r="BA836" s="86" t="b">
        <v>0</v>
      </c>
      <c r="BB836" s="86" t="b">
        <v>1</v>
      </c>
      <c r="BC836" s="86" t="b">
        <v>0</v>
      </c>
      <c r="BD836" s="86" t="b">
        <v>0</v>
      </c>
      <c r="BE836" s="86" t="b">
        <v>1</v>
      </c>
      <c r="BF836" s="86" t="b">
        <v>0</v>
      </c>
      <c r="BG836" s="86" t="b">
        <v>0</v>
      </c>
      <c r="BH836" s="96" t="str">
        <f>HYPERLINK("https://pbs.twimg.com/profile_banners/14607858/1680746808")</f>
        <v>https://pbs.twimg.com/profile_banners/14607858/1680746808</v>
      </c>
      <c r="BI836" s="86"/>
      <c r="BJ836" s="86" t="s">
        <v>29134</v>
      </c>
      <c r="BK836" s="86" t="b">
        <v>0</v>
      </c>
      <c r="BL836" s="86"/>
      <c r="BM836" s="86" t="s">
        <v>66</v>
      </c>
      <c r="BN836" s="86" t="s">
        <v>29136</v>
      </c>
      <c r="BO836" s="96" t="str">
        <f>HYPERLINK("https://twitter.com/metalomega")</f>
        <v>https://twitter.com/metalomega</v>
      </c>
      <c r="BP836" s="2"/>
    </row>
    <row r="837" spans="1:68" x14ac:dyDescent="0.25">
      <c r="A837" s="63" t="s">
        <v>1710</v>
      </c>
      <c r="B837" s="64"/>
      <c r="C837" s="64"/>
      <c r="D837" s="65"/>
      <c r="E837" s="67"/>
      <c r="F837" s="111" t="str">
        <f>HYPERLINK("https://pbs.twimg.com/profile_images/568478932/I_Paulo_Mumia_-_AG_G_736D9D_normal.jpg")</f>
        <v>https://pbs.twimg.com/profile_images/568478932/I_Paulo_Mumia_-_AG_G_736D9D_normal.jpg</v>
      </c>
      <c r="G837" s="64"/>
      <c r="H837" s="68"/>
      <c r="I837" s="69"/>
      <c r="J837" s="69"/>
      <c r="K837" s="68" t="s">
        <v>29970</v>
      </c>
      <c r="L837" s="72"/>
      <c r="M837" s="73"/>
      <c r="N837" s="73"/>
      <c r="O837" s="74"/>
      <c r="P837" s="75"/>
      <c r="Q837" s="75"/>
      <c r="R837" s="102"/>
      <c r="S837" s="102"/>
      <c r="T837" s="102"/>
      <c r="U837" s="102"/>
      <c r="V837" s="48"/>
      <c r="W837" s="48"/>
      <c r="X837" s="48"/>
      <c r="Y837" s="48"/>
      <c r="Z837" s="47"/>
      <c r="AA837" s="70">
        <v>837</v>
      </c>
      <c r="AB837" s="70"/>
      <c r="AC837" s="71"/>
      <c r="AD837" s="86" t="s">
        <v>24449</v>
      </c>
      <c r="AE837" s="94" t="s">
        <v>25539</v>
      </c>
      <c r="AF837" s="86">
        <v>1147557</v>
      </c>
      <c r="AG837" s="86">
        <v>98</v>
      </c>
      <c r="AH837" s="86">
        <v>2223</v>
      </c>
      <c r="AI837" s="86">
        <v>4055</v>
      </c>
      <c r="AJ837" s="86">
        <v>9</v>
      </c>
      <c r="AK837" s="86">
        <v>88</v>
      </c>
      <c r="AL837" s="86" t="b">
        <v>0</v>
      </c>
      <c r="AM837" s="89">
        <v>39961.655613425923</v>
      </c>
      <c r="AN837" s="86" t="s">
        <v>26185</v>
      </c>
      <c r="AO837" s="86" t="s">
        <v>27186</v>
      </c>
      <c r="AP837" s="96" t="str">
        <f>HYPERLINK("https://t.co/UCkrU2G2yn")</f>
        <v>https://t.co/UCkrU2G2yn</v>
      </c>
      <c r="AQ837" s="96" t="str">
        <f>HYPERLINK("http://yrbrasil.com.br")</f>
        <v>http://yrbrasil.com.br</v>
      </c>
      <c r="AR837" s="86" t="s">
        <v>28464</v>
      </c>
      <c r="AS837" s="86"/>
      <c r="AT837" s="86"/>
      <c r="AU837" s="86"/>
      <c r="AV837" s="86"/>
      <c r="AW837" s="96" t="str">
        <f>HYPERLINK("https://t.co/UCkrU2G2yn")</f>
        <v>https://t.co/UCkrU2G2yn</v>
      </c>
      <c r="AX837" s="86" t="b">
        <v>1</v>
      </c>
      <c r="AY837" s="86"/>
      <c r="AZ837" s="86"/>
      <c r="BA837" s="86" t="b">
        <v>0</v>
      </c>
      <c r="BB837" s="86" t="b">
        <v>1</v>
      </c>
      <c r="BC837" s="86" t="b">
        <v>0</v>
      </c>
      <c r="BD837" s="86" t="b">
        <v>0</v>
      </c>
      <c r="BE837" s="86" t="b">
        <v>0</v>
      </c>
      <c r="BF837" s="86" t="b">
        <v>0</v>
      </c>
      <c r="BG837" s="86" t="b">
        <v>0</v>
      </c>
      <c r="BH837" s="86"/>
      <c r="BI837" s="86"/>
      <c r="BJ837" s="86" t="s">
        <v>29134</v>
      </c>
      <c r="BK837" s="86" t="b">
        <v>0</v>
      </c>
      <c r="BL837" s="86"/>
      <c r="BM837" s="86" t="s">
        <v>65</v>
      </c>
      <c r="BN837" s="86" t="s">
        <v>29136</v>
      </c>
      <c r="BO837" s="96" t="str">
        <f>HYPERLINK("https://twitter.com/robertoljustus")</f>
        <v>https://twitter.com/robertoljustus</v>
      </c>
      <c r="BP837" s="2"/>
    </row>
    <row r="838" spans="1:68" x14ac:dyDescent="0.25">
      <c r="A838" s="63" t="s">
        <v>952</v>
      </c>
      <c r="B838" s="64"/>
      <c r="C838" s="64"/>
      <c r="D838" s="65"/>
      <c r="E838" s="67"/>
      <c r="F838" s="111" t="str">
        <f>HYPERLINK("https://pbs.twimg.com/profile_images/1349694579449192448/GSIvJT0u_normal.jpg")</f>
        <v>https://pbs.twimg.com/profile_images/1349694579449192448/GSIvJT0u_normal.jpg</v>
      </c>
      <c r="G838" s="64"/>
      <c r="H838" s="68"/>
      <c r="I838" s="69"/>
      <c r="J838" s="69"/>
      <c r="K838" s="68" t="s">
        <v>29971</v>
      </c>
      <c r="L838" s="72"/>
      <c r="M838" s="73"/>
      <c r="N838" s="73"/>
      <c r="O838" s="74"/>
      <c r="P838" s="75"/>
      <c r="Q838" s="75"/>
      <c r="R838" s="102"/>
      <c r="S838" s="102"/>
      <c r="T838" s="102"/>
      <c r="U838" s="102"/>
      <c r="V838" s="48"/>
      <c r="W838" s="48"/>
      <c r="X838" s="48"/>
      <c r="Y838" s="48"/>
      <c r="Z838" s="47"/>
      <c r="AA838" s="70">
        <v>838</v>
      </c>
      <c r="AB838" s="70"/>
      <c r="AC838" s="71"/>
      <c r="AD838" s="86" t="s">
        <v>24450</v>
      </c>
      <c r="AE838" s="94" t="s">
        <v>25540</v>
      </c>
      <c r="AF838" s="86">
        <v>83</v>
      </c>
      <c r="AG838" s="86">
        <v>27</v>
      </c>
      <c r="AH838" s="86">
        <v>95</v>
      </c>
      <c r="AI838" s="86">
        <v>0</v>
      </c>
      <c r="AJ838" s="86">
        <v>24</v>
      </c>
      <c r="AK838" s="86">
        <v>38</v>
      </c>
      <c r="AL838" s="86" t="b">
        <v>0</v>
      </c>
      <c r="AM838" s="89">
        <v>40893.731562499997</v>
      </c>
      <c r="AN838" s="86" t="s">
        <v>15234</v>
      </c>
      <c r="AO838" s="86" t="s">
        <v>27187</v>
      </c>
      <c r="AP838" s="96" t="str">
        <f>HYPERLINK("https://t.co/oJ4ZCNQ1oW")</f>
        <v>https://t.co/oJ4ZCNQ1oW</v>
      </c>
      <c r="AQ838" s="96" t="str">
        <f>HYPERLINK("http://www.ricardorocha.com.br")</f>
        <v>http://www.ricardorocha.com.br</v>
      </c>
      <c r="AR838" s="86" t="s">
        <v>28465</v>
      </c>
      <c r="AS838" s="86"/>
      <c r="AT838" s="86"/>
      <c r="AU838" s="86"/>
      <c r="AV838" s="86"/>
      <c r="AW838" s="96" t="str">
        <f>HYPERLINK("https://t.co/oJ4ZCNQ1oW")</f>
        <v>https://t.co/oJ4ZCNQ1oW</v>
      </c>
      <c r="AX838" s="86" t="b">
        <v>1</v>
      </c>
      <c r="AY838" s="86"/>
      <c r="AZ838" s="86"/>
      <c r="BA838" s="86" t="b">
        <v>0</v>
      </c>
      <c r="BB838" s="86" t="b">
        <v>1</v>
      </c>
      <c r="BC838" s="86" t="b">
        <v>1</v>
      </c>
      <c r="BD838" s="86" t="b">
        <v>0</v>
      </c>
      <c r="BE838" s="86" t="b">
        <v>0</v>
      </c>
      <c r="BF838" s="86" t="b">
        <v>0</v>
      </c>
      <c r="BG838" s="86" t="b">
        <v>0</v>
      </c>
      <c r="BH838" s="96" t="str">
        <f>HYPERLINK("https://pbs.twimg.com/profile_banners/438508804/1629226624")</f>
        <v>https://pbs.twimg.com/profile_banners/438508804/1629226624</v>
      </c>
      <c r="BI838" s="86"/>
      <c r="BJ838" s="86" t="s">
        <v>29134</v>
      </c>
      <c r="BK838" s="86" t="b">
        <v>0</v>
      </c>
      <c r="BL838" s="86"/>
      <c r="BM838" s="86" t="s">
        <v>66</v>
      </c>
      <c r="BN838" s="86" t="s">
        <v>29136</v>
      </c>
      <c r="BO838" s="96" t="str">
        <f>HYPERLINK("https://twitter.com/ricardorocha_rr")</f>
        <v>https://twitter.com/ricardorocha_rr</v>
      </c>
      <c r="BP838" s="2"/>
    </row>
    <row r="839" spans="1:68" x14ac:dyDescent="0.25">
      <c r="A839" s="63" t="s">
        <v>953</v>
      </c>
      <c r="B839" s="64"/>
      <c r="C839" s="64"/>
      <c r="D839" s="65"/>
      <c r="E839" s="67"/>
      <c r="F839" s="111" t="str">
        <f>HYPERLINK("https://pbs.twimg.com/profile_images/1186680720477036545/_u0W1BQD_normal.jpg")</f>
        <v>https://pbs.twimg.com/profile_images/1186680720477036545/_u0W1BQD_normal.jpg</v>
      </c>
      <c r="G839" s="64"/>
      <c r="H839" s="68"/>
      <c r="I839" s="69"/>
      <c r="J839" s="69"/>
      <c r="K839" s="68" t="s">
        <v>29972</v>
      </c>
      <c r="L839" s="72"/>
      <c r="M839" s="73"/>
      <c r="N839" s="73"/>
      <c r="O839" s="74"/>
      <c r="P839" s="75"/>
      <c r="Q839" s="75"/>
      <c r="R839" s="102"/>
      <c r="S839" s="102"/>
      <c r="T839" s="102"/>
      <c r="U839" s="102"/>
      <c r="V839" s="48"/>
      <c r="W839" s="48"/>
      <c r="X839" s="48"/>
      <c r="Y839" s="48"/>
      <c r="Z839" s="47"/>
      <c r="AA839" s="70">
        <v>839</v>
      </c>
      <c r="AB839" s="70"/>
      <c r="AC839" s="71"/>
      <c r="AD839" s="86" t="s">
        <v>24451</v>
      </c>
      <c r="AE839" s="94" t="s">
        <v>25541</v>
      </c>
      <c r="AF839" s="86">
        <v>3611</v>
      </c>
      <c r="AG839" s="86">
        <v>17</v>
      </c>
      <c r="AH839" s="86">
        <v>973</v>
      </c>
      <c r="AI839" s="86">
        <v>13</v>
      </c>
      <c r="AJ839" s="86">
        <v>9</v>
      </c>
      <c r="AK839" s="86">
        <v>641</v>
      </c>
      <c r="AL839" s="86" t="b">
        <v>0</v>
      </c>
      <c r="AM839" s="89">
        <v>40161.475462962961</v>
      </c>
      <c r="AN839" s="86" t="s">
        <v>15378</v>
      </c>
      <c r="AO839" s="86" t="s">
        <v>27188</v>
      </c>
      <c r="AP839" s="96" t="str">
        <f>HYPERLINK("https://t.co/tTGASZRFdg")</f>
        <v>https://t.co/tTGASZRFdg</v>
      </c>
      <c r="AQ839" s="96" t="str">
        <f>HYPERLINK("https://linktr.ee/orcosecontabilidade")</f>
        <v>https://linktr.ee/orcosecontabilidade</v>
      </c>
      <c r="AR839" s="86" t="s">
        <v>28466</v>
      </c>
      <c r="AS839" s="86"/>
      <c r="AT839" s="86"/>
      <c r="AU839" s="86"/>
      <c r="AV839" s="86"/>
      <c r="AW839" s="96" t="str">
        <f>HYPERLINK("https://t.co/tTGASZRFdg")</f>
        <v>https://t.co/tTGASZRFdg</v>
      </c>
      <c r="AX839" s="86" t="b">
        <v>0</v>
      </c>
      <c r="AY839" s="86"/>
      <c r="AZ839" s="86"/>
      <c r="BA839" s="86" t="b">
        <v>1</v>
      </c>
      <c r="BB839" s="86" t="b">
        <v>1</v>
      </c>
      <c r="BC839" s="86" t="b">
        <v>0</v>
      </c>
      <c r="BD839" s="86" t="b">
        <v>0</v>
      </c>
      <c r="BE839" s="86" t="b">
        <v>0</v>
      </c>
      <c r="BF839" s="86" t="b">
        <v>0</v>
      </c>
      <c r="BG839" s="86" t="b">
        <v>0</v>
      </c>
      <c r="BH839" s="96" t="str">
        <f>HYPERLINK("https://pbs.twimg.com/profile_banners/96743223/1631221620")</f>
        <v>https://pbs.twimg.com/profile_banners/96743223/1631221620</v>
      </c>
      <c r="BI839" s="86"/>
      <c r="BJ839" s="86" t="s">
        <v>29134</v>
      </c>
      <c r="BK839" s="86" t="b">
        <v>0</v>
      </c>
      <c r="BL839" s="86"/>
      <c r="BM839" s="86" t="s">
        <v>66</v>
      </c>
      <c r="BN839" s="86" t="s">
        <v>29136</v>
      </c>
      <c r="BO839" s="96" t="str">
        <f>HYPERLINK("https://twitter.com/orcose")</f>
        <v>https://twitter.com/orcose</v>
      </c>
      <c r="BP839" s="2"/>
    </row>
    <row r="840" spans="1:68" x14ac:dyDescent="0.25">
      <c r="A840" s="63" t="s">
        <v>954</v>
      </c>
      <c r="B840" s="64"/>
      <c r="C840" s="64"/>
      <c r="D840" s="65"/>
      <c r="E840" s="67"/>
      <c r="F840" s="111" t="str">
        <f>HYPERLINK("https://pbs.twimg.com/profile_images/1254875934043312131/U_wsJ9uK_normal.jpg")</f>
        <v>https://pbs.twimg.com/profile_images/1254875934043312131/U_wsJ9uK_normal.jpg</v>
      </c>
      <c r="G840" s="64"/>
      <c r="H840" s="68"/>
      <c r="I840" s="69"/>
      <c r="J840" s="69"/>
      <c r="K840" s="68" t="s">
        <v>29973</v>
      </c>
      <c r="L840" s="72"/>
      <c r="M840" s="73"/>
      <c r="N840" s="73"/>
      <c r="O840" s="74"/>
      <c r="P840" s="75"/>
      <c r="Q840" s="75"/>
      <c r="R840" s="102"/>
      <c r="S840" s="102"/>
      <c r="T840" s="102"/>
      <c r="U840" s="102"/>
      <c r="V840" s="48"/>
      <c r="W840" s="48"/>
      <c r="X840" s="48"/>
      <c r="Y840" s="48"/>
      <c r="Z840" s="47"/>
      <c r="AA840" s="70">
        <v>840</v>
      </c>
      <c r="AB840" s="70"/>
      <c r="AC840" s="71"/>
      <c r="AD840" s="86" t="s">
        <v>24452</v>
      </c>
      <c r="AE840" s="94" t="s">
        <v>25542</v>
      </c>
      <c r="AF840" s="86">
        <v>18</v>
      </c>
      <c r="AG840" s="86">
        <v>1</v>
      </c>
      <c r="AH840" s="86">
        <v>832</v>
      </c>
      <c r="AI840" s="86">
        <v>0</v>
      </c>
      <c r="AJ840" s="86">
        <v>3</v>
      </c>
      <c r="AK840" s="86">
        <v>830</v>
      </c>
      <c r="AL840" s="86" t="b">
        <v>0</v>
      </c>
      <c r="AM840" s="89">
        <v>40686.834548611114</v>
      </c>
      <c r="AN840" s="86" t="s">
        <v>26186</v>
      </c>
      <c r="AO840" s="86" t="s">
        <v>27189</v>
      </c>
      <c r="AP840" s="86"/>
      <c r="AQ840" s="86"/>
      <c r="AR840" s="86"/>
      <c r="AS840" s="86"/>
      <c r="AT840" s="86"/>
      <c r="AU840" s="86"/>
      <c r="AV840" s="86"/>
      <c r="AW840" s="86"/>
      <c r="AX840" s="86" t="b">
        <v>0</v>
      </c>
      <c r="AY840" s="86"/>
      <c r="AZ840" s="86"/>
      <c r="BA840" s="86" t="b">
        <v>0</v>
      </c>
      <c r="BB840" s="86" t="b">
        <v>1</v>
      </c>
      <c r="BC840" s="86" t="b">
        <v>1</v>
      </c>
      <c r="BD840" s="86" t="b">
        <v>0</v>
      </c>
      <c r="BE840" s="86" t="b">
        <v>0</v>
      </c>
      <c r="BF840" s="86" t="b">
        <v>0</v>
      </c>
      <c r="BG840" s="86" t="b">
        <v>0</v>
      </c>
      <c r="BH840" s="96" t="str">
        <f>HYPERLINK("https://pbs.twimg.com/profile_banners/304018689/1588433149")</f>
        <v>https://pbs.twimg.com/profile_banners/304018689/1588433149</v>
      </c>
      <c r="BI840" s="86"/>
      <c r="BJ840" s="86" t="s">
        <v>29134</v>
      </c>
      <c r="BK840" s="86" t="b">
        <v>0</v>
      </c>
      <c r="BL840" s="86"/>
      <c r="BM840" s="86" t="s">
        <v>66</v>
      </c>
      <c r="BN840" s="86" t="s">
        <v>29136</v>
      </c>
      <c r="BO840" s="96" t="str">
        <f>HYPERLINK("https://twitter.com/andlopezga")</f>
        <v>https://twitter.com/andlopezga</v>
      </c>
      <c r="BP840" s="2"/>
    </row>
    <row r="841" spans="1:68" x14ac:dyDescent="0.25">
      <c r="A841" s="63" t="s">
        <v>955</v>
      </c>
      <c r="B841" s="64"/>
      <c r="C841" s="64"/>
      <c r="D841" s="65"/>
      <c r="E841" s="67"/>
      <c r="F841" s="111" t="str">
        <f>HYPERLINK("https://pbs.twimg.com/profile_images/1039966314960437248/yKL_4LvX_normal.jpg")</f>
        <v>https://pbs.twimg.com/profile_images/1039966314960437248/yKL_4LvX_normal.jpg</v>
      </c>
      <c r="G841" s="64"/>
      <c r="H841" s="68"/>
      <c r="I841" s="69"/>
      <c r="J841" s="69"/>
      <c r="K841" s="68" t="s">
        <v>29974</v>
      </c>
      <c r="L841" s="72"/>
      <c r="M841" s="73"/>
      <c r="N841" s="73"/>
      <c r="O841" s="74"/>
      <c r="P841" s="75"/>
      <c r="Q841" s="75"/>
      <c r="R841" s="102"/>
      <c r="S841" s="102"/>
      <c r="T841" s="102"/>
      <c r="U841" s="102"/>
      <c r="V841" s="48"/>
      <c r="W841" s="48"/>
      <c r="X841" s="48"/>
      <c r="Y841" s="48"/>
      <c r="Z841" s="47"/>
      <c r="AA841" s="70">
        <v>841</v>
      </c>
      <c r="AB841" s="70"/>
      <c r="AC841" s="71"/>
      <c r="AD841" s="86" t="s">
        <v>24453</v>
      </c>
      <c r="AE841" s="94" t="s">
        <v>23213</v>
      </c>
      <c r="AF841" s="86">
        <v>8041</v>
      </c>
      <c r="AG841" s="86">
        <v>6496</v>
      </c>
      <c r="AH841" s="86">
        <v>175242</v>
      </c>
      <c r="AI841" s="86">
        <v>76</v>
      </c>
      <c r="AJ841" s="86">
        <v>20739</v>
      </c>
      <c r="AK841" s="86">
        <v>19</v>
      </c>
      <c r="AL841" s="86" t="b">
        <v>0</v>
      </c>
      <c r="AM841" s="89">
        <v>43355.830046296294</v>
      </c>
      <c r="AN841" s="86" t="s">
        <v>26187</v>
      </c>
      <c r="AO841" s="86" t="s">
        <v>27190</v>
      </c>
      <c r="AP841" s="96" t="str">
        <f>HYPERLINK("https://t.co/9DDpfIA8Ge")</f>
        <v>https://t.co/9DDpfIA8Ge</v>
      </c>
      <c r="AQ841" s="96" t="str">
        <f>HYPERLINK("https://www.k12prospects.com/")</f>
        <v>https://www.k12prospects.com/</v>
      </c>
      <c r="AR841" s="86" t="s">
        <v>28467</v>
      </c>
      <c r="AS841" s="86"/>
      <c r="AT841" s="86"/>
      <c r="AU841" s="86"/>
      <c r="AV841" s="86">
        <v>1.2530046307889001E+18</v>
      </c>
      <c r="AW841" s="96" t="str">
        <f>HYPERLINK("https://t.co/9DDpfIA8Ge")</f>
        <v>https://t.co/9DDpfIA8Ge</v>
      </c>
      <c r="AX841" s="86" t="b">
        <v>0</v>
      </c>
      <c r="AY841" s="86"/>
      <c r="AZ841" s="86"/>
      <c r="BA841" s="86" t="b">
        <v>0</v>
      </c>
      <c r="BB841" s="86" t="b">
        <v>1</v>
      </c>
      <c r="BC841" s="86" t="b">
        <v>0</v>
      </c>
      <c r="BD841" s="86" t="b">
        <v>0</v>
      </c>
      <c r="BE841" s="86" t="b">
        <v>0</v>
      </c>
      <c r="BF841" s="86" t="b">
        <v>0</v>
      </c>
      <c r="BG841" s="86" t="b">
        <v>0</v>
      </c>
      <c r="BH841" s="96" t="str">
        <f>HYPERLINK("https://pbs.twimg.com/profile_banners/1039965688000126977/1643812421")</f>
        <v>https://pbs.twimg.com/profile_banners/1039965688000126977/1643812421</v>
      </c>
      <c r="BI841" s="86"/>
      <c r="BJ841" s="86" t="s">
        <v>29134</v>
      </c>
      <c r="BK841" s="86" t="b">
        <v>0</v>
      </c>
      <c r="BL841" s="86"/>
      <c r="BM841" s="86" t="s">
        <v>66</v>
      </c>
      <c r="BN841" s="86" t="s">
        <v>29136</v>
      </c>
      <c r="BO841" s="96" t="str">
        <f>HYPERLINK("https://twitter.com/markj_ohnson")</f>
        <v>https://twitter.com/markj_ohnson</v>
      </c>
      <c r="BP841" s="2"/>
    </row>
    <row r="842" spans="1:68" x14ac:dyDescent="0.25">
      <c r="A842" s="63" t="s">
        <v>1077</v>
      </c>
      <c r="B842" s="64"/>
      <c r="C842" s="64"/>
      <c r="D842" s="65"/>
      <c r="E842" s="67"/>
      <c r="F842" s="111" t="str">
        <f>HYPERLINK("https://pbs.twimg.com/profile_images/1458805266313588740/ttp5YCbv_normal.jpg")</f>
        <v>https://pbs.twimg.com/profile_images/1458805266313588740/ttp5YCbv_normal.jpg</v>
      </c>
      <c r="G842" s="64"/>
      <c r="H842" s="68"/>
      <c r="I842" s="69"/>
      <c r="J842" s="69"/>
      <c r="K842" s="68" t="s">
        <v>29975</v>
      </c>
      <c r="L842" s="72"/>
      <c r="M842" s="73"/>
      <c r="N842" s="73"/>
      <c r="O842" s="74"/>
      <c r="P842" s="75"/>
      <c r="Q842" s="75"/>
      <c r="R842" s="102"/>
      <c r="S842" s="102"/>
      <c r="T842" s="102"/>
      <c r="U842" s="102"/>
      <c r="V842" s="48"/>
      <c r="W842" s="48"/>
      <c r="X842" s="48"/>
      <c r="Y842" s="48"/>
      <c r="Z842" s="47"/>
      <c r="AA842" s="70">
        <v>842</v>
      </c>
      <c r="AB842" s="70"/>
      <c r="AC842" s="71"/>
      <c r="AD842" s="86" t="s">
        <v>24454</v>
      </c>
      <c r="AE842" s="94" t="s">
        <v>23281</v>
      </c>
      <c r="AF842" s="86">
        <v>2369</v>
      </c>
      <c r="AG842" s="86">
        <v>4782</v>
      </c>
      <c r="AH842" s="86">
        <v>55003</v>
      </c>
      <c r="AI842" s="86">
        <v>26</v>
      </c>
      <c r="AJ842" s="86">
        <v>22328</v>
      </c>
      <c r="AK842" s="86">
        <v>33493</v>
      </c>
      <c r="AL842" s="86" t="b">
        <v>0</v>
      </c>
      <c r="AM842" s="89">
        <v>42720.049675925926</v>
      </c>
      <c r="AN842" s="86" t="s">
        <v>26188</v>
      </c>
      <c r="AO842" s="86" t="s">
        <v>27191</v>
      </c>
      <c r="AP842" s="96" t="str">
        <f>HYPERLINK("https://t.co/3WZUIL5QdV")</f>
        <v>https://t.co/3WZUIL5QdV</v>
      </c>
      <c r="AQ842" s="96" t="str">
        <f>HYPERLINK("http://k12Prospects.com")</f>
        <v>http://k12Prospects.com</v>
      </c>
      <c r="AR842" s="86" t="s">
        <v>28468</v>
      </c>
      <c r="AS842" s="86"/>
      <c r="AT842" s="86"/>
      <c r="AU842" s="86"/>
      <c r="AV842" s="86">
        <v>1.2784087848393999E+18</v>
      </c>
      <c r="AW842" s="96" t="str">
        <f>HYPERLINK("https://t.co/3WZUIL5QdV")</f>
        <v>https://t.co/3WZUIL5QdV</v>
      </c>
      <c r="AX842" s="86" t="b">
        <v>0</v>
      </c>
      <c r="AY842" s="86"/>
      <c r="AZ842" s="86"/>
      <c r="BA842" s="86" t="b">
        <v>0</v>
      </c>
      <c r="BB842" s="86" t="b">
        <v>0</v>
      </c>
      <c r="BC842" s="86" t="b">
        <v>0</v>
      </c>
      <c r="BD842" s="86" t="b">
        <v>0</v>
      </c>
      <c r="BE842" s="86" t="b">
        <v>0</v>
      </c>
      <c r="BF842" s="86" t="b">
        <v>0</v>
      </c>
      <c r="BG842" s="86" t="b">
        <v>0</v>
      </c>
      <c r="BH842" s="96" t="str">
        <f>HYPERLINK("https://pbs.twimg.com/profile_banners/809566594900836352/1587735032")</f>
        <v>https://pbs.twimg.com/profile_banners/809566594900836352/1587735032</v>
      </c>
      <c r="BI842" s="86"/>
      <c r="BJ842" s="86" t="s">
        <v>29134</v>
      </c>
      <c r="BK842" s="86" t="b">
        <v>0</v>
      </c>
      <c r="BL842" s="86"/>
      <c r="BM842" s="86" t="s">
        <v>66</v>
      </c>
      <c r="BN842" s="86" t="s">
        <v>29136</v>
      </c>
      <c r="BO842" s="96" t="str">
        <f>HYPERLINK("https://twitter.com/k12prospects")</f>
        <v>https://twitter.com/k12prospects</v>
      </c>
      <c r="BP842" s="2"/>
    </row>
    <row r="843" spans="1:68" x14ac:dyDescent="0.25">
      <c r="A843" s="63" t="s">
        <v>956</v>
      </c>
      <c r="B843" s="64"/>
      <c r="C843" s="64"/>
      <c r="D843" s="65"/>
      <c r="E843" s="67"/>
      <c r="F843" s="111" t="str">
        <f>HYPERLINK("https://pbs.twimg.com/profile_images/1567333581227261952/qb2C9388_normal.jpg")</f>
        <v>https://pbs.twimg.com/profile_images/1567333581227261952/qb2C9388_normal.jpg</v>
      </c>
      <c r="G843" s="64"/>
      <c r="H843" s="68"/>
      <c r="I843" s="69"/>
      <c r="J843" s="69"/>
      <c r="K843" s="68" t="s">
        <v>29976</v>
      </c>
      <c r="L843" s="72"/>
      <c r="M843" s="73"/>
      <c r="N843" s="73"/>
      <c r="O843" s="74"/>
      <c r="P843" s="75"/>
      <c r="Q843" s="75"/>
      <c r="R843" s="102"/>
      <c r="S843" s="102"/>
      <c r="T843" s="102"/>
      <c r="U843" s="102"/>
      <c r="V843" s="48"/>
      <c r="W843" s="48"/>
      <c r="X843" s="48"/>
      <c r="Y843" s="48"/>
      <c r="Z843" s="47"/>
      <c r="AA843" s="70">
        <v>843</v>
      </c>
      <c r="AB843" s="70"/>
      <c r="AC843" s="71"/>
      <c r="AD843" s="86" t="s">
        <v>24455</v>
      </c>
      <c r="AE843" s="94" t="s">
        <v>25543</v>
      </c>
      <c r="AF843" s="86">
        <v>680</v>
      </c>
      <c r="AG843" s="86">
        <v>296</v>
      </c>
      <c r="AH843" s="86">
        <v>41740</v>
      </c>
      <c r="AI843" s="86">
        <v>15</v>
      </c>
      <c r="AJ843" s="86">
        <v>13037</v>
      </c>
      <c r="AK843" s="86">
        <v>5984</v>
      </c>
      <c r="AL843" s="86" t="b">
        <v>0</v>
      </c>
      <c r="AM843" s="89">
        <v>40603.48541666667</v>
      </c>
      <c r="AN843" s="86" t="s">
        <v>26189</v>
      </c>
      <c r="AO843" s="86" t="s">
        <v>27192</v>
      </c>
      <c r="AP843" s="96" t="str">
        <f>HYPERLINK("https://t.co/s7Oqdca0CJ")</f>
        <v>https://t.co/s7Oqdca0CJ</v>
      </c>
      <c r="AQ843" s="96" t="str">
        <f>HYPERLINK("http://instabio.cc/fernunesredator")</f>
        <v>http://instabio.cc/fernunesredator</v>
      </c>
      <c r="AR843" s="86" t="s">
        <v>28469</v>
      </c>
      <c r="AS843" s="86"/>
      <c r="AT843" s="86"/>
      <c r="AU843" s="86"/>
      <c r="AV843" s="86">
        <v>1.68548386156673E+18</v>
      </c>
      <c r="AW843" s="96" t="str">
        <f>HYPERLINK("https://t.co/s7Oqdca0CJ")</f>
        <v>https://t.co/s7Oqdca0CJ</v>
      </c>
      <c r="AX843" s="86" t="b">
        <v>0</v>
      </c>
      <c r="AY843" s="86"/>
      <c r="AZ843" s="86"/>
      <c r="BA843" s="86" t="b">
        <v>0</v>
      </c>
      <c r="BB843" s="86" t="b">
        <v>0</v>
      </c>
      <c r="BC843" s="86" t="b">
        <v>0</v>
      </c>
      <c r="BD843" s="86" t="b">
        <v>0</v>
      </c>
      <c r="BE843" s="86" t="b">
        <v>1</v>
      </c>
      <c r="BF843" s="86" t="b">
        <v>0</v>
      </c>
      <c r="BG843" s="86" t="b">
        <v>0</v>
      </c>
      <c r="BH843" s="96" t="str">
        <f>HYPERLINK("https://pbs.twimg.com/profile_banners/259216179/1632103581")</f>
        <v>https://pbs.twimg.com/profile_banners/259216179/1632103581</v>
      </c>
      <c r="BI843" s="86"/>
      <c r="BJ843" s="86" t="s">
        <v>29134</v>
      </c>
      <c r="BK843" s="86" t="b">
        <v>0</v>
      </c>
      <c r="BL843" s="86"/>
      <c r="BM843" s="86" t="s">
        <v>66</v>
      </c>
      <c r="BN843" s="86" t="s">
        <v>29136</v>
      </c>
      <c r="BO843" s="96" t="str">
        <f>HYPERLINK("https://twitter.com/fernando_fotos")</f>
        <v>https://twitter.com/fernando_fotos</v>
      </c>
      <c r="BP843" s="2"/>
    </row>
    <row r="844" spans="1:68" x14ac:dyDescent="0.25">
      <c r="A844" s="63" t="s">
        <v>957</v>
      </c>
      <c r="B844" s="64"/>
      <c r="C844" s="64"/>
      <c r="D844" s="65"/>
      <c r="E844" s="67"/>
      <c r="F844" s="111" t="str">
        <f>HYPERLINK("https://pbs.twimg.com/profile_images/1695490077349044224/i0LxC_K-_normal.jpg")</f>
        <v>https://pbs.twimg.com/profile_images/1695490077349044224/i0LxC_K-_normal.jpg</v>
      </c>
      <c r="G844" s="64"/>
      <c r="H844" s="68"/>
      <c r="I844" s="69"/>
      <c r="J844" s="69"/>
      <c r="K844" s="68" t="s">
        <v>29977</v>
      </c>
      <c r="L844" s="72"/>
      <c r="M844" s="73"/>
      <c r="N844" s="73"/>
      <c r="O844" s="74"/>
      <c r="P844" s="75"/>
      <c r="Q844" s="75"/>
      <c r="R844" s="102"/>
      <c r="S844" s="102"/>
      <c r="T844" s="102"/>
      <c r="U844" s="102"/>
      <c r="V844" s="48"/>
      <c r="W844" s="48"/>
      <c r="X844" s="48"/>
      <c r="Y844" s="48"/>
      <c r="Z844" s="47"/>
      <c r="AA844" s="70">
        <v>844</v>
      </c>
      <c r="AB844" s="70"/>
      <c r="AC844" s="71"/>
      <c r="AD844" s="86" t="s">
        <v>24456</v>
      </c>
      <c r="AE844" s="94" t="s">
        <v>23214</v>
      </c>
      <c r="AF844" s="86">
        <v>2</v>
      </c>
      <c r="AG844" s="86">
        <v>21</v>
      </c>
      <c r="AH844" s="86">
        <v>5</v>
      </c>
      <c r="AI844" s="86">
        <v>0</v>
      </c>
      <c r="AJ844" s="86">
        <v>3</v>
      </c>
      <c r="AK844" s="86">
        <v>4</v>
      </c>
      <c r="AL844" s="86" t="b">
        <v>0</v>
      </c>
      <c r="AM844" s="89">
        <v>45164.725636574076</v>
      </c>
      <c r="AN844" s="86"/>
      <c r="AO844" s="86" t="s">
        <v>27193</v>
      </c>
      <c r="AP844" s="96" t="str">
        <f>HYPERLINK("https://t.co/sGa2a1E1Og")</f>
        <v>https://t.co/sGa2a1E1Og</v>
      </c>
      <c r="AQ844" s="96" t="str">
        <f>HYPERLINK("https://go.hotmart.com/J85956729F?dp=1")</f>
        <v>https://go.hotmart.com/J85956729F?dp=1</v>
      </c>
      <c r="AR844" s="86" t="s">
        <v>28470</v>
      </c>
      <c r="AS844" s="86"/>
      <c r="AT844" s="86"/>
      <c r="AU844" s="86"/>
      <c r="AV844" s="86"/>
      <c r="AW844" s="96" t="str">
        <f>HYPERLINK("https://t.co/sGa2a1E1Og")</f>
        <v>https://t.co/sGa2a1E1Og</v>
      </c>
      <c r="AX844" s="86" t="b">
        <v>0</v>
      </c>
      <c r="AY844" s="86"/>
      <c r="AZ844" s="86"/>
      <c r="BA844" s="86" t="b">
        <v>0</v>
      </c>
      <c r="BB844" s="86" t="b">
        <v>1</v>
      </c>
      <c r="BC844" s="86" t="b">
        <v>1</v>
      </c>
      <c r="BD844" s="86" t="b">
        <v>0</v>
      </c>
      <c r="BE844" s="86" t="b">
        <v>0</v>
      </c>
      <c r="BF844" s="86" t="b">
        <v>0</v>
      </c>
      <c r="BG844" s="86" t="b">
        <v>0</v>
      </c>
      <c r="BH844" s="96" t="str">
        <f>HYPERLINK("https://pbs.twimg.com/profile_banners/1695487053884973056/1693234398")</f>
        <v>https://pbs.twimg.com/profile_banners/1695487053884973056/1693234398</v>
      </c>
      <c r="BI844" s="86"/>
      <c r="BJ844" s="86" t="s">
        <v>29134</v>
      </c>
      <c r="BK844" s="86" t="b">
        <v>0</v>
      </c>
      <c r="BL844" s="86"/>
      <c r="BM844" s="86" t="s">
        <v>66</v>
      </c>
      <c r="BN844" s="86" t="s">
        <v>29136</v>
      </c>
      <c r="BO844" s="96" t="str">
        <f>HYPERLINK("https://twitter.com/brunogomez_ofc")</f>
        <v>https://twitter.com/brunogomez_ofc</v>
      </c>
      <c r="BP844" s="2"/>
    </row>
    <row r="845" spans="1:68" x14ac:dyDescent="0.25">
      <c r="A845" s="63" t="s">
        <v>958</v>
      </c>
      <c r="B845" s="64"/>
      <c r="C845" s="64"/>
      <c r="D845" s="65"/>
      <c r="E845" s="67"/>
      <c r="F845" s="111" t="str">
        <f>HYPERLINK("https://pbs.twimg.com/profile_images/684743421676908544/PLs_T0xl_normal.jpg")</f>
        <v>https://pbs.twimg.com/profile_images/684743421676908544/PLs_T0xl_normal.jpg</v>
      </c>
      <c r="G845" s="64"/>
      <c r="H845" s="68"/>
      <c r="I845" s="69"/>
      <c r="J845" s="69"/>
      <c r="K845" s="68" t="s">
        <v>29978</v>
      </c>
      <c r="L845" s="72"/>
      <c r="M845" s="73"/>
      <c r="N845" s="73"/>
      <c r="O845" s="74"/>
      <c r="P845" s="75"/>
      <c r="Q845" s="75"/>
      <c r="R845" s="102"/>
      <c r="S845" s="102"/>
      <c r="T845" s="102"/>
      <c r="U845" s="102"/>
      <c r="V845" s="48"/>
      <c r="W845" s="48"/>
      <c r="X845" s="48"/>
      <c r="Y845" s="48"/>
      <c r="Z845" s="47"/>
      <c r="AA845" s="70">
        <v>845</v>
      </c>
      <c r="AB845" s="70"/>
      <c r="AC845" s="71"/>
      <c r="AD845" s="86" t="s">
        <v>24457</v>
      </c>
      <c r="AE845" s="94" t="s">
        <v>25544</v>
      </c>
      <c r="AF845" s="86">
        <v>2028</v>
      </c>
      <c r="AG845" s="86">
        <v>191</v>
      </c>
      <c r="AH845" s="86">
        <v>5672</v>
      </c>
      <c r="AI845" s="86">
        <v>47</v>
      </c>
      <c r="AJ845" s="86">
        <v>31</v>
      </c>
      <c r="AK845" s="86">
        <v>2019</v>
      </c>
      <c r="AL845" s="86" t="b">
        <v>0</v>
      </c>
      <c r="AM845" s="89">
        <v>40126.666018518517</v>
      </c>
      <c r="AN845" s="86" t="s">
        <v>26190</v>
      </c>
      <c r="AO845" s="86" t="s">
        <v>27194</v>
      </c>
      <c r="AP845" s="96" t="str">
        <f>HYPERLINK("https://t.co/9aPMhDMGKp")</f>
        <v>https://t.co/9aPMhDMGKp</v>
      </c>
      <c r="AQ845" s="96" t="str">
        <f>HYPERLINK("http://www.uma.pt")</f>
        <v>http://www.uma.pt</v>
      </c>
      <c r="AR845" s="86" t="s">
        <v>28471</v>
      </c>
      <c r="AS845" s="86"/>
      <c r="AT845" s="86"/>
      <c r="AU845" s="86"/>
      <c r="AV845" s="86"/>
      <c r="AW845" s="96" t="str">
        <f>HYPERLINK("https://t.co/9aPMhDMGKp")</f>
        <v>https://t.co/9aPMhDMGKp</v>
      </c>
      <c r="AX845" s="86" t="b">
        <v>0</v>
      </c>
      <c r="AY845" s="86"/>
      <c r="AZ845" s="86"/>
      <c r="BA845" s="86" t="b">
        <v>0</v>
      </c>
      <c r="BB845" s="86" t="b">
        <v>1</v>
      </c>
      <c r="BC845" s="86" t="b">
        <v>0</v>
      </c>
      <c r="BD845" s="86" t="b">
        <v>0</v>
      </c>
      <c r="BE845" s="86" t="b">
        <v>0</v>
      </c>
      <c r="BF845" s="86" t="b">
        <v>0</v>
      </c>
      <c r="BG845" s="86" t="b">
        <v>0</v>
      </c>
      <c r="BH845" s="96" t="str">
        <f>HYPERLINK("https://pbs.twimg.com/profile_banners/88694049/1452090510")</f>
        <v>https://pbs.twimg.com/profile_banners/88694049/1452090510</v>
      </c>
      <c r="BI845" s="86"/>
      <c r="BJ845" s="86" t="s">
        <v>29134</v>
      </c>
      <c r="BK845" s="86" t="b">
        <v>0</v>
      </c>
      <c r="BL845" s="86"/>
      <c r="BM845" s="86" t="s">
        <v>66</v>
      </c>
      <c r="BN845" s="86" t="s">
        <v>29136</v>
      </c>
      <c r="BO845" s="96" t="str">
        <f>HYPERLINK("https://twitter.com/u_madeira")</f>
        <v>https://twitter.com/u_madeira</v>
      </c>
      <c r="BP845" s="2"/>
    </row>
    <row r="846" spans="1:68" x14ac:dyDescent="0.25">
      <c r="A846" s="63" t="s">
        <v>959</v>
      </c>
      <c r="B846" s="64"/>
      <c r="C846" s="64"/>
      <c r="D846" s="65"/>
      <c r="E846" s="67"/>
      <c r="F846" s="111" t="str">
        <f>HYPERLINK("https://pbs.twimg.com/profile_images/1522171388492140545/civO4FcV_normal.jpg")</f>
        <v>https://pbs.twimg.com/profile_images/1522171388492140545/civO4FcV_normal.jpg</v>
      </c>
      <c r="G846" s="64"/>
      <c r="H846" s="68"/>
      <c r="I846" s="69"/>
      <c r="J846" s="69"/>
      <c r="K846" s="68" t="s">
        <v>29979</v>
      </c>
      <c r="L846" s="72"/>
      <c r="M846" s="73"/>
      <c r="N846" s="73"/>
      <c r="O846" s="74"/>
      <c r="P846" s="75"/>
      <c r="Q846" s="75"/>
      <c r="R846" s="102"/>
      <c r="S846" s="102"/>
      <c r="T846" s="102"/>
      <c r="U846" s="102"/>
      <c r="V846" s="48"/>
      <c r="W846" s="48"/>
      <c r="X846" s="48"/>
      <c r="Y846" s="48"/>
      <c r="Z846" s="47"/>
      <c r="AA846" s="70">
        <v>846</v>
      </c>
      <c r="AB846" s="70"/>
      <c r="AC846" s="71"/>
      <c r="AD846" s="86" t="s">
        <v>24458</v>
      </c>
      <c r="AE846" s="94" t="s">
        <v>25545</v>
      </c>
      <c r="AF846" s="86">
        <v>487</v>
      </c>
      <c r="AG846" s="86">
        <v>332</v>
      </c>
      <c r="AH846" s="86">
        <v>7669</v>
      </c>
      <c r="AI846" s="86">
        <v>14</v>
      </c>
      <c r="AJ846" s="86">
        <v>3167</v>
      </c>
      <c r="AK846" s="86">
        <v>774</v>
      </c>
      <c r="AL846" s="86" t="b">
        <v>0</v>
      </c>
      <c r="AM846" s="89">
        <v>39609.853900462964</v>
      </c>
      <c r="AN846" s="86" t="s">
        <v>15246</v>
      </c>
      <c r="AO846" s="86" t="s">
        <v>27195</v>
      </c>
      <c r="AP846" s="96" t="str">
        <f>HYPERLINK("https://t.co/xuugXMvw58")</f>
        <v>https://t.co/xuugXMvw58</v>
      </c>
      <c r="AQ846" s="96" t="str">
        <f>HYPERLINK("http://www.f12com.com.br/bio")</f>
        <v>http://www.f12com.com.br/bio</v>
      </c>
      <c r="AR846" s="86" t="s">
        <v>28472</v>
      </c>
      <c r="AS846" s="86"/>
      <c r="AT846" s="86"/>
      <c r="AU846" s="86"/>
      <c r="AV846" s="86"/>
      <c r="AW846" s="96" t="str">
        <f>HYPERLINK("https://t.co/xuugXMvw58")</f>
        <v>https://t.co/xuugXMvw58</v>
      </c>
      <c r="AX846" s="86" t="b">
        <v>0</v>
      </c>
      <c r="AY846" s="86"/>
      <c r="AZ846" s="86"/>
      <c r="BA846" s="86" t="b">
        <v>0</v>
      </c>
      <c r="BB846" s="86" t="b">
        <v>1</v>
      </c>
      <c r="BC846" s="86" t="b">
        <v>0</v>
      </c>
      <c r="BD846" s="86" t="b">
        <v>0</v>
      </c>
      <c r="BE846" s="86" t="b">
        <v>1</v>
      </c>
      <c r="BF846" s="86" t="b">
        <v>0</v>
      </c>
      <c r="BG846" s="86" t="b">
        <v>0</v>
      </c>
      <c r="BH846" s="96" t="str">
        <f>HYPERLINK("https://pbs.twimg.com/profile_banners/15077308/1591138255")</f>
        <v>https://pbs.twimg.com/profile_banners/15077308/1591138255</v>
      </c>
      <c r="BI846" s="86"/>
      <c r="BJ846" s="86" t="s">
        <v>29134</v>
      </c>
      <c r="BK846" s="86" t="b">
        <v>0</v>
      </c>
      <c r="BL846" s="86"/>
      <c r="BM846" s="86" t="s">
        <v>66</v>
      </c>
      <c r="BN846" s="86" t="s">
        <v>29136</v>
      </c>
      <c r="BO846" s="96" t="str">
        <f>HYPERLINK("https://twitter.com/vaniofortes")</f>
        <v>https://twitter.com/vaniofortes</v>
      </c>
      <c r="BP846" s="2"/>
    </row>
    <row r="847" spans="1:68" x14ac:dyDescent="0.25">
      <c r="A847" s="63" t="s">
        <v>960</v>
      </c>
      <c r="B847" s="64"/>
      <c r="C847" s="64"/>
      <c r="D847" s="65"/>
      <c r="E847" s="67"/>
      <c r="F847" s="111" t="str">
        <f>HYPERLINK("https://pbs.twimg.com/profile_images/1698755662107312128/hxkisNLu_normal.jpg")</f>
        <v>https://pbs.twimg.com/profile_images/1698755662107312128/hxkisNLu_normal.jpg</v>
      </c>
      <c r="G847" s="64"/>
      <c r="H847" s="68"/>
      <c r="I847" s="69"/>
      <c r="J847" s="69"/>
      <c r="K847" s="68" t="s">
        <v>29980</v>
      </c>
      <c r="L847" s="72"/>
      <c r="M847" s="73"/>
      <c r="N847" s="73"/>
      <c r="O847" s="74"/>
      <c r="P847" s="75"/>
      <c r="Q847" s="75"/>
      <c r="R847" s="102"/>
      <c r="S847" s="102"/>
      <c r="T847" s="102"/>
      <c r="U847" s="102"/>
      <c r="V847" s="48"/>
      <c r="W847" s="48"/>
      <c r="X847" s="48"/>
      <c r="Y847" s="48"/>
      <c r="Z847" s="47"/>
      <c r="AA847" s="70">
        <v>847</v>
      </c>
      <c r="AB847" s="70"/>
      <c r="AC847" s="71"/>
      <c r="AD847" s="86" t="s">
        <v>24459</v>
      </c>
      <c r="AE847" s="94" t="s">
        <v>23215</v>
      </c>
      <c r="AF847" s="86">
        <v>0</v>
      </c>
      <c r="AG847" s="86">
        <v>2</v>
      </c>
      <c r="AH847" s="86">
        <v>22</v>
      </c>
      <c r="AI847" s="86">
        <v>0</v>
      </c>
      <c r="AJ847" s="86">
        <v>9</v>
      </c>
      <c r="AK847" s="86">
        <v>1</v>
      </c>
      <c r="AL847" s="86" t="b">
        <v>0</v>
      </c>
      <c r="AM847" s="89">
        <v>42760.659050925926</v>
      </c>
      <c r="AN847" s="86"/>
      <c r="AO847" s="86" t="s">
        <v>27196</v>
      </c>
      <c r="AP847" s="96" t="str">
        <f>HYPERLINK("https://t.co/M8YFTvVmXU")</f>
        <v>https://t.co/M8YFTvVmXU</v>
      </c>
      <c r="AQ847" s="96" t="str">
        <f>HYPERLINK("https://kiwify.app/RhyT3pG?afid=lQNgo8Fy")</f>
        <v>https://kiwify.app/RhyT3pG?afid=lQNgo8Fy</v>
      </c>
      <c r="AR847" s="86" t="s">
        <v>28473</v>
      </c>
      <c r="AS847" s="86"/>
      <c r="AT847" s="86"/>
      <c r="AU847" s="86"/>
      <c r="AV847" s="86"/>
      <c r="AW847" s="96" t="str">
        <f>HYPERLINK("https://t.co/M8YFTvVmXU")</f>
        <v>https://t.co/M8YFTvVmXU</v>
      </c>
      <c r="AX847" s="86" t="b">
        <v>0</v>
      </c>
      <c r="AY847" s="86"/>
      <c r="AZ847" s="86"/>
      <c r="BA847" s="86" t="b">
        <v>0</v>
      </c>
      <c r="BB847" s="86" t="b">
        <v>1</v>
      </c>
      <c r="BC847" s="86" t="b">
        <v>1</v>
      </c>
      <c r="BD847" s="86" t="b">
        <v>0</v>
      </c>
      <c r="BE847" s="86" t="b">
        <v>0</v>
      </c>
      <c r="BF847" s="86" t="b">
        <v>0</v>
      </c>
      <c r="BG847" s="86" t="b">
        <v>0</v>
      </c>
      <c r="BH847" s="96" t="str">
        <f>HYPERLINK("https://pbs.twimg.com/profile_banners/824282942042152960/1693849910")</f>
        <v>https://pbs.twimg.com/profile_banners/824282942042152960/1693849910</v>
      </c>
      <c r="BI847" s="86"/>
      <c r="BJ847" s="86" t="s">
        <v>29134</v>
      </c>
      <c r="BK847" s="86" t="b">
        <v>0</v>
      </c>
      <c r="BL847" s="86"/>
      <c r="BM847" s="86" t="s">
        <v>66</v>
      </c>
      <c r="BN847" s="86" t="s">
        <v>29136</v>
      </c>
      <c r="BO847" s="96" t="str">
        <f>HYPERLINK("https://twitter.com/mj_empreendedor")</f>
        <v>https://twitter.com/mj_empreendedor</v>
      </c>
      <c r="BP847" s="2"/>
    </row>
    <row r="848" spans="1:68" x14ac:dyDescent="0.25">
      <c r="A848" s="63" t="s">
        <v>1711</v>
      </c>
      <c r="B848" s="64"/>
      <c r="C848" s="64"/>
      <c r="D848" s="65"/>
      <c r="E848" s="67"/>
      <c r="F848" s="111" t="str">
        <f>HYPERLINK("https://pbs.twimg.com/profile_images/1541230886011682816/dIVnmAj3_normal.jpg")</f>
        <v>https://pbs.twimg.com/profile_images/1541230886011682816/dIVnmAj3_normal.jpg</v>
      </c>
      <c r="G848" s="64"/>
      <c r="H848" s="68"/>
      <c r="I848" s="69"/>
      <c r="J848" s="69"/>
      <c r="K848" s="68" t="s">
        <v>29981</v>
      </c>
      <c r="L848" s="72"/>
      <c r="M848" s="73"/>
      <c r="N848" s="73"/>
      <c r="O848" s="74"/>
      <c r="P848" s="75"/>
      <c r="Q848" s="75"/>
      <c r="R848" s="102"/>
      <c r="S848" s="102"/>
      <c r="T848" s="102"/>
      <c r="U848" s="102"/>
      <c r="V848" s="48"/>
      <c r="W848" s="48"/>
      <c r="X848" s="48"/>
      <c r="Y848" s="48"/>
      <c r="Z848" s="47"/>
      <c r="AA848" s="70">
        <v>848</v>
      </c>
      <c r="AB848" s="70"/>
      <c r="AC848" s="71"/>
      <c r="AD848" s="86" t="s">
        <v>24460</v>
      </c>
      <c r="AE848" s="94" t="s">
        <v>22598</v>
      </c>
      <c r="AF848" s="86">
        <v>65407</v>
      </c>
      <c r="AG848" s="86">
        <v>32</v>
      </c>
      <c r="AH848" s="86">
        <v>636</v>
      </c>
      <c r="AI848" s="86">
        <v>11</v>
      </c>
      <c r="AJ848" s="86">
        <v>12</v>
      </c>
      <c r="AK848" s="86">
        <v>64</v>
      </c>
      <c r="AL848" s="86" t="b">
        <v>0</v>
      </c>
      <c r="AM848" s="89">
        <v>44473.837314814817</v>
      </c>
      <c r="AN848" s="86" t="s">
        <v>15240</v>
      </c>
      <c r="AO848" s="86" t="s">
        <v>27197</v>
      </c>
      <c r="AP848" s="96" t="str">
        <f>HYPERLINK("https://t.co/SNgHwLgLnj")</f>
        <v>https://t.co/SNgHwLgLnj</v>
      </c>
      <c r="AQ848" s="96" t="str">
        <f>HYPERLINK("https://instagram.com/ruyter?igshid=YmMyMTA2M2Y=")</f>
        <v>https://instagram.com/ruyter?igshid=YmMyMTA2M2Y=</v>
      </c>
      <c r="AR848" s="86" t="s">
        <v>28474</v>
      </c>
      <c r="AS848" s="86"/>
      <c r="AT848" s="86"/>
      <c r="AU848" s="86"/>
      <c r="AV848" s="86">
        <v>1.4784871869746501E+18</v>
      </c>
      <c r="AW848" s="96" t="str">
        <f>HYPERLINK("https://t.co/SNgHwLgLnj")</f>
        <v>https://t.co/SNgHwLgLnj</v>
      </c>
      <c r="AX848" s="86" t="b">
        <v>1</v>
      </c>
      <c r="AY848" s="86"/>
      <c r="AZ848" s="86"/>
      <c r="BA848" s="86" t="b">
        <v>0</v>
      </c>
      <c r="BB848" s="86" t="b">
        <v>1</v>
      </c>
      <c r="BC848" s="86" t="b">
        <v>1</v>
      </c>
      <c r="BD848" s="86" t="b">
        <v>0</v>
      </c>
      <c r="BE848" s="86" t="b">
        <v>1</v>
      </c>
      <c r="BF848" s="86" t="b">
        <v>0</v>
      </c>
      <c r="BG848" s="86" t="b">
        <v>0</v>
      </c>
      <c r="BH848" s="96" t="str">
        <f>HYPERLINK("https://pbs.twimg.com/profile_banners/1445117892337487875/1694498418")</f>
        <v>https://pbs.twimg.com/profile_banners/1445117892337487875/1694498418</v>
      </c>
      <c r="BI848" s="86"/>
      <c r="BJ848" s="86" t="s">
        <v>29134</v>
      </c>
      <c r="BK848" s="86" t="b">
        <v>0</v>
      </c>
      <c r="BL848" s="86"/>
      <c r="BM848" s="86" t="s">
        <v>65</v>
      </c>
      <c r="BN848" s="86" t="s">
        <v>29136</v>
      </c>
      <c r="BO848" s="96" t="str">
        <f>HYPERLINK("https://twitter.com/poubelruyter")</f>
        <v>https://twitter.com/poubelruyter</v>
      </c>
      <c r="BP848" s="2"/>
    </row>
    <row r="849" spans="1:68" x14ac:dyDescent="0.25">
      <c r="A849" s="63" t="s">
        <v>961</v>
      </c>
      <c r="B849" s="64"/>
      <c r="C849" s="64"/>
      <c r="D849" s="65"/>
      <c r="E849" s="67"/>
      <c r="F849" s="111" t="str">
        <f>HYPERLINK("https://pbs.twimg.com/profile_images/732648452870410240/Ku7wRk2Z_normal.jpg")</f>
        <v>https://pbs.twimg.com/profile_images/732648452870410240/Ku7wRk2Z_normal.jpg</v>
      </c>
      <c r="G849" s="64"/>
      <c r="H849" s="68"/>
      <c r="I849" s="69"/>
      <c r="J849" s="69"/>
      <c r="K849" s="68" t="s">
        <v>29982</v>
      </c>
      <c r="L849" s="72"/>
      <c r="M849" s="73"/>
      <c r="N849" s="73"/>
      <c r="O849" s="74"/>
      <c r="P849" s="75"/>
      <c r="Q849" s="75"/>
      <c r="R849" s="102"/>
      <c r="S849" s="102"/>
      <c r="T849" s="102"/>
      <c r="U849" s="102"/>
      <c r="V849" s="48"/>
      <c r="W849" s="48"/>
      <c r="X849" s="48"/>
      <c r="Y849" s="48"/>
      <c r="Z849" s="47"/>
      <c r="AA849" s="70">
        <v>849</v>
      </c>
      <c r="AB849" s="70"/>
      <c r="AC849" s="71"/>
      <c r="AD849" s="86" t="s">
        <v>24461</v>
      </c>
      <c r="AE849" s="94" t="s">
        <v>25546</v>
      </c>
      <c r="AF849" s="86">
        <v>370</v>
      </c>
      <c r="AG849" s="86">
        <v>339</v>
      </c>
      <c r="AH849" s="86">
        <v>1739</v>
      </c>
      <c r="AI849" s="86">
        <v>0</v>
      </c>
      <c r="AJ849" s="86">
        <v>1929</v>
      </c>
      <c r="AK849" s="86">
        <v>936</v>
      </c>
      <c r="AL849" s="86" t="b">
        <v>0</v>
      </c>
      <c r="AM849" s="89">
        <v>39938.778101851851</v>
      </c>
      <c r="AN849" s="86" t="s">
        <v>26191</v>
      </c>
      <c r="AO849" s="86" t="s">
        <v>27198</v>
      </c>
      <c r="AP849" s="96" t="str">
        <f>HYPERLINK("https://t.co/5qc7ckLcXx")</f>
        <v>https://t.co/5qc7ckLcXx</v>
      </c>
      <c r="AQ849" s="96" t="str">
        <f>HYPERLINK("http://smallbizla.org")</f>
        <v>http://smallbizla.org</v>
      </c>
      <c r="AR849" s="86" t="s">
        <v>28475</v>
      </c>
      <c r="AS849" s="86"/>
      <c r="AT849" s="86"/>
      <c r="AU849" s="86"/>
      <c r="AV849" s="86"/>
      <c r="AW849" s="96" t="str">
        <f>HYPERLINK("https://t.co/5qc7ckLcXx")</f>
        <v>https://t.co/5qc7ckLcXx</v>
      </c>
      <c r="AX849" s="86" t="b">
        <v>0</v>
      </c>
      <c r="AY849" s="86"/>
      <c r="AZ849" s="86"/>
      <c r="BA849" s="86" t="b">
        <v>1</v>
      </c>
      <c r="BB849" s="86" t="b">
        <v>1</v>
      </c>
      <c r="BC849" s="86" t="b">
        <v>0</v>
      </c>
      <c r="BD849" s="86" t="b">
        <v>0</v>
      </c>
      <c r="BE849" s="86" t="b">
        <v>1</v>
      </c>
      <c r="BF849" s="86" t="b">
        <v>0</v>
      </c>
      <c r="BG849" s="86" t="b">
        <v>0</v>
      </c>
      <c r="BH849" s="96" t="str">
        <f>HYPERLINK("https://pbs.twimg.com/profile_banners/37987486/1640893191")</f>
        <v>https://pbs.twimg.com/profile_banners/37987486/1640893191</v>
      </c>
      <c r="BI849" s="86"/>
      <c r="BJ849" s="86" t="s">
        <v>29134</v>
      </c>
      <c r="BK849" s="86" t="b">
        <v>0</v>
      </c>
      <c r="BL849" s="86"/>
      <c r="BM849" s="86" t="s">
        <v>66</v>
      </c>
      <c r="BN849" s="86" t="s">
        <v>29136</v>
      </c>
      <c r="BO849" s="96" t="str">
        <f>HYPERLINK("https://twitter.com/centrosbdc")</f>
        <v>https://twitter.com/centrosbdc</v>
      </c>
      <c r="BP849" s="2"/>
    </row>
    <row r="850" spans="1:68" x14ac:dyDescent="0.25">
      <c r="A850" s="63" t="s">
        <v>962</v>
      </c>
      <c r="B850" s="64"/>
      <c r="C850" s="64"/>
      <c r="D850" s="65"/>
      <c r="E850" s="67"/>
      <c r="F850" s="111" t="str">
        <f>HYPERLINK("https://pbs.twimg.com/profile_images/1680027773811798016/tWkuWVAK_normal.jpg")</f>
        <v>https://pbs.twimg.com/profile_images/1680027773811798016/tWkuWVAK_normal.jpg</v>
      </c>
      <c r="G850" s="64"/>
      <c r="H850" s="68"/>
      <c r="I850" s="69"/>
      <c r="J850" s="69"/>
      <c r="K850" s="68" t="s">
        <v>29983</v>
      </c>
      <c r="L850" s="72"/>
      <c r="M850" s="73"/>
      <c r="N850" s="73"/>
      <c r="O850" s="74"/>
      <c r="P850" s="75"/>
      <c r="Q850" s="75"/>
      <c r="R850" s="102"/>
      <c r="S850" s="102"/>
      <c r="T850" s="102"/>
      <c r="U850" s="102"/>
      <c r="V850" s="48"/>
      <c r="W850" s="48"/>
      <c r="X850" s="48"/>
      <c r="Y850" s="48"/>
      <c r="Z850" s="47"/>
      <c r="AA850" s="70">
        <v>850</v>
      </c>
      <c r="AB850" s="70"/>
      <c r="AC850" s="71"/>
      <c r="AD850" s="86" t="s">
        <v>24462</v>
      </c>
      <c r="AE850" s="94" t="s">
        <v>23216</v>
      </c>
      <c r="AF850" s="86">
        <v>2</v>
      </c>
      <c r="AG850" s="86">
        <v>26</v>
      </c>
      <c r="AH850" s="86">
        <v>6</v>
      </c>
      <c r="AI850" s="86">
        <v>0</v>
      </c>
      <c r="AJ850" s="86">
        <v>0</v>
      </c>
      <c r="AK850" s="86">
        <v>5</v>
      </c>
      <c r="AL850" s="86" t="b">
        <v>0</v>
      </c>
      <c r="AM850" s="89">
        <v>45122.051145833335</v>
      </c>
      <c r="AN850" s="86"/>
      <c r="AO850" s="86" t="s">
        <v>27199</v>
      </c>
      <c r="AP850" s="96" t="str">
        <f>HYPERLINK("https://t.co/0Ee8Lc88Pn")</f>
        <v>https://t.co/0Ee8Lc88Pn</v>
      </c>
      <c r="AQ850" s="96" t="str">
        <f>HYPERLINK("https://linktr.ee/EXPANDIDOHORIZONTE")</f>
        <v>https://linktr.ee/EXPANDIDOHORIZONTE</v>
      </c>
      <c r="AR850" s="86" t="s">
        <v>28476</v>
      </c>
      <c r="AS850" s="86"/>
      <c r="AT850" s="86"/>
      <c r="AU850" s="86"/>
      <c r="AV850" s="86"/>
      <c r="AW850" s="96" t="str">
        <f>HYPERLINK("https://t.co/0Ee8Lc88Pn")</f>
        <v>https://t.co/0Ee8Lc88Pn</v>
      </c>
      <c r="AX850" s="86" t="b">
        <v>0</v>
      </c>
      <c r="AY850" s="86"/>
      <c r="AZ850" s="86"/>
      <c r="BA850" s="86" t="b">
        <v>0</v>
      </c>
      <c r="BB850" s="86" t="b">
        <v>1</v>
      </c>
      <c r="BC850" s="86" t="b">
        <v>1</v>
      </c>
      <c r="BD850" s="86" t="b">
        <v>0</v>
      </c>
      <c r="BE850" s="86" t="b">
        <v>0</v>
      </c>
      <c r="BF850" s="86" t="b">
        <v>0</v>
      </c>
      <c r="BG850" s="86" t="b">
        <v>0</v>
      </c>
      <c r="BH850" s="96" t="str">
        <f>HYPERLINK("https://pbs.twimg.com/profile_banners/1680022698938736642/1689384927")</f>
        <v>https://pbs.twimg.com/profile_banners/1680022698938736642/1689384927</v>
      </c>
      <c r="BI850" s="86"/>
      <c r="BJ850" s="86" t="s">
        <v>29134</v>
      </c>
      <c r="BK850" s="86" t="b">
        <v>0</v>
      </c>
      <c r="BL850" s="86"/>
      <c r="BM850" s="86" t="s">
        <v>66</v>
      </c>
      <c r="BN850" s="86" t="s">
        <v>29136</v>
      </c>
      <c r="BO850" s="96" t="str">
        <f>HYPERLINK("https://twitter.com/expandindo23")</f>
        <v>https://twitter.com/expandindo23</v>
      </c>
      <c r="BP850" s="2"/>
    </row>
    <row r="851" spans="1:68" x14ac:dyDescent="0.25">
      <c r="A851" s="63" t="s">
        <v>963</v>
      </c>
      <c r="B851" s="64"/>
      <c r="C851" s="64"/>
      <c r="D851" s="65"/>
      <c r="E851" s="67"/>
      <c r="F851" s="111" t="str">
        <f>HYPERLINK("https://pbs.twimg.com/profile_images/1008755668759670784/N4Zbb7sQ_normal.jpg")</f>
        <v>https://pbs.twimg.com/profile_images/1008755668759670784/N4Zbb7sQ_normal.jpg</v>
      </c>
      <c r="G851" s="64"/>
      <c r="H851" s="68"/>
      <c r="I851" s="69"/>
      <c r="J851" s="69"/>
      <c r="K851" s="68" t="s">
        <v>29984</v>
      </c>
      <c r="L851" s="72"/>
      <c r="M851" s="73"/>
      <c r="N851" s="73"/>
      <c r="O851" s="74"/>
      <c r="P851" s="75"/>
      <c r="Q851" s="75"/>
      <c r="R851" s="102"/>
      <c r="S851" s="102"/>
      <c r="T851" s="102"/>
      <c r="U851" s="102"/>
      <c r="V851" s="48"/>
      <c r="W851" s="48"/>
      <c r="X851" s="48"/>
      <c r="Y851" s="48"/>
      <c r="Z851" s="47"/>
      <c r="AA851" s="70">
        <v>851</v>
      </c>
      <c r="AB851" s="70"/>
      <c r="AC851" s="71"/>
      <c r="AD851" s="86" t="s">
        <v>24463</v>
      </c>
      <c r="AE851" s="94" t="s">
        <v>25547</v>
      </c>
      <c r="AF851" s="86">
        <v>234</v>
      </c>
      <c r="AG851" s="86">
        <v>136</v>
      </c>
      <c r="AH851" s="86">
        <v>443</v>
      </c>
      <c r="AI851" s="86">
        <v>24</v>
      </c>
      <c r="AJ851" s="86">
        <v>23</v>
      </c>
      <c r="AK851" s="86">
        <v>95</v>
      </c>
      <c r="AL851" s="86" t="b">
        <v>0</v>
      </c>
      <c r="AM851" s="89">
        <v>41527.079386574071</v>
      </c>
      <c r="AN851" s="86" t="s">
        <v>26192</v>
      </c>
      <c r="AO851" s="86" t="s">
        <v>27200</v>
      </c>
      <c r="AP851" s="96" t="str">
        <f>HYPERLINK("https://t.co/BRZMdn1o13")</f>
        <v>https://t.co/BRZMdn1o13</v>
      </c>
      <c r="AQ851" s="96" t="str">
        <f>HYPERLINK("https://www.linkedin.com/in/ricardoagostinho/")</f>
        <v>https://www.linkedin.com/in/ricardoagostinho/</v>
      </c>
      <c r="AR851" s="86" t="s">
        <v>28477</v>
      </c>
      <c r="AS851" s="86"/>
      <c r="AT851" s="86"/>
      <c r="AU851" s="86"/>
      <c r="AV851" s="86"/>
      <c r="AW851" s="96" t="str">
        <f>HYPERLINK("https://t.co/BRZMdn1o13")</f>
        <v>https://t.co/BRZMdn1o13</v>
      </c>
      <c r="AX851" s="86" t="b">
        <v>0</v>
      </c>
      <c r="AY851" s="86"/>
      <c r="AZ851" s="86"/>
      <c r="BA851" s="86" t="b">
        <v>0</v>
      </c>
      <c r="BB851" s="86" t="b">
        <v>1</v>
      </c>
      <c r="BC851" s="86" t="b">
        <v>1</v>
      </c>
      <c r="BD851" s="86" t="b">
        <v>0</v>
      </c>
      <c r="BE851" s="86" t="b">
        <v>0</v>
      </c>
      <c r="BF851" s="86" t="b">
        <v>0</v>
      </c>
      <c r="BG851" s="86" t="b">
        <v>0</v>
      </c>
      <c r="BH851" s="96" t="str">
        <f>HYPERLINK("https://pbs.twimg.com/profile_banners/1850031788/1691052389")</f>
        <v>https://pbs.twimg.com/profile_banners/1850031788/1691052389</v>
      </c>
      <c r="BI851" s="86"/>
      <c r="BJ851" s="86" t="s">
        <v>29134</v>
      </c>
      <c r="BK851" s="86" t="b">
        <v>0</v>
      </c>
      <c r="BL851" s="86"/>
      <c r="BM851" s="86" t="s">
        <v>66</v>
      </c>
      <c r="BN851" s="86" t="s">
        <v>29136</v>
      </c>
      <c r="BO851" s="96" t="str">
        <f>HYPERLINK("https://twitter.com/ricard0agt")</f>
        <v>https://twitter.com/ricard0agt</v>
      </c>
      <c r="BP851" s="2"/>
    </row>
    <row r="852" spans="1:68" x14ac:dyDescent="0.25">
      <c r="A852" s="63" t="s">
        <v>964</v>
      </c>
      <c r="B852" s="64"/>
      <c r="C852" s="64"/>
      <c r="D852" s="65"/>
      <c r="E852" s="67"/>
      <c r="F852" s="111" t="str">
        <f>HYPERLINK("https://pbs.twimg.com/profile_images/1465899637848612864/7gIK7fkq_normal.jpg")</f>
        <v>https://pbs.twimg.com/profile_images/1465899637848612864/7gIK7fkq_normal.jpg</v>
      </c>
      <c r="G852" s="64"/>
      <c r="H852" s="68"/>
      <c r="I852" s="69"/>
      <c r="J852" s="69"/>
      <c r="K852" s="68" t="s">
        <v>29985</v>
      </c>
      <c r="L852" s="72"/>
      <c r="M852" s="73"/>
      <c r="N852" s="73"/>
      <c r="O852" s="74"/>
      <c r="P852" s="75"/>
      <c r="Q852" s="75"/>
      <c r="R852" s="102"/>
      <c r="S852" s="102"/>
      <c r="T852" s="102"/>
      <c r="U852" s="102"/>
      <c r="V852" s="48"/>
      <c r="W852" s="48"/>
      <c r="X852" s="48"/>
      <c r="Y852" s="48"/>
      <c r="Z852" s="47"/>
      <c r="AA852" s="70">
        <v>852</v>
      </c>
      <c r="AB852" s="70"/>
      <c r="AC852" s="71"/>
      <c r="AD852" s="86" t="s">
        <v>24464</v>
      </c>
      <c r="AE852" s="94" t="s">
        <v>25548</v>
      </c>
      <c r="AF852" s="86">
        <v>1101</v>
      </c>
      <c r="AG852" s="86">
        <v>39</v>
      </c>
      <c r="AH852" s="86">
        <v>3067</v>
      </c>
      <c r="AI852" s="86">
        <v>23</v>
      </c>
      <c r="AJ852" s="86">
        <v>3069</v>
      </c>
      <c r="AK852" s="86">
        <v>607</v>
      </c>
      <c r="AL852" s="86" t="b">
        <v>0</v>
      </c>
      <c r="AM852" s="89">
        <v>40135.007094907407</v>
      </c>
      <c r="AN852" s="86" t="s">
        <v>15429</v>
      </c>
      <c r="AO852" s="86" t="s">
        <v>27201</v>
      </c>
      <c r="AP852" s="96" t="str">
        <f>HYPERLINK("https://t.co/iyVFhDnAS6")</f>
        <v>https://t.co/iyVFhDnAS6</v>
      </c>
      <c r="AQ852" s="96" t="str">
        <f>HYPERLINK("http://www.baruerinaweb.com.br")</f>
        <v>http://www.baruerinaweb.com.br</v>
      </c>
      <c r="AR852" s="86" t="s">
        <v>28478</v>
      </c>
      <c r="AS852" s="86"/>
      <c r="AT852" s="86"/>
      <c r="AU852" s="86"/>
      <c r="AV852" s="86"/>
      <c r="AW852" s="96" t="str">
        <f>HYPERLINK("https://t.co/iyVFhDnAS6")</f>
        <v>https://t.co/iyVFhDnAS6</v>
      </c>
      <c r="AX852" s="86" t="b">
        <v>0</v>
      </c>
      <c r="AY852" s="86"/>
      <c r="AZ852" s="86"/>
      <c r="BA852" s="86" t="b">
        <v>0</v>
      </c>
      <c r="BB852" s="86" t="b">
        <v>1</v>
      </c>
      <c r="BC852" s="86" t="b">
        <v>1</v>
      </c>
      <c r="BD852" s="86" t="b">
        <v>0</v>
      </c>
      <c r="BE852" s="86" t="b">
        <v>0</v>
      </c>
      <c r="BF852" s="86" t="b">
        <v>0</v>
      </c>
      <c r="BG852" s="86" t="b">
        <v>0</v>
      </c>
      <c r="BH852" s="96" t="str">
        <f>HYPERLINK("https://pbs.twimg.com/profile_banners/90755686/1638411906")</f>
        <v>https://pbs.twimg.com/profile_banners/90755686/1638411906</v>
      </c>
      <c r="BI852" s="86"/>
      <c r="BJ852" s="86" t="s">
        <v>29134</v>
      </c>
      <c r="BK852" s="86" t="b">
        <v>0</v>
      </c>
      <c r="BL852" s="86"/>
      <c r="BM852" s="86" t="s">
        <v>66</v>
      </c>
      <c r="BN852" s="86" t="s">
        <v>29136</v>
      </c>
      <c r="BO852" s="96" t="str">
        <f>HYPERLINK("https://twitter.com/baruerinaweb")</f>
        <v>https://twitter.com/baruerinaweb</v>
      </c>
      <c r="BP852" s="2"/>
    </row>
    <row r="853" spans="1:68" x14ac:dyDescent="0.25">
      <c r="A853" s="63" t="s">
        <v>1712</v>
      </c>
      <c r="B853" s="64"/>
      <c r="C853" s="64"/>
      <c r="D853" s="65"/>
      <c r="E853" s="67"/>
      <c r="F853" s="111" t="str">
        <f>HYPERLINK("https://pbs.twimg.com/profile_images/1173400535/Captura_de_tela_2010-11-22__s_21.17.05_normal.png")</f>
        <v>https://pbs.twimg.com/profile_images/1173400535/Captura_de_tela_2010-11-22__s_21.17.05_normal.png</v>
      </c>
      <c r="G853" s="64"/>
      <c r="H853" s="68"/>
      <c r="I853" s="69"/>
      <c r="J853" s="69"/>
      <c r="K853" s="68" t="s">
        <v>29986</v>
      </c>
      <c r="L853" s="72"/>
      <c r="M853" s="73"/>
      <c r="N853" s="73"/>
      <c r="O853" s="74"/>
      <c r="P853" s="75"/>
      <c r="Q853" s="75"/>
      <c r="R853" s="102"/>
      <c r="S853" s="102"/>
      <c r="T853" s="102"/>
      <c r="U853" s="102"/>
      <c r="V853" s="48"/>
      <c r="W853" s="48"/>
      <c r="X853" s="48"/>
      <c r="Y853" s="48"/>
      <c r="Z853" s="47"/>
      <c r="AA853" s="70">
        <v>853</v>
      </c>
      <c r="AB853" s="70"/>
      <c r="AC853" s="71"/>
      <c r="AD853" s="86" t="s">
        <v>1712</v>
      </c>
      <c r="AE853" s="94" t="s">
        <v>25549</v>
      </c>
      <c r="AF853" s="86">
        <v>48</v>
      </c>
      <c r="AG853" s="86">
        <v>94</v>
      </c>
      <c r="AH853" s="86">
        <v>531</v>
      </c>
      <c r="AI853" s="86">
        <v>0</v>
      </c>
      <c r="AJ853" s="86">
        <v>119</v>
      </c>
      <c r="AK853" s="86">
        <v>7</v>
      </c>
      <c r="AL853" s="86" t="b">
        <v>0</v>
      </c>
      <c r="AM853" s="89">
        <v>39815.428148148145</v>
      </c>
      <c r="AN853" s="86" t="s">
        <v>15416</v>
      </c>
      <c r="AO853" s="86" t="s">
        <v>27202</v>
      </c>
      <c r="AP853" s="96" t="str">
        <f>HYPERLINK("http://t.co/yFlQ6ZU5qZ")</f>
        <v>http://t.co/yFlQ6ZU5qZ</v>
      </c>
      <c r="AQ853" s="96" t="str">
        <f>HYPERLINK("http://denisferreiraeditorbahia.blogspot.com/")</f>
        <v>http://denisferreiraeditorbahia.blogspot.com/</v>
      </c>
      <c r="AR853" s="86" t="s">
        <v>28479</v>
      </c>
      <c r="AS853" s="86"/>
      <c r="AT853" s="86"/>
      <c r="AU853" s="86"/>
      <c r="AV853" s="86"/>
      <c r="AW853" s="96" t="str">
        <f>HYPERLINK("http://t.co/yFlQ6ZU5qZ")</f>
        <v>http://t.co/yFlQ6ZU5qZ</v>
      </c>
      <c r="AX853" s="86" t="b">
        <v>0</v>
      </c>
      <c r="AY853" s="86"/>
      <c r="AZ853" s="86"/>
      <c r="BA853" s="86" t="b">
        <v>0</v>
      </c>
      <c r="BB853" s="86" t="b">
        <v>1</v>
      </c>
      <c r="BC853" s="86" t="b">
        <v>1</v>
      </c>
      <c r="BD853" s="86" t="b">
        <v>0</v>
      </c>
      <c r="BE853" s="86" t="b">
        <v>0</v>
      </c>
      <c r="BF853" s="86" t="b">
        <v>0</v>
      </c>
      <c r="BG853" s="86" t="b">
        <v>0</v>
      </c>
      <c r="BH853" s="86"/>
      <c r="BI853" s="86"/>
      <c r="BJ853" s="86" t="s">
        <v>29134</v>
      </c>
      <c r="BK853" s="86" t="b">
        <v>0</v>
      </c>
      <c r="BL853" s="86"/>
      <c r="BM853" s="86" t="s">
        <v>65</v>
      </c>
      <c r="BN853" s="86" t="s">
        <v>29136</v>
      </c>
      <c r="BO853" s="96" t="str">
        <f>HYPERLINK("https://twitter.com/denisferreira")</f>
        <v>https://twitter.com/denisferreira</v>
      </c>
      <c r="BP853" s="2"/>
    </row>
    <row r="854" spans="1:68" x14ac:dyDescent="0.25">
      <c r="A854" s="63" t="s">
        <v>1713</v>
      </c>
      <c r="B854" s="64"/>
      <c r="C854" s="64"/>
      <c r="D854" s="65"/>
      <c r="E854" s="67"/>
      <c r="F854" s="111" t="str">
        <f>HYPERLINK("https://pbs.twimg.com/profile_images/1677713578659282944/3upsYgBV_normal.jpg")</f>
        <v>https://pbs.twimg.com/profile_images/1677713578659282944/3upsYgBV_normal.jpg</v>
      </c>
      <c r="G854" s="64"/>
      <c r="H854" s="68"/>
      <c r="I854" s="69"/>
      <c r="J854" s="69"/>
      <c r="K854" s="68" t="s">
        <v>29987</v>
      </c>
      <c r="L854" s="72"/>
      <c r="M854" s="73"/>
      <c r="N854" s="73"/>
      <c r="O854" s="74"/>
      <c r="P854" s="75"/>
      <c r="Q854" s="75"/>
      <c r="R854" s="102"/>
      <c r="S854" s="102"/>
      <c r="T854" s="102"/>
      <c r="U854" s="102"/>
      <c r="V854" s="48"/>
      <c r="W854" s="48"/>
      <c r="X854" s="48"/>
      <c r="Y854" s="48"/>
      <c r="Z854" s="47"/>
      <c r="AA854" s="70">
        <v>854</v>
      </c>
      <c r="AB854" s="70"/>
      <c r="AC854" s="71"/>
      <c r="AD854" s="86" t="s">
        <v>24465</v>
      </c>
      <c r="AE854" s="94" t="s">
        <v>25550</v>
      </c>
      <c r="AF854" s="86">
        <v>13</v>
      </c>
      <c r="AG854" s="86">
        <v>2</v>
      </c>
      <c r="AH854" s="86">
        <v>28</v>
      </c>
      <c r="AI854" s="86">
        <v>0</v>
      </c>
      <c r="AJ854" s="86">
        <v>23</v>
      </c>
      <c r="AK854" s="86">
        <v>3</v>
      </c>
      <c r="AL854" s="86" t="b">
        <v>0</v>
      </c>
      <c r="AM854" s="89">
        <v>41560.808275462965</v>
      </c>
      <c r="AN854" s="86" t="s">
        <v>26193</v>
      </c>
      <c r="AO854" s="86" t="s">
        <v>27203</v>
      </c>
      <c r="AP854" s="96" t="str">
        <f>HYPERLINK("https://t.co/rIRMDoznpJ")</f>
        <v>https://t.co/rIRMDoznpJ</v>
      </c>
      <c r="AQ854" s="96" t="str">
        <f>HYPERLINK("https://linktr.ee/yurigambogi")</f>
        <v>https://linktr.ee/yurigambogi</v>
      </c>
      <c r="AR854" s="86" t="s">
        <v>28480</v>
      </c>
      <c r="AS854" s="86"/>
      <c r="AT854" s="86"/>
      <c r="AU854" s="86"/>
      <c r="AV854" s="86"/>
      <c r="AW854" s="96" t="str">
        <f>HYPERLINK("https://t.co/rIRMDoznpJ")</f>
        <v>https://t.co/rIRMDoznpJ</v>
      </c>
      <c r="AX854" s="86" t="b">
        <v>0</v>
      </c>
      <c r="AY854" s="86"/>
      <c r="AZ854" s="86"/>
      <c r="BA854" s="86" t="b">
        <v>0</v>
      </c>
      <c r="BB854" s="86" t="b">
        <v>1</v>
      </c>
      <c r="BC854" s="86" t="b">
        <v>1</v>
      </c>
      <c r="BD854" s="86" t="b">
        <v>0</v>
      </c>
      <c r="BE854" s="86" t="b">
        <v>0</v>
      </c>
      <c r="BF854" s="86" t="b">
        <v>0</v>
      </c>
      <c r="BG854" s="86" t="b">
        <v>0</v>
      </c>
      <c r="BH854" s="96" t="str">
        <f>HYPERLINK("https://pbs.twimg.com/profile_banners/1959249534/1673966888")</f>
        <v>https://pbs.twimg.com/profile_banners/1959249534/1673966888</v>
      </c>
      <c r="BI854" s="86"/>
      <c r="BJ854" s="86" t="s">
        <v>29134</v>
      </c>
      <c r="BK854" s="86" t="b">
        <v>0</v>
      </c>
      <c r="BL854" s="86"/>
      <c r="BM854" s="86" t="s">
        <v>65</v>
      </c>
      <c r="BN854" s="86" t="s">
        <v>29136</v>
      </c>
      <c r="BO854" s="96" t="str">
        <f>HYPERLINK("https://twitter.com/yurigambogi")</f>
        <v>https://twitter.com/yurigambogi</v>
      </c>
      <c r="BP854" s="2"/>
    </row>
    <row r="855" spans="1:68" x14ac:dyDescent="0.25">
      <c r="A855" s="63" t="s">
        <v>1714</v>
      </c>
      <c r="B855" s="64"/>
      <c r="C855" s="64"/>
      <c r="D855" s="65"/>
      <c r="E855" s="67"/>
      <c r="F855" s="111" t="str">
        <f>HYPERLINK("https://pbs.twimg.com/profile_images/1118631769/imagem_normal.JPG")</f>
        <v>https://pbs.twimg.com/profile_images/1118631769/imagem_normal.JPG</v>
      </c>
      <c r="G855" s="64"/>
      <c r="H855" s="68"/>
      <c r="I855" s="69"/>
      <c r="J855" s="69"/>
      <c r="K855" s="68" t="s">
        <v>29988</v>
      </c>
      <c r="L855" s="72"/>
      <c r="M855" s="73"/>
      <c r="N855" s="73"/>
      <c r="O855" s="74"/>
      <c r="P855" s="75"/>
      <c r="Q855" s="75"/>
      <c r="R855" s="102"/>
      <c r="S855" s="102"/>
      <c r="T855" s="102"/>
      <c r="U855" s="102"/>
      <c r="V855" s="48"/>
      <c r="W855" s="48"/>
      <c r="X855" s="48"/>
      <c r="Y855" s="48"/>
      <c r="Z855" s="47"/>
      <c r="AA855" s="70">
        <v>855</v>
      </c>
      <c r="AB855" s="70"/>
      <c r="AC855" s="71"/>
      <c r="AD855" s="86" t="s">
        <v>24466</v>
      </c>
      <c r="AE855" s="94" t="s">
        <v>25551</v>
      </c>
      <c r="AF855" s="86">
        <v>111</v>
      </c>
      <c r="AG855" s="86">
        <v>165</v>
      </c>
      <c r="AH855" s="86">
        <v>121</v>
      </c>
      <c r="AI855" s="86">
        <v>0</v>
      </c>
      <c r="AJ855" s="86">
        <v>2</v>
      </c>
      <c r="AK855" s="86">
        <v>7</v>
      </c>
      <c r="AL855" s="86" t="b">
        <v>0</v>
      </c>
      <c r="AM855" s="89">
        <v>40427.84652777778</v>
      </c>
      <c r="AN855" s="86" t="s">
        <v>15234</v>
      </c>
      <c r="AO855" s="86" t="s">
        <v>27204</v>
      </c>
      <c r="AP855" s="86"/>
      <c r="AQ855" s="86"/>
      <c r="AR855" s="86"/>
      <c r="AS855" s="86"/>
      <c r="AT855" s="86"/>
      <c r="AU855" s="86"/>
      <c r="AV855" s="86"/>
      <c r="AW855" s="86"/>
      <c r="AX855" s="86" t="b">
        <v>0</v>
      </c>
      <c r="AY855" s="86"/>
      <c r="AZ855" s="86"/>
      <c r="BA855" s="86" t="b">
        <v>0</v>
      </c>
      <c r="BB855" s="86" t="b">
        <v>1</v>
      </c>
      <c r="BC855" s="86" t="b">
        <v>0</v>
      </c>
      <c r="BD855" s="86" t="b">
        <v>0</v>
      </c>
      <c r="BE855" s="86" t="b">
        <v>0</v>
      </c>
      <c r="BF855" s="86" t="b">
        <v>0</v>
      </c>
      <c r="BG855" s="86" t="b">
        <v>0</v>
      </c>
      <c r="BH855" s="86"/>
      <c r="BI855" s="86"/>
      <c r="BJ855" s="86" t="s">
        <v>29134</v>
      </c>
      <c r="BK855" s="86" t="b">
        <v>0</v>
      </c>
      <c r="BL855" s="86"/>
      <c r="BM855" s="86" t="s">
        <v>65</v>
      </c>
      <c r="BN855" s="86" t="s">
        <v>29136</v>
      </c>
      <c r="BO855" s="96" t="str">
        <f>HYPERLINK("https://twitter.com/duchapeu")</f>
        <v>https://twitter.com/duchapeu</v>
      </c>
      <c r="BP855" s="2"/>
    </row>
    <row r="856" spans="1:68" x14ac:dyDescent="0.25">
      <c r="A856" s="63" t="s">
        <v>965</v>
      </c>
      <c r="B856" s="64"/>
      <c r="C856" s="64"/>
      <c r="D856" s="65"/>
      <c r="E856" s="67"/>
      <c r="F856" s="111" t="str">
        <f>HYPERLINK("https://pbs.twimg.com/profile_images/2725090237/018522894a55aca0ed6cdbc82f9eb1de_normal.png")</f>
        <v>https://pbs.twimg.com/profile_images/2725090237/018522894a55aca0ed6cdbc82f9eb1de_normal.png</v>
      </c>
      <c r="G856" s="64"/>
      <c r="H856" s="68"/>
      <c r="I856" s="69"/>
      <c r="J856" s="69"/>
      <c r="K856" s="68" t="s">
        <v>29989</v>
      </c>
      <c r="L856" s="72"/>
      <c r="M856" s="73"/>
      <c r="N856" s="73"/>
      <c r="O856" s="74"/>
      <c r="P856" s="75"/>
      <c r="Q856" s="75"/>
      <c r="R856" s="102"/>
      <c r="S856" s="102"/>
      <c r="T856" s="102"/>
      <c r="U856" s="102"/>
      <c r="V856" s="48"/>
      <c r="W856" s="48"/>
      <c r="X856" s="48"/>
      <c r="Y856" s="48"/>
      <c r="Z856" s="47"/>
      <c r="AA856" s="70">
        <v>856</v>
      </c>
      <c r="AB856" s="70"/>
      <c r="AC856" s="71"/>
      <c r="AD856" s="86" t="s">
        <v>24467</v>
      </c>
      <c r="AE856" s="94" t="s">
        <v>25552</v>
      </c>
      <c r="AF856" s="86">
        <v>308</v>
      </c>
      <c r="AG856" s="86">
        <v>871</v>
      </c>
      <c r="AH856" s="86">
        <v>21247</v>
      </c>
      <c r="AI856" s="86">
        <v>2</v>
      </c>
      <c r="AJ856" s="86">
        <v>412</v>
      </c>
      <c r="AK856" s="86">
        <v>385</v>
      </c>
      <c r="AL856" s="86" t="b">
        <v>0</v>
      </c>
      <c r="AM856" s="89">
        <v>40778.588078703702</v>
      </c>
      <c r="AN856" s="86" t="s">
        <v>15425</v>
      </c>
      <c r="AO856" s="86" t="s">
        <v>27205</v>
      </c>
      <c r="AP856" s="86"/>
      <c r="AQ856" s="86"/>
      <c r="AR856" s="86"/>
      <c r="AS856" s="86"/>
      <c r="AT856" s="86"/>
      <c r="AU856" s="86"/>
      <c r="AV856" s="86">
        <v>1.12505539921077E+18</v>
      </c>
      <c r="AW856" s="86"/>
      <c r="AX856" s="86" t="b">
        <v>0</v>
      </c>
      <c r="AY856" s="86"/>
      <c r="AZ856" s="86"/>
      <c r="BA856" s="86" t="b">
        <v>1</v>
      </c>
      <c r="BB856" s="86" t="b">
        <v>1</v>
      </c>
      <c r="BC856" s="86" t="b">
        <v>1</v>
      </c>
      <c r="BD856" s="86" t="b">
        <v>0</v>
      </c>
      <c r="BE856" s="86" t="b">
        <v>1</v>
      </c>
      <c r="BF856" s="86" t="b">
        <v>0</v>
      </c>
      <c r="BG856" s="86" t="b">
        <v>0</v>
      </c>
      <c r="BH856" s="86"/>
      <c r="BI856" s="86"/>
      <c r="BJ856" s="86" t="s">
        <v>29134</v>
      </c>
      <c r="BK856" s="86" t="b">
        <v>0</v>
      </c>
      <c r="BL856" s="86"/>
      <c r="BM856" s="86" t="s">
        <v>66</v>
      </c>
      <c r="BN856" s="86" t="s">
        <v>29136</v>
      </c>
      <c r="BO856" s="96" t="str">
        <f>HYPERLINK("https://twitter.com/correa899")</f>
        <v>https://twitter.com/correa899</v>
      </c>
      <c r="BP856" s="2"/>
    </row>
    <row r="857" spans="1:68" x14ac:dyDescent="0.25">
      <c r="A857" s="63" t="s">
        <v>966</v>
      </c>
      <c r="B857" s="64"/>
      <c r="C857" s="64"/>
      <c r="D857" s="65"/>
      <c r="E857" s="67"/>
      <c r="F857" s="111" t="str">
        <f>HYPERLINK("https://pbs.twimg.com/profile_images/1432129897267351552/eGC7zqIj_normal.jpg")</f>
        <v>https://pbs.twimg.com/profile_images/1432129897267351552/eGC7zqIj_normal.jpg</v>
      </c>
      <c r="G857" s="64"/>
      <c r="H857" s="68"/>
      <c r="I857" s="69"/>
      <c r="J857" s="69"/>
      <c r="K857" s="68" t="s">
        <v>29990</v>
      </c>
      <c r="L857" s="72"/>
      <c r="M857" s="73"/>
      <c r="N857" s="73"/>
      <c r="O857" s="74"/>
      <c r="P857" s="75"/>
      <c r="Q857" s="75"/>
      <c r="R857" s="102"/>
      <c r="S857" s="102"/>
      <c r="T857" s="102"/>
      <c r="U857" s="102"/>
      <c r="V857" s="48"/>
      <c r="W857" s="48"/>
      <c r="X857" s="48"/>
      <c r="Y857" s="48"/>
      <c r="Z857" s="47"/>
      <c r="AA857" s="70">
        <v>857</v>
      </c>
      <c r="AB857" s="70"/>
      <c r="AC857" s="71"/>
      <c r="AD857" s="86" t="s">
        <v>24468</v>
      </c>
      <c r="AE857" s="94" t="s">
        <v>25553</v>
      </c>
      <c r="AF857" s="86">
        <v>1293</v>
      </c>
      <c r="AG857" s="86">
        <v>1205</v>
      </c>
      <c r="AH857" s="86">
        <v>35097</v>
      </c>
      <c r="AI857" s="86">
        <v>69</v>
      </c>
      <c r="AJ857" s="86">
        <v>21110</v>
      </c>
      <c r="AK857" s="86">
        <v>2402</v>
      </c>
      <c r="AL857" s="86" t="b">
        <v>0</v>
      </c>
      <c r="AM857" s="89">
        <v>39816.715717592589</v>
      </c>
      <c r="AN857" s="86" t="s">
        <v>26194</v>
      </c>
      <c r="AO857" s="86" t="s">
        <v>27206</v>
      </c>
      <c r="AP857" s="96" t="str">
        <f>HYPERLINK("https://t.co/Jg7HefQUOU")</f>
        <v>https://t.co/Jg7HefQUOU</v>
      </c>
      <c r="AQ857" s="96" t="str">
        <f>HYPERLINK("https://www.presleyson.com.br/")</f>
        <v>https://www.presleyson.com.br/</v>
      </c>
      <c r="AR857" s="86" t="s">
        <v>28481</v>
      </c>
      <c r="AS857" s="86"/>
      <c r="AT857" s="86"/>
      <c r="AU857" s="86"/>
      <c r="AV857" s="86">
        <v>8.8637730597055206E+17</v>
      </c>
      <c r="AW857" s="96" t="str">
        <f>HYPERLINK("https://t.co/Jg7HefQUOU")</f>
        <v>https://t.co/Jg7HefQUOU</v>
      </c>
      <c r="AX857" s="86" t="b">
        <v>1</v>
      </c>
      <c r="AY857" s="86"/>
      <c r="AZ857" s="86"/>
      <c r="BA857" s="86" t="b">
        <v>1</v>
      </c>
      <c r="BB857" s="86" t="b">
        <v>1</v>
      </c>
      <c r="BC857" s="86" t="b">
        <v>0</v>
      </c>
      <c r="BD857" s="86" t="b">
        <v>0</v>
      </c>
      <c r="BE857" s="86" t="b">
        <v>0</v>
      </c>
      <c r="BF857" s="86" t="b">
        <v>0</v>
      </c>
      <c r="BG857" s="86" t="b">
        <v>0</v>
      </c>
      <c r="BH857" s="96" t="str">
        <f>HYPERLINK("https://pbs.twimg.com/profile_banners/18582320/1691626486")</f>
        <v>https://pbs.twimg.com/profile_banners/18582320/1691626486</v>
      </c>
      <c r="BI857" s="86"/>
      <c r="BJ857" s="86" t="s">
        <v>29135</v>
      </c>
      <c r="BK857" s="86" t="b">
        <v>0</v>
      </c>
      <c r="BL857" s="86"/>
      <c r="BM857" s="86" t="s">
        <v>66</v>
      </c>
      <c r="BN857" s="86" t="s">
        <v>29136</v>
      </c>
      <c r="BO857" s="96" t="str">
        <f>HYPERLINK("https://twitter.com/presleyson")</f>
        <v>https://twitter.com/presleyson</v>
      </c>
      <c r="BP857" s="2"/>
    </row>
    <row r="858" spans="1:68" x14ac:dyDescent="0.25">
      <c r="A858" s="63" t="s">
        <v>967</v>
      </c>
      <c r="B858" s="64"/>
      <c r="C858" s="64"/>
      <c r="D858" s="65"/>
      <c r="E858" s="67"/>
      <c r="F858" s="111" t="str">
        <f>HYPERLINK("https://pbs.twimg.com/profile_images/1706319647677517824/jCYZuWJC_normal.jpg")</f>
        <v>https://pbs.twimg.com/profile_images/1706319647677517824/jCYZuWJC_normal.jpg</v>
      </c>
      <c r="G858" s="64"/>
      <c r="H858" s="68"/>
      <c r="I858" s="69"/>
      <c r="J858" s="69"/>
      <c r="K858" s="68" t="s">
        <v>29991</v>
      </c>
      <c r="L858" s="72"/>
      <c r="M858" s="73"/>
      <c r="N858" s="73"/>
      <c r="O858" s="74"/>
      <c r="P858" s="75"/>
      <c r="Q858" s="75"/>
      <c r="R858" s="102"/>
      <c r="S858" s="102"/>
      <c r="T858" s="102"/>
      <c r="U858" s="102"/>
      <c r="V858" s="48"/>
      <c r="W858" s="48"/>
      <c r="X858" s="48"/>
      <c r="Y858" s="48"/>
      <c r="Z858" s="47"/>
      <c r="AA858" s="70">
        <v>858</v>
      </c>
      <c r="AB858" s="70"/>
      <c r="AC858" s="71"/>
      <c r="AD858" s="86" t="s">
        <v>24469</v>
      </c>
      <c r="AE858" s="94" t="s">
        <v>23217</v>
      </c>
      <c r="AF858" s="86">
        <v>17</v>
      </c>
      <c r="AG858" s="86">
        <v>3</v>
      </c>
      <c r="AH858" s="86">
        <v>51</v>
      </c>
      <c r="AI858" s="86">
        <v>0</v>
      </c>
      <c r="AJ858" s="86">
        <v>1</v>
      </c>
      <c r="AK858" s="86">
        <v>43</v>
      </c>
      <c r="AL858" s="86" t="b">
        <v>0</v>
      </c>
      <c r="AM858" s="89">
        <v>42863.810740740744</v>
      </c>
      <c r="AN858" s="86" t="s">
        <v>15240</v>
      </c>
      <c r="AO858" s="86" t="s">
        <v>27207</v>
      </c>
      <c r="AP858" s="96" t="str">
        <f>HYPERLINK("https://t.co/HDgph2Z19G")</f>
        <v>https://t.co/HDgph2Z19G</v>
      </c>
      <c r="AQ858" s="96" t="str">
        <f>HYPERLINK("https://linkbio.co/DraRenataMatias")</f>
        <v>https://linkbio.co/DraRenataMatias</v>
      </c>
      <c r="AR858" s="86" t="s">
        <v>28482</v>
      </c>
      <c r="AS858" s="86"/>
      <c r="AT858" s="86"/>
      <c r="AU858" s="86"/>
      <c r="AV858" s="86">
        <v>8.6266938256414694E+17</v>
      </c>
      <c r="AW858" s="96" t="str">
        <f>HYPERLINK("https://t.co/HDgph2Z19G")</f>
        <v>https://t.co/HDgph2Z19G</v>
      </c>
      <c r="AX858" s="86" t="b">
        <v>0</v>
      </c>
      <c r="AY858" s="86"/>
      <c r="AZ858" s="86"/>
      <c r="BA858" s="86" t="b">
        <v>1</v>
      </c>
      <c r="BB858" s="86" t="b">
        <v>0</v>
      </c>
      <c r="BC858" s="86" t="b">
        <v>1</v>
      </c>
      <c r="BD858" s="86" t="b">
        <v>0</v>
      </c>
      <c r="BE858" s="86" t="b">
        <v>0</v>
      </c>
      <c r="BF858" s="86" t="b">
        <v>0</v>
      </c>
      <c r="BG858" s="86" t="b">
        <v>0</v>
      </c>
      <c r="BH858" s="96" t="str">
        <f>HYPERLINK("https://pbs.twimg.com/profile_banners/861663861241520128/1676573156")</f>
        <v>https://pbs.twimg.com/profile_banners/861663861241520128/1676573156</v>
      </c>
      <c r="BI858" s="86"/>
      <c r="BJ858" s="86" t="s">
        <v>29134</v>
      </c>
      <c r="BK858" s="86" t="b">
        <v>0</v>
      </c>
      <c r="BL858" s="86"/>
      <c r="BM858" s="86" t="s">
        <v>66</v>
      </c>
      <c r="BN858" s="86" t="s">
        <v>29136</v>
      </c>
      <c r="BO858" s="96" t="str">
        <f>HYPERLINK("https://twitter.com/drarenatamatias")</f>
        <v>https://twitter.com/drarenatamatias</v>
      </c>
      <c r="BP858" s="2"/>
    </row>
    <row r="859" spans="1:68" x14ac:dyDescent="0.25">
      <c r="A859" s="63" t="s">
        <v>968</v>
      </c>
      <c r="B859" s="64"/>
      <c r="C859" s="64"/>
      <c r="D859" s="65"/>
      <c r="E859" s="67"/>
      <c r="F859" s="111" t="str">
        <f>HYPERLINK("https://pbs.twimg.com/profile_images/1428228385268928516/SEN3IOrz_normal.jpg")</f>
        <v>https://pbs.twimg.com/profile_images/1428228385268928516/SEN3IOrz_normal.jpg</v>
      </c>
      <c r="G859" s="64"/>
      <c r="H859" s="68"/>
      <c r="I859" s="69"/>
      <c r="J859" s="69"/>
      <c r="K859" s="68" t="s">
        <v>29992</v>
      </c>
      <c r="L859" s="72"/>
      <c r="M859" s="73"/>
      <c r="N859" s="73"/>
      <c r="O859" s="74"/>
      <c r="P859" s="75"/>
      <c r="Q859" s="75"/>
      <c r="R859" s="102"/>
      <c r="S859" s="102"/>
      <c r="T859" s="102"/>
      <c r="U859" s="102"/>
      <c r="V859" s="48"/>
      <c r="W859" s="48"/>
      <c r="X859" s="48"/>
      <c r="Y859" s="48"/>
      <c r="Z859" s="47"/>
      <c r="AA859" s="70">
        <v>859</v>
      </c>
      <c r="AB859" s="70"/>
      <c r="AC859" s="71"/>
      <c r="AD859" s="86" t="s">
        <v>24470</v>
      </c>
      <c r="AE859" s="94" t="s">
        <v>23218</v>
      </c>
      <c r="AF859" s="86">
        <v>150</v>
      </c>
      <c r="AG859" s="86">
        <v>31</v>
      </c>
      <c r="AH859" s="86">
        <v>169</v>
      </c>
      <c r="AI859" s="86">
        <v>0</v>
      </c>
      <c r="AJ859" s="86">
        <v>308</v>
      </c>
      <c r="AK859" s="86">
        <v>52</v>
      </c>
      <c r="AL859" s="86" t="b">
        <v>0</v>
      </c>
      <c r="AM859" s="89">
        <v>43613.231388888889</v>
      </c>
      <c r="AN859" s="86" t="s">
        <v>15246</v>
      </c>
      <c r="AO859" s="86" t="s">
        <v>27208</v>
      </c>
      <c r="AP859" s="96" t="str">
        <f>HYPERLINK("https://t.co/ryWvYJ3SJ0")</f>
        <v>https://t.co/ryWvYJ3SJ0</v>
      </c>
      <c r="AQ859" s="96" t="str">
        <f>HYPERLINK("https://projetodraft.com/tag/paulo-dalla-nora-macedo/")</f>
        <v>https://projetodraft.com/tag/paulo-dalla-nora-macedo/</v>
      </c>
      <c r="AR859" s="86" t="s">
        <v>28483</v>
      </c>
      <c r="AS859" s="86"/>
      <c r="AT859" s="86"/>
      <c r="AU859" s="86"/>
      <c r="AV859" s="86"/>
      <c r="AW859" s="96" t="str">
        <f>HYPERLINK("https://t.co/ryWvYJ3SJ0")</f>
        <v>https://t.co/ryWvYJ3SJ0</v>
      </c>
      <c r="AX859" s="86" t="b">
        <v>0</v>
      </c>
      <c r="AY859" s="86"/>
      <c r="AZ859" s="86"/>
      <c r="BA859" s="86" t="b">
        <v>0</v>
      </c>
      <c r="BB859" s="86" t="b">
        <v>1</v>
      </c>
      <c r="BC859" s="86" t="b">
        <v>1</v>
      </c>
      <c r="BD859" s="86" t="b">
        <v>0</v>
      </c>
      <c r="BE859" s="86" t="b">
        <v>0</v>
      </c>
      <c r="BF859" s="86" t="b">
        <v>0</v>
      </c>
      <c r="BG859" s="86" t="b">
        <v>0</v>
      </c>
      <c r="BH859" s="96" t="str">
        <f>HYPERLINK("https://pbs.twimg.com/profile_banners/1133244811803185159/1559021772")</f>
        <v>https://pbs.twimg.com/profile_banners/1133244811803185159/1559021772</v>
      </c>
      <c r="BI859" s="86"/>
      <c r="BJ859" s="86" t="s">
        <v>29134</v>
      </c>
      <c r="BK859" s="86" t="b">
        <v>0</v>
      </c>
      <c r="BL859" s="86"/>
      <c r="BM859" s="86" t="s">
        <v>66</v>
      </c>
      <c r="BN859" s="86" t="s">
        <v>29136</v>
      </c>
      <c r="BO859" s="96" t="str">
        <f>HYPERLINK("https://twitter.com/paulodallanoram")</f>
        <v>https://twitter.com/paulodallanoram</v>
      </c>
      <c r="BP859" s="2"/>
    </row>
    <row r="860" spans="1:68" x14ac:dyDescent="0.25">
      <c r="A860" s="63" t="s">
        <v>969</v>
      </c>
      <c r="B860" s="64"/>
      <c r="C860" s="64"/>
      <c r="D860" s="65"/>
      <c r="E860" s="67"/>
      <c r="F860" s="111" t="str">
        <f>HYPERLINK("https://pbs.twimg.com/profile_images/1234920651196174337/yWPLRNQ9_normal.jpg")</f>
        <v>https://pbs.twimg.com/profile_images/1234920651196174337/yWPLRNQ9_normal.jpg</v>
      </c>
      <c r="G860" s="64"/>
      <c r="H860" s="68"/>
      <c r="I860" s="69"/>
      <c r="J860" s="69"/>
      <c r="K860" s="68" t="s">
        <v>29993</v>
      </c>
      <c r="L860" s="72"/>
      <c r="M860" s="73"/>
      <c r="N860" s="73"/>
      <c r="O860" s="74"/>
      <c r="P860" s="75"/>
      <c r="Q860" s="75"/>
      <c r="R860" s="102"/>
      <c r="S860" s="102"/>
      <c r="T860" s="102"/>
      <c r="U860" s="102"/>
      <c r="V860" s="48"/>
      <c r="W860" s="48"/>
      <c r="X860" s="48"/>
      <c r="Y860" s="48"/>
      <c r="Z860" s="47"/>
      <c r="AA860" s="70">
        <v>860</v>
      </c>
      <c r="AB860" s="70"/>
      <c r="AC860" s="71"/>
      <c r="AD860" s="86" t="s">
        <v>24471</v>
      </c>
      <c r="AE860" s="94" t="s">
        <v>25554</v>
      </c>
      <c r="AF860" s="86">
        <v>1432</v>
      </c>
      <c r="AG860" s="86">
        <v>67</v>
      </c>
      <c r="AH860" s="86">
        <v>2438</v>
      </c>
      <c r="AI860" s="86">
        <v>28</v>
      </c>
      <c r="AJ860" s="86">
        <v>11</v>
      </c>
      <c r="AK860" s="86">
        <v>443</v>
      </c>
      <c r="AL860" s="86" t="b">
        <v>0</v>
      </c>
      <c r="AM860" s="89">
        <v>39907.85528935185</v>
      </c>
      <c r="AN860" s="86" t="s">
        <v>25936</v>
      </c>
      <c r="AO860" s="86" t="s">
        <v>27209</v>
      </c>
      <c r="AP860" s="96" t="str">
        <f>HYPERLINK("https://t.co/hwzYRgh1Db")</f>
        <v>https://t.co/hwzYRgh1Db</v>
      </c>
      <c r="AQ860" s="96" t="str">
        <f>HYPERLINK("https://beacons.ai/franchisestore")</f>
        <v>https://beacons.ai/franchisestore</v>
      </c>
      <c r="AR860" s="86" t="s">
        <v>28484</v>
      </c>
      <c r="AS860" s="86"/>
      <c r="AT860" s="86"/>
      <c r="AU860" s="86"/>
      <c r="AV860" s="86"/>
      <c r="AW860" s="96" t="str">
        <f>HYPERLINK("https://t.co/hwzYRgh1Db")</f>
        <v>https://t.co/hwzYRgh1Db</v>
      </c>
      <c r="AX860" s="86" t="b">
        <v>0</v>
      </c>
      <c r="AY860" s="86"/>
      <c r="AZ860" s="86"/>
      <c r="BA860" s="86" t="b">
        <v>0</v>
      </c>
      <c r="BB860" s="86" t="b">
        <v>1</v>
      </c>
      <c r="BC860" s="86" t="b">
        <v>0</v>
      </c>
      <c r="BD860" s="86" t="b">
        <v>0</v>
      </c>
      <c r="BE860" s="86" t="b">
        <v>0</v>
      </c>
      <c r="BF860" s="86" t="b">
        <v>0</v>
      </c>
      <c r="BG860" s="86" t="b">
        <v>0</v>
      </c>
      <c r="BH860" s="96" t="str">
        <f>HYPERLINK("https://pbs.twimg.com/profile_banners/28864636/1693835415")</f>
        <v>https://pbs.twimg.com/profile_banners/28864636/1693835415</v>
      </c>
      <c r="BI860" s="86"/>
      <c r="BJ860" s="86" t="s">
        <v>29134</v>
      </c>
      <c r="BK860" s="86" t="b">
        <v>0</v>
      </c>
      <c r="BL860" s="86"/>
      <c r="BM860" s="86" t="s">
        <v>66</v>
      </c>
      <c r="BN860" s="86" t="s">
        <v>29136</v>
      </c>
      <c r="BO860" s="96" t="str">
        <f>HYPERLINK("https://twitter.com/franchise_store")</f>
        <v>https://twitter.com/franchise_store</v>
      </c>
      <c r="BP860" s="2"/>
    </row>
    <row r="861" spans="1:68" x14ac:dyDescent="0.25">
      <c r="A861" s="63" t="s">
        <v>970</v>
      </c>
      <c r="B861" s="64"/>
      <c r="C861" s="64"/>
      <c r="D861" s="65"/>
      <c r="E861" s="67"/>
      <c r="F861" s="111" t="str">
        <f>HYPERLINK("https://pbs.twimg.com/profile_images/1686401149333590016/II3NOPOg_normal.png")</f>
        <v>https://pbs.twimg.com/profile_images/1686401149333590016/II3NOPOg_normal.png</v>
      </c>
      <c r="G861" s="64"/>
      <c r="H861" s="68"/>
      <c r="I861" s="69"/>
      <c r="J861" s="69"/>
      <c r="K861" s="68" t="s">
        <v>29994</v>
      </c>
      <c r="L861" s="72"/>
      <c r="M861" s="73"/>
      <c r="N861" s="73"/>
      <c r="O861" s="74"/>
      <c r="P861" s="75"/>
      <c r="Q861" s="75"/>
      <c r="R861" s="102"/>
      <c r="S861" s="102"/>
      <c r="T861" s="102"/>
      <c r="U861" s="102"/>
      <c r="V861" s="48"/>
      <c r="W861" s="48"/>
      <c r="X861" s="48"/>
      <c r="Y861" s="48"/>
      <c r="Z861" s="47"/>
      <c r="AA861" s="70">
        <v>861</v>
      </c>
      <c r="AB861" s="70"/>
      <c r="AC861" s="71"/>
      <c r="AD861" s="86" t="s">
        <v>24472</v>
      </c>
      <c r="AE861" s="94" t="s">
        <v>23219</v>
      </c>
      <c r="AF861" s="86">
        <v>0</v>
      </c>
      <c r="AG861" s="86">
        <v>1</v>
      </c>
      <c r="AH861" s="86">
        <v>5</v>
      </c>
      <c r="AI861" s="86">
        <v>0</v>
      </c>
      <c r="AJ861" s="86">
        <v>1</v>
      </c>
      <c r="AK861" s="86">
        <v>1</v>
      </c>
      <c r="AL861" s="86" t="b">
        <v>0</v>
      </c>
      <c r="AM861" s="89">
        <v>45139.652083333334</v>
      </c>
      <c r="AN861" s="86"/>
      <c r="AO861" s="86"/>
      <c r="AP861" s="86"/>
      <c r="AQ861" s="86"/>
      <c r="AR861" s="86"/>
      <c r="AS861" s="86"/>
      <c r="AT861" s="86"/>
      <c r="AU861" s="86"/>
      <c r="AV861" s="86"/>
      <c r="AW861" s="86"/>
      <c r="AX861" s="86" t="b">
        <v>0</v>
      </c>
      <c r="AY861" s="86"/>
      <c r="AZ861" s="86"/>
      <c r="BA861" s="86" t="b">
        <v>0</v>
      </c>
      <c r="BB861" s="86" t="b">
        <v>1</v>
      </c>
      <c r="BC861" s="86" t="b">
        <v>1</v>
      </c>
      <c r="BD861" s="86" t="b">
        <v>0</v>
      </c>
      <c r="BE861" s="86" t="b">
        <v>0</v>
      </c>
      <c r="BF861" s="86" t="b">
        <v>0</v>
      </c>
      <c r="BG861" s="86" t="b">
        <v>0</v>
      </c>
      <c r="BH861" s="86"/>
      <c r="BI861" s="86"/>
      <c r="BJ861" s="86" t="s">
        <v>29134</v>
      </c>
      <c r="BK861" s="86" t="b">
        <v>0</v>
      </c>
      <c r="BL861" s="86"/>
      <c r="BM861" s="86" t="s">
        <v>66</v>
      </c>
      <c r="BN861" s="86" t="s">
        <v>29136</v>
      </c>
      <c r="BO861" s="96" t="str">
        <f>HYPERLINK("https://twitter.com/expressstore05")</f>
        <v>https://twitter.com/expressstore05</v>
      </c>
      <c r="BP861" s="2"/>
    </row>
    <row r="862" spans="1:68" x14ac:dyDescent="0.25">
      <c r="A862" s="63" t="s">
        <v>971</v>
      </c>
      <c r="B862" s="64"/>
      <c r="C862" s="64"/>
      <c r="D862" s="65"/>
      <c r="E862" s="67"/>
      <c r="F862" s="111" t="str">
        <f>HYPERLINK("https://pbs.twimg.com/profile_images/1678984739141693441/RnvpDb9N_normal.jpg")</f>
        <v>https://pbs.twimg.com/profile_images/1678984739141693441/RnvpDb9N_normal.jpg</v>
      </c>
      <c r="G862" s="64"/>
      <c r="H862" s="68"/>
      <c r="I862" s="69"/>
      <c r="J862" s="69"/>
      <c r="K862" s="68" t="s">
        <v>29995</v>
      </c>
      <c r="L862" s="72"/>
      <c r="M862" s="73"/>
      <c r="N862" s="73"/>
      <c r="O862" s="74"/>
      <c r="P862" s="75"/>
      <c r="Q862" s="75"/>
      <c r="R862" s="102"/>
      <c r="S862" s="102"/>
      <c r="T862" s="102"/>
      <c r="U862" s="102"/>
      <c r="V862" s="48"/>
      <c r="W862" s="48"/>
      <c r="X862" s="48"/>
      <c r="Y862" s="48"/>
      <c r="Z862" s="47"/>
      <c r="AA862" s="70">
        <v>862</v>
      </c>
      <c r="AB862" s="70"/>
      <c r="AC862" s="71"/>
      <c r="AD862" s="86" t="s">
        <v>24473</v>
      </c>
      <c r="AE862" s="94" t="s">
        <v>23220</v>
      </c>
      <c r="AF862" s="86">
        <v>3</v>
      </c>
      <c r="AG862" s="86">
        <v>24</v>
      </c>
      <c r="AH862" s="86">
        <v>361</v>
      </c>
      <c r="AI862" s="86">
        <v>0</v>
      </c>
      <c r="AJ862" s="86">
        <v>11</v>
      </c>
      <c r="AK862" s="86">
        <v>351</v>
      </c>
      <c r="AL862" s="86" t="b">
        <v>0</v>
      </c>
      <c r="AM862" s="89">
        <v>44776.744363425925</v>
      </c>
      <c r="AN862" s="86"/>
      <c r="AO862" s="86" t="s">
        <v>27210</v>
      </c>
      <c r="AP862" s="96" t="str">
        <f>HYPERLINK("https://t.co/UFiCFZBLJh")</f>
        <v>https://t.co/UFiCFZBLJh</v>
      </c>
      <c r="AQ862" s="96" t="str">
        <f>HYPERLINK("https://mycollection.shop/cesarlandivar")</f>
        <v>https://mycollection.shop/cesarlandivar</v>
      </c>
      <c r="AR862" s="86" t="s">
        <v>28485</v>
      </c>
      <c r="AS862" s="86"/>
      <c r="AT862" s="86"/>
      <c r="AU862" s="86"/>
      <c r="AV862" s="86">
        <v>1.69143263519567E+18</v>
      </c>
      <c r="AW862" s="96" t="str">
        <f>HYPERLINK("https://t.co/UFiCFZBLJh")</f>
        <v>https://t.co/UFiCFZBLJh</v>
      </c>
      <c r="AX862" s="86" t="b">
        <v>0</v>
      </c>
      <c r="AY862" s="86"/>
      <c r="AZ862" s="86"/>
      <c r="BA862" s="86" t="b">
        <v>0</v>
      </c>
      <c r="BB862" s="86" t="b">
        <v>1</v>
      </c>
      <c r="BC862" s="86" t="b">
        <v>1</v>
      </c>
      <c r="BD862" s="86" t="b">
        <v>0</v>
      </c>
      <c r="BE862" s="86" t="b">
        <v>0</v>
      </c>
      <c r="BF862" s="86" t="b">
        <v>0</v>
      </c>
      <c r="BG862" s="86" t="b">
        <v>0</v>
      </c>
      <c r="BH862" s="96" t="str">
        <f>HYPERLINK("https://pbs.twimg.com/profile_banners/1554887701173764098/1690055583")</f>
        <v>https://pbs.twimg.com/profile_banners/1554887701173764098/1690055583</v>
      </c>
      <c r="BI862" s="86"/>
      <c r="BJ862" s="86" t="s">
        <v>29134</v>
      </c>
      <c r="BK862" s="86" t="b">
        <v>0</v>
      </c>
      <c r="BL862" s="86"/>
      <c r="BM862" s="86" t="s">
        <v>66</v>
      </c>
      <c r="BN862" s="86" t="s">
        <v>29136</v>
      </c>
      <c r="BO862" s="96" t="str">
        <f>HYPERLINK("https://twitter.com/cesarlandivar2")</f>
        <v>https://twitter.com/cesarlandivar2</v>
      </c>
      <c r="BP862" s="2"/>
    </row>
    <row r="863" spans="1:68" x14ac:dyDescent="0.25">
      <c r="A863" s="63" t="s">
        <v>972</v>
      </c>
      <c r="B863" s="64"/>
      <c r="C863" s="64"/>
      <c r="D863" s="65"/>
      <c r="E863" s="67"/>
      <c r="F863" s="111" t="str">
        <f>HYPERLINK("https://pbs.twimg.com/profile_images/1158783308047749122/MMcGWZyp_normal.jpg")</f>
        <v>https://pbs.twimg.com/profile_images/1158783308047749122/MMcGWZyp_normal.jpg</v>
      </c>
      <c r="G863" s="64"/>
      <c r="H863" s="68"/>
      <c r="I863" s="69"/>
      <c r="J863" s="69"/>
      <c r="K863" s="68" t="s">
        <v>29996</v>
      </c>
      <c r="L863" s="72"/>
      <c r="M863" s="73"/>
      <c r="N863" s="73"/>
      <c r="O863" s="74"/>
      <c r="P863" s="75"/>
      <c r="Q863" s="75"/>
      <c r="R863" s="102"/>
      <c r="S863" s="102"/>
      <c r="T863" s="102"/>
      <c r="U863" s="102"/>
      <c r="V863" s="48"/>
      <c r="W863" s="48"/>
      <c r="X863" s="48"/>
      <c r="Y863" s="48"/>
      <c r="Z863" s="47"/>
      <c r="AA863" s="70">
        <v>863</v>
      </c>
      <c r="AB863" s="70"/>
      <c r="AC863" s="71"/>
      <c r="AD863" s="86" t="s">
        <v>24474</v>
      </c>
      <c r="AE863" s="94" t="s">
        <v>23221</v>
      </c>
      <c r="AF863" s="86">
        <v>331</v>
      </c>
      <c r="AG863" s="86">
        <v>181</v>
      </c>
      <c r="AH863" s="86">
        <v>4775</v>
      </c>
      <c r="AI863" s="86">
        <v>1</v>
      </c>
      <c r="AJ863" s="86">
        <v>177</v>
      </c>
      <c r="AK863" s="86">
        <v>3533</v>
      </c>
      <c r="AL863" s="86" t="b">
        <v>0</v>
      </c>
      <c r="AM863" s="89">
        <v>42443.78702546296</v>
      </c>
      <c r="AN863" s="86" t="s">
        <v>26195</v>
      </c>
      <c r="AO863" s="86" t="s">
        <v>27211</v>
      </c>
      <c r="AP863" s="96" t="str">
        <f>HYPERLINK("https://t.co/auEskLNSNP")</f>
        <v>https://t.co/auEskLNSNP</v>
      </c>
      <c r="AQ863" s="96" t="str">
        <f>HYPERLINK("http://WWW.MDFTECHNOLOGY.COM.BR")</f>
        <v>http://WWW.MDFTECHNOLOGY.COM.BR</v>
      </c>
      <c r="AR863" s="86" t="s">
        <v>28486</v>
      </c>
      <c r="AS863" s="96" t="str">
        <f>HYPERLINK("https://t.co/us5zMuOiu4")</f>
        <v>https://t.co/us5zMuOiu4</v>
      </c>
      <c r="AT863" s="96" t="str">
        <f>HYPERLINK("http://blog.mdftecnologia.com")</f>
        <v>http://blog.mdftecnologia.com</v>
      </c>
      <c r="AU863" s="86" t="s">
        <v>29087</v>
      </c>
      <c r="AV863" s="86">
        <v>1.33306858793071E+18</v>
      </c>
      <c r="AW863" s="96" t="str">
        <f>HYPERLINK("https://t.co/auEskLNSNP")</f>
        <v>https://t.co/auEskLNSNP</v>
      </c>
      <c r="AX863" s="86" t="b">
        <v>0</v>
      </c>
      <c r="AY863" s="86"/>
      <c r="AZ863" s="86"/>
      <c r="BA863" s="86" t="b">
        <v>0</v>
      </c>
      <c r="BB863" s="86" t="b">
        <v>1</v>
      </c>
      <c r="BC863" s="86" t="b">
        <v>0</v>
      </c>
      <c r="BD863" s="86" t="b">
        <v>0</v>
      </c>
      <c r="BE863" s="86" t="b">
        <v>1</v>
      </c>
      <c r="BF863" s="86" t="b">
        <v>0</v>
      </c>
      <c r="BG863" s="86" t="b">
        <v>0</v>
      </c>
      <c r="BH863" s="96" t="str">
        <f>HYPERLINK("https://pbs.twimg.com/profile_banners/709452366039400449/1588899156")</f>
        <v>https://pbs.twimg.com/profile_banners/709452366039400449/1588899156</v>
      </c>
      <c r="BI863" s="86"/>
      <c r="BJ863" s="86" t="s">
        <v>29134</v>
      </c>
      <c r="BK863" s="86" t="b">
        <v>0</v>
      </c>
      <c r="BL863" s="86"/>
      <c r="BM863" s="86" t="s">
        <v>66</v>
      </c>
      <c r="BN863" s="86" t="s">
        <v>29136</v>
      </c>
      <c r="BO863" s="96" t="str">
        <f>HYPERLINK("https://twitter.com/mdftecnologia")</f>
        <v>https://twitter.com/mdftecnologia</v>
      </c>
      <c r="BP863" s="2"/>
    </row>
    <row r="864" spans="1:68" x14ac:dyDescent="0.25">
      <c r="A864" s="63" t="s">
        <v>973</v>
      </c>
      <c r="B864" s="64"/>
      <c r="C864" s="64"/>
      <c r="D864" s="65"/>
      <c r="E864" s="67"/>
      <c r="F864" s="111" t="str">
        <f>HYPERLINK("https://pbs.twimg.com/profile_images/1648324466399690753/uOP_7eCU_normal.jpg")</f>
        <v>https://pbs.twimg.com/profile_images/1648324466399690753/uOP_7eCU_normal.jpg</v>
      </c>
      <c r="G864" s="64"/>
      <c r="H864" s="68"/>
      <c r="I864" s="69"/>
      <c r="J864" s="69"/>
      <c r="K864" s="68" t="s">
        <v>29997</v>
      </c>
      <c r="L864" s="72"/>
      <c r="M864" s="73"/>
      <c r="N864" s="73"/>
      <c r="O864" s="74"/>
      <c r="P864" s="75"/>
      <c r="Q864" s="75"/>
      <c r="R864" s="102"/>
      <c r="S864" s="102"/>
      <c r="T864" s="102"/>
      <c r="U864" s="102"/>
      <c r="V864" s="48"/>
      <c r="W864" s="48"/>
      <c r="X864" s="48"/>
      <c r="Y864" s="48"/>
      <c r="Z864" s="47"/>
      <c r="AA864" s="70">
        <v>864</v>
      </c>
      <c r="AB864" s="70"/>
      <c r="AC864" s="71"/>
      <c r="AD864" s="86" t="s">
        <v>24475</v>
      </c>
      <c r="AE864" s="94" t="s">
        <v>23222</v>
      </c>
      <c r="AF864" s="86">
        <v>18</v>
      </c>
      <c r="AG864" s="86">
        <v>77</v>
      </c>
      <c r="AH864" s="86">
        <v>482</v>
      </c>
      <c r="AI864" s="86">
        <v>0</v>
      </c>
      <c r="AJ864" s="86">
        <v>15</v>
      </c>
      <c r="AK864" s="86">
        <v>478</v>
      </c>
      <c r="AL864" s="86" t="b">
        <v>0</v>
      </c>
      <c r="AM864" s="89">
        <v>44671.61650462963</v>
      </c>
      <c r="AN864" s="86" t="s">
        <v>26196</v>
      </c>
      <c r="AO864" s="86" t="s">
        <v>27212</v>
      </c>
      <c r="AP864" s="96" t="str">
        <f>HYPERLINK("https://t.co/rw1jTgKYVK")</f>
        <v>https://t.co/rw1jTgKYVK</v>
      </c>
      <c r="AQ864" s="96" t="str">
        <f>HYPERLINK("https://econusa.com.br/")</f>
        <v>https://econusa.com.br/</v>
      </c>
      <c r="AR864" s="86" t="s">
        <v>28487</v>
      </c>
      <c r="AS864" s="86"/>
      <c r="AT864" s="86"/>
      <c r="AU864" s="86"/>
      <c r="AV864" s="86"/>
      <c r="AW864" s="96" t="str">
        <f>HYPERLINK("https://t.co/rw1jTgKYVK")</f>
        <v>https://t.co/rw1jTgKYVK</v>
      </c>
      <c r="AX864" s="86" t="b">
        <v>0</v>
      </c>
      <c r="AY864" s="86"/>
      <c r="AZ864" s="86"/>
      <c r="BA864" s="86" t="b">
        <v>0</v>
      </c>
      <c r="BB864" s="86" t="b">
        <v>1</v>
      </c>
      <c r="BC864" s="86" t="b">
        <v>1</v>
      </c>
      <c r="BD864" s="86" t="b">
        <v>0</v>
      </c>
      <c r="BE864" s="86" t="b">
        <v>0</v>
      </c>
      <c r="BF864" s="86" t="b">
        <v>0</v>
      </c>
      <c r="BG864" s="86" t="b">
        <v>0</v>
      </c>
      <c r="BH864" s="96" t="str">
        <f>HYPERLINK("https://pbs.twimg.com/profile_banners/1516790711001264129/1681826153")</f>
        <v>https://pbs.twimg.com/profile_banners/1516790711001264129/1681826153</v>
      </c>
      <c r="BI864" s="86"/>
      <c r="BJ864" s="86" t="s">
        <v>29134</v>
      </c>
      <c r="BK864" s="86" t="b">
        <v>0</v>
      </c>
      <c r="BL864" s="86"/>
      <c r="BM864" s="86" t="s">
        <v>66</v>
      </c>
      <c r="BN864" s="86" t="s">
        <v>29136</v>
      </c>
      <c r="BO864" s="96" t="str">
        <f>HYPERLINK("https://twitter.com/econusabr")</f>
        <v>https://twitter.com/econusabr</v>
      </c>
      <c r="BP864" s="2"/>
    </row>
    <row r="865" spans="1:68" x14ac:dyDescent="0.25">
      <c r="A865" s="63" t="s">
        <v>974</v>
      </c>
      <c r="B865" s="64"/>
      <c r="C865" s="64"/>
      <c r="D865" s="65"/>
      <c r="E865" s="67"/>
      <c r="F865" s="111" t="str">
        <f>HYPERLINK("https://pbs.twimg.com/profile_images/1298975014939774977/iMbZTqwR_normal.jpg")</f>
        <v>https://pbs.twimg.com/profile_images/1298975014939774977/iMbZTqwR_normal.jpg</v>
      </c>
      <c r="G865" s="64"/>
      <c r="H865" s="68"/>
      <c r="I865" s="69"/>
      <c r="J865" s="69"/>
      <c r="K865" s="68" t="s">
        <v>29998</v>
      </c>
      <c r="L865" s="72"/>
      <c r="M865" s="73"/>
      <c r="N865" s="73"/>
      <c r="O865" s="74"/>
      <c r="P865" s="75"/>
      <c r="Q865" s="75"/>
      <c r="R865" s="102"/>
      <c r="S865" s="102"/>
      <c r="T865" s="102"/>
      <c r="U865" s="102"/>
      <c r="V865" s="48"/>
      <c r="W865" s="48"/>
      <c r="X865" s="48"/>
      <c r="Y865" s="48"/>
      <c r="Z865" s="47"/>
      <c r="AA865" s="70">
        <v>865</v>
      </c>
      <c r="AB865" s="70"/>
      <c r="AC865" s="71"/>
      <c r="AD865" s="86" t="s">
        <v>24476</v>
      </c>
      <c r="AE865" s="94" t="s">
        <v>22599</v>
      </c>
      <c r="AF865" s="86">
        <v>62</v>
      </c>
      <c r="AG865" s="86">
        <v>17</v>
      </c>
      <c r="AH865" s="86">
        <v>1609</v>
      </c>
      <c r="AI865" s="86">
        <v>0</v>
      </c>
      <c r="AJ865" s="86">
        <v>2</v>
      </c>
      <c r="AK865" s="86">
        <v>268</v>
      </c>
      <c r="AL865" s="86" t="b">
        <v>0</v>
      </c>
      <c r="AM865" s="89">
        <v>40480.557488425926</v>
      </c>
      <c r="AN865" s="86" t="s">
        <v>15378</v>
      </c>
      <c r="AO865" s="86" t="s">
        <v>27213</v>
      </c>
      <c r="AP865" s="96" t="str">
        <f>HYPERLINK("https://t.co/mNmsIWnYa2")</f>
        <v>https://t.co/mNmsIWnYa2</v>
      </c>
      <c r="AQ865" s="96" t="str">
        <f>HYPERLINK("http://www.bravacapital.com")</f>
        <v>http://www.bravacapital.com</v>
      </c>
      <c r="AR865" s="86" t="s">
        <v>28488</v>
      </c>
      <c r="AS865" s="86"/>
      <c r="AT865" s="86"/>
      <c r="AU865" s="86"/>
      <c r="AV865" s="86"/>
      <c r="AW865" s="96" t="str">
        <f>HYPERLINK("https://t.co/mNmsIWnYa2")</f>
        <v>https://t.co/mNmsIWnYa2</v>
      </c>
      <c r="AX865" s="86" t="b">
        <v>0</v>
      </c>
      <c r="AY865" s="86"/>
      <c r="AZ865" s="86"/>
      <c r="BA865" s="86" t="b">
        <v>0</v>
      </c>
      <c r="BB865" s="86" t="b">
        <v>1</v>
      </c>
      <c r="BC865" s="86" t="b">
        <v>1</v>
      </c>
      <c r="BD865" s="86" t="b">
        <v>0</v>
      </c>
      <c r="BE865" s="86" t="b">
        <v>0</v>
      </c>
      <c r="BF865" s="86" t="b">
        <v>0</v>
      </c>
      <c r="BG865" s="86" t="b">
        <v>0</v>
      </c>
      <c r="BH865" s="96" t="str">
        <f>HYPERLINK("https://pbs.twimg.com/profile_banners/209578308/1598534641")</f>
        <v>https://pbs.twimg.com/profile_banners/209578308/1598534641</v>
      </c>
      <c r="BI865" s="86"/>
      <c r="BJ865" s="86" t="s">
        <v>29134</v>
      </c>
      <c r="BK865" s="86" t="b">
        <v>0</v>
      </c>
      <c r="BL865" s="86"/>
      <c r="BM865" s="86" t="s">
        <v>66</v>
      </c>
      <c r="BN865" s="86" t="s">
        <v>29136</v>
      </c>
      <c r="BO865" s="96" t="str">
        <f>HYPERLINK("https://twitter.com/bravacapital")</f>
        <v>https://twitter.com/bravacapital</v>
      </c>
      <c r="BP865" s="2"/>
    </row>
    <row r="866" spans="1:68" x14ac:dyDescent="0.25">
      <c r="A866" s="63" t="s">
        <v>975</v>
      </c>
      <c r="B866" s="64"/>
      <c r="C866" s="64"/>
      <c r="D866" s="65"/>
      <c r="E866" s="67"/>
      <c r="F866" s="111" t="str">
        <f>HYPERLINK("https://pbs.twimg.com/profile_images/1673471114125668352/jjzXVTzj_normal.jpg")</f>
        <v>https://pbs.twimg.com/profile_images/1673471114125668352/jjzXVTzj_normal.jpg</v>
      </c>
      <c r="G866" s="64"/>
      <c r="H866" s="68"/>
      <c r="I866" s="69"/>
      <c r="J866" s="69"/>
      <c r="K866" s="68" t="s">
        <v>29999</v>
      </c>
      <c r="L866" s="72"/>
      <c r="M866" s="73"/>
      <c r="N866" s="73"/>
      <c r="O866" s="74"/>
      <c r="P866" s="75"/>
      <c r="Q866" s="75"/>
      <c r="R866" s="102"/>
      <c r="S866" s="102"/>
      <c r="T866" s="102"/>
      <c r="U866" s="102"/>
      <c r="V866" s="48"/>
      <c r="W866" s="48"/>
      <c r="X866" s="48"/>
      <c r="Y866" s="48"/>
      <c r="Z866" s="47"/>
      <c r="AA866" s="70">
        <v>866</v>
      </c>
      <c r="AB866" s="70"/>
      <c r="AC866" s="71"/>
      <c r="AD866" s="86" t="s">
        <v>24477</v>
      </c>
      <c r="AE866" s="94" t="s">
        <v>23223</v>
      </c>
      <c r="AF866" s="86">
        <v>0</v>
      </c>
      <c r="AG866" s="86">
        <v>1</v>
      </c>
      <c r="AH866" s="86">
        <v>3</v>
      </c>
      <c r="AI866" s="86">
        <v>0</v>
      </c>
      <c r="AJ866" s="86">
        <v>0</v>
      </c>
      <c r="AK866" s="86">
        <v>1</v>
      </c>
      <c r="AL866" s="86" t="b">
        <v>0</v>
      </c>
      <c r="AM866" s="89">
        <v>45103.971979166665</v>
      </c>
      <c r="AN866" s="86"/>
      <c r="AO866" s="86" t="s">
        <v>27214</v>
      </c>
      <c r="AP866" s="86"/>
      <c r="AQ866" s="86"/>
      <c r="AR866" s="86"/>
      <c r="AS866" s="86"/>
      <c r="AT866" s="86"/>
      <c r="AU866" s="86"/>
      <c r="AV866" s="86"/>
      <c r="AW866" s="86"/>
      <c r="AX866" s="86" t="b">
        <v>0</v>
      </c>
      <c r="AY866" s="86"/>
      <c r="AZ866" s="86"/>
      <c r="BA866" s="86" t="b">
        <v>0</v>
      </c>
      <c r="BB866" s="86" t="b">
        <v>1</v>
      </c>
      <c r="BC866" s="86" t="b">
        <v>1</v>
      </c>
      <c r="BD866" s="86" t="b">
        <v>0</v>
      </c>
      <c r="BE866" s="86" t="b">
        <v>0</v>
      </c>
      <c r="BF866" s="86" t="b">
        <v>0</v>
      </c>
      <c r="BG866" s="86" t="b">
        <v>0</v>
      </c>
      <c r="BH866" s="86"/>
      <c r="BI866" s="86"/>
      <c r="BJ866" s="86" t="s">
        <v>29134</v>
      </c>
      <c r="BK866" s="86" t="b">
        <v>0</v>
      </c>
      <c r="BL866" s="86"/>
      <c r="BM866" s="86" t="s">
        <v>66</v>
      </c>
      <c r="BN866" s="86" t="s">
        <v>29136</v>
      </c>
      <c r="BO866" s="96" t="str">
        <f>HYPERLINK("https://twitter.com/pontocom_new")</f>
        <v>https://twitter.com/pontocom_new</v>
      </c>
      <c r="BP866" s="2"/>
    </row>
    <row r="867" spans="1:68" x14ac:dyDescent="0.25">
      <c r="A867" s="63" t="s">
        <v>976</v>
      </c>
      <c r="B867" s="64"/>
      <c r="C867" s="64"/>
      <c r="D867" s="65"/>
      <c r="E867" s="67"/>
      <c r="F867" s="111" t="str">
        <f>HYPERLINK("https://pbs.twimg.com/profile_images/1670395351633743873/Yleji6k0_normal.jpg")</f>
        <v>https://pbs.twimg.com/profile_images/1670395351633743873/Yleji6k0_normal.jpg</v>
      </c>
      <c r="G867" s="64"/>
      <c r="H867" s="68"/>
      <c r="I867" s="69"/>
      <c r="J867" s="69"/>
      <c r="K867" s="68" t="s">
        <v>30000</v>
      </c>
      <c r="L867" s="72"/>
      <c r="M867" s="73"/>
      <c r="N867" s="73"/>
      <c r="O867" s="74"/>
      <c r="P867" s="75"/>
      <c r="Q867" s="75"/>
      <c r="R867" s="102"/>
      <c r="S867" s="102"/>
      <c r="T867" s="102"/>
      <c r="U867" s="102"/>
      <c r="V867" s="48"/>
      <c r="W867" s="48"/>
      <c r="X867" s="48"/>
      <c r="Y867" s="48"/>
      <c r="Z867" s="47"/>
      <c r="AA867" s="70">
        <v>867</v>
      </c>
      <c r="AB867" s="70"/>
      <c r="AC867" s="71"/>
      <c r="AD867" s="86" t="s">
        <v>976</v>
      </c>
      <c r="AE867" s="94" t="s">
        <v>23224</v>
      </c>
      <c r="AF867" s="86">
        <v>109</v>
      </c>
      <c r="AG867" s="86">
        <v>421</v>
      </c>
      <c r="AH867" s="86">
        <v>1533</v>
      </c>
      <c r="AI867" s="86">
        <v>2</v>
      </c>
      <c r="AJ867" s="86">
        <v>947</v>
      </c>
      <c r="AK867" s="86">
        <v>389</v>
      </c>
      <c r="AL867" s="86" t="b">
        <v>0</v>
      </c>
      <c r="AM867" s="89">
        <v>44752.730092592596</v>
      </c>
      <c r="AN867" s="86" t="s">
        <v>26197</v>
      </c>
      <c r="AO867" s="86" t="s">
        <v>27215</v>
      </c>
      <c r="AP867" s="96" t="str">
        <f>HYPERLINK("https://t.co/cmElp6jaSA")</f>
        <v>https://t.co/cmElp6jaSA</v>
      </c>
      <c r="AQ867" s="96" t="str">
        <f>HYPERLINK("https://magominimalista.com.br")</f>
        <v>https://magominimalista.com.br</v>
      </c>
      <c r="AR867" s="86" t="s">
        <v>28489</v>
      </c>
      <c r="AS867" s="86"/>
      <c r="AT867" s="86"/>
      <c r="AU867" s="86"/>
      <c r="AV867" s="86"/>
      <c r="AW867" s="96" t="str">
        <f>HYPERLINK("https://t.co/cmElp6jaSA")</f>
        <v>https://t.co/cmElp6jaSA</v>
      </c>
      <c r="AX867" s="86" t="b">
        <v>0</v>
      </c>
      <c r="AY867" s="86"/>
      <c r="AZ867" s="86"/>
      <c r="BA867" s="86" t="b">
        <v>0</v>
      </c>
      <c r="BB867" s="86" t="b">
        <v>1</v>
      </c>
      <c r="BC867" s="86" t="b">
        <v>1</v>
      </c>
      <c r="BD867" s="86" t="b">
        <v>0</v>
      </c>
      <c r="BE867" s="86" t="b">
        <v>1</v>
      </c>
      <c r="BF867" s="86" t="b">
        <v>0</v>
      </c>
      <c r="BG867" s="86" t="b">
        <v>0</v>
      </c>
      <c r="BH867" s="96" t="str">
        <f>HYPERLINK("https://pbs.twimg.com/profile_banners/1546185267840704514/1660702259")</f>
        <v>https://pbs.twimg.com/profile_banners/1546185267840704514/1660702259</v>
      </c>
      <c r="BI867" s="86"/>
      <c r="BJ867" s="86" t="s">
        <v>29134</v>
      </c>
      <c r="BK867" s="86" t="b">
        <v>0</v>
      </c>
      <c r="BL867" s="86"/>
      <c r="BM867" s="86" t="s">
        <v>66</v>
      </c>
      <c r="BN867" s="86" t="s">
        <v>29136</v>
      </c>
      <c r="BO867" s="96" t="str">
        <f>HYPERLINK("https://twitter.com/magominimalista")</f>
        <v>https://twitter.com/magominimalista</v>
      </c>
      <c r="BP867" s="2"/>
    </row>
    <row r="868" spans="1:68" x14ac:dyDescent="0.25">
      <c r="A868" s="63" t="s">
        <v>977</v>
      </c>
      <c r="B868" s="64"/>
      <c r="C868" s="64"/>
      <c r="D868" s="65"/>
      <c r="E868" s="67"/>
      <c r="F868" s="111" t="str">
        <f>HYPERLINK("https://pbs.twimg.com/profile_images/1697727016966012928/VY9K5jq8_normal.jpg")</f>
        <v>https://pbs.twimg.com/profile_images/1697727016966012928/VY9K5jq8_normal.jpg</v>
      </c>
      <c r="G868" s="64"/>
      <c r="H868" s="68"/>
      <c r="I868" s="69"/>
      <c r="J868" s="69"/>
      <c r="K868" s="68" t="s">
        <v>30001</v>
      </c>
      <c r="L868" s="72"/>
      <c r="M868" s="73"/>
      <c r="N868" s="73"/>
      <c r="O868" s="74"/>
      <c r="P868" s="75"/>
      <c r="Q868" s="75"/>
      <c r="R868" s="102"/>
      <c r="S868" s="102"/>
      <c r="T868" s="102"/>
      <c r="U868" s="102"/>
      <c r="V868" s="48"/>
      <c r="W868" s="48"/>
      <c r="X868" s="48"/>
      <c r="Y868" s="48"/>
      <c r="Z868" s="47"/>
      <c r="AA868" s="70">
        <v>868</v>
      </c>
      <c r="AB868" s="70"/>
      <c r="AC868" s="71"/>
      <c r="AD868" s="86" t="s">
        <v>24478</v>
      </c>
      <c r="AE868" s="94" t="s">
        <v>22600</v>
      </c>
      <c r="AF868" s="86">
        <v>1116</v>
      </c>
      <c r="AG868" s="86">
        <v>432</v>
      </c>
      <c r="AH868" s="86">
        <v>17332</v>
      </c>
      <c r="AI868" s="86">
        <v>2</v>
      </c>
      <c r="AJ868" s="86">
        <v>14373</v>
      </c>
      <c r="AK868" s="86">
        <v>209</v>
      </c>
      <c r="AL868" s="86" t="b">
        <v>0</v>
      </c>
      <c r="AM868" s="89">
        <v>41427.137025462966</v>
      </c>
      <c r="AN868" s="86"/>
      <c r="AO868" s="86" t="s">
        <v>27216</v>
      </c>
      <c r="AP868" s="96" t="str">
        <f>HYPERLINK("https://t.co/y4UFFKwwuW")</f>
        <v>https://t.co/y4UFFKwwuW</v>
      </c>
      <c r="AQ868" s="96" t="str">
        <f>HYPERLINK("https://instagram.com/oleonardodantas")</f>
        <v>https://instagram.com/oleonardodantas</v>
      </c>
      <c r="AR868" s="86" t="s">
        <v>28490</v>
      </c>
      <c r="AS868" s="86"/>
      <c r="AT868" s="86"/>
      <c r="AU868" s="86"/>
      <c r="AV868" s="86"/>
      <c r="AW868" s="96" t="str">
        <f>HYPERLINK("https://t.co/y4UFFKwwuW")</f>
        <v>https://t.co/y4UFFKwwuW</v>
      </c>
      <c r="AX868" s="86" t="b">
        <v>1</v>
      </c>
      <c r="AY868" s="86"/>
      <c r="AZ868" s="86"/>
      <c r="BA868" s="86" t="b">
        <v>0</v>
      </c>
      <c r="BB868" s="86" t="b">
        <v>0</v>
      </c>
      <c r="BC868" s="86" t="b">
        <v>0</v>
      </c>
      <c r="BD868" s="86" t="b">
        <v>0</v>
      </c>
      <c r="BE868" s="86" t="b">
        <v>1</v>
      </c>
      <c r="BF868" s="86" t="b">
        <v>0</v>
      </c>
      <c r="BG868" s="86" t="b">
        <v>0</v>
      </c>
      <c r="BH868" s="96" t="str">
        <f>HYPERLINK("https://pbs.twimg.com/profile_banners/1476275959/1693604151")</f>
        <v>https://pbs.twimg.com/profile_banners/1476275959/1693604151</v>
      </c>
      <c r="BI868" s="86"/>
      <c r="BJ868" s="86" t="s">
        <v>29135</v>
      </c>
      <c r="BK868" s="86" t="b">
        <v>0</v>
      </c>
      <c r="BL868" s="86"/>
      <c r="BM868" s="86" t="s">
        <v>66</v>
      </c>
      <c r="BN868" s="86" t="s">
        <v>29136</v>
      </c>
      <c r="BO868" s="96" t="str">
        <f>HYPERLINK("https://twitter.com/oleonardodantas")</f>
        <v>https://twitter.com/oleonardodantas</v>
      </c>
      <c r="BP868" s="2"/>
    </row>
    <row r="869" spans="1:68" x14ac:dyDescent="0.25">
      <c r="A869" s="63" t="s">
        <v>978</v>
      </c>
      <c r="B869" s="64"/>
      <c r="C869" s="64"/>
      <c r="D869" s="65"/>
      <c r="E869" s="67"/>
      <c r="F869" s="111" t="str">
        <f>HYPERLINK("https://pbs.twimg.com/profile_images/1668988653060718593/yxbYdVK0_normal.jpg")</f>
        <v>https://pbs.twimg.com/profile_images/1668988653060718593/yxbYdVK0_normal.jpg</v>
      </c>
      <c r="G869" s="64"/>
      <c r="H869" s="68"/>
      <c r="I869" s="69"/>
      <c r="J869" s="69"/>
      <c r="K869" s="68" t="s">
        <v>30002</v>
      </c>
      <c r="L869" s="72"/>
      <c r="M869" s="73"/>
      <c r="N869" s="73"/>
      <c r="O869" s="74"/>
      <c r="P869" s="75"/>
      <c r="Q869" s="75"/>
      <c r="R869" s="102"/>
      <c r="S869" s="102"/>
      <c r="T869" s="102"/>
      <c r="U869" s="102"/>
      <c r="V869" s="48"/>
      <c r="W869" s="48"/>
      <c r="X869" s="48"/>
      <c r="Y869" s="48"/>
      <c r="Z869" s="47"/>
      <c r="AA869" s="70">
        <v>869</v>
      </c>
      <c r="AB869" s="70"/>
      <c r="AC869" s="71"/>
      <c r="AD869" s="86" t="s">
        <v>24479</v>
      </c>
      <c r="AE869" s="94" t="s">
        <v>25555</v>
      </c>
      <c r="AF869" s="86">
        <v>24</v>
      </c>
      <c r="AG869" s="86">
        <v>26</v>
      </c>
      <c r="AH869" s="86">
        <v>67</v>
      </c>
      <c r="AI869" s="86">
        <v>0</v>
      </c>
      <c r="AJ869" s="86">
        <v>55</v>
      </c>
      <c r="AK869" s="86">
        <v>17</v>
      </c>
      <c r="AL869" s="86" t="b">
        <v>0</v>
      </c>
      <c r="AM869" s="89">
        <v>40582.947650462964</v>
      </c>
      <c r="AN869" s="86" t="s">
        <v>26198</v>
      </c>
      <c r="AO869" s="86"/>
      <c r="AP869" s="86"/>
      <c r="AQ869" s="86"/>
      <c r="AR869" s="86"/>
      <c r="AS869" s="86"/>
      <c r="AT869" s="86"/>
      <c r="AU869" s="86"/>
      <c r="AV869" s="86"/>
      <c r="AW869" s="86"/>
      <c r="AX869" s="86" t="b">
        <v>0</v>
      </c>
      <c r="AY869" s="86"/>
      <c r="AZ869" s="86"/>
      <c r="BA869" s="86" t="b">
        <v>0</v>
      </c>
      <c r="BB869" s="86" t="b">
        <v>1</v>
      </c>
      <c r="BC869" s="86" t="b">
        <v>1</v>
      </c>
      <c r="BD869" s="86" t="b">
        <v>0</v>
      </c>
      <c r="BE869" s="86" t="b">
        <v>0</v>
      </c>
      <c r="BF869" s="86" t="b">
        <v>0</v>
      </c>
      <c r="BG869" s="86" t="b">
        <v>0</v>
      </c>
      <c r="BH869" s="96" t="str">
        <f>HYPERLINK("https://pbs.twimg.com/profile_banners/249375458/1686749954")</f>
        <v>https://pbs.twimg.com/profile_banners/249375458/1686749954</v>
      </c>
      <c r="BI869" s="86"/>
      <c r="BJ869" s="86" t="s">
        <v>29134</v>
      </c>
      <c r="BK869" s="86" t="b">
        <v>0</v>
      </c>
      <c r="BL869" s="86"/>
      <c r="BM869" s="86" t="s">
        <v>66</v>
      </c>
      <c r="BN869" s="86" t="s">
        <v>29136</v>
      </c>
      <c r="BO869" s="96" t="str">
        <f>HYPERLINK("https://twitter.com/ipm_solution")</f>
        <v>https://twitter.com/ipm_solution</v>
      </c>
      <c r="BP869" s="2"/>
    </row>
    <row r="870" spans="1:68" x14ac:dyDescent="0.25">
      <c r="A870" s="63" t="s">
        <v>979</v>
      </c>
      <c r="B870" s="64"/>
      <c r="C870" s="64"/>
      <c r="D870" s="65"/>
      <c r="E870" s="67"/>
      <c r="F870" s="111" t="str">
        <f>HYPERLINK("https://pbs.twimg.com/profile_images/1544688025631965186/iz_bfKCG_normal.jpg")</f>
        <v>https://pbs.twimg.com/profile_images/1544688025631965186/iz_bfKCG_normal.jpg</v>
      </c>
      <c r="G870" s="64"/>
      <c r="H870" s="68"/>
      <c r="I870" s="69"/>
      <c r="J870" s="69"/>
      <c r="K870" s="68" t="s">
        <v>30003</v>
      </c>
      <c r="L870" s="72"/>
      <c r="M870" s="73"/>
      <c r="N870" s="73"/>
      <c r="O870" s="74"/>
      <c r="P870" s="75"/>
      <c r="Q870" s="75"/>
      <c r="R870" s="102"/>
      <c r="S870" s="102"/>
      <c r="T870" s="102"/>
      <c r="U870" s="102"/>
      <c r="V870" s="48"/>
      <c r="W870" s="48"/>
      <c r="X870" s="48"/>
      <c r="Y870" s="48"/>
      <c r="Z870" s="47"/>
      <c r="AA870" s="70">
        <v>870</v>
      </c>
      <c r="AB870" s="70"/>
      <c r="AC870" s="71"/>
      <c r="AD870" s="86" t="s">
        <v>24480</v>
      </c>
      <c r="AE870" s="94" t="s">
        <v>23225</v>
      </c>
      <c r="AF870" s="86">
        <v>40</v>
      </c>
      <c r="AG870" s="86">
        <v>413</v>
      </c>
      <c r="AH870" s="86">
        <v>879</v>
      </c>
      <c r="AI870" s="86">
        <v>0</v>
      </c>
      <c r="AJ870" s="86">
        <v>1762</v>
      </c>
      <c r="AK870" s="86">
        <v>31</v>
      </c>
      <c r="AL870" s="86" t="b">
        <v>0</v>
      </c>
      <c r="AM870" s="89">
        <v>44748.598356481481</v>
      </c>
      <c r="AN870" s="86"/>
      <c r="AO870" s="86" t="s">
        <v>27217</v>
      </c>
      <c r="AP870" s="86"/>
      <c r="AQ870" s="86"/>
      <c r="AR870" s="86"/>
      <c r="AS870" s="86" t="s">
        <v>29004</v>
      </c>
      <c r="AT870" s="86" t="s">
        <v>29020</v>
      </c>
      <c r="AU870" s="86" t="s">
        <v>29088</v>
      </c>
      <c r="AV870" s="86"/>
      <c r="AW870" s="86"/>
      <c r="AX870" s="86" t="b">
        <v>0</v>
      </c>
      <c r="AY870" s="86"/>
      <c r="AZ870" s="86"/>
      <c r="BA870" s="86" t="b">
        <v>0</v>
      </c>
      <c r="BB870" s="86" t="b">
        <v>1</v>
      </c>
      <c r="BC870" s="86" t="b">
        <v>1</v>
      </c>
      <c r="BD870" s="86" t="b">
        <v>0</v>
      </c>
      <c r="BE870" s="86" t="b">
        <v>0</v>
      </c>
      <c r="BF870" s="86" t="b">
        <v>0</v>
      </c>
      <c r="BG870" s="86" t="b">
        <v>0</v>
      </c>
      <c r="BH870" s="86"/>
      <c r="BI870" s="86"/>
      <c r="BJ870" s="86" t="s">
        <v>29134</v>
      </c>
      <c r="BK870" s="86" t="b">
        <v>0</v>
      </c>
      <c r="BL870" s="86"/>
      <c r="BM870" s="86" t="s">
        <v>66</v>
      </c>
      <c r="BN870" s="86" t="s">
        <v>29136</v>
      </c>
      <c r="BO870" s="96" t="str">
        <f>HYPERLINK("https://twitter.com/autonewsbr")</f>
        <v>https://twitter.com/autonewsbr</v>
      </c>
      <c r="BP870" s="2"/>
    </row>
    <row r="871" spans="1:68" x14ac:dyDescent="0.25">
      <c r="A871" s="63" t="s">
        <v>1715</v>
      </c>
      <c r="B871" s="64"/>
      <c r="C871" s="64"/>
      <c r="D871" s="65"/>
      <c r="E871" s="67"/>
      <c r="F871" s="111" t="str">
        <f>HYPERLINK("https://pbs.twimg.com/profile_images/1643406926141612032/zkhoE9Ai_normal.jpg")</f>
        <v>https://pbs.twimg.com/profile_images/1643406926141612032/zkhoE9Ai_normal.jpg</v>
      </c>
      <c r="G871" s="64"/>
      <c r="H871" s="68"/>
      <c r="I871" s="69"/>
      <c r="J871" s="69"/>
      <c r="K871" s="68" t="s">
        <v>30004</v>
      </c>
      <c r="L871" s="72"/>
      <c r="M871" s="73"/>
      <c r="N871" s="73"/>
      <c r="O871" s="74"/>
      <c r="P871" s="75"/>
      <c r="Q871" s="75"/>
      <c r="R871" s="102"/>
      <c r="S871" s="102"/>
      <c r="T871" s="102"/>
      <c r="U871" s="102"/>
      <c r="V871" s="48"/>
      <c r="W871" s="48"/>
      <c r="X871" s="48"/>
      <c r="Y871" s="48"/>
      <c r="Z871" s="47"/>
      <c r="AA871" s="70">
        <v>871</v>
      </c>
      <c r="AB871" s="70"/>
      <c r="AC871" s="71"/>
      <c r="AD871" s="86" t="s">
        <v>24481</v>
      </c>
      <c r="AE871" s="94" t="s">
        <v>25556</v>
      </c>
      <c r="AF871" s="86">
        <v>1670</v>
      </c>
      <c r="AG871" s="86">
        <v>4995</v>
      </c>
      <c r="AH871" s="86">
        <v>80322</v>
      </c>
      <c r="AI871" s="86">
        <v>68</v>
      </c>
      <c r="AJ871" s="86">
        <v>9989</v>
      </c>
      <c r="AK871" s="86">
        <v>1176</v>
      </c>
      <c r="AL871" s="86" t="b">
        <v>0</v>
      </c>
      <c r="AM871" s="89">
        <v>41043.789305555554</v>
      </c>
      <c r="AN871" s="86" t="s">
        <v>26199</v>
      </c>
      <c r="AO871" s="86" t="s">
        <v>27218</v>
      </c>
      <c r="AP871" s="96" t="str">
        <f>HYPERLINK("https://t.co/nK3HQI78LX")</f>
        <v>https://t.co/nK3HQI78LX</v>
      </c>
      <c r="AQ871" s="96" t="str">
        <f>HYPERLINK("http://www.gaidzinski.com")</f>
        <v>http://www.gaidzinski.com</v>
      </c>
      <c r="AR871" s="86" t="s">
        <v>28491</v>
      </c>
      <c r="AS871" s="86"/>
      <c r="AT871" s="86"/>
      <c r="AU871" s="86"/>
      <c r="AV871" s="86">
        <v>1.5715246442088599E+18</v>
      </c>
      <c r="AW871" s="96" t="str">
        <f>HYPERLINK("https://t.co/nK3HQI78LX")</f>
        <v>https://t.co/nK3HQI78LX</v>
      </c>
      <c r="AX871" s="86" t="b">
        <v>1</v>
      </c>
      <c r="AY871" s="86"/>
      <c r="AZ871" s="86"/>
      <c r="BA871" s="86" t="b">
        <v>1</v>
      </c>
      <c r="BB871" s="86" t="b">
        <v>1</v>
      </c>
      <c r="BC871" s="86" t="b">
        <v>0</v>
      </c>
      <c r="BD871" s="86" t="b">
        <v>0</v>
      </c>
      <c r="BE871" s="86" t="b">
        <v>1</v>
      </c>
      <c r="BF871" s="86" t="b">
        <v>0</v>
      </c>
      <c r="BG871" s="86" t="b">
        <v>0</v>
      </c>
      <c r="BH871" s="96" t="str">
        <f>HYPERLINK("https://pbs.twimg.com/profile_banners/580142923/1680653730")</f>
        <v>https://pbs.twimg.com/profile_banners/580142923/1680653730</v>
      </c>
      <c r="BI871" s="86"/>
      <c r="BJ871" s="86" t="s">
        <v>29135</v>
      </c>
      <c r="BK871" s="86" t="b">
        <v>0</v>
      </c>
      <c r="BL871" s="86"/>
      <c r="BM871" s="86" t="s">
        <v>65</v>
      </c>
      <c r="BN871" s="86" t="s">
        <v>29136</v>
      </c>
      <c r="BO871" s="96" t="str">
        <f>HYPERLINK("https://twitter.com/andregaidzinski")</f>
        <v>https://twitter.com/andregaidzinski</v>
      </c>
      <c r="BP871" s="2"/>
    </row>
    <row r="872" spans="1:68" x14ac:dyDescent="0.25">
      <c r="A872" s="63" t="s">
        <v>1716</v>
      </c>
      <c r="B872" s="64"/>
      <c r="C872" s="64"/>
      <c r="D872" s="65"/>
      <c r="E872" s="67"/>
      <c r="F872" s="111" t="str">
        <f>HYPERLINK("https://pbs.twimg.com/profile_images/1501609467368157186/DQtzRln2_normal.jpg")</f>
        <v>https://pbs.twimg.com/profile_images/1501609467368157186/DQtzRln2_normal.jpg</v>
      </c>
      <c r="G872" s="64"/>
      <c r="H872" s="68"/>
      <c r="I872" s="69"/>
      <c r="J872" s="69"/>
      <c r="K872" s="68" t="s">
        <v>30005</v>
      </c>
      <c r="L872" s="72"/>
      <c r="M872" s="73"/>
      <c r="N872" s="73"/>
      <c r="O872" s="74"/>
      <c r="P872" s="75"/>
      <c r="Q872" s="75"/>
      <c r="R872" s="102"/>
      <c r="S872" s="102"/>
      <c r="T872" s="102"/>
      <c r="U872" s="102"/>
      <c r="V872" s="48"/>
      <c r="W872" s="48"/>
      <c r="X872" s="48"/>
      <c r="Y872" s="48"/>
      <c r="Z872" s="47"/>
      <c r="AA872" s="70">
        <v>872</v>
      </c>
      <c r="AB872" s="70"/>
      <c r="AC872" s="71"/>
      <c r="AD872" s="86" t="s">
        <v>24482</v>
      </c>
      <c r="AE872" s="94" t="s">
        <v>25557</v>
      </c>
      <c r="AF872" s="86">
        <v>271828</v>
      </c>
      <c r="AG872" s="86">
        <v>181</v>
      </c>
      <c r="AH872" s="86">
        <v>12224</v>
      </c>
      <c r="AI872" s="86">
        <v>1685</v>
      </c>
      <c r="AJ872" s="86">
        <v>4901</v>
      </c>
      <c r="AK872" s="86">
        <v>2166</v>
      </c>
      <c r="AL872" s="86" t="b">
        <v>0</v>
      </c>
      <c r="AM872" s="89">
        <v>43232.10659722222</v>
      </c>
      <c r="AN872" s="86" t="s">
        <v>26200</v>
      </c>
      <c r="AO872" s="86" t="s">
        <v>27219</v>
      </c>
      <c r="AP872" s="96" t="str">
        <f>HYPERLINK("https://t.co/SjaE0FVz0K")</f>
        <v>https://t.co/SjaE0FVz0K</v>
      </c>
      <c r="AQ872" s="96" t="str">
        <f>HYPERLINK("http://www.instagram.com/farialima.elevator/")</f>
        <v>http://www.instagram.com/farialima.elevator/</v>
      </c>
      <c r="AR872" s="86" t="s">
        <v>28492</v>
      </c>
      <c r="AS872" s="86"/>
      <c r="AT872" s="86"/>
      <c r="AU872" s="86"/>
      <c r="AV872" s="86">
        <v>1.5596903646504901E+18</v>
      </c>
      <c r="AW872" s="96" t="str">
        <f>HYPERLINK("https://t.co/SjaE0FVz0K")</f>
        <v>https://t.co/SjaE0FVz0K</v>
      </c>
      <c r="AX872" s="86" t="b">
        <v>1</v>
      </c>
      <c r="AY872" s="86"/>
      <c r="AZ872" s="86"/>
      <c r="BA872" s="86" t="b">
        <v>0</v>
      </c>
      <c r="BB872" s="86" t="b">
        <v>1</v>
      </c>
      <c r="BC872" s="86" t="b">
        <v>0</v>
      </c>
      <c r="BD872" s="86" t="b">
        <v>0</v>
      </c>
      <c r="BE872" s="86" t="b">
        <v>0</v>
      </c>
      <c r="BF872" s="86" t="b">
        <v>0</v>
      </c>
      <c r="BG872" s="86" t="b">
        <v>0</v>
      </c>
      <c r="BH872" s="96" t="str">
        <f>HYPERLINK("https://pbs.twimg.com/profile_banners/995129812950896642/1526092747")</f>
        <v>https://pbs.twimg.com/profile_banners/995129812950896642/1526092747</v>
      </c>
      <c r="BI872" s="86"/>
      <c r="BJ872" s="86" t="s">
        <v>29134</v>
      </c>
      <c r="BK872" s="86" t="b">
        <v>0</v>
      </c>
      <c r="BL872" s="86"/>
      <c r="BM872" s="86" t="s">
        <v>65</v>
      </c>
      <c r="BN872" s="86" t="s">
        <v>29136</v>
      </c>
      <c r="BO872" s="96" t="str">
        <f>HYPERLINK("https://twitter.com/farialimaelevat")</f>
        <v>https://twitter.com/farialimaelevat</v>
      </c>
      <c r="BP872" s="2"/>
    </row>
    <row r="873" spans="1:68" x14ac:dyDescent="0.25">
      <c r="A873" s="63" t="s">
        <v>980</v>
      </c>
      <c r="B873" s="64"/>
      <c r="C873" s="64"/>
      <c r="D873" s="65"/>
      <c r="E873" s="67"/>
      <c r="F873" s="111" t="str">
        <f>HYPERLINK("https://pbs.twimg.com/profile_images/1552684710807146504/gcJqAUx4_normal.png")</f>
        <v>https://pbs.twimg.com/profile_images/1552684710807146504/gcJqAUx4_normal.png</v>
      </c>
      <c r="G873" s="64"/>
      <c r="H873" s="68"/>
      <c r="I873" s="69"/>
      <c r="J873" s="69"/>
      <c r="K873" s="68" t="s">
        <v>30006</v>
      </c>
      <c r="L873" s="72"/>
      <c r="M873" s="73"/>
      <c r="N873" s="73"/>
      <c r="O873" s="74"/>
      <c r="P873" s="75"/>
      <c r="Q873" s="75"/>
      <c r="R873" s="102"/>
      <c r="S873" s="102"/>
      <c r="T873" s="102"/>
      <c r="U873" s="102"/>
      <c r="V873" s="48"/>
      <c r="W873" s="48"/>
      <c r="X873" s="48"/>
      <c r="Y873" s="48"/>
      <c r="Z873" s="47"/>
      <c r="AA873" s="70">
        <v>873</v>
      </c>
      <c r="AB873" s="70"/>
      <c r="AC873" s="71"/>
      <c r="AD873" s="86" t="s">
        <v>24483</v>
      </c>
      <c r="AE873" s="94" t="s">
        <v>25558</v>
      </c>
      <c r="AF873" s="86">
        <v>46</v>
      </c>
      <c r="AG873" s="86">
        <v>726</v>
      </c>
      <c r="AH873" s="86">
        <v>4453</v>
      </c>
      <c r="AI873" s="86">
        <v>2</v>
      </c>
      <c r="AJ873" s="86">
        <v>9715</v>
      </c>
      <c r="AK873" s="86">
        <v>147</v>
      </c>
      <c r="AL873" s="86" t="b">
        <v>0</v>
      </c>
      <c r="AM873" s="89">
        <v>41995.548738425925</v>
      </c>
      <c r="AN873" s="86" t="s">
        <v>25889</v>
      </c>
      <c r="AO873" s="86" t="s">
        <v>27220</v>
      </c>
      <c r="AP873" s="86"/>
      <c r="AQ873" s="86"/>
      <c r="AR873" s="86"/>
      <c r="AS873" s="86"/>
      <c r="AT873" s="86"/>
      <c r="AU873" s="86"/>
      <c r="AV873" s="86">
        <v>1.6462987423650801E+18</v>
      </c>
      <c r="AW873" s="86"/>
      <c r="AX873" s="86" t="b">
        <v>0</v>
      </c>
      <c r="AY873" s="86"/>
      <c r="AZ873" s="86"/>
      <c r="BA873" s="86" t="b">
        <v>0</v>
      </c>
      <c r="BB873" s="86" t="b">
        <v>1</v>
      </c>
      <c r="BC873" s="86" t="b">
        <v>1</v>
      </c>
      <c r="BD873" s="86" t="b">
        <v>0</v>
      </c>
      <c r="BE873" s="86" t="b">
        <v>0</v>
      </c>
      <c r="BF873" s="86" t="b">
        <v>0</v>
      </c>
      <c r="BG873" s="86" t="b">
        <v>0</v>
      </c>
      <c r="BH873" s="96" t="str">
        <f>HYPERLINK("https://pbs.twimg.com/profile_banners/2936952478/1431196376")</f>
        <v>https://pbs.twimg.com/profile_banners/2936952478/1431196376</v>
      </c>
      <c r="BI873" s="86"/>
      <c r="BJ873" s="86" t="s">
        <v>29134</v>
      </c>
      <c r="BK873" s="86" t="b">
        <v>0</v>
      </c>
      <c r="BL873" s="86"/>
      <c r="BM873" s="86" t="s">
        <v>66</v>
      </c>
      <c r="BN873" s="86" t="s">
        <v>29136</v>
      </c>
      <c r="BO873" s="96" t="str">
        <f>HYPERLINK("https://twitter.com/mateuscosta781")</f>
        <v>https://twitter.com/mateuscosta781</v>
      </c>
      <c r="BP873" s="2"/>
    </row>
    <row r="874" spans="1:68" x14ac:dyDescent="0.25">
      <c r="A874" s="63" t="s">
        <v>981</v>
      </c>
      <c r="B874" s="64"/>
      <c r="C874" s="64"/>
      <c r="D874" s="65"/>
      <c r="E874" s="67"/>
      <c r="F874" s="111" t="str">
        <f>HYPERLINK("https://pbs.twimg.com/profile_images/1694897129087447040/jjU1Bn73_normal.jpg")</f>
        <v>https://pbs.twimg.com/profile_images/1694897129087447040/jjU1Bn73_normal.jpg</v>
      </c>
      <c r="G874" s="64"/>
      <c r="H874" s="68"/>
      <c r="I874" s="69"/>
      <c r="J874" s="69"/>
      <c r="K874" s="68" t="s">
        <v>30007</v>
      </c>
      <c r="L874" s="72"/>
      <c r="M874" s="73"/>
      <c r="N874" s="73"/>
      <c r="O874" s="74"/>
      <c r="P874" s="75"/>
      <c r="Q874" s="75"/>
      <c r="R874" s="102"/>
      <c r="S874" s="102"/>
      <c r="T874" s="102"/>
      <c r="U874" s="102"/>
      <c r="V874" s="48"/>
      <c r="W874" s="48"/>
      <c r="X874" s="48"/>
      <c r="Y874" s="48"/>
      <c r="Z874" s="47"/>
      <c r="AA874" s="70">
        <v>874</v>
      </c>
      <c r="AB874" s="70"/>
      <c r="AC874" s="71"/>
      <c r="AD874" s="86" t="s">
        <v>24484</v>
      </c>
      <c r="AE874" s="94" t="s">
        <v>23226</v>
      </c>
      <c r="AF874" s="86">
        <v>14</v>
      </c>
      <c r="AG874" s="86">
        <v>11</v>
      </c>
      <c r="AH874" s="86">
        <v>62</v>
      </c>
      <c r="AI874" s="86">
        <v>0</v>
      </c>
      <c r="AJ874" s="86">
        <v>185</v>
      </c>
      <c r="AK874" s="86">
        <v>23</v>
      </c>
      <c r="AL874" s="86" t="b">
        <v>0</v>
      </c>
      <c r="AM874" s="89">
        <v>42741.703599537039</v>
      </c>
      <c r="AN874" s="86" t="s">
        <v>15265</v>
      </c>
      <c r="AO874" s="86" t="s">
        <v>27221</v>
      </c>
      <c r="AP874" s="96" t="str">
        <f>HYPERLINK("https://t.co/6Ql6PB3dGU")</f>
        <v>https://t.co/6Ql6PB3dGU</v>
      </c>
      <c r="AQ874" s="96" t="str">
        <f>HYPERLINK("https://andersonaldoriadvocacia.com.br/")</f>
        <v>https://andersonaldoriadvocacia.com.br/</v>
      </c>
      <c r="AR874" s="86" t="s">
        <v>28493</v>
      </c>
      <c r="AS874" s="86"/>
      <c r="AT874" s="86"/>
      <c r="AU874" s="86"/>
      <c r="AV874" s="86"/>
      <c r="AW874" s="96" t="str">
        <f>HYPERLINK("https://t.co/6Ql6PB3dGU")</f>
        <v>https://t.co/6Ql6PB3dGU</v>
      </c>
      <c r="AX874" s="86" t="b">
        <v>0</v>
      </c>
      <c r="AY874" s="86"/>
      <c r="AZ874" s="86"/>
      <c r="BA874" s="86" t="b">
        <v>0</v>
      </c>
      <c r="BB874" s="86" t="b">
        <v>1</v>
      </c>
      <c r="BC874" s="86" t="b">
        <v>1</v>
      </c>
      <c r="BD874" s="86" t="b">
        <v>0</v>
      </c>
      <c r="BE874" s="86" t="b">
        <v>0</v>
      </c>
      <c r="BF874" s="86" t="b">
        <v>0</v>
      </c>
      <c r="BG874" s="86" t="b">
        <v>0</v>
      </c>
      <c r="BH874" s="96" t="str">
        <f>HYPERLINK("https://pbs.twimg.com/profile_banners/817413716094418944/1692929940")</f>
        <v>https://pbs.twimg.com/profile_banners/817413716094418944/1692929940</v>
      </c>
      <c r="BI874" s="86"/>
      <c r="BJ874" s="86" t="s">
        <v>29134</v>
      </c>
      <c r="BK874" s="86" t="b">
        <v>0</v>
      </c>
      <c r="BL874" s="86"/>
      <c r="BM874" s="86" t="s">
        <v>66</v>
      </c>
      <c r="BN874" s="86" t="s">
        <v>29136</v>
      </c>
      <c r="BO874" s="96" t="str">
        <f>HYPERLINK("https://twitter.com/bastian_h5")</f>
        <v>https://twitter.com/bastian_h5</v>
      </c>
      <c r="BP874" s="2"/>
    </row>
    <row r="875" spans="1:68" x14ac:dyDescent="0.25">
      <c r="A875" s="63" t="s">
        <v>982</v>
      </c>
      <c r="B875" s="64"/>
      <c r="C875" s="64"/>
      <c r="D875" s="65"/>
      <c r="E875" s="67"/>
      <c r="F875" s="111" t="str">
        <f>HYPERLINK("https://pbs.twimg.com/profile_images/1200378297047289856/eYe47W34_normal.jpg")</f>
        <v>https://pbs.twimg.com/profile_images/1200378297047289856/eYe47W34_normal.jpg</v>
      </c>
      <c r="G875" s="64"/>
      <c r="H875" s="68"/>
      <c r="I875" s="69"/>
      <c r="J875" s="69"/>
      <c r="K875" s="68" t="s">
        <v>30008</v>
      </c>
      <c r="L875" s="72"/>
      <c r="M875" s="73"/>
      <c r="N875" s="73"/>
      <c r="O875" s="74"/>
      <c r="P875" s="75"/>
      <c r="Q875" s="75"/>
      <c r="R875" s="102"/>
      <c r="S875" s="102"/>
      <c r="T875" s="102"/>
      <c r="U875" s="102"/>
      <c r="V875" s="48"/>
      <c r="W875" s="48"/>
      <c r="X875" s="48"/>
      <c r="Y875" s="48"/>
      <c r="Z875" s="47"/>
      <c r="AA875" s="70">
        <v>875</v>
      </c>
      <c r="AB875" s="70"/>
      <c r="AC875" s="71"/>
      <c r="AD875" s="86" t="s">
        <v>24485</v>
      </c>
      <c r="AE875" s="94" t="s">
        <v>23227</v>
      </c>
      <c r="AF875" s="86">
        <v>445</v>
      </c>
      <c r="AG875" s="86">
        <v>1</v>
      </c>
      <c r="AH875" s="86">
        <v>14401</v>
      </c>
      <c r="AI875" s="86">
        <v>0</v>
      </c>
      <c r="AJ875" s="86">
        <v>1</v>
      </c>
      <c r="AK875" s="86">
        <v>12270</v>
      </c>
      <c r="AL875" s="86" t="b">
        <v>0</v>
      </c>
      <c r="AM875" s="89">
        <v>43797.409756944442</v>
      </c>
      <c r="AN875" s="86" t="s">
        <v>25887</v>
      </c>
      <c r="AO875" s="86" t="s">
        <v>27222</v>
      </c>
      <c r="AP875" s="96" t="str">
        <f>HYPERLINK("https://t.co/HLjRO9Yz3b")</f>
        <v>https://t.co/HLjRO9Yz3b</v>
      </c>
      <c r="AQ875" s="96" t="str">
        <f>HYPERLINK("https://www.memeiros.com/")</f>
        <v>https://www.memeiros.com/</v>
      </c>
      <c r="AR875" s="86" t="s">
        <v>8489</v>
      </c>
      <c r="AS875" s="86"/>
      <c r="AT875" s="86"/>
      <c r="AU875" s="86"/>
      <c r="AV875" s="86"/>
      <c r="AW875" s="96" t="str">
        <f>HYPERLINK("https://t.co/HLjRO9Yz3b")</f>
        <v>https://t.co/HLjRO9Yz3b</v>
      </c>
      <c r="AX875" s="86" t="b">
        <v>0</v>
      </c>
      <c r="AY875" s="86"/>
      <c r="AZ875" s="86"/>
      <c r="BA875" s="86" t="b">
        <v>0</v>
      </c>
      <c r="BB875" s="86" t="b">
        <v>1</v>
      </c>
      <c r="BC875" s="86" t="b">
        <v>1</v>
      </c>
      <c r="BD875" s="86" t="b">
        <v>0</v>
      </c>
      <c r="BE875" s="86" t="b">
        <v>0</v>
      </c>
      <c r="BF875" s="86" t="b">
        <v>0</v>
      </c>
      <c r="BG875" s="86" t="b">
        <v>0</v>
      </c>
      <c r="BH875" s="96" t="str">
        <f>HYPERLINK("https://pbs.twimg.com/profile_banners/1199988723842244609/1644591807")</f>
        <v>https://pbs.twimg.com/profile_banners/1199988723842244609/1644591807</v>
      </c>
      <c r="BI875" s="86"/>
      <c r="BJ875" s="86" t="s">
        <v>29134</v>
      </c>
      <c r="BK875" s="86" t="b">
        <v>0</v>
      </c>
      <c r="BL875" s="86"/>
      <c r="BM875" s="86" t="s">
        <v>66</v>
      </c>
      <c r="BN875" s="86" t="s">
        <v>29136</v>
      </c>
      <c r="BO875" s="96" t="str">
        <f>HYPERLINK("https://twitter.com/memeirosm")</f>
        <v>https://twitter.com/memeirosm</v>
      </c>
      <c r="BP875" s="2"/>
    </row>
    <row r="876" spans="1:68" x14ac:dyDescent="0.25">
      <c r="A876" s="63" t="s">
        <v>983</v>
      </c>
      <c r="B876" s="64"/>
      <c r="C876" s="64"/>
      <c r="D876" s="65"/>
      <c r="E876" s="67"/>
      <c r="F876" s="111" t="str">
        <f>HYPERLINK("https://pbs.twimg.com/profile_images/1505900222987309060/z1bcbUYI_normal.jpg")</f>
        <v>https://pbs.twimg.com/profile_images/1505900222987309060/z1bcbUYI_normal.jpg</v>
      </c>
      <c r="G876" s="64"/>
      <c r="H876" s="68"/>
      <c r="I876" s="69"/>
      <c r="J876" s="69"/>
      <c r="K876" s="68" t="s">
        <v>30009</v>
      </c>
      <c r="L876" s="72"/>
      <c r="M876" s="73"/>
      <c r="N876" s="73"/>
      <c r="O876" s="74"/>
      <c r="P876" s="75"/>
      <c r="Q876" s="75"/>
      <c r="R876" s="102"/>
      <c r="S876" s="102"/>
      <c r="T876" s="102"/>
      <c r="U876" s="102"/>
      <c r="V876" s="48"/>
      <c r="W876" s="48"/>
      <c r="X876" s="48"/>
      <c r="Y876" s="48"/>
      <c r="Z876" s="47"/>
      <c r="AA876" s="70">
        <v>876</v>
      </c>
      <c r="AB876" s="70"/>
      <c r="AC876" s="71"/>
      <c r="AD876" s="86" t="s">
        <v>24486</v>
      </c>
      <c r="AE876" s="94" t="s">
        <v>25559</v>
      </c>
      <c r="AF876" s="86">
        <v>1795</v>
      </c>
      <c r="AG876" s="86">
        <v>209</v>
      </c>
      <c r="AH876" s="86">
        <v>786</v>
      </c>
      <c r="AI876" s="86">
        <v>61</v>
      </c>
      <c r="AJ876" s="86">
        <v>18</v>
      </c>
      <c r="AK876" s="86">
        <v>309</v>
      </c>
      <c r="AL876" s="86" t="b">
        <v>0</v>
      </c>
      <c r="AM876" s="89">
        <v>42230.753287037034</v>
      </c>
      <c r="AN876" s="86" t="s">
        <v>26035</v>
      </c>
      <c r="AO876" s="86" t="s">
        <v>27223</v>
      </c>
      <c r="AP876" s="96" t="str">
        <f>HYPERLINK("https://t.co/iRS3OZMS6l")</f>
        <v>https://t.co/iRS3OZMS6l</v>
      </c>
      <c r="AQ876" s="96" t="str">
        <f>HYPERLINK("http://linktr.ee/vidigalsergio")</f>
        <v>http://linktr.ee/vidigalsergio</v>
      </c>
      <c r="AR876" s="86" t="s">
        <v>28494</v>
      </c>
      <c r="AS876" s="86"/>
      <c r="AT876" s="86"/>
      <c r="AU876" s="86"/>
      <c r="AV876" s="86"/>
      <c r="AW876" s="96" t="str">
        <f>HYPERLINK("https://t.co/iRS3OZMS6l")</f>
        <v>https://t.co/iRS3OZMS6l</v>
      </c>
      <c r="AX876" s="86" t="b">
        <v>0</v>
      </c>
      <c r="AY876" s="86"/>
      <c r="AZ876" s="86"/>
      <c r="BA876" s="86" t="b">
        <v>0</v>
      </c>
      <c r="BB876" s="86" t="b">
        <v>1</v>
      </c>
      <c r="BC876" s="86" t="b">
        <v>0</v>
      </c>
      <c r="BD876" s="86" t="b">
        <v>0</v>
      </c>
      <c r="BE876" s="86" t="b">
        <v>0</v>
      </c>
      <c r="BF876" s="86" t="b">
        <v>0</v>
      </c>
      <c r="BG876" s="86" t="b">
        <v>0</v>
      </c>
      <c r="BH876" s="96" t="str">
        <f>HYPERLINK("https://pbs.twimg.com/profile_banners/3315236400/1610891704")</f>
        <v>https://pbs.twimg.com/profile_banners/3315236400/1610891704</v>
      </c>
      <c r="BI876" s="86"/>
      <c r="BJ876" s="86" t="s">
        <v>29134</v>
      </c>
      <c r="BK876" s="86" t="b">
        <v>0</v>
      </c>
      <c r="BL876" s="86"/>
      <c r="BM876" s="86" t="s">
        <v>66</v>
      </c>
      <c r="BN876" s="86" t="s">
        <v>29136</v>
      </c>
      <c r="BO876" s="96" t="str">
        <f>HYPERLINK("https://twitter.com/vidigalsergio")</f>
        <v>https://twitter.com/vidigalsergio</v>
      </c>
      <c r="BP876" s="2"/>
    </row>
    <row r="877" spans="1:68" x14ac:dyDescent="0.25">
      <c r="A877" s="63" t="s">
        <v>984</v>
      </c>
      <c r="B877" s="64"/>
      <c r="C877" s="64"/>
      <c r="D877" s="65"/>
      <c r="E877" s="67"/>
      <c r="F877" s="111" t="str">
        <f>HYPERLINK("https://pbs.twimg.com/profile_images/1686713603594887169/OW65LBQv_normal.jpg")</f>
        <v>https://pbs.twimg.com/profile_images/1686713603594887169/OW65LBQv_normal.jpg</v>
      </c>
      <c r="G877" s="64"/>
      <c r="H877" s="68"/>
      <c r="I877" s="69"/>
      <c r="J877" s="69"/>
      <c r="K877" s="68" t="s">
        <v>30010</v>
      </c>
      <c r="L877" s="72"/>
      <c r="M877" s="73"/>
      <c r="N877" s="73"/>
      <c r="O877" s="74"/>
      <c r="P877" s="75"/>
      <c r="Q877" s="75"/>
      <c r="R877" s="102"/>
      <c r="S877" s="102"/>
      <c r="T877" s="102"/>
      <c r="U877" s="102"/>
      <c r="V877" s="48"/>
      <c r="W877" s="48"/>
      <c r="X877" s="48"/>
      <c r="Y877" s="48"/>
      <c r="Z877" s="47"/>
      <c r="AA877" s="70">
        <v>877</v>
      </c>
      <c r="AB877" s="70"/>
      <c r="AC877" s="71"/>
      <c r="AD877" s="86" t="s">
        <v>24487</v>
      </c>
      <c r="AE877" s="94" t="s">
        <v>25560</v>
      </c>
      <c r="AF877" s="86">
        <v>37877</v>
      </c>
      <c r="AG877" s="86">
        <v>46</v>
      </c>
      <c r="AH877" s="86">
        <v>80287</v>
      </c>
      <c r="AI877" s="86">
        <v>169</v>
      </c>
      <c r="AJ877" s="86">
        <v>200</v>
      </c>
      <c r="AK877" s="86">
        <v>14324</v>
      </c>
      <c r="AL877" s="86" t="b">
        <v>0</v>
      </c>
      <c r="AM877" s="89">
        <v>40218.761793981481</v>
      </c>
      <c r="AN877" s="86" t="s">
        <v>26201</v>
      </c>
      <c r="AO877" s="86" t="s">
        <v>27224</v>
      </c>
      <c r="AP877" s="96" t="str">
        <f>HYPERLINK("https://t.co/pOc8xwPg9U")</f>
        <v>https://t.co/pOc8xwPg9U</v>
      </c>
      <c r="AQ877" s="96" t="str">
        <f>HYPERLINK("https://tribunapr.com.br/")</f>
        <v>https://tribunapr.com.br/</v>
      </c>
      <c r="AR877" s="86" t="s">
        <v>28495</v>
      </c>
      <c r="AS877" s="86"/>
      <c r="AT877" s="86"/>
      <c r="AU877" s="86"/>
      <c r="AV877" s="86"/>
      <c r="AW877" s="96" t="str">
        <f>HYPERLINK("https://t.co/pOc8xwPg9U")</f>
        <v>https://t.co/pOc8xwPg9U</v>
      </c>
      <c r="AX877" s="86" t="b">
        <v>0</v>
      </c>
      <c r="AY877" s="86"/>
      <c r="AZ877" s="86"/>
      <c r="BA877" s="86" t="b">
        <v>0</v>
      </c>
      <c r="BB877" s="86" t="b">
        <v>1</v>
      </c>
      <c r="BC877" s="86" t="b">
        <v>0</v>
      </c>
      <c r="BD877" s="86" t="b">
        <v>0</v>
      </c>
      <c r="BE877" s="86" t="b">
        <v>1</v>
      </c>
      <c r="BF877" s="86" t="b">
        <v>0</v>
      </c>
      <c r="BG877" s="86" t="b">
        <v>0</v>
      </c>
      <c r="BH877" s="96" t="str">
        <f>HYPERLINK("https://pbs.twimg.com/profile_banners/112786548/1690978836")</f>
        <v>https://pbs.twimg.com/profile_banners/112786548/1690978836</v>
      </c>
      <c r="BI877" s="86"/>
      <c r="BJ877" s="86" t="s">
        <v>29134</v>
      </c>
      <c r="BK877" s="86" t="b">
        <v>0</v>
      </c>
      <c r="BL877" s="86"/>
      <c r="BM877" s="86" t="s">
        <v>66</v>
      </c>
      <c r="BN877" s="86" t="s">
        <v>29136</v>
      </c>
      <c r="BO877" s="96" t="str">
        <f>HYPERLINK("https://twitter.com/tribunapr")</f>
        <v>https://twitter.com/tribunapr</v>
      </c>
      <c r="BP877" s="2"/>
    </row>
    <row r="878" spans="1:68" x14ac:dyDescent="0.25">
      <c r="A878" s="63" t="s">
        <v>985</v>
      </c>
      <c r="B878" s="64"/>
      <c r="C878" s="64"/>
      <c r="D878" s="65"/>
      <c r="E878" s="67"/>
      <c r="F878" s="111" t="str">
        <f>HYPERLINK("https://pbs.twimg.com/profile_images/1516245504212049924/DQkRiKQ4_normal.jpg")</f>
        <v>https://pbs.twimg.com/profile_images/1516245504212049924/DQkRiKQ4_normal.jpg</v>
      </c>
      <c r="G878" s="64"/>
      <c r="H878" s="68"/>
      <c r="I878" s="69"/>
      <c r="J878" s="69"/>
      <c r="K878" s="68" t="s">
        <v>30011</v>
      </c>
      <c r="L878" s="72"/>
      <c r="M878" s="73"/>
      <c r="N878" s="73"/>
      <c r="O878" s="74"/>
      <c r="P878" s="75"/>
      <c r="Q878" s="75"/>
      <c r="R878" s="102"/>
      <c r="S878" s="102"/>
      <c r="T878" s="102"/>
      <c r="U878" s="102"/>
      <c r="V878" s="48"/>
      <c r="W878" s="48"/>
      <c r="X878" s="48"/>
      <c r="Y878" s="48"/>
      <c r="Z878" s="47"/>
      <c r="AA878" s="70">
        <v>878</v>
      </c>
      <c r="AB878" s="70"/>
      <c r="AC878" s="71"/>
      <c r="AD878" s="86" t="s">
        <v>24488</v>
      </c>
      <c r="AE878" s="94" t="s">
        <v>25561</v>
      </c>
      <c r="AF878" s="86">
        <v>520</v>
      </c>
      <c r="AG878" s="86">
        <v>581</v>
      </c>
      <c r="AH878" s="86">
        <v>10650</v>
      </c>
      <c r="AI878" s="86">
        <v>21</v>
      </c>
      <c r="AJ878" s="86">
        <v>22002</v>
      </c>
      <c r="AK878" s="86">
        <v>435</v>
      </c>
      <c r="AL878" s="86" t="b">
        <v>0</v>
      </c>
      <c r="AM878" s="89">
        <v>39683.832106481481</v>
      </c>
      <c r="AN878" s="86" t="s">
        <v>25993</v>
      </c>
      <c r="AO878" s="86" t="s">
        <v>27225</v>
      </c>
      <c r="AP878" s="96" t="str">
        <f>HYPERLINK("https://t.co/TGszuiyDJQ")</f>
        <v>https://t.co/TGszuiyDJQ</v>
      </c>
      <c r="AQ878" s="96" t="str">
        <f>HYPERLINK("http://qgnet.com.br")</f>
        <v>http://qgnet.com.br</v>
      </c>
      <c r="AR878" s="86" t="s">
        <v>28496</v>
      </c>
      <c r="AS878" s="86"/>
      <c r="AT878" s="86"/>
      <c r="AU878" s="86"/>
      <c r="AV878" s="86"/>
      <c r="AW878" s="96" t="str">
        <f>HYPERLINK("https://t.co/TGszuiyDJQ")</f>
        <v>https://t.co/TGszuiyDJQ</v>
      </c>
      <c r="AX878" s="86" t="b">
        <v>0</v>
      </c>
      <c r="AY878" s="86"/>
      <c r="AZ878" s="86"/>
      <c r="BA878" s="86" t="b">
        <v>0</v>
      </c>
      <c r="BB878" s="86" t="b">
        <v>1</v>
      </c>
      <c r="BC878" s="86" t="b">
        <v>0</v>
      </c>
      <c r="BD878" s="86" t="b">
        <v>0</v>
      </c>
      <c r="BE878" s="86" t="b">
        <v>1</v>
      </c>
      <c r="BF878" s="86" t="b">
        <v>0</v>
      </c>
      <c r="BG878" s="86" t="b">
        <v>0</v>
      </c>
      <c r="BH878" s="96" t="str">
        <f>HYPERLINK("https://pbs.twimg.com/profile_banners/15960390/1560713722")</f>
        <v>https://pbs.twimg.com/profile_banners/15960390/1560713722</v>
      </c>
      <c r="BI878" s="86"/>
      <c r="BJ878" s="86" t="s">
        <v>29134</v>
      </c>
      <c r="BK878" s="86" t="b">
        <v>0</v>
      </c>
      <c r="BL878" s="86"/>
      <c r="BM878" s="86" t="s">
        <v>66</v>
      </c>
      <c r="BN878" s="86" t="s">
        <v>29136</v>
      </c>
      <c r="BO878" s="96" t="str">
        <f>HYPERLINK("https://twitter.com/marco_qgnet")</f>
        <v>https://twitter.com/marco_qgnet</v>
      </c>
      <c r="BP878" s="2"/>
    </row>
    <row r="879" spans="1:68" x14ac:dyDescent="0.25">
      <c r="A879" s="63" t="s">
        <v>986</v>
      </c>
      <c r="B879" s="64"/>
      <c r="C879" s="64"/>
      <c r="D879" s="65"/>
      <c r="E879" s="67"/>
      <c r="F879" s="111" t="str">
        <f>HYPERLINK("https://pbs.twimg.com/profile_images/1435335009146216451/QPDfm-UA_normal.jpg")</f>
        <v>https://pbs.twimg.com/profile_images/1435335009146216451/QPDfm-UA_normal.jpg</v>
      </c>
      <c r="G879" s="64"/>
      <c r="H879" s="68"/>
      <c r="I879" s="69"/>
      <c r="J879" s="69"/>
      <c r="K879" s="68" t="s">
        <v>30012</v>
      </c>
      <c r="L879" s="72"/>
      <c r="M879" s="73"/>
      <c r="N879" s="73"/>
      <c r="O879" s="74"/>
      <c r="P879" s="75"/>
      <c r="Q879" s="75"/>
      <c r="R879" s="102"/>
      <c r="S879" s="102"/>
      <c r="T879" s="102"/>
      <c r="U879" s="102"/>
      <c r="V879" s="48"/>
      <c r="W879" s="48"/>
      <c r="X879" s="48"/>
      <c r="Y879" s="48"/>
      <c r="Z879" s="47"/>
      <c r="AA879" s="70">
        <v>879</v>
      </c>
      <c r="AB879" s="70"/>
      <c r="AC879" s="71"/>
      <c r="AD879" s="86" t="s">
        <v>24489</v>
      </c>
      <c r="AE879" s="94" t="s">
        <v>25562</v>
      </c>
      <c r="AF879" s="86">
        <v>525</v>
      </c>
      <c r="AG879" s="86">
        <v>331</v>
      </c>
      <c r="AH879" s="86">
        <v>24180</v>
      </c>
      <c r="AI879" s="86">
        <v>3</v>
      </c>
      <c r="AJ879" s="86">
        <v>11339</v>
      </c>
      <c r="AK879" s="86">
        <v>6076</v>
      </c>
      <c r="AL879" s="86" t="b">
        <v>0</v>
      </c>
      <c r="AM879" s="89">
        <v>40287.725081018521</v>
      </c>
      <c r="AN879" s="86" t="s">
        <v>26202</v>
      </c>
      <c r="AO879" s="86" t="s">
        <v>27226</v>
      </c>
      <c r="AP879" s="96" t="str">
        <f>HYPERLINK("https://t.co/2Hfc6VICKM")</f>
        <v>https://t.co/2Hfc6VICKM</v>
      </c>
      <c r="AQ879" s="96" t="str">
        <f>HYPERLINK("https://www.instagram.com/crisloosecompartilha/")</f>
        <v>https://www.instagram.com/crisloosecompartilha/</v>
      </c>
      <c r="AR879" s="86" t="s">
        <v>28497</v>
      </c>
      <c r="AS879" s="86"/>
      <c r="AT879" s="86"/>
      <c r="AU879" s="86"/>
      <c r="AV879" s="86"/>
      <c r="AW879" s="96" t="str">
        <f>HYPERLINK("https://t.co/2Hfc6VICKM")</f>
        <v>https://t.co/2Hfc6VICKM</v>
      </c>
      <c r="AX879" s="86" t="b">
        <v>0</v>
      </c>
      <c r="AY879" s="86"/>
      <c r="AZ879" s="86"/>
      <c r="BA879" s="86" t="b">
        <v>0</v>
      </c>
      <c r="BB879" s="86" t="b">
        <v>0</v>
      </c>
      <c r="BC879" s="86" t="b">
        <v>0</v>
      </c>
      <c r="BD879" s="86" t="b">
        <v>0</v>
      </c>
      <c r="BE879" s="86" t="b">
        <v>0</v>
      </c>
      <c r="BF879" s="86" t="b">
        <v>0</v>
      </c>
      <c r="BG879" s="86" t="b">
        <v>0</v>
      </c>
      <c r="BH879" s="96" t="str">
        <f>HYPERLINK("https://pbs.twimg.com/profile_banners/134863292/1558984077")</f>
        <v>https://pbs.twimg.com/profile_banners/134863292/1558984077</v>
      </c>
      <c r="BI879" s="86"/>
      <c r="BJ879" s="86" t="s">
        <v>29134</v>
      </c>
      <c r="BK879" s="86" t="b">
        <v>0</v>
      </c>
      <c r="BL879" s="86"/>
      <c r="BM879" s="86" t="s">
        <v>66</v>
      </c>
      <c r="BN879" s="86" t="s">
        <v>29136</v>
      </c>
      <c r="BO879" s="96" t="str">
        <f>HYPERLINK("https://twitter.com/crisiloose")</f>
        <v>https://twitter.com/crisiloose</v>
      </c>
      <c r="BP879" s="2"/>
    </row>
    <row r="880" spans="1:68" x14ac:dyDescent="0.25">
      <c r="A880" s="63" t="s">
        <v>987</v>
      </c>
      <c r="B880" s="64"/>
      <c r="C880" s="64"/>
      <c r="D880" s="65"/>
      <c r="E880" s="67"/>
      <c r="F880" s="111" t="str">
        <f>HYPERLINK("https://pbs.twimg.com/profile_images/694583092477071360/Ohml0lsE_normal.jpg")</f>
        <v>https://pbs.twimg.com/profile_images/694583092477071360/Ohml0lsE_normal.jpg</v>
      </c>
      <c r="G880" s="64"/>
      <c r="H880" s="68"/>
      <c r="I880" s="69"/>
      <c r="J880" s="69"/>
      <c r="K880" s="68" t="s">
        <v>30013</v>
      </c>
      <c r="L880" s="72"/>
      <c r="M880" s="73"/>
      <c r="N880" s="73"/>
      <c r="O880" s="74"/>
      <c r="P880" s="75"/>
      <c r="Q880" s="75"/>
      <c r="R880" s="102"/>
      <c r="S880" s="102"/>
      <c r="T880" s="102"/>
      <c r="U880" s="102"/>
      <c r="V880" s="48"/>
      <c r="W880" s="48"/>
      <c r="X880" s="48"/>
      <c r="Y880" s="48"/>
      <c r="Z880" s="47"/>
      <c r="AA880" s="70">
        <v>880</v>
      </c>
      <c r="AB880" s="70"/>
      <c r="AC880" s="71"/>
      <c r="AD880" s="86" t="s">
        <v>24490</v>
      </c>
      <c r="AE880" s="94" t="s">
        <v>25563</v>
      </c>
      <c r="AF880" s="86">
        <v>95</v>
      </c>
      <c r="AG880" s="86">
        <v>82</v>
      </c>
      <c r="AH880" s="86">
        <v>209</v>
      </c>
      <c r="AI880" s="86">
        <v>0</v>
      </c>
      <c r="AJ880" s="86">
        <v>255</v>
      </c>
      <c r="AK880" s="86">
        <v>10</v>
      </c>
      <c r="AL880" s="86" t="b">
        <v>0</v>
      </c>
      <c r="AM880" s="89">
        <v>40091.591782407406</v>
      </c>
      <c r="AN880" s="86" t="s">
        <v>15234</v>
      </c>
      <c r="AO880" s="86" t="s">
        <v>27227</v>
      </c>
      <c r="AP880" s="96" t="str">
        <f>HYPERLINK("https://t.co/XipekMbpJy")</f>
        <v>https://t.co/XipekMbpJy</v>
      </c>
      <c r="AQ880" s="96" t="str">
        <f>HYPERLINK("https://www.marketingcomsucesso.com.br")</f>
        <v>https://www.marketingcomsucesso.com.br</v>
      </c>
      <c r="AR880" s="86" t="s">
        <v>28498</v>
      </c>
      <c r="AS880" s="86"/>
      <c r="AT880" s="86"/>
      <c r="AU880" s="86"/>
      <c r="AV880" s="86"/>
      <c r="AW880" s="96" t="str">
        <f>HYPERLINK("https://t.co/XipekMbpJy")</f>
        <v>https://t.co/XipekMbpJy</v>
      </c>
      <c r="AX880" s="86" t="b">
        <v>0</v>
      </c>
      <c r="AY880" s="86"/>
      <c r="AZ880" s="86"/>
      <c r="BA880" s="86" t="b">
        <v>0</v>
      </c>
      <c r="BB880" s="86" t="b">
        <v>1</v>
      </c>
      <c r="BC880" s="86" t="b">
        <v>0</v>
      </c>
      <c r="BD880" s="86" t="b">
        <v>0</v>
      </c>
      <c r="BE880" s="86" t="b">
        <v>0</v>
      </c>
      <c r="BF880" s="86" t="b">
        <v>0</v>
      </c>
      <c r="BG880" s="86" t="b">
        <v>0</v>
      </c>
      <c r="BH880" s="96" t="str">
        <f>HYPERLINK("https://pbs.twimg.com/profile_banners/80034336/1398636662")</f>
        <v>https://pbs.twimg.com/profile_banners/80034336/1398636662</v>
      </c>
      <c r="BI880" s="86"/>
      <c r="BJ880" s="86" t="s">
        <v>29134</v>
      </c>
      <c r="BK880" s="86" t="b">
        <v>0</v>
      </c>
      <c r="BL880" s="86"/>
      <c r="BM880" s="86" t="s">
        <v>66</v>
      </c>
      <c r="BN880" s="86" t="s">
        <v>29136</v>
      </c>
      <c r="BO880" s="96" t="str">
        <f>HYPERLINK("https://twitter.com/gisellivieira")</f>
        <v>https://twitter.com/gisellivieira</v>
      </c>
      <c r="BP880" s="2"/>
    </row>
    <row r="881" spans="1:68" x14ac:dyDescent="0.25">
      <c r="A881" s="63" t="s">
        <v>988</v>
      </c>
      <c r="B881" s="64"/>
      <c r="C881" s="64"/>
      <c r="D881" s="65"/>
      <c r="E881" s="67"/>
      <c r="F881" s="111" t="str">
        <f>HYPERLINK("https://pbs.twimg.com/profile_images/1677056543659905027/tiOBeHYz_normal.jpg")</f>
        <v>https://pbs.twimg.com/profile_images/1677056543659905027/tiOBeHYz_normal.jpg</v>
      </c>
      <c r="G881" s="64"/>
      <c r="H881" s="68"/>
      <c r="I881" s="69"/>
      <c r="J881" s="69"/>
      <c r="K881" s="68" t="s">
        <v>30014</v>
      </c>
      <c r="L881" s="72"/>
      <c r="M881" s="73"/>
      <c r="N881" s="73"/>
      <c r="O881" s="74"/>
      <c r="P881" s="75"/>
      <c r="Q881" s="75"/>
      <c r="R881" s="102"/>
      <c r="S881" s="102"/>
      <c r="T881" s="102"/>
      <c r="U881" s="102"/>
      <c r="V881" s="48"/>
      <c r="W881" s="48"/>
      <c r="X881" s="48"/>
      <c r="Y881" s="48"/>
      <c r="Z881" s="47"/>
      <c r="AA881" s="70">
        <v>881</v>
      </c>
      <c r="AB881" s="70"/>
      <c r="AC881" s="71"/>
      <c r="AD881" s="86" t="s">
        <v>24491</v>
      </c>
      <c r="AE881" s="94" t="s">
        <v>23228</v>
      </c>
      <c r="AF881" s="86">
        <v>0</v>
      </c>
      <c r="AG881" s="86">
        <v>67</v>
      </c>
      <c r="AH881" s="86">
        <v>7</v>
      </c>
      <c r="AI881" s="86">
        <v>0</v>
      </c>
      <c r="AJ881" s="86">
        <v>0</v>
      </c>
      <c r="AK881" s="86">
        <v>7</v>
      </c>
      <c r="AL881" s="86" t="b">
        <v>0</v>
      </c>
      <c r="AM881" s="89">
        <v>45110.515729166669</v>
      </c>
      <c r="AN881" s="86" t="s">
        <v>26203</v>
      </c>
      <c r="AO881" s="86" t="s">
        <v>27228</v>
      </c>
      <c r="AP881" s="96" t="str">
        <f>HYPERLINK("https://t.co/P2VRGnCMbo")</f>
        <v>https://t.co/P2VRGnCMbo</v>
      </c>
      <c r="AQ881" s="96" t="str">
        <f>HYPERLINK("https://linktr.ee/capedeoficial")</f>
        <v>https://linktr.ee/capedeoficial</v>
      </c>
      <c r="AR881" s="86" t="s">
        <v>28499</v>
      </c>
      <c r="AS881" s="86"/>
      <c r="AT881" s="86"/>
      <c r="AU881" s="86"/>
      <c r="AV881" s="86"/>
      <c r="AW881" s="96" t="str">
        <f>HYPERLINK("https://t.co/P2VRGnCMbo")</f>
        <v>https://t.co/P2VRGnCMbo</v>
      </c>
      <c r="AX881" s="86" t="b">
        <v>0</v>
      </c>
      <c r="AY881" s="86"/>
      <c r="AZ881" s="86"/>
      <c r="BA881" s="86" t="b">
        <v>0</v>
      </c>
      <c r="BB881" s="86" t="b">
        <v>1</v>
      </c>
      <c r="BC881" s="86" t="b">
        <v>1</v>
      </c>
      <c r="BD881" s="86" t="b">
        <v>0</v>
      </c>
      <c r="BE881" s="86" t="b">
        <v>0</v>
      </c>
      <c r="BF881" s="86" t="b">
        <v>0</v>
      </c>
      <c r="BG881" s="86" t="b">
        <v>0</v>
      </c>
      <c r="BH881" s="96" t="str">
        <f>HYPERLINK("https://pbs.twimg.com/profile_banners/1675842450408058881/1688676414")</f>
        <v>https://pbs.twimg.com/profile_banners/1675842450408058881/1688676414</v>
      </c>
      <c r="BI881" s="86"/>
      <c r="BJ881" s="86" t="s">
        <v>29134</v>
      </c>
      <c r="BK881" s="86" t="b">
        <v>0</v>
      </c>
      <c r="BL881" s="86"/>
      <c r="BM881" s="86" t="s">
        <v>66</v>
      </c>
      <c r="BN881" s="86" t="s">
        <v>29136</v>
      </c>
      <c r="BO881" s="96" t="str">
        <f>HYPERLINK("https://twitter.com/capedebr")</f>
        <v>https://twitter.com/capedebr</v>
      </c>
      <c r="BP881" s="2"/>
    </row>
    <row r="882" spans="1:68" x14ac:dyDescent="0.25">
      <c r="A882" s="63" t="s">
        <v>989</v>
      </c>
      <c r="B882" s="64"/>
      <c r="C882" s="64"/>
      <c r="D882" s="65"/>
      <c r="E882" s="67"/>
      <c r="F882" s="111" t="str">
        <f>HYPERLINK("https://pbs.twimg.com/profile_images/1524261955636465664/1FJrvIOG_normal.jpg")</f>
        <v>https://pbs.twimg.com/profile_images/1524261955636465664/1FJrvIOG_normal.jpg</v>
      </c>
      <c r="G882" s="64"/>
      <c r="H882" s="68"/>
      <c r="I882" s="69"/>
      <c r="J882" s="69"/>
      <c r="K882" s="68" t="s">
        <v>30015</v>
      </c>
      <c r="L882" s="72"/>
      <c r="M882" s="73"/>
      <c r="N882" s="73"/>
      <c r="O882" s="74"/>
      <c r="P882" s="75"/>
      <c r="Q882" s="75"/>
      <c r="R882" s="102"/>
      <c r="S882" s="102"/>
      <c r="T882" s="102"/>
      <c r="U882" s="102"/>
      <c r="V882" s="48"/>
      <c r="W882" s="48"/>
      <c r="X882" s="48"/>
      <c r="Y882" s="48"/>
      <c r="Z882" s="47"/>
      <c r="AA882" s="70">
        <v>882</v>
      </c>
      <c r="AB882" s="70"/>
      <c r="AC882" s="71"/>
      <c r="AD882" s="86" t="s">
        <v>24492</v>
      </c>
      <c r="AE882" s="94" t="s">
        <v>23229</v>
      </c>
      <c r="AF882" s="86">
        <v>8</v>
      </c>
      <c r="AG882" s="86">
        <v>8</v>
      </c>
      <c r="AH882" s="86">
        <v>675</v>
      </c>
      <c r="AI882" s="86">
        <v>2</v>
      </c>
      <c r="AJ882" s="86">
        <v>339</v>
      </c>
      <c r="AK882" s="86">
        <v>646</v>
      </c>
      <c r="AL882" s="86" t="b">
        <v>0</v>
      </c>
      <c r="AM882" s="89">
        <v>44692.223483796297</v>
      </c>
      <c r="AN882" s="86" t="s">
        <v>26204</v>
      </c>
      <c r="AO882" s="86" t="s">
        <v>27229</v>
      </c>
      <c r="AP882" s="96" t="str">
        <f>HYPERLINK("https://t.co/9arCZkfs3v")</f>
        <v>https://t.co/9arCZkfs3v</v>
      </c>
      <c r="AQ882" s="96" t="str">
        <f>HYPERLINK("https://fasque.in/")</f>
        <v>https://fasque.in/</v>
      </c>
      <c r="AR882" s="86" t="s">
        <v>8490</v>
      </c>
      <c r="AS882" s="86"/>
      <c r="AT882" s="86"/>
      <c r="AU882" s="86"/>
      <c r="AV882" s="86">
        <v>1.67213165959071E+18</v>
      </c>
      <c r="AW882" s="96" t="str">
        <f>HYPERLINK("https://t.co/9arCZkfs3v")</f>
        <v>https://t.co/9arCZkfs3v</v>
      </c>
      <c r="AX882" s="86" t="b">
        <v>0</v>
      </c>
      <c r="AY882" s="86"/>
      <c r="AZ882" s="86"/>
      <c r="BA882" s="86" t="b">
        <v>0</v>
      </c>
      <c r="BB882" s="86" t="b">
        <v>1</v>
      </c>
      <c r="BC882" s="86" t="b">
        <v>1</v>
      </c>
      <c r="BD882" s="86" t="b">
        <v>0</v>
      </c>
      <c r="BE882" s="86" t="b">
        <v>0</v>
      </c>
      <c r="BF882" s="86" t="b">
        <v>0</v>
      </c>
      <c r="BG882" s="86" t="b">
        <v>0</v>
      </c>
      <c r="BH882" s="96" t="str">
        <f>HYPERLINK("https://pbs.twimg.com/profile_banners/1524258253810835456/1667539360")</f>
        <v>https://pbs.twimg.com/profile_banners/1524258253810835456/1667539360</v>
      </c>
      <c r="BI882" s="86"/>
      <c r="BJ882" s="86" t="s">
        <v>29134</v>
      </c>
      <c r="BK882" s="86" t="b">
        <v>0</v>
      </c>
      <c r="BL882" s="86"/>
      <c r="BM882" s="86" t="s">
        <v>66</v>
      </c>
      <c r="BN882" s="86" t="s">
        <v>29136</v>
      </c>
      <c r="BO882" s="96" t="str">
        <f>HYPERLINK("https://twitter.com/fasqueindia")</f>
        <v>https://twitter.com/fasqueindia</v>
      </c>
      <c r="BP882" s="2"/>
    </row>
    <row r="883" spans="1:68" x14ac:dyDescent="0.25">
      <c r="A883" s="63" t="s">
        <v>990</v>
      </c>
      <c r="B883" s="64"/>
      <c r="C883" s="64"/>
      <c r="D883" s="65"/>
      <c r="E883" s="67"/>
      <c r="F883" s="111" t="str">
        <f>HYPERLINK("https://pbs.twimg.com/profile_images/1636386390866034704/THarwFvG_normal.jpg")</f>
        <v>https://pbs.twimg.com/profile_images/1636386390866034704/THarwFvG_normal.jpg</v>
      </c>
      <c r="G883" s="64"/>
      <c r="H883" s="68"/>
      <c r="I883" s="69"/>
      <c r="J883" s="69"/>
      <c r="K883" s="68" t="s">
        <v>30016</v>
      </c>
      <c r="L883" s="72"/>
      <c r="M883" s="73"/>
      <c r="N883" s="73"/>
      <c r="O883" s="74"/>
      <c r="P883" s="75"/>
      <c r="Q883" s="75"/>
      <c r="R883" s="102"/>
      <c r="S883" s="102"/>
      <c r="T883" s="102"/>
      <c r="U883" s="102"/>
      <c r="V883" s="48"/>
      <c r="W883" s="48"/>
      <c r="X883" s="48"/>
      <c r="Y883" s="48"/>
      <c r="Z883" s="47"/>
      <c r="AA883" s="70">
        <v>883</v>
      </c>
      <c r="AB883" s="70"/>
      <c r="AC883" s="71"/>
      <c r="AD883" s="86" t="s">
        <v>24493</v>
      </c>
      <c r="AE883" s="94" t="s">
        <v>25564</v>
      </c>
      <c r="AF883" s="86">
        <v>45</v>
      </c>
      <c r="AG883" s="86">
        <v>91</v>
      </c>
      <c r="AH883" s="86">
        <v>1501</v>
      </c>
      <c r="AI883" s="86">
        <v>6</v>
      </c>
      <c r="AJ883" s="86">
        <v>270</v>
      </c>
      <c r="AK883" s="86">
        <v>41</v>
      </c>
      <c r="AL883" s="86" t="b">
        <v>0</v>
      </c>
      <c r="AM883" s="89">
        <v>39986.458564814813</v>
      </c>
      <c r="AN883" s="86" t="s">
        <v>26205</v>
      </c>
      <c r="AO883" s="86" t="s">
        <v>27230</v>
      </c>
      <c r="AP883" s="86"/>
      <c r="AQ883" s="86"/>
      <c r="AR883" s="86"/>
      <c r="AS883" s="86"/>
      <c r="AT883" s="86"/>
      <c r="AU883" s="86"/>
      <c r="AV883" s="86"/>
      <c r="AW883" s="86"/>
      <c r="AX883" s="86" t="b">
        <v>0</v>
      </c>
      <c r="AY883" s="86"/>
      <c r="AZ883" s="86"/>
      <c r="BA883" s="86" t="b">
        <v>0</v>
      </c>
      <c r="BB883" s="86" t="b">
        <v>1</v>
      </c>
      <c r="BC883" s="86" t="b">
        <v>0</v>
      </c>
      <c r="BD883" s="86" t="b">
        <v>0</v>
      </c>
      <c r="BE883" s="86" t="b">
        <v>1</v>
      </c>
      <c r="BF883" s="86" t="b">
        <v>0</v>
      </c>
      <c r="BG883" s="86" t="b">
        <v>0</v>
      </c>
      <c r="BH883" s="86"/>
      <c r="BI883" s="86"/>
      <c r="BJ883" s="86" t="s">
        <v>29134</v>
      </c>
      <c r="BK883" s="86" t="b">
        <v>0</v>
      </c>
      <c r="BL883" s="86"/>
      <c r="BM883" s="86" t="s">
        <v>66</v>
      </c>
      <c r="BN883" s="86" t="s">
        <v>29136</v>
      </c>
      <c r="BO883" s="96" t="str">
        <f>HYPERLINK("https://twitter.com/cidamuniz")</f>
        <v>https://twitter.com/cidamuniz</v>
      </c>
      <c r="BP883" s="2"/>
    </row>
    <row r="884" spans="1:68" x14ac:dyDescent="0.25">
      <c r="A884" s="63" t="s">
        <v>991</v>
      </c>
      <c r="B884" s="64"/>
      <c r="C884" s="64"/>
      <c r="D884" s="65"/>
      <c r="E884" s="67"/>
      <c r="F884" s="111" t="str">
        <f>HYPERLINK("https://pbs.twimg.com/profile_images/915295201647882241/spePykYm_normal.jpg")</f>
        <v>https://pbs.twimg.com/profile_images/915295201647882241/spePykYm_normal.jpg</v>
      </c>
      <c r="G884" s="64"/>
      <c r="H884" s="68"/>
      <c r="I884" s="69"/>
      <c r="J884" s="69"/>
      <c r="K884" s="68" t="s">
        <v>30017</v>
      </c>
      <c r="L884" s="72"/>
      <c r="M884" s="73"/>
      <c r="N884" s="73"/>
      <c r="O884" s="74"/>
      <c r="P884" s="75"/>
      <c r="Q884" s="75"/>
      <c r="R884" s="102"/>
      <c r="S884" s="102"/>
      <c r="T884" s="102"/>
      <c r="U884" s="102"/>
      <c r="V884" s="48"/>
      <c r="W884" s="48"/>
      <c r="X884" s="48"/>
      <c r="Y884" s="48"/>
      <c r="Z884" s="47"/>
      <c r="AA884" s="70">
        <v>884</v>
      </c>
      <c r="AB884" s="70"/>
      <c r="AC884" s="71"/>
      <c r="AD884" s="86" t="s">
        <v>24494</v>
      </c>
      <c r="AE884" s="94" t="s">
        <v>23230</v>
      </c>
      <c r="AF884" s="86">
        <v>1656</v>
      </c>
      <c r="AG884" s="86">
        <v>4532</v>
      </c>
      <c r="AH884" s="86">
        <v>8561</v>
      </c>
      <c r="AI884" s="86">
        <v>3</v>
      </c>
      <c r="AJ884" s="86">
        <v>248</v>
      </c>
      <c r="AK884" s="86">
        <v>40</v>
      </c>
      <c r="AL884" s="86" t="b">
        <v>0</v>
      </c>
      <c r="AM884" s="89">
        <v>43011.800312500003</v>
      </c>
      <c r="AN884" s="86" t="s">
        <v>15249</v>
      </c>
      <c r="AO884" s="86" t="s">
        <v>27231</v>
      </c>
      <c r="AP884" s="86"/>
      <c r="AQ884" s="86"/>
      <c r="AR884" s="86"/>
      <c r="AS884" s="86"/>
      <c r="AT884" s="86"/>
      <c r="AU884" s="86"/>
      <c r="AV884" s="86"/>
      <c r="AW884" s="86"/>
      <c r="AX884" s="86" t="b">
        <v>0</v>
      </c>
      <c r="AY884" s="86"/>
      <c r="AZ884" s="86"/>
      <c r="BA884" s="86" t="b">
        <v>0</v>
      </c>
      <c r="BB884" s="86" t="b">
        <v>1</v>
      </c>
      <c r="BC884" s="86" t="b">
        <v>1</v>
      </c>
      <c r="BD884" s="86" t="b">
        <v>0</v>
      </c>
      <c r="BE884" s="86" t="b">
        <v>0</v>
      </c>
      <c r="BF884" s="86" t="b">
        <v>0</v>
      </c>
      <c r="BG884" s="86" t="b">
        <v>0</v>
      </c>
      <c r="BH884" s="96" t="str">
        <f>HYPERLINK("https://pbs.twimg.com/profile_banners/915293486852788225/1507137847")</f>
        <v>https://pbs.twimg.com/profile_banners/915293486852788225/1507137847</v>
      </c>
      <c r="BI884" s="86"/>
      <c r="BJ884" s="86" t="s">
        <v>29134</v>
      </c>
      <c r="BK884" s="86" t="b">
        <v>0</v>
      </c>
      <c r="BL884" s="86"/>
      <c r="BM884" s="86" t="s">
        <v>66</v>
      </c>
      <c r="BN884" s="86" t="s">
        <v>29136</v>
      </c>
      <c r="BO884" s="96" t="str">
        <f>HYPERLINK("https://twitter.com/profpcavalcante")</f>
        <v>https://twitter.com/profpcavalcante</v>
      </c>
      <c r="BP884" s="2"/>
    </row>
    <row r="885" spans="1:68" x14ac:dyDescent="0.25">
      <c r="A885" s="63" t="s">
        <v>992</v>
      </c>
      <c r="B885" s="64"/>
      <c r="C885" s="64"/>
      <c r="D885" s="65"/>
      <c r="E885" s="67"/>
      <c r="F885" s="111" t="str">
        <f>HYPERLINK("https://pbs.twimg.com/profile_images/1680288141393920000/7_nyoVD0_normal.jpg")</f>
        <v>https://pbs.twimg.com/profile_images/1680288141393920000/7_nyoVD0_normal.jpg</v>
      </c>
      <c r="G885" s="64"/>
      <c r="H885" s="68"/>
      <c r="I885" s="69"/>
      <c r="J885" s="69"/>
      <c r="K885" s="68" t="s">
        <v>30018</v>
      </c>
      <c r="L885" s="72"/>
      <c r="M885" s="73"/>
      <c r="N885" s="73"/>
      <c r="O885" s="74"/>
      <c r="P885" s="75"/>
      <c r="Q885" s="75"/>
      <c r="R885" s="102"/>
      <c r="S885" s="102"/>
      <c r="T885" s="102"/>
      <c r="U885" s="102"/>
      <c r="V885" s="48"/>
      <c r="W885" s="48"/>
      <c r="X885" s="48"/>
      <c r="Y885" s="48"/>
      <c r="Z885" s="47"/>
      <c r="AA885" s="70">
        <v>885</v>
      </c>
      <c r="AB885" s="70"/>
      <c r="AC885" s="71"/>
      <c r="AD885" s="86" t="s">
        <v>24495</v>
      </c>
      <c r="AE885" s="94" t="s">
        <v>23231</v>
      </c>
      <c r="AF885" s="86">
        <v>0</v>
      </c>
      <c r="AG885" s="86">
        <v>30</v>
      </c>
      <c r="AH885" s="86">
        <v>31</v>
      </c>
      <c r="AI885" s="86">
        <v>0</v>
      </c>
      <c r="AJ885" s="86">
        <v>15</v>
      </c>
      <c r="AK885" s="86">
        <v>31</v>
      </c>
      <c r="AL885" s="86" t="b">
        <v>0</v>
      </c>
      <c r="AM885" s="89">
        <v>45117.590138888889</v>
      </c>
      <c r="AN885" s="86" t="s">
        <v>15234</v>
      </c>
      <c r="AO885" s="86" t="s">
        <v>27232</v>
      </c>
      <c r="AP885" s="96" t="str">
        <f>HYPERLINK("https://t.co/KOO6JEFEPk")</f>
        <v>https://t.co/KOO6JEFEPk</v>
      </c>
      <c r="AQ885" s="96" t="str">
        <f>HYPERLINK("http://oconfeiteirodigital.com")</f>
        <v>http://oconfeiteirodigital.com</v>
      </c>
      <c r="AR885" s="86" t="s">
        <v>28500</v>
      </c>
      <c r="AS885" s="86"/>
      <c r="AT885" s="86"/>
      <c r="AU885" s="86"/>
      <c r="AV885" s="86"/>
      <c r="AW885" s="96" t="str">
        <f>HYPERLINK("https://t.co/KOO6JEFEPk")</f>
        <v>https://t.co/KOO6JEFEPk</v>
      </c>
      <c r="AX885" s="86" t="b">
        <v>0</v>
      </c>
      <c r="AY885" s="86"/>
      <c r="AZ885" s="86"/>
      <c r="BA885" s="86" t="b">
        <v>0</v>
      </c>
      <c r="BB885" s="86" t="b">
        <v>1</v>
      </c>
      <c r="BC885" s="86" t="b">
        <v>1</v>
      </c>
      <c r="BD885" s="86" t="b">
        <v>0</v>
      </c>
      <c r="BE885" s="86" t="b">
        <v>0</v>
      </c>
      <c r="BF885" s="86" t="b">
        <v>0</v>
      </c>
      <c r="BG885" s="86" t="b">
        <v>0</v>
      </c>
      <c r="BH885" s="96" t="str">
        <f>HYPERLINK("https://pbs.twimg.com/profile_banners/1678406091556769792/1690560332")</f>
        <v>https://pbs.twimg.com/profile_banners/1678406091556769792/1690560332</v>
      </c>
      <c r="BI885" s="86"/>
      <c r="BJ885" s="86" t="s">
        <v>29134</v>
      </c>
      <c r="BK885" s="86" t="b">
        <v>0</v>
      </c>
      <c r="BL885" s="86"/>
      <c r="BM885" s="86" t="s">
        <v>66</v>
      </c>
      <c r="BN885" s="86" t="s">
        <v>29136</v>
      </c>
      <c r="BO885" s="96" t="str">
        <f>HYPERLINK("https://twitter.com/oconfeiteirodig")</f>
        <v>https://twitter.com/oconfeiteirodig</v>
      </c>
      <c r="BP885" s="2"/>
    </row>
    <row r="886" spans="1:68" x14ac:dyDescent="0.25">
      <c r="A886" s="63" t="s">
        <v>993</v>
      </c>
      <c r="B886" s="64"/>
      <c r="C886" s="64"/>
      <c r="D886" s="65"/>
      <c r="E886" s="67"/>
      <c r="F886" s="111" t="str">
        <f>HYPERLINK("https://pbs.twimg.com/profile_images/1701914067294732288/B1gMxp1D_normal.jpg")</f>
        <v>https://pbs.twimg.com/profile_images/1701914067294732288/B1gMxp1D_normal.jpg</v>
      </c>
      <c r="G886" s="64"/>
      <c r="H886" s="68"/>
      <c r="I886" s="69"/>
      <c r="J886" s="69"/>
      <c r="K886" s="68" t="s">
        <v>30019</v>
      </c>
      <c r="L886" s="72"/>
      <c r="M886" s="73"/>
      <c r="N886" s="73"/>
      <c r="O886" s="74"/>
      <c r="P886" s="75"/>
      <c r="Q886" s="75"/>
      <c r="R886" s="102"/>
      <c r="S886" s="102"/>
      <c r="T886" s="102"/>
      <c r="U886" s="102"/>
      <c r="V886" s="48"/>
      <c r="W886" s="48"/>
      <c r="X886" s="48"/>
      <c r="Y886" s="48"/>
      <c r="Z886" s="47"/>
      <c r="AA886" s="70">
        <v>886</v>
      </c>
      <c r="AB886" s="70"/>
      <c r="AC886" s="71"/>
      <c r="AD886" s="86" t="s">
        <v>24496</v>
      </c>
      <c r="AE886" s="94" t="s">
        <v>25565</v>
      </c>
      <c r="AF886" s="86">
        <v>8</v>
      </c>
      <c r="AG886" s="86">
        <v>100</v>
      </c>
      <c r="AH886" s="86">
        <v>7</v>
      </c>
      <c r="AI886" s="86">
        <v>0</v>
      </c>
      <c r="AJ886" s="86">
        <v>27</v>
      </c>
      <c r="AK886" s="86">
        <v>4</v>
      </c>
      <c r="AL886" s="86" t="b">
        <v>0</v>
      </c>
      <c r="AM886" s="89">
        <v>42074.718263888892</v>
      </c>
      <c r="AN886" s="86" t="s">
        <v>26206</v>
      </c>
      <c r="AO886" s="86" t="s">
        <v>27233</v>
      </c>
      <c r="AP886" s="96" t="str">
        <f>HYPERLINK("https://t.co/lOGM2MalkU")</f>
        <v>https://t.co/lOGM2MalkU</v>
      </c>
      <c r="AQ886" s="96" t="str">
        <f>HYPERLINK("https://webcer.digital")</f>
        <v>https://webcer.digital</v>
      </c>
      <c r="AR886" s="86" t="s">
        <v>28501</v>
      </c>
      <c r="AS886" s="86"/>
      <c r="AT886" s="86"/>
      <c r="AU886" s="86"/>
      <c r="AV886" s="86">
        <v>1.70195591379442E+18</v>
      </c>
      <c r="AW886" s="96" t="str">
        <f>HYPERLINK("https://t.co/lOGM2MalkU")</f>
        <v>https://t.co/lOGM2MalkU</v>
      </c>
      <c r="AX886" s="86" t="b">
        <v>0</v>
      </c>
      <c r="AY886" s="86"/>
      <c r="AZ886" s="86"/>
      <c r="BA886" s="86" t="b">
        <v>0</v>
      </c>
      <c r="BB886" s="86" t="b">
        <v>1</v>
      </c>
      <c r="BC886" s="86" t="b">
        <v>1</v>
      </c>
      <c r="BD886" s="86" t="b">
        <v>0</v>
      </c>
      <c r="BE886" s="86" t="b">
        <v>0</v>
      </c>
      <c r="BF886" s="86" t="b">
        <v>0</v>
      </c>
      <c r="BG886" s="86" t="b">
        <v>0</v>
      </c>
      <c r="BH886" s="96" t="str">
        <f>HYPERLINK("https://pbs.twimg.com/profile_banners/3087240369/1694602963")</f>
        <v>https://pbs.twimg.com/profile_banners/3087240369/1694602963</v>
      </c>
      <c r="BI886" s="86"/>
      <c r="BJ886" s="86" t="s">
        <v>29134</v>
      </c>
      <c r="BK886" s="86" t="b">
        <v>0</v>
      </c>
      <c r="BL886" s="86"/>
      <c r="BM886" s="86" t="s">
        <v>66</v>
      </c>
      <c r="BN886" s="86" t="s">
        <v>29136</v>
      </c>
      <c r="BO886" s="96" t="str">
        <f>HYPERLINK("https://twitter.com/webcermkt")</f>
        <v>https://twitter.com/webcermkt</v>
      </c>
      <c r="BP886" s="2"/>
    </row>
    <row r="887" spans="1:68" x14ac:dyDescent="0.25">
      <c r="A887" s="63" t="s">
        <v>994</v>
      </c>
      <c r="B887" s="64"/>
      <c r="C887" s="64"/>
      <c r="D887" s="65"/>
      <c r="E887" s="67"/>
      <c r="F887" s="111" t="str">
        <f>HYPERLINK("https://pbs.twimg.com/profile_images/1553178380056596485/ZMV-o1Zi_normal.jpg")</f>
        <v>https://pbs.twimg.com/profile_images/1553178380056596485/ZMV-o1Zi_normal.jpg</v>
      </c>
      <c r="G887" s="64"/>
      <c r="H887" s="68"/>
      <c r="I887" s="69"/>
      <c r="J887" s="69"/>
      <c r="K887" s="68" t="s">
        <v>30020</v>
      </c>
      <c r="L887" s="72"/>
      <c r="M887" s="73"/>
      <c r="N887" s="73"/>
      <c r="O887" s="74"/>
      <c r="P887" s="75"/>
      <c r="Q887" s="75"/>
      <c r="R887" s="102"/>
      <c r="S887" s="102"/>
      <c r="T887" s="102"/>
      <c r="U887" s="102"/>
      <c r="V887" s="48"/>
      <c r="W887" s="48"/>
      <c r="X887" s="48"/>
      <c r="Y887" s="48"/>
      <c r="Z887" s="47"/>
      <c r="AA887" s="70">
        <v>887</v>
      </c>
      <c r="AB887" s="70"/>
      <c r="AC887" s="71"/>
      <c r="AD887" s="86" t="s">
        <v>24497</v>
      </c>
      <c r="AE887" s="94" t="s">
        <v>23232</v>
      </c>
      <c r="AF887" s="86">
        <v>148</v>
      </c>
      <c r="AG887" s="86">
        <v>181</v>
      </c>
      <c r="AH887" s="86">
        <v>1343</v>
      </c>
      <c r="AI887" s="86">
        <v>2</v>
      </c>
      <c r="AJ887" s="86">
        <v>4182</v>
      </c>
      <c r="AK887" s="86">
        <v>0</v>
      </c>
      <c r="AL887" s="86" t="b">
        <v>0</v>
      </c>
      <c r="AM887" s="89">
        <v>42609.815150462964</v>
      </c>
      <c r="AN887" s="86" t="s">
        <v>26207</v>
      </c>
      <c r="AO887" s="86" t="s">
        <v>27234</v>
      </c>
      <c r="AP887" s="96" t="str">
        <f>HYPERLINK("https://t.co/RJuLtdgB4I")</f>
        <v>https://t.co/RJuLtdgB4I</v>
      </c>
      <c r="AQ887" s="96" t="str">
        <f>HYPERLINK("https://falandotech.com")</f>
        <v>https://falandotech.com</v>
      </c>
      <c r="AR887" s="86" t="s">
        <v>8491</v>
      </c>
      <c r="AS887" s="86"/>
      <c r="AT887" s="86"/>
      <c r="AU887" s="86"/>
      <c r="AV887" s="86"/>
      <c r="AW887" s="96" t="str">
        <f>HYPERLINK("https://t.co/RJuLtdgB4I")</f>
        <v>https://t.co/RJuLtdgB4I</v>
      </c>
      <c r="AX887" s="86" t="b">
        <v>0</v>
      </c>
      <c r="AY887" s="86"/>
      <c r="AZ887" s="86"/>
      <c r="BA887" s="86" t="b">
        <v>0</v>
      </c>
      <c r="BB887" s="86" t="b">
        <v>0</v>
      </c>
      <c r="BC887" s="86" t="b">
        <v>0</v>
      </c>
      <c r="BD887" s="86" t="b">
        <v>0</v>
      </c>
      <c r="BE887" s="86" t="b">
        <v>0</v>
      </c>
      <c r="BF887" s="86" t="b">
        <v>0</v>
      </c>
      <c r="BG887" s="86" t="b">
        <v>0</v>
      </c>
      <c r="BH887" s="96" t="str">
        <f>HYPERLINK("https://pbs.twimg.com/profile_banners/769618941845078020/1659069868")</f>
        <v>https://pbs.twimg.com/profile_banners/769618941845078020/1659069868</v>
      </c>
      <c r="BI887" s="86"/>
      <c r="BJ887" s="86" t="s">
        <v>29134</v>
      </c>
      <c r="BK887" s="86" t="b">
        <v>0</v>
      </c>
      <c r="BL887" s="86"/>
      <c r="BM887" s="86" t="s">
        <v>66</v>
      </c>
      <c r="BN887" s="86" t="s">
        <v>29136</v>
      </c>
      <c r="BO887" s="96" t="str">
        <f>HYPERLINK("https://twitter.com/blogfalandotech")</f>
        <v>https://twitter.com/blogfalandotech</v>
      </c>
      <c r="BP887" s="2"/>
    </row>
    <row r="888" spans="1:68" x14ac:dyDescent="0.25">
      <c r="A888" s="63" t="s">
        <v>995</v>
      </c>
      <c r="B888" s="64"/>
      <c r="C888" s="64"/>
      <c r="D888" s="65"/>
      <c r="E888" s="67"/>
      <c r="F888" s="111" t="str">
        <f>HYPERLINK("https://pbs.twimg.com/profile_images/1692275908093026304/HOFMwFgP_normal.jpg")</f>
        <v>https://pbs.twimg.com/profile_images/1692275908093026304/HOFMwFgP_normal.jpg</v>
      </c>
      <c r="G888" s="64"/>
      <c r="H888" s="68"/>
      <c r="I888" s="69"/>
      <c r="J888" s="69"/>
      <c r="K888" s="68" t="s">
        <v>30021</v>
      </c>
      <c r="L888" s="72"/>
      <c r="M888" s="73"/>
      <c r="N888" s="73"/>
      <c r="O888" s="74"/>
      <c r="P888" s="75"/>
      <c r="Q888" s="75"/>
      <c r="R888" s="102"/>
      <c r="S888" s="102"/>
      <c r="T888" s="102"/>
      <c r="U888" s="102"/>
      <c r="V888" s="48"/>
      <c r="W888" s="48"/>
      <c r="X888" s="48"/>
      <c r="Y888" s="48"/>
      <c r="Z888" s="47"/>
      <c r="AA888" s="70">
        <v>888</v>
      </c>
      <c r="AB888" s="70"/>
      <c r="AC888" s="71"/>
      <c r="AD888" s="86" t="s">
        <v>24498</v>
      </c>
      <c r="AE888" s="94" t="s">
        <v>23233</v>
      </c>
      <c r="AF888" s="86">
        <v>338</v>
      </c>
      <c r="AG888" s="86">
        <v>305</v>
      </c>
      <c r="AH888" s="86">
        <v>1021</v>
      </c>
      <c r="AI888" s="86">
        <v>0</v>
      </c>
      <c r="AJ888" s="86">
        <v>3165</v>
      </c>
      <c r="AK888" s="86">
        <v>268</v>
      </c>
      <c r="AL888" s="86" t="b">
        <v>0</v>
      </c>
      <c r="AM888" s="89">
        <v>45018.956631944442</v>
      </c>
      <c r="AN888" s="86" t="s">
        <v>25926</v>
      </c>
      <c r="AO888" s="86" t="s">
        <v>27235</v>
      </c>
      <c r="AP888" s="96" t="str">
        <f>HYPERLINK("https://t.co/8NdEE10J37")</f>
        <v>https://t.co/8NdEE10J37</v>
      </c>
      <c r="AQ888" s="96" t="str">
        <f>HYPERLINK("https://instagram.com/sahmarroni?igshid=NGExMmI2YTkyZg==")</f>
        <v>https://instagram.com/sahmarroni?igshid=NGExMmI2YTkyZg==</v>
      </c>
      <c r="AR888" s="86" t="s">
        <v>28502</v>
      </c>
      <c r="AS888" s="86"/>
      <c r="AT888" s="86"/>
      <c r="AU888" s="86"/>
      <c r="AV888" s="86">
        <v>1.66900530472862E+18</v>
      </c>
      <c r="AW888" s="96" t="str">
        <f>HYPERLINK("https://t.co/8NdEE10J37")</f>
        <v>https://t.co/8NdEE10J37</v>
      </c>
      <c r="AX888" s="86" t="b">
        <v>0</v>
      </c>
      <c r="AY888" s="86"/>
      <c r="AZ888" s="86"/>
      <c r="BA888" s="86" t="b">
        <v>0</v>
      </c>
      <c r="BB888" s="86" t="b">
        <v>1</v>
      </c>
      <c r="BC888" s="86" t="b">
        <v>1</v>
      </c>
      <c r="BD888" s="86" t="b">
        <v>0</v>
      </c>
      <c r="BE888" s="86" t="b">
        <v>0</v>
      </c>
      <c r="BF888" s="86" t="b">
        <v>0</v>
      </c>
      <c r="BG888" s="86" t="b">
        <v>0</v>
      </c>
      <c r="BH888" s="96" t="str">
        <f>HYPERLINK("https://pbs.twimg.com/profile_banners/1642662529145921538/1689508867")</f>
        <v>https://pbs.twimg.com/profile_banners/1642662529145921538/1689508867</v>
      </c>
      <c r="BI888" s="86"/>
      <c r="BJ888" s="86" t="s">
        <v>29134</v>
      </c>
      <c r="BK888" s="86" t="b">
        <v>0</v>
      </c>
      <c r="BL888" s="86"/>
      <c r="BM888" s="86" t="s">
        <v>66</v>
      </c>
      <c r="BN888" s="86" t="s">
        <v>29136</v>
      </c>
      <c r="BO888" s="96" t="str">
        <f>HYPERLINK("https://twitter.com/sahmarroni")</f>
        <v>https://twitter.com/sahmarroni</v>
      </c>
      <c r="BP888" s="2"/>
    </row>
    <row r="889" spans="1:68" x14ac:dyDescent="0.25">
      <c r="A889" s="63" t="s">
        <v>996</v>
      </c>
      <c r="B889" s="64"/>
      <c r="C889" s="64"/>
      <c r="D889" s="65"/>
      <c r="E889" s="67"/>
      <c r="F889" s="111" t="str">
        <f>HYPERLINK("https://pbs.twimg.com/profile_images/1688902490798919680/NTeGFDgL_normal.jpg")</f>
        <v>https://pbs.twimg.com/profile_images/1688902490798919680/NTeGFDgL_normal.jpg</v>
      </c>
      <c r="G889" s="64"/>
      <c r="H889" s="68"/>
      <c r="I889" s="69"/>
      <c r="J889" s="69"/>
      <c r="K889" s="68" t="s">
        <v>30022</v>
      </c>
      <c r="L889" s="72"/>
      <c r="M889" s="73"/>
      <c r="N889" s="73"/>
      <c r="O889" s="74"/>
      <c r="P889" s="75"/>
      <c r="Q889" s="75"/>
      <c r="R889" s="102"/>
      <c r="S889" s="102"/>
      <c r="T889" s="102"/>
      <c r="U889" s="102"/>
      <c r="V889" s="48"/>
      <c r="W889" s="48"/>
      <c r="X889" s="48"/>
      <c r="Y889" s="48"/>
      <c r="Z889" s="47"/>
      <c r="AA889" s="70">
        <v>889</v>
      </c>
      <c r="AB889" s="70"/>
      <c r="AC889" s="71"/>
      <c r="AD889" s="86" t="s">
        <v>24499</v>
      </c>
      <c r="AE889" s="94" t="s">
        <v>25566</v>
      </c>
      <c r="AF889" s="86">
        <v>15</v>
      </c>
      <c r="AG889" s="86">
        <v>34</v>
      </c>
      <c r="AH889" s="86">
        <v>14</v>
      </c>
      <c r="AI889" s="86">
        <v>0</v>
      </c>
      <c r="AJ889" s="86">
        <v>0</v>
      </c>
      <c r="AK889" s="86">
        <v>8</v>
      </c>
      <c r="AL889" s="86" t="b">
        <v>0</v>
      </c>
      <c r="AM889" s="89">
        <v>41122.622800925928</v>
      </c>
      <c r="AN889" s="86" t="s">
        <v>15234</v>
      </c>
      <c r="AO889" s="86" t="s">
        <v>27236</v>
      </c>
      <c r="AP889" s="96" t="str">
        <f>HYPERLINK("https://t.co/7viqSiQhbd")</f>
        <v>https://t.co/7viqSiQhbd</v>
      </c>
      <c r="AQ889" s="96" t="str">
        <f>HYPERLINK("http://webthomaz.com.br")</f>
        <v>http://webthomaz.com.br</v>
      </c>
      <c r="AR889" s="86" t="s">
        <v>28503</v>
      </c>
      <c r="AS889" s="86"/>
      <c r="AT889" s="86"/>
      <c r="AU889" s="86"/>
      <c r="AV889" s="86"/>
      <c r="AW889" s="96" t="str">
        <f>HYPERLINK("https://t.co/7viqSiQhbd")</f>
        <v>https://t.co/7viqSiQhbd</v>
      </c>
      <c r="AX889" s="86" t="b">
        <v>0</v>
      </c>
      <c r="AY889" s="86"/>
      <c r="AZ889" s="86"/>
      <c r="BA889" s="86" t="b">
        <v>0</v>
      </c>
      <c r="BB889" s="86" t="b">
        <v>1</v>
      </c>
      <c r="BC889" s="86" t="b">
        <v>0</v>
      </c>
      <c r="BD889" s="86" t="b">
        <v>0</v>
      </c>
      <c r="BE889" s="86" t="b">
        <v>0</v>
      </c>
      <c r="BF889" s="86" t="b">
        <v>0</v>
      </c>
      <c r="BG889" s="86" t="b">
        <v>0</v>
      </c>
      <c r="BH889" s="86"/>
      <c r="BI889" s="86"/>
      <c r="BJ889" s="86" t="s">
        <v>29134</v>
      </c>
      <c r="BK889" s="86" t="b">
        <v>0</v>
      </c>
      <c r="BL889" s="86"/>
      <c r="BM889" s="86" t="s">
        <v>66</v>
      </c>
      <c r="BN889" s="86" t="s">
        <v>29136</v>
      </c>
      <c r="BO889" s="96" t="str">
        <f>HYPERLINK("https://twitter.com/webthomaz")</f>
        <v>https://twitter.com/webthomaz</v>
      </c>
      <c r="BP889" s="2"/>
    </row>
    <row r="890" spans="1:68" x14ac:dyDescent="0.25">
      <c r="A890" s="63" t="s">
        <v>997</v>
      </c>
      <c r="B890" s="64"/>
      <c r="C890" s="64"/>
      <c r="D890" s="65"/>
      <c r="E890" s="67"/>
      <c r="F890" s="111" t="str">
        <f>HYPERLINK("https://pbs.twimg.com/profile_images/1617182311451082754/qQswpm6T_normal.jpg")</f>
        <v>https://pbs.twimg.com/profile_images/1617182311451082754/qQswpm6T_normal.jpg</v>
      </c>
      <c r="G890" s="64"/>
      <c r="H890" s="68"/>
      <c r="I890" s="69"/>
      <c r="J890" s="69"/>
      <c r="K890" s="68" t="s">
        <v>30023</v>
      </c>
      <c r="L890" s="72"/>
      <c r="M890" s="73"/>
      <c r="N890" s="73"/>
      <c r="O890" s="74"/>
      <c r="P890" s="75"/>
      <c r="Q890" s="75"/>
      <c r="R890" s="102"/>
      <c r="S890" s="102"/>
      <c r="T890" s="102"/>
      <c r="U890" s="102"/>
      <c r="V890" s="48"/>
      <c r="W890" s="48"/>
      <c r="X890" s="48"/>
      <c r="Y890" s="48"/>
      <c r="Z890" s="47"/>
      <c r="AA890" s="70">
        <v>890</v>
      </c>
      <c r="AB890" s="70"/>
      <c r="AC890" s="71"/>
      <c r="AD890" s="86" t="s">
        <v>24500</v>
      </c>
      <c r="AE890" s="94" t="s">
        <v>22601</v>
      </c>
      <c r="AF890" s="86">
        <v>10</v>
      </c>
      <c r="AG890" s="86">
        <v>6</v>
      </c>
      <c r="AH890" s="86">
        <v>56</v>
      </c>
      <c r="AI890" s="86">
        <v>0</v>
      </c>
      <c r="AJ890" s="86">
        <v>14</v>
      </c>
      <c r="AK890" s="86">
        <v>12</v>
      </c>
      <c r="AL890" s="86" t="b">
        <v>0</v>
      </c>
      <c r="AM890" s="89">
        <v>43249.571273148147</v>
      </c>
      <c r="AN890" s="86"/>
      <c r="AO890" s="86" t="s">
        <v>27237</v>
      </c>
      <c r="AP890" s="86"/>
      <c r="AQ890" s="86"/>
      <c r="AR890" s="86"/>
      <c r="AS890" s="86"/>
      <c r="AT890" s="86"/>
      <c r="AU890" s="86"/>
      <c r="AV890" s="86">
        <v>1.4330530733673001E+18</v>
      </c>
      <c r="AW890" s="86"/>
      <c r="AX890" s="86" t="b">
        <v>0</v>
      </c>
      <c r="AY890" s="86"/>
      <c r="AZ890" s="86"/>
      <c r="BA890" s="86" t="b">
        <v>0</v>
      </c>
      <c r="BB890" s="86" t="b">
        <v>1</v>
      </c>
      <c r="BC890" s="86" t="b">
        <v>1</v>
      </c>
      <c r="BD890" s="86" t="b">
        <v>0</v>
      </c>
      <c r="BE890" s="86" t="b">
        <v>0</v>
      </c>
      <c r="BF890" s="86" t="b">
        <v>0</v>
      </c>
      <c r="BG890" s="86" t="b">
        <v>0</v>
      </c>
      <c r="BH890" s="96" t="str">
        <f>HYPERLINK("https://pbs.twimg.com/profile_banners/1001458797326553090/1695637031")</f>
        <v>https://pbs.twimg.com/profile_banners/1001458797326553090/1695637031</v>
      </c>
      <c r="BI890" s="86"/>
      <c r="BJ890" s="86" t="s">
        <v>29134</v>
      </c>
      <c r="BK890" s="86" t="b">
        <v>0</v>
      </c>
      <c r="BL890" s="86"/>
      <c r="BM890" s="86" t="s">
        <v>66</v>
      </c>
      <c r="BN890" s="86" t="s">
        <v>29136</v>
      </c>
      <c r="BO890" s="96" t="str">
        <f>HYPERLINK("https://twitter.com/cttmauricio")</f>
        <v>https://twitter.com/cttmauricio</v>
      </c>
      <c r="BP890" s="2"/>
    </row>
    <row r="891" spans="1:68" x14ac:dyDescent="0.25">
      <c r="A891" s="63" t="s">
        <v>998</v>
      </c>
      <c r="B891" s="64"/>
      <c r="C891" s="64"/>
      <c r="D891" s="65"/>
      <c r="E891" s="67"/>
      <c r="F891" s="111" t="str">
        <f>HYPERLINK("https://pbs.twimg.com/profile_images/1620105143453683749/FM95n04H_normal.jpg")</f>
        <v>https://pbs.twimg.com/profile_images/1620105143453683749/FM95n04H_normal.jpg</v>
      </c>
      <c r="G891" s="64"/>
      <c r="H891" s="68"/>
      <c r="I891" s="69"/>
      <c r="J891" s="69"/>
      <c r="K891" s="68" t="s">
        <v>30024</v>
      </c>
      <c r="L891" s="72"/>
      <c r="M891" s="73"/>
      <c r="N891" s="73"/>
      <c r="O891" s="74"/>
      <c r="P891" s="75"/>
      <c r="Q891" s="75"/>
      <c r="R891" s="102"/>
      <c r="S891" s="102"/>
      <c r="T891" s="102"/>
      <c r="U891" s="102"/>
      <c r="V891" s="48"/>
      <c r="W891" s="48"/>
      <c r="X891" s="48"/>
      <c r="Y891" s="48"/>
      <c r="Z891" s="47"/>
      <c r="AA891" s="70">
        <v>891</v>
      </c>
      <c r="AB891" s="70"/>
      <c r="AC891" s="71"/>
      <c r="AD891" s="86" t="s">
        <v>24501</v>
      </c>
      <c r="AE891" s="94" t="s">
        <v>23234</v>
      </c>
      <c r="AF891" s="86">
        <v>1051</v>
      </c>
      <c r="AG891" s="86">
        <v>170</v>
      </c>
      <c r="AH891" s="86">
        <v>1360</v>
      </c>
      <c r="AI891" s="86">
        <v>0</v>
      </c>
      <c r="AJ891" s="86">
        <v>1367</v>
      </c>
      <c r="AK891" s="86">
        <v>519</v>
      </c>
      <c r="AL891" s="86" t="b">
        <v>0</v>
      </c>
      <c r="AM891" s="89">
        <v>44106.064270833333</v>
      </c>
      <c r="AN891" s="86" t="s">
        <v>15243</v>
      </c>
      <c r="AO891" s="86" t="s">
        <v>27238</v>
      </c>
      <c r="AP891" s="96" t="str">
        <f>HYPERLINK("https://t.co/otuOVMfmnI")</f>
        <v>https://t.co/otuOVMfmnI</v>
      </c>
      <c r="AQ891" s="96" t="str">
        <f>HYPERLINK("https://bijotti.com.br/minha-vida/")</f>
        <v>https://bijotti.com.br/minha-vida/</v>
      </c>
      <c r="AR891" s="86" t="s">
        <v>28504</v>
      </c>
      <c r="AS891" s="86"/>
      <c r="AT891" s="86"/>
      <c r="AU891" s="86"/>
      <c r="AV891" s="86">
        <v>1.6100907315064801E+18</v>
      </c>
      <c r="AW891" s="96" t="str">
        <f>HYPERLINK("https://t.co/otuOVMfmnI")</f>
        <v>https://t.co/otuOVMfmnI</v>
      </c>
      <c r="AX891" s="86" t="b">
        <v>0</v>
      </c>
      <c r="AY891" s="86"/>
      <c r="AZ891" s="86"/>
      <c r="BA891" s="86" t="b">
        <v>1</v>
      </c>
      <c r="BB891" s="86" t="b">
        <v>1</v>
      </c>
      <c r="BC891" s="86" t="b">
        <v>1</v>
      </c>
      <c r="BD891" s="86" t="b">
        <v>0</v>
      </c>
      <c r="BE891" s="86" t="b">
        <v>1</v>
      </c>
      <c r="BF891" s="86" t="b">
        <v>0</v>
      </c>
      <c r="BG891" s="86" t="b">
        <v>0</v>
      </c>
      <c r="BH891" s="96" t="str">
        <f>HYPERLINK("https://pbs.twimg.com/profile_banners/1311841409566150656/1603549573")</f>
        <v>https://pbs.twimg.com/profile_banners/1311841409566150656/1603549573</v>
      </c>
      <c r="BI891" s="86"/>
      <c r="BJ891" s="86" t="s">
        <v>29134</v>
      </c>
      <c r="BK891" s="86" t="b">
        <v>0</v>
      </c>
      <c r="BL891" s="86"/>
      <c r="BM891" s="86" t="s">
        <v>66</v>
      </c>
      <c r="BN891" s="86" t="s">
        <v>29136</v>
      </c>
      <c r="BO891" s="96" t="str">
        <f>HYPERLINK("https://twitter.com/fabriziobijottl")</f>
        <v>https://twitter.com/fabriziobijottl</v>
      </c>
      <c r="BP891" s="2"/>
    </row>
    <row r="892" spans="1:68" x14ac:dyDescent="0.25">
      <c r="A892" s="63" t="s">
        <v>999</v>
      </c>
      <c r="B892" s="64"/>
      <c r="C892" s="64"/>
      <c r="D892" s="65"/>
      <c r="E892" s="67"/>
      <c r="F892" s="111" t="str">
        <f>HYPERLINK("https://pbs.twimg.com/profile_images/1659359788092801025/ULOWs1WM_normal.jpg")</f>
        <v>https://pbs.twimg.com/profile_images/1659359788092801025/ULOWs1WM_normal.jpg</v>
      </c>
      <c r="G892" s="64"/>
      <c r="H892" s="68"/>
      <c r="I892" s="69"/>
      <c r="J892" s="69"/>
      <c r="K892" s="68" t="s">
        <v>30025</v>
      </c>
      <c r="L892" s="72"/>
      <c r="M892" s="73"/>
      <c r="N892" s="73"/>
      <c r="O892" s="74"/>
      <c r="P892" s="75"/>
      <c r="Q892" s="75"/>
      <c r="R892" s="102"/>
      <c r="S892" s="102"/>
      <c r="T892" s="102"/>
      <c r="U892" s="102"/>
      <c r="V892" s="48"/>
      <c r="W892" s="48"/>
      <c r="X892" s="48"/>
      <c r="Y892" s="48"/>
      <c r="Z892" s="47"/>
      <c r="AA892" s="70">
        <v>892</v>
      </c>
      <c r="AB892" s="70"/>
      <c r="AC892" s="71"/>
      <c r="AD892" s="86" t="s">
        <v>24502</v>
      </c>
      <c r="AE892" s="94" t="s">
        <v>25567</v>
      </c>
      <c r="AF892" s="86">
        <v>491</v>
      </c>
      <c r="AG892" s="86">
        <v>135</v>
      </c>
      <c r="AH892" s="86">
        <v>98996</v>
      </c>
      <c r="AI892" s="86">
        <v>34</v>
      </c>
      <c r="AJ892" s="86">
        <v>51078</v>
      </c>
      <c r="AK892" s="86">
        <v>3466</v>
      </c>
      <c r="AL892" s="86" t="b">
        <v>0</v>
      </c>
      <c r="AM892" s="89">
        <v>40040.981782407405</v>
      </c>
      <c r="AN892" s="86" t="s">
        <v>15256</v>
      </c>
      <c r="AO892" s="86" t="s">
        <v>27239</v>
      </c>
      <c r="AP892" s="86"/>
      <c r="AQ892" s="86"/>
      <c r="AR892" s="86"/>
      <c r="AS892" s="86"/>
      <c r="AT892" s="86"/>
      <c r="AU892" s="86"/>
      <c r="AV892" s="86">
        <v>1.6306248216450601E+18</v>
      </c>
      <c r="AW892" s="86"/>
      <c r="AX892" s="86" t="b">
        <v>0</v>
      </c>
      <c r="AY892" s="86"/>
      <c r="AZ892" s="86"/>
      <c r="BA892" s="86" t="b">
        <v>1</v>
      </c>
      <c r="BB892" s="86" t="b">
        <v>0</v>
      </c>
      <c r="BC892" s="86" t="b">
        <v>0</v>
      </c>
      <c r="BD892" s="86" t="b">
        <v>0</v>
      </c>
      <c r="BE892" s="86" t="b">
        <v>0</v>
      </c>
      <c r="BF892" s="86" t="b">
        <v>0</v>
      </c>
      <c r="BG892" s="86" t="b">
        <v>0</v>
      </c>
      <c r="BH892" s="96" t="str">
        <f>HYPERLINK("https://pbs.twimg.com/profile_banners/66002646/1653379869")</f>
        <v>https://pbs.twimg.com/profile_banners/66002646/1653379869</v>
      </c>
      <c r="BI892" s="86"/>
      <c r="BJ892" s="86" t="s">
        <v>29134</v>
      </c>
      <c r="BK892" s="86" t="b">
        <v>0</v>
      </c>
      <c r="BL892" s="86"/>
      <c r="BM892" s="86" t="s">
        <v>66</v>
      </c>
      <c r="BN892" s="86" t="s">
        <v>29136</v>
      </c>
      <c r="BO892" s="96" t="str">
        <f>HYPERLINK("https://twitter.com/anne_clm07")</f>
        <v>https://twitter.com/anne_clm07</v>
      </c>
      <c r="BP892" s="2"/>
    </row>
    <row r="893" spans="1:68" x14ac:dyDescent="0.25">
      <c r="A893" s="63" t="s">
        <v>1000</v>
      </c>
      <c r="B893" s="64"/>
      <c r="C893" s="64"/>
      <c r="D893" s="65"/>
      <c r="E893" s="67"/>
      <c r="F893" s="111" t="str">
        <f>HYPERLINK("https://pbs.twimg.com/profile_images/1690718452179238912/QuleIY27_normal.jpg")</f>
        <v>https://pbs.twimg.com/profile_images/1690718452179238912/QuleIY27_normal.jpg</v>
      </c>
      <c r="G893" s="64"/>
      <c r="H893" s="68"/>
      <c r="I893" s="69"/>
      <c r="J893" s="69"/>
      <c r="K893" s="68" t="s">
        <v>30026</v>
      </c>
      <c r="L893" s="72"/>
      <c r="M893" s="73"/>
      <c r="N893" s="73"/>
      <c r="O893" s="74"/>
      <c r="P893" s="75"/>
      <c r="Q893" s="75"/>
      <c r="R893" s="102"/>
      <c r="S893" s="102"/>
      <c r="T893" s="102"/>
      <c r="U893" s="102"/>
      <c r="V893" s="48"/>
      <c r="W893" s="48"/>
      <c r="X893" s="48"/>
      <c r="Y893" s="48"/>
      <c r="Z893" s="47"/>
      <c r="AA893" s="70">
        <v>893</v>
      </c>
      <c r="AB893" s="70"/>
      <c r="AC893" s="71"/>
      <c r="AD893" s="86" t="s">
        <v>24503</v>
      </c>
      <c r="AE893" s="94" t="s">
        <v>23235</v>
      </c>
      <c r="AF893" s="86">
        <v>2</v>
      </c>
      <c r="AG893" s="86">
        <v>28</v>
      </c>
      <c r="AH893" s="86">
        <v>11</v>
      </c>
      <c r="AI893" s="86">
        <v>0</v>
      </c>
      <c r="AJ893" s="86">
        <v>7</v>
      </c>
      <c r="AK893" s="86">
        <v>11</v>
      </c>
      <c r="AL893" s="86" t="b">
        <v>0</v>
      </c>
      <c r="AM893" s="89">
        <v>44953.567013888889</v>
      </c>
      <c r="AN893" s="86"/>
      <c r="AO893" s="86" t="s">
        <v>27240</v>
      </c>
      <c r="AP893" s="96" t="str">
        <f>HYPERLINK("https://t.co/igGc5fGpba")</f>
        <v>https://t.co/igGc5fGpba</v>
      </c>
      <c r="AQ893" s="96" t="str">
        <f>HYPERLINK("https://bio.site/RafaelaVenancio_metodo_GDC")</f>
        <v>https://bio.site/RafaelaVenancio_metodo_GDC</v>
      </c>
      <c r="AR893" s="86" t="s">
        <v>28505</v>
      </c>
      <c r="AS893" s="86"/>
      <c r="AT893" s="86"/>
      <c r="AU893" s="86"/>
      <c r="AV893" s="86"/>
      <c r="AW893" s="96" t="str">
        <f>HYPERLINK("https://t.co/igGc5fGpba")</f>
        <v>https://t.co/igGc5fGpba</v>
      </c>
      <c r="AX893" s="86" t="b">
        <v>0</v>
      </c>
      <c r="AY893" s="86"/>
      <c r="AZ893" s="86"/>
      <c r="BA893" s="86" t="b">
        <v>0</v>
      </c>
      <c r="BB893" s="86" t="b">
        <v>0</v>
      </c>
      <c r="BC893" s="86" t="b">
        <v>1</v>
      </c>
      <c r="BD893" s="86" t="b">
        <v>0</v>
      </c>
      <c r="BE893" s="86" t="b">
        <v>0</v>
      </c>
      <c r="BF893" s="86" t="b">
        <v>0</v>
      </c>
      <c r="BG893" s="86" t="b">
        <v>0</v>
      </c>
      <c r="BH893" s="96" t="str">
        <f>HYPERLINK("https://pbs.twimg.com/profile_banners/1618966106152046601/1691933666")</f>
        <v>https://pbs.twimg.com/profile_banners/1618966106152046601/1691933666</v>
      </c>
      <c r="BI893" s="86"/>
      <c r="BJ893" s="86" t="s">
        <v>29134</v>
      </c>
      <c r="BK893" s="86" t="b">
        <v>0</v>
      </c>
      <c r="BL893" s="86"/>
      <c r="BM893" s="86" t="s">
        <v>66</v>
      </c>
      <c r="BN893" s="86" t="s">
        <v>29136</v>
      </c>
      <c r="BO893" s="96" t="str">
        <f>HYPERLINK("https://twitter.com/brainbriliant")</f>
        <v>https://twitter.com/brainbriliant</v>
      </c>
      <c r="BP893" s="2"/>
    </row>
    <row r="894" spans="1:68" x14ac:dyDescent="0.25">
      <c r="A894" s="63" t="s">
        <v>1001</v>
      </c>
      <c r="B894" s="64"/>
      <c r="C894" s="64"/>
      <c r="D894" s="65"/>
      <c r="E894" s="67"/>
      <c r="F894" s="111" t="str">
        <f>HYPERLINK("https://pbs.twimg.com/profile_images/1589617112787599363/sWsY14-J_normal.jpg")</f>
        <v>https://pbs.twimg.com/profile_images/1589617112787599363/sWsY14-J_normal.jpg</v>
      </c>
      <c r="G894" s="64"/>
      <c r="H894" s="68"/>
      <c r="I894" s="69"/>
      <c r="J894" s="69"/>
      <c r="K894" s="68" t="s">
        <v>30027</v>
      </c>
      <c r="L894" s="72"/>
      <c r="M894" s="73"/>
      <c r="N894" s="73"/>
      <c r="O894" s="74"/>
      <c r="P894" s="75"/>
      <c r="Q894" s="75"/>
      <c r="R894" s="102"/>
      <c r="S894" s="102"/>
      <c r="T894" s="102"/>
      <c r="U894" s="102"/>
      <c r="V894" s="48"/>
      <c r="W894" s="48"/>
      <c r="X894" s="48"/>
      <c r="Y894" s="48"/>
      <c r="Z894" s="47"/>
      <c r="AA894" s="70">
        <v>894</v>
      </c>
      <c r="AB894" s="70"/>
      <c r="AC894" s="71"/>
      <c r="AD894" s="86" t="s">
        <v>24504</v>
      </c>
      <c r="AE894" s="94" t="s">
        <v>22602</v>
      </c>
      <c r="AF894" s="86">
        <v>370</v>
      </c>
      <c r="AG894" s="86">
        <v>552</v>
      </c>
      <c r="AH894" s="86">
        <v>869</v>
      </c>
      <c r="AI894" s="86">
        <v>4</v>
      </c>
      <c r="AJ894" s="86">
        <v>537</v>
      </c>
      <c r="AK894" s="86">
        <v>451</v>
      </c>
      <c r="AL894" s="86" t="b">
        <v>0</v>
      </c>
      <c r="AM894" s="89">
        <v>43005.543564814812</v>
      </c>
      <c r="AN894" s="86"/>
      <c r="AO894" s="86" t="s">
        <v>27241</v>
      </c>
      <c r="AP894" s="86"/>
      <c r="AQ894" s="86"/>
      <c r="AR894" s="86"/>
      <c r="AS894" s="86"/>
      <c r="AT894" s="86"/>
      <c r="AU894" s="86"/>
      <c r="AV894" s="86">
        <v>1.6588625379688499E+18</v>
      </c>
      <c r="AW894" s="86"/>
      <c r="AX894" s="86" t="b">
        <v>0</v>
      </c>
      <c r="AY894" s="86"/>
      <c r="AZ894" s="86"/>
      <c r="BA894" s="86" t="b">
        <v>0</v>
      </c>
      <c r="BB894" s="86" t="b">
        <v>1</v>
      </c>
      <c r="BC894" s="86" t="b">
        <v>1</v>
      </c>
      <c r="BD894" s="86" t="b">
        <v>0</v>
      </c>
      <c r="BE894" s="86" t="b">
        <v>1</v>
      </c>
      <c r="BF894" s="86" t="b">
        <v>0</v>
      </c>
      <c r="BG894" s="86" t="b">
        <v>0</v>
      </c>
      <c r="BH894" s="96" t="str">
        <f>HYPERLINK("https://pbs.twimg.com/profile_banners/913026117262602240/1685463368")</f>
        <v>https://pbs.twimg.com/profile_banners/913026117262602240/1685463368</v>
      </c>
      <c r="BI894" s="86"/>
      <c r="BJ894" s="86" t="s">
        <v>29134</v>
      </c>
      <c r="BK894" s="86" t="b">
        <v>0</v>
      </c>
      <c r="BL894" s="86"/>
      <c r="BM894" s="86" t="s">
        <v>66</v>
      </c>
      <c r="BN894" s="86" t="s">
        <v>29136</v>
      </c>
      <c r="BO894" s="96" t="str">
        <f>HYPERLINK("https://twitter.com/fapesq_pb")</f>
        <v>https://twitter.com/fapesq_pb</v>
      </c>
      <c r="BP894" s="2"/>
    </row>
    <row r="895" spans="1:68" x14ac:dyDescent="0.25">
      <c r="A895" s="63" t="s">
        <v>1002</v>
      </c>
      <c r="B895" s="64"/>
      <c r="C895" s="64"/>
      <c r="D895" s="65"/>
      <c r="E895" s="67"/>
      <c r="F895" s="111" t="str">
        <f>HYPERLINK("https://pbs.twimg.com/profile_images/1541167066568351744/YR1xaL_I_normal.jpg")</f>
        <v>https://pbs.twimg.com/profile_images/1541167066568351744/YR1xaL_I_normal.jpg</v>
      </c>
      <c r="G895" s="64"/>
      <c r="H895" s="68"/>
      <c r="I895" s="69"/>
      <c r="J895" s="69"/>
      <c r="K895" s="68" t="s">
        <v>30028</v>
      </c>
      <c r="L895" s="72"/>
      <c r="M895" s="73"/>
      <c r="N895" s="73"/>
      <c r="O895" s="74"/>
      <c r="P895" s="75"/>
      <c r="Q895" s="75"/>
      <c r="R895" s="102"/>
      <c r="S895" s="102"/>
      <c r="T895" s="102"/>
      <c r="U895" s="102"/>
      <c r="V895" s="48"/>
      <c r="W895" s="48"/>
      <c r="X895" s="48"/>
      <c r="Y895" s="48"/>
      <c r="Z895" s="47"/>
      <c r="AA895" s="70">
        <v>895</v>
      </c>
      <c r="AB895" s="70"/>
      <c r="AC895" s="71"/>
      <c r="AD895" s="86" t="s">
        <v>24505</v>
      </c>
      <c r="AE895" s="94" t="s">
        <v>25568</v>
      </c>
      <c r="AF895" s="86">
        <v>348</v>
      </c>
      <c r="AG895" s="86">
        <v>638</v>
      </c>
      <c r="AH895" s="86">
        <v>443</v>
      </c>
      <c r="AI895" s="86">
        <v>0</v>
      </c>
      <c r="AJ895" s="86">
        <v>593</v>
      </c>
      <c r="AK895" s="86">
        <v>211</v>
      </c>
      <c r="AL895" s="86" t="b">
        <v>0</v>
      </c>
      <c r="AM895" s="89">
        <v>41191.010393518518</v>
      </c>
      <c r="AN895" s="86" t="s">
        <v>26208</v>
      </c>
      <c r="AO895" s="86" t="s">
        <v>27242</v>
      </c>
      <c r="AP895" s="86"/>
      <c r="AQ895" s="86"/>
      <c r="AR895" s="86"/>
      <c r="AS895" s="86"/>
      <c r="AT895" s="86"/>
      <c r="AU895" s="86"/>
      <c r="AV895" s="86"/>
      <c r="AW895" s="86"/>
      <c r="AX895" s="86" t="b">
        <v>0</v>
      </c>
      <c r="AY895" s="86"/>
      <c r="AZ895" s="86"/>
      <c r="BA895" s="86" t="b">
        <v>0</v>
      </c>
      <c r="BB895" s="86" t="b">
        <v>1</v>
      </c>
      <c r="BC895" s="86" t="b">
        <v>0</v>
      </c>
      <c r="BD895" s="86" t="b">
        <v>0</v>
      </c>
      <c r="BE895" s="86" t="b">
        <v>0</v>
      </c>
      <c r="BF895" s="86" t="b">
        <v>0</v>
      </c>
      <c r="BG895" s="86" t="b">
        <v>0</v>
      </c>
      <c r="BH895" s="96" t="str">
        <f>HYPERLINK("https://pbs.twimg.com/profile_banners/868918448/1684724088")</f>
        <v>https://pbs.twimg.com/profile_banners/868918448/1684724088</v>
      </c>
      <c r="BI895" s="86"/>
      <c r="BJ895" s="86" t="s">
        <v>29134</v>
      </c>
      <c r="BK895" s="86" t="b">
        <v>0</v>
      </c>
      <c r="BL895" s="86"/>
      <c r="BM895" s="86" t="s">
        <v>66</v>
      </c>
      <c r="BN895" s="86" t="s">
        <v>29136</v>
      </c>
      <c r="BO895" s="96" t="str">
        <f>HYPERLINK("https://twitter.com/carbiowaqued")</f>
        <v>https://twitter.com/carbiowaqued</v>
      </c>
      <c r="BP895" s="2"/>
    </row>
    <row r="896" spans="1:68" x14ac:dyDescent="0.25">
      <c r="A896" s="63" t="s">
        <v>1003</v>
      </c>
      <c r="B896" s="64"/>
      <c r="C896" s="64"/>
      <c r="D896" s="65"/>
      <c r="E896" s="67"/>
      <c r="F896" s="111" t="str">
        <f>HYPERLINK("https://pbs.twimg.com/profile_images/1507909616205717506/PyRT246H_normal.jpg")</f>
        <v>https://pbs.twimg.com/profile_images/1507909616205717506/PyRT246H_normal.jpg</v>
      </c>
      <c r="G896" s="64"/>
      <c r="H896" s="68"/>
      <c r="I896" s="69"/>
      <c r="J896" s="69"/>
      <c r="K896" s="68" t="s">
        <v>30029</v>
      </c>
      <c r="L896" s="72"/>
      <c r="M896" s="73"/>
      <c r="N896" s="73"/>
      <c r="O896" s="74"/>
      <c r="P896" s="75"/>
      <c r="Q896" s="75"/>
      <c r="R896" s="102"/>
      <c r="S896" s="102"/>
      <c r="T896" s="102"/>
      <c r="U896" s="102"/>
      <c r="V896" s="48"/>
      <c r="W896" s="48"/>
      <c r="X896" s="48"/>
      <c r="Y896" s="48"/>
      <c r="Z896" s="47"/>
      <c r="AA896" s="70">
        <v>896</v>
      </c>
      <c r="AB896" s="70"/>
      <c r="AC896" s="71"/>
      <c r="AD896" s="86" t="s">
        <v>24506</v>
      </c>
      <c r="AE896" s="94" t="s">
        <v>22603</v>
      </c>
      <c r="AF896" s="86">
        <v>617</v>
      </c>
      <c r="AG896" s="86">
        <v>128</v>
      </c>
      <c r="AH896" s="86">
        <v>10323</v>
      </c>
      <c r="AI896" s="86">
        <v>0</v>
      </c>
      <c r="AJ896" s="86">
        <v>19720</v>
      </c>
      <c r="AK896" s="86">
        <v>2039</v>
      </c>
      <c r="AL896" s="86" t="b">
        <v>0</v>
      </c>
      <c r="AM896" s="89">
        <v>40223.158159722225</v>
      </c>
      <c r="AN896" s="86"/>
      <c r="AO896" s="86" t="s">
        <v>27243</v>
      </c>
      <c r="AP896" s="86"/>
      <c r="AQ896" s="86"/>
      <c r="AR896" s="86"/>
      <c r="AS896" s="86"/>
      <c r="AT896" s="86"/>
      <c r="AU896" s="86"/>
      <c r="AV896" s="86"/>
      <c r="AW896" s="86"/>
      <c r="AX896" s="86" t="b">
        <v>0</v>
      </c>
      <c r="AY896" s="86"/>
      <c r="AZ896" s="86"/>
      <c r="BA896" s="86" t="b">
        <v>1</v>
      </c>
      <c r="BB896" s="86" t="b">
        <v>1</v>
      </c>
      <c r="BC896" s="86" t="b">
        <v>1</v>
      </c>
      <c r="BD896" s="86" t="b">
        <v>0</v>
      </c>
      <c r="BE896" s="86" t="b">
        <v>1</v>
      </c>
      <c r="BF896" s="86" t="b">
        <v>0</v>
      </c>
      <c r="BG896" s="86" t="b">
        <v>0</v>
      </c>
      <c r="BH896" s="96" t="str">
        <f>HYPERLINK("https://pbs.twimg.com/profile_banners/114096078/1596115241")</f>
        <v>https://pbs.twimg.com/profile_banners/114096078/1596115241</v>
      </c>
      <c r="BI896" s="86"/>
      <c r="BJ896" s="86" t="s">
        <v>29134</v>
      </c>
      <c r="BK896" s="86" t="b">
        <v>0</v>
      </c>
      <c r="BL896" s="86"/>
      <c r="BM896" s="86" t="s">
        <v>66</v>
      </c>
      <c r="BN896" s="86" t="s">
        <v>29136</v>
      </c>
      <c r="BO896" s="96" t="str">
        <f>HYPERLINK("https://twitter.com/ricardobaratela")</f>
        <v>https://twitter.com/ricardobaratela</v>
      </c>
      <c r="BP896" s="2"/>
    </row>
    <row r="897" spans="1:68" x14ac:dyDescent="0.25">
      <c r="A897" s="63" t="s">
        <v>1004</v>
      </c>
      <c r="B897" s="64"/>
      <c r="C897" s="64"/>
      <c r="D897" s="65"/>
      <c r="E897" s="67"/>
      <c r="F897" s="111" t="str">
        <f>HYPERLINK("https://pbs.twimg.com/profile_images/1615040671328370690/yprVmVi__normal.jpg")</f>
        <v>https://pbs.twimg.com/profile_images/1615040671328370690/yprVmVi__normal.jpg</v>
      </c>
      <c r="G897" s="64"/>
      <c r="H897" s="68"/>
      <c r="I897" s="69"/>
      <c r="J897" s="69"/>
      <c r="K897" s="68" t="s">
        <v>30030</v>
      </c>
      <c r="L897" s="72"/>
      <c r="M897" s="73"/>
      <c r="N897" s="73"/>
      <c r="O897" s="74"/>
      <c r="P897" s="75"/>
      <c r="Q897" s="75"/>
      <c r="R897" s="102"/>
      <c r="S897" s="102"/>
      <c r="T897" s="102"/>
      <c r="U897" s="102"/>
      <c r="V897" s="48"/>
      <c r="W897" s="48"/>
      <c r="X897" s="48"/>
      <c r="Y897" s="48"/>
      <c r="Z897" s="47"/>
      <c r="AA897" s="70">
        <v>897</v>
      </c>
      <c r="AB897" s="70"/>
      <c r="AC897" s="71"/>
      <c r="AD897" s="86" t="s">
        <v>24507</v>
      </c>
      <c r="AE897" s="94" t="s">
        <v>23236</v>
      </c>
      <c r="AF897" s="86">
        <v>1</v>
      </c>
      <c r="AG897" s="86">
        <v>20</v>
      </c>
      <c r="AH897" s="86">
        <v>25</v>
      </c>
      <c r="AI897" s="86">
        <v>0</v>
      </c>
      <c r="AJ897" s="86">
        <v>0</v>
      </c>
      <c r="AK897" s="86">
        <v>24</v>
      </c>
      <c r="AL897" s="86" t="b">
        <v>0</v>
      </c>
      <c r="AM897" s="89">
        <v>44942.733391203707</v>
      </c>
      <c r="AN897" s="86"/>
      <c r="AO897" s="86" t="s">
        <v>27244</v>
      </c>
      <c r="AP897" s="86"/>
      <c r="AQ897" s="86"/>
      <c r="AR897" s="86"/>
      <c r="AS897" s="86"/>
      <c r="AT897" s="86"/>
      <c r="AU897" s="86"/>
      <c r="AV897" s="86"/>
      <c r="AW897" s="86"/>
      <c r="AX897" s="86" t="b">
        <v>0</v>
      </c>
      <c r="AY897" s="86"/>
      <c r="AZ897" s="86"/>
      <c r="BA897" s="86" t="b">
        <v>0</v>
      </c>
      <c r="BB897" s="86" t="b">
        <v>1</v>
      </c>
      <c r="BC897" s="86" t="b">
        <v>1</v>
      </c>
      <c r="BD897" s="86" t="b">
        <v>0</v>
      </c>
      <c r="BE897" s="86" t="b">
        <v>0</v>
      </c>
      <c r="BF897" s="86" t="b">
        <v>0</v>
      </c>
      <c r="BG897" s="86" t="b">
        <v>0</v>
      </c>
      <c r="BH897" s="96" t="str">
        <f>HYPERLINK("https://pbs.twimg.com/profile_banners/1615040084343984128/1673891178")</f>
        <v>https://pbs.twimg.com/profile_banners/1615040084343984128/1673891178</v>
      </c>
      <c r="BI897" s="86"/>
      <c r="BJ897" s="86" t="s">
        <v>29134</v>
      </c>
      <c r="BK897" s="86" t="b">
        <v>0</v>
      </c>
      <c r="BL897" s="86"/>
      <c r="BM897" s="86" t="s">
        <v>66</v>
      </c>
      <c r="BN897" s="86" t="s">
        <v>29136</v>
      </c>
      <c r="BO897" s="96" t="str">
        <f>HYPERLINK("https://twitter.com/cristian_huff")</f>
        <v>https://twitter.com/cristian_huff</v>
      </c>
      <c r="BP897" s="2"/>
    </row>
    <row r="898" spans="1:68" x14ac:dyDescent="0.25">
      <c r="A898" s="63" t="s">
        <v>1005</v>
      </c>
      <c r="B898" s="64"/>
      <c r="C898" s="64"/>
      <c r="D898" s="65"/>
      <c r="E898" s="67"/>
      <c r="F898" s="111" t="str">
        <f>HYPERLINK("https://pbs.twimg.com/profile_images/1578052798301831171/hoVgJWI__normal.jpg")</f>
        <v>https://pbs.twimg.com/profile_images/1578052798301831171/hoVgJWI__normal.jpg</v>
      </c>
      <c r="G898" s="64"/>
      <c r="H898" s="68"/>
      <c r="I898" s="69"/>
      <c r="J898" s="69"/>
      <c r="K898" s="68" t="s">
        <v>30031</v>
      </c>
      <c r="L898" s="72"/>
      <c r="M898" s="73"/>
      <c r="N898" s="73"/>
      <c r="O898" s="74"/>
      <c r="P898" s="75"/>
      <c r="Q898" s="75"/>
      <c r="R898" s="102"/>
      <c r="S898" s="102"/>
      <c r="T898" s="102"/>
      <c r="U898" s="102"/>
      <c r="V898" s="48"/>
      <c r="W898" s="48"/>
      <c r="X898" s="48"/>
      <c r="Y898" s="48"/>
      <c r="Z898" s="47"/>
      <c r="AA898" s="70">
        <v>898</v>
      </c>
      <c r="AB898" s="70"/>
      <c r="AC898" s="71"/>
      <c r="AD898" s="86" t="s">
        <v>24508</v>
      </c>
      <c r="AE898" s="94" t="s">
        <v>23237</v>
      </c>
      <c r="AF898" s="86">
        <v>255</v>
      </c>
      <c r="AG898" s="86">
        <v>6</v>
      </c>
      <c r="AH898" s="86">
        <v>104</v>
      </c>
      <c r="AI898" s="86">
        <v>0</v>
      </c>
      <c r="AJ898" s="86">
        <v>9</v>
      </c>
      <c r="AK898" s="86">
        <v>72</v>
      </c>
      <c r="AL898" s="86" t="b">
        <v>0</v>
      </c>
      <c r="AM898" s="89">
        <v>44840.662418981483</v>
      </c>
      <c r="AN898" s="86"/>
      <c r="AO898" s="86"/>
      <c r="AP898" s="86"/>
      <c r="AQ898" s="86"/>
      <c r="AR898" s="86"/>
      <c r="AS898" s="86"/>
      <c r="AT898" s="86"/>
      <c r="AU898" s="86"/>
      <c r="AV898" s="86">
        <v>1.5980518584002801E+18</v>
      </c>
      <c r="AW898" s="86"/>
      <c r="AX898" s="86" t="b">
        <v>0</v>
      </c>
      <c r="AY898" s="86"/>
      <c r="AZ898" s="86"/>
      <c r="BA898" s="86" t="b">
        <v>0</v>
      </c>
      <c r="BB898" s="86" t="b">
        <v>1</v>
      </c>
      <c r="BC898" s="86" t="b">
        <v>1</v>
      </c>
      <c r="BD898" s="86" t="b">
        <v>0</v>
      </c>
      <c r="BE898" s="86" t="b">
        <v>0</v>
      </c>
      <c r="BF898" s="86" t="b">
        <v>0</v>
      </c>
      <c r="BG898" s="86" t="b">
        <v>0</v>
      </c>
      <c r="BH898" s="86"/>
      <c r="BI898" s="86"/>
      <c r="BJ898" s="86" t="s">
        <v>29134</v>
      </c>
      <c r="BK898" s="86" t="b">
        <v>0</v>
      </c>
      <c r="BL898" s="86"/>
      <c r="BM898" s="86" t="s">
        <v>66</v>
      </c>
      <c r="BN898" s="86" t="s">
        <v>29136</v>
      </c>
      <c r="BO898" s="96" t="str">
        <f>HYPERLINK("https://twitter.com/dattabusiness")</f>
        <v>https://twitter.com/dattabusiness</v>
      </c>
      <c r="BP898" s="2"/>
    </row>
    <row r="899" spans="1:68" x14ac:dyDescent="0.25">
      <c r="A899" s="63" t="s">
        <v>1006</v>
      </c>
      <c r="B899" s="64"/>
      <c r="C899" s="64"/>
      <c r="D899" s="65"/>
      <c r="E899" s="67"/>
      <c r="F899" s="111" t="str">
        <f>HYPERLINK("https://pbs.twimg.com/profile_images/1684967672918810627/AWY7MKCc_normal.jpg")</f>
        <v>https://pbs.twimg.com/profile_images/1684967672918810627/AWY7MKCc_normal.jpg</v>
      </c>
      <c r="G899" s="64"/>
      <c r="H899" s="68"/>
      <c r="I899" s="69"/>
      <c r="J899" s="69"/>
      <c r="K899" s="68" t="s">
        <v>30032</v>
      </c>
      <c r="L899" s="72"/>
      <c r="M899" s="73"/>
      <c r="N899" s="73"/>
      <c r="O899" s="74"/>
      <c r="P899" s="75"/>
      <c r="Q899" s="75"/>
      <c r="R899" s="102"/>
      <c r="S899" s="102"/>
      <c r="T899" s="102"/>
      <c r="U899" s="102"/>
      <c r="V899" s="48"/>
      <c r="W899" s="48"/>
      <c r="X899" s="48"/>
      <c r="Y899" s="48"/>
      <c r="Z899" s="47"/>
      <c r="AA899" s="70">
        <v>899</v>
      </c>
      <c r="AB899" s="70"/>
      <c r="AC899" s="71"/>
      <c r="AD899" s="86" t="s">
        <v>24509</v>
      </c>
      <c r="AE899" s="94" t="s">
        <v>23238</v>
      </c>
      <c r="AF899" s="86">
        <v>1</v>
      </c>
      <c r="AG899" s="86">
        <v>17</v>
      </c>
      <c r="AH899" s="86">
        <v>104</v>
      </c>
      <c r="AI899" s="86">
        <v>0</v>
      </c>
      <c r="AJ899" s="86">
        <v>0</v>
      </c>
      <c r="AK899" s="86">
        <v>104</v>
      </c>
      <c r="AL899" s="86" t="b">
        <v>0</v>
      </c>
      <c r="AM899" s="89">
        <v>44685.587326388886</v>
      </c>
      <c r="AN899" s="86"/>
      <c r="AO899" s="86" t="s">
        <v>27245</v>
      </c>
      <c r="AP899" s="86"/>
      <c r="AQ899" s="86"/>
      <c r="AR899" s="86"/>
      <c r="AS899" s="86"/>
      <c r="AT899" s="86"/>
      <c r="AU899" s="86"/>
      <c r="AV899" s="86"/>
      <c r="AW899" s="86"/>
      <c r="AX899" s="86" t="b">
        <v>0</v>
      </c>
      <c r="AY899" s="86"/>
      <c r="AZ899" s="86"/>
      <c r="BA899" s="86" t="b">
        <v>0</v>
      </c>
      <c r="BB899" s="86" t="b">
        <v>1</v>
      </c>
      <c r="BC899" s="86" t="b">
        <v>1</v>
      </c>
      <c r="BD899" s="86" t="b">
        <v>0</v>
      </c>
      <c r="BE899" s="86" t="b">
        <v>0</v>
      </c>
      <c r="BF899" s="86" t="b">
        <v>0</v>
      </c>
      <c r="BG899" s="86" t="b">
        <v>0</v>
      </c>
      <c r="BH899" s="96" t="str">
        <f>HYPERLINK("https://pbs.twimg.com/profile_banners/1521853542646095877/1690562584")</f>
        <v>https://pbs.twimg.com/profile_banners/1521853542646095877/1690562584</v>
      </c>
      <c r="BI899" s="86"/>
      <c r="BJ899" s="86" t="s">
        <v>29134</v>
      </c>
      <c r="BK899" s="86" t="b">
        <v>0</v>
      </c>
      <c r="BL899" s="86"/>
      <c r="BM899" s="86" t="s">
        <v>66</v>
      </c>
      <c r="BN899" s="86" t="s">
        <v>29136</v>
      </c>
      <c r="BO899" s="96" t="str">
        <f>HYPERLINK("https://twitter.com/jorginhoemonica")</f>
        <v>https://twitter.com/jorginhoemonica</v>
      </c>
      <c r="BP899" s="2"/>
    </row>
    <row r="900" spans="1:68" x14ac:dyDescent="0.25">
      <c r="A900" s="63" t="s">
        <v>1007</v>
      </c>
      <c r="B900" s="64"/>
      <c r="C900" s="64"/>
      <c r="D900" s="65"/>
      <c r="E900" s="67"/>
      <c r="F900" s="111" t="str">
        <f>HYPERLINK("https://pbs.twimg.com/profile_images/1570708750721236992/rdxtcuzC_normal.jpg")</f>
        <v>https://pbs.twimg.com/profile_images/1570708750721236992/rdxtcuzC_normal.jpg</v>
      </c>
      <c r="G900" s="64"/>
      <c r="H900" s="68"/>
      <c r="I900" s="69"/>
      <c r="J900" s="69"/>
      <c r="K900" s="68" t="s">
        <v>30033</v>
      </c>
      <c r="L900" s="72"/>
      <c r="M900" s="73"/>
      <c r="N900" s="73"/>
      <c r="O900" s="74"/>
      <c r="P900" s="75"/>
      <c r="Q900" s="75"/>
      <c r="R900" s="102"/>
      <c r="S900" s="102"/>
      <c r="T900" s="102"/>
      <c r="U900" s="102"/>
      <c r="V900" s="48"/>
      <c r="W900" s="48"/>
      <c r="X900" s="48"/>
      <c r="Y900" s="48"/>
      <c r="Z900" s="47"/>
      <c r="AA900" s="70">
        <v>900</v>
      </c>
      <c r="AB900" s="70"/>
      <c r="AC900" s="71"/>
      <c r="AD900" s="86" t="s">
        <v>24510</v>
      </c>
      <c r="AE900" s="94" t="s">
        <v>23239</v>
      </c>
      <c r="AF900" s="86">
        <v>0</v>
      </c>
      <c r="AG900" s="86">
        <v>18</v>
      </c>
      <c r="AH900" s="86">
        <v>37</v>
      </c>
      <c r="AI900" s="86">
        <v>0</v>
      </c>
      <c r="AJ900" s="86">
        <v>13</v>
      </c>
      <c r="AK900" s="86">
        <v>9</v>
      </c>
      <c r="AL900" s="86" t="b">
        <v>0</v>
      </c>
      <c r="AM900" s="89">
        <v>44820.400775462964</v>
      </c>
      <c r="AN900" s="86" t="s">
        <v>26012</v>
      </c>
      <c r="AO900" s="86" t="s">
        <v>27246</v>
      </c>
      <c r="AP900" s="86"/>
      <c r="AQ900" s="86"/>
      <c r="AR900" s="86"/>
      <c r="AS900" s="86"/>
      <c r="AT900" s="86"/>
      <c r="AU900" s="86"/>
      <c r="AV900" s="86"/>
      <c r="AW900" s="86"/>
      <c r="AX900" s="86" t="b">
        <v>0</v>
      </c>
      <c r="AY900" s="86"/>
      <c r="AZ900" s="86"/>
      <c r="BA900" s="86" t="b">
        <v>1</v>
      </c>
      <c r="BB900" s="86" t="b">
        <v>1</v>
      </c>
      <c r="BC900" s="86" t="b">
        <v>1</v>
      </c>
      <c r="BD900" s="86" t="b">
        <v>0</v>
      </c>
      <c r="BE900" s="86" t="b">
        <v>0</v>
      </c>
      <c r="BF900" s="86" t="b">
        <v>0</v>
      </c>
      <c r="BG900" s="86" t="b">
        <v>0</v>
      </c>
      <c r="BH900" s="96" t="str">
        <f>HYPERLINK("https://pbs.twimg.com/profile_banners/1570708190177771521/1665576290")</f>
        <v>https://pbs.twimg.com/profile_banners/1570708190177771521/1665576290</v>
      </c>
      <c r="BI900" s="86"/>
      <c r="BJ900" s="86" t="s">
        <v>29134</v>
      </c>
      <c r="BK900" s="86" t="b">
        <v>0</v>
      </c>
      <c r="BL900" s="86"/>
      <c r="BM900" s="86" t="s">
        <v>66</v>
      </c>
      <c r="BN900" s="86" t="s">
        <v>29136</v>
      </c>
      <c r="BO900" s="96" t="str">
        <f>HYPERLINK("https://twitter.com/domingostsucane")</f>
        <v>https://twitter.com/domingostsucane</v>
      </c>
      <c r="BP900" s="2"/>
    </row>
    <row r="901" spans="1:68" x14ac:dyDescent="0.25">
      <c r="A901" s="63" t="s">
        <v>1008</v>
      </c>
      <c r="B901" s="64"/>
      <c r="C901" s="64"/>
      <c r="D901" s="65"/>
      <c r="E901" s="67"/>
      <c r="F901" s="111" t="str">
        <f>HYPERLINK("https://pbs.twimg.com/profile_images/1628548152432156674/XRNBRpaz_normal.jpg")</f>
        <v>https://pbs.twimg.com/profile_images/1628548152432156674/XRNBRpaz_normal.jpg</v>
      </c>
      <c r="G901" s="64"/>
      <c r="H901" s="68"/>
      <c r="I901" s="69"/>
      <c r="J901" s="69"/>
      <c r="K901" s="68" t="s">
        <v>30034</v>
      </c>
      <c r="L901" s="72"/>
      <c r="M901" s="73"/>
      <c r="N901" s="73"/>
      <c r="O901" s="74"/>
      <c r="P901" s="75"/>
      <c r="Q901" s="75"/>
      <c r="R901" s="102"/>
      <c r="S901" s="102"/>
      <c r="T901" s="102"/>
      <c r="U901" s="102"/>
      <c r="V901" s="48"/>
      <c r="W901" s="48"/>
      <c r="X901" s="48"/>
      <c r="Y901" s="48"/>
      <c r="Z901" s="47"/>
      <c r="AA901" s="70">
        <v>901</v>
      </c>
      <c r="AB901" s="70"/>
      <c r="AC901" s="71"/>
      <c r="AD901" s="86" t="s">
        <v>24511</v>
      </c>
      <c r="AE901" s="94" t="s">
        <v>25569</v>
      </c>
      <c r="AF901" s="86">
        <v>35</v>
      </c>
      <c r="AG901" s="86">
        <v>76</v>
      </c>
      <c r="AH901" s="86">
        <v>1186</v>
      </c>
      <c r="AI901" s="86">
        <v>0</v>
      </c>
      <c r="AJ901" s="86">
        <v>611</v>
      </c>
      <c r="AK901" s="86">
        <v>73</v>
      </c>
      <c r="AL901" s="86" t="b">
        <v>0</v>
      </c>
      <c r="AM901" s="89">
        <v>42416.932939814818</v>
      </c>
      <c r="AN901" s="86" t="s">
        <v>15246</v>
      </c>
      <c r="AO901" s="86" t="s">
        <v>27247</v>
      </c>
      <c r="AP901" s="96" t="str">
        <f>HYPERLINK("https://t.co/ChoTMgo4FV")</f>
        <v>https://t.co/ChoTMgo4FV</v>
      </c>
      <c r="AQ901" s="96" t="str">
        <f>HYPERLINK("http://youtube.com/@talkthor")</f>
        <v>http://youtube.com/@talkthor</v>
      </c>
      <c r="AR901" s="86" t="s">
        <v>28506</v>
      </c>
      <c r="AS901" s="86"/>
      <c r="AT901" s="86"/>
      <c r="AU901" s="86"/>
      <c r="AV901" s="86"/>
      <c r="AW901" s="96" t="str">
        <f>HYPERLINK("https://t.co/ChoTMgo4FV")</f>
        <v>https://t.co/ChoTMgo4FV</v>
      </c>
      <c r="AX901" s="86" t="b">
        <v>0</v>
      </c>
      <c r="AY901" s="86"/>
      <c r="AZ901" s="86"/>
      <c r="BA901" s="86" t="b">
        <v>1</v>
      </c>
      <c r="BB901" s="86" t="b">
        <v>0</v>
      </c>
      <c r="BC901" s="86" t="b">
        <v>1</v>
      </c>
      <c r="BD901" s="86" t="b">
        <v>0</v>
      </c>
      <c r="BE901" s="86" t="b">
        <v>1</v>
      </c>
      <c r="BF901" s="86" t="b">
        <v>0</v>
      </c>
      <c r="BG901" s="86" t="b">
        <v>1</v>
      </c>
      <c r="BH901" s="96" t="str">
        <f>HYPERLINK("https://pbs.twimg.com/profile_banners/4921210803/1677111112")</f>
        <v>https://pbs.twimg.com/profile_banners/4921210803/1677111112</v>
      </c>
      <c r="BI901" s="86"/>
      <c r="BJ901" s="86" t="s">
        <v>29134</v>
      </c>
      <c r="BK901" s="86" t="b">
        <v>0</v>
      </c>
      <c r="BL901" s="86"/>
      <c r="BM901" s="86" t="s">
        <v>66</v>
      </c>
      <c r="BN901" s="86" t="s">
        <v>29136</v>
      </c>
      <c r="BO901" s="96" t="str">
        <f>HYPERLINK("https://twitter.com/paulinhothor")</f>
        <v>https://twitter.com/paulinhothor</v>
      </c>
      <c r="BP901" s="2"/>
    </row>
    <row r="902" spans="1:68" x14ac:dyDescent="0.25">
      <c r="A902" s="63" t="s">
        <v>1009</v>
      </c>
      <c r="B902" s="64"/>
      <c r="C902" s="64"/>
      <c r="D902" s="65"/>
      <c r="E902" s="67"/>
      <c r="F902" s="111" t="str">
        <f>HYPERLINK("https://pbs.twimg.com/profile_images/1624067728087580672/ipZuzsXw_normal.jpg")</f>
        <v>https://pbs.twimg.com/profile_images/1624067728087580672/ipZuzsXw_normal.jpg</v>
      </c>
      <c r="G902" s="64"/>
      <c r="H902" s="68"/>
      <c r="I902" s="69"/>
      <c r="J902" s="69"/>
      <c r="K902" s="68" t="s">
        <v>30035</v>
      </c>
      <c r="L902" s="72"/>
      <c r="M902" s="73"/>
      <c r="N902" s="73"/>
      <c r="O902" s="74"/>
      <c r="P902" s="75"/>
      <c r="Q902" s="75"/>
      <c r="R902" s="102"/>
      <c r="S902" s="102"/>
      <c r="T902" s="102"/>
      <c r="U902" s="102"/>
      <c r="V902" s="48"/>
      <c r="W902" s="48"/>
      <c r="X902" s="48"/>
      <c r="Y902" s="48"/>
      <c r="Z902" s="47"/>
      <c r="AA902" s="70">
        <v>902</v>
      </c>
      <c r="AB902" s="70"/>
      <c r="AC902" s="71"/>
      <c r="AD902" s="86" t="s">
        <v>24512</v>
      </c>
      <c r="AE902" s="94" t="s">
        <v>25570</v>
      </c>
      <c r="AF902" s="86">
        <v>144</v>
      </c>
      <c r="AG902" s="86">
        <v>107</v>
      </c>
      <c r="AH902" s="86">
        <v>1971</v>
      </c>
      <c r="AI902" s="86">
        <v>2</v>
      </c>
      <c r="AJ902" s="86">
        <v>14</v>
      </c>
      <c r="AK902" s="86">
        <v>519</v>
      </c>
      <c r="AL902" s="86" t="b">
        <v>0</v>
      </c>
      <c r="AM902" s="89">
        <v>41102.049641203703</v>
      </c>
      <c r="AN902" s="86" t="s">
        <v>26209</v>
      </c>
      <c r="AO902" s="86" t="s">
        <v>27248</v>
      </c>
      <c r="AP902" s="96" t="str">
        <f>HYPERLINK("https://t.co/yu3NiLLs1P")</f>
        <v>https://t.co/yu3NiLLs1P</v>
      </c>
      <c r="AQ902" s="96" t="str">
        <f>HYPERLINK("https://linktr.ee/valuehost")</f>
        <v>https://linktr.ee/valuehost</v>
      </c>
      <c r="AR902" s="86" t="s">
        <v>28507</v>
      </c>
      <c r="AS902" s="86"/>
      <c r="AT902" s="86"/>
      <c r="AU902" s="86"/>
      <c r="AV902" s="86"/>
      <c r="AW902" s="96" t="str">
        <f>HYPERLINK("https://t.co/yu3NiLLs1P")</f>
        <v>https://t.co/yu3NiLLs1P</v>
      </c>
      <c r="AX902" s="86" t="b">
        <v>0</v>
      </c>
      <c r="AY902" s="86"/>
      <c r="AZ902" s="86"/>
      <c r="BA902" s="86" t="b">
        <v>0</v>
      </c>
      <c r="BB902" s="86" t="b">
        <v>1</v>
      </c>
      <c r="BC902" s="86" t="b">
        <v>0</v>
      </c>
      <c r="BD902" s="86" t="b">
        <v>0</v>
      </c>
      <c r="BE902" s="86" t="b">
        <v>0</v>
      </c>
      <c r="BF902" s="86" t="b">
        <v>0</v>
      </c>
      <c r="BG902" s="86" t="b">
        <v>0</v>
      </c>
      <c r="BH902" s="96" t="str">
        <f>HYPERLINK("https://pbs.twimg.com/profile_banners/633350186/1676495918")</f>
        <v>https://pbs.twimg.com/profile_banners/633350186/1676495918</v>
      </c>
      <c r="BI902" s="86"/>
      <c r="BJ902" s="86" t="s">
        <v>29134</v>
      </c>
      <c r="BK902" s="86" t="b">
        <v>0</v>
      </c>
      <c r="BL902" s="86"/>
      <c r="BM902" s="86" t="s">
        <v>66</v>
      </c>
      <c r="BN902" s="86" t="s">
        <v>29136</v>
      </c>
      <c r="BO902" s="96" t="str">
        <f>HYPERLINK("https://twitter.com/valuehostbrasil")</f>
        <v>https://twitter.com/valuehostbrasil</v>
      </c>
      <c r="BP902" s="2"/>
    </row>
    <row r="903" spans="1:68" x14ac:dyDescent="0.25">
      <c r="A903" s="63" t="s">
        <v>1010</v>
      </c>
      <c r="B903" s="64"/>
      <c r="C903" s="64"/>
      <c r="D903" s="65"/>
      <c r="E903" s="67"/>
      <c r="F903" s="111" t="str">
        <f>HYPERLINK("https://pbs.twimg.com/profile_images/1294227120659603456/oO4LaG8b_normal.jpg")</f>
        <v>https://pbs.twimg.com/profile_images/1294227120659603456/oO4LaG8b_normal.jpg</v>
      </c>
      <c r="G903" s="64"/>
      <c r="H903" s="68"/>
      <c r="I903" s="69"/>
      <c r="J903" s="69"/>
      <c r="K903" s="68" t="s">
        <v>30036</v>
      </c>
      <c r="L903" s="72"/>
      <c r="M903" s="73"/>
      <c r="N903" s="73"/>
      <c r="O903" s="74"/>
      <c r="P903" s="75"/>
      <c r="Q903" s="75"/>
      <c r="R903" s="102"/>
      <c r="S903" s="102"/>
      <c r="T903" s="102"/>
      <c r="U903" s="102"/>
      <c r="V903" s="48"/>
      <c r="W903" s="48"/>
      <c r="X903" s="48"/>
      <c r="Y903" s="48"/>
      <c r="Z903" s="47"/>
      <c r="AA903" s="70">
        <v>903</v>
      </c>
      <c r="AB903" s="70"/>
      <c r="AC903" s="71"/>
      <c r="AD903" s="86" t="s">
        <v>24513</v>
      </c>
      <c r="AE903" s="94" t="s">
        <v>23240</v>
      </c>
      <c r="AF903" s="86">
        <v>10694</v>
      </c>
      <c r="AG903" s="86">
        <v>247</v>
      </c>
      <c r="AH903" s="86">
        <v>5556</v>
      </c>
      <c r="AI903" s="86">
        <v>48</v>
      </c>
      <c r="AJ903" s="86">
        <v>4340</v>
      </c>
      <c r="AK903" s="86">
        <v>4182</v>
      </c>
      <c r="AL903" s="86" t="b">
        <v>0</v>
      </c>
      <c r="AM903" s="89">
        <v>43288.536099537036</v>
      </c>
      <c r="AN903" s="86" t="s">
        <v>15246</v>
      </c>
      <c r="AO903" s="86" t="s">
        <v>27249</v>
      </c>
      <c r="AP903" s="96" t="str">
        <f>HYPERLINK("https://t.co/EHQsjwFowf")</f>
        <v>https://t.co/EHQsjwFowf</v>
      </c>
      <c r="AQ903" s="96" t="str">
        <f>HYPERLINK("http://www.unifesp.br")</f>
        <v>http://www.unifesp.br</v>
      </c>
      <c r="AR903" s="86" t="s">
        <v>28508</v>
      </c>
      <c r="AS903" s="86"/>
      <c r="AT903" s="86"/>
      <c r="AU903" s="86"/>
      <c r="AV903" s="86">
        <v>1.60083760475618E+18</v>
      </c>
      <c r="AW903" s="96" t="str">
        <f>HYPERLINK("https://t.co/EHQsjwFowf")</f>
        <v>https://t.co/EHQsjwFowf</v>
      </c>
      <c r="AX903" s="86" t="b">
        <v>0</v>
      </c>
      <c r="AY903" s="86"/>
      <c r="AZ903" s="86"/>
      <c r="BA903" s="86" t="b">
        <v>0</v>
      </c>
      <c r="BB903" s="86" t="b">
        <v>1</v>
      </c>
      <c r="BC903" s="86" t="b">
        <v>0</v>
      </c>
      <c r="BD903" s="86" t="b">
        <v>0</v>
      </c>
      <c r="BE903" s="86" t="b">
        <v>0</v>
      </c>
      <c r="BF903" s="86" t="b">
        <v>0</v>
      </c>
      <c r="BG903" s="86" t="b">
        <v>0</v>
      </c>
      <c r="BH903" s="96" t="str">
        <f>HYPERLINK("https://pbs.twimg.com/profile_banners/1015579177704181762/1614959504")</f>
        <v>https://pbs.twimg.com/profile_banners/1015579177704181762/1614959504</v>
      </c>
      <c r="BI903" s="86"/>
      <c r="BJ903" s="86" t="s">
        <v>29134</v>
      </c>
      <c r="BK903" s="86" t="b">
        <v>0</v>
      </c>
      <c r="BL903" s="86"/>
      <c r="BM903" s="86" t="s">
        <v>66</v>
      </c>
      <c r="BN903" s="86" t="s">
        <v>29136</v>
      </c>
      <c r="BO903" s="96" t="str">
        <f>HYPERLINK("https://twitter.com/unifesp")</f>
        <v>https://twitter.com/unifesp</v>
      </c>
      <c r="BP903" s="2"/>
    </row>
    <row r="904" spans="1:68" x14ac:dyDescent="0.25">
      <c r="A904" s="63" t="s">
        <v>1011</v>
      </c>
      <c r="B904" s="64"/>
      <c r="C904" s="64"/>
      <c r="D904" s="65"/>
      <c r="E904" s="67"/>
      <c r="F904" s="111" t="str">
        <f>HYPERLINK("https://pbs.twimg.com/profile_images/1633911474652422144/QkwI7ehK_normal.jpg")</f>
        <v>https://pbs.twimg.com/profile_images/1633911474652422144/QkwI7ehK_normal.jpg</v>
      </c>
      <c r="G904" s="64"/>
      <c r="H904" s="68"/>
      <c r="I904" s="69"/>
      <c r="J904" s="69"/>
      <c r="K904" s="68" t="s">
        <v>30037</v>
      </c>
      <c r="L904" s="72"/>
      <c r="M904" s="73"/>
      <c r="N904" s="73"/>
      <c r="O904" s="74"/>
      <c r="P904" s="75"/>
      <c r="Q904" s="75"/>
      <c r="R904" s="102"/>
      <c r="S904" s="102"/>
      <c r="T904" s="102"/>
      <c r="U904" s="102"/>
      <c r="V904" s="48"/>
      <c r="W904" s="48"/>
      <c r="X904" s="48"/>
      <c r="Y904" s="48"/>
      <c r="Z904" s="47"/>
      <c r="AA904" s="70">
        <v>904</v>
      </c>
      <c r="AB904" s="70"/>
      <c r="AC904" s="71"/>
      <c r="AD904" s="86" t="s">
        <v>24514</v>
      </c>
      <c r="AE904" s="94" t="s">
        <v>23241</v>
      </c>
      <c r="AF904" s="86">
        <v>100</v>
      </c>
      <c r="AG904" s="86">
        <v>114</v>
      </c>
      <c r="AH904" s="86">
        <v>242</v>
      </c>
      <c r="AI904" s="86">
        <v>0</v>
      </c>
      <c r="AJ904" s="86">
        <v>1008</v>
      </c>
      <c r="AK904" s="86">
        <v>45</v>
      </c>
      <c r="AL904" s="86" t="b">
        <v>0</v>
      </c>
      <c r="AM904" s="89">
        <v>44033.381782407407</v>
      </c>
      <c r="AN904" s="86" t="s">
        <v>15381</v>
      </c>
      <c r="AO904" s="86"/>
      <c r="AP904" s="86"/>
      <c r="AQ904" s="86"/>
      <c r="AR904" s="86"/>
      <c r="AS904" s="86"/>
      <c r="AT904" s="86"/>
      <c r="AU904" s="86"/>
      <c r="AV904" s="86"/>
      <c r="AW904" s="86"/>
      <c r="AX904" s="86" t="b">
        <v>0</v>
      </c>
      <c r="AY904" s="86"/>
      <c r="AZ904" s="86"/>
      <c r="BA904" s="86" t="b">
        <v>0</v>
      </c>
      <c r="BB904" s="86" t="b">
        <v>0</v>
      </c>
      <c r="BC904" s="86" t="b">
        <v>1</v>
      </c>
      <c r="BD904" s="86" t="b">
        <v>0</v>
      </c>
      <c r="BE904" s="86" t="b">
        <v>0</v>
      </c>
      <c r="BF904" s="86" t="b">
        <v>0</v>
      </c>
      <c r="BG904" s="86" t="b">
        <v>0</v>
      </c>
      <c r="BH904" s="86"/>
      <c r="BI904" s="86"/>
      <c r="BJ904" s="86" t="s">
        <v>29134</v>
      </c>
      <c r="BK904" s="86" t="b">
        <v>0</v>
      </c>
      <c r="BL904" s="86"/>
      <c r="BM904" s="86" t="s">
        <v>66</v>
      </c>
      <c r="BN904" s="86" t="s">
        <v>29136</v>
      </c>
      <c r="BO904" s="96" t="str">
        <f>HYPERLINK("https://twitter.com/marcoantoniorfs")</f>
        <v>https://twitter.com/marcoantoniorfs</v>
      </c>
      <c r="BP904" s="2"/>
    </row>
    <row r="905" spans="1:68" x14ac:dyDescent="0.25">
      <c r="A905" s="63" t="s">
        <v>1012</v>
      </c>
      <c r="B905" s="64"/>
      <c r="C905" s="64"/>
      <c r="D905" s="65"/>
      <c r="E905" s="67"/>
      <c r="F905" s="111" t="str">
        <f>HYPERLINK("https://pbs.twimg.com/profile_images/1663814942393348097/QV9mBqSO_normal.jpg")</f>
        <v>https://pbs.twimg.com/profile_images/1663814942393348097/QV9mBqSO_normal.jpg</v>
      </c>
      <c r="G905" s="64"/>
      <c r="H905" s="68"/>
      <c r="I905" s="69"/>
      <c r="J905" s="69"/>
      <c r="K905" s="68" t="s">
        <v>30038</v>
      </c>
      <c r="L905" s="72"/>
      <c r="M905" s="73"/>
      <c r="N905" s="73"/>
      <c r="O905" s="74"/>
      <c r="P905" s="75"/>
      <c r="Q905" s="75"/>
      <c r="R905" s="102"/>
      <c r="S905" s="102"/>
      <c r="T905" s="102"/>
      <c r="U905" s="102"/>
      <c r="V905" s="48"/>
      <c r="W905" s="48"/>
      <c r="X905" s="48"/>
      <c r="Y905" s="48"/>
      <c r="Z905" s="47"/>
      <c r="AA905" s="70">
        <v>905</v>
      </c>
      <c r="AB905" s="70"/>
      <c r="AC905" s="71"/>
      <c r="AD905" s="86" t="s">
        <v>24515</v>
      </c>
      <c r="AE905" s="94" t="s">
        <v>23242</v>
      </c>
      <c r="AF905" s="86">
        <v>4</v>
      </c>
      <c r="AG905" s="86">
        <v>7</v>
      </c>
      <c r="AH905" s="86">
        <v>91</v>
      </c>
      <c r="AI905" s="86">
        <v>0</v>
      </c>
      <c r="AJ905" s="86">
        <v>3</v>
      </c>
      <c r="AK905" s="86">
        <v>90</v>
      </c>
      <c r="AL905" s="86" t="b">
        <v>0</v>
      </c>
      <c r="AM905" s="89">
        <v>45077.312754629631</v>
      </c>
      <c r="AN905" s="86"/>
      <c r="AO905" s="86" t="s">
        <v>27250</v>
      </c>
      <c r="AP905" s="86"/>
      <c r="AQ905" s="86"/>
      <c r="AR905" s="86"/>
      <c r="AS905" s="86"/>
      <c r="AT905" s="86"/>
      <c r="AU905" s="86"/>
      <c r="AV905" s="86"/>
      <c r="AW905" s="86"/>
      <c r="AX905" s="86" t="b">
        <v>0</v>
      </c>
      <c r="AY905" s="86"/>
      <c r="AZ905" s="86"/>
      <c r="BA905" s="86" t="b">
        <v>0</v>
      </c>
      <c r="BB905" s="86" t="b">
        <v>1</v>
      </c>
      <c r="BC905" s="86" t="b">
        <v>1</v>
      </c>
      <c r="BD905" s="86" t="b">
        <v>0</v>
      </c>
      <c r="BE905" s="86" t="b">
        <v>0</v>
      </c>
      <c r="BF905" s="86" t="b">
        <v>0</v>
      </c>
      <c r="BG905" s="86" t="b">
        <v>0</v>
      </c>
      <c r="BH905" s="96" t="str">
        <f>HYPERLINK("https://pbs.twimg.com/profile_banners/1663809970364723202/1685521589")</f>
        <v>https://pbs.twimg.com/profile_banners/1663809970364723202/1685521589</v>
      </c>
      <c r="BI905" s="86"/>
      <c r="BJ905" s="86" t="s">
        <v>29134</v>
      </c>
      <c r="BK905" s="86" t="b">
        <v>0</v>
      </c>
      <c r="BL905" s="86"/>
      <c r="BM905" s="86" t="s">
        <v>66</v>
      </c>
      <c r="BN905" s="86" t="s">
        <v>29136</v>
      </c>
      <c r="BO905" s="96" t="str">
        <f>HYPERLINK("https://twitter.com/pwnluanda")</f>
        <v>https://twitter.com/pwnluanda</v>
      </c>
      <c r="BP905" s="2"/>
    </row>
    <row r="906" spans="1:68" x14ac:dyDescent="0.25">
      <c r="A906" s="63" t="s">
        <v>1013</v>
      </c>
      <c r="B906" s="64"/>
      <c r="C906" s="64"/>
      <c r="D906" s="65"/>
      <c r="E906" s="67"/>
      <c r="F906" s="111" t="str">
        <f>HYPERLINK("https://pbs.twimg.com/profile_images/1609940638417518599/JeN51vuy_normal.jpg")</f>
        <v>https://pbs.twimg.com/profile_images/1609940638417518599/JeN51vuy_normal.jpg</v>
      </c>
      <c r="G906" s="64"/>
      <c r="H906" s="68"/>
      <c r="I906" s="69"/>
      <c r="J906" s="69"/>
      <c r="K906" s="68" t="s">
        <v>30039</v>
      </c>
      <c r="L906" s="72"/>
      <c r="M906" s="73"/>
      <c r="N906" s="73"/>
      <c r="O906" s="74"/>
      <c r="P906" s="75"/>
      <c r="Q906" s="75"/>
      <c r="R906" s="102"/>
      <c r="S906" s="102"/>
      <c r="T906" s="102"/>
      <c r="U906" s="102"/>
      <c r="V906" s="48"/>
      <c r="W906" s="48"/>
      <c r="X906" s="48"/>
      <c r="Y906" s="48"/>
      <c r="Z906" s="47"/>
      <c r="AA906" s="70">
        <v>906</v>
      </c>
      <c r="AB906" s="70"/>
      <c r="AC906" s="71"/>
      <c r="AD906" s="86" t="s">
        <v>24516</v>
      </c>
      <c r="AE906" s="94" t="s">
        <v>25571</v>
      </c>
      <c r="AF906" s="86">
        <v>11741</v>
      </c>
      <c r="AG906" s="86">
        <v>1237</v>
      </c>
      <c r="AH906" s="86">
        <v>5692</v>
      </c>
      <c r="AI906" s="86">
        <v>178</v>
      </c>
      <c r="AJ906" s="86">
        <v>4145</v>
      </c>
      <c r="AK906" s="86">
        <v>2987</v>
      </c>
      <c r="AL906" s="86" t="b">
        <v>0</v>
      </c>
      <c r="AM906" s="89">
        <v>39909.575046296297</v>
      </c>
      <c r="AN906" s="86" t="s">
        <v>26210</v>
      </c>
      <c r="AO906" s="86" t="s">
        <v>27251</v>
      </c>
      <c r="AP906" s="96" t="str">
        <f>HYPERLINK("https://t.co/XC0FOBX4HK")</f>
        <v>https://t.co/XC0FOBX4HK</v>
      </c>
      <c r="AQ906" s="96" t="str">
        <f>HYPERLINK("http://www.fbb.org.br")</f>
        <v>http://www.fbb.org.br</v>
      </c>
      <c r="AR906" s="86" t="s">
        <v>28509</v>
      </c>
      <c r="AS906" s="86"/>
      <c r="AT906" s="86"/>
      <c r="AU906" s="86"/>
      <c r="AV906" s="86"/>
      <c r="AW906" s="96" t="str">
        <f>HYPERLINK("https://t.co/XC0FOBX4HK")</f>
        <v>https://t.co/XC0FOBX4HK</v>
      </c>
      <c r="AX906" s="86" t="b">
        <v>0</v>
      </c>
      <c r="AY906" s="86"/>
      <c r="AZ906" s="86"/>
      <c r="BA906" s="86" t="b">
        <v>0</v>
      </c>
      <c r="BB906" s="86" t="b">
        <v>0</v>
      </c>
      <c r="BC906" s="86" t="b">
        <v>0</v>
      </c>
      <c r="BD906" s="86" t="b">
        <v>0</v>
      </c>
      <c r="BE906" s="86" t="b">
        <v>1</v>
      </c>
      <c r="BF906" s="86" t="b">
        <v>0</v>
      </c>
      <c r="BG906" s="86" t="b">
        <v>0</v>
      </c>
      <c r="BH906" s="96" t="str">
        <f>HYPERLINK("https://pbs.twimg.com/profile_banners/29202690/1693577978")</f>
        <v>https://pbs.twimg.com/profile_banners/29202690/1693577978</v>
      </c>
      <c r="BI906" s="86"/>
      <c r="BJ906" s="86" t="s">
        <v>29134</v>
      </c>
      <c r="BK906" s="86" t="b">
        <v>0</v>
      </c>
      <c r="BL906" s="86"/>
      <c r="BM906" s="86" t="s">
        <v>66</v>
      </c>
      <c r="BN906" s="86" t="s">
        <v>29136</v>
      </c>
      <c r="BO906" s="96" t="str">
        <f>HYPERLINK("https://twitter.com/fundacaobb")</f>
        <v>https://twitter.com/fundacaobb</v>
      </c>
      <c r="BP906" s="2"/>
    </row>
    <row r="907" spans="1:68" x14ac:dyDescent="0.25">
      <c r="A907" s="63" t="s">
        <v>1014</v>
      </c>
      <c r="B907" s="64"/>
      <c r="C907" s="64"/>
      <c r="D907" s="65"/>
      <c r="E907" s="67"/>
      <c r="F907" s="111" t="str">
        <f>HYPERLINK("https://pbs.twimg.com/profile_images/1691114079111217152/e47-dybb_normal.jpg")</f>
        <v>https://pbs.twimg.com/profile_images/1691114079111217152/e47-dybb_normal.jpg</v>
      </c>
      <c r="G907" s="64"/>
      <c r="H907" s="68"/>
      <c r="I907" s="69"/>
      <c r="J907" s="69"/>
      <c r="K907" s="68" t="s">
        <v>30040</v>
      </c>
      <c r="L907" s="72"/>
      <c r="M907" s="73"/>
      <c r="N907" s="73"/>
      <c r="O907" s="74"/>
      <c r="P907" s="75"/>
      <c r="Q907" s="75"/>
      <c r="R907" s="102"/>
      <c r="S907" s="102"/>
      <c r="T907" s="102"/>
      <c r="U907" s="102"/>
      <c r="V907" s="48"/>
      <c r="W907" s="48"/>
      <c r="X907" s="48"/>
      <c r="Y907" s="48"/>
      <c r="Z907" s="47"/>
      <c r="AA907" s="70">
        <v>907</v>
      </c>
      <c r="AB907" s="70"/>
      <c r="AC907" s="71"/>
      <c r="AD907" s="86" t="s">
        <v>24517</v>
      </c>
      <c r="AE907" s="94" t="s">
        <v>25572</v>
      </c>
      <c r="AF907" s="86">
        <v>234</v>
      </c>
      <c r="AG907" s="86">
        <v>444</v>
      </c>
      <c r="AH907" s="86">
        <v>10090</v>
      </c>
      <c r="AI907" s="86">
        <v>5</v>
      </c>
      <c r="AJ907" s="86">
        <v>66361</v>
      </c>
      <c r="AK907" s="86">
        <v>218</v>
      </c>
      <c r="AL907" s="86" t="b">
        <v>0</v>
      </c>
      <c r="AM907" s="89">
        <v>40975.701099537036</v>
      </c>
      <c r="AN907" s="86" t="s">
        <v>26211</v>
      </c>
      <c r="AO907" s="86" t="s">
        <v>27252</v>
      </c>
      <c r="AP907" s="96" t="str">
        <f>HYPERLINK("https://t.co/XwqtBSRqO4")</f>
        <v>https://t.co/XwqtBSRqO4</v>
      </c>
      <c r="AQ907" s="96" t="str">
        <f>HYPERLINK("http://freelucasg.com")</f>
        <v>http://freelucasg.com</v>
      </c>
      <c r="AR907" s="86" t="s">
        <v>28510</v>
      </c>
      <c r="AS907" s="86"/>
      <c r="AT907" s="86"/>
      <c r="AU907" s="86"/>
      <c r="AV907" s="86"/>
      <c r="AW907" s="96" t="str">
        <f>HYPERLINK("https://t.co/XwqtBSRqO4")</f>
        <v>https://t.co/XwqtBSRqO4</v>
      </c>
      <c r="AX907" s="86" t="b">
        <v>0</v>
      </c>
      <c r="AY907" s="86"/>
      <c r="AZ907" s="86"/>
      <c r="BA907" s="86" t="b">
        <v>0</v>
      </c>
      <c r="BB907" s="86" t="b">
        <v>0</v>
      </c>
      <c r="BC907" s="86" t="b">
        <v>0</v>
      </c>
      <c r="BD907" s="86" t="b">
        <v>0</v>
      </c>
      <c r="BE907" s="86" t="b">
        <v>1</v>
      </c>
      <c r="BF907" s="86" t="b">
        <v>0</v>
      </c>
      <c r="BG907" s="86" t="b">
        <v>0</v>
      </c>
      <c r="BH907" s="96" t="str">
        <f>HYPERLINK("https://pbs.twimg.com/profile_banners/517753483/1692027993")</f>
        <v>https://pbs.twimg.com/profile_banners/517753483/1692027993</v>
      </c>
      <c r="BI907" s="86"/>
      <c r="BJ907" s="86" t="s">
        <v>29134</v>
      </c>
      <c r="BK907" s="86" t="b">
        <v>0</v>
      </c>
      <c r="BL907" s="86"/>
      <c r="BM907" s="86" t="s">
        <v>66</v>
      </c>
      <c r="BN907" s="86" t="s">
        <v>29136</v>
      </c>
      <c r="BO907" s="96" t="str">
        <f>HYPERLINK("https://twitter.com/freelucasg")</f>
        <v>https://twitter.com/freelucasg</v>
      </c>
      <c r="BP907" s="2"/>
    </row>
    <row r="908" spans="1:68" x14ac:dyDescent="0.25">
      <c r="A908" s="63" t="s">
        <v>1015</v>
      </c>
      <c r="B908" s="64"/>
      <c r="C908" s="64"/>
      <c r="D908" s="65"/>
      <c r="E908" s="67"/>
      <c r="F908" s="111" t="str">
        <f>HYPERLINK("https://pbs.twimg.com/profile_images/1383177189080850433/Y-ukVh3n_normal.jpg")</f>
        <v>https://pbs.twimg.com/profile_images/1383177189080850433/Y-ukVh3n_normal.jpg</v>
      </c>
      <c r="G908" s="64"/>
      <c r="H908" s="68"/>
      <c r="I908" s="69"/>
      <c r="J908" s="69"/>
      <c r="K908" s="68" t="s">
        <v>30041</v>
      </c>
      <c r="L908" s="72"/>
      <c r="M908" s="73"/>
      <c r="N908" s="73"/>
      <c r="O908" s="74"/>
      <c r="P908" s="75"/>
      <c r="Q908" s="75"/>
      <c r="R908" s="102"/>
      <c r="S908" s="102"/>
      <c r="T908" s="102"/>
      <c r="U908" s="102"/>
      <c r="V908" s="48"/>
      <c r="W908" s="48"/>
      <c r="X908" s="48"/>
      <c r="Y908" s="48"/>
      <c r="Z908" s="47"/>
      <c r="AA908" s="70">
        <v>908</v>
      </c>
      <c r="AB908" s="70"/>
      <c r="AC908" s="71"/>
      <c r="AD908" s="86" t="s">
        <v>24518</v>
      </c>
      <c r="AE908" s="94" t="s">
        <v>25573</v>
      </c>
      <c r="AF908" s="86">
        <v>102</v>
      </c>
      <c r="AG908" s="86">
        <v>168</v>
      </c>
      <c r="AH908" s="86">
        <v>492</v>
      </c>
      <c r="AI908" s="86">
        <v>3</v>
      </c>
      <c r="AJ908" s="86">
        <v>10</v>
      </c>
      <c r="AK908" s="86">
        <v>174</v>
      </c>
      <c r="AL908" s="86" t="b">
        <v>0</v>
      </c>
      <c r="AM908" s="89">
        <v>39970.570138888892</v>
      </c>
      <c r="AN908" s="86" t="s">
        <v>26212</v>
      </c>
      <c r="AO908" s="86" t="s">
        <v>27253</v>
      </c>
      <c r="AP908" s="96" t="str">
        <f>HYPERLINK("https://t.co/KcGOYsDROQ")</f>
        <v>https://t.co/KcGOYsDROQ</v>
      </c>
      <c r="AQ908" s="96" t="str">
        <f>HYPERLINK("http://lp.negocioenxuto.com")</f>
        <v>http://lp.negocioenxuto.com</v>
      </c>
      <c r="AR908" s="86" t="s">
        <v>28511</v>
      </c>
      <c r="AS908" s="86"/>
      <c r="AT908" s="86"/>
      <c r="AU908" s="86"/>
      <c r="AV908" s="86"/>
      <c r="AW908" s="96" t="str">
        <f>HYPERLINK("https://t.co/KcGOYsDROQ")</f>
        <v>https://t.co/KcGOYsDROQ</v>
      </c>
      <c r="AX908" s="86" t="b">
        <v>0</v>
      </c>
      <c r="AY908" s="86"/>
      <c r="AZ908" s="86"/>
      <c r="BA908" s="86" t="b">
        <v>0</v>
      </c>
      <c r="BB908" s="86" t="b">
        <v>1</v>
      </c>
      <c r="BC908" s="86" t="b">
        <v>1</v>
      </c>
      <c r="BD908" s="86" t="b">
        <v>0</v>
      </c>
      <c r="BE908" s="86" t="b">
        <v>1</v>
      </c>
      <c r="BF908" s="86" t="b">
        <v>0</v>
      </c>
      <c r="BG908" s="86" t="b">
        <v>0</v>
      </c>
      <c r="BH908" s="86"/>
      <c r="BI908" s="86"/>
      <c r="BJ908" s="86" t="s">
        <v>29134</v>
      </c>
      <c r="BK908" s="86" t="b">
        <v>0</v>
      </c>
      <c r="BL908" s="86"/>
      <c r="BM908" s="86" t="s">
        <v>66</v>
      </c>
      <c r="BN908" s="86" t="s">
        <v>29136</v>
      </c>
      <c r="BO908" s="96" t="str">
        <f>HYPERLINK("https://twitter.com/luzimarcarp")</f>
        <v>https://twitter.com/luzimarcarp</v>
      </c>
      <c r="BP908" s="2"/>
    </row>
    <row r="909" spans="1:68" x14ac:dyDescent="0.25">
      <c r="A909" s="63" t="s">
        <v>1016</v>
      </c>
      <c r="B909" s="64"/>
      <c r="C909" s="64"/>
      <c r="D909" s="65"/>
      <c r="E909" s="67"/>
      <c r="F909" s="111" t="str">
        <f>HYPERLINK("https://pbs.twimg.com/profile_images/1278372423679819776/KgG-U05v_normal.jpg")</f>
        <v>https://pbs.twimg.com/profile_images/1278372423679819776/KgG-U05v_normal.jpg</v>
      </c>
      <c r="G909" s="64"/>
      <c r="H909" s="68"/>
      <c r="I909" s="69"/>
      <c r="J909" s="69"/>
      <c r="K909" s="68" t="s">
        <v>30042</v>
      </c>
      <c r="L909" s="72"/>
      <c r="M909" s="73"/>
      <c r="N909" s="73"/>
      <c r="O909" s="74"/>
      <c r="P909" s="75"/>
      <c r="Q909" s="75"/>
      <c r="R909" s="102"/>
      <c r="S909" s="102"/>
      <c r="T909" s="102"/>
      <c r="U909" s="102"/>
      <c r="V909" s="48"/>
      <c r="W909" s="48"/>
      <c r="X909" s="48"/>
      <c r="Y909" s="48"/>
      <c r="Z909" s="47"/>
      <c r="AA909" s="70">
        <v>909</v>
      </c>
      <c r="AB909" s="70"/>
      <c r="AC909" s="71"/>
      <c r="AD909" s="86" t="s">
        <v>24519</v>
      </c>
      <c r="AE909" s="94" t="s">
        <v>23243</v>
      </c>
      <c r="AF909" s="86">
        <v>973</v>
      </c>
      <c r="AG909" s="86">
        <v>1445</v>
      </c>
      <c r="AH909" s="86">
        <v>1818</v>
      </c>
      <c r="AI909" s="86">
        <v>3</v>
      </c>
      <c r="AJ909" s="86">
        <v>147</v>
      </c>
      <c r="AK909" s="86">
        <v>950</v>
      </c>
      <c r="AL909" s="86" t="b">
        <v>0</v>
      </c>
      <c r="AM909" s="89">
        <v>44013.684814814813</v>
      </c>
      <c r="AN909" s="86"/>
      <c r="AO909" s="86" t="s">
        <v>27254</v>
      </c>
      <c r="AP909" s="96" t="str">
        <f>HYPERLINK("https://t.co/eeY91Q9SDx")</f>
        <v>https://t.co/eeY91Q9SDx</v>
      </c>
      <c r="AQ909" s="96" t="str">
        <f>HYPERLINK("http://www.saneamentoambiental.com.br")</f>
        <v>http://www.saneamentoambiental.com.br</v>
      </c>
      <c r="AR909" s="86" t="s">
        <v>28512</v>
      </c>
      <c r="AS909" s="86"/>
      <c r="AT909" s="86"/>
      <c r="AU909" s="86"/>
      <c r="AV909" s="86">
        <v>1.7067655763899699E+18</v>
      </c>
      <c r="AW909" s="96" t="str">
        <f>HYPERLINK("https://t.co/eeY91Q9SDx")</f>
        <v>https://t.co/eeY91Q9SDx</v>
      </c>
      <c r="AX909" s="86" t="b">
        <v>0</v>
      </c>
      <c r="AY909" s="86"/>
      <c r="AZ909" s="86"/>
      <c r="BA909" s="86" t="b">
        <v>0</v>
      </c>
      <c r="BB909" s="86" t="b">
        <v>1</v>
      </c>
      <c r="BC909" s="86" t="b">
        <v>1</v>
      </c>
      <c r="BD909" s="86" t="b">
        <v>0</v>
      </c>
      <c r="BE909" s="86" t="b">
        <v>0</v>
      </c>
      <c r="BF909" s="86" t="b">
        <v>0</v>
      </c>
      <c r="BG909" s="86" t="b">
        <v>0</v>
      </c>
      <c r="BH909" s="96" t="str">
        <f>HYPERLINK("https://pbs.twimg.com/profile_banners/1278364220497813504/1593622713")</f>
        <v>https://pbs.twimg.com/profile_banners/1278364220497813504/1593622713</v>
      </c>
      <c r="BI909" s="86"/>
      <c r="BJ909" s="86" t="s">
        <v>29134</v>
      </c>
      <c r="BK909" s="86" t="b">
        <v>0</v>
      </c>
      <c r="BL909" s="86"/>
      <c r="BM909" s="86" t="s">
        <v>66</v>
      </c>
      <c r="BN909" s="86" t="s">
        <v>29136</v>
      </c>
      <c r="BO909" s="96" t="str">
        <f>HYPERLINK("https://twitter.com/rev_sambiental")</f>
        <v>https://twitter.com/rev_sambiental</v>
      </c>
      <c r="BP909" s="2"/>
    </row>
    <row r="910" spans="1:68" x14ac:dyDescent="0.25">
      <c r="A910" s="63" t="s">
        <v>1017</v>
      </c>
      <c r="B910" s="64"/>
      <c r="C910" s="64"/>
      <c r="D910" s="65"/>
      <c r="E910" s="67"/>
      <c r="F910" s="111" t="str">
        <f>HYPERLINK("https://pbs.twimg.com/profile_images/1569450910731968515/4LvBRf9o_normal.jpg")</f>
        <v>https://pbs.twimg.com/profile_images/1569450910731968515/4LvBRf9o_normal.jpg</v>
      </c>
      <c r="G910" s="64"/>
      <c r="H910" s="68"/>
      <c r="I910" s="69"/>
      <c r="J910" s="69"/>
      <c r="K910" s="68" t="s">
        <v>30043</v>
      </c>
      <c r="L910" s="72"/>
      <c r="M910" s="73"/>
      <c r="N910" s="73"/>
      <c r="O910" s="74"/>
      <c r="P910" s="75"/>
      <c r="Q910" s="75"/>
      <c r="R910" s="102"/>
      <c r="S910" s="102"/>
      <c r="T910" s="102"/>
      <c r="U910" s="102"/>
      <c r="V910" s="48"/>
      <c r="W910" s="48"/>
      <c r="X910" s="48"/>
      <c r="Y910" s="48"/>
      <c r="Z910" s="47"/>
      <c r="AA910" s="70">
        <v>910</v>
      </c>
      <c r="AB910" s="70"/>
      <c r="AC910" s="71"/>
      <c r="AD910" s="86" t="s">
        <v>24520</v>
      </c>
      <c r="AE910" s="94" t="s">
        <v>23244</v>
      </c>
      <c r="AF910" s="86">
        <v>610</v>
      </c>
      <c r="AG910" s="86">
        <v>117</v>
      </c>
      <c r="AH910" s="86">
        <v>244</v>
      </c>
      <c r="AI910" s="86">
        <v>16</v>
      </c>
      <c r="AJ910" s="86">
        <v>67</v>
      </c>
      <c r="AK910" s="86">
        <v>198</v>
      </c>
      <c r="AL910" s="86" t="b">
        <v>0</v>
      </c>
      <c r="AM910" s="89">
        <v>43756.769791666666</v>
      </c>
      <c r="AN910" s="86" t="s">
        <v>26213</v>
      </c>
      <c r="AO910" s="86" t="s">
        <v>27255</v>
      </c>
      <c r="AP910" s="96" t="str">
        <f>HYPERLINK("https://t.co/l7NpwbYxdi")</f>
        <v>https://t.co/l7NpwbYxdi</v>
      </c>
      <c r="AQ910" s="96" t="str">
        <f>HYPERLINK("https://www.digital.cv/")</f>
        <v>https://www.digital.cv/</v>
      </c>
      <c r="AR910" s="86" t="s">
        <v>28513</v>
      </c>
      <c r="AS910" s="86"/>
      <c r="AT910" s="86"/>
      <c r="AU910" s="86"/>
      <c r="AV910" s="86"/>
      <c r="AW910" s="96" t="str">
        <f>HYPERLINK("https://t.co/l7NpwbYxdi")</f>
        <v>https://t.co/l7NpwbYxdi</v>
      </c>
      <c r="AX910" s="86" t="b">
        <v>0</v>
      </c>
      <c r="AY910" s="86"/>
      <c r="AZ910" s="86"/>
      <c r="BA910" s="86" t="b">
        <v>0</v>
      </c>
      <c r="BB910" s="86" t="b">
        <v>1</v>
      </c>
      <c r="BC910" s="86" t="b">
        <v>1</v>
      </c>
      <c r="BD910" s="86" t="b">
        <v>0</v>
      </c>
      <c r="BE910" s="86" t="b">
        <v>0</v>
      </c>
      <c r="BF910" s="86" t="b">
        <v>0</v>
      </c>
      <c r="BG910" s="86" t="b">
        <v>0</v>
      </c>
      <c r="BH910" s="96" t="str">
        <f>HYPERLINK("https://pbs.twimg.com/profile_banners/1185261336365801473/1695660988")</f>
        <v>https://pbs.twimg.com/profile_banners/1185261336365801473/1695660988</v>
      </c>
      <c r="BI910" s="86"/>
      <c r="BJ910" s="86" t="s">
        <v>29134</v>
      </c>
      <c r="BK910" s="86" t="b">
        <v>0</v>
      </c>
      <c r="BL910" s="86"/>
      <c r="BM910" s="86" t="s">
        <v>66</v>
      </c>
      <c r="BN910" s="86" t="s">
        <v>29136</v>
      </c>
      <c r="BO910" s="96" t="str">
        <f>HYPERLINK("https://twitter.com/caboverdigital")</f>
        <v>https://twitter.com/caboverdigital</v>
      </c>
      <c r="BP910" s="2"/>
    </row>
    <row r="911" spans="1:68" x14ac:dyDescent="0.25">
      <c r="A911" s="63" t="s">
        <v>1018</v>
      </c>
      <c r="B911" s="64"/>
      <c r="C911" s="64"/>
      <c r="D911" s="65"/>
      <c r="E911" s="67"/>
      <c r="F911" s="111" t="str">
        <f>HYPERLINK("https://pbs.twimg.com/profile_images/1673953206559207424/TW3XMvvB_normal.jpg")</f>
        <v>https://pbs.twimg.com/profile_images/1673953206559207424/TW3XMvvB_normal.jpg</v>
      </c>
      <c r="G911" s="64"/>
      <c r="H911" s="68"/>
      <c r="I911" s="69"/>
      <c r="J911" s="69"/>
      <c r="K911" s="68" t="s">
        <v>30044</v>
      </c>
      <c r="L911" s="72"/>
      <c r="M911" s="73"/>
      <c r="N911" s="73"/>
      <c r="O911" s="74"/>
      <c r="P911" s="75"/>
      <c r="Q911" s="75"/>
      <c r="R911" s="102"/>
      <c r="S911" s="102"/>
      <c r="T911" s="102"/>
      <c r="U911" s="102"/>
      <c r="V911" s="48"/>
      <c r="W911" s="48"/>
      <c r="X911" s="48"/>
      <c r="Y911" s="48"/>
      <c r="Z911" s="47"/>
      <c r="AA911" s="70">
        <v>911</v>
      </c>
      <c r="AB911" s="70"/>
      <c r="AC911" s="71"/>
      <c r="AD911" s="86" t="s">
        <v>24521</v>
      </c>
      <c r="AE911" s="94" t="s">
        <v>23245</v>
      </c>
      <c r="AF911" s="86">
        <v>0</v>
      </c>
      <c r="AG911" s="86">
        <v>1</v>
      </c>
      <c r="AH911" s="86">
        <v>14</v>
      </c>
      <c r="AI911" s="86">
        <v>0</v>
      </c>
      <c r="AJ911" s="86">
        <v>0</v>
      </c>
      <c r="AK911" s="86">
        <v>12</v>
      </c>
      <c r="AL911" s="86" t="b">
        <v>0</v>
      </c>
      <c r="AM911" s="89">
        <v>45105.300995370373</v>
      </c>
      <c r="AN911" s="86"/>
      <c r="AO911" s="86"/>
      <c r="AP911" s="86"/>
      <c r="AQ911" s="86"/>
      <c r="AR911" s="86"/>
      <c r="AS911" s="86"/>
      <c r="AT911" s="86"/>
      <c r="AU911" s="86"/>
      <c r="AV911" s="86"/>
      <c r="AW911" s="86"/>
      <c r="AX911" s="86" t="b">
        <v>0</v>
      </c>
      <c r="AY911" s="86"/>
      <c r="AZ911" s="86"/>
      <c r="BA911" s="86" t="b">
        <v>0</v>
      </c>
      <c r="BB911" s="86" t="b">
        <v>1</v>
      </c>
      <c r="BC911" s="86" t="b">
        <v>1</v>
      </c>
      <c r="BD911" s="86" t="b">
        <v>0</v>
      </c>
      <c r="BE911" s="86" t="b">
        <v>0</v>
      </c>
      <c r="BF911" s="86" t="b">
        <v>0</v>
      </c>
      <c r="BG911" s="86" t="b">
        <v>0</v>
      </c>
      <c r="BH911" s="96" t="str">
        <f>HYPERLINK("https://pbs.twimg.com/profile_banners/1673952672582336515/1688328081")</f>
        <v>https://pbs.twimg.com/profile_banners/1673952672582336515/1688328081</v>
      </c>
      <c r="BI911" s="86"/>
      <c r="BJ911" s="86" t="s">
        <v>29134</v>
      </c>
      <c r="BK911" s="86" t="b">
        <v>0</v>
      </c>
      <c r="BL911" s="86"/>
      <c r="BM911" s="86" t="s">
        <v>66</v>
      </c>
      <c r="BN911" s="86" t="s">
        <v>29136</v>
      </c>
      <c r="BO911" s="96" t="str">
        <f>HYPERLINK("https://twitter.com/renanbarbalho_")</f>
        <v>https://twitter.com/renanbarbalho_</v>
      </c>
      <c r="BP911" s="2"/>
    </row>
    <row r="912" spans="1:68" x14ac:dyDescent="0.25">
      <c r="A912" s="63" t="s">
        <v>1019</v>
      </c>
      <c r="B912" s="64"/>
      <c r="C912" s="64"/>
      <c r="D912" s="65"/>
      <c r="E912" s="67"/>
      <c r="F912" s="111" t="str">
        <f>HYPERLINK("https://pbs.twimg.com/profile_images/1676410173483544577/iC1K5XU3_normal.jpg")</f>
        <v>https://pbs.twimg.com/profile_images/1676410173483544577/iC1K5XU3_normal.jpg</v>
      </c>
      <c r="G912" s="64"/>
      <c r="H912" s="68"/>
      <c r="I912" s="69"/>
      <c r="J912" s="69"/>
      <c r="K912" s="68" t="s">
        <v>30045</v>
      </c>
      <c r="L912" s="72"/>
      <c r="M912" s="73"/>
      <c r="N912" s="73"/>
      <c r="O912" s="74"/>
      <c r="P912" s="75"/>
      <c r="Q912" s="75"/>
      <c r="R912" s="102"/>
      <c r="S912" s="102"/>
      <c r="T912" s="102"/>
      <c r="U912" s="102"/>
      <c r="V912" s="48"/>
      <c r="W912" s="48"/>
      <c r="X912" s="48"/>
      <c r="Y912" s="48"/>
      <c r="Z912" s="47"/>
      <c r="AA912" s="70">
        <v>912</v>
      </c>
      <c r="AB912" s="70"/>
      <c r="AC912" s="71"/>
      <c r="AD912" s="86" t="s">
        <v>24522</v>
      </c>
      <c r="AE912" s="94" t="s">
        <v>23246</v>
      </c>
      <c r="AF912" s="86">
        <v>0</v>
      </c>
      <c r="AG912" s="86">
        <v>1</v>
      </c>
      <c r="AH912" s="86">
        <v>1</v>
      </c>
      <c r="AI912" s="86">
        <v>0</v>
      </c>
      <c r="AJ912" s="86">
        <v>0</v>
      </c>
      <c r="AK912" s="86">
        <v>1</v>
      </c>
      <c r="AL912" s="86" t="b">
        <v>0</v>
      </c>
      <c r="AM912" s="89">
        <v>45112.080347222225</v>
      </c>
      <c r="AN912" s="86"/>
      <c r="AO912" s="86" t="s">
        <v>24522</v>
      </c>
      <c r="AP912" s="86"/>
      <c r="AQ912" s="86"/>
      <c r="AR912" s="86"/>
      <c r="AS912" s="86"/>
      <c r="AT912" s="86"/>
      <c r="AU912" s="86"/>
      <c r="AV912" s="86"/>
      <c r="AW912" s="86"/>
      <c r="AX912" s="86" t="b">
        <v>0</v>
      </c>
      <c r="AY912" s="86"/>
      <c r="AZ912" s="86"/>
      <c r="BA912" s="86" t="b">
        <v>0</v>
      </c>
      <c r="BB912" s="86" t="b">
        <v>1</v>
      </c>
      <c r="BC912" s="86" t="b">
        <v>1</v>
      </c>
      <c r="BD912" s="86" t="b">
        <v>0</v>
      </c>
      <c r="BE912" s="86" t="b">
        <v>0</v>
      </c>
      <c r="BF912" s="86" t="b">
        <v>0</v>
      </c>
      <c r="BG912" s="86" t="b">
        <v>0</v>
      </c>
      <c r="BH912" s="86"/>
      <c r="BI912" s="86"/>
      <c r="BJ912" s="86" t="s">
        <v>29134</v>
      </c>
      <c r="BK912" s="86" t="b">
        <v>0</v>
      </c>
      <c r="BL912" s="86"/>
      <c r="BM912" s="86" t="s">
        <v>66</v>
      </c>
      <c r="BN912" s="86" t="s">
        <v>29136</v>
      </c>
      <c r="BO912" s="96" t="str">
        <f>HYPERLINK("https://twitter.com/cortesvisionari")</f>
        <v>https://twitter.com/cortesvisionari</v>
      </c>
      <c r="BP912" s="2"/>
    </row>
    <row r="913" spans="1:68" x14ac:dyDescent="0.25">
      <c r="A913" s="63" t="s">
        <v>1020</v>
      </c>
      <c r="B913" s="64"/>
      <c r="C913" s="64"/>
      <c r="D913" s="65"/>
      <c r="E913" s="67"/>
      <c r="F913" s="111" t="str">
        <f>HYPERLINK("https://pbs.twimg.com/profile_images/1689733697690329088/XVnSdxMP_normal.jpg")</f>
        <v>https://pbs.twimg.com/profile_images/1689733697690329088/XVnSdxMP_normal.jpg</v>
      </c>
      <c r="G913" s="64"/>
      <c r="H913" s="68"/>
      <c r="I913" s="69"/>
      <c r="J913" s="69"/>
      <c r="K913" s="68" t="s">
        <v>30046</v>
      </c>
      <c r="L913" s="72"/>
      <c r="M913" s="73"/>
      <c r="N913" s="73"/>
      <c r="O913" s="74"/>
      <c r="P913" s="75"/>
      <c r="Q913" s="75"/>
      <c r="R913" s="102"/>
      <c r="S913" s="102"/>
      <c r="T913" s="102"/>
      <c r="U913" s="102"/>
      <c r="V913" s="48"/>
      <c r="W913" s="48"/>
      <c r="X913" s="48"/>
      <c r="Y913" s="48"/>
      <c r="Z913" s="47"/>
      <c r="AA913" s="70">
        <v>913</v>
      </c>
      <c r="AB913" s="70"/>
      <c r="AC913" s="71"/>
      <c r="AD913" s="86" t="s">
        <v>24523</v>
      </c>
      <c r="AE913" s="94" t="s">
        <v>22604</v>
      </c>
      <c r="AF913" s="86">
        <v>1</v>
      </c>
      <c r="AG913" s="86">
        <v>10</v>
      </c>
      <c r="AH913" s="86">
        <v>44</v>
      </c>
      <c r="AI913" s="86">
        <v>0</v>
      </c>
      <c r="AJ913" s="86">
        <v>46</v>
      </c>
      <c r="AK913" s="86">
        <v>2</v>
      </c>
      <c r="AL913" s="86" t="b">
        <v>0</v>
      </c>
      <c r="AM913" s="89">
        <v>45131.873067129629</v>
      </c>
      <c r="AN913" s="86"/>
      <c r="AO913" s="86" t="s">
        <v>27256</v>
      </c>
      <c r="AP913" s="86"/>
      <c r="AQ913" s="86"/>
      <c r="AR913" s="86"/>
      <c r="AS913" s="86"/>
      <c r="AT913" s="86"/>
      <c r="AU913" s="86"/>
      <c r="AV913" s="86"/>
      <c r="AW913" s="86"/>
      <c r="AX913" s="86" t="b">
        <v>1</v>
      </c>
      <c r="AY913" s="86"/>
      <c r="AZ913" s="86"/>
      <c r="BA913" s="86" t="b">
        <v>0</v>
      </c>
      <c r="BB913" s="86" t="b">
        <v>1</v>
      </c>
      <c r="BC913" s="86" t="b">
        <v>1</v>
      </c>
      <c r="BD913" s="86" t="b">
        <v>0</v>
      </c>
      <c r="BE913" s="86" t="b">
        <v>0</v>
      </c>
      <c r="BF913" s="86" t="b">
        <v>0</v>
      </c>
      <c r="BG913" s="86" t="b">
        <v>0</v>
      </c>
      <c r="BH913" s="96" t="str">
        <f>HYPERLINK("https://pbs.twimg.com/profile_banners/1683581432684244993/1694804104")</f>
        <v>https://pbs.twimg.com/profile_banners/1683581432684244993/1694804104</v>
      </c>
      <c r="BI913" s="86"/>
      <c r="BJ913" s="86" t="s">
        <v>29134</v>
      </c>
      <c r="BK913" s="86" t="b">
        <v>0</v>
      </c>
      <c r="BL913" s="86"/>
      <c r="BM913" s="86" t="s">
        <v>66</v>
      </c>
      <c r="BN913" s="86" t="s">
        <v>29136</v>
      </c>
      <c r="BO913" s="96" t="str">
        <f>HYPERLINK("https://twitter.com/juntosaosucesso")</f>
        <v>https://twitter.com/juntosaosucesso</v>
      </c>
      <c r="BP913" s="2"/>
    </row>
    <row r="914" spans="1:68" x14ac:dyDescent="0.25">
      <c r="A914" s="63" t="s">
        <v>1021</v>
      </c>
      <c r="B914" s="64"/>
      <c r="C914" s="64"/>
      <c r="D914" s="65"/>
      <c r="E914" s="67"/>
      <c r="F914" s="111" t="str">
        <f>HYPERLINK("https://pbs.twimg.com/profile_images/1644769615547957249/W-heXGWN_normal.jpg")</f>
        <v>https://pbs.twimg.com/profile_images/1644769615547957249/W-heXGWN_normal.jpg</v>
      </c>
      <c r="G914" s="64"/>
      <c r="H914" s="68"/>
      <c r="I914" s="69"/>
      <c r="J914" s="69"/>
      <c r="K914" s="68" t="s">
        <v>30047</v>
      </c>
      <c r="L914" s="72"/>
      <c r="M914" s="73"/>
      <c r="N914" s="73"/>
      <c r="O914" s="74"/>
      <c r="P914" s="75"/>
      <c r="Q914" s="75"/>
      <c r="R914" s="102"/>
      <c r="S914" s="102"/>
      <c r="T914" s="102"/>
      <c r="U914" s="102"/>
      <c r="V914" s="48"/>
      <c r="W914" s="48"/>
      <c r="X914" s="48"/>
      <c r="Y914" s="48"/>
      <c r="Z914" s="47"/>
      <c r="AA914" s="70">
        <v>914</v>
      </c>
      <c r="AB914" s="70"/>
      <c r="AC914" s="71"/>
      <c r="AD914" s="86" t="s">
        <v>24524</v>
      </c>
      <c r="AE914" s="94" t="s">
        <v>23247</v>
      </c>
      <c r="AF914" s="86">
        <v>2</v>
      </c>
      <c r="AG914" s="86">
        <v>11</v>
      </c>
      <c r="AH914" s="86">
        <v>7</v>
      </c>
      <c r="AI914" s="86">
        <v>0</v>
      </c>
      <c r="AJ914" s="86">
        <v>0</v>
      </c>
      <c r="AK914" s="86">
        <v>4</v>
      </c>
      <c r="AL914" s="86" t="b">
        <v>0</v>
      </c>
      <c r="AM914" s="89">
        <v>45024.770937499998</v>
      </c>
      <c r="AN914" s="86" t="s">
        <v>15234</v>
      </c>
      <c r="AO914" s="86" t="s">
        <v>27257</v>
      </c>
      <c r="AP914" s="96" t="str">
        <f>HYPERLINK("https://t.co/9nSZrv6mQn")</f>
        <v>https://t.co/9nSZrv6mQn</v>
      </c>
      <c r="AQ914" s="96" t="str">
        <f>HYPERLINK("https://quickening.com.br/")</f>
        <v>https://quickening.com.br/</v>
      </c>
      <c r="AR914" s="86" t="s">
        <v>28514</v>
      </c>
      <c r="AS914" s="86"/>
      <c r="AT914" s="86"/>
      <c r="AU914" s="86"/>
      <c r="AV914" s="86"/>
      <c r="AW914" s="96" t="str">
        <f>HYPERLINK("https://t.co/9nSZrv6mQn")</f>
        <v>https://t.co/9nSZrv6mQn</v>
      </c>
      <c r="AX914" s="86" t="b">
        <v>0</v>
      </c>
      <c r="AY914" s="86"/>
      <c r="AZ914" s="86"/>
      <c r="BA914" s="86" t="b">
        <v>0</v>
      </c>
      <c r="BB914" s="86" t="b">
        <v>1</v>
      </c>
      <c r="BC914" s="86" t="b">
        <v>1</v>
      </c>
      <c r="BD914" s="86" t="b">
        <v>0</v>
      </c>
      <c r="BE914" s="86" t="b">
        <v>0</v>
      </c>
      <c r="BF914" s="86" t="b">
        <v>0</v>
      </c>
      <c r="BG914" s="86" t="b">
        <v>0</v>
      </c>
      <c r="BH914" s="96" t="str">
        <f>HYPERLINK("https://pbs.twimg.com/profile_banners/1644769523411611661/1680978875")</f>
        <v>https://pbs.twimg.com/profile_banners/1644769523411611661/1680978875</v>
      </c>
      <c r="BI914" s="86"/>
      <c r="BJ914" s="86" t="s">
        <v>29134</v>
      </c>
      <c r="BK914" s="86" t="b">
        <v>0</v>
      </c>
      <c r="BL914" s="86"/>
      <c r="BM914" s="86" t="s">
        <v>66</v>
      </c>
      <c r="BN914" s="86" t="s">
        <v>29136</v>
      </c>
      <c r="BO914" s="96" t="str">
        <f>HYPERLINK("https://twitter.com/quickeningmkt")</f>
        <v>https://twitter.com/quickeningmkt</v>
      </c>
      <c r="BP914" s="2"/>
    </row>
    <row r="915" spans="1:68" x14ac:dyDescent="0.25">
      <c r="A915" s="63" t="s">
        <v>1022</v>
      </c>
      <c r="B915" s="64"/>
      <c r="C915" s="64"/>
      <c r="D915" s="65"/>
      <c r="E915" s="67"/>
      <c r="F915" s="111" t="str">
        <f>HYPERLINK("https://pbs.twimg.com/profile_images/1618547521688637446/JRBgc5jh_normal.jpg")</f>
        <v>https://pbs.twimg.com/profile_images/1618547521688637446/JRBgc5jh_normal.jpg</v>
      </c>
      <c r="G915" s="64"/>
      <c r="H915" s="68"/>
      <c r="I915" s="69"/>
      <c r="J915" s="69"/>
      <c r="K915" s="68" t="s">
        <v>30048</v>
      </c>
      <c r="L915" s="72"/>
      <c r="M915" s="73"/>
      <c r="N915" s="73"/>
      <c r="O915" s="74"/>
      <c r="P915" s="75"/>
      <c r="Q915" s="75"/>
      <c r="R915" s="102"/>
      <c r="S915" s="102"/>
      <c r="T915" s="102"/>
      <c r="U915" s="102"/>
      <c r="V915" s="48"/>
      <c r="W915" s="48"/>
      <c r="X915" s="48"/>
      <c r="Y915" s="48"/>
      <c r="Z915" s="47"/>
      <c r="AA915" s="70">
        <v>915</v>
      </c>
      <c r="AB915" s="70"/>
      <c r="AC915" s="71"/>
      <c r="AD915" s="86" t="s">
        <v>24525</v>
      </c>
      <c r="AE915" s="94" t="s">
        <v>23248</v>
      </c>
      <c r="AF915" s="86">
        <v>10</v>
      </c>
      <c r="AG915" s="86">
        <v>7</v>
      </c>
      <c r="AH915" s="86">
        <v>400</v>
      </c>
      <c r="AI915" s="86">
        <v>0</v>
      </c>
      <c r="AJ915" s="86">
        <v>509</v>
      </c>
      <c r="AK915" s="86">
        <v>333</v>
      </c>
      <c r="AL915" s="86" t="b">
        <v>0</v>
      </c>
      <c r="AM915" s="89">
        <v>44308.293379629627</v>
      </c>
      <c r="AN915" s="86" t="s">
        <v>26056</v>
      </c>
      <c r="AO915" s="86" t="s">
        <v>27258</v>
      </c>
      <c r="AP915" s="96" t="str">
        <f>HYPERLINK("https://t.co/z6M7Sbns0k")</f>
        <v>https://t.co/z6M7Sbns0k</v>
      </c>
      <c r="AQ915" s="96" t="str">
        <f>HYPERLINK("http://www.cabimbacorporation.webnode.pt")</f>
        <v>http://www.cabimbacorporation.webnode.pt</v>
      </c>
      <c r="AR915" s="86" t="s">
        <v>28515</v>
      </c>
      <c r="AS915" s="86"/>
      <c r="AT915" s="86"/>
      <c r="AU915" s="86"/>
      <c r="AV915" s="86"/>
      <c r="AW915" s="96" t="str">
        <f>HYPERLINK("https://t.co/z6M7Sbns0k")</f>
        <v>https://t.co/z6M7Sbns0k</v>
      </c>
      <c r="AX915" s="86" t="b">
        <v>0</v>
      </c>
      <c r="AY915" s="86"/>
      <c r="AZ915" s="86"/>
      <c r="BA915" s="86" t="b">
        <v>0</v>
      </c>
      <c r="BB915" s="86" t="b">
        <v>1</v>
      </c>
      <c r="BC915" s="86" t="b">
        <v>1</v>
      </c>
      <c r="BD915" s="86" t="b">
        <v>0</v>
      </c>
      <c r="BE915" s="86" t="b">
        <v>0</v>
      </c>
      <c r="BF915" s="86" t="b">
        <v>0</v>
      </c>
      <c r="BG915" s="86" t="b">
        <v>0</v>
      </c>
      <c r="BH915" s="96" t="str">
        <f>HYPERLINK("https://pbs.twimg.com/profile_banners/1385126747558060032/1674737483")</f>
        <v>https://pbs.twimg.com/profile_banners/1385126747558060032/1674737483</v>
      </c>
      <c r="BI915" s="86"/>
      <c r="BJ915" s="86" t="s">
        <v>29134</v>
      </c>
      <c r="BK915" s="86" t="b">
        <v>0</v>
      </c>
      <c r="BL915" s="86"/>
      <c r="BM915" s="86" t="s">
        <v>66</v>
      </c>
      <c r="BN915" s="86" t="s">
        <v>29136</v>
      </c>
      <c r="BO915" s="96" t="str">
        <f>HYPERLINK("https://twitter.com/cabimbacorporat")</f>
        <v>https://twitter.com/cabimbacorporat</v>
      </c>
      <c r="BP915" s="2"/>
    </row>
    <row r="916" spans="1:68" x14ac:dyDescent="0.25">
      <c r="A916" s="63" t="s">
        <v>1023</v>
      </c>
      <c r="B916" s="64"/>
      <c r="C916" s="64"/>
      <c r="D916" s="65"/>
      <c r="E916" s="67"/>
      <c r="F916" s="111" t="str">
        <f>HYPERLINK("https://pbs.twimg.com/profile_images/1630512020708630528/q0_3PHw4_normal.jpg")</f>
        <v>https://pbs.twimg.com/profile_images/1630512020708630528/q0_3PHw4_normal.jpg</v>
      </c>
      <c r="G916" s="64"/>
      <c r="H916" s="68"/>
      <c r="I916" s="69"/>
      <c r="J916" s="69"/>
      <c r="K916" s="68" t="s">
        <v>30049</v>
      </c>
      <c r="L916" s="72"/>
      <c r="M916" s="73"/>
      <c r="N916" s="73"/>
      <c r="O916" s="74"/>
      <c r="P916" s="75"/>
      <c r="Q916" s="75"/>
      <c r="R916" s="102"/>
      <c r="S916" s="102"/>
      <c r="T916" s="102"/>
      <c r="U916" s="102"/>
      <c r="V916" s="48"/>
      <c r="W916" s="48"/>
      <c r="X916" s="48"/>
      <c r="Y916" s="48"/>
      <c r="Z916" s="47"/>
      <c r="AA916" s="70">
        <v>916</v>
      </c>
      <c r="AB916" s="70"/>
      <c r="AC916" s="71"/>
      <c r="AD916" s="86" t="s">
        <v>24526</v>
      </c>
      <c r="AE916" s="94" t="s">
        <v>25574</v>
      </c>
      <c r="AF916" s="86">
        <v>776</v>
      </c>
      <c r="AG916" s="86">
        <v>462</v>
      </c>
      <c r="AH916" s="86">
        <v>10410</v>
      </c>
      <c r="AI916" s="86">
        <v>24</v>
      </c>
      <c r="AJ916" s="86">
        <v>160</v>
      </c>
      <c r="AK916" s="86">
        <v>1822</v>
      </c>
      <c r="AL916" s="86" t="b">
        <v>0</v>
      </c>
      <c r="AM916" s="89">
        <v>41779.848333333335</v>
      </c>
      <c r="AN916" s="86"/>
      <c r="AO916" s="86" t="s">
        <v>27259</v>
      </c>
      <c r="AP916" s="96" t="str">
        <f>HYPERLINK("https://t.co/T1hXwtdILg")</f>
        <v>https://t.co/T1hXwtdILg</v>
      </c>
      <c r="AQ916" s="96" t="str">
        <f>HYPERLINK("https://linktr.ee/rederuralnacional")</f>
        <v>https://linktr.ee/rederuralnacional</v>
      </c>
      <c r="AR916" s="86" t="s">
        <v>28516</v>
      </c>
      <c r="AS916" s="86"/>
      <c r="AT916" s="86"/>
      <c r="AU916" s="86"/>
      <c r="AV916" s="86"/>
      <c r="AW916" s="96" t="str">
        <f>HYPERLINK("https://t.co/T1hXwtdILg")</f>
        <v>https://t.co/T1hXwtdILg</v>
      </c>
      <c r="AX916" s="86" t="b">
        <v>0</v>
      </c>
      <c r="AY916" s="86"/>
      <c r="AZ916" s="86"/>
      <c r="BA916" s="86" t="b">
        <v>0</v>
      </c>
      <c r="BB916" s="86" t="b">
        <v>1</v>
      </c>
      <c r="BC916" s="86" t="b">
        <v>1</v>
      </c>
      <c r="BD916" s="86" t="b">
        <v>0</v>
      </c>
      <c r="BE916" s="86" t="b">
        <v>0</v>
      </c>
      <c r="BF916" s="86" t="b">
        <v>0</v>
      </c>
      <c r="BG916" s="86" t="b">
        <v>0</v>
      </c>
      <c r="BH916" s="96" t="str">
        <f>HYPERLINK("https://pbs.twimg.com/profile_banners/2511337554/1673013463")</f>
        <v>https://pbs.twimg.com/profile_banners/2511337554/1673013463</v>
      </c>
      <c r="BI916" s="86"/>
      <c r="BJ916" s="86" t="s">
        <v>29134</v>
      </c>
      <c r="BK916" s="86" t="b">
        <v>0</v>
      </c>
      <c r="BL916" s="86"/>
      <c r="BM916" s="86" t="s">
        <v>66</v>
      </c>
      <c r="BN916" s="86" t="s">
        <v>29136</v>
      </c>
      <c r="BO916" s="96" t="str">
        <f>HYPERLINK("https://twitter.com/pt_rrnacional")</f>
        <v>https://twitter.com/pt_rrnacional</v>
      </c>
      <c r="BP916" s="2"/>
    </row>
    <row r="917" spans="1:68" x14ac:dyDescent="0.25">
      <c r="A917" s="63" t="s">
        <v>1024</v>
      </c>
      <c r="B917" s="64"/>
      <c r="C917" s="64"/>
      <c r="D917" s="65"/>
      <c r="E917" s="67"/>
      <c r="F917" s="111" t="str">
        <f>HYPERLINK("https://pbs.twimg.com/profile_images/1654120958939262977/62n4vfw-_normal.jpg")</f>
        <v>https://pbs.twimg.com/profile_images/1654120958939262977/62n4vfw-_normal.jpg</v>
      </c>
      <c r="G917" s="64"/>
      <c r="H917" s="68"/>
      <c r="I917" s="69"/>
      <c r="J917" s="69"/>
      <c r="K917" s="68" t="s">
        <v>30050</v>
      </c>
      <c r="L917" s="72"/>
      <c r="M917" s="73"/>
      <c r="N917" s="73"/>
      <c r="O917" s="74"/>
      <c r="P917" s="75"/>
      <c r="Q917" s="75"/>
      <c r="R917" s="102"/>
      <c r="S917" s="102"/>
      <c r="T917" s="102"/>
      <c r="U917" s="102"/>
      <c r="V917" s="48"/>
      <c r="W917" s="48"/>
      <c r="X917" s="48"/>
      <c r="Y917" s="48"/>
      <c r="Z917" s="47"/>
      <c r="AA917" s="70">
        <v>917</v>
      </c>
      <c r="AB917" s="70"/>
      <c r="AC917" s="71"/>
      <c r="AD917" s="86" t="s">
        <v>24527</v>
      </c>
      <c r="AE917" s="94" t="s">
        <v>23249</v>
      </c>
      <c r="AF917" s="86">
        <v>2</v>
      </c>
      <c r="AG917" s="86">
        <v>9</v>
      </c>
      <c r="AH917" s="86">
        <v>19</v>
      </c>
      <c r="AI917" s="86">
        <v>0</v>
      </c>
      <c r="AJ917" s="86">
        <v>0</v>
      </c>
      <c r="AK917" s="86">
        <v>9</v>
      </c>
      <c r="AL917" s="86" t="b">
        <v>0</v>
      </c>
      <c r="AM917" s="89">
        <v>45050.553078703706</v>
      </c>
      <c r="AN917" s="86"/>
      <c r="AO917" s="86" t="s">
        <v>27260</v>
      </c>
      <c r="AP917" s="96" t="str">
        <f>HYPERLINK("https://t.co/4zazfctEPo")</f>
        <v>https://t.co/4zazfctEPo</v>
      </c>
      <c r="AQ917" s="96" t="str">
        <f>HYPERLINK("https://go.workshopinteligenciaartificial.com/campaign/instabiowia")</f>
        <v>https://go.workshopinteligenciaartificial.com/campaign/instabiowia</v>
      </c>
      <c r="AR917" s="86" t="s">
        <v>28517</v>
      </c>
      <c r="AS917" s="86"/>
      <c r="AT917" s="86"/>
      <c r="AU917" s="86"/>
      <c r="AV917" s="86"/>
      <c r="AW917" s="96" t="str">
        <f>HYPERLINK("https://t.co/4zazfctEPo")</f>
        <v>https://t.co/4zazfctEPo</v>
      </c>
      <c r="AX917" s="86" t="b">
        <v>0</v>
      </c>
      <c r="AY917" s="86"/>
      <c r="AZ917" s="86"/>
      <c r="BA917" s="86" t="b">
        <v>0</v>
      </c>
      <c r="BB917" s="86" t="b">
        <v>1</v>
      </c>
      <c r="BC917" s="86" t="b">
        <v>1</v>
      </c>
      <c r="BD917" s="86" t="b">
        <v>0</v>
      </c>
      <c r="BE917" s="86" t="b">
        <v>0</v>
      </c>
      <c r="BF917" s="86" t="b">
        <v>0</v>
      </c>
      <c r="BG917" s="86" t="b">
        <v>0</v>
      </c>
      <c r="BH917" s="96" t="str">
        <f>HYPERLINK("https://pbs.twimg.com/profile_banners/1654112653046841349/1683208154")</f>
        <v>https://pbs.twimg.com/profile_banners/1654112653046841349/1683208154</v>
      </c>
      <c r="BI917" s="86"/>
      <c r="BJ917" s="86" t="s">
        <v>29134</v>
      </c>
      <c r="BK917" s="86" t="b">
        <v>0</v>
      </c>
      <c r="BL917" s="86"/>
      <c r="BM917" s="86" t="s">
        <v>66</v>
      </c>
      <c r="BN917" s="86" t="s">
        <v>29136</v>
      </c>
      <c r="BO917" s="96" t="str">
        <f>HYPERLINK("https://twitter.com/baracho_ka59892")</f>
        <v>https://twitter.com/baracho_ka59892</v>
      </c>
      <c r="BP917" s="2"/>
    </row>
    <row r="918" spans="1:68" x14ac:dyDescent="0.25">
      <c r="A918" s="63" t="s">
        <v>1025</v>
      </c>
      <c r="B918" s="64"/>
      <c r="C918" s="64"/>
      <c r="D918" s="65"/>
      <c r="E918" s="67"/>
      <c r="F918" s="111" t="str">
        <f>HYPERLINK("https://pbs.twimg.com/profile_images/1665176242650324993/eTXbiRhr_normal.jpg")</f>
        <v>https://pbs.twimg.com/profile_images/1665176242650324993/eTXbiRhr_normal.jpg</v>
      </c>
      <c r="G918" s="64"/>
      <c r="H918" s="68"/>
      <c r="I918" s="69"/>
      <c r="J918" s="69"/>
      <c r="K918" s="68" t="s">
        <v>30051</v>
      </c>
      <c r="L918" s="72"/>
      <c r="M918" s="73"/>
      <c r="N918" s="73"/>
      <c r="O918" s="74"/>
      <c r="P918" s="75"/>
      <c r="Q918" s="75"/>
      <c r="R918" s="102"/>
      <c r="S918" s="102"/>
      <c r="T918" s="102"/>
      <c r="U918" s="102"/>
      <c r="V918" s="48"/>
      <c r="W918" s="48"/>
      <c r="X918" s="48"/>
      <c r="Y918" s="48"/>
      <c r="Z918" s="47"/>
      <c r="AA918" s="70">
        <v>918</v>
      </c>
      <c r="AB918" s="70"/>
      <c r="AC918" s="71"/>
      <c r="AD918" s="86" t="s">
        <v>24528</v>
      </c>
      <c r="AE918" s="94" t="s">
        <v>23250</v>
      </c>
      <c r="AF918" s="86">
        <v>2</v>
      </c>
      <c r="AG918" s="86">
        <v>58</v>
      </c>
      <c r="AH918" s="86">
        <v>20</v>
      </c>
      <c r="AI918" s="86">
        <v>0</v>
      </c>
      <c r="AJ918" s="86">
        <v>67</v>
      </c>
      <c r="AK918" s="86">
        <v>1</v>
      </c>
      <c r="AL918" s="86" t="b">
        <v>0</v>
      </c>
      <c r="AM918" s="89">
        <v>44473.88685185185</v>
      </c>
      <c r="AN918" s="86" t="s">
        <v>15285</v>
      </c>
      <c r="AO918" s="86" t="s">
        <v>27261</v>
      </c>
      <c r="AP918" s="86"/>
      <c r="AQ918" s="86"/>
      <c r="AR918" s="86"/>
      <c r="AS918" s="86"/>
      <c r="AT918" s="86"/>
      <c r="AU918" s="86"/>
      <c r="AV918" s="86"/>
      <c r="AW918" s="86"/>
      <c r="AX918" s="86" t="b">
        <v>0</v>
      </c>
      <c r="AY918" s="86"/>
      <c r="AZ918" s="86"/>
      <c r="BA918" s="86" t="b">
        <v>0</v>
      </c>
      <c r="BB918" s="86" t="b">
        <v>1</v>
      </c>
      <c r="BC918" s="86" t="b">
        <v>1</v>
      </c>
      <c r="BD918" s="86" t="b">
        <v>0</v>
      </c>
      <c r="BE918" s="86" t="b">
        <v>0</v>
      </c>
      <c r="BF918" s="86" t="b">
        <v>0</v>
      </c>
      <c r="BG918" s="86" t="b">
        <v>0</v>
      </c>
      <c r="BH918" s="96" t="str">
        <f>HYPERLINK("https://pbs.twimg.com/profile_banners/1445135827605073929/1685843965")</f>
        <v>https://pbs.twimg.com/profile_banners/1445135827605073929/1685843965</v>
      </c>
      <c r="BI918" s="86"/>
      <c r="BJ918" s="86" t="s">
        <v>29134</v>
      </c>
      <c r="BK918" s="86" t="b">
        <v>0</v>
      </c>
      <c r="BL918" s="86"/>
      <c r="BM918" s="86" t="s">
        <v>66</v>
      </c>
      <c r="BN918" s="86" t="s">
        <v>29136</v>
      </c>
      <c r="BO918" s="96" t="str">
        <f>HYPERLINK("https://twitter.com/gaby_nunes142")</f>
        <v>https://twitter.com/gaby_nunes142</v>
      </c>
      <c r="BP918" s="2"/>
    </row>
    <row r="919" spans="1:68" x14ac:dyDescent="0.25">
      <c r="A919" s="63" t="s">
        <v>1026</v>
      </c>
      <c r="B919" s="64"/>
      <c r="C919" s="64"/>
      <c r="D919" s="65"/>
      <c r="E919" s="67"/>
      <c r="F919" s="111" t="str">
        <f>HYPERLINK("https://pbs.twimg.com/profile_images/1684232282175950851/CuSBiMn8_normal.png")</f>
        <v>https://pbs.twimg.com/profile_images/1684232282175950851/CuSBiMn8_normal.png</v>
      </c>
      <c r="G919" s="64"/>
      <c r="H919" s="68"/>
      <c r="I919" s="69"/>
      <c r="J919" s="69"/>
      <c r="K919" s="68" t="s">
        <v>30052</v>
      </c>
      <c r="L919" s="72"/>
      <c r="M919" s="73"/>
      <c r="N919" s="73"/>
      <c r="O919" s="74"/>
      <c r="P919" s="75"/>
      <c r="Q919" s="75"/>
      <c r="R919" s="102"/>
      <c r="S919" s="102"/>
      <c r="T919" s="102"/>
      <c r="U919" s="102"/>
      <c r="V919" s="48"/>
      <c r="W919" s="48"/>
      <c r="X919" s="48"/>
      <c r="Y919" s="48"/>
      <c r="Z919" s="47"/>
      <c r="AA919" s="70">
        <v>919</v>
      </c>
      <c r="AB919" s="70"/>
      <c r="AC919" s="71"/>
      <c r="AD919" s="86" t="s">
        <v>24529</v>
      </c>
      <c r="AE919" s="94" t="s">
        <v>22605</v>
      </c>
      <c r="AF919" s="86">
        <v>35</v>
      </c>
      <c r="AG919" s="86">
        <v>153</v>
      </c>
      <c r="AH919" s="86">
        <v>15</v>
      </c>
      <c r="AI919" s="86">
        <v>1</v>
      </c>
      <c r="AJ919" s="86">
        <v>164</v>
      </c>
      <c r="AK919" s="86">
        <v>8</v>
      </c>
      <c r="AL919" s="86" t="b">
        <v>0</v>
      </c>
      <c r="AM919" s="89">
        <v>44389.39334490741</v>
      </c>
      <c r="AN919" s="86"/>
      <c r="AO919" s="86" t="s">
        <v>27262</v>
      </c>
      <c r="AP919" s="86"/>
      <c r="AQ919" s="86"/>
      <c r="AR919" s="86"/>
      <c r="AS919" s="86"/>
      <c r="AT919" s="86"/>
      <c r="AU919" s="86"/>
      <c r="AV919" s="86"/>
      <c r="AW919" s="86"/>
      <c r="AX919" s="86" t="b">
        <v>0</v>
      </c>
      <c r="AY919" s="86"/>
      <c r="AZ919" s="86"/>
      <c r="BA919" s="86" t="b">
        <v>0</v>
      </c>
      <c r="BB919" s="86" t="b">
        <v>1</v>
      </c>
      <c r="BC919" s="86" t="b">
        <v>1</v>
      </c>
      <c r="BD919" s="86" t="b">
        <v>0</v>
      </c>
      <c r="BE919" s="86" t="b">
        <v>0</v>
      </c>
      <c r="BF919" s="86" t="b">
        <v>0</v>
      </c>
      <c r="BG919" s="86" t="b">
        <v>0</v>
      </c>
      <c r="BH919" s="96" t="str">
        <f>HYPERLINK("https://pbs.twimg.com/profile_banners/1414516436450660359/1690387244")</f>
        <v>https://pbs.twimg.com/profile_banners/1414516436450660359/1690387244</v>
      </c>
      <c r="BI919" s="86"/>
      <c r="BJ919" s="86" t="s">
        <v>29134</v>
      </c>
      <c r="BK919" s="86" t="b">
        <v>0</v>
      </c>
      <c r="BL919" s="86"/>
      <c r="BM919" s="86" t="s">
        <v>66</v>
      </c>
      <c r="BN919" s="86" t="s">
        <v>29136</v>
      </c>
      <c r="BO919" s="96" t="str">
        <f>HYPERLINK("https://twitter.com/naseemjamaa")</f>
        <v>https://twitter.com/naseemjamaa</v>
      </c>
      <c r="BP919" s="2"/>
    </row>
    <row r="920" spans="1:68" x14ac:dyDescent="0.25">
      <c r="A920" s="63" t="s">
        <v>1027</v>
      </c>
      <c r="B920" s="64"/>
      <c r="C920" s="64"/>
      <c r="D920" s="65"/>
      <c r="E920" s="67"/>
      <c r="F920" s="111" t="str">
        <f>HYPERLINK("https://pbs.twimg.com/profile_images/1698725471733923840/uvJxdJSz_normal.jpg")</f>
        <v>https://pbs.twimg.com/profile_images/1698725471733923840/uvJxdJSz_normal.jpg</v>
      </c>
      <c r="G920" s="64"/>
      <c r="H920" s="68"/>
      <c r="I920" s="69"/>
      <c r="J920" s="69"/>
      <c r="K920" s="68" t="s">
        <v>30053</v>
      </c>
      <c r="L920" s="72"/>
      <c r="M920" s="73"/>
      <c r="N920" s="73"/>
      <c r="O920" s="74"/>
      <c r="P920" s="75"/>
      <c r="Q920" s="75"/>
      <c r="R920" s="102"/>
      <c r="S920" s="102"/>
      <c r="T920" s="102"/>
      <c r="U920" s="102"/>
      <c r="V920" s="48"/>
      <c r="W920" s="48"/>
      <c r="X920" s="48"/>
      <c r="Y920" s="48"/>
      <c r="Z920" s="47"/>
      <c r="AA920" s="70">
        <v>920</v>
      </c>
      <c r="AB920" s="70"/>
      <c r="AC920" s="71"/>
      <c r="AD920" s="86" t="s">
        <v>24530</v>
      </c>
      <c r="AE920" s="94" t="s">
        <v>23251</v>
      </c>
      <c r="AF920" s="86">
        <v>33</v>
      </c>
      <c r="AG920" s="86">
        <v>239</v>
      </c>
      <c r="AH920" s="86">
        <v>109</v>
      </c>
      <c r="AI920" s="86">
        <v>0</v>
      </c>
      <c r="AJ920" s="86">
        <v>46</v>
      </c>
      <c r="AK920" s="86">
        <v>7</v>
      </c>
      <c r="AL920" s="86" t="b">
        <v>0</v>
      </c>
      <c r="AM920" s="89">
        <v>44581.72247685185</v>
      </c>
      <c r="AN920" s="86"/>
      <c r="AO920" s="86" t="s">
        <v>27263</v>
      </c>
      <c r="AP920" s="86"/>
      <c r="AQ920" s="86"/>
      <c r="AR920" s="86"/>
      <c r="AS920" s="86"/>
      <c r="AT920" s="86"/>
      <c r="AU920" s="86"/>
      <c r="AV920" s="86"/>
      <c r="AW920" s="86"/>
      <c r="AX920" s="86" t="b">
        <v>0</v>
      </c>
      <c r="AY920" s="86"/>
      <c r="AZ920" s="86"/>
      <c r="BA920" s="86" t="b">
        <v>0</v>
      </c>
      <c r="BB920" s="86" t="b">
        <v>1</v>
      </c>
      <c r="BC920" s="86" t="b">
        <v>1</v>
      </c>
      <c r="BD920" s="86" t="b">
        <v>0</v>
      </c>
      <c r="BE920" s="86" t="b">
        <v>1</v>
      </c>
      <c r="BF920" s="86" t="b">
        <v>0</v>
      </c>
      <c r="BG920" s="86" t="b">
        <v>0</v>
      </c>
      <c r="BH920" s="96" t="str">
        <f>HYPERLINK("https://pbs.twimg.com/profile_banners/1484214146837082112/1642700716")</f>
        <v>https://pbs.twimg.com/profile_banners/1484214146837082112/1642700716</v>
      </c>
      <c r="BI920" s="86"/>
      <c r="BJ920" s="86" t="s">
        <v>29134</v>
      </c>
      <c r="BK920" s="86" t="b">
        <v>0</v>
      </c>
      <c r="BL920" s="86"/>
      <c r="BM920" s="86" t="s">
        <v>66</v>
      </c>
      <c r="BN920" s="86" t="s">
        <v>29136</v>
      </c>
      <c r="BO920" s="96" t="str">
        <f>HYPERLINK("https://twitter.com/6villcam")</f>
        <v>https://twitter.com/6villcam</v>
      </c>
      <c r="BP920" s="2"/>
    </row>
    <row r="921" spans="1:68" x14ac:dyDescent="0.25">
      <c r="A921" s="63" t="s">
        <v>1028</v>
      </c>
      <c r="B921" s="64"/>
      <c r="C921" s="64"/>
      <c r="D921" s="65"/>
      <c r="E921" s="67"/>
      <c r="F921" s="111" t="str">
        <f>HYPERLINK("https://pbs.twimg.com/profile_images/1675083322362396672/W-Zm_AJI_normal.jpg")</f>
        <v>https://pbs.twimg.com/profile_images/1675083322362396672/W-Zm_AJI_normal.jpg</v>
      </c>
      <c r="G921" s="64"/>
      <c r="H921" s="68"/>
      <c r="I921" s="69"/>
      <c r="J921" s="69"/>
      <c r="K921" s="68" t="s">
        <v>30054</v>
      </c>
      <c r="L921" s="72"/>
      <c r="M921" s="73"/>
      <c r="N921" s="73"/>
      <c r="O921" s="74"/>
      <c r="P921" s="75"/>
      <c r="Q921" s="75"/>
      <c r="R921" s="102"/>
      <c r="S921" s="102"/>
      <c r="T921" s="102"/>
      <c r="U921" s="102"/>
      <c r="V921" s="48"/>
      <c r="W921" s="48"/>
      <c r="X921" s="48"/>
      <c r="Y921" s="48"/>
      <c r="Z921" s="47"/>
      <c r="AA921" s="70">
        <v>921</v>
      </c>
      <c r="AB921" s="70"/>
      <c r="AC921" s="71"/>
      <c r="AD921" s="86" t="s">
        <v>24531</v>
      </c>
      <c r="AE921" s="94" t="s">
        <v>23252</v>
      </c>
      <c r="AF921" s="86">
        <v>3</v>
      </c>
      <c r="AG921" s="86">
        <v>4</v>
      </c>
      <c r="AH921" s="86">
        <v>22</v>
      </c>
      <c r="AI921" s="86">
        <v>0</v>
      </c>
      <c r="AJ921" s="86">
        <v>2</v>
      </c>
      <c r="AK921" s="86">
        <v>20</v>
      </c>
      <c r="AL921" s="86" t="b">
        <v>0</v>
      </c>
      <c r="AM921" s="89">
        <v>45078.452916666669</v>
      </c>
      <c r="AN921" s="86"/>
      <c r="AO921" s="86"/>
      <c r="AP921" s="86"/>
      <c r="AQ921" s="86"/>
      <c r="AR921" s="86"/>
      <c r="AS921" s="86"/>
      <c r="AT921" s="86"/>
      <c r="AU921" s="86"/>
      <c r="AV921" s="86"/>
      <c r="AW921" s="86"/>
      <c r="AX921" s="86" t="b">
        <v>0</v>
      </c>
      <c r="AY921" s="86"/>
      <c r="AZ921" s="86"/>
      <c r="BA921" s="86" t="b">
        <v>0</v>
      </c>
      <c r="BB921" s="86" t="b">
        <v>1</v>
      </c>
      <c r="BC921" s="86" t="b">
        <v>1</v>
      </c>
      <c r="BD921" s="86" t="b">
        <v>0</v>
      </c>
      <c r="BE921" s="86" t="b">
        <v>0</v>
      </c>
      <c r="BF921" s="86" t="b">
        <v>0</v>
      </c>
      <c r="BG921" s="86" t="b">
        <v>0</v>
      </c>
      <c r="BH921" s="86"/>
      <c r="BI921" s="86"/>
      <c r="BJ921" s="86" t="s">
        <v>29134</v>
      </c>
      <c r="BK921" s="86" t="b">
        <v>0</v>
      </c>
      <c r="BL921" s="86"/>
      <c r="BM921" s="86" t="s">
        <v>66</v>
      </c>
      <c r="BN921" s="86" t="s">
        <v>29136</v>
      </c>
      <c r="BO921" s="96" t="str">
        <f>HYPERLINK("https://twitter.com/cristinersoares")</f>
        <v>https://twitter.com/cristinersoares</v>
      </c>
      <c r="BP921" s="2"/>
    </row>
    <row r="922" spans="1:68" x14ac:dyDescent="0.25">
      <c r="A922" s="63" t="s">
        <v>1029</v>
      </c>
      <c r="B922" s="64"/>
      <c r="C922" s="64"/>
      <c r="D922" s="65"/>
      <c r="E922" s="67"/>
      <c r="F922" s="111" t="str">
        <f>HYPERLINK("https://pbs.twimg.com/profile_images/1699576848517120000/x4ETPKj6_normal.jpg")</f>
        <v>https://pbs.twimg.com/profile_images/1699576848517120000/x4ETPKj6_normal.jpg</v>
      </c>
      <c r="G922" s="64"/>
      <c r="H922" s="68"/>
      <c r="I922" s="69"/>
      <c r="J922" s="69"/>
      <c r="K922" s="68" t="s">
        <v>30055</v>
      </c>
      <c r="L922" s="72"/>
      <c r="M922" s="73"/>
      <c r="N922" s="73"/>
      <c r="O922" s="74"/>
      <c r="P922" s="75"/>
      <c r="Q922" s="75"/>
      <c r="R922" s="102"/>
      <c r="S922" s="102"/>
      <c r="T922" s="102"/>
      <c r="U922" s="102"/>
      <c r="V922" s="48"/>
      <c r="W922" s="48"/>
      <c r="X922" s="48"/>
      <c r="Y922" s="48"/>
      <c r="Z922" s="47"/>
      <c r="AA922" s="70">
        <v>922</v>
      </c>
      <c r="AB922" s="70"/>
      <c r="AC922" s="71"/>
      <c r="AD922" s="86" t="s">
        <v>24532</v>
      </c>
      <c r="AE922" s="94" t="s">
        <v>23253</v>
      </c>
      <c r="AF922" s="86">
        <v>1</v>
      </c>
      <c r="AG922" s="86">
        <v>6</v>
      </c>
      <c r="AH922" s="86">
        <v>175</v>
      </c>
      <c r="AI922" s="86">
        <v>0</v>
      </c>
      <c r="AJ922" s="86">
        <v>124</v>
      </c>
      <c r="AK922" s="86">
        <v>132</v>
      </c>
      <c r="AL922" s="86" t="b">
        <v>0</v>
      </c>
      <c r="AM922" s="89">
        <v>45068.052430555559</v>
      </c>
      <c r="AN922" s="86" t="s">
        <v>26214</v>
      </c>
      <c r="AO922" s="86" t="s">
        <v>27264</v>
      </c>
      <c r="AP922" s="96" t="str">
        <f>HYPERLINK("https://t.co/BlyNKfdKb4")</f>
        <v>https://t.co/BlyNKfdKb4</v>
      </c>
      <c r="AQ922" s="96" t="str">
        <f>HYPERLINK("http://www.charmecaprichoecia.com.br/")</f>
        <v>http://www.charmecaprichoecia.com.br/</v>
      </c>
      <c r="AR922" s="86" t="s">
        <v>28518</v>
      </c>
      <c r="AS922" s="86"/>
      <c r="AT922" s="86"/>
      <c r="AU922" s="86"/>
      <c r="AV922" s="86"/>
      <c r="AW922" s="96" t="str">
        <f>HYPERLINK("https://t.co/BlyNKfdKb4")</f>
        <v>https://t.co/BlyNKfdKb4</v>
      </c>
      <c r="AX922" s="86" t="b">
        <v>0</v>
      </c>
      <c r="AY922" s="86"/>
      <c r="AZ922" s="86"/>
      <c r="BA922" s="86" t="b">
        <v>0</v>
      </c>
      <c r="BB922" s="86" t="b">
        <v>1</v>
      </c>
      <c r="BC922" s="86" t="b">
        <v>1</v>
      </c>
      <c r="BD922" s="86" t="b">
        <v>0</v>
      </c>
      <c r="BE922" s="86" t="b">
        <v>0</v>
      </c>
      <c r="BF922" s="86" t="b">
        <v>0</v>
      </c>
      <c r="BG922" s="86" t="b">
        <v>0</v>
      </c>
      <c r="BH922" s="96" t="str">
        <f>HYPERLINK("https://pbs.twimg.com/profile_banners/1660454188378095618/1684790695")</f>
        <v>https://pbs.twimg.com/profile_banners/1660454188378095618/1684790695</v>
      </c>
      <c r="BI922" s="86"/>
      <c r="BJ922" s="86" t="s">
        <v>29134</v>
      </c>
      <c r="BK922" s="86" t="b">
        <v>0</v>
      </c>
      <c r="BL922" s="86"/>
      <c r="BM922" s="86" t="s">
        <v>66</v>
      </c>
      <c r="BN922" s="86" t="s">
        <v>29136</v>
      </c>
      <c r="BO922" s="96" t="str">
        <f>HYPERLINK("https://twitter.com/kevinkleinreal")</f>
        <v>https://twitter.com/kevinkleinreal</v>
      </c>
      <c r="BP922" s="2"/>
    </row>
    <row r="923" spans="1:68" x14ac:dyDescent="0.25">
      <c r="A923" s="63" t="s">
        <v>1030</v>
      </c>
      <c r="B923" s="64"/>
      <c r="C923" s="64"/>
      <c r="D923" s="65"/>
      <c r="E923" s="67"/>
      <c r="F923" s="111" t="str">
        <f>HYPERLINK("https://pbs.twimg.com/profile_images/1699425705455443968/Ds1xSC8u_normal.jpg")</f>
        <v>https://pbs.twimg.com/profile_images/1699425705455443968/Ds1xSC8u_normal.jpg</v>
      </c>
      <c r="G923" s="64"/>
      <c r="H923" s="68"/>
      <c r="I923" s="69"/>
      <c r="J923" s="69"/>
      <c r="K923" s="68" t="s">
        <v>30056</v>
      </c>
      <c r="L923" s="72"/>
      <c r="M923" s="73"/>
      <c r="N923" s="73"/>
      <c r="O923" s="74"/>
      <c r="P923" s="75"/>
      <c r="Q923" s="75"/>
      <c r="R923" s="102"/>
      <c r="S923" s="102"/>
      <c r="T923" s="102"/>
      <c r="U923" s="102"/>
      <c r="V923" s="48"/>
      <c r="W923" s="48"/>
      <c r="X923" s="48"/>
      <c r="Y923" s="48"/>
      <c r="Z923" s="47"/>
      <c r="AA923" s="70">
        <v>923</v>
      </c>
      <c r="AB923" s="70"/>
      <c r="AC923" s="71"/>
      <c r="AD923" s="86" t="s">
        <v>24533</v>
      </c>
      <c r="AE923" s="94" t="s">
        <v>25575</v>
      </c>
      <c r="AF923" s="86">
        <v>19007</v>
      </c>
      <c r="AG923" s="86">
        <v>1074</v>
      </c>
      <c r="AH923" s="86">
        <v>11978</v>
      </c>
      <c r="AI923" s="86">
        <v>47</v>
      </c>
      <c r="AJ923" s="86">
        <v>3085</v>
      </c>
      <c r="AK923" s="86">
        <v>299</v>
      </c>
      <c r="AL923" s="86" t="b">
        <v>0</v>
      </c>
      <c r="AM923" s="89">
        <v>40210.660150462965</v>
      </c>
      <c r="AN923" s="86" t="s">
        <v>26108</v>
      </c>
      <c r="AO923" s="86" t="s">
        <v>27265</v>
      </c>
      <c r="AP923" s="96" t="str">
        <f>HYPERLINK("https://t.co/XJTbAMcYvX")</f>
        <v>https://t.co/XJTbAMcYvX</v>
      </c>
      <c r="AQ923" s="96" t="str">
        <f>HYPERLINK("http://www.celsodomingos.com")</f>
        <v>http://www.celsodomingos.com</v>
      </c>
      <c r="AR923" s="86" t="s">
        <v>28519</v>
      </c>
      <c r="AS923" s="86"/>
      <c r="AT923" s="86"/>
      <c r="AU923" s="86"/>
      <c r="AV923" s="86">
        <v>1.7022284860965901E+18</v>
      </c>
      <c r="AW923" s="96" t="str">
        <f>HYPERLINK("https://t.co/XJTbAMcYvX")</f>
        <v>https://t.co/XJTbAMcYvX</v>
      </c>
      <c r="AX923" s="86" t="b">
        <v>0</v>
      </c>
      <c r="AY923" s="86"/>
      <c r="AZ923" s="86"/>
      <c r="BA923" s="86" t="b">
        <v>0</v>
      </c>
      <c r="BB923" s="86" t="b">
        <v>1</v>
      </c>
      <c r="BC923" s="86" t="b">
        <v>0</v>
      </c>
      <c r="BD923" s="86" t="b">
        <v>0</v>
      </c>
      <c r="BE923" s="86" t="b">
        <v>1</v>
      </c>
      <c r="BF923" s="86" t="b">
        <v>0</v>
      </c>
      <c r="BG923" s="86" t="b">
        <v>0</v>
      </c>
      <c r="BH923" s="96" t="str">
        <f>HYPERLINK("https://pbs.twimg.com/profile_banners/110448665/1624955149")</f>
        <v>https://pbs.twimg.com/profile_banners/110448665/1624955149</v>
      </c>
      <c r="BI923" s="86"/>
      <c r="BJ923" s="86" t="s">
        <v>29134</v>
      </c>
      <c r="BK923" s="86" t="b">
        <v>0</v>
      </c>
      <c r="BL923" s="86"/>
      <c r="BM923" s="86" t="s">
        <v>66</v>
      </c>
      <c r="BN923" s="86" t="s">
        <v>29136</v>
      </c>
      <c r="BO923" s="96" t="str">
        <f>HYPERLINK("https://twitter.com/celsodomingos")</f>
        <v>https://twitter.com/celsodomingos</v>
      </c>
      <c r="BP923" s="2"/>
    </row>
    <row r="924" spans="1:68" x14ac:dyDescent="0.25">
      <c r="A924" s="63" t="s">
        <v>1031</v>
      </c>
      <c r="B924" s="64"/>
      <c r="C924" s="64"/>
      <c r="D924" s="65"/>
      <c r="E924" s="67"/>
      <c r="F924" s="111" t="str">
        <f>HYPERLINK("https://pbs.twimg.com/profile_images/1686412807959465991/cmwv6aE__normal.jpg")</f>
        <v>https://pbs.twimg.com/profile_images/1686412807959465991/cmwv6aE__normal.jpg</v>
      </c>
      <c r="G924" s="64"/>
      <c r="H924" s="68"/>
      <c r="I924" s="69"/>
      <c r="J924" s="69"/>
      <c r="K924" s="68" t="s">
        <v>30057</v>
      </c>
      <c r="L924" s="72"/>
      <c r="M924" s="73"/>
      <c r="N924" s="73"/>
      <c r="O924" s="74"/>
      <c r="P924" s="75"/>
      <c r="Q924" s="75"/>
      <c r="R924" s="102"/>
      <c r="S924" s="102"/>
      <c r="T924" s="102"/>
      <c r="U924" s="102"/>
      <c r="V924" s="48"/>
      <c r="W924" s="48"/>
      <c r="X924" s="48"/>
      <c r="Y924" s="48"/>
      <c r="Z924" s="47"/>
      <c r="AA924" s="70">
        <v>924</v>
      </c>
      <c r="AB924" s="70"/>
      <c r="AC924" s="71"/>
      <c r="AD924" s="86" t="s">
        <v>24534</v>
      </c>
      <c r="AE924" s="94" t="s">
        <v>23254</v>
      </c>
      <c r="AF924" s="86">
        <v>3</v>
      </c>
      <c r="AG924" s="86">
        <v>24</v>
      </c>
      <c r="AH924" s="86">
        <v>52</v>
      </c>
      <c r="AI924" s="86">
        <v>0</v>
      </c>
      <c r="AJ924" s="86">
        <v>64</v>
      </c>
      <c r="AK924" s="86">
        <v>13</v>
      </c>
      <c r="AL924" s="86" t="b">
        <v>0</v>
      </c>
      <c r="AM924" s="89">
        <v>45082.621041666665</v>
      </c>
      <c r="AN924" s="86" t="s">
        <v>26215</v>
      </c>
      <c r="AO924" s="86" t="s">
        <v>27266</v>
      </c>
      <c r="AP924" s="96" t="str">
        <f>HYPERLINK("https://t.co/sg61UFsv7i")</f>
        <v>https://t.co/sg61UFsv7i</v>
      </c>
      <c r="AQ924" s="96" t="str">
        <f>HYPERLINK("https://contate.me/sarahsantiago")</f>
        <v>https://contate.me/sarahsantiago</v>
      </c>
      <c r="AR924" s="86" t="s">
        <v>28520</v>
      </c>
      <c r="AS924" s="86"/>
      <c r="AT924" s="86"/>
      <c r="AU924" s="86"/>
      <c r="AV924" s="86"/>
      <c r="AW924" s="96" t="str">
        <f>HYPERLINK("https://t.co/sg61UFsv7i")</f>
        <v>https://t.co/sg61UFsv7i</v>
      </c>
      <c r="AX924" s="86" t="b">
        <v>0</v>
      </c>
      <c r="AY924" s="86"/>
      <c r="AZ924" s="86"/>
      <c r="BA924" s="86" t="b">
        <v>0</v>
      </c>
      <c r="BB924" s="86" t="b">
        <v>1</v>
      </c>
      <c r="BC924" s="86" t="b">
        <v>1</v>
      </c>
      <c r="BD924" s="86" t="b">
        <v>0</v>
      </c>
      <c r="BE924" s="86" t="b">
        <v>0</v>
      </c>
      <c r="BF924" s="86" t="b">
        <v>0</v>
      </c>
      <c r="BG924" s="86" t="b">
        <v>0</v>
      </c>
      <c r="BH924" s="96" t="str">
        <f>HYPERLINK("https://pbs.twimg.com/profile_banners/1665733706374434819/1689864499")</f>
        <v>https://pbs.twimg.com/profile_banners/1665733706374434819/1689864499</v>
      </c>
      <c r="BI924" s="86"/>
      <c r="BJ924" s="86" t="s">
        <v>29134</v>
      </c>
      <c r="BK924" s="86" t="b">
        <v>0</v>
      </c>
      <c r="BL924" s="86"/>
      <c r="BM924" s="86" t="s">
        <v>66</v>
      </c>
      <c r="BN924" s="86" t="s">
        <v>29136</v>
      </c>
      <c r="BO924" s="96" t="str">
        <f>HYPERLINK("https://twitter.com/sarah_sant1261")</f>
        <v>https://twitter.com/sarah_sant1261</v>
      </c>
      <c r="BP924" s="2"/>
    </row>
    <row r="925" spans="1:68" x14ac:dyDescent="0.25">
      <c r="A925" s="63" t="s">
        <v>1032</v>
      </c>
      <c r="B925" s="64"/>
      <c r="C925" s="64"/>
      <c r="D925" s="65"/>
      <c r="E925" s="67"/>
      <c r="F925" s="111" t="str">
        <f>HYPERLINK("https://pbs.twimg.com/profile_images/1598298273571373060/noXjTob8_normal.jpg")</f>
        <v>https://pbs.twimg.com/profile_images/1598298273571373060/noXjTob8_normal.jpg</v>
      </c>
      <c r="G925" s="64"/>
      <c r="H925" s="68"/>
      <c r="I925" s="69"/>
      <c r="J925" s="69"/>
      <c r="K925" s="68" t="s">
        <v>30058</v>
      </c>
      <c r="L925" s="72"/>
      <c r="M925" s="73"/>
      <c r="N925" s="73"/>
      <c r="O925" s="74"/>
      <c r="P925" s="75"/>
      <c r="Q925" s="75"/>
      <c r="R925" s="102"/>
      <c r="S925" s="102"/>
      <c r="T925" s="102"/>
      <c r="U925" s="102"/>
      <c r="V925" s="48"/>
      <c r="W925" s="48"/>
      <c r="X925" s="48"/>
      <c r="Y925" s="48"/>
      <c r="Z925" s="47"/>
      <c r="AA925" s="70">
        <v>925</v>
      </c>
      <c r="AB925" s="70"/>
      <c r="AC925" s="71"/>
      <c r="AD925" s="86" t="s">
        <v>24535</v>
      </c>
      <c r="AE925" s="94" t="s">
        <v>25576</v>
      </c>
      <c r="AF925" s="86">
        <v>29020</v>
      </c>
      <c r="AG925" s="86">
        <v>164</v>
      </c>
      <c r="AH925" s="86">
        <v>4684</v>
      </c>
      <c r="AI925" s="86">
        <v>133</v>
      </c>
      <c r="AJ925" s="86">
        <v>605</v>
      </c>
      <c r="AK925" s="86">
        <v>678</v>
      </c>
      <c r="AL925" s="86" t="b">
        <v>0</v>
      </c>
      <c r="AM925" s="89">
        <v>39964.0077662037</v>
      </c>
      <c r="AN925" s="86" t="s">
        <v>26216</v>
      </c>
      <c r="AO925" s="86" t="s">
        <v>27267</v>
      </c>
      <c r="AP925" s="96" t="str">
        <f>HYPERLINK("https://t.co/lFERbOa4ZH")</f>
        <v>https://t.co/lFERbOa4ZH</v>
      </c>
      <c r="AQ925" s="96" t="str">
        <f>HYPERLINK("http://www.mackenzie.br")</f>
        <v>http://www.mackenzie.br</v>
      </c>
      <c r="AR925" s="86" t="s">
        <v>8495</v>
      </c>
      <c r="AS925" s="86"/>
      <c r="AT925" s="86"/>
      <c r="AU925" s="86"/>
      <c r="AV925" s="86"/>
      <c r="AW925" s="96" t="str">
        <f>HYPERLINK("https://t.co/lFERbOa4ZH")</f>
        <v>https://t.co/lFERbOa4ZH</v>
      </c>
      <c r="AX925" s="86" t="b">
        <v>0</v>
      </c>
      <c r="AY925" s="86"/>
      <c r="AZ925" s="86"/>
      <c r="BA925" s="86" t="b">
        <v>1</v>
      </c>
      <c r="BB925" s="86" t="b">
        <v>1</v>
      </c>
      <c r="BC925" s="86" t="b">
        <v>0</v>
      </c>
      <c r="BD925" s="86" t="b">
        <v>0</v>
      </c>
      <c r="BE925" s="86" t="b">
        <v>1</v>
      </c>
      <c r="BF925" s="86" t="b">
        <v>0</v>
      </c>
      <c r="BG925" s="86" t="b">
        <v>0</v>
      </c>
      <c r="BH925" s="96" t="str">
        <f>HYPERLINK("https://pbs.twimg.com/profile_banners/43621281/1669899446")</f>
        <v>https://pbs.twimg.com/profile_banners/43621281/1669899446</v>
      </c>
      <c r="BI925" s="86"/>
      <c r="BJ925" s="86" t="s">
        <v>29134</v>
      </c>
      <c r="BK925" s="86" t="b">
        <v>0</v>
      </c>
      <c r="BL925" s="86"/>
      <c r="BM925" s="86" t="s">
        <v>66</v>
      </c>
      <c r="BN925" s="86" t="s">
        <v>29136</v>
      </c>
      <c r="BO925" s="96" t="str">
        <f>HYPERLINK("https://twitter.com/mackenzie1870")</f>
        <v>https://twitter.com/mackenzie1870</v>
      </c>
      <c r="BP925" s="2"/>
    </row>
    <row r="926" spans="1:68" x14ac:dyDescent="0.25">
      <c r="A926" s="63" t="s">
        <v>1033</v>
      </c>
      <c r="B926" s="64"/>
      <c r="C926" s="64"/>
      <c r="D926" s="65"/>
      <c r="E926" s="67"/>
      <c r="F926" s="111" t="str">
        <f>HYPERLINK("https://pbs.twimg.com/profile_images/653680346257563654/KZTg0a3a_normal.jpg")</f>
        <v>https://pbs.twimg.com/profile_images/653680346257563654/KZTg0a3a_normal.jpg</v>
      </c>
      <c r="G926" s="64"/>
      <c r="H926" s="68"/>
      <c r="I926" s="69"/>
      <c r="J926" s="69"/>
      <c r="K926" s="68" t="s">
        <v>30059</v>
      </c>
      <c r="L926" s="72"/>
      <c r="M926" s="73"/>
      <c r="N926" s="73"/>
      <c r="O926" s="74"/>
      <c r="P926" s="75"/>
      <c r="Q926" s="75"/>
      <c r="R926" s="102"/>
      <c r="S926" s="102"/>
      <c r="T926" s="102"/>
      <c r="U926" s="102"/>
      <c r="V926" s="48"/>
      <c r="W926" s="48"/>
      <c r="X926" s="48"/>
      <c r="Y926" s="48"/>
      <c r="Z926" s="47"/>
      <c r="AA926" s="70">
        <v>926</v>
      </c>
      <c r="AB926" s="70"/>
      <c r="AC926" s="71"/>
      <c r="AD926" s="86" t="s">
        <v>24536</v>
      </c>
      <c r="AE926" s="94" t="s">
        <v>25577</v>
      </c>
      <c r="AF926" s="86">
        <v>4721</v>
      </c>
      <c r="AG926" s="86">
        <v>142</v>
      </c>
      <c r="AH926" s="86">
        <v>6328</v>
      </c>
      <c r="AI926" s="86">
        <v>9</v>
      </c>
      <c r="AJ926" s="86">
        <v>4032</v>
      </c>
      <c r="AK926" s="86">
        <v>2772</v>
      </c>
      <c r="AL926" s="86" t="b">
        <v>0</v>
      </c>
      <c r="AM926" s="89">
        <v>41350.688726851855</v>
      </c>
      <c r="AN926" s="86" t="s">
        <v>15240</v>
      </c>
      <c r="AO926" s="86" t="s">
        <v>27268</v>
      </c>
      <c r="AP926" s="96" t="str">
        <f>HYPERLINK("https://t.co/1KJTT5vIKt")</f>
        <v>https://t.co/1KJTT5vIKt</v>
      </c>
      <c r="AQ926" s="96" t="str">
        <f>HYPERLINK("https://instagram.com/luiserlanger")</f>
        <v>https://instagram.com/luiserlanger</v>
      </c>
      <c r="AR926" s="86" t="s">
        <v>28521</v>
      </c>
      <c r="AS926" s="86"/>
      <c r="AT926" s="86"/>
      <c r="AU926" s="86"/>
      <c r="AV926" s="86"/>
      <c r="AW926" s="96" t="str">
        <f>HYPERLINK("https://t.co/1KJTT5vIKt")</f>
        <v>https://t.co/1KJTT5vIKt</v>
      </c>
      <c r="AX926" s="86" t="b">
        <v>0</v>
      </c>
      <c r="AY926" s="86"/>
      <c r="AZ926" s="86"/>
      <c r="BA926" s="86" t="b">
        <v>0</v>
      </c>
      <c r="BB926" s="86" t="b">
        <v>1</v>
      </c>
      <c r="BC926" s="86" t="b">
        <v>0</v>
      </c>
      <c r="BD926" s="86" t="b">
        <v>0</v>
      </c>
      <c r="BE926" s="86" t="b">
        <v>0</v>
      </c>
      <c r="BF926" s="86" t="b">
        <v>0</v>
      </c>
      <c r="BG926" s="86" t="b">
        <v>0</v>
      </c>
      <c r="BH926" s="96" t="str">
        <f>HYPERLINK("https://pbs.twimg.com/profile_banners/1275414943/1619127170")</f>
        <v>https://pbs.twimg.com/profile_banners/1275414943/1619127170</v>
      </c>
      <c r="BI926" s="86"/>
      <c r="BJ926" s="86" t="s">
        <v>29134</v>
      </c>
      <c r="BK926" s="86" t="b">
        <v>0</v>
      </c>
      <c r="BL926" s="86"/>
      <c r="BM926" s="86" t="s">
        <v>66</v>
      </c>
      <c r="BN926" s="86" t="s">
        <v>29136</v>
      </c>
      <c r="BO926" s="96" t="str">
        <f>HYPERLINK("https://twitter.com/lerlanger")</f>
        <v>https://twitter.com/lerlanger</v>
      </c>
      <c r="BP926" s="2"/>
    </row>
    <row r="927" spans="1:68" x14ac:dyDescent="0.25">
      <c r="A927" s="63" t="s">
        <v>1717</v>
      </c>
      <c r="B927" s="64"/>
      <c r="C927" s="64"/>
      <c r="D927" s="65"/>
      <c r="E927" s="67"/>
      <c r="F927" s="111" t="str">
        <f>HYPERLINK("https://pbs.twimg.com/profile_images/1116126486795292674/bgHfJ-cl_normal.jpg")</f>
        <v>https://pbs.twimg.com/profile_images/1116126486795292674/bgHfJ-cl_normal.jpg</v>
      </c>
      <c r="G927" s="64"/>
      <c r="H927" s="68"/>
      <c r="I927" s="69"/>
      <c r="J927" s="69"/>
      <c r="K927" s="68" t="s">
        <v>30060</v>
      </c>
      <c r="L927" s="72"/>
      <c r="M927" s="73"/>
      <c r="N927" s="73"/>
      <c r="O927" s="74"/>
      <c r="P927" s="75"/>
      <c r="Q927" s="75"/>
      <c r="R927" s="102"/>
      <c r="S927" s="102"/>
      <c r="T927" s="102"/>
      <c r="U927" s="102"/>
      <c r="V927" s="48"/>
      <c r="W927" s="48"/>
      <c r="X927" s="48"/>
      <c r="Y927" s="48"/>
      <c r="Z927" s="47"/>
      <c r="AA927" s="70">
        <v>927</v>
      </c>
      <c r="AB927" s="70"/>
      <c r="AC927" s="71"/>
      <c r="AD927" s="86" t="s">
        <v>24537</v>
      </c>
      <c r="AE927" s="94" t="s">
        <v>25578</v>
      </c>
      <c r="AF927" s="86">
        <v>358</v>
      </c>
      <c r="AG927" s="86">
        <v>107</v>
      </c>
      <c r="AH927" s="86">
        <v>839</v>
      </c>
      <c r="AI927" s="86">
        <v>8</v>
      </c>
      <c r="AJ927" s="86">
        <v>18</v>
      </c>
      <c r="AK927" s="86">
        <v>17</v>
      </c>
      <c r="AL927" s="86" t="b">
        <v>0</v>
      </c>
      <c r="AM927" s="89">
        <v>39835.558923611112</v>
      </c>
      <c r="AN927" s="86"/>
      <c r="AO927" s="86" t="s">
        <v>27269</v>
      </c>
      <c r="AP927" s="86"/>
      <c r="AQ927" s="86"/>
      <c r="AR927" s="86"/>
      <c r="AS927" s="86"/>
      <c r="AT927" s="86"/>
      <c r="AU927" s="86"/>
      <c r="AV927" s="86"/>
      <c r="AW927" s="86"/>
      <c r="AX927" s="86" t="b">
        <v>0</v>
      </c>
      <c r="AY927" s="86"/>
      <c r="AZ927" s="86"/>
      <c r="BA927" s="86" t="b">
        <v>0</v>
      </c>
      <c r="BB927" s="86" t="b">
        <v>1</v>
      </c>
      <c r="BC927" s="86" t="b">
        <v>0</v>
      </c>
      <c r="BD927" s="86" t="b">
        <v>0</v>
      </c>
      <c r="BE927" s="86" t="b">
        <v>1</v>
      </c>
      <c r="BF927" s="86" t="b">
        <v>0</v>
      </c>
      <c r="BG927" s="86" t="b">
        <v>0</v>
      </c>
      <c r="BH927" s="96" t="str">
        <f>HYPERLINK("https://pbs.twimg.com/profile_banners/19337819/1554940266")</f>
        <v>https://pbs.twimg.com/profile_banners/19337819/1554940266</v>
      </c>
      <c r="BI927" s="86"/>
      <c r="BJ927" s="86" t="s">
        <v>29134</v>
      </c>
      <c r="BK927" s="86" t="b">
        <v>0</v>
      </c>
      <c r="BL927" s="86"/>
      <c r="BM927" s="86" t="s">
        <v>65</v>
      </c>
      <c r="BN927" s="86" t="s">
        <v>29136</v>
      </c>
      <c r="BO927" s="96" t="str">
        <f>HYPERLINK("https://twitter.com/juliatolipan")</f>
        <v>https://twitter.com/juliatolipan</v>
      </c>
      <c r="BP927" s="2"/>
    </row>
    <row r="928" spans="1:68" x14ac:dyDescent="0.25">
      <c r="A928" s="63" t="s">
        <v>1034</v>
      </c>
      <c r="B928" s="64"/>
      <c r="C928" s="64"/>
      <c r="D928" s="65"/>
      <c r="E928" s="67"/>
      <c r="F928" s="111" t="str">
        <f>HYPERLINK("https://pbs.twimg.com/profile_images/1588887514357587968/F_hZwx8v_normal.jpg")</f>
        <v>https://pbs.twimg.com/profile_images/1588887514357587968/F_hZwx8v_normal.jpg</v>
      </c>
      <c r="G928" s="64"/>
      <c r="H928" s="68"/>
      <c r="I928" s="69"/>
      <c r="J928" s="69"/>
      <c r="K928" s="68" t="s">
        <v>30061</v>
      </c>
      <c r="L928" s="72"/>
      <c r="M928" s="73"/>
      <c r="N928" s="73"/>
      <c r="O928" s="74"/>
      <c r="P928" s="75"/>
      <c r="Q928" s="75"/>
      <c r="R928" s="102"/>
      <c r="S928" s="102"/>
      <c r="T928" s="102"/>
      <c r="U928" s="102"/>
      <c r="V928" s="48"/>
      <c r="W928" s="48"/>
      <c r="X928" s="48"/>
      <c r="Y928" s="48"/>
      <c r="Z928" s="47"/>
      <c r="AA928" s="70">
        <v>928</v>
      </c>
      <c r="AB928" s="70"/>
      <c r="AC928" s="71"/>
      <c r="AD928" s="86" t="s">
        <v>24538</v>
      </c>
      <c r="AE928" s="94" t="s">
        <v>23255</v>
      </c>
      <c r="AF928" s="86">
        <v>63</v>
      </c>
      <c r="AG928" s="86">
        <v>271</v>
      </c>
      <c r="AH928" s="86">
        <v>122</v>
      </c>
      <c r="AI928" s="86">
        <v>3</v>
      </c>
      <c r="AJ928" s="86">
        <v>10</v>
      </c>
      <c r="AK928" s="86">
        <v>45</v>
      </c>
      <c r="AL928" s="86" t="b">
        <v>0</v>
      </c>
      <c r="AM928" s="89">
        <v>44859.887094907404</v>
      </c>
      <c r="AN928" s="86" t="s">
        <v>26217</v>
      </c>
      <c r="AO928" s="86" t="s">
        <v>27270</v>
      </c>
      <c r="AP928" s="86"/>
      <c r="AQ928" s="86"/>
      <c r="AR928" s="86"/>
      <c r="AS928" s="86"/>
      <c r="AT928" s="86"/>
      <c r="AU928" s="86"/>
      <c r="AV928" s="86"/>
      <c r="AW928" s="86"/>
      <c r="AX928" s="86" t="b">
        <v>0</v>
      </c>
      <c r="AY928" s="86"/>
      <c r="AZ928" s="86"/>
      <c r="BA928" s="86" t="b">
        <v>0</v>
      </c>
      <c r="BB928" s="86" t="b">
        <v>1</v>
      </c>
      <c r="BC928" s="86" t="b">
        <v>1</v>
      </c>
      <c r="BD928" s="86" t="b">
        <v>0</v>
      </c>
      <c r="BE928" s="86" t="b">
        <v>0</v>
      </c>
      <c r="BF928" s="86" t="b">
        <v>0</v>
      </c>
      <c r="BG928" s="86" t="b">
        <v>0</v>
      </c>
      <c r="BH928" s="96" t="str">
        <f>HYPERLINK("https://pbs.twimg.com/profile_banners/1585017675901706263/1667655290")</f>
        <v>https://pbs.twimg.com/profile_banners/1585017675901706263/1667655290</v>
      </c>
      <c r="BI928" s="86"/>
      <c r="BJ928" s="86" t="s">
        <v>29134</v>
      </c>
      <c r="BK928" s="86" t="b">
        <v>0</v>
      </c>
      <c r="BL928" s="86"/>
      <c r="BM928" s="86" t="s">
        <v>66</v>
      </c>
      <c r="BN928" s="86" t="s">
        <v>29136</v>
      </c>
      <c r="BO928" s="96" t="str">
        <f>HYPERLINK("https://twitter.com/geckocripto")</f>
        <v>https://twitter.com/geckocripto</v>
      </c>
      <c r="BP928" s="2"/>
    </row>
    <row r="929" spans="1:68" x14ac:dyDescent="0.25">
      <c r="A929" s="63" t="s">
        <v>1035</v>
      </c>
      <c r="B929" s="64"/>
      <c r="C929" s="64"/>
      <c r="D929" s="65"/>
      <c r="E929" s="67"/>
      <c r="F929" s="111" t="str">
        <f>HYPERLINK("https://pbs.twimg.com/profile_images/1830373206/gromit_normal.jpg")</f>
        <v>https://pbs.twimg.com/profile_images/1830373206/gromit_normal.jpg</v>
      </c>
      <c r="G929" s="64"/>
      <c r="H929" s="68"/>
      <c r="I929" s="69"/>
      <c r="J929" s="69"/>
      <c r="K929" s="68" t="s">
        <v>30062</v>
      </c>
      <c r="L929" s="72"/>
      <c r="M929" s="73"/>
      <c r="N929" s="73"/>
      <c r="O929" s="74"/>
      <c r="P929" s="75"/>
      <c r="Q929" s="75"/>
      <c r="R929" s="102"/>
      <c r="S929" s="102"/>
      <c r="T929" s="102"/>
      <c r="U929" s="102"/>
      <c r="V929" s="48"/>
      <c r="W929" s="48"/>
      <c r="X929" s="48"/>
      <c r="Y929" s="48"/>
      <c r="Z929" s="47"/>
      <c r="AA929" s="70">
        <v>929</v>
      </c>
      <c r="AB929" s="70"/>
      <c r="AC929" s="71"/>
      <c r="AD929" s="86" t="s">
        <v>24539</v>
      </c>
      <c r="AE929" s="94" t="s">
        <v>25579</v>
      </c>
      <c r="AF929" s="86">
        <v>612</v>
      </c>
      <c r="AG929" s="86">
        <v>556</v>
      </c>
      <c r="AH929" s="86">
        <v>198450</v>
      </c>
      <c r="AI929" s="86">
        <v>55</v>
      </c>
      <c r="AJ929" s="86">
        <v>28864</v>
      </c>
      <c r="AK929" s="86">
        <v>9752</v>
      </c>
      <c r="AL929" s="86" t="b">
        <v>0</v>
      </c>
      <c r="AM929" s="89">
        <v>40955.085405092592</v>
      </c>
      <c r="AN929" s="86" t="s">
        <v>26218</v>
      </c>
      <c r="AO929" s="86" t="s">
        <v>27271</v>
      </c>
      <c r="AP929" s="86"/>
      <c r="AQ929" s="86"/>
      <c r="AR929" s="86"/>
      <c r="AS929" s="86"/>
      <c r="AT929" s="86"/>
      <c r="AU929" s="86"/>
      <c r="AV929" s="86"/>
      <c r="AW929" s="86"/>
      <c r="AX929" s="86" t="b">
        <v>0</v>
      </c>
      <c r="AY929" s="86"/>
      <c r="AZ929" s="86"/>
      <c r="BA929" s="86" t="b">
        <v>0</v>
      </c>
      <c r="BB929" s="86" t="b">
        <v>0</v>
      </c>
      <c r="BC929" s="86" t="b">
        <v>0</v>
      </c>
      <c r="BD929" s="86" t="b">
        <v>0</v>
      </c>
      <c r="BE929" s="86" t="b">
        <v>0</v>
      </c>
      <c r="BF929" s="86" t="b">
        <v>0</v>
      </c>
      <c r="BG929" s="86" t="b">
        <v>0</v>
      </c>
      <c r="BH929" s="96" t="str">
        <f>HYPERLINK("https://pbs.twimg.com/profile_banners/493671481/1393428120")</f>
        <v>https://pbs.twimg.com/profile_banners/493671481/1393428120</v>
      </c>
      <c r="BI929" s="86"/>
      <c r="BJ929" s="86" t="s">
        <v>29134</v>
      </c>
      <c r="BK929" s="86" t="b">
        <v>0</v>
      </c>
      <c r="BL929" s="86"/>
      <c r="BM929" s="86" t="s">
        <v>66</v>
      </c>
      <c r="BN929" s="86" t="s">
        <v>29136</v>
      </c>
      <c r="BO929" s="96" t="str">
        <f>HYPERLINK("https://twitter.com/c4rim")</f>
        <v>https://twitter.com/c4rim</v>
      </c>
      <c r="BP929" s="2"/>
    </row>
    <row r="930" spans="1:68" x14ac:dyDescent="0.25">
      <c r="A930" s="63" t="s">
        <v>1036</v>
      </c>
      <c r="B930" s="64"/>
      <c r="C930" s="64"/>
      <c r="D930" s="65"/>
      <c r="E930" s="67"/>
      <c r="F930" s="111" t="str">
        <f>HYPERLINK("https://pbs.twimg.com/profile_images/1677025763411853312/PEapbqTo_normal.jpg")</f>
        <v>https://pbs.twimg.com/profile_images/1677025763411853312/PEapbqTo_normal.jpg</v>
      </c>
      <c r="G930" s="64"/>
      <c r="H930" s="68"/>
      <c r="I930" s="69"/>
      <c r="J930" s="69"/>
      <c r="K930" s="68" t="s">
        <v>30063</v>
      </c>
      <c r="L930" s="72"/>
      <c r="M930" s="73"/>
      <c r="N930" s="73"/>
      <c r="O930" s="74"/>
      <c r="P930" s="75"/>
      <c r="Q930" s="75"/>
      <c r="R930" s="102"/>
      <c r="S930" s="102"/>
      <c r="T930" s="102"/>
      <c r="U930" s="102"/>
      <c r="V930" s="48"/>
      <c r="W930" s="48"/>
      <c r="X930" s="48"/>
      <c r="Y930" s="48"/>
      <c r="Z930" s="47"/>
      <c r="AA930" s="70">
        <v>930</v>
      </c>
      <c r="AB930" s="70"/>
      <c r="AC930" s="71"/>
      <c r="AD930" s="86" t="s">
        <v>24540</v>
      </c>
      <c r="AE930" s="94" t="s">
        <v>23256</v>
      </c>
      <c r="AF930" s="86">
        <v>1</v>
      </c>
      <c r="AG930" s="86">
        <v>8</v>
      </c>
      <c r="AH930" s="86">
        <v>220</v>
      </c>
      <c r="AI930" s="86">
        <v>0</v>
      </c>
      <c r="AJ930" s="86">
        <v>12</v>
      </c>
      <c r="AK930" s="86">
        <v>11</v>
      </c>
      <c r="AL930" s="86" t="b">
        <v>0</v>
      </c>
      <c r="AM930" s="89">
        <v>45113.780636574076</v>
      </c>
      <c r="AN930" s="86"/>
      <c r="AO930" s="86"/>
      <c r="AP930" s="86"/>
      <c r="AQ930" s="86"/>
      <c r="AR930" s="86"/>
      <c r="AS930" s="86"/>
      <c r="AT930" s="86"/>
      <c r="AU930" s="86"/>
      <c r="AV930" s="86"/>
      <c r="AW930" s="86"/>
      <c r="AX930" s="86" t="b">
        <v>0</v>
      </c>
      <c r="AY930" s="86"/>
      <c r="AZ930" s="86"/>
      <c r="BA930" s="86" t="b">
        <v>0</v>
      </c>
      <c r="BB930" s="86" t="b">
        <v>1</v>
      </c>
      <c r="BC930" s="86" t="b">
        <v>1</v>
      </c>
      <c r="BD930" s="86" t="b">
        <v>0</v>
      </c>
      <c r="BE930" s="86" t="b">
        <v>0</v>
      </c>
      <c r="BF930" s="86" t="b">
        <v>0</v>
      </c>
      <c r="BG930" s="86" t="b">
        <v>0</v>
      </c>
      <c r="BH930" s="86"/>
      <c r="BI930" s="86"/>
      <c r="BJ930" s="86" t="s">
        <v>29134</v>
      </c>
      <c r="BK930" s="86" t="b">
        <v>0</v>
      </c>
      <c r="BL930" s="86"/>
      <c r="BM930" s="86" t="s">
        <v>66</v>
      </c>
      <c r="BN930" s="86" t="s">
        <v>29136</v>
      </c>
      <c r="BO930" s="96" t="str">
        <f>HYPERLINK("https://twitter.com/nilofalves")</f>
        <v>https://twitter.com/nilofalves</v>
      </c>
      <c r="BP930" s="2"/>
    </row>
    <row r="931" spans="1:68" x14ac:dyDescent="0.25">
      <c r="A931" s="63" t="s">
        <v>1037</v>
      </c>
      <c r="B931" s="64"/>
      <c r="C931" s="64"/>
      <c r="D931" s="65"/>
      <c r="E931" s="67"/>
      <c r="F931" s="111" t="str">
        <f>HYPERLINK("https://pbs.twimg.com/profile_images/1610030983704727554/g7lxaJWD_normal.jpg")</f>
        <v>https://pbs.twimg.com/profile_images/1610030983704727554/g7lxaJWD_normal.jpg</v>
      </c>
      <c r="G931" s="64"/>
      <c r="H931" s="68"/>
      <c r="I931" s="69"/>
      <c r="J931" s="69"/>
      <c r="K931" s="68" t="s">
        <v>30064</v>
      </c>
      <c r="L931" s="72"/>
      <c r="M931" s="73"/>
      <c r="N931" s="73"/>
      <c r="O931" s="74"/>
      <c r="P931" s="75"/>
      <c r="Q931" s="75"/>
      <c r="R931" s="102"/>
      <c r="S931" s="102"/>
      <c r="T931" s="102"/>
      <c r="U931" s="102"/>
      <c r="V931" s="48"/>
      <c r="W931" s="48"/>
      <c r="X931" s="48"/>
      <c r="Y931" s="48"/>
      <c r="Z931" s="47"/>
      <c r="AA931" s="70">
        <v>931</v>
      </c>
      <c r="AB931" s="70"/>
      <c r="AC931" s="71"/>
      <c r="AD931" s="86" t="s">
        <v>24541</v>
      </c>
      <c r="AE931" s="94" t="s">
        <v>23257</v>
      </c>
      <c r="AF931" s="86">
        <v>1218</v>
      </c>
      <c r="AG931" s="86">
        <v>554</v>
      </c>
      <c r="AH931" s="86">
        <v>64633</v>
      </c>
      <c r="AI931" s="86">
        <v>4</v>
      </c>
      <c r="AJ931" s="86">
        <v>126092</v>
      </c>
      <c r="AK931" s="86">
        <v>5701</v>
      </c>
      <c r="AL931" s="86" t="b">
        <v>0</v>
      </c>
      <c r="AM931" s="89">
        <v>42685.779942129629</v>
      </c>
      <c r="AN931" s="86"/>
      <c r="AO931" s="86" t="s">
        <v>27272</v>
      </c>
      <c r="AP931" s="86"/>
      <c r="AQ931" s="86"/>
      <c r="AR931" s="86"/>
      <c r="AS931" s="86"/>
      <c r="AT931" s="86"/>
      <c r="AU931" s="86"/>
      <c r="AV931" s="86">
        <v>1.46029882994159E+18</v>
      </c>
      <c r="AW931" s="86"/>
      <c r="AX931" s="86" t="b">
        <v>0</v>
      </c>
      <c r="AY931" s="86"/>
      <c r="AZ931" s="86"/>
      <c r="BA931" s="86" t="b">
        <v>1</v>
      </c>
      <c r="BB931" s="86" t="b">
        <v>0</v>
      </c>
      <c r="BC931" s="86" t="b">
        <v>1</v>
      </c>
      <c r="BD931" s="86" t="b">
        <v>0</v>
      </c>
      <c r="BE931" s="86" t="b">
        <v>1</v>
      </c>
      <c r="BF931" s="86" t="b">
        <v>0</v>
      </c>
      <c r="BG931" s="86" t="b">
        <v>0</v>
      </c>
      <c r="BH931" s="96" t="str">
        <f>HYPERLINK("https://pbs.twimg.com/profile_banners/797147659064721408/1662935547")</f>
        <v>https://pbs.twimg.com/profile_banners/797147659064721408/1662935547</v>
      </c>
      <c r="BI931" s="86"/>
      <c r="BJ931" s="86" t="s">
        <v>29134</v>
      </c>
      <c r="BK931" s="86" t="b">
        <v>0</v>
      </c>
      <c r="BL931" s="86"/>
      <c r="BM931" s="86" t="s">
        <v>66</v>
      </c>
      <c r="BN931" s="86" t="s">
        <v>29136</v>
      </c>
      <c r="BO931" s="96" t="str">
        <f>HYPERLINK("https://twitter.com/cascaistiago")</f>
        <v>https://twitter.com/cascaistiago</v>
      </c>
      <c r="BP931" s="2"/>
    </row>
    <row r="932" spans="1:68" x14ac:dyDescent="0.25">
      <c r="A932" s="63" t="s">
        <v>1718</v>
      </c>
      <c r="B932" s="64"/>
      <c r="C932" s="64"/>
      <c r="D932" s="65"/>
      <c r="E932" s="67"/>
      <c r="F932" s="111" t="str">
        <f>HYPERLINK("https://pbs.twimg.com/profile_images/1639981804584042498/WvwYzt6H_normal.jpg")</f>
        <v>https://pbs.twimg.com/profile_images/1639981804584042498/WvwYzt6H_normal.jpg</v>
      </c>
      <c r="G932" s="64"/>
      <c r="H932" s="68"/>
      <c r="I932" s="69"/>
      <c r="J932" s="69"/>
      <c r="K932" s="68" t="s">
        <v>30065</v>
      </c>
      <c r="L932" s="72"/>
      <c r="M932" s="73"/>
      <c r="N932" s="73"/>
      <c r="O932" s="74"/>
      <c r="P932" s="75"/>
      <c r="Q932" s="75"/>
      <c r="R932" s="102"/>
      <c r="S932" s="102"/>
      <c r="T932" s="102"/>
      <c r="U932" s="102"/>
      <c r="V932" s="48"/>
      <c r="W932" s="48"/>
      <c r="X932" s="48"/>
      <c r="Y932" s="48"/>
      <c r="Z932" s="47"/>
      <c r="AA932" s="70">
        <v>932</v>
      </c>
      <c r="AB932" s="70"/>
      <c r="AC932" s="71"/>
      <c r="AD932" s="86" t="s">
        <v>24542</v>
      </c>
      <c r="AE932" s="94" t="s">
        <v>22606</v>
      </c>
      <c r="AF932" s="86">
        <v>465</v>
      </c>
      <c r="AG932" s="86">
        <v>1331</v>
      </c>
      <c r="AH932" s="86">
        <v>45988</v>
      </c>
      <c r="AI932" s="86">
        <v>1</v>
      </c>
      <c r="AJ932" s="86">
        <v>124912</v>
      </c>
      <c r="AK932" s="86">
        <v>1418</v>
      </c>
      <c r="AL932" s="86" t="b">
        <v>0</v>
      </c>
      <c r="AM932" s="89">
        <v>41102.313900462963</v>
      </c>
      <c r="AN932" s="86" t="s">
        <v>26219</v>
      </c>
      <c r="AO932" s="86" t="s">
        <v>27273</v>
      </c>
      <c r="AP932" s="96" t="str">
        <f>HYPERLINK("https://t.co/P5jRvfbJw3")</f>
        <v>https://t.co/P5jRvfbJw3</v>
      </c>
      <c r="AQ932" s="96" t="str">
        <f>HYPERLINK("https://soundcloud.com/marco-coelho-3")</f>
        <v>https://soundcloud.com/marco-coelho-3</v>
      </c>
      <c r="AR932" s="86" t="s">
        <v>28522</v>
      </c>
      <c r="AS932" s="86"/>
      <c r="AT932" s="86"/>
      <c r="AU932" s="86"/>
      <c r="AV932" s="86">
        <v>1.50748626865299E+18</v>
      </c>
      <c r="AW932" s="96" t="str">
        <f>HYPERLINK("https://t.co/P5jRvfbJw3")</f>
        <v>https://t.co/P5jRvfbJw3</v>
      </c>
      <c r="AX932" s="86" t="b">
        <v>0</v>
      </c>
      <c r="AY932" s="86"/>
      <c r="AZ932" s="86"/>
      <c r="BA932" s="86" t="b">
        <v>0</v>
      </c>
      <c r="BB932" s="86" t="b">
        <v>1</v>
      </c>
      <c r="BC932" s="86" t="b">
        <v>0</v>
      </c>
      <c r="BD932" s="86" t="b">
        <v>0</v>
      </c>
      <c r="BE932" s="86" t="b">
        <v>1</v>
      </c>
      <c r="BF932" s="86" t="b">
        <v>0</v>
      </c>
      <c r="BG932" s="86" t="b">
        <v>0</v>
      </c>
      <c r="BH932" s="96" t="str">
        <f>HYPERLINK("https://pbs.twimg.com/profile_banners/633549883/1661104549")</f>
        <v>https://pbs.twimg.com/profile_banners/633549883/1661104549</v>
      </c>
      <c r="BI932" s="86"/>
      <c r="BJ932" s="86" t="s">
        <v>29134</v>
      </c>
      <c r="BK932" s="86" t="b">
        <v>0</v>
      </c>
      <c r="BL932" s="86"/>
      <c r="BM932" s="86" t="s">
        <v>65</v>
      </c>
      <c r="BN932" s="86" t="s">
        <v>29136</v>
      </c>
      <c r="BO932" s="96" t="str">
        <f>HYPERLINK("https://twitter.com/fuckyoudeus")</f>
        <v>https://twitter.com/fuckyoudeus</v>
      </c>
      <c r="BP932" s="2"/>
    </row>
    <row r="933" spans="1:68" x14ac:dyDescent="0.25">
      <c r="A933" s="63" t="s">
        <v>1038</v>
      </c>
      <c r="B933" s="64"/>
      <c r="C933" s="64"/>
      <c r="D933" s="65"/>
      <c r="E933" s="67"/>
      <c r="F933" s="111" t="str">
        <f>HYPERLINK("https://pbs.twimg.com/profile_images/1603119575532539904/a93LXo9l_normal.jpg")</f>
        <v>https://pbs.twimg.com/profile_images/1603119575532539904/a93LXo9l_normal.jpg</v>
      </c>
      <c r="G933" s="64"/>
      <c r="H933" s="68"/>
      <c r="I933" s="69"/>
      <c r="J933" s="69"/>
      <c r="K933" s="68" t="s">
        <v>30066</v>
      </c>
      <c r="L933" s="72"/>
      <c r="M933" s="73"/>
      <c r="N933" s="73"/>
      <c r="O933" s="74"/>
      <c r="P933" s="75"/>
      <c r="Q933" s="75"/>
      <c r="R933" s="102"/>
      <c r="S933" s="102"/>
      <c r="T933" s="102"/>
      <c r="U933" s="102"/>
      <c r="V933" s="48"/>
      <c r="W933" s="48"/>
      <c r="X933" s="48"/>
      <c r="Y933" s="48"/>
      <c r="Z933" s="47"/>
      <c r="AA933" s="70">
        <v>933</v>
      </c>
      <c r="AB933" s="70"/>
      <c r="AC933" s="71"/>
      <c r="AD933" s="86" t="s">
        <v>24543</v>
      </c>
      <c r="AE933" s="94" t="s">
        <v>23258</v>
      </c>
      <c r="AF933" s="86">
        <v>5</v>
      </c>
      <c r="AG933" s="86">
        <v>6</v>
      </c>
      <c r="AH933" s="86">
        <v>38</v>
      </c>
      <c r="AI933" s="86">
        <v>0</v>
      </c>
      <c r="AJ933" s="86">
        <v>37</v>
      </c>
      <c r="AK933" s="86">
        <v>18</v>
      </c>
      <c r="AL933" s="86" t="b">
        <v>0</v>
      </c>
      <c r="AM933" s="89">
        <v>44627.851817129631</v>
      </c>
      <c r="AN933" s="86" t="s">
        <v>15242</v>
      </c>
      <c r="AO933" s="86" t="s">
        <v>27274</v>
      </c>
      <c r="AP933" s="96" t="str">
        <f>HYPERLINK("https://t.co/OidlRXGLvt")</f>
        <v>https://t.co/OidlRXGLvt</v>
      </c>
      <c r="AQ933" s="96" t="str">
        <f>HYPERLINK("https://linktr.ee/superjovem8")</f>
        <v>https://linktr.ee/superjovem8</v>
      </c>
      <c r="AR933" s="86" t="s">
        <v>28523</v>
      </c>
      <c r="AS933" s="86"/>
      <c r="AT933" s="86"/>
      <c r="AU933" s="86"/>
      <c r="AV933" s="86"/>
      <c r="AW933" s="96" t="str">
        <f>HYPERLINK("https://t.co/OidlRXGLvt")</f>
        <v>https://t.co/OidlRXGLvt</v>
      </c>
      <c r="AX933" s="86" t="b">
        <v>0</v>
      </c>
      <c r="AY933" s="86"/>
      <c r="AZ933" s="86"/>
      <c r="BA933" s="86" t="b">
        <v>0</v>
      </c>
      <c r="BB933" s="86" t="b">
        <v>1</v>
      </c>
      <c r="BC933" s="86" t="b">
        <v>1</v>
      </c>
      <c r="BD933" s="86" t="b">
        <v>0</v>
      </c>
      <c r="BE933" s="86" t="b">
        <v>0</v>
      </c>
      <c r="BF933" s="86" t="b">
        <v>0</v>
      </c>
      <c r="BG933" s="86" t="b">
        <v>0</v>
      </c>
      <c r="BH933" s="96" t="str">
        <f>HYPERLINK("https://pbs.twimg.com/profile_banners/1500930885046214657/1672074356")</f>
        <v>https://pbs.twimg.com/profile_banners/1500930885046214657/1672074356</v>
      </c>
      <c r="BI933" s="86"/>
      <c r="BJ933" s="86" t="s">
        <v>29134</v>
      </c>
      <c r="BK933" s="86" t="b">
        <v>0</v>
      </c>
      <c r="BL933" s="86"/>
      <c r="BM933" s="86" t="s">
        <v>66</v>
      </c>
      <c r="BN933" s="86" t="s">
        <v>29136</v>
      </c>
      <c r="BO933" s="96" t="str">
        <f>HYPERLINK("https://twitter.com/superjovem8")</f>
        <v>https://twitter.com/superjovem8</v>
      </c>
      <c r="BP933" s="2"/>
    </row>
    <row r="934" spans="1:68" x14ac:dyDescent="0.25">
      <c r="A934" s="63" t="s">
        <v>1039</v>
      </c>
      <c r="B934" s="64"/>
      <c r="C934" s="64"/>
      <c r="D934" s="65"/>
      <c r="E934" s="67"/>
      <c r="F934" s="111" t="str">
        <f>HYPERLINK("https://pbs.twimg.com/profile_images/1689427223827152896/e_T7P0Hh_normal.jpg")</f>
        <v>https://pbs.twimg.com/profile_images/1689427223827152896/e_T7P0Hh_normal.jpg</v>
      </c>
      <c r="G934" s="64"/>
      <c r="H934" s="68"/>
      <c r="I934" s="69"/>
      <c r="J934" s="69"/>
      <c r="K934" s="68" t="s">
        <v>30067</v>
      </c>
      <c r="L934" s="72"/>
      <c r="M934" s="73"/>
      <c r="N934" s="73"/>
      <c r="O934" s="74"/>
      <c r="P934" s="75"/>
      <c r="Q934" s="75"/>
      <c r="R934" s="102"/>
      <c r="S934" s="102"/>
      <c r="T934" s="102"/>
      <c r="U934" s="102"/>
      <c r="V934" s="48"/>
      <c r="W934" s="48"/>
      <c r="X934" s="48"/>
      <c r="Y934" s="48"/>
      <c r="Z934" s="47"/>
      <c r="AA934" s="70">
        <v>934</v>
      </c>
      <c r="AB934" s="70"/>
      <c r="AC934" s="71"/>
      <c r="AD934" s="86" t="s">
        <v>24544</v>
      </c>
      <c r="AE934" s="94" t="s">
        <v>23259</v>
      </c>
      <c r="AF934" s="86">
        <v>7</v>
      </c>
      <c r="AG934" s="86">
        <v>22</v>
      </c>
      <c r="AH934" s="86">
        <v>34</v>
      </c>
      <c r="AI934" s="86">
        <v>0</v>
      </c>
      <c r="AJ934" s="86">
        <v>11</v>
      </c>
      <c r="AK934" s="86">
        <v>0</v>
      </c>
      <c r="AL934" s="86" t="b">
        <v>0</v>
      </c>
      <c r="AM934" s="89">
        <v>45147.982615740744</v>
      </c>
      <c r="AN934" s="86" t="s">
        <v>15234</v>
      </c>
      <c r="AO934" s="86" t="s">
        <v>27275</v>
      </c>
      <c r="AP934" s="86"/>
      <c r="AQ934" s="86"/>
      <c r="AR934" s="86"/>
      <c r="AS934" s="86"/>
      <c r="AT934" s="86"/>
      <c r="AU934" s="86"/>
      <c r="AV934" s="86"/>
      <c r="AW934" s="86"/>
      <c r="AX934" s="86" t="b">
        <v>0</v>
      </c>
      <c r="AY934" s="86"/>
      <c r="AZ934" s="86"/>
      <c r="BA934" s="86" t="b">
        <v>1</v>
      </c>
      <c r="BB934" s="86" t="b">
        <v>1</v>
      </c>
      <c r="BC934" s="86" t="b">
        <v>1</v>
      </c>
      <c r="BD934" s="86" t="b">
        <v>0</v>
      </c>
      <c r="BE934" s="86" t="b">
        <v>0</v>
      </c>
      <c r="BF934" s="86" t="b">
        <v>0</v>
      </c>
      <c r="BG934" s="86" t="b">
        <v>0</v>
      </c>
      <c r="BH934" s="96" t="str">
        <f>HYPERLINK("https://pbs.twimg.com/profile_banners/1689419869530345472/1692042762")</f>
        <v>https://pbs.twimg.com/profile_banners/1689419869530345472/1692042762</v>
      </c>
      <c r="BI934" s="86"/>
      <c r="BJ934" s="86" t="s">
        <v>29134</v>
      </c>
      <c r="BK934" s="86" t="b">
        <v>0</v>
      </c>
      <c r="BL934" s="86"/>
      <c r="BM934" s="86" t="s">
        <v>66</v>
      </c>
      <c r="BN934" s="86" t="s">
        <v>29136</v>
      </c>
      <c r="BO934" s="96" t="str">
        <f>HYPERLINK("https://twitter.com/the_nomadship")</f>
        <v>https://twitter.com/the_nomadship</v>
      </c>
      <c r="BP934" s="2"/>
    </row>
    <row r="935" spans="1:68" x14ac:dyDescent="0.25">
      <c r="A935" s="63" t="s">
        <v>1040</v>
      </c>
      <c r="B935" s="64"/>
      <c r="C935" s="64"/>
      <c r="D935" s="65"/>
      <c r="E935" s="67"/>
      <c r="F935" s="111" t="str">
        <f>HYPERLINK("https://pbs.twimg.com/profile_images/1512047760463253508/Wb_l3YDa_normal.jpg")</f>
        <v>https://pbs.twimg.com/profile_images/1512047760463253508/Wb_l3YDa_normal.jpg</v>
      </c>
      <c r="G935" s="64"/>
      <c r="H935" s="68"/>
      <c r="I935" s="69"/>
      <c r="J935" s="69"/>
      <c r="K935" s="68" t="s">
        <v>30068</v>
      </c>
      <c r="L935" s="72"/>
      <c r="M935" s="73"/>
      <c r="N935" s="73"/>
      <c r="O935" s="74"/>
      <c r="P935" s="75"/>
      <c r="Q935" s="75"/>
      <c r="R935" s="102"/>
      <c r="S935" s="102"/>
      <c r="T935" s="102"/>
      <c r="U935" s="102"/>
      <c r="V935" s="48"/>
      <c r="W935" s="48"/>
      <c r="X935" s="48"/>
      <c r="Y935" s="48"/>
      <c r="Z935" s="47"/>
      <c r="AA935" s="70">
        <v>935</v>
      </c>
      <c r="AB935" s="70"/>
      <c r="AC935" s="71"/>
      <c r="AD935" s="86" t="s">
        <v>24545</v>
      </c>
      <c r="AE935" s="94" t="s">
        <v>23260</v>
      </c>
      <c r="AF935" s="86">
        <v>6</v>
      </c>
      <c r="AG935" s="86">
        <v>16</v>
      </c>
      <c r="AH935" s="86">
        <v>192</v>
      </c>
      <c r="AI935" s="86">
        <v>0</v>
      </c>
      <c r="AJ935" s="86">
        <v>15</v>
      </c>
      <c r="AK935" s="86">
        <v>189</v>
      </c>
      <c r="AL935" s="86" t="b">
        <v>0</v>
      </c>
      <c r="AM935" s="89">
        <v>44658.524085648147</v>
      </c>
      <c r="AN935" s="86" t="s">
        <v>15284</v>
      </c>
      <c r="AO935" s="86" t="s">
        <v>27276</v>
      </c>
      <c r="AP935" s="86"/>
      <c r="AQ935" s="86"/>
      <c r="AR935" s="86"/>
      <c r="AS935" s="86"/>
      <c r="AT935" s="86"/>
      <c r="AU935" s="86"/>
      <c r="AV935" s="86"/>
      <c r="AW935" s="86"/>
      <c r="AX935" s="86" t="b">
        <v>0</v>
      </c>
      <c r="AY935" s="86"/>
      <c r="AZ935" s="86"/>
      <c r="BA935" s="86" t="b">
        <v>0</v>
      </c>
      <c r="BB935" s="86" t="b">
        <v>1</v>
      </c>
      <c r="BC935" s="86" t="b">
        <v>1</v>
      </c>
      <c r="BD935" s="86" t="b">
        <v>0</v>
      </c>
      <c r="BE935" s="86" t="b">
        <v>0</v>
      </c>
      <c r="BF935" s="86" t="b">
        <v>0</v>
      </c>
      <c r="BG935" s="86" t="b">
        <v>0</v>
      </c>
      <c r="BH935" s="96" t="str">
        <f>HYPERLINK("https://pbs.twimg.com/profile_banners/1512045939283873794/1649335438")</f>
        <v>https://pbs.twimg.com/profile_banners/1512045939283873794/1649335438</v>
      </c>
      <c r="BI935" s="86"/>
      <c r="BJ935" s="86" t="s">
        <v>29134</v>
      </c>
      <c r="BK935" s="86" t="b">
        <v>0</v>
      </c>
      <c r="BL935" s="86"/>
      <c r="BM935" s="86" t="s">
        <v>66</v>
      </c>
      <c r="BN935" s="86" t="s">
        <v>29136</v>
      </c>
      <c r="BO935" s="96" t="str">
        <f>HYPERLINK("https://twitter.com/pmibahia")</f>
        <v>https://twitter.com/pmibahia</v>
      </c>
      <c r="BP935" s="2"/>
    </row>
    <row r="936" spans="1:68" x14ac:dyDescent="0.25">
      <c r="A936" s="63" t="s">
        <v>1041</v>
      </c>
      <c r="B936" s="64"/>
      <c r="C936" s="64"/>
      <c r="D936" s="65"/>
      <c r="E936" s="67"/>
      <c r="F936" s="111" t="str">
        <f>HYPERLINK("https://pbs.twimg.com/profile_images/1475402279549345794/o06ZezfK_normal.jpg")</f>
        <v>https://pbs.twimg.com/profile_images/1475402279549345794/o06ZezfK_normal.jpg</v>
      </c>
      <c r="G936" s="64"/>
      <c r="H936" s="68"/>
      <c r="I936" s="69"/>
      <c r="J936" s="69"/>
      <c r="K936" s="68" t="s">
        <v>30069</v>
      </c>
      <c r="L936" s="72"/>
      <c r="M936" s="73"/>
      <c r="N936" s="73"/>
      <c r="O936" s="74"/>
      <c r="P936" s="75"/>
      <c r="Q936" s="75"/>
      <c r="R936" s="102"/>
      <c r="S936" s="102"/>
      <c r="T936" s="102"/>
      <c r="U936" s="102"/>
      <c r="V936" s="48"/>
      <c r="W936" s="48"/>
      <c r="X936" s="48"/>
      <c r="Y936" s="48"/>
      <c r="Z936" s="47"/>
      <c r="AA936" s="70">
        <v>936</v>
      </c>
      <c r="AB936" s="70"/>
      <c r="AC936" s="71"/>
      <c r="AD936" s="86" t="s">
        <v>24546</v>
      </c>
      <c r="AE936" s="94" t="s">
        <v>25580</v>
      </c>
      <c r="AF936" s="86">
        <v>1649</v>
      </c>
      <c r="AG936" s="86">
        <v>494</v>
      </c>
      <c r="AH936" s="86">
        <v>29730</v>
      </c>
      <c r="AI936" s="86">
        <v>34</v>
      </c>
      <c r="AJ936" s="86">
        <v>149</v>
      </c>
      <c r="AK936" s="86">
        <v>3466</v>
      </c>
      <c r="AL936" s="86" t="b">
        <v>0</v>
      </c>
      <c r="AM936" s="89">
        <v>40093.627222222225</v>
      </c>
      <c r="AN936" s="86" t="s">
        <v>15246</v>
      </c>
      <c r="AO936" s="86" t="s">
        <v>27277</v>
      </c>
      <c r="AP936" s="96" t="str">
        <f>HYPERLINK("https://t.co/JXfIIfPUlk")</f>
        <v>https://t.co/JXfIIfPUlk</v>
      </c>
      <c r="AQ936" s="96" t="str">
        <f>HYPERLINK("http://www.anba.com.br")</f>
        <v>http://www.anba.com.br</v>
      </c>
      <c r="AR936" s="86" t="s">
        <v>28524</v>
      </c>
      <c r="AS936" s="86"/>
      <c r="AT936" s="86"/>
      <c r="AU936" s="86"/>
      <c r="AV936" s="86"/>
      <c r="AW936" s="96" t="str">
        <f>HYPERLINK("https://t.co/JXfIIfPUlk")</f>
        <v>https://t.co/JXfIIfPUlk</v>
      </c>
      <c r="AX936" s="86" t="b">
        <v>0</v>
      </c>
      <c r="AY936" s="86"/>
      <c r="AZ936" s="86"/>
      <c r="BA936" s="86" t="b">
        <v>0</v>
      </c>
      <c r="BB936" s="86" t="b">
        <v>1</v>
      </c>
      <c r="BC936" s="86" t="b">
        <v>0</v>
      </c>
      <c r="BD936" s="86" t="b">
        <v>0</v>
      </c>
      <c r="BE936" s="86" t="b">
        <v>0</v>
      </c>
      <c r="BF936" s="86" t="b">
        <v>0</v>
      </c>
      <c r="BG936" s="86" t="b">
        <v>0</v>
      </c>
      <c r="BH936" s="96" t="str">
        <f>HYPERLINK("https://pbs.twimg.com/profile_banners/80597859/1640598290")</f>
        <v>https://pbs.twimg.com/profile_banners/80597859/1640598290</v>
      </c>
      <c r="BI936" s="86"/>
      <c r="BJ936" s="86" t="s">
        <v>29134</v>
      </c>
      <c r="BK936" s="86" t="b">
        <v>0</v>
      </c>
      <c r="BL936" s="86"/>
      <c r="BM936" s="86" t="s">
        <v>66</v>
      </c>
      <c r="BN936" s="86" t="s">
        <v>29136</v>
      </c>
      <c r="BO936" s="96" t="str">
        <f>HYPERLINK("https://twitter.com/anbabrasilarabe")</f>
        <v>https://twitter.com/anbabrasilarabe</v>
      </c>
      <c r="BP936" s="2"/>
    </row>
    <row r="937" spans="1:68" x14ac:dyDescent="0.25">
      <c r="A937" s="63" t="s">
        <v>1042</v>
      </c>
      <c r="B937" s="64"/>
      <c r="C937" s="64"/>
      <c r="D937" s="65"/>
      <c r="E937" s="67"/>
      <c r="F937" s="111" t="str">
        <f>HYPERLINK("https://pbs.twimg.com/profile_images/1663589925080408065/7JITG6fx_normal.jpg")</f>
        <v>https://pbs.twimg.com/profile_images/1663589925080408065/7JITG6fx_normal.jpg</v>
      </c>
      <c r="G937" s="64"/>
      <c r="H937" s="68"/>
      <c r="I937" s="69"/>
      <c r="J937" s="69"/>
      <c r="K937" s="68" t="s">
        <v>30070</v>
      </c>
      <c r="L937" s="72"/>
      <c r="M937" s="73"/>
      <c r="N937" s="73"/>
      <c r="O937" s="74"/>
      <c r="P937" s="75"/>
      <c r="Q937" s="75"/>
      <c r="R937" s="102"/>
      <c r="S937" s="102"/>
      <c r="T937" s="102"/>
      <c r="U937" s="102"/>
      <c r="V937" s="48"/>
      <c r="W937" s="48"/>
      <c r="X937" s="48"/>
      <c r="Y937" s="48"/>
      <c r="Z937" s="47"/>
      <c r="AA937" s="70">
        <v>937</v>
      </c>
      <c r="AB937" s="70"/>
      <c r="AC937" s="71"/>
      <c r="AD937" s="86" t="s">
        <v>24547</v>
      </c>
      <c r="AE937" s="94" t="s">
        <v>23261</v>
      </c>
      <c r="AF937" s="86">
        <v>3</v>
      </c>
      <c r="AG937" s="86">
        <v>29</v>
      </c>
      <c r="AH937" s="86">
        <v>19</v>
      </c>
      <c r="AI937" s="86">
        <v>1</v>
      </c>
      <c r="AJ937" s="86">
        <v>9</v>
      </c>
      <c r="AK937" s="86">
        <v>12</v>
      </c>
      <c r="AL937" s="86" t="b">
        <v>0</v>
      </c>
      <c r="AM937" s="89">
        <v>45076.704756944448</v>
      </c>
      <c r="AN937" s="86"/>
      <c r="AO937" s="86" t="s">
        <v>27278</v>
      </c>
      <c r="AP937" s="96" t="str">
        <f>HYPERLINK("https://t.co/fIoInnXtic")</f>
        <v>https://t.co/fIoInnXtic</v>
      </c>
      <c r="AQ937" s="96" t="str">
        <f>HYPERLINK("http://www.leobegin.com")</f>
        <v>http://www.leobegin.com</v>
      </c>
      <c r="AR937" s="86" t="s">
        <v>28525</v>
      </c>
      <c r="AS937" s="86"/>
      <c r="AT937" s="86"/>
      <c r="AU937" s="86"/>
      <c r="AV937" s="86"/>
      <c r="AW937" s="96" t="str">
        <f>HYPERLINK("https://t.co/fIoInnXtic")</f>
        <v>https://t.co/fIoInnXtic</v>
      </c>
      <c r="AX937" s="86" t="b">
        <v>0</v>
      </c>
      <c r="AY937" s="86"/>
      <c r="AZ937" s="86"/>
      <c r="BA937" s="86" t="b">
        <v>0</v>
      </c>
      <c r="BB937" s="86" t="b">
        <v>1</v>
      </c>
      <c r="BC937" s="86" t="b">
        <v>1</v>
      </c>
      <c r="BD937" s="86" t="b">
        <v>0</v>
      </c>
      <c r="BE937" s="86" t="b">
        <v>0</v>
      </c>
      <c r="BF937" s="86" t="b">
        <v>0</v>
      </c>
      <c r="BG937" s="86" t="b">
        <v>0</v>
      </c>
      <c r="BH937" s="96" t="str">
        <f>HYPERLINK("https://pbs.twimg.com/profile_banners/1663589744947732480/1685466914")</f>
        <v>https://pbs.twimg.com/profile_banners/1663589744947732480/1685466914</v>
      </c>
      <c r="BI937" s="86"/>
      <c r="BJ937" s="86" t="s">
        <v>29134</v>
      </c>
      <c r="BK937" s="86" t="b">
        <v>0</v>
      </c>
      <c r="BL937" s="86"/>
      <c r="BM937" s="86" t="s">
        <v>66</v>
      </c>
      <c r="BN937" s="86" t="s">
        <v>29136</v>
      </c>
      <c r="BO937" s="96" t="str">
        <f>HYPERLINK("https://twitter.com/leobegin")</f>
        <v>https://twitter.com/leobegin</v>
      </c>
      <c r="BP937" s="2"/>
    </row>
    <row r="938" spans="1:68" x14ac:dyDescent="0.25">
      <c r="A938" s="63" t="s">
        <v>1043</v>
      </c>
      <c r="B938" s="64"/>
      <c r="C938" s="64"/>
      <c r="D938" s="65"/>
      <c r="E938" s="67"/>
      <c r="F938" s="111" t="str">
        <f>HYPERLINK("https://pbs.twimg.com/profile_images/1620022962/C_pia_de_seguran_a_de_Logo_Site_normal.png")</f>
        <v>https://pbs.twimg.com/profile_images/1620022962/C_pia_de_seguran_a_de_Logo_Site_normal.png</v>
      </c>
      <c r="G938" s="64"/>
      <c r="H938" s="68"/>
      <c r="I938" s="69"/>
      <c r="J938" s="69"/>
      <c r="K938" s="68" t="s">
        <v>30071</v>
      </c>
      <c r="L938" s="72"/>
      <c r="M938" s="73"/>
      <c r="N938" s="73"/>
      <c r="O938" s="74"/>
      <c r="P938" s="75"/>
      <c r="Q938" s="75"/>
      <c r="R938" s="102"/>
      <c r="S938" s="102"/>
      <c r="T938" s="102"/>
      <c r="U938" s="102"/>
      <c r="V938" s="48"/>
      <c r="W938" s="48"/>
      <c r="X938" s="48"/>
      <c r="Y938" s="48"/>
      <c r="Z938" s="47"/>
      <c r="AA938" s="70">
        <v>938</v>
      </c>
      <c r="AB938" s="70"/>
      <c r="AC938" s="71"/>
      <c r="AD938" s="86" t="s">
        <v>1043</v>
      </c>
      <c r="AE938" s="94" t="s">
        <v>22607</v>
      </c>
      <c r="AF938" s="86">
        <v>4516</v>
      </c>
      <c r="AG938" s="86">
        <v>4992</v>
      </c>
      <c r="AH938" s="86">
        <v>89309</v>
      </c>
      <c r="AI938" s="86">
        <v>8</v>
      </c>
      <c r="AJ938" s="86">
        <v>21</v>
      </c>
      <c r="AK938" s="86">
        <v>21101</v>
      </c>
      <c r="AL938" s="86" t="b">
        <v>0</v>
      </c>
      <c r="AM938" s="89">
        <v>40843.849594907406</v>
      </c>
      <c r="AN938" s="86" t="s">
        <v>25945</v>
      </c>
      <c r="AO938" s="86" t="s">
        <v>27279</v>
      </c>
      <c r="AP938" s="96" t="str">
        <f>HYPERLINK("https://t.co/O09vnjZIGP")</f>
        <v>https://t.co/O09vnjZIGP</v>
      </c>
      <c r="AQ938" s="96" t="str">
        <f>HYPERLINK("http://mspontocom.com.br")</f>
        <v>http://mspontocom.com.br</v>
      </c>
      <c r="AR938" s="86" t="s">
        <v>28526</v>
      </c>
      <c r="AS938" s="86"/>
      <c r="AT938" s="86"/>
      <c r="AU938" s="86"/>
      <c r="AV938" s="86"/>
      <c r="AW938" s="96" t="str">
        <f>HYPERLINK("https://t.co/O09vnjZIGP")</f>
        <v>https://t.co/O09vnjZIGP</v>
      </c>
      <c r="AX938" s="86" t="b">
        <v>1</v>
      </c>
      <c r="AY938" s="86"/>
      <c r="AZ938" s="86"/>
      <c r="BA938" s="86" t="b">
        <v>1</v>
      </c>
      <c r="BB938" s="86" t="b">
        <v>1</v>
      </c>
      <c r="BC938" s="86" t="b">
        <v>0</v>
      </c>
      <c r="BD938" s="86" t="b">
        <v>0</v>
      </c>
      <c r="BE938" s="86" t="b">
        <v>1</v>
      </c>
      <c r="BF938" s="86" t="b">
        <v>0</v>
      </c>
      <c r="BG938" s="86" t="b">
        <v>0</v>
      </c>
      <c r="BH938" s="86"/>
      <c r="BI938" s="86"/>
      <c r="BJ938" s="86" t="s">
        <v>29134</v>
      </c>
      <c r="BK938" s="86" t="b">
        <v>0</v>
      </c>
      <c r="BL938" s="86"/>
      <c r="BM938" s="86" t="s">
        <v>66</v>
      </c>
      <c r="BN938" s="86" t="s">
        <v>29136</v>
      </c>
      <c r="BO938" s="96" t="str">
        <f>HYPERLINK("https://twitter.com/mspontocom")</f>
        <v>https://twitter.com/mspontocom</v>
      </c>
      <c r="BP938" s="2"/>
    </row>
    <row r="939" spans="1:68" x14ac:dyDescent="0.25">
      <c r="A939" s="63" t="s">
        <v>1719</v>
      </c>
      <c r="B939" s="64"/>
      <c r="C939" s="64"/>
      <c r="D939" s="65"/>
      <c r="E939" s="67"/>
      <c r="F939" s="111" t="str">
        <f>HYPERLINK("https://pbs.twimg.com/profile_images/1055051287/logosenaitwitter_normal.jpg")</f>
        <v>https://pbs.twimg.com/profile_images/1055051287/logosenaitwitter_normal.jpg</v>
      </c>
      <c r="G939" s="64"/>
      <c r="H939" s="68"/>
      <c r="I939" s="69"/>
      <c r="J939" s="69"/>
      <c r="K939" s="68" t="s">
        <v>30072</v>
      </c>
      <c r="L939" s="72"/>
      <c r="M939" s="73"/>
      <c r="N939" s="73"/>
      <c r="O939" s="74"/>
      <c r="P939" s="75"/>
      <c r="Q939" s="75"/>
      <c r="R939" s="102"/>
      <c r="S939" s="102"/>
      <c r="T939" s="102"/>
      <c r="U939" s="102"/>
      <c r="V939" s="48"/>
      <c r="W939" s="48"/>
      <c r="X939" s="48"/>
      <c r="Y939" s="48"/>
      <c r="Z939" s="47"/>
      <c r="AA939" s="70">
        <v>939</v>
      </c>
      <c r="AB939" s="70"/>
      <c r="AC939" s="71"/>
      <c r="AD939" s="86" t="s">
        <v>24548</v>
      </c>
      <c r="AE939" s="94" t="s">
        <v>25581</v>
      </c>
      <c r="AF939" s="86">
        <v>325</v>
      </c>
      <c r="AG939" s="86">
        <v>24</v>
      </c>
      <c r="AH939" s="86">
        <v>299</v>
      </c>
      <c r="AI939" s="86">
        <v>6</v>
      </c>
      <c r="AJ939" s="86">
        <v>0</v>
      </c>
      <c r="AK939" s="86">
        <v>6</v>
      </c>
      <c r="AL939" s="86" t="b">
        <v>0</v>
      </c>
      <c r="AM939" s="89">
        <v>40360.639236111114</v>
      </c>
      <c r="AN939" s="86"/>
      <c r="AO939" s="86"/>
      <c r="AP939" s="96" t="str">
        <f>HYPERLINK("http://t.co/zsnTfwKMnT")</f>
        <v>http://t.co/zsnTfwKMnT</v>
      </c>
      <c r="AQ939" s="96" t="str">
        <f>HYPERLINK("http://www.fiems.org.br")</f>
        <v>http://www.fiems.org.br</v>
      </c>
      <c r="AR939" s="86" t="s">
        <v>28527</v>
      </c>
      <c r="AS939" s="86"/>
      <c r="AT939" s="86"/>
      <c r="AU939" s="86"/>
      <c r="AV939" s="86"/>
      <c r="AW939" s="96" t="str">
        <f>HYPERLINK("http://t.co/zsnTfwKMnT")</f>
        <v>http://t.co/zsnTfwKMnT</v>
      </c>
      <c r="AX939" s="86" t="b">
        <v>0</v>
      </c>
      <c r="AY939" s="86"/>
      <c r="AZ939" s="86"/>
      <c r="BA939" s="86" t="b">
        <v>0</v>
      </c>
      <c r="BB939" s="86" t="b">
        <v>1</v>
      </c>
      <c r="BC939" s="86" t="b">
        <v>0</v>
      </c>
      <c r="BD939" s="86" t="b">
        <v>0</v>
      </c>
      <c r="BE939" s="86" t="b">
        <v>0</v>
      </c>
      <c r="BF939" s="86" t="b">
        <v>0</v>
      </c>
      <c r="BG939" s="86" t="b">
        <v>0</v>
      </c>
      <c r="BH939" s="86"/>
      <c r="BI939" s="86"/>
      <c r="BJ939" s="86" t="s">
        <v>29134</v>
      </c>
      <c r="BK939" s="86" t="b">
        <v>0</v>
      </c>
      <c r="BL939" s="86"/>
      <c r="BM939" s="86" t="s">
        <v>65</v>
      </c>
      <c r="BN939" s="86" t="s">
        <v>29136</v>
      </c>
      <c r="BO939" s="96" t="str">
        <f>HYPERLINK("https://twitter.com/senaims")</f>
        <v>https://twitter.com/senaims</v>
      </c>
      <c r="BP939" s="2"/>
    </row>
    <row r="940" spans="1:68" x14ac:dyDescent="0.25">
      <c r="A940" s="63" t="s">
        <v>1720</v>
      </c>
      <c r="B940" s="64"/>
      <c r="C940" s="64"/>
      <c r="D940" s="65"/>
      <c r="E940" s="67"/>
      <c r="F940" s="111" t="str">
        <f>HYPERLINK("https://pbs.twimg.com/profile_images/1128006674512535552/B3r32czs_normal.png")</f>
        <v>https://pbs.twimg.com/profile_images/1128006674512535552/B3r32czs_normal.png</v>
      </c>
      <c r="G940" s="64"/>
      <c r="H940" s="68"/>
      <c r="I940" s="69"/>
      <c r="J940" s="69"/>
      <c r="K940" s="68" t="s">
        <v>30073</v>
      </c>
      <c r="L940" s="72"/>
      <c r="M940" s="73"/>
      <c r="N940" s="73"/>
      <c r="O940" s="74"/>
      <c r="P940" s="75"/>
      <c r="Q940" s="75"/>
      <c r="R940" s="102"/>
      <c r="S940" s="102"/>
      <c r="T940" s="102"/>
      <c r="U940" s="102"/>
      <c r="V940" s="48"/>
      <c r="W940" s="48"/>
      <c r="X940" s="48"/>
      <c r="Y940" s="48"/>
      <c r="Z940" s="47"/>
      <c r="AA940" s="70">
        <v>940</v>
      </c>
      <c r="AB940" s="70"/>
      <c r="AC940" s="71"/>
      <c r="AD940" s="86" t="s">
        <v>24549</v>
      </c>
      <c r="AE940" s="94" t="s">
        <v>25582</v>
      </c>
      <c r="AF940" s="86">
        <v>99377</v>
      </c>
      <c r="AG940" s="86">
        <v>193</v>
      </c>
      <c r="AH940" s="86">
        <v>30505</v>
      </c>
      <c r="AI940" s="86">
        <v>79</v>
      </c>
      <c r="AJ940" s="86">
        <v>18113</v>
      </c>
      <c r="AK940" s="86">
        <v>5236</v>
      </c>
      <c r="AL940" s="86" t="b">
        <v>0</v>
      </c>
      <c r="AM940" s="89">
        <v>40359.586527777778</v>
      </c>
      <c r="AN940" s="86" t="s">
        <v>15234</v>
      </c>
      <c r="AO940" s="86" t="s">
        <v>27280</v>
      </c>
      <c r="AP940" s="96" t="str">
        <f>HYPERLINK("https://t.co/XNvMUR2nLs")</f>
        <v>https://t.co/XNvMUR2nLs</v>
      </c>
      <c r="AQ940" s="96" t="str">
        <f>HYPERLINK("http://www.portaldaindustria.com.br/senai/")</f>
        <v>http://www.portaldaindustria.com.br/senai/</v>
      </c>
      <c r="AR940" s="86" t="s">
        <v>28528</v>
      </c>
      <c r="AS940" s="86"/>
      <c r="AT940" s="86"/>
      <c r="AU940" s="86"/>
      <c r="AV940" s="86"/>
      <c r="AW940" s="96" t="str">
        <f>HYPERLINK("https://t.co/XNvMUR2nLs")</f>
        <v>https://t.co/XNvMUR2nLs</v>
      </c>
      <c r="AX940" s="86" t="b">
        <v>0</v>
      </c>
      <c r="AY940" s="86"/>
      <c r="AZ940" s="86"/>
      <c r="BA940" s="86" t="b">
        <v>1</v>
      </c>
      <c r="BB940" s="86" t="b">
        <v>1</v>
      </c>
      <c r="BC940" s="86" t="b">
        <v>0</v>
      </c>
      <c r="BD940" s="86" t="b">
        <v>0</v>
      </c>
      <c r="BE940" s="86" t="b">
        <v>1</v>
      </c>
      <c r="BF940" s="86" t="b">
        <v>0</v>
      </c>
      <c r="BG940" s="86" t="b">
        <v>0</v>
      </c>
      <c r="BH940" s="96" t="str">
        <f>HYPERLINK("https://pbs.twimg.com/profile_banners/161301269/1662145453")</f>
        <v>https://pbs.twimg.com/profile_banners/161301269/1662145453</v>
      </c>
      <c r="BI940" s="86"/>
      <c r="BJ940" s="86" t="s">
        <v>29134</v>
      </c>
      <c r="BK940" s="86" t="b">
        <v>0</v>
      </c>
      <c r="BL940" s="86"/>
      <c r="BM940" s="86" t="s">
        <v>65</v>
      </c>
      <c r="BN940" s="86" t="s">
        <v>29136</v>
      </c>
      <c r="BO940" s="96" t="str">
        <f>HYPERLINK("https://twitter.com/senainacional")</f>
        <v>https://twitter.com/senainacional</v>
      </c>
      <c r="BP940" s="2"/>
    </row>
    <row r="941" spans="1:68" x14ac:dyDescent="0.25">
      <c r="A941" s="63" t="s">
        <v>1721</v>
      </c>
      <c r="B941" s="64"/>
      <c r="C941" s="64"/>
      <c r="D941" s="65"/>
      <c r="E941" s="67"/>
      <c r="F941" s="111" t="str">
        <f>HYPERLINK("https://pbs.twimg.com/profile_images/1128034782871457794/WV_rLh29_normal.png")</f>
        <v>https://pbs.twimg.com/profile_images/1128034782871457794/WV_rLh29_normal.png</v>
      </c>
      <c r="G941" s="64"/>
      <c r="H941" s="68"/>
      <c r="I941" s="69"/>
      <c r="J941" s="69"/>
      <c r="K941" s="68" t="s">
        <v>30074</v>
      </c>
      <c r="L941" s="72"/>
      <c r="M941" s="73"/>
      <c r="N941" s="73"/>
      <c r="O941" s="74"/>
      <c r="P941" s="75"/>
      <c r="Q941" s="75"/>
      <c r="R941" s="102"/>
      <c r="S941" s="102"/>
      <c r="T941" s="102"/>
      <c r="U941" s="102"/>
      <c r="V941" s="48"/>
      <c r="W941" s="48"/>
      <c r="X941" s="48"/>
      <c r="Y941" s="48"/>
      <c r="Z941" s="47"/>
      <c r="AA941" s="70">
        <v>941</v>
      </c>
      <c r="AB941" s="70"/>
      <c r="AC941" s="71"/>
      <c r="AD941" s="86" t="s">
        <v>24550</v>
      </c>
      <c r="AE941" s="94" t="s">
        <v>25583</v>
      </c>
      <c r="AF941" s="86">
        <v>928</v>
      </c>
      <c r="AG941" s="86">
        <v>178</v>
      </c>
      <c r="AH941" s="86">
        <v>1943</v>
      </c>
      <c r="AI941" s="86">
        <v>24</v>
      </c>
      <c r="AJ941" s="86">
        <v>341</v>
      </c>
      <c r="AK941" s="86">
        <v>1045</v>
      </c>
      <c r="AL941" s="86" t="b">
        <v>0</v>
      </c>
      <c r="AM941" s="89">
        <v>41925.891192129631</v>
      </c>
      <c r="AN941" s="86" t="s">
        <v>26220</v>
      </c>
      <c r="AO941" s="86" t="s">
        <v>27281</v>
      </c>
      <c r="AP941" s="96" t="str">
        <f>HYPERLINK("https://t.co/5vCEFKwg3a")</f>
        <v>https://t.co/5vCEFKwg3a</v>
      </c>
      <c r="AQ941" s="96" t="str">
        <f>HYPERLINK("https://direitosp.fgv.br/centro-de-pesquisa/centro-de-ensino-pesquisa-inovacao")</f>
        <v>https://direitosp.fgv.br/centro-de-pesquisa/centro-de-ensino-pesquisa-inovacao</v>
      </c>
      <c r="AR941" s="86" t="s">
        <v>28529</v>
      </c>
      <c r="AS941" s="86"/>
      <c r="AT941" s="86"/>
      <c r="AU941" s="86"/>
      <c r="AV941" s="86"/>
      <c r="AW941" s="96" t="str">
        <f>HYPERLINK("https://t.co/5vCEFKwg3a")</f>
        <v>https://t.co/5vCEFKwg3a</v>
      </c>
      <c r="AX941" s="86" t="b">
        <v>0</v>
      </c>
      <c r="AY941" s="86"/>
      <c r="AZ941" s="86"/>
      <c r="BA941" s="86" t="b">
        <v>1</v>
      </c>
      <c r="BB941" s="86" t="b">
        <v>1</v>
      </c>
      <c r="BC941" s="86" t="b">
        <v>1</v>
      </c>
      <c r="BD941" s="86" t="b">
        <v>0</v>
      </c>
      <c r="BE941" s="86" t="b">
        <v>0</v>
      </c>
      <c r="BF941" s="86" t="b">
        <v>0</v>
      </c>
      <c r="BG941" s="86" t="b">
        <v>0</v>
      </c>
      <c r="BH941" s="96" t="str">
        <f>HYPERLINK("https://pbs.twimg.com/profile_banners/2828403051/1621205141")</f>
        <v>https://pbs.twimg.com/profile_banners/2828403051/1621205141</v>
      </c>
      <c r="BI941" s="86"/>
      <c r="BJ941" s="86" t="s">
        <v>29134</v>
      </c>
      <c r="BK941" s="86" t="b">
        <v>0</v>
      </c>
      <c r="BL941" s="86"/>
      <c r="BM941" s="86" t="s">
        <v>65</v>
      </c>
      <c r="BN941" s="86" t="s">
        <v>29136</v>
      </c>
      <c r="BO941" s="96" t="str">
        <f>HYPERLINK("https://twitter.com/fgvcepi")</f>
        <v>https://twitter.com/fgvcepi</v>
      </c>
      <c r="BP941" s="2"/>
    </row>
    <row r="942" spans="1:68" x14ac:dyDescent="0.25">
      <c r="A942" s="63" t="s">
        <v>1722</v>
      </c>
      <c r="B942" s="64"/>
      <c r="C942" s="64"/>
      <c r="D942" s="65"/>
      <c r="E942" s="67"/>
      <c r="F942" s="111" t="str">
        <f>HYPERLINK("https://pbs.twimg.com/profile_images/1252928967172067328/ew7WhaWv_normal.jpg")</f>
        <v>https://pbs.twimg.com/profile_images/1252928967172067328/ew7WhaWv_normal.jpg</v>
      </c>
      <c r="G942" s="64"/>
      <c r="H942" s="68"/>
      <c r="I942" s="69"/>
      <c r="J942" s="69"/>
      <c r="K942" s="68" t="s">
        <v>30075</v>
      </c>
      <c r="L942" s="72"/>
      <c r="M942" s="73"/>
      <c r="N942" s="73"/>
      <c r="O942" s="74"/>
      <c r="P942" s="75"/>
      <c r="Q942" s="75"/>
      <c r="R942" s="102"/>
      <c r="S942" s="102"/>
      <c r="T942" s="102"/>
      <c r="U942" s="102"/>
      <c r="V942" s="48"/>
      <c r="W942" s="48"/>
      <c r="X942" s="48"/>
      <c r="Y942" s="48"/>
      <c r="Z942" s="47"/>
      <c r="AA942" s="70">
        <v>942</v>
      </c>
      <c r="AB942" s="70"/>
      <c r="AC942" s="71"/>
      <c r="AD942" s="86" t="s">
        <v>24551</v>
      </c>
      <c r="AE942" s="94" t="s">
        <v>25584</v>
      </c>
      <c r="AF942" s="86">
        <v>2310</v>
      </c>
      <c r="AG942" s="86">
        <v>407</v>
      </c>
      <c r="AH942" s="86">
        <v>3817</v>
      </c>
      <c r="AI942" s="86">
        <v>6</v>
      </c>
      <c r="AJ942" s="86">
        <v>23804</v>
      </c>
      <c r="AK942" s="86">
        <v>387</v>
      </c>
      <c r="AL942" s="86" t="b">
        <v>0</v>
      </c>
      <c r="AM942" s="89">
        <v>43930.686145833337</v>
      </c>
      <c r="AN942" s="86"/>
      <c r="AO942" s="86" t="s">
        <v>27282</v>
      </c>
      <c r="AP942" s="86"/>
      <c r="AQ942" s="86"/>
      <c r="AR942" s="86"/>
      <c r="AS942" s="96" t="str">
        <f>HYPERLINK("https://t.co/gD9wsah6a3")</f>
        <v>https://t.co/gD9wsah6a3</v>
      </c>
      <c r="AT942" s="96" t="str">
        <f>HYPERLINK("http://encurtador.com.br/bsvN3")</f>
        <v>http://encurtador.com.br/bsvN3</v>
      </c>
      <c r="AU942" s="86" t="s">
        <v>29089</v>
      </c>
      <c r="AV942" s="86"/>
      <c r="AW942" s="86"/>
      <c r="AX942" s="86" t="b">
        <v>0</v>
      </c>
      <c r="AY942" s="86"/>
      <c r="AZ942" s="86"/>
      <c r="BA942" s="86" t="b">
        <v>0</v>
      </c>
      <c r="BB942" s="86" t="b">
        <v>1</v>
      </c>
      <c r="BC942" s="86" t="b">
        <v>1</v>
      </c>
      <c r="BD942" s="86" t="b">
        <v>0</v>
      </c>
      <c r="BE942" s="86" t="b">
        <v>0</v>
      </c>
      <c r="BF942" s="86" t="b">
        <v>0</v>
      </c>
      <c r="BG942" s="86" t="b">
        <v>0</v>
      </c>
      <c r="BH942" s="86"/>
      <c r="BI942" s="86"/>
      <c r="BJ942" s="86" t="s">
        <v>29134</v>
      </c>
      <c r="BK942" s="86" t="b">
        <v>0</v>
      </c>
      <c r="BL942" s="86"/>
      <c r="BM942" s="86" t="s">
        <v>65</v>
      </c>
      <c r="BN942" s="86" t="s">
        <v>29136</v>
      </c>
      <c r="BO942" s="96" t="str">
        <f>HYPERLINK("https://twitter.com/fundadorstartup")</f>
        <v>https://twitter.com/fundadorstartup</v>
      </c>
      <c r="BP942" s="2"/>
    </row>
    <row r="943" spans="1:68" x14ac:dyDescent="0.25">
      <c r="A943" s="63" t="s">
        <v>1723</v>
      </c>
      <c r="B943" s="64"/>
      <c r="C943" s="64"/>
      <c r="D943" s="65"/>
      <c r="E943" s="67"/>
      <c r="F943" s="111" t="str">
        <f>HYPERLINK("https://pbs.twimg.com/profile_images/1703781781084708864/am14x6ep_normal.png")</f>
        <v>https://pbs.twimg.com/profile_images/1703781781084708864/am14x6ep_normal.png</v>
      </c>
      <c r="G943" s="64"/>
      <c r="H943" s="68"/>
      <c r="I943" s="69"/>
      <c r="J943" s="69"/>
      <c r="K943" s="68" t="s">
        <v>30076</v>
      </c>
      <c r="L943" s="72"/>
      <c r="M943" s="73"/>
      <c r="N943" s="73"/>
      <c r="O943" s="74"/>
      <c r="P943" s="75"/>
      <c r="Q943" s="75"/>
      <c r="R943" s="102"/>
      <c r="S943" s="102"/>
      <c r="T943" s="102"/>
      <c r="U943" s="102"/>
      <c r="V943" s="48"/>
      <c r="W943" s="48"/>
      <c r="X943" s="48"/>
      <c r="Y943" s="48"/>
      <c r="Z943" s="47"/>
      <c r="AA943" s="70">
        <v>943</v>
      </c>
      <c r="AB943" s="70"/>
      <c r="AC943" s="71"/>
      <c r="AD943" s="86" t="s">
        <v>24552</v>
      </c>
      <c r="AE943" s="94" t="s">
        <v>25585</v>
      </c>
      <c r="AF943" s="86">
        <v>10249</v>
      </c>
      <c r="AG943" s="86">
        <v>15</v>
      </c>
      <c r="AH943" s="86">
        <v>3032</v>
      </c>
      <c r="AI943" s="86">
        <v>43</v>
      </c>
      <c r="AJ943" s="86">
        <v>375</v>
      </c>
      <c r="AK943" s="86">
        <v>1085</v>
      </c>
      <c r="AL943" s="86" t="b">
        <v>0</v>
      </c>
      <c r="AM943" s="89">
        <v>41736.641539351855</v>
      </c>
      <c r="AN943" s="86"/>
      <c r="AO943" s="86" t="s">
        <v>27283</v>
      </c>
      <c r="AP943" s="96" t="str">
        <f>HYPERLINK("https://t.co/QOcf5yl2d4")</f>
        <v>https://t.co/QOcf5yl2d4</v>
      </c>
      <c r="AQ943" s="96" t="str">
        <f>HYPERLINK("https://bit.ly/ttmeusucesso")</f>
        <v>https://bit.ly/ttmeusucesso</v>
      </c>
      <c r="AR943" s="86" t="s">
        <v>28530</v>
      </c>
      <c r="AS943" s="86"/>
      <c r="AT943" s="86"/>
      <c r="AU943" s="86"/>
      <c r="AV943" s="86"/>
      <c r="AW943" s="96" t="str">
        <f>HYPERLINK("https://t.co/QOcf5yl2d4")</f>
        <v>https://t.co/QOcf5yl2d4</v>
      </c>
      <c r="AX943" s="86" t="b">
        <v>0</v>
      </c>
      <c r="AY943" s="86"/>
      <c r="AZ943" s="86"/>
      <c r="BA943" s="86" t="b">
        <v>1</v>
      </c>
      <c r="BB943" s="86" t="b">
        <v>0</v>
      </c>
      <c r="BC943" s="86" t="b">
        <v>0</v>
      </c>
      <c r="BD943" s="86" t="b">
        <v>0</v>
      </c>
      <c r="BE943" s="86" t="b">
        <v>0</v>
      </c>
      <c r="BF943" s="86" t="b">
        <v>0</v>
      </c>
      <c r="BG943" s="86" t="b">
        <v>0</v>
      </c>
      <c r="BH943" s="96" t="str">
        <f>HYPERLINK("https://pbs.twimg.com/profile_banners/2432204846/1695048148")</f>
        <v>https://pbs.twimg.com/profile_banners/2432204846/1695048148</v>
      </c>
      <c r="BI943" s="86"/>
      <c r="BJ943" s="86" t="s">
        <v>29134</v>
      </c>
      <c r="BK943" s="86" t="b">
        <v>0</v>
      </c>
      <c r="BL943" s="86"/>
      <c r="BM943" s="86" t="s">
        <v>65</v>
      </c>
      <c r="BN943" s="86" t="s">
        <v>29136</v>
      </c>
      <c r="BO943" s="96" t="str">
        <f>HYPERLINK("https://twitter.com/canalmeusucesso")</f>
        <v>https://twitter.com/canalmeusucesso</v>
      </c>
      <c r="BP943" s="2"/>
    </row>
    <row r="944" spans="1:68" x14ac:dyDescent="0.25">
      <c r="A944" s="63" t="s">
        <v>1724</v>
      </c>
      <c r="B944" s="64"/>
      <c r="C944" s="64"/>
      <c r="D944" s="65"/>
      <c r="E944" s="67"/>
      <c r="F944" s="111" t="str">
        <f>HYPERLINK("https://pbs.twimg.com/profile_images/943311128116985856/dwNw7r-N_normal.jpg")</f>
        <v>https://pbs.twimg.com/profile_images/943311128116985856/dwNw7r-N_normal.jpg</v>
      </c>
      <c r="G944" s="64"/>
      <c r="H944" s="68"/>
      <c r="I944" s="69"/>
      <c r="J944" s="69"/>
      <c r="K944" s="68" t="s">
        <v>30077</v>
      </c>
      <c r="L944" s="72"/>
      <c r="M944" s="73"/>
      <c r="N944" s="73"/>
      <c r="O944" s="74"/>
      <c r="P944" s="75"/>
      <c r="Q944" s="75"/>
      <c r="R944" s="102"/>
      <c r="S944" s="102"/>
      <c r="T944" s="102"/>
      <c r="U944" s="102"/>
      <c r="V944" s="48"/>
      <c r="W944" s="48"/>
      <c r="X944" s="48"/>
      <c r="Y944" s="48"/>
      <c r="Z944" s="47"/>
      <c r="AA944" s="70">
        <v>944</v>
      </c>
      <c r="AB944" s="70"/>
      <c r="AC944" s="71"/>
      <c r="AD944" s="86" t="s">
        <v>24553</v>
      </c>
      <c r="AE944" s="94" t="s">
        <v>25586</v>
      </c>
      <c r="AF944" s="86">
        <v>32208</v>
      </c>
      <c r="AG944" s="86">
        <v>125</v>
      </c>
      <c r="AH944" s="86">
        <v>9745</v>
      </c>
      <c r="AI944" s="86">
        <v>174</v>
      </c>
      <c r="AJ944" s="86">
        <v>5290</v>
      </c>
      <c r="AK944" s="86">
        <v>5299</v>
      </c>
      <c r="AL944" s="86" t="b">
        <v>0</v>
      </c>
      <c r="AM944" s="89">
        <v>42177.752280092594</v>
      </c>
      <c r="AN944" s="86" t="s">
        <v>26221</v>
      </c>
      <c r="AO944" s="86" t="s">
        <v>27284</v>
      </c>
      <c r="AP944" s="96" t="str">
        <f>HYPERLINK("https://t.co/kbmMkRcP1m")</f>
        <v>https://t.co/kbmMkRcP1m</v>
      </c>
      <c r="AQ944" s="96" t="str">
        <f>HYPERLINK("http://www.onumulheres.org.br")</f>
        <v>http://www.onumulheres.org.br</v>
      </c>
      <c r="AR944" s="86" t="s">
        <v>28531</v>
      </c>
      <c r="AS944" s="86"/>
      <c r="AT944" s="86"/>
      <c r="AU944" s="86"/>
      <c r="AV944" s="86"/>
      <c r="AW944" s="96" t="str">
        <f>HYPERLINK("https://t.co/kbmMkRcP1m")</f>
        <v>https://t.co/kbmMkRcP1m</v>
      </c>
      <c r="AX944" s="86" t="b">
        <v>0</v>
      </c>
      <c r="AY944" s="86"/>
      <c r="AZ944" s="86"/>
      <c r="BA944" s="86" t="b">
        <v>0</v>
      </c>
      <c r="BB944" s="86" t="b">
        <v>1</v>
      </c>
      <c r="BC944" s="86" t="b">
        <v>1</v>
      </c>
      <c r="BD944" s="86" t="b">
        <v>0</v>
      </c>
      <c r="BE944" s="86" t="b">
        <v>1</v>
      </c>
      <c r="BF944" s="86" t="b">
        <v>0</v>
      </c>
      <c r="BG944" s="86" t="b">
        <v>0</v>
      </c>
      <c r="BH944" s="96" t="str">
        <f>HYPERLINK("https://pbs.twimg.com/profile_banners/3341796449/1693574720")</f>
        <v>https://pbs.twimg.com/profile_banners/3341796449/1693574720</v>
      </c>
      <c r="BI944" s="86"/>
      <c r="BJ944" s="86" t="s">
        <v>29134</v>
      </c>
      <c r="BK944" s="86" t="b">
        <v>0</v>
      </c>
      <c r="BL944" s="86"/>
      <c r="BM944" s="86" t="s">
        <v>65</v>
      </c>
      <c r="BN944" s="86" t="s">
        <v>29136</v>
      </c>
      <c r="BO944" s="96" t="str">
        <f>HYPERLINK("https://twitter.com/onumulheresbr")</f>
        <v>https://twitter.com/onumulheresbr</v>
      </c>
      <c r="BP944" s="2"/>
    </row>
    <row r="945" spans="1:68" x14ac:dyDescent="0.25">
      <c r="A945" s="63" t="s">
        <v>1725</v>
      </c>
      <c r="B945" s="64"/>
      <c r="C945" s="64"/>
      <c r="D945" s="65"/>
      <c r="E945" s="67"/>
      <c r="F945" s="111" t="str">
        <f>HYPERLINK("https://pbs.twimg.com/profile_images/881934082854223872/5CgaZJg9_normal.jpg")</f>
        <v>https://pbs.twimg.com/profile_images/881934082854223872/5CgaZJg9_normal.jpg</v>
      </c>
      <c r="G945" s="64"/>
      <c r="H945" s="68"/>
      <c r="I945" s="69"/>
      <c r="J945" s="69"/>
      <c r="K945" s="68" t="s">
        <v>30078</v>
      </c>
      <c r="L945" s="72"/>
      <c r="M945" s="73"/>
      <c r="N945" s="73"/>
      <c r="O945" s="74"/>
      <c r="P945" s="75"/>
      <c r="Q945" s="75"/>
      <c r="R945" s="102"/>
      <c r="S945" s="102"/>
      <c r="T945" s="102"/>
      <c r="U945" s="102"/>
      <c r="V945" s="48"/>
      <c r="W945" s="48"/>
      <c r="X945" s="48"/>
      <c r="Y945" s="48"/>
      <c r="Z945" s="47"/>
      <c r="AA945" s="70">
        <v>945</v>
      </c>
      <c r="AB945" s="70"/>
      <c r="AC945" s="71"/>
      <c r="AD945" s="86" t="s">
        <v>24554</v>
      </c>
      <c r="AE945" s="94" t="s">
        <v>25587</v>
      </c>
      <c r="AF945" s="86">
        <v>90999</v>
      </c>
      <c r="AG945" s="86">
        <v>209</v>
      </c>
      <c r="AH945" s="86">
        <v>70950</v>
      </c>
      <c r="AI945" s="86">
        <v>519</v>
      </c>
      <c r="AJ945" s="86">
        <v>57</v>
      </c>
      <c r="AK945" s="86">
        <v>18931</v>
      </c>
      <c r="AL945" s="86" t="b">
        <v>0</v>
      </c>
      <c r="AM945" s="89">
        <v>39685.956643518519</v>
      </c>
      <c r="AN945" s="86" t="s">
        <v>15234</v>
      </c>
      <c r="AO945" s="86" t="s">
        <v>27285</v>
      </c>
      <c r="AP945" s="96" t="str">
        <f>HYPERLINK("https://t.co/d0Tqialoyn")</f>
        <v>https://t.co/d0Tqialoyn</v>
      </c>
      <c r="AQ945" s="96" t="str">
        <f>HYPERLINK("http://www.mdemulher.com.br")</f>
        <v>http://www.mdemulher.com.br</v>
      </c>
      <c r="AR945" s="86" t="s">
        <v>28532</v>
      </c>
      <c r="AS945" s="86"/>
      <c r="AT945" s="86"/>
      <c r="AU945" s="86"/>
      <c r="AV945" s="86"/>
      <c r="AW945" s="96" t="str">
        <f>HYPERLINK("https://t.co/d0Tqialoyn")</f>
        <v>https://t.co/d0Tqialoyn</v>
      </c>
      <c r="AX945" s="86" t="b">
        <v>0</v>
      </c>
      <c r="AY945" s="86"/>
      <c r="AZ945" s="86"/>
      <c r="BA945" s="86" t="b">
        <v>0</v>
      </c>
      <c r="BB945" s="86" t="b">
        <v>1</v>
      </c>
      <c r="BC945" s="86" t="b">
        <v>0</v>
      </c>
      <c r="BD945" s="86" t="b">
        <v>0</v>
      </c>
      <c r="BE945" s="86" t="b">
        <v>0</v>
      </c>
      <c r="BF945" s="86" t="b">
        <v>0</v>
      </c>
      <c r="BG945" s="86" t="b">
        <v>0</v>
      </c>
      <c r="BH945" s="96" t="str">
        <f>HYPERLINK("https://pbs.twimg.com/profile_banners/15988784/1556830954")</f>
        <v>https://pbs.twimg.com/profile_banners/15988784/1556830954</v>
      </c>
      <c r="BI945" s="86"/>
      <c r="BJ945" s="86" t="s">
        <v>29134</v>
      </c>
      <c r="BK945" s="86" t="b">
        <v>0</v>
      </c>
      <c r="BL945" s="86"/>
      <c r="BM945" s="86" t="s">
        <v>65</v>
      </c>
      <c r="BN945" s="86" t="s">
        <v>29136</v>
      </c>
      <c r="BO945" s="96" t="str">
        <f>HYPERLINK("https://twitter.com/mdemulher")</f>
        <v>https://twitter.com/mdemulher</v>
      </c>
      <c r="BP945" s="2"/>
    </row>
    <row r="946" spans="1:68" x14ac:dyDescent="0.25">
      <c r="A946" s="63" t="s">
        <v>1726</v>
      </c>
      <c r="B946" s="64"/>
      <c r="C946" s="64"/>
      <c r="D946" s="65"/>
      <c r="E946" s="67"/>
      <c r="F946" s="111" t="str">
        <f>HYPERLINK("https://pbs.twimg.com/profile_images/1207828407360245761/NcpLXGoS_normal.jpg")</f>
        <v>https://pbs.twimg.com/profile_images/1207828407360245761/NcpLXGoS_normal.jpg</v>
      </c>
      <c r="G946" s="64"/>
      <c r="H946" s="68"/>
      <c r="I946" s="69"/>
      <c r="J946" s="69"/>
      <c r="K946" s="68" t="s">
        <v>30079</v>
      </c>
      <c r="L946" s="72"/>
      <c r="M946" s="73"/>
      <c r="N946" s="73"/>
      <c r="O946" s="74"/>
      <c r="P946" s="75"/>
      <c r="Q946" s="75"/>
      <c r="R946" s="102"/>
      <c r="S946" s="102"/>
      <c r="T946" s="102"/>
      <c r="U946" s="102"/>
      <c r="V946" s="48"/>
      <c r="W946" s="48"/>
      <c r="X946" s="48"/>
      <c r="Y946" s="48"/>
      <c r="Z946" s="47"/>
      <c r="AA946" s="70">
        <v>946</v>
      </c>
      <c r="AB946" s="70"/>
      <c r="AC946" s="71"/>
      <c r="AD946" s="86" t="s">
        <v>24555</v>
      </c>
      <c r="AE946" s="94" t="s">
        <v>25588</v>
      </c>
      <c r="AF946" s="86">
        <v>208</v>
      </c>
      <c r="AG946" s="86">
        <v>49</v>
      </c>
      <c r="AH946" s="86">
        <v>52</v>
      </c>
      <c r="AI946" s="86">
        <v>1</v>
      </c>
      <c r="AJ946" s="86">
        <v>9</v>
      </c>
      <c r="AK946" s="86">
        <v>10</v>
      </c>
      <c r="AL946" s="86" t="b">
        <v>0</v>
      </c>
      <c r="AM946" s="89">
        <v>43810.778865740744</v>
      </c>
      <c r="AN946" s="86" t="s">
        <v>26222</v>
      </c>
      <c r="AO946" s="86" t="s">
        <v>27286</v>
      </c>
      <c r="AP946" s="96" t="str">
        <f>HYPERLINK("https://t.co/oTArpCpI02")</f>
        <v>https://t.co/oTArpCpI02</v>
      </c>
      <c r="AQ946" s="96" t="str">
        <f>HYPERLINK("http://papoempreendedora.com")</f>
        <v>http://papoempreendedora.com</v>
      </c>
      <c r="AR946" s="86" t="s">
        <v>28533</v>
      </c>
      <c r="AS946" s="86"/>
      <c r="AT946" s="86"/>
      <c r="AU946" s="86"/>
      <c r="AV946" s="86"/>
      <c r="AW946" s="96" t="str">
        <f>HYPERLINK("https://t.co/oTArpCpI02")</f>
        <v>https://t.co/oTArpCpI02</v>
      </c>
      <c r="AX946" s="86" t="b">
        <v>0</v>
      </c>
      <c r="AY946" s="86"/>
      <c r="AZ946" s="86"/>
      <c r="BA946" s="86" t="b">
        <v>0</v>
      </c>
      <c r="BB946" s="86" t="b">
        <v>1</v>
      </c>
      <c r="BC946" s="86" t="b">
        <v>1</v>
      </c>
      <c r="BD946" s="86" t="b">
        <v>0</v>
      </c>
      <c r="BE946" s="86" t="b">
        <v>0</v>
      </c>
      <c r="BF946" s="86" t="b">
        <v>0</v>
      </c>
      <c r="BG946" s="86" t="b">
        <v>0</v>
      </c>
      <c r="BH946" s="96" t="str">
        <f>HYPERLINK("https://pbs.twimg.com/profile_banners/1204833542955569153/1576157656")</f>
        <v>https://pbs.twimg.com/profile_banners/1204833542955569153/1576157656</v>
      </c>
      <c r="BI946" s="86"/>
      <c r="BJ946" s="86" t="s">
        <v>29134</v>
      </c>
      <c r="BK946" s="86" t="b">
        <v>0</v>
      </c>
      <c r="BL946" s="86"/>
      <c r="BM946" s="86" t="s">
        <v>65</v>
      </c>
      <c r="BN946" s="86" t="s">
        <v>29136</v>
      </c>
      <c r="BO946" s="96" t="str">
        <f>HYPERLINK("https://twitter.com/papoempreenda")</f>
        <v>https://twitter.com/papoempreenda</v>
      </c>
      <c r="BP946" s="2"/>
    </row>
    <row r="947" spans="1:68" x14ac:dyDescent="0.25">
      <c r="A947" s="63" t="s">
        <v>1727</v>
      </c>
      <c r="B947" s="64"/>
      <c r="C947" s="64"/>
      <c r="D947" s="65"/>
      <c r="E947" s="67"/>
      <c r="F947" s="111" t="str">
        <f>HYPERLINK("https://pbs.twimg.com/profile_images/1655686372412256257/2nX-wr5A_normal.jpg")</f>
        <v>https://pbs.twimg.com/profile_images/1655686372412256257/2nX-wr5A_normal.jpg</v>
      </c>
      <c r="G947" s="64"/>
      <c r="H947" s="68"/>
      <c r="I947" s="69"/>
      <c r="J947" s="69"/>
      <c r="K947" s="68" t="s">
        <v>30080</v>
      </c>
      <c r="L947" s="72"/>
      <c r="M947" s="73"/>
      <c r="N947" s="73"/>
      <c r="O947" s="74"/>
      <c r="P947" s="75"/>
      <c r="Q947" s="75"/>
      <c r="R947" s="102"/>
      <c r="S947" s="102"/>
      <c r="T947" s="102"/>
      <c r="U947" s="102"/>
      <c r="V947" s="48"/>
      <c r="W947" s="48"/>
      <c r="X947" s="48"/>
      <c r="Y947" s="48"/>
      <c r="Z947" s="47"/>
      <c r="AA947" s="70">
        <v>947</v>
      </c>
      <c r="AB947" s="70"/>
      <c r="AC947" s="71"/>
      <c r="AD947" s="86" t="s">
        <v>24556</v>
      </c>
      <c r="AE947" s="94" t="s">
        <v>25589</v>
      </c>
      <c r="AF947" s="86">
        <v>691189</v>
      </c>
      <c r="AG947" s="86">
        <v>0</v>
      </c>
      <c r="AH947" s="86">
        <v>741966</v>
      </c>
      <c r="AI947" s="86">
        <v>411</v>
      </c>
      <c r="AJ947" s="86">
        <v>1856</v>
      </c>
      <c r="AK947" s="86">
        <v>294017</v>
      </c>
      <c r="AL947" s="86" t="b">
        <v>0</v>
      </c>
      <c r="AM947" s="89">
        <v>40595.648981481485</v>
      </c>
      <c r="AN947" s="86" t="s">
        <v>15372</v>
      </c>
      <c r="AO947" s="86" t="s">
        <v>27287</v>
      </c>
      <c r="AP947" s="96" t="str">
        <f>HYPERLINK("https://t.co/9c23nCFTpy")</f>
        <v>https://t.co/9c23nCFTpy</v>
      </c>
      <c r="AQ947" s="96" t="str">
        <f>HYPERLINK("http://www.cocacola.com.br")</f>
        <v>http://www.cocacola.com.br</v>
      </c>
      <c r="AR947" s="86" t="s">
        <v>28534</v>
      </c>
      <c r="AS947" s="96" t="str">
        <f>HYPERLINK("https://t.co/aih4RVb4DY")</f>
        <v>https://t.co/aih4RVb4DY</v>
      </c>
      <c r="AT947" s="96" t="str">
        <f>HYPERLINK("http://linktr.ee/CocaColaBR")</f>
        <v>http://linktr.ee/CocaColaBR</v>
      </c>
      <c r="AU947" s="86" t="s">
        <v>29090</v>
      </c>
      <c r="AV947" s="86"/>
      <c r="AW947" s="96" t="str">
        <f>HYPERLINK("https://t.co/9c23nCFTpy")</f>
        <v>https://t.co/9c23nCFTpy</v>
      </c>
      <c r="AX947" s="86" t="b">
        <v>0</v>
      </c>
      <c r="AY947" s="86"/>
      <c r="AZ947" s="86"/>
      <c r="BA947" s="86" t="b">
        <v>1</v>
      </c>
      <c r="BB947" s="86" t="b">
        <v>1</v>
      </c>
      <c r="BC947" s="86" t="b">
        <v>0</v>
      </c>
      <c r="BD947" s="86" t="b">
        <v>0</v>
      </c>
      <c r="BE947" s="86" t="b">
        <v>1</v>
      </c>
      <c r="BF947" s="86" t="b">
        <v>0</v>
      </c>
      <c r="BG947" s="86" t="b">
        <v>0</v>
      </c>
      <c r="BH947" s="96" t="str">
        <f>HYPERLINK("https://pbs.twimg.com/profile_banners/255537739/1683570195")</f>
        <v>https://pbs.twimg.com/profile_banners/255537739/1683570195</v>
      </c>
      <c r="BI947" s="86"/>
      <c r="BJ947" s="86" t="s">
        <v>29135</v>
      </c>
      <c r="BK947" s="86" t="b">
        <v>0</v>
      </c>
      <c r="BL947" s="86"/>
      <c r="BM947" s="86" t="s">
        <v>65</v>
      </c>
      <c r="BN947" s="86" t="s">
        <v>29136</v>
      </c>
      <c r="BO947" s="96" t="str">
        <f>HYPERLINK("https://twitter.com/cocacola_br")</f>
        <v>https://twitter.com/cocacola_br</v>
      </c>
      <c r="BP947" s="2"/>
    </row>
    <row r="948" spans="1:68" x14ac:dyDescent="0.25">
      <c r="A948" s="63" t="s">
        <v>1728</v>
      </c>
      <c r="B948" s="64"/>
      <c r="C948" s="64"/>
      <c r="D948" s="65"/>
      <c r="E948" s="67"/>
      <c r="F948" s="111" t="str">
        <f>HYPERLINK("https://pbs.twimg.com/profile_images/1335423735017443329/Aet2Mt2-_normal.jpg")</f>
        <v>https://pbs.twimg.com/profile_images/1335423735017443329/Aet2Mt2-_normal.jpg</v>
      </c>
      <c r="G948" s="64"/>
      <c r="H948" s="68"/>
      <c r="I948" s="69"/>
      <c r="J948" s="69"/>
      <c r="K948" s="68" t="s">
        <v>30081</v>
      </c>
      <c r="L948" s="72"/>
      <c r="M948" s="73"/>
      <c r="N948" s="73"/>
      <c r="O948" s="74"/>
      <c r="P948" s="75"/>
      <c r="Q948" s="75"/>
      <c r="R948" s="102"/>
      <c r="S948" s="102"/>
      <c r="T948" s="102"/>
      <c r="U948" s="102"/>
      <c r="V948" s="48"/>
      <c r="W948" s="48"/>
      <c r="X948" s="48"/>
      <c r="Y948" s="48"/>
      <c r="Z948" s="47"/>
      <c r="AA948" s="70">
        <v>948</v>
      </c>
      <c r="AB948" s="70"/>
      <c r="AC948" s="71"/>
      <c r="AD948" s="86" t="s">
        <v>24557</v>
      </c>
      <c r="AE948" s="94" t="s">
        <v>25590</v>
      </c>
      <c r="AF948" s="86">
        <v>311</v>
      </c>
      <c r="AG948" s="86">
        <v>77</v>
      </c>
      <c r="AH948" s="86">
        <v>0</v>
      </c>
      <c r="AI948" s="86">
        <v>6</v>
      </c>
      <c r="AJ948" s="86">
        <v>9</v>
      </c>
      <c r="AK948" s="86">
        <v>0</v>
      </c>
      <c r="AL948" s="86" t="b">
        <v>0</v>
      </c>
      <c r="AM948" s="89">
        <v>42464.633449074077</v>
      </c>
      <c r="AN948" s="86" t="s">
        <v>15246</v>
      </c>
      <c r="AO948" s="86" t="s">
        <v>27288</v>
      </c>
      <c r="AP948" s="96" t="str">
        <f>HYPERLINK("https://t.co/10d83tKjDm")</f>
        <v>https://t.co/10d83tKjDm</v>
      </c>
      <c r="AQ948" s="96" t="str">
        <f>HYPERLINK("http://linktr.ee/empreendedorismo.produtivo")</f>
        <v>http://linktr.ee/empreendedorismo.produtivo</v>
      </c>
      <c r="AR948" s="86" t="s">
        <v>28535</v>
      </c>
      <c r="AS948" s="86"/>
      <c r="AT948" s="86"/>
      <c r="AU948" s="86"/>
      <c r="AV948" s="86"/>
      <c r="AW948" s="96" t="str">
        <f>HYPERLINK("https://t.co/10d83tKjDm")</f>
        <v>https://t.co/10d83tKjDm</v>
      </c>
      <c r="AX948" s="86" t="b">
        <v>0</v>
      </c>
      <c r="AY948" s="86"/>
      <c r="AZ948" s="86"/>
      <c r="BA948" s="86" t="b">
        <v>0</v>
      </c>
      <c r="BB948" s="86" t="b">
        <v>1</v>
      </c>
      <c r="BC948" s="86" t="b">
        <v>1</v>
      </c>
      <c r="BD948" s="86" t="b">
        <v>0</v>
      </c>
      <c r="BE948" s="86" t="b">
        <v>0</v>
      </c>
      <c r="BF948" s="86" t="b">
        <v>0</v>
      </c>
      <c r="BG948" s="86" t="b">
        <v>0</v>
      </c>
      <c r="BH948" s="96" t="str">
        <f>HYPERLINK("https://pbs.twimg.com/profile_banners/717006855495614464/1607224937")</f>
        <v>https://pbs.twimg.com/profile_banners/717006855495614464/1607224937</v>
      </c>
      <c r="BI948" s="86"/>
      <c r="BJ948" s="86" t="s">
        <v>29134</v>
      </c>
      <c r="BK948" s="86" t="b">
        <v>0</v>
      </c>
      <c r="BL948" s="86"/>
      <c r="BM948" s="86" t="s">
        <v>65</v>
      </c>
      <c r="BN948" s="86" t="s">
        <v>29136</v>
      </c>
      <c r="BO948" s="96" t="str">
        <f>HYPERLINK("https://twitter.com/empreenderprodu")</f>
        <v>https://twitter.com/empreenderprodu</v>
      </c>
      <c r="BP948" s="2"/>
    </row>
    <row r="949" spans="1:68" x14ac:dyDescent="0.25">
      <c r="A949" s="63" t="s">
        <v>1729</v>
      </c>
      <c r="B949" s="64"/>
      <c r="C949" s="64"/>
      <c r="D949" s="65"/>
      <c r="E949" s="67"/>
      <c r="F949" s="111" t="str">
        <f>HYPERLINK("https://pbs.twimg.com/profile_images/378800000762264293/d5a02d339a66cfe340a62d93e56a9af0_normal.jpeg")</f>
        <v>https://pbs.twimg.com/profile_images/378800000762264293/d5a02d339a66cfe340a62d93e56a9af0_normal.jpeg</v>
      </c>
      <c r="G949" s="64"/>
      <c r="H949" s="68"/>
      <c r="I949" s="69"/>
      <c r="J949" s="69"/>
      <c r="K949" s="68" t="s">
        <v>30082</v>
      </c>
      <c r="L949" s="72"/>
      <c r="M949" s="73"/>
      <c r="N949" s="73"/>
      <c r="O949" s="74"/>
      <c r="P949" s="75"/>
      <c r="Q949" s="75"/>
      <c r="R949" s="102"/>
      <c r="S949" s="102"/>
      <c r="T949" s="102"/>
      <c r="U949" s="102"/>
      <c r="V949" s="48"/>
      <c r="W949" s="48"/>
      <c r="X949" s="48"/>
      <c r="Y949" s="48"/>
      <c r="Z949" s="47"/>
      <c r="AA949" s="70">
        <v>949</v>
      </c>
      <c r="AB949" s="70"/>
      <c r="AC949" s="71"/>
      <c r="AD949" s="86" t="s">
        <v>24558</v>
      </c>
      <c r="AE949" s="94" t="s">
        <v>25591</v>
      </c>
      <c r="AF949" s="86">
        <v>13578</v>
      </c>
      <c r="AG949" s="86">
        <v>495</v>
      </c>
      <c r="AH949" s="86">
        <v>5787</v>
      </c>
      <c r="AI949" s="86">
        <v>236</v>
      </c>
      <c r="AJ949" s="86">
        <v>420</v>
      </c>
      <c r="AK949" s="86">
        <v>665</v>
      </c>
      <c r="AL949" s="86" t="b">
        <v>0</v>
      </c>
      <c r="AM949" s="89">
        <v>40039.742280092592</v>
      </c>
      <c r="AN949" s="86" t="s">
        <v>15265</v>
      </c>
      <c r="AO949" s="86" t="s">
        <v>27289</v>
      </c>
      <c r="AP949" s="86"/>
      <c r="AQ949" s="86"/>
      <c r="AR949" s="86"/>
      <c r="AS949" s="86"/>
      <c r="AT949" s="86"/>
      <c r="AU949" s="86"/>
      <c r="AV949" s="86">
        <v>9.6845861646123405E+17</v>
      </c>
      <c r="AW949" s="86"/>
      <c r="AX949" s="86" t="b">
        <v>0</v>
      </c>
      <c r="AY949" s="86"/>
      <c r="AZ949" s="86"/>
      <c r="BA949" s="86" t="b">
        <v>0</v>
      </c>
      <c r="BB949" s="86" t="b">
        <v>1</v>
      </c>
      <c r="BC949" s="86" t="b">
        <v>0</v>
      </c>
      <c r="BD949" s="86" t="b">
        <v>0</v>
      </c>
      <c r="BE949" s="86" t="b">
        <v>0</v>
      </c>
      <c r="BF949" s="86" t="b">
        <v>0</v>
      </c>
      <c r="BG949" s="86" t="b">
        <v>0</v>
      </c>
      <c r="BH949" s="96" t="str">
        <f>HYPERLINK("https://pbs.twimg.com/profile_banners/65691442/1585573373")</f>
        <v>https://pbs.twimg.com/profile_banners/65691442/1585573373</v>
      </c>
      <c r="BI949" s="86"/>
      <c r="BJ949" s="86" t="s">
        <v>29134</v>
      </c>
      <c r="BK949" s="86" t="b">
        <v>0</v>
      </c>
      <c r="BL949" s="86"/>
      <c r="BM949" s="86" t="s">
        <v>65</v>
      </c>
      <c r="BN949" s="86" t="s">
        <v>29136</v>
      </c>
      <c r="BO949" s="96" t="str">
        <f>HYPERLINK("https://twitter.com/redeinovacao")</f>
        <v>https://twitter.com/redeinovacao</v>
      </c>
      <c r="BP949" s="2"/>
    </row>
    <row r="950" spans="1:68" x14ac:dyDescent="0.25">
      <c r="A950" s="63" t="s">
        <v>1730</v>
      </c>
      <c r="B950" s="64"/>
      <c r="C950" s="64"/>
      <c r="D950" s="65"/>
      <c r="E950" s="67"/>
      <c r="F950" s="111" t="str">
        <f>HYPERLINK("https://pbs.twimg.com/profile_images/1443628321363959809/HndbKfHm_normal.png")</f>
        <v>https://pbs.twimg.com/profile_images/1443628321363959809/HndbKfHm_normal.png</v>
      </c>
      <c r="G950" s="64"/>
      <c r="H950" s="68"/>
      <c r="I950" s="69"/>
      <c r="J950" s="69"/>
      <c r="K950" s="68" t="s">
        <v>30083</v>
      </c>
      <c r="L950" s="72"/>
      <c r="M950" s="73"/>
      <c r="N950" s="73"/>
      <c r="O950" s="74"/>
      <c r="P950" s="75"/>
      <c r="Q950" s="75"/>
      <c r="R950" s="102"/>
      <c r="S950" s="102"/>
      <c r="T950" s="102"/>
      <c r="U950" s="102"/>
      <c r="V950" s="48"/>
      <c r="W950" s="48"/>
      <c r="X950" s="48"/>
      <c r="Y950" s="48"/>
      <c r="Z950" s="47"/>
      <c r="AA950" s="70">
        <v>950</v>
      </c>
      <c r="AB950" s="70"/>
      <c r="AC950" s="71"/>
      <c r="AD950" s="86" t="s">
        <v>24559</v>
      </c>
      <c r="AE950" s="94" t="s">
        <v>25592</v>
      </c>
      <c r="AF950" s="86">
        <v>25085</v>
      </c>
      <c r="AG950" s="86">
        <v>190</v>
      </c>
      <c r="AH950" s="86">
        <v>5842</v>
      </c>
      <c r="AI950" s="86">
        <v>269</v>
      </c>
      <c r="AJ950" s="86">
        <v>392</v>
      </c>
      <c r="AK950" s="86">
        <v>2775</v>
      </c>
      <c r="AL950" s="86" t="b">
        <v>0</v>
      </c>
      <c r="AM950" s="89">
        <v>40021.829918981479</v>
      </c>
      <c r="AN950" s="86" t="s">
        <v>15378</v>
      </c>
      <c r="AO950" s="86" t="s">
        <v>27290</v>
      </c>
      <c r="AP950" s="96" t="str">
        <f>HYPERLINK("https://t.co/GnNjKKrf3x")</f>
        <v>https://t.co/GnNjKKrf3x</v>
      </c>
      <c r="AQ950" s="96" t="str">
        <f>HYPERLINK("https://linktr.ee/AUSPIN")</f>
        <v>https://linktr.ee/AUSPIN</v>
      </c>
      <c r="AR950" s="86" t="s">
        <v>28536</v>
      </c>
      <c r="AS950" s="96" t="str">
        <f>HYPERLINK("https://t.co/Q2QrjbQZjZ")</f>
        <v>https://t.co/Q2QrjbQZjZ</v>
      </c>
      <c r="AT950" s="96" t="str">
        <f>HYPERLINK("http://linktr.ee/AUSPIN")</f>
        <v>http://linktr.ee/AUSPIN</v>
      </c>
      <c r="AU950" s="86" t="s">
        <v>28536</v>
      </c>
      <c r="AV950" s="86"/>
      <c r="AW950" s="96" t="str">
        <f>HYPERLINK("https://t.co/GnNjKKrf3x")</f>
        <v>https://t.co/GnNjKKrf3x</v>
      </c>
      <c r="AX950" s="86" t="b">
        <v>0</v>
      </c>
      <c r="AY950" s="86"/>
      <c r="AZ950" s="86"/>
      <c r="BA950" s="86" t="b">
        <v>0</v>
      </c>
      <c r="BB950" s="86" t="b">
        <v>1</v>
      </c>
      <c r="BC950" s="86" t="b">
        <v>0</v>
      </c>
      <c r="BD950" s="86" t="b">
        <v>0</v>
      </c>
      <c r="BE950" s="86" t="b">
        <v>0</v>
      </c>
      <c r="BF950" s="86" t="b">
        <v>0</v>
      </c>
      <c r="BG950" s="86" t="b">
        <v>0</v>
      </c>
      <c r="BH950" s="96" t="str">
        <f>HYPERLINK("https://pbs.twimg.com/profile_banners/60692622/1610376627")</f>
        <v>https://pbs.twimg.com/profile_banners/60692622/1610376627</v>
      </c>
      <c r="BI950" s="86"/>
      <c r="BJ950" s="86" t="s">
        <v>29135</v>
      </c>
      <c r="BK950" s="86" t="b">
        <v>0</v>
      </c>
      <c r="BL950" s="86"/>
      <c r="BM950" s="86" t="s">
        <v>65</v>
      </c>
      <c r="BN950" s="86" t="s">
        <v>29136</v>
      </c>
      <c r="BO950" s="96" t="str">
        <f>HYPERLINK("https://twitter.com/uspinovacao")</f>
        <v>https://twitter.com/uspinovacao</v>
      </c>
      <c r="BP950" s="2"/>
    </row>
    <row r="951" spans="1:68" x14ac:dyDescent="0.25">
      <c r="A951" s="63" t="s">
        <v>1731</v>
      </c>
      <c r="B951" s="64"/>
      <c r="C951" s="64"/>
      <c r="D951" s="65"/>
      <c r="E951" s="67"/>
      <c r="F951" s="111" t="str">
        <f>HYPERLINK("https://pbs.twimg.com/profile_images/895708812920934400/lh4k7DS2_normal.jpg")</f>
        <v>https://pbs.twimg.com/profile_images/895708812920934400/lh4k7DS2_normal.jpg</v>
      </c>
      <c r="G951" s="64"/>
      <c r="H951" s="68"/>
      <c r="I951" s="69"/>
      <c r="J951" s="69"/>
      <c r="K951" s="68" t="s">
        <v>30084</v>
      </c>
      <c r="L951" s="72"/>
      <c r="M951" s="73"/>
      <c r="N951" s="73"/>
      <c r="O951" s="74"/>
      <c r="P951" s="75"/>
      <c r="Q951" s="75"/>
      <c r="R951" s="102"/>
      <c r="S951" s="102"/>
      <c r="T951" s="102"/>
      <c r="U951" s="102"/>
      <c r="V951" s="48"/>
      <c r="W951" s="48"/>
      <c r="X951" s="48"/>
      <c r="Y951" s="48"/>
      <c r="Z951" s="47"/>
      <c r="AA951" s="70">
        <v>951</v>
      </c>
      <c r="AB951" s="70"/>
      <c r="AC951" s="71"/>
      <c r="AD951" s="86" t="s">
        <v>24560</v>
      </c>
      <c r="AE951" s="94" t="s">
        <v>25593</v>
      </c>
      <c r="AF951" s="86">
        <v>12641</v>
      </c>
      <c r="AG951" s="86">
        <v>208</v>
      </c>
      <c r="AH951" s="86">
        <v>3878</v>
      </c>
      <c r="AI951" s="86">
        <v>261</v>
      </c>
      <c r="AJ951" s="86">
        <v>1250</v>
      </c>
      <c r="AK951" s="86">
        <v>522</v>
      </c>
      <c r="AL951" s="86" t="b">
        <v>0</v>
      </c>
      <c r="AM951" s="89">
        <v>41240.80228009259</v>
      </c>
      <c r="AN951" s="86" t="s">
        <v>15246</v>
      </c>
      <c r="AO951" s="86" t="s">
        <v>27291</v>
      </c>
      <c r="AP951" s="96" t="str">
        <f>HYPERLINK("http://t.co/pcPE0zH4nK")</f>
        <v>http://t.co/pcPE0zH4nK</v>
      </c>
      <c r="AQ951" s="96" t="str">
        <f>HYPERLINK("http://www.startupbrasil.org.br")</f>
        <v>http://www.startupbrasil.org.br</v>
      </c>
      <c r="AR951" s="86" t="s">
        <v>28537</v>
      </c>
      <c r="AS951" s="86"/>
      <c r="AT951" s="86"/>
      <c r="AU951" s="86"/>
      <c r="AV951" s="86"/>
      <c r="AW951" s="96" t="str">
        <f>HYPERLINK("http://t.co/pcPE0zH4nK")</f>
        <v>http://t.co/pcPE0zH4nK</v>
      </c>
      <c r="AX951" s="86" t="b">
        <v>0</v>
      </c>
      <c r="AY951" s="86"/>
      <c r="AZ951" s="86"/>
      <c r="BA951" s="86" t="b">
        <v>0</v>
      </c>
      <c r="BB951" s="86" t="b">
        <v>1</v>
      </c>
      <c r="BC951" s="86" t="b">
        <v>0</v>
      </c>
      <c r="BD951" s="86" t="b">
        <v>0</v>
      </c>
      <c r="BE951" s="86" t="b">
        <v>0</v>
      </c>
      <c r="BF951" s="86" t="b">
        <v>0</v>
      </c>
      <c r="BG951" s="86" t="b">
        <v>0</v>
      </c>
      <c r="BH951" s="96" t="str">
        <f>HYPERLINK("https://pbs.twimg.com/profile_banners/974502716/1528203457")</f>
        <v>https://pbs.twimg.com/profile_banners/974502716/1528203457</v>
      </c>
      <c r="BI951" s="86"/>
      <c r="BJ951" s="86" t="s">
        <v>29134</v>
      </c>
      <c r="BK951" s="86" t="b">
        <v>0</v>
      </c>
      <c r="BL951" s="86"/>
      <c r="BM951" s="86" t="s">
        <v>65</v>
      </c>
      <c r="BN951" s="86" t="s">
        <v>29136</v>
      </c>
      <c r="BO951" s="96" t="str">
        <f>HYPERLINK("https://twitter.com/startup_br")</f>
        <v>https://twitter.com/startup_br</v>
      </c>
      <c r="BP951" s="2"/>
    </row>
    <row r="952" spans="1:68" x14ac:dyDescent="0.25">
      <c r="A952" s="63" t="s">
        <v>1732</v>
      </c>
      <c r="B952" s="64"/>
      <c r="C952" s="64"/>
      <c r="D952" s="65"/>
      <c r="E952" s="67"/>
      <c r="F952" s="111" t="str">
        <f>HYPERLINK("https://pbs.twimg.com/profile_images/1305284326922297346/F7hVCaei_normal.jpg")</f>
        <v>https://pbs.twimg.com/profile_images/1305284326922297346/F7hVCaei_normal.jpg</v>
      </c>
      <c r="G952" s="64"/>
      <c r="H952" s="68"/>
      <c r="I952" s="69"/>
      <c r="J952" s="69"/>
      <c r="K952" s="68" t="s">
        <v>30085</v>
      </c>
      <c r="L952" s="72"/>
      <c r="M952" s="73"/>
      <c r="N952" s="73"/>
      <c r="O952" s="74"/>
      <c r="P952" s="75"/>
      <c r="Q952" s="75"/>
      <c r="R952" s="102"/>
      <c r="S952" s="102"/>
      <c r="T952" s="102"/>
      <c r="U952" s="102"/>
      <c r="V952" s="48"/>
      <c r="W952" s="48"/>
      <c r="X952" s="48"/>
      <c r="Y952" s="48"/>
      <c r="Z952" s="47"/>
      <c r="AA952" s="70">
        <v>952</v>
      </c>
      <c r="AB952" s="70"/>
      <c r="AC952" s="71"/>
      <c r="AD952" s="86" t="s">
        <v>24561</v>
      </c>
      <c r="AE952" s="94" t="s">
        <v>25594</v>
      </c>
      <c r="AF952" s="86">
        <v>77025</v>
      </c>
      <c r="AG952" s="86">
        <v>89</v>
      </c>
      <c r="AH952" s="86">
        <v>8180</v>
      </c>
      <c r="AI952" s="86">
        <v>717</v>
      </c>
      <c r="AJ952" s="86">
        <v>1185</v>
      </c>
      <c r="AK952" s="86">
        <v>1438</v>
      </c>
      <c r="AL952" s="86" t="b">
        <v>0</v>
      </c>
      <c r="AM952" s="89">
        <v>42745.545451388891</v>
      </c>
      <c r="AN952" s="86" t="s">
        <v>15246</v>
      </c>
      <c r="AO952" s="86" t="s">
        <v>27292</v>
      </c>
      <c r="AP952" s="96" t="str">
        <f>HYPERLINK("https://t.co/TsQ0g82CBc")</f>
        <v>https://t.co/TsQ0g82CBc</v>
      </c>
      <c r="AQ952" s="96" t="str">
        <f>HYPERLINK("http://www.btgpactual.com")</f>
        <v>http://www.btgpactual.com</v>
      </c>
      <c r="AR952" s="86" t="s">
        <v>28538</v>
      </c>
      <c r="AS952" s="96" t="str">
        <f>HYPERLINK("https://t.co/i02fVRPwBC")</f>
        <v>https://t.co/i02fVRPwBC</v>
      </c>
      <c r="AT952" s="96" t="str">
        <f>HYPERLINK("http://l.btgpactual.com/abrasuaconta")</f>
        <v>http://l.btgpactual.com/abrasuaconta</v>
      </c>
      <c r="AU952" s="86" t="s">
        <v>29091</v>
      </c>
      <c r="AV952" s="86">
        <v>1.70487467842931E+18</v>
      </c>
      <c r="AW952" s="96" t="str">
        <f>HYPERLINK("https://t.co/TsQ0g82CBc")</f>
        <v>https://t.co/TsQ0g82CBc</v>
      </c>
      <c r="AX952" s="86" t="b">
        <v>0</v>
      </c>
      <c r="AY952" s="86"/>
      <c r="AZ952" s="86"/>
      <c r="BA952" s="86" t="b">
        <v>1</v>
      </c>
      <c r="BB952" s="86" t="b">
        <v>1</v>
      </c>
      <c r="BC952" s="86" t="b">
        <v>1</v>
      </c>
      <c r="BD952" s="86" t="b">
        <v>0</v>
      </c>
      <c r="BE952" s="86" t="b">
        <v>1</v>
      </c>
      <c r="BF952" s="86" t="b">
        <v>0</v>
      </c>
      <c r="BG952" s="86" t="b">
        <v>0</v>
      </c>
      <c r="BH952" s="96" t="str">
        <f>HYPERLINK("https://pbs.twimg.com/profile_banners/818805955609657344/1695646414")</f>
        <v>https://pbs.twimg.com/profile_banners/818805955609657344/1695646414</v>
      </c>
      <c r="BI952" s="86"/>
      <c r="BJ952" s="86" t="s">
        <v>29134</v>
      </c>
      <c r="BK952" s="86" t="b">
        <v>0</v>
      </c>
      <c r="BL952" s="86"/>
      <c r="BM952" s="86" t="s">
        <v>65</v>
      </c>
      <c r="BN952" s="86" t="s">
        <v>29136</v>
      </c>
      <c r="BO952" s="96" t="str">
        <f>HYPERLINK("https://twitter.com/btgpactual")</f>
        <v>https://twitter.com/btgpactual</v>
      </c>
      <c r="BP952" s="2"/>
    </row>
    <row r="953" spans="1:68" x14ac:dyDescent="0.25">
      <c r="A953" s="63" t="s">
        <v>1733</v>
      </c>
      <c r="B953" s="64"/>
      <c r="C953" s="64"/>
      <c r="D953" s="65"/>
      <c r="E953" s="67"/>
      <c r="F953" s="111" t="str">
        <f>HYPERLINK("https://pbs.twimg.com/profile_images/917473534863081473/rRO0U6wv_normal.jpg")</f>
        <v>https://pbs.twimg.com/profile_images/917473534863081473/rRO0U6wv_normal.jpg</v>
      </c>
      <c r="G953" s="64"/>
      <c r="H953" s="68"/>
      <c r="I953" s="69"/>
      <c r="J953" s="69"/>
      <c r="K953" s="68" t="s">
        <v>30086</v>
      </c>
      <c r="L953" s="72"/>
      <c r="M953" s="73"/>
      <c r="N953" s="73"/>
      <c r="O953" s="74"/>
      <c r="P953" s="75"/>
      <c r="Q953" s="75"/>
      <c r="R953" s="102"/>
      <c r="S953" s="102"/>
      <c r="T953" s="102"/>
      <c r="U953" s="102"/>
      <c r="V953" s="48"/>
      <c r="W953" s="48"/>
      <c r="X953" s="48"/>
      <c r="Y953" s="48"/>
      <c r="Z953" s="47"/>
      <c r="AA953" s="70">
        <v>953</v>
      </c>
      <c r="AB953" s="70"/>
      <c r="AC953" s="71"/>
      <c r="AD953" s="86" t="s">
        <v>24562</v>
      </c>
      <c r="AE953" s="94" t="s">
        <v>25595</v>
      </c>
      <c r="AF953" s="86">
        <v>18580</v>
      </c>
      <c r="AG953" s="86">
        <v>1631</v>
      </c>
      <c r="AH953" s="86">
        <v>18057</v>
      </c>
      <c r="AI953" s="86">
        <v>233</v>
      </c>
      <c r="AJ953" s="86">
        <v>159198</v>
      </c>
      <c r="AK953" s="86">
        <v>254</v>
      </c>
      <c r="AL953" s="86" t="b">
        <v>0</v>
      </c>
      <c r="AM953" s="89">
        <v>40576.764641203707</v>
      </c>
      <c r="AN953" s="86" t="s">
        <v>15246</v>
      </c>
      <c r="AO953" s="86" t="s">
        <v>27293</v>
      </c>
      <c r="AP953" s="96" t="str">
        <f>HYPERLINK("https://t.co/SUuvcgaxkf")</f>
        <v>https://t.co/SUuvcgaxkf</v>
      </c>
      <c r="AQ953" s="96" t="str">
        <f>HYPERLINK("http://www.jornaldoempreendedor.com.br")</f>
        <v>http://www.jornaldoempreendedor.com.br</v>
      </c>
      <c r="AR953" s="86" t="s">
        <v>28539</v>
      </c>
      <c r="AS953" s="86"/>
      <c r="AT953" s="86"/>
      <c r="AU953" s="86"/>
      <c r="AV953" s="86"/>
      <c r="AW953" s="96" t="str">
        <f>HYPERLINK("https://t.co/SUuvcgaxkf")</f>
        <v>https://t.co/SUuvcgaxkf</v>
      </c>
      <c r="AX953" s="86" t="b">
        <v>0</v>
      </c>
      <c r="AY953" s="86"/>
      <c r="AZ953" s="86"/>
      <c r="BA953" s="86" t="b">
        <v>0</v>
      </c>
      <c r="BB953" s="86" t="b">
        <v>1</v>
      </c>
      <c r="BC953" s="86" t="b">
        <v>0</v>
      </c>
      <c r="BD953" s="86" t="b">
        <v>0</v>
      </c>
      <c r="BE953" s="86" t="b">
        <v>1</v>
      </c>
      <c r="BF953" s="86" t="b">
        <v>0</v>
      </c>
      <c r="BG953" s="86" t="b">
        <v>0</v>
      </c>
      <c r="BH953" s="96" t="str">
        <f>HYPERLINK("https://pbs.twimg.com/profile_banners/246394527/1417114744")</f>
        <v>https://pbs.twimg.com/profile_banners/246394527/1417114744</v>
      </c>
      <c r="BI953" s="86"/>
      <c r="BJ953" s="86" t="s">
        <v>29134</v>
      </c>
      <c r="BK953" s="86" t="b">
        <v>0</v>
      </c>
      <c r="BL953" s="86"/>
      <c r="BM953" s="86" t="s">
        <v>65</v>
      </c>
      <c r="BN953" s="86" t="s">
        <v>29136</v>
      </c>
      <c r="BO953" s="96" t="str">
        <f>HYPERLINK("https://twitter.com/jornal_empreend")</f>
        <v>https://twitter.com/jornal_empreend</v>
      </c>
      <c r="BP953" s="2"/>
    </row>
    <row r="954" spans="1:68" x14ac:dyDescent="0.25">
      <c r="A954" s="63" t="s">
        <v>1734</v>
      </c>
      <c r="B954" s="64"/>
      <c r="C954" s="64"/>
      <c r="D954" s="65"/>
      <c r="E954" s="67"/>
      <c r="F954" s="111" t="str">
        <f>HYPERLINK("https://pbs.twimg.com/profile_images/1446289870859776000/OuFaLYyf_normal.jpg")</f>
        <v>https://pbs.twimg.com/profile_images/1446289870859776000/OuFaLYyf_normal.jpg</v>
      </c>
      <c r="G954" s="64"/>
      <c r="H954" s="68"/>
      <c r="I954" s="69"/>
      <c r="J954" s="69"/>
      <c r="K954" s="68" t="s">
        <v>30087</v>
      </c>
      <c r="L954" s="72"/>
      <c r="M954" s="73"/>
      <c r="N954" s="73"/>
      <c r="O954" s="74"/>
      <c r="P954" s="75"/>
      <c r="Q954" s="75"/>
      <c r="R954" s="102"/>
      <c r="S954" s="102"/>
      <c r="T954" s="102"/>
      <c r="U954" s="102"/>
      <c r="V954" s="48"/>
      <c r="W954" s="48"/>
      <c r="X954" s="48"/>
      <c r="Y954" s="48"/>
      <c r="Z954" s="47"/>
      <c r="AA954" s="70">
        <v>954</v>
      </c>
      <c r="AB954" s="70"/>
      <c r="AC954" s="71"/>
      <c r="AD954" s="86" t="s">
        <v>24563</v>
      </c>
      <c r="AE954" s="94" t="s">
        <v>25596</v>
      </c>
      <c r="AF954" s="86">
        <v>175</v>
      </c>
      <c r="AG954" s="86">
        <v>48</v>
      </c>
      <c r="AH954" s="86">
        <v>108</v>
      </c>
      <c r="AI954" s="86">
        <v>4</v>
      </c>
      <c r="AJ954" s="86">
        <v>5</v>
      </c>
      <c r="AK954" s="86">
        <v>33</v>
      </c>
      <c r="AL954" s="86" t="b">
        <v>0</v>
      </c>
      <c r="AM954" s="89">
        <v>44477.069872685184</v>
      </c>
      <c r="AN954" s="86" t="s">
        <v>15388</v>
      </c>
      <c r="AO954" s="86" t="s">
        <v>27294</v>
      </c>
      <c r="AP954" s="96" t="str">
        <f>HYPERLINK("https://t.co/qumGem9763")</f>
        <v>https://t.co/qumGem9763</v>
      </c>
      <c r="AQ954" s="96" t="str">
        <f>HYPERLINK("https://fpempreendedorismo.org/")</f>
        <v>https://fpempreendedorismo.org/</v>
      </c>
      <c r="AR954" s="86" t="s">
        <v>28540</v>
      </c>
      <c r="AS954" s="86"/>
      <c r="AT954" s="86"/>
      <c r="AU954" s="86"/>
      <c r="AV954" s="86"/>
      <c r="AW954" s="96" t="str">
        <f>HYPERLINK("https://t.co/qumGem9763")</f>
        <v>https://t.co/qumGem9763</v>
      </c>
      <c r="AX954" s="86" t="b">
        <v>0</v>
      </c>
      <c r="AY954" s="86"/>
      <c r="AZ954" s="86"/>
      <c r="BA954" s="86" t="b">
        <v>0</v>
      </c>
      <c r="BB954" s="86" t="b">
        <v>1</v>
      </c>
      <c r="BC954" s="86" t="b">
        <v>1</v>
      </c>
      <c r="BD954" s="86" t="b">
        <v>0</v>
      </c>
      <c r="BE954" s="86" t="b">
        <v>0</v>
      </c>
      <c r="BF954" s="86" t="b">
        <v>0</v>
      </c>
      <c r="BG954" s="86" t="b">
        <v>0</v>
      </c>
      <c r="BH954" s="96" t="str">
        <f>HYPERLINK("https://pbs.twimg.com/profile_banners/1446289301566894090/1634647740")</f>
        <v>https://pbs.twimg.com/profile_banners/1446289301566894090/1634647740</v>
      </c>
      <c r="BI954" s="86"/>
      <c r="BJ954" s="86" t="s">
        <v>29134</v>
      </c>
      <c r="BK954" s="86" t="b">
        <v>0</v>
      </c>
      <c r="BL954" s="86"/>
      <c r="BM954" s="86" t="s">
        <v>65</v>
      </c>
      <c r="BN954" s="86" t="s">
        <v>29136</v>
      </c>
      <c r="BO954" s="96" t="str">
        <f>HYPERLINK("https://twitter.com/fpecongresso")</f>
        <v>https://twitter.com/fpecongresso</v>
      </c>
      <c r="BP954" s="2"/>
    </row>
    <row r="955" spans="1:68" x14ac:dyDescent="0.25">
      <c r="A955" s="63" t="s">
        <v>1735</v>
      </c>
      <c r="B955" s="64"/>
      <c r="C955" s="64"/>
      <c r="D955" s="65"/>
      <c r="E955" s="67"/>
      <c r="F955" s="111" t="str">
        <f>HYPERLINK("https://pbs.twimg.com/profile_images/647540508387082241/MEsPPLZ3_normal.png")</f>
        <v>https://pbs.twimg.com/profile_images/647540508387082241/MEsPPLZ3_normal.png</v>
      </c>
      <c r="G955" s="64"/>
      <c r="H955" s="68"/>
      <c r="I955" s="69"/>
      <c r="J955" s="69"/>
      <c r="K955" s="68" t="s">
        <v>30088</v>
      </c>
      <c r="L955" s="72"/>
      <c r="M955" s="73"/>
      <c r="N955" s="73"/>
      <c r="O955" s="74"/>
      <c r="P955" s="75"/>
      <c r="Q955" s="75"/>
      <c r="R955" s="102"/>
      <c r="S955" s="102"/>
      <c r="T955" s="102"/>
      <c r="U955" s="102"/>
      <c r="V955" s="48"/>
      <c r="W955" s="48"/>
      <c r="X955" s="48"/>
      <c r="Y955" s="48"/>
      <c r="Z955" s="47"/>
      <c r="AA955" s="70">
        <v>955</v>
      </c>
      <c r="AB955" s="70"/>
      <c r="AC955" s="71"/>
      <c r="AD955" s="86" t="s">
        <v>24564</v>
      </c>
      <c r="AE955" s="94" t="s">
        <v>25597</v>
      </c>
      <c r="AF955" s="86">
        <v>2778</v>
      </c>
      <c r="AG955" s="86">
        <v>743</v>
      </c>
      <c r="AH955" s="86">
        <v>2427</v>
      </c>
      <c r="AI955" s="86">
        <v>23</v>
      </c>
      <c r="AJ955" s="86">
        <v>4</v>
      </c>
      <c r="AK955" s="86">
        <v>726</v>
      </c>
      <c r="AL955" s="86" t="b">
        <v>0</v>
      </c>
      <c r="AM955" s="89">
        <v>40157.496458333335</v>
      </c>
      <c r="AN955" s="86" t="s">
        <v>26223</v>
      </c>
      <c r="AO955" s="86" t="s">
        <v>27295</v>
      </c>
      <c r="AP955" s="96" t="str">
        <f>HYPERLINK("http://t.co/Zvc2NvRQDY")</f>
        <v>http://t.co/Zvc2NvRQDY</v>
      </c>
      <c r="AQ955" s="96" t="str">
        <f>HYPERLINK("http://www.uniderp.br")</f>
        <v>http://www.uniderp.br</v>
      </c>
      <c r="AR955" s="86" t="s">
        <v>28541</v>
      </c>
      <c r="AS955" s="86"/>
      <c r="AT955" s="86"/>
      <c r="AU955" s="86"/>
      <c r="AV955" s="86"/>
      <c r="AW955" s="96" t="str">
        <f>HYPERLINK("http://t.co/Zvc2NvRQDY")</f>
        <v>http://t.co/Zvc2NvRQDY</v>
      </c>
      <c r="AX955" s="86" t="b">
        <v>0</v>
      </c>
      <c r="AY955" s="86"/>
      <c r="AZ955" s="86"/>
      <c r="BA955" s="86" t="b">
        <v>0</v>
      </c>
      <c r="BB955" s="86" t="b">
        <v>1</v>
      </c>
      <c r="BC955" s="86" t="b">
        <v>0</v>
      </c>
      <c r="BD955" s="86" t="b">
        <v>0</v>
      </c>
      <c r="BE955" s="86" t="b">
        <v>0</v>
      </c>
      <c r="BF955" s="86" t="b">
        <v>0</v>
      </c>
      <c r="BG955" s="86" t="b">
        <v>0</v>
      </c>
      <c r="BH955" s="96" t="str">
        <f>HYPERLINK("https://pbs.twimg.com/profile_banners/95885175/1603114494")</f>
        <v>https://pbs.twimg.com/profile_banners/95885175/1603114494</v>
      </c>
      <c r="BI955" s="86"/>
      <c r="BJ955" s="86" t="s">
        <v>29134</v>
      </c>
      <c r="BK955" s="86" t="b">
        <v>0</v>
      </c>
      <c r="BL955" s="86"/>
      <c r="BM955" s="86" t="s">
        <v>65</v>
      </c>
      <c r="BN955" s="86" t="s">
        <v>29136</v>
      </c>
      <c r="BO955" s="96" t="str">
        <f>HYPERLINK("https://twitter.com/uniderpoficial")</f>
        <v>https://twitter.com/uniderpoficial</v>
      </c>
      <c r="BP955" s="2"/>
    </row>
    <row r="956" spans="1:68" x14ac:dyDescent="0.25">
      <c r="A956" s="63" t="s">
        <v>1736</v>
      </c>
      <c r="B956" s="64"/>
      <c r="C956" s="64"/>
      <c r="D956" s="65"/>
      <c r="E956" s="67"/>
      <c r="F956" s="111" t="str">
        <f>HYPERLINK("https://pbs.twimg.com/profile_images/1575562986114191361/l7rHHcpw_normal.jpg")</f>
        <v>https://pbs.twimg.com/profile_images/1575562986114191361/l7rHHcpw_normal.jpg</v>
      </c>
      <c r="G956" s="64"/>
      <c r="H956" s="68"/>
      <c r="I956" s="69"/>
      <c r="J956" s="69"/>
      <c r="K956" s="68" t="s">
        <v>30089</v>
      </c>
      <c r="L956" s="72"/>
      <c r="M956" s="73"/>
      <c r="N956" s="73"/>
      <c r="O956" s="74"/>
      <c r="P956" s="75"/>
      <c r="Q956" s="75"/>
      <c r="R956" s="102"/>
      <c r="S956" s="102"/>
      <c r="T956" s="102"/>
      <c r="U956" s="102"/>
      <c r="V956" s="48"/>
      <c r="W956" s="48"/>
      <c r="X956" s="48"/>
      <c r="Y956" s="48"/>
      <c r="Z956" s="47"/>
      <c r="AA956" s="70">
        <v>956</v>
      </c>
      <c r="AB956" s="70"/>
      <c r="AC956" s="71"/>
      <c r="AD956" s="86" t="s">
        <v>24565</v>
      </c>
      <c r="AE956" s="94" t="s">
        <v>25598</v>
      </c>
      <c r="AF956" s="86">
        <v>3474</v>
      </c>
      <c r="AG956" s="86">
        <v>65</v>
      </c>
      <c r="AH956" s="86">
        <v>8883</v>
      </c>
      <c r="AI956" s="86">
        <v>34</v>
      </c>
      <c r="AJ956" s="86">
        <v>913</v>
      </c>
      <c r="AK956" s="86">
        <v>1212</v>
      </c>
      <c r="AL956" s="86" t="b">
        <v>0</v>
      </c>
      <c r="AM956" s="89">
        <v>40101.60392361111</v>
      </c>
      <c r="AN956" s="86" t="s">
        <v>26224</v>
      </c>
      <c r="AO956" s="86" t="s">
        <v>27296</v>
      </c>
      <c r="AP956" s="96" t="str">
        <f>HYPERLINK("https://t.co/Uz5OLRPiKK")</f>
        <v>https://t.co/Uz5OLRPiKK</v>
      </c>
      <c r="AQ956" s="96" t="str">
        <f>HYPERLINK("https://ig.rdstation.com/ucdb")</f>
        <v>https://ig.rdstation.com/ucdb</v>
      </c>
      <c r="AR956" s="86" t="s">
        <v>28542</v>
      </c>
      <c r="AS956" s="86"/>
      <c r="AT956" s="86"/>
      <c r="AU956" s="86"/>
      <c r="AV956" s="86">
        <v>1.7045167977586099E+18</v>
      </c>
      <c r="AW956" s="96" t="str">
        <f>HYPERLINK("https://t.co/Uz5OLRPiKK")</f>
        <v>https://t.co/Uz5OLRPiKK</v>
      </c>
      <c r="AX956" s="86" t="b">
        <v>0</v>
      </c>
      <c r="AY956" s="86"/>
      <c r="AZ956" s="86"/>
      <c r="BA956" s="86" t="b">
        <v>0</v>
      </c>
      <c r="BB956" s="86" t="b">
        <v>1</v>
      </c>
      <c r="BC956" s="86" t="b">
        <v>0</v>
      </c>
      <c r="BD956" s="86" t="b">
        <v>0</v>
      </c>
      <c r="BE956" s="86" t="b">
        <v>0</v>
      </c>
      <c r="BF956" s="86" t="b">
        <v>0</v>
      </c>
      <c r="BG956" s="86" t="b">
        <v>0</v>
      </c>
      <c r="BH956" s="96" t="str">
        <f>HYPERLINK("https://pbs.twimg.com/profile_banners/82629608/1695754557")</f>
        <v>https://pbs.twimg.com/profile_banners/82629608/1695754557</v>
      </c>
      <c r="BI956" s="86"/>
      <c r="BJ956" s="86" t="s">
        <v>29134</v>
      </c>
      <c r="BK956" s="86" t="b">
        <v>0</v>
      </c>
      <c r="BL956" s="86"/>
      <c r="BM956" s="86" t="s">
        <v>65</v>
      </c>
      <c r="BN956" s="86" t="s">
        <v>29136</v>
      </c>
      <c r="BO956" s="96" t="str">
        <f>HYPERLINK("https://twitter.com/ucdboficial")</f>
        <v>https://twitter.com/ucdboficial</v>
      </c>
      <c r="BP956" s="2"/>
    </row>
    <row r="957" spans="1:68" x14ac:dyDescent="0.25">
      <c r="A957" s="63" t="s">
        <v>1737</v>
      </c>
      <c r="B957" s="64"/>
      <c r="C957" s="64"/>
      <c r="D957" s="65"/>
      <c r="E957" s="67"/>
      <c r="F957" s="111" t="str">
        <f>HYPERLINK("https://pbs.twimg.com/profile_images/1362045732635758601/ALOSq1gk_normal.jpg")</f>
        <v>https://pbs.twimg.com/profile_images/1362045732635758601/ALOSq1gk_normal.jpg</v>
      </c>
      <c r="G957" s="64"/>
      <c r="H957" s="68"/>
      <c r="I957" s="69"/>
      <c r="J957" s="69"/>
      <c r="K957" s="68" t="s">
        <v>30090</v>
      </c>
      <c r="L957" s="72"/>
      <c r="M957" s="73"/>
      <c r="N957" s="73"/>
      <c r="O957" s="74"/>
      <c r="P957" s="75"/>
      <c r="Q957" s="75"/>
      <c r="R957" s="102"/>
      <c r="S957" s="102"/>
      <c r="T957" s="102"/>
      <c r="U957" s="102"/>
      <c r="V957" s="48"/>
      <c r="W957" s="48"/>
      <c r="X957" s="48"/>
      <c r="Y957" s="48"/>
      <c r="Z957" s="47"/>
      <c r="AA957" s="70">
        <v>957</v>
      </c>
      <c r="AB957" s="70"/>
      <c r="AC957" s="71"/>
      <c r="AD957" s="86" t="s">
        <v>24566</v>
      </c>
      <c r="AE957" s="94" t="s">
        <v>25599</v>
      </c>
      <c r="AF957" s="86">
        <v>47187</v>
      </c>
      <c r="AG957" s="86">
        <v>1729</v>
      </c>
      <c r="AH957" s="86">
        <v>1675</v>
      </c>
      <c r="AI957" s="86">
        <v>457</v>
      </c>
      <c r="AJ957" s="86">
        <v>1977</v>
      </c>
      <c r="AK957" s="86">
        <v>496</v>
      </c>
      <c r="AL957" s="86" t="b">
        <v>0</v>
      </c>
      <c r="AM957" s="89">
        <v>39722.59170138889</v>
      </c>
      <c r="AN957" s="86" t="s">
        <v>25889</v>
      </c>
      <c r="AO957" s="86"/>
      <c r="AP957" s="86"/>
      <c r="AQ957" s="86"/>
      <c r="AR957" s="86"/>
      <c r="AS957" s="86"/>
      <c r="AT957" s="86"/>
      <c r="AU957" s="86"/>
      <c r="AV957" s="86"/>
      <c r="AW957" s="86"/>
      <c r="AX957" s="86" t="b">
        <v>0</v>
      </c>
      <c r="AY957" s="86"/>
      <c r="AZ957" s="86"/>
      <c r="BA957" s="86" t="b">
        <v>0</v>
      </c>
      <c r="BB957" s="86" t="b">
        <v>1</v>
      </c>
      <c r="BC957" s="86" t="b">
        <v>0</v>
      </c>
      <c r="BD957" s="86" t="b">
        <v>0</v>
      </c>
      <c r="BE957" s="86" t="b">
        <v>0</v>
      </c>
      <c r="BF957" s="86" t="b">
        <v>0</v>
      </c>
      <c r="BG957" s="86" t="b">
        <v>0</v>
      </c>
      <c r="BH957" s="96" t="str">
        <f>HYPERLINK("https://pbs.twimg.com/profile_banners/16544205/1555611334")</f>
        <v>https://pbs.twimg.com/profile_banners/16544205/1555611334</v>
      </c>
      <c r="BI957" s="86"/>
      <c r="BJ957" s="86" t="s">
        <v>29134</v>
      </c>
      <c r="BK957" s="86" t="b">
        <v>0</v>
      </c>
      <c r="BL957" s="86"/>
      <c r="BM957" s="86" t="s">
        <v>65</v>
      </c>
      <c r="BN957" s="86" t="s">
        <v>29136</v>
      </c>
      <c r="BO957" s="96" t="str">
        <f>HYPERLINK("https://twitter.com/empreendedor")</f>
        <v>https://twitter.com/empreendedor</v>
      </c>
      <c r="BP957" s="2"/>
    </row>
    <row r="958" spans="1:68" x14ac:dyDescent="0.25">
      <c r="A958" s="63" t="s">
        <v>1738</v>
      </c>
      <c r="B958" s="64"/>
      <c r="C958" s="64"/>
      <c r="D958" s="65"/>
      <c r="E958" s="67"/>
      <c r="F958" s="111" t="str">
        <f>HYPERLINK("https://pbs.twimg.com/profile_images/788433645170196480/RYW3G21p_normal.jpg")</f>
        <v>https://pbs.twimg.com/profile_images/788433645170196480/RYW3G21p_normal.jpg</v>
      </c>
      <c r="G958" s="64"/>
      <c r="H958" s="68"/>
      <c r="I958" s="69"/>
      <c r="J958" s="69"/>
      <c r="K958" s="68" t="s">
        <v>30091</v>
      </c>
      <c r="L958" s="72"/>
      <c r="M958" s="73"/>
      <c r="N958" s="73"/>
      <c r="O958" s="74"/>
      <c r="P958" s="75"/>
      <c r="Q958" s="75"/>
      <c r="R958" s="102"/>
      <c r="S958" s="102"/>
      <c r="T958" s="102"/>
      <c r="U958" s="102"/>
      <c r="V958" s="48"/>
      <c r="W958" s="48"/>
      <c r="X958" s="48"/>
      <c r="Y958" s="48"/>
      <c r="Z958" s="47"/>
      <c r="AA958" s="70">
        <v>958</v>
      </c>
      <c r="AB958" s="70"/>
      <c r="AC958" s="71"/>
      <c r="AD958" s="86" t="s">
        <v>1738</v>
      </c>
      <c r="AE958" s="94" t="s">
        <v>25600</v>
      </c>
      <c r="AF958" s="86">
        <v>30119</v>
      </c>
      <c r="AG958" s="86">
        <v>34</v>
      </c>
      <c r="AH958" s="86">
        <v>4876</v>
      </c>
      <c r="AI958" s="86">
        <v>119</v>
      </c>
      <c r="AJ958" s="86">
        <v>617</v>
      </c>
      <c r="AK958" s="86">
        <v>2506</v>
      </c>
      <c r="AL958" s="86" t="b">
        <v>0</v>
      </c>
      <c r="AM958" s="89">
        <v>42661.724097222221</v>
      </c>
      <c r="AN958" s="86" t="s">
        <v>25942</v>
      </c>
      <c r="AO958" s="86" t="s">
        <v>27297</v>
      </c>
      <c r="AP958" s="96" t="str">
        <f>HYPERLINK("https://t.co/fcK51KPaDW")</f>
        <v>https://t.co/fcK51KPaDW</v>
      </c>
      <c r="AQ958" s="96" t="str">
        <f>HYPERLINK("http://www.unicamp.br/unicamp/")</f>
        <v>http://www.unicamp.br/unicamp/</v>
      </c>
      <c r="AR958" s="86" t="s">
        <v>28543</v>
      </c>
      <c r="AS958" s="96" t="str">
        <f>HYPERLINK("https://t.co/lfHy1OdadI")</f>
        <v>https://t.co/lfHy1OdadI</v>
      </c>
      <c r="AT958" s="96" t="str">
        <f>HYPERLINK("http://unicamp.br/unicamp/notici")</f>
        <v>http://unicamp.br/unicamp/notici</v>
      </c>
      <c r="AU958" s="86" t="s">
        <v>29092</v>
      </c>
      <c r="AV958" s="86"/>
      <c r="AW958" s="96" t="str">
        <f>HYPERLINK("https://t.co/fcK51KPaDW")</f>
        <v>https://t.co/fcK51KPaDW</v>
      </c>
      <c r="AX958" s="86" t="b">
        <v>0</v>
      </c>
      <c r="AY958" s="86"/>
      <c r="AZ958" s="86"/>
      <c r="BA958" s="86" t="b">
        <v>0</v>
      </c>
      <c r="BB958" s="86" t="b">
        <v>1</v>
      </c>
      <c r="BC958" s="86" t="b">
        <v>1</v>
      </c>
      <c r="BD958" s="86" t="b">
        <v>0</v>
      </c>
      <c r="BE958" s="86" t="b">
        <v>0</v>
      </c>
      <c r="BF958" s="86" t="b">
        <v>0</v>
      </c>
      <c r="BG958" s="86" t="b">
        <v>0</v>
      </c>
      <c r="BH958" s="96" t="str">
        <f>HYPERLINK("https://pbs.twimg.com/profile_banners/788430113859854336/1692643412")</f>
        <v>https://pbs.twimg.com/profile_banners/788430113859854336/1692643412</v>
      </c>
      <c r="BI958" s="86"/>
      <c r="BJ958" s="86" t="s">
        <v>29134</v>
      </c>
      <c r="BK958" s="86" t="b">
        <v>0</v>
      </c>
      <c r="BL958" s="86"/>
      <c r="BM958" s="86" t="s">
        <v>65</v>
      </c>
      <c r="BN958" s="86" t="s">
        <v>29136</v>
      </c>
      <c r="BO958" s="96" t="str">
        <f>HYPERLINK("https://twitter.com/unicampoficial")</f>
        <v>https://twitter.com/unicampoficial</v>
      </c>
      <c r="BP958" s="2"/>
    </row>
    <row r="959" spans="1:68" x14ac:dyDescent="0.25">
      <c r="A959" s="63" t="s">
        <v>1046</v>
      </c>
      <c r="B959" s="64"/>
      <c r="C959" s="64"/>
      <c r="D959" s="65"/>
      <c r="E959" s="67"/>
      <c r="F959" s="111" t="str">
        <f>HYPERLINK("https://pbs.twimg.com/profile_images/1495423393423839237/VsvTBh55_normal.jpg")</f>
        <v>https://pbs.twimg.com/profile_images/1495423393423839237/VsvTBh55_normal.jpg</v>
      </c>
      <c r="G959" s="64"/>
      <c r="H959" s="68"/>
      <c r="I959" s="69"/>
      <c r="J959" s="69"/>
      <c r="K959" s="68" t="s">
        <v>30092</v>
      </c>
      <c r="L959" s="72"/>
      <c r="M959" s="73"/>
      <c r="N959" s="73"/>
      <c r="O959" s="74"/>
      <c r="P959" s="75"/>
      <c r="Q959" s="75"/>
      <c r="R959" s="102"/>
      <c r="S959" s="102"/>
      <c r="T959" s="102"/>
      <c r="U959" s="102"/>
      <c r="V959" s="48"/>
      <c r="W959" s="48"/>
      <c r="X959" s="48"/>
      <c r="Y959" s="48"/>
      <c r="Z959" s="47"/>
      <c r="AA959" s="70">
        <v>959</v>
      </c>
      <c r="AB959" s="70"/>
      <c r="AC959" s="71"/>
      <c r="AD959" s="86" t="s">
        <v>24567</v>
      </c>
      <c r="AE959" s="94" t="s">
        <v>25601</v>
      </c>
      <c r="AF959" s="86">
        <v>170724</v>
      </c>
      <c r="AG959" s="86">
        <v>30</v>
      </c>
      <c r="AH959" s="86">
        <v>4002</v>
      </c>
      <c r="AI959" s="86">
        <v>189</v>
      </c>
      <c r="AJ959" s="86">
        <v>8</v>
      </c>
      <c r="AK959" s="86">
        <v>3147</v>
      </c>
      <c r="AL959" s="86" t="b">
        <v>0</v>
      </c>
      <c r="AM959" s="89">
        <v>42201.586759259262</v>
      </c>
      <c r="AN959" s="86"/>
      <c r="AO959" s="86" t="s">
        <v>27298</v>
      </c>
      <c r="AP959" s="96" t="str">
        <f>HYPERLINK("https://t.co/Sx3KQTMaWz")</f>
        <v>https://t.co/Sx3KQTMaWz</v>
      </c>
      <c r="AQ959" s="96" t="str">
        <f>HYPERLINK("http://g1.com.br/pegn")</f>
        <v>http://g1.com.br/pegn</v>
      </c>
      <c r="AR959" s="86" t="s">
        <v>28544</v>
      </c>
      <c r="AS959" s="86"/>
      <c r="AT959" s="86"/>
      <c r="AU959" s="86"/>
      <c r="AV959" s="86"/>
      <c r="AW959" s="96" t="str">
        <f>HYPERLINK("https://t.co/Sx3KQTMaWz")</f>
        <v>https://t.co/Sx3KQTMaWz</v>
      </c>
      <c r="AX959" s="86" t="b">
        <v>0</v>
      </c>
      <c r="AY959" s="86"/>
      <c r="AZ959" s="86"/>
      <c r="BA959" s="86" t="b">
        <v>0</v>
      </c>
      <c r="BB959" s="86" t="b">
        <v>1</v>
      </c>
      <c r="BC959" s="86" t="b">
        <v>0</v>
      </c>
      <c r="BD959" s="86" t="b">
        <v>0</v>
      </c>
      <c r="BE959" s="86" t="b">
        <v>0</v>
      </c>
      <c r="BF959" s="86" t="b">
        <v>0</v>
      </c>
      <c r="BG959" s="86" t="b">
        <v>0</v>
      </c>
      <c r="BH959" s="96" t="str">
        <f>HYPERLINK("https://pbs.twimg.com/profile_banners/3378880324/1645371697")</f>
        <v>https://pbs.twimg.com/profile_banners/3378880324/1645371697</v>
      </c>
      <c r="BI959" s="86"/>
      <c r="BJ959" s="86" t="s">
        <v>29134</v>
      </c>
      <c r="BK959" s="86" t="b">
        <v>0</v>
      </c>
      <c r="BL959" s="86"/>
      <c r="BM959" s="86" t="s">
        <v>66</v>
      </c>
      <c r="BN959" s="86" t="s">
        <v>29136</v>
      </c>
      <c r="BO959" s="96" t="str">
        <f>HYPERLINK("https://twitter.com/pegntv")</f>
        <v>https://twitter.com/pegntv</v>
      </c>
      <c r="BP959" s="2"/>
    </row>
    <row r="960" spans="1:68" x14ac:dyDescent="0.25">
      <c r="A960" s="63" t="s">
        <v>1739</v>
      </c>
      <c r="B960" s="64"/>
      <c r="C960" s="64"/>
      <c r="D960" s="65"/>
      <c r="E960" s="67"/>
      <c r="F960" s="111" t="str">
        <f>HYPERLINK("https://pbs.twimg.com/profile_images/1899384309/avatar_twitter_normal.jpg")</f>
        <v>https://pbs.twimg.com/profile_images/1899384309/avatar_twitter_normal.jpg</v>
      </c>
      <c r="G960" s="64"/>
      <c r="H960" s="68"/>
      <c r="I960" s="69"/>
      <c r="J960" s="69"/>
      <c r="K960" s="68" t="s">
        <v>30093</v>
      </c>
      <c r="L960" s="72"/>
      <c r="M960" s="73"/>
      <c r="N960" s="73"/>
      <c r="O960" s="74"/>
      <c r="P960" s="75"/>
      <c r="Q960" s="75"/>
      <c r="R960" s="102"/>
      <c r="S960" s="102"/>
      <c r="T960" s="102"/>
      <c r="U960" s="102"/>
      <c r="V960" s="48"/>
      <c r="W960" s="48"/>
      <c r="X960" s="48"/>
      <c r="Y960" s="48"/>
      <c r="Z960" s="47"/>
      <c r="AA960" s="70">
        <v>960</v>
      </c>
      <c r="AB960" s="70"/>
      <c r="AC960" s="71"/>
      <c r="AD960" s="86" t="s">
        <v>24568</v>
      </c>
      <c r="AE960" s="94" t="s">
        <v>25602</v>
      </c>
      <c r="AF960" s="86">
        <v>19476</v>
      </c>
      <c r="AG960" s="86">
        <v>492</v>
      </c>
      <c r="AH960" s="86">
        <v>4172</v>
      </c>
      <c r="AI960" s="86">
        <v>334</v>
      </c>
      <c r="AJ960" s="86">
        <v>1</v>
      </c>
      <c r="AK960" s="86">
        <v>277</v>
      </c>
      <c r="AL960" s="86" t="b">
        <v>0</v>
      </c>
      <c r="AM960" s="89">
        <v>39986.630532407406</v>
      </c>
      <c r="AN960" s="86" t="s">
        <v>15234</v>
      </c>
      <c r="AO960" s="86" t="s">
        <v>27299</v>
      </c>
      <c r="AP960" s="86"/>
      <c r="AQ960" s="86"/>
      <c r="AR960" s="86"/>
      <c r="AS960" s="96" t="str">
        <f>HYPERLINK("https://t.co/qmxjBZPj4Z")</f>
        <v>https://t.co/qmxjBZPj4Z</v>
      </c>
      <c r="AT960" s="96" t="str">
        <f>HYPERLINK("https://www.5era.com/")</f>
        <v>https://www.5era.com/</v>
      </c>
      <c r="AU960" s="86" t="s">
        <v>29093</v>
      </c>
      <c r="AV960" s="86"/>
      <c r="AW960" s="86"/>
      <c r="AX960" s="86" t="b">
        <v>0</v>
      </c>
      <c r="AY960" s="86"/>
      <c r="AZ960" s="86"/>
      <c r="BA960" s="86" t="b">
        <v>0</v>
      </c>
      <c r="BB960" s="86" t="b">
        <v>1</v>
      </c>
      <c r="BC960" s="86" t="b">
        <v>0</v>
      </c>
      <c r="BD960" s="86" t="b">
        <v>0</v>
      </c>
      <c r="BE960" s="86" t="b">
        <v>0</v>
      </c>
      <c r="BF960" s="86" t="b">
        <v>0</v>
      </c>
      <c r="BG960" s="86" t="b">
        <v>0</v>
      </c>
      <c r="BH960" s="96" t="str">
        <f>HYPERLINK("https://pbs.twimg.com/profile_banners/49655149/1566232077")</f>
        <v>https://pbs.twimg.com/profile_banners/49655149/1566232077</v>
      </c>
      <c r="BI960" s="86"/>
      <c r="BJ960" s="86" t="s">
        <v>29134</v>
      </c>
      <c r="BK960" s="86" t="b">
        <v>0</v>
      </c>
      <c r="BL960" s="86"/>
      <c r="BM960" s="86" t="s">
        <v>65</v>
      </c>
      <c r="BN960" s="86" t="s">
        <v>29136</v>
      </c>
      <c r="BO960" s="96" t="str">
        <f>HYPERLINK("https://twitter.com/souempresario")</f>
        <v>https://twitter.com/souempresario</v>
      </c>
      <c r="BP960" s="2"/>
    </row>
    <row r="961" spans="1:68" x14ac:dyDescent="0.25">
      <c r="A961" s="63" t="s">
        <v>1740</v>
      </c>
      <c r="B961" s="64"/>
      <c r="C961" s="64"/>
      <c r="D961" s="65"/>
      <c r="E961" s="67"/>
      <c r="F961" s="111" t="str">
        <f>HYPERLINK("https://pbs.twimg.com/profile_images/440456109745123328/pia2VE2y_normal.jpeg")</f>
        <v>https://pbs.twimg.com/profile_images/440456109745123328/pia2VE2y_normal.jpeg</v>
      </c>
      <c r="G961" s="64"/>
      <c r="H961" s="68"/>
      <c r="I961" s="69"/>
      <c r="J961" s="69"/>
      <c r="K961" s="68" t="s">
        <v>30094</v>
      </c>
      <c r="L961" s="72"/>
      <c r="M961" s="73"/>
      <c r="N961" s="73"/>
      <c r="O961" s="74"/>
      <c r="P961" s="75"/>
      <c r="Q961" s="75"/>
      <c r="R961" s="102"/>
      <c r="S961" s="102"/>
      <c r="T961" s="102"/>
      <c r="U961" s="102"/>
      <c r="V961" s="48"/>
      <c r="W961" s="48"/>
      <c r="X961" s="48"/>
      <c r="Y961" s="48"/>
      <c r="Z961" s="47"/>
      <c r="AA961" s="70">
        <v>961</v>
      </c>
      <c r="AB961" s="70"/>
      <c r="AC961" s="71"/>
      <c r="AD961" s="86" t="s">
        <v>24569</v>
      </c>
      <c r="AE961" s="94" t="s">
        <v>25603</v>
      </c>
      <c r="AF961" s="86">
        <v>26937</v>
      </c>
      <c r="AG961" s="86">
        <v>1</v>
      </c>
      <c r="AH961" s="86">
        <v>12281</v>
      </c>
      <c r="AI961" s="86">
        <v>830</v>
      </c>
      <c r="AJ961" s="86">
        <v>12</v>
      </c>
      <c r="AK961" s="86">
        <v>0</v>
      </c>
      <c r="AL961" s="86" t="b">
        <v>0</v>
      </c>
      <c r="AM961" s="89">
        <v>40018.595335648148</v>
      </c>
      <c r="AN961" s="86" t="s">
        <v>26225</v>
      </c>
      <c r="AO961" s="86" t="s">
        <v>27300</v>
      </c>
      <c r="AP961" s="96" t="str">
        <f>HYPERLINK("https://t.co/MppWmhsKXP")</f>
        <v>https://t.co/MppWmhsKXP</v>
      </c>
      <c r="AQ961" s="96" t="str">
        <f>HYPERLINK("https://www.inovacaotecnologica.com.br/")</f>
        <v>https://www.inovacaotecnologica.com.br/</v>
      </c>
      <c r="AR961" s="86" t="s">
        <v>28545</v>
      </c>
      <c r="AS961" s="86"/>
      <c r="AT961" s="86"/>
      <c r="AU961" s="86"/>
      <c r="AV961" s="86"/>
      <c r="AW961" s="96" t="str">
        <f>HYPERLINK("https://t.co/MppWmhsKXP")</f>
        <v>https://t.co/MppWmhsKXP</v>
      </c>
      <c r="AX961" s="86" t="b">
        <v>0</v>
      </c>
      <c r="AY961" s="86"/>
      <c r="AZ961" s="86"/>
      <c r="BA961" s="86" t="b">
        <v>0</v>
      </c>
      <c r="BB961" s="86" t="b">
        <v>1</v>
      </c>
      <c r="BC961" s="86" t="b">
        <v>1</v>
      </c>
      <c r="BD961" s="86" t="b">
        <v>0</v>
      </c>
      <c r="BE961" s="86" t="b">
        <v>0</v>
      </c>
      <c r="BF961" s="86" t="b">
        <v>0</v>
      </c>
      <c r="BG961" s="86" t="b">
        <v>0</v>
      </c>
      <c r="BH961" s="96" t="str">
        <f>HYPERLINK("https://pbs.twimg.com/profile_banners/59793082/1585836212")</f>
        <v>https://pbs.twimg.com/profile_banners/59793082/1585836212</v>
      </c>
      <c r="BI961" s="86"/>
      <c r="BJ961" s="86" t="s">
        <v>29134</v>
      </c>
      <c r="BK961" s="86" t="b">
        <v>0</v>
      </c>
      <c r="BL961" s="86"/>
      <c r="BM961" s="86" t="s">
        <v>65</v>
      </c>
      <c r="BN961" s="86" t="s">
        <v>29136</v>
      </c>
      <c r="BO961" s="96" t="str">
        <f>HYPERLINK("https://twitter.com/inovacaotecnolo")</f>
        <v>https://twitter.com/inovacaotecnolo</v>
      </c>
      <c r="BP961" s="2"/>
    </row>
    <row r="962" spans="1:68" x14ac:dyDescent="0.25">
      <c r="A962" s="63" t="s">
        <v>1741</v>
      </c>
      <c r="B962" s="64"/>
      <c r="C962" s="64"/>
      <c r="D962" s="65"/>
      <c r="E962" s="67"/>
      <c r="F962" s="111" t="str">
        <f>HYPERLINK("https://pbs.twimg.com/profile_images/1627280371443281921/T1jN_1ef_normal.jpg")</f>
        <v>https://pbs.twimg.com/profile_images/1627280371443281921/T1jN_1ef_normal.jpg</v>
      </c>
      <c r="G962" s="64"/>
      <c r="H962" s="68"/>
      <c r="I962" s="69"/>
      <c r="J962" s="69"/>
      <c r="K962" s="68" t="s">
        <v>30095</v>
      </c>
      <c r="L962" s="72"/>
      <c r="M962" s="73"/>
      <c r="N962" s="73"/>
      <c r="O962" s="74"/>
      <c r="P962" s="75"/>
      <c r="Q962" s="75"/>
      <c r="R962" s="102"/>
      <c r="S962" s="102"/>
      <c r="T962" s="102"/>
      <c r="U962" s="102"/>
      <c r="V962" s="48"/>
      <c r="W962" s="48"/>
      <c r="X962" s="48"/>
      <c r="Y962" s="48"/>
      <c r="Z962" s="47"/>
      <c r="AA962" s="70">
        <v>962</v>
      </c>
      <c r="AB962" s="70"/>
      <c r="AC962" s="71"/>
      <c r="AD962" s="86" t="s">
        <v>24570</v>
      </c>
      <c r="AE962" s="94" t="s">
        <v>25604</v>
      </c>
      <c r="AF962" s="86">
        <v>80</v>
      </c>
      <c r="AG962" s="86">
        <v>2239</v>
      </c>
      <c r="AH962" s="86">
        <v>169</v>
      </c>
      <c r="AI962" s="86">
        <v>2</v>
      </c>
      <c r="AJ962" s="86">
        <v>0</v>
      </c>
      <c r="AK962" s="86">
        <v>1</v>
      </c>
      <c r="AL962" s="86" t="b">
        <v>0</v>
      </c>
      <c r="AM962" s="89">
        <v>44976.494606481479</v>
      </c>
      <c r="AN962" s="86" t="s">
        <v>26226</v>
      </c>
      <c r="AO962" s="86" t="s">
        <v>27301</v>
      </c>
      <c r="AP962" s="86"/>
      <c r="AQ962" s="86"/>
      <c r="AR962" s="86"/>
      <c r="AS962" s="86"/>
      <c r="AT962" s="86"/>
      <c r="AU962" s="86"/>
      <c r="AV962" s="86"/>
      <c r="AW962" s="86"/>
      <c r="AX962" s="86" t="b">
        <v>0</v>
      </c>
      <c r="AY962" s="86"/>
      <c r="AZ962" s="86"/>
      <c r="BA962" s="86" t="b">
        <v>0</v>
      </c>
      <c r="BB962" s="86" t="b">
        <v>1</v>
      </c>
      <c r="BC962" s="86" t="b">
        <v>1</v>
      </c>
      <c r="BD962" s="86" t="b">
        <v>0</v>
      </c>
      <c r="BE962" s="86" t="b">
        <v>0</v>
      </c>
      <c r="BF962" s="86" t="b">
        <v>0</v>
      </c>
      <c r="BG962" s="86" t="b">
        <v>0</v>
      </c>
      <c r="BH962" s="96" t="str">
        <f>HYPERLINK("https://pbs.twimg.com/profile_banners/1627274808340754433/1676816069")</f>
        <v>https://pbs.twimg.com/profile_banners/1627274808340754433/1676816069</v>
      </c>
      <c r="BI962" s="86"/>
      <c r="BJ962" s="86" t="s">
        <v>29134</v>
      </c>
      <c r="BK962" s="86" t="b">
        <v>0</v>
      </c>
      <c r="BL962" s="86"/>
      <c r="BM962" s="86" t="s">
        <v>65</v>
      </c>
      <c r="BN962" s="86" t="s">
        <v>29136</v>
      </c>
      <c r="BO962" s="96" t="str">
        <f>HYPERLINK("https://twitter.com/iartificial_")</f>
        <v>https://twitter.com/iartificial_</v>
      </c>
      <c r="BP962" s="2"/>
    </row>
    <row r="963" spans="1:68" x14ac:dyDescent="0.25">
      <c r="A963" s="63" t="s">
        <v>1742</v>
      </c>
      <c r="B963" s="64"/>
      <c r="C963" s="64"/>
      <c r="D963" s="65"/>
      <c r="E963" s="67"/>
      <c r="F963" s="111" t="str">
        <f>HYPERLINK("https://pbs.twimg.com/profile_images/1635926732908683264/40rDpnuv_normal.jpg")</f>
        <v>https://pbs.twimg.com/profile_images/1635926732908683264/40rDpnuv_normal.jpg</v>
      </c>
      <c r="G963" s="64"/>
      <c r="H963" s="68"/>
      <c r="I963" s="69"/>
      <c r="J963" s="69"/>
      <c r="K963" s="68" t="s">
        <v>30096</v>
      </c>
      <c r="L963" s="72"/>
      <c r="M963" s="73"/>
      <c r="N963" s="73"/>
      <c r="O963" s="74"/>
      <c r="P963" s="75"/>
      <c r="Q963" s="75"/>
      <c r="R963" s="102"/>
      <c r="S963" s="102"/>
      <c r="T963" s="102"/>
      <c r="U963" s="102"/>
      <c r="V963" s="48"/>
      <c r="W963" s="48"/>
      <c r="X963" s="48"/>
      <c r="Y963" s="48"/>
      <c r="Z963" s="47"/>
      <c r="AA963" s="70">
        <v>963</v>
      </c>
      <c r="AB963" s="70"/>
      <c r="AC963" s="71"/>
      <c r="AD963" s="86" t="s">
        <v>24571</v>
      </c>
      <c r="AE963" s="94" t="s">
        <v>25605</v>
      </c>
      <c r="AF963" s="86">
        <v>28</v>
      </c>
      <c r="AG963" s="86">
        <v>27</v>
      </c>
      <c r="AH963" s="86">
        <v>539</v>
      </c>
      <c r="AI963" s="86">
        <v>1</v>
      </c>
      <c r="AJ963" s="86">
        <v>3</v>
      </c>
      <c r="AK963" s="86">
        <v>31</v>
      </c>
      <c r="AL963" s="86" t="b">
        <v>0</v>
      </c>
      <c r="AM963" s="89">
        <v>44976.785821759258</v>
      </c>
      <c r="AN963" s="86" t="s">
        <v>26227</v>
      </c>
      <c r="AO963" s="86" t="s">
        <v>27302</v>
      </c>
      <c r="AP963" s="96" t="str">
        <f>HYPERLINK("https://t.co/lBx1q6Y68V")</f>
        <v>https://t.co/lBx1q6Y68V</v>
      </c>
      <c r="AQ963" s="96" t="str">
        <f>HYPERLINK("https://InteligenciaArtificial.blog/")</f>
        <v>https://InteligenciaArtificial.blog/</v>
      </c>
      <c r="AR963" s="86" t="s">
        <v>24571</v>
      </c>
      <c r="AS963" s="86"/>
      <c r="AT963" s="86"/>
      <c r="AU963" s="86"/>
      <c r="AV963" s="86"/>
      <c r="AW963" s="96" t="str">
        <f>HYPERLINK("https://t.co/lBx1q6Y68V")</f>
        <v>https://t.co/lBx1q6Y68V</v>
      </c>
      <c r="AX963" s="86" t="b">
        <v>0</v>
      </c>
      <c r="AY963" s="86"/>
      <c r="AZ963" s="86"/>
      <c r="BA963" s="86" t="b">
        <v>0</v>
      </c>
      <c r="BB963" s="86" t="b">
        <v>1</v>
      </c>
      <c r="BC963" s="86" t="b">
        <v>1</v>
      </c>
      <c r="BD963" s="86" t="b">
        <v>0</v>
      </c>
      <c r="BE963" s="86" t="b">
        <v>0</v>
      </c>
      <c r="BF963" s="86" t="b">
        <v>0</v>
      </c>
      <c r="BG963" s="86" t="b">
        <v>0</v>
      </c>
      <c r="BH963" s="96" t="str">
        <f>HYPERLINK("https://pbs.twimg.com/profile_banners/1627380352166637571/1684697932")</f>
        <v>https://pbs.twimg.com/profile_banners/1627380352166637571/1684697932</v>
      </c>
      <c r="BI963" s="86"/>
      <c r="BJ963" s="86" t="s">
        <v>29134</v>
      </c>
      <c r="BK963" s="86" t="b">
        <v>0</v>
      </c>
      <c r="BL963" s="86"/>
      <c r="BM963" s="86" t="s">
        <v>65</v>
      </c>
      <c r="BN963" s="86" t="s">
        <v>29136</v>
      </c>
      <c r="BO963" s="96" t="str">
        <f>HYPERLINK("https://twitter.com/blog_de_ia")</f>
        <v>https://twitter.com/blog_de_ia</v>
      </c>
      <c r="BP963" s="2"/>
    </row>
    <row r="964" spans="1:68" x14ac:dyDescent="0.25">
      <c r="A964" s="63" t="s">
        <v>1743</v>
      </c>
      <c r="B964" s="64"/>
      <c r="C964" s="64"/>
      <c r="D964" s="65"/>
      <c r="E964" s="67"/>
      <c r="F964" s="111" t="str">
        <f>HYPERLINK("https://pbs.twimg.com/profile_images/1669636784332984320/cl5ZV91L_normal.jpg")</f>
        <v>https://pbs.twimg.com/profile_images/1669636784332984320/cl5ZV91L_normal.jpg</v>
      </c>
      <c r="G964" s="64"/>
      <c r="H964" s="68"/>
      <c r="I964" s="69"/>
      <c r="J964" s="69"/>
      <c r="K964" s="68" t="s">
        <v>30097</v>
      </c>
      <c r="L964" s="72"/>
      <c r="M964" s="73"/>
      <c r="N964" s="73"/>
      <c r="O964" s="74"/>
      <c r="P964" s="75"/>
      <c r="Q964" s="75"/>
      <c r="R964" s="102"/>
      <c r="S964" s="102"/>
      <c r="T964" s="102"/>
      <c r="U964" s="102"/>
      <c r="V964" s="48"/>
      <c r="W964" s="48"/>
      <c r="X964" s="48"/>
      <c r="Y964" s="48"/>
      <c r="Z964" s="47"/>
      <c r="AA964" s="70">
        <v>964</v>
      </c>
      <c r="AB964" s="70"/>
      <c r="AC964" s="71"/>
      <c r="AD964" s="86" t="s">
        <v>24572</v>
      </c>
      <c r="AE964" s="94" t="s">
        <v>25606</v>
      </c>
      <c r="AF964" s="86">
        <v>6</v>
      </c>
      <c r="AG964" s="86">
        <v>1</v>
      </c>
      <c r="AH964" s="86">
        <v>0</v>
      </c>
      <c r="AI964" s="86">
        <v>0</v>
      </c>
      <c r="AJ964" s="86">
        <v>0</v>
      </c>
      <c r="AK964" s="86">
        <v>0</v>
      </c>
      <c r="AL964" s="86" t="b">
        <v>0</v>
      </c>
      <c r="AM964" s="89">
        <v>45093.386701388888</v>
      </c>
      <c r="AN964" s="86"/>
      <c r="AO964" s="86"/>
      <c r="AP964" s="86"/>
      <c r="AQ964" s="86"/>
      <c r="AR964" s="86"/>
      <c r="AS964" s="86"/>
      <c r="AT964" s="86"/>
      <c r="AU964" s="86"/>
      <c r="AV964" s="86"/>
      <c r="AW964" s="86"/>
      <c r="AX964" s="86" t="b">
        <v>0</v>
      </c>
      <c r="AY964" s="86"/>
      <c r="AZ964" s="86"/>
      <c r="BA964" s="86" t="b">
        <v>0</v>
      </c>
      <c r="BB964" s="86" t="b">
        <v>1</v>
      </c>
      <c r="BC964" s="86" t="b">
        <v>1</v>
      </c>
      <c r="BD964" s="86" t="b">
        <v>0</v>
      </c>
      <c r="BE964" s="86" t="b">
        <v>0</v>
      </c>
      <c r="BF964" s="86" t="b">
        <v>0</v>
      </c>
      <c r="BG964" s="86" t="b">
        <v>0</v>
      </c>
      <c r="BH964" s="96" t="str">
        <f>HYPERLINK("https://pbs.twimg.com/profile_banners/1669635075103678468/1686907477")</f>
        <v>https://pbs.twimg.com/profile_banners/1669635075103678468/1686907477</v>
      </c>
      <c r="BI964" s="86"/>
      <c r="BJ964" s="86" t="s">
        <v>29134</v>
      </c>
      <c r="BK964" s="86" t="b">
        <v>0</v>
      </c>
      <c r="BL964" s="86"/>
      <c r="BM964" s="86" t="s">
        <v>65</v>
      </c>
      <c r="BN964" s="86" t="s">
        <v>29136</v>
      </c>
      <c r="BO964" s="96" t="str">
        <f>HYPERLINK("https://twitter.com/intartuncp")</f>
        <v>https://twitter.com/intartuncp</v>
      </c>
      <c r="BP964" s="2"/>
    </row>
    <row r="965" spans="1:68" x14ac:dyDescent="0.25">
      <c r="A965" s="63" t="s">
        <v>1744</v>
      </c>
      <c r="B965" s="64"/>
      <c r="C965" s="64"/>
      <c r="D965" s="65"/>
      <c r="E965" s="67"/>
      <c r="F965" s="111" t="str">
        <f>HYPERLINK("https://pbs.twimg.com/profile_images/700405089450782720/Th__5hXS_normal.jpg")</f>
        <v>https://pbs.twimg.com/profile_images/700405089450782720/Th__5hXS_normal.jpg</v>
      </c>
      <c r="G965" s="64"/>
      <c r="H965" s="68"/>
      <c r="I965" s="69"/>
      <c r="J965" s="69"/>
      <c r="K965" s="68" t="s">
        <v>30098</v>
      </c>
      <c r="L965" s="72"/>
      <c r="M965" s="73"/>
      <c r="N965" s="73"/>
      <c r="O965" s="74"/>
      <c r="P965" s="75"/>
      <c r="Q965" s="75"/>
      <c r="R965" s="102"/>
      <c r="S965" s="102"/>
      <c r="T965" s="102"/>
      <c r="U965" s="102"/>
      <c r="V965" s="48"/>
      <c r="W965" s="48"/>
      <c r="X965" s="48"/>
      <c r="Y965" s="48"/>
      <c r="Z965" s="47"/>
      <c r="AA965" s="70">
        <v>965</v>
      </c>
      <c r="AB965" s="70"/>
      <c r="AC965" s="71"/>
      <c r="AD965" s="86" t="s">
        <v>24573</v>
      </c>
      <c r="AE965" s="94" t="s">
        <v>25607</v>
      </c>
      <c r="AF965" s="86">
        <v>2063</v>
      </c>
      <c r="AG965" s="86">
        <v>109</v>
      </c>
      <c r="AH965" s="86">
        <v>2675</v>
      </c>
      <c r="AI965" s="86">
        <v>44</v>
      </c>
      <c r="AJ965" s="86">
        <v>27</v>
      </c>
      <c r="AK965" s="86">
        <v>2267</v>
      </c>
      <c r="AL965" s="86" t="b">
        <v>0</v>
      </c>
      <c r="AM965" s="89">
        <v>42265.500671296293</v>
      </c>
      <c r="AN965" s="86" t="s">
        <v>15235</v>
      </c>
      <c r="AO965" s="86" t="s">
        <v>27303</v>
      </c>
      <c r="AP965" s="96" t="str">
        <f>HYPERLINK("https://t.co/kVOYwiOP2X")</f>
        <v>https://t.co/kVOYwiOP2X</v>
      </c>
      <c r="AQ965" s="96" t="str">
        <f>HYPERLINK("http://www.startupmag.pt")</f>
        <v>http://www.startupmag.pt</v>
      </c>
      <c r="AR965" s="86" t="s">
        <v>28546</v>
      </c>
      <c r="AS965" s="86"/>
      <c r="AT965" s="86"/>
      <c r="AU965" s="86"/>
      <c r="AV965" s="86"/>
      <c r="AW965" s="96" t="str">
        <f>HYPERLINK("https://t.co/kVOYwiOP2X")</f>
        <v>https://t.co/kVOYwiOP2X</v>
      </c>
      <c r="AX965" s="86" t="b">
        <v>0</v>
      </c>
      <c r="AY965" s="86"/>
      <c r="AZ965" s="86"/>
      <c r="BA965" s="86" t="b">
        <v>0</v>
      </c>
      <c r="BB965" s="86" t="b">
        <v>1</v>
      </c>
      <c r="BC965" s="86" t="b">
        <v>0</v>
      </c>
      <c r="BD965" s="86" t="b">
        <v>0</v>
      </c>
      <c r="BE965" s="86" t="b">
        <v>0</v>
      </c>
      <c r="BF965" s="86" t="b">
        <v>0</v>
      </c>
      <c r="BG965" s="86" t="b">
        <v>0</v>
      </c>
      <c r="BH965" s="86"/>
      <c r="BI965" s="86"/>
      <c r="BJ965" s="86" t="s">
        <v>29134</v>
      </c>
      <c r="BK965" s="86" t="b">
        <v>0</v>
      </c>
      <c r="BL965" s="86"/>
      <c r="BM965" s="86" t="s">
        <v>65</v>
      </c>
      <c r="BN965" s="86" t="s">
        <v>29136</v>
      </c>
      <c r="BO965" s="96" t="str">
        <f>HYPERLINK("https://twitter.com/startupmagpt")</f>
        <v>https://twitter.com/startupmagpt</v>
      </c>
      <c r="BP965" s="2"/>
    </row>
    <row r="966" spans="1:68" x14ac:dyDescent="0.25">
      <c r="A966" s="63" t="s">
        <v>1745</v>
      </c>
      <c r="B966" s="64"/>
      <c r="C966" s="64"/>
      <c r="D966" s="65"/>
      <c r="E966" s="67"/>
      <c r="F966" s="111" t="str">
        <f>HYPERLINK("https://pbs.twimg.com/profile_images/1536336737613537282/EkecVWfm_normal.jpg")</f>
        <v>https://pbs.twimg.com/profile_images/1536336737613537282/EkecVWfm_normal.jpg</v>
      </c>
      <c r="G966" s="64"/>
      <c r="H966" s="68"/>
      <c r="I966" s="69"/>
      <c r="J966" s="69"/>
      <c r="K966" s="68" t="s">
        <v>30099</v>
      </c>
      <c r="L966" s="72"/>
      <c r="M966" s="73"/>
      <c r="N966" s="73"/>
      <c r="O966" s="74"/>
      <c r="P966" s="75"/>
      <c r="Q966" s="75"/>
      <c r="R966" s="102"/>
      <c r="S966" s="102"/>
      <c r="T966" s="102"/>
      <c r="U966" s="102"/>
      <c r="V966" s="48"/>
      <c r="W966" s="48"/>
      <c r="X966" s="48"/>
      <c r="Y966" s="48"/>
      <c r="Z966" s="47"/>
      <c r="AA966" s="70">
        <v>966</v>
      </c>
      <c r="AB966" s="70"/>
      <c r="AC966" s="71"/>
      <c r="AD966" s="86" t="s">
        <v>24574</v>
      </c>
      <c r="AE966" s="94" t="s">
        <v>25608</v>
      </c>
      <c r="AF966" s="86">
        <v>2299</v>
      </c>
      <c r="AG966" s="86">
        <v>272</v>
      </c>
      <c r="AH966" s="86">
        <v>9339</v>
      </c>
      <c r="AI966" s="86">
        <v>24</v>
      </c>
      <c r="AJ966" s="86">
        <v>43</v>
      </c>
      <c r="AK966" s="86">
        <v>841</v>
      </c>
      <c r="AL966" s="86" t="b">
        <v>0</v>
      </c>
      <c r="AM966" s="89">
        <v>39986.537638888891</v>
      </c>
      <c r="AN966" s="86" t="s">
        <v>25945</v>
      </c>
      <c r="AO966" s="86" t="s">
        <v>27304</v>
      </c>
      <c r="AP966" s="96" t="str">
        <f>HYPERLINK("https://t.co/EoVBqBSmD4")</f>
        <v>https://t.co/EoVBqBSmD4</v>
      </c>
      <c r="AQ966" s="96" t="str">
        <f>HYPERLINK("http://www.fiems.com.br/")</f>
        <v>http://www.fiems.com.br/</v>
      </c>
      <c r="AR966" s="86" t="s">
        <v>28547</v>
      </c>
      <c r="AS966" s="96" t="str">
        <f>HYPERLINK("https://t.co/8xFxst0Aji")</f>
        <v>https://t.co/8xFxst0Aji</v>
      </c>
      <c r="AT966" s="96" t="str">
        <f>HYPERLINK("http://linktr.ee/sistemafiems")</f>
        <v>http://linktr.ee/sistemafiems</v>
      </c>
      <c r="AU966" s="86" t="s">
        <v>29094</v>
      </c>
      <c r="AV966" s="86"/>
      <c r="AW966" s="96" t="str">
        <f>HYPERLINK("https://t.co/EoVBqBSmD4")</f>
        <v>https://t.co/EoVBqBSmD4</v>
      </c>
      <c r="AX966" s="86" t="b">
        <v>0</v>
      </c>
      <c r="AY966" s="86"/>
      <c r="AZ966" s="86"/>
      <c r="BA966" s="86" t="b">
        <v>0</v>
      </c>
      <c r="BB966" s="86" t="b">
        <v>1</v>
      </c>
      <c r="BC966" s="86" t="b">
        <v>0</v>
      </c>
      <c r="BD966" s="86" t="b">
        <v>0</v>
      </c>
      <c r="BE966" s="86" t="b">
        <v>0</v>
      </c>
      <c r="BF966" s="86" t="b">
        <v>0</v>
      </c>
      <c r="BG966" s="86" t="b">
        <v>0</v>
      </c>
      <c r="BH966" s="96" t="str">
        <f>HYPERLINK("https://pbs.twimg.com/profile_banners/49619089/1655126201")</f>
        <v>https://pbs.twimg.com/profile_banners/49619089/1655126201</v>
      </c>
      <c r="BI966" s="86"/>
      <c r="BJ966" s="86" t="s">
        <v>29134</v>
      </c>
      <c r="BK966" s="86" t="b">
        <v>0</v>
      </c>
      <c r="BL966" s="86"/>
      <c r="BM966" s="86" t="s">
        <v>65</v>
      </c>
      <c r="BN966" s="86" t="s">
        <v>29136</v>
      </c>
      <c r="BO966" s="96" t="str">
        <f>HYPERLINK("https://twitter.com/sistemafiems")</f>
        <v>https://twitter.com/sistemafiems</v>
      </c>
      <c r="BP966" s="2"/>
    </row>
    <row r="967" spans="1:68" x14ac:dyDescent="0.25">
      <c r="A967" s="63" t="s">
        <v>1047</v>
      </c>
      <c r="B967" s="64"/>
      <c r="C967" s="64"/>
      <c r="D967" s="65"/>
      <c r="E967" s="67"/>
      <c r="F967" s="111" t="str">
        <f>HYPERLINK("https://pbs.twimg.com/profile_images/1497206135396446216/R0Czt9qA_normal.jpg")</f>
        <v>https://pbs.twimg.com/profile_images/1497206135396446216/R0Czt9qA_normal.jpg</v>
      </c>
      <c r="G967" s="64"/>
      <c r="H967" s="68"/>
      <c r="I967" s="69"/>
      <c r="J967" s="69"/>
      <c r="K967" s="68" t="s">
        <v>30100</v>
      </c>
      <c r="L967" s="72"/>
      <c r="M967" s="73"/>
      <c r="N967" s="73"/>
      <c r="O967" s="74"/>
      <c r="P967" s="75"/>
      <c r="Q967" s="75"/>
      <c r="R967" s="102"/>
      <c r="S967" s="102"/>
      <c r="T967" s="102"/>
      <c r="U967" s="102"/>
      <c r="V967" s="48"/>
      <c r="W967" s="48"/>
      <c r="X967" s="48"/>
      <c r="Y967" s="48"/>
      <c r="Z967" s="47"/>
      <c r="AA967" s="70">
        <v>967</v>
      </c>
      <c r="AB967" s="70"/>
      <c r="AC967" s="71"/>
      <c r="AD967" s="86" t="s">
        <v>24575</v>
      </c>
      <c r="AE967" s="94" t="s">
        <v>25609</v>
      </c>
      <c r="AF967" s="86">
        <v>6349</v>
      </c>
      <c r="AG967" s="86">
        <v>34</v>
      </c>
      <c r="AH967" s="86">
        <v>9337</v>
      </c>
      <c r="AI967" s="86">
        <v>66</v>
      </c>
      <c r="AJ967" s="86">
        <v>88</v>
      </c>
      <c r="AK967" s="86">
        <v>840</v>
      </c>
      <c r="AL967" s="86" t="b">
        <v>0</v>
      </c>
      <c r="AM967" s="89">
        <v>39933.901574074072</v>
      </c>
      <c r="AN967" s="86" t="s">
        <v>26228</v>
      </c>
      <c r="AO967" s="86" t="s">
        <v>27305</v>
      </c>
      <c r="AP967" s="96" t="str">
        <f>HYPERLINK("https://t.co/BmURvKuxPC")</f>
        <v>https://t.co/BmURvKuxPC</v>
      </c>
      <c r="AQ967" s="96" t="str">
        <f>HYPERLINK("http://ms.sebrae.com.br")</f>
        <v>http://ms.sebrae.com.br</v>
      </c>
      <c r="AR967" s="86" t="s">
        <v>28548</v>
      </c>
      <c r="AS967" s="86"/>
      <c r="AT967" s="86"/>
      <c r="AU967" s="86"/>
      <c r="AV967" s="86"/>
      <c r="AW967" s="96" t="str">
        <f>HYPERLINK("https://t.co/BmURvKuxPC")</f>
        <v>https://t.co/BmURvKuxPC</v>
      </c>
      <c r="AX967" s="86" t="b">
        <v>0</v>
      </c>
      <c r="AY967" s="86"/>
      <c r="AZ967" s="86"/>
      <c r="BA967" s="86" t="b">
        <v>0</v>
      </c>
      <c r="BB967" s="86" t="b">
        <v>1</v>
      </c>
      <c r="BC967" s="86" t="b">
        <v>0</v>
      </c>
      <c r="BD967" s="86" t="b">
        <v>0</v>
      </c>
      <c r="BE967" s="86" t="b">
        <v>0</v>
      </c>
      <c r="BF967" s="86" t="b">
        <v>0</v>
      </c>
      <c r="BG967" s="86" t="b">
        <v>0</v>
      </c>
      <c r="BH967" s="96" t="str">
        <f>HYPERLINK("https://pbs.twimg.com/profile_banners/36780575/1674745936")</f>
        <v>https://pbs.twimg.com/profile_banners/36780575/1674745936</v>
      </c>
      <c r="BI967" s="86"/>
      <c r="BJ967" s="86" t="s">
        <v>29134</v>
      </c>
      <c r="BK967" s="86" t="b">
        <v>0</v>
      </c>
      <c r="BL967" s="86"/>
      <c r="BM967" s="86" t="s">
        <v>66</v>
      </c>
      <c r="BN967" s="86" t="s">
        <v>29136</v>
      </c>
      <c r="BO967" s="96" t="str">
        <f>HYPERLINK("https://twitter.com/sebraems")</f>
        <v>https://twitter.com/sebraems</v>
      </c>
      <c r="BP967" s="2"/>
    </row>
    <row r="968" spans="1:68" x14ac:dyDescent="0.25">
      <c r="A968" s="63" t="s">
        <v>1746</v>
      </c>
      <c r="B968" s="64"/>
      <c r="C968" s="64"/>
      <c r="D968" s="65"/>
      <c r="E968" s="67"/>
      <c r="F968" s="111" t="str">
        <f>HYPERLINK("https://pbs.twimg.com/profile_images/1649188560505913351/cwr7ebZN_normal.jpg")</f>
        <v>https://pbs.twimg.com/profile_images/1649188560505913351/cwr7ebZN_normal.jpg</v>
      </c>
      <c r="G968" s="64"/>
      <c r="H968" s="68"/>
      <c r="I968" s="69"/>
      <c r="J968" s="69"/>
      <c r="K968" s="68" t="s">
        <v>30101</v>
      </c>
      <c r="L968" s="72"/>
      <c r="M968" s="73"/>
      <c r="N968" s="73"/>
      <c r="O968" s="74"/>
      <c r="P968" s="75"/>
      <c r="Q968" s="75"/>
      <c r="R968" s="102"/>
      <c r="S968" s="102"/>
      <c r="T968" s="102"/>
      <c r="U968" s="102"/>
      <c r="V968" s="48"/>
      <c r="W968" s="48"/>
      <c r="X968" s="48"/>
      <c r="Y968" s="48"/>
      <c r="Z968" s="47"/>
      <c r="AA968" s="70">
        <v>968</v>
      </c>
      <c r="AB968" s="70"/>
      <c r="AC968" s="71"/>
      <c r="AD968" s="86" t="s">
        <v>24576</v>
      </c>
      <c r="AE968" s="94" t="s">
        <v>25610</v>
      </c>
      <c r="AF968" s="86">
        <v>98167</v>
      </c>
      <c r="AG968" s="86">
        <v>305</v>
      </c>
      <c r="AH968" s="86">
        <v>10742</v>
      </c>
      <c r="AI968" s="86">
        <v>139</v>
      </c>
      <c r="AJ968" s="86">
        <v>11599</v>
      </c>
      <c r="AK968" s="86">
        <v>3012</v>
      </c>
      <c r="AL968" s="86" t="b">
        <v>0</v>
      </c>
      <c r="AM968" s="89">
        <v>43213.767071759263</v>
      </c>
      <c r="AN968" s="86"/>
      <c r="AO968" s="86" t="s">
        <v>27306</v>
      </c>
      <c r="AP968" s="86"/>
      <c r="AQ968" s="86"/>
      <c r="AR968" s="86"/>
      <c r="AS968" s="86"/>
      <c r="AT968" s="86"/>
      <c r="AU968" s="86"/>
      <c r="AV968" s="86"/>
      <c r="AW968" s="86"/>
      <c r="AX968" s="86" t="b">
        <v>0</v>
      </c>
      <c r="AY968" s="86"/>
      <c r="AZ968" s="86"/>
      <c r="BA968" s="86" t="b">
        <v>1</v>
      </c>
      <c r="BB968" s="86" t="b">
        <v>0</v>
      </c>
      <c r="BC968" s="86" t="b">
        <v>1</v>
      </c>
      <c r="BD968" s="86" t="b">
        <v>0</v>
      </c>
      <c r="BE968" s="86" t="b">
        <v>1</v>
      </c>
      <c r="BF968" s="86" t="b">
        <v>0</v>
      </c>
      <c r="BG968" s="86" t="b">
        <v>0</v>
      </c>
      <c r="BH968" s="86"/>
      <c r="BI968" s="86"/>
      <c r="BJ968" s="86" t="s">
        <v>29134</v>
      </c>
      <c r="BK968" s="86" t="b">
        <v>0</v>
      </c>
      <c r="BL968" s="86"/>
      <c r="BM968" s="86" t="s">
        <v>65</v>
      </c>
      <c r="BN968" s="86" t="s">
        <v>29136</v>
      </c>
      <c r="BO968" s="96" t="str">
        <f>HYPERLINK("https://twitter.com/enegnt")</f>
        <v>https://twitter.com/enegnt</v>
      </c>
      <c r="BP968" s="2"/>
    </row>
    <row r="969" spans="1:68" x14ac:dyDescent="0.25">
      <c r="A969" s="63" t="s">
        <v>1747</v>
      </c>
      <c r="B969" s="64"/>
      <c r="C969" s="64"/>
      <c r="D969" s="65"/>
      <c r="E969" s="67"/>
      <c r="F969" s="111" t="str">
        <f>HYPERLINK("https://pbs.twimg.com/profile_images/533363699566669825/0bADUasg_normal.png")</f>
        <v>https://pbs.twimg.com/profile_images/533363699566669825/0bADUasg_normal.png</v>
      </c>
      <c r="G969" s="64"/>
      <c r="H969" s="68"/>
      <c r="I969" s="69"/>
      <c r="J969" s="69"/>
      <c r="K969" s="68" t="s">
        <v>30102</v>
      </c>
      <c r="L969" s="72"/>
      <c r="M969" s="73"/>
      <c r="N969" s="73"/>
      <c r="O969" s="74"/>
      <c r="P969" s="75"/>
      <c r="Q969" s="75"/>
      <c r="R969" s="102"/>
      <c r="S969" s="102"/>
      <c r="T969" s="102"/>
      <c r="U969" s="102"/>
      <c r="V969" s="48"/>
      <c r="W969" s="48"/>
      <c r="X969" s="48"/>
      <c r="Y969" s="48"/>
      <c r="Z969" s="47"/>
      <c r="AA969" s="70">
        <v>969</v>
      </c>
      <c r="AB969" s="70"/>
      <c r="AC969" s="71"/>
      <c r="AD969" s="86" t="s">
        <v>24577</v>
      </c>
      <c r="AE969" s="94" t="s">
        <v>25611</v>
      </c>
      <c r="AF969" s="86">
        <v>3728</v>
      </c>
      <c r="AG969" s="86">
        <v>271</v>
      </c>
      <c r="AH969" s="86">
        <v>6005</v>
      </c>
      <c r="AI969" s="86">
        <v>139</v>
      </c>
      <c r="AJ969" s="86">
        <v>8</v>
      </c>
      <c r="AK969" s="86">
        <v>90</v>
      </c>
      <c r="AL969" s="86" t="b">
        <v>0</v>
      </c>
      <c r="AM969" s="89">
        <v>39818.171319444446</v>
      </c>
      <c r="AN969" s="86" t="s">
        <v>15234</v>
      </c>
      <c r="AO969" s="86" t="s">
        <v>27307</v>
      </c>
      <c r="AP969" s="96" t="str">
        <f>HYPERLINK("http://t.co/uXHosUfhXs")</f>
        <v>http://t.co/uXHosUfhXs</v>
      </c>
      <c r="AQ969" s="96" t="str">
        <f>HYPERLINK("http://www.aliancaempreendedora.org.br")</f>
        <v>http://www.aliancaempreendedora.org.br</v>
      </c>
      <c r="AR969" s="86" t="s">
        <v>28549</v>
      </c>
      <c r="AS969" s="86"/>
      <c r="AT969" s="86"/>
      <c r="AU969" s="86"/>
      <c r="AV969" s="86"/>
      <c r="AW969" s="96" t="str">
        <f>HYPERLINK("http://t.co/uXHosUfhXs")</f>
        <v>http://t.co/uXHosUfhXs</v>
      </c>
      <c r="AX969" s="86" t="b">
        <v>0</v>
      </c>
      <c r="AY969" s="86"/>
      <c r="AZ969" s="86"/>
      <c r="BA969" s="86" t="b">
        <v>0</v>
      </c>
      <c r="BB969" s="86" t="b">
        <v>1</v>
      </c>
      <c r="BC969" s="86" t="b">
        <v>0</v>
      </c>
      <c r="BD969" s="86" t="b">
        <v>0</v>
      </c>
      <c r="BE969" s="86" t="b">
        <v>0</v>
      </c>
      <c r="BF969" s="86" t="b">
        <v>0</v>
      </c>
      <c r="BG969" s="86" t="b">
        <v>0</v>
      </c>
      <c r="BH969" s="96" t="str">
        <f>HYPERLINK("https://pbs.twimg.com/profile_banners/18622991/1565792495")</f>
        <v>https://pbs.twimg.com/profile_banners/18622991/1565792495</v>
      </c>
      <c r="BI969" s="86"/>
      <c r="BJ969" s="86" t="s">
        <v>29134</v>
      </c>
      <c r="BK969" s="86" t="b">
        <v>0</v>
      </c>
      <c r="BL969" s="86"/>
      <c r="BM969" s="86" t="s">
        <v>65</v>
      </c>
      <c r="BN969" s="86" t="s">
        <v>29136</v>
      </c>
      <c r="BO969" s="96" t="str">
        <f>HYPERLINK("https://twitter.com/aliancaempreend")</f>
        <v>https://twitter.com/aliancaempreend</v>
      </c>
      <c r="BP969" s="2"/>
    </row>
    <row r="970" spans="1:68" x14ac:dyDescent="0.25">
      <c r="A970" s="63" t="s">
        <v>1748</v>
      </c>
      <c r="B970" s="64"/>
      <c r="C970" s="64"/>
      <c r="D970" s="65"/>
      <c r="E970" s="67"/>
      <c r="F970" s="111" t="str">
        <f>HYPERLINK("https://pbs.twimg.com/profile_images/1668109800582856705/Rnzwgmo2_normal.png")</f>
        <v>https://pbs.twimg.com/profile_images/1668109800582856705/Rnzwgmo2_normal.png</v>
      </c>
      <c r="G970" s="64"/>
      <c r="H970" s="68"/>
      <c r="I970" s="69"/>
      <c r="J970" s="69"/>
      <c r="K970" s="68" t="s">
        <v>30103</v>
      </c>
      <c r="L970" s="72"/>
      <c r="M970" s="73"/>
      <c r="N970" s="73"/>
      <c r="O970" s="74"/>
      <c r="P970" s="75"/>
      <c r="Q970" s="75"/>
      <c r="R970" s="102"/>
      <c r="S970" s="102"/>
      <c r="T970" s="102"/>
      <c r="U970" s="102"/>
      <c r="V970" s="48"/>
      <c r="W970" s="48"/>
      <c r="X970" s="48"/>
      <c r="Y970" s="48"/>
      <c r="Z970" s="47"/>
      <c r="AA970" s="70">
        <v>970</v>
      </c>
      <c r="AB970" s="70"/>
      <c r="AC970" s="71"/>
      <c r="AD970" s="86" t="s">
        <v>24578</v>
      </c>
      <c r="AE970" s="94" t="s">
        <v>25612</v>
      </c>
      <c r="AF970" s="86">
        <v>9836</v>
      </c>
      <c r="AG970" s="86">
        <v>526</v>
      </c>
      <c r="AH970" s="86">
        <v>14073</v>
      </c>
      <c r="AI970" s="86">
        <v>247</v>
      </c>
      <c r="AJ970" s="86">
        <v>415</v>
      </c>
      <c r="AK970" s="86">
        <v>8306</v>
      </c>
      <c r="AL970" s="86" t="b">
        <v>0</v>
      </c>
      <c r="AM970" s="89">
        <v>39730.585092592592</v>
      </c>
      <c r="AN970" s="86" t="s">
        <v>15234</v>
      </c>
      <c r="AO970" s="86" t="s">
        <v>27308</v>
      </c>
      <c r="AP970" s="96" t="str">
        <f>HYPERLINK("https://t.co/WN4Eqn5hnr")</f>
        <v>https://t.co/WN4Eqn5hnr</v>
      </c>
      <c r="AQ970" s="96" t="str">
        <f>HYPERLINK("http://www.superempreendedores.com")</f>
        <v>http://www.superempreendedores.com</v>
      </c>
      <c r="AR970" s="86" t="s">
        <v>28550</v>
      </c>
      <c r="AS970" s="86"/>
      <c r="AT970" s="86"/>
      <c r="AU970" s="86"/>
      <c r="AV970" s="86"/>
      <c r="AW970" s="96" t="str">
        <f>HYPERLINK("https://t.co/WN4Eqn5hnr")</f>
        <v>https://t.co/WN4Eqn5hnr</v>
      </c>
      <c r="AX970" s="86" t="b">
        <v>0</v>
      </c>
      <c r="AY970" s="86"/>
      <c r="AZ970" s="86"/>
      <c r="BA970" s="86" t="b">
        <v>0</v>
      </c>
      <c r="BB970" s="86" t="b">
        <v>0</v>
      </c>
      <c r="BC970" s="86" t="b">
        <v>1</v>
      </c>
      <c r="BD970" s="86" t="b">
        <v>0</v>
      </c>
      <c r="BE970" s="86" t="b">
        <v>0</v>
      </c>
      <c r="BF970" s="86" t="b">
        <v>0</v>
      </c>
      <c r="BG970" s="86" t="b">
        <v>0</v>
      </c>
      <c r="BH970" s="96" t="str">
        <f>HYPERLINK("https://pbs.twimg.com/profile_banners/16666424/1508437999")</f>
        <v>https://pbs.twimg.com/profile_banners/16666424/1508437999</v>
      </c>
      <c r="BI970" s="86"/>
      <c r="BJ970" s="86" t="s">
        <v>29134</v>
      </c>
      <c r="BK970" s="86" t="b">
        <v>0</v>
      </c>
      <c r="BL970" s="86"/>
      <c r="BM970" s="86" t="s">
        <v>65</v>
      </c>
      <c r="BN970" s="86" t="s">
        <v>29136</v>
      </c>
      <c r="BO970" s="96" t="str">
        <f>HYPERLINK("https://twitter.com/sempreendedores")</f>
        <v>https://twitter.com/sempreendedores</v>
      </c>
      <c r="BP970" s="2"/>
    </row>
    <row r="971" spans="1:68" x14ac:dyDescent="0.25">
      <c r="A971" s="63" t="s">
        <v>1749</v>
      </c>
      <c r="B971" s="64"/>
      <c r="C971" s="64"/>
      <c r="D971" s="65"/>
      <c r="E971" s="67"/>
      <c r="F971" s="111" t="str">
        <f>HYPERLINK("https://pbs.twimg.com/profile_images/1597641431606349825/p8hwj_JM_normal.jpg")</f>
        <v>https://pbs.twimg.com/profile_images/1597641431606349825/p8hwj_JM_normal.jpg</v>
      </c>
      <c r="G971" s="64"/>
      <c r="H971" s="68"/>
      <c r="I971" s="69"/>
      <c r="J971" s="69"/>
      <c r="K971" s="68" t="s">
        <v>30104</v>
      </c>
      <c r="L971" s="72"/>
      <c r="M971" s="73"/>
      <c r="N971" s="73"/>
      <c r="O971" s="74"/>
      <c r="P971" s="75"/>
      <c r="Q971" s="75"/>
      <c r="R971" s="102"/>
      <c r="S971" s="102"/>
      <c r="T971" s="102"/>
      <c r="U971" s="102"/>
      <c r="V971" s="48"/>
      <c r="W971" s="48"/>
      <c r="X971" s="48"/>
      <c r="Y971" s="48"/>
      <c r="Z971" s="47"/>
      <c r="AA971" s="70">
        <v>971</v>
      </c>
      <c r="AB971" s="70"/>
      <c r="AC971" s="71"/>
      <c r="AD971" s="86" t="s">
        <v>24579</v>
      </c>
      <c r="AE971" s="94" t="s">
        <v>25613</v>
      </c>
      <c r="AF971" s="86">
        <v>17289</v>
      </c>
      <c r="AG971" s="86">
        <v>28</v>
      </c>
      <c r="AH971" s="86">
        <v>7742</v>
      </c>
      <c r="AI971" s="86">
        <v>281</v>
      </c>
      <c r="AJ971" s="86">
        <v>1594</v>
      </c>
      <c r="AK971" s="86">
        <v>303</v>
      </c>
      <c r="AL971" s="86" t="b">
        <v>0</v>
      </c>
      <c r="AM971" s="89">
        <v>40009.930648148147</v>
      </c>
      <c r="AN971" s="86" t="s">
        <v>15372</v>
      </c>
      <c r="AO971" s="86" t="s">
        <v>27309</v>
      </c>
      <c r="AP971" s="96" t="str">
        <f>HYPERLINK("https://t.co/4mAqcBu8ym")</f>
        <v>https://t.co/4mAqcBu8ym</v>
      </c>
      <c r="AQ971" s="96" t="str">
        <f>HYPERLINK("http://www.sebraerj.com.br")</f>
        <v>http://www.sebraerj.com.br</v>
      </c>
      <c r="AR971" s="86" t="s">
        <v>28551</v>
      </c>
      <c r="AS971" s="96" t="str">
        <f>HYPERLINK("https://t.co/NpSZAgnyHP")</f>
        <v>https://t.co/NpSZAgnyHP</v>
      </c>
      <c r="AT971" s="96" t="str">
        <f>HYPERLINK("http://bit.ly/3gABdnl")</f>
        <v>http://bit.ly/3gABdnl</v>
      </c>
      <c r="AU971" s="86" t="s">
        <v>29095</v>
      </c>
      <c r="AV971" s="86"/>
      <c r="AW971" s="96" t="str">
        <f>HYPERLINK("https://t.co/4mAqcBu8ym")</f>
        <v>https://t.co/4mAqcBu8ym</v>
      </c>
      <c r="AX971" s="86" t="b">
        <v>0</v>
      </c>
      <c r="AY971" s="86"/>
      <c r="AZ971" s="86"/>
      <c r="BA971" s="86" t="b">
        <v>0</v>
      </c>
      <c r="BB971" s="86" t="b">
        <v>1</v>
      </c>
      <c r="BC971" s="86" t="b">
        <v>0</v>
      </c>
      <c r="BD971" s="86" t="b">
        <v>0</v>
      </c>
      <c r="BE971" s="86" t="b">
        <v>0</v>
      </c>
      <c r="BF971" s="86" t="b">
        <v>0</v>
      </c>
      <c r="BG971" s="86" t="b">
        <v>0</v>
      </c>
      <c r="BH971" s="96" t="str">
        <f>HYPERLINK("https://pbs.twimg.com/profile_banners/57155824/1681328642")</f>
        <v>https://pbs.twimg.com/profile_banners/57155824/1681328642</v>
      </c>
      <c r="BI971" s="86"/>
      <c r="BJ971" s="86" t="s">
        <v>29134</v>
      </c>
      <c r="BK971" s="86" t="b">
        <v>0</v>
      </c>
      <c r="BL971" s="86"/>
      <c r="BM971" s="86" t="s">
        <v>65</v>
      </c>
      <c r="BN971" s="86" t="s">
        <v>29136</v>
      </c>
      <c r="BO971" s="96" t="str">
        <f>HYPERLINK("https://twitter.com/sebraerj")</f>
        <v>https://twitter.com/sebraerj</v>
      </c>
      <c r="BP971" s="2"/>
    </row>
    <row r="972" spans="1:68" x14ac:dyDescent="0.25">
      <c r="A972" s="63" t="s">
        <v>1048</v>
      </c>
      <c r="B972" s="64"/>
      <c r="C972" s="64"/>
      <c r="D972" s="65"/>
      <c r="E972" s="67"/>
      <c r="F972" s="111" t="str">
        <f>HYPERLINK("https://pbs.twimg.com/profile_images/1403391528383533058/pTaetQul_normal.jpg")</f>
        <v>https://pbs.twimg.com/profile_images/1403391528383533058/pTaetQul_normal.jpg</v>
      </c>
      <c r="G972" s="64"/>
      <c r="H972" s="68"/>
      <c r="I972" s="69"/>
      <c r="J972" s="69"/>
      <c r="K972" s="68" t="s">
        <v>30105</v>
      </c>
      <c r="L972" s="72"/>
      <c r="M972" s="73"/>
      <c r="N972" s="73"/>
      <c r="O972" s="74"/>
      <c r="P972" s="75"/>
      <c r="Q972" s="75"/>
      <c r="R972" s="102"/>
      <c r="S972" s="102"/>
      <c r="T972" s="102"/>
      <c r="U972" s="102"/>
      <c r="V972" s="48"/>
      <c r="W972" s="48"/>
      <c r="X972" s="48"/>
      <c r="Y972" s="48"/>
      <c r="Z972" s="47"/>
      <c r="AA972" s="70">
        <v>972</v>
      </c>
      <c r="AB972" s="70"/>
      <c r="AC972" s="71"/>
      <c r="AD972" s="86" t="s">
        <v>24580</v>
      </c>
      <c r="AE972" s="94" t="s">
        <v>25614</v>
      </c>
      <c r="AF972" s="86">
        <v>1644</v>
      </c>
      <c r="AG972" s="86">
        <v>2691</v>
      </c>
      <c r="AH972" s="86">
        <v>22030</v>
      </c>
      <c r="AI972" s="86">
        <v>0</v>
      </c>
      <c r="AJ972" s="86">
        <v>7934</v>
      </c>
      <c r="AK972" s="86">
        <v>12762</v>
      </c>
      <c r="AL972" s="86" t="b">
        <v>0</v>
      </c>
      <c r="AM972" s="89">
        <v>41906.337060185186</v>
      </c>
      <c r="AN972" s="86"/>
      <c r="AO972" s="86"/>
      <c r="AP972" s="86"/>
      <c r="AQ972" s="86"/>
      <c r="AR972" s="86"/>
      <c r="AS972" s="86"/>
      <c r="AT972" s="86"/>
      <c r="AU972" s="86"/>
      <c r="AV972" s="86"/>
      <c r="AW972" s="86"/>
      <c r="AX972" s="86" t="b">
        <v>0</v>
      </c>
      <c r="AY972" s="86"/>
      <c r="AZ972" s="86"/>
      <c r="BA972" s="86" t="b">
        <v>1</v>
      </c>
      <c r="BB972" s="86" t="b">
        <v>1</v>
      </c>
      <c r="BC972" s="86" t="b">
        <v>1</v>
      </c>
      <c r="BD972" s="86" t="b">
        <v>0</v>
      </c>
      <c r="BE972" s="86" t="b">
        <v>1</v>
      </c>
      <c r="BF972" s="86" t="b">
        <v>0</v>
      </c>
      <c r="BG972" s="86" t="b">
        <v>0</v>
      </c>
      <c r="BH972" s="86"/>
      <c r="BI972" s="86"/>
      <c r="BJ972" s="86" t="s">
        <v>29134</v>
      </c>
      <c r="BK972" s="86" t="b">
        <v>0</v>
      </c>
      <c r="BL972" s="86"/>
      <c r="BM972" s="86" t="s">
        <v>66</v>
      </c>
      <c r="BN972" s="86" t="s">
        <v>29136</v>
      </c>
      <c r="BO972" s="96" t="str">
        <f>HYPERLINK("https://twitter.com/basjoilson")</f>
        <v>https://twitter.com/basjoilson</v>
      </c>
      <c r="BP972" s="2"/>
    </row>
    <row r="973" spans="1:68" x14ac:dyDescent="0.25">
      <c r="A973" s="63" t="s">
        <v>1049</v>
      </c>
      <c r="B973" s="64"/>
      <c r="C973" s="64"/>
      <c r="D973" s="65"/>
      <c r="E973" s="67"/>
      <c r="F973" s="111" t="str">
        <f>HYPERLINK("https://pbs.twimg.com/profile_images/1622890522066014209/-h-U36CD_normal.jpg")</f>
        <v>https://pbs.twimg.com/profile_images/1622890522066014209/-h-U36CD_normal.jpg</v>
      </c>
      <c r="G973" s="64"/>
      <c r="H973" s="68"/>
      <c r="I973" s="69"/>
      <c r="J973" s="69"/>
      <c r="K973" s="68" t="s">
        <v>30106</v>
      </c>
      <c r="L973" s="72"/>
      <c r="M973" s="73"/>
      <c r="N973" s="73"/>
      <c r="O973" s="74"/>
      <c r="P973" s="75"/>
      <c r="Q973" s="75"/>
      <c r="R973" s="102"/>
      <c r="S973" s="102"/>
      <c r="T973" s="102"/>
      <c r="U973" s="102"/>
      <c r="V973" s="48"/>
      <c r="W973" s="48"/>
      <c r="X973" s="48"/>
      <c r="Y973" s="48"/>
      <c r="Z973" s="47"/>
      <c r="AA973" s="70">
        <v>973</v>
      </c>
      <c r="AB973" s="70"/>
      <c r="AC973" s="71"/>
      <c r="AD973" s="86" t="s">
        <v>24581</v>
      </c>
      <c r="AE973" s="94" t="s">
        <v>23262</v>
      </c>
      <c r="AF973" s="86">
        <v>391</v>
      </c>
      <c r="AG973" s="86">
        <v>581</v>
      </c>
      <c r="AH973" s="86">
        <v>919</v>
      </c>
      <c r="AI973" s="86">
        <v>5</v>
      </c>
      <c r="AJ973" s="86">
        <v>2549</v>
      </c>
      <c r="AK973" s="86">
        <v>82</v>
      </c>
      <c r="AL973" s="86" t="b">
        <v>0</v>
      </c>
      <c r="AM973" s="89">
        <v>42590.877025462964</v>
      </c>
      <c r="AN973" s="86" t="s">
        <v>26229</v>
      </c>
      <c r="AO973" s="86" t="s">
        <v>27310</v>
      </c>
      <c r="AP973" s="96" t="str">
        <f>HYPERLINK("https://t.co/Awy0U21vGw")</f>
        <v>https://t.co/Awy0U21vGw</v>
      </c>
      <c r="AQ973" s="96" t="str">
        <f>HYPERLINK("http://www.betacodexpress.com")</f>
        <v>http://www.betacodexpress.com</v>
      </c>
      <c r="AR973" s="86" t="s">
        <v>28552</v>
      </c>
      <c r="AS973" s="86"/>
      <c r="AT973" s="86"/>
      <c r="AU973" s="86"/>
      <c r="AV973" s="86">
        <v>1.6780870781925901E+18</v>
      </c>
      <c r="AW973" s="96" t="str">
        <f>HYPERLINK("https://t.co/Awy0U21vGw")</f>
        <v>https://t.co/Awy0U21vGw</v>
      </c>
      <c r="AX973" s="86" t="b">
        <v>0</v>
      </c>
      <c r="AY973" s="86"/>
      <c r="AZ973" s="86"/>
      <c r="BA973" s="86" t="b">
        <v>0</v>
      </c>
      <c r="BB973" s="86" t="b">
        <v>1</v>
      </c>
      <c r="BC973" s="86" t="b">
        <v>1</v>
      </c>
      <c r="BD973" s="86" t="b">
        <v>0</v>
      </c>
      <c r="BE973" s="86" t="b">
        <v>0</v>
      </c>
      <c r="BF973" s="86" t="b">
        <v>0</v>
      </c>
      <c r="BG973" s="86" t="b">
        <v>0</v>
      </c>
      <c r="BH973" s="96" t="str">
        <f>HYPERLINK("https://pbs.twimg.com/profile_banners/762755997555392512/1681234847")</f>
        <v>https://pbs.twimg.com/profile_banners/762755997555392512/1681234847</v>
      </c>
      <c r="BI973" s="86"/>
      <c r="BJ973" s="86" t="s">
        <v>29134</v>
      </c>
      <c r="BK973" s="86" t="b">
        <v>0</v>
      </c>
      <c r="BL973" s="86"/>
      <c r="BM973" s="86" t="s">
        <v>66</v>
      </c>
      <c r="BN973" s="86" t="s">
        <v>29136</v>
      </c>
      <c r="BO973" s="96" t="str">
        <f>HYPERLINK("https://twitter.com/betacodexpress")</f>
        <v>https://twitter.com/betacodexpress</v>
      </c>
      <c r="BP973" s="2"/>
    </row>
    <row r="974" spans="1:68" x14ac:dyDescent="0.25">
      <c r="A974" s="63" t="s">
        <v>1443</v>
      </c>
      <c r="B974" s="64"/>
      <c r="C974" s="64"/>
      <c r="D974" s="65"/>
      <c r="E974" s="67"/>
      <c r="F974" s="111" t="str">
        <f>HYPERLINK("https://pbs.twimg.com/profile_images/1298720463854514176/vSv-l5uG_normal.jpg")</f>
        <v>https://pbs.twimg.com/profile_images/1298720463854514176/vSv-l5uG_normal.jpg</v>
      </c>
      <c r="G974" s="64"/>
      <c r="H974" s="68"/>
      <c r="I974" s="69"/>
      <c r="J974" s="69"/>
      <c r="K974" s="68" t="s">
        <v>30107</v>
      </c>
      <c r="L974" s="72"/>
      <c r="M974" s="73"/>
      <c r="N974" s="73"/>
      <c r="O974" s="74"/>
      <c r="P974" s="75"/>
      <c r="Q974" s="75"/>
      <c r="R974" s="102"/>
      <c r="S974" s="102"/>
      <c r="T974" s="102"/>
      <c r="U974" s="102"/>
      <c r="V974" s="48"/>
      <c r="W974" s="48"/>
      <c r="X974" s="48"/>
      <c r="Y974" s="48"/>
      <c r="Z974" s="47"/>
      <c r="AA974" s="70">
        <v>974</v>
      </c>
      <c r="AB974" s="70"/>
      <c r="AC974" s="71"/>
      <c r="AD974" s="86" t="s">
        <v>24582</v>
      </c>
      <c r="AE974" s="94" t="s">
        <v>23499</v>
      </c>
      <c r="AF974" s="86">
        <v>97</v>
      </c>
      <c r="AG974" s="86">
        <v>542</v>
      </c>
      <c r="AH974" s="86">
        <v>1372</v>
      </c>
      <c r="AI974" s="86">
        <v>0</v>
      </c>
      <c r="AJ974" s="86">
        <v>428</v>
      </c>
      <c r="AK974" s="86">
        <v>671</v>
      </c>
      <c r="AL974" s="86" t="b">
        <v>0</v>
      </c>
      <c r="AM974" s="89">
        <v>44069.856412037036</v>
      </c>
      <c r="AN974" s="86" t="s">
        <v>25933</v>
      </c>
      <c r="AO974" s="86" t="s">
        <v>27311</v>
      </c>
      <c r="AP974" s="96" t="str">
        <f>HYPERLINK("https://t.co/boPr26Lvac")</f>
        <v>https://t.co/boPr26Lvac</v>
      </c>
      <c r="AQ974" s="96" t="str">
        <f>HYPERLINK("http://betacodex.org")</f>
        <v>http://betacodex.org</v>
      </c>
      <c r="AR974" s="86" t="s">
        <v>28553</v>
      </c>
      <c r="AS974" s="96" t="str">
        <f>HYPERLINK("https://t.co/boPr26Lvac")</f>
        <v>https://t.co/boPr26Lvac</v>
      </c>
      <c r="AT974" s="96" t="str">
        <f>HYPERLINK("http://betacodex.org")</f>
        <v>http://betacodex.org</v>
      </c>
      <c r="AU974" s="86" t="s">
        <v>28553</v>
      </c>
      <c r="AV974" s="86">
        <v>1.66390766386691E+18</v>
      </c>
      <c r="AW974" s="96" t="str">
        <f>HYPERLINK("https://t.co/boPr26Lvac")</f>
        <v>https://t.co/boPr26Lvac</v>
      </c>
      <c r="AX974" s="86" t="b">
        <v>0</v>
      </c>
      <c r="AY974" s="86"/>
      <c r="AZ974" s="86"/>
      <c r="BA974" s="86" t="b">
        <v>0</v>
      </c>
      <c r="BB974" s="86" t="b">
        <v>1</v>
      </c>
      <c r="BC974" s="86" t="b">
        <v>1</v>
      </c>
      <c r="BD974" s="86" t="b">
        <v>0</v>
      </c>
      <c r="BE974" s="86" t="b">
        <v>0</v>
      </c>
      <c r="BF974" s="86" t="b">
        <v>0</v>
      </c>
      <c r="BG974" s="86" t="b">
        <v>0</v>
      </c>
      <c r="BH974" s="96" t="str">
        <f>HYPERLINK("https://pbs.twimg.com/profile_banners/1298720029731504128/1663455421")</f>
        <v>https://pbs.twimg.com/profile_banners/1298720029731504128/1663455421</v>
      </c>
      <c r="BI974" s="86"/>
      <c r="BJ974" s="86" t="s">
        <v>29134</v>
      </c>
      <c r="BK974" s="86" t="b">
        <v>0</v>
      </c>
      <c r="BL974" s="86"/>
      <c r="BM974" s="86" t="s">
        <v>66</v>
      </c>
      <c r="BN974" s="86" t="s">
        <v>29136</v>
      </c>
      <c r="BO974" s="96" t="str">
        <f>HYPERLINK("https://twitter.com/betacodex_pt")</f>
        <v>https://twitter.com/betacodex_pt</v>
      </c>
      <c r="BP974" s="2"/>
    </row>
    <row r="975" spans="1:68" x14ac:dyDescent="0.25">
      <c r="A975" s="63" t="s">
        <v>1050</v>
      </c>
      <c r="B975" s="64"/>
      <c r="C975" s="64"/>
      <c r="D975" s="65"/>
      <c r="E975" s="67"/>
      <c r="F975" s="111" t="str">
        <f>HYPERLINK("https://pbs.twimg.com/profile_images/1684536652071419904/WKZTa77u_normal.jpg")</f>
        <v>https://pbs.twimg.com/profile_images/1684536652071419904/WKZTa77u_normal.jpg</v>
      </c>
      <c r="G975" s="64"/>
      <c r="H975" s="68"/>
      <c r="I975" s="69"/>
      <c r="J975" s="69"/>
      <c r="K975" s="68" t="s">
        <v>30108</v>
      </c>
      <c r="L975" s="72"/>
      <c r="M975" s="73"/>
      <c r="N975" s="73"/>
      <c r="O975" s="74"/>
      <c r="P975" s="75"/>
      <c r="Q975" s="75"/>
      <c r="R975" s="102"/>
      <c r="S975" s="102"/>
      <c r="T975" s="102"/>
      <c r="U975" s="102"/>
      <c r="V975" s="48"/>
      <c r="W975" s="48"/>
      <c r="X975" s="48"/>
      <c r="Y975" s="48"/>
      <c r="Z975" s="47"/>
      <c r="AA975" s="70">
        <v>975</v>
      </c>
      <c r="AB975" s="70"/>
      <c r="AC975" s="71"/>
      <c r="AD975" s="86" t="s">
        <v>24583</v>
      </c>
      <c r="AE975" s="94" t="s">
        <v>23263</v>
      </c>
      <c r="AF975" s="86">
        <v>82</v>
      </c>
      <c r="AG975" s="86">
        <v>66</v>
      </c>
      <c r="AH975" s="86">
        <v>4112</v>
      </c>
      <c r="AI975" s="86">
        <v>0</v>
      </c>
      <c r="AJ975" s="86">
        <v>445</v>
      </c>
      <c r="AK975" s="86">
        <v>1131</v>
      </c>
      <c r="AL975" s="86" t="b">
        <v>0</v>
      </c>
      <c r="AM975" s="89">
        <v>42934.918402777781</v>
      </c>
      <c r="AN975" s="86" t="s">
        <v>15273</v>
      </c>
      <c r="AO975" s="86" t="s">
        <v>27312</v>
      </c>
      <c r="AP975" s="96" t="str">
        <f>HYPERLINK("https://t.co/mu1dYm9aoq")</f>
        <v>https://t.co/mu1dYm9aoq</v>
      </c>
      <c r="AQ975" s="96" t="str">
        <f>HYPERLINK("https://linktr.ee/diegoskda")</f>
        <v>https://linktr.ee/diegoskda</v>
      </c>
      <c r="AR975" s="86" t="s">
        <v>28554</v>
      </c>
      <c r="AS975" s="86"/>
      <c r="AT975" s="86"/>
      <c r="AU975" s="86"/>
      <c r="AV975" s="86"/>
      <c r="AW975" s="96" t="str">
        <f>HYPERLINK("https://t.co/mu1dYm9aoq")</f>
        <v>https://t.co/mu1dYm9aoq</v>
      </c>
      <c r="AX975" s="86" t="b">
        <v>0</v>
      </c>
      <c r="AY975" s="86"/>
      <c r="AZ975" s="86"/>
      <c r="BA975" s="86" t="b">
        <v>0</v>
      </c>
      <c r="BB975" s="86" t="b">
        <v>1</v>
      </c>
      <c r="BC975" s="86" t="b">
        <v>1</v>
      </c>
      <c r="BD975" s="86" t="b">
        <v>0</v>
      </c>
      <c r="BE975" s="86" t="b">
        <v>1</v>
      </c>
      <c r="BF975" s="86" t="b">
        <v>0</v>
      </c>
      <c r="BG975" s="86" t="b">
        <v>0</v>
      </c>
      <c r="BH975" s="96" t="str">
        <f>HYPERLINK("https://pbs.twimg.com/profile_banners/887432414972301313/1647634996")</f>
        <v>https://pbs.twimg.com/profile_banners/887432414972301313/1647634996</v>
      </c>
      <c r="BI975" s="86"/>
      <c r="BJ975" s="86" t="s">
        <v>29134</v>
      </c>
      <c r="BK975" s="86" t="b">
        <v>0</v>
      </c>
      <c r="BL975" s="86"/>
      <c r="BM975" s="86" t="s">
        <v>66</v>
      </c>
      <c r="BN975" s="86" t="s">
        <v>29136</v>
      </c>
      <c r="BO975" s="96" t="str">
        <f>HYPERLINK("https://twitter.com/diegoskda")</f>
        <v>https://twitter.com/diegoskda</v>
      </c>
      <c r="BP975" s="2"/>
    </row>
    <row r="976" spans="1:68" x14ac:dyDescent="0.25">
      <c r="A976" s="63" t="s">
        <v>1051</v>
      </c>
      <c r="B976" s="64"/>
      <c r="C976" s="64"/>
      <c r="D976" s="65"/>
      <c r="E976" s="67"/>
      <c r="F976" s="111" t="str">
        <f>HYPERLINK("https://pbs.twimg.com/profile_images/1679699223414030336/1Jyp91JR_normal.jpg")</f>
        <v>https://pbs.twimg.com/profile_images/1679699223414030336/1Jyp91JR_normal.jpg</v>
      </c>
      <c r="G976" s="64"/>
      <c r="H976" s="68"/>
      <c r="I976" s="69"/>
      <c r="J976" s="69"/>
      <c r="K976" s="68" t="s">
        <v>30109</v>
      </c>
      <c r="L976" s="72"/>
      <c r="M976" s="73"/>
      <c r="N976" s="73"/>
      <c r="O976" s="74"/>
      <c r="P976" s="75"/>
      <c r="Q976" s="75"/>
      <c r="R976" s="102"/>
      <c r="S976" s="102"/>
      <c r="T976" s="102"/>
      <c r="U976" s="102"/>
      <c r="V976" s="48"/>
      <c r="W976" s="48"/>
      <c r="X976" s="48"/>
      <c r="Y976" s="48"/>
      <c r="Z976" s="47"/>
      <c r="AA976" s="70">
        <v>976</v>
      </c>
      <c r="AB976" s="70"/>
      <c r="AC976" s="71"/>
      <c r="AD976" s="86" t="s">
        <v>24584</v>
      </c>
      <c r="AE976" s="94" t="s">
        <v>23264</v>
      </c>
      <c r="AF976" s="86">
        <v>890</v>
      </c>
      <c r="AG976" s="86">
        <v>890</v>
      </c>
      <c r="AH976" s="86">
        <v>4393</v>
      </c>
      <c r="AI976" s="86">
        <v>1</v>
      </c>
      <c r="AJ976" s="86">
        <v>3167</v>
      </c>
      <c r="AK976" s="86">
        <v>1015</v>
      </c>
      <c r="AL976" s="86" t="b">
        <v>0</v>
      </c>
      <c r="AM976" s="89">
        <v>44060.580393518518</v>
      </c>
      <c r="AN976" s="86"/>
      <c r="AO976" s="86" t="s">
        <v>27313</v>
      </c>
      <c r="AP976" s="86"/>
      <c r="AQ976" s="86"/>
      <c r="AR976" s="86"/>
      <c r="AS976" s="86"/>
      <c r="AT976" s="86"/>
      <c r="AU976" s="86"/>
      <c r="AV976" s="86">
        <v>1.63617051334399E+18</v>
      </c>
      <c r="AW976" s="86"/>
      <c r="AX976" s="86" t="b">
        <v>0</v>
      </c>
      <c r="AY976" s="86"/>
      <c r="AZ976" s="86"/>
      <c r="BA976" s="86" t="b">
        <v>0</v>
      </c>
      <c r="BB976" s="86" t="b">
        <v>0</v>
      </c>
      <c r="BC976" s="86" t="b">
        <v>1</v>
      </c>
      <c r="BD976" s="86" t="b">
        <v>0</v>
      </c>
      <c r="BE976" s="86" t="b">
        <v>0</v>
      </c>
      <c r="BF976" s="86" t="b">
        <v>0</v>
      </c>
      <c r="BG976" s="86" t="b">
        <v>0</v>
      </c>
      <c r="BH976" s="96" t="str">
        <f>HYPERLINK("https://pbs.twimg.com/profile_banners/1295358569202712576/1598284012")</f>
        <v>https://pbs.twimg.com/profile_banners/1295358569202712576/1598284012</v>
      </c>
      <c r="BI976" s="86"/>
      <c r="BJ976" s="86" t="s">
        <v>29134</v>
      </c>
      <c r="BK976" s="86" t="b">
        <v>0</v>
      </c>
      <c r="BL976" s="86"/>
      <c r="BM976" s="86" t="s">
        <v>66</v>
      </c>
      <c r="BN976" s="86" t="s">
        <v>29136</v>
      </c>
      <c r="BO976" s="96" t="str">
        <f>HYPERLINK("https://twitter.com/sharlotsandim1")</f>
        <v>https://twitter.com/sharlotsandim1</v>
      </c>
      <c r="BP976" s="2"/>
    </row>
    <row r="977" spans="1:68" x14ac:dyDescent="0.25">
      <c r="A977" s="63" t="s">
        <v>1052</v>
      </c>
      <c r="B977" s="64"/>
      <c r="C977" s="64"/>
      <c r="D977" s="65"/>
      <c r="E977" s="67"/>
      <c r="F977" s="111" t="str">
        <f>HYPERLINK("https://pbs.twimg.com/profile_images/1475331644898881537/Bawv595t_normal.jpg")</f>
        <v>https://pbs.twimg.com/profile_images/1475331644898881537/Bawv595t_normal.jpg</v>
      </c>
      <c r="G977" s="64"/>
      <c r="H977" s="68"/>
      <c r="I977" s="69"/>
      <c r="J977" s="69"/>
      <c r="K977" s="68" t="s">
        <v>30110</v>
      </c>
      <c r="L977" s="72"/>
      <c r="M977" s="73"/>
      <c r="N977" s="73"/>
      <c r="O977" s="74"/>
      <c r="P977" s="75"/>
      <c r="Q977" s="75"/>
      <c r="R977" s="102"/>
      <c r="S977" s="102"/>
      <c r="T977" s="102"/>
      <c r="U977" s="102"/>
      <c r="V977" s="48"/>
      <c r="W977" s="48"/>
      <c r="X977" s="48"/>
      <c r="Y977" s="48"/>
      <c r="Z977" s="47"/>
      <c r="AA977" s="70">
        <v>977</v>
      </c>
      <c r="AB977" s="70"/>
      <c r="AC977" s="71"/>
      <c r="AD977" s="86" t="s">
        <v>24585</v>
      </c>
      <c r="AE977" s="94" t="s">
        <v>25615</v>
      </c>
      <c r="AF977" s="86">
        <v>311</v>
      </c>
      <c r="AG977" s="86">
        <v>182</v>
      </c>
      <c r="AH977" s="86">
        <v>1524</v>
      </c>
      <c r="AI977" s="86">
        <v>1</v>
      </c>
      <c r="AJ977" s="86">
        <v>25</v>
      </c>
      <c r="AK977" s="86">
        <v>117</v>
      </c>
      <c r="AL977" s="86" t="b">
        <v>0</v>
      </c>
      <c r="AM977" s="89">
        <v>41124.278078703705</v>
      </c>
      <c r="AN977" s="86" t="s">
        <v>15374</v>
      </c>
      <c r="AO977" s="86" t="s">
        <v>27314</v>
      </c>
      <c r="AP977" s="96" t="str">
        <f>HYPERLINK("https://t.co/rNJ9ChDz4c")</f>
        <v>https://t.co/rNJ9ChDz4c</v>
      </c>
      <c r="AQ977" s="96" t="str">
        <f>HYPERLINK("http://www.rhupgrade.com.br")</f>
        <v>http://www.rhupgrade.com.br</v>
      </c>
      <c r="AR977" s="86" t="s">
        <v>28555</v>
      </c>
      <c r="AS977" s="86"/>
      <c r="AT977" s="86"/>
      <c r="AU977" s="86"/>
      <c r="AV977" s="86"/>
      <c r="AW977" s="96" t="str">
        <f>HYPERLINK("https://t.co/rNJ9ChDz4c")</f>
        <v>https://t.co/rNJ9ChDz4c</v>
      </c>
      <c r="AX977" s="86" t="b">
        <v>0</v>
      </c>
      <c r="AY977" s="86"/>
      <c r="AZ977" s="86"/>
      <c r="BA977" s="86" t="b">
        <v>0</v>
      </c>
      <c r="BB977" s="86" t="b">
        <v>1</v>
      </c>
      <c r="BC977" s="86" t="b">
        <v>0</v>
      </c>
      <c r="BD977" s="86" t="b">
        <v>0</v>
      </c>
      <c r="BE977" s="86" t="b">
        <v>1</v>
      </c>
      <c r="BF977" s="86" t="b">
        <v>0</v>
      </c>
      <c r="BG977" s="86" t="b">
        <v>0</v>
      </c>
      <c r="BH977" s="96" t="str">
        <f>HYPERLINK("https://pbs.twimg.com/profile_banners/734326411/1601166151")</f>
        <v>https://pbs.twimg.com/profile_banners/734326411/1601166151</v>
      </c>
      <c r="BI977" s="86"/>
      <c r="BJ977" s="86" t="s">
        <v>29134</v>
      </c>
      <c r="BK977" s="86" t="b">
        <v>0</v>
      </c>
      <c r="BL977" s="86"/>
      <c r="BM977" s="86" t="s">
        <v>66</v>
      </c>
      <c r="BN977" s="86" t="s">
        <v>29136</v>
      </c>
      <c r="BO977" s="96" t="str">
        <f>HYPERLINK("https://twitter.com/rhupgrade")</f>
        <v>https://twitter.com/rhupgrade</v>
      </c>
      <c r="BP977" s="2"/>
    </row>
    <row r="978" spans="1:68" x14ac:dyDescent="0.25">
      <c r="A978" s="63" t="s">
        <v>1053</v>
      </c>
      <c r="B978" s="64"/>
      <c r="C978" s="64"/>
      <c r="D978" s="65"/>
      <c r="E978" s="67"/>
      <c r="F978" s="111" t="str">
        <f>HYPERLINK("https://pbs.twimg.com/profile_images/1463267535227289606/Pci45gq__normal.jpg")</f>
        <v>https://pbs.twimg.com/profile_images/1463267535227289606/Pci45gq__normal.jpg</v>
      </c>
      <c r="G978" s="64"/>
      <c r="H978" s="68"/>
      <c r="I978" s="69"/>
      <c r="J978" s="69"/>
      <c r="K978" s="68" t="s">
        <v>30111</v>
      </c>
      <c r="L978" s="72"/>
      <c r="M978" s="73"/>
      <c r="N978" s="73"/>
      <c r="O978" s="74"/>
      <c r="P978" s="75"/>
      <c r="Q978" s="75"/>
      <c r="R978" s="102"/>
      <c r="S978" s="102"/>
      <c r="T978" s="102"/>
      <c r="U978" s="102"/>
      <c r="V978" s="48"/>
      <c r="W978" s="48"/>
      <c r="X978" s="48"/>
      <c r="Y978" s="48"/>
      <c r="Z978" s="47"/>
      <c r="AA978" s="70">
        <v>978</v>
      </c>
      <c r="AB978" s="70"/>
      <c r="AC978" s="71"/>
      <c r="AD978" s="86" t="s">
        <v>24586</v>
      </c>
      <c r="AE978" s="94" t="s">
        <v>23265</v>
      </c>
      <c r="AF978" s="86">
        <v>2</v>
      </c>
      <c r="AG978" s="86">
        <v>6</v>
      </c>
      <c r="AH978" s="86">
        <v>207</v>
      </c>
      <c r="AI978" s="86">
        <v>0</v>
      </c>
      <c r="AJ978" s="86">
        <v>2</v>
      </c>
      <c r="AK978" s="86">
        <v>192</v>
      </c>
      <c r="AL978" s="86" t="b">
        <v>0</v>
      </c>
      <c r="AM978" s="89">
        <v>44523.920613425929</v>
      </c>
      <c r="AN978" s="86"/>
      <c r="AO978" s="86" t="s">
        <v>27315</v>
      </c>
      <c r="AP978" s="86"/>
      <c r="AQ978" s="86"/>
      <c r="AR978" s="86"/>
      <c r="AS978" s="96" t="str">
        <f>HYPERLINK("https://t.co/a6CA60FR9S")</f>
        <v>https://t.co/a6CA60FR9S</v>
      </c>
      <c r="AT978" s="96" t="str">
        <f>HYPERLINK("https://www.youtube.com/c/ProfessorCésarUrtado?sub_confirmation=1")</f>
        <v>https://www.youtube.com/c/ProfessorCésarUrtado?sub_confirmation=1</v>
      </c>
      <c r="AU978" s="86" t="s">
        <v>29096</v>
      </c>
      <c r="AV978" s="86"/>
      <c r="AW978" s="86"/>
      <c r="AX978" s="86" t="b">
        <v>0</v>
      </c>
      <c r="AY978" s="86"/>
      <c r="AZ978" s="86"/>
      <c r="BA978" s="86" t="b">
        <v>0</v>
      </c>
      <c r="BB978" s="86" t="b">
        <v>1</v>
      </c>
      <c r="BC978" s="86" t="b">
        <v>1</v>
      </c>
      <c r="BD978" s="86" t="b">
        <v>0</v>
      </c>
      <c r="BE978" s="86" t="b">
        <v>0</v>
      </c>
      <c r="BF978" s="86" t="b">
        <v>0</v>
      </c>
      <c r="BG978" s="86" t="b">
        <v>0</v>
      </c>
      <c r="BH978" s="86"/>
      <c r="BI978" s="86"/>
      <c r="BJ978" s="86" t="s">
        <v>29134</v>
      </c>
      <c r="BK978" s="86" t="b">
        <v>0</v>
      </c>
      <c r="BL978" s="86"/>
      <c r="BM978" s="86" t="s">
        <v>66</v>
      </c>
      <c r="BN978" s="86" t="s">
        <v>29136</v>
      </c>
      <c r="BO978" s="96" t="str">
        <f>HYPERLINK("https://twitter.com/urtado_cesar")</f>
        <v>https://twitter.com/urtado_cesar</v>
      </c>
      <c r="BP978" s="2"/>
    </row>
    <row r="979" spans="1:68" x14ac:dyDescent="0.25">
      <c r="A979" s="63" t="s">
        <v>1054</v>
      </c>
      <c r="B979" s="64"/>
      <c r="C979" s="64"/>
      <c r="D979" s="65"/>
      <c r="E979" s="67"/>
      <c r="F979" s="111" t="str">
        <f>HYPERLINK("https://pbs.twimg.com/profile_images/1488083579355779074/bLc3qQlo_normal.png")</f>
        <v>https://pbs.twimg.com/profile_images/1488083579355779074/bLc3qQlo_normal.png</v>
      </c>
      <c r="G979" s="64"/>
      <c r="H979" s="68"/>
      <c r="I979" s="69"/>
      <c r="J979" s="69"/>
      <c r="K979" s="68" t="s">
        <v>30112</v>
      </c>
      <c r="L979" s="72"/>
      <c r="M979" s="73"/>
      <c r="N979" s="73"/>
      <c r="O979" s="74"/>
      <c r="P979" s="75"/>
      <c r="Q979" s="75"/>
      <c r="R979" s="102"/>
      <c r="S979" s="102"/>
      <c r="T979" s="102"/>
      <c r="U979" s="102"/>
      <c r="V979" s="48"/>
      <c r="W979" s="48"/>
      <c r="X979" s="48"/>
      <c r="Y979" s="48"/>
      <c r="Z979" s="47"/>
      <c r="AA979" s="70">
        <v>979</v>
      </c>
      <c r="AB979" s="70"/>
      <c r="AC979" s="71"/>
      <c r="AD979" s="86" t="s">
        <v>24587</v>
      </c>
      <c r="AE979" s="94" t="s">
        <v>23266</v>
      </c>
      <c r="AF979" s="86">
        <v>57</v>
      </c>
      <c r="AG979" s="86">
        <v>1</v>
      </c>
      <c r="AH979" s="86">
        <v>825</v>
      </c>
      <c r="AI979" s="86">
        <v>0</v>
      </c>
      <c r="AJ979" s="86">
        <v>15</v>
      </c>
      <c r="AK979" s="86">
        <v>101</v>
      </c>
      <c r="AL979" s="86" t="b">
        <v>0</v>
      </c>
      <c r="AM979" s="89">
        <v>44592.397916666669</v>
      </c>
      <c r="AN979" s="86"/>
      <c r="AO979" s="86" t="s">
        <v>27316</v>
      </c>
      <c r="AP979" s="96" t="str">
        <f>HYPERLINK("https://t.co/GVotCObdiG")</f>
        <v>https://t.co/GVotCObdiG</v>
      </c>
      <c r="AQ979" s="96" t="str">
        <f>HYPERLINK("https://bit.ly/36fBBCu")</f>
        <v>https://bit.ly/36fBBCu</v>
      </c>
      <c r="AR979" s="86" t="s">
        <v>28556</v>
      </c>
      <c r="AS979" s="86"/>
      <c r="AT979" s="86"/>
      <c r="AU979" s="86"/>
      <c r="AV979" s="86"/>
      <c r="AW979" s="96" t="str">
        <f>HYPERLINK("https://t.co/GVotCObdiG")</f>
        <v>https://t.co/GVotCObdiG</v>
      </c>
      <c r="AX979" s="86" t="b">
        <v>0</v>
      </c>
      <c r="AY979" s="86"/>
      <c r="AZ979" s="86"/>
      <c r="BA979" s="86" t="b">
        <v>0</v>
      </c>
      <c r="BB979" s="86" t="b">
        <v>1</v>
      </c>
      <c r="BC979" s="86" t="b">
        <v>1</v>
      </c>
      <c r="BD979" s="86" t="b">
        <v>0</v>
      </c>
      <c r="BE979" s="86" t="b">
        <v>0</v>
      </c>
      <c r="BF979" s="86" t="b">
        <v>0</v>
      </c>
      <c r="BG979" s="86" t="b">
        <v>0</v>
      </c>
      <c r="BH979" s="96" t="str">
        <f>HYPERLINK("https://pbs.twimg.com/profile_banners/1488082842189975553/1644490090")</f>
        <v>https://pbs.twimg.com/profile_banners/1488082842189975553/1644490090</v>
      </c>
      <c r="BI979" s="86"/>
      <c r="BJ979" s="86" t="s">
        <v>29134</v>
      </c>
      <c r="BK979" s="86" t="b">
        <v>0</v>
      </c>
      <c r="BL979" s="86"/>
      <c r="BM979" s="86" t="s">
        <v>66</v>
      </c>
      <c r="BN979" s="86" t="s">
        <v>29136</v>
      </c>
      <c r="BO979" s="96" t="str">
        <f>HYPERLINK("https://twitter.com/iqoption_pt")</f>
        <v>https://twitter.com/iqoption_pt</v>
      </c>
      <c r="BP979" s="2"/>
    </row>
    <row r="980" spans="1:68" x14ac:dyDescent="0.25">
      <c r="A980" s="63" t="s">
        <v>1055</v>
      </c>
      <c r="B980" s="64"/>
      <c r="C980" s="64"/>
      <c r="D980" s="65"/>
      <c r="E980" s="67"/>
      <c r="F980" s="111" t="str">
        <f>HYPERLINK("https://pbs.twimg.com/profile_images/1126558090571276288/qnfdKR_c_normal.jpg")</f>
        <v>https://pbs.twimg.com/profile_images/1126558090571276288/qnfdKR_c_normal.jpg</v>
      </c>
      <c r="G980" s="64"/>
      <c r="H980" s="68"/>
      <c r="I980" s="69"/>
      <c r="J980" s="69"/>
      <c r="K980" s="68" t="s">
        <v>30113</v>
      </c>
      <c r="L980" s="72"/>
      <c r="M980" s="73"/>
      <c r="N980" s="73"/>
      <c r="O980" s="74"/>
      <c r="P980" s="75"/>
      <c r="Q980" s="75"/>
      <c r="R980" s="102"/>
      <c r="S980" s="102"/>
      <c r="T980" s="102"/>
      <c r="U980" s="102"/>
      <c r="V980" s="48"/>
      <c r="W980" s="48"/>
      <c r="X980" s="48"/>
      <c r="Y980" s="48"/>
      <c r="Z980" s="47"/>
      <c r="AA980" s="70">
        <v>980</v>
      </c>
      <c r="AB980" s="70"/>
      <c r="AC980" s="71"/>
      <c r="AD980" s="86" t="s">
        <v>24588</v>
      </c>
      <c r="AE980" s="94" t="s">
        <v>23267</v>
      </c>
      <c r="AF980" s="86">
        <v>1869</v>
      </c>
      <c r="AG980" s="86">
        <v>28</v>
      </c>
      <c r="AH980" s="86">
        <v>916</v>
      </c>
      <c r="AI980" s="86">
        <v>2</v>
      </c>
      <c r="AJ980" s="86">
        <v>30</v>
      </c>
      <c r="AK980" s="86">
        <v>245</v>
      </c>
      <c r="AL980" s="86" t="b">
        <v>0</v>
      </c>
      <c r="AM980" s="89">
        <v>43579.943078703705</v>
      </c>
      <c r="AN980" s="86"/>
      <c r="AO980" s="86" t="s">
        <v>27317</v>
      </c>
      <c r="AP980" s="96" t="str">
        <f>HYPERLINK("https://t.co/xVJbDvUnMS")</f>
        <v>https://t.co/xVJbDvUnMS</v>
      </c>
      <c r="AQ980" s="96" t="str">
        <f>HYPERLINK("http://www.trilhacerta.com")</f>
        <v>http://www.trilhacerta.com</v>
      </c>
      <c r="AR980" s="86" t="s">
        <v>28557</v>
      </c>
      <c r="AS980" s="86"/>
      <c r="AT980" s="86"/>
      <c r="AU980" s="86"/>
      <c r="AV980" s="86"/>
      <c r="AW980" s="96" t="str">
        <f>HYPERLINK("https://t.co/xVJbDvUnMS")</f>
        <v>https://t.co/xVJbDvUnMS</v>
      </c>
      <c r="AX980" s="86" t="b">
        <v>0</v>
      </c>
      <c r="AY980" s="86"/>
      <c r="AZ980" s="86"/>
      <c r="BA980" s="86" t="b">
        <v>0</v>
      </c>
      <c r="BB980" s="86" t="b">
        <v>1</v>
      </c>
      <c r="BC980" s="86" t="b">
        <v>1</v>
      </c>
      <c r="BD980" s="86" t="b">
        <v>0</v>
      </c>
      <c r="BE980" s="86" t="b">
        <v>1</v>
      </c>
      <c r="BF980" s="86" t="b">
        <v>0</v>
      </c>
      <c r="BG980" s="86" t="b">
        <v>0</v>
      </c>
      <c r="BH980" s="96" t="str">
        <f>HYPERLINK("https://pbs.twimg.com/profile_banners/1121181531593113601/1557427355")</f>
        <v>https://pbs.twimg.com/profile_banners/1121181531593113601/1557427355</v>
      </c>
      <c r="BI980" s="86"/>
      <c r="BJ980" s="86" t="s">
        <v>29134</v>
      </c>
      <c r="BK980" s="86" t="b">
        <v>0</v>
      </c>
      <c r="BL980" s="86"/>
      <c r="BM980" s="86" t="s">
        <v>66</v>
      </c>
      <c r="BN980" s="86" t="s">
        <v>29136</v>
      </c>
      <c r="BO980" s="96" t="str">
        <f>HYPERLINK("https://twitter.com/santoscancio")</f>
        <v>https://twitter.com/santoscancio</v>
      </c>
      <c r="BP980" s="2"/>
    </row>
    <row r="981" spans="1:68" x14ac:dyDescent="0.25">
      <c r="A981" s="63" t="s">
        <v>1056</v>
      </c>
      <c r="B981" s="64"/>
      <c r="C981" s="64"/>
      <c r="D981" s="65"/>
      <c r="E981" s="67"/>
      <c r="F981" s="111" t="str">
        <f>HYPERLINK("https://pbs.twimg.com/profile_images/1641174314123763719/EDSm7Obx_normal.jpg")</f>
        <v>https://pbs.twimg.com/profile_images/1641174314123763719/EDSm7Obx_normal.jpg</v>
      </c>
      <c r="G981" s="64"/>
      <c r="H981" s="68"/>
      <c r="I981" s="69"/>
      <c r="J981" s="69"/>
      <c r="K981" s="68" t="s">
        <v>30114</v>
      </c>
      <c r="L981" s="72"/>
      <c r="M981" s="73"/>
      <c r="N981" s="73"/>
      <c r="O981" s="74"/>
      <c r="P981" s="75"/>
      <c r="Q981" s="75"/>
      <c r="R981" s="102"/>
      <c r="S981" s="102"/>
      <c r="T981" s="102"/>
      <c r="U981" s="102"/>
      <c r="V981" s="48"/>
      <c r="W981" s="48"/>
      <c r="X981" s="48"/>
      <c r="Y981" s="48"/>
      <c r="Z981" s="47"/>
      <c r="AA981" s="70">
        <v>981</v>
      </c>
      <c r="AB981" s="70"/>
      <c r="AC981" s="71"/>
      <c r="AD981" s="86" t="s">
        <v>24589</v>
      </c>
      <c r="AE981" s="94" t="s">
        <v>23268</v>
      </c>
      <c r="AF981" s="86">
        <v>6</v>
      </c>
      <c r="AG981" s="86">
        <v>1</v>
      </c>
      <c r="AH981" s="86">
        <v>65</v>
      </c>
      <c r="AI981" s="86">
        <v>0</v>
      </c>
      <c r="AJ981" s="86">
        <v>0</v>
      </c>
      <c r="AK981" s="86">
        <v>41</v>
      </c>
      <c r="AL981" s="86" t="b">
        <v>0</v>
      </c>
      <c r="AM981" s="89">
        <v>45014.837847222225</v>
      </c>
      <c r="AN981" s="86"/>
      <c r="AO981" s="86" t="s">
        <v>27318</v>
      </c>
      <c r="AP981" s="86"/>
      <c r="AQ981" s="86"/>
      <c r="AR981" s="86"/>
      <c r="AS981" s="86"/>
      <c r="AT981" s="86"/>
      <c r="AU981" s="86"/>
      <c r="AV981" s="86"/>
      <c r="AW981" s="86"/>
      <c r="AX981" s="86" t="b">
        <v>0</v>
      </c>
      <c r="AY981" s="86"/>
      <c r="AZ981" s="86"/>
      <c r="BA981" s="86" t="b">
        <v>0</v>
      </c>
      <c r="BB981" s="86" t="b">
        <v>1</v>
      </c>
      <c r="BC981" s="86" t="b">
        <v>1</v>
      </c>
      <c r="BD981" s="86" t="b">
        <v>0</v>
      </c>
      <c r="BE981" s="86" t="b">
        <v>0</v>
      </c>
      <c r="BF981" s="86" t="b">
        <v>0</v>
      </c>
      <c r="BG981" s="86" t="b">
        <v>0</v>
      </c>
      <c r="BH981" s="96" t="str">
        <f>HYPERLINK("https://pbs.twimg.com/profile_banners/1641169930312720385/1681994610")</f>
        <v>https://pbs.twimg.com/profile_banners/1641169930312720385/1681994610</v>
      </c>
      <c r="BI981" s="86"/>
      <c r="BJ981" s="86" t="s">
        <v>29134</v>
      </c>
      <c r="BK981" s="86" t="b">
        <v>0</v>
      </c>
      <c r="BL981" s="86"/>
      <c r="BM981" s="86" t="s">
        <v>66</v>
      </c>
      <c r="BN981" s="86" t="s">
        <v>29136</v>
      </c>
      <c r="BO981" s="96" t="str">
        <f>HYPERLINK("https://twitter.com/liibebox")</f>
        <v>https://twitter.com/liibebox</v>
      </c>
      <c r="BP981" s="2"/>
    </row>
    <row r="982" spans="1:68" x14ac:dyDescent="0.25">
      <c r="A982" s="63" t="s">
        <v>1057</v>
      </c>
      <c r="B982" s="64"/>
      <c r="C982" s="64"/>
      <c r="D982" s="65"/>
      <c r="E982" s="67"/>
      <c r="F982" s="111" t="str">
        <f>HYPERLINK("https://pbs.twimg.com/profile_images/1518922002643496961/2jUVnPIg_normal.jpg")</f>
        <v>https://pbs.twimg.com/profile_images/1518922002643496961/2jUVnPIg_normal.jpg</v>
      </c>
      <c r="G982" s="64"/>
      <c r="H982" s="68"/>
      <c r="I982" s="69"/>
      <c r="J982" s="69"/>
      <c r="K982" s="68" t="s">
        <v>30115</v>
      </c>
      <c r="L982" s="72"/>
      <c r="M982" s="73"/>
      <c r="N982" s="73"/>
      <c r="O982" s="74"/>
      <c r="P982" s="75"/>
      <c r="Q982" s="75"/>
      <c r="R982" s="102"/>
      <c r="S982" s="102"/>
      <c r="T982" s="102"/>
      <c r="U982" s="102"/>
      <c r="V982" s="48"/>
      <c r="W982" s="48"/>
      <c r="X982" s="48"/>
      <c r="Y982" s="48"/>
      <c r="Z982" s="47"/>
      <c r="AA982" s="70">
        <v>982</v>
      </c>
      <c r="AB982" s="70"/>
      <c r="AC982" s="71"/>
      <c r="AD982" s="86" t="s">
        <v>24590</v>
      </c>
      <c r="AE982" s="94" t="s">
        <v>25616</v>
      </c>
      <c r="AF982" s="86">
        <v>311</v>
      </c>
      <c r="AG982" s="86">
        <v>301</v>
      </c>
      <c r="AH982" s="86">
        <v>1028</v>
      </c>
      <c r="AI982" s="86">
        <v>10</v>
      </c>
      <c r="AJ982" s="86">
        <v>199</v>
      </c>
      <c r="AK982" s="86">
        <v>132</v>
      </c>
      <c r="AL982" s="86" t="b">
        <v>0</v>
      </c>
      <c r="AM982" s="89">
        <v>39885.943865740737</v>
      </c>
      <c r="AN982" s="86" t="s">
        <v>26230</v>
      </c>
      <c r="AO982" s="86" t="s">
        <v>27319</v>
      </c>
      <c r="AP982" s="96" t="str">
        <f>HYPERLINK("https://t.co/sVQSffSoIK")</f>
        <v>https://t.co/sVQSffSoIK</v>
      </c>
      <c r="AQ982" s="96" t="str">
        <f>HYPERLINK("https://www.linkedin.com/in/alejandrodicovsky/")</f>
        <v>https://www.linkedin.com/in/alejandrodicovsky/</v>
      </c>
      <c r="AR982" s="86" t="s">
        <v>28558</v>
      </c>
      <c r="AS982" s="96" t="str">
        <f>HYPERLINK("https://t.co/ajCrBLU6NK")</f>
        <v>https://t.co/ajCrBLU6NK</v>
      </c>
      <c r="AT982" s="96" t="str">
        <f>HYPERLINK("http://bit.ly/PapoRetoAleDicovsky")</f>
        <v>http://bit.ly/PapoRetoAleDicovsky</v>
      </c>
      <c r="AU982" s="86" t="s">
        <v>29097</v>
      </c>
      <c r="AV982" s="86"/>
      <c r="AW982" s="96" t="str">
        <f>HYPERLINK("https://t.co/sVQSffSoIK")</f>
        <v>https://t.co/sVQSffSoIK</v>
      </c>
      <c r="AX982" s="86" t="b">
        <v>0</v>
      </c>
      <c r="AY982" s="86"/>
      <c r="AZ982" s="86"/>
      <c r="BA982" s="86" t="b">
        <v>0</v>
      </c>
      <c r="BB982" s="86" t="b">
        <v>0</v>
      </c>
      <c r="BC982" s="86" t="b">
        <v>0</v>
      </c>
      <c r="BD982" s="86" t="b">
        <v>0</v>
      </c>
      <c r="BE982" s="86" t="b">
        <v>0</v>
      </c>
      <c r="BF982" s="86" t="b">
        <v>0</v>
      </c>
      <c r="BG982" s="86" t="b">
        <v>0</v>
      </c>
      <c r="BH982" s="96" t="str">
        <f>HYPERLINK("https://pbs.twimg.com/profile_banners/24271783/1654000767")</f>
        <v>https://pbs.twimg.com/profile_banners/24271783/1654000767</v>
      </c>
      <c r="BI982" s="86"/>
      <c r="BJ982" s="86" t="s">
        <v>29134</v>
      </c>
      <c r="BK982" s="86" t="b">
        <v>0</v>
      </c>
      <c r="BL982" s="86"/>
      <c r="BM982" s="86" t="s">
        <v>66</v>
      </c>
      <c r="BN982" s="86" t="s">
        <v>29136</v>
      </c>
      <c r="BO982" s="96" t="str">
        <f>HYPERLINK("https://twitter.com/alejodicovsky")</f>
        <v>https://twitter.com/alejodicovsky</v>
      </c>
      <c r="BP982" s="2"/>
    </row>
    <row r="983" spans="1:68" x14ac:dyDescent="0.25">
      <c r="A983" s="63" t="s">
        <v>1750</v>
      </c>
      <c r="B983" s="64"/>
      <c r="C983" s="64"/>
      <c r="D983" s="65"/>
      <c r="E983" s="67"/>
      <c r="F983" s="111" t="str">
        <f>HYPERLINK("https://pbs.twimg.com/profile_images/482611536704196608/UWXcBtDc_normal.jpeg")</f>
        <v>https://pbs.twimg.com/profile_images/482611536704196608/UWXcBtDc_normal.jpeg</v>
      </c>
      <c r="G983" s="64"/>
      <c r="H983" s="68"/>
      <c r="I983" s="69"/>
      <c r="J983" s="69"/>
      <c r="K983" s="68" t="s">
        <v>30116</v>
      </c>
      <c r="L983" s="72"/>
      <c r="M983" s="73"/>
      <c r="N983" s="73"/>
      <c r="O983" s="74"/>
      <c r="P983" s="75"/>
      <c r="Q983" s="75"/>
      <c r="R983" s="102"/>
      <c r="S983" s="102"/>
      <c r="T983" s="102"/>
      <c r="U983" s="102"/>
      <c r="V983" s="48"/>
      <c r="W983" s="48"/>
      <c r="X983" s="48"/>
      <c r="Y983" s="48"/>
      <c r="Z983" s="47"/>
      <c r="AA983" s="70">
        <v>983</v>
      </c>
      <c r="AB983" s="70"/>
      <c r="AC983" s="71"/>
      <c r="AD983" s="86" t="s">
        <v>24591</v>
      </c>
      <c r="AE983" s="94" t="s">
        <v>25617</v>
      </c>
      <c r="AF983" s="86">
        <v>128</v>
      </c>
      <c r="AG983" s="86">
        <v>0</v>
      </c>
      <c r="AH983" s="86">
        <v>81</v>
      </c>
      <c r="AI983" s="86">
        <v>1</v>
      </c>
      <c r="AJ983" s="86">
        <v>3</v>
      </c>
      <c r="AK983" s="86">
        <v>15</v>
      </c>
      <c r="AL983" s="86" t="b">
        <v>0</v>
      </c>
      <c r="AM983" s="89">
        <v>41817.818912037037</v>
      </c>
      <c r="AN983" s="86"/>
      <c r="AO983" s="86" t="s">
        <v>27320</v>
      </c>
      <c r="AP983" s="86"/>
      <c r="AQ983" s="86"/>
      <c r="AR983" s="86"/>
      <c r="AS983" s="86"/>
      <c r="AT983" s="86"/>
      <c r="AU983" s="86"/>
      <c r="AV983" s="86"/>
      <c r="AW983" s="86"/>
      <c r="AX983" s="86" t="b">
        <v>0</v>
      </c>
      <c r="AY983" s="86"/>
      <c r="AZ983" s="86"/>
      <c r="BA983" s="86" t="b">
        <v>0</v>
      </c>
      <c r="BB983" s="86" t="b">
        <v>1</v>
      </c>
      <c r="BC983" s="86" t="b">
        <v>1</v>
      </c>
      <c r="BD983" s="86" t="b">
        <v>0</v>
      </c>
      <c r="BE983" s="86" t="b">
        <v>0</v>
      </c>
      <c r="BF983" s="86" t="b">
        <v>0</v>
      </c>
      <c r="BG983" s="86" t="b">
        <v>0</v>
      </c>
      <c r="BH983" s="86"/>
      <c r="BI983" s="86"/>
      <c r="BJ983" s="86" t="s">
        <v>29134</v>
      </c>
      <c r="BK983" s="86" t="b">
        <v>0</v>
      </c>
      <c r="BL983" s="86"/>
      <c r="BM983" s="86" t="s">
        <v>65</v>
      </c>
      <c r="BN983" s="86" t="s">
        <v>29136</v>
      </c>
      <c r="BO983" s="96" t="str">
        <f>HYPERLINK("https://twitter.com/bernardozamijov")</f>
        <v>https://twitter.com/bernardozamijov</v>
      </c>
      <c r="BP983" s="2"/>
    </row>
    <row r="984" spans="1:68" x14ac:dyDescent="0.25">
      <c r="A984" s="63" t="s">
        <v>1058</v>
      </c>
      <c r="B984" s="64"/>
      <c r="C984" s="64"/>
      <c r="D984" s="65"/>
      <c r="E984" s="67"/>
      <c r="F984" s="111" t="str">
        <f>HYPERLINK("https://pbs.twimg.com/profile_images/1261635740972265477/zeIC9qlw_normal.jpg")</f>
        <v>https://pbs.twimg.com/profile_images/1261635740972265477/zeIC9qlw_normal.jpg</v>
      </c>
      <c r="G984" s="64"/>
      <c r="H984" s="68"/>
      <c r="I984" s="69"/>
      <c r="J984" s="69"/>
      <c r="K984" s="68" t="s">
        <v>30117</v>
      </c>
      <c r="L984" s="72"/>
      <c r="M984" s="73"/>
      <c r="N984" s="73"/>
      <c r="O984" s="74"/>
      <c r="P984" s="75"/>
      <c r="Q984" s="75"/>
      <c r="R984" s="102"/>
      <c r="S984" s="102"/>
      <c r="T984" s="102"/>
      <c r="U984" s="102"/>
      <c r="V984" s="48"/>
      <c r="W984" s="48"/>
      <c r="X984" s="48"/>
      <c r="Y984" s="48"/>
      <c r="Z984" s="47"/>
      <c r="AA984" s="70">
        <v>984</v>
      </c>
      <c r="AB984" s="70"/>
      <c r="AC984" s="71"/>
      <c r="AD984" s="86" t="s">
        <v>24592</v>
      </c>
      <c r="AE984" s="94" t="s">
        <v>23269</v>
      </c>
      <c r="AF984" s="86">
        <v>859</v>
      </c>
      <c r="AG984" s="86">
        <v>464</v>
      </c>
      <c r="AH984" s="86">
        <v>4302</v>
      </c>
      <c r="AI984" s="86">
        <v>1</v>
      </c>
      <c r="AJ984" s="86">
        <v>45</v>
      </c>
      <c r="AK984" s="86">
        <v>4194</v>
      </c>
      <c r="AL984" s="86" t="b">
        <v>0</v>
      </c>
      <c r="AM984" s="89">
        <v>43959.853206018517</v>
      </c>
      <c r="AN984" s="86"/>
      <c r="AO984" s="86" t="s">
        <v>27321</v>
      </c>
      <c r="AP984" s="96" t="str">
        <f>HYPERLINK("https://t.co/9a4qcvpAyT")</f>
        <v>https://t.co/9a4qcvpAyT</v>
      </c>
      <c r="AQ984" s="96" t="str">
        <f>HYPERLINK("http://www.serraempauta.com")</f>
        <v>http://www.serraempauta.com</v>
      </c>
      <c r="AR984" s="86" t="s">
        <v>28559</v>
      </c>
      <c r="AS984" s="86"/>
      <c r="AT984" s="86"/>
      <c r="AU984" s="86"/>
      <c r="AV984" s="86"/>
      <c r="AW984" s="96" t="str">
        <f>HYPERLINK("https://t.co/9a4qcvpAyT")</f>
        <v>https://t.co/9a4qcvpAyT</v>
      </c>
      <c r="AX984" s="86" t="b">
        <v>0</v>
      </c>
      <c r="AY984" s="86"/>
      <c r="AZ984" s="86"/>
      <c r="BA984" s="86" t="b">
        <v>0</v>
      </c>
      <c r="BB984" s="86" t="b">
        <v>1</v>
      </c>
      <c r="BC984" s="86" t="b">
        <v>1</v>
      </c>
      <c r="BD984" s="86" t="b">
        <v>0</v>
      </c>
      <c r="BE984" s="86" t="b">
        <v>0</v>
      </c>
      <c r="BF984" s="86" t="b">
        <v>0</v>
      </c>
      <c r="BG984" s="86" t="b">
        <v>0</v>
      </c>
      <c r="BH984" s="96" t="str">
        <f>HYPERLINK("https://pbs.twimg.com/profile_banners/1258856256204419077/1589648942")</f>
        <v>https://pbs.twimg.com/profile_banners/1258856256204419077/1589648942</v>
      </c>
      <c r="BI984" s="86"/>
      <c r="BJ984" s="86" t="s">
        <v>29134</v>
      </c>
      <c r="BK984" s="86" t="b">
        <v>0</v>
      </c>
      <c r="BL984" s="86"/>
      <c r="BM984" s="86" t="s">
        <v>66</v>
      </c>
      <c r="BN984" s="86" t="s">
        <v>29136</v>
      </c>
      <c r="BO984" s="96" t="str">
        <f>HYPERLINK("https://twitter.com/serraempauta")</f>
        <v>https://twitter.com/serraempauta</v>
      </c>
      <c r="BP984" s="2"/>
    </row>
    <row r="985" spans="1:68" x14ac:dyDescent="0.25">
      <c r="A985" s="63" t="s">
        <v>1059</v>
      </c>
      <c r="B985" s="64"/>
      <c r="C985" s="64"/>
      <c r="D985" s="65"/>
      <c r="E985" s="67"/>
      <c r="F985" s="111" t="str">
        <f>HYPERLINK("https://pbs.twimg.com/profile_images/1689280219834621956/XLiZ2Xwd_normal.jpg")</f>
        <v>https://pbs.twimg.com/profile_images/1689280219834621956/XLiZ2Xwd_normal.jpg</v>
      </c>
      <c r="G985" s="64"/>
      <c r="H985" s="68"/>
      <c r="I985" s="69"/>
      <c r="J985" s="69"/>
      <c r="K985" s="68" t="s">
        <v>30118</v>
      </c>
      <c r="L985" s="72"/>
      <c r="M985" s="73"/>
      <c r="N985" s="73"/>
      <c r="O985" s="74"/>
      <c r="P985" s="75"/>
      <c r="Q985" s="75"/>
      <c r="R985" s="102"/>
      <c r="S985" s="102"/>
      <c r="T985" s="102"/>
      <c r="U985" s="102"/>
      <c r="V985" s="48"/>
      <c r="W985" s="48"/>
      <c r="X985" s="48"/>
      <c r="Y985" s="48"/>
      <c r="Z985" s="47"/>
      <c r="AA985" s="70">
        <v>985</v>
      </c>
      <c r="AB985" s="70"/>
      <c r="AC985" s="71"/>
      <c r="AD985" s="86" t="s">
        <v>24593</v>
      </c>
      <c r="AE985" s="94" t="s">
        <v>23270</v>
      </c>
      <c r="AF985" s="86">
        <v>9</v>
      </c>
      <c r="AG985" s="86">
        <v>11</v>
      </c>
      <c r="AH985" s="86">
        <v>38</v>
      </c>
      <c r="AI985" s="86">
        <v>0</v>
      </c>
      <c r="AJ985" s="86">
        <v>36</v>
      </c>
      <c r="AK985" s="86">
        <v>16</v>
      </c>
      <c r="AL985" s="86" t="b">
        <v>0</v>
      </c>
      <c r="AM985" s="89">
        <v>44804.130868055552</v>
      </c>
      <c r="AN985" s="86" t="s">
        <v>15240</v>
      </c>
      <c r="AO985" s="86" t="s">
        <v>27322</v>
      </c>
      <c r="AP985" s="96" t="str">
        <f>HYPERLINK("https://t.co/zXDSrPgY5v")</f>
        <v>https://t.co/zXDSrPgY5v</v>
      </c>
      <c r="AQ985" s="96" t="str">
        <f>HYPERLINK("http://mbstcomunicacao.com")</f>
        <v>http://mbstcomunicacao.com</v>
      </c>
      <c r="AR985" s="86" t="s">
        <v>28560</v>
      </c>
      <c r="AS985" s="86"/>
      <c r="AT985" s="86"/>
      <c r="AU985" s="86"/>
      <c r="AV985" s="86"/>
      <c r="AW985" s="96" t="str">
        <f>HYPERLINK("https://t.co/zXDSrPgY5v")</f>
        <v>https://t.co/zXDSrPgY5v</v>
      </c>
      <c r="AX985" s="86" t="b">
        <v>0</v>
      </c>
      <c r="AY985" s="86"/>
      <c r="AZ985" s="86"/>
      <c r="BA985" s="86" t="b">
        <v>1</v>
      </c>
      <c r="BB985" s="86" t="b">
        <v>1</v>
      </c>
      <c r="BC985" s="86" t="b">
        <v>1</v>
      </c>
      <c r="BD985" s="86" t="b">
        <v>0</v>
      </c>
      <c r="BE985" s="86" t="b">
        <v>0</v>
      </c>
      <c r="BF985" s="86" t="b">
        <v>0</v>
      </c>
      <c r="BG985" s="86" t="b">
        <v>0</v>
      </c>
      <c r="BH985" s="96" t="str">
        <f>HYPERLINK("https://pbs.twimg.com/profile_banners/1564812284647571459/1680137981")</f>
        <v>https://pbs.twimg.com/profile_banners/1564812284647571459/1680137981</v>
      </c>
      <c r="BI985" s="86"/>
      <c r="BJ985" s="86" t="s">
        <v>29134</v>
      </c>
      <c r="BK985" s="86" t="b">
        <v>0</v>
      </c>
      <c r="BL985" s="86"/>
      <c r="BM985" s="86" t="s">
        <v>66</v>
      </c>
      <c r="BN985" s="86" t="s">
        <v>29136</v>
      </c>
      <c r="BO985" s="96" t="str">
        <f>HYPERLINK("https://twitter.com/omatheusbonitao")</f>
        <v>https://twitter.com/omatheusbonitao</v>
      </c>
      <c r="BP985" s="2"/>
    </row>
    <row r="986" spans="1:68" x14ac:dyDescent="0.25">
      <c r="A986" s="63" t="s">
        <v>1060</v>
      </c>
      <c r="B986" s="64"/>
      <c r="C986" s="64"/>
      <c r="D986" s="65"/>
      <c r="E986" s="67"/>
      <c r="F986" s="111" t="str">
        <f>HYPERLINK("https://pbs.twimg.com/profile_images/1706284825378729984/f65IrMIw_normal.jpg")</f>
        <v>https://pbs.twimg.com/profile_images/1706284825378729984/f65IrMIw_normal.jpg</v>
      </c>
      <c r="G986" s="64"/>
      <c r="H986" s="68"/>
      <c r="I986" s="69"/>
      <c r="J986" s="69"/>
      <c r="K986" s="68" t="s">
        <v>30119</v>
      </c>
      <c r="L986" s="72"/>
      <c r="M986" s="73"/>
      <c r="N986" s="73"/>
      <c r="O986" s="74"/>
      <c r="P986" s="75"/>
      <c r="Q986" s="75"/>
      <c r="R986" s="102"/>
      <c r="S986" s="102"/>
      <c r="T986" s="102"/>
      <c r="U986" s="102"/>
      <c r="V986" s="48"/>
      <c r="W986" s="48"/>
      <c r="X986" s="48"/>
      <c r="Y986" s="48"/>
      <c r="Z986" s="47"/>
      <c r="AA986" s="70">
        <v>986</v>
      </c>
      <c r="AB986" s="70"/>
      <c r="AC986" s="71"/>
      <c r="AD986" s="86" t="s">
        <v>24594</v>
      </c>
      <c r="AE986" s="94" t="s">
        <v>25618</v>
      </c>
      <c r="AF986" s="86">
        <v>421</v>
      </c>
      <c r="AG986" s="86">
        <v>200</v>
      </c>
      <c r="AH986" s="86">
        <v>3890</v>
      </c>
      <c r="AI986" s="86">
        <v>3</v>
      </c>
      <c r="AJ986" s="86">
        <v>10048</v>
      </c>
      <c r="AK986" s="86">
        <v>702</v>
      </c>
      <c r="AL986" s="86" t="b">
        <v>0</v>
      </c>
      <c r="AM986" s="89">
        <v>41940.930972222224</v>
      </c>
      <c r="AN986" s="86" t="s">
        <v>15240</v>
      </c>
      <c r="AO986" s="86" t="s">
        <v>27323</v>
      </c>
      <c r="AP986" s="96" t="str">
        <f>HYPERLINK("https://t.co/sUzN7j6K9v")</f>
        <v>https://t.co/sUzN7j6K9v</v>
      </c>
      <c r="AQ986" s="96" t="str">
        <f>HYPERLINK("https://linktr.ee/trilios.brasil")</f>
        <v>https://linktr.ee/trilios.brasil</v>
      </c>
      <c r="AR986" s="86" t="s">
        <v>28561</v>
      </c>
      <c r="AS986" s="86"/>
      <c r="AT986" s="86"/>
      <c r="AU986" s="86"/>
      <c r="AV986" s="86"/>
      <c r="AW986" s="96" t="str">
        <f>HYPERLINK("https://t.co/sUzN7j6K9v")</f>
        <v>https://t.co/sUzN7j6K9v</v>
      </c>
      <c r="AX986" s="86" t="b">
        <v>0</v>
      </c>
      <c r="AY986" s="86"/>
      <c r="AZ986" s="86"/>
      <c r="BA986" s="86" t="b">
        <v>0</v>
      </c>
      <c r="BB986" s="86" t="b">
        <v>1</v>
      </c>
      <c r="BC986" s="86" t="b">
        <v>1</v>
      </c>
      <c r="BD986" s="86" t="b">
        <v>0</v>
      </c>
      <c r="BE986" s="86" t="b">
        <v>1</v>
      </c>
      <c r="BF986" s="86" t="b">
        <v>0</v>
      </c>
      <c r="BG986" s="86" t="b">
        <v>0</v>
      </c>
      <c r="BH986" s="96" t="str">
        <f>HYPERLINK("https://pbs.twimg.com/profile_banners/2881275026/1473475153")</f>
        <v>https://pbs.twimg.com/profile_banners/2881275026/1473475153</v>
      </c>
      <c r="BI986" s="86"/>
      <c r="BJ986" s="86" t="s">
        <v>29134</v>
      </c>
      <c r="BK986" s="86" t="b">
        <v>0</v>
      </c>
      <c r="BL986" s="86"/>
      <c r="BM986" s="86" t="s">
        <v>66</v>
      </c>
      <c r="BN986" s="86" t="s">
        <v>29136</v>
      </c>
      <c r="BO986" s="96" t="str">
        <f>HYPERLINK("https://twitter.com/viniciusown")</f>
        <v>https://twitter.com/viniciusown</v>
      </c>
      <c r="BP986" s="2"/>
    </row>
    <row r="987" spans="1:68" x14ac:dyDescent="0.25">
      <c r="A987" s="63" t="s">
        <v>1061</v>
      </c>
      <c r="B987" s="64"/>
      <c r="C987" s="64"/>
      <c r="D987" s="65"/>
      <c r="E987" s="67"/>
      <c r="F987" s="111" t="str">
        <f>HYPERLINK("https://pbs.twimg.com/profile_images/1630854665440043008/FgR_C2AQ_normal.jpg")</f>
        <v>https://pbs.twimg.com/profile_images/1630854665440043008/FgR_C2AQ_normal.jpg</v>
      </c>
      <c r="G987" s="64"/>
      <c r="H987" s="68"/>
      <c r="I987" s="69"/>
      <c r="J987" s="69"/>
      <c r="K987" s="68" t="s">
        <v>30120</v>
      </c>
      <c r="L987" s="72"/>
      <c r="M987" s="73"/>
      <c r="N987" s="73"/>
      <c r="O987" s="74"/>
      <c r="P987" s="75"/>
      <c r="Q987" s="75"/>
      <c r="R987" s="102"/>
      <c r="S987" s="102"/>
      <c r="T987" s="102"/>
      <c r="U987" s="102"/>
      <c r="V987" s="48"/>
      <c r="W987" s="48"/>
      <c r="X987" s="48"/>
      <c r="Y987" s="48"/>
      <c r="Z987" s="47"/>
      <c r="AA987" s="70">
        <v>987</v>
      </c>
      <c r="AB987" s="70"/>
      <c r="AC987" s="71"/>
      <c r="AD987" s="86" t="s">
        <v>24595</v>
      </c>
      <c r="AE987" s="94" t="s">
        <v>25619</v>
      </c>
      <c r="AF987" s="86">
        <v>644</v>
      </c>
      <c r="AG987" s="86">
        <v>3114</v>
      </c>
      <c r="AH987" s="86">
        <v>8986</v>
      </c>
      <c r="AI987" s="86">
        <v>3</v>
      </c>
      <c r="AJ987" s="86">
        <v>28354</v>
      </c>
      <c r="AK987" s="86">
        <v>505</v>
      </c>
      <c r="AL987" s="86" t="b">
        <v>0</v>
      </c>
      <c r="AM987" s="89">
        <v>39963.091284722221</v>
      </c>
      <c r="AN987" s="86" t="s">
        <v>26212</v>
      </c>
      <c r="AO987" s="86" t="s">
        <v>27324</v>
      </c>
      <c r="AP987" s="96" t="str">
        <f>HYPERLINK("https://t.co/VPycFgcuUg")</f>
        <v>https://t.co/VPycFgcuUg</v>
      </c>
      <c r="AQ987" s="96" t="str">
        <f>HYPERLINK("http://sandrapedroso.blogspot.com")</f>
        <v>http://sandrapedroso.blogspot.com</v>
      </c>
      <c r="AR987" s="86" t="s">
        <v>28562</v>
      </c>
      <c r="AS987" s="86"/>
      <c r="AT987" s="86"/>
      <c r="AU987" s="86"/>
      <c r="AV987" s="86"/>
      <c r="AW987" s="96" t="str">
        <f>HYPERLINK("https://t.co/VPycFgcuUg")</f>
        <v>https://t.co/VPycFgcuUg</v>
      </c>
      <c r="AX987" s="86" t="b">
        <v>0</v>
      </c>
      <c r="AY987" s="86"/>
      <c r="AZ987" s="86"/>
      <c r="BA987" s="86" t="b">
        <v>1</v>
      </c>
      <c r="BB987" s="86" t="b">
        <v>1</v>
      </c>
      <c r="BC987" s="86" t="b">
        <v>0</v>
      </c>
      <c r="BD987" s="86" t="b">
        <v>0</v>
      </c>
      <c r="BE987" s="86" t="b">
        <v>1</v>
      </c>
      <c r="BF987" s="86" t="b">
        <v>0</v>
      </c>
      <c r="BG987" s="86" t="b">
        <v>0</v>
      </c>
      <c r="BH987" s="96" t="str">
        <f>HYPERLINK("https://pbs.twimg.com/profile_banners/43459972/1677661038")</f>
        <v>https://pbs.twimg.com/profile_banners/43459972/1677661038</v>
      </c>
      <c r="BI987" s="86"/>
      <c r="BJ987" s="86" t="s">
        <v>29134</v>
      </c>
      <c r="BK987" s="86" t="b">
        <v>0</v>
      </c>
      <c r="BL987" s="86"/>
      <c r="BM987" s="86" t="s">
        <v>66</v>
      </c>
      <c r="BN987" s="86" t="s">
        <v>29136</v>
      </c>
      <c r="BO987" s="96" t="str">
        <f>HYPERLINK("https://twitter.com/sandrapedroso")</f>
        <v>https://twitter.com/sandrapedroso</v>
      </c>
      <c r="BP987" s="2"/>
    </row>
    <row r="988" spans="1:68" x14ac:dyDescent="0.25">
      <c r="A988" s="63" t="s">
        <v>1751</v>
      </c>
      <c r="B988" s="64"/>
      <c r="C988" s="64"/>
      <c r="D988" s="65"/>
      <c r="E988" s="67"/>
      <c r="F988" s="111" t="str">
        <f>HYPERLINK("https://pbs.twimg.com/profile_images/1357656930773311489/CEBypmc1_normal.jpg")</f>
        <v>https://pbs.twimg.com/profile_images/1357656930773311489/CEBypmc1_normal.jpg</v>
      </c>
      <c r="G988" s="64"/>
      <c r="H988" s="68"/>
      <c r="I988" s="69"/>
      <c r="J988" s="69"/>
      <c r="K988" s="68" t="s">
        <v>30121</v>
      </c>
      <c r="L988" s="72"/>
      <c r="M988" s="73"/>
      <c r="N988" s="73"/>
      <c r="O988" s="74"/>
      <c r="P988" s="75"/>
      <c r="Q988" s="75"/>
      <c r="R988" s="102"/>
      <c r="S988" s="102"/>
      <c r="T988" s="102"/>
      <c r="U988" s="102"/>
      <c r="V988" s="48"/>
      <c r="W988" s="48"/>
      <c r="X988" s="48"/>
      <c r="Y988" s="48"/>
      <c r="Z988" s="47"/>
      <c r="AA988" s="70">
        <v>988</v>
      </c>
      <c r="AB988" s="70"/>
      <c r="AC988" s="71"/>
      <c r="AD988" s="86" t="s">
        <v>24596</v>
      </c>
      <c r="AE988" s="94" t="s">
        <v>25620</v>
      </c>
      <c r="AF988" s="86">
        <v>67616</v>
      </c>
      <c r="AG988" s="86">
        <v>40</v>
      </c>
      <c r="AH988" s="86">
        <v>3337</v>
      </c>
      <c r="AI988" s="86">
        <v>681</v>
      </c>
      <c r="AJ988" s="86">
        <v>680</v>
      </c>
      <c r="AK988" s="86">
        <v>577</v>
      </c>
      <c r="AL988" s="86" t="b">
        <v>0</v>
      </c>
      <c r="AM988" s="89">
        <v>39997.087939814817</v>
      </c>
      <c r="AN988" s="86" t="s">
        <v>25914</v>
      </c>
      <c r="AO988" s="86" t="s">
        <v>27325</v>
      </c>
      <c r="AP988" s="96" t="str">
        <f>HYPERLINK("https://t.co/LMx07OkOo0")</f>
        <v>https://t.co/LMx07OkOo0</v>
      </c>
      <c r="AQ988" s="96" t="str">
        <f>HYPERLINK("https://linktr.ee/angraofficial")</f>
        <v>https://linktr.ee/angraofficial</v>
      </c>
      <c r="AR988" s="86" t="s">
        <v>28563</v>
      </c>
      <c r="AS988" s="86"/>
      <c r="AT988" s="86"/>
      <c r="AU988" s="86"/>
      <c r="AV988" s="86"/>
      <c r="AW988" s="96" t="str">
        <f>HYPERLINK("https://t.co/LMx07OkOo0")</f>
        <v>https://t.co/LMx07OkOo0</v>
      </c>
      <c r="AX988" s="86" t="b">
        <v>0</v>
      </c>
      <c r="AY988" s="86"/>
      <c r="AZ988" s="86"/>
      <c r="BA988" s="86" t="b">
        <v>0</v>
      </c>
      <c r="BB988" s="86" t="b">
        <v>1</v>
      </c>
      <c r="BC988" s="86" t="b">
        <v>0</v>
      </c>
      <c r="BD988" s="86" t="b">
        <v>0</v>
      </c>
      <c r="BE988" s="86" t="b">
        <v>0</v>
      </c>
      <c r="BF988" s="86" t="b">
        <v>0</v>
      </c>
      <c r="BG988" s="86" t="b">
        <v>0</v>
      </c>
      <c r="BH988" s="96" t="str">
        <f>HYPERLINK("https://pbs.twimg.com/profile_banners/53262205/1612526425")</f>
        <v>https://pbs.twimg.com/profile_banners/53262205/1612526425</v>
      </c>
      <c r="BI988" s="86"/>
      <c r="BJ988" s="86" t="s">
        <v>29134</v>
      </c>
      <c r="BK988" s="86" t="b">
        <v>0</v>
      </c>
      <c r="BL988" s="86"/>
      <c r="BM988" s="86" t="s">
        <v>65</v>
      </c>
      <c r="BN988" s="86" t="s">
        <v>29136</v>
      </c>
      <c r="BO988" s="96" t="str">
        <f>HYPERLINK("https://twitter.com/angraofficial")</f>
        <v>https://twitter.com/angraofficial</v>
      </c>
      <c r="BP988" s="2"/>
    </row>
    <row r="989" spans="1:68" x14ac:dyDescent="0.25">
      <c r="A989" s="63" t="s">
        <v>1752</v>
      </c>
      <c r="B989" s="64"/>
      <c r="C989" s="64"/>
      <c r="D989" s="65"/>
      <c r="E989" s="67"/>
      <c r="F989" s="111" t="str">
        <f>HYPERLINK("https://pbs.twimg.com/profile_images/1440702197180743687/maPV6Apt_normal.jpg")</f>
        <v>https://pbs.twimg.com/profile_images/1440702197180743687/maPV6Apt_normal.jpg</v>
      </c>
      <c r="G989" s="64"/>
      <c r="H989" s="68"/>
      <c r="I989" s="69"/>
      <c r="J989" s="69"/>
      <c r="K989" s="68" t="s">
        <v>30122</v>
      </c>
      <c r="L989" s="72"/>
      <c r="M989" s="73"/>
      <c r="N989" s="73"/>
      <c r="O989" s="74"/>
      <c r="P989" s="75"/>
      <c r="Q989" s="75"/>
      <c r="R989" s="102"/>
      <c r="S989" s="102"/>
      <c r="T989" s="102"/>
      <c r="U989" s="102"/>
      <c r="V989" s="48"/>
      <c r="W989" s="48"/>
      <c r="X989" s="48"/>
      <c r="Y989" s="48"/>
      <c r="Z989" s="47"/>
      <c r="AA989" s="70">
        <v>989</v>
      </c>
      <c r="AB989" s="70"/>
      <c r="AC989" s="71"/>
      <c r="AD989" s="86" t="s">
        <v>24597</v>
      </c>
      <c r="AE989" s="94" t="s">
        <v>22608</v>
      </c>
      <c r="AF989" s="86">
        <v>905366</v>
      </c>
      <c r="AG989" s="86">
        <v>17</v>
      </c>
      <c r="AH989" s="86">
        <v>133262</v>
      </c>
      <c r="AI989" s="86">
        <v>1921</v>
      </c>
      <c r="AJ989" s="86">
        <v>8</v>
      </c>
      <c r="AK989" s="86">
        <v>9045</v>
      </c>
      <c r="AL989" s="86" t="b">
        <v>0</v>
      </c>
      <c r="AM989" s="89">
        <v>39918.857916666668</v>
      </c>
      <c r="AN989" s="86"/>
      <c r="AO989" s="86" t="s">
        <v>27326</v>
      </c>
      <c r="AP989" s="96" t="str">
        <f>HYPERLINK("https://t.co/32LqdOILjF")</f>
        <v>https://t.co/32LqdOILjF</v>
      </c>
      <c r="AQ989" s="96" t="str">
        <f>HYPERLINK("http://G1.com.br/rj")</f>
        <v>http://G1.com.br/rj</v>
      </c>
      <c r="AR989" s="86" t="s">
        <v>28564</v>
      </c>
      <c r="AS989" s="86"/>
      <c r="AT989" s="86"/>
      <c r="AU989" s="86"/>
      <c r="AV989" s="86"/>
      <c r="AW989" s="96" t="str">
        <f>HYPERLINK("https://t.co/32LqdOILjF")</f>
        <v>https://t.co/32LqdOILjF</v>
      </c>
      <c r="AX989" s="86" t="b">
        <v>0</v>
      </c>
      <c r="AY989" s="86"/>
      <c r="AZ989" s="86"/>
      <c r="BA989" s="86" t="b">
        <v>0</v>
      </c>
      <c r="BB989" s="86" t="b">
        <v>1</v>
      </c>
      <c r="BC989" s="86" t="b">
        <v>1</v>
      </c>
      <c r="BD989" s="86" t="b">
        <v>0</v>
      </c>
      <c r="BE989" s="86" t="b">
        <v>0</v>
      </c>
      <c r="BF989" s="86" t="b">
        <v>0</v>
      </c>
      <c r="BG989" s="86" t="b">
        <v>0</v>
      </c>
      <c r="BH989" s="96" t="str">
        <f>HYPERLINK("https://pbs.twimg.com/profile_banners/31511871/1632325146")</f>
        <v>https://pbs.twimg.com/profile_banners/31511871/1632325146</v>
      </c>
      <c r="BI989" s="86"/>
      <c r="BJ989" s="86" t="s">
        <v>29134</v>
      </c>
      <c r="BK989" s="86" t="b">
        <v>0</v>
      </c>
      <c r="BL989" s="86"/>
      <c r="BM989" s="86" t="s">
        <v>65</v>
      </c>
      <c r="BN989" s="86" t="s">
        <v>29136</v>
      </c>
      <c r="BO989" s="96" t="str">
        <f>HYPERLINK("https://twitter.com/g1rio")</f>
        <v>https://twitter.com/g1rio</v>
      </c>
      <c r="BP989" s="2"/>
    </row>
    <row r="990" spans="1:68" x14ac:dyDescent="0.25">
      <c r="A990" s="63" t="s">
        <v>1062</v>
      </c>
      <c r="B990" s="64"/>
      <c r="C990" s="64"/>
      <c r="D990" s="65"/>
      <c r="E990" s="67"/>
      <c r="F990" s="111" t="str">
        <f>HYPERLINK("https://pbs.twimg.com/profile_images/1605666897101479951/e4s2y7JI_normal.jpg")</f>
        <v>https://pbs.twimg.com/profile_images/1605666897101479951/e4s2y7JI_normal.jpg</v>
      </c>
      <c r="G990" s="64"/>
      <c r="H990" s="68"/>
      <c r="I990" s="69"/>
      <c r="J990" s="69"/>
      <c r="K990" s="68" t="s">
        <v>30123</v>
      </c>
      <c r="L990" s="72"/>
      <c r="M990" s="73"/>
      <c r="N990" s="73"/>
      <c r="O990" s="74"/>
      <c r="P990" s="75"/>
      <c r="Q990" s="75"/>
      <c r="R990" s="102"/>
      <c r="S990" s="102"/>
      <c r="T990" s="102"/>
      <c r="U990" s="102"/>
      <c r="V990" s="48"/>
      <c r="W990" s="48"/>
      <c r="X990" s="48"/>
      <c r="Y990" s="48"/>
      <c r="Z990" s="47"/>
      <c r="AA990" s="70">
        <v>990</v>
      </c>
      <c r="AB990" s="70"/>
      <c r="AC990" s="71"/>
      <c r="AD990" s="86" t="s">
        <v>24598</v>
      </c>
      <c r="AE990" s="94" t="s">
        <v>25621</v>
      </c>
      <c r="AF990" s="86">
        <v>19</v>
      </c>
      <c r="AG990" s="86">
        <v>72</v>
      </c>
      <c r="AH990" s="86">
        <v>247</v>
      </c>
      <c r="AI990" s="86">
        <v>0</v>
      </c>
      <c r="AJ990" s="86">
        <v>760</v>
      </c>
      <c r="AK990" s="86">
        <v>28</v>
      </c>
      <c r="AL990" s="86" t="b">
        <v>0</v>
      </c>
      <c r="AM990" s="89">
        <v>42035.57539351852</v>
      </c>
      <c r="AN990" s="86"/>
      <c r="AO990" s="86" t="s">
        <v>27327</v>
      </c>
      <c r="AP990" s="86"/>
      <c r="AQ990" s="86"/>
      <c r="AR990" s="86"/>
      <c r="AS990" s="86"/>
      <c r="AT990" s="86"/>
      <c r="AU990" s="86"/>
      <c r="AV990" s="86"/>
      <c r="AW990" s="86"/>
      <c r="AX990" s="86" t="b">
        <v>0</v>
      </c>
      <c r="AY990" s="86"/>
      <c r="AZ990" s="86"/>
      <c r="BA990" s="86" t="b">
        <v>0</v>
      </c>
      <c r="BB990" s="86" t="b">
        <v>1</v>
      </c>
      <c r="BC990" s="86" t="b">
        <v>0</v>
      </c>
      <c r="BD990" s="86" t="b">
        <v>0</v>
      </c>
      <c r="BE990" s="86" t="b">
        <v>0</v>
      </c>
      <c r="BF990" s="86" t="b">
        <v>0</v>
      </c>
      <c r="BG990" s="86" t="b">
        <v>0</v>
      </c>
      <c r="BH990" s="96" t="str">
        <f>HYPERLINK("https://pbs.twimg.com/profile_banners/3007676985/1669837434")</f>
        <v>https://pbs.twimg.com/profile_banners/3007676985/1669837434</v>
      </c>
      <c r="BI990" s="86"/>
      <c r="BJ990" s="86" t="s">
        <v>29134</v>
      </c>
      <c r="BK990" s="86" t="b">
        <v>0</v>
      </c>
      <c r="BL990" s="86"/>
      <c r="BM990" s="86" t="s">
        <v>66</v>
      </c>
      <c r="BN990" s="86" t="s">
        <v>29136</v>
      </c>
      <c r="BO990" s="96" t="str">
        <f>HYPERLINK("https://twitter.com/andersonkouzaca")</f>
        <v>https://twitter.com/andersonkouzaca</v>
      </c>
      <c r="BP990" s="2"/>
    </row>
    <row r="991" spans="1:68" x14ac:dyDescent="0.25">
      <c r="A991" s="63" t="s">
        <v>1063</v>
      </c>
      <c r="B991" s="64"/>
      <c r="C991" s="64"/>
      <c r="D991" s="65"/>
      <c r="E991" s="67"/>
      <c r="F991" s="111" t="str">
        <f>HYPERLINK("https://pbs.twimg.com/profile_images/1542330837919830017/dcaWLlYe_normal.jpg")</f>
        <v>https://pbs.twimg.com/profile_images/1542330837919830017/dcaWLlYe_normal.jpg</v>
      </c>
      <c r="G991" s="64"/>
      <c r="H991" s="68"/>
      <c r="I991" s="69"/>
      <c r="J991" s="69"/>
      <c r="K991" s="68" t="s">
        <v>30124</v>
      </c>
      <c r="L991" s="72"/>
      <c r="M991" s="73"/>
      <c r="N991" s="73"/>
      <c r="O991" s="74"/>
      <c r="P991" s="75"/>
      <c r="Q991" s="75"/>
      <c r="R991" s="102"/>
      <c r="S991" s="102"/>
      <c r="T991" s="102"/>
      <c r="U991" s="102"/>
      <c r="V991" s="48"/>
      <c r="W991" s="48"/>
      <c r="X991" s="48"/>
      <c r="Y991" s="48"/>
      <c r="Z991" s="47"/>
      <c r="AA991" s="70">
        <v>991</v>
      </c>
      <c r="AB991" s="70"/>
      <c r="AC991" s="71"/>
      <c r="AD991" s="86" t="s">
        <v>24599</v>
      </c>
      <c r="AE991" s="94" t="s">
        <v>23271</v>
      </c>
      <c r="AF991" s="86">
        <v>5</v>
      </c>
      <c r="AG991" s="86">
        <v>16</v>
      </c>
      <c r="AH991" s="86">
        <v>18</v>
      </c>
      <c r="AI991" s="86">
        <v>0</v>
      </c>
      <c r="AJ991" s="86">
        <v>9</v>
      </c>
      <c r="AK991" s="86">
        <v>7</v>
      </c>
      <c r="AL991" s="86" t="b">
        <v>0</v>
      </c>
      <c r="AM991" s="89">
        <v>44692.064606481479</v>
      </c>
      <c r="AN991" s="86" t="s">
        <v>25912</v>
      </c>
      <c r="AO991" s="86" t="s">
        <v>27328</v>
      </c>
      <c r="AP991" s="96" t="str">
        <f>HYPERLINK("https://t.co/utKidjqmeI")</f>
        <v>https://t.co/utKidjqmeI</v>
      </c>
      <c r="AQ991" s="96" t="str">
        <f>HYPERLINK("https://perfil.ink/luciano")</f>
        <v>https://perfil.ink/luciano</v>
      </c>
      <c r="AR991" s="86" t="s">
        <v>28565</v>
      </c>
      <c r="AS991" s="86"/>
      <c r="AT991" s="86"/>
      <c r="AU991" s="86"/>
      <c r="AV991" s="86"/>
      <c r="AW991" s="96" t="str">
        <f>HYPERLINK("https://t.co/utKidjqmeI")</f>
        <v>https://t.co/utKidjqmeI</v>
      </c>
      <c r="AX991" s="86" t="b">
        <v>0</v>
      </c>
      <c r="AY991" s="86"/>
      <c r="AZ991" s="86"/>
      <c r="BA991" s="86" t="b">
        <v>0</v>
      </c>
      <c r="BB991" s="86" t="b">
        <v>1</v>
      </c>
      <c r="BC991" s="86" t="b">
        <v>1</v>
      </c>
      <c r="BD991" s="86" t="b">
        <v>0</v>
      </c>
      <c r="BE991" s="86" t="b">
        <v>0</v>
      </c>
      <c r="BF991" s="86" t="b">
        <v>0</v>
      </c>
      <c r="BG991" s="86" t="b">
        <v>0</v>
      </c>
      <c r="BH991" s="86"/>
      <c r="BI991" s="86"/>
      <c r="BJ991" s="86" t="s">
        <v>29134</v>
      </c>
      <c r="BK991" s="86" t="b">
        <v>0</v>
      </c>
      <c r="BL991" s="86"/>
      <c r="BM991" s="86" t="s">
        <v>66</v>
      </c>
      <c r="BN991" s="86" t="s">
        <v>29136</v>
      </c>
      <c r="BO991" s="96" t="str">
        <f>HYPERLINK("https://twitter.com/maynardbarreto")</f>
        <v>https://twitter.com/maynardbarreto</v>
      </c>
      <c r="BP991" s="2"/>
    </row>
    <row r="992" spans="1:68" x14ac:dyDescent="0.25">
      <c r="A992" s="63" t="s">
        <v>1064</v>
      </c>
      <c r="B992" s="64"/>
      <c r="C992" s="64"/>
      <c r="D992" s="65"/>
      <c r="E992" s="67"/>
      <c r="F992" s="111" t="str">
        <f>HYPERLINK("https://pbs.twimg.com/profile_images/1700304363476910080/VjwLNEx2_normal.jpg")</f>
        <v>https://pbs.twimg.com/profile_images/1700304363476910080/VjwLNEx2_normal.jpg</v>
      </c>
      <c r="G992" s="64"/>
      <c r="H992" s="68"/>
      <c r="I992" s="69"/>
      <c r="J992" s="69"/>
      <c r="K992" s="68" t="s">
        <v>30125</v>
      </c>
      <c r="L992" s="72"/>
      <c r="M992" s="73"/>
      <c r="N992" s="73"/>
      <c r="O992" s="74"/>
      <c r="P992" s="75"/>
      <c r="Q992" s="75"/>
      <c r="R992" s="102"/>
      <c r="S992" s="102"/>
      <c r="T992" s="102"/>
      <c r="U992" s="102"/>
      <c r="V992" s="48"/>
      <c r="W992" s="48"/>
      <c r="X992" s="48"/>
      <c r="Y992" s="48"/>
      <c r="Z992" s="47"/>
      <c r="AA992" s="70">
        <v>992</v>
      </c>
      <c r="AB992" s="70"/>
      <c r="AC992" s="71"/>
      <c r="AD992" s="86" t="s">
        <v>24600</v>
      </c>
      <c r="AE992" s="94" t="s">
        <v>25622</v>
      </c>
      <c r="AF992" s="86">
        <v>2517</v>
      </c>
      <c r="AG992" s="86">
        <v>3484</v>
      </c>
      <c r="AH992" s="86">
        <v>547</v>
      </c>
      <c r="AI992" s="86">
        <v>4</v>
      </c>
      <c r="AJ992" s="86">
        <v>1233</v>
      </c>
      <c r="AK992" s="86">
        <v>79</v>
      </c>
      <c r="AL992" s="86" t="b">
        <v>0</v>
      </c>
      <c r="AM992" s="89">
        <v>41701.264270833337</v>
      </c>
      <c r="AN992" s="86" t="s">
        <v>25942</v>
      </c>
      <c r="AO992" s="86" t="s">
        <v>27329</v>
      </c>
      <c r="AP992" s="96" t="str">
        <f>HYPERLINK("https://t.co/BzseqZsiSu")</f>
        <v>https://t.co/BzseqZsiSu</v>
      </c>
      <c r="AQ992" s="96" t="str">
        <f>HYPERLINK("http://www.luminaxiluminacao.com.br")</f>
        <v>http://www.luminaxiluminacao.com.br</v>
      </c>
      <c r="AR992" s="86" t="s">
        <v>28566</v>
      </c>
      <c r="AS992" s="86"/>
      <c r="AT992" s="86"/>
      <c r="AU992" s="86"/>
      <c r="AV992" s="86"/>
      <c r="AW992" s="96" t="str">
        <f>HYPERLINK("https://t.co/BzseqZsiSu")</f>
        <v>https://t.co/BzseqZsiSu</v>
      </c>
      <c r="AX992" s="86" t="b">
        <v>0</v>
      </c>
      <c r="AY992" s="86"/>
      <c r="AZ992" s="86"/>
      <c r="BA992" s="86" t="b">
        <v>0</v>
      </c>
      <c r="BB992" s="86" t="b">
        <v>1</v>
      </c>
      <c r="BC992" s="86" t="b">
        <v>1</v>
      </c>
      <c r="BD992" s="86" t="b">
        <v>0</v>
      </c>
      <c r="BE992" s="86" t="b">
        <v>1</v>
      </c>
      <c r="BF992" s="86" t="b">
        <v>0</v>
      </c>
      <c r="BG992" s="86" t="b">
        <v>0</v>
      </c>
      <c r="BH992" s="96" t="str">
        <f>HYPERLINK("https://pbs.twimg.com/profile_banners/2378325093/1690740778")</f>
        <v>https://pbs.twimg.com/profile_banners/2378325093/1690740778</v>
      </c>
      <c r="BI992" s="86"/>
      <c r="BJ992" s="86" t="s">
        <v>29134</v>
      </c>
      <c r="BK992" s="86" t="b">
        <v>0</v>
      </c>
      <c r="BL992" s="86"/>
      <c r="BM992" s="86" t="s">
        <v>66</v>
      </c>
      <c r="BN992" s="86" t="s">
        <v>29136</v>
      </c>
      <c r="BO992" s="96" t="str">
        <f>HYPERLINK("https://twitter.com/diegoaraujots")</f>
        <v>https://twitter.com/diegoaraujots</v>
      </c>
      <c r="BP992" s="2"/>
    </row>
    <row r="993" spans="1:68" x14ac:dyDescent="0.25">
      <c r="A993" s="63" t="s">
        <v>1065</v>
      </c>
      <c r="B993" s="64"/>
      <c r="C993" s="64"/>
      <c r="D993" s="65"/>
      <c r="E993" s="67"/>
      <c r="F993" s="111" t="str">
        <f>HYPERLINK("https://pbs.twimg.com/profile_images/1428428579885486081/0Mg8DapI_normal.jpg")</f>
        <v>https://pbs.twimg.com/profile_images/1428428579885486081/0Mg8DapI_normal.jpg</v>
      </c>
      <c r="G993" s="64"/>
      <c r="H993" s="68"/>
      <c r="I993" s="69"/>
      <c r="J993" s="69"/>
      <c r="K993" s="68" t="s">
        <v>30126</v>
      </c>
      <c r="L993" s="72"/>
      <c r="M993" s="73"/>
      <c r="N993" s="73"/>
      <c r="O993" s="74"/>
      <c r="P993" s="75"/>
      <c r="Q993" s="75"/>
      <c r="R993" s="102"/>
      <c r="S993" s="102"/>
      <c r="T993" s="102"/>
      <c r="U993" s="102"/>
      <c r="V993" s="48"/>
      <c r="W993" s="48"/>
      <c r="X993" s="48"/>
      <c r="Y993" s="48"/>
      <c r="Z993" s="47"/>
      <c r="AA993" s="70">
        <v>993</v>
      </c>
      <c r="AB993" s="70"/>
      <c r="AC993" s="71"/>
      <c r="AD993" s="86" t="s">
        <v>24601</v>
      </c>
      <c r="AE993" s="94" t="s">
        <v>23272</v>
      </c>
      <c r="AF993" s="86">
        <v>636</v>
      </c>
      <c r="AG993" s="86">
        <v>657</v>
      </c>
      <c r="AH993" s="86">
        <v>7420</v>
      </c>
      <c r="AI993" s="86">
        <v>5</v>
      </c>
      <c r="AJ993" s="86">
        <v>1</v>
      </c>
      <c r="AK993" s="86">
        <v>2239</v>
      </c>
      <c r="AL993" s="86" t="b">
        <v>0</v>
      </c>
      <c r="AM993" s="89">
        <v>44427.78020833333</v>
      </c>
      <c r="AN993" s="86" t="s">
        <v>26231</v>
      </c>
      <c r="AO993" s="86" t="s">
        <v>27330</v>
      </c>
      <c r="AP993" s="96" t="str">
        <f>HYPERLINK("https://t.co/6zb3bfNhtx")</f>
        <v>https://t.co/6zb3bfNhtx</v>
      </c>
      <c r="AQ993" s="96" t="str">
        <f>HYPERLINK("https://blogdohiellevy.com.br/")</f>
        <v>https://blogdohiellevy.com.br/</v>
      </c>
      <c r="AR993" s="86" t="s">
        <v>28567</v>
      </c>
      <c r="AS993" s="86"/>
      <c r="AT993" s="86"/>
      <c r="AU993" s="86"/>
      <c r="AV993" s="86"/>
      <c r="AW993" s="96" t="str">
        <f>HYPERLINK("https://t.co/6zb3bfNhtx")</f>
        <v>https://t.co/6zb3bfNhtx</v>
      </c>
      <c r="AX993" s="86" t="b">
        <v>0</v>
      </c>
      <c r="AY993" s="86"/>
      <c r="AZ993" s="86"/>
      <c r="BA993" s="86" t="b">
        <v>0</v>
      </c>
      <c r="BB993" s="86" t="b">
        <v>1</v>
      </c>
      <c r="BC993" s="86" t="b">
        <v>1</v>
      </c>
      <c r="BD993" s="86" t="b">
        <v>0</v>
      </c>
      <c r="BE993" s="86" t="b">
        <v>0</v>
      </c>
      <c r="BF993" s="86" t="b">
        <v>0</v>
      </c>
      <c r="BG993" s="86" t="b">
        <v>0</v>
      </c>
      <c r="BH993" s="96" t="str">
        <f>HYPERLINK("https://pbs.twimg.com/profile_banners/1428427211028287489/1629399004")</f>
        <v>https://pbs.twimg.com/profile_banners/1428427211028287489/1629399004</v>
      </c>
      <c r="BI993" s="86"/>
      <c r="BJ993" s="86" t="s">
        <v>29134</v>
      </c>
      <c r="BK993" s="86" t="b">
        <v>0</v>
      </c>
      <c r="BL993" s="86"/>
      <c r="BM993" s="86" t="s">
        <v>66</v>
      </c>
      <c r="BN993" s="86" t="s">
        <v>29136</v>
      </c>
      <c r="BO993" s="96" t="str">
        <f>HYPERLINK("https://twitter.com/blogdohiel")</f>
        <v>https://twitter.com/blogdohiel</v>
      </c>
      <c r="BP993" s="2"/>
    </row>
    <row r="994" spans="1:68" x14ac:dyDescent="0.25">
      <c r="A994" s="63" t="s">
        <v>1066</v>
      </c>
      <c r="B994" s="64"/>
      <c r="C994" s="64"/>
      <c r="D994" s="65"/>
      <c r="E994" s="67"/>
      <c r="F994" s="111" t="str">
        <f>HYPERLINK("https://pbs.twimg.com/profile_images/1697088399012724736/x01IT22Z_normal.jpg")</f>
        <v>https://pbs.twimg.com/profile_images/1697088399012724736/x01IT22Z_normal.jpg</v>
      </c>
      <c r="G994" s="64"/>
      <c r="H994" s="68"/>
      <c r="I994" s="69"/>
      <c r="J994" s="69"/>
      <c r="K994" s="68" t="s">
        <v>30127</v>
      </c>
      <c r="L994" s="72"/>
      <c r="M994" s="73"/>
      <c r="N994" s="73"/>
      <c r="O994" s="74"/>
      <c r="P994" s="75"/>
      <c r="Q994" s="75"/>
      <c r="R994" s="102"/>
      <c r="S994" s="102"/>
      <c r="T994" s="102"/>
      <c r="U994" s="102"/>
      <c r="V994" s="48"/>
      <c r="W994" s="48"/>
      <c r="X994" s="48"/>
      <c r="Y994" s="48"/>
      <c r="Z994" s="47"/>
      <c r="AA994" s="70">
        <v>994</v>
      </c>
      <c r="AB994" s="70"/>
      <c r="AC994" s="71"/>
      <c r="AD994" s="86" t="s">
        <v>24602</v>
      </c>
      <c r="AE994" s="94" t="s">
        <v>23273</v>
      </c>
      <c r="AF994" s="86">
        <v>40</v>
      </c>
      <c r="AG994" s="86">
        <v>62</v>
      </c>
      <c r="AH994" s="86">
        <v>2001</v>
      </c>
      <c r="AI994" s="86">
        <v>0</v>
      </c>
      <c r="AJ994" s="86">
        <v>1654</v>
      </c>
      <c r="AK994" s="86">
        <v>212</v>
      </c>
      <c r="AL994" s="86" t="b">
        <v>0</v>
      </c>
      <c r="AM994" s="89">
        <v>45139.852268518516</v>
      </c>
      <c r="AN994" s="86" t="s">
        <v>26232</v>
      </c>
      <c r="AO994" s="86" t="s">
        <v>27331</v>
      </c>
      <c r="AP994" s="96" t="str">
        <f>HYPERLINK("https://t.co/EDNN5I1jjh")</f>
        <v>https://t.co/EDNN5I1jjh</v>
      </c>
      <c r="AQ994" s="96" t="str">
        <f>HYPERLINK("https://payfast.greenn.com.br/redirect/42527/?a_id=181111")</f>
        <v>https://payfast.greenn.com.br/redirect/42527/?a_id=181111</v>
      </c>
      <c r="AR994" s="86" t="s">
        <v>28568</v>
      </c>
      <c r="AS994" s="96" t="str">
        <f>HYPERLINK("https://t.co/uSkHoFQCpY")</f>
        <v>https://t.co/uSkHoFQCpY</v>
      </c>
      <c r="AT994" s="96" t="str">
        <f>HYPERLINK("http://payfast.greenn.com.br/redirect/42527")</f>
        <v>http://payfast.greenn.com.br/redirect/42527</v>
      </c>
      <c r="AU994" s="86" t="s">
        <v>29098</v>
      </c>
      <c r="AV994" s="86">
        <v>1.69962703449695E+18</v>
      </c>
      <c r="AW994" s="96" t="str">
        <f>HYPERLINK("https://t.co/EDNN5I1jjh")</f>
        <v>https://t.co/EDNN5I1jjh</v>
      </c>
      <c r="AX994" s="86" t="b">
        <v>0</v>
      </c>
      <c r="AY994" s="86"/>
      <c r="AZ994" s="86"/>
      <c r="BA994" s="86" t="b">
        <v>0</v>
      </c>
      <c r="BB994" s="86" t="b">
        <v>1</v>
      </c>
      <c r="BC994" s="86" t="b">
        <v>1</v>
      </c>
      <c r="BD994" s="86" t="b">
        <v>0</v>
      </c>
      <c r="BE994" s="86" t="b">
        <v>0</v>
      </c>
      <c r="BF994" s="86" t="b">
        <v>0</v>
      </c>
      <c r="BG994" s="86" t="b">
        <v>0</v>
      </c>
      <c r="BH994" s="96" t="str">
        <f>HYPERLINK("https://pbs.twimg.com/profile_banners/1686473618773909504/1693796054")</f>
        <v>https://pbs.twimg.com/profile_banners/1686473618773909504/1693796054</v>
      </c>
      <c r="BI994" s="86"/>
      <c r="BJ994" s="86" t="s">
        <v>29134</v>
      </c>
      <c r="BK994" s="86" t="b">
        <v>0</v>
      </c>
      <c r="BL994" s="86"/>
      <c r="BM994" s="86" t="s">
        <v>66</v>
      </c>
      <c r="BN994" s="86" t="s">
        <v>29136</v>
      </c>
      <c r="BO994" s="96" t="str">
        <f>HYPERLINK("https://twitter.com/hablasraiam")</f>
        <v>https://twitter.com/hablasraiam</v>
      </c>
      <c r="BP994" s="2"/>
    </row>
    <row r="995" spans="1:68" x14ac:dyDescent="0.25">
      <c r="A995" s="63" t="s">
        <v>1436</v>
      </c>
      <c r="B995" s="64"/>
      <c r="C995" s="64"/>
      <c r="D995" s="65"/>
      <c r="E995" s="67"/>
      <c r="F995" s="111" t="str">
        <f>HYPERLINK("https://pbs.twimg.com/profile_images/1456334566025801736/n826AG9l_normal.jpg")</f>
        <v>https://pbs.twimg.com/profile_images/1456334566025801736/n826AG9l_normal.jpg</v>
      </c>
      <c r="G995" s="64"/>
      <c r="H995" s="68"/>
      <c r="I995" s="69"/>
      <c r="J995" s="69"/>
      <c r="K995" s="68" t="s">
        <v>30128</v>
      </c>
      <c r="L995" s="72"/>
      <c r="M995" s="73"/>
      <c r="N995" s="73"/>
      <c r="O995" s="74"/>
      <c r="P995" s="75"/>
      <c r="Q995" s="75"/>
      <c r="R995" s="102"/>
      <c r="S995" s="102"/>
      <c r="T995" s="102"/>
      <c r="U995" s="102"/>
      <c r="V995" s="48"/>
      <c r="W995" s="48"/>
      <c r="X995" s="48"/>
      <c r="Y995" s="48"/>
      <c r="Z995" s="47"/>
      <c r="AA995" s="70">
        <v>995</v>
      </c>
      <c r="AB995" s="70"/>
      <c r="AC995" s="71"/>
      <c r="AD995" s="86" t="s">
        <v>24603</v>
      </c>
      <c r="AE995" s="94" t="s">
        <v>25623</v>
      </c>
      <c r="AF995" s="86">
        <v>4066</v>
      </c>
      <c r="AG995" s="86">
        <v>187</v>
      </c>
      <c r="AH995" s="86">
        <v>1206</v>
      </c>
      <c r="AI995" s="86">
        <v>53</v>
      </c>
      <c r="AJ995" s="86">
        <v>721</v>
      </c>
      <c r="AK995" s="86">
        <v>598</v>
      </c>
      <c r="AL995" s="86" t="b">
        <v>0</v>
      </c>
      <c r="AM995" s="89">
        <v>40534.00204861111</v>
      </c>
      <c r="AN995" s="86" t="s">
        <v>15372</v>
      </c>
      <c r="AO995" s="86" t="s">
        <v>27332</v>
      </c>
      <c r="AP995" s="96" t="str">
        <f>HYPERLINK("https://t.co/i5QJqvfXcs")</f>
        <v>https://t.co/i5QJqvfXcs</v>
      </c>
      <c r="AQ995" s="96" t="str">
        <f>HYPERLINK("http://linktr.ee/faperjoficial")</f>
        <v>http://linktr.ee/faperjoficial</v>
      </c>
      <c r="AR995" s="86" t="s">
        <v>28569</v>
      </c>
      <c r="AS995" s="86"/>
      <c r="AT995" s="86"/>
      <c r="AU995" s="86"/>
      <c r="AV995" s="86"/>
      <c r="AW995" s="96" t="str">
        <f>HYPERLINK("https://t.co/i5QJqvfXcs")</f>
        <v>https://t.co/i5QJqvfXcs</v>
      </c>
      <c r="AX995" s="86" t="b">
        <v>0</v>
      </c>
      <c r="AY995" s="86"/>
      <c r="AZ995" s="86"/>
      <c r="BA995" s="86" t="b">
        <v>0</v>
      </c>
      <c r="BB995" s="86" t="b">
        <v>1</v>
      </c>
      <c r="BC995" s="86" t="b">
        <v>0</v>
      </c>
      <c r="BD995" s="86" t="b">
        <v>0</v>
      </c>
      <c r="BE995" s="86" t="b">
        <v>1</v>
      </c>
      <c r="BF995" s="86" t="b">
        <v>0</v>
      </c>
      <c r="BG995" s="86" t="b">
        <v>0</v>
      </c>
      <c r="BH995" s="96" t="str">
        <f>HYPERLINK("https://pbs.twimg.com/profile_banners/229271011/1637087904")</f>
        <v>https://pbs.twimg.com/profile_banners/229271011/1637087904</v>
      </c>
      <c r="BI995" s="86"/>
      <c r="BJ995" s="86" t="s">
        <v>29134</v>
      </c>
      <c r="BK995" s="86" t="b">
        <v>0</v>
      </c>
      <c r="BL995" s="86"/>
      <c r="BM995" s="86" t="s">
        <v>66</v>
      </c>
      <c r="BN995" s="86" t="s">
        <v>29136</v>
      </c>
      <c r="BO995" s="96" t="str">
        <f>HYPERLINK("https://twitter.com/faperj")</f>
        <v>https://twitter.com/faperj</v>
      </c>
      <c r="BP995" s="2"/>
    </row>
    <row r="996" spans="1:68" x14ac:dyDescent="0.25">
      <c r="A996" s="63" t="s">
        <v>1435</v>
      </c>
      <c r="B996" s="64"/>
      <c r="C996" s="64"/>
      <c r="D996" s="65"/>
      <c r="E996" s="67"/>
      <c r="F996" s="111" t="str">
        <f>HYPERLINK("https://pbs.twimg.com/profile_images/1675842383664107520/0wR96J46_normal.jpg")</f>
        <v>https://pbs.twimg.com/profile_images/1675842383664107520/0wR96J46_normal.jpg</v>
      </c>
      <c r="G996" s="64"/>
      <c r="H996" s="68"/>
      <c r="I996" s="69"/>
      <c r="J996" s="69"/>
      <c r="K996" s="68" t="s">
        <v>30129</v>
      </c>
      <c r="L996" s="72"/>
      <c r="M996" s="73"/>
      <c r="N996" s="73"/>
      <c r="O996" s="74"/>
      <c r="P996" s="75"/>
      <c r="Q996" s="75"/>
      <c r="R996" s="102"/>
      <c r="S996" s="102"/>
      <c r="T996" s="102"/>
      <c r="U996" s="102"/>
      <c r="V996" s="48"/>
      <c r="W996" s="48"/>
      <c r="X996" s="48"/>
      <c r="Y996" s="48"/>
      <c r="Z996" s="47"/>
      <c r="AA996" s="70">
        <v>996</v>
      </c>
      <c r="AB996" s="70"/>
      <c r="AC996" s="71"/>
      <c r="AD996" s="86" t="s">
        <v>24604</v>
      </c>
      <c r="AE996" s="94" t="s">
        <v>22647</v>
      </c>
      <c r="AF996" s="86">
        <v>46613</v>
      </c>
      <c r="AG996" s="86">
        <v>470</v>
      </c>
      <c r="AH996" s="86">
        <v>9494</v>
      </c>
      <c r="AI996" s="86">
        <v>764</v>
      </c>
      <c r="AJ996" s="86">
        <v>9170</v>
      </c>
      <c r="AK996" s="86">
        <v>5146</v>
      </c>
      <c r="AL996" s="86" t="b">
        <v>0</v>
      </c>
      <c r="AM996" s="89">
        <v>39742.545474537037</v>
      </c>
      <c r="AN996" s="86" t="s">
        <v>15372</v>
      </c>
      <c r="AO996" s="86" t="s">
        <v>27333</v>
      </c>
      <c r="AP996" s="96" t="str">
        <f>HYPERLINK("https://t.co/0PQ7uINqm5")</f>
        <v>https://t.co/0PQ7uINqm5</v>
      </c>
      <c r="AQ996" s="96" t="str">
        <f>HYPERLINK("https://linktr.ee/Finep")</f>
        <v>https://linktr.ee/Finep</v>
      </c>
      <c r="AR996" s="86" t="s">
        <v>28570</v>
      </c>
      <c r="AS996" s="86"/>
      <c r="AT996" s="86"/>
      <c r="AU996" s="86"/>
      <c r="AV996" s="86"/>
      <c r="AW996" s="96" t="str">
        <f>HYPERLINK("https://t.co/0PQ7uINqm5")</f>
        <v>https://t.co/0PQ7uINqm5</v>
      </c>
      <c r="AX996" s="86" t="b">
        <v>0</v>
      </c>
      <c r="AY996" s="86"/>
      <c r="AZ996" s="86"/>
      <c r="BA996" s="86" t="b">
        <v>0</v>
      </c>
      <c r="BB996" s="86" t="b">
        <v>1</v>
      </c>
      <c r="BC996" s="86" t="b">
        <v>0</v>
      </c>
      <c r="BD996" s="86" t="b">
        <v>0</v>
      </c>
      <c r="BE996" s="86" t="b">
        <v>1</v>
      </c>
      <c r="BF996" s="86" t="b">
        <v>0</v>
      </c>
      <c r="BG996" s="86" t="b">
        <v>0</v>
      </c>
      <c r="BH996" s="96" t="str">
        <f>HYPERLINK("https://pbs.twimg.com/profile_banners/16885359/1682521817")</f>
        <v>https://pbs.twimg.com/profile_banners/16885359/1682521817</v>
      </c>
      <c r="BI996" s="86"/>
      <c r="BJ996" s="86" t="s">
        <v>29134</v>
      </c>
      <c r="BK996" s="86" t="b">
        <v>0</v>
      </c>
      <c r="BL996" s="86"/>
      <c r="BM996" s="86" t="s">
        <v>66</v>
      </c>
      <c r="BN996" s="86" t="s">
        <v>29136</v>
      </c>
      <c r="BO996" s="96" t="str">
        <f>HYPERLINK("https://twitter.com/finep")</f>
        <v>https://twitter.com/finep</v>
      </c>
      <c r="BP996" s="2"/>
    </row>
    <row r="997" spans="1:68" x14ac:dyDescent="0.25">
      <c r="A997" s="63" t="s">
        <v>1753</v>
      </c>
      <c r="B997" s="64"/>
      <c r="C997" s="64"/>
      <c r="D997" s="65"/>
      <c r="E997" s="67"/>
      <c r="F997" s="111" t="str">
        <f>HYPERLINK("https://pbs.twimg.com/profile_images/1697594197388222464/obRBw7dP_normal.jpg")</f>
        <v>https://pbs.twimg.com/profile_images/1697594197388222464/obRBw7dP_normal.jpg</v>
      </c>
      <c r="G997" s="64"/>
      <c r="H997" s="68"/>
      <c r="I997" s="69"/>
      <c r="J997" s="69"/>
      <c r="K997" s="68" t="s">
        <v>30130</v>
      </c>
      <c r="L997" s="72"/>
      <c r="M997" s="73"/>
      <c r="N997" s="73"/>
      <c r="O997" s="74"/>
      <c r="P997" s="75"/>
      <c r="Q997" s="75"/>
      <c r="R997" s="102"/>
      <c r="S997" s="102"/>
      <c r="T997" s="102"/>
      <c r="U997" s="102"/>
      <c r="V997" s="48"/>
      <c r="W997" s="48"/>
      <c r="X997" s="48"/>
      <c r="Y997" s="48"/>
      <c r="Z997" s="47"/>
      <c r="AA997" s="70">
        <v>997</v>
      </c>
      <c r="AB997" s="70"/>
      <c r="AC997" s="71"/>
      <c r="AD997" s="86" t="s">
        <v>24605</v>
      </c>
      <c r="AE997" s="94" t="s">
        <v>25624</v>
      </c>
      <c r="AF997" s="86">
        <v>9950</v>
      </c>
      <c r="AG997" s="86">
        <v>431</v>
      </c>
      <c r="AH997" s="86">
        <v>2408</v>
      </c>
      <c r="AI997" s="86">
        <v>114</v>
      </c>
      <c r="AJ997" s="86">
        <v>451</v>
      </c>
      <c r="AK997" s="86">
        <v>453</v>
      </c>
      <c r="AL997" s="86" t="b">
        <v>0</v>
      </c>
      <c r="AM997" s="89">
        <v>44728.529317129629</v>
      </c>
      <c r="AN997" s="86"/>
      <c r="AO997" s="86" t="s">
        <v>27334</v>
      </c>
      <c r="AP997" s="96" t="str">
        <f>HYPERLINK("https://t.co/M5b32T4q5w")</f>
        <v>https://t.co/M5b32T4q5w</v>
      </c>
      <c r="AQ997" s="96" t="str">
        <f>HYPERLINK("https://linktr.ee/gov_mcti")</f>
        <v>https://linktr.ee/gov_mcti</v>
      </c>
      <c r="AR997" s="86" t="s">
        <v>28571</v>
      </c>
      <c r="AS997" s="86"/>
      <c r="AT997" s="86"/>
      <c r="AU997" s="86"/>
      <c r="AV997" s="86">
        <v>1.70701948244142E+18</v>
      </c>
      <c r="AW997" s="96" t="str">
        <f>HYPERLINK("https://t.co/M5b32T4q5w")</f>
        <v>https://t.co/M5b32T4q5w</v>
      </c>
      <c r="AX997" s="86" t="b">
        <v>0</v>
      </c>
      <c r="AY997" s="86"/>
      <c r="AZ997" s="86"/>
      <c r="BA997" s="86" t="b">
        <v>0</v>
      </c>
      <c r="BB997" s="86" t="b">
        <v>1</v>
      </c>
      <c r="BC997" s="86" t="b">
        <v>1</v>
      </c>
      <c r="BD997" s="86" t="b">
        <v>0</v>
      </c>
      <c r="BE997" s="86" t="b">
        <v>1</v>
      </c>
      <c r="BF997" s="86" t="b">
        <v>0</v>
      </c>
      <c r="BG997" s="86" t="b">
        <v>0</v>
      </c>
      <c r="BH997" s="96" t="str">
        <f>HYPERLINK("https://pbs.twimg.com/profile_banners/1537415009545895936/1695667924")</f>
        <v>https://pbs.twimg.com/profile_banners/1537415009545895936/1695667924</v>
      </c>
      <c r="BI997" s="86"/>
      <c r="BJ997" s="86" t="s">
        <v>29134</v>
      </c>
      <c r="BK997" s="86" t="b">
        <v>0</v>
      </c>
      <c r="BL997" s="86"/>
      <c r="BM997" s="86" t="s">
        <v>65</v>
      </c>
      <c r="BN997" s="86" t="s">
        <v>29136</v>
      </c>
      <c r="BO997" s="96" t="str">
        <f>HYPERLINK("https://twitter.com/gov_mcti")</f>
        <v>https://twitter.com/gov_mcti</v>
      </c>
      <c r="BP997" s="2"/>
    </row>
    <row r="998" spans="1:68" x14ac:dyDescent="0.25">
      <c r="A998" s="63" t="s">
        <v>1067</v>
      </c>
      <c r="B998" s="64"/>
      <c r="C998" s="64"/>
      <c r="D998" s="65"/>
      <c r="E998" s="67"/>
      <c r="F998" s="111" t="str">
        <f>HYPERLINK("https://pbs.twimg.com/profile_images/1660702258814697482/PvGgyaq8_normal.jpg")</f>
        <v>https://pbs.twimg.com/profile_images/1660702258814697482/PvGgyaq8_normal.jpg</v>
      </c>
      <c r="G998" s="64"/>
      <c r="H998" s="68"/>
      <c r="I998" s="69"/>
      <c r="J998" s="69"/>
      <c r="K998" s="68" t="s">
        <v>30131</v>
      </c>
      <c r="L998" s="72"/>
      <c r="M998" s="73"/>
      <c r="N998" s="73"/>
      <c r="O998" s="74"/>
      <c r="P998" s="75"/>
      <c r="Q998" s="75"/>
      <c r="R998" s="102"/>
      <c r="S998" s="102"/>
      <c r="T998" s="102"/>
      <c r="U998" s="102"/>
      <c r="V998" s="48"/>
      <c r="W998" s="48"/>
      <c r="X998" s="48"/>
      <c r="Y998" s="48"/>
      <c r="Z998" s="47"/>
      <c r="AA998" s="70">
        <v>998</v>
      </c>
      <c r="AB998" s="70"/>
      <c r="AC998" s="71"/>
      <c r="AD998" s="86" t="s">
        <v>24606</v>
      </c>
      <c r="AE998" s="94" t="s">
        <v>23274</v>
      </c>
      <c r="AF998" s="86">
        <v>625</v>
      </c>
      <c r="AG998" s="86">
        <v>560</v>
      </c>
      <c r="AH998" s="86">
        <v>947</v>
      </c>
      <c r="AI998" s="86">
        <v>2</v>
      </c>
      <c r="AJ998" s="86">
        <v>939</v>
      </c>
      <c r="AK998" s="86">
        <v>1</v>
      </c>
      <c r="AL998" s="86" t="b">
        <v>0</v>
      </c>
      <c r="AM998" s="89">
        <v>45068.569097222222</v>
      </c>
      <c r="AN998" s="86" t="s">
        <v>15372</v>
      </c>
      <c r="AO998" s="86"/>
      <c r="AP998" s="86"/>
      <c r="AQ998" s="86"/>
      <c r="AR998" s="86"/>
      <c r="AS998" s="86"/>
      <c r="AT998" s="86"/>
      <c r="AU998" s="86"/>
      <c r="AV998" s="86"/>
      <c r="AW998" s="86"/>
      <c r="AX998" s="86" t="b">
        <v>0</v>
      </c>
      <c r="AY998" s="86"/>
      <c r="AZ998" s="86"/>
      <c r="BA998" s="86" t="b">
        <v>0</v>
      </c>
      <c r="BB998" s="86" t="b">
        <v>1</v>
      </c>
      <c r="BC998" s="86" t="b">
        <v>1</v>
      </c>
      <c r="BD998" s="86" t="b">
        <v>0</v>
      </c>
      <c r="BE998" s="86" t="b">
        <v>0</v>
      </c>
      <c r="BF998" s="86" t="b">
        <v>0</v>
      </c>
      <c r="BG998" s="86" t="b">
        <v>0</v>
      </c>
      <c r="BH998" s="96" t="str">
        <f>HYPERLINK("https://pbs.twimg.com/profile_banners/1660641493890080769/1684777315")</f>
        <v>https://pbs.twimg.com/profile_banners/1660641493890080769/1684777315</v>
      </c>
      <c r="BI998" s="86"/>
      <c r="BJ998" s="86" t="s">
        <v>29134</v>
      </c>
      <c r="BK998" s="86" t="b">
        <v>0</v>
      </c>
      <c r="BL998" s="86"/>
      <c r="BM998" s="86" t="s">
        <v>66</v>
      </c>
      <c r="BN998" s="86" t="s">
        <v>29136</v>
      </c>
      <c r="BO998" s="96" t="str">
        <f>HYPERLINK("https://twitter.com/rodrigobru25208")</f>
        <v>https://twitter.com/rodrigobru25208</v>
      </c>
      <c r="BP998" s="2"/>
    </row>
    <row r="999" spans="1:68" x14ac:dyDescent="0.25">
      <c r="A999" s="63" t="s">
        <v>1068</v>
      </c>
      <c r="B999" s="64"/>
      <c r="C999" s="64"/>
      <c r="D999" s="65"/>
      <c r="E999" s="67"/>
      <c r="F999" s="111" t="str">
        <f>HYPERLINK("https://pbs.twimg.com/profile_images/1698709715394387968/abFTysZ-_normal.jpg")</f>
        <v>https://pbs.twimg.com/profile_images/1698709715394387968/abFTysZ-_normal.jpg</v>
      </c>
      <c r="G999" s="64"/>
      <c r="H999" s="68"/>
      <c r="I999" s="69"/>
      <c r="J999" s="69"/>
      <c r="K999" s="68" t="s">
        <v>30132</v>
      </c>
      <c r="L999" s="72"/>
      <c r="M999" s="73"/>
      <c r="N999" s="73"/>
      <c r="O999" s="74"/>
      <c r="P999" s="75"/>
      <c r="Q999" s="75"/>
      <c r="R999" s="102"/>
      <c r="S999" s="102"/>
      <c r="T999" s="102"/>
      <c r="U999" s="102"/>
      <c r="V999" s="48"/>
      <c r="W999" s="48"/>
      <c r="X999" s="48"/>
      <c r="Y999" s="48"/>
      <c r="Z999" s="47"/>
      <c r="AA999" s="70">
        <v>999</v>
      </c>
      <c r="AB999" s="70"/>
      <c r="AC999" s="71"/>
      <c r="AD999" s="86" t="s">
        <v>24607</v>
      </c>
      <c r="AE999" s="94" t="s">
        <v>22609</v>
      </c>
      <c r="AF999" s="86">
        <v>35472</v>
      </c>
      <c r="AG999" s="86">
        <v>62</v>
      </c>
      <c r="AH999" s="86">
        <v>25355</v>
      </c>
      <c r="AI999" s="86">
        <v>115</v>
      </c>
      <c r="AJ999" s="86">
        <v>507</v>
      </c>
      <c r="AK999" s="86">
        <v>5944</v>
      </c>
      <c r="AL999" s="86" t="b">
        <v>0</v>
      </c>
      <c r="AM999" s="89">
        <v>40301.876064814816</v>
      </c>
      <c r="AN999" s="86" t="s">
        <v>26233</v>
      </c>
      <c r="AO999" s="86" t="s">
        <v>27335</v>
      </c>
      <c r="AP999" s="96" t="str">
        <f>HYPERLINK("https://t.co/6SSec1Xc9t")</f>
        <v>https://t.co/6SSec1Xc9t</v>
      </c>
      <c r="AQ999" s="96" t="str">
        <f>HYPERLINK("http://amapa.gov.br")</f>
        <v>http://amapa.gov.br</v>
      </c>
      <c r="AR999" s="86" t="s">
        <v>28572</v>
      </c>
      <c r="AS999" s="86"/>
      <c r="AT999" s="86"/>
      <c r="AU999" s="86"/>
      <c r="AV999" s="86"/>
      <c r="AW999" s="96" t="str">
        <f>HYPERLINK("https://t.co/6SSec1Xc9t")</f>
        <v>https://t.co/6SSec1Xc9t</v>
      </c>
      <c r="AX999" s="86" t="b">
        <v>1</v>
      </c>
      <c r="AY999" s="86"/>
      <c r="AZ999" s="86"/>
      <c r="BA999" s="86" t="b">
        <v>0</v>
      </c>
      <c r="BB999" s="86" t="b">
        <v>1</v>
      </c>
      <c r="BC999" s="86" t="b">
        <v>0</v>
      </c>
      <c r="BD999" s="86" t="b">
        <v>0</v>
      </c>
      <c r="BE999" s="86" t="b">
        <v>1</v>
      </c>
      <c r="BF999" s="86" t="b">
        <v>0</v>
      </c>
      <c r="BG999" s="86" t="b">
        <v>0</v>
      </c>
      <c r="BH999" s="96" t="str">
        <f>HYPERLINK("https://pbs.twimg.com/profile_banners/139840905/1692403184")</f>
        <v>https://pbs.twimg.com/profile_banners/139840905/1692403184</v>
      </c>
      <c r="BI999" s="86"/>
      <c r="BJ999" s="86" t="s">
        <v>29134</v>
      </c>
      <c r="BK999" s="86" t="b">
        <v>0</v>
      </c>
      <c r="BL999" s="86"/>
      <c r="BM999" s="86" t="s">
        <v>66</v>
      </c>
      <c r="BN999" s="86" t="s">
        <v>29136</v>
      </c>
      <c r="BO999" s="96" t="str">
        <f>HYPERLINK("https://twitter.com/governodoamapa")</f>
        <v>https://twitter.com/governodoamapa</v>
      </c>
      <c r="BP999" s="2"/>
    </row>
    <row r="1000" spans="1:68" x14ac:dyDescent="0.25">
      <c r="A1000" s="63" t="s">
        <v>1069</v>
      </c>
      <c r="B1000" s="64"/>
      <c r="C1000" s="64"/>
      <c r="D1000" s="65"/>
      <c r="E1000" s="67"/>
      <c r="F1000" s="111" t="str">
        <f>HYPERLINK("https://pbs.twimg.com/profile_images/988430369363038208/zoEQEr9R_normal.jpg")</f>
        <v>https://pbs.twimg.com/profile_images/988430369363038208/zoEQEr9R_normal.jpg</v>
      </c>
      <c r="G1000" s="64"/>
      <c r="H1000" s="68"/>
      <c r="I1000" s="69"/>
      <c r="J1000" s="69"/>
      <c r="K1000" s="68" t="s">
        <v>30133</v>
      </c>
      <c r="L1000" s="72"/>
      <c r="M1000" s="73"/>
      <c r="N1000" s="73"/>
      <c r="O1000" s="74"/>
      <c r="P1000" s="75"/>
      <c r="Q1000" s="75"/>
      <c r="R1000" s="102"/>
      <c r="S1000" s="102"/>
      <c r="T1000" s="102"/>
      <c r="U1000" s="102"/>
      <c r="V1000" s="48"/>
      <c r="W1000" s="48"/>
      <c r="X1000" s="48"/>
      <c r="Y1000" s="48"/>
      <c r="Z1000" s="47"/>
      <c r="AA1000" s="70">
        <v>1000</v>
      </c>
      <c r="AB1000" s="70"/>
      <c r="AC1000" s="71"/>
      <c r="AD1000" s="86" t="s">
        <v>24608</v>
      </c>
      <c r="AE1000" s="94" t="s">
        <v>23275</v>
      </c>
      <c r="AF1000" s="86">
        <v>168</v>
      </c>
      <c r="AG1000" s="86">
        <v>398</v>
      </c>
      <c r="AH1000" s="86">
        <v>515</v>
      </c>
      <c r="AI1000" s="86">
        <v>1</v>
      </c>
      <c r="AJ1000" s="86">
        <v>110</v>
      </c>
      <c r="AK1000" s="86">
        <v>480</v>
      </c>
      <c r="AL1000" s="86" t="b">
        <v>0</v>
      </c>
      <c r="AM1000" s="89">
        <v>43159.095625000002</v>
      </c>
      <c r="AN1000" s="86" t="s">
        <v>25942</v>
      </c>
      <c r="AO1000" s="86" t="s">
        <v>27336</v>
      </c>
      <c r="AP1000" s="96" t="str">
        <f>HYPERLINK("https://t.co/OkIYxAqex3")</f>
        <v>https://t.co/OkIYxAqex3</v>
      </c>
      <c r="AQ1000" s="96" t="str">
        <f>HYPERLINK("http://www.eloconsult.com")</f>
        <v>http://www.eloconsult.com</v>
      </c>
      <c r="AR1000" s="86" t="s">
        <v>28573</v>
      </c>
      <c r="AS1000" s="86"/>
      <c r="AT1000" s="86"/>
      <c r="AU1000" s="86"/>
      <c r="AV1000" s="86"/>
      <c r="AW1000" s="96" t="str">
        <f>HYPERLINK("https://t.co/OkIYxAqex3")</f>
        <v>https://t.co/OkIYxAqex3</v>
      </c>
      <c r="AX1000" s="86" t="b">
        <v>0</v>
      </c>
      <c r="AY1000" s="86"/>
      <c r="AZ1000" s="86"/>
      <c r="BA1000" s="86" t="b">
        <v>0</v>
      </c>
      <c r="BB1000" s="86" t="b">
        <v>1</v>
      </c>
      <c r="BC1000" s="86" t="b">
        <v>0</v>
      </c>
      <c r="BD1000" s="86" t="b">
        <v>0</v>
      </c>
      <c r="BE1000" s="86" t="b">
        <v>0</v>
      </c>
      <c r="BF1000" s="86" t="b">
        <v>0</v>
      </c>
      <c r="BG1000" s="86" t="b">
        <v>0</v>
      </c>
      <c r="BH1000" s="96" t="str">
        <f>HYPERLINK("https://pbs.twimg.com/profile_banners/968671519315562503/1653643002")</f>
        <v>https://pbs.twimg.com/profile_banners/968671519315562503/1653643002</v>
      </c>
      <c r="BI1000" s="86"/>
      <c r="BJ1000" s="86" t="s">
        <v>29134</v>
      </c>
      <c r="BK1000" s="86" t="b">
        <v>0</v>
      </c>
      <c r="BL1000" s="86"/>
      <c r="BM1000" s="86" t="s">
        <v>66</v>
      </c>
      <c r="BN1000" s="86" t="s">
        <v>29136</v>
      </c>
      <c r="BO1000" s="96" t="str">
        <f>HYPERLINK("https://twitter.com/eloconsultoria_")</f>
        <v>https://twitter.com/eloconsultoria_</v>
      </c>
      <c r="BP1000" s="2"/>
    </row>
    <row r="1001" spans="1:68" x14ac:dyDescent="0.25">
      <c r="A1001" s="63" t="s">
        <v>1070</v>
      </c>
      <c r="B1001" s="64"/>
      <c r="C1001" s="64"/>
      <c r="D1001" s="65"/>
      <c r="E1001" s="67"/>
      <c r="F1001" s="111" t="str">
        <f>HYPERLINK("https://pbs.twimg.com/profile_images/1661383511930970122/38zQfcEj_normal.jpg")</f>
        <v>https://pbs.twimg.com/profile_images/1661383511930970122/38zQfcEj_normal.jpg</v>
      </c>
      <c r="G1001" s="64"/>
      <c r="H1001" s="68"/>
      <c r="I1001" s="69"/>
      <c r="J1001" s="69"/>
      <c r="K1001" s="68" t="s">
        <v>30134</v>
      </c>
      <c r="L1001" s="72"/>
      <c r="M1001" s="73"/>
      <c r="N1001" s="73"/>
      <c r="O1001" s="74"/>
      <c r="P1001" s="75"/>
      <c r="Q1001" s="75"/>
      <c r="R1001" s="102"/>
      <c r="S1001" s="102"/>
      <c r="T1001" s="102"/>
      <c r="U1001" s="102"/>
      <c r="V1001" s="48"/>
      <c r="W1001" s="48"/>
      <c r="X1001" s="48"/>
      <c r="Y1001" s="48"/>
      <c r="Z1001" s="47"/>
      <c r="AA1001" s="70">
        <v>1001</v>
      </c>
      <c r="AB1001" s="70"/>
      <c r="AC1001" s="71"/>
      <c r="AD1001" s="86" t="s">
        <v>24609</v>
      </c>
      <c r="AE1001" s="94" t="s">
        <v>25625</v>
      </c>
      <c r="AF1001" s="86">
        <v>52</v>
      </c>
      <c r="AG1001" s="86">
        <v>85</v>
      </c>
      <c r="AH1001" s="86">
        <v>959</v>
      </c>
      <c r="AI1001" s="86">
        <v>0</v>
      </c>
      <c r="AJ1001" s="86">
        <v>1013</v>
      </c>
      <c r="AK1001" s="86">
        <v>55</v>
      </c>
      <c r="AL1001" s="86" t="b">
        <v>0</v>
      </c>
      <c r="AM1001" s="89">
        <v>40501.090763888889</v>
      </c>
      <c r="AN1001" s="86" t="s">
        <v>25895</v>
      </c>
      <c r="AO1001" s="86" t="s">
        <v>27337</v>
      </c>
      <c r="AP1001" s="96" t="str">
        <f>HYPERLINK("https://t.co/Ht7kBFWCpI")</f>
        <v>https://t.co/Ht7kBFWCpI</v>
      </c>
      <c r="AQ1001" s="96" t="str">
        <f>HYPERLINK("https://ahz.bio/leonardoafonsomachado")</f>
        <v>https://ahz.bio/leonardoafonsomachado</v>
      </c>
      <c r="AR1001" s="86" t="s">
        <v>28574</v>
      </c>
      <c r="AS1001" s="86"/>
      <c r="AT1001" s="86"/>
      <c r="AU1001" s="86"/>
      <c r="AV1001" s="86"/>
      <c r="AW1001" s="96" t="str">
        <f>HYPERLINK("https://t.co/Ht7kBFWCpI")</f>
        <v>https://t.co/Ht7kBFWCpI</v>
      </c>
      <c r="AX1001" s="86" t="b">
        <v>0</v>
      </c>
      <c r="AY1001" s="86"/>
      <c r="AZ1001" s="86"/>
      <c r="BA1001" s="86" t="b">
        <v>1</v>
      </c>
      <c r="BB1001" s="86" t="b">
        <v>1</v>
      </c>
      <c r="BC1001" s="86" t="b">
        <v>0</v>
      </c>
      <c r="BD1001" s="86" t="b">
        <v>0</v>
      </c>
      <c r="BE1001" s="86" t="b">
        <v>0</v>
      </c>
      <c r="BF1001" s="86" t="b">
        <v>0</v>
      </c>
      <c r="BG1001" s="86" t="b">
        <v>0</v>
      </c>
      <c r="BH1001" s="96" t="str">
        <f>HYPERLINK("https://pbs.twimg.com/profile_banners/217277469/1613834357")</f>
        <v>https://pbs.twimg.com/profile_banners/217277469/1613834357</v>
      </c>
      <c r="BI1001" s="86"/>
      <c r="BJ1001" s="86" t="s">
        <v>29134</v>
      </c>
      <c r="BK1001" s="86" t="b">
        <v>0</v>
      </c>
      <c r="BL1001" s="86"/>
      <c r="BM1001" s="86" t="s">
        <v>66</v>
      </c>
      <c r="BN1001" s="86" t="s">
        <v>29136</v>
      </c>
      <c r="BO1001" s="96" t="str">
        <f>HYPERLINK("https://twitter.com/leoamachado")</f>
        <v>https://twitter.com/leoamachado</v>
      </c>
      <c r="BP1001" s="2"/>
    </row>
    <row r="1002" spans="1:68" x14ac:dyDescent="0.25">
      <c r="A1002" s="63" t="s">
        <v>1071</v>
      </c>
      <c r="B1002" s="64"/>
      <c r="C1002" s="64"/>
      <c r="D1002" s="65"/>
      <c r="E1002" s="67"/>
      <c r="F1002" s="111" t="str">
        <f>HYPERLINK("https://pbs.twimg.com/profile_images/1144683535606964225/5nzX1Tmt_normal.png")</f>
        <v>https://pbs.twimg.com/profile_images/1144683535606964225/5nzX1Tmt_normal.png</v>
      </c>
      <c r="G1002" s="64"/>
      <c r="H1002" s="68"/>
      <c r="I1002" s="69"/>
      <c r="J1002" s="69"/>
      <c r="K1002" s="68" t="s">
        <v>30135</v>
      </c>
      <c r="L1002" s="72"/>
      <c r="M1002" s="73"/>
      <c r="N1002" s="73"/>
      <c r="O1002" s="74"/>
      <c r="P1002" s="75"/>
      <c r="Q1002" s="75"/>
      <c r="R1002" s="102"/>
      <c r="S1002" s="102"/>
      <c r="T1002" s="102"/>
      <c r="U1002" s="102"/>
      <c r="V1002" s="48"/>
      <c r="W1002" s="48"/>
      <c r="X1002" s="48"/>
      <c r="Y1002" s="48"/>
      <c r="Z1002" s="47"/>
      <c r="AA1002" s="70">
        <v>1002</v>
      </c>
      <c r="AB1002" s="70"/>
      <c r="AC1002" s="71"/>
      <c r="AD1002" s="86" t="s">
        <v>24610</v>
      </c>
      <c r="AE1002" s="94" t="s">
        <v>23276</v>
      </c>
      <c r="AF1002" s="86">
        <v>9</v>
      </c>
      <c r="AG1002" s="86">
        <v>77</v>
      </c>
      <c r="AH1002" s="86">
        <v>64</v>
      </c>
      <c r="AI1002" s="86">
        <v>0</v>
      </c>
      <c r="AJ1002" s="86">
        <v>8</v>
      </c>
      <c r="AK1002" s="86">
        <v>64</v>
      </c>
      <c r="AL1002" s="86" t="b">
        <v>0</v>
      </c>
      <c r="AM1002" s="89">
        <v>43568.787581018521</v>
      </c>
      <c r="AN1002" s="86"/>
      <c r="AO1002" s="86"/>
      <c r="AP1002" s="86"/>
      <c r="AQ1002" s="86"/>
      <c r="AR1002" s="86"/>
      <c r="AS1002" s="86"/>
      <c r="AT1002" s="86"/>
      <c r="AU1002" s="86"/>
      <c r="AV1002" s="86"/>
      <c r="AW1002" s="86"/>
      <c r="AX1002" s="86" t="b">
        <v>0</v>
      </c>
      <c r="AY1002" s="86"/>
      <c r="AZ1002" s="86"/>
      <c r="BA1002" s="86" t="b">
        <v>0</v>
      </c>
      <c r="BB1002" s="86" t="b">
        <v>1</v>
      </c>
      <c r="BC1002" s="86" t="b">
        <v>1</v>
      </c>
      <c r="BD1002" s="86" t="b">
        <v>0</v>
      </c>
      <c r="BE1002" s="86" t="b">
        <v>0</v>
      </c>
      <c r="BF1002" s="86" t="b">
        <v>0</v>
      </c>
      <c r="BG1002" s="86" t="b">
        <v>0</v>
      </c>
      <c r="BH1002" s="96" t="str">
        <f>HYPERLINK("https://pbs.twimg.com/profile_banners/1117138915994087432/1561748784")</f>
        <v>https://pbs.twimg.com/profile_banners/1117138915994087432/1561748784</v>
      </c>
      <c r="BI1002" s="86"/>
      <c r="BJ1002" s="86" t="s">
        <v>29134</v>
      </c>
      <c r="BK1002" s="86" t="b">
        <v>0</v>
      </c>
      <c r="BL1002" s="86"/>
      <c r="BM1002" s="86" t="s">
        <v>66</v>
      </c>
      <c r="BN1002" s="86" t="s">
        <v>29136</v>
      </c>
      <c r="BO1002" s="96" t="str">
        <f>HYPERLINK("https://twitter.com/manoelsantosmkt")</f>
        <v>https://twitter.com/manoelsantosmkt</v>
      </c>
      <c r="BP1002" s="2"/>
    </row>
    <row r="1003" spans="1:68" x14ac:dyDescent="0.25">
      <c r="A1003" s="63" t="s">
        <v>1072</v>
      </c>
      <c r="B1003" s="64"/>
      <c r="C1003" s="64"/>
      <c r="D1003" s="65"/>
      <c r="E1003" s="67"/>
      <c r="F1003" s="111" t="str">
        <f>HYPERLINK("https://pbs.twimg.com/profile_images/1608765216099008513/lGtsrUL4_normal.jpg")</f>
        <v>https://pbs.twimg.com/profile_images/1608765216099008513/lGtsrUL4_normal.jpg</v>
      </c>
      <c r="G1003" s="64"/>
      <c r="H1003" s="68"/>
      <c r="I1003" s="69"/>
      <c r="J1003" s="69"/>
      <c r="K1003" s="68" t="s">
        <v>30136</v>
      </c>
      <c r="L1003" s="72"/>
      <c r="M1003" s="73"/>
      <c r="N1003" s="73"/>
      <c r="O1003" s="74"/>
      <c r="P1003" s="75"/>
      <c r="Q1003" s="75"/>
      <c r="R1003" s="102"/>
      <c r="S1003" s="102"/>
      <c r="T1003" s="102"/>
      <c r="U1003" s="102"/>
      <c r="V1003" s="48"/>
      <c r="W1003" s="48"/>
      <c r="X1003" s="48"/>
      <c r="Y1003" s="48"/>
      <c r="Z1003" s="47"/>
      <c r="AA1003" s="70">
        <v>1003</v>
      </c>
      <c r="AB1003" s="70"/>
      <c r="AC1003" s="71"/>
      <c r="AD1003" s="86" t="s">
        <v>1072</v>
      </c>
      <c r="AE1003" s="94" t="s">
        <v>23277</v>
      </c>
      <c r="AF1003" s="86">
        <v>216</v>
      </c>
      <c r="AG1003" s="86">
        <v>2503</v>
      </c>
      <c r="AH1003" s="86">
        <v>223</v>
      </c>
      <c r="AI1003" s="86">
        <v>0</v>
      </c>
      <c r="AJ1003" s="86">
        <v>4</v>
      </c>
      <c r="AK1003" s="86">
        <v>220</v>
      </c>
      <c r="AL1003" s="86" t="b">
        <v>0</v>
      </c>
      <c r="AM1003" s="89">
        <v>44628.799097222225</v>
      </c>
      <c r="AN1003" s="86" t="s">
        <v>26234</v>
      </c>
      <c r="AO1003" s="86" t="s">
        <v>27338</v>
      </c>
      <c r="AP1003" s="96" t="str">
        <f>HYPERLINK("https://t.co/nBHND21cIE")</f>
        <v>https://t.co/nBHND21cIE</v>
      </c>
      <c r="AQ1003" s="96" t="str">
        <f>HYPERLINK("https://linktr.ee/kainanbelato")</f>
        <v>https://linktr.ee/kainanbelato</v>
      </c>
      <c r="AR1003" s="86" t="s">
        <v>28575</v>
      </c>
      <c r="AS1003" s="86"/>
      <c r="AT1003" s="86"/>
      <c r="AU1003" s="86"/>
      <c r="AV1003" s="86"/>
      <c r="AW1003" s="96" t="str">
        <f>HYPERLINK("https://t.co/nBHND21cIE")</f>
        <v>https://t.co/nBHND21cIE</v>
      </c>
      <c r="AX1003" s="86" t="b">
        <v>0</v>
      </c>
      <c r="AY1003" s="86"/>
      <c r="AZ1003" s="86"/>
      <c r="BA1003" s="86" t="b">
        <v>0</v>
      </c>
      <c r="BB1003" s="86" t="b">
        <v>1</v>
      </c>
      <c r="BC1003" s="86" t="b">
        <v>1</v>
      </c>
      <c r="BD1003" s="86" t="b">
        <v>0</v>
      </c>
      <c r="BE1003" s="86" t="b">
        <v>0</v>
      </c>
      <c r="BF1003" s="86" t="b">
        <v>0</v>
      </c>
      <c r="BG1003" s="86" t="b">
        <v>0</v>
      </c>
      <c r="BH1003" s="96" t="str">
        <f>HYPERLINK("https://pbs.twimg.com/profile_banners/1501274159560732678/1672394927")</f>
        <v>https://pbs.twimg.com/profile_banners/1501274159560732678/1672394927</v>
      </c>
      <c r="BI1003" s="86"/>
      <c r="BJ1003" s="86" t="s">
        <v>29134</v>
      </c>
      <c r="BK1003" s="86" t="b">
        <v>0</v>
      </c>
      <c r="BL1003" s="86"/>
      <c r="BM1003" s="86" t="s">
        <v>66</v>
      </c>
      <c r="BN1003" s="86" t="s">
        <v>29136</v>
      </c>
      <c r="BO1003" s="96" t="str">
        <f>HYPERLINK("https://twitter.com/kainanbelato")</f>
        <v>https://twitter.com/kainanbelato</v>
      </c>
      <c r="BP1003" s="2"/>
    </row>
    <row r="1004" spans="1:68" x14ac:dyDescent="0.25">
      <c r="A1004" s="63" t="s">
        <v>1073</v>
      </c>
      <c r="B1004" s="64"/>
      <c r="C1004" s="64"/>
      <c r="D1004" s="65"/>
      <c r="E1004" s="67"/>
      <c r="F1004" s="111" t="str">
        <f>HYPERLINK("https://pbs.twimg.com/profile_images/1688664301907701760/xP4718W7_normal.jpg")</f>
        <v>https://pbs.twimg.com/profile_images/1688664301907701760/xP4718W7_normal.jpg</v>
      </c>
      <c r="G1004" s="64"/>
      <c r="H1004" s="68"/>
      <c r="I1004" s="69"/>
      <c r="J1004" s="69"/>
      <c r="K1004" s="68" t="s">
        <v>30137</v>
      </c>
      <c r="L1004" s="72"/>
      <c r="M1004" s="73"/>
      <c r="N1004" s="73"/>
      <c r="O1004" s="74"/>
      <c r="P1004" s="75"/>
      <c r="Q1004" s="75"/>
      <c r="R1004" s="102"/>
      <c r="S1004" s="102"/>
      <c r="T1004" s="102"/>
      <c r="U1004" s="102"/>
      <c r="V1004" s="48"/>
      <c r="W1004" s="48"/>
      <c r="X1004" s="48"/>
      <c r="Y1004" s="48"/>
      <c r="Z1004" s="47"/>
      <c r="AA1004" s="70">
        <v>1004</v>
      </c>
      <c r="AB1004" s="70"/>
      <c r="AC1004" s="71"/>
      <c r="AD1004" s="86" t="s">
        <v>24611</v>
      </c>
      <c r="AE1004" s="94" t="s">
        <v>23278</v>
      </c>
      <c r="AF1004" s="86">
        <v>0</v>
      </c>
      <c r="AG1004" s="86">
        <v>10</v>
      </c>
      <c r="AH1004" s="86">
        <v>11</v>
      </c>
      <c r="AI1004" s="86">
        <v>0</v>
      </c>
      <c r="AJ1004" s="86">
        <v>0</v>
      </c>
      <c r="AK1004" s="86">
        <v>11</v>
      </c>
      <c r="AL1004" s="86" t="b">
        <v>0</v>
      </c>
      <c r="AM1004" s="89">
        <v>45145.897060185183</v>
      </c>
      <c r="AN1004" s="86"/>
      <c r="AO1004" s="86" t="s">
        <v>27339</v>
      </c>
      <c r="AP1004" s="86"/>
      <c r="AQ1004" s="86"/>
      <c r="AR1004" s="86"/>
      <c r="AS1004" s="86"/>
      <c r="AT1004" s="86"/>
      <c r="AU1004" s="86"/>
      <c r="AV1004" s="86"/>
      <c r="AW1004" s="86"/>
      <c r="AX1004" s="86" t="b">
        <v>0</v>
      </c>
      <c r="AY1004" s="86"/>
      <c r="AZ1004" s="86"/>
      <c r="BA1004" s="86" t="b">
        <v>0</v>
      </c>
      <c r="BB1004" s="86" t="b">
        <v>1</v>
      </c>
      <c r="BC1004" s="86" t="b">
        <v>1</v>
      </c>
      <c r="BD1004" s="86" t="b">
        <v>0</v>
      </c>
      <c r="BE1004" s="86" t="b">
        <v>0</v>
      </c>
      <c r="BF1004" s="86" t="b">
        <v>0</v>
      </c>
      <c r="BG1004" s="86" t="b">
        <v>0</v>
      </c>
      <c r="BH1004" s="86"/>
      <c r="BI1004" s="86"/>
      <c r="BJ1004" s="86" t="s">
        <v>29134</v>
      </c>
      <c r="BK1004" s="86" t="b">
        <v>0</v>
      </c>
      <c r="BL1004" s="86"/>
      <c r="BM1004" s="86" t="s">
        <v>66</v>
      </c>
      <c r="BN1004" s="86" t="s">
        <v>29136</v>
      </c>
      <c r="BO1004" s="96" t="str">
        <f>HYPERLINK("https://twitter.com/vowtecommerce")</f>
        <v>https://twitter.com/vowtecommerce</v>
      </c>
      <c r="BP1004" s="2"/>
    </row>
    <row r="1005" spans="1:68" x14ac:dyDescent="0.25">
      <c r="A1005" s="63" t="s">
        <v>1074</v>
      </c>
      <c r="B1005" s="64"/>
      <c r="C1005" s="64"/>
      <c r="D1005" s="65"/>
      <c r="E1005" s="67"/>
      <c r="F1005" s="111" t="str">
        <f>HYPERLINK("https://pbs.twimg.com/profile_images/1244638269435981825/g09yc0Dw_normal.jpg")</f>
        <v>https://pbs.twimg.com/profile_images/1244638269435981825/g09yc0Dw_normal.jpg</v>
      </c>
      <c r="G1005" s="64"/>
      <c r="H1005" s="68"/>
      <c r="I1005" s="69"/>
      <c r="J1005" s="69"/>
      <c r="K1005" s="68" t="s">
        <v>30138</v>
      </c>
      <c r="L1005" s="72"/>
      <c r="M1005" s="73"/>
      <c r="N1005" s="73"/>
      <c r="O1005" s="74"/>
      <c r="P1005" s="75"/>
      <c r="Q1005" s="75"/>
      <c r="R1005" s="102"/>
      <c r="S1005" s="102"/>
      <c r="T1005" s="102"/>
      <c r="U1005" s="102"/>
      <c r="V1005" s="48"/>
      <c r="W1005" s="48"/>
      <c r="X1005" s="48"/>
      <c r="Y1005" s="48"/>
      <c r="Z1005" s="47"/>
      <c r="AA1005" s="70">
        <v>1005</v>
      </c>
      <c r="AB1005" s="70"/>
      <c r="AC1005" s="71"/>
      <c r="AD1005" s="86" t="s">
        <v>24612</v>
      </c>
      <c r="AE1005" s="94" t="s">
        <v>25626</v>
      </c>
      <c r="AF1005" s="86">
        <v>339</v>
      </c>
      <c r="AG1005" s="86">
        <v>861</v>
      </c>
      <c r="AH1005" s="86">
        <v>5759</v>
      </c>
      <c r="AI1005" s="86">
        <v>3</v>
      </c>
      <c r="AJ1005" s="86">
        <v>47</v>
      </c>
      <c r="AK1005" s="86">
        <v>999</v>
      </c>
      <c r="AL1005" s="86" t="b">
        <v>0</v>
      </c>
      <c r="AM1005" s="89">
        <v>40682.105300925927</v>
      </c>
      <c r="AN1005" s="86" t="s">
        <v>26235</v>
      </c>
      <c r="AO1005" s="86" t="s">
        <v>27340</v>
      </c>
      <c r="AP1005" s="96" t="str">
        <f>HYPERLINK("https://t.co/iffHNZR3QQ")</f>
        <v>https://t.co/iffHNZR3QQ</v>
      </c>
      <c r="AQ1005" s="96" t="str">
        <f>HYPERLINK("https://linktr.ee/brunomarquespro")</f>
        <v>https://linktr.ee/brunomarquespro</v>
      </c>
      <c r="AR1005" s="86" t="s">
        <v>28576</v>
      </c>
      <c r="AS1005" s="86"/>
      <c r="AT1005" s="86"/>
      <c r="AU1005" s="86"/>
      <c r="AV1005" s="86"/>
      <c r="AW1005" s="96" t="str">
        <f>HYPERLINK("https://t.co/iffHNZR3QQ")</f>
        <v>https://t.co/iffHNZR3QQ</v>
      </c>
      <c r="AX1005" s="86" t="b">
        <v>0</v>
      </c>
      <c r="AY1005" s="86"/>
      <c r="AZ1005" s="86"/>
      <c r="BA1005" s="86" t="b">
        <v>0</v>
      </c>
      <c r="BB1005" s="86" t="b">
        <v>1</v>
      </c>
      <c r="BC1005" s="86" t="b">
        <v>0</v>
      </c>
      <c r="BD1005" s="86" t="b">
        <v>0</v>
      </c>
      <c r="BE1005" s="86" t="b">
        <v>0</v>
      </c>
      <c r="BF1005" s="86" t="b">
        <v>0</v>
      </c>
      <c r="BG1005" s="86" t="b">
        <v>0</v>
      </c>
      <c r="BH1005" s="96" t="str">
        <f>HYPERLINK("https://pbs.twimg.com/profile_banners/301211155/1585595430")</f>
        <v>https://pbs.twimg.com/profile_banners/301211155/1585595430</v>
      </c>
      <c r="BI1005" s="86"/>
      <c r="BJ1005" s="86" t="s">
        <v>29134</v>
      </c>
      <c r="BK1005" s="86" t="b">
        <v>0</v>
      </c>
      <c r="BL1005" s="86"/>
      <c r="BM1005" s="86" t="s">
        <v>66</v>
      </c>
      <c r="BN1005" s="86" t="s">
        <v>29136</v>
      </c>
      <c r="BO1005" s="96" t="str">
        <f>HYPERLINK("https://twitter.com/brmarquespro")</f>
        <v>https://twitter.com/brmarquespro</v>
      </c>
      <c r="BP1005" s="2"/>
    </row>
    <row r="1006" spans="1:68" x14ac:dyDescent="0.25">
      <c r="A1006" s="63" t="s">
        <v>1075</v>
      </c>
      <c r="B1006" s="64"/>
      <c r="C1006" s="64"/>
      <c r="D1006" s="65"/>
      <c r="E1006" s="67"/>
      <c r="F1006" s="111" t="str">
        <f>HYPERLINK("https://pbs.twimg.com/profile_images/1676696087778738177/FxT_yYeW_normal.jpg")</f>
        <v>https://pbs.twimg.com/profile_images/1676696087778738177/FxT_yYeW_normal.jpg</v>
      </c>
      <c r="G1006" s="64"/>
      <c r="H1006" s="68"/>
      <c r="I1006" s="69"/>
      <c r="J1006" s="69"/>
      <c r="K1006" s="68" t="s">
        <v>30139</v>
      </c>
      <c r="L1006" s="72"/>
      <c r="M1006" s="73"/>
      <c r="N1006" s="73"/>
      <c r="O1006" s="74"/>
      <c r="P1006" s="75"/>
      <c r="Q1006" s="75"/>
      <c r="R1006" s="102"/>
      <c r="S1006" s="102"/>
      <c r="T1006" s="102"/>
      <c r="U1006" s="102"/>
      <c r="V1006" s="48"/>
      <c r="W1006" s="48"/>
      <c r="X1006" s="48"/>
      <c r="Y1006" s="48"/>
      <c r="Z1006" s="47"/>
      <c r="AA1006" s="70">
        <v>1006</v>
      </c>
      <c r="AB1006" s="70"/>
      <c r="AC1006" s="71"/>
      <c r="AD1006" s="86" t="s">
        <v>24613</v>
      </c>
      <c r="AE1006" s="94" t="s">
        <v>23279</v>
      </c>
      <c r="AF1006" s="86">
        <v>1</v>
      </c>
      <c r="AG1006" s="86">
        <v>1</v>
      </c>
      <c r="AH1006" s="86">
        <v>5</v>
      </c>
      <c r="AI1006" s="86">
        <v>0</v>
      </c>
      <c r="AJ1006" s="86">
        <v>5</v>
      </c>
      <c r="AK1006" s="86">
        <v>1</v>
      </c>
      <c r="AL1006" s="86" t="b">
        <v>0</v>
      </c>
      <c r="AM1006" s="89">
        <v>45112.866481481484</v>
      </c>
      <c r="AN1006" s="86"/>
      <c r="AO1006" s="86" t="s">
        <v>27341</v>
      </c>
      <c r="AP1006" s="96" t="str">
        <f>HYPERLINK("https://t.co/CEmiL14zZR")</f>
        <v>https://t.co/CEmiL14zZR</v>
      </c>
      <c r="AQ1006" s="96" t="str">
        <f>HYPERLINK("https://kiwify.app/hRL5gxY?afid=tmFWcHcW")</f>
        <v>https://kiwify.app/hRL5gxY?afid=tmFWcHcW</v>
      </c>
      <c r="AR1006" s="86" t="s">
        <v>28577</v>
      </c>
      <c r="AS1006" s="86"/>
      <c r="AT1006" s="86"/>
      <c r="AU1006" s="86"/>
      <c r="AV1006" s="86"/>
      <c r="AW1006" s="96" t="str">
        <f>HYPERLINK("https://t.co/CEmiL14zZR")</f>
        <v>https://t.co/CEmiL14zZR</v>
      </c>
      <c r="AX1006" s="86" t="b">
        <v>0</v>
      </c>
      <c r="AY1006" s="86"/>
      <c r="AZ1006" s="86"/>
      <c r="BA1006" s="86" t="b">
        <v>0</v>
      </c>
      <c r="BB1006" s="86" t="b">
        <v>1</v>
      </c>
      <c r="BC1006" s="86" t="b">
        <v>1</v>
      </c>
      <c r="BD1006" s="86" t="b">
        <v>0</v>
      </c>
      <c r="BE1006" s="86" t="b">
        <v>0</v>
      </c>
      <c r="BF1006" s="86" t="b">
        <v>0</v>
      </c>
      <c r="BG1006" s="86" t="b">
        <v>0</v>
      </c>
      <c r="BH1006" s="96" t="str">
        <f>HYPERLINK("https://pbs.twimg.com/profile_banners/1676694243312644096/1688595400")</f>
        <v>https://pbs.twimg.com/profile_banners/1676694243312644096/1688595400</v>
      </c>
      <c r="BI1006" s="86"/>
      <c r="BJ1006" s="86" t="s">
        <v>29134</v>
      </c>
      <c r="BK1006" s="86" t="b">
        <v>0</v>
      </c>
      <c r="BL1006" s="86"/>
      <c r="BM1006" s="86" t="s">
        <v>66</v>
      </c>
      <c r="BN1006" s="86" t="s">
        <v>29136</v>
      </c>
      <c r="BO1006" s="96" t="str">
        <f>HYPERLINK("https://twitter.com/alphazinfoda")</f>
        <v>https://twitter.com/alphazinfoda</v>
      </c>
      <c r="BP1006" s="2"/>
    </row>
    <row r="1007" spans="1:68" x14ac:dyDescent="0.25">
      <c r="A1007" s="63" t="s">
        <v>1076</v>
      </c>
      <c r="B1007" s="64"/>
      <c r="C1007" s="64"/>
      <c r="D1007" s="65"/>
      <c r="E1007" s="67"/>
      <c r="F1007" s="111" t="str">
        <f>HYPERLINK("https://pbs.twimg.com/profile_images/1510993263297183750/Ay0_xLYK_normal.jpg")</f>
        <v>https://pbs.twimg.com/profile_images/1510993263297183750/Ay0_xLYK_normal.jpg</v>
      </c>
      <c r="G1007" s="64"/>
      <c r="H1007" s="68"/>
      <c r="I1007" s="69"/>
      <c r="J1007" s="69"/>
      <c r="K1007" s="68" t="s">
        <v>30140</v>
      </c>
      <c r="L1007" s="72"/>
      <c r="M1007" s="73"/>
      <c r="N1007" s="73"/>
      <c r="O1007" s="74"/>
      <c r="P1007" s="75"/>
      <c r="Q1007" s="75"/>
      <c r="R1007" s="102"/>
      <c r="S1007" s="102"/>
      <c r="T1007" s="102"/>
      <c r="U1007" s="102"/>
      <c r="V1007" s="48"/>
      <c r="W1007" s="48"/>
      <c r="X1007" s="48"/>
      <c r="Y1007" s="48"/>
      <c r="Z1007" s="47"/>
      <c r="AA1007" s="70">
        <v>1007</v>
      </c>
      <c r="AB1007" s="70"/>
      <c r="AC1007" s="71"/>
      <c r="AD1007" s="86" t="s">
        <v>24614</v>
      </c>
      <c r="AE1007" s="94" t="s">
        <v>23280</v>
      </c>
      <c r="AF1007" s="86">
        <v>6</v>
      </c>
      <c r="AG1007" s="86">
        <v>0</v>
      </c>
      <c r="AH1007" s="86">
        <v>609</v>
      </c>
      <c r="AI1007" s="86">
        <v>0</v>
      </c>
      <c r="AJ1007" s="86">
        <v>0</v>
      </c>
      <c r="AK1007" s="86">
        <v>604</v>
      </c>
      <c r="AL1007" s="86" t="b">
        <v>0</v>
      </c>
      <c r="AM1007" s="89">
        <v>44655.61824074074</v>
      </c>
      <c r="AN1007" s="86"/>
      <c r="AO1007" s="86" t="s">
        <v>27342</v>
      </c>
      <c r="AP1007" s="86"/>
      <c r="AQ1007" s="86"/>
      <c r="AR1007" s="86"/>
      <c r="AS1007" s="96" t="str">
        <f>HYPERLINK("https://t.co/iLH7hcPMKE")</f>
        <v>https://t.co/iLH7hcPMKE</v>
      </c>
      <c r="AT1007" s="96" t="str">
        <f>HYPERLINK("http://linktr.ee/bd.consultoria")</f>
        <v>http://linktr.ee/bd.consultoria</v>
      </c>
      <c r="AU1007" s="86" t="s">
        <v>29099</v>
      </c>
      <c r="AV1007" s="86"/>
      <c r="AW1007" s="86"/>
      <c r="AX1007" s="86" t="b">
        <v>0</v>
      </c>
      <c r="AY1007" s="86"/>
      <c r="AZ1007" s="86"/>
      <c r="BA1007" s="86" t="b">
        <v>0</v>
      </c>
      <c r="BB1007" s="86" t="b">
        <v>1</v>
      </c>
      <c r="BC1007" s="86" t="b">
        <v>1</v>
      </c>
      <c r="BD1007" s="86" t="b">
        <v>0</v>
      </c>
      <c r="BE1007" s="86" t="b">
        <v>0</v>
      </c>
      <c r="BF1007" s="86" t="b">
        <v>0</v>
      </c>
      <c r="BG1007" s="86" t="b">
        <v>0</v>
      </c>
      <c r="BH1007" s="96" t="str">
        <f>HYPERLINK("https://pbs.twimg.com/profile_banners/1510993117012537352/1649171846")</f>
        <v>https://pbs.twimg.com/profile_banners/1510993117012537352/1649171846</v>
      </c>
      <c r="BI1007" s="86"/>
      <c r="BJ1007" s="86" t="s">
        <v>29134</v>
      </c>
      <c r="BK1007" s="86" t="b">
        <v>0</v>
      </c>
      <c r="BL1007" s="86"/>
      <c r="BM1007" s="86" t="s">
        <v>66</v>
      </c>
      <c r="BN1007" s="86" t="s">
        <v>29136</v>
      </c>
      <c r="BO1007" s="96" t="str">
        <f>HYPERLINK("https://twitter.com/daroltbruno")</f>
        <v>https://twitter.com/daroltbruno</v>
      </c>
      <c r="BP1007" s="2"/>
    </row>
    <row r="1008" spans="1:68" x14ac:dyDescent="0.25">
      <c r="A1008" s="63" t="s">
        <v>1078</v>
      </c>
      <c r="B1008" s="64"/>
      <c r="C1008" s="64"/>
      <c r="D1008" s="65"/>
      <c r="E1008" s="67"/>
      <c r="F1008" s="111" t="str">
        <f>HYPERLINK("https://pbs.twimg.com/profile_images/1038109730441441280/BwaACACI_normal.jpg")</f>
        <v>https://pbs.twimg.com/profile_images/1038109730441441280/BwaACACI_normal.jpg</v>
      </c>
      <c r="G1008" s="64"/>
      <c r="H1008" s="68"/>
      <c r="I1008" s="69"/>
      <c r="J1008" s="69"/>
      <c r="K1008" s="68" t="s">
        <v>30141</v>
      </c>
      <c r="L1008" s="72"/>
      <c r="M1008" s="73"/>
      <c r="N1008" s="73"/>
      <c r="O1008" s="74"/>
      <c r="P1008" s="75"/>
      <c r="Q1008" s="75"/>
      <c r="R1008" s="102"/>
      <c r="S1008" s="102"/>
      <c r="T1008" s="102"/>
      <c r="U1008" s="102"/>
      <c r="V1008" s="48"/>
      <c r="W1008" s="48"/>
      <c r="X1008" s="48"/>
      <c r="Y1008" s="48"/>
      <c r="Z1008" s="47"/>
      <c r="AA1008" s="70">
        <v>1008</v>
      </c>
      <c r="AB1008" s="70"/>
      <c r="AC1008" s="71"/>
      <c r="AD1008" s="86" t="s">
        <v>24615</v>
      </c>
      <c r="AE1008" s="94" t="s">
        <v>23282</v>
      </c>
      <c r="AF1008" s="86">
        <v>3799</v>
      </c>
      <c r="AG1008" s="86">
        <v>4970</v>
      </c>
      <c r="AH1008" s="86">
        <v>140194</v>
      </c>
      <c r="AI1008" s="86">
        <v>25</v>
      </c>
      <c r="AJ1008" s="86">
        <v>20421</v>
      </c>
      <c r="AK1008" s="86">
        <v>7</v>
      </c>
      <c r="AL1008" s="86" t="b">
        <v>0</v>
      </c>
      <c r="AM1008" s="89">
        <v>43350.702592592592</v>
      </c>
      <c r="AN1008" s="86" t="s">
        <v>26187</v>
      </c>
      <c r="AO1008" s="86" t="s">
        <v>27343</v>
      </c>
      <c r="AP1008" s="96" t="str">
        <f>HYPERLINK("https://t.co/ww1ToE54yc")</f>
        <v>https://t.co/ww1ToE54yc</v>
      </c>
      <c r="AQ1008" s="96" t="str">
        <f>HYPERLINK("https://www.k12prospects.com/")</f>
        <v>https://www.k12prospects.com/</v>
      </c>
      <c r="AR1008" s="86" t="s">
        <v>28467</v>
      </c>
      <c r="AS1008" s="86"/>
      <c r="AT1008" s="86"/>
      <c r="AU1008" s="86"/>
      <c r="AV1008" s="86">
        <v>1.2530028297002099E+18</v>
      </c>
      <c r="AW1008" s="96" t="str">
        <f>HYPERLINK("https://t.co/ww1ToE54yc")</f>
        <v>https://t.co/ww1ToE54yc</v>
      </c>
      <c r="AX1008" s="86" t="b">
        <v>0</v>
      </c>
      <c r="AY1008" s="86"/>
      <c r="AZ1008" s="86"/>
      <c r="BA1008" s="86" t="b">
        <v>0</v>
      </c>
      <c r="BB1008" s="86" t="b">
        <v>1</v>
      </c>
      <c r="BC1008" s="86" t="b">
        <v>1</v>
      </c>
      <c r="BD1008" s="86" t="b">
        <v>0</v>
      </c>
      <c r="BE1008" s="86" t="b">
        <v>1</v>
      </c>
      <c r="BF1008" s="86" t="b">
        <v>0</v>
      </c>
      <c r="BG1008" s="86" t="b">
        <v>0</v>
      </c>
      <c r="BH1008" s="96" t="str">
        <f>HYPERLINK("https://pbs.twimg.com/profile_banners/1038107559817830400/1536340145")</f>
        <v>https://pbs.twimg.com/profile_banners/1038107559817830400/1536340145</v>
      </c>
      <c r="BI1008" s="86"/>
      <c r="BJ1008" s="86" t="s">
        <v>29134</v>
      </c>
      <c r="BK1008" s="86" t="b">
        <v>0</v>
      </c>
      <c r="BL1008" s="86"/>
      <c r="BM1008" s="86" t="s">
        <v>66</v>
      </c>
      <c r="BN1008" s="86" t="s">
        <v>29136</v>
      </c>
      <c r="BO1008" s="96" t="str">
        <f>HYPERLINK("https://twitter.com/jc_james_clark")</f>
        <v>https://twitter.com/jc_james_clark</v>
      </c>
      <c r="BP1008" s="2"/>
    </row>
    <row r="1009" spans="1:68" x14ac:dyDescent="0.25">
      <c r="A1009" s="63" t="s">
        <v>1079</v>
      </c>
      <c r="B1009" s="64"/>
      <c r="C1009" s="64"/>
      <c r="D1009" s="65"/>
      <c r="E1009" s="67"/>
      <c r="F1009" s="111" t="str">
        <f>HYPERLINK("https://pbs.twimg.com/profile_images/1656737419750670353/RZScnMvO_normal.jpg")</f>
        <v>https://pbs.twimg.com/profile_images/1656737419750670353/RZScnMvO_normal.jpg</v>
      </c>
      <c r="G1009" s="64"/>
      <c r="H1009" s="68"/>
      <c r="I1009" s="69"/>
      <c r="J1009" s="69"/>
      <c r="K1009" s="68" t="s">
        <v>30142</v>
      </c>
      <c r="L1009" s="72"/>
      <c r="M1009" s="73"/>
      <c r="N1009" s="73"/>
      <c r="O1009" s="74"/>
      <c r="P1009" s="75"/>
      <c r="Q1009" s="75"/>
      <c r="R1009" s="102"/>
      <c r="S1009" s="102"/>
      <c r="T1009" s="102"/>
      <c r="U1009" s="102"/>
      <c r="V1009" s="48"/>
      <c r="W1009" s="48"/>
      <c r="X1009" s="48"/>
      <c r="Y1009" s="48"/>
      <c r="Z1009" s="47"/>
      <c r="AA1009" s="70">
        <v>1009</v>
      </c>
      <c r="AB1009" s="70"/>
      <c r="AC1009" s="71"/>
      <c r="AD1009" s="86" t="s">
        <v>24616</v>
      </c>
      <c r="AE1009" s="94" t="s">
        <v>23283</v>
      </c>
      <c r="AF1009" s="86">
        <v>1382</v>
      </c>
      <c r="AG1009" s="86">
        <v>511</v>
      </c>
      <c r="AH1009" s="86">
        <v>108676</v>
      </c>
      <c r="AI1009" s="86">
        <v>10</v>
      </c>
      <c r="AJ1009" s="86">
        <v>109944</v>
      </c>
      <c r="AK1009" s="86">
        <v>8034</v>
      </c>
      <c r="AL1009" s="86" t="b">
        <v>0</v>
      </c>
      <c r="AM1009" s="89">
        <v>43438.776944444442</v>
      </c>
      <c r="AN1009" s="86" t="s">
        <v>25951</v>
      </c>
      <c r="AO1009" s="86" t="s">
        <v>27344</v>
      </c>
      <c r="AP1009" s="96" t="str">
        <f>HYPERLINK("https://t.co/BfgE28iw4p")</f>
        <v>https://t.co/BfgE28iw4p</v>
      </c>
      <c r="AQ1009" s="96" t="str">
        <f>HYPERLINK("https://www.instagram.com/alexandrealmeida_98/")</f>
        <v>https://www.instagram.com/alexandrealmeida_98/</v>
      </c>
      <c r="AR1009" s="86" t="s">
        <v>28578</v>
      </c>
      <c r="AS1009" s="86"/>
      <c r="AT1009" s="86"/>
      <c r="AU1009" s="86"/>
      <c r="AV1009" s="86">
        <v>1.66211539501517E+18</v>
      </c>
      <c r="AW1009" s="96" t="str">
        <f>HYPERLINK("https://t.co/BfgE28iw4p")</f>
        <v>https://t.co/BfgE28iw4p</v>
      </c>
      <c r="AX1009" s="86" t="b">
        <v>0</v>
      </c>
      <c r="AY1009" s="86"/>
      <c r="AZ1009" s="86"/>
      <c r="BA1009" s="86" t="b">
        <v>1</v>
      </c>
      <c r="BB1009" s="86" t="b">
        <v>0</v>
      </c>
      <c r="BC1009" s="86" t="b">
        <v>0</v>
      </c>
      <c r="BD1009" s="86" t="b">
        <v>0</v>
      </c>
      <c r="BE1009" s="86" t="b">
        <v>1</v>
      </c>
      <c r="BF1009" s="86" t="b">
        <v>0</v>
      </c>
      <c r="BG1009" s="86" t="b">
        <v>0</v>
      </c>
      <c r="BH1009" s="96" t="str">
        <f>HYPERLINK("https://pbs.twimg.com/profile_banners/1070024638615470084/1676919293")</f>
        <v>https://pbs.twimg.com/profile_banners/1070024638615470084/1676919293</v>
      </c>
      <c r="BI1009" s="86"/>
      <c r="BJ1009" s="86" t="s">
        <v>29134</v>
      </c>
      <c r="BK1009" s="86" t="b">
        <v>0</v>
      </c>
      <c r="BL1009" s="86"/>
      <c r="BM1009" s="86" t="s">
        <v>66</v>
      </c>
      <c r="BN1009" s="86" t="s">
        <v>29136</v>
      </c>
      <c r="BO1009" s="96" t="str">
        <f>HYPERLINK("https://twitter.com/empire_blues")</f>
        <v>https://twitter.com/empire_blues</v>
      </c>
      <c r="BP1009" s="2"/>
    </row>
    <row r="1010" spans="1:68" x14ac:dyDescent="0.25">
      <c r="A1010" s="63" t="s">
        <v>1754</v>
      </c>
      <c r="B1010" s="64"/>
      <c r="C1010" s="64"/>
      <c r="D1010" s="65"/>
      <c r="E1010" s="67"/>
      <c r="F1010" s="111" t="str">
        <f>HYPERLINK("https://pbs.twimg.com/profile_images/1679591264897867776/5SDl9CP2_normal.png")</f>
        <v>https://pbs.twimg.com/profile_images/1679591264897867776/5SDl9CP2_normal.png</v>
      </c>
      <c r="G1010" s="64"/>
      <c r="H1010" s="68"/>
      <c r="I1010" s="69"/>
      <c r="J1010" s="69"/>
      <c r="K1010" s="68" t="s">
        <v>30143</v>
      </c>
      <c r="L1010" s="72"/>
      <c r="M1010" s="73"/>
      <c r="N1010" s="73"/>
      <c r="O1010" s="74"/>
      <c r="P1010" s="75"/>
      <c r="Q1010" s="75"/>
      <c r="R1010" s="102"/>
      <c r="S1010" s="102"/>
      <c r="T1010" s="102"/>
      <c r="U1010" s="102"/>
      <c r="V1010" s="48"/>
      <c r="W1010" s="48"/>
      <c r="X1010" s="48"/>
      <c r="Y1010" s="48"/>
      <c r="Z1010" s="47"/>
      <c r="AA1010" s="70">
        <v>1010</v>
      </c>
      <c r="AB1010" s="70"/>
      <c r="AC1010" s="71"/>
      <c r="AD1010" s="86" t="s">
        <v>24617</v>
      </c>
      <c r="AE1010" s="94" t="s">
        <v>22610</v>
      </c>
      <c r="AF1010" s="86">
        <v>23</v>
      </c>
      <c r="AG1010" s="86">
        <v>79</v>
      </c>
      <c r="AH1010" s="86">
        <v>1545</v>
      </c>
      <c r="AI1010" s="86">
        <v>0</v>
      </c>
      <c r="AJ1010" s="86">
        <v>2571</v>
      </c>
      <c r="AK1010" s="86">
        <v>107</v>
      </c>
      <c r="AL1010" s="86" t="b">
        <v>0</v>
      </c>
      <c r="AM1010" s="89">
        <v>44859.729687500003</v>
      </c>
      <c r="AN1010" s="86"/>
      <c r="AO1010" s="86" t="s">
        <v>27345</v>
      </c>
      <c r="AP1010" s="86"/>
      <c r="AQ1010" s="86"/>
      <c r="AR1010" s="86"/>
      <c r="AS1010" s="86"/>
      <c r="AT1010" s="86"/>
      <c r="AU1010" s="86"/>
      <c r="AV1010" s="86">
        <v>1.70318999748909E+18</v>
      </c>
      <c r="AW1010" s="86"/>
      <c r="AX1010" s="86" t="b">
        <v>0</v>
      </c>
      <c r="AY1010" s="86"/>
      <c r="AZ1010" s="86"/>
      <c r="BA1010" s="86" t="b">
        <v>0</v>
      </c>
      <c r="BB1010" s="86" t="b">
        <v>1</v>
      </c>
      <c r="BC1010" s="86" t="b">
        <v>1</v>
      </c>
      <c r="BD1010" s="86" t="b">
        <v>0</v>
      </c>
      <c r="BE1010" s="86" t="b">
        <v>0</v>
      </c>
      <c r="BF1010" s="86" t="b">
        <v>0</v>
      </c>
      <c r="BG1010" s="86" t="b">
        <v>0</v>
      </c>
      <c r="BH1010" s="86"/>
      <c r="BI1010" s="86"/>
      <c r="BJ1010" s="86" t="s">
        <v>29134</v>
      </c>
      <c r="BK1010" s="86" t="b">
        <v>0</v>
      </c>
      <c r="BL1010" s="86"/>
      <c r="BM1010" s="86" t="s">
        <v>65</v>
      </c>
      <c r="BN1010" s="86" t="s">
        <v>29136</v>
      </c>
      <c r="BO1010" s="96" t="str">
        <f>HYPERLINK("https://twitter.com/nunodosudoeste")</f>
        <v>https://twitter.com/nunodosudoeste</v>
      </c>
      <c r="BP1010" s="2"/>
    </row>
    <row r="1011" spans="1:68" x14ac:dyDescent="0.25">
      <c r="A1011" s="63" t="s">
        <v>1080</v>
      </c>
      <c r="B1011" s="64"/>
      <c r="C1011" s="64"/>
      <c r="D1011" s="65"/>
      <c r="E1011" s="67"/>
      <c r="F1011" s="111" t="str">
        <f>HYPERLINK("https://pbs.twimg.com/profile_images/922542106526257155/wace3b7s_normal.jpg")</f>
        <v>https://pbs.twimg.com/profile_images/922542106526257155/wace3b7s_normal.jpg</v>
      </c>
      <c r="G1011" s="64"/>
      <c r="H1011" s="68"/>
      <c r="I1011" s="69"/>
      <c r="J1011" s="69"/>
      <c r="K1011" s="68" t="s">
        <v>30144</v>
      </c>
      <c r="L1011" s="72"/>
      <c r="M1011" s="73"/>
      <c r="N1011" s="73"/>
      <c r="O1011" s="74"/>
      <c r="P1011" s="75"/>
      <c r="Q1011" s="75"/>
      <c r="R1011" s="102"/>
      <c r="S1011" s="102"/>
      <c r="T1011" s="102"/>
      <c r="U1011" s="102"/>
      <c r="V1011" s="48"/>
      <c r="W1011" s="48"/>
      <c r="X1011" s="48"/>
      <c r="Y1011" s="48"/>
      <c r="Z1011" s="47"/>
      <c r="AA1011" s="70">
        <v>1011</v>
      </c>
      <c r="AB1011" s="70"/>
      <c r="AC1011" s="71"/>
      <c r="AD1011" s="86" t="s">
        <v>24618</v>
      </c>
      <c r="AE1011" s="94" t="s">
        <v>23284</v>
      </c>
      <c r="AF1011" s="86">
        <v>140</v>
      </c>
      <c r="AG1011" s="86">
        <v>216</v>
      </c>
      <c r="AH1011" s="86">
        <v>115</v>
      </c>
      <c r="AI1011" s="86">
        <v>3</v>
      </c>
      <c r="AJ1011" s="86">
        <v>62</v>
      </c>
      <c r="AK1011" s="86">
        <v>10</v>
      </c>
      <c r="AL1011" s="86" t="b">
        <v>0</v>
      </c>
      <c r="AM1011" s="89">
        <v>43031.798217592594</v>
      </c>
      <c r="AN1011" s="86" t="s">
        <v>26236</v>
      </c>
      <c r="AO1011" s="86" t="s">
        <v>27346</v>
      </c>
      <c r="AP1011" s="96" t="str">
        <f>HYPERLINK("https://t.co/euTmNqSyGb")</f>
        <v>https://t.co/euTmNqSyGb</v>
      </c>
      <c r="AQ1011" s="96" t="str">
        <f>HYPERLINK("http://www.startupblog.pt/")</f>
        <v>http://www.startupblog.pt/</v>
      </c>
      <c r="AR1011" s="86" t="s">
        <v>28579</v>
      </c>
      <c r="AS1011" s="86"/>
      <c r="AT1011" s="86"/>
      <c r="AU1011" s="86"/>
      <c r="AV1011" s="86"/>
      <c r="AW1011" s="96" t="str">
        <f>HYPERLINK("https://t.co/euTmNqSyGb")</f>
        <v>https://t.co/euTmNqSyGb</v>
      </c>
      <c r="AX1011" s="86" t="b">
        <v>0</v>
      </c>
      <c r="AY1011" s="86"/>
      <c r="AZ1011" s="86"/>
      <c r="BA1011" s="86" t="b">
        <v>0</v>
      </c>
      <c r="BB1011" s="86" t="b">
        <v>1</v>
      </c>
      <c r="BC1011" s="86" t="b">
        <v>1</v>
      </c>
      <c r="BD1011" s="86" t="b">
        <v>0</v>
      </c>
      <c r="BE1011" s="86" t="b">
        <v>0</v>
      </c>
      <c r="BF1011" s="86" t="b">
        <v>0</v>
      </c>
      <c r="BG1011" s="86" t="b">
        <v>0</v>
      </c>
      <c r="BH1011" s="96" t="str">
        <f>HYPERLINK("https://pbs.twimg.com/profile_banners/922540483477430272/1561736244")</f>
        <v>https://pbs.twimg.com/profile_banners/922540483477430272/1561736244</v>
      </c>
      <c r="BI1011" s="86"/>
      <c r="BJ1011" s="86" t="s">
        <v>29134</v>
      </c>
      <c r="BK1011" s="86" t="b">
        <v>0</v>
      </c>
      <c r="BL1011" s="86"/>
      <c r="BM1011" s="86" t="s">
        <v>66</v>
      </c>
      <c r="BN1011" s="86" t="s">
        <v>29136</v>
      </c>
      <c r="BO1011" s="96" t="str">
        <f>HYPERLINK("https://twitter.com/startupblogpt")</f>
        <v>https://twitter.com/startupblogpt</v>
      </c>
      <c r="BP1011" s="2"/>
    </row>
    <row r="1012" spans="1:68" x14ac:dyDescent="0.25">
      <c r="A1012" s="63" t="s">
        <v>1081</v>
      </c>
      <c r="B1012" s="64"/>
      <c r="C1012" s="64"/>
      <c r="D1012" s="65"/>
      <c r="E1012" s="67"/>
      <c r="F1012" s="111" t="str">
        <f>HYPERLINK("https://pbs.twimg.com/profile_images/1630202607636475905/KQoktvO4_normal.jpg")</f>
        <v>https://pbs.twimg.com/profile_images/1630202607636475905/KQoktvO4_normal.jpg</v>
      </c>
      <c r="G1012" s="64"/>
      <c r="H1012" s="68"/>
      <c r="I1012" s="69"/>
      <c r="J1012" s="69"/>
      <c r="K1012" s="68" t="s">
        <v>30145</v>
      </c>
      <c r="L1012" s="72"/>
      <c r="M1012" s="73"/>
      <c r="N1012" s="73"/>
      <c r="O1012" s="74"/>
      <c r="P1012" s="75"/>
      <c r="Q1012" s="75"/>
      <c r="R1012" s="102"/>
      <c r="S1012" s="102"/>
      <c r="T1012" s="102"/>
      <c r="U1012" s="102"/>
      <c r="V1012" s="48"/>
      <c r="W1012" s="48"/>
      <c r="X1012" s="48"/>
      <c r="Y1012" s="48"/>
      <c r="Z1012" s="47"/>
      <c r="AA1012" s="70">
        <v>1012</v>
      </c>
      <c r="AB1012" s="70"/>
      <c r="AC1012" s="71"/>
      <c r="AD1012" s="86" t="s">
        <v>24619</v>
      </c>
      <c r="AE1012" s="94" t="s">
        <v>22611</v>
      </c>
      <c r="AF1012" s="86">
        <v>3980</v>
      </c>
      <c r="AG1012" s="86">
        <v>129</v>
      </c>
      <c r="AH1012" s="86">
        <v>3525</v>
      </c>
      <c r="AI1012" s="86">
        <v>10</v>
      </c>
      <c r="AJ1012" s="86">
        <v>172</v>
      </c>
      <c r="AK1012" s="86">
        <v>1874</v>
      </c>
      <c r="AL1012" s="86" t="b">
        <v>0</v>
      </c>
      <c r="AM1012" s="89">
        <v>40904.791006944448</v>
      </c>
      <c r="AN1012" s="86" t="s">
        <v>26237</v>
      </c>
      <c r="AO1012" s="86" t="s">
        <v>27347</v>
      </c>
      <c r="AP1012" s="96" t="str">
        <f>HYPERLINK("https://t.co/7bc5LdCzuV")</f>
        <v>https://t.co/7bc5LdCzuV</v>
      </c>
      <c r="AQ1012" s="96" t="str">
        <f>HYPERLINK("http://seap.pa.gov.br/")</f>
        <v>http://seap.pa.gov.br/</v>
      </c>
      <c r="AR1012" s="86" t="s">
        <v>28580</v>
      </c>
      <c r="AS1012" s="86"/>
      <c r="AT1012" s="86"/>
      <c r="AU1012" s="86"/>
      <c r="AV1012" s="86"/>
      <c r="AW1012" s="96" t="str">
        <f>HYPERLINK("https://t.co/7bc5LdCzuV")</f>
        <v>https://t.co/7bc5LdCzuV</v>
      </c>
      <c r="AX1012" s="86" t="b">
        <v>0</v>
      </c>
      <c r="AY1012" s="86"/>
      <c r="AZ1012" s="86"/>
      <c r="BA1012" s="86" t="b">
        <v>0</v>
      </c>
      <c r="BB1012" s="86" t="b">
        <v>0</v>
      </c>
      <c r="BC1012" s="86" t="b">
        <v>0</v>
      </c>
      <c r="BD1012" s="86" t="b">
        <v>0</v>
      </c>
      <c r="BE1012" s="86" t="b">
        <v>0</v>
      </c>
      <c r="BF1012" s="86" t="b">
        <v>0</v>
      </c>
      <c r="BG1012" s="86" t="b">
        <v>0</v>
      </c>
      <c r="BH1012" s="96" t="str">
        <f>HYPERLINK("https://pbs.twimg.com/profile_banners/448209891/1589101279")</f>
        <v>https://pbs.twimg.com/profile_banners/448209891/1589101279</v>
      </c>
      <c r="BI1012" s="86"/>
      <c r="BJ1012" s="86" t="s">
        <v>29134</v>
      </c>
      <c r="BK1012" s="86" t="b">
        <v>0</v>
      </c>
      <c r="BL1012" s="86"/>
      <c r="BM1012" s="86" t="s">
        <v>66</v>
      </c>
      <c r="BN1012" s="86" t="s">
        <v>29136</v>
      </c>
      <c r="BO1012" s="96" t="str">
        <f>HYPERLINK("https://twitter.com/seappara")</f>
        <v>https://twitter.com/seappara</v>
      </c>
      <c r="BP1012" s="2"/>
    </row>
    <row r="1013" spans="1:68" x14ac:dyDescent="0.25">
      <c r="A1013" s="63" t="s">
        <v>1082</v>
      </c>
      <c r="B1013" s="64"/>
      <c r="C1013" s="64"/>
      <c r="D1013" s="65"/>
      <c r="E1013" s="67"/>
      <c r="F1013" s="111" t="str">
        <f>HYPERLINK("https://pbs.twimg.com/profile_images/1681784541483081729/bVBedzt8_normal.jpg")</f>
        <v>https://pbs.twimg.com/profile_images/1681784541483081729/bVBedzt8_normal.jpg</v>
      </c>
      <c r="G1013" s="64"/>
      <c r="H1013" s="68"/>
      <c r="I1013" s="69"/>
      <c r="J1013" s="69"/>
      <c r="K1013" s="68" t="s">
        <v>30146</v>
      </c>
      <c r="L1013" s="72"/>
      <c r="M1013" s="73"/>
      <c r="N1013" s="73"/>
      <c r="O1013" s="74"/>
      <c r="P1013" s="75"/>
      <c r="Q1013" s="75"/>
      <c r="R1013" s="102"/>
      <c r="S1013" s="102"/>
      <c r="T1013" s="102"/>
      <c r="U1013" s="102"/>
      <c r="V1013" s="48"/>
      <c r="W1013" s="48"/>
      <c r="X1013" s="48"/>
      <c r="Y1013" s="48"/>
      <c r="Z1013" s="47"/>
      <c r="AA1013" s="70">
        <v>1013</v>
      </c>
      <c r="AB1013" s="70"/>
      <c r="AC1013" s="71"/>
      <c r="AD1013" s="86" t="s">
        <v>24620</v>
      </c>
      <c r="AE1013" s="94" t="s">
        <v>23285</v>
      </c>
      <c r="AF1013" s="86">
        <v>144</v>
      </c>
      <c r="AG1013" s="86">
        <v>1603</v>
      </c>
      <c r="AH1013" s="86">
        <v>46</v>
      </c>
      <c r="AI1013" s="86">
        <v>1</v>
      </c>
      <c r="AJ1013" s="86">
        <v>12</v>
      </c>
      <c r="AK1013" s="86">
        <v>1</v>
      </c>
      <c r="AL1013" s="86" t="b">
        <v>0</v>
      </c>
      <c r="AM1013" s="89">
        <v>45126.009039351855</v>
      </c>
      <c r="AN1013" s="86" t="s">
        <v>26238</v>
      </c>
      <c r="AO1013" s="86" t="s">
        <v>27348</v>
      </c>
      <c r="AP1013" s="86"/>
      <c r="AQ1013" s="86"/>
      <c r="AR1013" s="86"/>
      <c r="AS1013" s="86"/>
      <c r="AT1013" s="86"/>
      <c r="AU1013" s="86"/>
      <c r="AV1013" s="86">
        <v>1.6814721514575201E+18</v>
      </c>
      <c r="AW1013" s="86"/>
      <c r="AX1013" s="86" t="b">
        <v>0</v>
      </c>
      <c r="AY1013" s="86"/>
      <c r="AZ1013" s="86"/>
      <c r="BA1013" s="86" t="b">
        <v>0</v>
      </c>
      <c r="BB1013" s="86" t="b">
        <v>1</v>
      </c>
      <c r="BC1013" s="86" t="b">
        <v>1</v>
      </c>
      <c r="BD1013" s="86" t="b">
        <v>0</v>
      </c>
      <c r="BE1013" s="86" t="b">
        <v>0</v>
      </c>
      <c r="BF1013" s="86" t="b">
        <v>0</v>
      </c>
      <c r="BG1013" s="86" t="b">
        <v>0</v>
      </c>
      <c r="BH1013" s="96" t="str">
        <f>HYPERLINK("https://pbs.twimg.com/profile_banners/1681456792029605889/1689808877")</f>
        <v>https://pbs.twimg.com/profile_banners/1681456792029605889/1689808877</v>
      </c>
      <c r="BI1013" s="86"/>
      <c r="BJ1013" s="86" t="s">
        <v>29134</v>
      </c>
      <c r="BK1013" s="86" t="b">
        <v>0</v>
      </c>
      <c r="BL1013" s="86"/>
      <c r="BM1013" s="86" t="s">
        <v>66</v>
      </c>
      <c r="BN1013" s="86" t="s">
        <v>29136</v>
      </c>
      <c r="BO1013" s="96" t="str">
        <f>HYPERLINK("https://twitter.com/ai_porto")</f>
        <v>https://twitter.com/ai_porto</v>
      </c>
      <c r="BP1013" s="2"/>
    </row>
    <row r="1014" spans="1:68" x14ac:dyDescent="0.25">
      <c r="A1014" s="63" t="s">
        <v>1755</v>
      </c>
      <c r="B1014" s="64"/>
      <c r="C1014" s="64"/>
      <c r="D1014" s="65"/>
      <c r="E1014" s="67"/>
      <c r="F1014" s="111" t="str">
        <f>HYPERLINK("https://pbs.twimg.com/profile_images/1680969731619135489/iO_VoKGN_normal.jpg")</f>
        <v>https://pbs.twimg.com/profile_images/1680969731619135489/iO_VoKGN_normal.jpg</v>
      </c>
      <c r="G1014" s="64"/>
      <c r="H1014" s="68"/>
      <c r="I1014" s="69"/>
      <c r="J1014" s="69"/>
      <c r="K1014" s="68" t="s">
        <v>30147</v>
      </c>
      <c r="L1014" s="72"/>
      <c r="M1014" s="73"/>
      <c r="N1014" s="73"/>
      <c r="O1014" s="74"/>
      <c r="P1014" s="75"/>
      <c r="Q1014" s="75"/>
      <c r="R1014" s="102"/>
      <c r="S1014" s="102"/>
      <c r="T1014" s="102"/>
      <c r="U1014" s="102"/>
      <c r="V1014" s="48"/>
      <c r="W1014" s="48"/>
      <c r="X1014" s="48"/>
      <c r="Y1014" s="48"/>
      <c r="Z1014" s="47"/>
      <c r="AA1014" s="70">
        <v>1014</v>
      </c>
      <c r="AB1014" s="70"/>
      <c r="AC1014" s="71"/>
      <c r="AD1014" s="86" t="s">
        <v>24621</v>
      </c>
      <c r="AE1014" s="94" t="s">
        <v>22612</v>
      </c>
      <c r="AF1014" s="86">
        <v>6021</v>
      </c>
      <c r="AG1014" s="86">
        <v>230</v>
      </c>
      <c r="AH1014" s="86">
        <v>3477</v>
      </c>
      <c r="AI1014" s="86">
        <v>118</v>
      </c>
      <c r="AJ1014" s="86">
        <v>3649</v>
      </c>
      <c r="AK1014" s="86">
        <v>590</v>
      </c>
      <c r="AL1014" s="86" t="b">
        <v>0</v>
      </c>
      <c r="AM1014" s="89">
        <v>45005.381192129629</v>
      </c>
      <c r="AN1014" s="86" t="s">
        <v>26239</v>
      </c>
      <c r="AO1014" s="86" t="s">
        <v>27349</v>
      </c>
      <c r="AP1014" s="96" t="str">
        <f>HYPERLINK("https://t.co/FPLuv6DAdD")</f>
        <v>https://t.co/FPLuv6DAdD</v>
      </c>
      <c r="AQ1014" s="96" t="str">
        <f>HYPERLINK("https://www.negocioscomia.com/extensoesdochrome")</f>
        <v>https://www.negocioscomia.com/extensoesdochrome</v>
      </c>
      <c r="AR1014" s="86" t="s">
        <v>28581</v>
      </c>
      <c r="AS1014" s="86"/>
      <c r="AT1014" s="86"/>
      <c r="AU1014" s="86"/>
      <c r="AV1014" s="86">
        <v>1.69434945890384E+18</v>
      </c>
      <c r="AW1014" s="96" t="str">
        <f>HYPERLINK("https://t.co/FPLuv6DAdD")</f>
        <v>https://t.co/FPLuv6DAdD</v>
      </c>
      <c r="AX1014" s="86" t="b">
        <v>1</v>
      </c>
      <c r="AY1014" s="86"/>
      <c r="AZ1014" s="86"/>
      <c r="BA1014" s="86" t="b">
        <v>1</v>
      </c>
      <c r="BB1014" s="86" t="b">
        <v>1</v>
      </c>
      <c r="BC1014" s="86" t="b">
        <v>1</v>
      </c>
      <c r="BD1014" s="86" t="b">
        <v>0</v>
      </c>
      <c r="BE1014" s="86" t="b">
        <v>0</v>
      </c>
      <c r="BF1014" s="86" t="b">
        <v>0</v>
      </c>
      <c r="BG1014" s="86" t="b">
        <v>0</v>
      </c>
      <c r="BH1014" s="96" t="str">
        <f>HYPERLINK("https://pbs.twimg.com/profile_banners/1637742933108482049/1689609170")</f>
        <v>https://pbs.twimg.com/profile_banners/1637742933108482049/1689609170</v>
      </c>
      <c r="BI1014" s="86"/>
      <c r="BJ1014" s="86" t="s">
        <v>29134</v>
      </c>
      <c r="BK1014" s="86" t="b">
        <v>0</v>
      </c>
      <c r="BL1014" s="86"/>
      <c r="BM1014" s="86" t="s">
        <v>65</v>
      </c>
      <c r="BN1014" s="86" t="s">
        <v>29136</v>
      </c>
      <c r="BO1014" s="96" t="str">
        <f>HYPERLINK("https://twitter.com/negocioscomia")</f>
        <v>https://twitter.com/negocioscomia</v>
      </c>
      <c r="BP1014" s="2"/>
    </row>
    <row r="1015" spans="1:68" x14ac:dyDescent="0.25">
      <c r="A1015" s="63" t="s">
        <v>1083</v>
      </c>
      <c r="B1015" s="64"/>
      <c r="C1015" s="64"/>
      <c r="D1015" s="65"/>
      <c r="E1015" s="67"/>
      <c r="F1015" s="111" t="str">
        <f>HYPERLINK("https://pbs.twimg.com/profile_images/1500795467172614149/QBRtGO7x_normal.jpg")</f>
        <v>https://pbs.twimg.com/profile_images/1500795467172614149/QBRtGO7x_normal.jpg</v>
      </c>
      <c r="G1015" s="64"/>
      <c r="H1015" s="68"/>
      <c r="I1015" s="69"/>
      <c r="J1015" s="69"/>
      <c r="K1015" s="68" t="s">
        <v>30148</v>
      </c>
      <c r="L1015" s="72"/>
      <c r="M1015" s="73"/>
      <c r="N1015" s="73"/>
      <c r="O1015" s="74"/>
      <c r="P1015" s="75"/>
      <c r="Q1015" s="75"/>
      <c r="R1015" s="102"/>
      <c r="S1015" s="102"/>
      <c r="T1015" s="102"/>
      <c r="U1015" s="102"/>
      <c r="V1015" s="48"/>
      <c r="W1015" s="48"/>
      <c r="X1015" s="48"/>
      <c r="Y1015" s="48"/>
      <c r="Z1015" s="47"/>
      <c r="AA1015" s="70">
        <v>1015</v>
      </c>
      <c r="AB1015" s="70"/>
      <c r="AC1015" s="71"/>
      <c r="AD1015" s="86" t="s">
        <v>24622</v>
      </c>
      <c r="AE1015" s="94" t="s">
        <v>25627</v>
      </c>
      <c r="AF1015" s="86">
        <v>143388</v>
      </c>
      <c r="AG1015" s="86">
        <v>358</v>
      </c>
      <c r="AH1015" s="86">
        <v>76229</v>
      </c>
      <c r="AI1015" s="86">
        <v>2219</v>
      </c>
      <c r="AJ1015" s="86">
        <v>1164</v>
      </c>
      <c r="AK1015" s="86">
        <v>32716</v>
      </c>
      <c r="AL1015" s="86" t="b">
        <v>0</v>
      </c>
      <c r="AM1015" s="89">
        <v>39611.651817129627</v>
      </c>
      <c r="AN1015" s="86" t="s">
        <v>26240</v>
      </c>
      <c r="AO1015" s="86" t="s">
        <v>27350</v>
      </c>
      <c r="AP1015" s="96" t="str">
        <f>HYPERLINK("https://t.co/TpEqqw09Po")</f>
        <v>https://t.co/TpEqqw09Po</v>
      </c>
      <c r="AQ1015" s="96" t="str">
        <f>HYPERLINK("http://www.meioemensagem.com.br/")</f>
        <v>http://www.meioemensagem.com.br/</v>
      </c>
      <c r="AR1015" s="86" t="s">
        <v>28582</v>
      </c>
      <c r="AS1015" s="86"/>
      <c r="AT1015" s="86"/>
      <c r="AU1015" s="86"/>
      <c r="AV1015" s="86"/>
      <c r="AW1015" s="96" t="str">
        <f>HYPERLINK("https://t.co/TpEqqw09Po")</f>
        <v>https://t.co/TpEqqw09Po</v>
      </c>
      <c r="AX1015" s="86" t="b">
        <v>0</v>
      </c>
      <c r="AY1015" s="86"/>
      <c r="AZ1015" s="86"/>
      <c r="BA1015" s="86" t="b">
        <v>1</v>
      </c>
      <c r="BB1015" s="86" t="b">
        <v>1</v>
      </c>
      <c r="BC1015" s="86" t="b">
        <v>0</v>
      </c>
      <c r="BD1015" s="86" t="b">
        <v>0</v>
      </c>
      <c r="BE1015" s="86" t="b">
        <v>1</v>
      </c>
      <c r="BF1015" s="86" t="b">
        <v>0</v>
      </c>
      <c r="BG1015" s="86" t="b">
        <v>0</v>
      </c>
      <c r="BH1015" s="96" t="str">
        <f>HYPERLINK("https://pbs.twimg.com/profile_banners/15097726/1646674760")</f>
        <v>https://pbs.twimg.com/profile_banners/15097726/1646674760</v>
      </c>
      <c r="BI1015" s="86"/>
      <c r="BJ1015" s="86" t="s">
        <v>29134</v>
      </c>
      <c r="BK1015" s="86" t="b">
        <v>0</v>
      </c>
      <c r="BL1015" s="86"/>
      <c r="BM1015" s="86" t="s">
        <v>66</v>
      </c>
      <c r="BN1015" s="86" t="s">
        <v>29136</v>
      </c>
      <c r="BO1015" s="96" t="str">
        <f>HYPERLINK("https://twitter.com/meioemensagem")</f>
        <v>https://twitter.com/meioemensagem</v>
      </c>
      <c r="BP1015" s="2"/>
    </row>
    <row r="1016" spans="1:68" x14ac:dyDescent="0.25">
      <c r="A1016" s="63" t="s">
        <v>1084</v>
      </c>
      <c r="B1016" s="64"/>
      <c r="C1016" s="64"/>
      <c r="D1016" s="65"/>
      <c r="E1016" s="67"/>
      <c r="F1016" s="111" t="str">
        <f>HYPERLINK("https://pbs.twimg.com/profile_images/1670933945167257603/0O6Kwb0O_normal.jpg")</f>
        <v>https://pbs.twimg.com/profile_images/1670933945167257603/0O6Kwb0O_normal.jpg</v>
      </c>
      <c r="G1016" s="64"/>
      <c r="H1016" s="68"/>
      <c r="I1016" s="69"/>
      <c r="J1016" s="69"/>
      <c r="K1016" s="68" t="s">
        <v>30149</v>
      </c>
      <c r="L1016" s="72"/>
      <c r="M1016" s="73"/>
      <c r="N1016" s="73"/>
      <c r="O1016" s="74"/>
      <c r="P1016" s="75"/>
      <c r="Q1016" s="75"/>
      <c r="R1016" s="102"/>
      <c r="S1016" s="102"/>
      <c r="T1016" s="102"/>
      <c r="U1016" s="102"/>
      <c r="V1016" s="48"/>
      <c r="W1016" s="48"/>
      <c r="X1016" s="48"/>
      <c r="Y1016" s="48"/>
      <c r="Z1016" s="47"/>
      <c r="AA1016" s="70">
        <v>1016</v>
      </c>
      <c r="AB1016" s="70"/>
      <c r="AC1016" s="71"/>
      <c r="AD1016" s="86" t="s">
        <v>24623</v>
      </c>
      <c r="AE1016" s="94" t="s">
        <v>23286</v>
      </c>
      <c r="AF1016" s="86">
        <v>14</v>
      </c>
      <c r="AG1016" s="86">
        <v>34</v>
      </c>
      <c r="AH1016" s="86">
        <v>417</v>
      </c>
      <c r="AI1016" s="86">
        <v>0</v>
      </c>
      <c r="AJ1016" s="86">
        <v>68</v>
      </c>
      <c r="AK1016" s="86">
        <v>18</v>
      </c>
      <c r="AL1016" s="86" t="b">
        <v>0</v>
      </c>
      <c r="AM1016" s="89">
        <v>44009.117962962962</v>
      </c>
      <c r="AN1016" s="86" t="s">
        <v>26241</v>
      </c>
      <c r="AO1016" s="86" t="s">
        <v>27351</v>
      </c>
      <c r="AP1016" s="96" t="str">
        <f>HYPERLINK("https://t.co/OHs7hL9qiI")</f>
        <v>https://t.co/OHs7hL9qiI</v>
      </c>
      <c r="AQ1016" s="96" t="str">
        <f>HYPERLINK("https://www.youtube.com/channel/UC9vxlfU0CP0xfjYD9jXiSFw")</f>
        <v>https://www.youtube.com/channel/UC9vxlfU0CP0xfjYD9jXiSFw</v>
      </c>
      <c r="AR1016" s="86" t="s">
        <v>28583</v>
      </c>
      <c r="AS1016" s="86"/>
      <c r="AT1016" s="86"/>
      <c r="AU1016" s="86"/>
      <c r="AV1016" s="86">
        <v>1.5205966099853E+18</v>
      </c>
      <c r="AW1016" s="96" t="str">
        <f>HYPERLINK("https://t.co/OHs7hL9qiI")</f>
        <v>https://t.co/OHs7hL9qiI</v>
      </c>
      <c r="AX1016" s="86" t="b">
        <v>0</v>
      </c>
      <c r="AY1016" s="86"/>
      <c r="AZ1016" s="86"/>
      <c r="BA1016" s="86" t="b">
        <v>0</v>
      </c>
      <c r="BB1016" s="86" t="b">
        <v>1</v>
      </c>
      <c r="BC1016" s="86" t="b">
        <v>1</v>
      </c>
      <c r="BD1016" s="86" t="b">
        <v>0</v>
      </c>
      <c r="BE1016" s="86" t="b">
        <v>1</v>
      </c>
      <c r="BF1016" s="86" t="b">
        <v>0</v>
      </c>
      <c r="BG1016" s="86" t="b">
        <v>0</v>
      </c>
      <c r="BH1016" s="96" t="str">
        <f>HYPERLINK("https://pbs.twimg.com/profile_banners/1276709278032842752/1660791283")</f>
        <v>https://pbs.twimg.com/profile_banners/1276709278032842752/1660791283</v>
      </c>
      <c r="BI1016" s="86"/>
      <c r="BJ1016" s="86" t="s">
        <v>29134</v>
      </c>
      <c r="BK1016" s="86" t="b">
        <v>0</v>
      </c>
      <c r="BL1016" s="86"/>
      <c r="BM1016" s="86" t="s">
        <v>66</v>
      </c>
      <c r="BN1016" s="86" t="s">
        <v>29136</v>
      </c>
      <c r="BO1016" s="96" t="str">
        <f>HYPERLINK("https://twitter.com/eusoureggi")</f>
        <v>https://twitter.com/eusoureggi</v>
      </c>
      <c r="BP1016" s="2"/>
    </row>
    <row r="1017" spans="1:68" x14ac:dyDescent="0.25">
      <c r="A1017" s="63" t="s">
        <v>1085</v>
      </c>
      <c r="B1017" s="64"/>
      <c r="C1017" s="64"/>
      <c r="D1017" s="65"/>
      <c r="E1017" s="67"/>
      <c r="F1017" s="111" t="str">
        <f>HYPERLINK("https://pbs.twimg.com/profile_images/1684587854301630467/UX4iW92b_normal.jpg")</f>
        <v>https://pbs.twimg.com/profile_images/1684587854301630467/UX4iW92b_normal.jpg</v>
      </c>
      <c r="G1017" s="64"/>
      <c r="H1017" s="68"/>
      <c r="I1017" s="69"/>
      <c r="J1017" s="69"/>
      <c r="K1017" s="68" t="s">
        <v>30150</v>
      </c>
      <c r="L1017" s="72"/>
      <c r="M1017" s="73"/>
      <c r="N1017" s="73"/>
      <c r="O1017" s="74"/>
      <c r="P1017" s="75"/>
      <c r="Q1017" s="75"/>
      <c r="R1017" s="102"/>
      <c r="S1017" s="102"/>
      <c r="T1017" s="102"/>
      <c r="U1017" s="102"/>
      <c r="V1017" s="48"/>
      <c r="W1017" s="48"/>
      <c r="X1017" s="48"/>
      <c r="Y1017" s="48"/>
      <c r="Z1017" s="47"/>
      <c r="AA1017" s="70">
        <v>1017</v>
      </c>
      <c r="AB1017" s="70"/>
      <c r="AC1017" s="71"/>
      <c r="AD1017" s="86" t="s">
        <v>24624</v>
      </c>
      <c r="AE1017" s="94" t="s">
        <v>25628</v>
      </c>
      <c r="AF1017" s="86">
        <v>2872</v>
      </c>
      <c r="AG1017" s="86">
        <v>19</v>
      </c>
      <c r="AH1017" s="86">
        <v>3289</v>
      </c>
      <c r="AI1017" s="86">
        <v>25</v>
      </c>
      <c r="AJ1017" s="86">
        <v>235</v>
      </c>
      <c r="AK1017" s="86">
        <v>599</v>
      </c>
      <c r="AL1017" s="86" t="b">
        <v>0</v>
      </c>
      <c r="AM1017" s="89">
        <v>40358.509062500001</v>
      </c>
      <c r="AN1017" s="86" t="s">
        <v>26242</v>
      </c>
      <c r="AO1017" s="86" t="s">
        <v>27352</v>
      </c>
      <c r="AP1017" s="96" t="str">
        <f>HYPERLINK("https://t.co/K6Z3ra9rco")</f>
        <v>https://t.co/K6Z3ra9rco</v>
      </c>
      <c r="AQ1017" s="96" t="str">
        <f>HYPERLINK("https://criciuma.sc.gov.br")</f>
        <v>https://criciuma.sc.gov.br</v>
      </c>
      <c r="AR1017" s="86" t="s">
        <v>28584</v>
      </c>
      <c r="AS1017" s="86"/>
      <c r="AT1017" s="86"/>
      <c r="AU1017" s="86"/>
      <c r="AV1017" s="86"/>
      <c r="AW1017" s="96" t="str">
        <f>HYPERLINK("https://t.co/K6Z3ra9rco")</f>
        <v>https://t.co/K6Z3ra9rco</v>
      </c>
      <c r="AX1017" s="86" t="b">
        <v>0</v>
      </c>
      <c r="AY1017" s="86"/>
      <c r="AZ1017" s="86"/>
      <c r="BA1017" s="86" t="b">
        <v>0</v>
      </c>
      <c r="BB1017" s="86" t="b">
        <v>1</v>
      </c>
      <c r="BC1017" s="86" t="b">
        <v>0</v>
      </c>
      <c r="BD1017" s="86" t="b">
        <v>0</v>
      </c>
      <c r="BE1017" s="86" t="b">
        <v>1</v>
      </c>
      <c r="BF1017" s="86" t="b">
        <v>0</v>
      </c>
      <c r="BG1017" s="86" t="b">
        <v>0</v>
      </c>
      <c r="BH1017" s="96" t="str">
        <f>HYPERLINK("https://pbs.twimg.com/profile_banners/160898095/1692886767")</f>
        <v>https://pbs.twimg.com/profile_banners/160898095/1692886767</v>
      </c>
      <c r="BI1017" s="86"/>
      <c r="BJ1017" s="86" t="s">
        <v>29134</v>
      </c>
      <c r="BK1017" s="86" t="b">
        <v>0</v>
      </c>
      <c r="BL1017" s="86"/>
      <c r="BM1017" s="86" t="s">
        <v>66</v>
      </c>
      <c r="BN1017" s="86" t="s">
        <v>29136</v>
      </c>
      <c r="BO1017" s="96" t="str">
        <f>HYPERLINK("https://twitter.com/prefcriciuma")</f>
        <v>https://twitter.com/prefcriciuma</v>
      </c>
      <c r="BP1017" s="2"/>
    </row>
    <row r="1018" spans="1:68" x14ac:dyDescent="0.25">
      <c r="A1018" s="63" t="s">
        <v>1756</v>
      </c>
      <c r="B1018" s="64"/>
      <c r="C1018" s="64"/>
      <c r="D1018" s="65"/>
      <c r="E1018" s="67"/>
      <c r="F1018" s="111" t="str">
        <f>HYPERLINK("https://pbs.twimg.com/profile_images/1440677618655719427/TffBi0fi_normal.jpg")</f>
        <v>https://pbs.twimg.com/profile_images/1440677618655719427/TffBi0fi_normal.jpg</v>
      </c>
      <c r="G1018" s="64"/>
      <c r="H1018" s="68"/>
      <c r="I1018" s="69"/>
      <c r="J1018" s="69"/>
      <c r="K1018" s="68" t="s">
        <v>30151</v>
      </c>
      <c r="L1018" s="72"/>
      <c r="M1018" s="73"/>
      <c r="N1018" s="73"/>
      <c r="O1018" s="74"/>
      <c r="P1018" s="75"/>
      <c r="Q1018" s="75"/>
      <c r="R1018" s="102"/>
      <c r="S1018" s="102"/>
      <c r="T1018" s="102"/>
      <c r="U1018" s="102"/>
      <c r="V1018" s="48"/>
      <c r="W1018" s="48"/>
      <c r="X1018" s="48"/>
      <c r="Y1018" s="48"/>
      <c r="Z1018" s="47"/>
      <c r="AA1018" s="70">
        <v>1018</v>
      </c>
      <c r="AB1018" s="70"/>
      <c r="AC1018" s="71"/>
      <c r="AD1018" s="86" t="s">
        <v>24625</v>
      </c>
      <c r="AE1018" s="94" t="s">
        <v>25629</v>
      </c>
      <c r="AF1018" s="86">
        <v>55133</v>
      </c>
      <c r="AG1018" s="86">
        <v>4</v>
      </c>
      <c r="AH1018" s="86">
        <v>67699</v>
      </c>
      <c r="AI1018" s="86">
        <v>160</v>
      </c>
      <c r="AJ1018" s="86">
        <v>5</v>
      </c>
      <c r="AK1018" s="86">
        <v>131</v>
      </c>
      <c r="AL1018" s="86" t="b">
        <v>0</v>
      </c>
      <c r="AM1018" s="89">
        <v>40582.706770833334</v>
      </c>
      <c r="AN1018" s="86"/>
      <c r="AO1018" s="86" t="s">
        <v>27353</v>
      </c>
      <c r="AP1018" s="96" t="str">
        <f>HYPERLINK("http://t.co/Z0xmh71UEP")</f>
        <v>http://t.co/Z0xmh71UEP</v>
      </c>
      <c r="AQ1018" s="96" t="str">
        <f>HYPERLINK("http://g1.globo.com/amazonas")</f>
        <v>http://g1.globo.com/amazonas</v>
      </c>
      <c r="AR1018" s="86" t="s">
        <v>28585</v>
      </c>
      <c r="AS1018" s="86"/>
      <c r="AT1018" s="86"/>
      <c r="AU1018" s="86"/>
      <c r="AV1018" s="86"/>
      <c r="AW1018" s="96" t="str">
        <f>HYPERLINK("http://t.co/Z0xmh71UEP")</f>
        <v>http://t.co/Z0xmh71UEP</v>
      </c>
      <c r="AX1018" s="86" t="b">
        <v>0</v>
      </c>
      <c r="AY1018" s="86"/>
      <c r="AZ1018" s="86"/>
      <c r="BA1018" s="86" t="b">
        <v>0</v>
      </c>
      <c r="BB1018" s="86" t="b">
        <v>1</v>
      </c>
      <c r="BC1018" s="86" t="b">
        <v>1</v>
      </c>
      <c r="BD1018" s="86" t="b">
        <v>0</v>
      </c>
      <c r="BE1018" s="86" t="b">
        <v>0</v>
      </c>
      <c r="BF1018" s="86" t="b">
        <v>0</v>
      </c>
      <c r="BG1018" s="86" t="b">
        <v>0</v>
      </c>
      <c r="BH1018" s="96" t="str">
        <f>HYPERLINK("https://pbs.twimg.com/profile_banners/249234849/1632319286")</f>
        <v>https://pbs.twimg.com/profile_banners/249234849/1632319286</v>
      </c>
      <c r="BI1018" s="86"/>
      <c r="BJ1018" s="86" t="s">
        <v>29134</v>
      </c>
      <c r="BK1018" s="86" t="b">
        <v>0</v>
      </c>
      <c r="BL1018" s="86"/>
      <c r="BM1018" s="86" t="s">
        <v>65</v>
      </c>
      <c r="BN1018" s="86" t="s">
        <v>29136</v>
      </c>
      <c r="BO1018" s="96" t="str">
        <f>HYPERLINK("https://twitter.com/g1amazonas")</f>
        <v>https://twitter.com/g1amazonas</v>
      </c>
      <c r="BP1018" s="2"/>
    </row>
    <row r="1019" spans="1:68" x14ac:dyDescent="0.25">
      <c r="A1019" s="63" t="s">
        <v>1087</v>
      </c>
      <c r="B1019" s="64"/>
      <c r="C1019" s="64"/>
      <c r="D1019" s="65"/>
      <c r="E1019" s="67"/>
      <c r="F1019" s="111" t="str">
        <f>HYPERLINK("https://pbs.twimg.com/profile_images/1679471507863400448/M7brma9G_normal.jpg")</f>
        <v>https://pbs.twimg.com/profile_images/1679471507863400448/M7brma9G_normal.jpg</v>
      </c>
      <c r="G1019" s="64"/>
      <c r="H1019" s="68"/>
      <c r="I1019" s="69"/>
      <c r="J1019" s="69"/>
      <c r="K1019" s="68" t="s">
        <v>30152</v>
      </c>
      <c r="L1019" s="72"/>
      <c r="M1019" s="73"/>
      <c r="N1019" s="73"/>
      <c r="O1019" s="74"/>
      <c r="P1019" s="75"/>
      <c r="Q1019" s="75"/>
      <c r="R1019" s="102"/>
      <c r="S1019" s="102"/>
      <c r="T1019" s="102"/>
      <c r="U1019" s="102"/>
      <c r="V1019" s="48"/>
      <c r="W1019" s="48"/>
      <c r="X1019" s="48"/>
      <c r="Y1019" s="48"/>
      <c r="Z1019" s="47"/>
      <c r="AA1019" s="70">
        <v>1019</v>
      </c>
      <c r="AB1019" s="70"/>
      <c r="AC1019" s="71"/>
      <c r="AD1019" s="86" t="s">
        <v>24626</v>
      </c>
      <c r="AE1019" s="94" t="s">
        <v>23287</v>
      </c>
      <c r="AF1019" s="86">
        <v>2</v>
      </c>
      <c r="AG1019" s="86">
        <v>2</v>
      </c>
      <c r="AH1019" s="86">
        <v>102</v>
      </c>
      <c r="AI1019" s="86">
        <v>0</v>
      </c>
      <c r="AJ1019" s="86">
        <v>1</v>
      </c>
      <c r="AK1019" s="86">
        <v>102</v>
      </c>
      <c r="AL1019" s="86" t="b">
        <v>0</v>
      </c>
      <c r="AM1019" s="89">
        <v>45120.527870370373</v>
      </c>
      <c r="AN1019" s="86"/>
      <c r="AO1019" s="86" t="s">
        <v>27354</v>
      </c>
      <c r="AP1019" s="86"/>
      <c r="AQ1019" s="86"/>
      <c r="AR1019" s="86"/>
      <c r="AS1019" s="86"/>
      <c r="AT1019" s="86"/>
      <c r="AU1019" s="86"/>
      <c r="AV1019" s="86"/>
      <c r="AW1019" s="86"/>
      <c r="AX1019" s="86" t="b">
        <v>0</v>
      </c>
      <c r="AY1019" s="86"/>
      <c r="AZ1019" s="86"/>
      <c r="BA1019" s="86" t="b">
        <v>0</v>
      </c>
      <c r="BB1019" s="86" t="b">
        <v>1</v>
      </c>
      <c r="BC1019" s="86" t="b">
        <v>1</v>
      </c>
      <c r="BD1019" s="86" t="b">
        <v>0</v>
      </c>
      <c r="BE1019" s="86" t="b">
        <v>0</v>
      </c>
      <c r="BF1019" s="86" t="b">
        <v>0</v>
      </c>
      <c r="BG1019" s="86" t="b">
        <v>0</v>
      </c>
      <c r="BH1019" s="96" t="str">
        <f>HYPERLINK("https://pbs.twimg.com/profile_banners/1679470710903775232/1689612980")</f>
        <v>https://pbs.twimg.com/profile_banners/1679470710903775232/1689612980</v>
      </c>
      <c r="BI1019" s="86"/>
      <c r="BJ1019" s="86" t="s">
        <v>29134</v>
      </c>
      <c r="BK1019" s="86" t="b">
        <v>0</v>
      </c>
      <c r="BL1019" s="86"/>
      <c r="BM1019" s="86" t="s">
        <v>66</v>
      </c>
      <c r="BN1019" s="86" t="s">
        <v>29136</v>
      </c>
      <c r="BO1019" s="96" t="str">
        <f>HYPERLINK("https://twitter.com/esteticadieny")</f>
        <v>https://twitter.com/esteticadieny</v>
      </c>
      <c r="BP1019" s="2"/>
    </row>
    <row r="1020" spans="1:68" x14ac:dyDescent="0.25">
      <c r="A1020" s="63" t="s">
        <v>1088</v>
      </c>
      <c r="B1020" s="64"/>
      <c r="C1020" s="64"/>
      <c r="D1020" s="65"/>
      <c r="E1020" s="67"/>
      <c r="F1020" s="111" t="str">
        <f>HYPERLINK("https://pbs.twimg.com/profile_images/1701440005170692096/_XuyX5Kd_normal.jpg")</f>
        <v>https://pbs.twimg.com/profile_images/1701440005170692096/_XuyX5Kd_normal.jpg</v>
      </c>
      <c r="G1020" s="64"/>
      <c r="H1020" s="68"/>
      <c r="I1020" s="69"/>
      <c r="J1020" s="69"/>
      <c r="K1020" s="68" t="s">
        <v>30153</v>
      </c>
      <c r="L1020" s="72"/>
      <c r="M1020" s="73"/>
      <c r="N1020" s="73"/>
      <c r="O1020" s="74"/>
      <c r="P1020" s="75"/>
      <c r="Q1020" s="75"/>
      <c r="R1020" s="102"/>
      <c r="S1020" s="102"/>
      <c r="T1020" s="102"/>
      <c r="U1020" s="102"/>
      <c r="V1020" s="48"/>
      <c r="W1020" s="48"/>
      <c r="X1020" s="48"/>
      <c r="Y1020" s="48"/>
      <c r="Z1020" s="47"/>
      <c r="AA1020" s="70">
        <v>1020</v>
      </c>
      <c r="AB1020" s="70"/>
      <c r="AC1020" s="71"/>
      <c r="AD1020" s="86" t="s">
        <v>1088</v>
      </c>
      <c r="AE1020" s="94" t="s">
        <v>23288</v>
      </c>
      <c r="AF1020" s="86">
        <v>3</v>
      </c>
      <c r="AG1020" s="86">
        <v>37</v>
      </c>
      <c r="AH1020" s="86">
        <v>11</v>
      </c>
      <c r="AI1020" s="86">
        <v>0</v>
      </c>
      <c r="AJ1020" s="86">
        <v>0</v>
      </c>
      <c r="AK1020" s="86">
        <v>3</v>
      </c>
      <c r="AL1020" s="86" t="b">
        <v>0</v>
      </c>
      <c r="AM1020" s="89">
        <v>45128.555127314816</v>
      </c>
      <c r="AN1020" s="86"/>
      <c r="AO1020" s="86" t="s">
        <v>27355</v>
      </c>
      <c r="AP1020" s="96" t="str">
        <f>HYPERLINK("https://t.co/f1XiXBKLbx")</f>
        <v>https://t.co/f1XiXBKLbx</v>
      </c>
      <c r="AQ1020" s="96" t="str">
        <f>HYPERLINK("https://linktr.ee/pedromar1noo")</f>
        <v>https://linktr.ee/pedromar1noo</v>
      </c>
      <c r="AR1020" s="86" t="s">
        <v>28586</v>
      </c>
      <c r="AS1020" s="86"/>
      <c r="AT1020" s="86"/>
      <c r="AU1020" s="86"/>
      <c r="AV1020" s="86"/>
      <c r="AW1020" s="96" t="str">
        <f>HYPERLINK("https://t.co/f1XiXBKLbx")</f>
        <v>https://t.co/f1XiXBKLbx</v>
      </c>
      <c r="AX1020" s="86" t="b">
        <v>0</v>
      </c>
      <c r="AY1020" s="86"/>
      <c r="AZ1020" s="86"/>
      <c r="BA1020" s="86" t="b">
        <v>0</v>
      </c>
      <c r="BB1020" s="86" t="b">
        <v>1</v>
      </c>
      <c r="BC1020" s="86" t="b">
        <v>1</v>
      </c>
      <c r="BD1020" s="86" t="b">
        <v>0</v>
      </c>
      <c r="BE1020" s="86" t="b">
        <v>0</v>
      </c>
      <c r="BF1020" s="86" t="b">
        <v>0</v>
      </c>
      <c r="BG1020" s="86" t="b">
        <v>0</v>
      </c>
      <c r="BH1020" s="86"/>
      <c r="BI1020" s="86"/>
      <c r="BJ1020" s="86" t="s">
        <v>29134</v>
      </c>
      <c r="BK1020" s="86" t="b">
        <v>0</v>
      </c>
      <c r="BL1020" s="86"/>
      <c r="BM1020" s="86" t="s">
        <v>66</v>
      </c>
      <c r="BN1020" s="86" t="s">
        <v>29136</v>
      </c>
      <c r="BO1020" s="96" t="str">
        <f>HYPERLINK("https://twitter.com/pedromar1no")</f>
        <v>https://twitter.com/pedromar1no</v>
      </c>
      <c r="BP1020" s="2"/>
    </row>
    <row r="1021" spans="1:68" x14ac:dyDescent="0.25">
      <c r="A1021" s="63" t="s">
        <v>1089</v>
      </c>
      <c r="B1021" s="64"/>
      <c r="C1021" s="64"/>
      <c r="D1021" s="65"/>
      <c r="E1021" s="67"/>
      <c r="F1021" s="111" t="str">
        <f>HYPERLINK("https://pbs.twimg.com/profile_images/1661505509642366976/8sQSKX1q_normal.jpg")</f>
        <v>https://pbs.twimg.com/profile_images/1661505509642366976/8sQSKX1q_normal.jpg</v>
      </c>
      <c r="G1021" s="64"/>
      <c r="H1021" s="68"/>
      <c r="I1021" s="69"/>
      <c r="J1021" s="69"/>
      <c r="K1021" s="68" t="s">
        <v>30154</v>
      </c>
      <c r="L1021" s="72"/>
      <c r="M1021" s="73"/>
      <c r="N1021" s="73"/>
      <c r="O1021" s="74"/>
      <c r="P1021" s="75"/>
      <c r="Q1021" s="75"/>
      <c r="R1021" s="102"/>
      <c r="S1021" s="102"/>
      <c r="T1021" s="102"/>
      <c r="U1021" s="102"/>
      <c r="V1021" s="48"/>
      <c r="W1021" s="48"/>
      <c r="X1021" s="48"/>
      <c r="Y1021" s="48"/>
      <c r="Z1021" s="47"/>
      <c r="AA1021" s="70">
        <v>1021</v>
      </c>
      <c r="AB1021" s="70"/>
      <c r="AC1021" s="71"/>
      <c r="AD1021" s="86" t="s">
        <v>24627</v>
      </c>
      <c r="AE1021" s="94" t="s">
        <v>23289</v>
      </c>
      <c r="AF1021" s="86">
        <v>2</v>
      </c>
      <c r="AG1021" s="86">
        <v>31</v>
      </c>
      <c r="AH1021" s="86">
        <v>11</v>
      </c>
      <c r="AI1021" s="86">
        <v>1</v>
      </c>
      <c r="AJ1021" s="86">
        <v>1</v>
      </c>
      <c r="AK1021" s="86">
        <v>11</v>
      </c>
      <c r="AL1021" s="86" t="b">
        <v>0</v>
      </c>
      <c r="AM1021" s="89">
        <v>45070.953009259261</v>
      </c>
      <c r="AN1021" s="86" t="s">
        <v>26243</v>
      </c>
      <c r="AO1021" s="86" t="s">
        <v>27356</v>
      </c>
      <c r="AP1021" s="96" t="str">
        <f>HYPERLINK("https://t.co/V8zjoAZuPY")</f>
        <v>https://t.co/V8zjoAZuPY</v>
      </c>
      <c r="AQ1021" s="96" t="str">
        <f>HYPERLINK("https://linktr.ee/exemplusconsultoria_")</f>
        <v>https://linktr.ee/exemplusconsultoria_</v>
      </c>
      <c r="AR1021" s="86" t="s">
        <v>28587</v>
      </c>
      <c r="AS1021" s="86"/>
      <c r="AT1021" s="86"/>
      <c r="AU1021" s="86"/>
      <c r="AV1021" s="86"/>
      <c r="AW1021" s="96" t="str">
        <f>HYPERLINK("https://t.co/V8zjoAZuPY")</f>
        <v>https://t.co/V8zjoAZuPY</v>
      </c>
      <c r="AX1021" s="86" t="b">
        <v>0</v>
      </c>
      <c r="AY1021" s="86"/>
      <c r="AZ1021" s="86"/>
      <c r="BA1021" s="86" t="b">
        <v>0</v>
      </c>
      <c r="BB1021" s="86" t="b">
        <v>1</v>
      </c>
      <c r="BC1021" s="86" t="b">
        <v>1</v>
      </c>
      <c r="BD1021" s="86" t="b">
        <v>0</v>
      </c>
      <c r="BE1021" s="86" t="b">
        <v>0</v>
      </c>
      <c r="BF1021" s="86" t="b">
        <v>0</v>
      </c>
      <c r="BG1021" s="86" t="b">
        <v>0</v>
      </c>
      <c r="BH1021" s="96" t="str">
        <f>HYPERLINK("https://pbs.twimg.com/profile_banners/1661505389400145921/1684970721")</f>
        <v>https://pbs.twimg.com/profile_banners/1661505389400145921/1684970721</v>
      </c>
      <c r="BI1021" s="86"/>
      <c r="BJ1021" s="86" t="s">
        <v>29134</v>
      </c>
      <c r="BK1021" s="86" t="b">
        <v>0</v>
      </c>
      <c r="BL1021" s="86"/>
      <c r="BM1021" s="86" t="s">
        <v>66</v>
      </c>
      <c r="BN1021" s="86" t="s">
        <v>29136</v>
      </c>
      <c r="BO1021" s="96" t="str">
        <f>HYPERLINK("https://twitter.com/exemplusconsult")</f>
        <v>https://twitter.com/exemplusconsult</v>
      </c>
      <c r="BP1021" s="2"/>
    </row>
    <row r="1022" spans="1:68" x14ac:dyDescent="0.25">
      <c r="A1022" s="63" t="s">
        <v>1090</v>
      </c>
      <c r="B1022" s="64"/>
      <c r="C1022" s="64"/>
      <c r="D1022" s="65"/>
      <c r="E1022" s="67"/>
      <c r="F1022" s="111" t="str">
        <f>HYPERLINK("https://pbs.twimg.com/profile_images/1701198792882540544/khO4exie_normal.jpg")</f>
        <v>https://pbs.twimg.com/profile_images/1701198792882540544/khO4exie_normal.jpg</v>
      </c>
      <c r="G1022" s="64"/>
      <c r="H1022" s="68"/>
      <c r="I1022" s="69"/>
      <c r="J1022" s="69"/>
      <c r="K1022" s="68" t="s">
        <v>30155</v>
      </c>
      <c r="L1022" s="72"/>
      <c r="M1022" s="73"/>
      <c r="N1022" s="73"/>
      <c r="O1022" s="74"/>
      <c r="P1022" s="75"/>
      <c r="Q1022" s="75"/>
      <c r="R1022" s="102"/>
      <c r="S1022" s="102"/>
      <c r="T1022" s="102"/>
      <c r="U1022" s="102"/>
      <c r="V1022" s="48"/>
      <c r="W1022" s="48"/>
      <c r="X1022" s="48"/>
      <c r="Y1022" s="48"/>
      <c r="Z1022" s="47"/>
      <c r="AA1022" s="70">
        <v>1022</v>
      </c>
      <c r="AB1022" s="70"/>
      <c r="AC1022" s="71"/>
      <c r="AD1022" s="86" t="s">
        <v>24628</v>
      </c>
      <c r="AE1022" s="94" t="s">
        <v>23290</v>
      </c>
      <c r="AF1022" s="86">
        <v>0</v>
      </c>
      <c r="AG1022" s="86">
        <v>1</v>
      </c>
      <c r="AH1022" s="86">
        <v>1</v>
      </c>
      <c r="AI1022" s="86">
        <v>0</v>
      </c>
      <c r="AJ1022" s="86">
        <v>0</v>
      </c>
      <c r="AK1022" s="86">
        <v>1</v>
      </c>
      <c r="AL1022" s="86" t="b">
        <v>0</v>
      </c>
      <c r="AM1022" s="89">
        <v>45180.484988425924</v>
      </c>
      <c r="AN1022" s="86"/>
      <c r="AO1022" s="86" t="s">
        <v>27357</v>
      </c>
      <c r="AP1022" s="96" t="str">
        <f>HYPERLINK("https://t.co/g9iDPdpgN4")</f>
        <v>https://t.co/g9iDPdpgN4</v>
      </c>
      <c r="AQ1022" s="96" t="str">
        <f>HYPERLINK("https://linktr.ee/ojovemdesucessos")</f>
        <v>https://linktr.ee/ojovemdesucessos</v>
      </c>
      <c r="AR1022" s="86" t="s">
        <v>28588</v>
      </c>
      <c r="AS1022" s="86"/>
      <c r="AT1022" s="86"/>
      <c r="AU1022" s="86"/>
      <c r="AV1022" s="86"/>
      <c r="AW1022" s="96" t="str">
        <f>HYPERLINK("https://t.co/g9iDPdpgN4")</f>
        <v>https://t.co/g9iDPdpgN4</v>
      </c>
      <c r="AX1022" s="86" t="b">
        <v>0</v>
      </c>
      <c r="AY1022" s="86"/>
      <c r="AZ1022" s="86"/>
      <c r="BA1022" s="86" t="b">
        <v>0</v>
      </c>
      <c r="BB1022" s="86" t="b">
        <v>1</v>
      </c>
      <c r="BC1022" s="86" t="b">
        <v>1</v>
      </c>
      <c r="BD1022" s="86" t="b">
        <v>0</v>
      </c>
      <c r="BE1022" s="86" t="b">
        <v>0</v>
      </c>
      <c r="BF1022" s="86" t="b">
        <v>0</v>
      </c>
      <c r="BG1022" s="86" t="b">
        <v>0</v>
      </c>
      <c r="BH1022" s="96" t="str">
        <f>HYPERLINK("https://pbs.twimg.com/profile_banners/1701198459557044224/1694432618")</f>
        <v>https://pbs.twimg.com/profile_banners/1701198459557044224/1694432618</v>
      </c>
      <c r="BI1022" s="86"/>
      <c r="BJ1022" s="86" t="s">
        <v>29134</v>
      </c>
      <c r="BK1022" s="86" t="b">
        <v>0</v>
      </c>
      <c r="BL1022" s="86"/>
      <c r="BM1022" s="86" t="s">
        <v>66</v>
      </c>
      <c r="BN1022" s="86" t="s">
        <v>29136</v>
      </c>
      <c r="BO1022" s="96" t="str">
        <f>HYPERLINK("https://twitter.com/organico27643")</f>
        <v>https://twitter.com/organico27643</v>
      </c>
      <c r="BP1022" s="2"/>
    </row>
    <row r="1023" spans="1:68" x14ac:dyDescent="0.25">
      <c r="A1023" s="63" t="s">
        <v>1091</v>
      </c>
      <c r="B1023" s="64"/>
      <c r="C1023" s="64"/>
      <c r="D1023" s="65"/>
      <c r="E1023" s="67"/>
      <c r="F1023" s="111" t="str">
        <f>HYPERLINK("https://pbs.twimg.com/profile_images/1704666368698728448/k9MR0Cp5_normal.jpg")</f>
        <v>https://pbs.twimg.com/profile_images/1704666368698728448/k9MR0Cp5_normal.jpg</v>
      </c>
      <c r="G1023" s="64"/>
      <c r="H1023" s="68"/>
      <c r="I1023" s="69"/>
      <c r="J1023" s="69"/>
      <c r="K1023" s="68" t="s">
        <v>30156</v>
      </c>
      <c r="L1023" s="72"/>
      <c r="M1023" s="73"/>
      <c r="N1023" s="73"/>
      <c r="O1023" s="74"/>
      <c r="P1023" s="75"/>
      <c r="Q1023" s="75"/>
      <c r="R1023" s="102"/>
      <c r="S1023" s="102"/>
      <c r="T1023" s="102"/>
      <c r="U1023" s="102"/>
      <c r="V1023" s="48"/>
      <c r="W1023" s="48"/>
      <c r="X1023" s="48"/>
      <c r="Y1023" s="48"/>
      <c r="Z1023" s="47"/>
      <c r="AA1023" s="70">
        <v>1023</v>
      </c>
      <c r="AB1023" s="70"/>
      <c r="AC1023" s="71"/>
      <c r="AD1023" s="86" t="s">
        <v>24629</v>
      </c>
      <c r="AE1023" s="94" t="s">
        <v>23291</v>
      </c>
      <c r="AF1023" s="86">
        <v>13</v>
      </c>
      <c r="AG1023" s="86">
        <v>5</v>
      </c>
      <c r="AH1023" s="86">
        <v>246</v>
      </c>
      <c r="AI1023" s="86">
        <v>0</v>
      </c>
      <c r="AJ1023" s="86">
        <v>253</v>
      </c>
      <c r="AK1023" s="86">
        <v>224</v>
      </c>
      <c r="AL1023" s="86" t="b">
        <v>0</v>
      </c>
      <c r="AM1023" s="89">
        <v>44512.786087962966</v>
      </c>
      <c r="AN1023" s="86" t="s">
        <v>25993</v>
      </c>
      <c r="AO1023" s="86" t="s">
        <v>27358</v>
      </c>
      <c r="AP1023" s="96" t="str">
        <f>HYPERLINK("https://t.co/OuJZtNLj2Z")</f>
        <v>https://t.co/OuJZtNLj2Z</v>
      </c>
      <c r="AQ1023" s="96" t="str">
        <f>HYPERLINK("https://lionsmarcas.com.br/")</f>
        <v>https://lionsmarcas.com.br/</v>
      </c>
      <c r="AR1023" s="86" t="s">
        <v>28589</v>
      </c>
      <c r="AS1023" s="86"/>
      <c r="AT1023" s="86"/>
      <c r="AU1023" s="86"/>
      <c r="AV1023" s="86">
        <v>1.4912468742335501E+18</v>
      </c>
      <c r="AW1023" s="96" t="str">
        <f>HYPERLINK("https://t.co/OuJZtNLj2Z")</f>
        <v>https://t.co/OuJZtNLj2Z</v>
      </c>
      <c r="AX1023" s="86" t="b">
        <v>0</v>
      </c>
      <c r="AY1023" s="86"/>
      <c r="AZ1023" s="86"/>
      <c r="BA1023" s="86" t="b">
        <v>0</v>
      </c>
      <c r="BB1023" s="86" t="b">
        <v>1</v>
      </c>
      <c r="BC1023" s="86" t="b">
        <v>1</v>
      </c>
      <c r="BD1023" s="86" t="b">
        <v>0</v>
      </c>
      <c r="BE1023" s="86" t="b">
        <v>0</v>
      </c>
      <c r="BF1023" s="86" t="b">
        <v>0</v>
      </c>
      <c r="BG1023" s="86" t="b">
        <v>0</v>
      </c>
      <c r="BH1023" s="96" t="str">
        <f>HYPERLINK("https://pbs.twimg.com/profile_banners/1459232439528742915/1695431292")</f>
        <v>https://pbs.twimg.com/profile_banners/1459232439528742915/1695431292</v>
      </c>
      <c r="BI1023" s="86"/>
      <c r="BJ1023" s="86" t="s">
        <v>29134</v>
      </c>
      <c r="BK1023" s="86" t="b">
        <v>0</v>
      </c>
      <c r="BL1023" s="86"/>
      <c r="BM1023" s="86" t="s">
        <v>66</v>
      </c>
      <c r="BN1023" s="86" t="s">
        <v>29136</v>
      </c>
      <c r="BO1023" s="96" t="str">
        <f>HYPERLINK("https://twitter.com/lionsmarcas")</f>
        <v>https://twitter.com/lionsmarcas</v>
      </c>
      <c r="BP1023" s="2"/>
    </row>
    <row r="1024" spans="1:68" x14ac:dyDescent="0.25">
      <c r="A1024" s="63" t="s">
        <v>1092</v>
      </c>
      <c r="B1024" s="64"/>
      <c r="C1024" s="64"/>
      <c r="D1024" s="65"/>
      <c r="E1024" s="67"/>
      <c r="F1024" s="111" t="str">
        <f>HYPERLINK("https://pbs.twimg.com/profile_images/1223734416922619908/7QvF1fud_normal.jpg")</f>
        <v>https://pbs.twimg.com/profile_images/1223734416922619908/7QvF1fud_normal.jpg</v>
      </c>
      <c r="G1024" s="64"/>
      <c r="H1024" s="68"/>
      <c r="I1024" s="69"/>
      <c r="J1024" s="69"/>
      <c r="K1024" s="68" t="s">
        <v>30157</v>
      </c>
      <c r="L1024" s="72"/>
      <c r="M1024" s="73"/>
      <c r="N1024" s="73"/>
      <c r="O1024" s="74"/>
      <c r="P1024" s="75"/>
      <c r="Q1024" s="75"/>
      <c r="R1024" s="102"/>
      <c r="S1024" s="102"/>
      <c r="T1024" s="102"/>
      <c r="U1024" s="102"/>
      <c r="V1024" s="48"/>
      <c r="W1024" s="48"/>
      <c r="X1024" s="48"/>
      <c r="Y1024" s="48"/>
      <c r="Z1024" s="47"/>
      <c r="AA1024" s="70">
        <v>1024</v>
      </c>
      <c r="AB1024" s="70"/>
      <c r="AC1024" s="71"/>
      <c r="AD1024" s="86" t="s">
        <v>24630</v>
      </c>
      <c r="AE1024" s="94" t="s">
        <v>23292</v>
      </c>
      <c r="AF1024" s="86">
        <v>56</v>
      </c>
      <c r="AG1024" s="86">
        <v>256</v>
      </c>
      <c r="AH1024" s="86">
        <v>808</v>
      </c>
      <c r="AI1024" s="86">
        <v>0</v>
      </c>
      <c r="AJ1024" s="86">
        <v>3413</v>
      </c>
      <c r="AK1024" s="86">
        <v>56</v>
      </c>
      <c r="AL1024" s="86" t="b">
        <v>0</v>
      </c>
      <c r="AM1024" s="89">
        <v>43232.45103009259</v>
      </c>
      <c r="AN1024" s="86"/>
      <c r="AO1024" s="86" t="s">
        <v>27359</v>
      </c>
      <c r="AP1024" s="86"/>
      <c r="AQ1024" s="86"/>
      <c r="AR1024" s="86"/>
      <c r="AS1024" s="96" t="str">
        <f>HYPERLINK("https://t.co/iDptEOzaiu")</f>
        <v>https://t.co/iDptEOzaiu</v>
      </c>
      <c r="AT1024" s="96" t="str">
        <f>HYPERLINK("http://diegoalvesfotografia.com")</f>
        <v>http://diegoalvesfotografia.com</v>
      </c>
      <c r="AU1024" s="86" t="s">
        <v>29100</v>
      </c>
      <c r="AV1024" s="86"/>
      <c r="AW1024" s="86"/>
      <c r="AX1024" s="86" t="b">
        <v>0</v>
      </c>
      <c r="AY1024" s="86"/>
      <c r="AZ1024" s="86"/>
      <c r="BA1024" s="86" t="b">
        <v>0</v>
      </c>
      <c r="BB1024" s="86" t="b">
        <v>1</v>
      </c>
      <c r="BC1024" s="86" t="b">
        <v>1</v>
      </c>
      <c r="BD1024" s="86" t="b">
        <v>0</v>
      </c>
      <c r="BE1024" s="86" t="b">
        <v>1</v>
      </c>
      <c r="BF1024" s="86" t="b">
        <v>0</v>
      </c>
      <c r="BG1024" s="86" t="b">
        <v>0</v>
      </c>
      <c r="BH1024" s="96" t="str">
        <f>HYPERLINK("https://pbs.twimg.com/profile_banners/995254628152479745/1608166150")</f>
        <v>https://pbs.twimg.com/profile_banners/995254628152479745/1608166150</v>
      </c>
      <c r="BI1024" s="86"/>
      <c r="BJ1024" s="86" t="s">
        <v>29134</v>
      </c>
      <c r="BK1024" s="86" t="b">
        <v>0</v>
      </c>
      <c r="BL1024" s="86"/>
      <c r="BM1024" s="86" t="s">
        <v>66</v>
      </c>
      <c r="BN1024" s="86" t="s">
        <v>29136</v>
      </c>
      <c r="BO1024" s="96" t="str">
        <f>HYPERLINK("https://twitter.com/diegoalvesfot")</f>
        <v>https://twitter.com/diegoalvesfot</v>
      </c>
      <c r="BP1024" s="2"/>
    </row>
    <row r="1025" spans="1:68" x14ac:dyDescent="0.25">
      <c r="A1025" s="63" t="s">
        <v>1093</v>
      </c>
      <c r="B1025" s="64"/>
      <c r="C1025" s="64"/>
      <c r="D1025" s="65"/>
      <c r="E1025" s="67"/>
      <c r="F1025" s="111" t="str">
        <f>HYPERLINK("https://pbs.twimg.com/profile_images/1620458468544024578/M-3JK68l_normal.png")</f>
        <v>https://pbs.twimg.com/profile_images/1620458468544024578/M-3JK68l_normal.png</v>
      </c>
      <c r="G1025" s="64"/>
      <c r="H1025" s="68"/>
      <c r="I1025" s="69"/>
      <c r="J1025" s="69"/>
      <c r="K1025" s="68" t="s">
        <v>30158</v>
      </c>
      <c r="L1025" s="72"/>
      <c r="M1025" s="73"/>
      <c r="N1025" s="73"/>
      <c r="O1025" s="74"/>
      <c r="P1025" s="75"/>
      <c r="Q1025" s="75"/>
      <c r="R1025" s="102"/>
      <c r="S1025" s="102"/>
      <c r="T1025" s="102"/>
      <c r="U1025" s="102"/>
      <c r="V1025" s="48"/>
      <c r="W1025" s="48"/>
      <c r="X1025" s="48"/>
      <c r="Y1025" s="48"/>
      <c r="Z1025" s="47"/>
      <c r="AA1025" s="70">
        <v>1025</v>
      </c>
      <c r="AB1025" s="70"/>
      <c r="AC1025" s="71"/>
      <c r="AD1025" s="86" t="s">
        <v>24631</v>
      </c>
      <c r="AE1025" s="94" t="s">
        <v>23293</v>
      </c>
      <c r="AF1025" s="86">
        <v>2</v>
      </c>
      <c r="AG1025" s="86">
        <v>8</v>
      </c>
      <c r="AH1025" s="86">
        <v>2</v>
      </c>
      <c r="AI1025" s="86">
        <v>0</v>
      </c>
      <c r="AJ1025" s="86">
        <v>2</v>
      </c>
      <c r="AK1025" s="86">
        <v>1</v>
      </c>
      <c r="AL1025" s="86" t="b">
        <v>0</v>
      </c>
      <c r="AM1025" s="89">
        <v>44957.684942129628</v>
      </c>
      <c r="AN1025" s="86"/>
      <c r="AO1025" s="86" t="s">
        <v>27360</v>
      </c>
      <c r="AP1025" s="86"/>
      <c r="AQ1025" s="86"/>
      <c r="AR1025" s="86"/>
      <c r="AS1025" s="86"/>
      <c r="AT1025" s="86"/>
      <c r="AU1025" s="86"/>
      <c r="AV1025" s="86"/>
      <c r="AW1025" s="86"/>
      <c r="AX1025" s="86" t="b">
        <v>0</v>
      </c>
      <c r="AY1025" s="86"/>
      <c r="AZ1025" s="86"/>
      <c r="BA1025" s="86" t="b">
        <v>0</v>
      </c>
      <c r="BB1025" s="86" t="b">
        <v>1</v>
      </c>
      <c r="BC1025" s="86" t="b">
        <v>1</v>
      </c>
      <c r="BD1025" s="86" t="b">
        <v>0</v>
      </c>
      <c r="BE1025" s="86" t="b">
        <v>0</v>
      </c>
      <c r="BF1025" s="86" t="b">
        <v>0</v>
      </c>
      <c r="BG1025" s="86" t="b">
        <v>0</v>
      </c>
      <c r="BH1025" s="86"/>
      <c r="BI1025" s="86"/>
      <c r="BJ1025" s="86" t="s">
        <v>29134</v>
      </c>
      <c r="BK1025" s="86" t="b">
        <v>0</v>
      </c>
      <c r="BL1025" s="86"/>
      <c r="BM1025" s="86" t="s">
        <v>66</v>
      </c>
      <c r="BN1025" s="86" t="s">
        <v>29136</v>
      </c>
      <c r="BO1025" s="96" t="str">
        <f>HYPERLINK("https://twitter.com/jennybunny222")</f>
        <v>https://twitter.com/jennybunny222</v>
      </c>
      <c r="BP1025" s="2"/>
    </row>
    <row r="1026" spans="1:68" x14ac:dyDescent="0.25">
      <c r="A1026" s="63" t="s">
        <v>1094</v>
      </c>
      <c r="B1026" s="64"/>
      <c r="C1026" s="64"/>
      <c r="D1026" s="65"/>
      <c r="E1026" s="67"/>
      <c r="F1026" s="111" t="str">
        <f>HYPERLINK("https://pbs.twimg.com/profile_images/1587408783009091585/I3j_Zer6_normal.jpg")</f>
        <v>https://pbs.twimg.com/profile_images/1587408783009091585/I3j_Zer6_normal.jpg</v>
      </c>
      <c r="G1026" s="64"/>
      <c r="H1026" s="68"/>
      <c r="I1026" s="69"/>
      <c r="J1026" s="69"/>
      <c r="K1026" s="68" t="s">
        <v>30159</v>
      </c>
      <c r="L1026" s="72"/>
      <c r="M1026" s="73"/>
      <c r="N1026" s="73"/>
      <c r="O1026" s="74"/>
      <c r="P1026" s="75"/>
      <c r="Q1026" s="75"/>
      <c r="R1026" s="102"/>
      <c r="S1026" s="102"/>
      <c r="T1026" s="102"/>
      <c r="U1026" s="102"/>
      <c r="V1026" s="48"/>
      <c r="W1026" s="48"/>
      <c r="X1026" s="48"/>
      <c r="Y1026" s="48"/>
      <c r="Z1026" s="47"/>
      <c r="AA1026" s="70">
        <v>1026</v>
      </c>
      <c r="AB1026" s="70"/>
      <c r="AC1026" s="71"/>
      <c r="AD1026" s="86" t="s">
        <v>24632</v>
      </c>
      <c r="AE1026" s="94" t="s">
        <v>23294</v>
      </c>
      <c r="AF1026" s="86">
        <v>6</v>
      </c>
      <c r="AG1026" s="86">
        <v>50</v>
      </c>
      <c r="AH1026" s="86">
        <v>471</v>
      </c>
      <c r="AI1026" s="86">
        <v>0</v>
      </c>
      <c r="AJ1026" s="86">
        <v>467</v>
      </c>
      <c r="AK1026" s="86">
        <v>0</v>
      </c>
      <c r="AL1026" s="86" t="b">
        <v>0</v>
      </c>
      <c r="AM1026" s="89">
        <v>44866.482569444444</v>
      </c>
      <c r="AN1026" s="86" t="s">
        <v>26244</v>
      </c>
      <c r="AO1026" s="86" t="s">
        <v>27361</v>
      </c>
      <c r="AP1026" s="96" t="str">
        <f>HYPERLINK("https://t.co/l95EwFcSBQ")</f>
        <v>https://t.co/l95EwFcSBQ</v>
      </c>
      <c r="AQ1026" s="96" t="str">
        <f>HYPERLINK("https://www.tribunaonline.net")</f>
        <v>https://www.tribunaonline.net</v>
      </c>
      <c r="AR1026" s="86" t="s">
        <v>8498</v>
      </c>
      <c r="AS1026" s="86"/>
      <c r="AT1026" s="86"/>
      <c r="AU1026" s="86"/>
      <c r="AV1026" s="86"/>
      <c r="AW1026" s="96" t="str">
        <f>HYPERLINK("https://t.co/l95EwFcSBQ")</f>
        <v>https://t.co/l95EwFcSBQ</v>
      </c>
      <c r="AX1026" s="86" t="b">
        <v>0</v>
      </c>
      <c r="AY1026" s="86"/>
      <c r="AZ1026" s="86"/>
      <c r="BA1026" s="86" t="b">
        <v>0</v>
      </c>
      <c r="BB1026" s="86" t="b">
        <v>1</v>
      </c>
      <c r="BC1026" s="86" t="b">
        <v>1</v>
      </c>
      <c r="BD1026" s="86" t="b">
        <v>0</v>
      </c>
      <c r="BE1026" s="86" t="b">
        <v>0</v>
      </c>
      <c r="BF1026" s="86" t="b">
        <v>0</v>
      </c>
      <c r="BG1026" s="86" t="b">
        <v>0</v>
      </c>
      <c r="BH1026" s="96" t="str">
        <f>HYPERLINK("https://pbs.twimg.com/profile_banners/1587407726510067715/1667303010")</f>
        <v>https://pbs.twimg.com/profile_banners/1587407726510067715/1667303010</v>
      </c>
      <c r="BI1026" s="86"/>
      <c r="BJ1026" s="86" t="s">
        <v>29134</v>
      </c>
      <c r="BK1026" s="86" t="b">
        <v>0</v>
      </c>
      <c r="BL1026" s="86"/>
      <c r="BM1026" s="86" t="s">
        <v>66</v>
      </c>
      <c r="BN1026" s="86" t="s">
        <v>29136</v>
      </c>
      <c r="BO1026" s="96" t="str">
        <f>HYPERLINK("https://twitter.com/jornaltribunaa")</f>
        <v>https://twitter.com/jornaltribunaa</v>
      </c>
      <c r="BP1026" s="2"/>
    </row>
    <row r="1027" spans="1:68" x14ac:dyDescent="0.25">
      <c r="A1027" s="63" t="s">
        <v>1096</v>
      </c>
      <c r="B1027" s="64"/>
      <c r="C1027" s="64"/>
      <c r="D1027" s="65"/>
      <c r="E1027" s="67"/>
      <c r="F1027" s="111" t="str">
        <f>HYPERLINK("https://pbs.twimg.com/profile_images/1633896603005141000/0_NlXxC__normal.jpg")</f>
        <v>https://pbs.twimg.com/profile_images/1633896603005141000/0_NlXxC__normal.jpg</v>
      </c>
      <c r="G1027" s="64"/>
      <c r="H1027" s="68"/>
      <c r="I1027" s="69"/>
      <c r="J1027" s="69"/>
      <c r="K1027" s="68" t="s">
        <v>30160</v>
      </c>
      <c r="L1027" s="72"/>
      <c r="M1027" s="73"/>
      <c r="N1027" s="73"/>
      <c r="O1027" s="74"/>
      <c r="P1027" s="75"/>
      <c r="Q1027" s="75"/>
      <c r="R1027" s="102"/>
      <c r="S1027" s="102"/>
      <c r="T1027" s="102"/>
      <c r="U1027" s="102"/>
      <c r="V1027" s="48"/>
      <c r="W1027" s="48"/>
      <c r="X1027" s="48"/>
      <c r="Y1027" s="48"/>
      <c r="Z1027" s="47"/>
      <c r="AA1027" s="70">
        <v>1027</v>
      </c>
      <c r="AB1027" s="70"/>
      <c r="AC1027" s="71"/>
      <c r="AD1027" s="86" t="s">
        <v>24633</v>
      </c>
      <c r="AE1027" s="94" t="s">
        <v>22613</v>
      </c>
      <c r="AF1027" s="86">
        <v>3705</v>
      </c>
      <c r="AG1027" s="86">
        <v>244</v>
      </c>
      <c r="AH1027" s="86">
        <v>8384</v>
      </c>
      <c r="AI1027" s="86">
        <v>16</v>
      </c>
      <c r="AJ1027" s="86">
        <v>900</v>
      </c>
      <c r="AK1027" s="86">
        <v>800</v>
      </c>
      <c r="AL1027" s="86" t="b">
        <v>0</v>
      </c>
      <c r="AM1027" s="89">
        <v>39825.489340277774</v>
      </c>
      <c r="AN1027" s="86" t="s">
        <v>15234</v>
      </c>
      <c r="AO1027" s="86" t="s">
        <v>27362</v>
      </c>
      <c r="AP1027" s="96" t="str">
        <f>HYPERLINK("https://t.co/1cZDDdLsul")</f>
        <v>https://t.co/1cZDDdLsul</v>
      </c>
      <c r="AQ1027" s="96" t="str">
        <f>HYPERLINK("https://linktr.ee/creditopravaler")</f>
        <v>https://linktr.ee/creditopravaler</v>
      </c>
      <c r="AR1027" s="86" t="s">
        <v>28590</v>
      </c>
      <c r="AS1027" s="86"/>
      <c r="AT1027" s="86"/>
      <c r="AU1027" s="86"/>
      <c r="AV1027" s="86">
        <v>1.6791615762536801E+18</v>
      </c>
      <c r="AW1027" s="96" t="str">
        <f>HYPERLINK("https://t.co/1cZDDdLsul")</f>
        <v>https://t.co/1cZDDdLsul</v>
      </c>
      <c r="AX1027" s="86" t="b">
        <v>0</v>
      </c>
      <c r="AY1027" s="86"/>
      <c r="AZ1027" s="86"/>
      <c r="BA1027" s="86" t="b">
        <v>1</v>
      </c>
      <c r="BB1027" s="86" t="b">
        <v>1</v>
      </c>
      <c r="BC1027" s="86" t="b">
        <v>0</v>
      </c>
      <c r="BD1027" s="86" t="b">
        <v>0</v>
      </c>
      <c r="BE1027" s="86" t="b">
        <v>1</v>
      </c>
      <c r="BF1027" s="86" t="b">
        <v>0</v>
      </c>
      <c r="BG1027" s="86" t="b">
        <v>0</v>
      </c>
      <c r="BH1027" s="96" t="str">
        <f>HYPERLINK("https://pbs.twimg.com/profile_banners/18898473/1678739057")</f>
        <v>https://pbs.twimg.com/profile_banners/18898473/1678739057</v>
      </c>
      <c r="BI1027" s="86"/>
      <c r="BJ1027" s="86" t="s">
        <v>29134</v>
      </c>
      <c r="BK1027" s="86" t="b">
        <v>0</v>
      </c>
      <c r="BL1027" s="86"/>
      <c r="BM1027" s="86" t="s">
        <v>66</v>
      </c>
      <c r="BN1027" s="86" t="s">
        <v>29136</v>
      </c>
      <c r="BO1027" s="96" t="str">
        <f>HYPERLINK("https://twitter.com/pravaler")</f>
        <v>https://twitter.com/pravaler</v>
      </c>
      <c r="BP1027" s="2"/>
    </row>
    <row r="1028" spans="1:68" x14ac:dyDescent="0.25">
      <c r="A1028" s="63" t="s">
        <v>1097</v>
      </c>
      <c r="B1028" s="64"/>
      <c r="C1028" s="64"/>
      <c r="D1028" s="65"/>
      <c r="E1028" s="67"/>
      <c r="F1028" s="111" t="str">
        <f>HYPERLINK("https://pbs.twimg.com/profile_images/1672647325871734786/Nl9N01wx_normal.jpg")</f>
        <v>https://pbs.twimg.com/profile_images/1672647325871734786/Nl9N01wx_normal.jpg</v>
      </c>
      <c r="G1028" s="64"/>
      <c r="H1028" s="68"/>
      <c r="I1028" s="69"/>
      <c r="J1028" s="69"/>
      <c r="K1028" s="68" t="s">
        <v>30161</v>
      </c>
      <c r="L1028" s="72"/>
      <c r="M1028" s="73"/>
      <c r="N1028" s="73"/>
      <c r="O1028" s="74"/>
      <c r="P1028" s="75"/>
      <c r="Q1028" s="75"/>
      <c r="R1028" s="102"/>
      <c r="S1028" s="102"/>
      <c r="T1028" s="102"/>
      <c r="U1028" s="102"/>
      <c r="V1028" s="48"/>
      <c r="W1028" s="48"/>
      <c r="X1028" s="48"/>
      <c r="Y1028" s="48"/>
      <c r="Z1028" s="47"/>
      <c r="AA1028" s="70">
        <v>1028</v>
      </c>
      <c r="AB1028" s="70"/>
      <c r="AC1028" s="71"/>
      <c r="AD1028" s="86" t="s">
        <v>24634</v>
      </c>
      <c r="AE1028" s="94" t="s">
        <v>25630</v>
      </c>
      <c r="AF1028" s="86">
        <v>186</v>
      </c>
      <c r="AG1028" s="86">
        <v>224</v>
      </c>
      <c r="AH1028" s="86">
        <v>42572</v>
      </c>
      <c r="AI1028" s="86">
        <v>3</v>
      </c>
      <c r="AJ1028" s="86">
        <v>18088</v>
      </c>
      <c r="AK1028" s="86">
        <v>1295</v>
      </c>
      <c r="AL1028" s="86" t="b">
        <v>0</v>
      </c>
      <c r="AM1028" s="89">
        <v>40229.756284722222</v>
      </c>
      <c r="AN1028" s="86">
        <v>13</v>
      </c>
      <c r="AO1028" s="86" t="s">
        <v>27363</v>
      </c>
      <c r="AP1028" s="86"/>
      <c r="AQ1028" s="86"/>
      <c r="AR1028" s="86"/>
      <c r="AS1028" s="86"/>
      <c r="AT1028" s="86"/>
      <c r="AU1028" s="86"/>
      <c r="AV1028" s="86"/>
      <c r="AW1028" s="86"/>
      <c r="AX1028" s="86" t="b">
        <v>0</v>
      </c>
      <c r="AY1028" s="86"/>
      <c r="AZ1028" s="86"/>
      <c r="BA1028" s="86" t="b">
        <v>0</v>
      </c>
      <c r="BB1028" s="86" t="b">
        <v>0</v>
      </c>
      <c r="BC1028" s="86" t="b">
        <v>0</v>
      </c>
      <c r="BD1028" s="86" t="b">
        <v>0</v>
      </c>
      <c r="BE1028" s="86" t="b">
        <v>1</v>
      </c>
      <c r="BF1028" s="86" t="b">
        <v>0</v>
      </c>
      <c r="BG1028" s="86" t="b">
        <v>1</v>
      </c>
      <c r="BH1028" s="96" t="str">
        <f>HYPERLINK("https://pbs.twimg.com/profile_banners/115986183/1684878024")</f>
        <v>https://pbs.twimg.com/profile_banners/115986183/1684878024</v>
      </c>
      <c r="BI1028" s="86"/>
      <c r="BJ1028" s="86" t="s">
        <v>29134</v>
      </c>
      <c r="BK1028" s="86" t="b">
        <v>0</v>
      </c>
      <c r="BL1028" s="86"/>
      <c r="BM1028" s="86" t="s">
        <v>66</v>
      </c>
      <c r="BN1028" s="86" t="s">
        <v>29136</v>
      </c>
      <c r="BO1028" s="96" t="str">
        <f>HYPERLINK("https://twitter.com/bolchenik")</f>
        <v>https://twitter.com/bolchenik</v>
      </c>
      <c r="BP1028" s="2"/>
    </row>
    <row r="1029" spans="1:68" x14ac:dyDescent="0.25">
      <c r="A1029" s="63" t="s">
        <v>1226</v>
      </c>
      <c r="B1029" s="64"/>
      <c r="C1029" s="64"/>
      <c r="D1029" s="65"/>
      <c r="E1029" s="67"/>
      <c r="F1029" s="111" t="str">
        <f>HYPERLINK("https://pbs.twimg.com/profile_images/1604933445796372486/pFEd9rbi_normal.jpg")</f>
        <v>https://pbs.twimg.com/profile_images/1604933445796372486/pFEd9rbi_normal.jpg</v>
      </c>
      <c r="G1029" s="64"/>
      <c r="H1029" s="68"/>
      <c r="I1029" s="69"/>
      <c r="J1029" s="69"/>
      <c r="K1029" s="68" t="s">
        <v>30162</v>
      </c>
      <c r="L1029" s="72"/>
      <c r="M1029" s="73"/>
      <c r="N1029" s="73"/>
      <c r="O1029" s="74"/>
      <c r="P1029" s="75"/>
      <c r="Q1029" s="75"/>
      <c r="R1029" s="102"/>
      <c r="S1029" s="102"/>
      <c r="T1029" s="102"/>
      <c r="U1029" s="102"/>
      <c r="V1029" s="48"/>
      <c r="W1029" s="48"/>
      <c r="X1029" s="48"/>
      <c r="Y1029" s="48"/>
      <c r="Z1029" s="47"/>
      <c r="AA1029" s="70">
        <v>1029</v>
      </c>
      <c r="AB1029" s="70"/>
      <c r="AC1029" s="71"/>
      <c r="AD1029" s="86" t="s">
        <v>1226</v>
      </c>
      <c r="AE1029" s="94" t="s">
        <v>25631</v>
      </c>
      <c r="AF1029" s="86">
        <v>14930821</v>
      </c>
      <c r="AG1029" s="86">
        <v>59</v>
      </c>
      <c r="AH1029" s="86">
        <v>768511</v>
      </c>
      <c r="AI1029" s="86">
        <v>19298</v>
      </c>
      <c r="AJ1029" s="86">
        <v>13</v>
      </c>
      <c r="AK1029" s="86">
        <v>307167</v>
      </c>
      <c r="AL1029" s="86" t="b">
        <v>0</v>
      </c>
      <c r="AM1029" s="89">
        <v>39336.170706018522</v>
      </c>
      <c r="AN1029" s="86" t="s">
        <v>15234</v>
      </c>
      <c r="AO1029" s="86" t="s">
        <v>27364</v>
      </c>
      <c r="AP1029" s="96" t="str">
        <f>HYPERLINK("https://t.co/aU1rfIKpvv")</f>
        <v>https://t.co/aU1rfIKpvv</v>
      </c>
      <c r="AQ1029" s="96" t="str">
        <f>HYPERLINK("http://g1.com.br")</f>
        <v>http://g1.com.br</v>
      </c>
      <c r="AR1029" s="86" t="s">
        <v>28591</v>
      </c>
      <c r="AS1029" s="96" t="str">
        <f>HYPERLINK("https://t.co/Z0QGNc44I7")</f>
        <v>https://t.co/Z0QGNc44I7</v>
      </c>
      <c r="AT1029" s="96" t="str">
        <f>HYPERLINK("http://empli.fi/g1/")</f>
        <v>http://empli.fi/g1/</v>
      </c>
      <c r="AU1029" s="86" t="s">
        <v>29101</v>
      </c>
      <c r="AV1029" s="86"/>
      <c r="AW1029" s="96" t="str">
        <f>HYPERLINK("https://t.co/aU1rfIKpvv")</f>
        <v>https://t.co/aU1rfIKpvv</v>
      </c>
      <c r="AX1029" s="86" t="b">
        <v>1</v>
      </c>
      <c r="AY1029" s="86"/>
      <c r="AZ1029" s="86"/>
      <c r="BA1029" s="86" t="b">
        <v>0</v>
      </c>
      <c r="BB1029" s="86" t="b">
        <v>0</v>
      </c>
      <c r="BC1029" s="86" t="b">
        <v>0</v>
      </c>
      <c r="BD1029" s="86" t="b">
        <v>0</v>
      </c>
      <c r="BE1029" s="86" t="b">
        <v>1</v>
      </c>
      <c r="BF1029" s="86" t="b">
        <v>0</v>
      </c>
      <c r="BG1029" s="86" t="b">
        <v>0</v>
      </c>
      <c r="BH1029" s="96" t="str">
        <f>HYPERLINK("https://pbs.twimg.com/profile_banners/8802752/1665518338")</f>
        <v>https://pbs.twimg.com/profile_banners/8802752/1665518338</v>
      </c>
      <c r="BI1029" s="86"/>
      <c r="BJ1029" s="86" t="s">
        <v>29134</v>
      </c>
      <c r="BK1029" s="86" t="b">
        <v>0</v>
      </c>
      <c r="BL1029" s="86"/>
      <c r="BM1029" s="86" t="s">
        <v>66</v>
      </c>
      <c r="BN1029" s="86" t="s">
        <v>29136</v>
      </c>
      <c r="BO1029" s="96" t="str">
        <f>HYPERLINK("https://twitter.com/g1")</f>
        <v>https://twitter.com/g1</v>
      </c>
      <c r="BP1029" s="2"/>
    </row>
    <row r="1030" spans="1:68" x14ac:dyDescent="0.25">
      <c r="A1030" s="63" t="s">
        <v>1098</v>
      </c>
      <c r="B1030" s="64"/>
      <c r="C1030" s="64"/>
      <c r="D1030" s="65"/>
      <c r="E1030" s="67"/>
      <c r="F1030" s="111" t="str">
        <f>HYPERLINK("https://pbs.twimg.com/profile_images/1633618727932510208/shtAD4Lu_normal.jpg")</f>
        <v>https://pbs.twimg.com/profile_images/1633618727932510208/shtAD4Lu_normal.jpg</v>
      </c>
      <c r="G1030" s="64"/>
      <c r="H1030" s="68"/>
      <c r="I1030" s="69"/>
      <c r="J1030" s="69"/>
      <c r="K1030" s="68" t="s">
        <v>30163</v>
      </c>
      <c r="L1030" s="72"/>
      <c r="M1030" s="73"/>
      <c r="N1030" s="73"/>
      <c r="O1030" s="74"/>
      <c r="P1030" s="75"/>
      <c r="Q1030" s="75"/>
      <c r="R1030" s="102"/>
      <c r="S1030" s="102"/>
      <c r="T1030" s="102"/>
      <c r="U1030" s="102"/>
      <c r="V1030" s="48"/>
      <c r="W1030" s="48"/>
      <c r="X1030" s="48"/>
      <c r="Y1030" s="48"/>
      <c r="Z1030" s="47"/>
      <c r="AA1030" s="70">
        <v>1030</v>
      </c>
      <c r="AB1030" s="70"/>
      <c r="AC1030" s="71"/>
      <c r="AD1030" s="86" t="s">
        <v>24635</v>
      </c>
      <c r="AE1030" s="94" t="s">
        <v>22614</v>
      </c>
      <c r="AF1030" s="86">
        <v>607</v>
      </c>
      <c r="AG1030" s="86">
        <v>6</v>
      </c>
      <c r="AH1030" s="86">
        <v>1702</v>
      </c>
      <c r="AI1030" s="86">
        <v>7</v>
      </c>
      <c r="AJ1030" s="86">
        <v>13</v>
      </c>
      <c r="AK1030" s="86">
        <v>1119</v>
      </c>
      <c r="AL1030" s="86" t="b">
        <v>0</v>
      </c>
      <c r="AM1030" s="89">
        <v>44830.964421296296</v>
      </c>
      <c r="AN1030" s="86"/>
      <c r="AO1030" s="86" t="s">
        <v>27365</v>
      </c>
      <c r="AP1030" s="96" t="str">
        <f>HYPERLINK("https://t.co/ohDEddhJOA")</f>
        <v>https://t.co/ohDEddhJOA</v>
      </c>
      <c r="AQ1030" s="96" t="str">
        <f>HYPERLINK("https://participativo.rn.gov.br/ppa-rn")</f>
        <v>https://participativo.rn.gov.br/ppa-rn</v>
      </c>
      <c r="AR1030" s="86" t="s">
        <v>28592</v>
      </c>
      <c r="AS1030" s="86"/>
      <c r="AT1030" s="86"/>
      <c r="AU1030" s="86"/>
      <c r="AV1030" s="86"/>
      <c r="AW1030" s="96" t="str">
        <f>HYPERLINK("https://t.co/ohDEddhJOA")</f>
        <v>https://t.co/ohDEddhJOA</v>
      </c>
      <c r="AX1030" s="86" t="b">
        <v>0</v>
      </c>
      <c r="AY1030" s="86"/>
      <c r="AZ1030" s="86"/>
      <c r="BA1030" s="86" t="b">
        <v>0</v>
      </c>
      <c r="BB1030" s="86" t="b">
        <v>1</v>
      </c>
      <c r="BC1030" s="86" t="b">
        <v>1</v>
      </c>
      <c r="BD1030" s="86" t="b">
        <v>0</v>
      </c>
      <c r="BE1030" s="86" t="b">
        <v>0</v>
      </c>
      <c r="BF1030" s="86" t="b">
        <v>0</v>
      </c>
      <c r="BG1030" s="86" t="b">
        <v>0</v>
      </c>
      <c r="BH1030" s="96" t="str">
        <f>HYPERLINK("https://pbs.twimg.com/profile_banners/1574536308327960586/1678320066")</f>
        <v>https://pbs.twimg.com/profile_banners/1574536308327960586/1678320066</v>
      </c>
      <c r="BI1030" s="86"/>
      <c r="BJ1030" s="86" t="s">
        <v>29134</v>
      </c>
      <c r="BK1030" s="86" t="b">
        <v>0</v>
      </c>
      <c r="BL1030" s="86"/>
      <c r="BM1030" s="86" t="s">
        <v>66</v>
      </c>
      <c r="BN1030" s="86" t="s">
        <v>29136</v>
      </c>
      <c r="BO1030" s="96" t="str">
        <f>HYPERLINK("https://twitter.com/governodorn")</f>
        <v>https://twitter.com/governodorn</v>
      </c>
      <c r="BP1030" s="2"/>
    </row>
    <row r="1031" spans="1:68" x14ac:dyDescent="0.25">
      <c r="A1031" s="63" t="s">
        <v>1099</v>
      </c>
      <c r="B1031" s="64"/>
      <c r="C1031" s="64"/>
      <c r="D1031" s="65"/>
      <c r="E1031" s="67"/>
      <c r="F1031" s="111" t="str">
        <f>HYPERLINK("https://pbs.twimg.com/profile_images/1529107486271225859/03qcVNIk_normal.jpg")</f>
        <v>https://pbs.twimg.com/profile_images/1529107486271225859/03qcVNIk_normal.jpg</v>
      </c>
      <c r="G1031" s="64"/>
      <c r="H1031" s="68"/>
      <c r="I1031" s="69"/>
      <c r="J1031" s="69"/>
      <c r="K1031" s="68" t="s">
        <v>30164</v>
      </c>
      <c r="L1031" s="72"/>
      <c r="M1031" s="73"/>
      <c r="N1031" s="73"/>
      <c r="O1031" s="74"/>
      <c r="P1031" s="75"/>
      <c r="Q1031" s="75"/>
      <c r="R1031" s="102"/>
      <c r="S1031" s="102"/>
      <c r="T1031" s="102"/>
      <c r="U1031" s="102"/>
      <c r="V1031" s="48"/>
      <c r="W1031" s="48"/>
      <c r="X1031" s="48"/>
      <c r="Y1031" s="48"/>
      <c r="Z1031" s="47"/>
      <c r="AA1031" s="70">
        <v>1031</v>
      </c>
      <c r="AB1031" s="70"/>
      <c r="AC1031" s="71"/>
      <c r="AD1031" s="86" t="s">
        <v>24636</v>
      </c>
      <c r="AE1031" s="94" t="s">
        <v>25632</v>
      </c>
      <c r="AF1031" s="86">
        <v>15217693</v>
      </c>
      <c r="AG1031" s="86">
        <v>85</v>
      </c>
      <c r="AH1031" s="86">
        <v>535714</v>
      </c>
      <c r="AI1031" s="86">
        <v>51087</v>
      </c>
      <c r="AJ1031" s="86">
        <v>3</v>
      </c>
      <c r="AK1031" s="86">
        <v>48988</v>
      </c>
      <c r="AL1031" s="86" t="b">
        <v>0</v>
      </c>
      <c r="AM1031" s="89">
        <v>39090.337465277778</v>
      </c>
      <c r="AN1031" s="86" t="s">
        <v>26245</v>
      </c>
      <c r="AO1031" s="86" t="s">
        <v>27366</v>
      </c>
      <c r="AP1031" s="96" t="str">
        <f>HYPERLINK("https://t.co/9WpHz3Aebw")</f>
        <v>https://t.co/9WpHz3Aebw</v>
      </c>
      <c r="AQ1031" s="96" t="str">
        <f>HYPERLINK("http://www.bbc.co.uk/news")</f>
        <v>http://www.bbc.co.uk/news</v>
      </c>
      <c r="AR1031" s="86" t="s">
        <v>28593</v>
      </c>
      <c r="AS1031" s="86"/>
      <c r="AT1031" s="86"/>
      <c r="AU1031" s="86"/>
      <c r="AV1031" s="86"/>
      <c r="AW1031" s="96" t="str">
        <f>HYPERLINK("https://t.co/9WpHz3Aebw")</f>
        <v>https://t.co/9WpHz3Aebw</v>
      </c>
      <c r="AX1031" s="86" t="b">
        <v>1</v>
      </c>
      <c r="AY1031" s="86"/>
      <c r="AZ1031" s="86"/>
      <c r="BA1031" s="86" t="b">
        <v>0</v>
      </c>
      <c r="BB1031" s="86" t="b">
        <v>1</v>
      </c>
      <c r="BC1031" s="86" t="b">
        <v>0</v>
      </c>
      <c r="BD1031" s="86" t="b">
        <v>0</v>
      </c>
      <c r="BE1031" s="86" t="b">
        <v>1</v>
      </c>
      <c r="BF1031" s="86" t="b">
        <v>0</v>
      </c>
      <c r="BG1031" s="86" t="b">
        <v>0</v>
      </c>
      <c r="BH1031" s="96" t="str">
        <f>HYPERLINK("https://pbs.twimg.com/profile_banners/612473/1663662081")</f>
        <v>https://pbs.twimg.com/profile_banners/612473/1663662081</v>
      </c>
      <c r="BI1031" s="86"/>
      <c r="BJ1031" s="86" t="s">
        <v>29135</v>
      </c>
      <c r="BK1031" s="86" t="b">
        <v>0</v>
      </c>
      <c r="BL1031" s="86"/>
      <c r="BM1031" s="86" t="s">
        <v>66</v>
      </c>
      <c r="BN1031" s="86" t="s">
        <v>29136</v>
      </c>
      <c r="BO1031" s="96" t="str">
        <f>HYPERLINK("https://twitter.com/bbcnews")</f>
        <v>https://twitter.com/bbcnews</v>
      </c>
      <c r="BP1031" s="2"/>
    </row>
    <row r="1032" spans="1:68" x14ac:dyDescent="0.25">
      <c r="A1032" s="63" t="s">
        <v>1100</v>
      </c>
      <c r="B1032" s="64"/>
      <c r="C1032" s="64"/>
      <c r="D1032" s="65"/>
      <c r="E1032" s="67"/>
      <c r="F1032" s="111" t="str">
        <f>HYPERLINK("https://pbs.twimg.com/profile_images/1091322664550125569/xB2wgHcm_normal.jpg")</f>
        <v>https://pbs.twimg.com/profile_images/1091322664550125569/xB2wgHcm_normal.jpg</v>
      </c>
      <c r="G1032" s="64"/>
      <c r="H1032" s="68"/>
      <c r="I1032" s="69"/>
      <c r="J1032" s="69"/>
      <c r="K1032" s="68" t="s">
        <v>30165</v>
      </c>
      <c r="L1032" s="72"/>
      <c r="M1032" s="73"/>
      <c r="N1032" s="73"/>
      <c r="O1032" s="74"/>
      <c r="P1032" s="75"/>
      <c r="Q1032" s="75"/>
      <c r="R1032" s="102"/>
      <c r="S1032" s="102"/>
      <c r="T1032" s="102"/>
      <c r="U1032" s="102"/>
      <c r="V1032" s="48"/>
      <c r="W1032" s="48"/>
      <c r="X1032" s="48"/>
      <c r="Y1032" s="48"/>
      <c r="Z1032" s="47"/>
      <c r="AA1032" s="70">
        <v>1032</v>
      </c>
      <c r="AB1032" s="70"/>
      <c r="AC1032" s="71"/>
      <c r="AD1032" s="86" t="s">
        <v>24637</v>
      </c>
      <c r="AE1032" s="94" t="s">
        <v>25633</v>
      </c>
      <c r="AF1032" s="86">
        <v>1056</v>
      </c>
      <c r="AG1032" s="86">
        <v>1461</v>
      </c>
      <c r="AH1032" s="86">
        <v>58193</v>
      </c>
      <c r="AI1032" s="86">
        <v>5</v>
      </c>
      <c r="AJ1032" s="86">
        <v>145896</v>
      </c>
      <c r="AK1032" s="86">
        <v>1406</v>
      </c>
      <c r="AL1032" s="86" t="b">
        <v>0</v>
      </c>
      <c r="AM1032" s="89">
        <v>39837.957071759258</v>
      </c>
      <c r="AN1032" s="86" t="s">
        <v>26009</v>
      </c>
      <c r="AO1032" s="86" t="s">
        <v>27367</v>
      </c>
      <c r="AP1032" s="86"/>
      <c r="AQ1032" s="86"/>
      <c r="AR1032" s="86"/>
      <c r="AS1032" s="86"/>
      <c r="AT1032" s="86"/>
      <c r="AU1032" s="86"/>
      <c r="AV1032" s="86">
        <v>1.2029719587926001E+18</v>
      </c>
      <c r="AW1032" s="86"/>
      <c r="AX1032" s="86" t="b">
        <v>0</v>
      </c>
      <c r="AY1032" s="86"/>
      <c r="AZ1032" s="86"/>
      <c r="BA1032" s="86" t="b">
        <v>1</v>
      </c>
      <c r="BB1032" s="86" t="b">
        <v>0</v>
      </c>
      <c r="BC1032" s="86" t="b">
        <v>0</v>
      </c>
      <c r="BD1032" s="86" t="b">
        <v>0</v>
      </c>
      <c r="BE1032" s="86" t="b">
        <v>1</v>
      </c>
      <c r="BF1032" s="86" t="b">
        <v>0</v>
      </c>
      <c r="BG1032" s="86" t="b">
        <v>0</v>
      </c>
      <c r="BH1032" s="96" t="str">
        <f>HYPERLINK("https://pbs.twimg.com/profile_banners/19467890/1442953166")</f>
        <v>https://pbs.twimg.com/profile_banners/19467890/1442953166</v>
      </c>
      <c r="BI1032" s="86"/>
      <c r="BJ1032" s="86" t="s">
        <v>29134</v>
      </c>
      <c r="BK1032" s="86" t="b">
        <v>0</v>
      </c>
      <c r="BL1032" s="86"/>
      <c r="BM1032" s="86" t="s">
        <v>66</v>
      </c>
      <c r="BN1032" s="86" t="s">
        <v>29136</v>
      </c>
      <c r="BO1032" s="96" t="str">
        <f>HYPERLINK("https://twitter.com/alexandrecruz")</f>
        <v>https://twitter.com/alexandrecruz</v>
      </c>
      <c r="BP1032" s="2"/>
    </row>
    <row r="1033" spans="1:68" x14ac:dyDescent="0.25">
      <c r="A1033" s="63" t="s">
        <v>1101</v>
      </c>
      <c r="B1033" s="64"/>
      <c r="C1033" s="64"/>
      <c r="D1033" s="65"/>
      <c r="E1033" s="67"/>
      <c r="F1033" s="111" t="str">
        <f>HYPERLINK("https://pbs.twimg.com/profile_images/1677750050754121733/b2silIh4_normal.jpg")</f>
        <v>https://pbs.twimg.com/profile_images/1677750050754121733/b2silIh4_normal.jpg</v>
      </c>
      <c r="G1033" s="64"/>
      <c r="H1033" s="68"/>
      <c r="I1033" s="69"/>
      <c r="J1033" s="69"/>
      <c r="K1033" s="68" t="s">
        <v>30166</v>
      </c>
      <c r="L1033" s="72"/>
      <c r="M1033" s="73"/>
      <c r="N1033" s="73"/>
      <c r="O1033" s="74"/>
      <c r="P1033" s="75"/>
      <c r="Q1033" s="75"/>
      <c r="R1033" s="102"/>
      <c r="S1033" s="102"/>
      <c r="T1033" s="102"/>
      <c r="U1033" s="102"/>
      <c r="V1033" s="48"/>
      <c r="W1033" s="48"/>
      <c r="X1033" s="48"/>
      <c r="Y1033" s="48"/>
      <c r="Z1033" s="47"/>
      <c r="AA1033" s="70">
        <v>1033</v>
      </c>
      <c r="AB1033" s="70"/>
      <c r="AC1033" s="71"/>
      <c r="AD1033" s="86" t="s">
        <v>24638</v>
      </c>
      <c r="AE1033" s="94" t="s">
        <v>23296</v>
      </c>
      <c r="AF1033" s="86">
        <v>15</v>
      </c>
      <c r="AG1033" s="86">
        <v>139</v>
      </c>
      <c r="AH1033" s="86">
        <v>98</v>
      </c>
      <c r="AI1033" s="86">
        <v>0</v>
      </c>
      <c r="AJ1033" s="86">
        <v>6</v>
      </c>
      <c r="AK1033" s="86">
        <v>87</v>
      </c>
      <c r="AL1033" s="86" t="b">
        <v>0</v>
      </c>
      <c r="AM1033" s="89">
        <v>45068.50273148148</v>
      </c>
      <c r="AN1033" s="86" t="s">
        <v>15283</v>
      </c>
      <c r="AO1033" s="86" t="s">
        <v>27368</v>
      </c>
      <c r="AP1033" s="86"/>
      <c r="AQ1033" s="86"/>
      <c r="AR1033" s="86"/>
      <c r="AS1033" s="86"/>
      <c r="AT1033" s="86"/>
      <c r="AU1033" s="86"/>
      <c r="AV1033" s="86"/>
      <c r="AW1033" s="86"/>
      <c r="AX1033" s="86" t="b">
        <v>0</v>
      </c>
      <c r="AY1033" s="86"/>
      <c r="AZ1033" s="86"/>
      <c r="BA1033" s="86" t="b">
        <v>0</v>
      </c>
      <c r="BB1033" s="86" t="b">
        <v>1</v>
      </c>
      <c r="BC1033" s="86" t="b">
        <v>1</v>
      </c>
      <c r="BD1033" s="86" t="b">
        <v>0</v>
      </c>
      <c r="BE1033" s="86" t="b">
        <v>0</v>
      </c>
      <c r="BF1033" s="86" t="b">
        <v>0</v>
      </c>
      <c r="BG1033" s="86" t="b">
        <v>0</v>
      </c>
      <c r="BH1033" s="96" t="str">
        <f>HYPERLINK("https://pbs.twimg.com/profile_banners/1660617440244498432/1688841757")</f>
        <v>https://pbs.twimg.com/profile_banners/1660617440244498432/1688841757</v>
      </c>
      <c r="BI1033" s="86"/>
      <c r="BJ1033" s="86" t="s">
        <v>29134</v>
      </c>
      <c r="BK1033" s="86" t="b">
        <v>0</v>
      </c>
      <c r="BL1033" s="86"/>
      <c r="BM1033" s="86" t="s">
        <v>66</v>
      </c>
      <c r="BN1033" s="86" t="s">
        <v>29136</v>
      </c>
      <c r="BO1033" s="96" t="str">
        <f>HYPERLINK("https://twitter.com/natisoares66")</f>
        <v>https://twitter.com/natisoares66</v>
      </c>
      <c r="BP1033" s="2"/>
    </row>
    <row r="1034" spans="1:68" x14ac:dyDescent="0.25">
      <c r="A1034" s="63" t="s">
        <v>1102</v>
      </c>
      <c r="B1034" s="64"/>
      <c r="C1034" s="64"/>
      <c r="D1034" s="65"/>
      <c r="E1034" s="67"/>
      <c r="F1034" s="111" t="str">
        <f>HYPERLINK("https://pbs.twimg.com/profile_images/1661138938440949760/At2LLJOv_normal.jpg")</f>
        <v>https://pbs.twimg.com/profile_images/1661138938440949760/At2LLJOv_normal.jpg</v>
      </c>
      <c r="G1034" s="64"/>
      <c r="H1034" s="68"/>
      <c r="I1034" s="69"/>
      <c r="J1034" s="69"/>
      <c r="K1034" s="68" t="s">
        <v>30167</v>
      </c>
      <c r="L1034" s="72"/>
      <c r="M1034" s="73"/>
      <c r="N1034" s="73"/>
      <c r="O1034" s="74"/>
      <c r="P1034" s="75"/>
      <c r="Q1034" s="75"/>
      <c r="R1034" s="102"/>
      <c r="S1034" s="102"/>
      <c r="T1034" s="102"/>
      <c r="U1034" s="102"/>
      <c r="V1034" s="48"/>
      <c r="W1034" s="48"/>
      <c r="X1034" s="48"/>
      <c r="Y1034" s="48"/>
      <c r="Z1034" s="47"/>
      <c r="AA1034" s="70">
        <v>1034</v>
      </c>
      <c r="AB1034" s="70"/>
      <c r="AC1034" s="71"/>
      <c r="AD1034" s="86" t="s">
        <v>24639</v>
      </c>
      <c r="AE1034" s="94" t="s">
        <v>23297</v>
      </c>
      <c r="AF1034" s="86">
        <v>2680</v>
      </c>
      <c r="AG1034" s="86">
        <v>3360</v>
      </c>
      <c r="AH1034" s="86">
        <v>7236</v>
      </c>
      <c r="AI1034" s="86">
        <v>1</v>
      </c>
      <c r="AJ1034" s="86">
        <v>10875</v>
      </c>
      <c r="AK1034" s="86">
        <v>344</v>
      </c>
      <c r="AL1034" s="86" t="b">
        <v>0</v>
      </c>
      <c r="AM1034" s="89">
        <v>43248.902106481481</v>
      </c>
      <c r="AN1034" s="86" t="s">
        <v>15234</v>
      </c>
      <c r="AO1034" s="86" t="s">
        <v>27369</v>
      </c>
      <c r="AP1034" s="86"/>
      <c r="AQ1034" s="86"/>
      <c r="AR1034" s="86"/>
      <c r="AS1034" s="86"/>
      <c r="AT1034" s="86"/>
      <c r="AU1034" s="86"/>
      <c r="AV1034" s="86"/>
      <c r="AW1034" s="86"/>
      <c r="AX1034" s="86" t="b">
        <v>0</v>
      </c>
      <c r="AY1034" s="86"/>
      <c r="AZ1034" s="86"/>
      <c r="BA1034" s="86" t="b">
        <v>0</v>
      </c>
      <c r="BB1034" s="86" t="b">
        <v>1</v>
      </c>
      <c r="BC1034" s="86" t="b">
        <v>1</v>
      </c>
      <c r="BD1034" s="86" t="b">
        <v>0</v>
      </c>
      <c r="BE1034" s="86" t="b">
        <v>0</v>
      </c>
      <c r="BF1034" s="86" t="b">
        <v>0</v>
      </c>
      <c r="BG1034" s="86" t="b">
        <v>0</v>
      </c>
      <c r="BH1034" s="96" t="str">
        <f>HYPERLINK("https://pbs.twimg.com/profile_banners/1001216298863546369/1575166662")</f>
        <v>https://pbs.twimg.com/profile_banners/1001216298863546369/1575166662</v>
      </c>
      <c r="BI1034" s="86"/>
      <c r="BJ1034" s="86" t="s">
        <v>29134</v>
      </c>
      <c r="BK1034" s="86" t="b">
        <v>0</v>
      </c>
      <c r="BL1034" s="86"/>
      <c r="BM1034" s="86" t="s">
        <v>66</v>
      </c>
      <c r="BN1034" s="86" t="s">
        <v>29136</v>
      </c>
      <c r="BO1034" s="96" t="str">
        <f>HYPERLINK("https://twitter.com/dafdaf1313")</f>
        <v>https://twitter.com/dafdaf1313</v>
      </c>
      <c r="BP1034" s="2"/>
    </row>
    <row r="1035" spans="1:68" x14ac:dyDescent="0.25">
      <c r="A1035" s="63" t="s">
        <v>1103</v>
      </c>
      <c r="B1035" s="64"/>
      <c r="C1035" s="64"/>
      <c r="D1035" s="65"/>
      <c r="E1035" s="67"/>
      <c r="F1035" s="111" t="str">
        <f>HYPERLINK("https://pbs.twimg.com/profile_images/1516050726455238657/3Uv2-ifd_normal.jpg")</f>
        <v>https://pbs.twimg.com/profile_images/1516050726455238657/3Uv2-ifd_normal.jpg</v>
      </c>
      <c r="G1035" s="64"/>
      <c r="H1035" s="68"/>
      <c r="I1035" s="69"/>
      <c r="J1035" s="69"/>
      <c r="K1035" s="68" t="s">
        <v>30168</v>
      </c>
      <c r="L1035" s="72"/>
      <c r="M1035" s="73"/>
      <c r="N1035" s="73"/>
      <c r="O1035" s="74"/>
      <c r="P1035" s="75"/>
      <c r="Q1035" s="75"/>
      <c r="R1035" s="102"/>
      <c r="S1035" s="102"/>
      <c r="T1035" s="102"/>
      <c r="U1035" s="102"/>
      <c r="V1035" s="48"/>
      <c r="W1035" s="48"/>
      <c r="X1035" s="48"/>
      <c r="Y1035" s="48"/>
      <c r="Z1035" s="47"/>
      <c r="AA1035" s="70">
        <v>1035</v>
      </c>
      <c r="AB1035" s="70"/>
      <c r="AC1035" s="71"/>
      <c r="AD1035" s="86" t="s">
        <v>24640</v>
      </c>
      <c r="AE1035" s="94" t="s">
        <v>23298</v>
      </c>
      <c r="AF1035" s="86">
        <v>0</v>
      </c>
      <c r="AG1035" s="86">
        <v>0</v>
      </c>
      <c r="AH1035" s="86">
        <v>324</v>
      </c>
      <c r="AI1035" s="86">
        <v>0</v>
      </c>
      <c r="AJ1035" s="86">
        <v>0</v>
      </c>
      <c r="AK1035" s="86">
        <v>1</v>
      </c>
      <c r="AL1035" s="86" t="b">
        <v>0</v>
      </c>
      <c r="AM1035" s="89">
        <v>44669.561469907407</v>
      </c>
      <c r="AN1035" s="86" t="s">
        <v>15378</v>
      </c>
      <c r="AO1035" s="86" t="s">
        <v>27370</v>
      </c>
      <c r="AP1035" s="96" t="str">
        <f>HYPERLINK("https://t.co/MIzFBnWrzg")</f>
        <v>https://t.co/MIzFBnWrzg</v>
      </c>
      <c r="AQ1035" s="96" t="str">
        <f>HYPERLINK("http://www.seniorconsulting.com.br")</f>
        <v>http://www.seniorconsulting.com.br</v>
      </c>
      <c r="AR1035" s="86" t="s">
        <v>28594</v>
      </c>
      <c r="AS1035" s="86"/>
      <c r="AT1035" s="86"/>
      <c r="AU1035" s="86"/>
      <c r="AV1035" s="86"/>
      <c r="AW1035" s="96" t="str">
        <f>HYPERLINK("https://t.co/MIzFBnWrzg")</f>
        <v>https://t.co/MIzFBnWrzg</v>
      </c>
      <c r="AX1035" s="86" t="b">
        <v>0</v>
      </c>
      <c r="AY1035" s="86"/>
      <c r="AZ1035" s="86"/>
      <c r="BA1035" s="86" t="b">
        <v>0</v>
      </c>
      <c r="BB1035" s="86" t="b">
        <v>0</v>
      </c>
      <c r="BC1035" s="86" t="b">
        <v>1</v>
      </c>
      <c r="BD1035" s="86" t="b">
        <v>0</v>
      </c>
      <c r="BE1035" s="86" t="b">
        <v>0</v>
      </c>
      <c r="BF1035" s="86" t="b">
        <v>0</v>
      </c>
      <c r="BG1035" s="86" t="b">
        <v>0</v>
      </c>
      <c r="BH1035" s="96" t="str">
        <f>HYPERLINK("https://pbs.twimg.com/profile_banners/1516045921007685639/1650289741")</f>
        <v>https://pbs.twimg.com/profile_banners/1516045921007685639/1650289741</v>
      </c>
      <c r="BI1035" s="86"/>
      <c r="BJ1035" s="86" t="s">
        <v>29134</v>
      </c>
      <c r="BK1035" s="86" t="b">
        <v>0</v>
      </c>
      <c r="BL1035" s="86"/>
      <c r="BM1035" s="86" t="s">
        <v>66</v>
      </c>
      <c r="BN1035" s="86" t="s">
        <v>29136</v>
      </c>
      <c r="BO1035" s="96" t="str">
        <f>HYPERLINK("https://twitter.com/seniorconsbr")</f>
        <v>https://twitter.com/seniorconsbr</v>
      </c>
      <c r="BP1035" s="2"/>
    </row>
    <row r="1036" spans="1:68" x14ac:dyDescent="0.25">
      <c r="A1036" s="63" t="s">
        <v>1104</v>
      </c>
      <c r="B1036" s="64"/>
      <c r="C1036" s="64"/>
      <c r="D1036" s="65"/>
      <c r="E1036" s="67"/>
      <c r="F1036" s="111" t="str">
        <f>HYPERLINK("https://pbs.twimg.com/profile_images/1388915755266236421/ARhvGOhX_normal.jpg")</f>
        <v>https://pbs.twimg.com/profile_images/1388915755266236421/ARhvGOhX_normal.jpg</v>
      </c>
      <c r="G1036" s="64"/>
      <c r="H1036" s="68"/>
      <c r="I1036" s="69"/>
      <c r="J1036" s="69"/>
      <c r="K1036" s="68" t="s">
        <v>30169</v>
      </c>
      <c r="L1036" s="72"/>
      <c r="M1036" s="73"/>
      <c r="N1036" s="73"/>
      <c r="O1036" s="74"/>
      <c r="P1036" s="75"/>
      <c r="Q1036" s="75"/>
      <c r="R1036" s="102"/>
      <c r="S1036" s="102"/>
      <c r="T1036" s="102"/>
      <c r="U1036" s="102"/>
      <c r="V1036" s="48"/>
      <c r="W1036" s="48"/>
      <c r="X1036" s="48"/>
      <c r="Y1036" s="48"/>
      <c r="Z1036" s="47"/>
      <c r="AA1036" s="70">
        <v>1036</v>
      </c>
      <c r="AB1036" s="70"/>
      <c r="AC1036" s="71"/>
      <c r="AD1036" s="86" t="s">
        <v>24641</v>
      </c>
      <c r="AE1036" s="94" t="s">
        <v>23299</v>
      </c>
      <c r="AF1036" s="86">
        <v>14</v>
      </c>
      <c r="AG1036" s="86">
        <v>327</v>
      </c>
      <c r="AH1036" s="86">
        <v>742</v>
      </c>
      <c r="AI1036" s="86">
        <v>0</v>
      </c>
      <c r="AJ1036" s="86">
        <v>1512</v>
      </c>
      <c r="AK1036" s="86">
        <v>56</v>
      </c>
      <c r="AL1036" s="86" t="b">
        <v>0</v>
      </c>
      <c r="AM1036" s="89">
        <v>43990.812025462961</v>
      </c>
      <c r="AN1036" s="86" t="s">
        <v>26246</v>
      </c>
      <c r="AO1036" s="86" t="s">
        <v>27371</v>
      </c>
      <c r="AP1036" s="86"/>
      <c r="AQ1036" s="86"/>
      <c r="AR1036" s="86"/>
      <c r="AS1036" s="86"/>
      <c r="AT1036" s="86"/>
      <c r="AU1036" s="86"/>
      <c r="AV1036" s="86">
        <v>1.50617757682959E+18</v>
      </c>
      <c r="AW1036" s="86"/>
      <c r="AX1036" s="86" t="b">
        <v>0</v>
      </c>
      <c r="AY1036" s="86"/>
      <c r="AZ1036" s="86"/>
      <c r="BA1036" s="86" t="b">
        <v>0</v>
      </c>
      <c r="BB1036" s="86" t="b">
        <v>1</v>
      </c>
      <c r="BC1036" s="86" t="b">
        <v>1</v>
      </c>
      <c r="BD1036" s="86" t="b">
        <v>0</v>
      </c>
      <c r="BE1036" s="86" t="b">
        <v>0</v>
      </c>
      <c r="BF1036" s="86" t="b">
        <v>0</v>
      </c>
      <c r="BG1036" s="86" t="b">
        <v>0</v>
      </c>
      <c r="BH1036" s="96" t="str">
        <f>HYPERLINK("https://pbs.twimg.com/profile_banners/1270075370491056128/1619978388")</f>
        <v>https://pbs.twimg.com/profile_banners/1270075370491056128/1619978388</v>
      </c>
      <c r="BI1036" s="86"/>
      <c r="BJ1036" s="86" t="s">
        <v>29134</v>
      </c>
      <c r="BK1036" s="86" t="b">
        <v>0</v>
      </c>
      <c r="BL1036" s="86"/>
      <c r="BM1036" s="86" t="s">
        <v>66</v>
      </c>
      <c r="BN1036" s="86" t="s">
        <v>29136</v>
      </c>
      <c r="BO1036" s="96" t="str">
        <f>HYPERLINK("https://twitter.com/illuminiumnativ")</f>
        <v>https://twitter.com/illuminiumnativ</v>
      </c>
      <c r="BP1036" s="2"/>
    </row>
    <row r="1037" spans="1:68" x14ac:dyDescent="0.25">
      <c r="A1037" s="63" t="s">
        <v>1105</v>
      </c>
      <c r="B1037" s="64"/>
      <c r="C1037" s="64"/>
      <c r="D1037" s="65"/>
      <c r="E1037" s="67"/>
      <c r="F1037" s="111" t="str">
        <f>HYPERLINK("https://pbs.twimg.com/profile_images/1385689981511999492/uANMjIRf_normal.jpg")</f>
        <v>https://pbs.twimg.com/profile_images/1385689981511999492/uANMjIRf_normal.jpg</v>
      </c>
      <c r="G1037" s="64"/>
      <c r="H1037" s="68"/>
      <c r="I1037" s="69"/>
      <c r="J1037" s="69"/>
      <c r="K1037" s="68" t="s">
        <v>30170</v>
      </c>
      <c r="L1037" s="72"/>
      <c r="M1037" s="73"/>
      <c r="N1037" s="73"/>
      <c r="O1037" s="74"/>
      <c r="P1037" s="75"/>
      <c r="Q1037" s="75"/>
      <c r="R1037" s="102"/>
      <c r="S1037" s="102"/>
      <c r="T1037" s="102"/>
      <c r="U1037" s="102"/>
      <c r="V1037" s="48"/>
      <c r="W1037" s="48"/>
      <c r="X1037" s="48"/>
      <c r="Y1037" s="48"/>
      <c r="Z1037" s="47"/>
      <c r="AA1037" s="70">
        <v>1037</v>
      </c>
      <c r="AB1037" s="70"/>
      <c r="AC1037" s="71"/>
      <c r="AD1037" s="86" t="s">
        <v>24642</v>
      </c>
      <c r="AE1037" s="94" t="s">
        <v>23300</v>
      </c>
      <c r="AF1037" s="86">
        <v>1572</v>
      </c>
      <c r="AG1037" s="86">
        <v>474</v>
      </c>
      <c r="AH1037" s="86">
        <v>21728</v>
      </c>
      <c r="AI1037" s="86">
        <v>17</v>
      </c>
      <c r="AJ1037" s="86">
        <v>1470</v>
      </c>
      <c r="AK1037" s="86">
        <v>2425</v>
      </c>
      <c r="AL1037" s="86" t="b">
        <v>0</v>
      </c>
      <c r="AM1037" s="89">
        <v>43910.629120370373</v>
      </c>
      <c r="AN1037" s="86" t="s">
        <v>15293</v>
      </c>
      <c r="AO1037" s="86" t="s">
        <v>27372</v>
      </c>
      <c r="AP1037" s="96" t="str">
        <f>HYPERLINK("https://t.co/ON3H5bt4Er")</f>
        <v>https://t.co/ON3H5bt4Er</v>
      </c>
      <c r="AQ1037" s="96" t="str">
        <f>HYPERLINK("http://portalopoder.com.br")</f>
        <v>http://portalopoder.com.br</v>
      </c>
      <c r="AR1037" s="86" t="s">
        <v>28595</v>
      </c>
      <c r="AS1037" s="86"/>
      <c r="AT1037" s="86"/>
      <c r="AU1037" s="86"/>
      <c r="AV1037" s="86"/>
      <c r="AW1037" s="96" t="str">
        <f>HYPERLINK("https://t.co/ON3H5bt4Er")</f>
        <v>https://t.co/ON3H5bt4Er</v>
      </c>
      <c r="AX1037" s="86" t="b">
        <v>0</v>
      </c>
      <c r="AY1037" s="86"/>
      <c r="AZ1037" s="86"/>
      <c r="BA1037" s="86" t="b">
        <v>0</v>
      </c>
      <c r="BB1037" s="86" t="b">
        <v>1</v>
      </c>
      <c r="BC1037" s="86" t="b">
        <v>1</v>
      </c>
      <c r="BD1037" s="86" t="b">
        <v>0</v>
      </c>
      <c r="BE1037" s="86" t="b">
        <v>1</v>
      </c>
      <c r="BF1037" s="86" t="b">
        <v>0</v>
      </c>
      <c r="BG1037" s="86" t="b">
        <v>0</v>
      </c>
      <c r="BH1037" s="96" t="str">
        <f>HYPERLINK("https://pbs.twimg.com/profile_banners/1241018077745221635/1628627165")</f>
        <v>https://pbs.twimg.com/profile_banners/1241018077745221635/1628627165</v>
      </c>
      <c r="BI1037" s="86"/>
      <c r="BJ1037" s="86" t="s">
        <v>29134</v>
      </c>
      <c r="BK1037" s="86" t="b">
        <v>0</v>
      </c>
      <c r="BL1037" s="86"/>
      <c r="BM1037" s="86" t="s">
        <v>66</v>
      </c>
      <c r="BN1037" s="86" t="s">
        <v>29136</v>
      </c>
      <c r="BO1037" s="96" t="str">
        <f>HYPERLINK("https://twitter.com/_portalopoder")</f>
        <v>https://twitter.com/_portalopoder</v>
      </c>
      <c r="BP1037" s="2"/>
    </row>
    <row r="1038" spans="1:68" x14ac:dyDescent="0.25">
      <c r="A1038" s="63" t="s">
        <v>1106</v>
      </c>
      <c r="B1038" s="64"/>
      <c r="C1038" s="64"/>
      <c r="D1038" s="65"/>
      <c r="E1038" s="67"/>
      <c r="F1038" s="111" t="str">
        <f>HYPERLINK("https://pbs.twimg.com/profile_images/1565472023966621697/dpmdF1Mx_normal.jpg")</f>
        <v>https://pbs.twimg.com/profile_images/1565472023966621697/dpmdF1Mx_normal.jpg</v>
      </c>
      <c r="G1038" s="64"/>
      <c r="H1038" s="68"/>
      <c r="I1038" s="69"/>
      <c r="J1038" s="69"/>
      <c r="K1038" s="68" t="s">
        <v>30171</v>
      </c>
      <c r="L1038" s="72"/>
      <c r="M1038" s="73"/>
      <c r="N1038" s="73"/>
      <c r="O1038" s="74"/>
      <c r="P1038" s="75"/>
      <c r="Q1038" s="75"/>
      <c r="R1038" s="102"/>
      <c r="S1038" s="102"/>
      <c r="T1038" s="102"/>
      <c r="U1038" s="102"/>
      <c r="V1038" s="48"/>
      <c r="W1038" s="48"/>
      <c r="X1038" s="48"/>
      <c r="Y1038" s="48"/>
      <c r="Z1038" s="47"/>
      <c r="AA1038" s="70">
        <v>1038</v>
      </c>
      <c r="AB1038" s="70"/>
      <c r="AC1038" s="71"/>
      <c r="AD1038" s="86" t="s">
        <v>24643</v>
      </c>
      <c r="AE1038" s="94" t="s">
        <v>23301</v>
      </c>
      <c r="AF1038" s="86">
        <v>7</v>
      </c>
      <c r="AG1038" s="86">
        <v>0</v>
      </c>
      <c r="AH1038" s="86">
        <v>2779</v>
      </c>
      <c r="AI1038" s="86">
        <v>0</v>
      </c>
      <c r="AJ1038" s="86">
        <v>16</v>
      </c>
      <c r="AK1038" s="86">
        <v>636</v>
      </c>
      <c r="AL1038" s="86" t="b">
        <v>0</v>
      </c>
      <c r="AM1038" s="89">
        <v>44571.86478009259</v>
      </c>
      <c r="AN1038" s="86"/>
      <c r="AO1038" s="86" t="s">
        <v>27373</v>
      </c>
      <c r="AP1038" s="86"/>
      <c r="AQ1038" s="86"/>
      <c r="AR1038" s="86"/>
      <c r="AS1038" s="86"/>
      <c r="AT1038" s="86"/>
      <c r="AU1038" s="86"/>
      <c r="AV1038" s="86"/>
      <c r="AW1038" s="86"/>
      <c r="AX1038" s="86" t="b">
        <v>0</v>
      </c>
      <c r="AY1038" s="86"/>
      <c r="AZ1038" s="86"/>
      <c r="BA1038" s="86" t="b">
        <v>0</v>
      </c>
      <c r="BB1038" s="86" t="b">
        <v>1</v>
      </c>
      <c r="BC1038" s="86" t="b">
        <v>1</v>
      </c>
      <c r="BD1038" s="86" t="b">
        <v>0</v>
      </c>
      <c r="BE1038" s="86" t="b">
        <v>0</v>
      </c>
      <c r="BF1038" s="86" t="b">
        <v>0</v>
      </c>
      <c r="BG1038" s="86" t="b">
        <v>0</v>
      </c>
      <c r="BH1038" s="96" t="str">
        <f>HYPERLINK("https://pbs.twimg.com/profile_banners/1480641791984549891/1641964640")</f>
        <v>https://pbs.twimg.com/profile_banners/1480641791984549891/1641964640</v>
      </c>
      <c r="BI1038" s="86"/>
      <c r="BJ1038" s="86" t="s">
        <v>29134</v>
      </c>
      <c r="BK1038" s="86" t="b">
        <v>0</v>
      </c>
      <c r="BL1038" s="86"/>
      <c r="BM1038" s="86" t="s">
        <v>66</v>
      </c>
      <c r="BN1038" s="86" t="s">
        <v>29136</v>
      </c>
      <c r="BO1038" s="96" t="str">
        <f>HYPERLINK("https://twitter.com/maiafilippe")</f>
        <v>https://twitter.com/maiafilippe</v>
      </c>
      <c r="BP1038" s="2"/>
    </row>
    <row r="1039" spans="1:68" x14ac:dyDescent="0.25">
      <c r="A1039" s="63" t="s">
        <v>1107</v>
      </c>
      <c r="B1039" s="64"/>
      <c r="C1039" s="64"/>
      <c r="D1039" s="65"/>
      <c r="E1039" s="67"/>
      <c r="F1039" s="111" t="str">
        <f>HYPERLINK("https://pbs.twimg.com/profile_images/1699875269673177089/3FMItdPS_normal.jpg")</f>
        <v>https://pbs.twimg.com/profile_images/1699875269673177089/3FMItdPS_normal.jpg</v>
      </c>
      <c r="G1039" s="64"/>
      <c r="H1039" s="68"/>
      <c r="I1039" s="69"/>
      <c r="J1039" s="69"/>
      <c r="K1039" s="68" t="s">
        <v>30172</v>
      </c>
      <c r="L1039" s="72"/>
      <c r="M1039" s="73"/>
      <c r="N1039" s="73"/>
      <c r="O1039" s="74"/>
      <c r="P1039" s="75"/>
      <c r="Q1039" s="75"/>
      <c r="R1039" s="102"/>
      <c r="S1039" s="102"/>
      <c r="T1039" s="102"/>
      <c r="U1039" s="102"/>
      <c r="V1039" s="48"/>
      <c r="W1039" s="48"/>
      <c r="X1039" s="48"/>
      <c r="Y1039" s="48"/>
      <c r="Z1039" s="47"/>
      <c r="AA1039" s="70">
        <v>1039</v>
      </c>
      <c r="AB1039" s="70"/>
      <c r="AC1039" s="71"/>
      <c r="AD1039" s="86" t="s">
        <v>24644</v>
      </c>
      <c r="AE1039" s="94" t="s">
        <v>25634</v>
      </c>
      <c r="AF1039" s="86">
        <v>28615</v>
      </c>
      <c r="AG1039" s="86">
        <v>98</v>
      </c>
      <c r="AH1039" s="86">
        <v>18145</v>
      </c>
      <c r="AI1039" s="86">
        <v>334</v>
      </c>
      <c r="AJ1039" s="86">
        <v>448</v>
      </c>
      <c r="AK1039" s="86">
        <v>2779</v>
      </c>
      <c r="AL1039" s="86" t="b">
        <v>0</v>
      </c>
      <c r="AM1039" s="89">
        <v>40385.745983796296</v>
      </c>
      <c r="AN1039" s="86" t="s">
        <v>25914</v>
      </c>
      <c r="AO1039" s="86" t="s">
        <v>27374</v>
      </c>
      <c r="AP1039" s="96" t="str">
        <f>HYPERLINK("https://t.co/HiHFAAKUZ9")</f>
        <v>https://t.co/HiHFAAKUZ9</v>
      </c>
      <c r="AQ1039" s="96" t="str">
        <f>HYPERLINK("http://www.vidasimples.co")</f>
        <v>http://www.vidasimples.co</v>
      </c>
      <c r="AR1039" s="86" t="s">
        <v>28596</v>
      </c>
      <c r="AS1039" s="86"/>
      <c r="AT1039" s="86"/>
      <c r="AU1039" s="86"/>
      <c r="AV1039" s="86">
        <v>1.69950146946707E+18</v>
      </c>
      <c r="AW1039" s="96" t="str">
        <f>HYPERLINK("https://t.co/HiHFAAKUZ9")</f>
        <v>https://t.co/HiHFAAKUZ9</v>
      </c>
      <c r="AX1039" s="86" t="b">
        <v>0</v>
      </c>
      <c r="AY1039" s="86"/>
      <c r="AZ1039" s="86"/>
      <c r="BA1039" s="86" t="b">
        <v>1</v>
      </c>
      <c r="BB1039" s="86" t="b">
        <v>1</v>
      </c>
      <c r="BC1039" s="86" t="b">
        <v>0</v>
      </c>
      <c r="BD1039" s="86" t="b">
        <v>0</v>
      </c>
      <c r="BE1039" s="86" t="b">
        <v>0</v>
      </c>
      <c r="BF1039" s="86" t="b">
        <v>0</v>
      </c>
      <c r="BG1039" s="86" t="b">
        <v>0</v>
      </c>
      <c r="BH1039" s="96" t="str">
        <f>HYPERLINK("https://pbs.twimg.com/profile_banners/171153968/1619546101")</f>
        <v>https://pbs.twimg.com/profile_banners/171153968/1619546101</v>
      </c>
      <c r="BI1039" s="86"/>
      <c r="BJ1039" s="86" t="s">
        <v>29134</v>
      </c>
      <c r="BK1039" s="86" t="b">
        <v>0</v>
      </c>
      <c r="BL1039" s="86"/>
      <c r="BM1039" s="86" t="s">
        <v>66</v>
      </c>
      <c r="BN1039" s="86" t="s">
        <v>29136</v>
      </c>
      <c r="BO1039" s="96" t="str">
        <f>HYPERLINK("https://twitter.com/vidasimples")</f>
        <v>https://twitter.com/vidasimples</v>
      </c>
      <c r="BP1039" s="2"/>
    </row>
    <row r="1040" spans="1:68" x14ac:dyDescent="0.25">
      <c r="A1040" s="63" t="s">
        <v>1757</v>
      </c>
      <c r="B1040" s="64"/>
      <c r="C1040" s="64"/>
      <c r="D1040" s="65"/>
      <c r="E1040" s="67"/>
      <c r="F1040" s="111" t="str">
        <f>HYPERLINK("https://pbs.twimg.com/profile_images/1680409942442819585/DIS6lcvt_normal.jpg")</f>
        <v>https://pbs.twimg.com/profile_images/1680409942442819585/DIS6lcvt_normal.jpg</v>
      </c>
      <c r="G1040" s="64"/>
      <c r="H1040" s="68"/>
      <c r="I1040" s="69"/>
      <c r="J1040" s="69"/>
      <c r="K1040" s="68" t="s">
        <v>30173</v>
      </c>
      <c r="L1040" s="72"/>
      <c r="M1040" s="73"/>
      <c r="N1040" s="73"/>
      <c r="O1040" s="74"/>
      <c r="P1040" s="75"/>
      <c r="Q1040" s="75"/>
      <c r="R1040" s="102"/>
      <c r="S1040" s="102"/>
      <c r="T1040" s="102"/>
      <c r="U1040" s="102"/>
      <c r="V1040" s="48"/>
      <c r="W1040" s="48"/>
      <c r="X1040" s="48"/>
      <c r="Y1040" s="48"/>
      <c r="Z1040" s="47"/>
      <c r="AA1040" s="70">
        <v>1040</v>
      </c>
      <c r="AB1040" s="70"/>
      <c r="AC1040" s="71"/>
      <c r="AD1040" s="86" t="s">
        <v>24645</v>
      </c>
      <c r="AE1040" s="94" t="s">
        <v>25635</v>
      </c>
      <c r="AF1040" s="86">
        <v>0</v>
      </c>
      <c r="AG1040" s="86">
        <v>4</v>
      </c>
      <c r="AH1040" s="86">
        <v>0</v>
      </c>
      <c r="AI1040" s="86">
        <v>0</v>
      </c>
      <c r="AJ1040" s="86">
        <v>2</v>
      </c>
      <c r="AK1040" s="86">
        <v>0</v>
      </c>
      <c r="AL1040" s="86" t="b">
        <v>0</v>
      </c>
      <c r="AM1040" s="89">
        <v>45123.117696759262</v>
      </c>
      <c r="AN1040" s="86"/>
      <c r="AO1040" s="86"/>
      <c r="AP1040" s="86"/>
      <c r="AQ1040" s="86"/>
      <c r="AR1040" s="86"/>
      <c r="AS1040" s="86"/>
      <c r="AT1040" s="86"/>
      <c r="AU1040" s="86"/>
      <c r="AV1040" s="86"/>
      <c r="AW1040" s="86"/>
      <c r="AX1040" s="86" t="b">
        <v>0</v>
      </c>
      <c r="AY1040" s="86"/>
      <c r="AZ1040" s="86"/>
      <c r="BA1040" s="86" t="b">
        <v>0</v>
      </c>
      <c r="BB1040" s="86" t="b">
        <v>1</v>
      </c>
      <c r="BC1040" s="86" t="b">
        <v>1</v>
      </c>
      <c r="BD1040" s="86" t="b">
        <v>0</v>
      </c>
      <c r="BE1040" s="86" t="b">
        <v>0</v>
      </c>
      <c r="BF1040" s="86" t="b">
        <v>0</v>
      </c>
      <c r="BG1040" s="86" t="b">
        <v>0</v>
      </c>
      <c r="BH1040" s="86"/>
      <c r="BI1040" s="86"/>
      <c r="BJ1040" s="86" t="s">
        <v>29134</v>
      </c>
      <c r="BK1040" s="86" t="b">
        <v>0</v>
      </c>
      <c r="BL1040" s="86"/>
      <c r="BM1040" s="86" t="s">
        <v>65</v>
      </c>
      <c r="BN1040" s="86" t="s">
        <v>29136</v>
      </c>
      <c r="BO1040" s="96" t="str">
        <f>HYPERLINK("https://twitter.com/sonhadores_dm")</f>
        <v>https://twitter.com/sonhadores_dm</v>
      </c>
      <c r="BP1040" s="2"/>
    </row>
    <row r="1041" spans="1:68" x14ac:dyDescent="0.25">
      <c r="A1041" s="63" t="s">
        <v>1758</v>
      </c>
      <c r="B1041" s="64"/>
      <c r="C1041" s="64"/>
      <c r="D1041" s="65"/>
      <c r="E1041" s="67"/>
      <c r="F1041" s="111" t="str">
        <f>HYPERLINK("https://pbs.twimg.com/profile_images/1644262758450380800/3Cs0GEXS_normal.jpg")</f>
        <v>https://pbs.twimg.com/profile_images/1644262758450380800/3Cs0GEXS_normal.jpg</v>
      </c>
      <c r="G1041" s="64"/>
      <c r="H1041" s="68"/>
      <c r="I1041" s="69"/>
      <c r="J1041" s="69"/>
      <c r="K1041" s="68" t="s">
        <v>30174</v>
      </c>
      <c r="L1041" s="72"/>
      <c r="M1041" s="73"/>
      <c r="N1041" s="73"/>
      <c r="O1041" s="74"/>
      <c r="P1041" s="75"/>
      <c r="Q1041" s="75"/>
      <c r="R1041" s="102"/>
      <c r="S1041" s="102"/>
      <c r="T1041" s="102"/>
      <c r="U1041" s="102"/>
      <c r="V1041" s="48"/>
      <c r="W1041" s="48"/>
      <c r="X1041" s="48"/>
      <c r="Y1041" s="48"/>
      <c r="Z1041" s="47"/>
      <c r="AA1041" s="70">
        <v>1041</v>
      </c>
      <c r="AB1041" s="70"/>
      <c r="AC1041" s="71"/>
      <c r="AD1041" s="86" t="s">
        <v>24646</v>
      </c>
      <c r="AE1041" s="94" t="s">
        <v>25636</v>
      </c>
      <c r="AF1041" s="86">
        <v>130</v>
      </c>
      <c r="AG1041" s="86">
        <v>8</v>
      </c>
      <c r="AH1041" s="86">
        <v>21</v>
      </c>
      <c r="AI1041" s="86">
        <v>0</v>
      </c>
      <c r="AJ1041" s="86">
        <v>259</v>
      </c>
      <c r="AK1041" s="86">
        <v>3</v>
      </c>
      <c r="AL1041" s="86" t="b">
        <v>0</v>
      </c>
      <c r="AM1041" s="89">
        <v>45023.370856481481</v>
      </c>
      <c r="AN1041" s="86"/>
      <c r="AO1041" s="86" t="s">
        <v>27375</v>
      </c>
      <c r="AP1041" s="86"/>
      <c r="AQ1041" s="86"/>
      <c r="AR1041" s="86"/>
      <c r="AS1041" s="96" t="str">
        <f>HYPERLINK("https://t.co/uvRNAlrkVV")</f>
        <v>https://t.co/uvRNAlrkVV</v>
      </c>
      <c r="AT1041" s="96" t="str">
        <f>HYPERLINK("http://www.brazilianconnections.com.br")</f>
        <v>http://www.brazilianconnections.com.br</v>
      </c>
      <c r="AU1041" s="86" t="s">
        <v>29102</v>
      </c>
      <c r="AV1041" s="86"/>
      <c r="AW1041" s="86"/>
      <c r="AX1041" s="86" t="b">
        <v>0</v>
      </c>
      <c r="AY1041" s="86"/>
      <c r="AZ1041" s="86"/>
      <c r="BA1041" s="86" t="b">
        <v>0</v>
      </c>
      <c r="BB1041" s="86" t="b">
        <v>1</v>
      </c>
      <c r="BC1041" s="86" t="b">
        <v>1</v>
      </c>
      <c r="BD1041" s="86" t="b">
        <v>0</v>
      </c>
      <c r="BE1041" s="86" t="b">
        <v>0</v>
      </c>
      <c r="BF1041" s="86" t="b">
        <v>0</v>
      </c>
      <c r="BG1041" s="86" t="b">
        <v>0</v>
      </c>
      <c r="BH1041" s="86"/>
      <c r="BI1041" s="86"/>
      <c r="BJ1041" s="86" t="s">
        <v>29134</v>
      </c>
      <c r="BK1041" s="86" t="b">
        <v>0</v>
      </c>
      <c r="BL1041" s="86"/>
      <c r="BM1041" s="86" t="s">
        <v>65</v>
      </c>
      <c r="BN1041" s="86" t="s">
        <v>29136</v>
      </c>
      <c r="BO1041" s="96" t="str">
        <f>HYPERLINK("https://twitter.com/siftj_brasil")</f>
        <v>https://twitter.com/siftj_brasil</v>
      </c>
      <c r="BP1041" s="2"/>
    </row>
    <row r="1042" spans="1:68" x14ac:dyDescent="0.25">
      <c r="A1042" s="63" t="s">
        <v>1759</v>
      </c>
      <c r="B1042" s="64"/>
      <c r="C1042" s="64"/>
      <c r="D1042" s="65"/>
      <c r="E1042" s="67"/>
      <c r="F1042" s="111" t="str">
        <f>HYPERLINK("https://pbs.twimg.com/profile_images/213627101/sign_normal.png")</f>
        <v>https://pbs.twimg.com/profile_images/213627101/sign_normal.png</v>
      </c>
      <c r="G1042" s="64"/>
      <c r="H1042" s="68"/>
      <c r="I1042" s="69"/>
      <c r="J1042" s="69"/>
      <c r="K1042" s="68" t="s">
        <v>30175</v>
      </c>
      <c r="L1042" s="72"/>
      <c r="M1042" s="73"/>
      <c r="N1042" s="73"/>
      <c r="O1042" s="74"/>
      <c r="P1042" s="75"/>
      <c r="Q1042" s="75"/>
      <c r="R1042" s="102"/>
      <c r="S1042" s="102"/>
      <c r="T1042" s="102"/>
      <c r="U1042" s="102"/>
      <c r="V1042" s="48"/>
      <c r="W1042" s="48"/>
      <c r="X1042" s="48"/>
      <c r="Y1042" s="48"/>
      <c r="Z1042" s="47"/>
      <c r="AA1042" s="70">
        <v>1042</v>
      </c>
      <c r="AB1042" s="70"/>
      <c r="AC1042" s="71"/>
      <c r="AD1042" s="86" t="s">
        <v>24647</v>
      </c>
      <c r="AE1042" s="94" t="s">
        <v>25637</v>
      </c>
      <c r="AF1042" s="86">
        <v>3776</v>
      </c>
      <c r="AG1042" s="86">
        <v>126</v>
      </c>
      <c r="AH1042" s="86">
        <v>20</v>
      </c>
      <c r="AI1042" s="86">
        <v>70</v>
      </c>
      <c r="AJ1042" s="86">
        <v>0</v>
      </c>
      <c r="AK1042" s="86">
        <v>0</v>
      </c>
      <c r="AL1042" s="86" t="b">
        <v>0</v>
      </c>
      <c r="AM1042" s="89">
        <v>39947.908946759257</v>
      </c>
      <c r="AN1042" s="86" t="s">
        <v>26247</v>
      </c>
      <c r="AO1042" s="86" t="s">
        <v>27376</v>
      </c>
      <c r="AP1042" s="86"/>
      <c r="AQ1042" s="86"/>
      <c r="AR1042" s="86"/>
      <c r="AS1042" s="86"/>
      <c r="AT1042" s="86"/>
      <c r="AU1042" s="86"/>
      <c r="AV1042" s="86"/>
      <c r="AW1042" s="86"/>
      <c r="AX1042" s="86" t="b">
        <v>0</v>
      </c>
      <c r="AY1042" s="86"/>
      <c r="AZ1042" s="86"/>
      <c r="BA1042" s="86" t="b">
        <v>0</v>
      </c>
      <c r="BB1042" s="86" t="b">
        <v>1</v>
      </c>
      <c r="BC1042" s="86" t="b">
        <v>0</v>
      </c>
      <c r="BD1042" s="86" t="b">
        <v>0</v>
      </c>
      <c r="BE1042" s="86" t="b">
        <v>0</v>
      </c>
      <c r="BF1042" s="86" t="b">
        <v>0</v>
      </c>
      <c r="BG1042" s="86" t="b">
        <v>0</v>
      </c>
      <c r="BH1042" s="86"/>
      <c r="BI1042" s="86"/>
      <c r="BJ1042" s="86" t="s">
        <v>29134</v>
      </c>
      <c r="BK1042" s="86" t="b">
        <v>0</v>
      </c>
      <c r="BL1042" s="86"/>
      <c r="BM1042" s="86" t="s">
        <v>65</v>
      </c>
      <c r="BN1042" s="86" t="s">
        <v>29136</v>
      </c>
      <c r="BO1042" s="96" t="str">
        <f>HYPERLINK("https://twitter.com/cufabrasil")</f>
        <v>https://twitter.com/cufabrasil</v>
      </c>
      <c r="BP1042" s="2"/>
    </row>
    <row r="1043" spans="1:68" x14ac:dyDescent="0.25">
      <c r="A1043" s="63" t="s">
        <v>1108</v>
      </c>
      <c r="B1043" s="64"/>
      <c r="C1043" s="64"/>
      <c r="D1043" s="65"/>
      <c r="E1043" s="67"/>
      <c r="F1043" s="111" t="str">
        <f>HYPERLINK("https://pbs.twimg.com/profile_images/1301143936602386432/XwLstfuj_normal.jpg")</f>
        <v>https://pbs.twimg.com/profile_images/1301143936602386432/XwLstfuj_normal.jpg</v>
      </c>
      <c r="G1043" s="64"/>
      <c r="H1043" s="68"/>
      <c r="I1043" s="69"/>
      <c r="J1043" s="69"/>
      <c r="K1043" s="68" t="s">
        <v>30176</v>
      </c>
      <c r="L1043" s="72"/>
      <c r="M1043" s="73"/>
      <c r="N1043" s="73"/>
      <c r="O1043" s="74"/>
      <c r="P1043" s="75"/>
      <c r="Q1043" s="75"/>
      <c r="R1043" s="102"/>
      <c r="S1043" s="102"/>
      <c r="T1043" s="102"/>
      <c r="U1043" s="102"/>
      <c r="V1043" s="48"/>
      <c r="W1043" s="48"/>
      <c r="X1043" s="48"/>
      <c r="Y1043" s="48"/>
      <c r="Z1043" s="47"/>
      <c r="AA1043" s="70">
        <v>1043</v>
      </c>
      <c r="AB1043" s="70"/>
      <c r="AC1043" s="71"/>
      <c r="AD1043" s="86" t="s">
        <v>24648</v>
      </c>
      <c r="AE1043" s="94" t="s">
        <v>25638</v>
      </c>
      <c r="AF1043" s="86">
        <v>9358</v>
      </c>
      <c r="AG1043" s="86">
        <v>231</v>
      </c>
      <c r="AH1043" s="86">
        <v>23777</v>
      </c>
      <c r="AI1043" s="86">
        <v>129</v>
      </c>
      <c r="AJ1043" s="86">
        <v>423</v>
      </c>
      <c r="AK1043" s="86">
        <v>3483</v>
      </c>
      <c r="AL1043" s="86" t="b">
        <v>0</v>
      </c>
      <c r="AM1043" s="89">
        <v>39996.734618055554</v>
      </c>
      <c r="AN1043" s="86" t="s">
        <v>25930</v>
      </c>
      <c r="AO1043" s="86" t="s">
        <v>27377</v>
      </c>
      <c r="AP1043" s="96" t="str">
        <f>HYPERLINK("https://t.co/MKmEYv8rdU")</f>
        <v>https://t.co/MKmEYv8rdU</v>
      </c>
      <c r="AQ1043" s="96" t="str">
        <f>HYPERLINK("https://www.sebrae.com.br/sites/PortalSebrae/ufs/pe?codUf=18")</f>
        <v>https://www.sebrae.com.br/sites/PortalSebrae/ufs/pe?codUf=18</v>
      </c>
      <c r="AR1043" s="86" t="s">
        <v>28597</v>
      </c>
      <c r="AS1043" s="86"/>
      <c r="AT1043" s="86"/>
      <c r="AU1043" s="86"/>
      <c r="AV1043" s="86"/>
      <c r="AW1043" s="96" t="str">
        <f>HYPERLINK("https://t.co/MKmEYv8rdU")</f>
        <v>https://t.co/MKmEYv8rdU</v>
      </c>
      <c r="AX1043" s="86" t="b">
        <v>0</v>
      </c>
      <c r="AY1043" s="86"/>
      <c r="AZ1043" s="86"/>
      <c r="BA1043" s="86" t="b">
        <v>0</v>
      </c>
      <c r="BB1043" s="86" t="b">
        <v>1</v>
      </c>
      <c r="BC1043" s="86" t="b">
        <v>0</v>
      </c>
      <c r="BD1043" s="86" t="b">
        <v>0</v>
      </c>
      <c r="BE1043" s="86" t="b">
        <v>1</v>
      </c>
      <c r="BF1043" s="86" t="b">
        <v>0</v>
      </c>
      <c r="BG1043" s="86" t="b">
        <v>0</v>
      </c>
      <c r="BH1043" s="96" t="str">
        <f>HYPERLINK("https://pbs.twimg.com/profile_banners/53130485/1681308335")</f>
        <v>https://pbs.twimg.com/profile_banners/53130485/1681308335</v>
      </c>
      <c r="BI1043" s="86"/>
      <c r="BJ1043" s="86" t="s">
        <v>29134</v>
      </c>
      <c r="BK1043" s="86" t="b">
        <v>0</v>
      </c>
      <c r="BL1043" s="86"/>
      <c r="BM1043" s="86" t="s">
        <v>66</v>
      </c>
      <c r="BN1043" s="86" t="s">
        <v>29136</v>
      </c>
      <c r="BO1043" s="96" t="str">
        <f>HYPERLINK("https://twitter.com/sebraepe")</f>
        <v>https://twitter.com/sebraepe</v>
      </c>
      <c r="BP1043" s="2"/>
    </row>
    <row r="1044" spans="1:68" x14ac:dyDescent="0.25">
      <c r="A1044" s="63" t="s">
        <v>1109</v>
      </c>
      <c r="B1044" s="64"/>
      <c r="C1044" s="64"/>
      <c r="D1044" s="65"/>
      <c r="E1044" s="67"/>
      <c r="F1044" s="111" t="str">
        <f>HYPERLINK("https://pbs.twimg.com/profile_images/1614211401307897856/A7Lkzu5m_normal.jpg")</f>
        <v>https://pbs.twimg.com/profile_images/1614211401307897856/A7Lkzu5m_normal.jpg</v>
      </c>
      <c r="G1044" s="64"/>
      <c r="H1044" s="68"/>
      <c r="I1044" s="69"/>
      <c r="J1044" s="69"/>
      <c r="K1044" s="68" t="s">
        <v>30177</v>
      </c>
      <c r="L1044" s="72"/>
      <c r="M1044" s="73"/>
      <c r="N1044" s="73"/>
      <c r="O1044" s="74"/>
      <c r="P1044" s="75"/>
      <c r="Q1044" s="75"/>
      <c r="R1044" s="102"/>
      <c r="S1044" s="102"/>
      <c r="T1044" s="102"/>
      <c r="U1044" s="102"/>
      <c r="V1044" s="48"/>
      <c r="W1044" s="48"/>
      <c r="X1044" s="48"/>
      <c r="Y1044" s="48"/>
      <c r="Z1044" s="47"/>
      <c r="AA1044" s="70">
        <v>1044</v>
      </c>
      <c r="AB1044" s="70"/>
      <c r="AC1044" s="71"/>
      <c r="AD1044" s="86" t="s">
        <v>1109</v>
      </c>
      <c r="AE1044" s="94" t="s">
        <v>23302</v>
      </c>
      <c r="AF1044" s="86">
        <v>126</v>
      </c>
      <c r="AG1044" s="86">
        <v>126</v>
      </c>
      <c r="AH1044" s="86">
        <v>1909</v>
      </c>
      <c r="AI1044" s="86">
        <v>0</v>
      </c>
      <c r="AJ1044" s="86">
        <v>3664</v>
      </c>
      <c r="AK1044" s="86">
        <v>67</v>
      </c>
      <c r="AL1044" s="86" t="b">
        <v>0</v>
      </c>
      <c r="AM1044" s="89">
        <v>44353.84103009259</v>
      </c>
      <c r="AN1044" s="86" t="s">
        <v>26099</v>
      </c>
      <c r="AO1044" s="86" t="s">
        <v>27378</v>
      </c>
      <c r="AP1044" s="96" t="str">
        <f>HYPERLINK("https://t.co/jwwFPEBwHO")</f>
        <v>https://t.co/jwwFPEBwHO</v>
      </c>
      <c r="AQ1044" s="96" t="str">
        <f>HYPERLINK("https://linktr.ee/limclown")</f>
        <v>https://linktr.ee/limclown</v>
      </c>
      <c r="AR1044" s="86" t="s">
        <v>28598</v>
      </c>
      <c r="AS1044" s="86" t="s">
        <v>29005</v>
      </c>
      <c r="AT1044" s="86" t="s">
        <v>29021</v>
      </c>
      <c r="AU1044" s="86" t="s">
        <v>29103</v>
      </c>
      <c r="AV1044" s="86">
        <v>1.70685629510049E+18</v>
      </c>
      <c r="AW1044" s="96" t="str">
        <f>HYPERLINK("https://t.co/jwwFPEBwHO")</f>
        <v>https://t.co/jwwFPEBwHO</v>
      </c>
      <c r="AX1044" s="86" t="b">
        <v>0</v>
      </c>
      <c r="AY1044" s="86"/>
      <c r="AZ1044" s="86"/>
      <c r="BA1044" s="86" t="b">
        <v>1</v>
      </c>
      <c r="BB1044" s="86" t="b">
        <v>0</v>
      </c>
      <c r="BC1044" s="86" t="b">
        <v>1</v>
      </c>
      <c r="BD1044" s="86" t="b">
        <v>0</v>
      </c>
      <c r="BE1044" s="86" t="b">
        <v>0</v>
      </c>
      <c r="BF1044" s="86" t="b">
        <v>0</v>
      </c>
      <c r="BG1044" s="86" t="b">
        <v>0</v>
      </c>
      <c r="BH1044" s="96" t="str">
        <f>HYPERLINK("https://pbs.twimg.com/profile_banners/1401632687161581574/1623108216")</f>
        <v>https://pbs.twimg.com/profile_banners/1401632687161581574/1623108216</v>
      </c>
      <c r="BI1044" s="86"/>
      <c r="BJ1044" s="86" t="s">
        <v>29134</v>
      </c>
      <c r="BK1044" s="86" t="b">
        <v>0</v>
      </c>
      <c r="BL1044" s="86"/>
      <c r="BM1044" s="86" t="s">
        <v>66</v>
      </c>
      <c r="BN1044" s="86" t="s">
        <v>29136</v>
      </c>
      <c r="BO1044" s="96" t="str">
        <f>HYPERLINK("https://twitter.com/limclown")</f>
        <v>https://twitter.com/limclown</v>
      </c>
      <c r="BP1044" s="2"/>
    </row>
    <row r="1045" spans="1:68" x14ac:dyDescent="0.25">
      <c r="A1045" s="63" t="s">
        <v>1110</v>
      </c>
      <c r="B1045" s="64"/>
      <c r="C1045" s="64"/>
      <c r="D1045" s="65"/>
      <c r="E1045" s="67"/>
      <c r="F1045" s="111" t="str">
        <f>HYPERLINK("https://pbs.twimg.com/profile_images/1702924810097983488/C7j_20x6_normal.jpg")</f>
        <v>https://pbs.twimg.com/profile_images/1702924810097983488/C7j_20x6_normal.jpg</v>
      </c>
      <c r="G1045" s="64"/>
      <c r="H1045" s="68"/>
      <c r="I1045" s="69"/>
      <c r="J1045" s="69"/>
      <c r="K1045" s="68" t="s">
        <v>30178</v>
      </c>
      <c r="L1045" s="72"/>
      <c r="M1045" s="73"/>
      <c r="N1045" s="73"/>
      <c r="O1045" s="74"/>
      <c r="P1045" s="75"/>
      <c r="Q1045" s="75"/>
      <c r="R1045" s="102"/>
      <c r="S1045" s="102"/>
      <c r="T1045" s="102"/>
      <c r="U1045" s="102"/>
      <c r="V1045" s="48"/>
      <c r="W1045" s="48"/>
      <c r="X1045" s="48"/>
      <c r="Y1045" s="48"/>
      <c r="Z1045" s="47"/>
      <c r="AA1045" s="70">
        <v>1045</v>
      </c>
      <c r="AB1045" s="70"/>
      <c r="AC1045" s="71"/>
      <c r="AD1045" s="86" t="s">
        <v>24649</v>
      </c>
      <c r="AE1045" s="94" t="s">
        <v>23303</v>
      </c>
      <c r="AF1045" s="86">
        <v>274</v>
      </c>
      <c r="AG1045" s="86">
        <v>615</v>
      </c>
      <c r="AH1045" s="86">
        <v>2864</v>
      </c>
      <c r="AI1045" s="86">
        <v>1</v>
      </c>
      <c r="AJ1045" s="86">
        <v>4153</v>
      </c>
      <c r="AK1045" s="86">
        <v>225</v>
      </c>
      <c r="AL1045" s="86" t="b">
        <v>0</v>
      </c>
      <c r="AM1045" s="89">
        <v>43437.716550925928</v>
      </c>
      <c r="AN1045" s="86" t="s">
        <v>26248</v>
      </c>
      <c r="AO1045" s="86" t="s">
        <v>27379</v>
      </c>
      <c r="AP1045" s="96" t="str">
        <f>HYPERLINK("https://t.co/KrvG3kEMwG")</f>
        <v>https://t.co/KrvG3kEMwG</v>
      </c>
      <c r="AQ1045" s="96" t="str">
        <f>HYPERLINK("http://twitch.tv/problemart")</f>
        <v>http://twitch.tv/problemart</v>
      </c>
      <c r="AR1045" s="86" t="s">
        <v>28599</v>
      </c>
      <c r="AS1045" s="86"/>
      <c r="AT1045" s="86"/>
      <c r="AU1045" s="86"/>
      <c r="AV1045" s="86"/>
      <c r="AW1045" s="96" t="str">
        <f>HYPERLINK("https://t.co/KrvG3kEMwG")</f>
        <v>https://t.co/KrvG3kEMwG</v>
      </c>
      <c r="AX1045" s="86" t="b">
        <v>0</v>
      </c>
      <c r="AY1045" s="86"/>
      <c r="AZ1045" s="86"/>
      <c r="BA1045" s="86" t="b">
        <v>1</v>
      </c>
      <c r="BB1045" s="86" t="b">
        <v>0</v>
      </c>
      <c r="BC1045" s="86" t="b">
        <v>1</v>
      </c>
      <c r="BD1045" s="86" t="b">
        <v>0</v>
      </c>
      <c r="BE1045" s="86" t="b">
        <v>1</v>
      </c>
      <c r="BF1045" s="86" t="b">
        <v>0</v>
      </c>
      <c r="BG1045" s="86" t="b">
        <v>0</v>
      </c>
      <c r="BH1045" s="96" t="str">
        <f>HYPERLINK("https://pbs.twimg.com/profile_banners/1069640364678631425/1694844179")</f>
        <v>https://pbs.twimg.com/profile_banners/1069640364678631425/1694844179</v>
      </c>
      <c r="BI1045" s="86"/>
      <c r="BJ1045" s="86" t="s">
        <v>29134</v>
      </c>
      <c r="BK1045" s="86" t="b">
        <v>0</v>
      </c>
      <c r="BL1045" s="86"/>
      <c r="BM1045" s="86" t="s">
        <v>66</v>
      </c>
      <c r="BN1045" s="86" t="s">
        <v>29136</v>
      </c>
      <c r="BO1045" s="96" t="str">
        <f>HYPERLINK("https://twitter.com/naoehoproblem")</f>
        <v>https://twitter.com/naoehoproblem</v>
      </c>
      <c r="BP1045" s="2"/>
    </row>
    <row r="1046" spans="1:68" x14ac:dyDescent="0.25">
      <c r="A1046" s="63" t="s">
        <v>1111</v>
      </c>
      <c r="B1046" s="64"/>
      <c r="C1046" s="64"/>
      <c r="D1046" s="65"/>
      <c r="E1046" s="67"/>
      <c r="F1046" s="111" t="str">
        <f>HYPERLINK("https://pbs.twimg.com/profile_images/1065430212916199429/INFb1-qv_normal.jpg")</f>
        <v>https://pbs.twimg.com/profile_images/1065430212916199429/INFb1-qv_normal.jpg</v>
      </c>
      <c r="G1046" s="64"/>
      <c r="H1046" s="68"/>
      <c r="I1046" s="69"/>
      <c r="J1046" s="69"/>
      <c r="K1046" s="68" t="s">
        <v>30179</v>
      </c>
      <c r="L1046" s="72"/>
      <c r="M1046" s="73"/>
      <c r="N1046" s="73"/>
      <c r="O1046" s="74"/>
      <c r="P1046" s="75"/>
      <c r="Q1046" s="75"/>
      <c r="R1046" s="102"/>
      <c r="S1046" s="102"/>
      <c r="T1046" s="102"/>
      <c r="U1046" s="102"/>
      <c r="V1046" s="48"/>
      <c r="W1046" s="48"/>
      <c r="X1046" s="48"/>
      <c r="Y1046" s="48"/>
      <c r="Z1046" s="47"/>
      <c r="AA1046" s="70">
        <v>1046</v>
      </c>
      <c r="AB1046" s="70"/>
      <c r="AC1046" s="71"/>
      <c r="AD1046" s="86" t="s">
        <v>24650</v>
      </c>
      <c r="AE1046" s="94" t="s">
        <v>23304</v>
      </c>
      <c r="AF1046" s="86">
        <v>11</v>
      </c>
      <c r="AG1046" s="86">
        <v>8</v>
      </c>
      <c r="AH1046" s="86">
        <v>381</v>
      </c>
      <c r="AI1046" s="86">
        <v>0</v>
      </c>
      <c r="AJ1046" s="86">
        <v>367</v>
      </c>
      <c r="AK1046" s="86">
        <v>366</v>
      </c>
      <c r="AL1046" s="86" t="b">
        <v>0</v>
      </c>
      <c r="AM1046" s="89">
        <v>42796.894525462965</v>
      </c>
      <c r="AN1046" s="86"/>
      <c r="AO1046" s="86"/>
      <c r="AP1046" s="86"/>
      <c r="AQ1046" s="86"/>
      <c r="AR1046" s="86"/>
      <c r="AS1046" s="86"/>
      <c r="AT1046" s="86"/>
      <c r="AU1046" s="86"/>
      <c r="AV1046" s="86"/>
      <c r="AW1046" s="86"/>
      <c r="AX1046" s="86" t="b">
        <v>0</v>
      </c>
      <c r="AY1046" s="86"/>
      <c r="AZ1046" s="86"/>
      <c r="BA1046" s="86" t="b">
        <v>0</v>
      </c>
      <c r="BB1046" s="86" t="b">
        <v>1</v>
      </c>
      <c r="BC1046" s="86" t="b">
        <v>0</v>
      </c>
      <c r="BD1046" s="86" t="b">
        <v>0</v>
      </c>
      <c r="BE1046" s="86" t="b">
        <v>0</v>
      </c>
      <c r="BF1046" s="86" t="b">
        <v>0</v>
      </c>
      <c r="BG1046" s="86" t="b">
        <v>0</v>
      </c>
      <c r="BH1046" s="96" t="str">
        <f>HYPERLINK("https://pbs.twimg.com/profile_banners/837414239392366594/1542853366")</f>
        <v>https://pbs.twimg.com/profile_banners/837414239392366594/1542853366</v>
      </c>
      <c r="BI1046" s="86"/>
      <c r="BJ1046" s="86" t="s">
        <v>29134</v>
      </c>
      <c r="BK1046" s="86" t="b">
        <v>0</v>
      </c>
      <c r="BL1046" s="86"/>
      <c r="BM1046" s="86" t="s">
        <v>66</v>
      </c>
      <c r="BN1046" s="86" t="s">
        <v>29136</v>
      </c>
      <c r="BO1046" s="96" t="str">
        <f>HYPERLINK("https://twitter.com/tartarott")</f>
        <v>https://twitter.com/tartarott</v>
      </c>
      <c r="BP1046" s="2"/>
    </row>
    <row r="1047" spans="1:68" x14ac:dyDescent="0.25">
      <c r="A1047" s="63" t="s">
        <v>1112</v>
      </c>
      <c r="B1047" s="64"/>
      <c r="C1047" s="64"/>
      <c r="D1047" s="65"/>
      <c r="E1047" s="67"/>
      <c r="F1047" s="111" t="str">
        <f>HYPERLINK("https://pbs.twimg.com/profile_images/1674928060343152641/94DnO2N__normal.jpg")</f>
        <v>https://pbs.twimg.com/profile_images/1674928060343152641/94DnO2N__normal.jpg</v>
      </c>
      <c r="G1047" s="64"/>
      <c r="H1047" s="68"/>
      <c r="I1047" s="69"/>
      <c r="J1047" s="69"/>
      <c r="K1047" s="68" t="s">
        <v>30180</v>
      </c>
      <c r="L1047" s="72"/>
      <c r="M1047" s="73"/>
      <c r="N1047" s="73"/>
      <c r="O1047" s="74"/>
      <c r="P1047" s="75"/>
      <c r="Q1047" s="75"/>
      <c r="R1047" s="102"/>
      <c r="S1047" s="102"/>
      <c r="T1047" s="102"/>
      <c r="U1047" s="102"/>
      <c r="V1047" s="48"/>
      <c r="W1047" s="48"/>
      <c r="X1047" s="48"/>
      <c r="Y1047" s="48"/>
      <c r="Z1047" s="47"/>
      <c r="AA1047" s="70">
        <v>1047</v>
      </c>
      <c r="AB1047" s="70"/>
      <c r="AC1047" s="71"/>
      <c r="AD1047" s="86" t="s">
        <v>24651</v>
      </c>
      <c r="AE1047" s="94" t="s">
        <v>23305</v>
      </c>
      <c r="AF1047" s="86">
        <v>0</v>
      </c>
      <c r="AG1047" s="86">
        <v>11</v>
      </c>
      <c r="AH1047" s="86">
        <v>24</v>
      </c>
      <c r="AI1047" s="86">
        <v>0</v>
      </c>
      <c r="AJ1047" s="86">
        <v>1</v>
      </c>
      <c r="AK1047" s="86">
        <v>0</v>
      </c>
      <c r="AL1047" s="86" t="b">
        <v>0</v>
      </c>
      <c r="AM1047" s="89">
        <v>45107.981898148151</v>
      </c>
      <c r="AN1047" s="86"/>
      <c r="AO1047" s="86" t="s">
        <v>27380</v>
      </c>
      <c r="AP1047" s="96" t="str">
        <f>HYPERLINK("https://t.co/mYEnXmtw3p")</f>
        <v>https://t.co/mYEnXmtw3p</v>
      </c>
      <c r="AQ1047" s="96" t="str">
        <f>HYPERLINK("https://bit.ly/vendasautomátizadas")</f>
        <v>https://bit.ly/vendasautomátizadas</v>
      </c>
      <c r="AR1047" s="86" t="s">
        <v>28600</v>
      </c>
      <c r="AS1047" s="86"/>
      <c r="AT1047" s="86"/>
      <c r="AU1047" s="86"/>
      <c r="AV1047" s="86"/>
      <c r="AW1047" s="96" t="str">
        <f>HYPERLINK("https://t.co/mYEnXmtw3p")</f>
        <v>https://t.co/mYEnXmtw3p</v>
      </c>
      <c r="AX1047" s="86" t="b">
        <v>0</v>
      </c>
      <c r="AY1047" s="86"/>
      <c r="AZ1047" s="86"/>
      <c r="BA1047" s="86" t="b">
        <v>0</v>
      </c>
      <c r="BB1047" s="86" t="b">
        <v>1</v>
      </c>
      <c r="BC1047" s="86" t="b">
        <v>1</v>
      </c>
      <c r="BD1047" s="86" t="b">
        <v>0</v>
      </c>
      <c r="BE1047" s="86" t="b">
        <v>0</v>
      </c>
      <c r="BF1047" s="86" t="b">
        <v>0</v>
      </c>
      <c r="BG1047" s="86" t="b">
        <v>0</v>
      </c>
      <c r="BH1047" s="86"/>
      <c r="BI1047" s="86"/>
      <c r="BJ1047" s="86" t="s">
        <v>29134</v>
      </c>
      <c r="BK1047" s="86" t="b">
        <v>0</v>
      </c>
      <c r="BL1047" s="86"/>
      <c r="BM1047" s="86" t="s">
        <v>66</v>
      </c>
      <c r="BN1047" s="86" t="s">
        <v>29136</v>
      </c>
      <c r="BO1047" s="96" t="str">
        <f>HYPERLINK("https://twitter.com/riansousa_ofc")</f>
        <v>https://twitter.com/riansousa_ofc</v>
      </c>
      <c r="BP1047" s="2"/>
    </row>
    <row r="1048" spans="1:68" x14ac:dyDescent="0.25">
      <c r="A1048" s="63" t="s">
        <v>1113</v>
      </c>
      <c r="B1048" s="64"/>
      <c r="C1048" s="64"/>
      <c r="D1048" s="65"/>
      <c r="E1048" s="67"/>
      <c r="F1048" s="111" t="str">
        <f>HYPERLINK("https://pbs.twimg.com/profile_images/1601411192123260929/T1zebUsD_normal.jpg")</f>
        <v>https://pbs.twimg.com/profile_images/1601411192123260929/T1zebUsD_normal.jpg</v>
      </c>
      <c r="G1048" s="64"/>
      <c r="H1048" s="68"/>
      <c r="I1048" s="69"/>
      <c r="J1048" s="69"/>
      <c r="K1048" s="68" t="s">
        <v>30181</v>
      </c>
      <c r="L1048" s="72"/>
      <c r="M1048" s="73"/>
      <c r="N1048" s="73"/>
      <c r="O1048" s="74"/>
      <c r="P1048" s="75"/>
      <c r="Q1048" s="75"/>
      <c r="R1048" s="102"/>
      <c r="S1048" s="102"/>
      <c r="T1048" s="102"/>
      <c r="U1048" s="102"/>
      <c r="V1048" s="48"/>
      <c r="W1048" s="48"/>
      <c r="X1048" s="48"/>
      <c r="Y1048" s="48"/>
      <c r="Z1048" s="47"/>
      <c r="AA1048" s="70">
        <v>1048</v>
      </c>
      <c r="AB1048" s="70"/>
      <c r="AC1048" s="71"/>
      <c r="AD1048" s="86" t="s">
        <v>24652</v>
      </c>
      <c r="AE1048" s="94" t="s">
        <v>23306</v>
      </c>
      <c r="AF1048" s="86">
        <v>1</v>
      </c>
      <c r="AG1048" s="86">
        <v>7</v>
      </c>
      <c r="AH1048" s="86">
        <v>28</v>
      </c>
      <c r="AI1048" s="86">
        <v>0</v>
      </c>
      <c r="AJ1048" s="86">
        <v>0</v>
      </c>
      <c r="AK1048" s="86">
        <v>22</v>
      </c>
      <c r="AL1048" s="86" t="b">
        <v>0</v>
      </c>
      <c r="AM1048" s="89">
        <v>44905.124363425923</v>
      </c>
      <c r="AN1048" s="86"/>
      <c r="AO1048" s="86" t="s">
        <v>27381</v>
      </c>
      <c r="AP1048" s="86"/>
      <c r="AQ1048" s="86"/>
      <c r="AR1048" s="86"/>
      <c r="AS1048" s="86"/>
      <c r="AT1048" s="86"/>
      <c r="AU1048" s="86"/>
      <c r="AV1048" s="86"/>
      <c r="AW1048" s="86"/>
      <c r="AX1048" s="86" t="b">
        <v>0</v>
      </c>
      <c r="AY1048" s="86"/>
      <c r="AZ1048" s="86"/>
      <c r="BA1048" s="86" t="b">
        <v>0</v>
      </c>
      <c r="BB1048" s="86" t="b">
        <v>1</v>
      </c>
      <c r="BC1048" s="86" t="b">
        <v>1</v>
      </c>
      <c r="BD1048" s="86" t="b">
        <v>0</v>
      </c>
      <c r="BE1048" s="86" t="b">
        <v>0</v>
      </c>
      <c r="BF1048" s="86" t="b">
        <v>0</v>
      </c>
      <c r="BG1048" s="86" t="b">
        <v>0</v>
      </c>
      <c r="BH1048" s="96" t="str">
        <f>HYPERLINK("https://pbs.twimg.com/profile_banners/1601411115686281222/1682987313")</f>
        <v>https://pbs.twimg.com/profile_banners/1601411115686281222/1682987313</v>
      </c>
      <c r="BI1048" s="86"/>
      <c r="BJ1048" s="86" t="s">
        <v>29134</v>
      </c>
      <c r="BK1048" s="86" t="b">
        <v>0</v>
      </c>
      <c r="BL1048" s="86"/>
      <c r="BM1048" s="86" t="s">
        <v>66</v>
      </c>
      <c r="BN1048" s="86" t="s">
        <v>29136</v>
      </c>
      <c r="BO1048" s="96" t="str">
        <f>HYPERLINK("https://twitter.com/versa_brasil")</f>
        <v>https://twitter.com/versa_brasil</v>
      </c>
      <c r="BP1048" s="2"/>
    </row>
    <row r="1049" spans="1:68" x14ac:dyDescent="0.25">
      <c r="A1049" s="63" t="s">
        <v>1114</v>
      </c>
      <c r="B1049" s="64"/>
      <c r="C1049" s="64"/>
      <c r="D1049" s="65"/>
      <c r="E1049" s="67"/>
      <c r="F1049" s="111" t="str">
        <f>HYPERLINK("https://pbs.twimg.com/profile_images/1618333109497241603/4gl8L4LB_normal.jpg")</f>
        <v>https://pbs.twimg.com/profile_images/1618333109497241603/4gl8L4LB_normal.jpg</v>
      </c>
      <c r="G1049" s="64"/>
      <c r="H1049" s="68"/>
      <c r="I1049" s="69"/>
      <c r="J1049" s="69"/>
      <c r="K1049" s="68" t="s">
        <v>30182</v>
      </c>
      <c r="L1049" s="72"/>
      <c r="M1049" s="73"/>
      <c r="N1049" s="73"/>
      <c r="O1049" s="74"/>
      <c r="P1049" s="75"/>
      <c r="Q1049" s="75"/>
      <c r="R1049" s="102"/>
      <c r="S1049" s="102"/>
      <c r="T1049" s="102"/>
      <c r="U1049" s="102"/>
      <c r="V1049" s="48"/>
      <c r="W1049" s="48"/>
      <c r="X1049" s="48"/>
      <c r="Y1049" s="48"/>
      <c r="Z1049" s="47"/>
      <c r="AA1049" s="70">
        <v>1049</v>
      </c>
      <c r="AB1049" s="70"/>
      <c r="AC1049" s="71"/>
      <c r="AD1049" s="86" t="s">
        <v>24653</v>
      </c>
      <c r="AE1049" s="94" t="s">
        <v>23307</v>
      </c>
      <c r="AF1049" s="86">
        <v>11</v>
      </c>
      <c r="AG1049" s="86">
        <v>40</v>
      </c>
      <c r="AH1049" s="86">
        <v>22</v>
      </c>
      <c r="AI1049" s="86">
        <v>2</v>
      </c>
      <c r="AJ1049" s="86">
        <v>149</v>
      </c>
      <c r="AK1049" s="86">
        <v>9</v>
      </c>
      <c r="AL1049" s="86" t="b">
        <v>0</v>
      </c>
      <c r="AM1049" s="89">
        <v>44937.593854166669</v>
      </c>
      <c r="AN1049" s="86" t="s">
        <v>26249</v>
      </c>
      <c r="AO1049" s="86" t="s">
        <v>27382</v>
      </c>
      <c r="AP1049" s="86"/>
      <c r="AQ1049" s="86"/>
      <c r="AR1049" s="86"/>
      <c r="AS1049" s="86"/>
      <c r="AT1049" s="86"/>
      <c r="AU1049" s="86"/>
      <c r="AV1049" s="86">
        <v>1.61833256798352E+18</v>
      </c>
      <c r="AW1049" s="86"/>
      <c r="AX1049" s="86" t="b">
        <v>0</v>
      </c>
      <c r="AY1049" s="86"/>
      <c r="AZ1049" s="86"/>
      <c r="BA1049" s="86" t="b">
        <v>0</v>
      </c>
      <c r="BB1049" s="86" t="b">
        <v>1</v>
      </c>
      <c r="BC1049" s="86" t="b">
        <v>1</v>
      </c>
      <c r="BD1049" s="86" t="b">
        <v>0</v>
      </c>
      <c r="BE1049" s="86" t="b">
        <v>0</v>
      </c>
      <c r="BF1049" s="86" t="b">
        <v>0</v>
      </c>
      <c r="BG1049" s="86" t="b">
        <v>0</v>
      </c>
      <c r="BH1049" s="96" t="str">
        <f>HYPERLINK("https://pbs.twimg.com/profile_banners/1613177185413496834/1674675655")</f>
        <v>https://pbs.twimg.com/profile_banners/1613177185413496834/1674675655</v>
      </c>
      <c r="BI1049" s="86"/>
      <c r="BJ1049" s="86" t="s">
        <v>29134</v>
      </c>
      <c r="BK1049" s="86" t="b">
        <v>0</v>
      </c>
      <c r="BL1049" s="86"/>
      <c r="BM1049" s="86" t="s">
        <v>66</v>
      </c>
      <c r="BN1049" s="86" t="s">
        <v>29136</v>
      </c>
      <c r="BO1049" s="96" t="str">
        <f>HYPERLINK("https://twitter.com/yagorei96433928")</f>
        <v>https://twitter.com/yagorei96433928</v>
      </c>
      <c r="BP1049" s="2"/>
    </row>
    <row r="1050" spans="1:68" x14ac:dyDescent="0.25">
      <c r="A1050" s="63" t="s">
        <v>1115</v>
      </c>
      <c r="B1050" s="64"/>
      <c r="C1050" s="64"/>
      <c r="D1050" s="65"/>
      <c r="E1050" s="67"/>
      <c r="F1050" s="111" t="str">
        <f>HYPERLINK("https://pbs.twimg.com/profile_images/1664086754163322880/Jd3hqggu_normal.jpg")</f>
        <v>https://pbs.twimg.com/profile_images/1664086754163322880/Jd3hqggu_normal.jpg</v>
      </c>
      <c r="G1050" s="64"/>
      <c r="H1050" s="68"/>
      <c r="I1050" s="69"/>
      <c r="J1050" s="69"/>
      <c r="K1050" s="68" t="s">
        <v>30183</v>
      </c>
      <c r="L1050" s="72"/>
      <c r="M1050" s="73"/>
      <c r="N1050" s="73"/>
      <c r="O1050" s="74"/>
      <c r="P1050" s="75"/>
      <c r="Q1050" s="75"/>
      <c r="R1050" s="102"/>
      <c r="S1050" s="102"/>
      <c r="T1050" s="102"/>
      <c r="U1050" s="102"/>
      <c r="V1050" s="48"/>
      <c r="W1050" s="48"/>
      <c r="X1050" s="48"/>
      <c r="Y1050" s="48"/>
      <c r="Z1050" s="47"/>
      <c r="AA1050" s="70">
        <v>1050</v>
      </c>
      <c r="AB1050" s="70"/>
      <c r="AC1050" s="71"/>
      <c r="AD1050" s="86" t="s">
        <v>24654</v>
      </c>
      <c r="AE1050" s="94" t="s">
        <v>23308</v>
      </c>
      <c r="AF1050" s="86">
        <v>35</v>
      </c>
      <c r="AG1050" s="86">
        <v>37</v>
      </c>
      <c r="AH1050" s="86">
        <v>42</v>
      </c>
      <c r="AI1050" s="86">
        <v>1</v>
      </c>
      <c r="AJ1050" s="86">
        <v>26</v>
      </c>
      <c r="AK1050" s="86">
        <v>22</v>
      </c>
      <c r="AL1050" s="86" t="b">
        <v>0</v>
      </c>
      <c r="AM1050" s="89">
        <v>43411.530451388891</v>
      </c>
      <c r="AN1050" s="86" t="s">
        <v>26250</v>
      </c>
      <c r="AO1050" s="86" t="s">
        <v>27383</v>
      </c>
      <c r="AP1050" s="96" t="str">
        <f>HYPERLINK("https://t.co/I4jtBozrwc")</f>
        <v>https://t.co/I4jtBozrwc</v>
      </c>
      <c r="AQ1050" s="96" t="str">
        <f>HYPERLINK("http://frontendce.com.br")</f>
        <v>http://frontendce.com.br</v>
      </c>
      <c r="AR1050" s="86" t="s">
        <v>28601</v>
      </c>
      <c r="AS1050" s="86"/>
      <c r="AT1050" s="86"/>
      <c r="AU1050" s="86"/>
      <c r="AV1050" s="86"/>
      <c r="AW1050" s="96" t="str">
        <f>HYPERLINK("https://t.co/I4jtBozrwc")</f>
        <v>https://t.co/I4jtBozrwc</v>
      </c>
      <c r="AX1050" s="86" t="b">
        <v>0</v>
      </c>
      <c r="AY1050" s="86"/>
      <c r="AZ1050" s="86"/>
      <c r="BA1050" s="86" t="b">
        <v>0</v>
      </c>
      <c r="BB1050" s="86" t="b">
        <v>1</v>
      </c>
      <c r="BC1050" s="86" t="b">
        <v>1</v>
      </c>
      <c r="BD1050" s="86" t="b">
        <v>0</v>
      </c>
      <c r="BE1050" s="86" t="b">
        <v>0</v>
      </c>
      <c r="BF1050" s="86" t="b">
        <v>0</v>
      </c>
      <c r="BG1050" s="86" t="b">
        <v>0</v>
      </c>
      <c r="BH1050" s="96" t="str">
        <f>HYPERLINK("https://pbs.twimg.com/profile_banners/1060150840504266754/1685584176")</f>
        <v>https://pbs.twimg.com/profile_banners/1060150840504266754/1685584176</v>
      </c>
      <c r="BI1050" s="86"/>
      <c r="BJ1050" s="86" t="s">
        <v>29134</v>
      </c>
      <c r="BK1050" s="86" t="b">
        <v>0</v>
      </c>
      <c r="BL1050" s="86"/>
      <c r="BM1050" s="86" t="s">
        <v>66</v>
      </c>
      <c r="BN1050" s="86" t="s">
        <v>29136</v>
      </c>
      <c r="BO1050" s="96" t="str">
        <f>HYPERLINK("https://twitter.com/frontendcee")</f>
        <v>https://twitter.com/frontendcee</v>
      </c>
      <c r="BP1050" s="2"/>
    </row>
    <row r="1051" spans="1:68" x14ac:dyDescent="0.25">
      <c r="A1051" s="63" t="s">
        <v>1116</v>
      </c>
      <c r="B1051" s="64"/>
      <c r="C1051" s="64"/>
      <c r="D1051" s="65"/>
      <c r="E1051" s="67"/>
      <c r="F1051" s="111" t="str">
        <f>HYPERLINK("https://pbs.twimg.com/profile_images/973919327786323969/vfLhPzMa_normal.jpg")</f>
        <v>https://pbs.twimg.com/profile_images/973919327786323969/vfLhPzMa_normal.jpg</v>
      </c>
      <c r="G1051" s="64"/>
      <c r="H1051" s="68"/>
      <c r="I1051" s="69"/>
      <c r="J1051" s="69"/>
      <c r="K1051" s="68" t="s">
        <v>30184</v>
      </c>
      <c r="L1051" s="72"/>
      <c r="M1051" s="73"/>
      <c r="N1051" s="73"/>
      <c r="O1051" s="74"/>
      <c r="P1051" s="75"/>
      <c r="Q1051" s="75"/>
      <c r="R1051" s="102"/>
      <c r="S1051" s="102"/>
      <c r="T1051" s="102"/>
      <c r="U1051" s="102"/>
      <c r="V1051" s="48"/>
      <c r="W1051" s="48"/>
      <c r="X1051" s="48"/>
      <c r="Y1051" s="48"/>
      <c r="Z1051" s="47"/>
      <c r="AA1051" s="70">
        <v>1051</v>
      </c>
      <c r="AB1051" s="70"/>
      <c r="AC1051" s="71"/>
      <c r="AD1051" s="86" t="s">
        <v>24655</v>
      </c>
      <c r="AE1051" s="94" t="s">
        <v>25639</v>
      </c>
      <c r="AF1051" s="86">
        <v>83</v>
      </c>
      <c r="AG1051" s="86">
        <v>258</v>
      </c>
      <c r="AH1051" s="86">
        <v>1082</v>
      </c>
      <c r="AI1051" s="86">
        <v>0</v>
      </c>
      <c r="AJ1051" s="86">
        <v>473</v>
      </c>
      <c r="AK1051" s="86">
        <v>797</v>
      </c>
      <c r="AL1051" s="86" t="b">
        <v>0</v>
      </c>
      <c r="AM1051" s="89">
        <v>41584.606446759259</v>
      </c>
      <c r="AN1051" s="86" t="s">
        <v>26251</v>
      </c>
      <c r="AO1051" s="86" t="s">
        <v>27384</v>
      </c>
      <c r="AP1051" s="96" t="str">
        <f>HYPERLINK("https://t.co/8XxWXyoVV6")</f>
        <v>https://t.co/8XxWXyoVV6</v>
      </c>
      <c r="AQ1051" s="96" t="str">
        <f>HYPERLINK("http://cakecomunicacao.com.br")</f>
        <v>http://cakecomunicacao.com.br</v>
      </c>
      <c r="AR1051" s="86" t="s">
        <v>28602</v>
      </c>
      <c r="AS1051" s="86"/>
      <c r="AT1051" s="86"/>
      <c r="AU1051" s="86"/>
      <c r="AV1051" s="86">
        <v>9.7461221276878797E+17</v>
      </c>
      <c r="AW1051" s="96" t="str">
        <f>HYPERLINK("https://t.co/8XxWXyoVV6")</f>
        <v>https://t.co/8XxWXyoVV6</v>
      </c>
      <c r="AX1051" s="86" t="b">
        <v>0</v>
      </c>
      <c r="AY1051" s="86"/>
      <c r="AZ1051" s="86"/>
      <c r="BA1051" s="86" t="b">
        <v>0</v>
      </c>
      <c r="BB1051" s="86" t="b">
        <v>1</v>
      </c>
      <c r="BC1051" s="86" t="b">
        <v>0</v>
      </c>
      <c r="BD1051" s="86" t="b">
        <v>0</v>
      </c>
      <c r="BE1051" s="86" t="b">
        <v>1</v>
      </c>
      <c r="BF1051" s="86" t="b">
        <v>0</v>
      </c>
      <c r="BG1051" s="86" t="b">
        <v>0</v>
      </c>
      <c r="BH1051" s="96" t="str">
        <f>HYPERLINK("https://pbs.twimg.com/profile_banners/2178192420/1521035437")</f>
        <v>https://pbs.twimg.com/profile_banners/2178192420/1521035437</v>
      </c>
      <c r="BI1051" s="86"/>
      <c r="BJ1051" s="86" t="s">
        <v>29134</v>
      </c>
      <c r="BK1051" s="86" t="b">
        <v>0</v>
      </c>
      <c r="BL1051" s="86"/>
      <c r="BM1051" s="86" t="s">
        <v>66</v>
      </c>
      <c r="BN1051" s="86" t="s">
        <v>29136</v>
      </c>
      <c r="BO1051" s="96" t="str">
        <f>HYPERLINK("https://twitter.com/cakecomunicacao")</f>
        <v>https://twitter.com/cakecomunicacao</v>
      </c>
      <c r="BP1051" s="2"/>
    </row>
    <row r="1052" spans="1:68" x14ac:dyDescent="0.25">
      <c r="A1052" s="63" t="s">
        <v>1117</v>
      </c>
      <c r="B1052" s="64"/>
      <c r="C1052" s="64"/>
      <c r="D1052" s="65"/>
      <c r="E1052" s="67"/>
      <c r="F1052" s="111" t="str">
        <f>HYPERLINK("https://pbs.twimg.com/profile_images/1611072944532242433/RVoVIQrB_normal.jpg")</f>
        <v>https://pbs.twimg.com/profile_images/1611072944532242433/RVoVIQrB_normal.jpg</v>
      </c>
      <c r="G1052" s="64"/>
      <c r="H1052" s="68"/>
      <c r="I1052" s="69"/>
      <c r="J1052" s="69"/>
      <c r="K1052" s="68" t="s">
        <v>30185</v>
      </c>
      <c r="L1052" s="72"/>
      <c r="M1052" s="73"/>
      <c r="N1052" s="73"/>
      <c r="O1052" s="74"/>
      <c r="P1052" s="75"/>
      <c r="Q1052" s="75"/>
      <c r="R1052" s="102"/>
      <c r="S1052" s="102"/>
      <c r="T1052" s="102"/>
      <c r="U1052" s="102"/>
      <c r="V1052" s="48"/>
      <c r="W1052" s="48"/>
      <c r="X1052" s="48"/>
      <c r="Y1052" s="48"/>
      <c r="Z1052" s="47"/>
      <c r="AA1052" s="70">
        <v>1052</v>
      </c>
      <c r="AB1052" s="70"/>
      <c r="AC1052" s="71"/>
      <c r="AD1052" s="86" t="s">
        <v>24656</v>
      </c>
      <c r="AE1052" s="94" t="s">
        <v>25640</v>
      </c>
      <c r="AF1052" s="86">
        <v>143</v>
      </c>
      <c r="AG1052" s="86">
        <v>65</v>
      </c>
      <c r="AH1052" s="86">
        <v>352</v>
      </c>
      <c r="AI1052" s="86">
        <v>1</v>
      </c>
      <c r="AJ1052" s="86">
        <v>4</v>
      </c>
      <c r="AK1052" s="86">
        <v>84</v>
      </c>
      <c r="AL1052" s="86" t="b">
        <v>0</v>
      </c>
      <c r="AM1052" s="89">
        <v>40857.694652777776</v>
      </c>
      <c r="AN1052" s="86" t="s">
        <v>15388</v>
      </c>
      <c r="AO1052" s="86" t="s">
        <v>27385</v>
      </c>
      <c r="AP1052" s="96" t="str">
        <f>HYPERLINK("https://t.co/AvFYdKcL7N")</f>
        <v>https://t.co/AvFYdKcL7N</v>
      </c>
      <c r="AQ1052" s="96" t="str">
        <f>HYPERLINK("http://www.ibti.org.br")</f>
        <v>http://www.ibti.org.br</v>
      </c>
      <c r="AR1052" s="86" t="s">
        <v>28603</v>
      </c>
      <c r="AS1052" s="86"/>
      <c r="AT1052" s="86"/>
      <c r="AU1052" s="86"/>
      <c r="AV1052" s="86"/>
      <c r="AW1052" s="96" t="str">
        <f>HYPERLINK("https://t.co/AvFYdKcL7N")</f>
        <v>https://t.co/AvFYdKcL7N</v>
      </c>
      <c r="AX1052" s="86" t="b">
        <v>0</v>
      </c>
      <c r="AY1052" s="86"/>
      <c r="AZ1052" s="86"/>
      <c r="BA1052" s="86" t="b">
        <v>0</v>
      </c>
      <c r="BB1052" s="86" t="b">
        <v>1</v>
      </c>
      <c r="BC1052" s="86" t="b">
        <v>0</v>
      </c>
      <c r="BD1052" s="86" t="b">
        <v>0</v>
      </c>
      <c r="BE1052" s="86" t="b">
        <v>0</v>
      </c>
      <c r="BF1052" s="86" t="b">
        <v>0</v>
      </c>
      <c r="BG1052" s="86" t="b">
        <v>0</v>
      </c>
      <c r="BH1052" s="96" t="str">
        <f>HYPERLINK("https://pbs.twimg.com/profile_banners/409359054/1598280610")</f>
        <v>https://pbs.twimg.com/profile_banners/409359054/1598280610</v>
      </c>
      <c r="BI1052" s="86"/>
      <c r="BJ1052" s="86" t="s">
        <v>29134</v>
      </c>
      <c r="BK1052" s="86" t="b">
        <v>0</v>
      </c>
      <c r="BL1052" s="86"/>
      <c r="BM1052" s="86" t="s">
        <v>66</v>
      </c>
      <c r="BN1052" s="86" t="s">
        <v>29136</v>
      </c>
      <c r="BO1052" s="96" t="str">
        <f>HYPERLINK("https://twitter.com/ibti_ict")</f>
        <v>https://twitter.com/ibti_ict</v>
      </c>
      <c r="BP1052" s="2"/>
    </row>
    <row r="1053" spans="1:68" x14ac:dyDescent="0.25">
      <c r="A1053" s="63" t="s">
        <v>1118</v>
      </c>
      <c r="B1053" s="64"/>
      <c r="C1053" s="64"/>
      <c r="D1053" s="65"/>
      <c r="E1053" s="67"/>
      <c r="F1053" s="111" t="str">
        <f>HYPERLINK("https://pbs.twimg.com/profile_images/589145999639183360/VZafBlJl_normal.jpg")</f>
        <v>https://pbs.twimg.com/profile_images/589145999639183360/VZafBlJl_normal.jpg</v>
      </c>
      <c r="G1053" s="64"/>
      <c r="H1053" s="68"/>
      <c r="I1053" s="69"/>
      <c r="J1053" s="69"/>
      <c r="K1053" s="68" t="s">
        <v>30186</v>
      </c>
      <c r="L1053" s="72"/>
      <c r="M1053" s="73"/>
      <c r="N1053" s="73"/>
      <c r="O1053" s="74"/>
      <c r="P1053" s="75"/>
      <c r="Q1053" s="75"/>
      <c r="R1053" s="102"/>
      <c r="S1053" s="102"/>
      <c r="T1053" s="102"/>
      <c r="U1053" s="102"/>
      <c r="V1053" s="48"/>
      <c r="W1053" s="48"/>
      <c r="X1053" s="48"/>
      <c r="Y1053" s="48"/>
      <c r="Z1053" s="47"/>
      <c r="AA1053" s="70">
        <v>1053</v>
      </c>
      <c r="AB1053" s="70"/>
      <c r="AC1053" s="71"/>
      <c r="AD1053" s="86" t="s">
        <v>24657</v>
      </c>
      <c r="AE1053" s="94" t="s">
        <v>22615</v>
      </c>
      <c r="AF1053" s="86">
        <v>1472</v>
      </c>
      <c r="AG1053" s="86">
        <v>170</v>
      </c>
      <c r="AH1053" s="86">
        <v>7933</v>
      </c>
      <c r="AI1053" s="86">
        <v>15</v>
      </c>
      <c r="AJ1053" s="86">
        <v>645</v>
      </c>
      <c r="AK1053" s="86">
        <v>2669</v>
      </c>
      <c r="AL1053" s="86" t="b">
        <v>0</v>
      </c>
      <c r="AM1053" s="89">
        <v>40511.675023148149</v>
      </c>
      <c r="AN1053" s="86" t="s">
        <v>26252</v>
      </c>
      <c r="AO1053" s="86" t="s">
        <v>27386</v>
      </c>
      <c r="AP1053" s="96" t="str">
        <f>HYPERLINK("https://t.co/KisNzB7zoX")</f>
        <v>https://t.co/KisNzB7zoX</v>
      </c>
      <c r="AQ1053" s="96" t="str">
        <f>HYPERLINK("http://www.esag.udesc.br/")</f>
        <v>http://www.esag.udesc.br/</v>
      </c>
      <c r="AR1053" s="86" t="s">
        <v>28604</v>
      </c>
      <c r="AS1053" s="86"/>
      <c r="AT1053" s="86"/>
      <c r="AU1053" s="86"/>
      <c r="AV1053" s="86"/>
      <c r="AW1053" s="96" t="str">
        <f>HYPERLINK("https://t.co/KisNzB7zoX")</f>
        <v>https://t.co/KisNzB7zoX</v>
      </c>
      <c r="AX1053" s="86" t="b">
        <v>0</v>
      </c>
      <c r="AY1053" s="86"/>
      <c r="AZ1053" s="86"/>
      <c r="BA1053" s="86" t="b">
        <v>0</v>
      </c>
      <c r="BB1053" s="86" t="b">
        <v>1</v>
      </c>
      <c r="BC1053" s="86" t="b">
        <v>0</v>
      </c>
      <c r="BD1053" s="86" t="b">
        <v>0</v>
      </c>
      <c r="BE1053" s="86" t="b">
        <v>0</v>
      </c>
      <c r="BF1053" s="86" t="b">
        <v>0</v>
      </c>
      <c r="BG1053" s="86" t="b">
        <v>0</v>
      </c>
      <c r="BH1053" s="96" t="str">
        <f>HYPERLINK("https://pbs.twimg.com/profile_banners/221050908/1695066999")</f>
        <v>https://pbs.twimg.com/profile_banners/221050908/1695066999</v>
      </c>
      <c r="BI1053" s="86"/>
      <c r="BJ1053" s="86" t="s">
        <v>29134</v>
      </c>
      <c r="BK1053" s="86" t="b">
        <v>0</v>
      </c>
      <c r="BL1053" s="86"/>
      <c r="BM1053" s="86" t="s">
        <v>66</v>
      </c>
      <c r="BN1053" s="86" t="s">
        <v>29136</v>
      </c>
      <c r="BO1053" s="96" t="str">
        <f>HYPERLINK("https://twitter.com/udesc_esag")</f>
        <v>https://twitter.com/udesc_esag</v>
      </c>
      <c r="BP1053" s="2"/>
    </row>
    <row r="1054" spans="1:68" x14ac:dyDescent="0.25">
      <c r="A1054" s="63" t="s">
        <v>1760</v>
      </c>
      <c r="B1054" s="64"/>
      <c r="C1054" s="64"/>
      <c r="D1054" s="65"/>
      <c r="E1054" s="67"/>
      <c r="F1054" s="111" t="str">
        <f>HYPERLINK("https://pbs.twimg.com/profile_images/1395426703481180165/J8MqXIuL_normal.jpg")</f>
        <v>https://pbs.twimg.com/profile_images/1395426703481180165/J8MqXIuL_normal.jpg</v>
      </c>
      <c r="G1054" s="64"/>
      <c r="H1054" s="68"/>
      <c r="I1054" s="69"/>
      <c r="J1054" s="69"/>
      <c r="K1054" s="68" t="s">
        <v>30187</v>
      </c>
      <c r="L1054" s="72"/>
      <c r="M1054" s="73"/>
      <c r="N1054" s="73"/>
      <c r="O1054" s="74"/>
      <c r="P1054" s="75"/>
      <c r="Q1054" s="75"/>
      <c r="R1054" s="102"/>
      <c r="S1054" s="102"/>
      <c r="T1054" s="102"/>
      <c r="U1054" s="102"/>
      <c r="V1054" s="48"/>
      <c r="W1054" s="48"/>
      <c r="X1054" s="48"/>
      <c r="Y1054" s="48"/>
      <c r="Z1054" s="47"/>
      <c r="AA1054" s="70">
        <v>1054</v>
      </c>
      <c r="AB1054" s="70"/>
      <c r="AC1054" s="71"/>
      <c r="AD1054" s="86" t="s">
        <v>24658</v>
      </c>
      <c r="AE1054" s="94" t="s">
        <v>25641</v>
      </c>
      <c r="AF1054" s="86">
        <v>6617</v>
      </c>
      <c r="AG1054" s="86">
        <v>119</v>
      </c>
      <c r="AH1054" s="86">
        <v>20614</v>
      </c>
      <c r="AI1054" s="86">
        <v>45</v>
      </c>
      <c r="AJ1054" s="86">
        <v>10733</v>
      </c>
      <c r="AK1054" s="86">
        <v>8188</v>
      </c>
      <c r="AL1054" s="86" t="b">
        <v>0</v>
      </c>
      <c r="AM1054" s="89">
        <v>40619.171064814815</v>
      </c>
      <c r="AN1054" s="86" t="s">
        <v>26077</v>
      </c>
      <c r="AO1054" s="86" t="s">
        <v>27387</v>
      </c>
      <c r="AP1054" s="96" t="str">
        <f>HYPERLINK("https://t.co/CRUDsmMhn3")</f>
        <v>https://t.co/CRUDsmMhn3</v>
      </c>
      <c r="AQ1054" s="96" t="str">
        <f>HYPERLINK("http://www.udesc.br")</f>
        <v>http://www.udesc.br</v>
      </c>
      <c r="AR1054" s="86" t="s">
        <v>8501</v>
      </c>
      <c r="AS1054" s="86"/>
      <c r="AT1054" s="86"/>
      <c r="AU1054" s="86"/>
      <c r="AV1054" s="86">
        <v>1.7041762260032799E+18</v>
      </c>
      <c r="AW1054" s="96" t="str">
        <f>HYPERLINK("https://t.co/CRUDsmMhn3")</f>
        <v>https://t.co/CRUDsmMhn3</v>
      </c>
      <c r="AX1054" s="86" t="b">
        <v>0</v>
      </c>
      <c r="AY1054" s="86"/>
      <c r="AZ1054" s="86"/>
      <c r="BA1054" s="86" t="b">
        <v>0</v>
      </c>
      <c r="BB1054" s="86" t="b">
        <v>1</v>
      </c>
      <c r="BC1054" s="86" t="b">
        <v>0</v>
      </c>
      <c r="BD1054" s="86" t="b">
        <v>0</v>
      </c>
      <c r="BE1054" s="86" t="b">
        <v>1</v>
      </c>
      <c r="BF1054" s="86" t="b">
        <v>0</v>
      </c>
      <c r="BG1054" s="86" t="b">
        <v>0</v>
      </c>
      <c r="BH1054" s="96" t="str">
        <f>HYPERLINK("https://pbs.twimg.com/profile_banners/267553737/1694628616")</f>
        <v>https://pbs.twimg.com/profile_banners/267553737/1694628616</v>
      </c>
      <c r="BI1054" s="86"/>
      <c r="BJ1054" s="86" t="s">
        <v>29135</v>
      </c>
      <c r="BK1054" s="86" t="b">
        <v>0</v>
      </c>
      <c r="BL1054" s="86"/>
      <c r="BM1054" s="86" t="s">
        <v>65</v>
      </c>
      <c r="BN1054" s="86" t="s">
        <v>29136</v>
      </c>
      <c r="BO1054" s="96" t="str">
        <f>HYPERLINK("https://twitter.com/udesc")</f>
        <v>https://twitter.com/udesc</v>
      </c>
      <c r="BP1054" s="2"/>
    </row>
    <row r="1055" spans="1:68" x14ac:dyDescent="0.25">
      <c r="A1055" s="63" t="s">
        <v>1119</v>
      </c>
      <c r="B1055" s="64"/>
      <c r="C1055" s="64"/>
      <c r="D1055" s="65"/>
      <c r="E1055" s="67"/>
      <c r="F1055" s="111" t="str">
        <f>HYPERLINK("https://pbs.twimg.com/profile_images/1696120385073233920/kPUwE1ny_normal.jpg")</f>
        <v>https://pbs.twimg.com/profile_images/1696120385073233920/kPUwE1ny_normal.jpg</v>
      </c>
      <c r="G1055" s="64"/>
      <c r="H1055" s="68"/>
      <c r="I1055" s="69"/>
      <c r="J1055" s="69"/>
      <c r="K1055" s="68" t="s">
        <v>30188</v>
      </c>
      <c r="L1055" s="72"/>
      <c r="M1055" s="73"/>
      <c r="N1055" s="73"/>
      <c r="O1055" s="74"/>
      <c r="P1055" s="75"/>
      <c r="Q1055" s="75"/>
      <c r="R1055" s="102"/>
      <c r="S1055" s="102"/>
      <c r="T1055" s="102"/>
      <c r="U1055" s="102"/>
      <c r="V1055" s="48"/>
      <c r="W1055" s="48"/>
      <c r="X1055" s="48"/>
      <c r="Y1055" s="48"/>
      <c r="Z1055" s="47"/>
      <c r="AA1055" s="70">
        <v>1055</v>
      </c>
      <c r="AB1055" s="70"/>
      <c r="AC1055" s="71"/>
      <c r="AD1055" s="86" t="s">
        <v>24659</v>
      </c>
      <c r="AE1055" s="94" t="s">
        <v>23309</v>
      </c>
      <c r="AF1055" s="86">
        <v>0</v>
      </c>
      <c r="AG1055" s="86">
        <v>5</v>
      </c>
      <c r="AH1055" s="86">
        <v>2</v>
      </c>
      <c r="AI1055" s="86">
        <v>0</v>
      </c>
      <c r="AJ1055" s="86">
        <v>0</v>
      </c>
      <c r="AK1055" s="86">
        <v>0</v>
      </c>
      <c r="AL1055" s="86" t="b">
        <v>0</v>
      </c>
      <c r="AM1055" s="89">
        <v>45166.470995370371</v>
      </c>
      <c r="AN1055" s="86"/>
      <c r="AO1055" s="86"/>
      <c r="AP1055" s="86"/>
      <c r="AQ1055" s="86"/>
      <c r="AR1055" s="86"/>
      <c r="AS1055" s="86"/>
      <c r="AT1055" s="86"/>
      <c r="AU1055" s="86"/>
      <c r="AV1055" s="86"/>
      <c r="AW1055" s="86"/>
      <c r="AX1055" s="86" t="b">
        <v>0</v>
      </c>
      <c r="AY1055" s="86"/>
      <c r="AZ1055" s="86"/>
      <c r="BA1055" s="86" t="b">
        <v>0</v>
      </c>
      <c r="BB1055" s="86" t="b">
        <v>1</v>
      </c>
      <c r="BC1055" s="86" t="b">
        <v>1</v>
      </c>
      <c r="BD1055" s="86" t="b">
        <v>0</v>
      </c>
      <c r="BE1055" s="86" t="b">
        <v>0</v>
      </c>
      <c r="BF1055" s="86" t="b">
        <v>0</v>
      </c>
      <c r="BG1055" s="86" t="b">
        <v>0</v>
      </c>
      <c r="BH1055" s="86"/>
      <c r="BI1055" s="86"/>
      <c r="BJ1055" s="86" t="s">
        <v>29134</v>
      </c>
      <c r="BK1055" s="86" t="b">
        <v>0</v>
      </c>
      <c r="BL1055" s="86"/>
      <c r="BM1055" s="86" t="s">
        <v>66</v>
      </c>
      <c r="BN1055" s="86" t="s">
        <v>29136</v>
      </c>
      <c r="BO1055" s="96" t="str">
        <f>HYPERLINK("https://twitter.com/mediaribeiro")</f>
        <v>https://twitter.com/mediaribeiro</v>
      </c>
      <c r="BP1055" s="2"/>
    </row>
    <row r="1056" spans="1:68" x14ac:dyDescent="0.25">
      <c r="A1056" s="63" t="s">
        <v>1120</v>
      </c>
      <c r="B1056" s="64"/>
      <c r="C1056" s="64"/>
      <c r="D1056" s="65"/>
      <c r="E1056" s="67"/>
      <c r="F1056" s="111" t="str">
        <f>HYPERLINK("https://pbs.twimg.com/profile_images/1607414651511250945/S3yMMSI__normal.jpg")</f>
        <v>https://pbs.twimg.com/profile_images/1607414651511250945/S3yMMSI__normal.jpg</v>
      </c>
      <c r="G1056" s="64"/>
      <c r="H1056" s="68"/>
      <c r="I1056" s="69"/>
      <c r="J1056" s="69"/>
      <c r="K1056" s="68" t="s">
        <v>30189</v>
      </c>
      <c r="L1056" s="72"/>
      <c r="M1056" s="73"/>
      <c r="N1056" s="73"/>
      <c r="O1056" s="74"/>
      <c r="P1056" s="75"/>
      <c r="Q1056" s="75"/>
      <c r="R1056" s="102"/>
      <c r="S1056" s="102"/>
      <c r="T1056" s="102"/>
      <c r="U1056" s="102"/>
      <c r="V1056" s="48"/>
      <c r="W1056" s="48"/>
      <c r="X1056" s="48"/>
      <c r="Y1056" s="48"/>
      <c r="Z1056" s="47"/>
      <c r="AA1056" s="70">
        <v>1056</v>
      </c>
      <c r="AB1056" s="70"/>
      <c r="AC1056" s="71"/>
      <c r="AD1056" s="86" t="s">
        <v>24660</v>
      </c>
      <c r="AE1056" s="94" t="s">
        <v>25642</v>
      </c>
      <c r="AF1056" s="86">
        <v>6</v>
      </c>
      <c r="AG1056" s="86">
        <v>0</v>
      </c>
      <c r="AH1056" s="86">
        <v>224</v>
      </c>
      <c r="AI1056" s="86">
        <v>0</v>
      </c>
      <c r="AJ1056" s="86">
        <v>13</v>
      </c>
      <c r="AK1056" s="86">
        <v>217</v>
      </c>
      <c r="AL1056" s="86" t="b">
        <v>0</v>
      </c>
      <c r="AM1056" s="89">
        <v>40384.067083333335</v>
      </c>
      <c r="AN1056" s="86" t="s">
        <v>26253</v>
      </c>
      <c r="AO1056" s="86" t="s">
        <v>27388</v>
      </c>
      <c r="AP1056" s="96" t="str">
        <f>HYPERLINK("https://t.co/6sEZGXZ6NC")</f>
        <v>https://t.co/6sEZGXZ6NC</v>
      </c>
      <c r="AQ1056" s="96" t="str">
        <f>HYPERLINK("https://linktr.ee/maraujoassessoria")</f>
        <v>https://linktr.ee/maraujoassessoria</v>
      </c>
      <c r="AR1056" s="86" t="s">
        <v>28605</v>
      </c>
      <c r="AS1056" s="86"/>
      <c r="AT1056" s="86"/>
      <c r="AU1056" s="86"/>
      <c r="AV1056" s="86">
        <v>1.68497068856047E+18</v>
      </c>
      <c r="AW1056" s="96" t="str">
        <f>HYPERLINK("https://t.co/6sEZGXZ6NC")</f>
        <v>https://t.co/6sEZGXZ6NC</v>
      </c>
      <c r="AX1056" s="86" t="b">
        <v>0</v>
      </c>
      <c r="AY1056" s="86"/>
      <c r="AZ1056" s="86"/>
      <c r="BA1056" s="86" t="b">
        <v>0</v>
      </c>
      <c r="BB1056" s="86" t="b">
        <v>1</v>
      </c>
      <c r="BC1056" s="86" t="b">
        <v>1</v>
      </c>
      <c r="BD1056" s="86" t="b">
        <v>0</v>
      </c>
      <c r="BE1056" s="86" t="b">
        <v>1</v>
      </c>
      <c r="BF1056" s="86" t="b">
        <v>0</v>
      </c>
      <c r="BG1056" s="86" t="b">
        <v>0</v>
      </c>
      <c r="BH1056" s="96" t="str">
        <f>HYPERLINK("https://pbs.twimg.com/profile_banners/170510606/1672072492")</f>
        <v>https://pbs.twimg.com/profile_banners/170510606/1672072492</v>
      </c>
      <c r="BI1056" s="86"/>
      <c r="BJ1056" s="86" t="s">
        <v>29134</v>
      </c>
      <c r="BK1056" s="86" t="b">
        <v>0</v>
      </c>
      <c r="BL1056" s="86"/>
      <c r="BM1056" s="86" t="s">
        <v>66</v>
      </c>
      <c r="BN1056" s="86" t="s">
        <v>29136</v>
      </c>
      <c r="BO1056" s="96" t="str">
        <f>HYPERLINK("https://twitter.com/maraujocontabil")</f>
        <v>https://twitter.com/maraujocontabil</v>
      </c>
      <c r="BP1056" s="2"/>
    </row>
    <row r="1057" spans="1:68" x14ac:dyDescent="0.25">
      <c r="A1057" s="63" t="s">
        <v>1121</v>
      </c>
      <c r="B1057" s="64"/>
      <c r="C1057" s="64"/>
      <c r="D1057" s="65"/>
      <c r="E1057" s="67"/>
      <c r="F1057" s="111" t="str">
        <f>HYPERLINK("https://pbs.twimg.com/profile_images/1694689885100072960/RsE3e_Yz_normal.jpg")</f>
        <v>https://pbs.twimg.com/profile_images/1694689885100072960/RsE3e_Yz_normal.jpg</v>
      </c>
      <c r="G1057" s="64"/>
      <c r="H1057" s="68"/>
      <c r="I1057" s="69"/>
      <c r="J1057" s="69"/>
      <c r="K1057" s="68" t="s">
        <v>30190</v>
      </c>
      <c r="L1057" s="72"/>
      <c r="M1057" s="73"/>
      <c r="N1057" s="73"/>
      <c r="O1057" s="74"/>
      <c r="P1057" s="75"/>
      <c r="Q1057" s="75"/>
      <c r="R1057" s="102"/>
      <c r="S1057" s="102"/>
      <c r="T1057" s="102"/>
      <c r="U1057" s="102"/>
      <c r="V1057" s="48"/>
      <c r="W1057" s="48"/>
      <c r="X1057" s="48"/>
      <c r="Y1057" s="48"/>
      <c r="Z1057" s="47"/>
      <c r="AA1057" s="70">
        <v>1057</v>
      </c>
      <c r="AB1057" s="70"/>
      <c r="AC1057" s="71"/>
      <c r="AD1057" s="86" t="s">
        <v>24661</v>
      </c>
      <c r="AE1057" s="94" t="s">
        <v>23310</v>
      </c>
      <c r="AF1057" s="86">
        <v>411</v>
      </c>
      <c r="AG1057" s="86">
        <v>54</v>
      </c>
      <c r="AH1057" s="86">
        <v>10941</v>
      </c>
      <c r="AI1057" s="86">
        <v>0</v>
      </c>
      <c r="AJ1057" s="86">
        <v>8451</v>
      </c>
      <c r="AK1057" s="86">
        <v>64</v>
      </c>
      <c r="AL1057" s="86" t="b">
        <v>0</v>
      </c>
      <c r="AM1057" s="89">
        <v>45115.362210648149</v>
      </c>
      <c r="AN1057" s="86" t="s">
        <v>25962</v>
      </c>
      <c r="AO1057" s="86" t="s">
        <v>27389</v>
      </c>
      <c r="AP1057" s="86"/>
      <c r="AQ1057" s="86"/>
      <c r="AR1057" s="86"/>
      <c r="AS1057" s="86"/>
      <c r="AT1057" s="86"/>
      <c r="AU1057" s="86"/>
      <c r="AV1057" s="86">
        <v>1.68814481135677E+18</v>
      </c>
      <c r="AW1057" s="86"/>
      <c r="AX1057" s="86" t="b">
        <v>0</v>
      </c>
      <c r="AY1057" s="86"/>
      <c r="AZ1057" s="86"/>
      <c r="BA1057" s="86" t="b">
        <v>1</v>
      </c>
      <c r="BB1057" s="86" t="b">
        <v>1</v>
      </c>
      <c r="BC1057" s="86" t="b">
        <v>1</v>
      </c>
      <c r="BD1057" s="86" t="b">
        <v>0</v>
      </c>
      <c r="BE1057" s="86" t="b">
        <v>0</v>
      </c>
      <c r="BF1057" s="86" t="b">
        <v>0</v>
      </c>
      <c r="BG1057" s="86" t="b">
        <v>0</v>
      </c>
      <c r="BH1057" s="96" t="str">
        <f>HYPERLINK("https://pbs.twimg.com/profile_banners/1677598719217106946/1688806340")</f>
        <v>https://pbs.twimg.com/profile_banners/1677598719217106946/1688806340</v>
      </c>
      <c r="BI1057" s="86"/>
      <c r="BJ1057" s="86" t="s">
        <v>29134</v>
      </c>
      <c r="BK1057" s="86" t="b">
        <v>0</v>
      </c>
      <c r="BL1057" s="86"/>
      <c r="BM1057" s="86" t="s">
        <v>66</v>
      </c>
      <c r="BN1057" s="86" t="s">
        <v>29136</v>
      </c>
      <c r="BO1057" s="96" t="str">
        <f>HYPERLINK("https://twitter.com/mwanamukongo")</f>
        <v>https://twitter.com/mwanamukongo</v>
      </c>
      <c r="BP1057" s="2"/>
    </row>
    <row r="1058" spans="1:68" x14ac:dyDescent="0.25">
      <c r="A1058" s="63" t="s">
        <v>1594</v>
      </c>
      <c r="B1058" s="64"/>
      <c r="C1058" s="64"/>
      <c r="D1058" s="65"/>
      <c r="E1058" s="67"/>
      <c r="F1058" s="111" t="str">
        <f>HYPERLINK("https://pbs.twimg.com/profile_images/1660361163123695624/bRDx4ybi_normal.jpg")</f>
        <v>https://pbs.twimg.com/profile_images/1660361163123695624/bRDx4ybi_normal.jpg</v>
      </c>
      <c r="G1058" s="64"/>
      <c r="H1058" s="68"/>
      <c r="I1058" s="69"/>
      <c r="J1058" s="69"/>
      <c r="K1058" s="68" t="s">
        <v>30191</v>
      </c>
      <c r="L1058" s="72"/>
      <c r="M1058" s="73"/>
      <c r="N1058" s="73"/>
      <c r="O1058" s="74"/>
      <c r="P1058" s="75"/>
      <c r="Q1058" s="75"/>
      <c r="R1058" s="102"/>
      <c r="S1058" s="102"/>
      <c r="T1058" s="102"/>
      <c r="U1058" s="102"/>
      <c r="V1058" s="48"/>
      <c r="W1058" s="48"/>
      <c r="X1058" s="48"/>
      <c r="Y1058" s="48"/>
      <c r="Z1058" s="47"/>
      <c r="AA1058" s="70">
        <v>1058</v>
      </c>
      <c r="AB1058" s="70"/>
      <c r="AC1058" s="71"/>
      <c r="AD1058" s="86" t="s">
        <v>24662</v>
      </c>
      <c r="AE1058" s="94" t="s">
        <v>25643</v>
      </c>
      <c r="AF1058" s="86">
        <v>869</v>
      </c>
      <c r="AG1058" s="86">
        <v>1050</v>
      </c>
      <c r="AH1058" s="86">
        <v>5443</v>
      </c>
      <c r="AI1058" s="86">
        <v>2</v>
      </c>
      <c r="AJ1058" s="86">
        <v>2221</v>
      </c>
      <c r="AK1058" s="86">
        <v>937</v>
      </c>
      <c r="AL1058" s="86" t="b">
        <v>0</v>
      </c>
      <c r="AM1058" s="89">
        <v>40669.919872685183</v>
      </c>
      <c r="AN1058" s="86" t="s">
        <v>26254</v>
      </c>
      <c r="AO1058" s="86" t="s">
        <v>27390</v>
      </c>
      <c r="AP1058" s="96" t="str">
        <f>HYPERLINK("https://t.co/tSaUF5TDip")</f>
        <v>https://t.co/tSaUF5TDip</v>
      </c>
      <c r="AQ1058" s="96" t="str">
        <f>HYPERLINK("https://chokwe.mofeko.com")</f>
        <v>https://chokwe.mofeko.com</v>
      </c>
      <c r="AR1058" s="86" t="s">
        <v>28606</v>
      </c>
      <c r="AS1058" s="86"/>
      <c r="AT1058" s="86"/>
      <c r="AU1058" s="86"/>
      <c r="AV1058" s="86">
        <v>1.6781457728759099E+18</v>
      </c>
      <c r="AW1058" s="96" t="str">
        <f>HYPERLINK("https://t.co/tSaUF5TDip")</f>
        <v>https://t.co/tSaUF5TDip</v>
      </c>
      <c r="AX1058" s="86" t="b">
        <v>0</v>
      </c>
      <c r="AY1058" s="86"/>
      <c r="AZ1058" s="86"/>
      <c r="BA1058" s="86" t="b">
        <v>1</v>
      </c>
      <c r="BB1058" s="86" t="b">
        <v>0</v>
      </c>
      <c r="BC1058" s="86" t="b">
        <v>0</v>
      </c>
      <c r="BD1058" s="86" t="b">
        <v>0</v>
      </c>
      <c r="BE1058" s="86" t="b">
        <v>1</v>
      </c>
      <c r="BF1058" s="86" t="b">
        <v>0</v>
      </c>
      <c r="BG1058" s="86" t="b">
        <v>0</v>
      </c>
      <c r="BH1058" s="96" t="str">
        <f>HYPERLINK("https://pbs.twimg.com/profile_banners/294299671/1670494943")</f>
        <v>https://pbs.twimg.com/profile_banners/294299671/1670494943</v>
      </c>
      <c r="BI1058" s="86"/>
      <c r="BJ1058" s="86" t="s">
        <v>29134</v>
      </c>
      <c r="BK1058" s="86" t="b">
        <v>0</v>
      </c>
      <c r="BL1058" s="86"/>
      <c r="BM1058" s="86" t="s">
        <v>66</v>
      </c>
      <c r="BN1058" s="86" t="s">
        <v>29136</v>
      </c>
      <c r="BO1058" s="96" t="str">
        <f>HYPERLINK("https://twitter.com/mwataimperador")</f>
        <v>https://twitter.com/mwataimperador</v>
      </c>
      <c r="BP1058" s="2"/>
    </row>
    <row r="1059" spans="1:68" x14ac:dyDescent="0.25">
      <c r="A1059" s="63" t="s">
        <v>1122</v>
      </c>
      <c r="B1059" s="64"/>
      <c r="C1059" s="64"/>
      <c r="D1059" s="65"/>
      <c r="E1059" s="67"/>
      <c r="F1059" s="111" t="str">
        <f>HYPERLINK("https://pbs.twimg.com/profile_images/1681657809174142976/wSnWsvWX_normal.jpg")</f>
        <v>https://pbs.twimg.com/profile_images/1681657809174142976/wSnWsvWX_normal.jpg</v>
      </c>
      <c r="G1059" s="64"/>
      <c r="H1059" s="68"/>
      <c r="I1059" s="69"/>
      <c r="J1059" s="69"/>
      <c r="K1059" s="68" t="s">
        <v>30192</v>
      </c>
      <c r="L1059" s="72"/>
      <c r="M1059" s="73"/>
      <c r="N1059" s="73"/>
      <c r="O1059" s="74"/>
      <c r="P1059" s="75"/>
      <c r="Q1059" s="75"/>
      <c r="R1059" s="102"/>
      <c r="S1059" s="102"/>
      <c r="T1059" s="102"/>
      <c r="U1059" s="102"/>
      <c r="V1059" s="48"/>
      <c r="W1059" s="48"/>
      <c r="X1059" s="48"/>
      <c r="Y1059" s="48"/>
      <c r="Z1059" s="47"/>
      <c r="AA1059" s="70">
        <v>1059</v>
      </c>
      <c r="AB1059" s="70"/>
      <c r="AC1059" s="71"/>
      <c r="AD1059" s="86" t="s">
        <v>24663</v>
      </c>
      <c r="AE1059" s="94" t="s">
        <v>25644</v>
      </c>
      <c r="AF1059" s="86">
        <v>48</v>
      </c>
      <c r="AG1059" s="86">
        <v>131</v>
      </c>
      <c r="AH1059" s="86">
        <v>326</v>
      </c>
      <c r="AI1059" s="86">
        <v>0</v>
      </c>
      <c r="AJ1059" s="86">
        <v>97</v>
      </c>
      <c r="AK1059" s="86">
        <v>304</v>
      </c>
      <c r="AL1059" s="86" t="b">
        <v>0</v>
      </c>
      <c r="AM1059" s="89">
        <v>41724.607152777775</v>
      </c>
      <c r="AN1059" s="86" t="s">
        <v>26255</v>
      </c>
      <c r="AO1059" s="86" t="s">
        <v>27391</v>
      </c>
      <c r="AP1059" s="96" t="str">
        <f>HYPERLINK("https://t.co/gOR9EtvmvX")</f>
        <v>https://t.co/gOR9EtvmvX</v>
      </c>
      <c r="AQ1059" s="96" t="str">
        <f>HYPERLINK("https://www.divulgarmeunegocio.com.br")</f>
        <v>https://www.divulgarmeunegocio.com.br</v>
      </c>
      <c r="AR1059" s="86" t="s">
        <v>28607</v>
      </c>
      <c r="AS1059" s="86"/>
      <c r="AT1059" s="86"/>
      <c r="AU1059" s="86"/>
      <c r="AV1059" s="86"/>
      <c r="AW1059" s="96" t="str">
        <f>HYPERLINK("https://t.co/gOR9EtvmvX")</f>
        <v>https://t.co/gOR9EtvmvX</v>
      </c>
      <c r="AX1059" s="86" t="b">
        <v>0</v>
      </c>
      <c r="AY1059" s="86"/>
      <c r="AZ1059" s="86"/>
      <c r="BA1059" s="86" t="b">
        <v>1</v>
      </c>
      <c r="BB1059" s="86" t="b">
        <v>1</v>
      </c>
      <c r="BC1059" s="86" t="b">
        <v>1</v>
      </c>
      <c r="BD1059" s="86" t="b">
        <v>0</v>
      </c>
      <c r="BE1059" s="86" t="b">
        <v>0</v>
      </c>
      <c r="BF1059" s="86" t="b">
        <v>0</v>
      </c>
      <c r="BG1059" s="86" t="b">
        <v>0</v>
      </c>
      <c r="BH1059" s="96" t="str">
        <f>HYPERLINK("https://pbs.twimg.com/profile_banners/2412706957/1538075598")</f>
        <v>https://pbs.twimg.com/profile_banners/2412706957/1538075598</v>
      </c>
      <c r="BI1059" s="86"/>
      <c r="BJ1059" s="86" t="s">
        <v>29134</v>
      </c>
      <c r="BK1059" s="86" t="b">
        <v>0</v>
      </c>
      <c r="BL1059" s="86"/>
      <c r="BM1059" s="86" t="s">
        <v>66</v>
      </c>
      <c r="BN1059" s="86" t="s">
        <v>29136</v>
      </c>
      <c r="BO1059" s="96" t="str">
        <f>HYPERLINK("https://twitter.com/divulgaragencia")</f>
        <v>https://twitter.com/divulgaragencia</v>
      </c>
      <c r="BP1059" s="2"/>
    </row>
    <row r="1060" spans="1:68" x14ac:dyDescent="0.25">
      <c r="A1060" s="63" t="s">
        <v>1123</v>
      </c>
      <c r="B1060" s="64"/>
      <c r="C1060" s="64"/>
      <c r="D1060" s="65"/>
      <c r="E1060" s="67"/>
      <c r="F1060" s="111" t="str">
        <f>HYPERLINK("https://pbs.twimg.com/profile_images/1593312565681164289/2saNqO-h_normal.jpg")</f>
        <v>https://pbs.twimg.com/profile_images/1593312565681164289/2saNqO-h_normal.jpg</v>
      </c>
      <c r="G1060" s="64"/>
      <c r="H1060" s="68"/>
      <c r="I1060" s="69"/>
      <c r="J1060" s="69"/>
      <c r="K1060" s="68" t="s">
        <v>30193</v>
      </c>
      <c r="L1060" s="72"/>
      <c r="M1060" s="73"/>
      <c r="N1060" s="73"/>
      <c r="O1060" s="74"/>
      <c r="P1060" s="75"/>
      <c r="Q1060" s="75"/>
      <c r="R1060" s="102"/>
      <c r="S1060" s="102"/>
      <c r="T1060" s="102"/>
      <c r="U1060" s="102"/>
      <c r="V1060" s="48"/>
      <c r="W1060" s="48"/>
      <c r="X1060" s="48"/>
      <c r="Y1060" s="48"/>
      <c r="Z1060" s="47"/>
      <c r="AA1060" s="70">
        <v>1060</v>
      </c>
      <c r="AB1060" s="70"/>
      <c r="AC1060" s="71"/>
      <c r="AD1060" s="86" t="s">
        <v>24664</v>
      </c>
      <c r="AE1060" s="94" t="s">
        <v>22616</v>
      </c>
      <c r="AF1060" s="86">
        <v>16</v>
      </c>
      <c r="AG1060" s="86">
        <v>83</v>
      </c>
      <c r="AH1060" s="86">
        <v>371</v>
      </c>
      <c r="AI1060" s="86">
        <v>0</v>
      </c>
      <c r="AJ1060" s="86">
        <v>2</v>
      </c>
      <c r="AK1060" s="86">
        <v>53</v>
      </c>
      <c r="AL1060" s="86" t="b">
        <v>0</v>
      </c>
      <c r="AM1060" s="89">
        <v>44812.780162037037</v>
      </c>
      <c r="AN1060" s="86"/>
      <c r="AO1060" s="86" t="s">
        <v>27392</v>
      </c>
      <c r="AP1060" s="96" t="str">
        <f>HYPERLINK("https://t.co/VgpNwneS1C")</f>
        <v>https://t.co/VgpNwneS1C</v>
      </c>
      <c r="AQ1060" s="96" t="str">
        <f>HYPERLINK("https://www.nebulatech.cc/")</f>
        <v>https://www.nebulatech.cc/</v>
      </c>
      <c r="AR1060" s="86" t="s">
        <v>28608</v>
      </c>
      <c r="AS1060" s="86"/>
      <c r="AT1060" s="86"/>
      <c r="AU1060" s="86"/>
      <c r="AV1060" s="86"/>
      <c r="AW1060" s="96" t="str">
        <f>HYPERLINK("https://t.co/VgpNwneS1C")</f>
        <v>https://t.co/VgpNwneS1C</v>
      </c>
      <c r="AX1060" s="86" t="b">
        <v>0</v>
      </c>
      <c r="AY1060" s="86"/>
      <c r="AZ1060" s="86"/>
      <c r="BA1060" s="86" t="b">
        <v>0</v>
      </c>
      <c r="BB1060" s="86" t="b">
        <v>1</v>
      </c>
      <c r="BC1060" s="86" t="b">
        <v>1</v>
      </c>
      <c r="BD1060" s="86" t="b">
        <v>0</v>
      </c>
      <c r="BE1060" s="86" t="b">
        <v>0</v>
      </c>
      <c r="BF1060" s="86" t="b">
        <v>0</v>
      </c>
      <c r="BG1060" s="86" t="b">
        <v>0</v>
      </c>
      <c r="BH1060" s="96" t="str">
        <f>HYPERLINK("https://pbs.twimg.com/profile_banners/1567946602446200834/1668710294")</f>
        <v>https://pbs.twimg.com/profile_banners/1567946602446200834/1668710294</v>
      </c>
      <c r="BI1060" s="86"/>
      <c r="BJ1060" s="86" t="s">
        <v>29134</v>
      </c>
      <c r="BK1060" s="86" t="b">
        <v>0</v>
      </c>
      <c r="BL1060" s="86"/>
      <c r="BM1060" s="86" t="s">
        <v>66</v>
      </c>
      <c r="BN1060" s="86" t="s">
        <v>29136</v>
      </c>
      <c r="BO1060" s="96" t="str">
        <f>HYPERLINK("https://twitter.com/nebulahousetech")</f>
        <v>https://twitter.com/nebulahousetech</v>
      </c>
      <c r="BP1060" s="2"/>
    </row>
    <row r="1061" spans="1:68" x14ac:dyDescent="0.25">
      <c r="A1061" s="63" t="s">
        <v>1124</v>
      </c>
      <c r="B1061" s="64"/>
      <c r="C1061" s="64"/>
      <c r="D1061" s="65"/>
      <c r="E1061" s="67"/>
      <c r="F1061" s="111" t="str">
        <f>HYPERLINK("https://pbs.twimg.com/profile_images/1402412484829581316/-baZKHRh_normal.jpg")</f>
        <v>https://pbs.twimg.com/profile_images/1402412484829581316/-baZKHRh_normal.jpg</v>
      </c>
      <c r="G1061" s="64"/>
      <c r="H1061" s="68"/>
      <c r="I1061" s="69"/>
      <c r="J1061" s="69"/>
      <c r="K1061" s="68" t="s">
        <v>30194</v>
      </c>
      <c r="L1061" s="72"/>
      <c r="M1061" s="73"/>
      <c r="N1061" s="73"/>
      <c r="O1061" s="74"/>
      <c r="P1061" s="75"/>
      <c r="Q1061" s="75"/>
      <c r="R1061" s="102"/>
      <c r="S1061" s="102"/>
      <c r="T1061" s="102"/>
      <c r="U1061" s="102"/>
      <c r="V1061" s="48"/>
      <c r="W1061" s="48"/>
      <c r="X1061" s="48"/>
      <c r="Y1061" s="48"/>
      <c r="Z1061" s="47"/>
      <c r="AA1061" s="70">
        <v>1061</v>
      </c>
      <c r="AB1061" s="70"/>
      <c r="AC1061" s="71"/>
      <c r="AD1061" s="86" t="s">
        <v>24665</v>
      </c>
      <c r="AE1061" s="94" t="s">
        <v>23311</v>
      </c>
      <c r="AF1061" s="86">
        <v>63</v>
      </c>
      <c r="AG1061" s="86">
        <v>72</v>
      </c>
      <c r="AH1061" s="86">
        <v>337</v>
      </c>
      <c r="AI1061" s="86">
        <v>0</v>
      </c>
      <c r="AJ1061" s="86">
        <v>34</v>
      </c>
      <c r="AK1061" s="86">
        <v>320</v>
      </c>
      <c r="AL1061" s="86" t="b">
        <v>0</v>
      </c>
      <c r="AM1061" s="89">
        <v>44313.696597222224</v>
      </c>
      <c r="AN1061" s="86"/>
      <c r="AO1061" s="86" t="s">
        <v>27393</v>
      </c>
      <c r="AP1061" s="96" t="str">
        <f>HYPERLINK("https://t.co/01cHTfn1nl")</f>
        <v>https://t.co/01cHTfn1nl</v>
      </c>
      <c r="AQ1061" s="96" t="str">
        <f>HYPERLINK("https://www.rotafruticulturaridedf.com.br")</f>
        <v>https://www.rotafruticulturaridedf.com.br</v>
      </c>
      <c r="AR1061" s="86" t="s">
        <v>28609</v>
      </c>
      <c r="AS1061" s="86"/>
      <c r="AT1061" s="86"/>
      <c r="AU1061" s="86"/>
      <c r="AV1061" s="86"/>
      <c r="AW1061" s="96" t="str">
        <f>HYPERLINK("https://t.co/01cHTfn1nl")</f>
        <v>https://t.co/01cHTfn1nl</v>
      </c>
      <c r="AX1061" s="86" t="b">
        <v>0</v>
      </c>
      <c r="AY1061" s="86"/>
      <c r="AZ1061" s="86"/>
      <c r="BA1061" s="86" t="b">
        <v>0</v>
      </c>
      <c r="BB1061" s="86" t="b">
        <v>1</v>
      </c>
      <c r="BC1061" s="86" t="b">
        <v>1</v>
      </c>
      <c r="BD1061" s="86" t="b">
        <v>0</v>
      </c>
      <c r="BE1061" s="86" t="b">
        <v>0</v>
      </c>
      <c r="BF1061" s="86" t="b">
        <v>0</v>
      </c>
      <c r="BG1061" s="86" t="b">
        <v>0</v>
      </c>
      <c r="BH1061" s="96" t="str">
        <f>HYPERLINK("https://pbs.twimg.com/profile_banners/1387079853195898887/1624392307")</f>
        <v>https://pbs.twimg.com/profile_banners/1387079853195898887/1624392307</v>
      </c>
      <c r="BI1061" s="86"/>
      <c r="BJ1061" s="86" t="s">
        <v>29134</v>
      </c>
      <c r="BK1061" s="86" t="b">
        <v>0</v>
      </c>
      <c r="BL1061" s="86"/>
      <c r="BM1061" s="86" t="s">
        <v>66</v>
      </c>
      <c r="BN1061" s="86" t="s">
        <v>29136</v>
      </c>
      <c r="BO1061" s="96" t="str">
        <f>HYPERLINK("https://twitter.com/rotafruticultu1")</f>
        <v>https://twitter.com/rotafruticultu1</v>
      </c>
      <c r="BP1061" s="2"/>
    </row>
    <row r="1062" spans="1:68" x14ac:dyDescent="0.25">
      <c r="A1062" s="63" t="s">
        <v>1125</v>
      </c>
      <c r="B1062" s="64"/>
      <c r="C1062" s="64"/>
      <c r="D1062" s="65"/>
      <c r="E1062" s="67"/>
      <c r="F1062" s="111" t="str">
        <f>HYPERLINK("https://pbs.twimg.com/profile_images/1518973995844001793/t8bsIYGg_normal.jpg")</f>
        <v>https://pbs.twimg.com/profile_images/1518973995844001793/t8bsIYGg_normal.jpg</v>
      </c>
      <c r="G1062" s="64"/>
      <c r="H1062" s="68"/>
      <c r="I1062" s="69"/>
      <c r="J1062" s="69"/>
      <c r="K1062" s="68" t="s">
        <v>30195</v>
      </c>
      <c r="L1062" s="72"/>
      <c r="M1062" s="73"/>
      <c r="N1062" s="73"/>
      <c r="O1062" s="74"/>
      <c r="P1062" s="75"/>
      <c r="Q1062" s="75"/>
      <c r="R1062" s="102"/>
      <c r="S1062" s="102"/>
      <c r="T1062" s="102"/>
      <c r="U1062" s="102"/>
      <c r="V1062" s="48"/>
      <c r="W1062" s="48"/>
      <c r="X1062" s="48"/>
      <c r="Y1062" s="48"/>
      <c r="Z1062" s="47"/>
      <c r="AA1062" s="70">
        <v>1062</v>
      </c>
      <c r="AB1062" s="70"/>
      <c r="AC1062" s="71"/>
      <c r="AD1062" s="86" t="s">
        <v>24666</v>
      </c>
      <c r="AE1062" s="94" t="s">
        <v>23312</v>
      </c>
      <c r="AF1062" s="86">
        <v>3</v>
      </c>
      <c r="AG1062" s="86">
        <v>30</v>
      </c>
      <c r="AH1062" s="86">
        <v>79</v>
      </c>
      <c r="AI1062" s="86">
        <v>1</v>
      </c>
      <c r="AJ1062" s="86">
        <v>4</v>
      </c>
      <c r="AK1062" s="86">
        <v>78</v>
      </c>
      <c r="AL1062" s="86" t="b">
        <v>0</v>
      </c>
      <c r="AM1062" s="89">
        <v>44677.640173611115</v>
      </c>
      <c r="AN1062" s="86"/>
      <c r="AO1062" s="86" t="s">
        <v>27394</v>
      </c>
      <c r="AP1062" s="86"/>
      <c r="AQ1062" s="86"/>
      <c r="AR1062" s="86"/>
      <c r="AS1062" s="86"/>
      <c r="AT1062" s="86"/>
      <c r="AU1062" s="86"/>
      <c r="AV1062" s="86"/>
      <c r="AW1062" s="86"/>
      <c r="AX1062" s="86" t="b">
        <v>0</v>
      </c>
      <c r="AY1062" s="86"/>
      <c r="AZ1062" s="86"/>
      <c r="BA1062" s="86" t="b">
        <v>0</v>
      </c>
      <c r="BB1062" s="86" t="b">
        <v>1</v>
      </c>
      <c r="BC1062" s="86" t="b">
        <v>1</v>
      </c>
      <c r="BD1062" s="86" t="b">
        <v>0</v>
      </c>
      <c r="BE1062" s="86" t="b">
        <v>0</v>
      </c>
      <c r="BF1062" s="86" t="b">
        <v>0</v>
      </c>
      <c r="BG1062" s="86" t="b">
        <v>0</v>
      </c>
      <c r="BH1062" s="86"/>
      <c r="BI1062" s="86"/>
      <c r="BJ1062" s="86" t="s">
        <v>29134</v>
      </c>
      <c r="BK1062" s="86" t="b">
        <v>0</v>
      </c>
      <c r="BL1062" s="86"/>
      <c r="BM1062" s="86" t="s">
        <v>66</v>
      </c>
      <c r="BN1062" s="86" t="s">
        <v>29136</v>
      </c>
      <c r="BO1062" s="96" t="str">
        <f>HYPERLINK("https://twitter.com/joaonetoupcont")</f>
        <v>https://twitter.com/joaonetoupcont</v>
      </c>
      <c r="BP1062" s="2"/>
    </row>
    <row r="1063" spans="1:68" x14ac:dyDescent="0.25">
      <c r="A1063" s="63" t="s">
        <v>1761</v>
      </c>
      <c r="B1063" s="64"/>
      <c r="C1063" s="64"/>
      <c r="D1063" s="65"/>
      <c r="E1063" s="67"/>
      <c r="F1063" s="111" t="str">
        <f>HYPERLINK("https://pbs.twimg.com/profile_images/378800000545273896/d10e3fa6bff76ddfb1660a59376072d8_normal.jpeg")</f>
        <v>https://pbs.twimg.com/profile_images/378800000545273896/d10e3fa6bff76ddfb1660a59376072d8_normal.jpeg</v>
      </c>
      <c r="G1063" s="64"/>
      <c r="H1063" s="68"/>
      <c r="I1063" s="69"/>
      <c r="J1063" s="69"/>
      <c r="K1063" s="68" t="s">
        <v>30196</v>
      </c>
      <c r="L1063" s="72"/>
      <c r="M1063" s="73"/>
      <c r="N1063" s="73"/>
      <c r="O1063" s="74"/>
      <c r="P1063" s="75"/>
      <c r="Q1063" s="75"/>
      <c r="R1063" s="102"/>
      <c r="S1063" s="102"/>
      <c r="T1063" s="102"/>
      <c r="U1063" s="102"/>
      <c r="V1063" s="48"/>
      <c r="W1063" s="48"/>
      <c r="X1063" s="48"/>
      <c r="Y1063" s="48"/>
      <c r="Z1063" s="47"/>
      <c r="AA1063" s="70">
        <v>1063</v>
      </c>
      <c r="AB1063" s="70"/>
      <c r="AC1063" s="71"/>
      <c r="AD1063" s="86" t="s">
        <v>24667</v>
      </c>
      <c r="AE1063" s="94" t="s">
        <v>25645</v>
      </c>
      <c r="AF1063" s="86">
        <v>72</v>
      </c>
      <c r="AG1063" s="86">
        <v>103</v>
      </c>
      <c r="AH1063" s="86">
        <v>558</v>
      </c>
      <c r="AI1063" s="86">
        <v>0</v>
      </c>
      <c r="AJ1063" s="86">
        <v>36</v>
      </c>
      <c r="AK1063" s="86">
        <v>10</v>
      </c>
      <c r="AL1063" s="86" t="b">
        <v>0</v>
      </c>
      <c r="AM1063" s="89">
        <v>39850.032152777778</v>
      </c>
      <c r="AN1063" s="86" t="s">
        <v>25932</v>
      </c>
      <c r="AO1063" s="86"/>
      <c r="AP1063" s="86"/>
      <c r="AQ1063" s="86"/>
      <c r="AR1063" s="86"/>
      <c r="AS1063" s="86"/>
      <c r="AT1063" s="86"/>
      <c r="AU1063" s="86"/>
      <c r="AV1063" s="86"/>
      <c r="AW1063" s="86"/>
      <c r="AX1063" s="86" t="b">
        <v>0</v>
      </c>
      <c r="AY1063" s="86"/>
      <c r="AZ1063" s="86"/>
      <c r="BA1063" s="86" t="b">
        <v>0</v>
      </c>
      <c r="BB1063" s="86" t="b">
        <v>1</v>
      </c>
      <c r="BC1063" s="86" t="b">
        <v>1</v>
      </c>
      <c r="BD1063" s="86" t="b">
        <v>0</v>
      </c>
      <c r="BE1063" s="86" t="b">
        <v>0</v>
      </c>
      <c r="BF1063" s="86" t="b">
        <v>0</v>
      </c>
      <c r="BG1063" s="86" t="b">
        <v>0</v>
      </c>
      <c r="BH1063" s="86"/>
      <c r="BI1063" s="86"/>
      <c r="BJ1063" s="86" t="s">
        <v>29134</v>
      </c>
      <c r="BK1063" s="86" t="b">
        <v>0</v>
      </c>
      <c r="BL1063" s="86"/>
      <c r="BM1063" s="86" t="s">
        <v>65</v>
      </c>
      <c r="BN1063" s="86" t="s">
        <v>29136</v>
      </c>
      <c r="BO1063" s="96" t="str">
        <f>HYPERLINK("https://twitter.com/fernandarocha")</f>
        <v>https://twitter.com/fernandarocha</v>
      </c>
      <c r="BP1063" s="2"/>
    </row>
    <row r="1064" spans="1:68" x14ac:dyDescent="0.25">
      <c r="A1064" s="63" t="s">
        <v>1762</v>
      </c>
      <c r="B1064" s="64"/>
      <c r="C1064" s="64"/>
      <c r="D1064" s="65"/>
      <c r="E1064" s="67"/>
      <c r="F1064" s="111" t="str">
        <f>HYPERLINK("https://abs.twimg.com/sticky/default_profile_images/default_profile_normal.png")</f>
        <v>https://abs.twimg.com/sticky/default_profile_images/default_profile_normal.png</v>
      </c>
      <c r="G1064" s="64"/>
      <c r="H1064" s="68"/>
      <c r="I1064" s="69"/>
      <c r="J1064" s="69"/>
      <c r="K1064" s="68" t="s">
        <v>30197</v>
      </c>
      <c r="L1064" s="72"/>
      <c r="M1064" s="73"/>
      <c r="N1064" s="73"/>
      <c r="O1064" s="74"/>
      <c r="P1064" s="75"/>
      <c r="Q1064" s="75"/>
      <c r="R1064" s="102"/>
      <c r="S1064" s="102"/>
      <c r="T1064" s="102"/>
      <c r="U1064" s="102"/>
      <c r="V1064" s="48"/>
      <c r="W1064" s="48"/>
      <c r="X1064" s="48"/>
      <c r="Y1064" s="48"/>
      <c r="Z1064" s="47"/>
      <c r="AA1064" s="70">
        <v>1064</v>
      </c>
      <c r="AB1064" s="70"/>
      <c r="AC1064" s="71"/>
      <c r="AD1064" s="86" t="s">
        <v>24668</v>
      </c>
      <c r="AE1064" s="94" t="s">
        <v>25646</v>
      </c>
      <c r="AF1064" s="86">
        <v>1</v>
      </c>
      <c r="AG1064" s="86">
        <v>2</v>
      </c>
      <c r="AH1064" s="86">
        <v>0</v>
      </c>
      <c r="AI1064" s="86">
        <v>0</v>
      </c>
      <c r="AJ1064" s="86">
        <v>0</v>
      </c>
      <c r="AK1064" s="86">
        <v>0</v>
      </c>
      <c r="AL1064" s="86" t="b">
        <v>0</v>
      </c>
      <c r="AM1064" s="89">
        <v>39831.821087962962</v>
      </c>
      <c r="AN1064" s="86"/>
      <c r="AO1064" s="86"/>
      <c r="AP1064" s="86"/>
      <c r="AQ1064" s="86"/>
      <c r="AR1064" s="86"/>
      <c r="AS1064" s="86"/>
      <c r="AT1064" s="86"/>
      <c r="AU1064" s="86"/>
      <c r="AV1064" s="86"/>
      <c r="AW1064" s="86"/>
      <c r="AX1064" s="86" t="b">
        <v>0</v>
      </c>
      <c r="AY1064" s="86"/>
      <c r="AZ1064" s="86"/>
      <c r="BA1064" s="86" t="b">
        <v>0</v>
      </c>
      <c r="BB1064" s="86" t="b">
        <v>1</v>
      </c>
      <c r="BC1064" s="86" t="b">
        <v>1</v>
      </c>
      <c r="BD1064" s="86" t="b">
        <v>1</v>
      </c>
      <c r="BE1064" s="86" t="b">
        <v>0</v>
      </c>
      <c r="BF1064" s="86" t="b">
        <v>0</v>
      </c>
      <c r="BG1064" s="86" t="b">
        <v>0</v>
      </c>
      <c r="BH1064" s="86"/>
      <c r="BI1064" s="86"/>
      <c r="BJ1064" s="86" t="s">
        <v>29134</v>
      </c>
      <c r="BK1064" s="86" t="b">
        <v>0</v>
      </c>
      <c r="BL1064" s="86"/>
      <c r="BM1064" s="86" t="s">
        <v>65</v>
      </c>
      <c r="BN1064" s="86" t="s">
        <v>29136</v>
      </c>
      <c r="BO1064" s="96" t="str">
        <f>HYPERLINK("https://twitter.com/walassi")</f>
        <v>https://twitter.com/walassi</v>
      </c>
      <c r="BP1064" s="2"/>
    </row>
    <row r="1065" spans="1:68" x14ac:dyDescent="0.25">
      <c r="A1065" s="63" t="s">
        <v>1763</v>
      </c>
      <c r="B1065" s="64"/>
      <c r="C1065" s="64"/>
      <c r="D1065" s="65"/>
      <c r="E1065" s="67"/>
      <c r="F1065" s="111" t="str">
        <f>HYPERLINK("https://pbs.twimg.com/profile_images/1528001184736415746/j5MsOmY-_normal.jpg")</f>
        <v>https://pbs.twimg.com/profile_images/1528001184736415746/j5MsOmY-_normal.jpg</v>
      </c>
      <c r="G1065" s="64"/>
      <c r="H1065" s="68"/>
      <c r="I1065" s="69"/>
      <c r="J1065" s="69"/>
      <c r="K1065" s="68" t="s">
        <v>30198</v>
      </c>
      <c r="L1065" s="72"/>
      <c r="M1065" s="73"/>
      <c r="N1065" s="73"/>
      <c r="O1065" s="74"/>
      <c r="P1065" s="75"/>
      <c r="Q1065" s="75"/>
      <c r="R1065" s="102"/>
      <c r="S1065" s="102"/>
      <c r="T1065" s="102"/>
      <c r="U1065" s="102"/>
      <c r="V1065" s="48"/>
      <c r="W1065" s="48"/>
      <c r="X1065" s="48"/>
      <c r="Y1065" s="48"/>
      <c r="Z1065" s="47"/>
      <c r="AA1065" s="70">
        <v>1065</v>
      </c>
      <c r="AB1065" s="70"/>
      <c r="AC1065" s="71"/>
      <c r="AD1065" s="86" t="s">
        <v>24669</v>
      </c>
      <c r="AE1065" s="94" t="s">
        <v>25647</v>
      </c>
      <c r="AF1065" s="86">
        <v>505</v>
      </c>
      <c r="AG1065" s="86">
        <v>76</v>
      </c>
      <c r="AH1065" s="86">
        <v>1208</v>
      </c>
      <c r="AI1065" s="86">
        <v>0</v>
      </c>
      <c r="AJ1065" s="86">
        <v>30</v>
      </c>
      <c r="AK1065" s="86">
        <v>2</v>
      </c>
      <c r="AL1065" s="86" t="b">
        <v>0</v>
      </c>
      <c r="AM1065" s="89">
        <v>41946.850127314814</v>
      </c>
      <c r="AN1065" s="86" t="s">
        <v>26256</v>
      </c>
      <c r="AO1065" s="86" t="s">
        <v>27395</v>
      </c>
      <c r="AP1065" s="96" t="str">
        <f>HYPERLINK("https://t.co/T4n0qQLyvE")</f>
        <v>https://t.co/T4n0qQLyvE</v>
      </c>
      <c r="AQ1065" s="96" t="str">
        <f>HYPERLINK("http://www.metodocoex.com.br")</f>
        <v>http://www.metodocoex.com.br</v>
      </c>
      <c r="AR1065" s="86" t="s">
        <v>28610</v>
      </c>
      <c r="AS1065" s="86"/>
      <c r="AT1065" s="86"/>
      <c r="AU1065" s="86"/>
      <c r="AV1065" s="86"/>
      <c r="AW1065" s="96" t="str">
        <f>HYPERLINK("https://t.co/T4n0qQLyvE")</f>
        <v>https://t.co/T4n0qQLyvE</v>
      </c>
      <c r="AX1065" s="86" t="b">
        <v>0</v>
      </c>
      <c r="AY1065" s="86"/>
      <c r="AZ1065" s="86"/>
      <c r="BA1065" s="86" t="b">
        <v>0</v>
      </c>
      <c r="BB1065" s="86" t="b">
        <v>1</v>
      </c>
      <c r="BC1065" s="86" t="b">
        <v>1</v>
      </c>
      <c r="BD1065" s="86" t="b">
        <v>0</v>
      </c>
      <c r="BE1065" s="86" t="b">
        <v>0</v>
      </c>
      <c r="BF1065" s="86" t="b">
        <v>0</v>
      </c>
      <c r="BG1065" s="86" t="b">
        <v>0</v>
      </c>
      <c r="BH1065" s="96" t="str">
        <f>HYPERLINK("https://pbs.twimg.com/profile_banners/2859496768/1653138857")</f>
        <v>https://pbs.twimg.com/profile_banners/2859496768/1653138857</v>
      </c>
      <c r="BI1065" s="86"/>
      <c r="BJ1065" s="86" t="s">
        <v>29134</v>
      </c>
      <c r="BK1065" s="86" t="b">
        <v>0</v>
      </c>
      <c r="BL1065" s="86"/>
      <c r="BM1065" s="86" t="s">
        <v>65</v>
      </c>
      <c r="BN1065" s="86" t="s">
        <v>29136</v>
      </c>
      <c r="BO1065" s="96" t="str">
        <f>HYPERLINK("https://twitter.com/orafaelarruda")</f>
        <v>https://twitter.com/orafaelarruda</v>
      </c>
      <c r="BP1065" s="2"/>
    </row>
    <row r="1066" spans="1:68" x14ac:dyDescent="0.25">
      <c r="A1066" s="63" t="s">
        <v>1764</v>
      </c>
      <c r="B1066" s="64"/>
      <c r="C1066" s="64"/>
      <c r="D1066" s="65"/>
      <c r="E1066" s="67"/>
      <c r="F1066" s="111" t="str">
        <f>HYPERLINK("https://pbs.twimg.com/profile_images/757277391429443584/u6X1y5-0_normal.jpg")</f>
        <v>https://pbs.twimg.com/profile_images/757277391429443584/u6X1y5-0_normal.jpg</v>
      </c>
      <c r="G1066" s="64"/>
      <c r="H1066" s="68"/>
      <c r="I1066" s="69"/>
      <c r="J1066" s="69"/>
      <c r="K1066" s="68" t="s">
        <v>30199</v>
      </c>
      <c r="L1066" s="72"/>
      <c r="M1066" s="73"/>
      <c r="N1066" s="73"/>
      <c r="O1066" s="74"/>
      <c r="P1066" s="75"/>
      <c r="Q1066" s="75"/>
      <c r="R1066" s="102"/>
      <c r="S1066" s="102"/>
      <c r="T1066" s="102"/>
      <c r="U1066" s="102"/>
      <c r="V1066" s="48"/>
      <c r="W1066" s="48"/>
      <c r="X1066" s="48"/>
      <c r="Y1066" s="48"/>
      <c r="Z1066" s="47"/>
      <c r="AA1066" s="70">
        <v>1066</v>
      </c>
      <c r="AB1066" s="70"/>
      <c r="AC1066" s="71"/>
      <c r="AD1066" s="86" t="s">
        <v>24670</v>
      </c>
      <c r="AE1066" s="94" t="s">
        <v>25648</v>
      </c>
      <c r="AF1066" s="86">
        <v>182</v>
      </c>
      <c r="AG1066" s="86">
        <v>426</v>
      </c>
      <c r="AH1066" s="86">
        <v>4323</v>
      </c>
      <c r="AI1066" s="86">
        <v>8</v>
      </c>
      <c r="AJ1066" s="86">
        <v>758</v>
      </c>
      <c r="AK1066" s="86">
        <v>20</v>
      </c>
      <c r="AL1066" s="86" t="b">
        <v>0</v>
      </c>
      <c r="AM1066" s="89">
        <v>40385.839756944442</v>
      </c>
      <c r="AN1066" s="86"/>
      <c r="AO1066" s="86" t="s">
        <v>27396</v>
      </c>
      <c r="AP1066" s="86"/>
      <c r="AQ1066" s="86"/>
      <c r="AR1066" s="86"/>
      <c r="AS1066" s="86"/>
      <c r="AT1066" s="86"/>
      <c r="AU1066" s="86"/>
      <c r="AV1066" s="86"/>
      <c r="AW1066" s="86"/>
      <c r="AX1066" s="86" t="b">
        <v>0</v>
      </c>
      <c r="AY1066" s="86"/>
      <c r="AZ1066" s="86"/>
      <c r="BA1066" s="86" t="b">
        <v>0</v>
      </c>
      <c r="BB1066" s="86" t="b">
        <v>1</v>
      </c>
      <c r="BC1066" s="86" t="b">
        <v>1</v>
      </c>
      <c r="BD1066" s="86" t="b">
        <v>0</v>
      </c>
      <c r="BE1066" s="86" t="b">
        <v>0</v>
      </c>
      <c r="BF1066" s="86" t="b">
        <v>0</v>
      </c>
      <c r="BG1066" s="86" t="b">
        <v>0</v>
      </c>
      <c r="BH1066" s="86"/>
      <c r="BI1066" s="86"/>
      <c r="BJ1066" s="86" t="s">
        <v>29134</v>
      </c>
      <c r="BK1066" s="86" t="b">
        <v>0</v>
      </c>
      <c r="BL1066" s="86"/>
      <c r="BM1066" s="86" t="s">
        <v>65</v>
      </c>
      <c r="BN1066" s="86" t="s">
        <v>29136</v>
      </c>
      <c r="BO1066" s="96" t="str">
        <f>HYPERLINK("https://twitter.com/celsomogari")</f>
        <v>https://twitter.com/celsomogari</v>
      </c>
      <c r="BP1066" s="2"/>
    </row>
    <row r="1067" spans="1:68" x14ac:dyDescent="0.25">
      <c r="A1067" s="63" t="s">
        <v>1765</v>
      </c>
      <c r="B1067" s="64"/>
      <c r="C1067" s="64"/>
      <c r="D1067" s="65"/>
      <c r="E1067" s="67"/>
      <c r="F1067" s="111" t="str">
        <f>HYPERLINK("https://pbs.twimg.com/profile_images/1471856985234710530/VdPHeDwS_normal.jpg")</f>
        <v>https://pbs.twimg.com/profile_images/1471856985234710530/VdPHeDwS_normal.jpg</v>
      </c>
      <c r="G1067" s="64"/>
      <c r="H1067" s="68"/>
      <c r="I1067" s="69"/>
      <c r="J1067" s="69"/>
      <c r="K1067" s="68" t="s">
        <v>30200</v>
      </c>
      <c r="L1067" s="72"/>
      <c r="M1067" s="73"/>
      <c r="N1067" s="73"/>
      <c r="O1067" s="74"/>
      <c r="P1067" s="75"/>
      <c r="Q1067" s="75"/>
      <c r="R1067" s="102"/>
      <c r="S1067" s="102"/>
      <c r="T1067" s="102"/>
      <c r="U1067" s="102"/>
      <c r="V1067" s="48"/>
      <c r="W1067" s="48"/>
      <c r="X1067" s="48"/>
      <c r="Y1067" s="48"/>
      <c r="Z1067" s="47"/>
      <c r="AA1067" s="70">
        <v>1067</v>
      </c>
      <c r="AB1067" s="70"/>
      <c r="AC1067" s="71"/>
      <c r="AD1067" s="86" t="s">
        <v>24671</v>
      </c>
      <c r="AE1067" s="94" t="s">
        <v>25649</v>
      </c>
      <c r="AF1067" s="86">
        <v>6</v>
      </c>
      <c r="AG1067" s="86">
        <v>0</v>
      </c>
      <c r="AH1067" s="86">
        <v>23</v>
      </c>
      <c r="AI1067" s="86">
        <v>0</v>
      </c>
      <c r="AJ1067" s="86">
        <v>0</v>
      </c>
      <c r="AK1067" s="86">
        <v>0</v>
      </c>
      <c r="AL1067" s="86" t="b">
        <v>0</v>
      </c>
      <c r="AM1067" s="89">
        <v>44547.62096064815</v>
      </c>
      <c r="AN1067" s="86"/>
      <c r="AO1067" s="86" t="s">
        <v>27397</v>
      </c>
      <c r="AP1067" s="86"/>
      <c r="AQ1067" s="86"/>
      <c r="AR1067" s="86"/>
      <c r="AS1067" s="86"/>
      <c r="AT1067" s="86"/>
      <c r="AU1067" s="86"/>
      <c r="AV1067" s="86"/>
      <c r="AW1067" s="86"/>
      <c r="AX1067" s="86" t="b">
        <v>0</v>
      </c>
      <c r="AY1067" s="86"/>
      <c r="AZ1067" s="86"/>
      <c r="BA1067" s="86" t="b">
        <v>0</v>
      </c>
      <c r="BB1067" s="86" t="b">
        <v>1</v>
      </c>
      <c r="BC1067" s="86" t="b">
        <v>1</v>
      </c>
      <c r="BD1067" s="86" t="b">
        <v>0</v>
      </c>
      <c r="BE1067" s="86" t="b">
        <v>0</v>
      </c>
      <c r="BF1067" s="86" t="b">
        <v>0</v>
      </c>
      <c r="BG1067" s="86" t="b">
        <v>0</v>
      </c>
      <c r="BH1067" s="86"/>
      <c r="BI1067" s="86"/>
      <c r="BJ1067" s="86" t="s">
        <v>29134</v>
      </c>
      <c r="BK1067" s="86" t="b">
        <v>0</v>
      </c>
      <c r="BL1067" s="86"/>
      <c r="BM1067" s="86" t="s">
        <v>65</v>
      </c>
      <c r="BN1067" s="86" t="s">
        <v>29136</v>
      </c>
      <c r="BO1067" s="96" t="str">
        <f>HYPERLINK("https://twitter.com/contadorceo")</f>
        <v>https://twitter.com/contadorceo</v>
      </c>
      <c r="BP1067" s="2"/>
    </row>
    <row r="1068" spans="1:68" x14ac:dyDescent="0.25">
      <c r="A1068" s="63" t="s">
        <v>1126</v>
      </c>
      <c r="B1068" s="64"/>
      <c r="C1068" s="64"/>
      <c r="D1068" s="65"/>
      <c r="E1068" s="67"/>
      <c r="F1068" s="111" t="str">
        <f>HYPERLINK("https://pbs.twimg.com/profile_images/1631307805318676484/iiae0JEc_normal.jpg")</f>
        <v>https://pbs.twimg.com/profile_images/1631307805318676484/iiae0JEc_normal.jpg</v>
      </c>
      <c r="G1068" s="64"/>
      <c r="H1068" s="68"/>
      <c r="I1068" s="69"/>
      <c r="J1068" s="69"/>
      <c r="K1068" s="68" t="s">
        <v>30201</v>
      </c>
      <c r="L1068" s="72"/>
      <c r="M1068" s="73"/>
      <c r="N1068" s="73"/>
      <c r="O1068" s="74"/>
      <c r="P1068" s="75"/>
      <c r="Q1068" s="75"/>
      <c r="R1068" s="102"/>
      <c r="S1068" s="102"/>
      <c r="T1068" s="102"/>
      <c r="U1068" s="102"/>
      <c r="V1068" s="48"/>
      <c r="W1068" s="48"/>
      <c r="X1068" s="48"/>
      <c r="Y1068" s="48"/>
      <c r="Z1068" s="47"/>
      <c r="AA1068" s="70">
        <v>1068</v>
      </c>
      <c r="AB1068" s="70"/>
      <c r="AC1068" s="71"/>
      <c r="AD1068" s="86" t="s">
        <v>24672</v>
      </c>
      <c r="AE1068" s="94" t="s">
        <v>23313</v>
      </c>
      <c r="AF1068" s="86">
        <v>21</v>
      </c>
      <c r="AG1068" s="86">
        <v>20</v>
      </c>
      <c r="AH1068" s="86">
        <v>617</v>
      </c>
      <c r="AI1068" s="86">
        <v>0</v>
      </c>
      <c r="AJ1068" s="86">
        <v>45</v>
      </c>
      <c r="AK1068" s="86">
        <v>609</v>
      </c>
      <c r="AL1068" s="86" t="b">
        <v>0</v>
      </c>
      <c r="AM1068" s="89">
        <v>43556.077916666669</v>
      </c>
      <c r="AN1068" s="86" t="s">
        <v>26257</v>
      </c>
      <c r="AO1068" s="86" t="s">
        <v>27398</v>
      </c>
      <c r="AP1068" s="96" t="str">
        <f>HYPERLINK("https://t.co/oo0cA1hETw")</f>
        <v>https://t.co/oo0cA1hETw</v>
      </c>
      <c r="AQ1068" s="96" t="str">
        <f>HYPERLINK("https://mla.bs/6ade314d")</f>
        <v>https://mla.bs/6ade314d</v>
      </c>
      <c r="AR1068" s="86" t="s">
        <v>28611</v>
      </c>
      <c r="AS1068" s="86"/>
      <c r="AT1068" s="86"/>
      <c r="AU1068" s="86"/>
      <c r="AV1068" s="86"/>
      <c r="AW1068" s="96" t="str">
        <f>HYPERLINK("https://t.co/oo0cA1hETw")</f>
        <v>https://t.co/oo0cA1hETw</v>
      </c>
      <c r="AX1068" s="86" t="b">
        <v>0</v>
      </c>
      <c r="AY1068" s="86"/>
      <c r="AZ1068" s="86"/>
      <c r="BA1068" s="86" t="b">
        <v>0</v>
      </c>
      <c r="BB1068" s="86" t="b">
        <v>1</v>
      </c>
      <c r="BC1068" s="86" t="b">
        <v>1</v>
      </c>
      <c r="BD1068" s="86" t="b">
        <v>0</v>
      </c>
      <c r="BE1068" s="86" t="b">
        <v>0</v>
      </c>
      <c r="BF1068" s="86" t="b">
        <v>0</v>
      </c>
      <c r="BG1068" s="86" t="b">
        <v>0</v>
      </c>
      <c r="BH1068" s="96" t="str">
        <f>HYPERLINK("https://pbs.twimg.com/profile_banners/1112533086275887104/1685714710")</f>
        <v>https://pbs.twimg.com/profile_banners/1112533086275887104/1685714710</v>
      </c>
      <c r="BI1068" s="86"/>
      <c r="BJ1068" s="86" t="s">
        <v>29134</v>
      </c>
      <c r="BK1068" s="86" t="b">
        <v>0</v>
      </c>
      <c r="BL1068" s="86"/>
      <c r="BM1068" s="86" t="s">
        <v>66</v>
      </c>
      <c r="BN1068" s="86" t="s">
        <v>29136</v>
      </c>
      <c r="BO1068" s="96" t="str">
        <f>HYPERLINK("https://twitter.com/rascunhoagencia")</f>
        <v>https://twitter.com/rascunhoagencia</v>
      </c>
      <c r="BP1068" s="2"/>
    </row>
    <row r="1069" spans="1:68" x14ac:dyDescent="0.25">
      <c r="A1069" s="63" t="s">
        <v>1127</v>
      </c>
      <c r="B1069" s="64"/>
      <c r="C1069" s="64"/>
      <c r="D1069" s="65"/>
      <c r="E1069" s="67"/>
      <c r="F1069" s="111" t="str">
        <f>HYPERLINK("https://pbs.twimg.com/profile_images/1649085749537431552/NoRRXh15_normal.jpg")</f>
        <v>https://pbs.twimg.com/profile_images/1649085749537431552/NoRRXh15_normal.jpg</v>
      </c>
      <c r="G1069" s="64"/>
      <c r="H1069" s="68"/>
      <c r="I1069" s="69"/>
      <c r="J1069" s="69"/>
      <c r="K1069" s="68" t="s">
        <v>30202</v>
      </c>
      <c r="L1069" s="72"/>
      <c r="M1069" s="73"/>
      <c r="N1069" s="73"/>
      <c r="O1069" s="74"/>
      <c r="P1069" s="75"/>
      <c r="Q1069" s="75"/>
      <c r="R1069" s="102"/>
      <c r="S1069" s="102"/>
      <c r="T1069" s="102"/>
      <c r="U1069" s="102"/>
      <c r="V1069" s="48"/>
      <c r="W1069" s="48"/>
      <c r="X1069" s="48"/>
      <c r="Y1069" s="48"/>
      <c r="Z1069" s="47"/>
      <c r="AA1069" s="70">
        <v>1069</v>
      </c>
      <c r="AB1069" s="70"/>
      <c r="AC1069" s="71"/>
      <c r="AD1069" s="86" t="s">
        <v>24673</v>
      </c>
      <c r="AE1069" s="94" t="s">
        <v>25650</v>
      </c>
      <c r="AF1069" s="86">
        <v>149</v>
      </c>
      <c r="AG1069" s="86">
        <v>91</v>
      </c>
      <c r="AH1069" s="86">
        <v>3680</v>
      </c>
      <c r="AI1069" s="86">
        <v>1</v>
      </c>
      <c r="AJ1069" s="86">
        <v>2695</v>
      </c>
      <c r="AK1069" s="86">
        <v>285</v>
      </c>
      <c r="AL1069" s="86" t="b">
        <v>0</v>
      </c>
      <c r="AM1069" s="89">
        <v>42222.037141203706</v>
      </c>
      <c r="AN1069" s="86" t="s">
        <v>25957</v>
      </c>
      <c r="AO1069" s="86" t="s">
        <v>27399</v>
      </c>
      <c r="AP1069" s="86"/>
      <c r="AQ1069" s="86"/>
      <c r="AR1069" s="86"/>
      <c r="AS1069" s="86"/>
      <c r="AT1069" s="86"/>
      <c r="AU1069" s="86"/>
      <c r="AV1069" s="86"/>
      <c r="AW1069" s="86"/>
      <c r="AX1069" s="86" t="b">
        <v>0</v>
      </c>
      <c r="AY1069" s="86"/>
      <c r="AZ1069" s="86"/>
      <c r="BA1069" s="86" t="b">
        <v>1</v>
      </c>
      <c r="BB1069" s="86" t="b">
        <v>0</v>
      </c>
      <c r="BC1069" s="86" t="b">
        <v>0</v>
      </c>
      <c r="BD1069" s="86" t="b">
        <v>0</v>
      </c>
      <c r="BE1069" s="86" t="b">
        <v>1</v>
      </c>
      <c r="BF1069" s="86" t="b">
        <v>0</v>
      </c>
      <c r="BG1069" s="86" t="b">
        <v>0</v>
      </c>
      <c r="BH1069" s="96" t="str">
        <f>HYPERLINK("https://pbs.twimg.com/profile_banners/3404988977/1640605475")</f>
        <v>https://pbs.twimg.com/profile_banners/3404988977/1640605475</v>
      </c>
      <c r="BI1069" s="86"/>
      <c r="BJ1069" s="86" t="s">
        <v>29134</v>
      </c>
      <c r="BK1069" s="86" t="b">
        <v>0</v>
      </c>
      <c r="BL1069" s="86"/>
      <c r="BM1069" s="86" t="s">
        <v>66</v>
      </c>
      <c r="BN1069" s="86" t="s">
        <v>29136</v>
      </c>
      <c r="BO1069" s="96" t="str">
        <f>HYPERLINK("https://twitter.com/anapauladahlke")</f>
        <v>https://twitter.com/anapauladahlke</v>
      </c>
      <c r="BP1069" s="2"/>
    </row>
    <row r="1070" spans="1:68" x14ac:dyDescent="0.25">
      <c r="A1070" s="63" t="s">
        <v>1128</v>
      </c>
      <c r="B1070" s="64"/>
      <c r="C1070" s="64"/>
      <c r="D1070" s="65"/>
      <c r="E1070" s="67"/>
      <c r="F1070" s="111" t="str">
        <f>HYPERLINK("https://pbs.twimg.com/profile_images/1524778842866466818/J_DiwFOW_normal.png")</f>
        <v>https://pbs.twimg.com/profile_images/1524778842866466818/J_DiwFOW_normal.png</v>
      </c>
      <c r="G1070" s="64"/>
      <c r="H1070" s="68"/>
      <c r="I1070" s="69"/>
      <c r="J1070" s="69"/>
      <c r="K1070" s="68" t="s">
        <v>30203</v>
      </c>
      <c r="L1070" s="72"/>
      <c r="M1070" s="73"/>
      <c r="N1070" s="73"/>
      <c r="O1070" s="74"/>
      <c r="P1070" s="75"/>
      <c r="Q1070" s="75"/>
      <c r="R1070" s="102"/>
      <c r="S1070" s="102"/>
      <c r="T1070" s="102"/>
      <c r="U1070" s="102"/>
      <c r="V1070" s="48"/>
      <c r="W1070" s="48"/>
      <c r="X1070" s="48"/>
      <c r="Y1070" s="48"/>
      <c r="Z1070" s="47"/>
      <c r="AA1070" s="70">
        <v>1070</v>
      </c>
      <c r="AB1070" s="70"/>
      <c r="AC1070" s="71"/>
      <c r="AD1070" s="86" t="s">
        <v>24674</v>
      </c>
      <c r="AE1070" s="94" t="s">
        <v>23314</v>
      </c>
      <c r="AF1070" s="86">
        <v>120</v>
      </c>
      <c r="AG1070" s="86">
        <v>158</v>
      </c>
      <c r="AH1070" s="86">
        <v>173</v>
      </c>
      <c r="AI1070" s="86">
        <v>0</v>
      </c>
      <c r="AJ1070" s="86">
        <v>56</v>
      </c>
      <c r="AK1070" s="86">
        <v>110</v>
      </c>
      <c r="AL1070" s="86" t="b">
        <v>0</v>
      </c>
      <c r="AM1070" s="89">
        <v>44693.659479166665</v>
      </c>
      <c r="AN1070" s="86" t="s">
        <v>26094</v>
      </c>
      <c r="AO1070" s="86" t="s">
        <v>27400</v>
      </c>
      <c r="AP1070" s="96" t="str">
        <f>HYPERLINK("https://t.co/JZhpIEkzXS")</f>
        <v>https://t.co/JZhpIEkzXS</v>
      </c>
      <c r="AQ1070" s="96" t="str">
        <f>HYPERLINK("http://www.youtube.com/nickpiercing")</f>
        <v>http://www.youtube.com/nickpiercing</v>
      </c>
      <c r="AR1070" s="86" t="s">
        <v>28612</v>
      </c>
      <c r="AS1070" s="86"/>
      <c r="AT1070" s="86"/>
      <c r="AU1070" s="86"/>
      <c r="AV1070" s="86"/>
      <c r="AW1070" s="96" t="str">
        <f>HYPERLINK("https://t.co/JZhpIEkzXS")</f>
        <v>https://t.co/JZhpIEkzXS</v>
      </c>
      <c r="AX1070" s="86" t="b">
        <v>0</v>
      </c>
      <c r="AY1070" s="86"/>
      <c r="AZ1070" s="86"/>
      <c r="BA1070" s="86" t="b">
        <v>0</v>
      </c>
      <c r="BB1070" s="86" t="b">
        <v>1</v>
      </c>
      <c r="BC1070" s="86" t="b">
        <v>1</v>
      </c>
      <c r="BD1070" s="86" t="b">
        <v>0</v>
      </c>
      <c r="BE1070" s="86" t="b">
        <v>0</v>
      </c>
      <c r="BF1070" s="86" t="b">
        <v>0</v>
      </c>
      <c r="BG1070" s="86" t="b">
        <v>0</v>
      </c>
      <c r="BH1070" s="86"/>
      <c r="BI1070" s="86"/>
      <c r="BJ1070" s="86" t="s">
        <v>29134</v>
      </c>
      <c r="BK1070" s="86" t="b">
        <v>0</v>
      </c>
      <c r="BL1070" s="86"/>
      <c r="BM1070" s="86" t="s">
        <v>66</v>
      </c>
      <c r="BN1070" s="86" t="s">
        <v>29136</v>
      </c>
      <c r="BO1070" s="96" t="str">
        <f>HYPERLINK("https://twitter.com/nick_piercing")</f>
        <v>https://twitter.com/nick_piercing</v>
      </c>
      <c r="BP1070" s="2"/>
    </row>
    <row r="1071" spans="1:68" x14ac:dyDescent="0.25">
      <c r="A1071" s="63" t="s">
        <v>1129</v>
      </c>
      <c r="B1071" s="64"/>
      <c r="C1071" s="64"/>
      <c r="D1071" s="65"/>
      <c r="E1071" s="67"/>
      <c r="F1071" s="111" t="str">
        <f>HYPERLINK("https://pbs.twimg.com/profile_images/1329525055018176515/kj6H5Rd4_normal.jpg")</f>
        <v>https://pbs.twimg.com/profile_images/1329525055018176515/kj6H5Rd4_normal.jpg</v>
      </c>
      <c r="G1071" s="64"/>
      <c r="H1071" s="68"/>
      <c r="I1071" s="69"/>
      <c r="J1071" s="69"/>
      <c r="K1071" s="68" t="s">
        <v>30204</v>
      </c>
      <c r="L1071" s="72"/>
      <c r="M1071" s="73"/>
      <c r="N1071" s="73"/>
      <c r="O1071" s="74"/>
      <c r="P1071" s="75"/>
      <c r="Q1071" s="75"/>
      <c r="R1071" s="102"/>
      <c r="S1071" s="102"/>
      <c r="T1071" s="102"/>
      <c r="U1071" s="102"/>
      <c r="V1071" s="48"/>
      <c r="W1071" s="48"/>
      <c r="X1071" s="48"/>
      <c r="Y1071" s="48"/>
      <c r="Z1071" s="47"/>
      <c r="AA1071" s="70">
        <v>1071</v>
      </c>
      <c r="AB1071" s="70"/>
      <c r="AC1071" s="71"/>
      <c r="AD1071" s="86" t="s">
        <v>24675</v>
      </c>
      <c r="AE1071" s="94" t="s">
        <v>23315</v>
      </c>
      <c r="AF1071" s="86">
        <v>4</v>
      </c>
      <c r="AG1071" s="86">
        <v>7</v>
      </c>
      <c r="AH1071" s="86">
        <v>399</v>
      </c>
      <c r="AI1071" s="86">
        <v>0</v>
      </c>
      <c r="AJ1071" s="86">
        <v>4</v>
      </c>
      <c r="AK1071" s="86">
        <v>390</v>
      </c>
      <c r="AL1071" s="86" t="b">
        <v>0</v>
      </c>
      <c r="AM1071" s="89">
        <v>43974.897847222222</v>
      </c>
      <c r="AN1071" s="86" t="s">
        <v>15378</v>
      </c>
      <c r="AO1071" s="86" t="s">
        <v>1129</v>
      </c>
      <c r="AP1071" s="96" t="str">
        <f>HYPERLINK("https://t.co/UVxNkgYG2V")</f>
        <v>https://t.co/UVxNkgYG2V</v>
      </c>
      <c r="AQ1071" s="96" t="str">
        <f>HYPERLINK("http://www.xiririca.com.br")</f>
        <v>http://www.xiririca.com.br</v>
      </c>
      <c r="AR1071" s="86" t="s">
        <v>28613</v>
      </c>
      <c r="AS1071" s="86"/>
      <c r="AT1071" s="86"/>
      <c r="AU1071" s="86"/>
      <c r="AV1071" s="86"/>
      <c r="AW1071" s="96" t="str">
        <f>HYPERLINK("https://t.co/UVxNkgYG2V")</f>
        <v>https://t.co/UVxNkgYG2V</v>
      </c>
      <c r="AX1071" s="86" t="b">
        <v>0</v>
      </c>
      <c r="AY1071" s="86"/>
      <c r="AZ1071" s="86"/>
      <c r="BA1071" s="86" t="b">
        <v>0</v>
      </c>
      <c r="BB1071" s="86" t="b">
        <v>1</v>
      </c>
      <c r="BC1071" s="86" t="b">
        <v>1</v>
      </c>
      <c r="BD1071" s="86" t="b">
        <v>0</v>
      </c>
      <c r="BE1071" s="86" t="b">
        <v>0</v>
      </c>
      <c r="BF1071" s="86" t="b">
        <v>0</v>
      </c>
      <c r="BG1071" s="86" t="b">
        <v>0</v>
      </c>
      <c r="BH1071" s="86"/>
      <c r="BI1071" s="86"/>
      <c r="BJ1071" s="86" t="s">
        <v>29134</v>
      </c>
      <c r="BK1071" s="86" t="b">
        <v>0</v>
      </c>
      <c r="BL1071" s="86"/>
      <c r="BM1071" s="86" t="s">
        <v>66</v>
      </c>
      <c r="BN1071" s="86" t="s">
        <v>29136</v>
      </c>
      <c r="BO1071" s="96" t="str">
        <f>HYPERLINK("https://twitter.com/lojaxiririca")</f>
        <v>https://twitter.com/lojaxiririca</v>
      </c>
      <c r="BP1071" s="2"/>
    </row>
    <row r="1072" spans="1:68" x14ac:dyDescent="0.25">
      <c r="A1072" s="63" t="s">
        <v>1130</v>
      </c>
      <c r="B1072" s="64"/>
      <c r="C1072" s="64"/>
      <c r="D1072" s="65"/>
      <c r="E1072" s="67"/>
      <c r="F1072" s="111" t="str">
        <f>HYPERLINK("https://pbs.twimg.com/profile_images/1685997877863022592/905UrJo2_normal.jpg")</f>
        <v>https://pbs.twimg.com/profile_images/1685997877863022592/905UrJo2_normal.jpg</v>
      </c>
      <c r="G1072" s="64"/>
      <c r="H1072" s="68"/>
      <c r="I1072" s="69"/>
      <c r="J1072" s="69"/>
      <c r="K1072" s="68" t="s">
        <v>30205</v>
      </c>
      <c r="L1072" s="72"/>
      <c r="M1072" s="73"/>
      <c r="N1072" s="73"/>
      <c r="O1072" s="74"/>
      <c r="P1072" s="75"/>
      <c r="Q1072" s="75"/>
      <c r="R1072" s="102"/>
      <c r="S1072" s="102"/>
      <c r="T1072" s="102"/>
      <c r="U1072" s="102"/>
      <c r="V1072" s="48"/>
      <c r="W1072" s="48"/>
      <c r="X1072" s="48"/>
      <c r="Y1072" s="48"/>
      <c r="Z1072" s="47"/>
      <c r="AA1072" s="70">
        <v>1072</v>
      </c>
      <c r="AB1072" s="70"/>
      <c r="AC1072" s="71"/>
      <c r="AD1072" s="86" t="s">
        <v>24676</v>
      </c>
      <c r="AE1072" s="94" t="s">
        <v>23316</v>
      </c>
      <c r="AF1072" s="86">
        <v>51</v>
      </c>
      <c r="AG1072" s="86">
        <v>68</v>
      </c>
      <c r="AH1072" s="86">
        <v>25</v>
      </c>
      <c r="AI1072" s="86">
        <v>0</v>
      </c>
      <c r="AJ1072" s="86">
        <v>3</v>
      </c>
      <c r="AK1072" s="86">
        <v>16</v>
      </c>
      <c r="AL1072" s="86" t="b">
        <v>0</v>
      </c>
      <c r="AM1072" s="89">
        <v>43609.567800925928</v>
      </c>
      <c r="AN1072" s="86"/>
      <c r="AO1072" s="86" t="s">
        <v>27401</v>
      </c>
      <c r="AP1072" s="96" t="str">
        <f>HYPERLINK("https://t.co/RHvhwRR1pA")</f>
        <v>https://t.co/RHvhwRR1pA</v>
      </c>
      <c r="AQ1072" s="96" t="str">
        <f>HYPERLINK("https://ig.rdstation.com/sistemaischolar")</f>
        <v>https://ig.rdstation.com/sistemaischolar</v>
      </c>
      <c r="AR1072" s="86" t="s">
        <v>28614</v>
      </c>
      <c r="AS1072" s="86"/>
      <c r="AT1072" s="86"/>
      <c r="AU1072" s="86"/>
      <c r="AV1072" s="86"/>
      <c r="AW1072" s="96" t="str">
        <f>HYPERLINK("https://t.co/RHvhwRR1pA")</f>
        <v>https://t.co/RHvhwRR1pA</v>
      </c>
      <c r="AX1072" s="86" t="b">
        <v>0</v>
      </c>
      <c r="AY1072" s="86"/>
      <c r="AZ1072" s="86"/>
      <c r="BA1072" s="86" t="b">
        <v>0</v>
      </c>
      <c r="BB1072" s="86" t="b">
        <v>0</v>
      </c>
      <c r="BC1072" s="86" t="b">
        <v>1</v>
      </c>
      <c r="BD1072" s="86" t="b">
        <v>0</v>
      </c>
      <c r="BE1072" s="86" t="b">
        <v>0</v>
      </c>
      <c r="BF1072" s="86" t="b">
        <v>0</v>
      </c>
      <c r="BG1072" s="86" t="b">
        <v>0</v>
      </c>
      <c r="BH1072" s="96" t="str">
        <f>HYPERLINK("https://pbs.twimg.com/profile_banners/1131917170131263489/1690808195")</f>
        <v>https://pbs.twimg.com/profile_banners/1131917170131263489/1690808195</v>
      </c>
      <c r="BI1072" s="86"/>
      <c r="BJ1072" s="86" t="s">
        <v>29134</v>
      </c>
      <c r="BK1072" s="86" t="b">
        <v>0</v>
      </c>
      <c r="BL1072" s="86"/>
      <c r="BM1072" s="86" t="s">
        <v>66</v>
      </c>
      <c r="BN1072" s="86" t="s">
        <v>29136</v>
      </c>
      <c r="BO1072" s="96" t="str">
        <f>HYPERLINK("https://twitter.com/sistemaischolar")</f>
        <v>https://twitter.com/sistemaischolar</v>
      </c>
      <c r="BP1072" s="2"/>
    </row>
    <row r="1073" spans="1:68" x14ac:dyDescent="0.25">
      <c r="A1073" s="63" t="s">
        <v>1131</v>
      </c>
      <c r="B1073" s="64"/>
      <c r="C1073" s="64"/>
      <c r="D1073" s="65"/>
      <c r="E1073" s="67"/>
      <c r="F1073" s="111" t="str">
        <f>HYPERLINK("https://pbs.twimg.com/profile_images/1643597443882164224/y2s6cgQ5_normal.png")</f>
        <v>https://pbs.twimg.com/profile_images/1643597443882164224/y2s6cgQ5_normal.png</v>
      </c>
      <c r="G1073" s="64"/>
      <c r="H1073" s="68"/>
      <c r="I1073" s="69"/>
      <c r="J1073" s="69"/>
      <c r="K1073" s="68" t="s">
        <v>30206</v>
      </c>
      <c r="L1073" s="72"/>
      <c r="M1073" s="73"/>
      <c r="N1073" s="73"/>
      <c r="O1073" s="74"/>
      <c r="P1073" s="75"/>
      <c r="Q1073" s="75"/>
      <c r="R1073" s="102"/>
      <c r="S1073" s="102"/>
      <c r="T1073" s="102"/>
      <c r="U1073" s="102"/>
      <c r="V1073" s="48"/>
      <c r="W1073" s="48"/>
      <c r="X1073" s="48"/>
      <c r="Y1073" s="48"/>
      <c r="Z1073" s="47"/>
      <c r="AA1073" s="70">
        <v>1073</v>
      </c>
      <c r="AB1073" s="70"/>
      <c r="AC1073" s="71"/>
      <c r="AD1073" s="86" t="s">
        <v>24677</v>
      </c>
      <c r="AE1073" s="94" t="s">
        <v>23317</v>
      </c>
      <c r="AF1073" s="86">
        <v>137</v>
      </c>
      <c r="AG1073" s="86">
        <v>90</v>
      </c>
      <c r="AH1073" s="86">
        <v>781</v>
      </c>
      <c r="AI1073" s="86">
        <v>51</v>
      </c>
      <c r="AJ1073" s="86">
        <v>41</v>
      </c>
      <c r="AK1073" s="86">
        <v>328</v>
      </c>
      <c r="AL1073" s="86" t="b">
        <v>0</v>
      </c>
      <c r="AM1073" s="89">
        <v>42446.591921296298</v>
      </c>
      <c r="AN1073" s="86" t="s">
        <v>15234</v>
      </c>
      <c r="AO1073" s="86" t="s">
        <v>27402</v>
      </c>
      <c r="AP1073" s="96" t="str">
        <f>HYPERLINK("https://t.co/gw3himF1DK")</f>
        <v>https://t.co/gw3himF1DK</v>
      </c>
      <c r="AQ1073" s="96" t="str">
        <f>HYPERLINK("http://www.tropicalhub.co/")</f>
        <v>http://www.tropicalhub.co/</v>
      </c>
      <c r="AR1073" s="86" t="s">
        <v>28615</v>
      </c>
      <c r="AS1073" s="86"/>
      <c r="AT1073" s="86"/>
      <c r="AU1073" s="86"/>
      <c r="AV1073" s="86"/>
      <c r="AW1073" s="96" t="str">
        <f>HYPERLINK("https://t.co/gw3himF1DK")</f>
        <v>https://t.co/gw3himF1DK</v>
      </c>
      <c r="AX1073" s="86" t="b">
        <v>0</v>
      </c>
      <c r="AY1073" s="86"/>
      <c r="AZ1073" s="86"/>
      <c r="BA1073" s="86" t="b">
        <v>0</v>
      </c>
      <c r="BB1073" s="86" t="b">
        <v>1</v>
      </c>
      <c r="BC1073" s="86" t="b">
        <v>0</v>
      </c>
      <c r="BD1073" s="86" t="b">
        <v>0</v>
      </c>
      <c r="BE1073" s="86" t="b">
        <v>0</v>
      </c>
      <c r="BF1073" s="86" t="b">
        <v>0</v>
      </c>
      <c r="BG1073" s="86" t="b">
        <v>0</v>
      </c>
      <c r="BH1073" s="96" t="str">
        <f>HYPERLINK("https://pbs.twimg.com/profile_banners/710468825393864704/1680699143")</f>
        <v>https://pbs.twimg.com/profile_banners/710468825393864704/1680699143</v>
      </c>
      <c r="BI1073" s="86"/>
      <c r="BJ1073" s="86" t="s">
        <v>29134</v>
      </c>
      <c r="BK1073" s="86" t="b">
        <v>0</v>
      </c>
      <c r="BL1073" s="86"/>
      <c r="BM1073" s="86" t="s">
        <v>66</v>
      </c>
      <c r="BN1073" s="86" t="s">
        <v>29136</v>
      </c>
      <c r="BO1073" s="96" t="str">
        <f>HYPERLINK("https://twitter.com/tropicalhub")</f>
        <v>https://twitter.com/tropicalhub</v>
      </c>
      <c r="BP1073" s="2"/>
    </row>
    <row r="1074" spans="1:68" x14ac:dyDescent="0.25">
      <c r="A1074" s="63" t="s">
        <v>1132</v>
      </c>
      <c r="B1074" s="64"/>
      <c r="C1074" s="64"/>
      <c r="D1074" s="65"/>
      <c r="E1074" s="67"/>
      <c r="F1074" s="111" t="str">
        <f>HYPERLINK("https://pbs.twimg.com/profile_images/1191007164413939713/HMxjIFVF_normal.jpg")</f>
        <v>https://pbs.twimg.com/profile_images/1191007164413939713/HMxjIFVF_normal.jpg</v>
      </c>
      <c r="G1074" s="64"/>
      <c r="H1074" s="68"/>
      <c r="I1074" s="69"/>
      <c r="J1074" s="69"/>
      <c r="K1074" s="68" t="s">
        <v>30207</v>
      </c>
      <c r="L1074" s="72"/>
      <c r="M1074" s="73"/>
      <c r="N1074" s="73"/>
      <c r="O1074" s="74"/>
      <c r="P1074" s="75"/>
      <c r="Q1074" s="75"/>
      <c r="R1074" s="102"/>
      <c r="S1074" s="102"/>
      <c r="T1074" s="102"/>
      <c r="U1074" s="102"/>
      <c r="V1074" s="48"/>
      <c r="W1074" s="48"/>
      <c r="X1074" s="48"/>
      <c r="Y1074" s="48"/>
      <c r="Z1074" s="47"/>
      <c r="AA1074" s="70">
        <v>1074</v>
      </c>
      <c r="AB1074" s="70"/>
      <c r="AC1074" s="71"/>
      <c r="AD1074" s="86" t="s">
        <v>24678</v>
      </c>
      <c r="AE1074" s="94" t="s">
        <v>23318</v>
      </c>
      <c r="AF1074" s="86">
        <v>473</v>
      </c>
      <c r="AG1074" s="86">
        <v>128</v>
      </c>
      <c r="AH1074" s="86">
        <v>7679</v>
      </c>
      <c r="AI1074" s="86">
        <v>5</v>
      </c>
      <c r="AJ1074" s="86">
        <v>159</v>
      </c>
      <c r="AK1074" s="86">
        <v>729</v>
      </c>
      <c r="AL1074" s="86" t="b">
        <v>0</v>
      </c>
      <c r="AM1074" s="89">
        <v>43771.831354166665</v>
      </c>
      <c r="AN1074" s="86" t="s">
        <v>26077</v>
      </c>
      <c r="AO1074" s="86" t="s">
        <v>27403</v>
      </c>
      <c r="AP1074" s="96" t="str">
        <f>HYPERLINK("https://t.co/rdLUxvLK2c")</f>
        <v>https://t.co/rdLUxvLK2c</v>
      </c>
      <c r="AQ1074" s="96" t="str">
        <f>HYPERLINK("http://economiasc.com")</f>
        <v>http://economiasc.com</v>
      </c>
      <c r="AR1074" s="86" t="s">
        <v>8503</v>
      </c>
      <c r="AS1074" s="86"/>
      <c r="AT1074" s="86"/>
      <c r="AU1074" s="86"/>
      <c r="AV1074" s="86">
        <v>1.25727326082528E+18</v>
      </c>
      <c r="AW1074" s="96" t="str">
        <f>HYPERLINK("https://t.co/rdLUxvLK2c")</f>
        <v>https://t.co/rdLUxvLK2c</v>
      </c>
      <c r="AX1074" s="86" t="b">
        <v>0</v>
      </c>
      <c r="AY1074" s="86"/>
      <c r="AZ1074" s="86"/>
      <c r="BA1074" s="86" t="b">
        <v>0</v>
      </c>
      <c r="BB1074" s="86" t="b">
        <v>1</v>
      </c>
      <c r="BC1074" s="86" t="b">
        <v>1</v>
      </c>
      <c r="BD1074" s="86" t="b">
        <v>0</v>
      </c>
      <c r="BE1074" s="86" t="b">
        <v>0</v>
      </c>
      <c r="BF1074" s="86" t="b">
        <v>0</v>
      </c>
      <c r="BG1074" s="86" t="b">
        <v>0</v>
      </c>
      <c r="BH1074" s="96" t="str">
        <f>HYPERLINK("https://pbs.twimg.com/profile_banners/1190719482794303488/1586957704")</f>
        <v>https://pbs.twimg.com/profile_banners/1190719482794303488/1586957704</v>
      </c>
      <c r="BI1074" s="86"/>
      <c r="BJ1074" s="86" t="s">
        <v>29134</v>
      </c>
      <c r="BK1074" s="86" t="b">
        <v>0</v>
      </c>
      <c r="BL1074" s="86"/>
      <c r="BM1074" s="86" t="s">
        <v>66</v>
      </c>
      <c r="BN1074" s="86" t="s">
        <v>29136</v>
      </c>
      <c r="BO1074" s="96" t="str">
        <f>HYPERLINK("https://twitter.com/economiasc1")</f>
        <v>https://twitter.com/economiasc1</v>
      </c>
      <c r="BP1074" s="2"/>
    </row>
    <row r="1075" spans="1:68" x14ac:dyDescent="0.25">
      <c r="A1075" s="63" t="s">
        <v>1133</v>
      </c>
      <c r="B1075" s="64"/>
      <c r="C1075" s="64"/>
      <c r="D1075" s="65"/>
      <c r="E1075" s="67"/>
      <c r="F1075" s="111" t="str">
        <f>HYPERLINK("https://pbs.twimg.com/profile_images/1587458923707113473/wo712Rvj_normal.jpg")</f>
        <v>https://pbs.twimg.com/profile_images/1587458923707113473/wo712Rvj_normal.jpg</v>
      </c>
      <c r="G1075" s="64"/>
      <c r="H1075" s="68"/>
      <c r="I1075" s="69"/>
      <c r="J1075" s="69"/>
      <c r="K1075" s="68" t="s">
        <v>30208</v>
      </c>
      <c r="L1075" s="72"/>
      <c r="M1075" s="73"/>
      <c r="N1075" s="73"/>
      <c r="O1075" s="74"/>
      <c r="P1075" s="75"/>
      <c r="Q1075" s="75"/>
      <c r="R1075" s="102"/>
      <c r="S1075" s="102"/>
      <c r="T1075" s="102"/>
      <c r="U1075" s="102"/>
      <c r="V1075" s="48"/>
      <c r="W1075" s="48"/>
      <c r="X1075" s="48"/>
      <c r="Y1075" s="48"/>
      <c r="Z1075" s="47"/>
      <c r="AA1075" s="70">
        <v>1075</v>
      </c>
      <c r="AB1075" s="70"/>
      <c r="AC1075" s="71"/>
      <c r="AD1075" s="86" t="s">
        <v>24679</v>
      </c>
      <c r="AE1075" s="94" t="s">
        <v>23319</v>
      </c>
      <c r="AF1075" s="86">
        <v>2</v>
      </c>
      <c r="AG1075" s="86">
        <v>2</v>
      </c>
      <c r="AH1075" s="86">
        <v>143</v>
      </c>
      <c r="AI1075" s="86">
        <v>0</v>
      </c>
      <c r="AJ1075" s="86">
        <v>1</v>
      </c>
      <c r="AK1075" s="86">
        <v>142</v>
      </c>
      <c r="AL1075" s="86" t="b">
        <v>0</v>
      </c>
      <c r="AM1075" s="89">
        <v>44866.622372685182</v>
      </c>
      <c r="AN1075" s="86"/>
      <c r="AO1075" s="86" t="s">
        <v>27404</v>
      </c>
      <c r="AP1075" s="86"/>
      <c r="AQ1075" s="86"/>
      <c r="AR1075" s="86"/>
      <c r="AS1075" s="86"/>
      <c r="AT1075" s="86"/>
      <c r="AU1075" s="86"/>
      <c r="AV1075" s="86"/>
      <c r="AW1075" s="86"/>
      <c r="AX1075" s="86" t="b">
        <v>0</v>
      </c>
      <c r="AY1075" s="86"/>
      <c r="AZ1075" s="86"/>
      <c r="BA1075" s="86" t="b">
        <v>0</v>
      </c>
      <c r="BB1075" s="86" t="b">
        <v>1</v>
      </c>
      <c r="BC1075" s="86" t="b">
        <v>1</v>
      </c>
      <c r="BD1075" s="86" t="b">
        <v>0</v>
      </c>
      <c r="BE1075" s="86" t="b">
        <v>0</v>
      </c>
      <c r="BF1075" s="86" t="b">
        <v>0</v>
      </c>
      <c r="BG1075" s="86" t="b">
        <v>0</v>
      </c>
      <c r="BH1075" s="96" t="str">
        <f>HYPERLINK("https://pbs.twimg.com/profile_banners/1587458419446976512/1667314890")</f>
        <v>https://pbs.twimg.com/profile_banners/1587458419446976512/1667314890</v>
      </c>
      <c r="BI1075" s="86"/>
      <c r="BJ1075" s="86" t="s">
        <v>29134</v>
      </c>
      <c r="BK1075" s="86" t="b">
        <v>0</v>
      </c>
      <c r="BL1075" s="86"/>
      <c r="BM1075" s="86" t="s">
        <v>66</v>
      </c>
      <c r="BN1075" s="86" t="s">
        <v>29136</v>
      </c>
      <c r="BO1075" s="96" t="str">
        <f>HYPERLINK("https://twitter.com/fcqadvogados")</f>
        <v>https://twitter.com/fcqadvogados</v>
      </c>
      <c r="BP1075" s="2"/>
    </row>
    <row r="1076" spans="1:68" x14ac:dyDescent="0.25">
      <c r="A1076" s="63" t="s">
        <v>1134</v>
      </c>
      <c r="B1076" s="64"/>
      <c r="C1076" s="64"/>
      <c r="D1076" s="65"/>
      <c r="E1076" s="67"/>
      <c r="F1076" s="111" t="str">
        <f>HYPERLINK("https://pbs.twimg.com/profile_images/1656356732245889025/ukFeKhCa_normal.jpg")</f>
        <v>https://pbs.twimg.com/profile_images/1656356732245889025/ukFeKhCa_normal.jpg</v>
      </c>
      <c r="G1076" s="64"/>
      <c r="H1076" s="68"/>
      <c r="I1076" s="69"/>
      <c r="J1076" s="69"/>
      <c r="K1076" s="68" t="s">
        <v>30209</v>
      </c>
      <c r="L1076" s="72"/>
      <c r="M1076" s="73"/>
      <c r="N1076" s="73"/>
      <c r="O1076" s="74"/>
      <c r="P1076" s="75"/>
      <c r="Q1076" s="75"/>
      <c r="R1076" s="102"/>
      <c r="S1076" s="102"/>
      <c r="T1076" s="102"/>
      <c r="U1076" s="102"/>
      <c r="V1076" s="48"/>
      <c r="W1076" s="48"/>
      <c r="X1076" s="48"/>
      <c r="Y1076" s="48"/>
      <c r="Z1076" s="47"/>
      <c r="AA1076" s="70">
        <v>1076</v>
      </c>
      <c r="AB1076" s="70"/>
      <c r="AC1076" s="71"/>
      <c r="AD1076" s="86" t="s">
        <v>24680</v>
      </c>
      <c r="AE1076" s="94" t="s">
        <v>23320</v>
      </c>
      <c r="AF1076" s="86">
        <v>2</v>
      </c>
      <c r="AG1076" s="86">
        <v>21</v>
      </c>
      <c r="AH1076" s="86">
        <v>15</v>
      </c>
      <c r="AI1076" s="86">
        <v>0</v>
      </c>
      <c r="AJ1076" s="86">
        <v>44</v>
      </c>
      <c r="AK1076" s="86">
        <v>2</v>
      </c>
      <c r="AL1076" s="86" t="b">
        <v>0</v>
      </c>
      <c r="AM1076" s="89">
        <v>45056.743842592594</v>
      </c>
      <c r="AN1076" s="86"/>
      <c r="AO1076" s="86"/>
      <c r="AP1076" s="86"/>
      <c r="AQ1076" s="86"/>
      <c r="AR1076" s="86"/>
      <c r="AS1076" s="86"/>
      <c r="AT1076" s="86"/>
      <c r="AU1076" s="86"/>
      <c r="AV1076" s="86"/>
      <c r="AW1076" s="86"/>
      <c r="AX1076" s="86" t="b">
        <v>0</v>
      </c>
      <c r="AY1076" s="86"/>
      <c r="AZ1076" s="86"/>
      <c r="BA1076" s="86" t="b">
        <v>0</v>
      </c>
      <c r="BB1076" s="86" t="b">
        <v>1</v>
      </c>
      <c r="BC1076" s="86" t="b">
        <v>1</v>
      </c>
      <c r="BD1076" s="86" t="b">
        <v>0</v>
      </c>
      <c r="BE1076" s="86" t="b">
        <v>0</v>
      </c>
      <c r="BF1076" s="86" t="b">
        <v>0</v>
      </c>
      <c r="BG1076" s="86" t="b">
        <v>0</v>
      </c>
      <c r="BH1076" s="86"/>
      <c r="BI1076" s="86"/>
      <c r="BJ1076" s="86" t="s">
        <v>29134</v>
      </c>
      <c r="BK1076" s="86" t="b">
        <v>0</v>
      </c>
      <c r="BL1076" s="86"/>
      <c r="BM1076" s="86" t="s">
        <v>66</v>
      </c>
      <c r="BN1076" s="86" t="s">
        <v>29136</v>
      </c>
      <c r="BO1076" s="96" t="str">
        <f>HYPERLINK("https://twitter.com/aires_nunes")</f>
        <v>https://twitter.com/aires_nunes</v>
      </c>
      <c r="BP1076" s="2"/>
    </row>
    <row r="1077" spans="1:68" x14ac:dyDescent="0.25">
      <c r="A1077" s="63" t="s">
        <v>1135</v>
      </c>
      <c r="B1077" s="64"/>
      <c r="C1077" s="64"/>
      <c r="D1077" s="65"/>
      <c r="E1077" s="67"/>
      <c r="F1077" s="111" t="str">
        <f>HYPERLINK("https://pbs.twimg.com/profile_images/1678110470731972608/UEXw-EL2_normal.jpg")</f>
        <v>https://pbs.twimg.com/profile_images/1678110470731972608/UEXw-EL2_normal.jpg</v>
      </c>
      <c r="G1077" s="64"/>
      <c r="H1077" s="68"/>
      <c r="I1077" s="69"/>
      <c r="J1077" s="69"/>
      <c r="K1077" s="68" t="s">
        <v>30210</v>
      </c>
      <c r="L1077" s="72"/>
      <c r="M1077" s="73"/>
      <c r="N1077" s="73"/>
      <c r="O1077" s="74"/>
      <c r="P1077" s="75"/>
      <c r="Q1077" s="75"/>
      <c r="R1077" s="102"/>
      <c r="S1077" s="102"/>
      <c r="T1077" s="102"/>
      <c r="U1077" s="102"/>
      <c r="V1077" s="48"/>
      <c r="W1077" s="48"/>
      <c r="X1077" s="48"/>
      <c r="Y1077" s="48"/>
      <c r="Z1077" s="47"/>
      <c r="AA1077" s="70">
        <v>1077</v>
      </c>
      <c r="AB1077" s="70"/>
      <c r="AC1077" s="71"/>
      <c r="AD1077" s="86" t="s">
        <v>24681</v>
      </c>
      <c r="AE1077" s="94" t="s">
        <v>23321</v>
      </c>
      <c r="AF1077" s="86">
        <v>334</v>
      </c>
      <c r="AG1077" s="86">
        <v>751</v>
      </c>
      <c r="AH1077" s="86">
        <v>410</v>
      </c>
      <c r="AI1077" s="86">
        <v>1</v>
      </c>
      <c r="AJ1077" s="86">
        <v>409</v>
      </c>
      <c r="AK1077" s="86">
        <v>295</v>
      </c>
      <c r="AL1077" s="86" t="b">
        <v>0</v>
      </c>
      <c r="AM1077" s="89">
        <v>44775.641724537039</v>
      </c>
      <c r="AN1077" s="86" t="s">
        <v>26056</v>
      </c>
      <c r="AO1077" s="86" t="s">
        <v>27405</v>
      </c>
      <c r="AP1077" s="96" t="str">
        <f>HYPERLINK("https://t.co/sayboTdYk6")</f>
        <v>https://t.co/sayboTdYk6</v>
      </c>
      <c r="AQ1077" s="96" t="str">
        <f>HYPERLINK("http://www.sisangola.com")</f>
        <v>http://www.sisangola.com</v>
      </c>
      <c r="AR1077" s="86" t="s">
        <v>28616</v>
      </c>
      <c r="AS1077" s="86"/>
      <c r="AT1077" s="86"/>
      <c r="AU1077" s="86"/>
      <c r="AV1077" s="86"/>
      <c r="AW1077" s="96" t="str">
        <f>HYPERLINK("https://t.co/sayboTdYk6")</f>
        <v>https://t.co/sayboTdYk6</v>
      </c>
      <c r="AX1077" s="86" t="b">
        <v>0</v>
      </c>
      <c r="AY1077" s="86"/>
      <c r="AZ1077" s="86"/>
      <c r="BA1077" s="86" t="b">
        <v>0</v>
      </c>
      <c r="BB1077" s="86" t="b">
        <v>1</v>
      </c>
      <c r="BC1077" s="86" t="b">
        <v>1</v>
      </c>
      <c r="BD1077" s="86" t="b">
        <v>0</v>
      </c>
      <c r="BE1077" s="86" t="b">
        <v>0</v>
      </c>
      <c r="BF1077" s="86" t="b">
        <v>0</v>
      </c>
      <c r="BG1077" s="86" t="b">
        <v>0</v>
      </c>
      <c r="BH1077" s="96" t="str">
        <f>HYPERLINK("https://pbs.twimg.com/profile_banners/1554487994610028545/1669821860")</f>
        <v>https://pbs.twimg.com/profile_banners/1554487994610028545/1669821860</v>
      </c>
      <c r="BI1077" s="86"/>
      <c r="BJ1077" s="86" t="s">
        <v>29134</v>
      </c>
      <c r="BK1077" s="86" t="b">
        <v>0</v>
      </c>
      <c r="BL1077" s="86"/>
      <c r="BM1077" s="86" t="s">
        <v>66</v>
      </c>
      <c r="BN1077" s="86" t="s">
        <v>29136</v>
      </c>
      <c r="BO1077" s="96" t="str">
        <f>HYPERLINK("https://twitter.com/domingo36416058")</f>
        <v>https://twitter.com/domingo36416058</v>
      </c>
      <c r="BP1077" s="2"/>
    </row>
    <row r="1078" spans="1:68" x14ac:dyDescent="0.25">
      <c r="A1078" s="63" t="s">
        <v>1136</v>
      </c>
      <c r="B1078" s="64"/>
      <c r="C1078" s="64"/>
      <c r="D1078" s="65"/>
      <c r="E1078" s="67"/>
      <c r="F1078" s="111" t="str">
        <f>HYPERLINK("https://pbs.twimg.com/profile_images/1382017656103002114/Z5GVr1b4_normal.jpg")</f>
        <v>https://pbs.twimg.com/profile_images/1382017656103002114/Z5GVr1b4_normal.jpg</v>
      </c>
      <c r="G1078" s="64"/>
      <c r="H1078" s="68"/>
      <c r="I1078" s="69"/>
      <c r="J1078" s="69"/>
      <c r="K1078" s="68" t="s">
        <v>30211</v>
      </c>
      <c r="L1078" s="72"/>
      <c r="M1078" s="73"/>
      <c r="N1078" s="73"/>
      <c r="O1078" s="74"/>
      <c r="P1078" s="75"/>
      <c r="Q1078" s="75"/>
      <c r="R1078" s="102"/>
      <c r="S1078" s="102"/>
      <c r="T1078" s="102"/>
      <c r="U1078" s="102"/>
      <c r="V1078" s="48"/>
      <c r="W1078" s="48"/>
      <c r="X1078" s="48"/>
      <c r="Y1078" s="48"/>
      <c r="Z1078" s="47"/>
      <c r="AA1078" s="70">
        <v>1078</v>
      </c>
      <c r="AB1078" s="70"/>
      <c r="AC1078" s="71"/>
      <c r="AD1078" s="86" t="s">
        <v>24682</v>
      </c>
      <c r="AE1078" s="94" t="s">
        <v>23322</v>
      </c>
      <c r="AF1078" s="86">
        <v>17</v>
      </c>
      <c r="AG1078" s="86">
        <v>4</v>
      </c>
      <c r="AH1078" s="86">
        <v>2137</v>
      </c>
      <c r="AI1078" s="86">
        <v>0</v>
      </c>
      <c r="AJ1078" s="86">
        <v>151</v>
      </c>
      <c r="AK1078" s="86">
        <v>1</v>
      </c>
      <c r="AL1078" s="86" t="b">
        <v>0</v>
      </c>
      <c r="AM1078" s="89">
        <v>44299.712627314817</v>
      </c>
      <c r="AN1078" s="86"/>
      <c r="AO1078" s="86" t="s">
        <v>27406</v>
      </c>
      <c r="AP1078" s="86"/>
      <c r="AQ1078" s="86"/>
      <c r="AR1078" s="86"/>
      <c r="AS1078" s="86"/>
      <c r="AT1078" s="86"/>
      <c r="AU1078" s="86"/>
      <c r="AV1078" s="86">
        <v>1.4377817661237901E+18</v>
      </c>
      <c r="AW1078" s="86"/>
      <c r="AX1078" s="86" t="b">
        <v>0</v>
      </c>
      <c r="AY1078" s="86"/>
      <c r="AZ1078" s="86"/>
      <c r="BA1078" s="86" t="b">
        <v>0</v>
      </c>
      <c r="BB1078" s="86" t="b">
        <v>1</v>
      </c>
      <c r="BC1078" s="86" t="b">
        <v>1</v>
      </c>
      <c r="BD1078" s="86" t="b">
        <v>0</v>
      </c>
      <c r="BE1078" s="86" t="b">
        <v>0</v>
      </c>
      <c r="BF1078" s="86" t="b">
        <v>0</v>
      </c>
      <c r="BG1078" s="86" t="b">
        <v>0</v>
      </c>
      <c r="BH1078" s="86"/>
      <c r="BI1078" s="86"/>
      <c r="BJ1078" s="86" t="s">
        <v>29134</v>
      </c>
      <c r="BK1078" s="86" t="b">
        <v>0</v>
      </c>
      <c r="BL1078" s="86"/>
      <c r="BM1078" s="86" t="s">
        <v>66</v>
      </c>
      <c r="BN1078" s="86" t="s">
        <v>29136</v>
      </c>
      <c r="BO1078" s="96" t="str">
        <f>HYPERLINK("https://twitter.com/empresasjornal")</f>
        <v>https://twitter.com/empresasjornal</v>
      </c>
      <c r="BP1078" s="2"/>
    </row>
    <row r="1079" spans="1:68" x14ac:dyDescent="0.25">
      <c r="A1079" s="63" t="s">
        <v>1137</v>
      </c>
      <c r="B1079" s="64"/>
      <c r="C1079" s="64"/>
      <c r="D1079" s="65"/>
      <c r="E1079" s="67"/>
      <c r="F1079" s="111" t="str">
        <f>HYPERLINK("https://pbs.twimg.com/profile_images/1691148464816533518/ofoJx0se_normal.jpg")</f>
        <v>https://pbs.twimg.com/profile_images/1691148464816533518/ofoJx0se_normal.jpg</v>
      </c>
      <c r="G1079" s="64"/>
      <c r="H1079" s="68"/>
      <c r="I1079" s="69"/>
      <c r="J1079" s="69"/>
      <c r="K1079" s="68" t="s">
        <v>30212</v>
      </c>
      <c r="L1079" s="72"/>
      <c r="M1079" s="73"/>
      <c r="N1079" s="73"/>
      <c r="O1079" s="74"/>
      <c r="P1079" s="75"/>
      <c r="Q1079" s="75"/>
      <c r="R1079" s="102"/>
      <c r="S1079" s="102"/>
      <c r="T1079" s="102"/>
      <c r="U1079" s="102"/>
      <c r="V1079" s="48"/>
      <c r="W1079" s="48"/>
      <c r="X1079" s="48"/>
      <c r="Y1079" s="48"/>
      <c r="Z1079" s="47"/>
      <c r="AA1079" s="70">
        <v>1079</v>
      </c>
      <c r="AB1079" s="70"/>
      <c r="AC1079" s="71"/>
      <c r="AD1079" s="86" t="s">
        <v>24683</v>
      </c>
      <c r="AE1079" s="94" t="s">
        <v>23323</v>
      </c>
      <c r="AF1079" s="86">
        <v>1</v>
      </c>
      <c r="AG1079" s="86">
        <v>2</v>
      </c>
      <c r="AH1079" s="86">
        <v>4</v>
      </c>
      <c r="AI1079" s="86">
        <v>0</v>
      </c>
      <c r="AJ1079" s="86">
        <v>1</v>
      </c>
      <c r="AK1079" s="86">
        <v>4</v>
      </c>
      <c r="AL1079" s="86" t="b">
        <v>0</v>
      </c>
      <c r="AM1079" s="89">
        <v>45138.952696759261</v>
      </c>
      <c r="AN1079" s="86"/>
      <c r="AO1079" s="86" t="s">
        <v>27407</v>
      </c>
      <c r="AP1079" s="86"/>
      <c r="AQ1079" s="86"/>
      <c r="AR1079" s="86"/>
      <c r="AS1079" s="86"/>
      <c r="AT1079" s="86"/>
      <c r="AU1079" s="86"/>
      <c r="AV1079" s="86"/>
      <c r="AW1079" s="86"/>
      <c r="AX1079" s="86" t="b">
        <v>0</v>
      </c>
      <c r="AY1079" s="86"/>
      <c r="AZ1079" s="86"/>
      <c r="BA1079" s="86" t="b">
        <v>0</v>
      </c>
      <c r="BB1079" s="86" t="b">
        <v>1</v>
      </c>
      <c r="BC1079" s="86" t="b">
        <v>1</v>
      </c>
      <c r="BD1079" s="86" t="b">
        <v>0</v>
      </c>
      <c r="BE1079" s="86" t="b">
        <v>0</v>
      </c>
      <c r="BF1079" s="86" t="b">
        <v>0</v>
      </c>
      <c r="BG1079" s="86" t="b">
        <v>0</v>
      </c>
      <c r="BH1079" s="96" t="str">
        <f>HYPERLINK("https://pbs.twimg.com/profile_banners/1686147430771728384/1692036348")</f>
        <v>https://pbs.twimg.com/profile_banners/1686147430771728384/1692036348</v>
      </c>
      <c r="BI1079" s="86"/>
      <c r="BJ1079" s="86" t="s">
        <v>29134</v>
      </c>
      <c r="BK1079" s="86" t="b">
        <v>0</v>
      </c>
      <c r="BL1079" s="86"/>
      <c r="BM1079" s="86" t="s">
        <v>66</v>
      </c>
      <c r="BN1079" s="86" t="s">
        <v>29136</v>
      </c>
      <c r="BO1079" s="96" t="str">
        <f>HYPERLINK("https://twitter.com/feriniinsights")</f>
        <v>https://twitter.com/feriniinsights</v>
      </c>
      <c r="BP1079" s="2"/>
    </row>
    <row r="1080" spans="1:68" x14ac:dyDescent="0.25">
      <c r="A1080" s="63" t="s">
        <v>1138</v>
      </c>
      <c r="B1080" s="64"/>
      <c r="C1080" s="64"/>
      <c r="D1080" s="65"/>
      <c r="E1080" s="67"/>
      <c r="F1080" s="111" t="str">
        <f>HYPERLINK("https://pbs.twimg.com/profile_images/1430326097888129026/zF9gKb8c_normal.jpg")</f>
        <v>https://pbs.twimg.com/profile_images/1430326097888129026/zF9gKb8c_normal.jpg</v>
      </c>
      <c r="G1080" s="64"/>
      <c r="H1080" s="68"/>
      <c r="I1080" s="69"/>
      <c r="J1080" s="69"/>
      <c r="K1080" s="68" t="s">
        <v>30213</v>
      </c>
      <c r="L1080" s="72"/>
      <c r="M1080" s="73"/>
      <c r="N1080" s="73"/>
      <c r="O1080" s="74"/>
      <c r="P1080" s="75"/>
      <c r="Q1080" s="75"/>
      <c r="R1080" s="102"/>
      <c r="S1080" s="102"/>
      <c r="T1080" s="102"/>
      <c r="U1080" s="102"/>
      <c r="V1080" s="48"/>
      <c r="W1080" s="48"/>
      <c r="X1080" s="48"/>
      <c r="Y1080" s="48"/>
      <c r="Z1080" s="47"/>
      <c r="AA1080" s="70">
        <v>1080</v>
      </c>
      <c r="AB1080" s="70"/>
      <c r="AC1080" s="71"/>
      <c r="AD1080" s="86" t="s">
        <v>24684</v>
      </c>
      <c r="AE1080" s="94" t="s">
        <v>23324</v>
      </c>
      <c r="AF1080" s="86">
        <v>15</v>
      </c>
      <c r="AG1080" s="86">
        <v>99</v>
      </c>
      <c r="AH1080" s="86">
        <v>224</v>
      </c>
      <c r="AI1080" s="86">
        <v>1</v>
      </c>
      <c r="AJ1080" s="86">
        <v>3</v>
      </c>
      <c r="AK1080" s="86">
        <v>31</v>
      </c>
      <c r="AL1080" s="86" t="b">
        <v>0</v>
      </c>
      <c r="AM1080" s="89">
        <v>42461.589513888888</v>
      </c>
      <c r="AN1080" s="86" t="s">
        <v>15246</v>
      </c>
      <c r="AO1080" s="86" t="s">
        <v>27408</v>
      </c>
      <c r="AP1080" s="96" t="str">
        <f>HYPERLINK("https://t.co/KKQ1acYTbI")</f>
        <v>https://t.co/KKQ1acYTbI</v>
      </c>
      <c r="AQ1080" s="96" t="str">
        <f>HYPERLINK("http://www.unicontab.com.br")</f>
        <v>http://www.unicontab.com.br</v>
      </c>
      <c r="AR1080" s="86" t="s">
        <v>28617</v>
      </c>
      <c r="AS1080" s="86"/>
      <c r="AT1080" s="86"/>
      <c r="AU1080" s="86"/>
      <c r="AV1080" s="86">
        <v>1.70409478015667E+18</v>
      </c>
      <c r="AW1080" s="96" t="str">
        <f>HYPERLINK("https://t.co/KKQ1acYTbI")</f>
        <v>https://t.co/KKQ1acYTbI</v>
      </c>
      <c r="AX1080" s="86" t="b">
        <v>0</v>
      </c>
      <c r="AY1080" s="86"/>
      <c r="AZ1080" s="86"/>
      <c r="BA1080" s="86" t="b">
        <v>0</v>
      </c>
      <c r="BB1080" s="86" t="b">
        <v>1</v>
      </c>
      <c r="BC1080" s="86" t="b">
        <v>1</v>
      </c>
      <c r="BD1080" s="86" t="b">
        <v>0</v>
      </c>
      <c r="BE1080" s="86" t="b">
        <v>0</v>
      </c>
      <c r="BF1080" s="86" t="b">
        <v>0</v>
      </c>
      <c r="BG1080" s="86" t="b">
        <v>0</v>
      </c>
      <c r="BH1080" s="96" t="str">
        <f>HYPERLINK("https://pbs.twimg.com/profile_banners/715903771071655937/1478024693")</f>
        <v>https://pbs.twimg.com/profile_banners/715903771071655937/1478024693</v>
      </c>
      <c r="BI1080" s="86"/>
      <c r="BJ1080" s="86" t="s">
        <v>29134</v>
      </c>
      <c r="BK1080" s="86" t="b">
        <v>0</v>
      </c>
      <c r="BL1080" s="86"/>
      <c r="BM1080" s="86" t="s">
        <v>66</v>
      </c>
      <c r="BN1080" s="86" t="s">
        <v>29136</v>
      </c>
      <c r="BO1080" s="96" t="str">
        <f>HYPERLINK("https://twitter.com/universalctb")</f>
        <v>https://twitter.com/universalctb</v>
      </c>
      <c r="BP1080" s="2"/>
    </row>
    <row r="1081" spans="1:68" x14ac:dyDescent="0.25">
      <c r="A1081" s="63" t="s">
        <v>1139</v>
      </c>
      <c r="B1081" s="64"/>
      <c r="C1081" s="64"/>
      <c r="D1081" s="65"/>
      <c r="E1081" s="67"/>
      <c r="F1081" s="111" t="str">
        <f>HYPERLINK("https://pbs.twimg.com/profile_images/1683656529067618304/e4vR7flz_normal.jpg")</f>
        <v>https://pbs.twimg.com/profile_images/1683656529067618304/e4vR7flz_normal.jpg</v>
      </c>
      <c r="G1081" s="64"/>
      <c r="H1081" s="68"/>
      <c r="I1081" s="69"/>
      <c r="J1081" s="69"/>
      <c r="K1081" s="68" t="s">
        <v>30214</v>
      </c>
      <c r="L1081" s="72"/>
      <c r="M1081" s="73"/>
      <c r="N1081" s="73"/>
      <c r="O1081" s="74"/>
      <c r="P1081" s="75"/>
      <c r="Q1081" s="75"/>
      <c r="R1081" s="102"/>
      <c r="S1081" s="102"/>
      <c r="T1081" s="102"/>
      <c r="U1081" s="102"/>
      <c r="V1081" s="48"/>
      <c r="W1081" s="48"/>
      <c r="X1081" s="48"/>
      <c r="Y1081" s="48"/>
      <c r="Z1081" s="47"/>
      <c r="AA1081" s="70">
        <v>1081</v>
      </c>
      <c r="AB1081" s="70"/>
      <c r="AC1081" s="71"/>
      <c r="AD1081" s="86" t="s">
        <v>24685</v>
      </c>
      <c r="AE1081" s="94" t="s">
        <v>25651</v>
      </c>
      <c r="AF1081" s="86">
        <v>61</v>
      </c>
      <c r="AG1081" s="86">
        <v>502</v>
      </c>
      <c r="AH1081" s="86">
        <v>983</v>
      </c>
      <c r="AI1081" s="86">
        <v>0</v>
      </c>
      <c r="AJ1081" s="86">
        <v>198</v>
      </c>
      <c r="AK1081" s="86">
        <v>612</v>
      </c>
      <c r="AL1081" s="86" t="b">
        <v>0</v>
      </c>
      <c r="AM1081" s="89">
        <v>40396.869780092595</v>
      </c>
      <c r="AN1081" s="86" t="s">
        <v>26258</v>
      </c>
      <c r="AO1081" s="86" t="s">
        <v>27409</v>
      </c>
      <c r="AP1081" s="96" t="str">
        <f>HYPERLINK("https://t.co/LRxuHsWIoS")</f>
        <v>https://t.co/LRxuHsWIoS</v>
      </c>
      <c r="AQ1081" s="96" t="str">
        <f>HYPERLINK("https://youtube.com/@JomarFalcao?si=-63WfAD798C4O1Mr")</f>
        <v>https://youtube.com/@JomarFalcao?si=-63WfAD798C4O1Mr</v>
      </c>
      <c r="AR1081" s="86" t="s">
        <v>28618</v>
      </c>
      <c r="AS1081" s="86"/>
      <c r="AT1081" s="86"/>
      <c r="AU1081" s="86"/>
      <c r="AV1081" s="86">
        <v>1.7012487467999501E+18</v>
      </c>
      <c r="AW1081" s="96" t="str">
        <f>HYPERLINK("https://t.co/LRxuHsWIoS")</f>
        <v>https://t.co/LRxuHsWIoS</v>
      </c>
      <c r="AX1081" s="86" t="b">
        <v>0</v>
      </c>
      <c r="AY1081" s="86"/>
      <c r="AZ1081" s="86"/>
      <c r="BA1081" s="86" t="b">
        <v>1</v>
      </c>
      <c r="BB1081" s="86" t="b">
        <v>1</v>
      </c>
      <c r="BC1081" s="86" t="b">
        <v>1</v>
      </c>
      <c r="BD1081" s="86" t="b">
        <v>0</v>
      </c>
      <c r="BE1081" s="86" t="b">
        <v>0</v>
      </c>
      <c r="BF1081" s="86" t="b">
        <v>0</v>
      </c>
      <c r="BG1081" s="86" t="b">
        <v>0</v>
      </c>
      <c r="BH1081" s="96" t="str">
        <f>HYPERLINK("https://pbs.twimg.com/profile_banners/175518523/1693839818")</f>
        <v>https://pbs.twimg.com/profile_banners/175518523/1693839818</v>
      </c>
      <c r="BI1081" s="86"/>
      <c r="BJ1081" s="86" t="s">
        <v>29134</v>
      </c>
      <c r="BK1081" s="86" t="b">
        <v>0</v>
      </c>
      <c r="BL1081" s="86"/>
      <c r="BM1081" s="86" t="s">
        <v>66</v>
      </c>
      <c r="BN1081" s="86" t="s">
        <v>29136</v>
      </c>
      <c r="BO1081" s="96" t="str">
        <f>HYPERLINK("https://twitter.com/jomar_falcao")</f>
        <v>https://twitter.com/jomar_falcao</v>
      </c>
      <c r="BP1081" s="2"/>
    </row>
    <row r="1082" spans="1:68" x14ac:dyDescent="0.25">
      <c r="A1082" s="63" t="s">
        <v>1140</v>
      </c>
      <c r="B1082" s="64"/>
      <c r="C1082" s="64"/>
      <c r="D1082" s="65"/>
      <c r="E1082" s="67"/>
      <c r="F1082" s="111" t="str">
        <f>HYPERLINK("https://pbs.twimg.com/profile_images/1680751323828944905/9eHtNETp_normal.jpg")</f>
        <v>https://pbs.twimg.com/profile_images/1680751323828944905/9eHtNETp_normal.jpg</v>
      </c>
      <c r="G1082" s="64"/>
      <c r="H1082" s="68"/>
      <c r="I1082" s="69"/>
      <c r="J1082" s="69"/>
      <c r="K1082" s="68" t="s">
        <v>30215</v>
      </c>
      <c r="L1082" s="72"/>
      <c r="M1082" s="73"/>
      <c r="N1082" s="73"/>
      <c r="O1082" s="74"/>
      <c r="P1082" s="75"/>
      <c r="Q1082" s="75"/>
      <c r="R1082" s="102"/>
      <c r="S1082" s="102"/>
      <c r="T1082" s="102"/>
      <c r="U1082" s="102"/>
      <c r="V1082" s="48"/>
      <c r="W1082" s="48"/>
      <c r="X1082" s="48"/>
      <c r="Y1082" s="48"/>
      <c r="Z1082" s="47"/>
      <c r="AA1082" s="70">
        <v>1082</v>
      </c>
      <c r="AB1082" s="70"/>
      <c r="AC1082" s="71"/>
      <c r="AD1082" s="86" t="s">
        <v>24528</v>
      </c>
      <c r="AE1082" s="94" t="s">
        <v>23325</v>
      </c>
      <c r="AF1082" s="86">
        <v>6</v>
      </c>
      <c r="AG1082" s="86">
        <v>7</v>
      </c>
      <c r="AH1082" s="86">
        <v>26</v>
      </c>
      <c r="AI1082" s="86">
        <v>0</v>
      </c>
      <c r="AJ1082" s="86">
        <v>0</v>
      </c>
      <c r="AK1082" s="86">
        <v>26</v>
      </c>
      <c r="AL1082" s="86" t="b">
        <v>0</v>
      </c>
      <c r="AM1082" s="89">
        <v>45124.06113425926</v>
      </c>
      <c r="AN1082" s="86"/>
      <c r="AO1082" s="86" t="s">
        <v>27410</v>
      </c>
      <c r="AP1082" s="86"/>
      <c r="AQ1082" s="86"/>
      <c r="AR1082" s="86"/>
      <c r="AS1082" s="86"/>
      <c r="AT1082" s="86"/>
      <c r="AU1082" s="86"/>
      <c r="AV1082" s="86">
        <v>1.69840859157984E+18</v>
      </c>
      <c r="AW1082" s="86"/>
      <c r="AX1082" s="86" t="b">
        <v>0</v>
      </c>
      <c r="AY1082" s="86"/>
      <c r="AZ1082" s="86"/>
      <c r="BA1082" s="86" t="b">
        <v>0</v>
      </c>
      <c r="BB1082" s="86" t="b">
        <v>1</v>
      </c>
      <c r="BC1082" s="86" t="b">
        <v>1</v>
      </c>
      <c r="BD1082" s="86" t="b">
        <v>0</v>
      </c>
      <c r="BE1082" s="86" t="b">
        <v>0</v>
      </c>
      <c r="BF1082" s="86" t="b">
        <v>0</v>
      </c>
      <c r="BG1082" s="86" t="b">
        <v>0</v>
      </c>
      <c r="BH1082" s="86"/>
      <c r="BI1082" s="86"/>
      <c r="BJ1082" s="86" t="s">
        <v>29134</v>
      </c>
      <c r="BK1082" s="86" t="b">
        <v>0</v>
      </c>
      <c r="BL1082" s="86"/>
      <c r="BM1082" s="86" t="s">
        <v>66</v>
      </c>
      <c r="BN1082" s="86" t="s">
        <v>29136</v>
      </c>
      <c r="BO1082" s="96" t="str">
        <f>HYPERLINK("https://twitter.com/gabypanizcoach")</f>
        <v>https://twitter.com/gabypanizcoach</v>
      </c>
      <c r="BP1082" s="2"/>
    </row>
    <row r="1083" spans="1:68" x14ac:dyDescent="0.25">
      <c r="A1083" s="63" t="s">
        <v>1141</v>
      </c>
      <c r="B1083" s="64"/>
      <c r="C1083" s="64"/>
      <c r="D1083" s="65"/>
      <c r="E1083" s="67"/>
      <c r="F1083" s="111" t="str">
        <f>HYPERLINK("https://pbs.twimg.com/profile_images/1676558921715138566/iJneWkQN_normal.jpg")</f>
        <v>https://pbs.twimg.com/profile_images/1676558921715138566/iJneWkQN_normal.jpg</v>
      </c>
      <c r="G1083" s="64"/>
      <c r="H1083" s="68"/>
      <c r="I1083" s="69"/>
      <c r="J1083" s="69"/>
      <c r="K1083" s="68" t="s">
        <v>30216</v>
      </c>
      <c r="L1083" s="72"/>
      <c r="M1083" s="73"/>
      <c r="N1083" s="73"/>
      <c r="O1083" s="74"/>
      <c r="P1083" s="75"/>
      <c r="Q1083" s="75"/>
      <c r="R1083" s="102"/>
      <c r="S1083" s="102"/>
      <c r="T1083" s="102"/>
      <c r="U1083" s="102"/>
      <c r="V1083" s="48"/>
      <c r="W1083" s="48"/>
      <c r="X1083" s="48"/>
      <c r="Y1083" s="48"/>
      <c r="Z1083" s="47"/>
      <c r="AA1083" s="70">
        <v>1083</v>
      </c>
      <c r="AB1083" s="70"/>
      <c r="AC1083" s="71"/>
      <c r="AD1083" s="86" t="s">
        <v>24686</v>
      </c>
      <c r="AE1083" s="94" t="s">
        <v>23326</v>
      </c>
      <c r="AF1083" s="86">
        <v>31168</v>
      </c>
      <c r="AG1083" s="86">
        <v>457</v>
      </c>
      <c r="AH1083" s="86">
        <v>14266</v>
      </c>
      <c r="AI1083" s="86">
        <v>88</v>
      </c>
      <c r="AJ1083" s="86">
        <v>3697</v>
      </c>
      <c r="AK1083" s="86">
        <v>3833</v>
      </c>
      <c r="AL1083" s="86" t="b">
        <v>0</v>
      </c>
      <c r="AM1083" s="89">
        <v>42697.622997685183</v>
      </c>
      <c r="AN1083" s="86" t="s">
        <v>15293</v>
      </c>
      <c r="AO1083" s="86" t="s">
        <v>27411</v>
      </c>
      <c r="AP1083" s="96" t="str">
        <f>HYPERLINK("https://t.co/kFPoSqTEuC")</f>
        <v>https://t.co/kFPoSqTEuC</v>
      </c>
      <c r="AQ1083" s="96" t="str">
        <f>HYPERLINK("http://manaus.am.gov.br")</f>
        <v>http://manaus.am.gov.br</v>
      </c>
      <c r="AR1083" s="86" t="s">
        <v>28619</v>
      </c>
      <c r="AS1083" s="86"/>
      <c r="AT1083" s="86"/>
      <c r="AU1083" s="86"/>
      <c r="AV1083" s="86"/>
      <c r="AW1083" s="96" t="str">
        <f>HYPERLINK("https://t.co/kFPoSqTEuC")</f>
        <v>https://t.co/kFPoSqTEuC</v>
      </c>
      <c r="AX1083" s="86" t="b">
        <v>0</v>
      </c>
      <c r="AY1083" s="86"/>
      <c r="AZ1083" s="86"/>
      <c r="BA1083" s="86" t="b">
        <v>1</v>
      </c>
      <c r="BB1083" s="86" t="b">
        <v>1</v>
      </c>
      <c r="BC1083" s="86" t="b">
        <v>0</v>
      </c>
      <c r="BD1083" s="86" t="b">
        <v>0</v>
      </c>
      <c r="BE1083" s="86" t="b">
        <v>1</v>
      </c>
      <c r="BF1083" s="86" t="b">
        <v>0</v>
      </c>
      <c r="BG1083" s="86" t="b">
        <v>0</v>
      </c>
      <c r="BH1083" s="96" t="str">
        <f>HYPERLINK("https://pbs.twimg.com/profile_banners/801439438983270400/1694531680")</f>
        <v>https://pbs.twimg.com/profile_banners/801439438983270400/1694531680</v>
      </c>
      <c r="BI1083" s="86"/>
      <c r="BJ1083" s="86" t="s">
        <v>29134</v>
      </c>
      <c r="BK1083" s="86" t="b">
        <v>0</v>
      </c>
      <c r="BL1083" s="86"/>
      <c r="BM1083" s="86" t="s">
        <v>66</v>
      </c>
      <c r="BN1083" s="86" t="s">
        <v>29136</v>
      </c>
      <c r="BO1083" s="96" t="str">
        <f>HYPERLINK("https://twitter.com/prefmanaus")</f>
        <v>https://twitter.com/prefmanaus</v>
      </c>
      <c r="BP1083" s="2"/>
    </row>
    <row r="1084" spans="1:68" x14ac:dyDescent="0.25">
      <c r="A1084" s="63" t="s">
        <v>1142</v>
      </c>
      <c r="B1084" s="64"/>
      <c r="C1084" s="64"/>
      <c r="D1084" s="65"/>
      <c r="E1084" s="67"/>
      <c r="F1084" s="111" t="str">
        <f>HYPERLINK("https://pbs.twimg.com/profile_images/1289537173948108801/j-LESZ7q_normal.jpg")</f>
        <v>https://pbs.twimg.com/profile_images/1289537173948108801/j-LESZ7q_normal.jpg</v>
      </c>
      <c r="G1084" s="64"/>
      <c r="H1084" s="68"/>
      <c r="I1084" s="69"/>
      <c r="J1084" s="69"/>
      <c r="K1084" s="68" t="s">
        <v>30217</v>
      </c>
      <c r="L1084" s="72"/>
      <c r="M1084" s="73"/>
      <c r="N1084" s="73"/>
      <c r="O1084" s="74"/>
      <c r="P1084" s="75"/>
      <c r="Q1084" s="75"/>
      <c r="R1084" s="102"/>
      <c r="S1084" s="102"/>
      <c r="T1084" s="102"/>
      <c r="U1084" s="102"/>
      <c r="V1084" s="48"/>
      <c r="W1084" s="48"/>
      <c r="X1084" s="48"/>
      <c r="Y1084" s="48"/>
      <c r="Z1084" s="47"/>
      <c r="AA1084" s="70">
        <v>1084</v>
      </c>
      <c r="AB1084" s="70"/>
      <c r="AC1084" s="71"/>
      <c r="AD1084" s="86" t="s">
        <v>24687</v>
      </c>
      <c r="AE1084" s="94" t="s">
        <v>23327</v>
      </c>
      <c r="AF1084" s="86">
        <v>5</v>
      </c>
      <c r="AG1084" s="86">
        <v>34</v>
      </c>
      <c r="AH1084" s="86">
        <v>101</v>
      </c>
      <c r="AI1084" s="86">
        <v>0</v>
      </c>
      <c r="AJ1084" s="86">
        <v>74</v>
      </c>
      <c r="AK1084" s="86">
        <v>26</v>
      </c>
      <c r="AL1084" s="86" t="b">
        <v>0</v>
      </c>
      <c r="AM1084" s="89">
        <v>43738.410150462965</v>
      </c>
      <c r="AN1084" s="86" t="s">
        <v>15246</v>
      </c>
      <c r="AO1084" s="86" t="s">
        <v>27412</v>
      </c>
      <c r="AP1084" s="86"/>
      <c r="AQ1084" s="86"/>
      <c r="AR1084" s="86"/>
      <c r="AS1084" s="86"/>
      <c r="AT1084" s="86"/>
      <c r="AU1084" s="86"/>
      <c r="AV1084" s="86"/>
      <c r="AW1084" s="86"/>
      <c r="AX1084" s="86" t="b">
        <v>0</v>
      </c>
      <c r="AY1084" s="86"/>
      <c r="AZ1084" s="86"/>
      <c r="BA1084" s="86" t="b">
        <v>0</v>
      </c>
      <c r="BB1084" s="86" t="b">
        <v>1</v>
      </c>
      <c r="BC1084" s="86" t="b">
        <v>1</v>
      </c>
      <c r="BD1084" s="86" t="b">
        <v>0</v>
      </c>
      <c r="BE1084" s="86" t="b">
        <v>0</v>
      </c>
      <c r="BF1084" s="86" t="b">
        <v>0</v>
      </c>
      <c r="BG1084" s="86" t="b">
        <v>0</v>
      </c>
      <c r="BH1084" s="86"/>
      <c r="BI1084" s="86"/>
      <c r="BJ1084" s="86" t="s">
        <v>29134</v>
      </c>
      <c r="BK1084" s="86" t="b">
        <v>0</v>
      </c>
      <c r="BL1084" s="86"/>
      <c r="BM1084" s="86" t="s">
        <v>66</v>
      </c>
      <c r="BN1084" s="86" t="s">
        <v>29136</v>
      </c>
      <c r="BO1084" s="96" t="str">
        <f>HYPERLINK("https://twitter.com/traderwedson")</f>
        <v>https://twitter.com/traderwedson</v>
      </c>
      <c r="BP1084" s="2"/>
    </row>
    <row r="1085" spans="1:68" x14ac:dyDescent="0.25">
      <c r="A1085" s="63" t="s">
        <v>1143</v>
      </c>
      <c r="B1085" s="64"/>
      <c r="C1085" s="64"/>
      <c r="D1085" s="65"/>
      <c r="E1085" s="67"/>
      <c r="F1085" s="111" t="str">
        <f>HYPERLINK("https://pbs.twimg.com/profile_images/1687420216001609728/RZH92yt1_normal.jpg")</f>
        <v>https://pbs.twimg.com/profile_images/1687420216001609728/RZH92yt1_normal.jpg</v>
      </c>
      <c r="G1085" s="64"/>
      <c r="H1085" s="68"/>
      <c r="I1085" s="69"/>
      <c r="J1085" s="69"/>
      <c r="K1085" s="68" t="s">
        <v>30218</v>
      </c>
      <c r="L1085" s="72"/>
      <c r="M1085" s="73"/>
      <c r="N1085" s="73"/>
      <c r="O1085" s="74"/>
      <c r="P1085" s="75"/>
      <c r="Q1085" s="75"/>
      <c r="R1085" s="102"/>
      <c r="S1085" s="102"/>
      <c r="T1085" s="102"/>
      <c r="U1085" s="102"/>
      <c r="V1085" s="48"/>
      <c r="W1085" s="48"/>
      <c r="X1085" s="48"/>
      <c r="Y1085" s="48"/>
      <c r="Z1085" s="47"/>
      <c r="AA1085" s="70">
        <v>1085</v>
      </c>
      <c r="AB1085" s="70"/>
      <c r="AC1085" s="71"/>
      <c r="AD1085" s="86" t="s">
        <v>24688</v>
      </c>
      <c r="AE1085" s="94" t="s">
        <v>25652</v>
      </c>
      <c r="AF1085" s="86">
        <v>4170</v>
      </c>
      <c r="AG1085" s="86">
        <v>1201</v>
      </c>
      <c r="AH1085" s="86">
        <v>8125</v>
      </c>
      <c r="AI1085" s="86">
        <v>17</v>
      </c>
      <c r="AJ1085" s="86">
        <v>4582</v>
      </c>
      <c r="AK1085" s="86">
        <v>1265</v>
      </c>
      <c r="AL1085" s="86" t="b">
        <v>0</v>
      </c>
      <c r="AM1085" s="89">
        <v>39974.752245370371</v>
      </c>
      <c r="AN1085" s="86" t="s">
        <v>15246</v>
      </c>
      <c r="AO1085" s="86" t="s">
        <v>27413</v>
      </c>
      <c r="AP1085" s="96" t="str">
        <f>HYPERLINK("https://t.co/JcZvIpkQTU")</f>
        <v>https://t.co/JcZvIpkQTU</v>
      </c>
      <c r="AQ1085" s="96" t="str">
        <f>HYPERLINK("https://www.institutolula.org/")</f>
        <v>https://www.institutolula.org/</v>
      </c>
      <c r="AR1085" s="86" t="s">
        <v>28620</v>
      </c>
      <c r="AS1085" s="86"/>
      <c r="AT1085" s="86"/>
      <c r="AU1085" s="86"/>
      <c r="AV1085" s="86"/>
      <c r="AW1085" s="96" t="str">
        <f>HYPERLINK("https://t.co/JcZvIpkQTU")</f>
        <v>https://t.co/JcZvIpkQTU</v>
      </c>
      <c r="AX1085" s="86" t="b">
        <v>0</v>
      </c>
      <c r="AY1085" s="86"/>
      <c r="AZ1085" s="86"/>
      <c r="BA1085" s="86" t="b">
        <v>1</v>
      </c>
      <c r="BB1085" s="86" t="b">
        <v>1</v>
      </c>
      <c r="BC1085" s="86" t="b">
        <v>1</v>
      </c>
      <c r="BD1085" s="86" t="b">
        <v>0</v>
      </c>
      <c r="BE1085" s="86" t="b">
        <v>1</v>
      </c>
      <c r="BF1085" s="86" t="b">
        <v>0</v>
      </c>
      <c r="BG1085" s="86" t="b">
        <v>0</v>
      </c>
      <c r="BH1085" s="96" t="str">
        <f>HYPERLINK("https://pbs.twimg.com/profile_banners/46179375/1691147316")</f>
        <v>https://pbs.twimg.com/profile_banners/46179375/1691147316</v>
      </c>
      <c r="BI1085" s="86"/>
      <c r="BJ1085" s="86" t="s">
        <v>29134</v>
      </c>
      <c r="BK1085" s="86" t="b">
        <v>0</v>
      </c>
      <c r="BL1085" s="86"/>
      <c r="BM1085" s="86" t="s">
        <v>66</v>
      </c>
      <c r="BN1085" s="86" t="s">
        <v>29136</v>
      </c>
      <c r="BO1085" s="96" t="str">
        <f>HYPERLINK("https://twitter.com/ivonesilva")</f>
        <v>https://twitter.com/ivonesilva</v>
      </c>
      <c r="BP1085" s="2"/>
    </row>
    <row r="1086" spans="1:68" x14ac:dyDescent="0.25">
      <c r="A1086" s="63" t="s">
        <v>1144</v>
      </c>
      <c r="B1086" s="64"/>
      <c r="C1086" s="64"/>
      <c r="D1086" s="65"/>
      <c r="E1086" s="67"/>
      <c r="F1086" s="111" t="str">
        <f>HYPERLINK("https://pbs.twimg.com/profile_images/1631031165170724865/BEvu_urQ_normal.jpg")</f>
        <v>https://pbs.twimg.com/profile_images/1631031165170724865/BEvu_urQ_normal.jpg</v>
      </c>
      <c r="G1086" s="64"/>
      <c r="H1086" s="68"/>
      <c r="I1086" s="69"/>
      <c r="J1086" s="69"/>
      <c r="K1086" s="68" t="s">
        <v>30219</v>
      </c>
      <c r="L1086" s="72"/>
      <c r="M1086" s="73"/>
      <c r="N1086" s="73"/>
      <c r="O1086" s="74"/>
      <c r="P1086" s="75"/>
      <c r="Q1086" s="75"/>
      <c r="R1086" s="102"/>
      <c r="S1086" s="102"/>
      <c r="T1086" s="102"/>
      <c r="U1086" s="102"/>
      <c r="V1086" s="48"/>
      <c r="W1086" s="48"/>
      <c r="X1086" s="48"/>
      <c r="Y1086" s="48"/>
      <c r="Z1086" s="47"/>
      <c r="AA1086" s="70">
        <v>1086</v>
      </c>
      <c r="AB1086" s="70"/>
      <c r="AC1086" s="71"/>
      <c r="AD1086" s="86" t="s">
        <v>24689</v>
      </c>
      <c r="AE1086" s="94" t="s">
        <v>23328</v>
      </c>
      <c r="AF1086" s="86">
        <v>330</v>
      </c>
      <c r="AG1086" s="86">
        <v>483</v>
      </c>
      <c r="AH1086" s="86">
        <v>655</v>
      </c>
      <c r="AI1086" s="86">
        <v>0</v>
      </c>
      <c r="AJ1086" s="86">
        <v>29</v>
      </c>
      <c r="AK1086" s="86">
        <v>474</v>
      </c>
      <c r="AL1086" s="86" t="b">
        <v>0</v>
      </c>
      <c r="AM1086" s="89">
        <v>44425.726099537038</v>
      </c>
      <c r="AN1086" s="86" t="s">
        <v>25961</v>
      </c>
      <c r="AO1086" s="86" t="s">
        <v>27414</v>
      </c>
      <c r="AP1086" s="96" t="str">
        <f>HYPERLINK("https://t.co/CI8yFx6X0N")</f>
        <v>https://t.co/CI8yFx6X0N</v>
      </c>
      <c r="AQ1086" s="96" t="str">
        <f>HYPERLINK("http://creativebureaucracy.org/programme")</f>
        <v>http://creativebureaucracy.org/programme</v>
      </c>
      <c r="AR1086" s="86" t="s">
        <v>28621</v>
      </c>
      <c r="AS1086" s="86"/>
      <c r="AT1086" s="86"/>
      <c r="AU1086" s="86"/>
      <c r="AV1086" s="86">
        <v>1.54656667677007E+18</v>
      </c>
      <c r="AW1086" s="96" t="str">
        <f>HYPERLINK("https://t.co/CI8yFx6X0N")</f>
        <v>https://t.co/CI8yFx6X0N</v>
      </c>
      <c r="AX1086" s="86" t="b">
        <v>0</v>
      </c>
      <c r="AY1086" s="86"/>
      <c r="AZ1086" s="86"/>
      <c r="BA1086" s="86" t="b">
        <v>0</v>
      </c>
      <c r="BB1086" s="86" t="b">
        <v>1</v>
      </c>
      <c r="BC1086" s="86" t="b">
        <v>1</v>
      </c>
      <c r="BD1086" s="86" t="b">
        <v>0</v>
      </c>
      <c r="BE1086" s="86" t="b">
        <v>0</v>
      </c>
      <c r="BF1086" s="86" t="b">
        <v>0</v>
      </c>
      <c r="BG1086" s="86" t="b">
        <v>0</v>
      </c>
      <c r="BH1086" s="96" t="str">
        <f>HYPERLINK("https://pbs.twimg.com/profile_banners/1427682953732280331/1683226307")</f>
        <v>https://pbs.twimg.com/profile_banners/1427682953732280331/1683226307</v>
      </c>
      <c r="BI1086" s="86"/>
      <c r="BJ1086" s="86" t="s">
        <v>29134</v>
      </c>
      <c r="BK1086" s="86" t="b">
        <v>0</v>
      </c>
      <c r="BL1086" s="86"/>
      <c r="BM1086" s="86" t="s">
        <v>66</v>
      </c>
      <c r="BN1086" s="86" t="s">
        <v>29136</v>
      </c>
      <c r="BO1086" s="96" t="str">
        <f>HYPERLINK("https://twitter.com/salvadorsefaz")</f>
        <v>https://twitter.com/salvadorsefaz</v>
      </c>
      <c r="BP1086" s="2"/>
    </row>
    <row r="1087" spans="1:68" x14ac:dyDescent="0.25">
      <c r="A1087" s="63" t="s">
        <v>1145</v>
      </c>
      <c r="B1087" s="64"/>
      <c r="C1087" s="64"/>
      <c r="D1087" s="65"/>
      <c r="E1087" s="67"/>
      <c r="F1087" s="111" t="str">
        <f>HYPERLINK("https://pbs.twimg.com/profile_images/1059477679622275079/DaWLvm9v_normal.jpg")</f>
        <v>https://pbs.twimg.com/profile_images/1059477679622275079/DaWLvm9v_normal.jpg</v>
      </c>
      <c r="G1087" s="64"/>
      <c r="H1087" s="68"/>
      <c r="I1087" s="69"/>
      <c r="J1087" s="69"/>
      <c r="K1087" s="68" t="s">
        <v>30220</v>
      </c>
      <c r="L1087" s="72"/>
      <c r="M1087" s="73"/>
      <c r="N1087" s="73"/>
      <c r="O1087" s="74"/>
      <c r="P1087" s="75"/>
      <c r="Q1087" s="75"/>
      <c r="R1087" s="102"/>
      <c r="S1087" s="102"/>
      <c r="T1087" s="102"/>
      <c r="U1087" s="102"/>
      <c r="V1087" s="48"/>
      <c r="W1087" s="48"/>
      <c r="X1087" s="48"/>
      <c r="Y1087" s="48"/>
      <c r="Z1087" s="47"/>
      <c r="AA1087" s="70">
        <v>1087</v>
      </c>
      <c r="AB1087" s="70"/>
      <c r="AC1087" s="71"/>
      <c r="AD1087" s="86" t="s">
        <v>24690</v>
      </c>
      <c r="AE1087" s="94" t="s">
        <v>23329</v>
      </c>
      <c r="AF1087" s="86">
        <v>15</v>
      </c>
      <c r="AG1087" s="86">
        <v>173</v>
      </c>
      <c r="AH1087" s="86">
        <v>314</v>
      </c>
      <c r="AI1087" s="86">
        <v>0</v>
      </c>
      <c r="AJ1087" s="86">
        <v>1575</v>
      </c>
      <c r="AK1087" s="86">
        <v>57</v>
      </c>
      <c r="AL1087" s="86" t="b">
        <v>0</v>
      </c>
      <c r="AM1087" s="89">
        <v>43409.567916666667</v>
      </c>
      <c r="AN1087" s="86" t="s">
        <v>15242</v>
      </c>
      <c r="AO1087" s="86" t="s">
        <v>27415</v>
      </c>
      <c r="AP1087" s="96" t="str">
        <f>HYPERLINK("https://t.co/gWIe4WC5sg")</f>
        <v>https://t.co/gWIe4WC5sg</v>
      </c>
      <c r="AQ1087" s="96" t="str">
        <f>HYPERLINK("http://lucasmirandaadv.com")</f>
        <v>http://lucasmirandaadv.com</v>
      </c>
      <c r="AR1087" s="86" t="s">
        <v>28622</v>
      </c>
      <c r="AS1087" s="86"/>
      <c r="AT1087" s="86"/>
      <c r="AU1087" s="86"/>
      <c r="AV1087" s="86"/>
      <c r="AW1087" s="96" t="str">
        <f>HYPERLINK("https://t.co/gWIe4WC5sg")</f>
        <v>https://t.co/gWIe4WC5sg</v>
      </c>
      <c r="AX1087" s="86" t="b">
        <v>0</v>
      </c>
      <c r="AY1087" s="86"/>
      <c r="AZ1087" s="86"/>
      <c r="BA1087" s="86" t="b">
        <v>0</v>
      </c>
      <c r="BB1087" s="86" t="b">
        <v>1</v>
      </c>
      <c r="BC1087" s="86" t="b">
        <v>1</v>
      </c>
      <c r="BD1087" s="86" t="b">
        <v>0</v>
      </c>
      <c r="BE1087" s="86" t="b">
        <v>0</v>
      </c>
      <c r="BF1087" s="86" t="b">
        <v>0</v>
      </c>
      <c r="BG1087" s="86" t="b">
        <v>0</v>
      </c>
      <c r="BH1087" s="96" t="str">
        <f>HYPERLINK("https://pbs.twimg.com/profile_banners/1059439638497124352/1550100070")</f>
        <v>https://pbs.twimg.com/profile_banners/1059439638497124352/1550100070</v>
      </c>
      <c r="BI1087" s="86"/>
      <c r="BJ1087" s="86" t="s">
        <v>29134</v>
      </c>
      <c r="BK1087" s="86" t="b">
        <v>0</v>
      </c>
      <c r="BL1087" s="86"/>
      <c r="BM1087" s="86" t="s">
        <v>66</v>
      </c>
      <c r="BN1087" s="86" t="s">
        <v>29136</v>
      </c>
      <c r="BO1087" s="96" t="str">
        <f>HYPERLINK("https://twitter.com/lucasmirandaad")</f>
        <v>https://twitter.com/lucasmirandaad</v>
      </c>
      <c r="BP1087" s="2"/>
    </row>
    <row r="1088" spans="1:68" x14ac:dyDescent="0.25">
      <c r="A1088" s="63" t="s">
        <v>1146</v>
      </c>
      <c r="B1088" s="64"/>
      <c r="C1088" s="64"/>
      <c r="D1088" s="65"/>
      <c r="E1088" s="67"/>
      <c r="F1088" s="111" t="str">
        <f>HYPERLINK("https://pbs.twimg.com/profile_images/1654126048479703042/MBRjM6HQ_normal.jpg")</f>
        <v>https://pbs.twimg.com/profile_images/1654126048479703042/MBRjM6HQ_normal.jpg</v>
      </c>
      <c r="G1088" s="64"/>
      <c r="H1088" s="68"/>
      <c r="I1088" s="69"/>
      <c r="J1088" s="69"/>
      <c r="K1088" s="68" t="s">
        <v>30221</v>
      </c>
      <c r="L1088" s="72"/>
      <c r="M1088" s="73"/>
      <c r="N1088" s="73"/>
      <c r="O1088" s="74"/>
      <c r="P1088" s="75"/>
      <c r="Q1088" s="75"/>
      <c r="R1088" s="102"/>
      <c r="S1088" s="102"/>
      <c r="T1088" s="102"/>
      <c r="U1088" s="102"/>
      <c r="V1088" s="48"/>
      <c r="W1088" s="48"/>
      <c r="X1088" s="48"/>
      <c r="Y1088" s="48"/>
      <c r="Z1088" s="47"/>
      <c r="AA1088" s="70">
        <v>1088</v>
      </c>
      <c r="AB1088" s="70"/>
      <c r="AC1088" s="71"/>
      <c r="AD1088" s="86" t="s">
        <v>24691</v>
      </c>
      <c r="AE1088" s="94" t="s">
        <v>22617</v>
      </c>
      <c r="AF1088" s="86">
        <v>946</v>
      </c>
      <c r="AG1088" s="86">
        <v>549</v>
      </c>
      <c r="AH1088" s="86">
        <v>17018</v>
      </c>
      <c r="AI1088" s="86">
        <v>192</v>
      </c>
      <c r="AJ1088" s="86">
        <v>3903</v>
      </c>
      <c r="AK1088" s="86">
        <v>1996</v>
      </c>
      <c r="AL1088" s="86" t="b">
        <v>0</v>
      </c>
      <c r="AM1088" s="89">
        <v>40375.528425925928</v>
      </c>
      <c r="AN1088" s="86" t="s">
        <v>26259</v>
      </c>
      <c r="AO1088" s="86" t="s">
        <v>27416</v>
      </c>
      <c r="AP1088" s="96" t="str">
        <f>HYPERLINK("https://t.co/rkPDcUaAgo")</f>
        <v>https://t.co/rkPDcUaAgo</v>
      </c>
      <c r="AQ1088" s="96" t="str">
        <f>HYPERLINK("https://beacons.ai/sejanotado")</f>
        <v>https://beacons.ai/sejanotado</v>
      </c>
      <c r="AR1088" s="86" t="s">
        <v>28623</v>
      </c>
      <c r="AS1088" s="86"/>
      <c r="AT1088" s="86"/>
      <c r="AU1088" s="86"/>
      <c r="AV1088" s="86"/>
      <c r="AW1088" s="96" t="str">
        <f>HYPERLINK("https://t.co/rkPDcUaAgo")</f>
        <v>https://t.co/rkPDcUaAgo</v>
      </c>
      <c r="AX1088" s="86" t="b">
        <v>0</v>
      </c>
      <c r="AY1088" s="86"/>
      <c r="AZ1088" s="86"/>
      <c r="BA1088" s="86" t="b">
        <v>0</v>
      </c>
      <c r="BB1088" s="86" t="b">
        <v>1</v>
      </c>
      <c r="BC1088" s="86" t="b">
        <v>0</v>
      </c>
      <c r="BD1088" s="86" t="b">
        <v>0</v>
      </c>
      <c r="BE1088" s="86" t="b">
        <v>1</v>
      </c>
      <c r="BF1088" s="86" t="b">
        <v>0</v>
      </c>
      <c r="BG1088" s="86" t="b">
        <v>0</v>
      </c>
      <c r="BH1088" s="96" t="str">
        <f>HYPERLINK("https://pbs.twimg.com/profile_banners/167377150/1672772408")</f>
        <v>https://pbs.twimg.com/profile_banners/167377150/1672772408</v>
      </c>
      <c r="BI1088" s="86"/>
      <c r="BJ1088" s="86" t="s">
        <v>29134</v>
      </c>
      <c r="BK1088" s="86" t="b">
        <v>0</v>
      </c>
      <c r="BL1088" s="86"/>
      <c r="BM1088" s="86" t="s">
        <v>66</v>
      </c>
      <c r="BN1088" s="86" t="s">
        <v>29136</v>
      </c>
      <c r="BO1088" s="96" t="str">
        <f>HYPERLINK("https://twitter.com/rogeriowilbert")</f>
        <v>https://twitter.com/rogeriowilbert</v>
      </c>
      <c r="BP1088" s="2"/>
    </row>
    <row r="1089" spans="1:68" x14ac:dyDescent="0.25">
      <c r="A1089" s="63" t="s">
        <v>1147</v>
      </c>
      <c r="B1089" s="64"/>
      <c r="C1089" s="64"/>
      <c r="D1089" s="65"/>
      <c r="E1089" s="67"/>
      <c r="F1089" s="111" t="str">
        <f>HYPERLINK("https://pbs.twimg.com/profile_images/1649150439605039104/ws2NLiGq_normal.jpg")</f>
        <v>https://pbs.twimg.com/profile_images/1649150439605039104/ws2NLiGq_normal.jpg</v>
      </c>
      <c r="G1089" s="64"/>
      <c r="H1089" s="68"/>
      <c r="I1089" s="69"/>
      <c r="J1089" s="69"/>
      <c r="K1089" s="68" t="s">
        <v>30222</v>
      </c>
      <c r="L1089" s="72"/>
      <c r="M1089" s="73"/>
      <c r="N1089" s="73"/>
      <c r="O1089" s="74"/>
      <c r="P1089" s="75"/>
      <c r="Q1089" s="75"/>
      <c r="R1089" s="102"/>
      <c r="S1089" s="102"/>
      <c r="T1089" s="102"/>
      <c r="U1089" s="102"/>
      <c r="V1089" s="48"/>
      <c r="W1089" s="48"/>
      <c r="X1089" s="48"/>
      <c r="Y1089" s="48"/>
      <c r="Z1089" s="47"/>
      <c r="AA1089" s="70">
        <v>1089</v>
      </c>
      <c r="AB1089" s="70"/>
      <c r="AC1089" s="71"/>
      <c r="AD1089" s="86" t="s">
        <v>24692</v>
      </c>
      <c r="AE1089" s="94" t="s">
        <v>25653</v>
      </c>
      <c r="AF1089" s="86">
        <v>897400</v>
      </c>
      <c r="AG1089" s="86">
        <v>235</v>
      </c>
      <c r="AH1089" s="86">
        <v>105166</v>
      </c>
      <c r="AI1089" s="86">
        <v>3573</v>
      </c>
      <c r="AJ1089" s="86">
        <v>2406</v>
      </c>
      <c r="AK1089" s="86">
        <v>15216</v>
      </c>
      <c r="AL1089" s="86" t="b">
        <v>0</v>
      </c>
      <c r="AM1089" s="89">
        <v>39542.869571759256</v>
      </c>
      <c r="AN1089" s="86" t="s">
        <v>15246</v>
      </c>
      <c r="AO1089" s="86" t="s">
        <v>27417</v>
      </c>
      <c r="AP1089" s="96" t="str">
        <f>HYPERLINK("https://t.co/eiC8weRIjl")</f>
        <v>https://t.co/eiC8weRIjl</v>
      </c>
      <c r="AQ1089" s="96" t="str">
        <f>HYPERLINK("http://www.tvcultura.com.br")</f>
        <v>http://www.tvcultura.com.br</v>
      </c>
      <c r="AR1089" s="86" t="s">
        <v>28624</v>
      </c>
      <c r="AS1089" s="86"/>
      <c r="AT1089" s="86"/>
      <c r="AU1089" s="86"/>
      <c r="AV1089" s="86">
        <v>1.7071241335725701E+18</v>
      </c>
      <c r="AW1089" s="96" t="str">
        <f>HYPERLINK("https://t.co/eiC8weRIjl")</f>
        <v>https://t.co/eiC8weRIjl</v>
      </c>
      <c r="AX1089" s="86" t="b">
        <v>1</v>
      </c>
      <c r="AY1089" s="86"/>
      <c r="AZ1089" s="86"/>
      <c r="BA1089" s="86" t="b">
        <v>0</v>
      </c>
      <c r="BB1089" s="86" t="b">
        <v>1</v>
      </c>
      <c r="BC1089" s="86" t="b">
        <v>0</v>
      </c>
      <c r="BD1089" s="86" t="b">
        <v>0</v>
      </c>
      <c r="BE1089" s="86" t="b">
        <v>1</v>
      </c>
      <c r="BF1089" s="86" t="b">
        <v>0</v>
      </c>
      <c r="BG1089" s="86" t="b">
        <v>0</v>
      </c>
      <c r="BH1089" s="96" t="str">
        <f>HYPERLINK("https://pbs.twimg.com/profile_banners/14306125/1682003310")</f>
        <v>https://pbs.twimg.com/profile_banners/14306125/1682003310</v>
      </c>
      <c r="BI1089" s="86"/>
      <c r="BJ1089" s="86" t="s">
        <v>29134</v>
      </c>
      <c r="BK1089" s="86" t="b">
        <v>0</v>
      </c>
      <c r="BL1089" s="86"/>
      <c r="BM1089" s="86" t="s">
        <v>66</v>
      </c>
      <c r="BN1089" s="86" t="s">
        <v>29136</v>
      </c>
      <c r="BO1089" s="96" t="str">
        <f>HYPERLINK("https://twitter.com/tvcultura")</f>
        <v>https://twitter.com/tvcultura</v>
      </c>
      <c r="BP1089" s="2"/>
    </row>
    <row r="1090" spans="1:68" x14ac:dyDescent="0.25">
      <c r="A1090" s="63" t="s">
        <v>1148</v>
      </c>
      <c r="B1090" s="64"/>
      <c r="C1090" s="64"/>
      <c r="D1090" s="65"/>
      <c r="E1090" s="67"/>
      <c r="F1090" s="111" t="str">
        <f>HYPERLINK("https://pbs.twimg.com/profile_images/1604865003751964674/cGuS0LuC_normal.png")</f>
        <v>https://pbs.twimg.com/profile_images/1604865003751964674/cGuS0LuC_normal.png</v>
      </c>
      <c r="G1090" s="64"/>
      <c r="H1090" s="68"/>
      <c r="I1090" s="69"/>
      <c r="J1090" s="69"/>
      <c r="K1090" s="68" t="s">
        <v>30223</v>
      </c>
      <c r="L1090" s="72"/>
      <c r="M1090" s="73"/>
      <c r="N1090" s="73"/>
      <c r="O1090" s="74"/>
      <c r="P1090" s="75"/>
      <c r="Q1090" s="75"/>
      <c r="R1090" s="102"/>
      <c r="S1090" s="102"/>
      <c r="T1090" s="102"/>
      <c r="U1090" s="102"/>
      <c r="V1090" s="48"/>
      <c r="W1090" s="48"/>
      <c r="X1090" s="48"/>
      <c r="Y1090" s="48"/>
      <c r="Z1090" s="47"/>
      <c r="AA1090" s="70">
        <v>1090</v>
      </c>
      <c r="AB1090" s="70"/>
      <c r="AC1090" s="71"/>
      <c r="AD1090" s="86" t="s">
        <v>24693</v>
      </c>
      <c r="AE1090" s="94" t="s">
        <v>25654</v>
      </c>
      <c r="AF1090" s="86">
        <v>190</v>
      </c>
      <c r="AG1090" s="86">
        <v>30</v>
      </c>
      <c r="AH1090" s="86">
        <v>1328</v>
      </c>
      <c r="AI1090" s="86">
        <v>1</v>
      </c>
      <c r="AJ1090" s="86">
        <v>62</v>
      </c>
      <c r="AK1090" s="86">
        <v>1242</v>
      </c>
      <c r="AL1090" s="86" t="b">
        <v>0</v>
      </c>
      <c r="AM1090" s="89">
        <v>41368.699814814812</v>
      </c>
      <c r="AN1090" s="86" t="s">
        <v>26260</v>
      </c>
      <c r="AO1090" s="86" t="s">
        <v>27418</v>
      </c>
      <c r="AP1090" s="96" t="str">
        <f>HYPERLINK("https://t.co/jjn6ll2mws")</f>
        <v>https://t.co/jjn6ll2mws</v>
      </c>
      <c r="AQ1090" s="96" t="str">
        <f>HYPERLINK("http://www.esce.ips.pt")</f>
        <v>http://www.esce.ips.pt</v>
      </c>
      <c r="AR1090" s="86" t="s">
        <v>28625</v>
      </c>
      <c r="AS1090" s="86"/>
      <c r="AT1090" s="86"/>
      <c r="AU1090" s="86"/>
      <c r="AV1090" s="86"/>
      <c r="AW1090" s="96" t="str">
        <f>HYPERLINK("https://t.co/jjn6ll2mws")</f>
        <v>https://t.co/jjn6ll2mws</v>
      </c>
      <c r="AX1090" s="86" t="b">
        <v>0</v>
      </c>
      <c r="AY1090" s="86"/>
      <c r="AZ1090" s="86"/>
      <c r="BA1090" s="86" t="b">
        <v>0</v>
      </c>
      <c r="BB1090" s="86" t="b">
        <v>1</v>
      </c>
      <c r="BC1090" s="86" t="b">
        <v>0</v>
      </c>
      <c r="BD1090" s="86" t="b">
        <v>0</v>
      </c>
      <c r="BE1090" s="86" t="b">
        <v>0</v>
      </c>
      <c r="BF1090" s="86" t="b">
        <v>0</v>
      </c>
      <c r="BG1090" s="86" t="b">
        <v>0</v>
      </c>
      <c r="BH1090" s="96" t="str">
        <f>HYPERLINK("https://pbs.twimg.com/profile_banners/1327347026/1688556548")</f>
        <v>https://pbs.twimg.com/profile_banners/1327347026/1688556548</v>
      </c>
      <c r="BI1090" s="86"/>
      <c r="BJ1090" s="86" t="s">
        <v>29134</v>
      </c>
      <c r="BK1090" s="86" t="b">
        <v>0</v>
      </c>
      <c r="BL1090" s="86"/>
      <c r="BM1090" s="86" t="s">
        <v>66</v>
      </c>
      <c r="BN1090" s="86" t="s">
        <v>29136</v>
      </c>
      <c r="BO1090" s="96" t="str">
        <f>HYPERLINK("https://twitter.com/esceips")</f>
        <v>https://twitter.com/esceips</v>
      </c>
      <c r="BP1090" s="2"/>
    </row>
    <row r="1091" spans="1:68" x14ac:dyDescent="0.25">
      <c r="A1091" s="63" t="s">
        <v>1149</v>
      </c>
      <c r="B1091" s="64"/>
      <c r="C1091" s="64"/>
      <c r="D1091" s="65"/>
      <c r="E1091" s="67"/>
      <c r="F1091" s="111" t="str">
        <f>HYPERLINK("https://pbs.twimg.com/profile_images/1610000252928393217/GavWwevW_normal.jpg")</f>
        <v>https://pbs.twimg.com/profile_images/1610000252928393217/GavWwevW_normal.jpg</v>
      </c>
      <c r="G1091" s="64"/>
      <c r="H1091" s="68"/>
      <c r="I1091" s="69"/>
      <c r="J1091" s="69"/>
      <c r="K1091" s="68" t="s">
        <v>30224</v>
      </c>
      <c r="L1091" s="72"/>
      <c r="M1091" s="73"/>
      <c r="N1091" s="73"/>
      <c r="O1091" s="74"/>
      <c r="P1091" s="75"/>
      <c r="Q1091" s="75"/>
      <c r="R1091" s="102"/>
      <c r="S1091" s="102"/>
      <c r="T1091" s="102"/>
      <c r="U1091" s="102"/>
      <c r="V1091" s="48"/>
      <c r="W1091" s="48"/>
      <c r="X1091" s="48"/>
      <c r="Y1091" s="48"/>
      <c r="Z1091" s="47"/>
      <c r="AA1091" s="70">
        <v>1091</v>
      </c>
      <c r="AB1091" s="70"/>
      <c r="AC1091" s="71"/>
      <c r="AD1091" s="86" t="s">
        <v>24694</v>
      </c>
      <c r="AE1091" s="94" t="s">
        <v>25655</v>
      </c>
      <c r="AF1091" s="86">
        <v>20122</v>
      </c>
      <c r="AG1091" s="86">
        <v>700</v>
      </c>
      <c r="AH1091" s="86">
        <v>10592</v>
      </c>
      <c r="AI1091" s="86">
        <v>157</v>
      </c>
      <c r="AJ1091" s="86">
        <v>4800</v>
      </c>
      <c r="AK1091" s="86">
        <v>7759</v>
      </c>
      <c r="AL1091" s="86" t="b">
        <v>0</v>
      </c>
      <c r="AM1091" s="89">
        <v>42292.986550925925</v>
      </c>
      <c r="AN1091" s="86"/>
      <c r="AO1091" s="86" t="s">
        <v>27419</v>
      </c>
      <c r="AP1091" s="96" t="str">
        <f>HYPERLINK("https://t.co/sVxXhP2rie")</f>
        <v>https://t.co/sVxXhP2rie</v>
      </c>
      <c r="AQ1091" s="96" t="str">
        <f>HYPERLINK("https://projetocolabora.com.br")</f>
        <v>https://projetocolabora.com.br</v>
      </c>
      <c r="AR1091" s="86" t="s">
        <v>28626</v>
      </c>
      <c r="AS1091" s="86"/>
      <c r="AT1091" s="86"/>
      <c r="AU1091" s="86"/>
      <c r="AV1091" s="86">
        <v>1.6961779785504799E+18</v>
      </c>
      <c r="AW1091" s="96" t="str">
        <f>HYPERLINK("https://t.co/sVxXhP2rie")</f>
        <v>https://t.co/sVxXhP2rie</v>
      </c>
      <c r="AX1091" s="86" t="b">
        <v>0</v>
      </c>
      <c r="AY1091" s="86"/>
      <c r="AZ1091" s="86"/>
      <c r="BA1091" s="86" t="b">
        <v>0</v>
      </c>
      <c r="BB1091" s="86" t="b">
        <v>1</v>
      </c>
      <c r="BC1091" s="86" t="b">
        <v>0</v>
      </c>
      <c r="BD1091" s="86" t="b">
        <v>0</v>
      </c>
      <c r="BE1091" s="86" t="b">
        <v>1</v>
      </c>
      <c r="BF1091" s="86" t="b">
        <v>0</v>
      </c>
      <c r="BG1091" s="86" t="b">
        <v>0</v>
      </c>
      <c r="BH1091" s="96" t="str">
        <f>HYPERLINK("https://pbs.twimg.com/profile_banners/3907825898/1672688973")</f>
        <v>https://pbs.twimg.com/profile_banners/3907825898/1672688973</v>
      </c>
      <c r="BI1091" s="86"/>
      <c r="BJ1091" s="86" t="s">
        <v>29134</v>
      </c>
      <c r="BK1091" s="86" t="b">
        <v>0</v>
      </c>
      <c r="BL1091" s="86"/>
      <c r="BM1091" s="86" t="s">
        <v>66</v>
      </c>
      <c r="BN1091" s="86" t="s">
        <v>29136</v>
      </c>
      <c r="BO1091" s="96" t="str">
        <f>HYPERLINK("https://twitter.com/colaboraprojeto")</f>
        <v>https://twitter.com/colaboraprojeto</v>
      </c>
      <c r="BP1091" s="2"/>
    </row>
    <row r="1092" spans="1:68" x14ac:dyDescent="0.25">
      <c r="A1092" s="63" t="s">
        <v>1150</v>
      </c>
      <c r="B1092" s="64"/>
      <c r="C1092" s="64"/>
      <c r="D1092" s="65"/>
      <c r="E1092" s="67"/>
      <c r="F1092" s="111" t="str">
        <f>HYPERLINK("https://pbs.twimg.com/profile_images/1688525076558135296/MPrBorCK_normal.png")</f>
        <v>https://pbs.twimg.com/profile_images/1688525076558135296/MPrBorCK_normal.png</v>
      </c>
      <c r="G1092" s="64"/>
      <c r="H1092" s="68"/>
      <c r="I1092" s="69"/>
      <c r="J1092" s="69"/>
      <c r="K1092" s="68" t="s">
        <v>30225</v>
      </c>
      <c r="L1092" s="72"/>
      <c r="M1092" s="73"/>
      <c r="N1092" s="73"/>
      <c r="O1092" s="74"/>
      <c r="P1092" s="75"/>
      <c r="Q1092" s="75"/>
      <c r="R1092" s="102"/>
      <c r="S1092" s="102"/>
      <c r="T1092" s="102"/>
      <c r="U1092" s="102"/>
      <c r="V1092" s="48"/>
      <c r="W1092" s="48"/>
      <c r="X1092" s="48"/>
      <c r="Y1092" s="48"/>
      <c r="Z1092" s="47"/>
      <c r="AA1092" s="70">
        <v>1092</v>
      </c>
      <c r="AB1092" s="70"/>
      <c r="AC1092" s="71"/>
      <c r="AD1092" s="86" t="s">
        <v>24695</v>
      </c>
      <c r="AE1092" s="94" t="s">
        <v>22618</v>
      </c>
      <c r="AF1092" s="86">
        <v>9</v>
      </c>
      <c r="AG1092" s="86">
        <v>39</v>
      </c>
      <c r="AH1092" s="86">
        <v>209</v>
      </c>
      <c r="AI1092" s="86">
        <v>0</v>
      </c>
      <c r="AJ1092" s="86">
        <v>7</v>
      </c>
      <c r="AK1092" s="86">
        <v>7</v>
      </c>
      <c r="AL1092" s="86" t="b">
        <v>0</v>
      </c>
      <c r="AM1092" s="89">
        <v>44806.540543981479</v>
      </c>
      <c r="AN1092" s="86"/>
      <c r="AO1092" s="86" t="s">
        <v>27420</v>
      </c>
      <c r="AP1092" s="96" t="str">
        <f>HYPERLINK("https://t.co/5KddMkvpsF")</f>
        <v>https://t.co/5KddMkvpsF</v>
      </c>
      <c r="AQ1092" s="96" t="str">
        <f>HYPERLINK("https://keevo.com.br/")</f>
        <v>https://keevo.com.br/</v>
      </c>
      <c r="AR1092" s="86" t="s">
        <v>28627</v>
      </c>
      <c r="AS1092" s="86"/>
      <c r="AT1092" s="86"/>
      <c r="AU1092" s="86"/>
      <c r="AV1092" s="86"/>
      <c r="AW1092" s="96" t="str">
        <f>HYPERLINK("https://t.co/5KddMkvpsF")</f>
        <v>https://t.co/5KddMkvpsF</v>
      </c>
      <c r="AX1092" s="86" t="b">
        <v>0</v>
      </c>
      <c r="AY1092" s="86"/>
      <c r="AZ1092" s="86"/>
      <c r="BA1092" s="86" t="b">
        <v>0</v>
      </c>
      <c r="BB1092" s="86" t="b">
        <v>1</v>
      </c>
      <c r="BC1092" s="86" t="b">
        <v>1</v>
      </c>
      <c r="BD1092" s="86" t="b">
        <v>0</v>
      </c>
      <c r="BE1092" s="86" t="b">
        <v>0</v>
      </c>
      <c r="BF1092" s="86" t="b">
        <v>0</v>
      </c>
      <c r="BG1092" s="86" t="b">
        <v>0</v>
      </c>
      <c r="BH1092" s="96" t="str">
        <f>HYPERLINK("https://pbs.twimg.com/profile_banners/1565685460713836545/1691409451")</f>
        <v>https://pbs.twimg.com/profile_banners/1565685460713836545/1691409451</v>
      </c>
      <c r="BI1092" s="86"/>
      <c r="BJ1092" s="86" t="s">
        <v>29134</v>
      </c>
      <c r="BK1092" s="86" t="b">
        <v>0</v>
      </c>
      <c r="BL1092" s="86"/>
      <c r="BM1092" s="86" t="s">
        <v>66</v>
      </c>
      <c r="BN1092" s="86" t="s">
        <v>29136</v>
      </c>
      <c r="BO1092" s="96" t="str">
        <f>HYPERLINK("https://twitter.com/keevosolucoes")</f>
        <v>https://twitter.com/keevosolucoes</v>
      </c>
      <c r="BP1092" s="2"/>
    </row>
    <row r="1093" spans="1:68" x14ac:dyDescent="0.25">
      <c r="A1093" s="63" t="s">
        <v>1151</v>
      </c>
      <c r="B1093" s="64"/>
      <c r="C1093" s="64"/>
      <c r="D1093" s="65"/>
      <c r="E1093" s="67"/>
      <c r="F1093" s="111" t="str">
        <f>HYPERLINK("https://pbs.twimg.com/profile_images/1396492937857486854/4hL_jltc_normal.jpg")</f>
        <v>https://pbs.twimg.com/profile_images/1396492937857486854/4hL_jltc_normal.jpg</v>
      </c>
      <c r="G1093" s="64"/>
      <c r="H1093" s="68"/>
      <c r="I1093" s="69"/>
      <c r="J1093" s="69"/>
      <c r="K1093" s="68" t="s">
        <v>30226</v>
      </c>
      <c r="L1093" s="72"/>
      <c r="M1093" s="73"/>
      <c r="N1093" s="73"/>
      <c r="O1093" s="74"/>
      <c r="P1093" s="75"/>
      <c r="Q1093" s="75"/>
      <c r="R1093" s="102"/>
      <c r="S1093" s="102"/>
      <c r="T1093" s="102"/>
      <c r="U1093" s="102"/>
      <c r="V1093" s="48"/>
      <c r="W1093" s="48"/>
      <c r="X1093" s="48"/>
      <c r="Y1093" s="48"/>
      <c r="Z1093" s="47"/>
      <c r="AA1093" s="70">
        <v>1093</v>
      </c>
      <c r="AB1093" s="70"/>
      <c r="AC1093" s="71"/>
      <c r="AD1093" s="86" t="s">
        <v>24696</v>
      </c>
      <c r="AE1093" s="94" t="s">
        <v>23330</v>
      </c>
      <c r="AF1093" s="86">
        <v>6</v>
      </c>
      <c r="AG1093" s="86">
        <v>27</v>
      </c>
      <c r="AH1093" s="86">
        <v>170</v>
      </c>
      <c r="AI1093" s="86">
        <v>0</v>
      </c>
      <c r="AJ1093" s="86">
        <v>50</v>
      </c>
      <c r="AK1093" s="86">
        <v>97</v>
      </c>
      <c r="AL1093" s="86" t="b">
        <v>0</v>
      </c>
      <c r="AM1093" s="89">
        <v>44339.654710648145</v>
      </c>
      <c r="AN1093" s="86" t="s">
        <v>15246</v>
      </c>
      <c r="AO1093" s="86" t="s">
        <v>27421</v>
      </c>
      <c r="AP1093" s="96" t="str">
        <f>HYPERLINK("https://t.co/3h35saTc0c")</f>
        <v>https://t.co/3h35saTc0c</v>
      </c>
      <c r="AQ1093" s="96" t="str">
        <f>HYPERLINK("http://www.ocdcontabil.com.br")</f>
        <v>http://www.ocdcontabil.com.br</v>
      </c>
      <c r="AR1093" s="86" t="s">
        <v>28628</v>
      </c>
      <c r="AS1093" s="86"/>
      <c r="AT1093" s="86"/>
      <c r="AU1093" s="86"/>
      <c r="AV1093" s="86"/>
      <c r="AW1093" s="96" t="str">
        <f>HYPERLINK("https://t.co/3h35saTc0c")</f>
        <v>https://t.co/3h35saTc0c</v>
      </c>
      <c r="AX1093" s="86" t="b">
        <v>0</v>
      </c>
      <c r="AY1093" s="86"/>
      <c r="AZ1093" s="86"/>
      <c r="BA1093" s="86" t="b">
        <v>0</v>
      </c>
      <c r="BB1093" s="86" t="b">
        <v>1</v>
      </c>
      <c r="BC1093" s="86" t="b">
        <v>1</v>
      </c>
      <c r="BD1093" s="86" t="b">
        <v>0</v>
      </c>
      <c r="BE1093" s="86" t="b">
        <v>0</v>
      </c>
      <c r="BF1093" s="86" t="b">
        <v>0</v>
      </c>
      <c r="BG1093" s="86" t="b">
        <v>0</v>
      </c>
      <c r="BH1093" s="96" t="str">
        <f>HYPERLINK("https://pbs.twimg.com/profile_banners/1396491710058926082/1621786212")</f>
        <v>https://pbs.twimg.com/profile_banners/1396491710058926082/1621786212</v>
      </c>
      <c r="BI1093" s="86"/>
      <c r="BJ1093" s="86" t="s">
        <v>29134</v>
      </c>
      <c r="BK1093" s="86" t="b">
        <v>0</v>
      </c>
      <c r="BL1093" s="86"/>
      <c r="BM1093" s="86" t="s">
        <v>66</v>
      </c>
      <c r="BN1093" s="86" t="s">
        <v>29136</v>
      </c>
      <c r="BO1093" s="96" t="str">
        <f>HYPERLINK("https://twitter.com/contabilocd")</f>
        <v>https://twitter.com/contabilocd</v>
      </c>
      <c r="BP1093" s="2"/>
    </row>
    <row r="1094" spans="1:68" x14ac:dyDescent="0.25">
      <c r="A1094" s="63" t="s">
        <v>1152</v>
      </c>
      <c r="B1094" s="64"/>
      <c r="C1094" s="64"/>
      <c r="D1094" s="65"/>
      <c r="E1094" s="67"/>
      <c r="F1094" s="111" t="str">
        <f>HYPERLINK("https://pbs.twimg.com/profile_images/1682143208246214656/onh4WTzA_normal.jpg")</f>
        <v>https://pbs.twimg.com/profile_images/1682143208246214656/onh4WTzA_normal.jpg</v>
      </c>
      <c r="G1094" s="64"/>
      <c r="H1094" s="68"/>
      <c r="I1094" s="69"/>
      <c r="J1094" s="69"/>
      <c r="K1094" s="68" t="s">
        <v>30227</v>
      </c>
      <c r="L1094" s="72"/>
      <c r="M1094" s="73"/>
      <c r="N1094" s="73"/>
      <c r="O1094" s="74"/>
      <c r="P1094" s="75"/>
      <c r="Q1094" s="75"/>
      <c r="R1094" s="102"/>
      <c r="S1094" s="102"/>
      <c r="T1094" s="102"/>
      <c r="U1094" s="102"/>
      <c r="V1094" s="48"/>
      <c r="W1094" s="48"/>
      <c r="X1094" s="48"/>
      <c r="Y1094" s="48"/>
      <c r="Z1094" s="47"/>
      <c r="AA1094" s="70">
        <v>1094</v>
      </c>
      <c r="AB1094" s="70"/>
      <c r="AC1094" s="71"/>
      <c r="AD1094" s="86" t="s">
        <v>24697</v>
      </c>
      <c r="AE1094" s="94" t="s">
        <v>23331</v>
      </c>
      <c r="AF1094" s="86">
        <v>2</v>
      </c>
      <c r="AG1094" s="86">
        <v>1</v>
      </c>
      <c r="AH1094" s="86">
        <v>109</v>
      </c>
      <c r="AI1094" s="86">
        <v>0</v>
      </c>
      <c r="AJ1094" s="86">
        <v>0</v>
      </c>
      <c r="AK1094" s="86">
        <v>0</v>
      </c>
      <c r="AL1094" s="86" t="b">
        <v>0</v>
      </c>
      <c r="AM1094" s="89">
        <v>45127.902314814812</v>
      </c>
      <c r="AN1094" s="86"/>
      <c r="AO1094" s="86"/>
      <c r="AP1094" s="86"/>
      <c r="AQ1094" s="86"/>
      <c r="AR1094" s="86"/>
      <c r="AS1094" s="86"/>
      <c r="AT1094" s="86"/>
      <c r="AU1094" s="86"/>
      <c r="AV1094" s="86"/>
      <c r="AW1094" s="86"/>
      <c r="AX1094" s="86" t="b">
        <v>0</v>
      </c>
      <c r="AY1094" s="86"/>
      <c r="AZ1094" s="86"/>
      <c r="BA1094" s="86" t="b">
        <v>0</v>
      </c>
      <c r="BB1094" s="86" t="b">
        <v>1</v>
      </c>
      <c r="BC1094" s="86" t="b">
        <v>1</v>
      </c>
      <c r="BD1094" s="86" t="b">
        <v>0</v>
      </c>
      <c r="BE1094" s="86" t="b">
        <v>0</v>
      </c>
      <c r="BF1094" s="86" t="b">
        <v>0</v>
      </c>
      <c r="BG1094" s="86" t="b">
        <v>0</v>
      </c>
      <c r="BH1094" s="96" t="str">
        <f>HYPERLINK("https://pbs.twimg.com/profile_banners/1682143129737265152/1689889215")</f>
        <v>https://pbs.twimg.com/profile_banners/1682143129737265152/1689889215</v>
      </c>
      <c r="BI1094" s="86"/>
      <c r="BJ1094" s="86" t="s">
        <v>29134</v>
      </c>
      <c r="BK1094" s="86" t="b">
        <v>0</v>
      </c>
      <c r="BL1094" s="86"/>
      <c r="BM1094" s="86" t="s">
        <v>66</v>
      </c>
      <c r="BN1094" s="86" t="s">
        <v>29136</v>
      </c>
      <c r="BO1094" s="96" t="str">
        <f>HYPERLINK("https://twitter.com/notic_entretmto")</f>
        <v>https://twitter.com/notic_entretmto</v>
      </c>
      <c r="BP1094" s="2"/>
    </row>
    <row r="1095" spans="1:68" x14ac:dyDescent="0.25">
      <c r="A1095" s="63" t="s">
        <v>1153</v>
      </c>
      <c r="B1095" s="64"/>
      <c r="C1095" s="64"/>
      <c r="D1095" s="65"/>
      <c r="E1095" s="67"/>
      <c r="F1095" s="111" t="str">
        <f>HYPERLINK("https://pbs.twimg.com/profile_images/1254471237042143233/uXCT90kp_normal.jpg")</f>
        <v>https://pbs.twimg.com/profile_images/1254471237042143233/uXCT90kp_normal.jpg</v>
      </c>
      <c r="G1095" s="64"/>
      <c r="H1095" s="68"/>
      <c r="I1095" s="69"/>
      <c r="J1095" s="69"/>
      <c r="K1095" s="68" t="s">
        <v>30228</v>
      </c>
      <c r="L1095" s="72"/>
      <c r="M1095" s="73"/>
      <c r="N1095" s="73"/>
      <c r="O1095" s="74"/>
      <c r="P1095" s="75"/>
      <c r="Q1095" s="75"/>
      <c r="R1095" s="102"/>
      <c r="S1095" s="102"/>
      <c r="T1095" s="102"/>
      <c r="U1095" s="102"/>
      <c r="V1095" s="48"/>
      <c r="W1095" s="48"/>
      <c r="X1095" s="48"/>
      <c r="Y1095" s="48"/>
      <c r="Z1095" s="47"/>
      <c r="AA1095" s="70">
        <v>1095</v>
      </c>
      <c r="AB1095" s="70"/>
      <c r="AC1095" s="71"/>
      <c r="AD1095" s="86" t="s">
        <v>24698</v>
      </c>
      <c r="AE1095" s="94" t="s">
        <v>23332</v>
      </c>
      <c r="AF1095" s="86">
        <v>120</v>
      </c>
      <c r="AG1095" s="86">
        <v>809</v>
      </c>
      <c r="AH1095" s="86">
        <v>134</v>
      </c>
      <c r="AI1095" s="86">
        <v>1</v>
      </c>
      <c r="AJ1095" s="86">
        <v>64</v>
      </c>
      <c r="AK1095" s="86">
        <v>9</v>
      </c>
      <c r="AL1095" s="86" t="b">
        <v>0</v>
      </c>
      <c r="AM1095" s="89">
        <v>43947.752233796295</v>
      </c>
      <c r="AN1095" s="86"/>
      <c r="AO1095" s="86" t="s">
        <v>27422</v>
      </c>
      <c r="AP1095" s="86"/>
      <c r="AQ1095" s="86"/>
      <c r="AR1095" s="86"/>
      <c r="AS1095" s="86"/>
      <c r="AT1095" s="86"/>
      <c r="AU1095" s="86"/>
      <c r="AV1095" s="86"/>
      <c r="AW1095" s="86"/>
      <c r="AX1095" s="86" t="b">
        <v>0</v>
      </c>
      <c r="AY1095" s="86"/>
      <c r="AZ1095" s="86"/>
      <c r="BA1095" s="86" t="b">
        <v>1</v>
      </c>
      <c r="BB1095" s="86" t="b">
        <v>1</v>
      </c>
      <c r="BC1095" s="86" t="b">
        <v>1</v>
      </c>
      <c r="BD1095" s="86" t="b">
        <v>0</v>
      </c>
      <c r="BE1095" s="86" t="b">
        <v>0</v>
      </c>
      <c r="BF1095" s="86" t="b">
        <v>0</v>
      </c>
      <c r="BG1095" s="86" t="b">
        <v>1</v>
      </c>
      <c r="BH1095" s="96" t="str">
        <f>HYPERLINK("https://pbs.twimg.com/profile_banners/1254471056900882433/1587925369")</f>
        <v>https://pbs.twimg.com/profile_banners/1254471056900882433/1587925369</v>
      </c>
      <c r="BI1095" s="86"/>
      <c r="BJ1095" s="86" t="s">
        <v>29134</v>
      </c>
      <c r="BK1095" s="86" t="b">
        <v>0</v>
      </c>
      <c r="BL1095" s="86"/>
      <c r="BM1095" s="86" t="s">
        <v>66</v>
      </c>
      <c r="BN1095" s="86" t="s">
        <v>29136</v>
      </c>
      <c r="BO1095" s="96" t="str">
        <f>HYPERLINK("https://twitter.com/abimarburitijr")</f>
        <v>https://twitter.com/abimarburitijr</v>
      </c>
      <c r="BP1095" s="2"/>
    </row>
    <row r="1096" spans="1:68" x14ac:dyDescent="0.25">
      <c r="A1096" s="63" t="s">
        <v>1154</v>
      </c>
      <c r="B1096" s="64"/>
      <c r="C1096" s="64"/>
      <c r="D1096" s="65"/>
      <c r="E1096" s="67"/>
      <c r="F1096" s="111" t="str">
        <f>HYPERLINK("https://pbs.twimg.com/profile_images/1685086107740856320/vM8byXn__normal.jpg")</f>
        <v>https://pbs.twimg.com/profile_images/1685086107740856320/vM8byXn__normal.jpg</v>
      </c>
      <c r="G1096" s="64"/>
      <c r="H1096" s="68"/>
      <c r="I1096" s="69"/>
      <c r="J1096" s="69"/>
      <c r="K1096" s="68" t="s">
        <v>30229</v>
      </c>
      <c r="L1096" s="72"/>
      <c r="M1096" s="73"/>
      <c r="N1096" s="73"/>
      <c r="O1096" s="74"/>
      <c r="P1096" s="75"/>
      <c r="Q1096" s="75"/>
      <c r="R1096" s="102"/>
      <c r="S1096" s="102"/>
      <c r="T1096" s="102"/>
      <c r="U1096" s="102"/>
      <c r="V1096" s="48"/>
      <c r="W1096" s="48"/>
      <c r="X1096" s="48"/>
      <c r="Y1096" s="48"/>
      <c r="Z1096" s="47"/>
      <c r="AA1096" s="70">
        <v>1096</v>
      </c>
      <c r="AB1096" s="70"/>
      <c r="AC1096" s="71"/>
      <c r="AD1096" s="86" t="s">
        <v>24699</v>
      </c>
      <c r="AE1096" s="94" t="s">
        <v>23333</v>
      </c>
      <c r="AF1096" s="86">
        <v>6</v>
      </c>
      <c r="AG1096" s="86">
        <v>9</v>
      </c>
      <c r="AH1096" s="86">
        <v>89</v>
      </c>
      <c r="AI1096" s="86">
        <v>0</v>
      </c>
      <c r="AJ1096" s="86">
        <v>173</v>
      </c>
      <c r="AK1096" s="86">
        <v>89</v>
      </c>
      <c r="AL1096" s="86" t="b">
        <v>0</v>
      </c>
      <c r="AM1096" s="89">
        <v>45136.022650462961</v>
      </c>
      <c r="AN1096" s="86"/>
      <c r="AO1096" s="86" t="s">
        <v>27423</v>
      </c>
      <c r="AP1096" s="86"/>
      <c r="AQ1096" s="86"/>
      <c r="AR1096" s="86"/>
      <c r="AS1096" s="86"/>
      <c r="AT1096" s="86"/>
      <c r="AU1096" s="86"/>
      <c r="AV1096" s="86"/>
      <c r="AW1096" s="86"/>
      <c r="AX1096" s="86" t="b">
        <v>0</v>
      </c>
      <c r="AY1096" s="86"/>
      <c r="AZ1096" s="86"/>
      <c r="BA1096" s="86" t="b">
        <v>0</v>
      </c>
      <c r="BB1096" s="86" t="b">
        <v>1</v>
      </c>
      <c r="BC1096" s="86" t="b">
        <v>1</v>
      </c>
      <c r="BD1096" s="86" t="b">
        <v>0</v>
      </c>
      <c r="BE1096" s="86" t="b">
        <v>0</v>
      </c>
      <c r="BF1096" s="86" t="b">
        <v>0</v>
      </c>
      <c r="BG1096" s="86" t="b">
        <v>0</v>
      </c>
      <c r="BH1096" s="96" t="str">
        <f>HYPERLINK("https://pbs.twimg.com/profile_banners/1685085832321843200/1690592631")</f>
        <v>https://pbs.twimg.com/profile_banners/1685085832321843200/1690592631</v>
      </c>
      <c r="BI1096" s="86"/>
      <c r="BJ1096" s="86" t="s">
        <v>29134</v>
      </c>
      <c r="BK1096" s="86" t="b">
        <v>0</v>
      </c>
      <c r="BL1096" s="86"/>
      <c r="BM1096" s="86" t="s">
        <v>66</v>
      </c>
      <c r="BN1096" s="86" t="s">
        <v>29136</v>
      </c>
      <c r="BO1096" s="96" t="str">
        <f>HYPERLINK("https://twitter.com/performandovida")</f>
        <v>https://twitter.com/performandovida</v>
      </c>
      <c r="BP1096" s="2"/>
    </row>
    <row r="1097" spans="1:68" x14ac:dyDescent="0.25">
      <c r="A1097" s="63" t="s">
        <v>1155</v>
      </c>
      <c r="B1097" s="64"/>
      <c r="C1097" s="64"/>
      <c r="D1097" s="65"/>
      <c r="E1097" s="67"/>
      <c r="F1097" s="111" t="str">
        <f>HYPERLINK("https://pbs.twimg.com/profile_images/1642947398325489665/aFrJfa4D_normal.jpg")</f>
        <v>https://pbs.twimg.com/profile_images/1642947398325489665/aFrJfa4D_normal.jpg</v>
      </c>
      <c r="G1097" s="64"/>
      <c r="H1097" s="68"/>
      <c r="I1097" s="69"/>
      <c r="J1097" s="69"/>
      <c r="K1097" s="68" t="s">
        <v>30230</v>
      </c>
      <c r="L1097" s="72"/>
      <c r="M1097" s="73"/>
      <c r="N1097" s="73"/>
      <c r="O1097" s="74"/>
      <c r="P1097" s="75"/>
      <c r="Q1097" s="75"/>
      <c r="R1097" s="102"/>
      <c r="S1097" s="102"/>
      <c r="T1097" s="102"/>
      <c r="U1097" s="102"/>
      <c r="V1097" s="48"/>
      <c r="W1097" s="48"/>
      <c r="X1097" s="48"/>
      <c r="Y1097" s="48"/>
      <c r="Z1097" s="47"/>
      <c r="AA1097" s="70">
        <v>1097</v>
      </c>
      <c r="AB1097" s="70"/>
      <c r="AC1097" s="71"/>
      <c r="AD1097" s="86" t="s">
        <v>24700</v>
      </c>
      <c r="AE1097" s="94" t="s">
        <v>25656</v>
      </c>
      <c r="AF1097" s="86">
        <v>819</v>
      </c>
      <c r="AG1097" s="86">
        <v>409</v>
      </c>
      <c r="AH1097" s="86">
        <v>3260</v>
      </c>
      <c r="AI1097" s="86">
        <v>12</v>
      </c>
      <c r="AJ1097" s="86">
        <v>108</v>
      </c>
      <c r="AK1097" s="86">
        <v>544</v>
      </c>
      <c r="AL1097" s="86" t="b">
        <v>0</v>
      </c>
      <c r="AM1097" s="89">
        <v>40039.902951388889</v>
      </c>
      <c r="AN1097" s="86" t="s">
        <v>15234</v>
      </c>
      <c r="AO1097" s="86" t="s">
        <v>27424</v>
      </c>
      <c r="AP1097" s="96" t="str">
        <f>HYPERLINK("https://t.co/qIHe05X12O")</f>
        <v>https://t.co/qIHe05X12O</v>
      </c>
      <c r="AQ1097" s="96" t="str">
        <f>HYPERLINK("http://kenlo.com.br")</f>
        <v>http://kenlo.com.br</v>
      </c>
      <c r="AR1097" s="86" t="s">
        <v>28629</v>
      </c>
      <c r="AS1097" s="86"/>
      <c r="AT1097" s="86"/>
      <c r="AU1097" s="86"/>
      <c r="AV1097" s="86">
        <v>1.7016024029552901E+18</v>
      </c>
      <c r="AW1097" s="96" t="str">
        <f>HYPERLINK("https://t.co/qIHe05X12O")</f>
        <v>https://t.co/qIHe05X12O</v>
      </c>
      <c r="AX1097" s="86" t="b">
        <v>0</v>
      </c>
      <c r="AY1097" s="86"/>
      <c r="AZ1097" s="86"/>
      <c r="BA1097" s="86" t="b">
        <v>1</v>
      </c>
      <c r="BB1097" s="86" t="b">
        <v>1</v>
      </c>
      <c r="BC1097" s="86" t="b">
        <v>0</v>
      </c>
      <c r="BD1097" s="86" t="b">
        <v>0</v>
      </c>
      <c r="BE1097" s="86" t="b">
        <v>0</v>
      </c>
      <c r="BF1097" s="86" t="b">
        <v>0</v>
      </c>
      <c r="BG1097" s="86" t="b">
        <v>0</v>
      </c>
      <c r="BH1097" s="96" t="str">
        <f>HYPERLINK("https://pbs.twimg.com/profile_banners/65743053/1688665912")</f>
        <v>https://pbs.twimg.com/profile_banners/65743053/1688665912</v>
      </c>
      <c r="BI1097" s="86"/>
      <c r="BJ1097" s="86" t="s">
        <v>29134</v>
      </c>
      <c r="BK1097" s="86" t="b">
        <v>0</v>
      </c>
      <c r="BL1097" s="86"/>
      <c r="BM1097" s="86" t="s">
        <v>66</v>
      </c>
      <c r="BN1097" s="86" t="s">
        <v>29136</v>
      </c>
      <c r="BO1097" s="96" t="str">
        <f>HYPERLINK("https://twitter.com/kenlobr")</f>
        <v>https://twitter.com/kenlobr</v>
      </c>
      <c r="BP1097" s="2"/>
    </row>
    <row r="1098" spans="1:68" x14ac:dyDescent="0.25">
      <c r="A1098" s="63" t="s">
        <v>1156</v>
      </c>
      <c r="B1098" s="64"/>
      <c r="C1098" s="64"/>
      <c r="D1098" s="65"/>
      <c r="E1098" s="67"/>
      <c r="F1098" s="111" t="str">
        <f>HYPERLINK("https://pbs.twimg.com/profile_images/1694771956766101504/QNFibLbD_normal.jpg")</f>
        <v>https://pbs.twimg.com/profile_images/1694771956766101504/QNFibLbD_normal.jpg</v>
      </c>
      <c r="G1098" s="64"/>
      <c r="H1098" s="68"/>
      <c r="I1098" s="69"/>
      <c r="J1098" s="69"/>
      <c r="K1098" s="68" t="s">
        <v>30231</v>
      </c>
      <c r="L1098" s="72"/>
      <c r="M1098" s="73"/>
      <c r="N1098" s="73"/>
      <c r="O1098" s="74"/>
      <c r="P1098" s="75"/>
      <c r="Q1098" s="75"/>
      <c r="R1098" s="102"/>
      <c r="S1098" s="102"/>
      <c r="T1098" s="102"/>
      <c r="U1098" s="102"/>
      <c r="V1098" s="48"/>
      <c r="W1098" s="48"/>
      <c r="X1098" s="48"/>
      <c r="Y1098" s="48"/>
      <c r="Z1098" s="47"/>
      <c r="AA1098" s="70">
        <v>1098</v>
      </c>
      <c r="AB1098" s="70"/>
      <c r="AC1098" s="71"/>
      <c r="AD1098" s="86" t="s">
        <v>24701</v>
      </c>
      <c r="AE1098" s="94" t="s">
        <v>23334</v>
      </c>
      <c r="AF1098" s="86">
        <v>11</v>
      </c>
      <c r="AG1098" s="86">
        <v>6</v>
      </c>
      <c r="AH1098" s="86">
        <v>109</v>
      </c>
      <c r="AI1098" s="86">
        <v>0</v>
      </c>
      <c r="AJ1098" s="86">
        <v>0</v>
      </c>
      <c r="AK1098" s="86">
        <v>107</v>
      </c>
      <c r="AL1098" s="86" t="b">
        <v>0</v>
      </c>
      <c r="AM1098" s="89">
        <v>44764.98945601852</v>
      </c>
      <c r="AN1098" s="86" t="s">
        <v>26250</v>
      </c>
      <c r="AO1098" s="86" t="s">
        <v>27425</v>
      </c>
      <c r="AP1098" s="86"/>
      <c r="AQ1098" s="86"/>
      <c r="AR1098" s="86"/>
      <c r="AS1098" s="86"/>
      <c r="AT1098" s="86"/>
      <c r="AU1098" s="86"/>
      <c r="AV1098" s="86"/>
      <c r="AW1098" s="86"/>
      <c r="AX1098" s="86" t="b">
        <v>0</v>
      </c>
      <c r="AY1098" s="86"/>
      <c r="AZ1098" s="86"/>
      <c r="BA1098" s="86" t="b">
        <v>0</v>
      </c>
      <c r="BB1098" s="86" t="b">
        <v>1</v>
      </c>
      <c r="BC1098" s="86" t="b">
        <v>1</v>
      </c>
      <c r="BD1098" s="86" t="b">
        <v>0</v>
      </c>
      <c r="BE1098" s="86" t="b">
        <v>0</v>
      </c>
      <c r="BF1098" s="86" t="b">
        <v>0</v>
      </c>
      <c r="BG1098" s="86" t="b">
        <v>0</v>
      </c>
      <c r="BH1098" s="96" t="str">
        <f>HYPERLINK("https://pbs.twimg.com/profile_banners/1550627911002112000/1692991535")</f>
        <v>https://pbs.twimg.com/profile_banners/1550627911002112000/1692991535</v>
      </c>
      <c r="BI1098" s="86"/>
      <c r="BJ1098" s="86" t="s">
        <v>29134</v>
      </c>
      <c r="BK1098" s="86" t="b">
        <v>0</v>
      </c>
      <c r="BL1098" s="86"/>
      <c r="BM1098" s="86" t="s">
        <v>66</v>
      </c>
      <c r="BN1098" s="86" t="s">
        <v>29136</v>
      </c>
      <c r="BO1098" s="96" t="str">
        <f>HYPERLINK("https://twitter.com/expofavelaceara")</f>
        <v>https://twitter.com/expofavelaceara</v>
      </c>
      <c r="BP1098" s="2"/>
    </row>
    <row r="1099" spans="1:68" x14ac:dyDescent="0.25">
      <c r="A1099" s="63" t="s">
        <v>1766</v>
      </c>
      <c r="B1099" s="64"/>
      <c r="C1099" s="64"/>
      <c r="D1099" s="65"/>
      <c r="E1099" s="67"/>
      <c r="F1099" s="111" t="str">
        <f>HYPERLINK("https://pbs.twimg.com/profile_images/1372583943040610314/nqk2yJ_Q_normal.jpg")</f>
        <v>https://pbs.twimg.com/profile_images/1372583943040610314/nqk2yJ_Q_normal.jpg</v>
      </c>
      <c r="G1099" s="64"/>
      <c r="H1099" s="68"/>
      <c r="I1099" s="69"/>
      <c r="J1099" s="69"/>
      <c r="K1099" s="68" t="s">
        <v>30232</v>
      </c>
      <c r="L1099" s="72"/>
      <c r="M1099" s="73"/>
      <c r="N1099" s="73"/>
      <c r="O1099" s="74"/>
      <c r="P1099" s="75"/>
      <c r="Q1099" s="75"/>
      <c r="R1099" s="102"/>
      <c r="S1099" s="102"/>
      <c r="T1099" s="102"/>
      <c r="U1099" s="102"/>
      <c r="V1099" s="48"/>
      <c r="W1099" s="48"/>
      <c r="X1099" s="48"/>
      <c r="Y1099" s="48"/>
      <c r="Z1099" s="47"/>
      <c r="AA1099" s="70">
        <v>1099</v>
      </c>
      <c r="AB1099" s="70"/>
      <c r="AC1099" s="71"/>
      <c r="AD1099" s="86" t="s">
        <v>24702</v>
      </c>
      <c r="AE1099" s="94" t="s">
        <v>25657</v>
      </c>
      <c r="AF1099" s="86">
        <v>1398668</v>
      </c>
      <c r="AG1099" s="86">
        <v>606</v>
      </c>
      <c r="AH1099" s="86">
        <v>15144</v>
      </c>
      <c r="AI1099" s="86">
        <v>1616</v>
      </c>
      <c r="AJ1099" s="86">
        <v>11122</v>
      </c>
      <c r="AK1099" s="86">
        <v>2480</v>
      </c>
      <c r="AL1099" s="86" t="b">
        <v>0</v>
      </c>
      <c r="AM1099" s="89">
        <v>39886.70988425926</v>
      </c>
      <c r="AN1099" s="86" t="s">
        <v>15372</v>
      </c>
      <c r="AO1099" s="86" t="s">
        <v>27426</v>
      </c>
      <c r="AP1099" s="96" t="str">
        <f>HYPERLINK("https://t.co/0Kf2RtHy2Y")</f>
        <v>https://t.co/0Kf2RtHy2Y</v>
      </c>
      <c r="AQ1099" s="96" t="str">
        <f>HYPERLINK("http://www.reginacase.com.br")</f>
        <v>http://www.reginacase.com.br</v>
      </c>
      <c r="AR1099" s="86" t="s">
        <v>28630</v>
      </c>
      <c r="AS1099" s="86"/>
      <c r="AT1099" s="86"/>
      <c r="AU1099" s="86"/>
      <c r="AV1099" s="86"/>
      <c r="AW1099" s="96" t="str">
        <f>HYPERLINK("https://t.co/0Kf2RtHy2Y")</f>
        <v>https://t.co/0Kf2RtHy2Y</v>
      </c>
      <c r="AX1099" s="86" t="b">
        <v>1</v>
      </c>
      <c r="AY1099" s="86"/>
      <c r="AZ1099" s="86"/>
      <c r="BA1099" s="86" t="b">
        <v>0</v>
      </c>
      <c r="BB1099" s="86" t="b">
        <v>1</v>
      </c>
      <c r="BC1099" s="86" t="b">
        <v>0</v>
      </c>
      <c r="BD1099" s="86" t="b">
        <v>0</v>
      </c>
      <c r="BE1099" s="86" t="b">
        <v>1</v>
      </c>
      <c r="BF1099" s="86" t="b">
        <v>0</v>
      </c>
      <c r="BG1099" s="86" t="b">
        <v>0</v>
      </c>
      <c r="BH1099" s="96" t="str">
        <f>HYPERLINK("https://pbs.twimg.com/profile_banners/24395664/1571417800")</f>
        <v>https://pbs.twimg.com/profile_banners/24395664/1571417800</v>
      </c>
      <c r="BI1099" s="86"/>
      <c r="BJ1099" s="86" t="s">
        <v>29134</v>
      </c>
      <c r="BK1099" s="86" t="b">
        <v>0</v>
      </c>
      <c r="BL1099" s="86"/>
      <c r="BM1099" s="86" t="s">
        <v>65</v>
      </c>
      <c r="BN1099" s="86" t="s">
        <v>29136</v>
      </c>
      <c r="BO1099" s="96" t="str">
        <f>HYPERLINK("https://twitter.com/reginacase")</f>
        <v>https://twitter.com/reginacase</v>
      </c>
      <c r="BP1099" s="2"/>
    </row>
    <row r="1100" spans="1:68" x14ac:dyDescent="0.25">
      <c r="A1100" s="63" t="s">
        <v>1767</v>
      </c>
      <c r="B1100" s="64"/>
      <c r="C1100" s="64"/>
      <c r="D1100" s="65"/>
      <c r="E1100" s="67"/>
      <c r="F1100" s="111" t="str">
        <f>HYPERLINK("https://abs.twimg.com/sticky/default_profile_images/default_profile_normal.png")</f>
        <v>https://abs.twimg.com/sticky/default_profile_images/default_profile_normal.png</v>
      </c>
      <c r="G1100" s="64"/>
      <c r="H1100" s="68"/>
      <c r="I1100" s="69"/>
      <c r="J1100" s="69"/>
      <c r="K1100" s="68" t="s">
        <v>30233</v>
      </c>
      <c r="L1100" s="72"/>
      <c r="M1100" s="73"/>
      <c r="N1100" s="73"/>
      <c r="O1100" s="74"/>
      <c r="P1100" s="75"/>
      <c r="Q1100" s="75"/>
      <c r="R1100" s="102"/>
      <c r="S1100" s="102"/>
      <c r="T1100" s="102"/>
      <c r="U1100" s="102"/>
      <c r="V1100" s="48"/>
      <c r="W1100" s="48"/>
      <c r="X1100" s="48"/>
      <c r="Y1100" s="48"/>
      <c r="Z1100" s="47"/>
      <c r="AA1100" s="70">
        <v>1100</v>
      </c>
      <c r="AB1100" s="70"/>
      <c r="AC1100" s="71"/>
      <c r="AD1100" s="86" t="s">
        <v>24703</v>
      </c>
      <c r="AE1100" s="94" t="s">
        <v>25658</v>
      </c>
      <c r="AF1100" s="86">
        <v>28</v>
      </c>
      <c r="AG1100" s="86">
        <v>1</v>
      </c>
      <c r="AH1100" s="86">
        <v>0</v>
      </c>
      <c r="AI1100" s="86">
        <v>0</v>
      </c>
      <c r="AJ1100" s="86">
        <v>0</v>
      </c>
      <c r="AK1100" s="86">
        <v>0</v>
      </c>
      <c r="AL1100" s="86" t="b">
        <v>0</v>
      </c>
      <c r="AM1100" s="89">
        <v>40170.689814814818</v>
      </c>
      <c r="AN1100" s="86"/>
      <c r="AO1100" s="86"/>
      <c r="AP1100" s="86"/>
      <c r="AQ1100" s="86"/>
      <c r="AR1100" s="86"/>
      <c r="AS1100" s="86"/>
      <c r="AT1100" s="86"/>
      <c r="AU1100" s="86"/>
      <c r="AV1100" s="86"/>
      <c r="AW1100" s="86"/>
      <c r="AX1100" s="86" t="b">
        <v>0</v>
      </c>
      <c r="AY1100" s="86"/>
      <c r="AZ1100" s="86"/>
      <c r="BA1100" s="86" t="b">
        <v>0</v>
      </c>
      <c r="BB1100" s="86" t="b">
        <v>1</v>
      </c>
      <c r="BC1100" s="86" t="b">
        <v>1</v>
      </c>
      <c r="BD1100" s="86" t="b">
        <v>1</v>
      </c>
      <c r="BE1100" s="86" t="b">
        <v>0</v>
      </c>
      <c r="BF1100" s="86" t="b">
        <v>0</v>
      </c>
      <c r="BG1100" s="86" t="b">
        <v>0</v>
      </c>
      <c r="BH1100" s="86"/>
      <c r="BI1100" s="86"/>
      <c r="BJ1100" s="86" t="s">
        <v>29134</v>
      </c>
      <c r="BK1100" s="86" t="b">
        <v>0</v>
      </c>
      <c r="BL1100" s="86"/>
      <c r="BM1100" s="86" t="s">
        <v>65</v>
      </c>
      <c r="BN1100" s="86" t="s">
        <v>29136</v>
      </c>
      <c r="BO1100" s="96" t="str">
        <f>HYPERLINK("https://twitter.com/adrianapreta")</f>
        <v>https://twitter.com/adrianapreta</v>
      </c>
      <c r="BP1100" s="2"/>
    </row>
    <row r="1101" spans="1:68" x14ac:dyDescent="0.25">
      <c r="A1101" s="63" t="s">
        <v>1768</v>
      </c>
      <c r="B1101" s="64"/>
      <c r="C1101" s="64"/>
      <c r="D1101" s="65"/>
      <c r="E1101" s="67"/>
      <c r="F1101" s="111" t="str">
        <f>HYPERLINK("https://pbs.twimg.com/profile_images/1513075159917383683/qQr8MYjB_normal.jpg")</f>
        <v>https://pbs.twimg.com/profile_images/1513075159917383683/qQr8MYjB_normal.jpg</v>
      </c>
      <c r="G1101" s="64"/>
      <c r="H1101" s="68"/>
      <c r="I1101" s="69"/>
      <c r="J1101" s="69"/>
      <c r="K1101" s="68" t="s">
        <v>30234</v>
      </c>
      <c r="L1101" s="72"/>
      <c r="M1101" s="73"/>
      <c r="N1101" s="73"/>
      <c r="O1101" s="74"/>
      <c r="P1101" s="75"/>
      <c r="Q1101" s="75"/>
      <c r="R1101" s="102"/>
      <c r="S1101" s="102"/>
      <c r="T1101" s="102"/>
      <c r="U1101" s="102"/>
      <c r="V1101" s="48"/>
      <c r="W1101" s="48"/>
      <c r="X1101" s="48"/>
      <c r="Y1101" s="48"/>
      <c r="Z1101" s="47"/>
      <c r="AA1101" s="70">
        <v>1101</v>
      </c>
      <c r="AB1101" s="70"/>
      <c r="AC1101" s="71"/>
      <c r="AD1101" s="86" t="s">
        <v>1768</v>
      </c>
      <c r="AE1101" s="94" t="s">
        <v>25659</v>
      </c>
      <c r="AF1101" s="86">
        <v>329</v>
      </c>
      <c r="AG1101" s="86">
        <v>126</v>
      </c>
      <c r="AH1101" s="86">
        <v>10094</v>
      </c>
      <c r="AI1101" s="86">
        <v>3</v>
      </c>
      <c r="AJ1101" s="86">
        <v>12078</v>
      </c>
      <c r="AK1101" s="86">
        <v>1386</v>
      </c>
      <c r="AL1101" s="86" t="b">
        <v>0</v>
      </c>
      <c r="AM1101" s="89">
        <v>39180.926666666666</v>
      </c>
      <c r="AN1101" s="86"/>
      <c r="AO1101" s="86" t="s">
        <v>27427</v>
      </c>
      <c r="AP1101" s="86"/>
      <c r="AQ1101" s="86"/>
      <c r="AR1101" s="86"/>
      <c r="AS1101" s="86"/>
      <c r="AT1101" s="86"/>
      <c r="AU1101" s="86"/>
      <c r="AV1101" s="86"/>
      <c r="AW1101" s="86"/>
      <c r="AX1101" s="86" t="b">
        <v>0</v>
      </c>
      <c r="AY1101" s="86"/>
      <c r="AZ1101" s="86"/>
      <c r="BA1101" s="86" t="b">
        <v>0</v>
      </c>
      <c r="BB1101" s="86" t="b">
        <v>0</v>
      </c>
      <c r="BC1101" s="86" t="b">
        <v>0</v>
      </c>
      <c r="BD1101" s="86" t="b">
        <v>0</v>
      </c>
      <c r="BE1101" s="86" t="b">
        <v>1</v>
      </c>
      <c r="BF1101" s="86" t="b">
        <v>0</v>
      </c>
      <c r="BG1101" s="86" t="b">
        <v>0</v>
      </c>
      <c r="BH1101" s="96" t="str">
        <f>HYPERLINK("https://pbs.twimg.com/profile_banners/3824461/1611086914")</f>
        <v>https://pbs.twimg.com/profile_banners/3824461/1611086914</v>
      </c>
      <c r="BI1101" s="86"/>
      <c r="BJ1101" s="86" t="s">
        <v>29134</v>
      </c>
      <c r="BK1101" s="86" t="b">
        <v>0</v>
      </c>
      <c r="BL1101" s="86"/>
      <c r="BM1101" s="86" t="s">
        <v>65</v>
      </c>
      <c r="BN1101" s="86" t="s">
        <v>29136</v>
      </c>
      <c r="BO1101" s="96" t="str">
        <f>HYPERLINK("https://twitter.com/kond")</f>
        <v>https://twitter.com/kond</v>
      </c>
      <c r="BP1101" s="2"/>
    </row>
    <row r="1102" spans="1:68" x14ac:dyDescent="0.25">
      <c r="A1102" s="63" t="s">
        <v>1157</v>
      </c>
      <c r="B1102" s="64"/>
      <c r="C1102" s="64"/>
      <c r="D1102" s="65"/>
      <c r="E1102" s="67"/>
      <c r="F1102" s="111" t="str">
        <f>HYPERLINK("https://pbs.twimg.com/profile_images/1669793783867645969/-NOFVFmF_normal.jpg")</f>
        <v>https://pbs.twimg.com/profile_images/1669793783867645969/-NOFVFmF_normal.jpg</v>
      </c>
      <c r="G1102" s="64"/>
      <c r="H1102" s="68"/>
      <c r="I1102" s="69"/>
      <c r="J1102" s="69"/>
      <c r="K1102" s="68" t="s">
        <v>30235</v>
      </c>
      <c r="L1102" s="72"/>
      <c r="M1102" s="73"/>
      <c r="N1102" s="73"/>
      <c r="O1102" s="74"/>
      <c r="P1102" s="75"/>
      <c r="Q1102" s="75"/>
      <c r="R1102" s="102"/>
      <c r="S1102" s="102"/>
      <c r="T1102" s="102"/>
      <c r="U1102" s="102"/>
      <c r="V1102" s="48"/>
      <c r="W1102" s="48"/>
      <c r="X1102" s="48"/>
      <c r="Y1102" s="48"/>
      <c r="Z1102" s="47"/>
      <c r="AA1102" s="70">
        <v>1102</v>
      </c>
      <c r="AB1102" s="70"/>
      <c r="AC1102" s="71"/>
      <c r="AD1102" s="86" t="s">
        <v>24704</v>
      </c>
      <c r="AE1102" s="94" t="s">
        <v>25660</v>
      </c>
      <c r="AF1102" s="86">
        <v>24999</v>
      </c>
      <c r="AG1102" s="86">
        <v>235</v>
      </c>
      <c r="AH1102" s="86">
        <v>32269</v>
      </c>
      <c r="AI1102" s="86">
        <v>19</v>
      </c>
      <c r="AJ1102" s="86">
        <v>4127</v>
      </c>
      <c r="AK1102" s="86">
        <v>327</v>
      </c>
      <c r="AL1102" s="86" t="b">
        <v>0</v>
      </c>
      <c r="AM1102" s="89">
        <v>42043.178020833337</v>
      </c>
      <c r="AN1102" s="86" t="s">
        <v>15289</v>
      </c>
      <c r="AO1102" s="86"/>
      <c r="AP1102" s="96" t="str">
        <f>HYPERLINK("https://t.co/dGbioNkl6R")</f>
        <v>https://t.co/dGbioNkl6R</v>
      </c>
      <c r="AQ1102" s="96" t="str">
        <f>HYPERLINK("http://www.portaldeprefeitura.com.br")</f>
        <v>http://www.portaldeprefeitura.com.br</v>
      </c>
      <c r="AR1102" s="86" t="s">
        <v>28631</v>
      </c>
      <c r="AS1102" s="86"/>
      <c r="AT1102" s="86"/>
      <c r="AU1102" s="86"/>
      <c r="AV1102" s="86"/>
      <c r="AW1102" s="96" t="str">
        <f>HYPERLINK("https://t.co/dGbioNkl6R")</f>
        <v>https://t.co/dGbioNkl6R</v>
      </c>
      <c r="AX1102" s="86" t="b">
        <v>0</v>
      </c>
      <c r="AY1102" s="86"/>
      <c r="AZ1102" s="86"/>
      <c r="BA1102" s="86" t="b">
        <v>1</v>
      </c>
      <c r="BB1102" s="86" t="b">
        <v>1</v>
      </c>
      <c r="BC1102" s="86" t="b">
        <v>0</v>
      </c>
      <c r="BD1102" s="86" t="b">
        <v>0</v>
      </c>
      <c r="BE1102" s="86" t="b">
        <v>0</v>
      </c>
      <c r="BF1102" s="86" t="b">
        <v>0</v>
      </c>
      <c r="BG1102" s="86" t="b">
        <v>0</v>
      </c>
      <c r="BH1102" s="96" t="str">
        <f>HYPERLINK("https://pbs.twimg.com/profile_banners/3024436931/1612471717")</f>
        <v>https://pbs.twimg.com/profile_banners/3024436931/1612471717</v>
      </c>
      <c r="BI1102" s="86"/>
      <c r="BJ1102" s="86" t="s">
        <v>29134</v>
      </c>
      <c r="BK1102" s="86" t="b">
        <v>0</v>
      </c>
      <c r="BL1102" s="86"/>
      <c r="BM1102" s="86" t="s">
        <v>66</v>
      </c>
      <c r="BN1102" s="86" t="s">
        <v>29136</v>
      </c>
      <c r="BO1102" s="96" t="str">
        <f>HYPERLINK("https://twitter.com/p_prefeitura")</f>
        <v>https://twitter.com/p_prefeitura</v>
      </c>
      <c r="BP1102" s="2"/>
    </row>
    <row r="1103" spans="1:68" x14ac:dyDescent="0.25">
      <c r="A1103" s="63" t="s">
        <v>1158</v>
      </c>
      <c r="B1103" s="64"/>
      <c r="C1103" s="64"/>
      <c r="D1103" s="65"/>
      <c r="E1103" s="67"/>
      <c r="F1103" s="111" t="str">
        <f>HYPERLINK("https://pbs.twimg.com/profile_images/3725700798/2dfa09e9c5277513c4f40509dfe8bd19_normal.jpeg")</f>
        <v>https://pbs.twimg.com/profile_images/3725700798/2dfa09e9c5277513c4f40509dfe8bd19_normal.jpeg</v>
      </c>
      <c r="G1103" s="64"/>
      <c r="H1103" s="68"/>
      <c r="I1103" s="69"/>
      <c r="J1103" s="69"/>
      <c r="K1103" s="68" t="s">
        <v>30236</v>
      </c>
      <c r="L1103" s="72"/>
      <c r="M1103" s="73"/>
      <c r="N1103" s="73"/>
      <c r="O1103" s="74"/>
      <c r="P1103" s="75"/>
      <c r="Q1103" s="75"/>
      <c r="R1103" s="102"/>
      <c r="S1103" s="102"/>
      <c r="T1103" s="102"/>
      <c r="U1103" s="102"/>
      <c r="V1103" s="48"/>
      <c r="W1103" s="48"/>
      <c r="X1103" s="48"/>
      <c r="Y1103" s="48"/>
      <c r="Z1103" s="47"/>
      <c r="AA1103" s="70">
        <v>1103</v>
      </c>
      <c r="AB1103" s="70"/>
      <c r="AC1103" s="71"/>
      <c r="AD1103" s="86" t="s">
        <v>24705</v>
      </c>
      <c r="AE1103" s="94" t="s">
        <v>25661</v>
      </c>
      <c r="AF1103" s="86">
        <v>137</v>
      </c>
      <c r="AG1103" s="86">
        <v>328</v>
      </c>
      <c r="AH1103" s="86">
        <v>1405</v>
      </c>
      <c r="AI1103" s="86">
        <v>3</v>
      </c>
      <c r="AJ1103" s="86">
        <v>6553</v>
      </c>
      <c r="AK1103" s="86">
        <v>72</v>
      </c>
      <c r="AL1103" s="86" t="b">
        <v>0</v>
      </c>
      <c r="AM1103" s="89">
        <v>39932.127800925926</v>
      </c>
      <c r="AN1103" s="86" t="s">
        <v>25889</v>
      </c>
      <c r="AO1103" s="86" t="s">
        <v>27428</v>
      </c>
      <c r="AP1103" s="96" t="str">
        <f>HYPERLINK("https://t.co/wanLm1Vxqy")</f>
        <v>https://t.co/wanLm1Vxqy</v>
      </c>
      <c r="AQ1103" s="96" t="str">
        <f>HYPERLINK("http://www.chefpizzaiolo.com.br")</f>
        <v>http://www.chefpizzaiolo.com.br</v>
      </c>
      <c r="AR1103" s="86" t="s">
        <v>28632</v>
      </c>
      <c r="AS1103" s="86"/>
      <c r="AT1103" s="86"/>
      <c r="AU1103" s="86"/>
      <c r="AV1103" s="86"/>
      <c r="AW1103" s="96" t="str">
        <f>HYPERLINK("https://t.co/wanLm1Vxqy")</f>
        <v>https://t.co/wanLm1Vxqy</v>
      </c>
      <c r="AX1103" s="86" t="b">
        <v>0</v>
      </c>
      <c r="AY1103" s="86"/>
      <c r="AZ1103" s="86"/>
      <c r="BA1103" s="86" t="b">
        <v>1</v>
      </c>
      <c r="BB1103" s="86" t="b">
        <v>0</v>
      </c>
      <c r="BC1103" s="86" t="b">
        <v>0</v>
      </c>
      <c r="BD1103" s="86" t="b">
        <v>0</v>
      </c>
      <c r="BE1103" s="86" t="b">
        <v>0</v>
      </c>
      <c r="BF1103" s="86" t="b">
        <v>0</v>
      </c>
      <c r="BG1103" s="86" t="b">
        <v>0</v>
      </c>
      <c r="BH1103" s="96" t="str">
        <f>HYPERLINK("https://pbs.twimg.com/profile_banners/36268641/1476469881")</f>
        <v>https://pbs.twimg.com/profile_banners/36268641/1476469881</v>
      </c>
      <c r="BI1103" s="86"/>
      <c r="BJ1103" s="86" t="s">
        <v>29134</v>
      </c>
      <c r="BK1103" s="86" t="b">
        <v>0</v>
      </c>
      <c r="BL1103" s="86"/>
      <c r="BM1103" s="86" t="s">
        <v>66</v>
      </c>
      <c r="BN1103" s="86" t="s">
        <v>29136</v>
      </c>
      <c r="BO1103" s="96" t="str">
        <f>HYPERLINK("https://twitter.com/chefpizzaiolo")</f>
        <v>https://twitter.com/chefpizzaiolo</v>
      </c>
      <c r="BP1103" s="2"/>
    </row>
    <row r="1104" spans="1:68" x14ac:dyDescent="0.25">
      <c r="A1104" s="63" t="s">
        <v>1159</v>
      </c>
      <c r="B1104" s="64"/>
      <c r="C1104" s="64"/>
      <c r="D1104" s="65"/>
      <c r="E1104" s="67"/>
      <c r="F1104" s="111" t="str">
        <f>HYPERLINK("https://pbs.twimg.com/profile_images/1412855923362742277/xWPhZnc1_normal.jpg")</f>
        <v>https://pbs.twimg.com/profile_images/1412855923362742277/xWPhZnc1_normal.jpg</v>
      </c>
      <c r="G1104" s="64"/>
      <c r="H1104" s="68"/>
      <c r="I1104" s="69"/>
      <c r="J1104" s="69"/>
      <c r="K1104" s="68" t="s">
        <v>30237</v>
      </c>
      <c r="L1104" s="72"/>
      <c r="M1104" s="73"/>
      <c r="N1104" s="73"/>
      <c r="O1104" s="74"/>
      <c r="P1104" s="75"/>
      <c r="Q1104" s="75"/>
      <c r="R1104" s="102"/>
      <c r="S1104" s="102"/>
      <c r="T1104" s="102"/>
      <c r="U1104" s="102"/>
      <c r="V1104" s="48"/>
      <c r="W1104" s="48"/>
      <c r="X1104" s="48"/>
      <c r="Y1104" s="48"/>
      <c r="Z1104" s="47"/>
      <c r="AA1104" s="70">
        <v>1104</v>
      </c>
      <c r="AB1104" s="70"/>
      <c r="AC1104" s="71"/>
      <c r="AD1104" s="86" t="s">
        <v>24706</v>
      </c>
      <c r="AE1104" s="94" t="s">
        <v>23335</v>
      </c>
      <c r="AF1104" s="86">
        <v>462</v>
      </c>
      <c r="AG1104" s="86">
        <v>654</v>
      </c>
      <c r="AH1104" s="86">
        <v>3316</v>
      </c>
      <c r="AI1104" s="86">
        <v>0</v>
      </c>
      <c r="AJ1104" s="86">
        <v>57021</v>
      </c>
      <c r="AK1104" s="86">
        <v>25</v>
      </c>
      <c r="AL1104" s="86" t="b">
        <v>0</v>
      </c>
      <c r="AM1104" s="89">
        <v>42685.486388888887</v>
      </c>
      <c r="AN1104" s="86" t="s">
        <v>26261</v>
      </c>
      <c r="AO1104" s="86" t="s">
        <v>27429</v>
      </c>
      <c r="AP1104" s="86"/>
      <c r="AQ1104" s="86"/>
      <c r="AR1104" s="86"/>
      <c r="AS1104" s="86"/>
      <c r="AT1104" s="86"/>
      <c r="AU1104" s="86"/>
      <c r="AV1104" s="86"/>
      <c r="AW1104" s="86"/>
      <c r="AX1104" s="86" t="b">
        <v>0</v>
      </c>
      <c r="AY1104" s="86"/>
      <c r="AZ1104" s="86"/>
      <c r="BA1104" s="86" t="b">
        <v>0</v>
      </c>
      <c r="BB1104" s="86" t="b">
        <v>1</v>
      </c>
      <c r="BC1104" s="86" t="b">
        <v>1</v>
      </c>
      <c r="BD1104" s="86" t="b">
        <v>0</v>
      </c>
      <c r="BE1104" s="86" t="b">
        <v>0</v>
      </c>
      <c r="BF1104" s="86" t="b">
        <v>0</v>
      </c>
      <c r="BG1104" s="86" t="b">
        <v>0</v>
      </c>
      <c r="BH1104" s="96" t="str">
        <f>HYPERLINK("https://pbs.twimg.com/profile_banners/797041281407053824/1686142197")</f>
        <v>https://pbs.twimg.com/profile_banners/797041281407053824/1686142197</v>
      </c>
      <c r="BI1104" s="86"/>
      <c r="BJ1104" s="86" t="s">
        <v>29134</v>
      </c>
      <c r="BK1104" s="86" t="b">
        <v>0</v>
      </c>
      <c r="BL1104" s="86"/>
      <c r="BM1104" s="86" t="s">
        <v>66</v>
      </c>
      <c r="BN1104" s="86" t="s">
        <v>29136</v>
      </c>
      <c r="BO1104" s="96" t="str">
        <f>HYPERLINK("https://twitter.com/raulluis09kkii")</f>
        <v>https://twitter.com/raulluis09kkii</v>
      </c>
      <c r="BP1104" s="2"/>
    </row>
    <row r="1105" spans="1:68" x14ac:dyDescent="0.25">
      <c r="A1105" s="63" t="s">
        <v>1160</v>
      </c>
      <c r="B1105" s="64"/>
      <c r="C1105" s="64"/>
      <c r="D1105" s="65"/>
      <c r="E1105" s="67"/>
      <c r="F1105" s="111" t="str">
        <f>HYPERLINK("https://pbs.twimg.com/profile_images/1686413482801963009/YH4c4OCw_normal.jpg")</f>
        <v>https://pbs.twimg.com/profile_images/1686413482801963009/YH4c4OCw_normal.jpg</v>
      </c>
      <c r="G1105" s="64"/>
      <c r="H1105" s="68"/>
      <c r="I1105" s="69"/>
      <c r="J1105" s="69"/>
      <c r="K1105" s="68" t="s">
        <v>30238</v>
      </c>
      <c r="L1105" s="72"/>
      <c r="M1105" s="73"/>
      <c r="N1105" s="73"/>
      <c r="O1105" s="74"/>
      <c r="P1105" s="75"/>
      <c r="Q1105" s="75"/>
      <c r="R1105" s="102"/>
      <c r="S1105" s="102"/>
      <c r="T1105" s="102"/>
      <c r="U1105" s="102"/>
      <c r="V1105" s="48"/>
      <c r="W1105" s="48"/>
      <c r="X1105" s="48"/>
      <c r="Y1105" s="48"/>
      <c r="Z1105" s="47"/>
      <c r="AA1105" s="70">
        <v>1105</v>
      </c>
      <c r="AB1105" s="70"/>
      <c r="AC1105" s="71"/>
      <c r="AD1105" s="86" t="s">
        <v>24707</v>
      </c>
      <c r="AE1105" s="94" t="s">
        <v>22619</v>
      </c>
      <c r="AF1105" s="86">
        <v>3</v>
      </c>
      <c r="AG1105" s="86">
        <v>45</v>
      </c>
      <c r="AH1105" s="86">
        <v>55</v>
      </c>
      <c r="AI1105" s="86">
        <v>0</v>
      </c>
      <c r="AJ1105" s="86">
        <v>8</v>
      </c>
      <c r="AK1105" s="86">
        <v>11</v>
      </c>
      <c r="AL1105" s="86" t="b">
        <v>0</v>
      </c>
      <c r="AM1105" s="89">
        <v>45139.685682870368</v>
      </c>
      <c r="AN1105" s="86"/>
      <c r="AO1105" s="86" t="s">
        <v>27430</v>
      </c>
      <c r="AP1105" s="86"/>
      <c r="AQ1105" s="86"/>
      <c r="AR1105" s="86"/>
      <c r="AS1105" s="86"/>
      <c r="AT1105" s="86"/>
      <c r="AU1105" s="86"/>
      <c r="AV1105" s="86">
        <v>1.68641813038863E+18</v>
      </c>
      <c r="AW1105" s="86"/>
      <c r="AX1105" s="86" t="b">
        <v>0</v>
      </c>
      <c r="AY1105" s="86"/>
      <c r="AZ1105" s="86"/>
      <c r="BA1105" s="86" t="b">
        <v>0</v>
      </c>
      <c r="BB1105" s="86" t="b">
        <v>1</v>
      </c>
      <c r="BC1105" s="86" t="b">
        <v>1</v>
      </c>
      <c r="BD1105" s="86" t="b">
        <v>0</v>
      </c>
      <c r="BE1105" s="86" t="b">
        <v>0</v>
      </c>
      <c r="BF1105" s="86" t="b">
        <v>0</v>
      </c>
      <c r="BG1105" s="86" t="b">
        <v>0</v>
      </c>
      <c r="BH1105" s="96" t="str">
        <f>HYPERLINK("https://pbs.twimg.com/profile_banners/1686413280917573641/1690908265")</f>
        <v>https://pbs.twimg.com/profile_banners/1686413280917573641/1690908265</v>
      </c>
      <c r="BI1105" s="86"/>
      <c r="BJ1105" s="86" t="s">
        <v>29134</v>
      </c>
      <c r="BK1105" s="86" t="b">
        <v>0</v>
      </c>
      <c r="BL1105" s="86"/>
      <c r="BM1105" s="86" t="s">
        <v>66</v>
      </c>
      <c r="BN1105" s="86" t="s">
        <v>29136</v>
      </c>
      <c r="BO1105" s="96" t="str">
        <f>HYPERLINK("https://twitter.com/gabriel1071883")</f>
        <v>https://twitter.com/gabriel1071883</v>
      </c>
      <c r="BP1105" s="2"/>
    </row>
    <row r="1106" spans="1:68" x14ac:dyDescent="0.25">
      <c r="A1106" s="63" t="s">
        <v>1161</v>
      </c>
      <c r="B1106" s="64"/>
      <c r="C1106" s="64"/>
      <c r="D1106" s="65"/>
      <c r="E1106" s="67"/>
      <c r="F1106" s="111" t="str">
        <f>HYPERLINK("https://pbs.twimg.com/profile_images/1653473493541896196/dn79yI5M_normal.png")</f>
        <v>https://pbs.twimg.com/profile_images/1653473493541896196/dn79yI5M_normal.png</v>
      </c>
      <c r="G1106" s="64"/>
      <c r="H1106" s="68"/>
      <c r="I1106" s="69"/>
      <c r="J1106" s="69"/>
      <c r="K1106" s="68" t="s">
        <v>30239</v>
      </c>
      <c r="L1106" s="72"/>
      <c r="M1106" s="73"/>
      <c r="N1106" s="73"/>
      <c r="O1106" s="74"/>
      <c r="P1106" s="75"/>
      <c r="Q1106" s="75"/>
      <c r="R1106" s="102"/>
      <c r="S1106" s="102"/>
      <c r="T1106" s="102"/>
      <c r="U1106" s="102"/>
      <c r="V1106" s="48"/>
      <c r="W1106" s="48"/>
      <c r="X1106" s="48"/>
      <c r="Y1106" s="48"/>
      <c r="Z1106" s="47"/>
      <c r="AA1106" s="70">
        <v>1106</v>
      </c>
      <c r="AB1106" s="70"/>
      <c r="AC1106" s="71"/>
      <c r="AD1106" s="86" t="s">
        <v>24708</v>
      </c>
      <c r="AE1106" s="94" t="s">
        <v>23336</v>
      </c>
      <c r="AF1106" s="86">
        <v>0</v>
      </c>
      <c r="AG1106" s="86">
        <v>16</v>
      </c>
      <c r="AH1106" s="86">
        <v>24</v>
      </c>
      <c r="AI1106" s="86">
        <v>0</v>
      </c>
      <c r="AJ1106" s="86">
        <v>1</v>
      </c>
      <c r="AK1106" s="86">
        <v>24</v>
      </c>
      <c r="AL1106" s="86" t="b">
        <v>0</v>
      </c>
      <c r="AM1106" s="89">
        <v>45048.789050925923</v>
      </c>
      <c r="AN1106" s="86" t="s">
        <v>25939</v>
      </c>
      <c r="AO1106" s="86" t="s">
        <v>27431</v>
      </c>
      <c r="AP1106" s="96" t="str">
        <f>HYPERLINK("https://t.co/cnmuTols0y")</f>
        <v>https://t.co/cnmuTols0y</v>
      </c>
      <c r="AQ1106" s="96" t="str">
        <f>HYPERLINK("https://linktr.ee/fxbank")</f>
        <v>https://linktr.ee/fxbank</v>
      </c>
      <c r="AR1106" s="86" t="s">
        <v>28633</v>
      </c>
      <c r="AS1106" s="86"/>
      <c r="AT1106" s="86"/>
      <c r="AU1106" s="86"/>
      <c r="AV1106" s="86"/>
      <c r="AW1106" s="96" t="str">
        <f>HYPERLINK("https://t.co/cnmuTols0y")</f>
        <v>https://t.co/cnmuTols0y</v>
      </c>
      <c r="AX1106" s="86" t="b">
        <v>0</v>
      </c>
      <c r="AY1106" s="86"/>
      <c r="AZ1106" s="86"/>
      <c r="BA1106" s="86" t="b">
        <v>0</v>
      </c>
      <c r="BB1106" s="86" t="b">
        <v>1</v>
      </c>
      <c r="BC1106" s="86" t="b">
        <v>1</v>
      </c>
      <c r="BD1106" s="86" t="b">
        <v>0</v>
      </c>
      <c r="BE1106" s="86" t="b">
        <v>0</v>
      </c>
      <c r="BF1106" s="86" t="b">
        <v>0</v>
      </c>
      <c r="BG1106" s="86" t="b">
        <v>0</v>
      </c>
      <c r="BH1106" s="96" t="str">
        <f>HYPERLINK("https://pbs.twimg.com/profile_banners/1653472483394170881/1687362825")</f>
        <v>https://pbs.twimg.com/profile_banners/1653472483394170881/1687362825</v>
      </c>
      <c r="BI1106" s="86"/>
      <c r="BJ1106" s="86" t="s">
        <v>29134</v>
      </c>
      <c r="BK1106" s="86" t="b">
        <v>0</v>
      </c>
      <c r="BL1106" s="86"/>
      <c r="BM1106" s="86" t="s">
        <v>66</v>
      </c>
      <c r="BN1106" s="86" t="s">
        <v>29136</v>
      </c>
      <c r="BO1106" s="96" t="str">
        <f>HYPERLINK("https://twitter.com/fxbankbr")</f>
        <v>https://twitter.com/fxbankbr</v>
      </c>
      <c r="BP1106" s="2"/>
    </row>
    <row r="1107" spans="1:68" x14ac:dyDescent="0.25">
      <c r="A1107" s="63" t="s">
        <v>1162</v>
      </c>
      <c r="B1107" s="64"/>
      <c r="C1107" s="64"/>
      <c r="D1107" s="65"/>
      <c r="E1107" s="67"/>
      <c r="F1107" s="111" t="str">
        <f>HYPERLINK("https://pbs.twimg.com/profile_images/1632805277773774853/42EwgHf5_normal.jpg")</f>
        <v>https://pbs.twimg.com/profile_images/1632805277773774853/42EwgHf5_normal.jpg</v>
      </c>
      <c r="G1107" s="64"/>
      <c r="H1107" s="68"/>
      <c r="I1107" s="69"/>
      <c r="J1107" s="69"/>
      <c r="K1107" s="68" t="s">
        <v>30240</v>
      </c>
      <c r="L1107" s="72"/>
      <c r="M1107" s="73"/>
      <c r="N1107" s="73"/>
      <c r="O1107" s="74"/>
      <c r="P1107" s="75"/>
      <c r="Q1107" s="75"/>
      <c r="R1107" s="102"/>
      <c r="S1107" s="102"/>
      <c r="T1107" s="102"/>
      <c r="U1107" s="102"/>
      <c r="V1107" s="48"/>
      <c r="W1107" s="48"/>
      <c r="X1107" s="48"/>
      <c r="Y1107" s="48"/>
      <c r="Z1107" s="47"/>
      <c r="AA1107" s="70">
        <v>1107</v>
      </c>
      <c r="AB1107" s="70"/>
      <c r="AC1107" s="71"/>
      <c r="AD1107" s="86" t="s">
        <v>24709</v>
      </c>
      <c r="AE1107" s="94" t="s">
        <v>25662</v>
      </c>
      <c r="AF1107" s="86">
        <v>2218</v>
      </c>
      <c r="AG1107" s="86">
        <v>79</v>
      </c>
      <c r="AH1107" s="86">
        <v>3754</v>
      </c>
      <c r="AI1107" s="86">
        <v>48</v>
      </c>
      <c r="AJ1107" s="86">
        <v>219</v>
      </c>
      <c r="AK1107" s="86">
        <v>1288</v>
      </c>
      <c r="AL1107" s="86" t="b">
        <v>0</v>
      </c>
      <c r="AM1107" s="89">
        <v>40036.75917824074</v>
      </c>
      <c r="AN1107" s="86" t="s">
        <v>15378</v>
      </c>
      <c r="AO1107" s="86" t="s">
        <v>27432</v>
      </c>
      <c r="AP1107" s="96" t="str">
        <f>HYPERLINK("https://t.co/ktXKM69xm1")</f>
        <v>https://t.co/ktXKM69xm1</v>
      </c>
      <c r="AQ1107" s="96" t="str">
        <f>HYPERLINK("http://www.itamarborges.com.br")</f>
        <v>http://www.itamarborges.com.br</v>
      </c>
      <c r="AR1107" s="86" t="s">
        <v>28634</v>
      </c>
      <c r="AS1107" s="86"/>
      <c r="AT1107" s="86"/>
      <c r="AU1107" s="86"/>
      <c r="AV1107" s="86"/>
      <c r="AW1107" s="96" t="str">
        <f>HYPERLINK("https://t.co/ktXKM69xm1")</f>
        <v>https://t.co/ktXKM69xm1</v>
      </c>
      <c r="AX1107" s="86" t="b">
        <v>0</v>
      </c>
      <c r="AY1107" s="86"/>
      <c r="AZ1107" s="86"/>
      <c r="BA1107" s="86" t="b">
        <v>0</v>
      </c>
      <c r="BB1107" s="86" t="b">
        <v>1</v>
      </c>
      <c r="BC1107" s="86" t="b">
        <v>0</v>
      </c>
      <c r="BD1107" s="86" t="b">
        <v>0</v>
      </c>
      <c r="BE1107" s="86" t="b">
        <v>1</v>
      </c>
      <c r="BF1107" s="86" t="b">
        <v>0</v>
      </c>
      <c r="BG1107" s="86" t="b">
        <v>0</v>
      </c>
      <c r="BH1107" s="96" t="str">
        <f>HYPERLINK("https://pbs.twimg.com/profile_banners/64785948/1678126090")</f>
        <v>https://pbs.twimg.com/profile_banners/64785948/1678126090</v>
      </c>
      <c r="BI1107" s="86"/>
      <c r="BJ1107" s="86" t="s">
        <v>29134</v>
      </c>
      <c r="BK1107" s="86" t="b">
        <v>0</v>
      </c>
      <c r="BL1107" s="86"/>
      <c r="BM1107" s="86" t="s">
        <v>66</v>
      </c>
      <c r="BN1107" s="86" t="s">
        <v>29136</v>
      </c>
      <c r="BO1107" s="96" t="str">
        <f>HYPERLINK("https://twitter.com/itamar_borges")</f>
        <v>https://twitter.com/itamar_borges</v>
      </c>
      <c r="BP1107" s="2"/>
    </row>
    <row r="1108" spans="1:68" x14ac:dyDescent="0.25">
      <c r="A1108" s="63" t="s">
        <v>1163</v>
      </c>
      <c r="B1108" s="64"/>
      <c r="C1108" s="64"/>
      <c r="D1108" s="65"/>
      <c r="E1108" s="67"/>
      <c r="F1108" s="111" t="str">
        <f>HYPERLINK("https://pbs.twimg.com/profile_images/1594320169676988417/43Pe10GZ_normal.jpg")</f>
        <v>https://pbs.twimg.com/profile_images/1594320169676988417/43Pe10GZ_normal.jpg</v>
      </c>
      <c r="G1108" s="64"/>
      <c r="H1108" s="68"/>
      <c r="I1108" s="69"/>
      <c r="J1108" s="69"/>
      <c r="K1108" s="68" t="s">
        <v>30241</v>
      </c>
      <c r="L1108" s="72"/>
      <c r="M1108" s="73"/>
      <c r="N1108" s="73"/>
      <c r="O1108" s="74"/>
      <c r="P1108" s="75"/>
      <c r="Q1108" s="75"/>
      <c r="R1108" s="102"/>
      <c r="S1108" s="102"/>
      <c r="T1108" s="102"/>
      <c r="U1108" s="102"/>
      <c r="V1108" s="48"/>
      <c r="W1108" s="48"/>
      <c r="X1108" s="48"/>
      <c r="Y1108" s="48"/>
      <c r="Z1108" s="47"/>
      <c r="AA1108" s="70">
        <v>1108</v>
      </c>
      <c r="AB1108" s="70"/>
      <c r="AC1108" s="71"/>
      <c r="AD1108" s="86" t="s">
        <v>24710</v>
      </c>
      <c r="AE1108" s="94" t="s">
        <v>25663</v>
      </c>
      <c r="AF1108" s="86">
        <v>4095</v>
      </c>
      <c r="AG1108" s="86">
        <v>4137</v>
      </c>
      <c r="AH1108" s="86">
        <v>801</v>
      </c>
      <c r="AI1108" s="86">
        <v>2</v>
      </c>
      <c r="AJ1108" s="86">
        <v>2142</v>
      </c>
      <c r="AK1108" s="86">
        <v>100</v>
      </c>
      <c r="AL1108" s="86" t="b">
        <v>0</v>
      </c>
      <c r="AM1108" s="89">
        <v>41116.616550925923</v>
      </c>
      <c r="AN1108" s="86" t="s">
        <v>15234</v>
      </c>
      <c r="AO1108" s="86" t="s">
        <v>27433</v>
      </c>
      <c r="AP1108" s="96" t="str">
        <f>HYPERLINK("https://t.co/DqqTl5tT3f")</f>
        <v>https://t.co/DqqTl5tT3f</v>
      </c>
      <c r="AQ1108" s="96" t="str">
        <f>HYPERLINK("https://scavuzzi.com.br/oconvite")</f>
        <v>https://scavuzzi.com.br/oconvite</v>
      </c>
      <c r="AR1108" s="86" t="s">
        <v>28635</v>
      </c>
      <c r="AS1108" s="86"/>
      <c r="AT1108" s="86"/>
      <c r="AU1108" s="86"/>
      <c r="AV1108" s="86"/>
      <c r="AW1108" s="96" t="str">
        <f>HYPERLINK("https://t.co/DqqTl5tT3f")</f>
        <v>https://t.co/DqqTl5tT3f</v>
      </c>
      <c r="AX1108" s="86" t="b">
        <v>0</v>
      </c>
      <c r="AY1108" s="86"/>
      <c r="AZ1108" s="86"/>
      <c r="BA1108" s="86" t="b">
        <v>1</v>
      </c>
      <c r="BB1108" s="86" t="b">
        <v>0</v>
      </c>
      <c r="BC1108" s="86" t="b">
        <v>0</v>
      </c>
      <c r="BD1108" s="86" t="b">
        <v>0</v>
      </c>
      <c r="BE1108" s="86" t="b">
        <v>0</v>
      </c>
      <c r="BF1108" s="86" t="b">
        <v>0</v>
      </c>
      <c r="BG1108" s="86" t="b">
        <v>0</v>
      </c>
      <c r="BH1108" s="96" t="str">
        <f>HYPERLINK("https://pbs.twimg.com/profile_banners/718250155/1693868809")</f>
        <v>https://pbs.twimg.com/profile_banners/718250155/1693868809</v>
      </c>
      <c r="BI1108" s="86"/>
      <c r="BJ1108" s="86" t="s">
        <v>29134</v>
      </c>
      <c r="BK1108" s="86" t="b">
        <v>0</v>
      </c>
      <c r="BL1108" s="86"/>
      <c r="BM1108" s="86" t="s">
        <v>66</v>
      </c>
      <c r="BN1108" s="86" t="s">
        <v>29136</v>
      </c>
      <c r="BO1108" s="96" t="str">
        <f>HYPERLINK("https://twitter.com/xscavuzzi")</f>
        <v>https://twitter.com/xscavuzzi</v>
      </c>
      <c r="BP1108" s="2"/>
    </row>
    <row r="1109" spans="1:68" x14ac:dyDescent="0.25">
      <c r="A1109" s="63" t="s">
        <v>1164</v>
      </c>
      <c r="B1109" s="64"/>
      <c r="C1109" s="64"/>
      <c r="D1109" s="65"/>
      <c r="E1109" s="67"/>
      <c r="F1109" s="111" t="str">
        <f>HYPERLINK("https://pbs.twimg.com/profile_images/1651260635496235012/kmEJ-XO6_normal.png")</f>
        <v>https://pbs.twimg.com/profile_images/1651260635496235012/kmEJ-XO6_normal.png</v>
      </c>
      <c r="G1109" s="64"/>
      <c r="H1109" s="68"/>
      <c r="I1109" s="69"/>
      <c r="J1109" s="69"/>
      <c r="K1109" s="68" t="s">
        <v>30242</v>
      </c>
      <c r="L1109" s="72"/>
      <c r="M1109" s="73"/>
      <c r="N1109" s="73"/>
      <c r="O1109" s="74"/>
      <c r="P1109" s="75"/>
      <c r="Q1109" s="75"/>
      <c r="R1109" s="102"/>
      <c r="S1109" s="102"/>
      <c r="T1109" s="102"/>
      <c r="U1109" s="102"/>
      <c r="V1109" s="48"/>
      <c r="W1109" s="48"/>
      <c r="X1109" s="48"/>
      <c r="Y1109" s="48"/>
      <c r="Z1109" s="47"/>
      <c r="AA1109" s="70">
        <v>1109</v>
      </c>
      <c r="AB1109" s="70"/>
      <c r="AC1109" s="71"/>
      <c r="AD1109" s="86" t="s">
        <v>24711</v>
      </c>
      <c r="AE1109" s="94" t="s">
        <v>23337</v>
      </c>
      <c r="AF1109" s="86">
        <v>0</v>
      </c>
      <c r="AG1109" s="86">
        <v>1</v>
      </c>
      <c r="AH1109" s="86">
        <v>14</v>
      </c>
      <c r="AI1109" s="86">
        <v>0</v>
      </c>
      <c r="AJ1109" s="86">
        <v>0</v>
      </c>
      <c r="AK1109" s="86">
        <v>4</v>
      </c>
      <c r="AL1109" s="86" t="b">
        <v>0</v>
      </c>
      <c r="AM1109" s="89">
        <v>44921.606805555559</v>
      </c>
      <c r="AN1109" s="86" t="s">
        <v>15234</v>
      </c>
      <c r="AO1109" s="86"/>
      <c r="AP1109" s="96" t="str">
        <f>HYPERLINK("https://t.co/pZrzUtLZlv")</f>
        <v>https://t.co/pZrzUtLZlv</v>
      </c>
      <c r="AQ1109" s="96" t="str">
        <f>HYPERLINK("https://www.omelhortrato.com/")</f>
        <v>https://www.omelhortrato.com/</v>
      </c>
      <c r="AR1109" s="86" t="s">
        <v>28636</v>
      </c>
      <c r="AS1109" s="86"/>
      <c r="AT1109" s="86"/>
      <c r="AU1109" s="86"/>
      <c r="AV1109" s="86">
        <v>1.65161120232833E+18</v>
      </c>
      <c r="AW1109" s="96" t="str">
        <f>HYPERLINK("https://t.co/pZrzUtLZlv")</f>
        <v>https://t.co/pZrzUtLZlv</v>
      </c>
      <c r="AX1109" s="86" t="b">
        <v>0</v>
      </c>
      <c r="AY1109" s="86"/>
      <c r="AZ1109" s="86"/>
      <c r="BA1109" s="86" t="b">
        <v>0</v>
      </c>
      <c r="BB1109" s="86" t="b">
        <v>1</v>
      </c>
      <c r="BC1109" s="86" t="b">
        <v>1</v>
      </c>
      <c r="BD1109" s="86" t="b">
        <v>0</v>
      </c>
      <c r="BE1109" s="86" t="b">
        <v>0</v>
      </c>
      <c r="BF1109" s="86" t="b">
        <v>0</v>
      </c>
      <c r="BG1109" s="86" t="b">
        <v>0</v>
      </c>
      <c r="BH1109" s="96" t="str">
        <f>HYPERLINK("https://pbs.twimg.com/profile_banners/1607384131532476417/1682526190")</f>
        <v>https://pbs.twimg.com/profile_banners/1607384131532476417/1682526190</v>
      </c>
      <c r="BI1109" s="86"/>
      <c r="BJ1109" s="86" t="s">
        <v>29134</v>
      </c>
      <c r="BK1109" s="86" t="b">
        <v>0</v>
      </c>
      <c r="BL1109" s="86"/>
      <c r="BM1109" s="86" t="s">
        <v>66</v>
      </c>
      <c r="BN1109" s="86" t="s">
        <v>29136</v>
      </c>
      <c r="BO1109" s="96" t="str">
        <f>HYPERLINK("https://twitter.com/omelhortrato")</f>
        <v>https://twitter.com/omelhortrato</v>
      </c>
      <c r="BP1109" s="2"/>
    </row>
    <row r="1110" spans="1:68" x14ac:dyDescent="0.25">
      <c r="A1110" s="63" t="s">
        <v>1165</v>
      </c>
      <c r="B1110" s="64"/>
      <c r="C1110" s="64"/>
      <c r="D1110" s="65"/>
      <c r="E1110" s="67"/>
      <c r="F1110" s="111" t="str">
        <f>HYPERLINK("https://pbs.twimg.com/profile_images/1258515782885130242/gC3pXxgE_normal.jpg")</f>
        <v>https://pbs.twimg.com/profile_images/1258515782885130242/gC3pXxgE_normal.jpg</v>
      </c>
      <c r="G1110" s="64"/>
      <c r="H1110" s="68"/>
      <c r="I1110" s="69"/>
      <c r="J1110" s="69"/>
      <c r="K1110" s="68" t="s">
        <v>30243</v>
      </c>
      <c r="L1110" s="72"/>
      <c r="M1110" s="73"/>
      <c r="N1110" s="73"/>
      <c r="O1110" s="74"/>
      <c r="P1110" s="75"/>
      <c r="Q1110" s="75"/>
      <c r="R1110" s="102"/>
      <c r="S1110" s="102"/>
      <c r="T1110" s="102"/>
      <c r="U1110" s="102"/>
      <c r="V1110" s="48"/>
      <c r="W1110" s="48"/>
      <c r="X1110" s="48"/>
      <c r="Y1110" s="48"/>
      <c r="Z1110" s="47"/>
      <c r="AA1110" s="70">
        <v>1110</v>
      </c>
      <c r="AB1110" s="70"/>
      <c r="AC1110" s="71"/>
      <c r="AD1110" s="86" t="s">
        <v>24712</v>
      </c>
      <c r="AE1110" s="94" t="s">
        <v>25664</v>
      </c>
      <c r="AF1110" s="86">
        <v>1787</v>
      </c>
      <c r="AG1110" s="86">
        <v>1482</v>
      </c>
      <c r="AH1110" s="86">
        <v>5980</v>
      </c>
      <c r="AI1110" s="86">
        <v>0</v>
      </c>
      <c r="AJ1110" s="86">
        <v>154</v>
      </c>
      <c r="AK1110" s="86">
        <v>2199</v>
      </c>
      <c r="AL1110" s="86" t="b">
        <v>0</v>
      </c>
      <c r="AM1110" s="89">
        <v>40056.858888888892</v>
      </c>
      <c r="AN1110" s="86"/>
      <c r="AO1110" s="86" t="s">
        <v>27434</v>
      </c>
      <c r="AP1110" s="96" t="str">
        <f>HYPERLINK("http://t.co/e1OpEuYK")</f>
        <v>http://t.co/e1OpEuYK</v>
      </c>
      <c r="AQ1110" s="96" t="str">
        <f>HYPERLINK("http://www.mundocoop.com.br")</f>
        <v>http://www.mundocoop.com.br</v>
      </c>
      <c r="AR1110" s="86" t="s">
        <v>28637</v>
      </c>
      <c r="AS1110" s="86"/>
      <c r="AT1110" s="86"/>
      <c r="AU1110" s="86"/>
      <c r="AV1110" s="86"/>
      <c r="AW1110" s="96" t="str">
        <f>HYPERLINK("http://t.co/e1OpEuYK")</f>
        <v>http://t.co/e1OpEuYK</v>
      </c>
      <c r="AX1110" s="86" t="b">
        <v>0</v>
      </c>
      <c r="AY1110" s="86"/>
      <c r="AZ1110" s="86"/>
      <c r="BA1110" s="86" t="b">
        <v>0</v>
      </c>
      <c r="BB1110" s="86" t="b">
        <v>1</v>
      </c>
      <c r="BC1110" s="86" t="b">
        <v>0</v>
      </c>
      <c r="BD1110" s="86" t="b">
        <v>0</v>
      </c>
      <c r="BE1110" s="86" t="b">
        <v>0</v>
      </c>
      <c r="BF1110" s="86" t="b">
        <v>0</v>
      </c>
      <c r="BG1110" s="86" t="b">
        <v>0</v>
      </c>
      <c r="BH1110" s="96" t="str">
        <f>HYPERLINK("https://pbs.twimg.com/profile_banners/70493540/1588888520")</f>
        <v>https://pbs.twimg.com/profile_banners/70493540/1588888520</v>
      </c>
      <c r="BI1110" s="86"/>
      <c r="BJ1110" s="86" t="s">
        <v>29134</v>
      </c>
      <c r="BK1110" s="86" t="b">
        <v>0</v>
      </c>
      <c r="BL1110" s="86"/>
      <c r="BM1110" s="86" t="s">
        <v>66</v>
      </c>
      <c r="BN1110" s="86" t="s">
        <v>29136</v>
      </c>
      <c r="BO1110" s="96" t="str">
        <f>HYPERLINK("https://twitter.com/mundocoop")</f>
        <v>https://twitter.com/mundocoop</v>
      </c>
      <c r="BP1110" s="2"/>
    </row>
    <row r="1111" spans="1:68" x14ac:dyDescent="0.25">
      <c r="A1111" s="63" t="s">
        <v>1166</v>
      </c>
      <c r="B1111" s="64"/>
      <c r="C1111" s="64"/>
      <c r="D1111" s="65"/>
      <c r="E1111" s="67"/>
      <c r="F1111" s="111" t="str">
        <f>HYPERLINK("https://pbs.twimg.com/profile_images/1683627637300686850/xzi47Ql8_normal.jpg")</f>
        <v>https://pbs.twimg.com/profile_images/1683627637300686850/xzi47Ql8_normal.jpg</v>
      </c>
      <c r="G1111" s="64"/>
      <c r="H1111" s="68"/>
      <c r="I1111" s="69"/>
      <c r="J1111" s="69"/>
      <c r="K1111" s="68" t="s">
        <v>30244</v>
      </c>
      <c r="L1111" s="72"/>
      <c r="M1111" s="73"/>
      <c r="N1111" s="73"/>
      <c r="O1111" s="74"/>
      <c r="P1111" s="75"/>
      <c r="Q1111" s="75"/>
      <c r="R1111" s="102"/>
      <c r="S1111" s="102"/>
      <c r="T1111" s="102"/>
      <c r="U1111" s="102"/>
      <c r="V1111" s="48"/>
      <c r="W1111" s="48"/>
      <c r="X1111" s="48"/>
      <c r="Y1111" s="48"/>
      <c r="Z1111" s="47"/>
      <c r="AA1111" s="70">
        <v>1111</v>
      </c>
      <c r="AB1111" s="70"/>
      <c r="AC1111" s="71"/>
      <c r="AD1111" s="86" t="s">
        <v>24713</v>
      </c>
      <c r="AE1111" s="94" t="s">
        <v>23338</v>
      </c>
      <c r="AF1111" s="86">
        <v>0</v>
      </c>
      <c r="AG1111" s="86">
        <v>2</v>
      </c>
      <c r="AH1111" s="86">
        <v>5</v>
      </c>
      <c r="AI1111" s="86">
        <v>0</v>
      </c>
      <c r="AJ1111" s="86">
        <v>12</v>
      </c>
      <c r="AK1111" s="86">
        <v>5</v>
      </c>
      <c r="AL1111" s="86" t="b">
        <v>0</v>
      </c>
      <c r="AM1111" s="89">
        <v>45131.997708333336</v>
      </c>
      <c r="AN1111" s="86" t="s">
        <v>15372</v>
      </c>
      <c r="AO1111" s="86"/>
      <c r="AP1111" s="96" t="str">
        <f>HYPERLINK("https://t.co/QZK02v7WLp")</f>
        <v>https://t.co/QZK02v7WLp</v>
      </c>
      <c r="AQ1111" s="96" t="str">
        <f>HYPERLINK("https://www.aliexpress.com/account/setting/index.html?spm=0._cps_dada.0.0.3daav4bkv4bkyp")</f>
        <v>https://www.aliexpress.com/account/setting/index.html?spm=0._cps_dada.0.0.3daav4bkv4bkyp</v>
      </c>
      <c r="AR1111" s="86" t="s">
        <v>28638</v>
      </c>
      <c r="AS1111" s="86"/>
      <c r="AT1111" s="86"/>
      <c r="AU1111" s="86"/>
      <c r="AV1111" s="86"/>
      <c r="AW1111" s="96" t="str">
        <f>HYPERLINK("https://t.co/QZK02v7WLp")</f>
        <v>https://t.co/QZK02v7WLp</v>
      </c>
      <c r="AX1111" s="86" t="b">
        <v>0</v>
      </c>
      <c r="AY1111" s="86"/>
      <c r="AZ1111" s="86"/>
      <c r="BA1111" s="86" t="b">
        <v>0</v>
      </c>
      <c r="BB1111" s="86" t="b">
        <v>1</v>
      </c>
      <c r="BC1111" s="86" t="b">
        <v>1</v>
      </c>
      <c r="BD1111" s="86" t="b">
        <v>0</v>
      </c>
      <c r="BE1111" s="86" t="b">
        <v>0</v>
      </c>
      <c r="BF1111" s="86" t="b">
        <v>0</v>
      </c>
      <c r="BG1111" s="86" t="b">
        <v>0</v>
      </c>
      <c r="BH1111" s="96" t="str">
        <f>HYPERLINK("https://pbs.twimg.com/profile_banners/1683627243380125696/1690243463")</f>
        <v>https://pbs.twimg.com/profile_banners/1683627243380125696/1690243463</v>
      </c>
      <c r="BI1111" s="86"/>
      <c r="BJ1111" s="86" t="s">
        <v>29134</v>
      </c>
      <c r="BK1111" s="86" t="b">
        <v>0</v>
      </c>
      <c r="BL1111" s="86"/>
      <c r="BM1111" s="86" t="s">
        <v>66</v>
      </c>
      <c r="BN1111" s="86" t="s">
        <v>29136</v>
      </c>
      <c r="BO1111" s="96" t="str">
        <f>HYPERLINK("https://twitter.com/literarysink")</f>
        <v>https://twitter.com/literarysink</v>
      </c>
      <c r="BP1111" s="2"/>
    </row>
    <row r="1112" spans="1:68" x14ac:dyDescent="0.25">
      <c r="A1112" s="63" t="s">
        <v>1167</v>
      </c>
      <c r="B1112" s="64"/>
      <c r="C1112" s="64"/>
      <c r="D1112" s="65"/>
      <c r="E1112" s="67"/>
      <c r="F1112" s="111" t="str">
        <f>HYPERLINK("https://pbs.twimg.com/profile_images/1587177149299150850/2rd3dTAn_normal.jpg")</f>
        <v>https://pbs.twimg.com/profile_images/1587177149299150850/2rd3dTAn_normal.jpg</v>
      </c>
      <c r="G1112" s="64"/>
      <c r="H1112" s="68"/>
      <c r="I1112" s="69"/>
      <c r="J1112" s="69"/>
      <c r="K1112" s="68" t="s">
        <v>30245</v>
      </c>
      <c r="L1112" s="72"/>
      <c r="M1112" s="73"/>
      <c r="N1112" s="73"/>
      <c r="O1112" s="74"/>
      <c r="P1112" s="75"/>
      <c r="Q1112" s="75"/>
      <c r="R1112" s="102"/>
      <c r="S1112" s="102"/>
      <c r="T1112" s="102"/>
      <c r="U1112" s="102"/>
      <c r="V1112" s="48"/>
      <c r="W1112" s="48"/>
      <c r="X1112" s="48"/>
      <c r="Y1112" s="48"/>
      <c r="Z1112" s="47"/>
      <c r="AA1112" s="70">
        <v>1112</v>
      </c>
      <c r="AB1112" s="70"/>
      <c r="AC1112" s="71"/>
      <c r="AD1112" s="86" t="s">
        <v>24714</v>
      </c>
      <c r="AE1112" s="94" t="s">
        <v>23339</v>
      </c>
      <c r="AF1112" s="86">
        <v>0</v>
      </c>
      <c r="AG1112" s="86">
        <v>9</v>
      </c>
      <c r="AH1112" s="86">
        <v>7</v>
      </c>
      <c r="AI1112" s="86">
        <v>0</v>
      </c>
      <c r="AJ1112" s="86">
        <v>41</v>
      </c>
      <c r="AK1112" s="86">
        <v>0</v>
      </c>
      <c r="AL1112" s="86" t="b">
        <v>0</v>
      </c>
      <c r="AM1112" s="89">
        <v>44865.845277777778</v>
      </c>
      <c r="AN1112" s="86"/>
      <c r="AO1112" s="86"/>
      <c r="AP1112" s="86"/>
      <c r="AQ1112" s="86"/>
      <c r="AR1112" s="86"/>
      <c r="AS1112" s="86"/>
      <c r="AT1112" s="86"/>
      <c r="AU1112" s="86"/>
      <c r="AV1112" s="86"/>
      <c r="AW1112" s="86"/>
      <c r="AX1112" s="86" t="b">
        <v>0</v>
      </c>
      <c r="AY1112" s="86"/>
      <c r="AZ1112" s="86"/>
      <c r="BA1112" s="86" t="b">
        <v>0</v>
      </c>
      <c r="BB1112" s="86" t="b">
        <v>1</v>
      </c>
      <c r="BC1112" s="86" t="b">
        <v>1</v>
      </c>
      <c r="BD1112" s="86" t="b">
        <v>0</v>
      </c>
      <c r="BE1112" s="86" t="b">
        <v>0</v>
      </c>
      <c r="BF1112" s="86" t="b">
        <v>0</v>
      </c>
      <c r="BG1112" s="86" t="b">
        <v>0</v>
      </c>
      <c r="BH1112" s="86"/>
      <c r="BI1112" s="86"/>
      <c r="BJ1112" s="86" t="s">
        <v>29134</v>
      </c>
      <c r="BK1112" s="86" t="b">
        <v>0</v>
      </c>
      <c r="BL1112" s="86"/>
      <c r="BM1112" s="86" t="s">
        <v>66</v>
      </c>
      <c r="BN1112" s="86" t="s">
        <v>29136</v>
      </c>
      <c r="BO1112" s="96" t="str">
        <f>HYPERLINK("https://twitter.com/vini_rocha2001")</f>
        <v>https://twitter.com/vini_rocha2001</v>
      </c>
      <c r="BP1112" s="2"/>
    </row>
    <row r="1113" spans="1:68" x14ac:dyDescent="0.25">
      <c r="A1113" s="63" t="s">
        <v>1168</v>
      </c>
      <c r="B1113" s="64"/>
      <c r="C1113" s="64"/>
      <c r="D1113" s="65"/>
      <c r="E1113" s="67"/>
      <c r="F1113" s="111" t="str">
        <f>HYPERLINK("https://pbs.twimg.com/profile_images/1701258889092550656/rEPkdUuZ_normal.jpg")</f>
        <v>https://pbs.twimg.com/profile_images/1701258889092550656/rEPkdUuZ_normal.jpg</v>
      </c>
      <c r="G1113" s="64"/>
      <c r="H1113" s="68"/>
      <c r="I1113" s="69"/>
      <c r="J1113" s="69"/>
      <c r="K1113" s="68" t="s">
        <v>30246</v>
      </c>
      <c r="L1113" s="72"/>
      <c r="M1113" s="73"/>
      <c r="N1113" s="73"/>
      <c r="O1113" s="74"/>
      <c r="P1113" s="75"/>
      <c r="Q1113" s="75"/>
      <c r="R1113" s="102"/>
      <c r="S1113" s="102"/>
      <c r="T1113" s="102"/>
      <c r="U1113" s="102"/>
      <c r="V1113" s="48"/>
      <c r="W1113" s="48"/>
      <c r="X1113" s="48"/>
      <c r="Y1113" s="48"/>
      <c r="Z1113" s="47"/>
      <c r="AA1113" s="70">
        <v>1113</v>
      </c>
      <c r="AB1113" s="70"/>
      <c r="AC1113" s="71"/>
      <c r="AD1113" s="86" t="s">
        <v>24715</v>
      </c>
      <c r="AE1113" s="94" t="s">
        <v>25665</v>
      </c>
      <c r="AF1113" s="86">
        <v>1932</v>
      </c>
      <c r="AG1113" s="86">
        <v>2794</v>
      </c>
      <c r="AH1113" s="86">
        <v>87667</v>
      </c>
      <c r="AI1113" s="86">
        <v>12</v>
      </c>
      <c r="AJ1113" s="86">
        <v>99160</v>
      </c>
      <c r="AK1113" s="86">
        <v>8684</v>
      </c>
      <c r="AL1113" s="86" t="b">
        <v>0</v>
      </c>
      <c r="AM1113" s="89">
        <v>42398.122175925928</v>
      </c>
      <c r="AN1113" s="86" t="s">
        <v>26262</v>
      </c>
      <c r="AO1113" s="86" t="s">
        <v>27435</v>
      </c>
      <c r="AP1113" s="96" t="str">
        <f>HYPERLINK("https://t.co/V2nIkMw8Jd")</f>
        <v>https://t.co/V2nIkMw8Jd</v>
      </c>
      <c r="AQ1113" s="96" t="str">
        <f>HYPERLINK("https://metalyblues.blogspot.com/")</f>
        <v>https://metalyblues.blogspot.com/</v>
      </c>
      <c r="AR1113" s="86" t="s">
        <v>28639</v>
      </c>
      <c r="AS1113" s="86"/>
      <c r="AT1113" s="86"/>
      <c r="AU1113" s="86"/>
      <c r="AV1113" s="86">
        <v>1.56397199348515E+18</v>
      </c>
      <c r="AW1113" s="96" t="str">
        <f>HYPERLINK("https://t.co/V2nIkMw8Jd")</f>
        <v>https://t.co/V2nIkMw8Jd</v>
      </c>
      <c r="AX1113" s="86" t="b">
        <v>0</v>
      </c>
      <c r="AY1113" s="86"/>
      <c r="AZ1113" s="86"/>
      <c r="BA1113" s="86" t="b">
        <v>0</v>
      </c>
      <c r="BB1113" s="86" t="b">
        <v>0</v>
      </c>
      <c r="BC1113" s="86" t="b">
        <v>1</v>
      </c>
      <c r="BD1113" s="86" t="b">
        <v>0</v>
      </c>
      <c r="BE1113" s="86" t="b">
        <v>1</v>
      </c>
      <c r="BF1113" s="86" t="b">
        <v>0</v>
      </c>
      <c r="BG1113" s="86" t="b">
        <v>0</v>
      </c>
      <c r="BH1113" s="96" t="str">
        <f>HYPERLINK("https://pbs.twimg.com/profile_banners/4828526438/1678428896")</f>
        <v>https://pbs.twimg.com/profile_banners/4828526438/1678428896</v>
      </c>
      <c r="BI1113" s="86"/>
      <c r="BJ1113" s="86" t="s">
        <v>29134</v>
      </c>
      <c r="BK1113" s="86" t="b">
        <v>0</v>
      </c>
      <c r="BL1113" s="86"/>
      <c r="BM1113" s="86" t="s">
        <v>66</v>
      </c>
      <c r="BN1113" s="86" t="s">
        <v>29136</v>
      </c>
      <c r="BO1113" s="96" t="str">
        <f>HYPERLINK("https://twitter.com/audifaz_")</f>
        <v>https://twitter.com/audifaz_</v>
      </c>
      <c r="BP1113" s="2"/>
    </row>
    <row r="1114" spans="1:68" x14ac:dyDescent="0.25">
      <c r="A1114" s="63" t="s">
        <v>1169</v>
      </c>
      <c r="B1114" s="64"/>
      <c r="C1114" s="64"/>
      <c r="D1114" s="65"/>
      <c r="E1114" s="67"/>
      <c r="F1114" s="111" t="str">
        <f>HYPERLINK("https://pbs.twimg.com/profile_images/1704248809654538240/TF2mitbT_normal.jpg")</f>
        <v>https://pbs.twimg.com/profile_images/1704248809654538240/TF2mitbT_normal.jpg</v>
      </c>
      <c r="G1114" s="64"/>
      <c r="H1114" s="68"/>
      <c r="I1114" s="69"/>
      <c r="J1114" s="69"/>
      <c r="K1114" s="68" t="s">
        <v>30247</v>
      </c>
      <c r="L1114" s="72"/>
      <c r="M1114" s="73"/>
      <c r="N1114" s="73"/>
      <c r="O1114" s="74"/>
      <c r="P1114" s="75"/>
      <c r="Q1114" s="75"/>
      <c r="R1114" s="102"/>
      <c r="S1114" s="102"/>
      <c r="T1114" s="102"/>
      <c r="U1114" s="102"/>
      <c r="V1114" s="48"/>
      <c r="W1114" s="48"/>
      <c r="X1114" s="48"/>
      <c r="Y1114" s="48"/>
      <c r="Z1114" s="47"/>
      <c r="AA1114" s="70">
        <v>1114</v>
      </c>
      <c r="AB1114" s="70"/>
      <c r="AC1114" s="71"/>
      <c r="AD1114" s="86" t="s">
        <v>24716</v>
      </c>
      <c r="AE1114" s="94" t="s">
        <v>22620</v>
      </c>
      <c r="AF1114" s="86">
        <v>49532</v>
      </c>
      <c r="AG1114" s="86">
        <v>9466</v>
      </c>
      <c r="AH1114" s="86">
        <v>310149</v>
      </c>
      <c r="AI1114" s="86">
        <v>57</v>
      </c>
      <c r="AJ1114" s="86">
        <v>83503</v>
      </c>
      <c r="AK1114" s="86">
        <v>2450</v>
      </c>
      <c r="AL1114" s="86" t="b">
        <v>0</v>
      </c>
      <c r="AM1114" s="89">
        <v>40873.645127314812</v>
      </c>
      <c r="AN1114" s="86" t="s">
        <v>15240</v>
      </c>
      <c r="AO1114" s="86" t="s">
        <v>27436</v>
      </c>
      <c r="AP1114" s="96" t="str">
        <f>HYPERLINK("https://t.co/2wx3UMjRvj")</f>
        <v>https://t.co/2wx3UMjRvj</v>
      </c>
      <c r="AQ1114" s="96" t="str">
        <f>HYPERLINK("https://www.instagram.com/nandabarbosacrf/")</f>
        <v>https://www.instagram.com/nandabarbosacrf/</v>
      </c>
      <c r="AR1114" s="86" t="s">
        <v>28640</v>
      </c>
      <c r="AS1114" s="86"/>
      <c r="AT1114" s="86"/>
      <c r="AU1114" s="86"/>
      <c r="AV1114" s="86">
        <v>1.6979211567313201E+18</v>
      </c>
      <c r="AW1114" s="96" t="str">
        <f>HYPERLINK("https://t.co/2wx3UMjRvj")</f>
        <v>https://t.co/2wx3UMjRvj</v>
      </c>
      <c r="AX1114" s="86" t="b">
        <v>1</v>
      </c>
      <c r="AY1114" s="86"/>
      <c r="AZ1114" s="86"/>
      <c r="BA1114" s="86" t="b">
        <v>1</v>
      </c>
      <c r="BB1114" s="86" t="b">
        <v>0</v>
      </c>
      <c r="BC1114" s="86" t="b">
        <v>0</v>
      </c>
      <c r="BD1114" s="86" t="b">
        <v>0</v>
      </c>
      <c r="BE1114" s="86" t="b">
        <v>1</v>
      </c>
      <c r="BF1114" s="86" t="b">
        <v>0</v>
      </c>
      <c r="BG1114" s="86" t="b">
        <v>0</v>
      </c>
      <c r="BH1114" s="96" t="str">
        <f>HYPERLINK("https://pbs.twimg.com/profile_banners/421924175/1657823574")</f>
        <v>https://pbs.twimg.com/profile_banners/421924175/1657823574</v>
      </c>
      <c r="BI1114" s="86"/>
      <c r="BJ1114" s="86" t="s">
        <v>29135</v>
      </c>
      <c r="BK1114" s="86" t="b">
        <v>0</v>
      </c>
      <c r="BL1114" s="86"/>
      <c r="BM1114" s="86" t="s">
        <v>66</v>
      </c>
      <c r="BN1114" s="86" t="s">
        <v>29136</v>
      </c>
      <c r="BO1114" s="96" t="str">
        <f>HYPERLINK("https://twitter.com/nandabarbosacrf")</f>
        <v>https://twitter.com/nandabarbosacrf</v>
      </c>
      <c r="BP1114" s="2"/>
    </row>
    <row r="1115" spans="1:68" x14ac:dyDescent="0.25">
      <c r="A1115" s="63" t="s">
        <v>1170</v>
      </c>
      <c r="B1115" s="64"/>
      <c r="C1115" s="64"/>
      <c r="D1115" s="65"/>
      <c r="E1115" s="67"/>
      <c r="F1115" s="111" t="str">
        <f>HYPERLINK("https://pbs.twimg.com/profile_images/1182117706872623104/bhLh40tP_normal.jpg")</f>
        <v>https://pbs.twimg.com/profile_images/1182117706872623104/bhLh40tP_normal.jpg</v>
      </c>
      <c r="G1115" s="64"/>
      <c r="H1115" s="68"/>
      <c r="I1115" s="69"/>
      <c r="J1115" s="69"/>
      <c r="K1115" s="68" t="s">
        <v>30248</v>
      </c>
      <c r="L1115" s="72"/>
      <c r="M1115" s="73"/>
      <c r="N1115" s="73"/>
      <c r="O1115" s="74"/>
      <c r="P1115" s="75"/>
      <c r="Q1115" s="75"/>
      <c r="R1115" s="102"/>
      <c r="S1115" s="102"/>
      <c r="T1115" s="102"/>
      <c r="U1115" s="102"/>
      <c r="V1115" s="48"/>
      <c r="W1115" s="48"/>
      <c r="X1115" s="48"/>
      <c r="Y1115" s="48"/>
      <c r="Z1115" s="47"/>
      <c r="AA1115" s="70">
        <v>1115</v>
      </c>
      <c r="AB1115" s="70"/>
      <c r="AC1115" s="71"/>
      <c r="AD1115" s="86" t="s">
        <v>24717</v>
      </c>
      <c r="AE1115" s="94" t="s">
        <v>25666</v>
      </c>
      <c r="AF1115" s="86">
        <v>366</v>
      </c>
      <c r="AG1115" s="86">
        <v>52</v>
      </c>
      <c r="AH1115" s="86">
        <v>8348</v>
      </c>
      <c r="AI1115" s="86">
        <v>28</v>
      </c>
      <c r="AJ1115" s="86">
        <v>807</v>
      </c>
      <c r="AK1115" s="86">
        <v>1119</v>
      </c>
      <c r="AL1115" s="86" t="b">
        <v>0</v>
      </c>
      <c r="AM1115" s="89">
        <v>40140.493113425924</v>
      </c>
      <c r="AN1115" s="86" t="s">
        <v>26263</v>
      </c>
      <c r="AO1115" s="86" t="s">
        <v>27437</v>
      </c>
      <c r="AP1115" s="96" t="str">
        <f>HYPERLINK("https://t.co/EjGSWsecbw")</f>
        <v>https://t.co/EjGSWsecbw</v>
      </c>
      <c r="AQ1115" s="96" t="str">
        <f>HYPERLINK("https://www.youtube.com/channel/UCro8c6joFf8owfxACjviwdQ")</f>
        <v>https://www.youtube.com/channel/UCro8c6joFf8owfxACjviwdQ</v>
      </c>
      <c r="AR1115" s="86" t="s">
        <v>28641</v>
      </c>
      <c r="AS1115" s="86"/>
      <c r="AT1115" s="86"/>
      <c r="AU1115" s="86"/>
      <c r="AV1115" s="86"/>
      <c r="AW1115" s="96" t="str">
        <f>HYPERLINK("https://t.co/EjGSWsecbw")</f>
        <v>https://t.co/EjGSWsecbw</v>
      </c>
      <c r="AX1115" s="86" t="b">
        <v>0</v>
      </c>
      <c r="AY1115" s="86"/>
      <c r="AZ1115" s="86"/>
      <c r="BA1115" s="86" t="b">
        <v>1</v>
      </c>
      <c r="BB1115" s="86" t="b">
        <v>1</v>
      </c>
      <c r="BC1115" s="86" t="b">
        <v>0</v>
      </c>
      <c r="BD1115" s="86" t="b">
        <v>0</v>
      </c>
      <c r="BE1115" s="86" t="b">
        <v>1</v>
      </c>
      <c r="BF1115" s="86" t="b">
        <v>0</v>
      </c>
      <c r="BG1115" s="86" t="b">
        <v>0</v>
      </c>
      <c r="BH1115" s="96" t="str">
        <f>HYPERLINK("https://pbs.twimg.com/profile_banners/91998084/1552387451")</f>
        <v>https://pbs.twimg.com/profile_banners/91998084/1552387451</v>
      </c>
      <c r="BI1115" s="86"/>
      <c r="BJ1115" s="86" t="s">
        <v>29134</v>
      </c>
      <c r="BK1115" s="86" t="b">
        <v>0</v>
      </c>
      <c r="BL1115" s="86"/>
      <c r="BM1115" s="86" t="s">
        <v>66</v>
      </c>
      <c r="BN1115" s="86" t="s">
        <v>29136</v>
      </c>
      <c r="BO1115" s="96" t="str">
        <f>HYPERLINK("https://twitter.com/guedinhajo")</f>
        <v>https://twitter.com/guedinhajo</v>
      </c>
      <c r="BP1115" s="2"/>
    </row>
    <row r="1116" spans="1:68" x14ac:dyDescent="0.25">
      <c r="A1116" s="63" t="s">
        <v>1250</v>
      </c>
      <c r="B1116" s="64"/>
      <c r="C1116" s="64"/>
      <c r="D1116" s="65"/>
      <c r="E1116" s="67"/>
      <c r="F1116" s="111" t="str">
        <f>HYPERLINK("https://pbs.twimg.com/profile_images/580446627695038464/iV5737Qs_normal.jpg")</f>
        <v>https://pbs.twimg.com/profile_images/580446627695038464/iV5737Qs_normal.jpg</v>
      </c>
      <c r="G1116" s="64"/>
      <c r="H1116" s="68"/>
      <c r="I1116" s="69"/>
      <c r="J1116" s="69"/>
      <c r="K1116" s="68" t="s">
        <v>30249</v>
      </c>
      <c r="L1116" s="72"/>
      <c r="M1116" s="73"/>
      <c r="N1116" s="73"/>
      <c r="O1116" s="74"/>
      <c r="P1116" s="75"/>
      <c r="Q1116" s="75"/>
      <c r="R1116" s="102"/>
      <c r="S1116" s="102"/>
      <c r="T1116" s="102"/>
      <c r="U1116" s="102"/>
      <c r="V1116" s="48"/>
      <c r="W1116" s="48"/>
      <c r="X1116" s="48"/>
      <c r="Y1116" s="48"/>
      <c r="Z1116" s="47"/>
      <c r="AA1116" s="70">
        <v>1116</v>
      </c>
      <c r="AB1116" s="70"/>
      <c r="AC1116" s="71"/>
      <c r="AD1116" s="86" t="s">
        <v>24718</v>
      </c>
      <c r="AE1116" s="94" t="s">
        <v>25667</v>
      </c>
      <c r="AF1116" s="86">
        <v>4418775</v>
      </c>
      <c r="AG1116" s="86">
        <v>417</v>
      </c>
      <c r="AH1116" s="86">
        <v>25377</v>
      </c>
      <c r="AI1116" s="86">
        <v>567</v>
      </c>
      <c r="AJ1116" s="86">
        <v>3001</v>
      </c>
      <c r="AK1116" s="86">
        <v>11980</v>
      </c>
      <c r="AL1116" s="86" t="b">
        <v>0</v>
      </c>
      <c r="AM1116" s="89">
        <v>41283.083194444444</v>
      </c>
      <c r="AN1116" s="86"/>
      <c r="AO1116" s="86" t="s">
        <v>27438</v>
      </c>
      <c r="AP1116" s="96" t="str">
        <f>HYPERLINK("https://t.co/bBtPful7QJ")</f>
        <v>https://t.co/bBtPful7QJ</v>
      </c>
      <c r="AQ1116" s="96" t="str">
        <f>HYPERLINK("http://instagram.com/nazareamarga")</f>
        <v>http://instagram.com/nazareamarga</v>
      </c>
      <c r="AR1116" s="86" t="s">
        <v>28642</v>
      </c>
      <c r="AS1116" s="86"/>
      <c r="AT1116" s="86"/>
      <c r="AU1116" s="86"/>
      <c r="AV1116" s="86"/>
      <c r="AW1116" s="96" t="str">
        <f>HYPERLINK("https://t.co/bBtPful7QJ")</f>
        <v>https://t.co/bBtPful7QJ</v>
      </c>
      <c r="AX1116" s="86" t="b">
        <v>1</v>
      </c>
      <c r="AY1116" s="86"/>
      <c r="AZ1116" s="86"/>
      <c r="BA1116" s="86" t="b">
        <v>1</v>
      </c>
      <c r="BB1116" s="86" t="b">
        <v>0</v>
      </c>
      <c r="BC1116" s="86" t="b">
        <v>0</v>
      </c>
      <c r="BD1116" s="86" t="b">
        <v>0</v>
      </c>
      <c r="BE1116" s="86" t="b">
        <v>1</v>
      </c>
      <c r="BF1116" s="86" t="b">
        <v>0</v>
      </c>
      <c r="BG1116" s="86" t="b">
        <v>0</v>
      </c>
      <c r="BH1116" s="86"/>
      <c r="BI1116" s="86"/>
      <c r="BJ1116" s="86" t="s">
        <v>29134</v>
      </c>
      <c r="BK1116" s="86" t="b">
        <v>0</v>
      </c>
      <c r="BL1116" s="86"/>
      <c r="BM1116" s="86" t="s">
        <v>66</v>
      </c>
      <c r="BN1116" s="86" t="s">
        <v>29136</v>
      </c>
      <c r="BO1116" s="96" t="str">
        <f>HYPERLINK("https://twitter.com/nazareamarga")</f>
        <v>https://twitter.com/nazareamarga</v>
      </c>
      <c r="BP1116" s="2"/>
    </row>
    <row r="1117" spans="1:68" x14ac:dyDescent="0.25">
      <c r="A1117" s="63" t="s">
        <v>1171</v>
      </c>
      <c r="B1117" s="64"/>
      <c r="C1117" s="64"/>
      <c r="D1117" s="65"/>
      <c r="E1117" s="67"/>
      <c r="F1117" s="111" t="str">
        <f>HYPERLINK("https://pbs.twimg.com/profile_images/1686041854507163650/CVZ2XHop_normal.jpg")</f>
        <v>https://pbs.twimg.com/profile_images/1686041854507163650/CVZ2XHop_normal.jpg</v>
      </c>
      <c r="G1117" s="64"/>
      <c r="H1117" s="68"/>
      <c r="I1117" s="69"/>
      <c r="J1117" s="69"/>
      <c r="K1117" s="68" t="s">
        <v>30250</v>
      </c>
      <c r="L1117" s="72"/>
      <c r="M1117" s="73"/>
      <c r="N1117" s="73"/>
      <c r="O1117" s="74"/>
      <c r="P1117" s="75"/>
      <c r="Q1117" s="75"/>
      <c r="R1117" s="102"/>
      <c r="S1117" s="102"/>
      <c r="T1117" s="102"/>
      <c r="U1117" s="102"/>
      <c r="V1117" s="48"/>
      <c r="W1117" s="48"/>
      <c r="X1117" s="48"/>
      <c r="Y1117" s="48"/>
      <c r="Z1117" s="47"/>
      <c r="AA1117" s="70">
        <v>1117</v>
      </c>
      <c r="AB1117" s="70"/>
      <c r="AC1117" s="71"/>
      <c r="AD1117" s="86" t="s">
        <v>24719</v>
      </c>
      <c r="AE1117" s="94" t="s">
        <v>23340</v>
      </c>
      <c r="AF1117" s="86">
        <v>6</v>
      </c>
      <c r="AG1117" s="86">
        <v>7</v>
      </c>
      <c r="AH1117" s="86">
        <v>12</v>
      </c>
      <c r="AI1117" s="86">
        <v>0</v>
      </c>
      <c r="AJ1117" s="86">
        <v>4</v>
      </c>
      <c r="AK1117" s="86">
        <v>11</v>
      </c>
      <c r="AL1117" s="86" t="b">
        <v>0</v>
      </c>
      <c r="AM1117" s="89">
        <v>44830.586388888885</v>
      </c>
      <c r="AN1117" s="86"/>
      <c r="AO1117" s="86" t="s">
        <v>27439</v>
      </c>
      <c r="AP1117" s="96" t="str">
        <f>HYPERLINK("https://t.co/JrRbb4igTW")</f>
        <v>https://t.co/JrRbb4igTW</v>
      </c>
      <c r="AQ1117" s="96" t="str">
        <f>HYPERLINK("https://www.youtube.com/@FabiSouzzaAromaterapiaTV")</f>
        <v>https://www.youtube.com/@FabiSouzzaAromaterapiaTV</v>
      </c>
      <c r="AR1117" s="86" t="s">
        <v>28643</v>
      </c>
      <c r="AS1117" s="86"/>
      <c r="AT1117" s="86"/>
      <c r="AU1117" s="86"/>
      <c r="AV1117" s="86"/>
      <c r="AW1117" s="96" t="str">
        <f>HYPERLINK("https://t.co/JrRbb4igTW")</f>
        <v>https://t.co/JrRbb4igTW</v>
      </c>
      <c r="AX1117" s="86" t="b">
        <v>0</v>
      </c>
      <c r="AY1117" s="86"/>
      <c r="AZ1117" s="86"/>
      <c r="BA1117" s="86" t="b">
        <v>0</v>
      </c>
      <c r="BB1117" s="86" t="b">
        <v>1</v>
      </c>
      <c r="BC1117" s="86" t="b">
        <v>1</v>
      </c>
      <c r="BD1117" s="86" t="b">
        <v>0</v>
      </c>
      <c r="BE1117" s="86" t="b">
        <v>0</v>
      </c>
      <c r="BF1117" s="86" t="b">
        <v>0</v>
      </c>
      <c r="BG1117" s="86" t="b">
        <v>0</v>
      </c>
      <c r="BH1117" s="96" t="str">
        <f>HYPERLINK("https://pbs.twimg.com/profile_banners/1574399447366254594/1690819624")</f>
        <v>https://pbs.twimg.com/profile_banners/1574399447366254594/1690819624</v>
      </c>
      <c r="BI1117" s="86"/>
      <c r="BJ1117" s="86" t="s">
        <v>29134</v>
      </c>
      <c r="BK1117" s="86" t="b">
        <v>0</v>
      </c>
      <c r="BL1117" s="86"/>
      <c r="BM1117" s="86" t="s">
        <v>66</v>
      </c>
      <c r="BN1117" s="86" t="s">
        <v>29136</v>
      </c>
      <c r="BO1117" s="96" t="str">
        <f>HYPERLINK("https://twitter.com/fabiolaterapia")</f>
        <v>https://twitter.com/fabiolaterapia</v>
      </c>
      <c r="BP1117" s="2"/>
    </row>
    <row r="1118" spans="1:68" x14ac:dyDescent="0.25">
      <c r="A1118" s="63" t="s">
        <v>1172</v>
      </c>
      <c r="B1118" s="64"/>
      <c r="C1118" s="64"/>
      <c r="D1118" s="65"/>
      <c r="E1118" s="67"/>
      <c r="F1118" s="111" t="str">
        <f>HYPERLINK("https://pbs.twimg.com/profile_images/1655602875358142465/JGqMZ7UG_normal.jpg")</f>
        <v>https://pbs.twimg.com/profile_images/1655602875358142465/JGqMZ7UG_normal.jpg</v>
      </c>
      <c r="G1118" s="64"/>
      <c r="H1118" s="68"/>
      <c r="I1118" s="69"/>
      <c r="J1118" s="69"/>
      <c r="K1118" s="68" t="s">
        <v>30251</v>
      </c>
      <c r="L1118" s="72"/>
      <c r="M1118" s="73"/>
      <c r="N1118" s="73"/>
      <c r="O1118" s="74"/>
      <c r="P1118" s="75"/>
      <c r="Q1118" s="75"/>
      <c r="R1118" s="102"/>
      <c r="S1118" s="102"/>
      <c r="T1118" s="102"/>
      <c r="U1118" s="102"/>
      <c r="V1118" s="48"/>
      <c r="W1118" s="48"/>
      <c r="X1118" s="48"/>
      <c r="Y1118" s="48"/>
      <c r="Z1118" s="47"/>
      <c r="AA1118" s="70">
        <v>1118</v>
      </c>
      <c r="AB1118" s="70"/>
      <c r="AC1118" s="71"/>
      <c r="AD1118" s="86" t="s">
        <v>24720</v>
      </c>
      <c r="AE1118" s="94" t="s">
        <v>22621</v>
      </c>
      <c r="AF1118" s="86">
        <v>0</v>
      </c>
      <c r="AG1118" s="86">
        <v>1</v>
      </c>
      <c r="AH1118" s="86">
        <v>94</v>
      </c>
      <c r="AI1118" s="86">
        <v>0</v>
      </c>
      <c r="AJ1118" s="86">
        <v>0</v>
      </c>
      <c r="AK1118" s="86">
        <v>38</v>
      </c>
      <c r="AL1118" s="86" t="b">
        <v>0</v>
      </c>
      <c r="AM1118" s="89">
        <v>45054.664456018516</v>
      </c>
      <c r="AN1118" s="86"/>
      <c r="AO1118" s="86"/>
      <c r="AP1118" s="86"/>
      <c r="AQ1118" s="86"/>
      <c r="AR1118" s="86"/>
      <c r="AS1118" s="86"/>
      <c r="AT1118" s="86"/>
      <c r="AU1118" s="86"/>
      <c r="AV1118" s="86"/>
      <c r="AW1118" s="86"/>
      <c r="AX1118" s="86" t="b">
        <v>0</v>
      </c>
      <c r="AY1118" s="86"/>
      <c r="AZ1118" s="86"/>
      <c r="BA1118" s="86" t="b">
        <v>0</v>
      </c>
      <c r="BB1118" s="86" t="b">
        <v>1</v>
      </c>
      <c r="BC1118" s="86" t="b">
        <v>1</v>
      </c>
      <c r="BD1118" s="86" t="b">
        <v>0</v>
      </c>
      <c r="BE1118" s="86" t="b">
        <v>0</v>
      </c>
      <c r="BF1118" s="86" t="b">
        <v>0</v>
      </c>
      <c r="BG1118" s="86" t="b">
        <v>0</v>
      </c>
      <c r="BH1118" s="86"/>
      <c r="BI1118" s="86"/>
      <c r="BJ1118" s="86" t="s">
        <v>29134</v>
      </c>
      <c r="BK1118" s="86" t="b">
        <v>0</v>
      </c>
      <c r="BL1118" s="86"/>
      <c r="BM1118" s="86" t="s">
        <v>66</v>
      </c>
      <c r="BN1118" s="86" t="s">
        <v>29136</v>
      </c>
      <c r="BO1118" s="96" t="str">
        <f>HYPERLINK("https://twitter.com/realvictorhugog")</f>
        <v>https://twitter.com/realvictorhugog</v>
      </c>
      <c r="BP1118" s="2"/>
    </row>
    <row r="1119" spans="1:68" x14ac:dyDescent="0.25">
      <c r="A1119" s="63" t="s">
        <v>1173</v>
      </c>
      <c r="B1119" s="64"/>
      <c r="C1119" s="64"/>
      <c r="D1119" s="65"/>
      <c r="E1119" s="67"/>
      <c r="F1119" s="111" t="str">
        <f>HYPERLINK("https://pbs.twimg.com/profile_images/1695974447809777664/7XICui8v_normal.jpg")</f>
        <v>https://pbs.twimg.com/profile_images/1695974447809777664/7XICui8v_normal.jpg</v>
      </c>
      <c r="G1119" s="64"/>
      <c r="H1119" s="68"/>
      <c r="I1119" s="69"/>
      <c r="J1119" s="69"/>
      <c r="K1119" s="68" t="s">
        <v>30252</v>
      </c>
      <c r="L1119" s="72"/>
      <c r="M1119" s="73"/>
      <c r="N1119" s="73"/>
      <c r="O1119" s="74"/>
      <c r="P1119" s="75"/>
      <c r="Q1119" s="75"/>
      <c r="R1119" s="102"/>
      <c r="S1119" s="102"/>
      <c r="T1119" s="102"/>
      <c r="U1119" s="102"/>
      <c r="V1119" s="48"/>
      <c r="W1119" s="48"/>
      <c r="X1119" s="48"/>
      <c r="Y1119" s="48"/>
      <c r="Z1119" s="47"/>
      <c r="AA1119" s="70">
        <v>1119</v>
      </c>
      <c r="AB1119" s="70"/>
      <c r="AC1119" s="71"/>
      <c r="AD1119" s="86" t="s">
        <v>24721</v>
      </c>
      <c r="AE1119" s="94" t="s">
        <v>23341</v>
      </c>
      <c r="AF1119" s="86">
        <v>2</v>
      </c>
      <c r="AG1119" s="86">
        <v>26</v>
      </c>
      <c r="AH1119" s="86">
        <v>12</v>
      </c>
      <c r="AI1119" s="86">
        <v>0</v>
      </c>
      <c r="AJ1119" s="86">
        <v>4</v>
      </c>
      <c r="AK1119" s="86">
        <v>9</v>
      </c>
      <c r="AL1119" s="86" t="b">
        <v>0</v>
      </c>
      <c r="AM1119" s="89">
        <v>44651.876620370371</v>
      </c>
      <c r="AN1119" s="86" t="s">
        <v>26264</v>
      </c>
      <c r="AO1119" s="86" t="s">
        <v>27440</v>
      </c>
      <c r="AP1119" s="96" t="str">
        <f>HYPERLINK("https://t.co/d4hSuwHHfa")</f>
        <v>https://t.co/d4hSuwHHfa</v>
      </c>
      <c r="AQ1119" s="96" t="str">
        <f>HYPERLINK("https://fortmetalurgica.com.br/")</f>
        <v>https://fortmetalurgica.com.br/</v>
      </c>
      <c r="AR1119" s="86" t="s">
        <v>28644</v>
      </c>
      <c r="AS1119" s="86"/>
      <c r="AT1119" s="86"/>
      <c r="AU1119" s="86"/>
      <c r="AV1119" s="86"/>
      <c r="AW1119" s="96" t="str">
        <f>HYPERLINK("https://t.co/d4hSuwHHfa")</f>
        <v>https://t.co/d4hSuwHHfa</v>
      </c>
      <c r="AX1119" s="86" t="b">
        <v>0</v>
      </c>
      <c r="AY1119" s="86"/>
      <c r="AZ1119" s="86"/>
      <c r="BA1119" s="86" t="b">
        <v>0</v>
      </c>
      <c r="BB1119" s="86" t="b">
        <v>1</v>
      </c>
      <c r="BC1119" s="86" t="b">
        <v>1</v>
      </c>
      <c r="BD1119" s="86" t="b">
        <v>0</v>
      </c>
      <c r="BE1119" s="86" t="b">
        <v>0</v>
      </c>
      <c r="BF1119" s="86" t="b">
        <v>0</v>
      </c>
      <c r="BG1119" s="86" t="b">
        <v>0</v>
      </c>
      <c r="BH1119" s="96" t="str">
        <f>HYPERLINK("https://pbs.twimg.com/profile_banners/1509637013921800197/1689276867")</f>
        <v>https://pbs.twimg.com/profile_banners/1509637013921800197/1689276867</v>
      </c>
      <c r="BI1119" s="86"/>
      <c r="BJ1119" s="86" t="s">
        <v>29134</v>
      </c>
      <c r="BK1119" s="86" t="b">
        <v>0</v>
      </c>
      <c r="BL1119" s="86"/>
      <c r="BM1119" s="86" t="s">
        <v>66</v>
      </c>
      <c r="BN1119" s="86" t="s">
        <v>29136</v>
      </c>
      <c r="BO1119" s="96" t="str">
        <f>HYPERLINK("https://twitter.com/fortmetalurgica")</f>
        <v>https://twitter.com/fortmetalurgica</v>
      </c>
      <c r="BP1119" s="2"/>
    </row>
    <row r="1120" spans="1:68" x14ac:dyDescent="0.25">
      <c r="A1120" s="63" t="s">
        <v>1174</v>
      </c>
      <c r="B1120" s="64"/>
      <c r="C1120" s="64"/>
      <c r="D1120" s="65"/>
      <c r="E1120" s="67"/>
      <c r="F1120" s="111" t="str">
        <f>HYPERLINK("https://pbs.twimg.com/profile_images/1659706786755096578/hmwDD3V2_normal.jpg")</f>
        <v>https://pbs.twimg.com/profile_images/1659706786755096578/hmwDD3V2_normal.jpg</v>
      </c>
      <c r="G1120" s="64"/>
      <c r="H1120" s="68"/>
      <c r="I1120" s="69"/>
      <c r="J1120" s="69"/>
      <c r="K1120" s="68" t="s">
        <v>30253</v>
      </c>
      <c r="L1120" s="72"/>
      <c r="M1120" s="73"/>
      <c r="N1120" s="73"/>
      <c r="O1120" s="74"/>
      <c r="P1120" s="75"/>
      <c r="Q1120" s="75"/>
      <c r="R1120" s="102"/>
      <c r="S1120" s="102"/>
      <c r="T1120" s="102"/>
      <c r="U1120" s="102"/>
      <c r="V1120" s="48"/>
      <c r="W1120" s="48"/>
      <c r="X1120" s="48"/>
      <c r="Y1120" s="48"/>
      <c r="Z1120" s="47"/>
      <c r="AA1120" s="70">
        <v>1120</v>
      </c>
      <c r="AB1120" s="70"/>
      <c r="AC1120" s="71"/>
      <c r="AD1120" s="86" t="s">
        <v>24722</v>
      </c>
      <c r="AE1120" s="94" t="s">
        <v>23342</v>
      </c>
      <c r="AF1120" s="86">
        <v>3</v>
      </c>
      <c r="AG1120" s="86">
        <v>3</v>
      </c>
      <c r="AH1120" s="86">
        <v>103</v>
      </c>
      <c r="AI1120" s="86">
        <v>0</v>
      </c>
      <c r="AJ1120" s="86">
        <v>14</v>
      </c>
      <c r="AK1120" s="86">
        <v>94</v>
      </c>
      <c r="AL1120" s="86" t="b">
        <v>0</v>
      </c>
      <c r="AM1120" s="89">
        <v>44682.870752314811</v>
      </c>
      <c r="AN1120" s="86" t="s">
        <v>26265</v>
      </c>
      <c r="AO1120" s="86" t="s">
        <v>27441</v>
      </c>
      <c r="AP1120" s="96" t="str">
        <f>HYPERLINK("https://t.co/B7WRdcm42x")</f>
        <v>https://t.co/B7WRdcm42x</v>
      </c>
      <c r="AQ1120" s="96" t="str">
        <f>HYPERLINK("https://pay.hotmart.com/L75402080D")</f>
        <v>https://pay.hotmart.com/L75402080D</v>
      </c>
      <c r="AR1120" s="86" t="s">
        <v>28645</v>
      </c>
      <c r="AS1120" s="86"/>
      <c r="AT1120" s="86"/>
      <c r="AU1120" s="86"/>
      <c r="AV1120" s="86"/>
      <c r="AW1120" s="96" t="str">
        <f>HYPERLINK("https://t.co/B7WRdcm42x")</f>
        <v>https://t.co/B7WRdcm42x</v>
      </c>
      <c r="AX1120" s="86" t="b">
        <v>0</v>
      </c>
      <c r="AY1120" s="86"/>
      <c r="AZ1120" s="86"/>
      <c r="BA1120" s="86" t="b">
        <v>0</v>
      </c>
      <c r="BB1120" s="86" t="b">
        <v>1</v>
      </c>
      <c r="BC1120" s="86" t="b">
        <v>1</v>
      </c>
      <c r="BD1120" s="86" t="b">
        <v>0</v>
      </c>
      <c r="BE1120" s="86" t="b">
        <v>0</v>
      </c>
      <c r="BF1120" s="86" t="b">
        <v>0</v>
      </c>
      <c r="BG1120" s="86" t="b">
        <v>0</v>
      </c>
      <c r="BH1120" s="96" t="str">
        <f>HYPERLINK("https://pbs.twimg.com/profile_banners/1520869059130101760/1681495331")</f>
        <v>https://pbs.twimg.com/profile_banners/1520869059130101760/1681495331</v>
      </c>
      <c r="BI1120" s="86"/>
      <c r="BJ1120" s="86" t="s">
        <v>29134</v>
      </c>
      <c r="BK1120" s="86" t="b">
        <v>0</v>
      </c>
      <c r="BL1120" s="86"/>
      <c r="BM1120" s="86" t="s">
        <v>66</v>
      </c>
      <c r="BN1120" s="86" t="s">
        <v>29136</v>
      </c>
      <c r="BO1120" s="96" t="str">
        <f>HYPERLINK("https://twitter.com/soudiegooliveir")</f>
        <v>https://twitter.com/soudiegooliveir</v>
      </c>
      <c r="BP1120" s="2"/>
    </row>
    <row r="1121" spans="1:68" x14ac:dyDescent="0.25">
      <c r="A1121" s="63" t="s">
        <v>1175</v>
      </c>
      <c r="B1121" s="64"/>
      <c r="C1121" s="64"/>
      <c r="D1121" s="65"/>
      <c r="E1121" s="67"/>
      <c r="F1121" s="111" t="str">
        <f>HYPERLINK("https://pbs.twimg.com/profile_images/1678251125558878208/MGJbSTNh_normal.jpg")</f>
        <v>https://pbs.twimg.com/profile_images/1678251125558878208/MGJbSTNh_normal.jpg</v>
      </c>
      <c r="G1121" s="64"/>
      <c r="H1121" s="68"/>
      <c r="I1121" s="69"/>
      <c r="J1121" s="69"/>
      <c r="K1121" s="68" t="s">
        <v>30254</v>
      </c>
      <c r="L1121" s="72"/>
      <c r="M1121" s="73"/>
      <c r="N1121" s="73"/>
      <c r="O1121" s="74"/>
      <c r="P1121" s="75"/>
      <c r="Q1121" s="75"/>
      <c r="R1121" s="102"/>
      <c r="S1121" s="102"/>
      <c r="T1121" s="102"/>
      <c r="U1121" s="102"/>
      <c r="V1121" s="48"/>
      <c r="W1121" s="48"/>
      <c r="X1121" s="48"/>
      <c r="Y1121" s="48"/>
      <c r="Z1121" s="47"/>
      <c r="AA1121" s="70">
        <v>1121</v>
      </c>
      <c r="AB1121" s="70"/>
      <c r="AC1121" s="71"/>
      <c r="AD1121" s="86" t="s">
        <v>24723</v>
      </c>
      <c r="AE1121" s="94" t="s">
        <v>23343</v>
      </c>
      <c r="AF1121" s="86">
        <v>0</v>
      </c>
      <c r="AG1121" s="86">
        <v>2</v>
      </c>
      <c r="AH1121" s="86">
        <v>2</v>
      </c>
      <c r="AI1121" s="86">
        <v>0</v>
      </c>
      <c r="AJ1121" s="86">
        <v>0</v>
      </c>
      <c r="AK1121" s="86">
        <v>0</v>
      </c>
      <c r="AL1121" s="86" t="b">
        <v>0</v>
      </c>
      <c r="AM1121" s="89">
        <v>45056.711597222224</v>
      </c>
      <c r="AN1121" s="86" t="s">
        <v>26266</v>
      </c>
      <c r="AO1121" s="86" t="s">
        <v>27442</v>
      </c>
      <c r="AP1121" s="96" t="str">
        <f>HYPERLINK("https://t.co/ILRicVaWk8")</f>
        <v>https://t.co/ILRicVaWk8</v>
      </c>
      <c r="AQ1121" s="96" t="str">
        <f>HYPERLINK("https://empreendacg.com.br")</f>
        <v>https://empreendacg.com.br</v>
      </c>
      <c r="AR1121" s="86" t="s">
        <v>28646</v>
      </c>
      <c r="AS1121" s="86"/>
      <c r="AT1121" s="86"/>
      <c r="AU1121" s="86"/>
      <c r="AV1121" s="86"/>
      <c r="AW1121" s="96" t="str">
        <f>HYPERLINK("https://t.co/ILRicVaWk8")</f>
        <v>https://t.co/ILRicVaWk8</v>
      </c>
      <c r="AX1121" s="86" t="b">
        <v>0</v>
      </c>
      <c r="AY1121" s="86"/>
      <c r="AZ1121" s="86"/>
      <c r="BA1121" s="86" t="b">
        <v>0</v>
      </c>
      <c r="BB1121" s="86" t="b">
        <v>1</v>
      </c>
      <c r="BC1121" s="86" t="b">
        <v>1</v>
      </c>
      <c r="BD1121" s="86" t="b">
        <v>0</v>
      </c>
      <c r="BE1121" s="86" t="b">
        <v>0</v>
      </c>
      <c r="BF1121" s="86" t="b">
        <v>0</v>
      </c>
      <c r="BG1121" s="86" t="b">
        <v>0</v>
      </c>
      <c r="BH1121" s="86"/>
      <c r="BI1121" s="86"/>
      <c r="BJ1121" s="86" t="s">
        <v>29134</v>
      </c>
      <c r="BK1121" s="86" t="b">
        <v>0</v>
      </c>
      <c r="BL1121" s="86"/>
      <c r="BM1121" s="86" t="s">
        <v>66</v>
      </c>
      <c r="BN1121" s="86" t="s">
        <v>29136</v>
      </c>
      <c r="BO1121" s="96" t="str">
        <f>HYPERLINK("https://twitter.com/empreendacg")</f>
        <v>https://twitter.com/empreendacg</v>
      </c>
      <c r="BP1121" s="2"/>
    </row>
    <row r="1122" spans="1:68" x14ac:dyDescent="0.25">
      <c r="A1122" s="63" t="s">
        <v>1176</v>
      </c>
      <c r="B1122" s="64"/>
      <c r="C1122" s="64"/>
      <c r="D1122" s="65"/>
      <c r="E1122" s="67"/>
      <c r="F1122" s="111" t="str">
        <f>HYPERLINK("https://pbs.twimg.com/profile_images/1630618204123938836/vgB6wz-F_normal.jpg")</f>
        <v>https://pbs.twimg.com/profile_images/1630618204123938836/vgB6wz-F_normal.jpg</v>
      </c>
      <c r="G1122" s="64"/>
      <c r="H1122" s="68"/>
      <c r="I1122" s="69"/>
      <c r="J1122" s="69"/>
      <c r="K1122" s="68" t="s">
        <v>30255</v>
      </c>
      <c r="L1122" s="72"/>
      <c r="M1122" s="73"/>
      <c r="N1122" s="73"/>
      <c r="O1122" s="74"/>
      <c r="P1122" s="75"/>
      <c r="Q1122" s="75"/>
      <c r="R1122" s="102"/>
      <c r="S1122" s="102"/>
      <c r="T1122" s="102"/>
      <c r="U1122" s="102"/>
      <c r="V1122" s="48"/>
      <c r="W1122" s="48"/>
      <c r="X1122" s="48"/>
      <c r="Y1122" s="48"/>
      <c r="Z1122" s="47"/>
      <c r="AA1122" s="70">
        <v>1122</v>
      </c>
      <c r="AB1122" s="70"/>
      <c r="AC1122" s="71"/>
      <c r="AD1122" s="86" t="s">
        <v>24724</v>
      </c>
      <c r="AE1122" s="94" t="s">
        <v>23344</v>
      </c>
      <c r="AF1122" s="86">
        <v>3</v>
      </c>
      <c r="AG1122" s="86">
        <v>4</v>
      </c>
      <c r="AH1122" s="86">
        <v>48</v>
      </c>
      <c r="AI1122" s="86">
        <v>0</v>
      </c>
      <c r="AJ1122" s="86">
        <v>0</v>
      </c>
      <c r="AK1122" s="86">
        <v>0</v>
      </c>
      <c r="AL1122" s="86" t="b">
        <v>0</v>
      </c>
      <c r="AM1122" s="89">
        <v>44985.719687500001</v>
      </c>
      <c r="AN1122" s="86" t="s">
        <v>15240</v>
      </c>
      <c r="AO1122" s="86" t="s">
        <v>27443</v>
      </c>
      <c r="AP1122" s="96" t="str">
        <f>HYPERLINK("https://t.co/VksrExsVko")</f>
        <v>https://t.co/VksrExsVko</v>
      </c>
      <c r="AQ1122" s="96" t="str">
        <f>HYPERLINK("http://blog.temevento.com")</f>
        <v>http://blog.temevento.com</v>
      </c>
      <c r="AR1122" s="86" t="s">
        <v>28647</v>
      </c>
      <c r="AS1122" s="86"/>
      <c r="AT1122" s="86"/>
      <c r="AU1122" s="86"/>
      <c r="AV1122" s="86"/>
      <c r="AW1122" s="96" t="str">
        <f>HYPERLINK("https://t.co/VksrExsVko")</f>
        <v>https://t.co/VksrExsVko</v>
      </c>
      <c r="AX1122" s="86" t="b">
        <v>0</v>
      </c>
      <c r="AY1122" s="86"/>
      <c r="AZ1122" s="86"/>
      <c r="BA1122" s="86" t="b">
        <v>0</v>
      </c>
      <c r="BB1122" s="86" t="b">
        <v>1</v>
      </c>
      <c r="BC1122" s="86" t="b">
        <v>1</v>
      </c>
      <c r="BD1122" s="86" t="b">
        <v>0</v>
      </c>
      <c r="BE1122" s="86" t="b">
        <v>0</v>
      </c>
      <c r="BF1122" s="86" t="b">
        <v>0</v>
      </c>
      <c r="BG1122" s="86" t="b">
        <v>0</v>
      </c>
      <c r="BH1122" s="96" t="str">
        <f>HYPERLINK("https://pbs.twimg.com/profile_banners/1630617842956619776/1677607468")</f>
        <v>https://pbs.twimg.com/profile_banners/1630617842956619776/1677607468</v>
      </c>
      <c r="BI1122" s="86"/>
      <c r="BJ1122" s="86" t="s">
        <v>29134</v>
      </c>
      <c r="BK1122" s="86" t="b">
        <v>0</v>
      </c>
      <c r="BL1122" s="86"/>
      <c r="BM1122" s="86" t="s">
        <v>66</v>
      </c>
      <c r="BN1122" s="86" t="s">
        <v>29136</v>
      </c>
      <c r="BO1122" s="96" t="str">
        <f>HYPERLINK("https://twitter.com/blogtemevento")</f>
        <v>https://twitter.com/blogtemevento</v>
      </c>
      <c r="BP1122" s="2"/>
    </row>
    <row r="1123" spans="1:68" x14ac:dyDescent="0.25">
      <c r="A1123" s="63" t="s">
        <v>1177</v>
      </c>
      <c r="B1123" s="64"/>
      <c r="C1123" s="64"/>
      <c r="D1123" s="65"/>
      <c r="E1123" s="67"/>
      <c r="F1123" s="111" t="str">
        <f>HYPERLINK("https://pbs.twimg.com/profile_images/1226620108451217409/7hxuic5__normal.jpg")</f>
        <v>https://pbs.twimg.com/profile_images/1226620108451217409/7hxuic5__normal.jpg</v>
      </c>
      <c r="G1123" s="64"/>
      <c r="H1123" s="68"/>
      <c r="I1123" s="69"/>
      <c r="J1123" s="69"/>
      <c r="K1123" s="68" t="s">
        <v>30256</v>
      </c>
      <c r="L1123" s="72"/>
      <c r="M1123" s="73"/>
      <c r="N1123" s="73"/>
      <c r="O1123" s="74"/>
      <c r="P1123" s="75"/>
      <c r="Q1123" s="75"/>
      <c r="R1123" s="102"/>
      <c r="S1123" s="102"/>
      <c r="T1123" s="102"/>
      <c r="U1123" s="102"/>
      <c r="V1123" s="48"/>
      <c r="W1123" s="48"/>
      <c r="X1123" s="48"/>
      <c r="Y1123" s="48"/>
      <c r="Z1123" s="47"/>
      <c r="AA1123" s="70">
        <v>1123</v>
      </c>
      <c r="AB1123" s="70"/>
      <c r="AC1123" s="71"/>
      <c r="AD1123" s="86" t="s">
        <v>24725</v>
      </c>
      <c r="AE1123" s="94" t="s">
        <v>25668</v>
      </c>
      <c r="AF1123" s="86">
        <v>3095</v>
      </c>
      <c r="AG1123" s="86">
        <v>3709</v>
      </c>
      <c r="AH1123" s="86">
        <v>3235</v>
      </c>
      <c r="AI1123" s="86">
        <v>15</v>
      </c>
      <c r="AJ1123" s="86">
        <v>901</v>
      </c>
      <c r="AK1123" s="86">
        <v>1571</v>
      </c>
      <c r="AL1123" s="86" t="b">
        <v>0</v>
      </c>
      <c r="AM1123" s="89">
        <v>40594.984652777777</v>
      </c>
      <c r="AN1123" s="86" t="s">
        <v>15240</v>
      </c>
      <c r="AO1123" s="86" t="s">
        <v>27444</v>
      </c>
      <c r="AP1123" s="86"/>
      <c r="AQ1123" s="86"/>
      <c r="AR1123" s="86"/>
      <c r="AS1123" s="86"/>
      <c r="AT1123" s="86"/>
      <c r="AU1123" s="86"/>
      <c r="AV1123" s="86"/>
      <c r="AW1123" s="86"/>
      <c r="AX1123" s="86" t="b">
        <v>0</v>
      </c>
      <c r="AY1123" s="86"/>
      <c r="AZ1123" s="86"/>
      <c r="BA1123" s="86" t="b">
        <v>1</v>
      </c>
      <c r="BB1123" s="86" t="b">
        <v>0</v>
      </c>
      <c r="BC1123" s="86" t="b">
        <v>0</v>
      </c>
      <c r="BD1123" s="86" t="b">
        <v>0</v>
      </c>
      <c r="BE1123" s="86" t="b">
        <v>1</v>
      </c>
      <c r="BF1123" s="86" t="b">
        <v>0</v>
      </c>
      <c r="BG1123" s="86" t="b">
        <v>0</v>
      </c>
      <c r="BH1123" s="96" t="str">
        <f>HYPERLINK("https://pbs.twimg.com/profile_banners/255237609/1693867354")</f>
        <v>https://pbs.twimg.com/profile_banners/255237609/1693867354</v>
      </c>
      <c r="BI1123" s="86"/>
      <c r="BJ1123" s="86" t="s">
        <v>29134</v>
      </c>
      <c r="BK1123" s="86" t="b">
        <v>0</v>
      </c>
      <c r="BL1123" s="86"/>
      <c r="BM1123" s="86" t="s">
        <v>66</v>
      </c>
      <c r="BN1123" s="86" t="s">
        <v>29136</v>
      </c>
      <c r="BO1123" s="96" t="str">
        <f>HYPERLINK("https://twitter.com/vagner_caldas")</f>
        <v>https://twitter.com/vagner_caldas</v>
      </c>
      <c r="BP1123" s="2"/>
    </row>
    <row r="1124" spans="1:68" x14ac:dyDescent="0.25">
      <c r="A1124" s="63" t="s">
        <v>1178</v>
      </c>
      <c r="B1124" s="64"/>
      <c r="C1124" s="64"/>
      <c r="D1124" s="65"/>
      <c r="E1124" s="67"/>
      <c r="F1124" s="111" t="str">
        <f>HYPERLINK("https://pbs.twimg.com/profile_images/1688902000648318976/ECmJSvk-_normal.jpg")</f>
        <v>https://pbs.twimg.com/profile_images/1688902000648318976/ECmJSvk-_normal.jpg</v>
      </c>
      <c r="G1124" s="64"/>
      <c r="H1124" s="68"/>
      <c r="I1124" s="69"/>
      <c r="J1124" s="69"/>
      <c r="K1124" s="68" t="s">
        <v>30257</v>
      </c>
      <c r="L1124" s="72"/>
      <c r="M1124" s="73"/>
      <c r="N1124" s="73"/>
      <c r="O1124" s="74"/>
      <c r="P1124" s="75"/>
      <c r="Q1124" s="75"/>
      <c r="R1124" s="102"/>
      <c r="S1124" s="102"/>
      <c r="T1124" s="102"/>
      <c r="U1124" s="102"/>
      <c r="V1124" s="48"/>
      <c r="W1124" s="48"/>
      <c r="X1124" s="48"/>
      <c r="Y1124" s="48"/>
      <c r="Z1124" s="47"/>
      <c r="AA1124" s="70">
        <v>1124</v>
      </c>
      <c r="AB1124" s="70"/>
      <c r="AC1124" s="71"/>
      <c r="AD1124" s="86" t="s">
        <v>24726</v>
      </c>
      <c r="AE1124" s="94" t="s">
        <v>23345</v>
      </c>
      <c r="AF1124" s="86">
        <v>3</v>
      </c>
      <c r="AG1124" s="86">
        <v>0</v>
      </c>
      <c r="AH1124" s="86">
        <v>678</v>
      </c>
      <c r="AI1124" s="86">
        <v>0</v>
      </c>
      <c r="AJ1124" s="86">
        <v>0</v>
      </c>
      <c r="AK1124" s="86">
        <v>678</v>
      </c>
      <c r="AL1124" s="86" t="b">
        <v>0</v>
      </c>
      <c r="AM1124" s="89">
        <v>44179.622175925928</v>
      </c>
      <c r="AN1124" s="86" t="s">
        <v>15372</v>
      </c>
      <c r="AO1124" s="86" t="s">
        <v>27445</v>
      </c>
      <c r="AP1124" s="96" t="str">
        <f>HYPERLINK("https://t.co/r2QwDiraPs")</f>
        <v>https://t.co/r2QwDiraPs</v>
      </c>
      <c r="AQ1124" s="96" t="str">
        <f>HYPERLINK("https://www.grupomarkar-net.com")</f>
        <v>https://www.grupomarkar-net.com</v>
      </c>
      <c r="AR1124" s="86" t="s">
        <v>8506</v>
      </c>
      <c r="AS1124" s="86"/>
      <c r="AT1124" s="86"/>
      <c r="AU1124" s="86"/>
      <c r="AV1124" s="86"/>
      <c r="AW1124" s="96" t="str">
        <f>HYPERLINK("https://t.co/r2QwDiraPs")</f>
        <v>https://t.co/r2QwDiraPs</v>
      </c>
      <c r="AX1124" s="86" t="b">
        <v>0</v>
      </c>
      <c r="AY1124" s="86"/>
      <c r="AZ1124" s="86"/>
      <c r="BA1124" s="86" t="b">
        <v>0</v>
      </c>
      <c r="BB1124" s="86" t="b">
        <v>1</v>
      </c>
      <c r="BC1124" s="86" t="b">
        <v>1</v>
      </c>
      <c r="BD1124" s="86" t="b">
        <v>0</v>
      </c>
      <c r="BE1124" s="86" t="b">
        <v>0</v>
      </c>
      <c r="BF1124" s="86" t="b">
        <v>0</v>
      </c>
      <c r="BG1124" s="86" t="b">
        <v>0</v>
      </c>
      <c r="BH1124" s="96" t="str">
        <f>HYPERLINK("https://pbs.twimg.com/profile_banners/1338497883574824960/1629818405")</f>
        <v>https://pbs.twimg.com/profile_banners/1338497883574824960/1629818405</v>
      </c>
      <c r="BI1124" s="86"/>
      <c r="BJ1124" s="86" t="s">
        <v>29134</v>
      </c>
      <c r="BK1124" s="86" t="b">
        <v>0</v>
      </c>
      <c r="BL1124" s="86"/>
      <c r="BM1124" s="86" t="s">
        <v>66</v>
      </c>
      <c r="BN1124" s="86" t="s">
        <v>29136</v>
      </c>
      <c r="BO1124" s="96" t="str">
        <f>HYPERLINK("https://twitter.com/e_markar")</f>
        <v>https://twitter.com/e_markar</v>
      </c>
      <c r="BP1124" s="2"/>
    </row>
    <row r="1125" spans="1:68" x14ac:dyDescent="0.25">
      <c r="A1125" s="63" t="s">
        <v>1179</v>
      </c>
      <c r="B1125" s="64"/>
      <c r="C1125" s="64"/>
      <c r="D1125" s="65"/>
      <c r="E1125" s="67"/>
      <c r="F1125" s="111" t="str">
        <f>HYPERLINK("https://pbs.twimg.com/profile_images/1644337368348983296/uX4Xamzn_normal.jpg")</f>
        <v>https://pbs.twimg.com/profile_images/1644337368348983296/uX4Xamzn_normal.jpg</v>
      </c>
      <c r="G1125" s="64"/>
      <c r="H1125" s="68"/>
      <c r="I1125" s="69"/>
      <c r="J1125" s="69"/>
      <c r="K1125" s="68" t="s">
        <v>30258</v>
      </c>
      <c r="L1125" s="72"/>
      <c r="M1125" s="73"/>
      <c r="N1125" s="73"/>
      <c r="O1125" s="74"/>
      <c r="P1125" s="75"/>
      <c r="Q1125" s="75"/>
      <c r="R1125" s="102"/>
      <c r="S1125" s="102"/>
      <c r="T1125" s="102"/>
      <c r="U1125" s="102"/>
      <c r="V1125" s="48"/>
      <c r="W1125" s="48"/>
      <c r="X1125" s="48"/>
      <c r="Y1125" s="48"/>
      <c r="Z1125" s="47"/>
      <c r="AA1125" s="70">
        <v>1125</v>
      </c>
      <c r="AB1125" s="70"/>
      <c r="AC1125" s="71"/>
      <c r="AD1125" s="86" t="s">
        <v>24727</v>
      </c>
      <c r="AE1125" s="94" t="s">
        <v>23346</v>
      </c>
      <c r="AF1125" s="86">
        <v>3970</v>
      </c>
      <c r="AG1125" s="86">
        <v>4607</v>
      </c>
      <c r="AH1125" s="86">
        <v>67147</v>
      </c>
      <c r="AI1125" s="86">
        <v>18</v>
      </c>
      <c r="AJ1125" s="86">
        <v>56937</v>
      </c>
      <c r="AK1125" s="86">
        <v>1441</v>
      </c>
      <c r="AL1125" s="86" t="b">
        <v>0</v>
      </c>
      <c r="AM1125" s="89">
        <v>43905.754479166666</v>
      </c>
      <c r="AN1125" s="86" t="s">
        <v>26267</v>
      </c>
      <c r="AO1125" s="86" t="s">
        <v>27446</v>
      </c>
      <c r="AP1125" s="86"/>
      <c r="AQ1125" s="86"/>
      <c r="AR1125" s="86"/>
      <c r="AS1125" s="86"/>
      <c r="AT1125" s="86"/>
      <c r="AU1125" s="86"/>
      <c r="AV1125" s="86">
        <v>1.47576088724817E+18</v>
      </c>
      <c r="AW1125" s="86"/>
      <c r="AX1125" s="86" t="b">
        <v>0</v>
      </c>
      <c r="AY1125" s="86"/>
      <c r="AZ1125" s="86"/>
      <c r="BA1125" s="86" t="b">
        <v>0</v>
      </c>
      <c r="BB1125" s="86" t="b">
        <v>0</v>
      </c>
      <c r="BC1125" s="86" t="b">
        <v>1</v>
      </c>
      <c r="BD1125" s="86" t="b">
        <v>0</v>
      </c>
      <c r="BE1125" s="86" t="b">
        <v>1</v>
      </c>
      <c r="BF1125" s="86" t="b">
        <v>0</v>
      </c>
      <c r="BG1125" s="86" t="b">
        <v>0</v>
      </c>
      <c r="BH1125" s="96" t="str">
        <f>HYPERLINK("https://pbs.twimg.com/profile_banners/1239251595893899267/1681265323")</f>
        <v>https://pbs.twimg.com/profile_banners/1239251595893899267/1681265323</v>
      </c>
      <c r="BI1125" s="86"/>
      <c r="BJ1125" s="86" t="s">
        <v>29134</v>
      </c>
      <c r="BK1125" s="86" t="b">
        <v>0</v>
      </c>
      <c r="BL1125" s="86"/>
      <c r="BM1125" s="86" t="s">
        <v>66</v>
      </c>
      <c r="BN1125" s="86" t="s">
        <v>29136</v>
      </c>
      <c r="BO1125" s="96" t="str">
        <f>HYPERLINK("https://twitter.com/rcaio_03")</f>
        <v>https://twitter.com/rcaio_03</v>
      </c>
      <c r="BP1125" s="2"/>
    </row>
    <row r="1126" spans="1:68" x14ac:dyDescent="0.25">
      <c r="A1126" s="63" t="s">
        <v>1180</v>
      </c>
      <c r="B1126" s="64"/>
      <c r="C1126" s="64"/>
      <c r="D1126" s="65"/>
      <c r="E1126" s="67"/>
      <c r="F1126" s="111" t="str">
        <f>HYPERLINK("https://pbs.twimg.com/profile_images/1677719275891572744/Yxi1F5tM_normal.jpg")</f>
        <v>https://pbs.twimg.com/profile_images/1677719275891572744/Yxi1F5tM_normal.jpg</v>
      </c>
      <c r="G1126" s="64"/>
      <c r="H1126" s="68"/>
      <c r="I1126" s="69"/>
      <c r="J1126" s="69"/>
      <c r="K1126" s="68" t="s">
        <v>30259</v>
      </c>
      <c r="L1126" s="72"/>
      <c r="M1126" s="73"/>
      <c r="N1126" s="73"/>
      <c r="O1126" s="74"/>
      <c r="P1126" s="75"/>
      <c r="Q1126" s="75"/>
      <c r="R1126" s="102"/>
      <c r="S1126" s="102"/>
      <c r="T1126" s="102"/>
      <c r="U1126" s="102"/>
      <c r="V1126" s="48"/>
      <c r="W1126" s="48"/>
      <c r="X1126" s="48"/>
      <c r="Y1126" s="48"/>
      <c r="Z1126" s="47"/>
      <c r="AA1126" s="70">
        <v>1126</v>
      </c>
      <c r="AB1126" s="70"/>
      <c r="AC1126" s="71"/>
      <c r="AD1126" s="86" t="s">
        <v>24728</v>
      </c>
      <c r="AE1126" s="94" t="s">
        <v>23347</v>
      </c>
      <c r="AF1126" s="86">
        <v>3</v>
      </c>
      <c r="AG1126" s="86">
        <v>0</v>
      </c>
      <c r="AH1126" s="86">
        <v>12</v>
      </c>
      <c r="AI1126" s="86">
        <v>0</v>
      </c>
      <c r="AJ1126" s="86">
        <v>1</v>
      </c>
      <c r="AK1126" s="86">
        <v>8</v>
      </c>
      <c r="AL1126" s="86" t="b">
        <v>0</v>
      </c>
      <c r="AM1126" s="89">
        <v>45109.684930555559</v>
      </c>
      <c r="AN1126" s="86"/>
      <c r="AO1126" s="86" t="s">
        <v>27447</v>
      </c>
      <c r="AP1126" s="96" t="str">
        <f>HYPERLINK("https://t.co/56mmxvVZMT")</f>
        <v>https://t.co/56mmxvVZMT</v>
      </c>
      <c r="AQ1126" s="96" t="str">
        <f>HYPERLINK("https://linktr.ee/ventiladorfanstore")</f>
        <v>https://linktr.ee/ventiladorfanstore</v>
      </c>
      <c r="AR1126" s="86" t="s">
        <v>28648</v>
      </c>
      <c r="AS1126" s="86"/>
      <c r="AT1126" s="86"/>
      <c r="AU1126" s="86"/>
      <c r="AV1126" s="86">
        <v>1.6990826658722401E+18</v>
      </c>
      <c r="AW1126" s="96" t="str">
        <f>HYPERLINK("https://t.co/56mmxvVZMT")</f>
        <v>https://t.co/56mmxvVZMT</v>
      </c>
      <c r="AX1126" s="86" t="b">
        <v>0</v>
      </c>
      <c r="AY1126" s="86"/>
      <c r="AZ1126" s="86"/>
      <c r="BA1126" s="86" t="b">
        <v>0</v>
      </c>
      <c r="BB1126" s="86" t="b">
        <v>1</v>
      </c>
      <c r="BC1126" s="86" t="b">
        <v>1</v>
      </c>
      <c r="BD1126" s="86" t="b">
        <v>0</v>
      </c>
      <c r="BE1126" s="86" t="b">
        <v>0</v>
      </c>
      <c r="BF1126" s="86" t="b">
        <v>0</v>
      </c>
      <c r="BG1126" s="86" t="b">
        <v>0</v>
      </c>
      <c r="BH1126" s="96" t="str">
        <f>HYPERLINK("https://pbs.twimg.com/profile_banners/1675541358705033217/1688834497")</f>
        <v>https://pbs.twimg.com/profile_banners/1675541358705033217/1688834497</v>
      </c>
      <c r="BI1126" s="86"/>
      <c r="BJ1126" s="86" t="s">
        <v>29134</v>
      </c>
      <c r="BK1126" s="86" t="b">
        <v>0</v>
      </c>
      <c r="BL1126" s="86"/>
      <c r="BM1126" s="86" t="s">
        <v>66</v>
      </c>
      <c r="BN1126" s="86" t="s">
        <v>29136</v>
      </c>
      <c r="BO1126" s="96" t="str">
        <f>HYPERLINK("https://twitter.com/ventiladorfs")</f>
        <v>https://twitter.com/ventiladorfs</v>
      </c>
      <c r="BP1126" s="2"/>
    </row>
    <row r="1127" spans="1:68" x14ac:dyDescent="0.25">
      <c r="A1127" s="63" t="s">
        <v>1181</v>
      </c>
      <c r="B1127" s="64"/>
      <c r="C1127" s="64"/>
      <c r="D1127" s="65"/>
      <c r="E1127" s="67"/>
      <c r="F1127" s="111" t="str">
        <f>HYPERLINK("https://pbs.twimg.com/profile_images/1671910086078283777/SijnSPvf_normal.jpg")</f>
        <v>https://pbs.twimg.com/profile_images/1671910086078283777/SijnSPvf_normal.jpg</v>
      </c>
      <c r="G1127" s="64"/>
      <c r="H1127" s="68"/>
      <c r="I1127" s="69"/>
      <c r="J1127" s="69"/>
      <c r="K1127" s="68" t="s">
        <v>30260</v>
      </c>
      <c r="L1127" s="72"/>
      <c r="M1127" s="73"/>
      <c r="N1127" s="73"/>
      <c r="O1127" s="74"/>
      <c r="P1127" s="75"/>
      <c r="Q1127" s="75"/>
      <c r="R1127" s="102"/>
      <c r="S1127" s="102"/>
      <c r="T1127" s="102"/>
      <c r="U1127" s="102"/>
      <c r="V1127" s="48"/>
      <c r="W1127" s="48"/>
      <c r="X1127" s="48"/>
      <c r="Y1127" s="48"/>
      <c r="Z1127" s="47"/>
      <c r="AA1127" s="70">
        <v>1127</v>
      </c>
      <c r="AB1127" s="70"/>
      <c r="AC1127" s="71"/>
      <c r="AD1127" s="86" t="s">
        <v>24729</v>
      </c>
      <c r="AE1127" s="94" t="s">
        <v>23348</v>
      </c>
      <c r="AF1127" s="86">
        <v>10</v>
      </c>
      <c r="AG1127" s="86">
        <v>35</v>
      </c>
      <c r="AH1127" s="86">
        <v>21</v>
      </c>
      <c r="AI1127" s="86">
        <v>0</v>
      </c>
      <c r="AJ1127" s="86">
        <v>13</v>
      </c>
      <c r="AK1127" s="86">
        <v>19</v>
      </c>
      <c r="AL1127" s="86" t="b">
        <v>0</v>
      </c>
      <c r="AM1127" s="89">
        <v>44829.915625000001</v>
      </c>
      <c r="AN1127" s="86" t="s">
        <v>26015</v>
      </c>
      <c r="AO1127" s="86" t="s">
        <v>27448</v>
      </c>
      <c r="AP1127" s="96" t="str">
        <f>HYPERLINK("https://t.co/I7vh5iNxgd")</f>
        <v>https://t.co/I7vh5iNxgd</v>
      </c>
      <c r="AQ1127" s="96" t="str">
        <f>HYPERLINK("https://donnes.com.br/")</f>
        <v>https://donnes.com.br/</v>
      </c>
      <c r="AR1127" s="86" t="s">
        <v>28649</v>
      </c>
      <c r="AS1127" s="86"/>
      <c r="AT1127" s="86"/>
      <c r="AU1127" s="86"/>
      <c r="AV1127" s="86"/>
      <c r="AW1127" s="96" t="str">
        <f>HYPERLINK("https://t.co/I7vh5iNxgd")</f>
        <v>https://t.co/I7vh5iNxgd</v>
      </c>
      <c r="AX1127" s="86" t="b">
        <v>0</v>
      </c>
      <c r="AY1127" s="86"/>
      <c r="AZ1127" s="86"/>
      <c r="BA1127" s="86" t="b">
        <v>0</v>
      </c>
      <c r="BB1127" s="86" t="b">
        <v>1</v>
      </c>
      <c r="BC1127" s="86" t="b">
        <v>1</v>
      </c>
      <c r="BD1127" s="86" t="b">
        <v>0</v>
      </c>
      <c r="BE1127" s="86" t="b">
        <v>0</v>
      </c>
      <c r="BF1127" s="86" t="b">
        <v>0</v>
      </c>
      <c r="BG1127" s="86" t="b">
        <v>0</v>
      </c>
      <c r="BH1127" s="96" t="str">
        <f>HYPERLINK("https://pbs.twimg.com/profile_banners/1574155694634409984/1687313106")</f>
        <v>https://pbs.twimg.com/profile_banners/1574155694634409984/1687313106</v>
      </c>
      <c r="BI1127" s="86"/>
      <c r="BJ1127" s="86" t="s">
        <v>29134</v>
      </c>
      <c r="BK1127" s="86" t="b">
        <v>0</v>
      </c>
      <c r="BL1127" s="86"/>
      <c r="BM1127" s="86" t="s">
        <v>66</v>
      </c>
      <c r="BN1127" s="86" t="s">
        <v>29136</v>
      </c>
      <c r="BO1127" s="96" t="str">
        <f>HYPERLINK("https://twitter.com/sejadonnes")</f>
        <v>https://twitter.com/sejadonnes</v>
      </c>
      <c r="BP1127" s="2"/>
    </row>
    <row r="1128" spans="1:68" x14ac:dyDescent="0.25">
      <c r="A1128" s="63" t="s">
        <v>1182</v>
      </c>
      <c r="B1128" s="64"/>
      <c r="C1128" s="64"/>
      <c r="D1128" s="65"/>
      <c r="E1128" s="67"/>
      <c r="F1128" s="111" t="str">
        <f>HYPERLINK("https://pbs.twimg.com/profile_images/1611062548140331015/z4oDk-WK_normal.jpg")</f>
        <v>https://pbs.twimg.com/profile_images/1611062548140331015/z4oDk-WK_normal.jpg</v>
      </c>
      <c r="G1128" s="64"/>
      <c r="H1128" s="68"/>
      <c r="I1128" s="69"/>
      <c r="J1128" s="69"/>
      <c r="K1128" s="68" t="s">
        <v>30261</v>
      </c>
      <c r="L1128" s="72"/>
      <c r="M1128" s="73"/>
      <c r="N1128" s="73"/>
      <c r="O1128" s="74"/>
      <c r="P1128" s="75"/>
      <c r="Q1128" s="75"/>
      <c r="R1128" s="102"/>
      <c r="S1128" s="102"/>
      <c r="T1128" s="102"/>
      <c r="U1128" s="102"/>
      <c r="V1128" s="48"/>
      <c r="W1128" s="48"/>
      <c r="X1128" s="48"/>
      <c r="Y1128" s="48"/>
      <c r="Z1128" s="47"/>
      <c r="AA1128" s="70">
        <v>1128</v>
      </c>
      <c r="AB1128" s="70"/>
      <c r="AC1128" s="71"/>
      <c r="AD1128" s="86" t="s">
        <v>24730</v>
      </c>
      <c r="AE1128" s="94" t="s">
        <v>23349</v>
      </c>
      <c r="AF1128" s="86">
        <v>33</v>
      </c>
      <c r="AG1128" s="86">
        <v>131</v>
      </c>
      <c r="AH1128" s="86">
        <v>403</v>
      </c>
      <c r="AI1128" s="86">
        <v>0</v>
      </c>
      <c r="AJ1128" s="86">
        <v>2808</v>
      </c>
      <c r="AK1128" s="86">
        <v>240</v>
      </c>
      <c r="AL1128" s="86" t="b">
        <v>0</v>
      </c>
      <c r="AM1128" s="89">
        <v>43023.943518518521</v>
      </c>
      <c r="AN1128" s="86" t="s">
        <v>26268</v>
      </c>
      <c r="AO1128" s="86" t="s">
        <v>27449</v>
      </c>
      <c r="AP1128" s="96" t="str">
        <f>HYPERLINK("https://t.co/sJ3R0umuoB")</f>
        <v>https://t.co/sJ3R0umuoB</v>
      </c>
      <c r="AQ1128" s="96" t="str">
        <f>HYPERLINK("https://62a3c1961b901.site123.me/")</f>
        <v>https://62a3c1961b901.site123.me/</v>
      </c>
      <c r="AR1128" s="86" t="s">
        <v>28650</v>
      </c>
      <c r="AS1128" s="86"/>
      <c r="AT1128" s="86"/>
      <c r="AU1128" s="86"/>
      <c r="AV1128" s="86"/>
      <c r="AW1128" s="96" t="str">
        <f>HYPERLINK("https://t.co/sJ3R0umuoB")</f>
        <v>https://t.co/sJ3R0umuoB</v>
      </c>
      <c r="AX1128" s="86" t="b">
        <v>0</v>
      </c>
      <c r="AY1128" s="86"/>
      <c r="AZ1128" s="86"/>
      <c r="BA1128" s="86" t="b">
        <v>1</v>
      </c>
      <c r="BB1128" s="86" t="b">
        <v>1</v>
      </c>
      <c r="BC1128" s="86" t="b">
        <v>1</v>
      </c>
      <c r="BD1128" s="86" t="b">
        <v>0</v>
      </c>
      <c r="BE1128" s="86" t="b">
        <v>0</v>
      </c>
      <c r="BF1128" s="86" t="b">
        <v>0</v>
      </c>
      <c r="BG1128" s="86" t="b">
        <v>0</v>
      </c>
      <c r="BH1128" s="96" t="str">
        <f>HYPERLINK("https://pbs.twimg.com/profile_banners/919694038047051776/1672942229")</f>
        <v>https://pbs.twimg.com/profile_banners/919694038047051776/1672942229</v>
      </c>
      <c r="BI1128" s="86"/>
      <c r="BJ1128" s="86" t="s">
        <v>29134</v>
      </c>
      <c r="BK1128" s="86" t="b">
        <v>0</v>
      </c>
      <c r="BL1128" s="86"/>
      <c r="BM1128" s="86" t="s">
        <v>66</v>
      </c>
      <c r="BN1128" s="86" t="s">
        <v>29136</v>
      </c>
      <c r="BO1128" s="96" t="str">
        <f>HYPERLINK("https://twitter.com/hesseldjones")</f>
        <v>https://twitter.com/hesseldjones</v>
      </c>
      <c r="BP1128" s="2"/>
    </row>
    <row r="1129" spans="1:68" x14ac:dyDescent="0.25">
      <c r="A1129" s="63" t="s">
        <v>1183</v>
      </c>
      <c r="B1129" s="64"/>
      <c r="C1129" s="64"/>
      <c r="D1129" s="65"/>
      <c r="E1129" s="67"/>
      <c r="F1129" s="111" t="str">
        <f>HYPERLINK("https://pbs.twimg.com/profile_images/1510695300960329741/NO6FrY9W_normal.jpg")</f>
        <v>https://pbs.twimg.com/profile_images/1510695300960329741/NO6FrY9W_normal.jpg</v>
      </c>
      <c r="G1129" s="64"/>
      <c r="H1129" s="68"/>
      <c r="I1129" s="69"/>
      <c r="J1129" s="69"/>
      <c r="K1129" s="68" t="s">
        <v>30262</v>
      </c>
      <c r="L1129" s="72"/>
      <c r="M1129" s="73"/>
      <c r="N1129" s="73"/>
      <c r="O1129" s="74"/>
      <c r="P1129" s="75"/>
      <c r="Q1129" s="75"/>
      <c r="R1129" s="102"/>
      <c r="S1129" s="102"/>
      <c r="T1129" s="102"/>
      <c r="U1129" s="102"/>
      <c r="V1129" s="48"/>
      <c r="W1129" s="48"/>
      <c r="X1129" s="48"/>
      <c r="Y1129" s="48"/>
      <c r="Z1129" s="47"/>
      <c r="AA1129" s="70">
        <v>1129</v>
      </c>
      <c r="AB1129" s="70"/>
      <c r="AC1129" s="71"/>
      <c r="AD1129" s="86" t="s">
        <v>24731</v>
      </c>
      <c r="AE1129" s="94" t="s">
        <v>25669</v>
      </c>
      <c r="AF1129" s="86">
        <v>775</v>
      </c>
      <c r="AG1129" s="86">
        <v>174</v>
      </c>
      <c r="AH1129" s="86">
        <v>1348</v>
      </c>
      <c r="AI1129" s="86">
        <v>26</v>
      </c>
      <c r="AJ1129" s="86">
        <v>1720</v>
      </c>
      <c r="AK1129" s="86">
        <v>376</v>
      </c>
      <c r="AL1129" s="86" t="b">
        <v>0</v>
      </c>
      <c r="AM1129" s="89">
        <v>40954.927430555559</v>
      </c>
      <c r="AN1129" s="86" t="s">
        <v>26269</v>
      </c>
      <c r="AO1129" s="86" t="s">
        <v>27450</v>
      </c>
      <c r="AP1129" s="96" t="str">
        <f>HYPERLINK("https://t.co/IkrG2773HZ")</f>
        <v>https://t.co/IkrG2773HZ</v>
      </c>
      <c r="AQ1129" s="96" t="str">
        <f>HYPERLINK("https://www.amamosavidareal.com.br/")</f>
        <v>https://www.amamosavidareal.com.br/</v>
      </c>
      <c r="AR1129" s="86" t="s">
        <v>28651</v>
      </c>
      <c r="AS1129" s="86"/>
      <c r="AT1129" s="86"/>
      <c r="AU1129" s="86"/>
      <c r="AV1129" s="86"/>
      <c r="AW1129" s="96" t="str">
        <f>HYPERLINK("https://t.co/IkrG2773HZ")</f>
        <v>https://t.co/IkrG2773HZ</v>
      </c>
      <c r="AX1129" s="86" t="b">
        <v>0</v>
      </c>
      <c r="AY1129" s="86"/>
      <c r="AZ1129" s="86"/>
      <c r="BA1129" s="86" t="b">
        <v>0</v>
      </c>
      <c r="BB1129" s="86" t="b">
        <v>1</v>
      </c>
      <c r="BC1129" s="86" t="b">
        <v>0</v>
      </c>
      <c r="BD1129" s="86" t="b">
        <v>0</v>
      </c>
      <c r="BE1129" s="86" t="b">
        <v>1</v>
      </c>
      <c r="BF1129" s="86" t="b">
        <v>0</v>
      </c>
      <c r="BG1129" s="86" t="b">
        <v>0</v>
      </c>
      <c r="BH1129" s="96" t="str">
        <f>HYPERLINK("https://pbs.twimg.com/profile_banners/493535142/1651352758")</f>
        <v>https://pbs.twimg.com/profile_banners/493535142/1651352758</v>
      </c>
      <c r="BI1129" s="86"/>
      <c r="BJ1129" s="86" t="s">
        <v>29134</v>
      </c>
      <c r="BK1129" s="86" t="b">
        <v>0</v>
      </c>
      <c r="BL1129" s="86"/>
      <c r="BM1129" s="86" t="s">
        <v>66</v>
      </c>
      <c r="BN1129" s="86" t="s">
        <v>29136</v>
      </c>
      <c r="BO1129" s="96" t="str">
        <f>HYPERLINK("https://twitter.com/amamosavidareal")</f>
        <v>https://twitter.com/amamosavidareal</v>
      </c>
      <c r="BP1129" s="2"/>
    </row>
    <row r="1130" spans="1:68" x14ac:dyDescent="0.25">
      <c r="A1130" s="63" t="s">
        <v>1184</v>
      </c>
      <c r="B1130" s="64"/>
      <c r="C1130" s="64"/>
      <c r="D1130" s="65"/>
      <c r="E1130" s="67"/>
      <c r="F1130" s="111" t="str">
        <f>HYPERLINK("https://pbs.twimg.com/profile_images/1257692089329975296/QkkFU1vD_normal.jpg")</f>
        <v>https://pbs.twimg.com/profile_images/1257692089329975296/QkkFU1vD_normal.jpg</v>
      </c>
      <c r="G1130" s="64"/>
      <c r="H1130" s="68"/>
      <c r="I1130" s="69"/>
      <c r="J1130" s="69"/>
      <c r="K1130" s="68" t="s">
        <v>30263</v>
      </c>
      <c r="L1130" s="72"/>
      <c r="M1130" s="73"/>
      <c r="N1130" s="73"/>
      <c r="O1130" s="74"/>
      <c r="P1130" s="75"/>
      <c r="Q1130" s="75"/>
      <c r="R1130" s="102"/>
      <c r="S1130" s="102"/>
      <c r="T1130" s="102"/>
      <c r="U1130" s="102"/>
      <c r="V1130" s="48"/>
      <c r="W1130" s="48"/>
      <c r="X1130" s="48"/>
      <c r="Y1130" s="48"/>
      <c r="Z1130" s="47"/>
      <c r="AA1130" s="70">
        <v>1130</v>
      </c>
      <c r="AB1130" s="70"/>
      <c r="AC1130" s="71"/>
      <c r="AD1130" s="86" t="s">
        <v>24732</v>
      </c>
      <c r="AE1130" s="94" t="s">
        <v>25670</v>
      </c>
      <c r="AF1130" s="86">
        <v>589</v>
      </c>
      <c r="AG1130" s="86">
        <v>4</v>
      </c>
      <c r="AH1130" s="86">
        <v>3488</v>
      </c>
      <c r="AI1130" s="86">
        <v>4</v>
      </c>
      <c r="AJ1130" s="86">
        <v>0</v>
      </c>
      <c r="AK1130" s="86">
        <v>1236</v>
      </c>
      <c r="AL1130" s="86" t="b">
        <v>0</v>
      </c>
      <c r="AM1130" s="89">
        <v>41557.566064814811</v>
      </c>
      <c r="AN1130" s="86" t="s">
        <v>26270</v>
      </c>
      <c r="AO1130" s="86" t="s">
        <v>27451</v>
      </c>
      <c r="AP1130" s="96" t="str">
        <f>HYPERLINK("https://t.co/lKEk6gpIky")</f>
        <v>https://t.co/lKEk6gpIky</v>
      </c>
      <c r="AQ1130" s="96" t="str">
        <f>HYPERLINK("http://www.Africa-Newsroom.com")</f>
        <v>http://www.Africa-Newsroom.com</v>
      </c>
      <c r="AR1130" s="86" t="s">
        <v>28652</v>
      </c>
      <c r="AS1130" s="86"/>
      <c r="AT1130" s="86"/>
      <c r="AU1130" s="86"/>
      <c r="AV1130" s="86"/>
      <c r="AW1130" s="96" t="str">
        <f>HYPERLINK("https://t.co/lKEk6gpIky")</f>
        <v>https://t.co/lKEk6gpIky</v>
      </c>
      <c r="AX1130" s="86" t="b">
        <v>0</v>
      </c>
      <c r="AY1130" s="86"/>
      <c r="AZ1130" s="86"/>
      <c r="BA1130" s="86" t="b">
        <v>0</v>
      </c>
      <c r="BB1130" s="86" t="b">
        <v>1</v>
      </c>
      <c r="BC1130" s="86" t="b">
        <v>1</v>
      </c>
      <c r="BD1130" s="86" t="b">
        <v>0</v>
      </c>
      <c r="BE1130" s="86" t="b">
        <v>0</v>
      </c>
      <c r="BF1130" s="86" t="b">
        <v>0</v>
      </c>
      <c r="BG1130" s="86" t="b">
        <v>0</v>
      </c>
      <c r="BH1130" s="96" t="str">
        <f>HYPERLINK("https://pbs.twimg.com/profile_banners/1951758674/1620823926")</f>
        <v>https://pbs.twimg.com/profile_banners/1951758674/1620823926</v>
      </c>
      <c r="BI1130" s="86"/>
      <c r="BJ1130" s="86" t="s">
        <v>29134</v>
      </c>
      <c r="BK1130" s="86" t="b">
        <v>0</v>
      </c>
      <c r="BL1130" s="86"/>
      <c r="BM1130" s="86" t="s">
        <v>66</v>
      </c>
      <c r="BN1130" s="86" t="s">
        <v>29136</v>
      </c>
      <c r="BO1130" s="96" t="str">
        <f>HYPERLINK("https://twitter.com/apo_source_pt")</f>
        <v>https://twitter.com/apo_source_pt</v>
      </c>
      <c r="BP1130" s="2"/>
    </row>
    <row r="1131" spans="1:68" x14ac:dyDescent="0.25">
      <c r="A1131" s="63" t="s">
        <v>1769</v>
      </c>
      <c r="B1131" s="64"/>
      <c r="C1131" s="64"/>
      <c r="D1131" s="65"/>
      <c r="E1131" s="67"/>
      <c r="F1131" s="111" t="str">
        <f>HYPERLINK("https://pbs.twimg.com/profile_images/1315989039342923778/5cJ-fhvP_normal.jpg")</f>
        <v>https://pbs.twimg.com/profile_images/1315989039342923778/5cJ-fhvP_normal.jpg</v>
      </c>
      <c r="G1131" s="64"/>
      <c r="H1131" s="68"/>
      <c r="I1131" s="69"/>
      <c r="J1131" s="69"/>
      <c r="K1131" s="68" t="s">
        <v>30264</v>
      </c>
      <c r="L1131" s="72"/>
      <c r="M1131" s="73"/>
      <c r="N1131" s="73"/>
      <c r="O1131" s="74"/>
      <c r="P1131" s="75"/>
      <c r="Q1131" s="75"/>
      <c r="R1131" s="102"/>
      <c r="S1131" s="102"/>
      <c r="T1131" s="102"/>
      <c r="U1131" s="102"/>
      <c r="V1131" s="48"/>
      <c r="W1131" s="48"/>
      <c r="X1131" s="48"/>
      <c r="Y1131" s="48"/>
      <c r="Z1131" s="47"/>
      <c r="AA1131" s="70">
        <v>1131</v>
      </c>
      <c r="AB1131" s="70"/>
      <c r="AC1131" s="71"/>
      <c r="AD1131" s="86" t="s">
        <v>24733</v>
      </c>
      <c r="AE1131" s="94" t="s">
        <v>25671</v>
      </c>
      <c r="AF1131" s="86">
        <v>517471</v>
      </c>
      <c r="AG1131" s="86">
        <v>1270</v>
      </c>
      <c r="AH1131" s="86">
        <v>21838</v>
      </c>
      <c r="AI1131" s="86">
        <v>1860</v>
      </c>
      <c r="AJ1131" s="86">
        <v>18808</v>
      </c>
      <c r="AK1131" s="86">
        <v>9424</v>
      </c>
      <c r="AL1131" s="86" t="b">
        <v>0</v>
      </c>
      <c r="AM1131" s="89">
        <v>40161.430798611109</v>
      </c>
      <c r="AN1131" s="86" t="s">
        <v>26271</v>
      </c>
      <c r="AO1131" s="86" t="s">
        <v>27452</v>
      </c>
      <c r="AP1131" s="96" t="str">
        <f>HYPERLINK("https://t.co/lbohUO9SH9")</f>
        <v>https://t.co/lbohUO9SH9</v>
      </c>
      <c r="AQ1131" s="96" t="str">
        <f>HYPERLINK("http://www.afdb.org")</f>
        <v>http://www.afdb.org</v>
      </c>
      <c r="AR1131" s="86" t="s">
        <v>28653</v>
      </c>
      <c r="AS1131" s="86"/>
      <c r="AT1131" s="86"/>
      <c r="AU1131" s="86"/>
      <c r="AV1131" s="86">
        <v>1.7062571516251699E+18</v>
      </c>
      <c r="AW1131" s="96" t="str">
        <f>HYPERLINK("https://t.co/lbohUO9SH9")</f>
        <v>https://t.co/lbohUO9SH9</v>
      </c>
      <c r="AX1131" s="86" t="b">
        <v>0</v>
      </c>
      <c r="AY1131" s="86"/>
      <c r="AZ1131" s="86"/>
      <c r="BA1131" s="86" t="b">
        <v>0</v>
      </c>
      <c r="BB1131" s="86" t="b">
        <v>1</v>
      </c>
      <c r="BC1131" s="86" t="b">
        <v>0</v>
      </c>
      <c r="BD1131" s="86" t="b">
        <v>0</v>
      </c>
      <c r="BE1131" s="86" t="b">
        <v>1</v>
      </c>
      <c r="BF1131" s="86" t="b">
        <v>0</v>
      </c>
      <c r="BG1131" s="86" t="b">
        <v>0</v>
      </c>
      <c r="BH1131" s="96" t="str">
        <f>HYPERLINK("https://pbs.twimg.com/profile_banners/96735431/1685546432")</f>
        <v>https://pbs.twimg.com/profile_banners/96735431/1685546432</v>
      </c>
      <c r="BI1131" s="86"/>
      <c r="BJ1131" s="86" t="s">
        <v>29134</v>
      </c>
      <c r="BK1131" s="86" t="b">
        <v>0</v>
      </c>
      <c r="BL1131" s="86"/>
      <c r="BM1131" s="86" t="s">
        <v>65</v>
      </c>
      <c r="BN1131" s="86" t="s">
        <v>29136</v>
      </c>
      <c r="BO1131" s="96" t="str">
        <f>HYPERLINK("https://twitter.com/afdb_group")</f>
        <v>https://twitter.com/afdb_group</v>
      </c>
      <c r="BP1131" s="2"/>
    </row>
    <row r="1132" spans="1:68" x14ac:dyDescent="0.25">
      <c r="A1132" s="63" t="s">
        <v>1770</v>
      </c>
      <c r="B1132" s="64"/>
      <c r="C1132" s="64"/>
      <c r="D1132" s="65"/>
      <c r="E1132" s="67"/>
      <c r="F1132" s="111" t="str">
        <f>HYPERLINK("https://pbs.twimg.com/profile_images/1567807256091308032/4AXfLwia_normal.jpg")</f>
        <v>https://pbs.twimg.com/profile_images/1567807256091308032/4AXfLwia_normal.jpg</v>
      </c>
      <c r="G1132" s="64"/>
      <c r="H1132" s="68"/>
      <c r="I1132" s="69"/>
      <c r="J1132" s="69"/>
      <c r="K1132" s="68" t="s">
        <v>30265</v>
      </c>
      <c r="L1132" s="72"/>
      <c r="M1132" s="73"/>
      <c r="N1132" s="73"/>
      <c r="O1132" s="74"/>
      <c r="P1132" s="75"/>
      <c r="Q1132" s="75"/>
      <c r="R1132" s="102"/>
      <c r="S1132" s="102"/>
      <c r="T1132" s="102"/>
      <c r="U1132" s="102"/>
      <c r="V1132" s="48"/>
      <c r="W1132" s="48"/>
      <c r="X1132" s="48"/>
      <c r="Y1132" s="48"/>
      <c r="Z1132" s="47"/>
      <c r="AA1132" s="70">
        <v>1132</v>
      </c>
      <c r="AB1132" s="70"/>
      <c r="AC1132" s="71"/>
      <c r="AD1132" s="86" t="s">
        <v>24734</v>
      </c>
      <c r="AE1132" s="94" t="s">
        <v>25672</v>
      </c>
      <c r="AF1132" s="86">
        <v>243698</v>
      </c>
      <c r="AG1132" s="86">
        <v>2353</v>
      </c>
      <c r="AH1132" s="86">
        <v>9315</v>
      </c>
      <c r="AI1132" s="86">
        <v>1111</v>
      </c>
      <c r="AJ1132" s="86">
        <v>5937</v>
      </c>
      <c r="AK1132" s="86">
        <v>3495</v>
      </c>
      <c r="AL1132" s="86" t="b">
        <v>0</v>
      </c>
      <c r="AM1132" s="89">
        <v>41851.138657407406</v>
      </c>
      <c r="AN1132" s="86"/>
      <c r="AO1132" s="86" t="s">
        <v>27453</v>
      </c>
      <c r="AP1132" s="96" t="str">
        <f>HYPERLINK("https://t.co/tAzEot93tb")</f>
        <v>https://t.co/tAzEot93tb</v>
      </c>
      <c r="AQ1132" s="96" t="str">
        <f>HYPERLINK("https://www.alizila.com/")</f>
        <v>https://www.alizila.com/</v>
      </c>
      <c r="AR1132" s="86" t="s">
        <v>28654</v>
      </c>
      <c r="AS1132" s="86"/>
      <c r="AT1132" s="86"/>
      <c r="AU1132" s="86"/>
      <c r="AV1132" s="86"/>
      <c r="AW1132" s="96" t="str">
        <f>HYPERLINK("https://t.co/tAzEot93tb")</f>
        <v>https://t.co/tAzEot93tb</v>
      </c>
      <c r="AX1132" s="86" t="b">
        <v>0</v>
      </c>
      <c r="AY1132" s="86"/>
      <c r="AZ1132" s="86"/>
      <c r="BA1132" s="86" t="b">
        <v>0</v>
      </c>
      <c r="BB1132" s="86" t="b">
        <v>1</v>
      </c>
      <c r="BC1132" s="86" t="b">
        <v>0</v>
      </c>
      <c r="BD1132" s="86" t="b">
        <v>0</v>
      </c>
      <c r="BE1132" s="86" t="b">
        <v>1</v>
      </c>
      <c r="BF1132" s="86" t="b">
        <v>0</v>
      </c>
      <c r="BG1132" s="86" t="b">
        <v>0</v>
      </c>
      <c r="BH1132" s="96" t="str">
        <f>HYPERLINK("https://pbs.twimg.com/profile_banners/2694564780/1669002975")</f>
        <v>https://pbs.twimg.com/profile_banners/2694564780/1669002975</v>
      </c>
      <c r="BI1132" s="86"/>
      <c r="BJ1132" s="86" t="s">
        <v>29134</v>
      </c>
      <c r="BK1132" s="86" t="b">
        <v>0</v>
      </c>
      <c r="BL1132" s="86"/>
      <c r="BM1132" s="86" t="s">
        <v>65</v>
      </c>
      <c r="BN1132" s="86" t="s">
        <v>29136</v>
      </c>
      <c r="BO1132" s="96" t="str">
        <f>HYPERLINK("https://twitter.com/alibabagroup")</f>
        <v>https://twitter.com/alibabagroup</v>
      </c>
      <c r="BP1132" s="2"/>
    </row>
    <row r="1133" spans="1:68" x14ac:dyDescent="0.25">
      <c r="A1133" s="63" t="s">
        <v>1771</v>
      </c>
      <c r="B1133" s="64"/>
      <c r="C1133" s="64"/>
      <c r="D1133" s="65"/>
      <c r="E1133" s="67"/>
      <c r="F1133" s="111" t="str">
        <f>HYPERLINK("https://pbs.twimg.com/profile_images/1238337314641731584/bajml8OW_normal.jpg")</f>
        <v>https://pbs.twimg.com/profile_images/1238337314641731584/bajml8OW_normal.jpg</v>
      </c>
      <c r="G1133" s="64"/>
      <c r="H1133" s="68"/>
      <c r="I1133" s="69"/>
      <c r="J1133" s="69"/>
      <c r="K1133" s="68" t="s">
        <v>30266</v>
      </c>
      <c r="L1133" s="72"/>
      <c r="M1133" s="73"/>
      <c r="N1133" s="73"/>
      <c r="O1133" s="74"/>
      <c r="P1133" s="75"/>
      <c r="Q1133" s="75"/>
      <c r="R1133" s="102"/>
      <c r="S1133" s="102"/>
      <c r="T1133" s="102"/>
      <c r="U1133" s="102"/>
      <c r="V1133" s="48"/>
      <c r="W1133" s="48"/>
      <c r="X1133" s="48"/>
      <c r="Y1133" s="48"/>
      <c r="Z1133" s="47"/>
      <c r="AA1133" s="70">
        <v>1133</v>
      </c>
      <c r="AB1133" s="70"/>
      <c r="AC1133" s="71"/>
      <c r="AD1133" s="86" t="s">
        <v>24735</v>
      </c>
      <c r="AE1133" s="94" t="s">
        <v>25673</v>
      </c>
      <c r="AF1133" s="86">
        <v>52831</v>
      </c>
      <c r="AG1133" s="86">
        <v>18</v>
      </c>
      <c r="AH1133" s="86">
        <v>52</v>
      </c>
      <c r="AI1133" s="86">
        <v>179</v>
      </c>
      <c r="AJ1133" s="86">
        <v>12</v>
      </c>
      <c r="AK1133" s="86">
        <v>33</v>
      </c>
      <c r="AL1133" s="86" t="b">
        <v>0</v>
      </c>
      <c r="AM1133" s="89">
        <v>42772.080196759256</v>
      </c>
      <c r="AN1133" s="86" t="s">
        <v>26272</v>
      </c>
      <c r="AO1133" s="86" t="s">
        <v>27454</v>
      </c>
      <c r="AP1133" s="96" t="str">
        <f>HYPERLINK("https://t.co/QPdfWP8IwU")</f>
        <v>https://t.co/QPdfWP8IwU</v>
      </c>
      <c r="AQ1133" s="96" t="str">
        <f>HYPERLINK("https://www.jackmafoundation.org.cn")</f>
        <v>https://www.jackmafoundation.org.cn</v>
      </c>
      <c r="AR1133" s="86" t="s">
        <v>28655</v>
      </c>
      <c r="AS1133" s="86"/>
      <c r="AT1133" s="86"/>
      <c r="AU1133" s="86"/>
      <c r="AV1133" s="86"/>
      <c r="AW1133" s="96" t="str">
        <f>HYPERLINK("https://t.co/QPdfWP8IwU")</f>
        <v>https://t.co/QPdfWP8IwU</v>
      </c>
      <c r="AX1133" s="86" t="b">
        <v>0</v>
      </c>
      <c r="AY1133" s="86"/>
      <c r="AZ1133" s="86"/>
      <c r="BA1133" s="86" t="b">
        <v>0</v>
      </c>
      <c r="BB1133" s="86" t="b">
        <v>1</v>
      </c>
      <c r="BC1133" s="86" t="b">
        <v>1</v>
      </c>
      <c r="BD1133" s="86" t="b">
        <v>0</v>
      </c>
      <c r="BE1133" s="86" t="b">
        <v>0</v>
      </c>
      <c r="BF1133" s="86" t="b">
        <v>0</v>
      </c>
      <c r="BG1133" s="86" t="b">
        <v>0</v>
      </c>
      <c r="BH1133" s="96" t="str">
        <f>HYPERLINK("https://pbs.twimg.com/profile_banners/828421825122103296/1550557841")</f>
        <v>https://pbs.twimg.com/profile_banners/828421825122103296/1550557841</v>
      </c>
      <c r="BI1133" s="86"/>
      <c r="BJ1133" s="86" t="s">
        <v>29134</v>
      </c>
      <c r="BK1133" s="86" t="b">
        <v>0</v>
      </c>
      <c r="BL1133" s="86"/>
      <c r="BM1133" s="86" t="s">
        <v>65</v>
      </c>
      <c r="BN1133" s="86" t="s">
        <v>29136</v>
      </c>
      <c r="BO1133" s="96" t="str">
        <f>HYPERLINK("https://twitter.com/foundation_ma")</f>
        <v>https://twitter.com/foundation_ma</v>
      </c>
      <c r="BP1133" s="2"/>
    </row>
    <row r="1134" spans="1:68" x14ac:dyDescent="0.25">
      <c r="A1134" s="63" t="s">
        <v>1772</v>
      </c>
      <c r="B1134" s="64"/>
      <c r="C1134" s="64"/>
      <c r="D1134" s="65"/>
      <c r="E1134" s="67"/>
      <c r="F1134" s="111" t="str">
        <f>HYPERLINK("https://pbs.twimg.com/profile_images/1611276865141866496/glVtLHdA_normal.jpg")</f>
        <v>https://pbs.twimg.com/profile_images/1611276865141866496/glVtLHdA_normal.jpg</v>
      </c>
      <c r="G1134" s="64"/>
      <c r="H1134" s="68"/>
      <c r="I1134" s="69"/>
      <c r="J1134" s="69"/>
      <c r="K1134" s="68" t="s">
        <v>30267</v>
      </c>
      <c r="L1134" s="72"/>
      <c r="M1134" s="73"/>
      <c r="N1134" s="73"/>
      <c r="O1134" s="74"/>
      <c r="P1134" s="75"/>
      <c r="Q1134" s="75"/>
      <c r="R1134" s="102"/>
      <c r="S1134" s="102"/>
      <c r="T1134" s="102"/>
      <c r="U1134" s="102"/>
      <c r="V1134" s="48"/>
      <c r="W1134" s="48"/>
      <c r="X1134" s="48"/>
      <c r="Y1134" s="48"/>
      <c r="Z1134" s="47"/>
      <c r="AA1134" s="70">
        <v>1134</v>
      </c>
      <c r="AB1134" s="70"/>
      <c r="AC1134" s="71"/>
      <c r="AD1134" s="86" t="s">
        <v>24736</v>
      </c>
      <c r="AE1134" s="94" t="s">
        <v>25674</v>
      </c>
      <c r="AF1134" s="86">
        <v>15313</v>
      </c>
      <c r="AG1134" s="86">
        <v>119</v>
      </c>
      <c r="AH1134" s="86">
        <v>2340</v>
      </c>
      <c r="AI1134" s="86">
        <v>50</v>
      </c>
      <c r="AJ1134" s="86">
        <v>1789</v>
      </c>
      <c r="AK1134" s="86">
        <v>1260</v>
      </c>
      <c r="AL1134" s="86" t="b">
        <v>0</v>
      </c>
      <c r="AM1134" s="89">
        <v>43283.485486111109</v>
      </c>
      <c r="AN1134" s="86" t="s">
        <v>26273</v>
      </c>
      <c r="AO1134" s="86" t="s">
        <v>27455</v>
      </c>
      <c r="AP1134" s="96" t="str">
        <f>HYPERLINK("https://t.co/rpO5UDkB3n")</f>
        <v>https://t.co/rpO5UDkB3n</v>
      </c>
      <c r="AQ1134" s="96" t="str">
        <f>HYPERLINK("https://bit.ly/AfricasBusinessHeroes")</f>
        <v>https://bit.ly/AfricasBusinessHeroes</v>
      </c>
      <c r="AR1134" s="86" t="s">
        <v>28656</v>
      </c>
      <c r="AS1134" s="96" t="str">
        <f>HYPERLINK("https://t.co/Ol5VgPLzXJ")</f>
        <v>https://t.co/Ol5VgPLzXJ</v>
      </c>
      <c r="AT1134" s="96" t="str">
        <f>HYPERLINK("http://africabusinessheroes.org/en/")</f>
        <v>http://africabusinessheroes.org/en/</v>
      </c>
      <c r="AU1134" s="86" t="s">
        <v>29104</v>
      </c>
      <c r="AV1134" s="86">
        <v>1.6986734875172101E+18</v>
      </c>
      <c r="AW1134" s="96" t="str">
        <f>HYPERLINK("https://t.co/rpO5UDkB3n")</f>
        <v>https://t.co/rpO5UDkB3n</v>
      </c>
      <c r="AX1134" s="86" t="b">
        <v>0</v>
      </c>
      <c r="AY1134" s="86"/>
      <c r="AZ1134" s="86"/>
      <c r="BA1134" s="86" t="b">
        <v>1</v>
      </c>
      <c r="BB1134" s="86" t="b">
        <v>1</v>
      </c>
      <c r="BC1134" s="86" t="b">
        <v>0</v>
      </c>
      <c r="BD1134" s="86" t="b">
        <v>0</v>
      </c>
      <c r="BE1134" s="86" t="b">
        <v>1</v>
      </c>
      <c r="BF1134" s="86" t="b">
        <v>0</v>
      </c>
      <c r="BG1134" s="86" t="b">
        <v>0</v>
      </c>
      <c r="BH1134" s="96" t="str">
        <f>HYPERLINK("https://pbs.twimg.com/profile_banners/1013748896709955584/1684403090")</f>
        <v>https://pbs.twimg.com/profile_banners/1013748896709955584/1684403090</v>
      </c>
      <c r="BI1134" s="86"/>
      <c r="BJ1134" s="86" t="s">
        <v>29134</v>
      </c>
      <c r="BK1134" s="86" t="b">
        <v>0</v>
      </c>
      <c r="BL1134" s="86"/>
      <c r="BM1134" s="86" t="s">
        <v>65</v>
      </c>
      <c r="BN1134" s="86" t="s">
        <v>29136</v>
      </c>
      <c r="BO1134" s="96" t="str">
        <f>HYPERLINK("https://twitter.com/africa_heroes")</f>
        <v>https://twitter.com/africa_heroes</v>
      </c>
      <c r="BP1134" s="2"/>
    </row>
    <row r="1135" spans="1:68" x14ac:dyDescent="0.25">
      <c r="A1135" s="63" t="s">
        <v>1185</v>
      </c>
      <c r="B1135" s="64"/>
      <c r="C1135" s="64"/>
      <c r="D1135" s="65"/>
      <c r="E1135" s="67"/>
      <c r="F1135" s="111" t="str">
        <f>HYPERLINK("https://pbs.twimg.com/profile_images/1632422540336410630/6126s3IC_normal.jpg")</f>
        <v>https://pbs.twimg.com/profile_images/1632422540336410630/6126s3IC_normal.jpg</v>
      </c>
      <c r="G1135" s="64"/>
      <c r="H1135" s="68"/>
      <c r="I1135" s="69"/>
      <c r="J1135" s="69"/>
      <c r="K1135" s="68" t="s">
        <v>30268</v>
      </c>
      <c r="L1135" s="72"/>
      <c r="M1135" s="73"/>
      <c r="N1135" s="73"/>
      <c r="O1135" s="74"/>
      <c r="P1135" s="75"/>
      <c r="Q1135" s="75"/>
      <c r="R1135" s="102"/>
      <c r="S1135" s="102"/>
      <c r="T1135" s="102"/>
      <c r="U1135" s="102"/>
      <c r="V1135" s="48"/>
      <c r="W1135" s="48"/>
      <c r="X1135" s="48"/>
      <c r="Y1135" s="48"/>
      <c r="Z1135" s="47"/>
      <c r="AA1135" s="70">
        <v>1135</v>
      </c>
      <c r="AB1135" s="70"/>
      <c r="AC1135" s="71"/>
      <c r="AD1135" s="86" t="s">
        <v>24737</v>
      </c>
      <c r="AE1135" s="94" t="s">
        <v>23350</v>
      </c>
      <c r="AF1135" s="86">
        <v>18</v>
      </c>
      <c r="AG1135" s="86">
        <v>153</v>
      </c>
      <c r="AH1135" s="86">
        <v>185</v>
      </c>
      <c r="AI1135" s="86">
        <v>0</v>
      </c>
      <c r="AJ1135" s="86">
        <v>186</v>
      </c>
      <c r="AK1135" s="86">
        <v>131</v>
      </c>
      <c r="AL1135" s="86" t="b">
        <v>0</v>
      </c>
      <c r="AM1135" s="89">
        <v>44775.824953703705</v>
      </c>
      <c r="AN1135" s="86" t="s">
        <v>15287</v>
      </c>
      <c r="AO1135" s="86" t="s">
        <v>27456</v>
      </c>
      <c r="AP1135" s="96" t="str">
        <f>HYPERLINK("https://t.co/WEVmmn4rui")</f>
        <v>https://t.co/WEVmmn4rui</v>
      </c>
      <c r="AQ1135" s="96" t="str">
        <f>HYPERLINK("https://linktr.ee/tatianafedatto")</f>
        <v>https://linktr.ee/tatianafedatto</v>
      </c>
      <c r="AR1135" s="86" t="s">
        <v>28657</v>
      </c>
      <c r="AS1135" s="86"/>
      <c r="AT1135" s="86"/>
      <c r="AU1135" s="86"/>
      <c r="AV1135" s="86"/>
      <c r="AW1135" s="96" t="str">
        <f>HYPERLINK("https://t.co/WEVmmn4rui")</f>
        <v>https://t.co/WEVmmn4rui</v>
      </c>
      <c r="AX1135" s="86" t="b">
        <v>0</v>
      </c>
      <c r="AY1135" s="86"/>
      <c r="AZ1135" s="86"/>
      <c r="BA1135" s="86" t="b">
        <v>1</v>
      </c>
      <c r="BB1135" s="86" t="b">
        <v>1</v>
      </c>
      <c r="BC1135" s="86" t="b">
        <v>1</v>
      </c>
      <c r="BD1135" s="86" t="b">
        <v>0</v>
      </c>
      <c r="BE1135" s="86" t="b">
        <v>0</v>
      </c>
      <c r="BF1135" s="86" t="b">
        <v>0</v>
      </c>
      <c r="BG1135" s="86" t="b">
        <v>1</v>
      </c>
      <c r="BH1135" s="96" t="str">
        <f>HYPERLINK("https://pbs.twimg.com/profile_banners/1554554534684463109/1692019733")</f>
        <v>https://pbs.twimg.com/profile_banners/1554554534684463109/1692019733</v>
      </c>
      <c r="BI1135" s="86"/>
      <c r="BJ1135" s="86" t="s">
        <v>29134</v>
      </c>
      <c r="BK1135" s="86" t="b">
        <v>0</v>
      </c>
      <c r="BL1135" s="86"/>
      <c r="BM1135" s="86" t="s">
        <v>66</v>
      </c>
      <c r="BN1135" s="86" t="s">
        <v>29136</v>
      </c>
      <c r="BO1135" s="96" t="str">
        <f>HYPERLINK("https://twitter.com/tatianafedatto_")</f>
        <v>https://twitter.com/tatianafedatto_</v>
      </c>
      <c r="BP1135" s="2"/>
    </row>
    <row r="1136" spans="1:68" x14ac:dyDescent="0.25">
      <c r="A1136" s="63" t="s">
        <v>1186</v>
      </c>
      <c r="B1136" s="64"/>
      <c r="C1136" s="64"/>
      <c r="D1136" s="65"/>
      <c r="E1136" s="67"/>
      <c r="F1136" s="111" t="str">
        <f>HYPERLINK("https://pbs.twimg.com/profile_images/1136356761542152192/R-24Jx9v_normal.png")</f>
        <v>https://pbs.twimg.com/profile_images/1136356761542152192/R-24Jx9v_normal.png</v>
      </c>
      <c r="G1136" s="64"/>
      <c r="H1136" s="68"/>
      <c r="I1136" s="69"/>
      <c r="J1136" s="69"/>
      <c r="K1136" s="68" t="s">
        <v>30269</v>
      </c>
      <c r="L1136" s="72"/>
      <c r="M1136" s="73"/>
      <c r="N1136" s="73"/>
      <c r="O1136" s="74"/>
      <c r="P1136" s="75"/>
      <c r="Q1136" s="75"/>
      <c r="R1136" s="102"/>
      <c r="S1136" s="102"/>
      <c r="T1136" s="102"/>
      <c r="U1136" s="102"/>
      <c r="V1136" s="48"/>
      <c r="W1136" s="48"/>
      <c r="X1136" s="48"/>
      <c r="Y1136" s="48"/>
      <c r="Z1136" s="47"/>
      <c r="AA1136" s="70">
        <v>1136</v>
      </c>
      <c r="AB1136" s="70"/>
      <c r="AC1136" s="71"/>
      <c r="AD1136" s="86" t="s">
        <v>24738</v>
      </c>
      <c r="AE1136" s="94" t="s">
        <v>25675</v>
      </c>
      <c r="AF1136" s="86">
        <v>1120</v>
      </c>
      <c r="AG1136" s="86">
        <v>124</v>
      </c>
      <c r="AH1136" s="86">
        <v>25500</v>
      </c>
      <c r="AI1136" s="86">
        <v>7</v>
      </c>
      <c r="AJ1136" s="86">
        <v>42</v>
      </c>
      <c r="AK1136" s="86">
        <v>14510</v>
      </c>
      <c r="AL1136" s="86" t="b">
        <v>0</v>
      </c>
      <c r="AM1136" s="89">
        <v>41586.735312500001</v>
      </c>
      <c r="AN1136" s="86" t="s">
        <v>26274</v>
      </c>
      <c r="AO1136" s="86" t="s">
        <v>27457</v>
      </c>
      <c r="AP1136" s="96" t="str">
        <f>HYPERLINK("https://t.co/0ydxVVxMop")</f>
        <v>https://t.co/0ydxVVxMop</v>
      </c>
      <c r="AQ1136" s="96" t="str">
        <f>HYPERLINK("http://www.falabarreiras.com")</f>
        <v>http://www.falabarreiras.com</v>
      </c>
      <c r="AR1136" s="86" t="s">
        <v>8508</v>
      </c>
      <c r="AS1136" s="86"/>
      <c r="AT1136" s="86"/>
      <c r="AU1136" s="86"/>
      <c r="AV1136" s="86"/>
      <c r="AW1136" s="96" t="str">
        <f>HYPERLINK("https://t.co/0ydxVVxMop")</f>
        <v>https://t.co/0ydxVVxMop</v>
      </c>
      <c r="AX1136" s="86" t="b">
        <v>0</v>
      </c>
      <c r="AY1136" s="86"/>
      <c r="AZ1136" s="86"/>
      <c r="BA1136" s="86" t="b">
        <v>0</v>
      </c>
      <c r="BB1136" s="86" t="b">
        <v>1</v>
      </c>
      <c r="BC1136" s="86" t="b">
        <v>0</v>
      </c>
      <c r="BD1136" s="86" t="b">
        <v>0</v>
      </c>
      <c r="BE1136" s="86" t="b">
        <v>0</v>
      </c>
      <c r="BF1136" s="86" t="b">
        <v>0</v>
      </c>
      <c r="BG1136" s="86" t="b">
        <v>0</v>
      </c>
      <c r="BH1136" s="96" t="str">
        <f>HYPERLINK("https://pbs.twimg.com/profile_banners/2182634120/1558369198")</f>
        <v>https://pbs.twimg.com/profile_banners/2182634120/1558369198</v>
      </c>
      <c r="BI1136" s="86"/>
      <c r="BJ1136" s="86" t="s">
        <v>29134</v>
      </c>
      <c r="BK1136" s="86" t="b">
        <v>0</v>
      </c>
      <c r="BL1136" s="86"/>
      <c r="BM1136" s="86" t="s">
        <v>66</v>
      </c>
      <c r="BN1136" s="86" t="s">
        <v>29136</v>
      </c>
      <c r="BO1136" s="96" t="str">
        <f>HYPERLINK("https://twitter.com/falabarreiras")</f>
        <v>https://twitter.com/falabarreiras</v>
      </c>
      <c r="BP1136" s="2"/>
    </row>
    <row r="1137" spans="1:68" x14ac:dyDescent="0.25">
      <c r="A1137" s="63" t="s">
        <v>1187</v>
      </c>
      <c r="B1137" s="64"/>
      <c r="C1137" s="64"/>
      <c r="D1137" s="65"/>
      <c r="E1137" s="67"/>
      <c r="F1137" s="111" t="str">
        <f>HYPERLINK("https://pbs.twimg.com/profile_images/1613649774686740495/BII6yYHj_normal.jpg")</f>
        <v>https://pbs.twimg.com/profile_images/1613649774686740495/BII6yYHj_normal.jpg</v>
      </c>
      <c r="G1137" s="64"/>
      <c r="H1137" s="68"/>
      <c r="I1137" s="69"/>
      <c r="J1137" s="69"/>
      <c r="K1137" s="68" t="s">
        <v>30270</v>
      </c>
      <c r="L1137" s="72"/>
      <c r="M1137" s="73"/>
      <c r="N1137" s="73"/>
      <c r="O1137" s="74"/>
      <c r="P1137" s="75"/>
      <c r="Q1137" s="75"/>
      <c r="R1137" s="102"/>
      <c r="S1137" s="102"/>
      <c r="T1137" s="102"/>
      <c r="U1137" s="102"/>
      <c r="V1137" s="48"/>
      <c r="W1137" s="48"/>
      <c r="X1137" s="48"/>
      <c r="Y1137" s="48"/>
      <c r="Z1137" s="47"/>
      <c r="AA1137" s="70">
        <v>1137</v>
      </c>
      <c r="AB1137" s="70"/>
      <c r="AC1137" s="71"/>
      <c r="AD1137" s="86" t="s">
        <v>15415</v>
      </c>
      <c r="AE1137" s="94" t="s">
        <v>25676</v>
      </c>
      <c r="AF1137" s="86">
        <v>303198</v>
      </c>
      <c r="AG1137" s="86">
        <v>42</v>
      </c>
      <c r="AH1137" s="86">
        <v>116056</v>
      </c>
      <c r="AI1137" s="86">
        <v>506</v>
      </c>
      <c r="AJ1137" s="86">
        <v>3028</v>
      </c>
      <c r="AK1137" s="86">
        <v>25472</v>
      </c>
      <c r="AL1137" s="86" t="b">
        <v>0</v>
      </c>
      <c r="AM1137" s="89">
        <v>40163.724166666667</v>
      </c>
      <c r="AN1137" s="86" t="s">
        <v>15415</v>
      </c>
      <c r="AO1137" s="86" t="s">
        <v>27458</v>
      </c>
      <c r="AP1137" s="96" t="str">
        <f>HYPERLINK("https://t.co/qOROiYN5y7")</f>
        <v>https://t.co/qOROiYN5y7</v>
      </c>
      <c r="AQ1137" s="96" t="str">
        <f>HYPERLINK("http://linktr.ee/prefpoa")</f>
        <v>http://linktr.ee/prefpoa</v>
      </c>
      <c r="AR1137" s="86" t="s">
        <v>28658</v>
      </c>
      <c r="AS1137" s="96" t="str">
        <f>HYPERLINK("https://t.co/AvapxlNspr")</f>
        <v>https://t.co/AvapxlNspr</v>
      </c>
      <c r="AT1137" s="96" t="str">
        <f>HYPERLINK("http://prefeitura.poa.br")</f>
        <v>http://prefeitura.poa.br</v>
      </c>
      <c r="AU1137" s="86" t="s">
        <v>29105</v>
      </c>
      <c r="AV1137" s="86">
        <v>1.70682076260511E+18</v>
      </c>
      <c r="AW1137" s="96" t="str">
        <f>HYPERLINK("https://t.co/qOROiYN5y7")</f>
        <v>https://t.co/qOROiYN5y7</v>
      </c>
      <c r="AX1137" s="86" t="b">
        <v>0</v>
      </c>
      <c r="AY1137" s="86"/>
      <c r="AZ1137" s="86"/>
      <c r="BA1137" s="86" t="b">
        <v>0</v>
      </c>
      <c r="BB1137" s="86" t="b">
        <v>0</v>
      </c>
      <c r="BC1137" s="86" t="b">
        <v>0</v>
      </c>
      <c r="BD1137" s="86" t="b">
        <v>0</v>
      </c>
      <c r="BE1137" s="86" t="b">
        <v>1</v>
      </c>
      <c r="BF1137" s="86" t="b">
        <v>0</v>
      </c>
      <c r="BG1137" s="86" t="b">
        <v>0</v>
      </c>
      <c r="BH1137" s="96" t="str">
        <f>HYPERLINK("https://pbs.twimg.com/profile_banners/97251131/1684155109")</f>
        <v>https://pbs.twimg.com/profile_banners/97251131/1684155109</v>
      </c>
      <c r="BI1137" s="86"/>
      <c r="BJ1137" s="86" t="s">
        <v>29134</v>
      </c>
      <c r="BK1137" s="86" t="b">
        <v>0</v>
      </c>
      <c r="BL1137" s="86"/>
      <c r="BM1137" s="86" t="s">
        <v>66</v>
      </c>
      <c r="BN1137" s="86" t="s">
        <v>29136</v>
      </c>
      <c r="BO1137" s="96" t="str">
        <f>HYPERLINK("https://twitter.com/prefeitura_poa")</f>
        <v>https://twitter.com/prefeitura_poa</v>
      </c>
      <c r="BP1137" s="2"/>
    </row>
    <row r="1138" spans="1:68" x14ac:dyDescent="0.25">
      <c r="A1138" s="63" t="s">
        <v>1188</v>
      </c>
      <c r="B1138" s="64"/>
      <c r="C1138" s="64"/>
      <c r="D1138" s="65"/>
      <c r="E1138" s="67"/>
      <c r="F1138" s="111" t="str">
        <f>HYPERLINK("https://pbs.twimg.com/profile_images/1660628939411275777/ej9YLbqa_normal.jpg")</f>
        <v>https://pbs.twimg.com/profile_images/1660628939411275777/ej9YLbqa_normal.jpg</v>
      </c>
      <c r="G1138" s="64"/>
      <c r="H1138" s="68"/>
      <c r="I1138" s="69"/>
      <c r="J1138" s="69"/>
      <c r="K1138" s="68" t="s">
        <v>30271</v>
      </c>
      <c r="L1138" s="72"/>
      <c r="M1138" s="73"/>
      <c r="N1138" s="73"/>
      <c r="O1138" s="74"/>
      <c r="P1138" s="75"/>
      <c r="Q1138" s="75"/>
      <c r="R1138" s="102"/>
      <c r="S1138" s="102"/>
      <c r="T1138" s="102"/>
      <c r="U1138" s="102"/>
      <c r="V1138" s="48"/>
      <c r="W1138" s="48"/>
      <c r="X1138" s="48"/>
      <c r="Y1138" s="48"/>
      <c r="Z1138" s="47"/>
      <c r="AA1138" s="70">
        <v>1138</v>
      </c>
      <c r="AB1138" s="70"/>
      <c r="AC1138" s="71"/>
      <c r="AD1138" s="86" t="s">
        <v>24739</v>
      </c>
      <c r="AE1138" s="94" t="s">
        <v>23351</v>
      </c>
      <c r="AF1138" s="86">
        <v>0</v>
      </c>
      <c r="AG1138" s="86">
        <v>11</v>
      </c>
      <c r="AH1138" s="86">
        <v>11</v>
      </c>
      <c r="AI1138" s="86">
        <v>0</v>
      </c>
      <c r="AJ1138" s="86">
        <v>2</v>
      </c>
      <c r="AK1138" s="86">
        <v>11</v>
      </c>
      <c r="AL1138" s="86" t="b">
        <v>0</v>
      </c>
      <c r="AM1138" s="89">
        <v>45068.534328703703</v>
      </c>
      <c r="AN1138" s="86" t="s">
        <v>26275</v>
      </c>
      <c r="AO1138" s="86" t="s">
        <v>27459</v>
      </c>
      <c r="AP1138" s="86"/>
      <c r="AQ1138" s="86"/>
      <c r="AR1138" s="86"/>
      <c r="AS1138" s="86"/>
      <c r="AT1138" s="86"/>
      <c r="AU1138" s="86"/>
      <c r="AV1138" s="86"/>
      <c r="AW1138" s="86"/>
      <c r="AX1138" s="86" t="b">
        <v>0</v>
      </c>
      <c r="AY1138" s="86"/>
      <c r="AZ1138" s="86"/>
      <c r="BA1138" s="86" t="b">
        <v>0</v>
      </c>
      <c r="BB1138" s="86" t="b">
        <v>1</v>
      </c>
      <c r="BC1138" s="86" t="b">
        <v>1</v>
      </c>
      <c r="BD1138" s="86" t="b">
        <v>0</v>
      </c>
      <c r="BE1138" s="86" t="b">
        <v>0</v>
      </c>
      <c r="BF1138" s="86" t="b">
        <v>0</v>
      </c>
      <c r="BG1138" s="86" t="b">
        <v>0</v>
      </c>
      <c r="BH1138" s="96" t="str">
        <f>HYPERLINK("https://pbs.twimg.com/profile_banners/1660628673915912194/1684760850")</f>
        <v>https://pbs.twimg.com/profile_banners/1660628673915912194/1684760850</v>
      </c>
      <c r="BI1138" s="86"/>
      <c r="BJ1138" s="86" t="s">
        <v>29134</v>
      </c>
      <c r="BK1138" s="86" t="b">
        <v>0</v>
      </c>
      <c r="BL1138" s="86"/>
      <c r="BM1138" s="86" t="s">
        <v>66</v>
      </c>
      <c r="BN1138" s="86" t="s">
        <v>29136</v>
      </c>
      <c r="BO1138" s="96" t="str">
        <f>HYPERLINK("https://twitter.com/growingscape")</f>
        <v>https://twitter.com/growingscape</v>
      </c>
      <c r="BP1138" s="2"/>
    </row>
    <row r="1139" spans="1:68" x14ac:dyDescent="0.25">
      <c r="A1139" s="63" t="s">
        <v>1189</v>
      </c>
      <c r="B1139" s="64"/>
      <c r="C1139" s="64"/>
      <c r="D1139" s="65"/>
      <c r="E1139" s="67"/>
      <c r="F1139" s="111" t="str">
        <f>HYPERLINK("https://pbs.twimg.com/profile_images/1695573847225810945/Fc32yQ0k_normal.jpg")</f>
        <v>https://pbs.twimg.com/profile_images/1695573847225810945/Fc32yQ0k_normal.jpg</v>
      </c>
      <c r="G1139" s="64"/>
      <c r="H1139" s="68"/>
      <c r="I1139" s="69"/>
      <c r="J1139" s="69"/>
      <c r="K1139" s="68" t="s">
        <v>30272</v>
      </c>
      <c r="L1139" s="72"/>
      <c r="M1139" s="73"/>
      <c r="N1139" s="73"/>
      <c r="O1139" s="74"/>
      <c r="P1139" s="75"/>
      <c r="Q1139" s="75"/>
      <c r="R1139" s="102"/>
      <c r="S1139" s="102"/>
      <c r="T1139" s="102"/>
      <c r="U1139" s="102"/>
      <c r="V1139" s="48"/>
      <c r="W1139" s="48"/>
      <c r="X1139" s="48"/>
      <c r="Y1139" s="48"/>
      <c r="Z1139" s="47"/>
      <c r="AA1139" s="70">
        <v>1139</v>
      </c>
      <c r="AB1139" s="70"/>
      <c r="AC1139" s="71"/>
      <c r="AD1139" s="86" t="s">
        <v>24740</v>
      </c>
      <c r="AE1139" s="94" t="s">
        <v>23352</v>
      </c>
      <c r="AF1139" s="86">
        <v>1</v>
      </c>
      <c r="AG1139" s="86">
        <v>15</v>
      </c>
      <c r="AH1139" s="86">
        <v>24</v>
      </c>
      <c r="AI1139" s="86">
        <v>0</v>
      </c>
      <c r="AJ1139" s="86">
        <v>67</v>
      </c>
      <c r="AK1139" s="86">
        <v>3</v>
      </c>
      <c r="AL1139" s="86" t="b">
        <v>0</v>
      </c>
      <c r="AM1139" s="89">
        <v>44622.817824074074</v>
      </c>
      <c r="AN1139" s="86" t="s">
        <v>26276</v>
      </c>
      <c r="AO1139" s="86" t="s">
        <v>27460</v>
      </c>
      <c r="AP1139" s="86"/>
      <c r="AQ1139" s="86"/>
      <c r="AR1139" s="86"/>
      <c r="AS1139" s="86"/>
      <c r="AT1139" s="86"/>
      <c r="AU1139" s="86"/>
      <c r="AV1139" s="86"/>
      <c r="AW1139" s="86"/>
      <c r="AX1139" s="86" t="b">
        <v>0</v>
      </c>
      <c r="AY1139" s="86"/>
      <c r="AZ1139" s="86"/>
      <c r="BA1139" s="86" t="b">
        <v>0</v>
      </c>
      <c r="BB1139" s="86" t="b">
        <v>1</v>
      </c>
      <c r="BC1139" s="86" t="b">
        <v>1</v>
      </c>
      <c r="BD1139" s="86" t="b">
        <v>0</v>
      </c>
      <c r="BE1139" s="86" t="b">
        <v>1</v>
      </c>
      <c r="BF1139" s="86" t="b">
        <v>0</v>
      </c>
      <c r="BG1139" s="86" t="b">
        <v>0</v>
      </c>
      <c r="BH1139" s="86"/>
      <c r="BI1139" s="86"/>
      <c r="BJ1139" s="86" t="s">
        <v>29134</v>
      </c>
      <c r="BK1139" s="86" t="b">
        <v>0</v>
      </c>
      <c r="BL1139" s="86"/>
      <c r="BM1139" s="86" t="s">
        <v>66</v>
      </c>
      <c r="BN1139" s="86" t="s">
        <v>29136</v>
      </c>
      <c r="BO1139" s="96" t="str">
        <f>HYPERLINK("https://twitter.com/jecikaoli")</f>
        <v>https://twitter.com/jecikaoli</v>
      </c>
      <c r="BP1139" s="2"/>
    </row>
    <row r="1140" spans="1:68" x14ac:dyDescent="0.25">
      <c r="A1140" s="63" t="s">
        <v>1190</v>
      </c>
      <c r="B1140" s="64"/>
      <c r="C1140" s="64"/>
      <c r="D1140" s="65"/>
      <c r="E1140" s="67"/>
      <c r="F1140" s="111" t="str">
        <f>HYPERLINK("https://pbs.twimg.com/profile_images/648167419/publicadosbrasil_-_orkut_normal.jpg")</f>
        <v>https://pbs.twimg.com/profile_images/648167419/publicadosbrasil_-_orkut_normal.jpg</v>
      </c>
      <c r="G1140" s="64"/>
      <c r="H1140" s="68"/>
      <c r="I1140" s="69"/>
      <c r="J1140" s="69"/>
      <c r="K1140" s="68" t="s">
        <v>30273</v>
      </c>
      <c r="L1140" s="72"/>
      <c r="M1140" s="73"/>
      <c r="N1140" s="73"/>
      <c r="O1140" s="74"/>
      <c r="P1140" s="75"/>
      <c r="Q1140" s="75"/>
      <c r="R1140" s="102"/>
      <c r="S1140" s="102"/>
      <c r="T1140" s="102"/>
      <c r="U1140" s="102"/>
      <c r="V1140" s="48"/>
      <c r="W1140" s="48"/>
      <c r="X1140" s="48"/>
      <c r="Y1140" s="48"/>
      <c r="Z1140" s="47"/>
      <c r="AA1140" s="70">
        <v>1140</v>
      </c>
      <c r="AB1140" s="70"/>
      <c r="AC1140" s="71"/>
      <c r="AD1140" s="86" t="s">
        <v>24741</v>
      </c>
      <c r="AE1140" s="94" t="s">
        <v>25677</v>
      </c>
      <c r="AF1140" s="86">
        <v>269</v>
      </c>
      <c r="AG1140" s="86">
        <v>241</v>
      </c>
      <c r="AH1140" s="86">
        <v>6086</v>
      </c>
      <c r="AI1140" s="86">
        <v>2</v>
      </c>
      <c r="AJ1140" s="86">
        <v>10</v>
      </c>
      <c r="AK1140" s="86">
        <v>79</v>
      </c>
      <c r="AL1140" s="86" t="b">
        <v>0</v>
      </c>
      <c r="AM1140" s="89">
        <v>40200.639687499999</v>
      </c>
      <c r="AN1140" s="86" t="s">
        <v>25980</v>
      </c>
      <c r="AO1140" s="86" t="s">
        <v>27461</v>
      </c>
      <c r="AP1140" s="96" t="str">
        <f>HYPERLINK("http://t.co/Lm3iDpLOQt")</f>
        <v>http://t.co/Lm3iDpLOQt</v>
      </c>
      <c r="AQ1140" s="96" t="str">
        <f>HYPERLINK("http://publicadosbrasil.blogspot.com")</f>
        <v>http://publicadosbrasil.blogspot.com</v>
      </c>
      <c r="AR1140" s="86" t="s">
        <v>28659</v>
      </c>
      <c r="AS1140" s="86"/>
      <c r="AT1140" s="86"/>
      <c r="AU1140" s="86"/>
      <c r="AV1140" s="86"/>
      <c r="AW1140" s="96" t="str">
        <f>HYPERLINK("http://t.co/Lm3iDpLOQt")</f>
        <v>http://t.co/Lm3iDpLOQt</v>
      </c>
      <c r="AX1140" s="86" t="b">
        <v>0</v>
      </c>
      <c r="AY1140" s="86"/>
      <c r="AZ1140" s="86"/>
      <c r="BA1140" s="86" t="b">
        <v>0</v>
      </c>
      <c r="BB1140" s="86" t="b">
        <v>1</v>
      </c>
      <c r="BC1140" s="86" t="b">
        <v>1</v>
      </c>
      <c r="BD1140" s="86" t="b">
        <v>0</v>
      </c>
      <c r="BE1140" s="86" t="b">
        <v>0</v>
      </c>
      <c r="BF1140" s="86" t="b">
        <v>0</v>
      </c>
      <c r="BG1140" s="86" t="b">
        <v>0</v>
      </c>
      <c r="BH1140" s="96" t="str">
        <f>HYPERLINK("https://pbs.twimg.com/profile_banners/107438367/1549042284")</f>
        <v>https://pbs.twimg.com/profile_banners/107438367/1549042284</v>
      </c>
      <c r="BI1140" s="86"/>
      <c r="BJ1140" s="86" t="s">
        <v>29134</v>
      </c>
      <c r="BK1140" s="86" t="b">
        <v>0</v>
      </c>
      <c r="BL1140" s="86"/>
      <c r="BM1140" s="86" t="s">
        <v>66</v>
      </c>
      <c r="BN1140" s="86" t="s">
        <v>29136</v>
      </c>
      <c r="BO1140" s="96" t="str">
        <f>HYPERLINK("https://twitter.com/publicados01")</f>
        <v>https://twitter.com/publicados01</v>
      </c>
      <c r="BP1140" s="2"/>
    </row>
    <row r="1141" spans="1:68" x14ac:dyDescent="0.25">
      <c r="A1141" s="63" t="s">
        <v>1191</v>
      </c>
      <c r="B1141" s="64"/>
      <c r="C1141" s="64"/>
      <c r="D1141" s="65"/>
      <c r="E1141" s="67"/>
      <c r="F1141" s="111" t="str">
        <f>HYPERLINK("https://pbs.twimg.com/profile_images/1589020060617670657/Gi75Fln4_normal.jpg")</f>
        <v>https://pbs.twimg.com/profile_images/1589020060617670657/Gi75Fln4_normal.jpg</v>
      </c>
      <c r="G1141" s="64"/>
      <c r="H1141" s="68"/>
      <c r="I1141" s="69"/>
      <c r="J1141" s="69"/>
      <c r="K1141" s="68" t="s">
        <v>30274</v>
      </c>
      <c r="L1141" s="72"/>
      <c r="M1141" s="73"/>
      <c r="N1141" s="73"/>
      <c r="O1141" s="74"/>
      <c r="P1141" s="75"/>
      <c r="Q1141" s="75"/>
      <c r="R1141" s="102"/>
      <c r="S1141" s="102"/>
      <c r="T1141" s="102"/>
      <c r="U1141" s="102"/>
      <c r="V1141" s="48"/>
      <c r="W1141" s="48"/>
      <c r="X1141" s="48"/>
      <c r="Y1141" s="48"/>
      <c r="Z1141" s="47"/>
      <c r="AA1141" s="70">
        <v>1141</v>
      </c>
      <c r="AB1141" s="70"/>
      <c r="AC1141" s="71"/>
      <c r="AD1141" s="86" t="s">
        <v>24742</v>
      </c>
      <c r="AE1141" s="94" t="s">
        <v>23353</v>
      </c>
      <c r="AF1141" s="86">
        <v>2</v>
      </c>
      <c r="AG1141" s="86">
        <v>9</v>
      </c>
      <c r="AH1141" s="86">
        <v>13</v>
      </c>
      <c r="AI1141" s="86">
        <v>0</v>
      </c>
      <c r="AJ1141" s="86">
        <v>31</v>
      </c>
      <c r="AK1141" s="86">
        <v>0</v>
      </c>
      <c r="AL1141" s="86" t="b">
        <v>0</v>
      </c>
      <c r="AM1141" s="89">
        <v>44867.99181712963</v>
      </c>
      <c r="AN1141" s="86"/>
      <c r="AO1141" s="86" t="s">
        <v>27462</v>
      </c>
      <c r="AP1141" s="86"/>
      <c r="AQ1141" s="86"/>
      <c r="AR1141" s="86"/>
      <c r="AS1141" s="86"/>
      <c r="AT1141" s="86"/>
      <c r="AU1141" s="86"/>
      <c r="AV1141" s="86"/>
      <c r="AW1141" s="86"/>
      <c r="AX1141" s="86" t="b">
        <v>0</v>
      </c>
      <c r="AY1141" s="86"/>
      <c r="AZ1141" s="86"/>
      <c r="BA1141" s="86" t="b">
        <v>0</v>
      </c>
      <c r="BB1141" s="86" t="b">
        <v>1</v>
      </c>
      <c r="BC1141" s="86" t="b">
        <v>1</v>
      </c>
      <c r="BD1141" s="86" t="b">
        <v>0</v>
      </c>
      <c r="BE1141" s="86" t="b">
        <v>0</v>
      </c>
      <c r="BF1141" s="86" t="b">
        <v>0</v>
      </c>
      <c r="BG1141" s="86" t="b">
        <v>0</v>
      </c>
      <c r="BH1141" s="96" t="str">
        <f>HYPERLINK("https://pbs.twimg.com/profile_banners/1587954405508321282/1667586827")</f>
        <v>https://pbs.twimg.com/profile_banners/1587954405508321282/1667586827</v>
      </c>
      <c r="BI1141" s="86"/>
      <c r="BJ1141" s="86" t="s">
        <v>29134</v>
      </c>
      <c r="BK1141" s="86" t="b">
        <v>0</v>
      </c>
      <c r="BL1141" s="86"/>
      <c r="BM1141" s="86" t="s">
        <v>66</v>
      </c>
      <c r="BN1141" s="86" t="s">
        <v>29136</v>
      </c>
      <c r="BO1141" s="96" t="str">
        <f>HYPERLINK("https://twitter.com/innov_empreenda")</f>
        <v>https://twitter.com/innov_empreenda</v>
      </c>
      <c r="BP1141" s="2"/>
    </row>
    <row r="1142" spans="1:68" x14ac:dyDescent="0.25">
      <c r="A1142" s="63" t="s">
        <v>1192</v>
      </c>
      <c r="B1142" s="64"/>
      <c r="C1142" s="64"/>
      <c r="D1142" s="65"/>
      <c r="E1142" s="67"/>
      <c r="F1142" s="111" t="str">
        <f>HYPERLINK("https://pbs.twimg.com/profile_images/1695992659217666048/LbvPAAtY_normal.jpg")</f>
        <v>https://pbs.twimg.com/profile_images/1695992659217666048/LbvPAAtY_normal.jpg</v>
      </c>
      <c r="G1142" s="64"/>
      <c r="H1142" s="68"/>
      <c r="I1142" s="69"/>
      <c r="J1142" s="69"/>
      <c r="K1142" s="68" t="s">
        <v>30275</v>
      </c>
      <c r="L1142" s="72"/>
      <c r="M1142" s="73"/>
      <c r="N1142" s="73"/>
      <c r="O1142" s="74"/>
      <c r="P1142" s="75"/>
      <c r="Q1142" s="75"/>
      <c r="R1142" s="102"/>
      <c r="S1142" s="102"/>
      <c r="T1142" s="102"/>
      <c r="U1142" s="102"/>
      <c r="V1142" s="48"/>
      <c r="W1142" s="48"/>
      <c r="X1142" s="48"/>
      <c r="Y1142" s="48"/>
      <c r="Z1142" s="47"/>
      <c r="AA1142" s="70">
        <v>1142</v>
      </c>
      <c r="AB1142" s="70"/>
      <c r="AC1142" s="71"/>
      <c r="AD1142" s="86" t="s">
        <v>24743</v>
      </c>
      <c r="AE1142" s="94" t="s">
        <v>23354</v>
      </c>
      <c r="AF1142" s="86">
        <v>3543</v>
      </c>
      <c r="AG1142" s="86">
        <v>1415</v>
      </c>
      <c r="AH1142" s="86">
        <v>6313</v>
      </c>
      <c r="AI1142" s="86">
        <v>1</v>
      </c>
      <c r="AJ1142" s="86">
        <v>2848</v>
      </c>
      <c r="AK1142" s="86">
        <v>2042</v>
      </c>
      <c r="AL1142" s="86" t="b">
        <v>0</v>
      </c>
      <c r="AM1142" s="89">
        <v>43246.507893518516</v>
      </c>
      <c r="AN1142" s="86" t="s">
        <v>26277</v>
      </c>
      <c r="AO1142" s="86" t="s">
        <v>27463</v>
      </c>
      <c r="AP1142" s="96" t="str">
        <f>HYPERLINK("https://t.co/LmFjpjGF2x")</f>
        <v>https://t.co/LmFjpjGF2x</v>
      </c>
      <c r="AQ1142" s="96" t="str">
        <f>HYPERLINK("https://kwai-video.com/u/@BanguU")</f>
        <v>https://kwai-video.com/u/@BanguU</v>
      </c>
      <c r="AR1142" s="86" t="s">
        <v>28660</v>
      </c>
      <c r="AS1142" s="86"/>
      <c r="AT1142" s="86"/>
      <c r="AU1142" s="86"/>
      <c r="AV1142" s="86">
        <v>1.67860381298509E+18</v>
      </c>
      <c r="AW1142" s="96" t="str">
        <f>HYPERLINK("https://t.co/LmFjpjGF2x")</f>
        <v>https://t.co/LmFjpjGF2x</v>
      </c>
      <c r="AX1142" s="86" t="b">
        <v>0</v>
      </c>
      <c r="AY1142" s="86"/>
      <c r="AZ1142" s="86"/>
      <c r="BA1142" s="86" t="b">
        <v>0</v>
      </c>
      <c r="BB1142" s="86" t="b">
        <v>1</v>
      </c>
      <c r="BC1142" s="86" t="b">
        <v>0</v>
      </c>
      <c r="BD1142" s="86" t="b">
        <v>0</v>
      </c>
      <c r="BE1142" s="86" t="b">
        <v>1</v>
      </c>
      <c r="BF1142" s="86" t="b">
        <v>0</v>
      </c>
      <c r="BG1142" s="86" t="b">
        <v>0</v>
      </c>
      <c r="BH1142" s="96" t="str">
        <f>HYPERLINK("https://pbs.twimg.com/profile_banners/1000348665654005760/1677171539")</f>
        <v>https://pbs.twimg.com/profile_banners/1000348665654005760/1677171539</v>
      </c>
      <c r="BI1142" s="86"/>
      <c r="BJ1142" s="86" t="s">
        <v>29134</v>
      </c>
      <c r="BK1142" s="86" t="b">
        <v>0</v>
      </c>
      <c r="BL1142" s="86"/>
      <c r="BM1142" s="86" t="s">
        <v>66</v>
      </c>
      <c r="BN1142" s="86" t="s">
        <v>29136</v>
      </c>
      <c r="BO1142" s="96" t="str">
        <f>HYPERLINK("https://twitter.com/bangurgentenews")</f>
        <v>https://twitter.com/bangurgentenews</v>
      </c>
      <c r="BP1142" s="2"/>
    </row>
    <row r="1143" spans="1:68" x14ac:dyDescent="0.25">
      <c r="A1143" s="63" t="s">
        <v>1193</v>
      </c>
      <c r="B1143" s="64"/>
      <c r="C1143" s="64"/>
      <c r="D1143" s="65"/>
      <c r="E1143" s="67"/>
      <c r="F1143" s="111" t="str">
        <f>HYPERLINK("https://pbs.twimg.com/profile_images/2283882210/4kmbnzcnhgyo3r4tbyt7_normal.jpeg")</f>
        <v>https://pbs.twimg.com/profile_images/2283882210/4kmbnzcnhgyo3r4tbyt7_normal.jpeg</v>
      </c>
      <c r="G1143" s="64"/>
      <c r="H1143" s="68"/>
      <c r="I1143" s="69"/>
      <c r="J1143" s="69"/>
      <c r="K1143" s="68" t="s">
        <v>30276</v>
      </c>
      <c r="L1143" s="72"/>
      <c r="M1143" s="73"/>
      <c r="N1143" s="73"/>
      <c r="O1143" s="74"/>
      <c r="P1143" s="75"/>
      <c r="Q1143" s="75"/>
      <c r="R1143" s="102"/>
      <c r="S1143" s="102"/>
      <c r="T1143" s="102"/>
      <c r="U1143" s="102"/>
      <c r="V1143" s="48"/>
      <c r="W1143" s="48"/>
      <c r="X1143" s="48"/>
      <c r="Y1143" s="48"/>
      <c r="Z1143" s="47"/>
      <c r="AA1143" s="70">
        <v>1143</v>
      </c>
      <c r="AB1143" s="70"/>
      <c r="AC1143" s="71"/>
      <c r="AD1143" s="86" t="s">
        <v>24744</v>
      </c>
      <c r="AE1143" s="94" t="s">
        <v>25678</v>
      </c>
      <c r="AF1143" s="86">
        <v>1206</v>
      </c>
      <c r="AG1143" s="86">
        <v>136</v>
      </c>
      <c r="AH1143" s="86">
        <v>4129</v>
      </c>
      <c r="AI1143" s="86">
        <v>15</v>
      </c>
      <c r="AJ1143" s="86">
        <v>1</v>
      </c>
      <c r="AK1143" s="86">
        <v>483</v>
      </c>
      <c r="AL1143" s="86" t="b">
        <v>0</v>
      </c>
      <c r="AM1143" s="89">
        <v>40261.608715277776</v>
      </c>
      <c r="AN1143" s="86" t="s">
        <v>15234</v>
      </c>
      <c r="AO1143" s="86" t="s">
        <v>27464</v>
      </c>
      <c r="AP1143" s="96" t="str">
        <f>HYPERLINK("http://t.co/SLuzjTV2Ht")</f>
        <v>http://t.co/SLuzjTV2Ht</v>
      </c>
      <c r="AQ1143" s="96" t="str">
        <f>HYPERLINK("http://www.nossobairro.net")</f>
        <v>http://www.nossobairro.net</v>
      </c>
      <c r="AR1143" s="86" t="s">
        <v>28661</v>
      </c>
      <c r="AS1143" s="86"/>
      <c r="AT1143" s="86"/>
      <c r="AU1143" s="86"/>
      <c r="AV1143" s="86"/>
      <c r="AW1143" s="96" t="str">
        <f>HYPERLINK("http://t.co/SLuzjTV2Ht")</f>
        <v>http://t.co/SLuzjTV2Ht</v>
      </c>
      <c r="AX1143" s="86" t="b">
        <v>0</v>
      </c>
      <c r="AY1143" s="86"/>
      <c r="AZ1143" s="86"/>
      <c r="BA1143" s="86" t="b">
        <v>0</v>
      </c>
      <c r="BB1143" s="86" t="b">
        <v>1</v>
      </c>
      <c r="BC1143" s="86" t="b">
        <v>0</v>
      </c>
      <c r="BD1143" s="86" t="b">
        <v>0</v>
      </c>
      <c r="BE1143" s="86" t="b">
        <v>0</v>
      </c>
      <c r="BF1143" s="86" t="b">
        <v>0</v>
      </c>
      <c r="BG1143" s="86" t="b">
        <v>0</v>
      </c>
      <c r="BH1143" s="86"/>
      <c r="BI1143" s="86"/>
      <c r="BJ1143" s="86" t="s">
        <v>29134</v>
      </c>
      <c r="BK1143" s="86" t="b">
        <v>0</v>
      </c>
      <c r="BL1143" s="86"/>
      <c r="BM1143" s="86" t="s">
        <v>66</v>
      </c>
      <c r="BN1143" s="86" t="s">
        <v>29136</v>
      </c>
      <c r="BO1143" s="96" t="str">
        <f>HYPERLINK("https://twitter.com/nossobairrojpa")</f>
        <v>https://twitter.com/nossobairrojpa</v>
      </c>
      <c r="BP1143" s="2"/>
    </row>
    <row r="1144" spans="1:68" x14ac:dyDescent="0.25">
      <c r="A1144" s="63" t="s">
        <v>1194</v>
      </c>
      <c r="B1144" s="64"/>
      <c r="C1144" s="64"/>
      <c r="D1144" s="65"/>
      <c r="E1144" s="67"/>
      <c r="F1144" s="111" t="str">
        <f>HYPERLINK("https://abs.twimg.com/sticky/default_profile_images/default_profile_normal.png")</f>
        <v>https://abs.twimg.com/sticky/default_profile_images/default_profile_normal.png</v>
      </c>
      <c r="G1144" s="64"/>
      <c r="H1144" s="68"/>
      <c r="I1144" s="69"/>
      <c r="J1144" s="69"/>
      <c r="K1144" s="68" t="s">
        <v>30277</v>
      </c>
      <c r="L1144" s="72"/>
      <c r="M1144" s="73"/>
      <c r="N1144" s="73"/>
      <c r="O1144" s="74"/>
      <c r="P1144" s="75"/>
      <c r="Q1144" s="75"/>
      <c r="R1144" s="102"/>
      <c r="S1144" s="102"/>
      <c r="T1144" s="102"/>
      <c r="U1144" s="102"/>
      <c r="V1144" s="48"/>
      <c r="W1144" s="48"/>
      <c r="X1144" s="48"/>
      <c r="Y1144" s="48"/>
      <c r="Z1144" s="47"/>
      <c r="AA1144" s="70">
        <v>1144</v>
      </c>
      <c r="AB1144" s="70"/>
      <c r="AC1144" s="71"/>
      <c r="AD1144" s="86" t="s">
        <v>24745</v>
      </c>
      <c r="AE1144" s="94" t="s">
        <v>23355</v>
      </c>
      <c r="AF1144" s="86">
        <v>0</v>
      </c>
      <c r="AG1144" s="86">
        <v>0</v>
      </c>
      <c r="AH1144" s="86">
        <v>141</v>
      </c>
      <c r="AI1144" s="86">
        <v>0</v>
      </c>
      <c r="AJ1144" s="86">
        <v>0</v>
      </c>
      <c r="AK1144" s="86">
        <v>1</v>
      </c>
      <c r="AL1144" s="86" t="b">
        <v>0</v>
      </c>
      <c r="AM1144" s="89">
        <v>45114.774872685186</v>
      </c>
      <c r="AN1144" s="86"/>
      <c r="AO1144" s="86"/>
      <c r="AP1144" s="86"/>
      <c r="AQ1144" s="86"/>
      <c r="AR1144" s="86"/>
      <c r="AS1144" s="86"/>
      <c r="AT1144" s="86"/>
      <c r="AU1144" s="86"/>
      <c r="AV1144" s="86"/>
      <c r="AW1144" s="86"/>
      <c r="AX1144" s="86" t="b">
        <v>0</v>
      </c>
      <c r="AY1144" s="86"/>
      <c r="AZ1144" s="86"/>
      <c r="BA1144" s="86" t="b">
        <v>0</v>
      </c>
      <c r="BB1144" s="86" t="b">
        <v>1</v>
      </c>
      <c r="BC1144" s="86" t="b">
        <v>1</v>
      </c>
      <c r="BD1144" s="86" t="b">
        <v>1</v>
      </c>
      <c r="BE1144" s="86" t="b">
        <v>0</v>
      </c>
      <c r="BF1144" s="86" t="b">
        <v>0</v>
      </c>
      <c r="BG1144" s="86" t="b">
        <v>0</v>
      </c>
      <c r="BH1144" s="86"/>
      <c r="BI1144" s="86"/>
      <c r="BJ1144" s="86" t="s">
        <v>29134</v>
      </c>
      <c r="BK1144" s="86" t="b">
        <v>0</v>
      </c>
      <c r="BL1144" s="86"/>
      <c r="BM1144" s="86" t="s">
        <v>66</v>
      </c>
      <c r="BN1144" s="86" t="s">
        <v>29136</v>
      </c>
      <c r="BO1144" s="96" t="str">
        <f>HYPERLINK("https://twitter.com/marielebla84671")</f>
        <v>https://twitter.com/marielebla84671</v>
      </c>
      <c r="BP1144" s="2"/>
    </row>
    <row r="1145" spans="1:68" x14ac:dyDescent="0.25">
      <c r="A1145" s="63" t="s">
        <v>1195</v>
      </c>
      <c r="B1145" s="64"/>
      <c r="C1145" s="64"/>
      <c r="D1145" s="65"/>
      <c r="E1145" s="67"/>
      <c r="F1145" s="111" t="str">
        <f>HYPERLINK("https://pbs.twimg.com/profile_images/701770877063581696/Lo4JwQt6_normal.jpg")</f>
        <v>https://pbs.twimg.com/profile_images/701770877063581696/Lo4JwQt6_normal.jpg</v>
      </c>
      <c r="G1145" s="64"/>
      <c r="H1145" s="68"/>
      <c r="I1145" s="69"/>
      <c r="J1145" s="69"/>
      <c r="K1145" s="68" t="s">
        <v>30278</v>
      </c>
      <c r="L1145" s="72"/>
      <c r="M1145" s="73"/>
      <c r="N1145" s="73"/>
      <c r="O1145" s="74"/>
      <c r="P1145" s="75"/>
      <c r="Q1145" s="75"/>
      <c r="R1145" s="102"/>
      <c r="S1145" s="102"/>
      <c r="T1145" s="102"/>
      <c r="U1145" s="102"/>
      <c r="V1145" s="48"/>
      <c r="W1145" s="48"/>
      <c r="X1145" s="48"/>
      <c r="Y1145" s="48"/>
      <c r="Z1145" s="47"/>
      <c r="AA1145" s="70">
        <v>1145</v>
      </c>
      <c r="AB1145" s="70"/>
      <c r="AC1145" s="71"/>
      <c r="AD1145" s="86" t="s">
        <v>24746</v>
      </c>
      <c r="AE1145" s="94" t="s">
        <v>25679</v>
      </c>
      <c r="AF1145" s="86">
        <v>1200</v>
      </c>
      <c r="AG1145" s="86">
        <v>689</v>
      </c>
      <c r="AH1145" s="86">
        <v>4320</v>
      </c>
      <c r="AI1145" s="86">
        <v>15</v>
      </c>
      <c r="AJ1145" s="86">
        <v>12</v>
      </c>
      <c r="AK1145" s="86">
        <v>278</v>
      </c>
      <c r="AL1145" s="86" t="b">
        <v>0</v>
      </c>
      <c r="AM1145" s="89">
        <v>40207.771620370368</v>
      </c>
      <c r="AN1145" s="86" t="s">
        <v>15246</v>
      </c>
      <c r="AO1145" s="86" t="s">
        <v>27465</v>
      </c>
      <c r="AP1145" s="96" t="str">
        <f>HYPERLINK("http://t.co/dajrymbAOK")</f>
        <v>http://t.co/dajrymbAOK</v>
      </c>
      <c r="AQ1145" s="96" t="str">
        <f>HYPERLINK("http://www.abravidro.org.br")</f>
        <v>http://www.abravidro.org.br</v>
      </c>
      <c r="AR1145" s="86" t="s">
        <v>28662</v>
      </c>
      <c r="AS1145" s="86"/>
      <c r="AT1145" s="86"/>
      <c r="AU1145" s="86"/>
      <c r="AV1145" s="86"/>
      <c r="AW1145" s="96" t="str">
        <f>HYPERLINK("http://t.co/dajrymbAOK")</f>
        <v>http://t.co/dajrymbAOK</v>
      </c>
      <c r="AX1145" s="86" t="b">
        <v>0</v>
      </c>
      <c r="AY1145" s="86"/>
      <c r="AZ1145" s="86"/>
      <c r="BA1145" s="86" t="b">
        <v>0</v>
      </c>
      <c r="BB1145" s="86" t="b">
        <v>1</v>
      </c>
      <c r="BC1145" s="86" t="b">
        <v>0</v>
      </c>
      <c r="BD1145" s="86" t="b">
        <v>0</v>
      </c>
      <c r="BE1145" s="86" t="b">
        <v>0</v>
      </c>
      <c r="BF1145" s="86" t="b">
        <v>0</v>
      </c>
      <c r="BG1145" s="86" t="b">
        <v>0</v>
      </c>
      <c r="BH1145" s="96" t="str">
        <f>HYPERLINK("https://pbs.twimg.com/profile_banners/109630209/1456152078")</f>
        <v>https://pbs.twimg.com/profile_banners/109630209/1456152078</v>
      </c>
      <c r="BI1145" s="86"/>
      <c r="BJ1145" s="86" t="s">
        <v>29134</v>
      </c>
      <c r="BK1145" s="86" t="b">
        <v>0</v>
      </c>
      <c r="BL1145" s="86"/>
      <c r="BM1145" s="86" t="s">
        <v>66</v>
      </c>
      <c r="BN1145" s="86" t="s">
        <v>29136</v>
      </c>
      <c r="BO1145" s="96" t="str">
        <f>HYPERLINK("https://twitter.com/abravidro")</f>
        <v>https://twitter.com/abravidro</v>
      </c>
      <c r="BP1145" s="2"/>
    </row>
    <row r="1146" spans="1:68" x14ac:dyDescent="0.25">
      <c r="A1146" s="63" t="s">
        <v>1196</v>
      </c>
      <c r="B1146" s="64"/>
      <c r="C1146" s="64"/>
      <c r="D1146" s="65"/>
      <c r="E1146" s="67"/>
      <c r="F1146" s="111" t="str">
        <f>HYPERLINK("https://pbs.twimg.com/profile_images/1683180050928091136/jeh8VQ26_normal.jpg")</f>
        <v>https://pbs.twimg.com/profile_images/1683180050928091136/jeh8VQ26_normal.jpg</v>
      </c>
      <c r="G1146" s="64"/>
      <c r="H1146" s="68"/>
      <c r="I1146" s="69"/>
      <c r="J1146" s="69"/>
      <c r="K1146" s="68" t="s">
        <v>30279</v>
      </c>
      <c r="L1146" s="72"/>
      <c r="M1146" s="73"/>
      <c r="N1146" s="73"/>
      <c r="O1146" s="74"/>
      <c r="P1146" s="75"/>
      <c r="Q1146" s="75"/>
      <c r="R1146" s="102"/>
      <c r="S1146" s="102"/>
      <c r="T1146" s="102"/>
      <c r="U1146" s="102"/>
      <c r="V1146" s="48"/>
      <c r="W1146" s="48"/>
      <c r="X1146" s="48"/>
      <c r="Y1146" s="48"/>
      <c r="Z1146" s="47"/>
      <c r="AA1146" s="70">
        <v>1146</v>
      </c>
      <c r="AB1146" s="70"/>
      <c r="AC1146" s="71"/>
      <c r="AD1146" s="86" t="s">
        <v>24747</v>
      </c>
      <c r="AE1146" s="94" t="s">
        <v>23356</v>
      </c>
      <c r="AF1146" s="86">
        <v>2</v>
      </c>
      <c r="AG1146" s="86">
        <v>2</v>
      </c>
      <c r="AH1146" s="86">
        <v>22</v>
      </c>
      <c r="AI1146" s="86">
        <v>0</v>
      </c>
      <c r="AJ1146" s="86">
        <v>2</v>
      </c>
      <c r="AK1146" s="86">
        <v>1</v>
      </c>
      <c r="AL1146" s="86" t="b">
        <v>0</v>
      </c>
      <c r="AM1146" s="89">
        <v>45130.759363425925</v>
      </c>
      <c r="AN1146" s="86"/>
      <c r="AO1146" s="86" t="s">
        <v>27466</v>
      </c>
      <c r="AP1146" s="86"/>
      <c r="AQ1146" s="86"/>
      <c r="AR1146" s="86"/>
      <c r="AS1146" s="86"/>
      <c r="AT1146" s="86"/>
      <c r="AU1146" s="86"/>
      <c r="AV1146" s="86">
        <v>1.68348412168579E+18</v>
      </c>
      <c r="AW1146" s="86"/>
      <c r="AX1146" s="86" t="b">
        <v>0</v>
      </c>
      <c r="AY1146" s="86"/>
      <c r="AZ1146" s="86"/>
      <c r="BA1146" s="86" t="b">
        <v>0</v>
      </c>
      <c r="BB1146" s="86" t="b">
        <v>1</v>
      </c>
      <c r="BC1146" s="86" t="b">
        <v>1</v>
      </c>
      <c r="BD1146" s="86" t="b">
        <v>0</v>
      </c>
      <c r="BE1146" s="86" t="b">
        <v>0</v>
      </c>
      <c r="BF1146" s="86" t="b">
        <v>0</v>
      </c>
      <c r="BG1146" s="86" t="b">
        <v>0</v>
      </c>
      <c r="BH1146" s="96" t="str">
        <f>HYPERLINK("https://pbs.twimg.com/profile_banners/1683178421117939712/1690377154")</f>
        <v>https://pbs.twimg.com/profile_banners/1683178421117939712/1690377154</v>
      </c>
      <c r="BI1146" s="86"/>
      <c r="BJ1146" s="86" t="s">
        <v>29134</v>
      </c>
      <c r="BK1146" s="86" t="b">
        <v>0</v>
      </c>
      <c r="BL1146" s="86"/>
      <c r="BM1146" s="86" t="s">
        <v>66</v>
      </c>
      <c r="BN1146" s="86" t="s">
        <v>29136</v>
      </c>
      <c r="BO1146" s="96" t="str">
        <f>HYPERLINK("https://twitter.com/ocaminhooposto")</f>
        <v>https://twitter.com/ocaminhooposto</v>
      </c>
      <c r="BP1146" s="2"/>
    </row>
    <row r="1147" spans="1:68" x14ac:dyDescent="0.25">
      <c r="A1147" s="63" t="s">
        <v>1197</v>
      </c>
      <c r="B1147" s="64"/>
      <c r="C1147" s="64"/>
      <c r="D1147" s="65"/>
      <c r="E1147" s="67"/>
      <c r="F1147" s="111" t="str">
        <f>HYPERLINK("https://pbs.twimg.com/profile_images/1625471902868201472/AsfQ-e4k_normal.jpg")</f>
        <v>https://pbs.twimg.com/profile_images/1625471902868201472/AsfQ-e4k_normal.jpg</v>
      </c>
      <c r="G1147" s="64"/>
      <c r="H1147" s="68"/>
      <c r="I1147" s="69"/>
      <c r="J1147" s="69"/>
      <c r="K1147" s="68" t="s">
        <v>30280</v>
      </c>
      <c r="L1147" s="72"/>
      <c r="M1147" s="73"/>
      <c r="N1147" s="73"/>
      <c r="O1147" s="74"/>
      <c r="P1147" s="75"/>
      <c r="Q1147" s="75"/>
      <c r="R1147" s="102"/>
      <c r="S1147" s="102"/>
      <c r="T1147" s="102"/>
      <c r="U1147" s="102"/>
      <c r="V1147" s="48"/>
      <c r="W1147" s="48"/>
      <c r="X1147" s="48"/>
      <c r="Y1147" s="48"/>
      <c r="Z1147" s="47"/>
      <c r="AA1147" s="70">
        <v>1147</v>
      </c>
      <c r="AB1147" s="70"/>
      <c r="AC1147" s="71"/>
      <c r="AD1147" s="86" t="s">
        <v>24748</v>
      </c>
      <c r="AE1147" s="94" t="s">
        <v>25680</v>
      </c>
      <c r="AF1147" s="86">
        <v>198</v>
      </c>
      <c r="AG1147" s="86">
        <v>438</v>
      </c>
      <c r="AH1147" s="86">
        <v>9546</v>
      </c>
      <c r="AI1147" s="86">
        <v>1</v>
      </c>
      <c r="AJ1147" s="86">
        <v>8321</v>
      </c>
      <c r="AK1147" s="86">
        <v>335</v>
      </c>
      <c r="AL1147" s="86" t="b">
        <v>0</v>
      </c>
      <c r="AM1147" s="89">
        <v>41366.717210648145</v>
      </c>
      <c r="AN1147" s="86" t="s">
        <v>25992</v>
      </c>
      <c r="AO1147" s="86" t="s">
        <v>27467</v>
      </c>
      <c r="AP1147" s="96" t="str">
        <f>HYPERLINK("https://t.co/0PxQq70w6R")</f>
        <v>https://t.co/0PxQq70w6R</v>
      </c>
      <c r="AQ1147" s="96" t="str">
        <f>HYPERLINK("https://cauanreis.files.wordpress.com/2023/06/img-20230622-wa0000.jpg?w=724")</f>
        <v>https://cauanreis.files.wordpress.com/2023/06/img-20230622-wa0000.jpg?w=724</v>
      </c>
      <c r="AR1147" s="86" t="s">
        <v>28663</v>
      </c>
      <c r="AS1147" s="86"/>
      <c r="AT1147" s="86"/>
      <c r="AU1147" s="86"/>
      <c r="AV1147" s="86">
        <v>1.67264491554785E+18</v>
      </c>
      <c r="AW1147" s="96" t="str">
        <f>HYPERLINK("https://t.co/0PxQq70w6R")</f>
        <v>https://t.co/0PxQq70w6R</v>
      </c>
      <c r="AX1147" s="86" t="b">
        <v>0</v>
      </c>
      <c r="AY1147" s="86"/>
      <c r="AZ1147" s="86"/>
      <c r="BA1147" s="86" t="b">
        <v>1</v>
      </c>
      <c r="BB1147" s="86" t="b">
        <v>0</v>
      </c>
      <c r="BC1147" s="86" t="b">
        <v>0</v>
      </c>
      <c r="BD1147" s="86" t="b">
        <v>0</v>
      </c>
      <c r="BE1147" s="86" t="b">
        <v>1</v>
      </c>
      <c r="BF1147" s="86" t="b">
        <v>0</v>
      </c>
      <c r="BG1147" s="86" t="b">
        <v>0</v>
      </c>
      <c r="BH1147" s="96" t="str">
        <f>HYPERLINK("https://pbs.twimg.com/profile_banners/1322899274/1619039995")</f>
        <v>https://pbs.twimg.com/profile_banners/1322899274/1619039995</v>
      </c>
      <c r="BI1147" s="86"/>
      <c r="BJ1147" s="86" t="s">
        <v>29134</v>
      </c>
      <c r="BK1147" s="86" t="b">
        <v>0</v>
      </c>
      <c r="BL1147" s="86"/>
      <c r="BM1147" s="86" t="s">
        <v>66</v>
      </c>
      <c r="BN1147" s="86" t="s">
        <v>29136</v>
      </c>
      <c r="BO1147" s="96" t="str">
        <f>HYPERLINK("https://twitter.com/psicauan")</f>
        <v>https://twitter.com/psicauan</v>
      </c>
      <c r="BP1147" s="2"/>
    </row>
    <row r="1148" spans="1:68" x14ac:dyDescent="0.25">
      <c r="A1148" s="63" t="s">
        <v>1198</v>
      </c>
      <c r="B1148" s="64"/>
      <c r="C1148" s="64"/>
      <c r="D1148" s="65"/>
      <c r="E1148" s="67"/>
      <c r="F1148" s="111" t="str">
        <f>HYPERLINK("https://pbs.twimg.com/profile_images/1299001588493807622/x9wxtqnJ_normal.jpg")</f>
        <v>https://pbs.twimg.com/profile_images/1299001588493807622/x9wxtqnJ_normal.jpg</v>
      </c>
      <c r="G1148" s="64"/>
      <c r="H1148" s="68"/>
      <c r="I1148" s="69"/>
      <c r="J1148" s="69"/>
      <c r="K1148" s="68" t="s">
        <v>30281</v>
      </c>
      <c r="L1148" s="72"/>
      <c r="M1148" s="73"/>
      <c r="N1148" s="73"/>
      <c r="O1148" s="74"/>
      <c r="P1148" s="75"/>
      <c r="Q1148" s="75"/>
      <c r="R1148" s="102"/>
      <c r="S1148" s="102"/>
      <c r="T1148" s="102"/>
      <c r="U1148" s="102"/>
      <c r="V1148" s="48"/>
      <c r="W1148" s="48"/>
      <c r="X1148" s="48"/>
      <c r="Y1148" s="48"/>
      <c r="Z1148" s="47"/>
      <c r="AA1148" s="70">
        <v>1148</v>
      </c>
      <c r="AB1148" s="70"/>
      <c r="AC1148" s="71"/>
      <c r="AD1148" s="86" t="s">
        <v>24749</v>
      </c>
      <c r="AE1148" s="94" t="s">
        <v>23357</v>
      </c>
      <c r="AF1148" s="86">
        <v>112</v>
      </c>
      <c r="AG1148" s="86">
        <v>36</v>
      </c>
      <c r="AH1148" s="86">
        <v>316</v>
      </c>
      <c r="AI1148" s="86">
        <v>1</v>
      </c>
      <c r="AJ1148" s="86">
        <v>526</v>
      </c>
      <c r="AK1148" s="86">
        <v>185</v>
      </c>
      <c r="AL1148" s="86" t="b">
        <v>0</v>
      </c>
      <c r="AM1148" s="89">
        <v>43520.925983796296</v>
      </c>
      <c r="AN1148" s="86" t="s">
        <v>15288</v>
      </c>
      <c r="AO1148" s="86" t="s">
        <v>27468</v>
      </c>
      <c r="AP1148" s="96" t="str">
        <f>HYPERLINK("https://t.co/qjX0Khtt6c")</f>
        <v>https://t.co/qjX0Khtt6c</v>
      </c>
      <c r="AQ1148" s="96" t="str">
        <f>HYPERLINK("https://youtube.com/@novo30santos")</f>
        <v>https://youtube.com/@novo30santos</v>
      </c>
      <c r="AR1148" s="86" t="s">
        <v>28664</v>
      </c>
      <c r="AS1148" s="86"/>
      <c r="AT1148" s="86"/>
      <c r="AU1148" s="86"/>
      <c r="AV1148" s="86">
        <v>1.7056047789762501E+18</v>
      </c>
      <c r="AW1148" s="96" t="str">
        <f>HYPERLINK("https://t.co/qjX0Khtt6c")</f>
        <v>https://t.co/qjX0Khtt6c</v>
      </c>
      <c r="AX1148" s="86" t="b">
        <v>0</v>
      </c>
      <c r="AY1148" s="86"/>
      <c r="AZ1148" s="86"/>
      <c r="BA1148" s="86" t="b">
        <v>0</v>
      </c>
      <c r="BB1148" s="86" t="b">
        <v>1</v>
      </c>
      <c r="BC1148" s="86" t="b">
        <v>0</v>
      </c>
      <c r="BD1148" s="86" t="b">
        <v>0</v>
      </c>
      <c r="BE1148" s="86" t="b">
        <v>0</v>
      </c>
      <c r="BF1148" s="86" t="b">
        <v>0</v>
      </c>
      <c r="BG1148" s="86" t="b">
        <v>0</v>
      </c>
      <c r="BH1148" s="96" t="str">
        <f>HYPERLINK("https://pbs.twimg.com/profile_banners/1099794452208644096/1685619622")</f>
        <v>https://pbs.twimg.com/profile_banners/1099794452208644096/1685619622</v>
      </c>
      <c r="BI1148" s="86"/>
      <c r="BJ1148" s="86" t="s">
        <v>29134</v>
      </c>
      <c r="BK1148" s="86" t="b">
        <v>0</v>
      </c>
      <c r="BL1148" s="86"/>
      <c r="BM1148" s="86" t="s">
        <v>66</v>
      </c>
      <c r="BN1148" s="86" t="s">
        <v>29136</v>
      </c>
      <c r="BO1148" s="96" t="str">
        <f>HYPERLINK("https://twitter.com/novo30santos")</f>
        <v>https://twitter.com/novo30santos</v>
      </c>
      <c r="BP1148" s="2"/>
    </row>
    <row r="1149" spans="1:68" x14ac:dyDescent="0.25">
      <c r="A1149" s="63" t="s">
        <v>1199</v>
      </c>
      <c r="B1149" s="64"/>
      <c r="C1149" s="64"/>
      <c r="D1149" s="65"/>
      <c r="E1149" s="67"/>
      <c r="F1149" s="111" t="str">
        <f>HYPERLINK("https://pbs.twimg.com/profile_images/1587021482047184896/4mV-7N5e_normal.jpg")</f>
        <v>https://pbs.twimg.com/profile_images/1587021482047184896/4mV-7N5e_normal.jpg</v>
      </c>
      <c r="G1149" s="64"/>
      <c r="H1149" s="68"/>
      <c r="I1149" s="69"/>
      <c r="J1149" s="69"/>
      <c r="K1149" s="68" t="s">
        <v>30282</v>
      </c>
      <c r="L1149" s="72"/>
      <c r="M1149" s="73"/>
      <c r="N1149" s="73"/>
      <c r="O1149" s="74"/>
      <c r="P1149" s="75"/>
      <c r="Q1149" s="75"/>
      <c r="R1149" s="102"/>
      <c r="S1149" s="102"/>
      <c r="T1149" s="102"/>
      <c r="U1149" s="102"/>
      <c r="V1149" s="48"/>
      <c r="W1149" s="48"/>
      <c r="X1149" s="48"/>
      <c r="Y1149" s="48"/>
      <c r="Z1149" s="47"/>
      <c r="AA1149" s="70">
        <v>1149</v>
      </c>
      <c r="AB1149" s="70"/>
      <c r="AC1149" s="71"/>
      <c r="AD1149" s="86" t="s">
        <v>24750</v>
      </c>
      <c r="AE1149" s="94" t="s">
        <v>25681</v>
      </c>
      <c r="AF1149" s="86">
        <v>2785</v>
      </c>
      <c r="AG1149" s="86">
        <v>3957</v>
      </c>
      <c r="AH1149" s="86">
        <v>876</v>
      </c>
      <c r="AI1149" s="86">
        <v>1</v>
      </c>
      <c r="AJ1149" s="86">
        <v>659</v>
      </c>
      <c r="AK1149" s="86">
        <v>92</v>
      </c>
      <c r="AL1149" s="86" t="b">
        <v>0</v>
      </c>
      <c r="AM1149" s="89">
        <v>41746.493750000001</v>
      </c>
      <c r="AN1149" s="86" t="s">
        <v>26278</v>
      </c>
      <c r="AO1149" s="86" t="s">
        <v>27469</v>
      </c>
      <c r="AP1149" s="96" t="str">
        <f>HYPERLINK("https://t.co/xL6gNQGtzt")</f>
        <v>https://t.co/xL6gNQGtzt</v>
      </c>
      <c r="AQ1149" s="96" t="str">
        <f>HYPERLINK("https://linktr.ee/emilianobsantos")</f>
        <v>https://linktr.ee/emilianobsantos</v>
      </c>
      <c r="AR1149" s="86" t="s">
        <v>28665</v>
      </c>
      <c r="AS1149" s="86"/>
      <c r="AT1149" s="86"/>
      <c r="AU1149" s="86"/>
      <c r="AV1149" s="86"/>
      <c r="AW1149" s="96" t="str">
        <f>HYPERLINK("https://t.co/xL6gNQGtzt")</f>
        <v>https://t.co/xL6gNQGtzt</v>
      </c>
      <c r="AX1149" s="86" t="b">
        <v>0</v>
      </c>
      <c r="AY1149" s="86"/>
      <c r="AZ1149" s="86"/>
      <c r="BA1149" s="86" t="b">
        <v>0</v>
      </c>
      <c r="BB1149" s="86" t="b">
        <v>1</v>
      </c>
      <c r="BC1149" s="86" t="b">
        <v>1</v>
      </c>
      <c r="BD1149" s="86" t="b">
        <v>0</v>
      </c>
      <c r="BE1149" s="86" t="b">
        <v>1</v>
      </c>
      <c r="BF1149" s="86" t="b">
        <v>0</v>
      </c>
      <c r="BG1149" s="86" t="b">
        <v>0</v>
      </c>
      <c r="BH1149" s="96" t="str">
        <f>HYPERLINK("https://pbs.twimg.com/profile_banners/2449588698/1615032123")</f>
        <v>https://pbs.twimg.com/profile_banners/2449588698/1615032123</v>
      </c>
      <c r="BI1149" s="86"/>
      <c r="BJ1149" s="86" t="s">
        <v>29134</v>
      </c>
      <c r="BK1149" s="86" t="b">
        <v>0</v>
      </c>
      <c r="BL1149" s="86"/>
      <c r="BM1149" s="86" t="s">
        <v>66</v>
      </c>
      <c r="BN1149" s="86" t="s">
        <v>29136</v>
      </c>
      <c r="BO1149" s="96" t="str">
        <f>HYPERLINK("https://twitter.com/emilianobsantos")</f>
        <v>https://twitter.com/emilianobsantos</v>
      </c>
      <c r="BP1149" s="2"/>
    </row>
    <row r="1150" spans="1:68" x14ac:dyDescent="0.25">
      <c r="A1150" s="63" t="s">
        <v>1200</v>
      </c>
      <c r="B1150" s="64"/>
      <c r="C1150" s="64"/>
      <c r="D1150" s="65"/>
      <c r="E1150" s="67"/>
      <c r="F1150" s="111" t="str">
        <f>HYPERLINK("https://pbs.twimg.com/profile_images/1042040028766056448/HJChtmN1_normal.jpg")</f>
        <v>https://pbs.twimg.com/profile_images/1042040028766056448/HJChtmN1_normal.jpg</v>
      </c>
      <c r="G1150" s="64"/>
      <c r="H1150" s="68"/>
      <c r="I1150" s="69"/>
      <c r="J1150" s="69"/>
      <c r="K1150" s="68" t="s">
        <v>30283</v>
      </c>
      <c r="L1150" s="72"/>
      <c r="M1150" s="73"/>
      <c r="N1150" s="73"/>
      <c r="O1150" s="74"/>
      <c r="P1150" s="75"/>
      <c r="Q1150" s="75"/>
      <c r="R1150" s="102"/>
      <c r="S1150" s="102"/>
      <c r="T1150" s="102"/>
      <c r="U1150" s="102"/>
      <c r="V1150" s="48"/>
      <c r="W1150" s="48"/>
      <c r="X1150" s="48"/>
      <c r="Y1150" s="48"/>
      <c r="Z1150" s="47"/>
      <c r="AA1150" s="70">
        <v>1150</v>
      </c>
      <c r="AB1150" s="70"/>
      <c r="AC1150" s="71"/>
      <c r="AD1150" s="86" t="s">
        <v>24751</v>
      </c>
      <c r="AE1150" s="94" t="s">
        <v>23358</v>
      </c>
      <c r="AF1150" s="86">
        <v>354</v>
      </c>
      <c r="AG1150" s="86">
        <v>4314</v>
      </c>
      <c r="AH1150" s="86">
        <v>134</v>
      </c>
      <c r="AI1150" s="86">
        <v>1</v>
      </c>
      <c r="AJ1150" s="86">
        <v>20</v>
      </c>
      <c r="AK1150" s="86">
        <v>51</v>
      </c>
      <c r="AL1150" s="86" t="b">
        <v>0</v>
      </c>
      <c r="AM1150" s="89">
        <v>43361.551377314812</v>
      </c>
      <c r="AN1150" s="86" t="s">
        <v>26279</v>
      </c>
      <c r="AO1150" s="86" t="s">
        <v>27470</v>
      </c>
      <c r="AP1150" s="96" t="str">
        <f>HYPERLINK("https://t.co/a9ZqFgkUL1")</f>
        <v>https://t.co/a9ZqFgkUL1</v>
      </c>
      <c r="AQ1150" s="96" t="str">
        <f>HYPERLINK("http://www.odvix.com.br")</f>
        <v>http://www.odvix.com.br</v>
      </c>
      <c r="AR1150" s="86" t="s">
        <v>28666</v>
      </c>
      <c r="AS1150" s="86"/>
      <c r="AT1150" s="86"/>
      <c r="AU1150" s="86"/>
      <c r="AV1150" s="86"/>
      <c r="AW1150" s="96" t="str">
        <f>HYPERLINK("https://t.co/a9ZqFgkUL1")</f>
        <v>https://t.co/a9ZqFgkUL1</v>
      </c>
      <c r="AX1150" s="86" t="b">
        <v>0</v>
      </c>
      <c r="AY1150" s="86"/>
      <c r="AZ1150" s="86"/>
      <c r="BA1150" s="86" t="b">
        <v>0</v>
      </c>
      <c r="BB1150" s="86" t="b">
        <v>1</v>
      </c>
      <c r="BC1150" s="86" t="b">
        <v>1</v>
      </c>
      <c r="BD1150" s="86" t="b">
        <v>0</v>
      </c>
      <c r="BE1150" s="86" t="b">
        <v>0</v>
      </c>
      <c r="BF1150" s="86" t="b">
        <v>0</v>
      </c>
      <c r="BG1150" s="86" t="b">
        <v>0</v>
      </c>
      <c r="BH1150" s="96" t="str">
        <f>HYPERLINK("https://pbs.twimg.com/profile_banners/1042039027141156865/1649626263")</f>
        <v>https://pbs.twimg.com/profile_banners/1042039027141156865/1649626263</v>
      </c>
      <c r="BI1150" s="86"/>
      <c r="BJ1150" s="86" t="s">
        <v>29134</v>
      </c>
      <c r="BK1150" s="86" t="b">
        <v>0</v>
      </c>
      <c r="BL1150" s="86"/>
      <c r="BM1150" s="86" t="s">
        <v>66</v>
      </c>
      <c r="BN1150" s="86" t="s">
        <v>29136</v>
      </c>
      <c r="BO1150" s="96" t="str">
        <f>HYPERLINK("https://twitter.com/odvixo")</f>
        <v>https://twitter.com/odvixo</v>
      </c>
      <c r="BP1150" s="2"/>
    </row>
    <row r="1151" spans="1:68" x14ac:dyDescent="0.25">
      <c r="A1151" s="63" t="s">
        <v>1203</v>
      </c>
      <c r="B1151" s="64"/>
      <c r="C1151" s="64"/>
      <c r="D1151" s="65"/>
      <c r="E1151" s="67"/>
      <c r="F1151" s="111" t="str">
        <f>HYPERLINK("https://pbs.twimg.com/profile_images/1651224032656719876/FsdsRDCO_normal.png")</f>
        <v>https://pbs.twimg.com/profile_images/1651224032656719876/FsdsRDCO_normal.png</v>
      </c>
      <c r="G1151" s="64"/>
      <c r="H1151" s="68"/>
      <c r="I1151" s="69"/>
      <c r="J1151" s="69"/>
      <c r="K1151" s="68" t="s">
        <v>30284</v>
      </c>
      <c r="L1151" s="72"/>
      <c r="M1151" s="73"/>
      <c r="N1151" s="73"/>
      <c r="O1151" s="74"/>
      <c r="P1151" s="75"/>
      <c r="Q1151" s="75"/>
      <c r="R1151" s="102"/>
      <c r="S1151" s="102"/>
      <c r="T1151" s="102"/>
      <c r="U1151" s="102"/>
      <c r="V1151" s="48"/>
      <c r="W1151" s="48"/>
      <c r="X1151" s="48"/>
      <c r="Y1151" s="48"/>
      <c r="Z1151" s="47"/>
      <c r="AA1151" s="70">
        <v>1151</v>
      </c>
      <c r="AB1151" s="70"/>
      <c r="AC1151" s="71"/>
      <c r="AD1151" s="86" t="s">
        <v>24752</v>
      </c>
      <c r="AE1151" s="94" t="s">
        <v>23360</v>
      </c>
      <c r="AF1151" s="86">
        <v>1</v>
      </c>
      <c r="AG1151" s="86">
        <v>0</v>
      </c>
      <c r="AH1151" s="86">
        <v>16</v>
      </c>
      <c r="AI1151" s="86">
        <v>0</v>
      </c>
      <c r="AJ1151" s="86">
        <v>0</v>
      </c>
      <c r="AK1151" s="86">
        <v>16</v>
      </c>
      <c r="AL1151" s="86" t="b">
        <v>0</v>
      </c>
      <c r="AM1151" s="89">
        <v>45042.581724537034</v>
      </c>
      <c r="AN1151" s="86"/>
      <c r="AO1151" s="86"/>
      <c r="AP1151" s="86"/>
      <c r="AQ1151" s="86"/>
      <c r="AR1151" s="86"/>
      <c r="AS1151" s="86"/>
      <c r="AT1151" s="86"/>
      <c r="AU1151" s="86"/>
      <c r="AV1151" s="86"/>
      <c r="AW1151" s="86"/>
      <c r="AX1151" s="86" t="b">
        <v>0</v>
      </c>
      <c r="AY1151" s="86"/>
      <c r="AZ1151" s="86"/>
      <c r="BA1151" s="86" t="b">
        <v>0</v>
      </c>
      <c r="BB1151" s="86" t="b">
        <v>1</v>
      </c>
      <c r="BC1151" s="86" t="b">
        <v>1</v>
      </c>
      <c r="BD1151" s="86" t="b">
        <v>0</v>
      </c>
      <c r="BE1151" s="86" t="b">
        <v>0</v>
      </c>
      <c r="BF1151" s="86" t="b">
        <v>0</v>
      </c>
      <c r="BG1151" s="86" t="b">
        <v>0</v>
      </c>
      <c r="BH1151" s="86"/>
      <c r="BI1151" s="86"/>
      <c r="BJ1151" s="86" t="s">
        <v>29134</v>
      </c>
      <c r="BK1151" s="86" t="b">
        <v>0</v>
      </c>
      <c r="BL1151" s="86"/>
      <c r="BM1151" s="86" t="s">
        <v>66</v>
      </c>
      <c r="BN1151" s="86" t="s">
        <v>29136</v>
      </c>
      <c r="BO1151" s="96" t="str">
        <f>HYPERLINK("https://twitter.com/chaveiroponte")</f>
        <v>https://twitter.com/chaveiroponte</v>
      </c>
      <c r="BP1151" s="2"/>
    </row>
    <row r="1152" spans="1:68" x14ac:dyDescent="0.25">
      <c r="A1152" s="63" t="s">
        <v>1204</v>
      </c>
      <c r="B1152" s="64"/>
      <c r="C1152" s="64"/>
      <c r="D1152" s="65"/>
      <c r="E1152" s="67"/>
      <c r="F1152" s="111" t="str">
        <f>HYPERLINK("https://pbs.twimg.com/profile_images/1689610652984250368/1jTJBUwz_normal.jpg")</f>
        <v>https://pbs.twimg.com/profile_images/1689610652984250368/1jTJBUwz_normal.jpg</v>
      </c>
      <c r="G1152" s="64"/>
      <c r="H1152" s="68"/>
      <c r="I1152" s="69"/>
      <c r="J1152" s="69"/>
      <c r="K1152" s="68" t="s">
        <v>30285</v>
      </c>
      <c r="L1152" s="72"/>
      <c r="M1152" s="73"/>
      <c r="N1152" s="73"/>
      <c r="O1152" s="74"/>
      <c r="P1152" s="75"/>
      <c r="Q1152" s="75"/>
      <c r="R1152" s="102"/>
      <c r="S1152" s="102"/>
      <c r="T1152" s="102"/>
      <c r="U1152" s="102"/>
      <c r="V1152" s="48"/>
      <c r="W1152" s="48"/>
      <c r="X1152" s="48"/>
      <c r="Y1152" s="48"/>
      <c r="Z1152" s="47"/>
      <c r="AA1152" s="70">
        <v>1152</v>
      </c>
      <c r="AB1152" s="70"/>
      <c r="AC1152" s="71"/>
      <c r="AD1152" s="86" t="s">
        <v>24753</v>
      </c>
      <c r="AE1152" s="94" t="s">
        <v>25682</v>
      </c>
      <c r="AF1152" s="86">
        <v>324851</v>
      </c>
      <c r="AG1152" s="86">
        <v>3526</v>
      </c>
      <c r="AH1152" s="86">
        <v>83152</v>
      </c>
      <c r="AI1152" s="86">
        <v>821</v>
      </c>
      <c r="AJ1152" s="86">
        <v>35525</v>
      </c>
      <c r="AK1152" s="86">
        <v>1413</v>
      </c>
      <c r="AL1152" s="86" t="b">
        <v>0</v>
      </c>
      <c r="AM1152" s="89">
        <v>41988.799305555556</v>
      </c>
      <c r="AN1152" s="86" t="s">
        <v>26280</v>
      </c>
      <c r="AO1152" s="86" t="s">
        <v>27471</v>
      </c>
      <c r="AP1152" s="96" t="str">
        <f>HYPERLINK("https://t.co/WnGhUR90kg")</f>
        <v>https://t.co/WnGhUR90kg</v>
      </c>
      <c r="AQ1152" s="96" t="str">
        <f>HYPERLINK("https://jovempan.com.br/")</f>
        <v>https://jovempan.com.br/</v>
      </c>
      <c r="AR1152" s="86" t="s">
        <v>28163</v>
      </c>
      <c r="AS1152" s="86"/>
      <c r="AT1152" s="86"/>
      <c r="AU1152" s="86"/>
      <c r="AV1152" s="86">
        <v>1.70627352249698E+18</v>
      </c>
      <c r="AW1152" s="96" t="str">
        <f>HYPERLINK("https://t.co/WnGhUR90kg")</f>
        <v>https://t.co/WnGhUR90kg</v>
      </c>
      <c r="AX1152" s="86" t="b">
        <v>1</v>
      </c>
      <c r="AY1152" s="86"/>
      <c r="AZ1152" s="86"/>
      <c r="BA1152" s="86" t="b">
        <v>0</v>
      </c>
      <c r="BB1152" s="86" t="b">
        <v>0</v>
      </c>
      <c r="BC1152" s="86" t="b">
        <v>0</v>
      </c>
      <c r="BD1152" s="86" t="b">
        <v>0</v>
      </c>
      <c r="BE1152" s="86" t="b">
        <v>1</v>
      </c>
      <c r="BF1152" s="86" t="b">
        <v>0</v>
      </c>
      <c r="BG1152" s="86" t="b">
        <v>0</v>
      </c>
      <c r="BH1152" s="96" t="str">
        <f>HYPERLINK("https://pbs.twimg.com/profile_banners/2923397967/1678894812")</f>
        <v>https://pbs.twimg.com/profile_banners/2923397967/1678894812</v>
      </c>
      <c r="BI1152" s="86"/>
      <c r="BJ1152" s="86" t="s">
        <v>29134</v>
      </c>
      <c r="BK1152" s="86" t="b">
        <v>0</v>
      </c>
      <c r="BL1152" s="86"/>
      <c r="BM1152" s="86" t="s">
        <v>66</v>
      </c>
      <c r="BN1152" s="86" t="s">
        <v>29136</v>
      </c>
      <c r="BO1152" s="96" t="str">
        <f>HYPERLINK("https://twitter.com/claudioedantas")</f>
        <v>https://twitter.com/claudioedantas</v>
      </c>
      <c r="BP1152" s="2"/>
    </row>
    <row r="1153" spans="1:68" x14ac:dyDescent="0.25">
      <c r="A1153" s="63" t="s">
        <v>1205</v>
      </c>
      <c r="B1153" s="64"/>
      <c r="C1153" s="64"/>
      <c r="D1153" s="65"/>
      <c r="E1153" s="67"/>
      <c r="F1153" s="111" t="str">
        <f>HYPERLINK("https://pbs.twimg.com/profile_images/1398426425909301250/pB8-CmlB_normal.jpg")</f>
        <v>https://pbs.twimg.com/profile_images/1398426425909301250/pB8-CmlB_normal.jpg</v>
      </c>
      <c r="G1153" s="64"/>
      <c r="H1153" s="68"/>
      <c r="I1153" s="69"/>
      <c r="J1153" s="69"/>
      <c r="K1153" s="68" t="s">
        <v>30286</v>
      </c>
      <c r="L1153" s="72"/>
      <c r="M1153" s="73"/>
      <c r="N1153" s="73"/>
      <c r="O1153" s="74"/>
      <c r="P1153" s="75"/>
      <c r="Q1153" s="75"/>
      <c r="R1153" s="102"/>
      <c r="S1153" s="102"/>
      <c r="T1153" s="102"/>
      <c r="U1153" s="102"/>
      <c r="V1153" s="48"/>
      <c r="W1153" s="48"/>
      <c r="X1153" s="48"/>
      <c r="Y1153" s="48"/>
      <c r="Z1153" s="47"/>
      <c r="AA1153" s="70">
        <v>1153</v>
      </c>
      <c r="AB1153" s="70"/>
      <c r="AC1153" s="71"/>
      <c r="AD1153" s="86" t="s">
        <v>24754</v>
      </c>
      <c r="AE1153" s="94" t="s">
        <v>25683</v>
      </c>
      <c r="AF1153" s="86">
        <v>214</v>
      </c>
      <c r="AG1153" s="86">
        <v>164</v>
      </c>
      <c r="AH1153" s="86">
        <v>2324</v>
      </c>
      <c r="AI1153" s="86">
        <v>4</v>
      </c>
      <c r="AJ1153" s="86">
        <v>37</v>
      </c>
      <c r="AK1153" s="86">
        <v>1487</v>
      </c>
      <c r="AL1153" s="86" t="b">
        <v>0</v>
      </c>
      <c r="AM1153" s="89">
        <v>40375.110648148147</v>
      </c>
      <c r="AN1153" s="86" t="s">
        <v>25889</v>
      </c>
      <c r="AO1153" s="86" t="s">
        <v>27472</v>
      </c>
      <c r="AP1153" s="96" t="str">
        <f>HYPERLINK("https://t.co/zCXggudG44")</f>
        <v>https://t.co/zCXggudG44</v>
      </c>
      <c r="AQ1153" s="96" t="str">
        <f>HYPERLINK("http://www.danifontenelle.com.br")</f>
        <v>http://www.danifontenelle.com.br</v>
      </c>
      <c r="AR1153" s="86" t="s">
        <v>28667</v>
      </c>
      <c r="AS1153" s="86"/>
      <c r="AT1153" s="86"/>
      <c r="AU1153" s="86"/>
      <c r="AV1153" s="86"/>
      <c r="AW1153" s="96" t="str">
        <f>HYPERLINK("https://t.co/zCXggudG44")</f>
        <v>https://t.co/zCXggudG44</v>
      </c>
      <c r="AX1153" s="86" t="b">
        <v>0</v>
      </c>
      <c r="AY1153" s="86"/>
      <c r="AZ1153" s="86"/>
      <c r="BA1153" s="86" t="b">
        <v>0</v>
      </c>
      <c r="BB1153" s="86" t="b">
        <v>1</v>
      </c>
      <c r="BC1153" s="86" t="b">
        <v>0</v>
      </c>
      <c r="BD1153" s="86" t="b">
        <v>0</v>
      </c>
      <c r="BE1153" s="86" t="b">
        <v>0</v>
      </c>
      <c r="BF1153" s="86" t="b">
        <v>0</v>
      </c>
      <c r="BG1153" s="86" t="b">
        <v>0</v>
      </c>
      <c r="BH1153" s="96" t="str">
        <f>HYPERLINK("https://pbs.twimg.com/profile_banners/167239509/1618405015")</f>
        <v>https://pbs.twimg.com/profile_banners/167239509/1618405015</v>
      </c>
      <c r="BI1153" s="86"/>
      <c r="BJ1153" s="86" t="s">
        <v>29134</v>
      </c>
      <c r="BK1153" s="86" t="b">
        <v>0</v>
      </c>
      <c r="BL1153" s="86"/>
      <c r="BM1153" s="86" t="s">
        <v>66</v>
      </c>
      <c r="BN1153" s="86" t="s">
        <v>29136</v>
      </c>
      <c r="BO1153" s="96" t="str">
        <f>HYPERLINK("https://twitter.com/d_fontenelle")</f>
        <v>https://twitter.com/d_fontenelle</v>
      </c>
      <c r="BP1153" s="2"/>
    </row>
    <row r="1154" spans="1:68" x14ac:dyDescent="0.25">
      <c r="A1154" s="63" t="s">
        <v>1206</v>
      </c>
      <c r="B1154" s="64"/>
      <c r="C1154" s="64"/>
      <c r="D1154" s="65"/>
      <c r="E1154" s="67"/>
      <c r="F1154" s="111" t="str">
        <f>HYPERLINK("https://pbs.twimg.com/profile_images/1662252054151143426/C6h1D0Ev_normal.jpg")</f>
        <v>https://pbs.twimg.com/profile_images/1662252054151143426/C6h1D0Ev_normal.jpg</v>
      </c>
      <c r="G1154" s="64"/>
      <c r="H1154" s="68"/>
      <c r="I1154" s="69"/>
      <c r="J1154" s="69"/>
      <c r="K1154" s="68" t="s">
        <v>30287</v>
      </c>
      <c r="L1154" s="72"/>
      <c r="M1154" s="73"/>
      <c r="N1154" s="73"/>
      <c r="O1154" s="74"/>
      <c r="P1154" s="75"/>
      <c r="Q1154" s="75"/>
      <c r="R1154" s="102"/>
      <c r="S1154" s="102"/>
      <c r="T1154" s="102"/>
      <c r="U1154" s="102"/>
      <c r="V1154" s="48"/>
      <c r="W1154" s="48"/>
      <c r="X1154" s="48"/>
      <c r="Y1154" s="48"/>
      <c r="Z1154" s="47"/>
      <c r="AA1154" s="70">
        <v>1154</v>
      </c>
      <c r="AB1154" s="70"/>
      <c r="AC1154" s="71"/>
      <c r="AD1154" s="86" t="s">
        <v>24755</v>
      </c>
      <c r="AE1154" s="94" t="s">
        <v>23361</v>
      </c>
      <c r="AF1154" s="86">
        <v>1</v>
      </c>
      <c r="AG1154" s="86">
        <v>0</v>
      </c>
      <c r="AH1154" s="86">
        <v>260</v>
      </c>
      <c r="AI1154" s="86">
        <v>0</v>
      </c>
      <c r="AJ1154" s="86">
        <v>0</v>
      </c>
      <c r="AK1154" s="86">
        <v>0</v>
      </c>
      <c r="AL1154" s="86" t="b">
        <v>0</v>
      </c>
      <c r="AM1154" s="89">
        <v>45073.013078703705</v>
      </c>
      <c r="AN1154" s="86"/>
      <c r="AO1154" s="86" t="s">
        <v>27473</v>
      </c>
      <c r="AP1154" s="96" t="str">
        <f>HYPERLINK("https://t.co/gUd6AVKuIf")</f>
        <v>https://t.co/gUd6AVKuIf</v>
      </c>
      <c r="AQ1154" s="96" t="str">
        <f>HYPERLINK("https://carreiraprofissional.com/")</f>
        <v>https://carreiraprofissional.com/</v>
      </c>
      <c r="AR1154" s="86" t="s">
        <v>8511</v>
      </c>
      <c r="AS1154" s="86" t="s">
        <v>29006</v>
      </c>
      <c r="AT1154" s="86" t="s">
        <v>29022</v>
      </c>
      <c r="AU1154" s="86" t="s">
        <v>29106</v>
      </c>
      <c r="AV1154" s="86"/>
      <c r="AW1154" s="96" t="str">
        <f>HYPERLINK("https://t.co/gUd6AVKuIf")</f>
        <v>https://t.co/gUd6AVKuIf</v>
      </c>
      <c r="AX1154" s="86" t="b">
        <v>0</v>
      </c>
      <c r="AY1154" s="86"/>
      <c r="AZ1154" s="86"/>
      <c r="BA1154" s="86" t="b">
        <v>0</v>
      </c>
      <c r="BB1154" s="86" t="b">
        <v>1</v>
      </c>
      <c r="BC1154" s="86" t="b">
        <v>1</v>
      </c>
      <c r="BD1154" s="86" t="b">
        <v>0</v>
      </c>
      <c r="BE1154" s="86" t="b">
        <v>0</v>
      </c>
      <c r="BF1154" s="86" t="b">
        <v>0</v>
      </c>
      <c r="BG1154" s="86" t="b">
        <v>0</v>
      </c>
      <c r="BH1154" s="96" t="str">
        <f>HYPERLINK("https://pbs.twimg.com/profile_banners/1662251925557989377/1685147059")</f>
        <v>https://pbs.twimg.com/profile_banners/1662251925557989377/1685147059</v>
      </c>
      <c r="BI1154" s="86"/>
      <c r="BJ1154" s="86" t="s">
        <v>29134</v>
      </c>
      <c r="BK1154" s="86" t="b">
        <v>0</v>
      </c>
      <c r="BL1154" s="86"/>
      <c r="BM1154" s="86" t="s">
        <v>66</v>
      </c>
      <c r="BN1154" s="86" t="s">
        <v>29136</v>
      </c>
      <c r="BO1154" s="96" t="str">
        <f>HYPERLINK("https://twitter.com/carreiraprof_cp")</f>
        <v>https://twitter.com/carreiraprof_cp</v>
      </c>
      <c r="BP1154" s="2"/>
    </row>
    <row r="1155" spans="1:68" x14ac:dyDescent="0.25">
      <c r="A1155" s="63" t="s">
        <v>1207</v>
      </c>
      <c r="B1155" s="64"/>
      <c r="C1155" s="64"/>
      <c r="D1155" s="65"/>
      <c r="E1155" s="67"/>
      <c r="F1155" s="111" t="str">
        <f>HYPERLINK("https://pbs.twimg.com/profile_images/1514850362586501127/Z95mtV0R_normal.jpg")</f>
        <v>https://pbs.twimg.com/profile_images/1514850362586501127/Z95mtV0R_normal.jpg</v>
      </c>
      <c r="G1155" s="64"/>
      <c r="H1155" s="68"/>
      <c r="I1155" s="69"/>
      <c r="J1155" s="69"/>
      <c r="K1155" s="68" t="s">
        <v>30288</v>
      </c>
      <c r="L1155" s="72"/>
      <c r="M1155" s="73"/>
      <c r="N1155" s="73"/>
      <c r="O1155" s="74"/>
      <c r="P1155" s="75"/>
      <c r="Q1155" s="75"/>
      <c r="R1155" s="102"/>
      <c r="S1155" s="102"/>
      <c r="T1155" s="102"/>
      <c r="U1155" s="102"/>
      <c r="V1155" s="48"/>
      <c r="W1155" s="48"/>
      <c r="X1155" s="48"/>
      <c r="Y1155" s="48"/>
      <c r="Z1155" s="47"/>
      <c r="AA1155" s="70">
        <v>1155</v>
      </c>
      <c r="AB1155" s="70"/>
      <c r="AC1155" s="71"/>
      <c r="AD1155" s="86" t="s">
        <v>24756</v>
      </c>
      <c r="AE1155" s="94" t="s">
        <v>23362</v>
      </c>
      <c r="AF1155" s="86">
        <v>724</v>
      </c>
      <c r="AG1155" s="86">
        <v>988</v>
      </c>
      <c r="AH1155" s="86">
        <v>27920</v>
      </c>
      <c r="AI1155" s="86">
        <v>2</v>
      </c>
      <c r="AJ1155" s="86">
        <v>44731</v>
      </c>
      <c r="AK1155" s="86">
        <v>1299</v>
      </c>
      <c r="AL1155" s="86" t="b">
        <v>0</v>
      </c>
      <c r="AM1155" s="89">
        <v>44337.283541666664</v>
      </c>
      <c r="AN1155" s="86" t="s">
        <v>26281</v>
      </c>
      <c r="AO1155" s="86"/>
      <c r="AP1155" s="96" t="str">
        <f>HYPERLINK("https://t.co/5az7FfcKwX")</f>
        <v>https://t.co/5az7FfcKwX</v>
      </c>
      <c r="AQ1155" s="96" t="str">
        <f>HYPERLINK("http://instagran.com/wagner_gonpas")</f>
        <v>http://instagran.com/wagner_gonpas</v>
      </c>
      <c r="AR1155" s="86" t="s">
        <v>28668</v>
      </c>
      <c r="AS1155" s="86"/>
      <c r="AT1155" s="86"/>
      <c r="AU1155" s="86"/>
      <c r="AV1155" s="86"/>
      <c r="AW1155" s="96" t="str">
        <f>HYPERLINK("https://t.co/5az7FfcKwX")</f>
        <v>https://t.co/5az7FfcKwX</v>
      </c>
      <c r="AX1155" s="86" t="b">
        <v>0</v>
      </c>
      <c r="AY1155" s="86"/>
      <c r="AZ1155" s="86"/>
      <c r="BA1155" s="86" t="b">
        <v>0</v>
      </c>
      <c r="BB1155" s="86" t="b">
        <v>1</v>
      </c>
      <c r="BC1155" s="86" t="b">
        <v>1</v>
      </c>
      <c r="BD1155" s="86" t="b">
        <v>0</v>
      </c>
      <c r="BE1155" s="86" t="b">
        <v>1</v>
      </c>
      <c r="BF1155" s="86" t="b">
        <v>0</v>
      </c>
      <c r="BG1155" s="86" t="b">
        <v>0</v>
      </c>
      <c r="BH1155" s="96" t="str">
        <f>HYPERLINK("https://pbs.twimg.com/profile_banners/1395632427247230976/1648156998")</f>
        <v>https://pbs.twimg.com/profile_banners/1395632427247230976/1648156998</v>
      </c>
      <c r="BI1155" s="86"/>
      <c r="BJ1155" s="86" t="s">
        <v>29134</v>
      </c>
      <c r="BK1155" s="86" t="b">
        <v>0</v>
      </c>
      <c r="BL1155" s="86"/>
      <c r="BM1155" s="86" t="s">
        <v>66</v>
      </c>
      <c r="BN1155" s="86" t="s">
        <v>29136</v>
      </c>
      <c r="BO1155" s="96" t="str">
        <f>HYPERLINK("https://twitter.com/wagnerg05929100")</f>
        <v>https://twitter.com/wagnerg05929100</v>
      </c>
      <c r="BP1155" s="2"/>
    </row>
    <row r="1156" spans="1:68" x14ac:dyDescent="0.25">
      <c r="A1156" s="63" t="s">
        <v>1208</v>
      </c>
      <c r="B1156" s="64"/>
      <c r="C1156" s="64"/>
      <c r="D1156" s="65"/>
      <c r="E1156" s="67"/>
      <c r="F1156" s="111" t="str">
        <f>HYPERLINK("https://pbs.twimg.com/profile_images/1673519856203841538/L-R5z1wr_normal.jpg")</f>
        <v>https://pbs.twimg.com/profile_images/1673519856203841538/L-R5z1wr_normal.jpg</v>
      </c>
      <c r="G1156" s="64"/>
      <c r="H1156" s="68"/>
      <c r="I1156" s="69"/>
      <c r="J1156" s="69"/>
      <c r="K1156" s="68" t="s">
        <v>30289</v>
      </c>
      <c r="L1156" s="72"/>
      <c r="M1156" s="73"/>
      <c r="N1156" s="73"/>
      <c r="O1156" s="74"/>
      <c r="P1156" s="75"/>
      <c r="Q1156" s="75"/>
      <c r="R1156" s="102"/>
      <c r="S1156" s="102"/>
      <c r="T1156" s="102"/>
      <c r="U1156" s="102"/>
      <c r="V1156" s="48"/>
      <c r="W1156" s="48"/>
      <c r="X1156" s="48"/>
      <c r="Y1156" s="48"/>
      <c r="Z1156" s="47"/>
      <c r="AA1156" s="70">
        <v>1156</v>
      </c>
      <c r="AB1156" s="70"/>
      <c r="AC1156" s="71"/>
      <c r="AD1156" s="86" t="s">
        <v>24757</v>
      </c>
      <c r="AE1156" s="94" t="s">
        <v>25684</v>
      </c>
      <c r="AF1156" s="86">
        <v>143</v>
      </c>
      <c r="AG1156" s="86">
        <v>483</v>
      </c>
      <c r="AH1156" s="86">
        <v>16092</v>
      </c>
      <c r="AI1156" s="86">
        <v>1</v>
      </c>
      <c r="AJ1156" s="86">
        <v>6978</v>
      </c>
      <c r="AK1156" s="86">
        <v>1223</v>
      </c>
      <c r="AL1156" s="86" t="b">
        <v>0</v>
      </c>
      <c r="AM1156" s="89">
        <v>40251.922048611108</v>
      </c>
      <c r="AN1156" s="86" t="s">
        <v>26282</v>
      </c>
      <c r="AO1156" s="86" t="s">
        <v>27474</v>
      </c>
      <c r="AP1156" s="96" t="str">
        <f>HYPERLINK("https://t.co/piwr2ZmjWy")</f>
        <v>https://t.co/piwr2ZmjWy</v>
      </c>
      <c r="AQ1156" s="96" t="str">
        <f>HYPERLINK("https://linktr.ee/diogo_alt_tab")</f>
        <v>https://linktr.ee/diogo_alt_tab</v>
      </c>
      <c r="AR1156" s="86" t="s">
        <v>28669</v>
      </c>
      <c r="AS1156" s="86"/>
      <c r="AT1156" s="86"/>
      <c r="AU1156" s="86"/>
      <c r="AV1156" s="86">
        <v>1.2569677274928699E+18</v>
      </c>
      <c r="AW1156" s="96" t="str">
        <f>HYPERLINK("https://t.co/piwr2ZmjWy")</f>
        <v>https://t.co/piwr2ZmjWy</v>
      </c>
      <c r="AX1156" s="86" t="b">
        <v>0</v>
      </c>
      <c r="AY1156" s="86"/>
      <c r="AZ1156" s="86"/>
      <c r="BA1156" s="86" t="b">
        <v>1</v>
      </c>
      <c r="BB1156" s="86" t="b">
        <v>0</v>
      </c>
      <c r="BC1156" s="86" t="b">
        <v>0</v>
      </c>
      <c r="BD1156" s="86" t="b">
        <v>0</v>
      </c>
      <c r="BE1156" s="86" t="b">
        <v>1</v>
      </c>
      <c r="BF1156" s="86" t="b">
        <v>0</v>
      </c>
      <c r="BG1156" s="86" t="b">
        <v>0</v>
      </c>
      <c r="BH1156" s="96" t="str">
        <f>HYPERLINK("https://pbs.twimg.com/profile_banners/123069005/1687879981")</f>
        <v>https://pbs.twimg.com/profile_banners/123069005/1687879981</v>
      </c>
      <c r="BI1156" s="86"/>
      <c r="BJ1156" s="86" t="s">
        <v>29134</v>
      </c>
      <c r="BK1156" s="86" t="b">
        <v>0</v>
      </c>
      <c r="BL1156" s="86"/>
      <c r="BM1156" s="86" t="s">
        <v>66</v>
      </c>
      <c r="BN1156" s="86" t="s">
        <v>29136</v>
      </c>
      <c r="BO1156" s="96" t="str">
        <f>HYPERLINK("https://twitter.com/diogo_alt_tab")</f>
        <v>https://twitter.com/diogo_alt_tab</v>
      </c>
      <c r="BP1156" s="2"/>
    </row>
    <row r="1157" spans="1:68" x14ac:dyDescent="0.25">
      <c r="A1157" s="63" t="s">
        <v>1773</v>
      </c>
      <c r="B1157" s="64"/>
      <c r="C1157" s="64"/>
      <c r="D1157" s="65"/>
      <c r="E1157" s="67"/>
      <c r="F1157" s="111" t="str">
        <f>HYPERLINK("https://pbs.twimg.com/profile_images/1695758644598517762/-V-ZjRt0_normal.jpg")</f>
        <v>https://pbs.twimg.com/profile_images/1695758644598517762/-V-ZjRt0_normal.jpg</v>
      </c>
      <c r="G1157" s="64"/>
      <c r="H1157" s="68"/>
      <c r="I1157" s="69"/>
      <c r="J1157" s="69"/>
      <c r="K1157" s="68" t="s">
        <v>30290</v>
      </c>
      <c r="L1157" s="72"/>
      <c r="M1157" s="73"/>
      <c r="N1157" s="73"/>
      <c r="O1157" s="74"/>
      <c r="P1157" s="75"/>
      <c r="Q1157" s="75"/>
      <c r="R1157" s="102"/>
      <c r="S1157" s="102"/>
      <c r="T1157" s="102"/>
      <c r="U1157" s="102"/>
      <c r="V1157" s="48"/>
      <c r="W1157" s="48"/>
      <c r="X1157" s="48"/>
      <c r="Y1157" s="48"/>
      <c r="Z1157" s="47"/>
      <c r="AA1157" s="70">
        <v>1157</v>
      </c>
      <c r="AB1157" s="70"/>
      <c r="AC1157" s="71"/>
      <c r="AD1157" s="86" t="s">
        <v>24758</v>
      </c>
      <c r="AE1157" s="94" t="s">
        <v>22622</v>
      </c>
      <c r="AF1157" s="86">
        <v>895</v>
      </c>
      <c r="AG1157" s="86">
        <v>546</v>
      </c>
      <c r="AH1157" s="86">
        <v>15679</v>
      </c>
      <c r="AI1157" s="86">
        <v>13</v>
      </c>
      <c r="AJ1157" s="86">
        <v>10071</v>
      </c>
      <c r="AK1157" s="86">
        <v>1056</v>
      </c>
      <c r="AL1157" s="86" t="b">
        <v>0</v>
      </c>
      <c r="AM1157" s="89">
        <v>40105.989629629628</v>
      </c>
      <c r="AN1157" s="86" t="s">
        <v>15246</v>
      </c>
      <c r="AO1157" s="86" t="s">
        <v>27475</v>
      </c>
      <c r="AP1157" s="96" t="str">
        <f>HYPERLINK("https://t.co/Wf2F1K6jL6")</f>
        <v>https://t.co/Wf2F1K6jL6</v>
      </c>
      <c r="AQ1157" s="96" t="str">
        <f>HYPERLINK("https://rafaelaohanna.myportfolio.com")</f>
        <v>https://rafaelaohanna.myportfolio.com</v>
      </c>
      <c r="AR1157" s="86" t="s">
        <v>28670</v>
      </c>
      <c r="AS1157" s="86" t="s">
        <v>29007</v>
      </c>
      <c r="AT1157" s="86" t="s">
        <v>29023</v>
      </c>
      <c r="AU1157" s="86" t="s">
        <v>29107</v>
      </c>
      <c r="AV1157" s="86"/>
      <c r="AW1157" s="96" t="str">
        <f>HYPERLINK("https://t.co/Wf2F1K6jL6")</f>
        <v>https://t.co/Wf2F1K6jL6</v>
      </c>
      <c r="AX1157" s="86" t="b">
        <v>0</v>
      </c>
      <c r="AY1157" s="86"/>
      <c r="AZ1157" s="86"/>
      <c r="BA1157" s="86" t="b">
        <v>0</v>
      </c>
      <c r="BB1157" s="86" t="b">
        <v>0</v>
      </c>
      <c r="BC1157" s="86" t="b">
        <v>0</v>
      </c>
      <c r="BD1157" s="86" t="b">
        <v>0</v>
      </c>
      <c r="BE1157" s="86" t="b">
        <v>1</v>
      </c>
      <c r="BF1157" s="86" t="b">
        <v>0</v>
      </c>
      <c r="BG1157" s="86" t="b">
        <v>0</v>
      </c>
      <c r="BH1157" s="96" t="str">
        <f>HYPERLINK("https://pbs.twimg.com/profile_banners/83719967/1687532202")</f>
        <v>https://pbs.twimg.com/profile_banners/83719967/1687532202</v>
      </c>
      <c r="BI1157" s="86"/>
      <c r="BJ1157" s="86" t="s">
        <v>29134</v>
      </c>
      <c r="BK1157" s="86" t="b">
        <v>0</v>
      </c>
      <c r="BL1157" s="86"/>
      <c r="BM1157" s="86" t="s">
        <v>65</v>
      </c>
      <c r="BN1157" s="86" t="s">
        <v>29136</v>
      </c>
      <c r="BO1157" s="96" t="str">
        <f>HYPERLINK("https://twitter.com/complexodeepico")</f>
        <v>https://twitter.com/complexodeepico</v>
      </c>
      <c r="BP1157" s="2"/>
    </row>
    <row r="1158" spans="1:68" x14ac:dyDescent="0.25">
      <c r="A1158" s="63" t="s">
        <v>1209</v>
      </c>
      <c r="B1158" s="64"/>
      <c r="C1158" s="64"/>
      <c r="D1158" s="65"/>
      <c r="E1158" s="67"/>
      <c r="F1158" s="111" t="str">
        <f>HYPERLINK("https://pbs.twimg.com/profile_images/1700315221233909760/cEkmCN34_normal.jpg")</f>
        <v>https://pbs.twimg.com/profile_images/1700315221233909760/cEkmCN34_normal.jpg</v>
      </c>
      <c r="G1158" s="64"/>
      <c r="H1158" s="68"/>
      <c r="I1158" s="69"/>
      <c r="J1158" s="69"/>
      <c r="K1158" s="68" t="s">
        <v>30291</v>
      </c>
      <c r="L1158" s="72"/>
      <c r="M1158" s="73"/>
      <c r="N1158" s="73"/>
      <c r="O1158" s="74"/>
      <c r="P1158" s="75"/>
      <c r="Q1158" s="75"/>
      <c r="R1158" s="102"/>
      <c r="S1158" s="102"/>
      <c r="T1158" s="102"/>
      <c r="U1158" s="102"/>
      <c r="V1158" s="48"/>
      <c r="W1158" s="48"/>
      <c r="X1158" s="48"/>
      <c r="Y1158" s="48"/>
      <c r="Z1158" s="47"/>
      <c r="AA1158" s="70">
        <v>1158</v>
      </c>
      <c r="AB1158" s="70"/>
      <c r="AC1158" s="71"/>
      <c r="AD1158" s="86" t="s">
        <v>24759</v>
      </c>
      <c r="AE1158" s="94" t="s">
        <v>23363</v>
      </c>
      <c r="AF1158" s="86">
        <v>0</v>
      </c>
      <c r="AG1158" s="86">
        <v>2</v>
      </c>
      <c r="AH1158" s="86">
        <v>57</v>
      </c>
      <c r="AI1158" s="86">
        <v>0</v>
      </c>
      <c r="AJ1158" s="86">
        <v>10</v>
      </c>
      <c r="AK1158" s="86">
        <v>27</v>
      </c>
      <c r="AL1158" s="86" t="b">
        <v>0</v>
      </c>
      <c r="AM1158" s="89">
        <v>43146.07</v>
      </c>
      <c r="AN1158" s="86" t="s">
        <v>15293</v>
      </c>
      <c r="AO1158" s="86" t="s">
        <v>27476</v>
      </c>
      <c r="AP1158" s="96" t="str">
        <f>HYPERLINK("https://t.co/P2ShlOnVXD")</f>
        <v>https://t.co/P2ShlOnVXD</v>
      </c>
      <c r="AQ1158" s="96" t="str">
        <f>HYPERLINK("https://totalserviceconsultoria.com/")</f>
        <v>https://totalserviceconsultoria.com/</v>
      </c>
      <c r="AR1158" s="86" t="s">
        <v>28671</v>
      </c>
      <c r="AS1158" s="86"/>
      <c r="AT1158" s="86"/>
      <c r="AU1158" s="86"/>
      <c r="AV1158" s="86"/>
      <c r="AW1158" s="96" t="str">
        <f>HYPERLINK("https://t.co/P2ShlOnVXD")</f>
        <v>https://t.co/P2ShlOnVXD</v>
      </c>
      <c r="AX1158" s="86" t="b">
        <v>0</v>
      </c>
      <c r="AY1158" s="86"/>
      <c r="AZ1158" s="86"/>
      <c r="BA1158" s="86" t="b">
        <v>0</v>
      </c>
      <c r="BB1158" s="86" t="b">
        <v>1</v>
      </c>
      <c r="BC1158" s="86" t="b">
        <v>1</v>
      </c>
      <c r="BD1158" s="86" t="b">
        <v>0</v>
      </c>
      <c r="BE1158" s="86" t="b">
        <v>0</v>
      </c>
      <c r="BF1158" s="86" t="b">
        <v>0</v>
      </c>
      <c r="BG1158" s="86" t="b">
        <v>0</v>
      </c>
      <c r="BH1158" s="96" t="str">
        <f>HYPERLINK("https://pbs.twimg.com/profile_banners/963951192207515648/1694221716")</f>
        <v>https://pbs.twimg.com/profile_banners/963951192207515648/1694221716</v>
      </c>
      <c r="BI1158" s="86"/>
      <c r="BJ1158" s="86" t="s">
        <v>29134</v>
      </c>
      <c r="BK1158" s="86" t="b">
        <v>0</v>
      </c>
      <c r="BL1158" s="86"/>
      <c r="BM1158" s="86" t="s">
        <v>66</v>
      </c>
      <c r="BN1158" s="86" t="s">
        <v>29136</v>
      </c>
      <c r="BO1158" s="96" t="str">
        <f>HYPERLINK("https://twitter.com/totalservicecon")</f>
        <v>https://twitter.com/totalservicecon</v>
      </c>
      <c r="BP1158" s="2"/>
    </row>
    <row r="1159" spans="1:68" x14ac:dyDescent="0.25">
      <c r="A1159" s="63" t="s">
        <v>1210</v>
      </c>
      <c r="B1159" s="64"/>
      <c r="C1159" s="64"/>
      <c r="D1159" s="65"/>
      <c r="E1159" s="67"/>
      <c r="F1159" s="111" t="str">
        <f>HYPERLINK("https://pbs.twimg.com/profile_images/1425100097755533317/rerM53pt_normal.jpg")</f>
        <v>https://pbs.twimg.com/profile_images/1425100097755533317/rerM53pt_normal.jpg</v>
      </c>
      <c r="G1159" s="64"/>
      <c r="H1159" s="68"/>
      <c r="I1159" s="69"/>
      <c r="J1159" s="69"/>
      <c r="K1159" s="68" t="s">
        <v>30292</v>
      </c>
      <c r="L1159" s="72"/>
      <c r="M1159" s="73"/>
      <c r="N1159" s="73"/>
      <c r="O1159" s="74"/>
      <c r="P1159" s="75"/>
      <c r="Q1159" s="75"/>
      <c r="R1159" s="102"/>
      <c r="S1159" s="102"/>
      <c r="T1159" s="102"/>
      <c r="U1159" s="102"/>
      <c r="V1159" s="48"/>
      <c r="W1159" s="48"/>
      <c r="X1159" s="48"/>
      <c r="Y1159" s="48"/>
      <c r="Z1159" s="47"/>
      <c r="AA1159" s="70">
        <v>1159</v>
      </c>
      <c r="AB1159" s="70"/>
      <c r="AC1159" s="71"/>
      <c r="AD1159" s="86" t="s">
        <v>24760</v>
      </c>
      <c r="AE1159" s="94" t="s">
        <v>23364</v>
      </c>
      <c r="AF1159" s="86">
        <v>136</v>
      </c>
      <c r="AG1159" s="86">
        <v>268</v>
      </c>
      <c r="AH1159" s="86">
        <v>6148</v>
      </c>
      <c r="AI1159" s="86">
        <v>2</v>
      </c>
      <c r="AJ1159" s="86">
        <v>15470</v>
      </c>
      <c r="AK1159" s="86">
        <v>84</v>
      </c>
      <c r="AL1159" s="86" t="b">
        <v>0</v>
      </c>
      <c r="AM1159" s="89">
        <v>42642.674143518518</v>
      </c>
      <c r="AN1159" s="86" t="s">
        <v>15256</v>
      </c>
      <c r="AO1159" s="86" t="s">
        <v>27477</v>
      </c>
      <c r="AP1159" s="86"/>
      <c r="AQ1159" s="86"/>
      <c r="AR1159" s="86"/>
      <c r="AS1159" s="86"/>
      <c r="AT1159" s="86"/>
      <c r="AU1159" s="86"/>
      <c r="AV1159" s="86"/>
      <c r="AW1159" s="86"/>
      <c r="AX1159" s="86" t="b">
        <v>0</v>
      </c>
      <c r="AY1159" s="86"/>
      <c r="AZ1159" s="86"/>
      <c r="BA1159" s="86" t="b">
        <v>1</v>
      </c>
      <c r="BB1159" s="86" t="b">
        <v>0</v>
      </c>
      <c r="BC1159" s="86" t="b">
        <v>1</v>
      </c>
      <c r="BD1159" s="86" t="b">
        <v>0</v>
      </c>
      <c r="BE1159" s="86" t="b">
        <v>1</v>
      </c>
      <c r="BF1159" s="86" t="b">
        <v>0</v>
      </c>
      <c r="BG1159" s="86" t="b">
        <v>0</v>
      </c>
      <c r="BH1159" s="96" t="str">
        <f>HYPERLINK("https://pbs.twimg.com/profile_banners/781526644766937280/1607542703")</f>
        <v>https://pbs.twimg.com/profile_banners/781526644766937280/1607542703</v>
      </c>
      <c r="BI1159" s="86"/>
      <c r="BJ1159" s="86" t="s">
        <v>29134</v>
      </c>
      <c r="BK1159" s="86" t="b">
        <v>0</v>
      </c>
      <c r="BL1159" s="86"/>
      <c r="BM1159" s="86" t="s">
        <v>66</v>
      </c>
      <c r="BN1159" s="86" t="s">
        <v>29136</v>
      </c>
      <c r="BO1159" s="96" t="str">
        <f>HYPERLINK("https://twitter.com/prozaccomlimao")</f>
        <v>https://twitter.com/prozaccomlimao</v>
      </c>
      <c r="BP1159" s="2"/>
    </row>
    <row r="1160" spans="1:68" x14ac:dyDescent="0.25">
      <c r="A1160" s="63" t="s">
        <v>1774</v>
      </c>
      <c r="B1160" s="64"/>
      <c r="C1160" s="64"/>
      <c r="D1160" s="65"/>
      <c r="E1160" s="67"/>
      <c r="F1160" s="111" t="str">
        <f>HYPERLINK("https://pbs.twimg.com/profile_images/1296872875165655040/zNXNPCqM_normal.jpg")</f>
        <v>https://pbs.twimg.com/profile_images/1296872875165655040/zNXNPCqM_normal.jpg</v>
      </c>
      <c r="G1160" s="64"/>
      <c r="H1160" s="68"/>
      <c r="I1160" s="69"/>
      <c r="J1160" s="69"/>
      <c r="K1160" s="68" t="s">
        <v>30293</v>
      </c>
      <c r="L1160" s="72"/>
      <c r="M1160" s="73"/>
      <c r="N1160" s="73"/>
      <c r="O1160" s="74"/>
      <c r="P1160" s="75"/>
      <c r="Q1160" s="75"/>
      <c r="R1160" s="102"/>
      <c r="S1160" s="102"/>
      <c r="T1160" s="102"/>
      <c r="U1160" s="102"/>
      <c r="V1160" s="48"/>
      <c r="W1160" s="48"/>
      <c r="X1160" s="48"/>
      <c r="Y1160" s="48"/>
      <c r="Z1160" s="47"/>
      <c r="AA1160" s="70">
        <v>1160</v>
      </c>
      <c r="AB1160" s="70"/>
      <c r="AC1160" s="71"/>
      <c r="AD1160" s="86" t="s">
        <v>24761</v>
      </c>
      <c r="AE1160" s="94" t="s">
        <v>22623</v>
      </c>
      <c r="AF1160" s="86">
        <v>152042</v>
      </c>
      <c r="AG1160" s="86">
        <v>5</v>
      </c>
      <c r="AH1160" s="86">
        <v>30673</v>
      </c>
      <c r="AI1160" s="86">
        <v>856</v>
      </c>
      <c r="AJ1160" s="86">
        <v>89</v>
      </c>
      <c r="AK1160" s="86">
        <v>8973</v>
      </c>
      <c r="AL1160" s="86" t="b">
        <v>0</v>
      </c>
      <c r="AM1160" s="89">
        <v>39573.805347222224</v>
      </c>
      <c r="AN1160" s="86" t="s">
        <v>15246</v>
      </c>
      <c r="AO1160" s="86" t="s">
        <v>27478</v>
      </c>
      <c r="AP1160" s="96" t="str">
        <f>HYPERLINK("https://t.co/ZaS6OdhzWb")</f>
        <v>https://t.co/ZaS6OdhzWb</v>
      </c>
      <c r="AQ1160" s="96" t="str">
        <f>HYPERLINK("http://quatrorodas.com.br")</f>
        <v>http://quatrorodas.com.br</v>
      </c>
      <c r="AR1160" s="86" t="s">
        <v>28672</v>
      </c>
      <c r="AS1160" s="96" t="str">
        <f>HYPERLINK("https://t.co/iZexv41aDx")</f>
        <v>https://t.co/iZexv41aDx</v>
      </c>
      <c r="AT1160" s="96" t="str">
        <f>HYPERLINK("http://abr.ai/3Y6W977")</f>
        <v>http://abr.ai/3Y6W977</v>
      </c>
      <c r="AU1160" s="86" t="s">
        <v>29108</v>
      </c>
      <c r="AV1160" s="86"/>
      <c r="AW1160" s="96" t="str">
        <f>HYPERLINK("https://t.co/ZaS6OdhzWb")</f>
        <v>https://t.co/ZaS6OdhzWb</v>
      </c>
      <c r="AX1160" s="86" t="b">
        <v>0</v>
      </c>
      <c r="AY1160" s="86"/>
      <c r="AZ1160" s="86"/>
      <c r="BA1160" s="86" t="b">
        <v>0</v>
      </c>
      <c r="BB1160" s="86" t="b">
        <v>1</v>
      </c>
      <c r="BC1160" s="86" t="b">
        <v>0</v>
      </c>
      <c r="BD1160" s="86" t="b">
        <v>0</v>
      </c>
      <c r="BE1160" s="86" t="b">
        <v>0</v>
      </c>
      <c r="BF1160" s="86" t="b">
        <v>0</v>
      </c>
      <c r="BG1160" s="86" t="b">
        <v>0</v>
      </c>
      <c r="BH1160" s="96" t="str">
        <f>HYPERLINK("https://pbs.twimg.com/profile_banners/14663585/1691775909")</f>
        <v>https://pbs.twimg.com/profile_banners/14663585/1691775909</v>
      </c>
      <c r="BI1160" s="86"/>
      <c r="BJ1160" s="86" t="s">
        <v>29134</v>
      </c>
      <c r="BK1160" s="86" t="b">
        <v>0</v>
      </c>
      <c r="BL1160" s="86"/>
      <c r="BM1160" s="86" t="s">
        <v>65</v>
      </c>
      <c r="BN1160" s="86" t="s">
        <v>29136</v>
      </c>
      <c r="BO1160" s="96" t="str">
        <f>HYPERLINK("https://twitter.com/quatrorodas")</f>
        <v>https://twitter.com/quatrorodas</v>
      </c>
      <c r="BP1160" s="2"/>
    </row>
    <row r="1161" spans="1:68" x14ac:dyDescent="0.25">
      <c r="A1161" s="63" t="s">
        <v>1211</v>
      </c>
      <c r="B1161" s="64"/>
      <c r="C1161" s="64"/>
      <c r="D1161" s="65"/>
      <c r="E1161" s="67"/>
      <c r="F1161" s="111" t="str">
        <f>HYPERLINK("https://pbs.twimg.com/profile_images/1686269368697556993/VNfPj_XR_normal.jpg")</f>
        <v>https://pbs.twimg.com/profile_images/1686269368697556993/VNfPj_XR_normal.jpg</v>
      </c>
      <c r="G1161" s="64"/>
      <c r="H1161" s="68"/>
      <c r="I1161" s="69"/>
      <c r="J1161" s="69"/>
      <c r="K1161" s="68" t="s">
        <v>30294</v>
      </c>
      <c r="L1161" s="72"/>
      <c r="M1161" s="73"/>
      <c r="N1161" s="73"/>
      <c r="O1161" s="74"/>
      <c r="P1161" s="75"/>
      <c r="Q1161" s="75"/>
      <c r="R1161" s="102"/>
      <c r="S1161" s="102"/>
      <c r="T1161" s="102"/>
      <c r="U1161" s="102"/>
      <c r="V1161" s="48"/>
      <c r="W1161" s="48"/>
      <c r="X1161" s="48"/>
      <c r="Y1161" s="48"/>
      <c r="Z1161" s="47"/>
      <c r="AA1161" s="70">
        <v>1161</v>
      </c>
      <c r="AB1161" s="70"/>
      <c r="AC1161" s="71"/>
      <c r="AD1161" s="86" t="s">
        <v>24762</v>
      </c>
      <c r="AE1161" s="94" t="s">
        <v>23365</v>
      </c>
      <c r="AF1161" s="86">
        <v>5</v>
      </c>
      <c r="AG1161" s="86">
        <v>87</v>
      </c>
      <c r="AH1161" s="86">
        <v>63</v>
      </c>
      <c r="AI1161" s="86">
        <v>0</v>
      </c>
      <c r="AJ1161" s="86">
        <v>46</v>
      </c>
      <c r="AK1161" s="86">
        <v>5</v>
      </c>
      <c r="AL1161" s="86" t="b">
        <v>0</v>
      </c>
      <c r="AM1161" s="89">
        <v>45139.288437499999</v>
      </c>
      <c r="AN1161" s="86" t="s">
        <v>15285</v>
      </c>
      <c r="AO1161" s="86" t="s">
        <v>27479</v>
      </c>
      <c r="AP1161" s="96" t="str">
        <f>HYPERLINK("https://t.co/PVP7cqpeqU")</f>
        <v>https://t.co/PVP7cqpeqU</v>
      </c>
      <c r="AQ1161" s="96" t="str">
        <f>HYPERLINK("http://www.sympla.com.br/odilondeborba")</f>
        <v>http://www.sympla.com.br/odilondeborba</v>
      </c>
      <c r="AR1161" s="86" t="s">
        <v>28673</v>
      </c>
      <c r="AS1161" s="86"/>
      <c r="AT1161" s="86"/>
      <c r="AU1161" s="86"/>
      <c r="AV1161" s="86"/>
      <c r="AW1161" s="96" t="str">
        <f>HYPERLINK("https://t.co/PVP7cqpeqU")</f>
        <v>https://t.co/PVP7cqpeqU</v>
      </c>
      <c r="AX1161" s="86" t="b">
        <v>0</v>
      </c>
      <c r="AY1161" s="86"/>
      <c r="AZ1161" s="86"/>
      <c r="BA1161" s="86" t="b">
        <v>1</v>
      </c>
      <c r="BB1161" s="86" t="b">
        <v>1</v>
      </c>
      <c r="BC1161" s="86" t="b">
        <v>1</v>
      </c>
      <c r="BD1161" s="86" t="b">
        <v>0</v>
      </c>
      <c r="BE1161" s="86" t="b">
        <v>0</v>
      </c>
      <c r="BF1161" s="86" t="b">
        <v>0</v>
      </c>
      <c r="BG1161" s="86" t="b">
        <v>0</v>
      </c>
      <c r="BH1161" s="96" t="str">
        <f>HYPERLINK("https://pbs.twimg.com/profile_banners/1686269259150770176/1694899998")</f>
        <v>https://pbs.twimg.com/profile_banners/1686269259150770176/1694899998</v>
      </c>
      <c r="BI1161" s="86"/>
      <c r="BJ1161" s="86" t="s">
        <v>29134</v>
      </c>
      <c r="BK1161" s="86" t="b">
        <v>0</v>
      </c>
      <c r="BL1161" s="86"/>
      <c r="BM1161" s="86" t="s">
        <v>66</v>
      </c>
      <c r="BN1161" s="86" t="s">
        <v>29136</v>
      </c>
      <c r="BO1161" s="96" t="str">
        <f>HYPERLINK("https://twitter.com/odilondeborba")</f>
        <v>https://twitter.com/odilondeborba</v>
      </c>
      <c r="BP1161" s="2"/>
    </row>
    <row r="1162" spans="1:68" x14ac:dyDescent="0.25">
      <c r="A1162" s="63" t="s">
        <v>1775</v>
      </c>
      <c r="B1162" s="64"/>
      <c r="C1162" s="64"/>
      <c r="D1162" s="65"/>
      <c r="E1162" s="67"/>
      <c r="F1162" s="111" t="str">
        <f>HYPERLINK("https://pbs.twimg.com/profile_images/977714260280250375/rgZ2Yp6j_normal.jpg")</f>
        <v>https://pbs.twimg.com/profile_images/977714260280250375/rgZ2Yp6j_normal.jpg</v>
      </c>
      <c r="G1162" s="64"/>
      <c r="H1162" s="68"/>
      <c r="I1162" s="69"/>
      <c r="J1162" s="69"/>
      <c r="K1162" s="68" t="s">
        <v>30295</v>
      </c>
      <c r="L1162" s="72"/>
      <c r="M1162" s="73"/>
      <c r="N1162" s="73"/>
      <c r="O1162" s="74"/>
      <c r="P1162" s="75"/>
      <c r="Q1162" s="75"/>
      <c r="R1162" s="102"/>
      <c r="S1162" s="102"/>
      <c r="T1162" s="102"/>
      <c r="U1162" s="102"/>
      <c r="V1162" s="48"/>
      <c r="W1162" s="48"/>
      <c r="X1162" s="48"/>
      <c r="Y1162" s="48"/>
      <c r="Z1162" s="47"/>
      <c r="AA1162" s="70">
        <v>1162</v>
      </c>
      <c r="AB1162" s="70"/>
      <c r="AC1162" s="71"/>
      <c r="AD1162" s="86" t="s">
        <v>24763</v>
      </c>
      <c r="AE1162" s="94" t="s">
        <v>25685</v>
      </c>
      <c r="AF1162" s="86">
        <v>431</v>
      </c>
      <c r="AG1162" s="86">
        <v>359</v>
      </c>
      <c r="AH1162" s="86">
        <v>3199</v>
      </c>
      <c r="AI1162" s="86">
        <v>0</v>
      </c>
      <c r="AJ1162" s="86">
        <v>282</v>
      </c>
      <c r="AK1162" s="86">
        <v>18</v>
      </c>
      <c r="AL1162" s="86" t="b">
        <v>0</v>
      </c>
      <c r="AM1162" s="89">
        <v>40048.522534722222</v>
      </c>
      <c r="AN1162" s="86" t="s">
        <v>26283</v>
      </c>
      <c r="AO1162" s="86" t="s">
        <v>27480</v>
      </c>
      <c r="AP1162" s="96" t="str">
        <f>HYPERLINK("https://t.co/M1kUFCkisj")</f>
        <v>https://t.co/M1kUFCkisj</v>
      </c>
      <c r="AQ1162" s="96" t="str">
        <f>HYPERLINK("http://www.o2multi.com.br")</f>
        <v>http://www.o2multi.com.br</v>
      </c>
      <c r="AR1162" s="86" t="s">
        <v>28674</v>
      </c>
      <c r="AS1162" s="86"/>
      <c r="AT1162" s="86"/>
      <c r="AU1162" s="86"/>
      <c r="AV1162" s="86"/>
      <c r="AW1162" s="96" t="str">
        <f>HYPERLINK("https://t.co/M1kUFCkisj")</f>
        <v>https://t.co/M1kUFCkisj</v>
      </c>
      <c r="AX1162" s="86" t="b">
        <v>0</v>
      </c>
      <c r="AY1162" s="86"/>
      <c r="AZ1162" s="86"/>
      <c r="BA1162" s="86" t="b">
        <v>0</v>
      </c>
      <c r="BB1162" s="86" t="b">
        <v>1</v>
      </c>
      <c r="BC1162" s="86" t="b">
        <v>0</v>
      </c>
      <c r="BD1162" s="86" t="b">
        <v>0</v>
      </c>
      <c r="BE1162" s="86" t="b">
        <v>1</v>
      </c>
      <c r="BF1162" s="86" t="b">
        <v>0</v>
      </c>
      <c r="BG1162" s="86" t="b">
        <v>0</v>
      </c>
      <c r="BH1162" s="86"/>
      <c r="BI1162" s="86"/>
      <c r="BJ1162" s="86" t="s">
        <v>29134</v>
      </c>
      <c r="BK1162" s="86" t="b">
        <v>0</v>
      </c>
      <c r="BL1162" s="86"/>
      <c r="BM1162" s="86" t="s">
        <v>65</v>
      </c>
      <c r="BN1162" s="86" t="s">
        <v>29136</v>
      </c>
      <c r="BO1162" s="96" t="str">
        <f>HYPERLINK("https://twitter.com/aleweimer")</f>
        <v>https://twitter.com/aleweimer</v>
      </c>
      <c r="BP1162" s="2"/>
    </row>
    <row r="1163" spans="1:68" x14ac:dyDescent="0.25">
      <c r="A1163" s="63" t="s">
        <v>1212</v>
      </c>
      <c r="B1163" s="64"/>
      <c r="C1163" s="64"/>
      <c r="D1163" s="65"/>
      <c r="E1163" s="67"/>
      <c r="F1163" s="111" t="str">
        <f>HYPERLINK("https://pbs.twimg.com/profile_images/1434890348799664131/uq36zSrG_normal.jpg")</f>
        <v>https://pbs.twimg.com/profile_images/1434890348799664131/uq36zSrG_normal.jpg</v>
      </c>
      <c r="G1163" s="64"/>
      <c r="H1163" s="68"/>
      <c r="I1163" s="69"/>
      <c r="J1163" s="69"/>
      <c r="K1163" s="68" t="s">
        <v>30296</v>
      </c>
      <c r="L1163" s="72"/>
      <c r="M1163" s="73"/>
      <c r="N1163" s="73"/>
      <c r="O1163" s="74"/>
      <c r="P1163" s="75"/>
      <c r="Q1163" s="75"/>
      <c r="R1163" s="102"/>
      <c r="S1163" s="102"/>
      <c r="T1163" s="102"/>
      <c r="U1163" s="102"/>
      <c r="V1163" s="48"/>
      <c r="W1163" s="48"/>
      <c r="X1163" s="48"/>
      <c r="Y1163" s="48"/>
      <c r="Z1163" s="47"/>
      <c r="AA1163" s="70">
        <v>1163</v>
      </c>
      <c r="AB1163" s="70"/>
      <c r="AC1163" s="71"/>
      <c r="AD1163" s="86" t="s">
        <v>24764</v>
      </c>
      <c r="AE1163" s="94" t="s">
        <v>25686</v>
      </c>
      <c r="AF1163" s="86">
        <v>3853</v>
      </c>
      <c r="AG1163" s="86">
        <v>2290</v>
      </c>
      <c r="AH1163" s="86">
        <v>88744</v>
      </c>
      <c r="AI1163" s="86">
        <v>22</v>
      </c>
      <c r="AJ1163" s="86">
        <v>15278</v>
      </c>
      <c r="AK1163" s="86">
        <v>41260</v>
      </c>
      <c r="AL1163" s="86" t="b">
        <v>0</v>
      </c>
      <c r="AM1163" s="89">
        <v>40820.068935185183</v>
      </c>
      <c r="AN1163" s="86" t="s">
        <v>26284</v>
      </c>
      <c r="AO1163" s="86" t="s">
        <v>27481</v>
      </c>
      <c r="AP1163" s="86"/>
      <c r="AQ1163" s="86"/>
      <c r="AR1163" s="86"/>
      <c r="AS1163" s="86"/>
      <c r="AT1163" s="86"/>
      <c r="AU1163" s="86"/>
      <c r="AV1163" s="86">
        <v>1.65708614082061E+18</v>
      </c>
      <c r="AW1163" s="86"/>
      <c r="AX1163" s="86" t="b">
        <v>0</v>
      </c>
      <c r="AY1163" s="86"/>
      <c r="AZ1163" s="86"/>
      <c r="BA1163" s="86" t="b">
        <v>0</v>
      </c>
      <c r="BB1163" s="86" t="b">
        <v>1</v>
      </c>
      <c r="BC1163" s="86" t="b">
        <v>0</v>
      </c>
      <c r="BD1163" s="86" t="b">
        <v>0</v>
      </c>
      <c r="BE1163" s="86" t="b">
        <v>1</v>
      </c>
      <c r="BF1163" s="86" t="b">
        <v>0</v>
      </c>
      <c r="BG1163" s="86" t="b">
        <v>0</v>
      </c>
      <c r="BH1163" s="96" t="str">
        <f>HYPERLINK("https://pbs.twimg.com/profile_banners/384633377/1678491377")</f>
        <v>https://pbs.twimg.com/profile_banners/384633377/1678491377</v>
      </c>
      <c r="BI1163" s="86"/>
      <c r="BJ1163" s="86" t="s">
        <v>29134</v>
      </c>
      <c r="BK1163" s="86" t="b">
        <v>0</v>
      </c>
      <c r="BL1163" s="86"/>
      <c r="BM1163" s="86" t="s">
        <v>66</v>
      </c>
      <c r="BN1163" s="86" t="s">
        <v>29136</v>
      </c>
      <c r="BO1163" s="96" t="str">
        <f>HYPERLINK("https://twitter.com/damasioaracatub")</f>
        <v>https://twitter.com/damasioaracatub</v>
      </c>
      <c r="BP1163" s="2"/>
    </row>
    <row r="1164" spans="1:68" x14ac:dyDescent="0.25">
      <c r="A1164" s="63" t="s">
        <v>1213</v>
      </c>
      <c r="B1164" s="64"/>
      <c r="C1164" s="64"/>
      <c r="D1164" s="65"/>
      <c r="E1164" s="67"/>
      <c r="F1164" s="111" t="str">
        <f>HYPERLINK("https://pbs.twimg.com/profile_images/1699821820826861574/zu1JmRWc_normal.jpg")</f>
        <v>https://pbs.twimg.com/profile_images/1699821820826861574/zu1JmRWc_normal.jpg</v>
      </c>
      <c r="G1164" s="64"/>
      <c r="H1164" s="68"/>
      <c r="I1164" s="69"/>
      <c r="J1164" s="69"/>
      <c r="K1164" s="68" t="s">
        <v>30297</v>
      </c>
      <c r="L1164" s="72"/>
      <c r="M1164" s="73"/>
      <c r="N1164" s="73"/>
      <c r="O1164" s="74"/>
      <c r="P1164" s="75"/>
      <c r="Q1164" s="75"/>
      <c r="R1164" s="102"/>
      <c r="S1164" s="102"/>
      <c r="T1164" s="102"/>
      <c r="U1164" s="102"/>
      <c r="V1164" s="48"/>
      <c r="W1164" s="48"/>
      <c r="X1164" s="48"/>
      <c r="Y1164" s="48"/>
      <c r="Z1164" s="47"/>
      <c r="AA1164" s="70">
        <v>1164</v>
      </c>
      <c r="AB1164" s="70"/>
      <c r="AC1164" s="71"/>
      <c r="AD1164" s="86" t="s">
        <v>24765</v>
      </c>
      <c r="AE1164" s="94" t="s">
        <v>25687</v>
      </c>
      <c r="AF1164" s="86">
        <v>471</v>
      </c>
      <c r="AG1164" s="86">
        <v>1508</v>
      </c>
      <c r="AH1164" s="86">
        <v>7179</v>
      </c>
      <c r="AI1164" s="86">
        <v>4</v>
      </c>
      <c r="AJ1164" s="86">
        <v>148</v>
      </c>
      <c r="AK1164" s="86">
        <v>5096</v>
      </c>
      <c r="AL1164" s="86" t="b">
        <v>0</v>
      </c>
      <c r="AM1164" s="89">
        <v>42039.758043981485</v>
      </c>
      <c r="AN1164" s="86" t="s">
        <v>26285</v>
      </c>
      <c r="AO1164" s="86" t="s">
        <v>27482</v>
      </c>
      <c r="AP1164" s="96" t="str">
        <f>HYPERLINK("https://t.co/rtKRxJPP3V")</f>
        <v>https://t.co/rtKRxJPP3V</v>
      </c>
      <c r="AQ1164" s="96" t="str">
        <f>HYPERLINK("http://www.blogdomelqui.com.br")</f>
        <v>http://www.blogdomelqui.com.br</v>
      </c>
      <c r="AR1164" s="86" t="s">
        <v>28675</v>
      </c>
      <c r="AS1164" s="86"/>
      <c r="AT1164" s="86"/>
      <c r="AU1164" s="86"/>
      <c r="AV1164" s="86"/>
      <c r="AW1164" s="96" t="str">
        <f>HYPERLINK("https://t.co/rtKRxJPP3V")</f>
        <v>https://t.co/rtKRxJPP3V</v>
      </c>
      <c r="AX1164" s="86" t="b">
        <v>0</v>
      </c>
      <c r="AY1164" s="86"/>
      <c r="AZ1164" s="86"/>
      <c r="BA1164" s="86" t="b">
        <v>0</v>
      </c>
      <c r="BB1164" s="86" t="b">
        <v>1</v>
      </c>
      <c r="BC1164" s="86" t="b">
        <v>0</v>
      </c>
      <c r="BD1164" s="86" t="b">
        <v>0</v>
      </c>
      <c r="BE1164" s="86" t="b">
        <v>1</v>
      </c>
      <c r="BF1164" s="86" t="b">
        <v>0</v>
      </c>
      <c r="BG1164" s="86" t="b">
        <v>0</v>
      </c>
      <c r="BH1164" s="96" t="str">
        <f>HYPERLINK("https://pbs.twimg.com/profile_banners/3018292498/1578441827")</f>
        <v>https://pbs.twimg.com/profile_banners/3018292498/1578441827</v>
      </c>
      <c r="BI1164" s="86"/>
      <c r="BJ1164" s="86" t="s">
        <v>29134</v>
      </c>
      <c r="BK1164" s="86" t="b">
        <v>0</v>
      </c>
      <c r="BL1164" s="86"/>
      <c r="BM1164" s="86" t="s">
        <v>66</v>
      </c>
      <c r="BN1164" s="86" t="s">
        <v>29136</v>
      </c>
      <c r="BO1164" s="96" t="str">
        <f>HYPERLINK("https://twitter.com/melquilima_")</f>
        <v>https://twitter.com/melquilima_</v>
      </c>
      <c r="BP1164" s="2"/>
    </row>
    <row r="1165" spans="1:68" x14ac:dyDescent="0.25">
      <c r="A1165" s="63" t="s">
        <v>1214</v>
      </c>
      <c r="B1165" s="64"/>
      <c r="C1165" s="64"/>
      <c r="D1165" s="65"/>
      <c r="E1165" s="67"/>
      <c r="F1165" s="111" t="str">
        <f>HYPERLINK("https://pbs.twimg.com/profile_images/1699842871052877824/DB3f_MJ3_normal.png")</f>
        <v>https://pbs.twimg.com/profile_images/1699842871052877824/DB3f_MJ3_normal.png</v>
      </c>
      <c r="G1165" s="64"/>
      <c r="H1165" s="68"/>
      <c r="I1165" s="69"/>
      <c r="J1165" s="69"/>
      <c r="K1165" s="68" t="s">
        <v>30298</v>
      </c>
      <c r="L1165" s="72"/>
      <c r="M1165" s="73"/>
      <c r="N1165" s="73"/>
      <c r="O1165" s="74"/>
      <c r="P1165" s="75"/>
      <c r="Q1165" s="75"/>
      <c r="R1165" s="102"/>
      <c r="S1165" s="102"/>
      <c r="T1165" s="102"/>
      <c r="U1165" s="102"/>
      <c r="V1165" s="48"/>
      <c r="W1165" s="48"/>
      <c r="X1165" s="48"/>
      <c r="Y1165" s="48"/>
      <c r="Z1165" s="47"/>
      <c r="AA1165" s="70">
        <v>1165</v>
      </c>
      <c r="AB1165" s="70"/>
      <c r="AC1165" s="71"/>
      <c r="AD1165" s="86" t="s">
        <v>24766</v>
      </c>
      <c r="AE1165" s="94" t="s">
        <v>23366</v>
      </c>
      <c r="AF1165" s="86">
        <v>4</v>
      </c>
      <c r="AG1165" s="86">
        <v>103</v>
      </c>
      <c r="AH1165" s="86">
        <v>6</v>
      </c>
      <c r="AI1165" s="86">
        <v>0</v>
      </c>
      <c r="AJ1165" s="86">
        <v>1</v>
      </c>
      <c r="AK1165" s="86">
        <v>0</v>
      </c>
      <c r="AL1165" s="86" t="b">
        <v>0</v>
      </c>
      <c r="AM1165" s="89">
        <v>45176.744166666664</v>
      </c>
      <c r="AN1165" s="86"/>
      <c r="AO1165" s="86" t="s">
        <v>27483</v>
      </c>
      <c r="AP1165" s="96" t="str">
        <f>HYPERLINK("https://t.co/LSGaieHwaF")</f>
        <v>https://t.co/LSGaieHwaF</v>
      </c>
      <c r="AQ1165" s="96" t="str">
        <f>HYPERLINK("https://hotm.art/GQ4FBF")</f>
        <v>https://hotm.art/GQ4FBF</v>
      </c>
      <c r="AR1165" s="86" t="s">
        <v>28676</v>
      </c>
      <c r="AS1165" s="86"/>
      <c r="AT1165" s="86"/>
      <c r="AU1165" s="86"/>
      <c r="AV1165" s="86">
        <v>1.6998520842359199E+18</v>
      </c>
      <c r="AW1165" s="96" t="str">
        <f>HYPERLINK("https://t.co/LSGaieHwaF")</f>
        <v>https://t.co/LSGaieHwaF</v>
      </c>
      <c r="AX1165" s="86" t="b">
        <v>0</v>
      </c>
      <c r="AY1165" s="86"/>
      <c r="AZ1165" s="86"/>
      <c r="BA1165" s="86" t="b">
        <v>0</v>
      </c>
      <c r="BB1165" s="86" t="b">
        <v>1</v>
      </c>
      <c r="BC1165" s="86" t="b">
        <v>1</v>
      </c>
      <c r="BD1165" s="86" t="b">
        <v>0</v>
      </c>
      <c r="BE1165" s="86" t="b">
        <v>0</v>
      </c>
      <c r="BF1165" s="86" t="b">
        <v>0</v>
      </c>
      <c r="BG1165" s="86" t="b">
        <v>0</v>
      </c>
      <c r="BH1165" s="96" t="str">
        <f>HYPERLINK("https://pbs.twimg.com/profile_banners/1699842704635752448/1694111392")</f>
        <v>https://pbs.twimg.com/profile_banners/1699842704635752448/1694111392</v>
      </c>
      <c r="BI1165" s="86"/>
      <c r="BJ1165" s="86" t="s">
        <v>29134</v>
      </c>
      <c r="BK1165" s="86" t="b">
        <v>0</v>
      </c>
      <c r="BL1165" s="86"/>
      <c r="BM1165" s="86" t="s">
        <v>66</v>
      </c>
      <c r="BN1165" s="86" t="s">
        <v>29136</v>
      </c>
      <c r="BO1165" s="96" t="str">
        <f>HYPERLINK("https://twitter.com/project1porcent")</f>
        <v>https://twitter.com/project1porcent</v>
      </c>
      <c r="BP1165" s="2"/>
    </row>
    <row r="1166" spans="1:68" x14ac:dyDescent="0.25">
      <c r="A1166" s="63" t="s">
        <v>1215</v>
      </c>
      <c r="B1166" s="64"/>
      <c r="C1166" s="64"/>
      <c r="D1166" s="65"/>
      <c r="E1166" s="67"/>
      <c r="F1166" s="111" t="str">
        <f>HYPERLINK("https://pbs.twimg.com/profile_images/1667586467827183618/d7pGkct9_normal.png")</f>
        <v>https://pbs.twimg.com/profile_images/1667586467827183618/d7pGkct9_normal.png</v>
      </c>
      <c r="G1166" s="64"/>
      <c r="H1166" s="68"/>
      <c r="I1166" s="69"/>
      <c r="J1166" s="69"/>
      <c r="K1166" s="68" t="s">
        <v>30299</v>
      </c>
      <c r="L1166" s="72"/>
      <c r="M1166" s="73"/>
      <c r="N1166" s="73"/>
      <c r="O1166" s="74"/>
      <c r="P1166" s="75"/>
      <c r="Q1166" s="75"/>
      <c r="R1166" s="102"/>
      <c r="S1166" s="102"/>
      <c r="T1166" s="102"/>
      <c r="U1166" s="102"/>
      <c r="V1166" s="48"/>
      <c r="W1166" s="48"/>
      <c r="X1166" s="48"/>
      <c r="Y1166" s="48"/>
      <c r="Z1166" s="47"/>
      <c r="AA1166" s="70">
        <v>1166</v>
      </c>
      <c r="AB1166" s="70"/>
      <c r="AC1166" s="71"/>
      <c r="AD1166" s="86" t="s">
        <v>24767</v>
      </c>
      <c r="AE1166" s="94" t="s">
        <v>23367</v>
      </c>
      <c r="AF1166" s="86">
        <v>4</v>
      </c>
      <c r="AG1166" s="86">
        <v>4</v>
      </c>
      <c r="AH1166" s="86">
        <v>129</v>
      </c>
      <c r="AI1166" s="86">
        <v>0</v>
      </c>
      <c r="AJ1166" s="86">
        <v>0</v>
      </c>
      <c r="AK1166" s="86">
        <v>128</v>
      </c>
      <c r="AL1166" s="86" t="b">
        <v>0</v>
      </c>
      <c r="AM1166" s="89">
        <v>45087.733449074076</v>
      </c>
      <c r="AN1166" s="86"/>
      <c r="AO1166" s="86"/>
      <c r="AP1166" s="86"/>
      <c r="AQ1166" s="86"/>
      <c r="AR1166" s="86"/>
      <c r="AS1166" s="86"/>
      <c r="AT1166" s="86"/>
      <c r="AU1166" s="86"/>
      <c r="AV1166" s="86"/>
      <c r="AW1166" s="86"/>
      <c r="AX1166" s="86" t="b">
        <v>0</v>
      </c>
      <c r="AY1166" s="86"/>
      <c r="AZ1166" s="86"/>
      <c r="BA1166" s="86" t="b">
        <v>0</v>
      </c>
      <c r="BB1166" s="86" t="b">
        <v>1</v>
      </c>
      <c r="BC1166" s="86" t="b">
        <v>1</v>
      </c>
      <c r="BD1166" s="86" t="b">
        <v>0</v>
      </c>
      <c r="BE1166" s="86" t="b">
        <v>0</v>
      </c>
      <c r="BF1166" s="86" t="b">
        <v>0</v>
      </c>
      <c r="BG1166" s="86" t="b">
        <v>0</v>
      </c>
      <c r="BH1166" s="86"/>
      <c r="BI1166" s="86"/>
      <c r="BJ1166" s="86" t="s">
        <v>29134</v>
      </c>
      <c r="BK1166" s="86" t="b">
        <v>0</v>
      </c>
      <c r="BL1166" s="86"/>
      <c r="BM1166" s="86" t="s">
        <v>66</v>
      </c>
      <c r="BN1166" s="86" t="s">
        <v>29136</v>
      </c>
      <c r="BO1166" s="96" t="str">
        <f>HYPERLINK("https://twitter.com/nicolasworkonli")</f>
        <v>https://twitter.com/nicolasworkonli</v>
      </c>
      <c r="BP1166" s="2"/>
    </row>
    <row r="1167" spans="1:68" x14ac:dyDescent="0.25">
      <c r="A1167" s="63" t="s">
        <v>1216</v>
      </c>
      <c r="B1167" s="64"/>
      <c r="C1167" s="64"/>
      <c r="D1167" s="65"/>
      <c r="E1167" s="67"/>
      <c r="F1167" s="111" t="str">
        <f>HYPERLINK("https://pbs.twimg.com/profile_images/1563001148570746880/Rs317b81_normal.jpg")</f>
        <v>https://pbs.twimg.com/profile_images/1563001148570746880/Rs317b81_normal.jpg</v>
      </c>
      <c r="G1167" s="64"/>
      <c r="H1167" s="68"/>
      <c r="I1167" s="69"/>
      <c r="J1167" s="69"/>
      <c r="K1167" s="68" t="s">
        <v>30300</v>
      </c>
      <c r="L1167" s="72"/>
      <c r="M1167" s="73"/>
      <c r="N1167" s="73"/>
      <c r="O1167" s="74"/>
      <c r="P1167" s="75"/>
      <c r="Q1167" s="75"/>
      <c r="R1167" s="102"/>
      <c r="S1167" s="102"/>
      <c r="T1167" s="102"/>
      <c r="U1167" s="102"/>
      <c r="V1167" s="48"/>
      <c r="W1167" s="48"/>
      <c r="X1167" s="48"/>
      <c r="Y1167" s="48"/>
      <c r="Z1167" s="47"/>
      <c r="AA1167" s="70">
        <v>1167</v>
      </c>
      <c r="AB1167" s="70"/>
      <c r="AC1167" s="71"/>
      <c r="AD1167" s="86" t="s">
        <v>24768</v>
      </c>
      <c r="AE1167" s="94" t="s">
        <v>23368</v>
      </c>
      <c r="AF1167" s="86">
        <v>4</v>
      </c>
      <c r="AG1167" s="86">
        <v>105</v>
      </c>
      <c r="AH1167" s="86">
        <v>303</v>
      </c>
      <c r="AI1167" s="86">
        <v>0</v>
      </c>
      <c r="AJ1167" s="86">
        <v>615</v>
      </c>
      <c r="AK1167" s="86">
        <v>270</v>
      </c>
      <c r="AL1167" s="86" t="b">
        <v>0</v>
      </c>
      <c r="AM1167" s="89">
        <v>44799.114155092589</v>
      </c>
      <c r="AN1167" s="86"/>
      <c r="AO1167" s="86" t="s">
        <v>27484</v>
      </c>
      <c r="AP1167" s="86"/>
      <c r="AQ1167" s="86"/>
      <c r="AR1167" s="86"/>
      <c r="AS1167" s="96" t="str">
        <f>HYPERLINK("https://t.co/k7eFzqbSHP")</f>
        <v>https://t.co/k7eFzqbSHP</v>
      </c>
      <c r="AT1167" s="96" t="str">
        <f>HYPERLINK("http://frases.win")</f>
        <v>http://frases.win</v>
      </c>
      <c r="AU1167" s="86" t="s">
        <v>8513</v>
      </c>
      <c r="AV1167" s="86"/>
      <c r="AW1167" s="86"/>
      <c r="AX1167" s="86" t="b">
        <v>0</v>
      </c>
      <c r="AY1167" s="86"/>
      <c r="AZ1167" s="86"/>
      <c r="BA1167" s="86" t="b">
        <v>0</v>
      </c>
      <c r="BB1167" s="86" t="b">
        <v>1</v>
      </c>
      <c r="BC1167" s="86" t="b">
        <v>1</v>
      </c>
      <c r="BD1167" s="86" t="b">
        <v>0</v>
      </c>
      <c r="BE1167" s="86" t="b">
        <v>0</v>
      </c>
      <c r="BF1167" s="86" t="b">
        <v>0</v>
      </c>
      <c r="BG1167" s="86" t="b">
        <v>0</v>
      </c>
      <c r="BH1167" s="96" t="str">
        <f>HYPERLINK("https://pbs.twimg.com/profile_banners/1562993775848202242/1661483490")</f>
        <v>https://pbs.twimg.com/profile_banners/1562993775848202242/1661483490</v>
      </c>
      <c r="BI1167" s="86"/>
      <c r="BJ1167" s="86" t="s">
        <v>29134</v>
      </c>
      <c r="BK1167" s="86" t="b">
        <v>0</v>
      </c>
      <c r="BL1167" s="86"/>
      <c r="BM1167" s="86" t="s">
        <v>66</v>
      </c>
      <c r="BN1167" s="86" t="s">
        <v>29136</v>
      </c>
      <c r="BO1167" s="96" t="str">
        <f>HYPERLINK("https://twitter.com/fraseswinbr")</f>
        <v>https://twitter.com/fraseswinbr</v>
      </c>
      <c r="BP1167" s="2"/>
    </row>
    <row r="1168" spans="1:68" x14ac:dyDescent="0.25">
      <c r="A1168" s="63" t="s">
        <v>1217</v>
      </c>
      <c r="B1168" s="64"/>
      <c r="C1168" s="64"/>
      <c r="D1168" s="65"/>
      <c r="E1168" s="67"/>
      <c r="F1168" s="111" t="str">
        <f>HYPERLINK("https://pbs.twimg.com/profile_images/1690441329971773440/T0JjbSJm_normal.jpg")</f>
        <v>https://pbs.twimg.com/profile_images/1690441329971773440/T0JjbSJm_normal.jpg</v>
      </c>
      <c r="G1168" s="64"/>
      <c r="H1168" s="68"/>
      <c r="I1168" s="69"/>
      <c r="J1168" s="69"/>
      <c r="K1168" s="68" t="s">
        <v>30301</v>
      </c>
      <c r="L1168" s="72"/>
      <c r="M1168" s="73"/>
      <c r="N1168" s="73"/>
      <c r="O1168" s="74"/>
      <c r="P1168" s="75"/>
      <c r="Q1168" s="75"/>
      <c r="R1168" s="102"/>
      <c r="S1168" s="102"/>
      <c r="T1168" s="102"/>
      <c r="U1168" s="102"/>
      <c r="V1168" s="48"/>
      <c r="W1168" s="48"/>
      <c r="X1168" s="48"/>
      <c r="Y1168" s="48"/>
      <c r="Z1168" s="47"/>
      <c r="AA1168" s="70">
        <v>1168</v>
      </c>
      <c r="AB1168" s="70"/>
      <c r="AC1168" s="71"/>
      <c r="AD1168" s="86" t="s">
        <v>24769</v>
      </c>
      <c r="AE1168" s="94" t="s">
        <v>23369</v>
      </c>
      <c r="AF1168" s="86">
        <v>36</v>
      </c>
      <c r="AG1168" s="86">
        <v>195</v>
      </c>
      <c r="AH1168" s="86">
        <v>599</v>
      </c>
      <c r="AI1168" s="86">
        <v>0</v>
      </c>
      <c r="AJ1168" s="86">
        <v>599</v>
      </c>
      <c r="AK1168" s="86">
        <v>87</v>
      </c>
      <c r="AL1168" s="86" t="b">
        <v>0</v>
      </c>
      <c r="AM1168" s="89">
        <v>45139.684884259259</v>
      </c>
      <c r="AN1168" s="86"/>
      <c r="AO1168" s="86" t="s">
        <v>27485</v>
      </c>
      <c r="AP1168" s="96" t="str">
        <f>HYPERLINK("https://t.co/wbuDvsElCm")</f>
        <v>https://t.co/wbuDvsElCm</v>
      </c>
      <c r="AQ1168" s="96" t="str">
        <f>HYPERLINK("https://linktr.ee/8NineteenProLAb")</f>
        <v>https://linktr.ee/8NineteenProLAb</v>
      </c>
      <c r="AR1168" s="86" t="s">
        <v>28677</v>
      </c>
      <c r="AS1168" s="86"/>
      <c r="AT1168" s="86"/>
      <c r="AU1168" s="86"/>
      <c r="AV1168" s="86">
        <v>1.6903972394019E+18</v>
      </c>
      <c r="AW1168" s="96" t="str">
        <f>HYPERLINK("https://t.co/wbuDvsElCm")</f>
        <v>https://t.co/wbuDvsElCm</v>
      </c>
      <c r="AX1168" s="86" t="b">
        <v>0</v>
      </c>
      <c r="AY1168" s="86"/>
      <c r="AZ1168" s="86"/>
      <c r="BA1168" s="86" t="b">
        <v>0</v>
      </c>
      <c r="BB1168" s="86" t="b">
        <v>1</v>
      </c>
      <c r="BC1168" s="86" t="b">
        <v>1</v>
      </c>
      <c r="BD1168" s="86" t="b">
        <v>0</v>
      </c>
      <c r="BE1168" s="86" t="b">
        <v>0</v>
      </c>
      <c r="BF1168" s="86" t="b">
        <v>0</v>
      </c>
      <c r="BG1168" s="86" t="b">
        <v>0</v>
      </c>
      <c r="BH1168" s="96" t="str">
        <f>HYPERLINK("https://pbs.twimg.com/profile_banners/1686412704993738752/1692086914")</f>
        <v>https://pbs.twimg.com/profile_banners/1686412704993738752/1692086914</v>
      </c>
      <c r="BI1168" s="86"/>
      <c r="BJ1168" s="86" t="s">
        <v>29134</v>
      </c>
      <c r="BK1168" s="86" t="b">
        <v>0</v>
      </c>
      <c r="BL1168" s="86"/>
      <c r="BM1168" s="86" t="s">
        <v>66</v>
      </c>
      <c r="BN1168" s="86" t="s">
        <v>29136</v>
      </c>
      <c r="BO1168" s="96" t="str">
        <f>HYPERLINK("https://twitter.com/8nineteenprolab")</f>
        <v>https://twitter.com/8nineteenprolab</v>
      </c>
      <c r="BP1168" s="2"/>
    </row>
    <row r="1169" spans="1:68" x14ac:dyDescent="0.25">
      <c r="A1169" s="63" t="s">
        <v>1218</v>
      </c>
      <c r="B1169" s="64"/>
      <c r="C1169" s="64"/>
      <c r="D1169" s="65"/>
      <c r="E1169" s="67"/>
      <c r="F1169" s="111" t="str">
        <f>HYPERLINK("https://pbs.twimg.com/profile_images/1560634020676874240/wK90qiOr_normal.jpg")</f>
        <v>https://pbs.twimg.com/profile_images/1560634020676874240/wK90qiOr_normal.jpg</v>
      </c>
      <c r="G1169" s="64"/>
      <c r="H1169" s="68"/>
      <c r="I1169" s="69"/>
      <c r="J1169" s="69"/>
      <c r="K1169" s="68" t="s">
        <v>30302</v>
      </c>
      <c r="L1169" s="72"/>
      <c r="M1169" s="73"/>
      <c r="N1169" s="73"/>
      <c r="O1169" s="74"/>
      <c r="P1169" s="75"/>
      <c r="Q1169" s="75"/>
      <c r="R1169" s="102"/>
      <c r="S1169" s="102"/>
      <c r="T1169" s="102"/>
      <c r="U1169" s="102"/>
      <c r="V1169" s="48"/>
      <c r="W1169" s="48"/>
      <c r="X1169" s="48"/>
      <c r="Y1169" s="48"/>
      <c r="Z1169" s="47"/>
      <c r="AA1169" s="70">
        <v>1169</v>
      </c>
      <c r="AB1169" s="70"/>
      <c r="AC1169" s="71"/>
      <c r="AD1169" s="86" t="s">
        <v>24770</v>
      </c>
      <c r="AE1169" s="94" t="s">
        <v>25688</v>
      </c>
      <c r="AF1169" s="86">
        <v>56</v>
      </c>
      <c r="AG1169" s="86">
        <v>139</v>
      </c>
      <c r="AH1169" s="86">
        <v>245</v>
      </c>
      <c r="AI1169" s="86">
        <v>0</v>
      </c>
      <c r="AJ1169" s="86">
        <v>1</v>
      </c>
      <c r="AK1169" s="86">
        <v>187</v>
      </c>
      <c r="AL1169" s="86" t="b">
        <v>0</v>
      </c>
      <c r="AM1169" s="89">
        <v>40904.657233796293</v>
      </c>
      <c r="AN1169" s="86" t="s">
        <v>26286</v>
      </c>
      <c r="AO1169" s="86" t="s">
        <v>27486</v>
      </c>
      <c r="AP1169" s="96" t="str">
        <f>HYPERLINK("https://t.co/oBH7gYbuhO")</f>
        <v>https://t.co/oBH7gYbuhO</v>
      </c>
      <c r="AQ1169" s="96" t="str">
        <f>HYPERLINK("http://www.criarteitu.com.br")</f>
        <v>http://www.criarteitu.com.br</v>
      </c>
      <c r="AR1169" s="86" t="s">
        <v>28678</v>
      </c>
      <c r="AS1169" s="86"/>
      <c r="AT1169" s="86"/>
      <c r="AU1169" s="86"/>
      <c r="AV1169" s="86"/>
      <c r="AW1169" s="96" t="str">
        <f>HYPERLINK("https://t.co/oBH7gYbuhO")</f>
        <v>https://t.co/oBH7gYbuhO</v>
      </c>
      <c r="AX1169" s="86" t="b">
        <v>0</v>
      </c>
      <c r="AY1169" s="86"/>
      <c r="AZ1169" s="86"/>
      <c r="BA1169" s="86" t="b">
        <v>0</v>
      </c>
      <c r="BB1169" s="86" t="b">
        <v>1</v>
      </c>
      <c r="BC1169" s="86" t="b">
        <v>0</v>
      </c>
      <c r="BD1169" s="86" t="b">
        <v>0</v>
      </c>
      <c r="BE1169" s="86" t="b">
        <v>0</v>
      </c>
      <c r="BF1169" s="86" t="b">
        <v>0</v>
      </c>
      <c r="BG1169" s="86" t="b">
        <v>0</v>
      </c>
      <c r="BH1169" s="96" t="str">
        <f>HYPERLINK("https://pbs.twimg.com/profile_banners/448069035/1660919121")</f>
        <v>https://pbs.twimg.com/profile_banners/448069035/1660919121</v>
      </c>
      <c r="BI1169" s="86"/>
      <c r="BJ1169" s="86" t="s">
        <v>29134</v>
      </c>
      <c r="BK1169" s="86" t="b">
        <v>0</v>
      </c>
      <c r="BL1169" s="86"/>
      <c r="BM1169" s="86" t="s">
        <v>66</v>
      </c>
      <c r="BN1169" s="86" t="s">
        <v>29136</v>
      </c>
      <c r="BO1169" s="96" t="str">
        <f>HYPERLINK("https://twitter.com/criarteitu")</f>
        <v>https://twitter.com/criarteitu</v>
      </c>
      <c r="BP1169" s="2"/>
    </row>
    <row r="1170" spans="1:68" x14ac:dyDescent="0.25">
      <c r="A1170" s="63" t="s">
        <v>1219</v>
      </c>
      <c r="B1170" s="64"/>
      <c r="C1170" s="64"/>
      <c r="D1170" s="65"/>
      <c r="E1170" s="67"/>
      <c r="F1170" s="111" t="str">
        <f>HYPERLINK("https://pbs.twimg.com/profile_images/1706639156581920768/qcFX_jqu_normal.jpg")</f>
        <v>https://pbs.twimg.com/profile_images/1706639156581920768/qcFX_jqu_normal.jpg</v>
      </c>
      <c r="G1170" s="64"/>
      <c r="H1170" s="68"/>
      <c r="I1170" s="69"/>
      <c r="J1170" s="69"/>
      <c r="K1170" s="68" t="s">
        <v>30303</v>
      </c>
      <c r="L1170" s="72"/>
      <c r="M1170" s="73"/>
      <c r="N1170" s="73"/>
      <c r="O1170" s="74"/>
      <c r="P1170" s="75"/>
      <c r="Q1170" s="75"/>
      <c r="R1170" s="102"/>
      <c r="S1170" s="102"/>
      <c r="T1170" s="102"/>
      <c r="U1170" s="102"/>
      <c r="V1170" s="48"/>
      <c r="W1170" s="48"/>
      <c r="X1170" s="48"/>
      <c r="Y1170" s="48"/>
      <c r="Z1170" s="47"/>
      <c r="AA1170" s="70">
        <v>1170</v>
      </c>
      <c r="AB1170" s="70"/>
      <c r="AC1170" s="71"/>
      <c r="AD1170" s="86" t="s">
        <v>24771</v>
      </c>
      <c r="AE1170" s="94" t="s">
        <v>23370</v>
      </c>
      <c r="AF1170" s="86">
        <v>17127</v>
      </c>
      <c r="AG1170" s="86">
        <v>2577</v>
      </c>
      <c r="AH1170" s="86">
        <v>8491</v>
      </c>
      <c r="AI1170" s="86">
        <v>18</v>
      </c>
      <c r="AJ1170" s="86">
        <v>139357</v>
      </c>
      <c r="AK1170" s="86">
        <v>1868</v>
      </c>
      <c r="AL1170" s="86" t="b">
        <v>0</v>
      </c>
      <c r="AM1170" s="89">
        <v>44168.559560185182</v>
      </c>
      <c r="AN1170" s="86" t="s">
        <v>25993</v>
      </c>
      <c r="AO1170" s="86" t="s">
        <v>27487</v>
      </c>
      <c r="AP1170" s="96" t="str">
        <f>HYPERLINK("https://t.co/dqCFsHBwyI")</f>
        <v>https://t.co/dqCFsHBwyI</v>
      </c>
      <c r="AQ1170" s="96" t="str">
        <f>HYPERLINK("https://linktr.ee/fabricioviana")</f>
        <v>https://linktr.ee/fabricioviana</v>
      </c>
      <c r="AR1170" s="86" t="s">
        <v>28679</v>
      </c>
      <c r="AS1170" s="86"/>
      <c r="AT1170" s="86"/>
      <c r="AU1170" s="86"/>
      <c r="AV1170" s="86">
        <v>1.4301718169082701E+18</v>
      </c>
      <c r="AW1170" s="96" t="str">
        <f>HYPERLINK("https://t.co/dqCFsHBwyI")</f>
        <v>https://t.co/dqCFsHBwyI</v>
      </c>
      <c r="AX1170" s="86" t="b">
        <v>0</v>
      </c>
      <c r="AY1170" s="86"/>
      <c r="AZ1170" s="86"/>
      <c r="BA1170" s="86" t="b">
        <v>1</v>
      </c>
      <c r="BB1170" s="86" t="b">
        <v>0</v>
      </c>
      <c r="BC1170" s="86" t="b">
        <v>1</v>
      </c>
      <c r="BD1170" s="86" t="b">
        <v>0</v>
      </c>
      <c r="BE1170" s="86" t="b">
        <v>1</v>
      </c>
      <c r="BF1170" s="86" t="b">
        <v>0</v>
      </c>
      <c r="BG1170" s="86" t="b">
        <v>1</v>
      </c>
      <c r="BH1170" s="96" t="str">
        <f>HYPERLINK("https://pbs.twimg.com/profile_banners/1334488964603006976/1689289314")</f>
        <v>https://pbs.twimg.com/profile_banners/1334488964603006976/1689289314</v>
      </c>
      <c r="BI1170" s="86" t="s">
        <v>29133</v>
      </c>
      <c r="BJ1170" s="86" t="s">
        <v>29134</v>
      </c>
      <c r="BK1170" s="86" t="b">
        <v>0</v>
      </c>
      <c r="BL1170" s="86"/>
      <c r="BM1170" s="86" t="s">
        <v>66</v>
      </c>
      <c r="BN1170" s="86" t="s">
        <v>29136</v>
      </c>
      <c r="BO1170" s="96" t="str">
        <f>HYPERLINK("https://twitter.com/fabricioviana")</f>
        <v>https://twitter.com/fabricioviana</v>
      </c>
      <c r="BP1170" s="2"/>
    </row>
    <row r="1171" spans="1:68" x14ac:dyDescent="0.25">
      <c r="A1171" s="63" t="s">
        <v>1220</v>
      </c>
      <c r="B1171" s="64"/>
      <c r="C1171" s="64"/>
      <c r="D1171" s="65"/>
      <c r="E1171" s="67"/>
      <c r="F1171" s="111" t="str">
        <f>HYPERLINK("https://pbs.twimg.com/profile_images/1595479679506563076/e-f4C_Ux_normal.jpg")</f>
        <v>https://pbs.twimg.com/profile_images/1595479679506563076/e-f4C_Ux_normal.jpg</v>
      </c>
      <c r="G1171" s="64"/>
      <c r="H1171" s="68"/>
      <c r="I1171" s="69"/>
      <c r="J1171" s="69"/>
      <c r="K1171" s="68" t="s">
        <v>30304</v>
      </c>
      <c r="L1171" s="72"/>
      <c r="M1171" s="73"/>
      <c r="N1171" s="73"/>
      <c r="O1171" s="74"/>
      <c r="P1171" s="75"/>
      <c r="Q1171" s="75"/>
      <c r="R1171" s="102"/>
      <c r="S1171" s="102"/>
      <c r="T1171" s="102"/>
      <c r="U1171" s="102"/>
      <c r="V1171" s="48"/>
      <c r="W1171" s="48"/>
      <c r="X1171" s="48"/>
      <c r="Y1171" s="48"/>
      <c r="Z1171" s="47"/>
      <c r="AA1171" s="70">
        <v>1171</v>
      </c>
      <c r="AB1171" s="70"/>
      <c r="AC1171" s="71"/>
      <c r="AD1171" s="86" t="s">
        <v>24772</v>
      </c>
      <c r="AE1171" s="94" t="s">
        <v>25689</v>
      </c>
      <c r="AF1171" s="86">
        <v>56</v>
      </c>
      <c r="AG1171" s="86">
        <v>73</v>
      </c>
      <c r="AH1171" s="86">
        <v>441</v>
      </c>
      <c r="AI1171" s="86">
        <v>1</v>
      </c>
      <c r="AJ1171" s="86">
        <v>21</v>
      </c>
      <c r="AK1171" s="86">
        <v>394</v>
      </c>
      <c r="AL1171" s="86" t="b">
        <v>0</v>
      </c>
      <c r="AM1171" s="89">
        <v>42250.155300925922</v>
      </c>
      <c r="AN1171" s="86" t="s">
        <v>15246</v>
      </c>
      <c r="AO1171" s="86" t="s">
        <v>27488</v>
      </c>
      <c r="AP1171" s="96" t="str">
        <f>HYPERLINK("https://t.co/Suc9XZPyxb")</f>
        <v>https://t.co/Suc9XZPyxb</v>
      </c>
      <c r="AQ1171" s="96" t="str">
        <f>HYPERLINK("http://www.cleversonlacerda.com.br")</f>
        <v>http://www.cleversonlacerda.com.br</v>
      </c>
      <c r="AR1171" s="86" t="s">
        <v>28680</v>
      </c>
      <c r="AS1171" s="86"/>
      <c r="AT1171" s="86"/>
      <c r="AU1171" s="86"/>
      <c r="AV1171" s="86">
        <v>1.68929257694627E+18</v>
      </c>
      <c r="AW1171" s="96" t="str">
        <f>HYPERLINK("https://t.co/Suc9XZPyxb")</f>
        <v>https://t.co/Suc9XZPyxb</v>
      </c>
      <c r="AX1171" s="86" t="b">
        <v>1</v>
      </c>
      <c r="AY1171" s="86"/>
      <c r="AZ1171" s="86"/>
      <c r="BA1171" s="86" t="b">
        <v>0</v>
      </c>
      <c r="BB1171" s="86" t="b">
        <v>1</v>
      </c>
      <c r="BC1171" s="86" t="b">
        <v>1</v>
      </c>
      <c r="BD1171" s="86" t="b">
        <v>0</v>
      </c>
      <c r="BE1171" s="86" t="b">
        <v>0</v>
      </c>
      <c r="BF1171" s="86" t="b">
        <v>0</v>
      </c>
      <c r="BG1171" s="86" t="b">
        <v>0</v>
      </c>
      <c r="BH1171" s="96" t="str">
        <f>HYPERLINK("https://pbs.twimg.com/profile_banners/3530068642/1689099964")</f>
        <v>https://pbs.twimg.com/profile_banners/3530068642/1689099964</v>
      </c>
      <c r="BI1171" s="86"/>
      <c r="BJ1171" s="86" t="s">
        <v>29134</v>
      </c>
      <c r="BK1171" s="86" t="b">
        <v>0</v>
      </c>
      <c r="BL1171" s="86"/>
      <c r="BM1171" s="86" t="s">
        <v>66</v>
      </c>
      <c r="BN1171" s="86" t="s">
        <v>29136</v>
      </c>
      <c r="BO1171" s="96" t="str">
        <f>HYPERLINK("https://twitter.com/cleverlacerda")</f>
        <v>https://twitter.com/cleverlacerda</v>
      </c>
      <c r="BP1171" s="2"/>
    </row>
    <row r="1172" spans="1:68" x14ac:dyDescent="0.25">
      <c r="A1172" s="63" t="s">
        <v>1221</v>
      </c>
      <c r="B1172" s="64"/>
      <c r="C1172" s="64"/>
      <c r="D1172" s="65"/>
      <c r="E1172" s="67"/>
      <c r="F1172" s="111" t="str">
        <f>HYPERLINK("https://pbs.twimg.com/profile_images/1092062290927587328/WUgi4mEp_normal.jpg")</f>
        <v>https://pbs.twimg.com/profile_images/1092062290927587328/WUgi4mEp_normal.jpg</v>
      </c>
      <c r="G1172" s="64"/>
      <c r="H1172" s="68"/>
      <c r="I1172" s="69"/>
      <c r="J1172" s="69"/>
      <c r="K1172" s="68" t="s">
        <v>30305</v>
      </c>
      <c r="L1172" s="72"/>
      <c r="M1172" s="73"/>
      <c r="N1172" s="73"/>
      <c r="O1172" s="74"/>
      <c r="P1172" s="75"/>
      <c r="Q1172" s="75"/>
      <c r="R1172" s="102"/>
      <c r="S1172" s="102"/>
      <c r="T1172" s="102"/>
      <c r="U1172" s="102"/>
      <c r="V1172" s="48"/>
      <c r="W1172" s="48"/>
      <c r="X1172" s="48"/>
      <c r="Y1172" s="48"/>
      <c r="Z1172" s="47"/>
      <c r="AA1172" s="70">
        <v>1172</v>
      </c>
      <c r="AB1172" s="70"/>
      <c r="AC1172" s="71"/>
      <c r="AD1172" s="86" t="s">
        <v>24773</v>
      </c>
      <c r="AE1172" s="94" t="s">
        <v>25690</v>
      </c>
      <c r="AF1172" s="86">
        <v>154</v>
      </c>
      <c r="AG1172" s="86">
        <v>515</v>
      </c>
      <c r="AH1172" s="86">
        <v>3290</v>
      </c>
      <c r="AI1172" s="86">
        <v>0</v>
      </c>
      <c r="AJ1172" s="86">
        <v>364</v>
      </c>
      <c r="AK1172" s="86">
        <v>1622</v>
      </c>
      <c r="AL1172" s="86" t="b">
        <v>0</v>
      </c>
      <c r="AM1172" s="89">
        <v>40669.170624999999</v>
      </c>
      <c r="AN1172" s="86" t="s">
        <v>15283</v>
      </c>
      <c r="AO1172" s="86" t="s">
        <v>27489</v>
      </c>
      <c r="AP1172" s="96" t="str">
        <f>HYPERLINK("https://t.co/SJDTYbeMov")</f>
        <v>https://t.co/SJDTYbeMov</v>
      </c>
      <c r="AQ1172" s="96" t="str">
        <f>HYPERLINK("http://www.grupojbg3.com.br")</f>
        <v>http://www.grupojbg3.com.br</v>
      </c>
      <c r="AR1172" s="86" t="s">
        <v>28414</v>
      </c>
      <c r="AS1172" s="86"/>
      <c r="AT1172" s="86"/>
      <c r="AU1172" s="86"/>
      <c r="AV1172" s="86"/>
      <c r="AW1172" s="96" t="str">
        <f>HYPERLINK("https://t.co/SJDTYbeMov")</f>
        <v>https://t.co/SJDTYbeMov</v>
      </c>
      <c r="AX1172" s="86" t="b">
        <v>1</v>
      </c>
      <c r="AY1172" s="86"/>
      <c r="AZ1172" s="86"/>
      <c r="BA1172" s="86" t="b">
        <v>1</v>
      </c>
      <c r="BB1172" s="86" t="b">
        <v>1</v>
      </c>
      <c r="BC1172" s="86" t="b">
        <v>1</v>
      </c>
      <c r="BD1172" s="86" t="b">
        <v>0</v>
      </c>
      <c r="BE1172" s="86" t="b">
        <v>0</v>
      </c>
      <c r="BF1172" s="86" t="b">
        <v>0</v>
      </c>
      <c r="BG1172" s="86" t="b">
        <v>0</v>
      </c>
      <c r="BH1172" s="96" t="str">
        <f>HYPERLINK("https://pbs.twimg.com/profile_banners/293876108/1514601214")</f>
        <v>https://pbs.twimg.com/profile_banners/293876108/1514601214</v>
      </c>
      <c r="BI1172" s="86"/>
      <c r="BJ1172" s="86" t="s">
        <v>29134</v>
      </c>
      <c r="BK1172" s="86" t="b">
        <v>0</v>
      </c>
      <c r="BL1172" s="86"/>
      <c r="BM1172" s="86" t="s">
        <v>66</v>
      </c>
      <c r="BN1172" s="86" t="s">
        <v>29136</v>
      </c>
      <c r="BO1172" s="96" t="str">
        <f>HYPERLINK("https://twitter.com/jailson_da")</f>
        <v>https://twitter.com/jailson_da</v>
      </c>
      <c r="BP1172" s="2"/>
    </row>
    <row r="1173" spans="1:68" x14ac:dyDescent="0.25">
      <c r="A1173" s="63" t="s">
        <v>1222</v>
      </c>
      <c r="B1173" s="64"/>
      <c r="C1173" s="64"/>
      <c r="D1173" s="65"/>
      <c r="E1173" s="67"/>
      <c r="F1173" s="111" t="str">
        <f>HYPERLINK("https://pbs.twimg.com/profile_images/1645170015182675969/jwR3HQdd_normal.jpg")</f>
        <v>https://pbs.twimg.com/profile_images/1645170015182675969/jwR3HQdd_normal.jpg</v>
      </c>
      <c r="G1173" s="64"/>
      <c r="H1173" s="68"/>
      <c r="I1173" s="69"/>
      <c r="J1173" s="69"/>
      <c r="K1173" s="68" t="s">
        <v>30306</v>
      </c>
      <c r="L1173" s="72"/>
      <c r="M1173" s="73"/>
      <c r="N1173" s="73"/>
      <c r="O1173" s="74"/>
      <c r="P1173" s="75"/>
      <c r="Q1173" s="75"/>
      <c r="R1173" s="102"/>
      <c r="S1173" s="102"/>
      <c r="T1173" s="102"/>
      <c r="U1173" s="102"/>
      <c r="V1173" s="48"/>
      <c r="W1173" s="48"/>
      <c r="X1173" s="48"/>
      <c r="Y1173" s="48"/>
      <c r="Z1173" s="47"/>
      <c r="AA1173" s="70">
        <v>1173</v>
      </c>
      <c r="AB1173" s="70"/>
      <c r="AC1173" s="71"/>
      <c r="AD1173" s="86" t="s">
        <v>24774</v>
      </c>
      <c r="AE1173" s="94" t="s">
        <v>23371</v>
      </c>
      <c r="AF1173" s="86">
        <v>20</v>
      </c>
      <c r="AG1173" s="86">
        <v>43</v>
      </c>
      <c r="AH1173" s="86">
        <v>341</v>
      </c>
      <c r="AI1173" s="86">
        <v>0</v>
      </c>
      <c r="AJ1173" s="86">
        <v>69</v>
      </c>
      <c r="AK1173" s="86">
        <v>4</v>
      </c>
      <c r="AL1173" s="86" t="b">
        <v>0</v>
      </c>
      <c r="AM1173" s="89">
        <v>44902.788287037038</v>
      </c>
      <c r="AN1173" s="86" t="s">
        <v>26287</v>
      </c>
      <c r="AO1173" s="86" t="s">
        <v>27490</v>
      </c>
      <c r="AP1173" s="96" t="str">
        <f>HYPERLINK("https://t.co/AYTgxTzR4Z")</f>
        <v>https://t.co/AYTgxTzR4Z</v>
      </c>
      <c r="AQ1173" s="96" t="str">
        <f>HYPERLINK("https://instagram.com/_afroditelingeriesexyshop?igshid=ZDc4ODBmNjlmNQ==")</f>
        <v>https://instagram.com/_afroditelingeriesexyshop?igshid=ZDc4ODBmNjlmNQ==</v>
      </c>
      <c r="AR1173" s="86" t="s">
        <v>28681</v>
      </c>
      <c r="AS1173" s="86"/>
      <c r="AT1173" s="86"/>
      <c r="AU1173" s="86"/>
      <c r="AV1173" s="86">
        <v>1.6097763458058801E+18</v>
      </c>
      <c r="AW1173" s="96" t="str">
        <f>HYPERLINK("https://t.co/AYTgxTzR4Z")</f>
        <v>https://t.co/AYTgxTzR4Z</v>
      </c>
      <c r="AX1173" s="86" t="b">
        <v>0</v>
      </c>
      <c r="AY1173" s="86"/>
      <c r="AZ1173" s="86"/>
      <c r="BA1173" s="86" t="b">
        <v>0</v>
      </c>
      <c r="BB1173" s="86" t="b">
        <v>1</v>
      </c>
      <c r="BC1173" s="86" t="b">
        <v>1</v>
      </c>
      <c r="BD1173" s="86" t="b">
        <v>0</v>
      </c>
      <c r="BE1173" s="86" t="b">
        <v>0</v>
      </c>
      <c r="BF1173" s="86" t="b">
        <v>0</v>
      </c>
      <c r="BG1173" s="86" t="b">
        <v>0</v>
      </c>
      <c r="BH1173" s="96" t="str">
        <f>HYPERLINK("https://pbs.twimg.com/profile_banners/1600564511077011456/1672635615")</f>
        <v>https://pbs.twimg.com/profile_banners/1600564511077011456/1672635615</v>
      </c>
      <c r="BI1173" s="86"/>
      <c r="BJ1173" s="86" t="s">
        <v>29134</v>
      </c>
      <c r="BK1173" s="86" t="b">
        <v>0</v>
      </c>
      <c r="BL1173" s="86"/>
      <c r="BM1173" s="86" t="s">
        <v>66</v>
      </c>
      <c r="BN1173" s="86" t="s">
        <v>29136</v>
      </c>
      <c r="BO1173" s="96" t="str">
        <f>HYPERLINK("https://twitter.com/_amandasantos09")</f>
        <v>https://twitter.com/_amandasantos09</v>
      </c>
      <c r="BP1173" s="2"/>
    </row>
    <row r="1174" spans="1:68" x14ac:dyDescent="0.25">
      <c r="A1174" s="63" t="s">
        <v>1223</v>
      </c>
      <c r="B1174" s="64"/>
      <c r="C1174" s="64"/>
      <c r="D1174" s="65"/>
      <c r="E1174" s="67"/>
      <c r="F1174" s="111" t="str">
        <f>HYPERLINK("https://pbs.twimg.com/profile_images/1551524899214204929/eFLrgf4c_normal.jpg")</f>
        <v>https://pbs.twimg.com/profile_images/1551524899214204929/eFLrgf4c_normal.jpg</v>
      </c>
      <c r="G1174" s="64"/>
      <c r="H1174" s="68"/>
      <c r="I1174" s="69"/>
      <c r="J1174" s="69"/>
      <c r="K1174" s="68" t="s">
        <v>30307</v>
      </c>
      <c r="L1174" s="72"/>
      <c r="M1174" s="73"/>
      <c r="N1174" s="73"/>
      <c r="O1174" s="74"/>
      <c r="P1174" s="75"/>
      <c r="Q1174" s="75"/>
      <c r="R1174" s="102"/>
      <c r="S1174" s="102"/>
      <c r="T1174" s="102"/>
      <c r="U1174" s="102"/>
      <c r="V1174" s="48"/>
      <c r="W1174" s="48"/>
      <c r="X1174" s="48"/>
      <c r="Y1174" s="48"/>
      <c r="Z1174" s="47"/>
      <c r="AA1174" s="70">
        <v>1174</v>
      </c>
      <c r="AB1174" s="70"/>
      <c r="AC1174" s="71"/>
      <c r="AD1174" s="86" t="s">
        <v>24775</v>
      </c>
      <c r="AE1174" s="94" t="s">
        <v>23372</v>
      </c>
      <c r="AF1174" s="86">
        <v>5</v>
      </c>
      <c r="AG1174" s="86">
        <v>151</v>
      </c>
      <c r="AH1174" s="86">
        <v>126</v>
      </c>
      <c r="AI1174" s="86">
        <v>0</v>
      </c>
      <c r="AJ1174" s="86">
        <v>27</v>
      </c>
      <c r="AK1174" s="86">
        <v>86</v>
      </c>
      <c r="AL1174" s="86" t="b">
        <v>0</v>
      </c>
      <c r="AM1174" s="89">
        <v>44767.464537037034</v>
      </c>
      <c r="AN1174" s="86" t="s">
        <v>26288</v>
      </c>
      <c r="AO1174" s="86" t="s">
        <v>27491</v>
      </c>
      <c r="AP1174" s="86"/>
      <c r="AQ1174" s="86"/>
      <c r="AR1174" s="86"/>
      <c r="AS1174" s="96" t="str">
        <f>HYPERLINK("https://t.co/vrjVZUQ2cR")</f>
        <v>https://t.co/vrjVZUQ2cR</v>
      </c>
      <c r="AT1174" s="96" t="str">
        <f>HYPERLINK("https://linktr.ee/achadosagora")</f>
        <v>https://linktr.ee/achadosagora</v>
      </c>
      <c r="AU1174" s="86" t="s">
        <v>29109</v>
      </c>
      <c r="AV1174" s="86"/>
      <c r="AW1174" s="86"/>
      <c r="AX1174" s="86" t="b">
        <v>0</v>
      </c>
      <c r="AY1174" s="86"/>
      <c r="AZ1174" s="86"/>
      <c r="BA1174" s="86" t="b">
        <v>0</v>
      </c>
      <c r="BB1174" s="86" t="b">
        <v>1</v>
      </c>
      <c r="BC1174" s="86" t="b">
        <v>1</v>
      </c>
      <c r="BD1174" s="86" t="b">
        <v>0</v>
      </c>
      <c r="BE1174" s="86" t="b">
        <v>1</v>
      </c>
      <c r="BF1174" s="86" t="b">
        <v>0</v>
      </c>
      <c r="BG1174" s="86" t="b">
        <v>0</v>
      </c>
      <c r="BH1174" s="96" t="str">
        <f>HYPERLINK("https://pbs.twimg.com/profile_banners/1551524776459620352/1678790856")</f>
        <v>https://pbs.twimg.com/profile_banners/1551524776459620352/1678790856</v>
      </c>
      <c r="BI1174" s="86"/>
      <c r="BJ1174" s="86" t="s">
        <v>29134</v>
      </c>
      <c r="BK1174" s="86" t="b">
        <v>0</v>
      </c>
      <c r="BL1174" s="86"/>
      <c r="BM1174" s="86" t="s">
        <v>66</v>
      </c>
      <c r="BN1174" s="86" t="s">
        <v>29136</v>
      </c>
      <c r="BO1174" s="96" t="str">
        <f>HYPERLINK("https://twitter.com/cris91390163")</f>
        <v>https://twitter.com/cris91390163</v>
      </c>
      <c r="BP1174" s="2"/>
    </row>
    <row r="1175" spans="1:68" x14ac:dyDescent="0.25">
      <c r="A1175" s="63" t="s">
        <v>1224</v>
      </c>
      <c r="B1175" s="64"/>
      <c r="C1175" s="64"/>
      <c r="D1175" s="65"/>
      <c r="E1175" s="67"/>
      <c r="F1175" s="111" t="str">
        <f>HYPERLINK("https://pbs.twimg.com/profile_images/1647970110848548864/-5OL2PEJ_normal.jpg")</f>
        <v>https://pbs.twimg.com/profile_images/1647970110848548864/-5OL2PEJ_normal.jpg</v>
      </c>
      <c r="G1175" s="64"/>
      <c r="H1175" s="68"/>
      <c r="I1175" s="69"/>
      <c r="J1175" s="69"/>
      <c r="K1175" s="68" t="s">
        <v>30308</v>
      </c>
      <c r="L1175" s="72"/>
      <c r="M1175" s="73"/>
      <c r="N1175" s="73"/>
      <c r="O1175" s="74"/>
      <c r="P1175" s="75"/>
      <c r="Q1175" s="75"/>
      <c r="R1175" s="102"/>
      <c r="S1175" s="102"/>
      <c r="T1175" s="102"/>
      <c r="U1175" s="102"/>
      <c r="V1175" s="48"/>
      <c r="W1175" s="48"/>
      <c r="X1175" s="48"/>
      <c r="Y1175" s="48"/>
      <c r="Z1175" s="47"/>
      <c r="AA1175" s="70">
        <v>1175</v>
      </c>
      <c r="AB1175" s="70"/>
      <c r="AC1175" s="71"/>
      <c r="AD1175" s="86" t="s">
        <v>24776</v>
      </c>
      <c r="AE1175" s="94" t="s">
        <v>22624</v>
      </c>
      <c r="AF1175" s="86">
        <v>24</v>
      </c>
      <c r="AG1175" s="86">
        <v>202</v>
      </c>
      <c r="AH1175" s="86">
        <v>553</v>
      </c>
      <c r="AI1175" s="86">
        <v>0</v>
      </c>
      <c r="AJ1175" s="86">
        <v>170</v>
      </c>
      <c r="AK1175" s="86">
        <v>240</v>
      </c>
      <c r="AL1175" s="86" t="b">
        <v>0</v>
      </c>
      <c r="AM1175" s="89">
        <v>44661.59097222222</v>
      </c>
      <c r="AN1175" s="86" t="s">
        <v>15249</v>
      </c>
      <c r="AO1175" s="86" t="s">
        <v>27492</v>
      </c>
      <c r="AP1175" s="96" t="str">
        <f>HYPERLINK("https://t.co/SnnEnKfbo5")</f>
        <v>https://t.co/SnnEnKfbo5</v>
      </c>
      <c r="AQ1175" s="96" t="str">
        <f>HYPERLINK("http://arzuaschmitt.com.br")</f>
        <v>http://arzuaschmitt.com.br</v>
      </c>
      <c r="AR1175" s="86" t="s">
        <v>28682</v>
      </c>
      <c r="AS1175" s="86"/>
      <c r="AT1175" s="86"/>
      <c r="AU1175" s="86"/>
      <c r="AV1175" s="86"/>
      <c r="AW1175" s="96" t="str">
        <f>HYPERLINK("https://t.co/SnnEnKfbo5")</f>
        <v>https://t.co/SnnEnKfbo5</v>
      </c>
      <c r="AX1175" s="86" t="b">
        <v>0</v>
      </c>
      <c r="AY1175" s="86"/>
      <c r="AZ1175" s="86"/>
      <c r="BA1175" s="86" t="b">
        <v>0</v>
      </c>
      <c r="BB1175" s="86" t="b">
        <v>0</v>
      </c>
      <c r="BC1175" s="86" t="b">
        <v>1</v>
      </c>
      <c r="BD1175" s="86" t="b">
        <v>0</v>
      </c>
      <c r="BE1175" s="86" t="b">
        <v>0</v>
      </c>
      <c r="BF1175" s="86" t="b">
        <v>0</v>
      </c>
      <c r="BG1175" s="86" t="b">
        <v>0</v>
      </c>
      <c r="BH1175" s="96" t="str">
        <f>HYPERLINK("https://pbs.twimg.com/profile_banners/1513157537071255559/1652899743")</f>
        <v>https://pbs.twimg.com/profile_banners/1513157537071255559/1652899743</v>
      </c>
      <c r="BI1175" s="86"/>
      <c r="BJ1175" s="86" t="s">
        <v>29134</v>
      </c>
      <c r="BK1175" s="86" t="b">
        <v>0</v>
      </c>
      <c r="BL1175" s="86"/>
      <c r="BM1175" s="86" t="s">
        <v>66</v>
      </c>
      <c r="BN1175" s="86" t="s">
        <v>29136</v>
      </c>
      <c r="BO1175" s="96" t="str">
        <f>HYPERLINK("https://twitter.com/matheusarzua")</f>
        <v>https://twitter.com/matheusarzua</v>
      </c>
      <c r="BP1175" s="2"/>
    </row>
    <row r="1176" spans="1:68" x14ac:dyDescent="0.25">
      <c r="A1176" s="63" t="s">
        <v>1225</v>
      </c>
      <c r="B1176" s="64"/>
      <c r="C1176" s="64"/>
      <c r="D1176" s="65"/>
      <c r="E1176" s="67"/>
      <c r="F1176" s="111" t="str">
        <f>HYPERLINK("https://pbs.twimg.com/profile_images/1622572400087818242/bYW79qSC_normal.jpg")</f>
        <v>https://pbs.twimg.com/profile_images/1622572400087818242/bYW79qSC_normal.jpg</v>
      </c>
      <c r="G1176" s="64"/>
      <c r="H1176" s="68"/>
      <c r="I1176" s="69"/>
      <c r="J1176" s="69"/>
      <c r="K1176" s="68" t="s">
        <v>30309</v>
      </c>
      <c r="L1176" s="72"/>
      <c r="M1176" s="73"/>
      <c r="N1176" s="73"/>
      <c r="O1176" s="74"/>
      <c r="P1176" s="75"/>
      <c r="Q1176" s="75"/>
      <c r="R1176" s="102"/>
      <c r="S1176" s="102"/>
      <c r="T1176" s="102"/>
      <c r="U1176" s="102"/>
      <c r="V1176" s="48"/>
      <c r="W1176" s="48"/>
      <c r="X1176" s="48"/>
      <c r="Y1176" s="48"/>
      <c r="Z1176" s="47"/>
      <c r="AA1176" s="70">
        <v>1176</v>
      </c>
      <c r="AB1176" s="70"/>
      <c r="AC1176" s="71"/>
      <c r="AD1176" s="86" t="s">
        <v>24777</v>
      </c>
      <c r="AE1176" s="94" t="s">
        <v>23373</v>
      </c>
      <c r="AF1176" s="86">
        <v>2561</v>
      </c>
      <c r="AG1176" s="86">
        <v>136</v>
      </c>
      <c r="AH1176" s="86">
        <v>1546</v>
      </c>
      <c r="AI1176" s="86">
        <v>8</v>
      </c>
      <c r="AJ1176" s="86">
        <v>724</v>
      </c>
      <c r="AK1176" s="86">
        <v>1005</v>
      </c>
      <c r="AL1176" s="86" t="b">
        <v>0</v>
      </c>
      <c r="AM1176" s="89">
        <v>42837.862881944442</v>
      </c>
      <c r="AN1176" s="86" t="s">
        <v>25932</v>
      </c>
      <c r="AO1176" s="86" t="s">
        <v>27493</v>
      </c>
      <c r="AP1176" s="96" t="str">
        <f>HYPERLINK("https://t.co/kid4CAdlgH")</f>
        <v>https://t.co/kid4CAdlgH</v>
      </c>
      <c r="AQ1176" s="96" t="str">
        <f>HYPERLINK("https://orbi.co/")</f>
        <v>https://orbi.co/</v>
      </c>
      <c r="AR1176" s="86" t="s">
        <v>28683</v>
      </c>
      <c r="AS1176" s="86"/>
      <c r="AT1176" s="86"/>
      <c r="AU1176" s="86"/>
      <c r="AV1176" s="86"/>
      <c r="AW1176" s="96" t="str">
        <f>HYPERLINK("https://t.co/kid4CAdlgH")</f>
        <v>https://t.co/kid4CAdlgH</v>
      </c>
      <c r="AX1176" s="86" t="b">
        <v>0</v>
      </c>
      <c r="AY1176" s="86"/>
      <c r="AZ1176" s="86"/>
      <c r="BA1176" s="86" t="b">
        <v>0</v>
      </c>
      <c r="BB1176" s="86" t="b">
        <v>1</v>
      </c>
      <c r="BC1176" s="86" t="b">
        <v>0</v>
      </c>
      <c r="BD1176" s="86" t="b">
        <v>0</v>
      </c>
      <c r="BE1176" s="86" t="b">
        <v>1</v>
      </c>
      <c r="BF1176" s="86" t="b">
        <v>0</v>
      </c>
      <c r="BG1176" s="86" t="b">
        <v>0</v>
      </c>
      <c r="BH1176" s="96" t="str">
        <f>HYPERLINK("https://pbs.twimg.com/profile_banners/852260673056903170/1680616123")</f>
        <v>https://pbs.twimg.com/profile_banners/852260673056903170/1680616123</v>
      </c>
      <c r="BI1176" s="86"/>
      <c r="BJ1176" s="86" t="s">
        <v>29134</v>
      </c>
      <c r="BK1176" s="86" t="b">
        <v>0</v>
      </c>
      <c r="BL1176" s="86"/>
      <c r="BM1176" s="86" t="s">
        <v>66</v>
      </c>
      <c r="BN1176" s="86" t="s">
        <v>29136</v>
      </c>
      <c r="BO1176" s="96" t="str">
        <f>HYPERLINK("https://twitter.com/orbiconecta")</f>
        <v>https://twitter.com/orbiconecta</v>
      </c>
      <c r="BP1176" s="2"/>
    </row>
    <row r="1177" spans="1:68" x14ac:dyDescent="0.25">
      <c r="A1177" s="63" t="s">
        <v>1227</v>
      </c>
      <c r="B1177" s="64"/>
      <c r="C1177" s="64"/>
      <c r="D1177" s="65"/>
      <c r="E1177" s="67"/>
      <c r="F1177" s="111" t="str">
        <f>HYPERLINK("https://pbs.twimg.com/profile_images/1317310779645972480/DIB05Imk_normal.jpg")</f>
        <v>https://pbs.twimg.com/profile_images/1317310779645972480/DIB05Imk_normal.jpg</v>
      </c>
      <c r="G1177" s="64"/>
      <c r="H1177" s="68"/>
      <c r="I1177" s="69"/>
      <c r="J1177" s="69"/>
      <c r="K1177" s="68" t="s">
        <v>30310</v>
      </c>
      <c r="L1177" s="72"/>
      <c r="M1177" s="73"/>
      <c r="N1177" s="73"/>
      <c r="O1177" s="74"/>
      <c r="P1177" s="75"/>
      <c r="Q1177" s="75"/>
      <c r="R1177" s="102"/>
      <c r="S1177" s="102"/>
      <c r="T1177" s="102"/>
      <c r="U1177" s="102"/>
      <c r="V1177" s="48"/>
      <c r="W1177" s="48"/>
      <c r="X1177" s="48"/>
      <c r="Y1177" s="48"/>
      <c r="Z1177" s="47"/>
      <c r="AA1177" s="70">
        <v>1177</v>
      </c>
      <c r="AB1177" s="70"/>
      <c r="AC1177" s="71"/>
      <c r="AD1177" s="86" t="s">
        <v>24778</v>
      </c>
      <c r="AE1177" s="94" t="s">
        <v>25691</v>
      </c>
      <c r="AF1177" s="86">
        <v>261</v>
      </c>
      <c r="AG1177" s="86">
        <v>426</v>
      </c>
      <c r="AH1177" s="86">
        <v>4249</v>
      </c>
      <c r="AI1177" s="86">
        <v>1</v>
      </c>
      <c r="AJ1177" s="86">
        <v>13082</v>
      </c>
      <c r="AK1177" s="86">
        <v>417</v>
      </c>
      <c r="AL1177" s="86" t="b">
        <v>0</v>
      </c>
      <c r="AM1177" s="89">
        <v>40432.036631944444</v>
      </c>
      <c r="AN1177" s="86" t="s">
        <v>15289</v>
      </c>
      <c r="AO1177" s="86" t="s">
        <v>27494</v>
      </c>
      <c r="AP1177" s="96" t="str">
        <f>HYPERLINK("https://t.co/Vza1rJtyF7")</f>
        <v>https://t.co/Vza1rJtyF7</v>
      </c>
      <c r="AQ1177" s="96" t="str">
        <f>HYPERLINK("http://www.instagram.com/edersonrmelo")</f>
        <v>http://www.instagram.com/edersonrmelo</v>
      </c>
      <c r="AR1177" s="86" t="s">
        <v>28684</v>
      </c>
      <c r="AS1177" s="86"/>
      <c r="AT1177" s="86"/>
      <c r="AU1177" s="86"/>
      <c r="AV1177" s="86">
        <v>1.5254645403511601E+18</v>
      </c>
      <c r="AW1177" s="96" t="str">
        <f>HYPERLINK("https://t.co/Vza1rJtyF7")</f>
        <v>https://t.co/Vza1rJtyF7</v>
      </c>
      <c r="AX1177" s="86" t="b">
        <v>0</v>
      </c>
      <c r="AY1177" s="86"/>
      <c r="AZ1177" s="86"/>
      <c r="BA1177" s="86" t="b">
        <v>0</v>
      </c>
      <c r="BB1177" s="86" t="b">
        <v>0</v>
      </c>
      <c r="BC1177" s="86" t="b">
        <v>0</v>
      </c>
      <c r="BD1177" s="86" t="b">
        <v>0</v>
      </c>
      <c r="BE1177" s="86" t="b">
        <v>1</v>
      </c>
      <c r="BF1177" s="86" t="b">
        <v>0</v>
      </c>
      <c r="BG1177" s="86" t="b">
        <v>0</v>
      </c>
      <c r="BH1177" s="96" t="str">
        <f>HYPERLINK("https://pbs.twimg.com/profile_banners/189343931/1685793297")</f>
        <v>https://pbs.twimg.com/profile_banners/189343931/1685793297</v>
      </c>
      <c r="BI1177" s="86"/>
      <c r="BJ1177" s="86" t="s">
        <v>29134</v>
      </c>
      <c r="BK1177" s="86" t="b">
        <v>0</v>
      </c>
      <c r="BL1177" s="86"/>
      <c r="BM1177" s="86" t="s">
        <v>66</v>
      </c>
      <c r="BN1177" s="86" t="s">
        <v>29136</v>
      </c>
      <c r="BO1177" s="96" t="str">
        <f>HYPERLINK("https://twitter.com/ederson_melo")</f>
        <v>https://twitter.com/ederson_melo</v>
      </c>
      <c r="BP1177" s="2"/>
    </row>
    <row r="1178" spans="1:68" x14ac:dyDescent="0.25">
      <c r="A1178" s="63" t="s">
        <v>1228</v>
      </c>
      <c r="B1178" s="64"/>
      <c r="C1178" s="64"/>
      <c r="D1178" s="65"/>
      <c r="E1178" s="67"/>
      <c r="F1178" s="111" t="str">
        <f>HYPERLINK("https://pbs.twimg.com/profile_images/1706409240481366016/qqYezrzl_normal.jpg")</f>
        <v>https://pbs.twimg.com/profile_images/1706409240481366016/qqYezrzl_normal.jpg</v>
      </c>
      <c r="G1178" s="64"/>
      <c r="H1178" s="68"/>
      <c r="I1178" s="69"/>
      <c r="J1178" s="69"/>
      <c r="K1178" s="68" t="s">
        <v>30311</v>
      </c>
      <c r="L1178" s="72"/>
      <c r="M1178" s="73"/>
      <c r="N1178" s="73"/>
      <c r="O1178" s="74"/>
      <c r="P1178" s="75"/>
      <c r="Q1178" s="75"/>
      <c r="R1178" s="102"/>
      <c r="S1178" s="102"/>
      <c r="T1178" s="102"/>
      <c r="U1178" s="102"/>
      <c r="V1178" s="48"/>
      <c r="W1178" s="48"/>
      <c r="X1178" s="48"/>
      <c r="Y1178" s="48"/>
      <c r="Z1178" s="47"/>
      <c r="AA1178" s="70">
        <v>1178</v>
      </c>
      <c r="AB1178" s="70"/>
      <c r="AC1178" s="71"/>
      <c r="AD1178" s="86" t="s">
        <v>24779</v>
      </c>
      <c r="AE1178" s="94" t="s">
        <v>23374</v>
      </c>
      <c r="AF1178" s="86">
        <v>0</v>
      </c>
      <c r="AG1178" s="86">
        <v>0</v>
      </c>
      <c r="AH1178" s="86">
        <v>8</v>
      </c>
      <c r="AI1178" s="86">
        <v>0</v>
      </c>
      <c r="AJ1178" s="86">
        <v>7</v>
      </c>
      <c r="AK1178" s="86">
        <v>6</v>
      </c>
      <c r="AL1178" s="86" t="b">
        <v>0</v>
      </c>
      <c r="AM1178" s="89">
        <v>44853.684872685182</v>
      </c>
      <c r="AN1178" s="86"/>
      <c r="AO1178" s="86" t="s">
        <v>27495</v>
      </c>
      <c r="AP1178" s="86"/>
      <c r="AQ1178" s="86"/>
      <c r="AR1178" s="86"/>
      <c r="AS1178" s="86"/>
      <c r="AT1178" s="86"/>
      <c r="AU1178" s="86"/>
      <c r="AV1178" s="86">
        <v>1.66405265302065E+18</v>
      </c>
      <c r="AW1178" s="86"/>
      <c r="AX1178" s="86" t="b">
        <v>0</v>
      </c>
      <c r="AY1178" s="86"/>
      <c r="AZ1178" s="86"/>
      <c r="BA1178" s="86" t="b">
        <v>0</v>
      </c>
      <c r="BB1178" s="86" t="b">
        <v>1</v>
      </c>
      <c r="BC1178" s="86" t="b">
        <v>1</v>
      </c>
      <c r="BD1178" s="86" t="b">
        <v>0</v>
      </c>
      <c r="BE1178" s="86" t="b">
        <v>0</v>
      </c>
      <c r="BF1178" s="86" t="b">
        <v>0</v>
      </c>
      <c r="BG1178" s="86" t="b">
        <v>1</v>
      </c>
      <c r="BH1178" s="96" t="str">
        <f>HYPERLINK("https://pbs.twimg.com/profile_banners/1582769920089231360/1695674652")</f>
        <v>https://pbs.twimg.com/profile_banners/1582769920089231360/1695674652</v>
      </c>
      <c r="BI1178" s="86"/>
      <c r="BJ1178" s="86" t="s">
        <v>29134</v>
      </c>
      <c r="BK1178" s="86" t="b">
        <v>0</v>
      </c>
      <c r="BL1178" s="86"/>
      <c r="BM1178" s="86" t="s">
        <v>66</v>
      </c>
      <c r="BN1178" s="86" t="s">
        <v>29136</v>
      </c>
      <c r="BO1178" s="96" t="str">
        <f>HYPERLINK("https://twitter.com/adriano0406038")</f>
        <v>https://twitter.com/adriano0406038</v>
      </c>
      <c r="BP1178" s="2"/>
    </row>
    <row r="1179" spans="1:68" x14ac:dyDescent="0.25">
      <c r="A1179" s="63" t="s">
        <v>1229</v>
      </c>
      <c r="B1179" s="64"/>
      <c r="C1179" s="64"/>
      <c r="D1179" s="65"/>
      <c r="E1179" s="67"/>
      <c r="F1179" s="111" t="str">
        <f>HYPERLINK("https://pbs.twimg.com/profile_images/1609719940491116544/NTaonkWC_normal.jpg")</f>
        <v>https://pbs.twimg.com/profile_images/1609719940491116544/NTaonkWC_normal.jpg</v>
      </c>
      <c r="G1179" s="64"/>
      <c r="H1179" s="68"/>
      <c r="I1179" s="69"/>
      <c r="J1179" s="69"/>
      <c r="K1179" s="68" t="s">
        <v>30312</v>
      </c>
      <c r="L1179" s="72"/>
      <c r="M1179" s="73"/>
      <c r="N1179" s="73"/>
      <c r="O1179" s="74"/>
      <c r="P1179" s="75"/>
      <c r="Q1179" s="75"/>
      <c r="R1179" s="102"/>
      <c r="S1179" s="102"/>
      <c r="T1179" s="102"/>
      <c r="U1179" s="102"/>
      <c r="V1179" s="48"/>
      <c r="W1179" s="48"/>
      <c r="X1179" s="48"/>
      <c r="Y1179" s="48"/>
      <c r="Z1179" s="47"/>
      <c r="AA1179" s="70">
        <v>1179</v>
      </c>
      <c r="AB1179" s="70"/>
      <c r="AC1179" s="71"/>
      <c r="AD1179" s="86" t="s">
        <v>24780</v>
      </c>
      <c r="AE1179" s="94" t="s">
        <v>23375</v>
      </c>
      <c r="AF1179" s="86">
        <v>832</v>
      </c>
      <c r="AG1179" s="86">
        <v>34</v>
      </c>
      <c r="AH1179" s="86">
        <v>883</v>
      </c>
      <c r="AI1179" s="86">
        <v>8</v>
      </c>
      <c r="AJ1179" s="86">
        <v>4</v>
      </c>
      <c r="AK1179" s="86">
        <v>389</v>
      </c>
      <c r="AL1179" s="86" t="b">
        <v>0</v>
      </c>
      <c r="AM1179" s="89">
        <v>44881.577372685184</v>
      </c>
      <c r="AN1179" s="86"/>
      <c r="AO1179" s="86" t="s">
        <v>27496</v>
      </c>
      <c r="AP1179" s="86"/>
      <c r="AQ1179" s="86"/>
      <c r="AR1179" s="86"/>
      <c r="AS1179" s="86"/>
      <c r="AT1179" s="86"/>
      <c r="AU1179" s="86"/>
      <c r="AV1179" s="86"/>
      <c r="AW1179" s="86"/>
      <c r="AX1179" s="86" t="b">
        <v>0</v>
      </c>
      <c r="AY1179" s="86"/>
      <c r="AZ1179" s="86"/>
      <c r="BA1179" s="86" t="b">
        <v>0</v>
      </c>
      <c r="BB1179" s="86" t="b">
        <v>1</v>
      </c>
      <c r="BC1179" s="86" t="b">
        <v>1</v>
      </c>
      <c r="BD1179" s="86" t="b">
        <v>0</v>
      </c>
      <c r="BE1179" s="86" t="b">
        <v>0</v>
      </c>
      <c r="BF1179" s="86" t="b">
        <v>0</v>
      </c>
      <c r="BG1179" s="86" t="b">
        <v>0</v>
      </c>
      <c r="BH1179" s="96" t="str">
        <f>HYPERLINK("https://pbs.twimg.com/profile_banners/1592877910079291392/1691614005")</f>
        <v>https://pbs.twimg.com/profile_banners/1592877910079291392/1691614005</v>
      </c>
      <c r="BI1179" s="86"/>
      <c r="BJ1179" s="86" t="s">
        <v>29134</v>
      </c>
      <c r="BK1179" s="86" t="b">
        <v>0</v>
      </c>
      <c r="BL1179" s="86"/>
      <c r="BM1179" s="86" t="s">
        <v>66</v>
      </c>
      <c r="BN1179" s="86" t="s">
        <v>29136</v>
      </c>
      <c r="BO1179" s="96" t="str">
        <f>HYPERLINK("https://twitter.com/governope")</f>
        <v>https://twitter.com/governope</v>
      </c>
      <c r="BP1179" s="2"/>
    </row>
    <row r="1180" spans="1:68" x14ac:dyDescent="0.25">
      <c r="A1180" s="63" t="s">
        <v>1230</v>
      </c>
      <c r="B1180" s="64"/>
      <c r="C1180" s="64"/>
      <c r="D1180" s="65"/>
      <c r="E1180" s="67"/>
      <c r="F1180" s="111" t="str">
        <f>HYPERLINK("https://pbs.twimg.com/profile_images/1680391087108636673/Uax2ql3J_normal.jpg")</f>
        <v>https://pbs.twimg.com/profile_images/1680391087108636673/Uax2ql3J_normal.jpg</v>
      </c>
      <c r="G1180" s="64"/>
      <c r="H1180" s="68"/>
      <c r="I1180" s="69"/>
      <c r="J1180" s="69"/>
      <c r="K1180" s="68" t="s">
        <v>30313</v>
      </c>
      <c r="L1180" s="72"/>
      <c r="M1180" s="73"/>
      <c r="N1180" s="73"/>
      <c r="O1180" s="74"/>
      <c r="P1180" s="75"/>
      <c r="Q1180" s="75"/>
      <c r="R1180" s="102"/>
      <c r="S1180" s="102"/>
      <c r="T1180" s="102"/>
      <c r="U1180" s="102"/>
      <c r="V1180" s="48"/>
      <c r="W1180" s="48"/>
      <c r="X1180" s="48"/>
      <c r="Y1180" s="48"/>
      <c r="Z1180" s="47"/>
      <c r="AA1180" s="70">
        <v>1180</v>
      </c>
      <c r="AB1180" s="70"/>
      <c r="AC1180" s="71"/>
      <c r="AD1180" s="86" t="s">
        <v>24781</v>
      </c>
      <c r="AE1180" s="94" t="s">
        <v>23376</v>
      </c>
      <c r="AF1180" s="86">
        <v>63</v>
      </c>
      <c r="AG1180" s="86">
        <v>897</v>
      </c>
      <c r="AH1180" s="86">
        <v>34</v>
      </c>
      <c r="AI1180" s="86">
        <v>0</v>
      </c>
      <c r="AJ1180" s="86">
        <v>45</v>
      </c>
      <c r="AK1180" s="86">
        <v>33</v>
      </c>
      <c r="AL1180" s="86" t="b">
        <v>0</v>
      </c>
      <c r="AM1180" s="89">
        <v>45117.694733796299</v>
      </c>
      <c r="AN1180" s="86" t="s">
        <v>15246</v>
      </c>
      <c r="AO1180" s="86" t="s">
        <v>27497</v>
      </c>
      <c r="AP1180" s="86"/>
      <c r="AQ1180" s="86"/>
      <c r="AR1180" s="86"/>
      <c r="AS1180" s="86"/>
      <c r="AT1180" s="86"/>
      <c r="AU1180" s="86"/>
      <c r="AV1180" s="86"/>
      <c r="AW1180" s="86"/>
      <c r="AX1180" s="86" t="b">
        <v>0</v>
      </c>
      <c r="AY1180" s="86"/>
      <c r="AZ1180" s="86"/>
      <c r="BA1180" s="86" t="b">
        <v>0</v>
      </c>
      <c r="BB1180" s="86" t="b">
        <v>1</v>
      </c>
      <c r="BC1180" s="86" t="b">
        <v>1</v>
      </c>
      <c r="BD1180" s="86" t="b">
        <v>0</v>
      </c>
      <c r="BE1180" s="86" t="b">
        <v>0</v>
      </c>
      <c r="BF1180" s="86" t="b">
        <v>0</v>
      </c>
      <c r="BG1180" s="86" t="b">
        <v>0</v>
      </c>
      <c r="BH1180" s="86"/>
      <c r="BI1180" s="86"/>
      <c r="BJ1180" s="86" t="s">
        <v>29134</v>
      </c>
      <c r="BK1180" s="86" t="b">
        <v>0</v>
      </c>
      <c r="BL1180" s="86"/>
      <c r="BM1180" s="86" t="s">
        <v>66</v>
      </c>
      <c r="BN1180" s="86" t="s">
        <v>29136</v>
      </c>
      <c r="BO1180" s="96" t="str">
        <f>HYPERLINK("https://twitter.com/unhasdedeusa")</f>
        <v>https://twitter.com/unhasdedeusa</v>
      </c>
      <c r="BP1180" s="2"/>
    </row>
    <row r="1181" spans="1:68" x14ac:dyDescent="0.25">
      <c r="A1181" s="63" t="s">
        <v>1231</v>
      </c>
      <c r="B1181" s="64"/>
      <c r="C1181" s="64"/>
      <c r="D1181" s="65"/>
      <c r="E1181" s="67"/>
      <c r="F1181" s="111" t="str">
        <f>HYPERLINK("https://pbs.twimg.com/profile_images/1343582360680460292/EtoZJOus_normal.jpg")</f>
        <v>https://pbs.twimg.com/profile_images/1343582360680460292/EtoZJOus_normal.jpg</v>
      </c>
      <c r="G1181" s="64"/>
      <c r="H1181" s="68"/>
      <c r="I1181" s="69"/>
      <c r="J1181" s="69"/>
      <c r="K1181" s="68" t="s">
        <v>30314</v>
      </c>
      <c r="L1181" s="72"/>
      <c r="M1181" s="73"/>
      <c r="N1181" s="73"/>
      <c r="O1181" s="74"/>
      <c r="P1181" s="75"/>
      <c r="Q1181" s="75"/>
      <c r="R1181" s="102"/>
      <c r="S1181" s="102"/>
      <c r="T1181" s="102"/>
      <c r="U1181" s="102"/>
      <c r="V1181" s="48"/>
      <c r="W1181" s="48"/>
      <c r="X1181" s="48"/>
      <c r="Y1181" s="48"/>
      <c r="Z1181" s="47"/>
      <c r="AA1181" s="70">
        <v>1181</v>
      </c>
      <c r="AB1181" s="70"/>
      <c r="AC1181" s="71"/>
      <c r="AD1181" s="86" t="s">
        <v>24782</v>
      </c>
      <c r="AE1181" s="94" t="s">
        <v>23377</v>
      </c>
      <c r="AF1181" s="86">
        <v>301</v>
      </c>
      <c r="AG1181" s="86">
        <v>34</v>
      </c>
      <c r="AH1181" s="86">
        <v>1104</v>
      </c>
      <c r="AI1181" s="86">
        <v>1</v>
      </c>
      <c r="AJ1181" s="86">
        <v>167</v>
      </c>
      <c r="AK1181" s="86">
        <v>865</v>
      </c>
      <c r="AL1181" s="86" t="b">
        <v>0</v>
      </c>
      <c r="AM1181" s="89">
        <v>43622.123854166668</v>
      </c>
      <c r="AN1181" s="86" t="s">
        <v>26289</v>
      </c>
      <c r="AO1181" s="86" t="s">
        <v>27498</v>
      </c>
      <c r="AP1181" s="96" t="str">
        <f>HYPERLINK("https://t.co/XqrpBWsmbk")</f>
        <v>https://t.co/XqrpBWsmbk</v>
      </c>
      <c r="AQ1181" s="96" t="str">
        <f>HYPERLINK("http://cufaes.org")</f>
        <v>http://cufaes.org</v>
      </c>
      <c r="AR1181" s="86" t="s">
        <v>28685</v>
      </c>
      <c r="AS1181" s="86"/>
      <c r="AT1181" s="86"/>
      <c r="AU1181" s="86"/>
      <c r="AV1181" s="86"/>
      <c r="AW1181" s="96" t="str">
        <f>HYPERLINK("https://t.co/XqrpBWsmbk")</f>
        <v>https://t.co/XqrpBWsmbk</v>
      </c>
      <c r="AX1181" s="86" t="b">
        <v>0</v>
      </c>
      <c r="AY1181" s="86"/>
      <c r="AZ1181" s="86"/>
      <c r="BA1181" s="86" t="b">
        <v>0</v>
      </c>
      <c r="BB1181" s="86" t="b">
        <v>1</v>
      </c>
      <c r="BC1181" s="86" t="b">
        <v>1</v>
      </c>
      <c r="BD1181" s="86" t="b">
        <v>0</v>
      </c>
      <c r="BE1181" s="86" t="b">
        <v>0</v>
      </c>
      <c r="BF1181" s="86" t="b">
        <v>0</v>
      </c>
      <c r="BG1181" s="86" t="b">
        <v>0</v>
      </c>
      <c r="BH1181" s="96" t="str">
        <f>HYPERLINK("https://pbs.twimg.com/profile_banners/1136467332832923648/1691446819")</f>
        <v>https://pbs.twimg.com/profile_banners/1136467332832923648/1691446819</v>
      </c>
      <c r="BI1181" s="86"/>
      <c r="BJ1181" s="86" t="s">
        <v>29134</v>
      </c>
      <c r="BK1181" s="86" t="b">
        <v>0</v>
      </c>
      <c r="BL1181" s="86"/>
      <c r="BM1181" s="86" t="s">
        <v>66</v>
      </c>
      <c r="BN1181" s="86" t="s">
        <v>29136</v>
      </c>
      <c r="BO1181" s="96" t="str">
        <f>HYPERLINK("https://twitter.com/cufa_es")</f>
        <v>https://twitter.com/cufa_es</v>
      </c>
      <c r="BP1181" s="2"/>
    </row>
    <row r="1182" spans="1:68" x14ac:dyDescent="0.25">
      <c r="A1182" s="63" t="s">
        <v>1232</v>
      </c>
      <c r="B1182" s="64"/>
      <c r="C1182" s="64"/>
      <c r="D1182" s="65"/>
      <c r="E1182" s="67"/>
      <c r="F1182" s="111" t="str">
        <f>HYPERLINK("https://pbs.twimg.com/profile_images/1684168681843048449/qhQXyLHW_normal.jpg")</f>
        <v>https://pbs.twimg.com/profile_images/1684168681843048449/qhQXyLHW_normal.jpg</v>
      </c>
      <c r="G1182" s="64"/>
      <c r="H1182" s="68"/>
      <c r="I1182" s="69"/>
      <c r="J1182" s="69"/>
      <c r="K1182" s="68" t="s">
        <v>30315</v>
      </c>
      <c r="L1182" s="72"/>
      <c r="M1182" s="73"/>
      <c r="N1182" s="73"/>
      <c r="O1182" s="74"/>
      <c r="P1182" s="75"/>
      <c r="Q1182" s="75"/>
      <c r="R1182" s="102"/>
      <c r="S1182" s="102"/>
      <c r="T1182" s="102"/>
      <c r="U1182" s="102"/>
      <c r="V1182" s="48"/>
      <c r="W1182" s="48"/>
      <c r="X1182" s="48"/>
      <c r="Y1182" s="48"/>
      <c r="Z1182" s="47"/>
      <c r="AA1182" s="70">
        <v>1182</v>
      </c>
      <c r="AB1182" s="70"/>
      <c r="AC1182" s="71"/>
      <c r="AD1182" s="86" t="s">
        <v>24783</v>
      </c>
      <c r="AE1182" s="94" t="s">
        <v>23378</v>
      </c>
      <c r="AF1182" s="86">
        <v>10</v>
      </c>
      <c r="AG1182" s="86">
        <v>111</v>
      </c>
      <c r="AH1182" s="86">
        <v>225</v>
      </c>
      <c r="AI1182" s="86">
        <v>0</v>
      </c>
      <c r="AJ1182" s="86">
        <v>35</v>
      </c>
      <c r="AK1182" s="86">
        <v>212</v>
      </c>
      <c r="AL1182" s="86" t="b">
        <v>0</v>
      </c>
      <c r="AM1182" s="89">
        <v>45133.491307870368</v>
      </c>
      <c r="AN1182" s="86" t="s">
        <v>26290</v>
      </c>
      <c r="AO1182" s="86" t="s">
        <v>27499</v>
      </c>
      <c r="AP1182" s="86"/>
      <c r="AQ1182" s="86"/>
      <c r="AR1182" s="86"/>
      <c r="AS1182" s="86"/>
      <c r="AT1182" s="86"/>
      <c r="AU1182" s="86"/>
      <c r="AV1182" s="86"/>
      <c r="AW1182" s="86"/>
      <c r="AX1182" s="86" t="b">
        <v>0</v>
      </c>
      <c r="AY1182" s="86"/>
      <c r="AZ1182" s="86"/>
      <c r="BA1182" s="86" t="b">
        <v>0</v>
      </c>
      <c r="BB1182" s="86" t="b">
        <v>1</v>
      </c>
      <c r="BC1182" s="86" t="b">
        <v>1</v>
      </c>
      <c r="BD1182" s="86" t="b">
        <v>0</v>
      </c>
      <c r="BE1182" s="86" t="b">
        <v>0</v>
      </c>
      <c r="BF1182" s="86" t="b">
        <v>0</v>
      </c>
      <c r="BG1182" s="86" t="b">
        <v>0</v>
      </c>
      <c r="BH1182" s="96" t="str">
        <f>HYPERLINK("https://pbs.twimg.com/profile_banners/1684168477102182400/1690376044")</f>
        <v>https://pbs.twimg.com/profile_banners/1684168477102182400/1690376044</v>
      </c>
      <c r="BI1182" s="86"/>
      <c r="BJ1182" s="86" t="s">
        <v>29134</v>
      </c>
      <c r="BK1182" s="86" t="b">
        <v>0</v>
      </c>
      <c r="BL1182" s="86"/>
      <c r="BM1182" s="86" t="s">
        <v>66</v>
      </c>
      <c r="BN1182" s="86" t="s">
        <v>29136</v>
      </c>
      <c r="BO1182" s="96" t="str">
        <f>HYPERLINK("https://twitter.com/hojemaisata")</f>
        <v>https://twitter.com/hojemaisata</v>
      </c>
      <c r="BP1182" s="2"/>
    </row>
    <row r="1183" spans="1:68" x14ac:dyDescent="0.25">
      <c r="A1183" s="63" t="s">
        <v>1233</v>
      </c>
      <c r="B1183" s="64"/>
      <c r="C1183" s="64"/>
      <c r="D1183" s="65"/>
      <c r="E1183" s="67"/>
      <c r="F1183" s="111" t="str">
        <f>HYPERLINK("https://pbs.twimg.com/profile_images/1303009388815364096/P8h-whoB_normal.jpg")</f>
        <v>https://pbs.twimg.com/profile_images/1303009388815364096/P8h-whoB_normal.jpg</v>
      </c>
      <c r="G1183" s="64"/>
      <c r="H1183" s="68"/>
      <c r="I1183" s="69"/>
      <c r="J1183" s="69"/>
      <c r="K1183" s="68" t="s">
        <v>30316</v>
      </c>
      <c r="L1183" s="72"/>
      <c r="M1183" s="73"/>
      <c r="N1183" s="73"/>
      <c r="O1183" s="74"/>
      <c r="P1183" s="75"/>
      <c r="Q1183" s="75"/>
      <c r="R1183" s="102"/>
      <c r="S1183" s="102"/>
      <c r="T1183" s="102"/>
      <c r="U1183" s="102"/>
      <c r="V1183" s="48"/>
      <c r="W1183" s="48"/>
      <c r="X1183" s="48"/>
      <c r="Y1183" s="48"/>
      <c r="Z1183" s="47"/>
      <c r="AA1183" s="70">
        <v>1183</v>
      </c>
      <c r="AB1183" s="70"/>
      <c r="AC1183" s="71"/>
      <c r="AD1183" s="86" t="s">
        <v>24784</v>
      </c>
      <c r="AE1183" s="94" t="s">
        <v>25692</v>
      </c>
      <c r="AF1183" s="86">
        <v>191</v>
      </c>
      <c r="AG1183" s="86">
        <v>33</v>
      </c>
      <c r="AH1183" s="86">
        <v>1242</v>
      </c>
      <c r="AI1183" s="86">
        <v>5</v>
      </c>
      <c r="AJ1183" s="86">
        <v>67</v>
      </c>
      <c r="AK1183" s="86">
        <v>478</v>
      </c>
      <c r="AL1183" s="86" t="b">
        <v>0</v>
      </c>
      <c r="AM1183" s="89">
        <v>41075.631423611114</v>
      </c>
      <c r="AN1183" s="86" t="s">
        <v>26291</v>
      </c>
      <c r="AO1183" s="86" t="s">
        <v>27500</v>
      </c>
      <c r="AP1183" s="96" t="str">
        <f>HYPERLINK("https://t.co/aKLwDyqR3g")</f>
        <v>https://t.co/aKLwDyqR3g</v>
      </c>
      <c r="AQ1183" s="96" t="str">
        <f>HYPERLINK("https://maiseducativa.com/?r3d=revista-junho-julho")</f>
        <v>https://maiseducativa.com/?r3d=revista-junho-julho</v>
      </c>
      <c r="AR1183" s="86" t="s">
        <v>28686</v>
      </c>
      <c r="AS1183" s="86"/>
      <c r="AT1183" s="86"/>
      <c r="AU1183" s="86"/>
      <c r="AV1183" s="86"/>
      <c r="AW1183" s="96" t="str">
        <f>HYPERLINK("https://t.co/aKLwDyqR3g")</f>
        <v>https://t.co/aKLwDyqR3g</v>
      </c>
      <c r="AX1183" s="86" t="b">
        <v>0</v>
      </c>
      <c r="AY1183" s="86"/>
      <c r="AZ1183" s="86"/>
      <c r="BA1183" s="86" t="b">
        <v>0</v>
      </c>
      <c r="BB1183" s="86" t="b">
        <v>1</v>
      </c>
      <c r="BC1183" s="86" t="b">
        <v>0</v>
      </c>
      <c r="BD1183" s="86" t="b">
        <v>0</v>
      </c>
      <c r="BE1183" s="86" t="b">
        <v>1</v>
      </c>
      <c r="BF1183" s="86" t="b">
        <v>0</v>
      </c>
      <c r="BG1183" s="86" t="b">
        <v>0</v>
      </c>
      <c r="BH1183" s="96" t="str">
        <f>HYPERLINK("https://pbs.twimg.com/profile_banners/609260052/1687969355")</f>
        <v>https://pbs.twimg.com/profile_banners/609260052/1687969355</v>
      </c>
      <c r="BI1183" s="86"/>
      <c r="BJ1183" s="86" t="s">
        <v>29134</v>
      </c>
      <c r="BK1183" s="86" t="b">
        <v>0</v>
      </c>
      <c r="BL1183" s="86"/>
      <c r="BM1183" s="86" t="s">
        <v>66</v>
      </c>
      <c r="BN1183" s="86" t="s">
        <v>29136</v>
      </c>
      <c r="BO1183" s="96" t="str">
        <f>HYPERLINK("https://twitter.com/mais_educativa")</f>
        <v>https://twitter.com/mais_educativa</v>
      </c>
      <c r="BP1183" s="2"/>
    </row>
    <row r="1184" spans="1:68" x14ac:dyDescent="0.25">
      <c r="A1184" s="63" t="s">
        <v>1234</v>
      </c>
      <c r="B1184" s="64"/>
      <c r="C1184" s="64"/>
      <c r="D1184" s="65"/>
      <c r="E1184" s="67"/>
      <c r="F1184" s="111" t="str">
        <f>HYPERLINK("https://pbs.twimg.com/profile_images/1592168328059097090/I0pVhflc_normal.png")</f>
        <v>https://pbs.twimg.com/profile_images/1592168328059097090/I0pVhflc_normal.png</v>
      </c>
      <c r="G1184" s="64"/>
      <c r="H1184" s="68"/>
      <c r="I1184" s="69"/>
      <c r="J1184" s="69"/>
      <c r="K1184" s="68" t="s">
        <v>30317</v>
      </c>
      <c r="L1184" s="72"/>
      <c r="M1184" s="73"/>
      <c r="N1184" s="73"/>
      <c r="O1184" s="74"/>
      <c r="P1184" s="75"/>
      <c r="Q1184" s="75"/>
      <c r="R1184" s="102"/>
      <c r="S1184" s="102"/>
      <c r="T1184" s="102"/>
      <c r="U1184" s="102"/>
      <c r="V1184" s="48"/>
      <c r="W1184" s="48"/>
      <c r="X1184" s="48"/>
      <c r="Y1184" s="48"/>
      <c r="Z1184" s="47"/>
      <c r="AA1184" s="70">
        <v>1184</v>
      </c>
      <c r="AB1184" s="70"/>
      <c r="AC1184" s="71"/>
      <c r="AD1184" s="86" t="s">
        <v>24785</v>
      </c>
      <c r="AE1184" s="94" t="s">
        <v>25693</v>
      </c>
      <c r="AF1184" s="86">
        <v>93</v>
      </c>
      <c r="AG1184" s="86">
        <v>17</v>
      </c>
      <c r="AH1184" s="86">
        <v>703</v>
      </c>
      <c r="AI1184" s="86">
        <v>1</v>
      </c>
      <c r="AJ1184" s="86">
        <v>2</v>
      </c>
      <c r="AK1184" s="86">
        <v>311</v>
      </c>
      <c r="AL1184" s="86" t="b">
        <v>0</v>
      </c>
      <c r="AM1184" s="89">
        <v>40091.58121527778</v>
      </c>
      <c r="AN1184" s="86" t="s">
        <v>25914</v>
      </c>
      <c r="AO1184" s="86" t="s">
        <v>27501</v>
      </c>
      <c r="AP1184" s="96" t="str">
        <f>HYPERLINK("https://t.co/uJ3pZovcdN")</f>
        <v>https://t.co/uJ3pZovcdN</v>
      </c>
      <c r="AQ1184" s="96" t="str">
        <f>HYPERLINK("http://www.clmcontroller.com.br")</f>
        <v>http://www.clmcontroller.com.br</v>
      </c>
      <c r="AR1184" s="86" t="s">
        <v>28687</v>
      </c>
      <c r="AS1184" s="86"/>
      <c r="AT1184" s="86"/>
      <c r="AU1184" s="86"/>
      <c r="AV1184" s="86"/>
      <c r="AW1184" s="96" t="str">
        <f>HYPERLINK("https://t.co/uJ3pZovcdN")</f>
        <v>https://t.co/uJ3pZovcdN</v>
      </c>
      <c r="AX1184" s="86" t="b">
        <v>0</v>
      </c>
      <c r="AY1184" s="86"/>
      <c r="AZ1184" s="86"/>
      <c r="BA1184" s="86" t="b">
        <v>1</v>
      </c>
      <c r="BB1184" s="86" t="b">
        <v>1</v>
      </c>
      <c r="BC1184" s="86" t="b">
        <v>0</v>
      </c>
      <c r="BD1184" s="86" t="b">
        <v>0</v>
      </c>
      <c r="BE1184" s="86" t="b">
        <v>0</v>
      </c>
      <c r="BF1184" s="86" t="b">
        <v>0</v>
      </c>
      <c r="BG1184" s="86" t="b">
        <v>0</v>
      </c>
      <c r="BH1184" s="96" t="str">
        <f>HYPERLINK("https://pbs.twimg.com/profile_banners/80030542/1668605386")</f>
        <v>https://pbs.twimg.com/profile_banners/80030542/1668605386</v>
      </c>
      <c r="BI1184" s="86"/>
      <c r="BJ1184" s="86" t="s">
        <v>29134</v>
      </c>
      <c r="BK1184" s="86" t="b">
        <v>0</v>
      </c>
      <c r="BL1184" s="86"/>
      <c r="BM1184" s="86" t="s">
        <v>66</v>
      </c>
      <c r="BN1184" s="86" t="s">
        <v>29136</v>
      </c>
      <c r="BO1184" s="96" t="str">
        <f>HYPERLINK("https://twitter.com/clmcontroller")</f>
        <v>https://twitter.com/clmcontroller</v>
      </c>
      <c r="BP1184" s="2"/>
    </row>
    <row r="1185" spans="1:68" x14ac:dyDescent="0.25">
      <c r="A1185" s="63" t="s">
        <v>1235</v>
      </c>
      <c r="B1185" s="64"/>
      <c r="C1185" s="64"/>
      <c r="D1185" s="65"/>
      <c r="E1185" s="67"/>
      <c r="F1185" s="111" t="str">
        <f>HYPERLINK("https://pbs.twimg.com/profile_images/1684697765379534848/tK7kF174_normal.jpg")</f>
        <v>https://pbs.twimg.com/profile_images/1684697765379534848/tK7kF174_normal.jpg</v>
      </c>
      <c r="G1185" s="64"/>
      <c r="H1185" s="68"/>
      <c r="I1185" s="69"/>
      <c r="J1185" s="69"/>
      <c r="K1185" s="68" t="s">
        <v>30318</v>
      </c>
      <c r="L1185" s="72"/>
      <c r="M1185" s="73"/>
      <c r="N1185" s="73"/>
      <c r="O1185" s="74"/>
      <c r="P1185" s="75"/>
      <c r="Q1185" s="75"/>
      <c r="R1185" s="102"/>
      <c r="S1185" s="102"/>
      <c r="T1185" s="102"/>
      <c r="U1185" s="102"/>
      <c r="V1185" s="48"/>
      <c r="W1185" s="48"/>
      <c r="X1185" s="48"/>
      <c r="Y1185" s="48"/>
      <c r="Z1185" s="47"/>
      <c r="AA1185" s="70">
        <v>1185</v>
      </c>
      <c r="AB1185" s="70"/>
      <c r="AC1185" s="71"/>
      <c r="AD1185" s="86" t="s">
        <v>24786</v>
      </c>
      <c r="AE1185" s="94" t="s">
        <v>23379</v>
      </c>
      <c r="AF1185" s="86">
        <v>6</v>
      </c>
      <c r="AG1185" s="86">
        <v>44</v>
      </c>
      <c r="AH1185" s="86">
        <v>498</v>
      </c>
      <c r="AI1185" s="86">
        <v>0</v>
      </c>
      <c r="AJ1185" s="86">
        <v>3</v>
      </c>
      <c r="AK1185" s="86">
        <v>491</v>
      </c>
      <c r="AL1185" s="86" t="b">
        <v>0</v>
      </c>
      <c r="AM1185" s="89">
        <v>44075.913206018522</v>
      </c>
      <c r="AN1185" s="86" t="s">
        <v>26292</v>
      </c>
      <c r="AO1185" s="86" t="s">
        <v>27502</v>
      </c>
      <c r="AP1185" s="96" t="str">
        <f>HYPERLINK("https://t.co/PqK7mQYz6v")</f>
        <v>https://t.co/PqK7mQYz6v</v>
      </c>
      <c r="AQ1185" s="96" t="str">
        <f>HYPERLINK("https://evolucaoge.com/")</f>
        <v>https://evolucaoge.com/</v>
      </c>
      <c r="AR1185" s="86" t="s">
        <v>28688</v>
      </c>
      <c r="AS1185" s="86"/>
      <c r="AT1185" s="86"/>
      <c r="AU1185" s="86"/>
      <c r="AV1185" s="86"/>
      <c r="AW1185" s="96" t="str">
        <f>HYPERLINK("https://t.co/PqK7mQYz6v")</f>
        <v>https://t.co/PqK7mQYz6v</v>
      </c>
      <c r="AX1185" s="86" t="b">
        <v>0</v>
      </c>
      <c r="AY1185" s="86"/>
      <c r="AZ1185" s="86"/>
      <c r="BA1185" s="86" t="b">
        <v>0</v>
      </c>
      <c r="BB1185" s="86" t="b">
        <v>1</v>
      </c>
      <c r="BC1185" s="86" t="b">
        <v>1</v>
      </c>
      <c r="BD1185" s="86" t="b">
        <v>0</v>
      </c>
      <c r="BE1185" s="86" t="b">
        <v>0</v>
      </c>
      <c r="BF1185" s="86" t="b">
        <v>0</v>
      </c>
      <c r="BG1185" s="86" t="b">
        <v>0</v>
      </c>
      <c r="BH1185" s="96" t="str">
        <f>HYPERLINK("https://pbs.twimg.com/profile_banners/1300915060324302849/1660071370")</f>
        <v>https://pbs.twimg.com/profile_banners/1300915060324302849/1660071370</v>
      </c>
      <c r="BI1185" s="86"/>
      <c r="BJ1185" s="86" t="s">
        <v>29134</v>
      </c>
      <c r="BK1185" s="86" t="b">
        <v>0</v>
      </c>
      <c r="BL1185" s="86"/>
      <c r="BM1185" s="86" t="s">
        <v>66</v>
      </c>
      <c r="BN1185" s="86" t="s">
        <v>29136</v>
      </c>
      <c r="BO1185" s="96" t="str">
        <f>HYPERLINK("https://twitter.com/evolucaoge")</f>
        <v>https://twitter.com/evolucaoge</v>
      </c>
      <c r="BP1185" s="2"/>
    </row>
    <row r="1186" spans="1:68" x14ac:dyDescent="0.25">
      <c r="A1186" s="63" t="s">
        <v>1236</v>
      </c>
      <c r="B1186" s="64"/>
      <c r="C1186" s="64"/>
      <c r="D1186" s="65"/>
      <c r="E1186" s="67"/>
      <c r="F1186" s="111" t="str">
        <f>HYPERLINK("https://pbs.twimg.com/profile_images/1909510558/abrahosting_-_marca_twitter_normal.jpg")</f>
        <v>https://pbs.twimg.com/profile_images/1909510558/abrahosting_-_marca_twitter_normal.jpg</v>
      </c>
      <c r="G1186" s="64"/>
      <c r="H1186" s="68"/>
      <c r="I1186" s="69"/>
      <c r="J1186" s="69"/>
      <c r="K1186" s="68" t="s">
        <v>30319</v>
      </c>
      <c r="L1186" s="72"/>
      <c r="M1186" s="73"/>
      <c r="N1186" s="73"/>
      <c r="O1186" s="74"/>
      <c r="P1186" s="75"/>
      <c r="Q1186" s="75"/>
      <c r="R1186" s="102"/>
      <c r="S1186" s="102"/>
      <c r="T1186" s="102"/>
      <c r="U1186" s="102"/>
      <c r="V1186" s="48"/>
      <c r="W1186" s="48"/>
      <c r="X1186" s="48"/>
      <c r="Y1186" s="48"/>
      <c r="Z1186" s="47"/>
      <c r="AA1186" s="70">
        <v>1186</v>
      </c>
      <c r="AB1186" s="70"/>
      <c r="AC1186" s="71"/>
      <c r="AD1186" s="86" t="s">
        <v>24787</v>
      </c>
      <c r="AE1186" s="94" t="s">
        <v>25694</v>
      </c>
      <c r="AF1186" s="86">
        <v>141</v>
      </c>
      <c r="AG1186" s="86">
        <v>84</v>
      </c>
      <c r="AH1186" s="86">
        <v>486</v>
      </c>
      <c r="AI1186" s="86">
        <v>11</v>
      </c>
      <c r="AJ1186" s="86">
        <v>67</v>
      </c>
      <c r="AK1186" s="86">
        <v>207</v>
      </c>
      <c r="AL1186" s="86" t="b">
        <v>0</v>
      </c>
      <c r="AM1186" s="89">
        <v>40939.594525462962</v>
      </c>
      <c r="AN1186" s="86" t="s">
        <v>15378</v>
      </c>
      <c r="AO1186" s="86" t="s">
        <v>27503</v>
      </c>
      <c r="AP1186" s="96" t="str">
        <f>HYPERLINK("https://t.co/rGAHCTNiQC")</f>
        <v>https://t.co/rGAHCTNiQC</v>
      </c>
      <c r="AQ1186" s="96" t="str">
        <f>HYPERLINK("https://abracloud.com.br/")</f>
        <v>https://abracloud.com.br/</v>
      </c>
      <c r="AR1186" s="86" t="s">
        <v>28689</v>
      </c>
      <c r="AS1186" s="86"/>
      <c r="AT1186" s="86"/>
      <c r="AU1186" s="86"/>
      <c r="AV1186" s="86"/>
      <c r="AW1186" s="96" t="str">
        <f>HYPERLINK("https://t.co/rGAHCTNiQC")</f>
        <v>https://t.co/rGAHCTNiQC</v>
      </c>
      <c r="AX1186" s="86" t="b">
        <v>0</v>
      </c>
      <c r="AY1186" s="86"/>
      <c r="AZ1186" s="86"/>
      <c r="BA1186" s="86" t="b">
        <v>0</v>
      </c>
      <c r="BB1186" s="86" t="b">
        <v>1</v>
      </c>
      <c r="BC1186" s="86" t="b">
        <v>1</v>
      </c>
      <c r="BD1186" s="86" t="b">
        <v>0</v>
      </c>
      <c r="BE1186" s="86" t="b">
        <v>0</v>
      </c>
      <c r="BF1186" s="86" t="b">
        <v>0</v>
      </c>
      <c r="BG1186" s="86" t="b">
        <v>0</v>
      </c>
      <c r="BH1186" s="96" t="str">
        <f>HYPERLINK("https://pbs.twimg.com/profile_banners/479552132/1688157336")</f>
        <v>https://pbs.twimg.com/profile_banners/479552132/1688157336</v>
      </c>
      <c r="BI1186" s="86"/>
      <c r="BJ1186" s="86" t="s">
        <v>29134</v>
      </c>
      <c r="BK1186" s="86" t="b">
        <v>0</v>
      </c>
      <c r="BL1186" s="86"/>
      <c r="BM1186" s="86" t="s">
        <v>66</v>
      </c>
      <c r="BN1186" s="86" t="s">
        <v>29136</v>
      </c>
      <c r="BO1186" s="96" t="str">
        <f>HYPERLINK("https://twitter.com/abrahosting")</f>
        <v>https://twitter.com/abrahosting</v>
      </c>
      <c r="BP1186" s="2"/>
    </row>
    <row r="1187" spans="1:68" x14ac:dyDescent="0.25">
      <c r="A1187" s="63" t="s">
        <v>1237</v>
      </c>
      <c r="B1187" s="64"/>
      <c r="C1187" s="64"/>
      <c r="D1187" s="65"/>
      <c r="E1187" s="67"/>
      <c r="F1187" s="111" t="str">
        <f>HYPERLINK("https://pbs.twimg.com/profile_images/1161084777518247937/6Q80Yt-J_normal.jpg")</f>
        <v>https://pbs.twimg.com/profile_images/1161084777518247937/6Q80Yt-J_normal.jpg</v>
      </c>
      <c r="G1187" s="64"/>
      <c r="H1187" s="68"/>
      <c r="I1187" s="69"/>
      <c r="J1187" s="69"/>
      <c r="K1187" s="68" t="s">
        <v>30320</v>
      </c>
      <c r="L1187" s="72"/>
      <c r="M1187" s="73"/>
      <c r="N1187" s="73"/>
      <c r="O1187" s="74"/>
      <c r="P1187" s="75"/>
      <c r="Q1187" s="75"/>
      <c r="R1187" s="102"/>
      <c r="S1187" s="102"/>
      <c r="T1187" s="102"/>
      <c r="U1187" s="102"/>
      <c r="V1187" s="48"/>
      <c r="W1187" s="48"/>
      <c r="X1187" s="48"/>
      <c r="Y1187" s="48"/>
      <c r="Z1187" s="47"/>
      <c r="AA1187" s="70">
        <v>1187</v>
      </c>
      <c r="AB1187" s="70"/>
      <c r="AC1187" s="71"/>
      <c r="AD1187" s="86" t="s">
        <v>24788</v>
      </c>
      <c r="AE1187" s="94" t="s">
        <v>23380</v>
      </c>
      <c r="AF1187" s="86">
        <v>24</v>
      </c>
      <c r="AG1187" s="86">
        <v>87</v>
      </c>
      <c r="AH1187" s="86">
        <v>615</v>
      </c>
      <c r="AI1187" s="86">
        <v>0</v>
      </c>
      <c r="AJ1187" s="86">
        <v>7</v>
      </c>
      <c r="AK1187" s="86">
        <v>468</v>
      </c>
      <c r="AL1187" s="86" t="b">
        <v>0</v>
      </c>
      <c r="AM1187" s="89">
        <v>43347.688761574071</v>
      </c>
      <c r="AN1187" s="86" t="s">
        <v>15234</v>
      </c>
      <c r="AO1187" s="86" t="s">
        <v>27504</v>
      </c>
      <c r="AP1187" s="96" t="str">
        <f>HYPERLINK("https://t.co/fiBQRE7aPe")</f>
        <v>https://t.co/fiBQRE7aPe</v>
      </c>
      <c r="AQ1187" s="96" t="str">
        <f>HYPERLINK("http://www.realdominio.com.br")</f>
        <v>http://www.realdominio.com.br</v>
      </c>
      <c r="AR1187" s="86" t="s">
        <v>28690</v>
      </c>
      <c r="AS1187" s="86"/>
      <c r="AT1187" s="86"/>
      <c r="AU1187" s="86"/>
      <c r="AV1187" s="86"/>
      <c r="AW1187" s="96" t="str">
        <f>HYPERLINK("https://t.co/fiBQRE7aPe")</f>
        <v>https://t.co/fiBQRE7aPe</v>
      </c>
      <c r="AX1187" s="86" t="b">
        <v>0</v>
      </c>
      <c r="AY1187" s="86"/>
      <c r="AZ1187" s="86"/>
      <c r="BA1187" s="86" t="b">
        <v>0</v>
      </c>
      <c r="BB1187" s="86" t="b">
        <v>1</v>
      </c>
      <c r="BC1187" s="86" t="b">
        <v>1</v>
      </c>
      <c r="BD1187" s="86" t="b">
        <v>0</v>
      </c>
      <c r="BE1187" s="86" t="b">
        <v>0</v>
      </c>
      <c r="BF1187" s="86" t="b">
        <v>0</v>
      </c>
      <c r="BG1187" s="86" t="b">
        <v>0</v>
      </c>
      <c r="BH1187" s="96" t="str">
        <f>HYPERLINK("https://pbs.twimg.com/profile_banners/1037015387148312578/1565659313")</f>
        <v>https://pbs.twimg.com/profile_banners/1037015387148312578/1565659313</v>
      </c>
      <c r="BI1187" s="86"/>
      <c r="BJ1187" s="86" t="s">
        <v>29134</v>
      </c>
      <c r="BK1187" s="86" t="b">
        <v>0</v>
      </c>
      <c r="BL1187" s="86"/>
      <c r="BM1187" s="86" t="s">
        <v>66</v>
      </c>
      <c r="BN1187" s="86" t="s">
        <v>29136</v>
      </c>
      <c r="BO1187" s="96" t="str">
        <f>HYPERLINK("https://twitter.com/alereiscontador")</f>
        <v>https://twitter.com/alereiscontador</v>
      </c>
      <c r="BP1187" s="2"/>
    </row>
    <row r="1188" spans="1:68" x14ac:dyDescent="0.25">
      <c r="A1188" s="63" t="s">
        <v>1238</v>
      </c>
      <c r="B1188" s="64"/>
      <c r="C1188" s="64"/>
      <c r="D1188" s="65"/>
      <c r="E1188" s="67"/>
      <c r="F1188" s="111" t="str">
        <f>HYPERLINK("https://pbs.twimg.com/profile_images/1695819668513058816/cPpMEbQJ_normal.jpg")</f>
        <v>https://pbs.twimg.com/profile_images/1695819668513058816/cPpMEbQJ_normal.jpg</v>
      </c>
      <c r="G1188" s="64"/>
      <c r="H1188" s="68"/>
      <c r="I1188" s="69"/>
      <c r="J1188" s="69"/>
      <c r="K1188" s="68" t="s">
        <v>30321</v>
      </c>
      <c r="L1188" s="72"/>
      <c r="M1188" s="73"/>
      <c r="N1188" s="73"/>
      <c r="O1188" s="74"/>
      <c r="P1188" s="75"/>
      <c r="Q1188" s="75"/>
      <c r="R1188" s="102"/>
      <c r="S1188" s="102"/>
      <c r="T1188" s="102"/>
      <c r="U1188" s="102"/>
      <c r="V1188" s="48"/>
      <c r="W1188" s="48"/>
      <c r="X1188" s="48"/>
      <c r="Y1188" s="48"/>
      <c r="Z1188" s="47"/>
      <c r="AA1188" s="70">
        <v>1188</v>
      </c>
      <c r="AB1188" s="70"/>
      <c r="AC1188" s="71"/>
      <c r="AD1188" s="86" t="s">
        <v>24789</v>
      </c>
      <c r="AE1188" s="94" t="s">
        <v>23381</v>
      </c>
      <c r="AF1188" s="86">
        <v>1</v>
      </c>
      <c r="AG1188" s="86">
        <v>12</v>
      </c>
      <c r="AH1188" s="86">
        <v>2</v>
      </c>
      <c r="AI1188" s="86">
        <v>0</v>
      </c>
      <c r="AJ1188" s="86">
        <v>0</v>
      </c>
      <c r="AK1188" s="86">
        <v>2</v>
      </c>
      <c r="AL1188" s="86" t="b">
        <v>0</v>
      </c>
      <c r="AM1188" s="89">
        <v>45165.628113425926</v>
      </c>
      <c r="AN1188" s="86" t="s">
        <v>15246</v>
      </c>
      <c r="AO1188" s="86" t="s">
        <v>27505</v>
      </c>
      <c r="AP1188" s="86"/>
      <c r="AQ1188" s="86"/>
      <c r="AR1188" s="86"/>
      <c r="AS1188" s="86"/>
      <c r="AT1188" s="86"/>
      <c r="AU1188" s="86"/>
      <c r="AV1188" s="86"/>
      <c r="AW1188" s="86"/>
      <c r="AX1188" s="86" t="b">
        <v>0</v>
      </c>
      <c r="AY1188" s="86"/>
      <c r="AZ1188" s="86"/>
      <c r="BA1188" s="86" t="b">
        <v>0</v>
      </c>
      <c r="BB1188" s="86" t="b">
        <v>1</v>
      </c>
      <c r="BC1188" s="86" t="b">
        <v>1</v>
      </c>
      <c r="BD1188" s="86" t="b">
        <v>0</v>
      </c>
      <c r="BE1188" s="86" t="b">
        <v>0</v>
      </c>
      <c r="BF1188" s="86" t="b">
        <v>0</v>
      </c>
      <c r="BG1188" s="86" t="b">
        <v>0</v>
      </c>
      <c r="BH1188" s="86"/>
      <c r="BI1188" s="86"/>
      <c r="BJ1188" s="86" t="s">
        <v>29134</v>
      </c>
      <c r="BK1188" s="86" t="b">
        <v>0</v>
      </c>
      <c r="BL1188" s="86"/>
      <c r="BM1188" s="86" t="s">
        <v>66</v>
      </c>
      <c r="BN1188" s="86" t="s">
        <v>29136</v>
      </c>
      <c r="BO1188" s="96" t="str">
        <f>HYPERLINK("https://twitter.com/_martcon")</f>
        <v>https://twitter.com/_martcon</v>
      </c>
      <c r="BP1188" s="2"/>
    </row>
    <row r="1189" spans="1:68" x14ac:dyDescent="0.25">
      <c r="A1189" s="63" t="s">
        <v>1239</v>
      </c>
      <c r="B1189" s="64"/>
      <c r="C1189" s="64"/>
      <c r="D1189" s="65"/>
      <c r="E1189" s="67"/>
      <c r="F1189" s="111" t="str">
        <f>HYPERLINK("https://pbs.twimg.com/profile_images/1646507864402325505/6sLTn78u_normal.jpg")</f>
        <v>https://pbs.twimg.com/profile_images/1646507864402325505/6sLTn78u_normal.jpg</v>
      </c>
      <c r="G1189" s="64"/>
      <c r="H1189" s="68"/>
      <c r="I1189" s="69"/>
      <c r="J1189" s="69"/>
      <c r="K1189" s="68" t="s">
        <v>30322</v>
      </c>
      <c r="L1189" s="72"/>
      <c r="M1189" s="73"/>
      <c r="N1189" s="73"/>
      <c r="O1189" s="74"/>
      <c r="P1189" s="75"/>
      <c r="Q1189" s="75"/>
      <c r="R1189" s="102"/>
      <c r="S1189" s="102"/>
      <c r="T1189" s="102"/>
      <c r="U1189" s="102"/>
      <c r="V1189" s="48"/>
      <c r="W1189" s="48"/>
      <c r="X1189" s="48"/>
      <c r="Y1189" s="48"/>
      <c r="Z1189" s="47"/>
      <c r="AA1189" s="70">
        <v>1189</v>
      </c>
      <c r="AB1189" s="70"/>
      <c r="AC1189" s="71"/>
      <c r="AD1189" s="86" t="s">
        <v>24790</v>
      </c>
      <c r="AE1189" s="94" t="s">
        <v>23382</v>
      </c>
      <c r="AF1189" s="86">
        <v>59</v>
      </c>
      <c r="AG1189" s="86">
        <v>120</v>
      </c>
      <c r="AH1189" s="86">
        <v>342</v>
      </c>
      <c r="AI1189" s="86">
        <v>1</v>
      </c>
      <c r="AJ1189" s="86">
        <v>726</v>
      </c>
      <c r="AK1189" s="86">
        <v>248</v>
      </c>
      <c r="AL1189" s="86" t="b">
        <v>0</v>
      </c>
      <c r="AM1189" s="89">
        <v>44520.902569444443</v>
      </c>
      <c r="AN1189" s="86" t="s">
        <v>15246</v>
      </c>
      <c r="AO1189" s="86" t="s">
        <v>27506</v>
      </c>
      <c r="AP1189" s="96" t="str">
        <f>HYPERLINK("https://t.co/N7POaSdWp7")</f>
        <v>https://t.co/N7POaSdWp7</v>
      </c>
      <c r="AQ1189" s="96" t="str">
        <f>HYPERLINK("https://idolink.bio/vamosautomatizar")</f>
        <v>https://idolink.bio/vamosautomatizar</v>
      </c>
      <c r="AR1189" s="86" t="s">
        <v>28691</v>
      </c>
      <c r="AS1189" s="86"/>
      <c r="AT1189" s="86"/>
      <c r="AU1189" s="86"/>
      <c r="AV1189" s="86"/>
      <c r="AW1189" s="96" t="str">
        <f>HYPERLINK("https://t.co/N7POaSdWp7")</f>
        <v>https://t.co/N7POaSdWp7</v>
      </c>
      <c r="AX1189" s="86" t="b">
        <v>0</v>
      </c>
      <c r="AY1189" s="86"/>
      <c r="AZ1189" s="86"/>
      <c r="BA1189" s="86" t="b">
        <v>0</v>
      </c>
      <c r="BB1189" s="86" t="b">
        <v>1</v>
      </c>
      <c r="BC1189" s="86" t="b">
        <v>1</v>
      </c>
      <c r="BD1189" s="86" t="b">
        <v>0</v>
      </c>
      <c r="BE1189" s="86" t="b">
        <v>0</v>
      </c>
      <c r="BF1189" s="86" t="b">
        <v>0</v>
      </c>
      <c r="BG1189" s="86" t="b">
        <v>0</v>
      </c>
      <c r="BH1189" s="96" t="str">
        <f>HYPERLINK("https://pbs.twimg.com/profile_banners/1462173685247361026/1680469752")</f>
        <v>https://pbs.twimg.com/profile_banners/1462173685247361026/1680469752</v>
      </c>
      <c r="BI1189" s="86"/>
      <c r="BJ1189" s="86" t="s">
        <v>29134</v>
      </c>
      <c r="BK1189" s="86" t="b">
        <v>0</v>
      </c>
      <c r="BL1189" s="86"/>
      <c r="BM1189" s="86" t="s">
        <v>66</v>
      </c>
      <c r="BN1189" s="86" t="s">
        <v>29136</v>
      </c>
      <c r="BO1189" s="96" t="str">
        <f>HYPERLINK("https://twitter.com/vautomatizar")</f>
        <v>https://twitter.com/vautomatizar</v>
      </c>
      <c r="BP1189" s="2"/>
    </row>
    <row r="1190" spans="1:68" x14ac:dyDescent="0.25">
      <c r="A1190" s="63" t="s">
        <v>1240</v>
      </c>
      <c r="B1190" s="64"/>
      <c r="C1190" s="64"/>
      <c r="D1190" s="65"/>
      <c r="E1190" s="67"/>
      <c r="F1190" s="111" t="str">
        <f>HYPERLINK("https://pbs.twimg.com/profile_images/1675156613282275328/B1Hk6poD_normal.jpg")</f>
        <v>https://pbs.twimg.com/profile_images/1675156613282275328/B1Hk6poD_normal.jpg</v>
      </c>
      <c r="G1190" s="64"/>
      <c r="H1190" s="68"/>
      <c r="I1190" s="69"/>
      <c r="J1190" s="69"/>
      <c r="K1190" s="68" t="s">
        <v>30323</v>
      </c>
      <c r="L1190" s="72"/>
      <c r="M1190" s="73"/>
      <c r="N1190" s="73"/>
      <c r="O1190" s="74"/>
      <c r="P1190" s="75"/>
      <c r="Q1190" s="75"/>
      <c r="R1190" s="102"/>
      <c r="S1190" s="102"/>
      <c r="T1190" s="102"/>
      <c r="U1190" s="102"/>
      <c r="V1190" s="48"/>
      <c r="W1190" s="48"/>
      <c r="X1190" s="48"/>
      <c r="Y1190" s="48"/>
      <c r="Z1190" s="47"/>
      <c r="AA1190" s="70">
        <v>1190</v>
      </c>
      <c r="AB1190" s="70"/>
      <c r="AC1190" s="71"/>
      <c r="AD1190" s="86" t="s">
        <v>24791</v>
      </c>
      <c r="AE1190" s="94" t="s">
        <v>23383</v>
      </c>
      <c r="AF1190" s="86">
        <v>1</v>
      </c>
      <c r="AG1190" s="86">
        <v>1</v>
      </c>
      <c r="AH1190" s="86">
        <v>74</v>
      </c>
      <c r="AI1190" s="86">
        <v>0</v>
      </c>
      <c r="AJ1190" s="86">
        <v>47</v>
      </c>
      <c r="AK1190" s="86">
        <v>65</v>
      </c>
      <c r="AL1190" s="86" t="b">
        <v>0</v>
      </c>
      <c r="AM1190" s="89">
        <v>44736.706006944441</v>
      </c>
      <c r="AN1190" s="86" t="s">
        <v>26078</v>
      </c>
      <c r="AO1190" s="86" t="s">
        <v>27507</v>
      </c>
      <c r="AP1190" s="96" t="str">
        <f>HYPERLINK("https://t.co/jKz9YMuaEZ")</f>
        <v>https://t.co/jKz9YMuaEZ</v>
      </c>
      <c r="AQ1190" s="96" t="str">
        <f>HYPERLINK("https://linktr.ee/cortesarquimilionarios")</f>
        <v>https://linktr.ee/cortesarquimilionarios</v>
      </c>
      <c r="AR1190" s="86" t="s">
        <v>28692</v>
      </c>
      <c r="AS1190" s="86"/>
      <c r="AT1190" s="86"/>
      <c r="AU1190" s="86"/>
      <c r="AV1190" s="86"/>
      <c r="AW1190" s="96" t="str">
        <f>HYPERLINK("https://t.co/jKz9YMuaEZ")</f>
        <v>https://t.co/jKz9YMuaEZ</v>
      </c>
      <c r="AX1190" s="86" t="b">
        <v>0</v>
      </c>
      <c r="AY1190" s="86"/>
      <c r="AZ1190" s="86"/>
      <c r="BA1190" s="86" t="b">
        <v>0</v>
      </c>
      <c r="BB1190" s="86" t="b">
        <v>1</v>
      </c>
      <c r="BC1190" s="86" t="b">
        <v>1</v>
      </c>
      <c r="BD1190" s="86" t="b">
        <v>0</v>
      </c>
      <c r="BE1190" s="86" t="b">
        <v>0</v>
      </c>
      <c r="BF1190" s="86" t="b">
        <v>0</v>
      </c>
      <c r="BG1190" s="86" t="b">
        <v>0</v>
      </c>
      <c r="BH1190" s="96" t="str">
        <f>HYPERLINK("https://pbs.twimg.com/profile_banners/1540377555823464449/1688223434")</f>
        <v>https://pbs.twimg.com/profile_banners/1540377555823464449/1688223434</v>
      </c>
      <c r="BI1190" s="86"/>
      <c r="BJ1190" s="86" t="s">
        <v>29134</v>
      </c>
      <c r="BK1190" s="86" t="b">
        <v>0</v>
      </c>
      <c r="BL1190" s="86"/>
      <c r="BM1190" s="86" t="s">
        <v>66</v>
      </c>
      <c r="BN1190" s="86" t="s">
        <v>29136</v>
      </c>
      <c r="BO1190" s="96" t="str">
        <f>HYPERLINK("https://twitter.com/carquimilion")</f>
        <v>https://twitter.com/carquimilion</v>
      </c>
      <c r="BP1190" s="2"/>
    </row>
    <row r="1191" spans="1:68" x14ac:dyDescent="0.25">
      <c r="A1191" s="63" t="s">
        <v>1241</v>
      </c>
      <c r="B1191" s="64"/>
      <c r="C1191" s="64"/>
      <c r="D1191" s="65"/>
      <c r="E1191" s="67"/>
      <c r="F1191" s="111" t="str">
        <f>HYPERLINK("https://pbs.twimg.com/profile_images/1369044652138115081/1MonDOgI_normal.jpg")</f>
        <v>https://pbs.twimg.com/profile_images/1369044652138115081/1MonDOgI_normal.jpg</v>
      </c>
      <c r="G1191" s="64"/>
      <c r="H1191" s="68"/>
      <c r="I1191" s="69"/>
      <c r="J1191" s="69"/>
      <c r="K1191" s="68" t="s">
        <v>30324</v>
      </c>
      <c r="L1191" s="72"/>
      <c r="M1191" s="73"/>
      <c r="N1191" s="73"/>
      <c r="O1191" s="74"/>
      <c r="P1191" s="75"/>
      <c r="Q1191" s="75"/>
      <c r="R1191" s="102"/>
      <c r="S1191" s="102"/>
      <c r="T1191" s="102"/>
      <c r="U1191" s="102"/>
      <c r="V1191" s="48"/>
      <c r="W1191" s="48"/>
      <c r="X1191" s="48"/>
      <c r="Y1191" s="48"/>
      <c r="Z1191" s="47"/>
      <c r="AA1191" s="70">
        <v>1191</v>
      </c>
      <c r="AB1191" s="70"/>
      <c r="AC1191" s="71"/>
      <c r="AD1191" s="86" t="s">
        <v>24792</v>
      </c>
      <c r="AE1191" s="94" t="s">
        <v>23384</v>
      </c>
      <c r="AF1191" s="86">
        <v>79</v>
      </c>
      <c r="AG1191" s="86">
        <v>176</v>
      </c>
      <c r="AH1191" s="86">
        <v>8917</v>
      </c>
      <c r="AI1191" s="86">
        <v>0</v>
      </c>
      <c r="AJ1191" s="86">
        <v>358</v>
      </c>
      <c r="AK1191" s="86">
        <v>8903</v>
      </c>
      <c r="AL1191" s="86" t="b">
        <v>0</v>
      </c>
      <c r="AM1191" s="89">
        <v>43361.739293981482</v>
      </c>
      <c r="AN1191" s="86" t="s">
        <v>26293</v>
      </c>
      <c r="AO1191" s="86" t="s">
        <v>27508</v>
      </c>
      <c r="AP1191" s="96" t="str">
        <f>HYPERLINK("https://t.co/1qCcVhnCDD")</f>
        <v>https://t.co/1qCcVhnCDD</v>
      </c>
      <c r="AQ1191" s="96" t="str">
        <f>HYPERLINK("http://portaljuristec.com.br")</f>
        <v>http://portaljuristec.com.br</v>
      </c>
      <c r="AR1191" s="86" t="s">
        <v>28693</v>
      </c>
      <c r="AS1191" s="86"/>
      <c r="AT1191" s="86"/>
      <c r="AU1191" s="86"/>
      <c r="AV1191" s="86"/>
      <c r="AW1191" s="96" t="str">
        <f>HYPERLINK("https://t.co/1qCcVhnCDD")</f>
        <v>https://t.co/1qCcVhnCDD</v>
      </c>
      <c r="AX1191" s="86" t="b">
        <v>0</v>
      </c>
      <c r="AY1191" s="86"/>
      <c r="AZ1191" s="86"/>
      <c r="BA1191" s="86" t="b">
        <v>0</v>
      </c>
      <c r="BB1191" s="86" t="b">
        <v>1</v>
      </c>
      <c r="BC1191" s="86" t="b">
        <v>1</v>
      </c>
      <c r="BD1191" s="86" t="b">
        <v>0</v>
      </c>
      <c r="BE1191" s="86" t="b">
        <v>1</v>
      </c>
      <c r="BF1191" s="86" t="b">
        <v>0</v>
      </c>
      <c r="BG1191" s="86" t="b">
        <v>0</v>
      </c>
      <c r="BH1191" s="96" t="str">
        <f>HYPERLINK("https://pbs.twimg.com/profile_banners/1042107129224724485/1627932404")</f>
        <v>https://pbs.twimg.com/profile_banners/1042107129224724485/1627932404</v>
      </c>
      <c r="BI1191" s="86"/>
      <c r="BJ1191" s="86" t="s">
        <v>29134</v>
      </c>
      <c r="BK1191" s="86" t="b">
        <v>0</v>
      </c>
      <c r="BL1191" s="86"/>
      <c r="BM1191" s="86" t="s">
        <v>66</v>
      </c>
      <c r="BN1191" s="86" t="s">
        <v>29136</v>
      </c>
      <c r="BO1191" s="96" t="str">
        <f>HYPERLINK("https://twitter.com/juristecadv")</f>
        <v>https://twitter.com/juristecadv</v>
      </c>
      <c r="BP1191" s="2"/>
    </row>
    <row r="1192" spans="1:68" x14ac:dyDescent="0.25">
      <c r="A1192" s="63" t="s">
        <v>1242</v>
      </c>
      <c r="B1192" s="64"/>
      <c r="C1192" s="64"/>
      <c r="D1192" s="65"/>
      <c r="E1192" s="67"/>
      <c r="F1192" s="111" t="str">
        <f>HYPERLINK("https://pbs.twimg.com/profile_images/1424400486598385673/9rkiCVi1_normal.jpg")</f>
        <v>https://pbs.twimg.com/profile_images/1424400486598385673/9rkiCVi1_normal.jpg</v>
      </c>
      <c r="G1192" s="64"/>
      <c r="H1192" s="68"/>
      <c r="I1192" s="69"/>
      <c r="J1192" s="69"/>
      <c r="K1192" s="68" t="s">
        <v>30325</v>
      </c>
      <c r="L1192" s="72"/>
      <c r="M1192" s="73"/>
      <c r="N1192" s="73"/>
      <c r="O1192" s="74"/>
      <c r="P1192" s="75"/>
      <c r="Q1192" s="75"/>
      <c r="R1192" s="102"/>
      <c r="S1192" s="102"/>
      <c r="T1192" s="102"/>
      <c r="U1192" s="102"/>
      <c r="V1192" s="48"/>
      <c r="W1192" s="48"/>
      <c r="X1192" s="48"/>
      <c r="Y1192" s="48"/>
      <c r="Z1192" s="47"/>
      <c r="AA1192" s="70">
        <v>1192</v>
      </c>
      <c r="AB1192" s="70"/>
      <c r="AC1192" s="71"/>
      <c r="AD1192" s="86" t="s">
        <v>24793</v>
      </c>
      <c r="AE1192" s="94" t="s">
        <v>25695</v>
      </c>
      <c r="AF1192" s="86">
        <v>14087</v>
      </c>
      <c r="AG1192" s="86">
        <v>7504</v>
      </c>
      <c r="AH1192" s="86">
        <v>40862</v>
      </c>
      <c r="AI1192" s="86">
        <v>403</v>
      </c>
      <c r="AJ1192" s="86">
        <v>36566</v>
      </c>
      <c r="AK1192" s="86">
        <v>8231</v>
      </c>
      <c r="AL1192" s="86" t="b">
        <v>0</v>
      </c>
      <c r="AM1192" s="89">
        <v>41222.267141203702</v>
      </c>
      <c r="AN1192" s="86" t="s">
        <v>26294</v>
      </c>
      <c r="AO1192" s="86" t="s">
        <v>27509</v>
      </c>
      <c r="AP1192" s="96" t="str">
        <f>HYPERLINK("https://t.co/HS20wIjbfb")</f>
        <v>https://t.co/HS20wIjbfb</v>
      </c>
      <c r="AQ1192" s="96" t="str">
        <f>HYPERLINK("https://esmarketingdigital.com")</f>
        <v>https://esmarketingdigital.com</v>
      </c>
      <c r="AR1192" s="86" t="s">
        <v>28694</v>
      </c>
      <c r="AS1192" s="86"/>
      <c r="AT1192" s="86"/>
      <c r="AU1192" s="86"/>
      <c r="AV1192" s="86"/>
      <c r="AW1192" s="96" t="str">
        <f>HYPERLINK("https://t.co/HS20wIjbfb")</f>
        <v>https://t.co/HS20wIjbfb</v>
      </c>
      <c r="AX1192" s="86" t="b">
        <v>0</v>
      </c>
      <c r="AY1192" s="86"/>
      <c r="AZ1192" s="86"/>
      <c r="BA1192" s="86" t="b">
        <v>0</v>
      </c>
      <c r="BB1192" s="86" t="b">
        <v>1</v>
      </c>
      <c r="BC1192" s="86" t="b">
        <v>0</v>
      </c>
      <c r="BD1192" s="86" t="b">
        <v>0</v>
      </c>
      <c r="BE1192" s="86" t="b">
        <v>1</v>
      </c>
      <c r="BF1192" s="86" t="b">
        <v>0</v>
      </c>
      <c r="BG1192" s="86" t="b">
        <v>0</v>
      </c>
      <c r="BH1192" s="96" t="str">
        <f>HYPERLINK("https://pbs.twimg.com/profile_banners/936235920/1622694800")</f>
        <v>https://pbs.twimg.com/profile_banners/936235920/1622694800</v>
      </c>
      <c r="BI1192" s="86"/>
      <c r="BJ1192" s="86" t="s">
        <v>29134</v>
      </c>
      <c r="BK1192" s="86" t="b">
        <v>0</v>
      </c>
      <c r="BL1192" s="86"/>
      <c r="BM1192" s="86" t="s">
        <v>66</v>
      </c>
      <c r="BN1192" s="86" t="s">
        <v>29136</v>
      </c>
      <c r="BO1192" s="96" t="str">
        <f>HYPERLINK("https://twitter.com/esmktdigital")</f>
        <v>https://twitter.com/esmktdigital</v>
      </c>
      <c r="BP1192" s="2"/>
    </row>
    <row r="1193" spans="1:68" x14ac:dyDescent="0.25">
      <c r="A1193" s="63" t="s">
        <v>1243</v>
      </c>
      <c r="B1193" s="64"/>
      <c r="C1193" s="64"/>
      <c r="D1193" s="65"/>
      <c r="E1193" s="67"/>
      <c r="F1193" s="111" t="str">
        <f>HYPERLINK("https://pbs.twimg.com/profile_images/1498730926087548931/rrmpAUx4_normal.jpg")</f>
        <v>https://pbs.twimg.com/profile_images/1498730926087548931/rrmpAUx4_normal.jpg</v>
      </c>
      <c r="G1193" s="64"/>
      <c r="H1193" s="68"/>
      <c r="I1193" s="69"/>
      <c r="J1193" s="69"/>
      <c r="K1193" s="68" t="s">
        <v>30326</v>
      </c>
      <c r="L1193" s="72"/>
      <c r="M1193" s="73"/>
      <c r="N1193" s="73"/>
      <c r="O1193" s="74"/>
      <c r="P1193" s="75"/>
      <c r="Q1193" s="75"/>
      <c r="R1193" s="102"/>
      <c r="S1193" s="102"/>
      <c r="T1193" s="102"/>
      <c r="U1193" s="102"/>
      <c r="V1193" s="48"/>
      <c r="W1193" s="48"/>
      <c r="X1193" s="48"/>
      <c r="Y1193" s="48"/>
      <c r="Z1193" s="47"/>
      <c r="AA1193" s="70">
        <v>1193</v>
      </c>
      <c r="AB1193" s="70"/>
      <c r="AC1193" s="71"/>
      <c r="AD1193" s="86" t="s">
        <v>24794</v>
      </c>
      <c r="AE1193" s="94" t="s">
        <v>25696</v>
      </c>
      <c r="AF1193" s="86">
        <v>406</v>
      </c>
      <c r="AG1193" s="86">
        <v>156</v>
      </c>
      <c r="AH1193" s="86">
        <v>908</v>
      </c>
      <c r="AI1193" s="86">
        <v>5</v>
      </c>
      <c r="AJ1193" s="86">
        <v>772</v>
      </c>
      <c r="AK1193" s="86">
        <v>408</v>
      </c>
      <c r="AL1193" s="86" t="b">
        <v>0</v>
      </c>
      <c r="AM1193" s="89">
        <v>40558.70034722222</v>
      </c>
      <c r="AN1193" s="86" t="s">
        <v>15249</v>
      </c>
      <c r="AO1193" s="86" t="s">
        <v>27510</v>
      </c>
      <c r="AP1193" s="96" t="str">
        <f>HYPERLINK("https://t.co/8KGSJDKqdx")</f>
        <v>https://t.co/8KGSJDKqdx</v>
      </c>
      <c r="AQ1193" s="96" t="str">
        <f>HYPERLINK("https://beacons.ai/revistaatoz")</f>
        <v>https://beacons.ai/revistaatoz</v>
      </c>
      <c r="AR1193" s="86" t="s">
        <v>28695</v>
      </c>
      <c r="AS1193" s="86"/>
      <c r="AT1193" s="86"/>
      <c r="AU1193" s="86"/>
      <c r="AV1193" s="86"/>
      <c r="AW1193" s="96" t="str">
        <f>HYPERLINK("https://t.co/8KGSJDKqdx")</f>
        <v>https://t.co/8KGSJDKqdx</v>
      </c>
      <c r="AX1193" s="86" t="b">
        <v>0</v>
      </c>
      <c r="AY1193" s="86"/>
      <c r="AZ1193" s="86"/>
      <c r="BA1193" s="86" t="b">
        <v>0</v>
      </c>
      <c r="BB1193" s="86" t="b">
        <v>1</v>
      </c>
      <c r="BC1193" s="86" t="b">
        <v>0</v>
      </c>
      <c r="BD1193" s="86" t="b">
        <v>0</v>
      </c>
      <c r="BE1193" s="86" t="b">
        <v>1</v>
      </c>
      <c r="BF1193" s="86" t="b">
        <v>0</v>
      </c>
      <c r="BG1193" s="86" t="b">
        <v>0</v>
      </c>
      <c r="BH1193" s="96" t="str">
        <f>HYPERLINK("https://pbs.twimg.com/profile_banners/238628995/1644350698")</f>
        <v>https://pbs.twimg.com/profile_banners/238628995/1644350698</v>
      </c>
      <c r="BI1193" s="86"/>
      <c r="BJ1193" s="86" t="s">
        <v>29134</v>
      </c>
      <c r="BK1193" s="86" t="b">
        <v>0</v>
      </c>
      <c r="BL1193" s="86"/>
      <c r="BM1193" s="86" t="s">
        <v>66</v>
      </c>
      <c r="BN1193" s="86" t="s">
        <v>29136</v>
      </c>
      <c r="BO1193" s="96" t="str">
        <f>HYPERLINK("https://twitter.com/revistaatoz")</f>
        <v>https://twitter.com/revistaatoz</v>
      </c>
      <c r="BP1193" s="2"/>
    </row>
    <row r="1194" spans="1:68" x14ac:dyDescent="0.25">
      <c r="A1194" s="63" t="s">
        <v>1244</v>
      </c>
      <c r="B1194" s="64"/>
      <c r="C1194" s="64"/>
      <c r="D1194" s="65"/>
      <c r="E1194" s="67"/>
      <c r="F1194" s="111" t="str">
        <f>HYPERLINK("https://pbs.twimg.com/profile_images/1679182902976819200/uzbwk3he_normal.jpg")</f>
        <v>https://pbs.twimg.com/profile_images/1679182902976819200/uzbwk3he_normal.jpg</v>
      </c>
      <c r="G1194" s="64"/>
      <c r="H1194" s="68"/>
      <c r="I1194" s="69"/>
      <c r="J1194" s="69"/>
      <c r="K1194" s="68" t="s">
        <v>30327</v>
      </c>
      <c r="L1194" s="72"/>
      <c r="M1194" s="73"/>
      <c r="N1194" s="73"/>
      <c r="O1194" s="74"/>
      <c r="P1194" s="75"/>
      <c r="Q1194" s="75"/>
      <c r="R1194" s="102"/>
      <c r="S1194" s="102"/>
      <c r="T1194" s="102"/>
      <c r="U1194" s="102"/>
      <c r="V1194" s="48"/>
      <c r="W1194" s="48"/>
      <c r="X1194" s="48"/>
      <c r="Y1194" s="48"/>
      <c r="Z1194" s="47"/>
      <c r="AA1194" s="70">
        <v>1194</v>
      </c>
      <c r="AB1194" s="70"/>
      <c r="AC1194" s="71"/>
      <c r="AD1194" s="86" t="s">
        <v>24795</v>
      </c>
      <c r="AE1194" s="94" t="s">
        <v>25697</v>
      </c>
      <c r="AF1194" s="86">
        <v>130</v>
      </c>
      <c r="AG1194" s="86">
        <v>366</v>
      </c>
      <c r="AH1194" s="86">
        <v>99</v>
      </c>
      <c r="AI1194" s="86">
        <v>0</v>
      </c>
      <c r="AJ1194" s="86">
        <v>36</v>
      </c>
      <c r="AK1194" s="86">
        <v>9</v>
      </c>
      <c r="AL1194" s="86" t="b">
        <v>0</v>
      </c>
      <c r="AM1194" s="89">
        <v>41114.005925925929</v>
      </c>
      <c r="AN1194" s="86" t="s">
        <v>15234</v>
      </c>
      <c r="AO1194" s="86" t="s">
        <v>27511</v>
      </c>
      <c r="AP1194" s="96" t="str">
        <f>HYPERLINK("https://t.co/Qq46CsrSRE")</f>
        <v>https://t.co/Qq46CsrSRE</v>
      </c>
      <c r="AQ1194" s="96" t="str">
        <f>HYPERLINK("https://www.psdweb.com.br")</f>
        <v>https://www.psdweb.com.br</v>
      </c>
      <c r="AR1194" s="86" t="s">
        <v>28696</v>
      </c>
      <c r="AS1194" s="86"/>
      <c r="AT1194" s="86"/>
      <c r="AU1194" s="86"/>
      <c r="AV1194" s="86">
        <v>5.6349471183997299E+17</v>
      </c>
      <c r="AW1194" s="96" t="str">
        <f>HYPERLINK("https://t.co/Qq46CsrSRE")</f>
        <v>https://t.co/Qq46CsrSRE</v>
      </c>
      <c r="AX1194" s="86" t="b">
        <v>0</v>
      </c>
      <c r="AY1194" s="86"/>
      <c r="AZ1194" s="86"/>
      <c r="BA1194" s="86" t="b">
        <v>0</v>
      </c>
      <c r="BB1194" s="86" t="b">
        <v>1</v>
      </c>
      <c r="BC1194" s="86" t="b">
        <v>0</v>
      </c>
      <c r="BD1194" s="86" t="b">
        <v>0</v>
      </c>
      <c r="BE1194" s="86" t="b">
        <v>0</v>
      </c>
      <c r="BF1194" s="86" t="b">
        <v>0</v>
      </c>
      <c r="BG1194" s="86" t="b">
        <v>0</v>
      </c>
      <c r="BH1194" s="96" t="str">
        <f>HYPERLINK("https://pbs.twimg.com/profile_banners/713367260/1689183377")</f>
        <v>https://pbs.twimg.com/profile_banners/713367260/1689183377</v>
      </c>
      <c r="BI1194" s="86"/>
      <c r="BJ1194" s="86" t="s">
        <v>29134</v>
      </c>
      <c r="BK1194" s="86" t="b">
        <v>0</v>
      </c>
      <c r="BL1194" s="86"/>
      <c r="BM1194" s="86" t="s">
        <v>66</v>
      </c>
      <c r="BN1194" s="86" t="s">
        <v>29136</v>
      </c>
      <c r="BO1194" s="96" t="str">
        <f>HYPERLINK("https://twitter.com/psdweb")</f>
        <v>https://twitter.com/psdweb</v>
      </c>
      <c r="BP1194" s="2"/>
    </row>
    <row r="1195" spans="1:68" x14ac:dyDescent="0.25">
      <c r="A1195" s="63" t="s">
        <v>1245</v>
      </c>
      <c r="B1195" s="64"/>
      <c r="C1195" s="64"/>
      <c r="D1195" s="65"/>
      <c r="E1195" s="67"/>
      <c r="F1195" s="111" t="str">
        <f>HYPERLINK("https://pbs.twimg.com/profile_images/1671333903678812160/_opwtZHW_normal.jpg")</f>
        <v>https://pbs.twimg.com/profile_images/1671333903678812160/_opwtZHW_normal.jpg</v>
      </c>
      <c r="G1195" s="64"/>
      <c r="H1195" s="68"/>
      <c r="I1195" s="69"/>
      <c r="J1195" s="69"/>
      <c r="K1195" s="68" t="s">
        <v>30328</v>
      </c>
      <c r="L1195" s="72"/>
      <c r="M1195" s="73"/>
      <c r="N1195" s="73"/>
      <c r="O1195" s="74"/>
      <c r="P1195" s="75"/>
      <c r="Q1195" s="75"/>
      <c r="R1195" s="102"/>
      <c r="S1195" s="102"/>
      <c r="T1195" s="102"/>
      <c r="U1195" s="102"/>
      <c r="V1195" s="48"/>
      <c r="W1195" s="48"/>
      <c r="X1195" s="48"/>
      <c r="Y1195" s="48"/>
      <c r="Z1195" s="47"/>
      <c r="AA1195" s="70">
        <v>1195</v>
      </c>
      <c r="AB1195" s="70"/>
      <c r="AC1195" s="71"/>
      <c r="AD1195" s="86" t="s">
        <v>24796</v>
      </c>
      <c r="AE1195" s="94" t="s">
        <v>23385</v>
      </c>
      <c r="AF1195" s="86">
        <v>25</v>
      </c>
      <c r="AG1195" s="86">
        <v>84</v>
      </c>
      <c r="AH1195" s="86">
        <v>104</v>
      </c>
      <c r="AI1195" s="86">
        <v>0</v>
      </c>
      <c r="AJ1195" s="86">
        <v>239</v>
      </c>
      <c r="AK1195" s="86">
        <v>27</v>
      </c>
      <c r="AL1195" s="86" t="b">
        <v>0</v>
      </c>
      <c r="AM1195" s="89">
        <v>42960.944884259261</v>
      </c>
      <c r="AN1195" s="86" t="s">
        <v>15270</v>
      </c>
      <c r="AO1195" s="86" t="s">
        <v>27512</v>
      </c>
      <c r="AP1195" s="96" t="str">
        <f>HYPERLINK("https://t.co/vXtgFpnTPx")</f>
        <v>https://t.co/vXtgFpnTPx</v>
      </c>
      <c r="AQ1195" s="96" t="str">
        <f>HYPERLINK("https://linktr.ee/CelsoMellani")</f>
        <v>https://linktr.ee/CelsoMellani</v>
      </c>
      <c r="AR1195" s="86" t="s">
        <v>28697</v>
      </c>
      <c r="AS1195" s="86"/>
      <c r="AT1195" s="86"/>
      <c r="AU1195" s="86"/>
      <c r="AV1195" s="86"/>
      <c r="AW1195" s="96" t="str">
        <f>HYPERLINK("https://t.co/vXtgFpnTPx")</f>
        <v>https://t.co/vXtgFpnTPx</v>
      </c>
      <c r="AX1195" s="86" t="b">
        <v>0</v>
      </c>
      <c r="AY1195" s="86"/>
      <c r="AZ1195" s="86"/>
      <c r="BA1195" s="86" t="b">
        <v>0</v>
      </c>
      <c r="BB1195" s="86" t="b">
        <v>1</v>
      </c>
      <c r="BC1195" s="86" t="b">
        <v>1</v>
      </c>
      <c r="BD1195" s="86" t="b">
        <v>0</v>
      </c>
      <c r="BE1195" s="86" t="b">
        <v>0</v>
      </c>
      <c r="BF1195" s="86" t="b">
        <v>0</v>
      </c>
      <c r="BG1195" s="86" t="b">
        <v>0</v>
      </c>
      <c r="BH1195" s="96" t="str">
        <f>HYPERLINK("https://pbs.twimg.com/profile_banners/896864096573956096/1686432326")</f>
        <v>https://pbs.twimg.com/profile_banners/896864096573956096/1686432326</v>
      </c>
      <c r="BI1195" s="86"/>
      <c r="BJ1195" s="86" t="s">
        <v>29134</v>
      </c>
      <c r="BK1195" s="86" t="b">
        <v>0</v>
      </c>
      <c r="BL1195" s="86"/>
      <c r="BM1195" s="86" t="s">
        <v>66</v>
      </c>
      <c r="BN1195" s="86" t="s">
        <v>29136</v>
      </c>
      <c r="BO1195" s="96" t="str">
        <f>HYPERLINK("https://twitter.com/celsomellani")</f>
        <v>https://twitter.com/celsomellani</v>
      </c>
      <c r="BP1195" s="2"/>
    </row>
    <row r="1196" spans="1:68" x14ac:dyDescent="0.25">
      <c r="A1196" s="63" t="s">
        <v>1246</v>
      </c>
      <c r="B1196" s="64"/>
      <c r="C1196" s="64"/>
      <c r="D1196" s="65"/>
      <c r="E1196" s="67"/>
      <c r="F1196" s="111" t="str">
        <f>HYPERLINK("https://pbs.twimg.com/profile_images/1703760478416080896/eQADDgGu_normal.jpg")</f>
        <v>https://pbs.twimg.com/profile_images/1703760478416080896/eQADDgGu_normal.jpg</v>
      </c>
      <c r="G1196" s="64"/>
      <c r="H1196" s="68"/>
      <c r="I1196" s="69"/>
      <c r="J1196" s="69"/>
      <c r="K1196" s="68" t="s">
        <v>30329</v>
      </c>
      <c r="L1196" s="72"/>
      <c r="M1196" s="73"/>
      <c r="N1196" s="73"/>
      <c r="O1196" s="74"/>
      <c r="P1196" s="75"/>
      <c r="Q1196" s="75"/>
      <c r="R1196" s="102"/>
      <c r="S1196" s="102"/>
      <c r="T1196" s="102"/>
      <c r="U1196" s="102"/>
      <c r="V1196" s="48"/>
      <c r="W1196" s="48"/>
      <c r="X1196" s="48"/>
      <c r="Y1196" s="48"/>
      <c r="Z1196" s="47"/>
      <c r="AA1196" s="70">
        <v>1196</v>
      </c>
      <c r="AB1196" s="70"/>
      <c r="AC1196" s="71"/>
      <c r="AD1196" s="86" t="s">
        <v>24797</v>
      </c>
      <c r="AE1196" s="94" t="s">
        <v>25698</v>
      </c>
      <c r="AF1196" s="86">
        <v>61</v>
      </c>
      <c r="AG1196" s="86">
        <v>117</v>
      </c>
      <c r="AH1196" s="86">
        <v>346</v>
      </c>
      <c r="AI1196" s="86">
        <v>0</v>
      </c>
      <c r="AJ1196" s="86">
        <v>5</v>
      </c>
      <c r="AK1196" s="86">
        <v>333</v>
      </c>
      <c r="AL1196" s="86" t="b">
        <v>0</v>
      </c>
      <c r="AM1196" s="89">
        <v>42144.859270833331</v>
      </c>
      <c r="AN1196" s="86" t="s">
        <v>26295</v>
      </c>
      <c r="AO1196" s="86" t="s">
        <v>27513</v>
      </c>
      <c r="AP1196" s="96" t="str">
        <f>HYPERLINK("https://t.co/1ZPCfowBcY")</f>
        <v>https://t.co/1ZPCfowBcY</v>
      </c>
      <c r="AQ1196" s="96" t="str">
        <f>HYPERLINK("https://www.anchieta.es.gov.br/")</f>
        <v>https://www.anchieta.es.gov.br/</v>
      </c>
      <c r="AR1196" s="86" t="s">
        <v>28698</v>
      </c>
      <c r="AS1196" s="86"/>
      <c r="AT1196" s="86"/>
      <c r="AU1196" s="86"/>
      <c r="AV1196" s="86"/>
      <c r="AW1196" s="96" t="str">
        <f>HYPERLINK("https://t.co/1ZPCfowBcY")</f>
        <v>https://t.co/1ZPCfowBcY</v>
      </c>
      <c r="AX1196" s="86" t="b">
        <v>0</v>
      </c>
      <c r="AY1196" s="86"/>
      <c r="AZ1196" s="86"/>
      <c r="BA1196" s="86" t="b">
        <v>0</v>
      </c>
      <c r="BB1196" s="86" t="b">
        <v>1</v>
      </c>
      <c r="BC1196" s="86" t="b">
        <v>1</v>
      </c>
      <c r="BD1196" s="86" t="b">
        <v>0</v>
      </c>
      <c r="BE1196" s="86" t="b">
        <v>0</v>
      </c>
      <c r="BF1196" s="86" t="b">
        <v>0</v>
      </c>
      <c r="BG1196" s="86" t="b">
        <v>0</v>
      </c>
      <c r="BH1196" s="96" t="str">
        <f>HYPERLINK("https://pbs.twimg.com/profile_banners/3291859173/1668104240")</f>
        <v>https://pbs.twimg.com/profile_banners/3291859173/1668104240</v>
      </c>
      <c r="BI1196" s="86"/>
      <c r="BJ1196" s="86" t="s">
        <v>29134</v>
      </c>
      <c r="BK1196" s="86" t="b">
        <v>0</v>
      </c>
      <c r="BL1196" s="86"/>
      <c r="BM1196" s="86" t="s">
        <v>66</v>
      </c>
      <c r="BN1196" s="86" t="s">
        <v>29136</v>
      </c>
      <c r="BO1196" s="96" t="str">
        <f>HYPERLINK("https://twitter.com/pref_anchietaes")</f>
        <v>https://twitter.com/pref_anchietaes</v>
      </c>
      <c r="BP1196" s="2"/>
    </row>
    <row r="1197" spans="1:68" x14ac:dyDescent="0.25">
      <c r="A1197" s="63" t="s">
        <v>1247</v>
      </c>
      <c r="B1197" s="64"/>
      <c r="C1197" s="64"/>
      <c r="D1197" s="65"/>
      <c r="E1197" s="67"/>
      <c r="F1197" s="111" t="str">
        <f>HYPERLINK("https://pbs.twimg.com/profile_images/1294088469120196610/jCUbeZEr_normal.jpg")</f>
        <v>https://pbs.twimg.com/profile_images/1294088469120196610/jCUbeZEr_normal.jpg</v>
      </c>
      <c r="G1197" s="64"/>
      <c r="H1197" s="68"/>
      <c r="I1197" s="69"/>
      <c r="J1197" s="69"/>
      <c r="K1197" s="68" t="s">
        <v>30330</v>
      </c>
      <c r="L1197" s="72"/>
      <c r="M1197" s="73"/>
      <c r="N1197" s="73"/>
      <c r="O1197" s="74"/>
      <c r="P1197" s="75"/>
      <c r="Q1197" s="75"/>
      <c r="R1197" s="102"/>
      <c r="S1197" s="102"/>
      <c r="T1197" s="102"/>
      <c r="U1197" s="102"/>
      <c r="V1197" s="48"/>
      <c r="W1197" s="48"/>
      <c r="X1197" s="48"/>
      <c r="Y1197" s="48"/>
      <c r="Z1197" s="47"/>
      <c r="AA1197" s="70">
        <v>1197</v>
      </c>
      <c r="AB1197" s="70"/>
      <c r="AC1197" s="71"/>
      <c r="AD1197" s="86" t="s">
        <v>24798</v>
      </c>
      <c r="AE1197" s="94" t="s">
        <v>25699</v>
      </c>
      <c r="AF1197" s="86">
        <v>2587</v>
      </c>
      <c r="AG1197" s="86">
        <v>250</v>
      </c>
      <c r="AH1197" s="86">
        <v>41100</v>
      </c>
      <c r="AI1197" s="86">
        <v>5</v>
      </c>
      <c r="AJ1197" s="86">
        <v>1195</v>
      </c>
      <c r="AK1197" s="86">
        <v>959</v>
      </c>
      <c r="AL1197" s="86" t="b">
        <v>0</v>
      </c>
      <c r="AM1197" s="89">
        <v>41090.874155092592</v>
      </c>
      <c r="AN1197" s="86" t="s">
        <v>26296</v>
      </c>
      <c r="AO1197" s="86" t="s">
        <v>27514</v>
      </c>
      <c r="AP1197" s="86"/>
      <c r="AQ1197" s="86"/>
      <c r="AR1197" s="86"/>
      <c r="AS1197" s="86"/>
      <c r="AT1197" s="86"/>
      <c r="AU1197" s="86"/>
      <c r="AV1197" s="86">
        <v>7.9785817836081894E+17</v>
      </c>
      <c r="AW1197" s="86"/>
      <c r="AX1197" s="86" t="b">
        <v>0</v>
      </c>
      <c r="AY1197" s="86"/>
      <c r="AZ1197" s="86"/>
      <c r="BA1197" s="86" t="b">
        <v>1</v>
      </c>
      <c r="BB1197" s="86" t="b">
        <v>0</v>
      </c>
      <c r="BC1197" s="86" t="b">
        <v>0</v>
      </c>
      <c r="BD1197" s="86" t="b">
        <v>0</v>
      </c>
      <c r="BE1197" s="86" t="b">
        <v>0</v>
      </c>
      <c r="BF1197" s="86" t="b">
        <v>0</v>
      </c>
      <c r="BG1197" s="86" t="b">
        <v>0</v>
      </c>
      <c r="BH1197" s="96" t="str">
        <f>HYPERLINK("https://pbs.twimg.com/profile_banners/623139451/1542937637")</f>
        <v>https://pbs.twimg.com/profile_banners/623139451/1542937637</v>
      </c>
      <c r="BI1197" s="86"/>
      <c r="BJ1197" s="86" t="s">
        <v>29135</v>
      </c>
      <c r="BK1197" s="86" t="b">
        <v>0</v>
      </c>
      <c r="BL1197" s="86"/>
      <c r="BM1197" s="86" t="s">
        <v>66</v>
      </c>
      <c r="BN1197" s="86" t="s">
        <v>29136</v>
      </c>
      <c r="BO1197" s="96" t="str">
        <f>HYPERLINK("https://twitter.com/alinesabrinax")</f>
        <v>https://twitter.com/alinesabrinax</v>
      </c>
      <c r="BP1197" s="2"/>
    </row>
    <row r="1198" spans="1:68" x14ac:dyDescent="0.25">
      <c r="A1198" s="63" t="s">
        <v>1248</v>
      </c>
      <c r="B1198" s="64"/>
      <c r="C1198" s="64"/>
      <c r="D1198" s="65"/>
      <c r="E1198" s="67"/>
      <c r="F1198" s="111" t="str">
        <f>HYPERLINK("https://pbs.twimg.com/profile_images/1641913020904341510/IZvj5eYB_normal.jpg")</f>
        <v>https://pbs.twimg.com/profile_images/1641913020904341510/IZvj5eYB_normal.jpg</v>
      </c>
      <c r="G1198" s="64"/>
      <c r="H1198" s="68"/>
      <c r="I1198" s="69"/>
      <c r="J1198" s="69"/>
      <c r="K1198" s="68" t="s">
        <v>30331</v>
      </c>
      <c r="L1198" s="72"/>
      <c r="M1198" s="73"/>
      <c r="N1198" s="73"/>
      <c r="O1198" s="74"/>
      <c r="P1198" s="75"/>
      <c r="Q1198" s="75"/>
      <c r="R1198" s="102"/>
      <c r="S1198" s="102"/>
      <c r="T1198" s="102"/>
      <c r="U1198" s="102"/>
      <c r="V1198" s="48"/>
      <c r="W1198" s="48"/>
      <c r="X1198" s="48"/>
      <c r="Y1198" s="48"/>
      <c r="Z1198" s="47"/>
      <c r="AA1198" s="70">
        <v>1198</v>
      </c>
      <c r="AB1198" s="70"/>
      <c r="AC1198" s="71"/>
      <c r="AD1198" s="86" t="s">
        <v>24799</v>
      </c>
      <c r="AE1198" s="94" t="s">
        <v>23386</v>
      </c>
      <c r="AF1198" s="86">
        <v>149</v>
      </c>
      <c r="AG1198" s="86">
        <v>731</v>
      </c>
      <c r="AH1198" s="86">
        <v>7524</v>
      </c>
      <c r="AI1198" s="86">
        <v>2</v>
      </c>
      <c r="AJ1198" s="86">
        <v>25678</v>
      </c>
      <c r="AK1198" s="86">
        <v>88</v>
      </c>
      <c r="AL1198" s="86" t="b">
        <v>0</v>
      </c>
      <c r="AM1198" s="89">
        <v>43679.582291666666</v>
      </c>
      <c r="AN1198" s="86" t="s">
        <v>15289</v>
      </c>
      <c r="AO1198" s="86" t="s">
        <v>27515</v>
      </c>
      <c r="AP1198" s="86"/>
      <c r="AQ1198" s="86"/>
      <c r="AR1198" s="86"/>
      <c r="AS1198" s="86"/>
      <c r="AT1198" s="86"/>
      <c r="AU1198" s="86"/>
      <c r="AV1198" s="86"/>
      <c r="AW1198" s="86"/>
      <c r="AX1198" s="86" t="b">
        <v>0</v>
      </c>
      <c r="AY1198" s="86"/>
      <c r="AZ1198" s="86"/>
      <c r="BA1198" s="86" t="b">
        <v>0</v>
      </c>
      <c r="BB1198" s="86" t="b">
        <v>0</v>
      </c>
      <c r="BC1198" s="86" t="b">
        <v>1</v>
      </c>
      <c r="BD1198" s="86" t="b">
        <v>0</v>
      </c>
      <c r="BE1198" s="86" t="b">
        <v>1</v>
      </c>
      <c r="BF1198" s="86" t="b">
        <v>0</v>
      </c>
      <c r="BG1198" s="86" t="b">
        <v>0</v>
      </c>
      <c r="BH1198" s="96" t="str">
        <f>HYPERLINK("https://pbs.twimg.com/profile_banners/1157289571920547842/1685491654")</f>
        <v>https://pbs.twimg.com/profile_banners/1157289571920547842/1685491654</v>
      </c>
      <c r="BI1198" s="86"/>
      <c r="BJ1198" s="86" t="s">
        <v>29134</v>
      </c>
      <c r="BK1198" s="86" t="b">
        <v>0</v>
      </c>
      <c r="BL1198" s="86"/>
      <c r="BM1198" s="86" t="s">
        <v>66</v>
      </c>
      <c r="BN1198" s="86" t="s">
        <v>29136</v>
      </c>
      <c r="BO1198" s="96" t="str">
        <f>HYPERLINK("https://twitter.com/walves__")</f>
        <v>https://twitter.com/walves__</v>
      </c>
      <c r="BP1198" s="2"/>
    </row>
    <row r="1199" spans="1:68" x14ac:dyDescent="0.25">
      <c r="A1199" s="63" t="s">
        <v>1776</v>
      </c>
      <c r="B1199" s="64"/>
      <c r="C1199" s="64"/>
      <c r="D1199" s="65"/>
      <c r="E1199" s="67"/>
      <c r="F1199" s="111" t="str">
        <f>HYPERLINK("https://pbs.twimg.com/profile_images/1701563112137097216/oMG8Izhp_normal.jpg")</f>
        <v>https://pbs.twimg.com/profile_images/1701563112137097216/oMG8Izhp_normal.jpg</v>
      </c>
      <c r="G1199" s="64"/>
      <c r="H1199" s="68"/>
      <c r="I1199" s="69"/>
      <c r="J1199" s="69"/>
      <c r="K1199" s="68" t="s">
        <v>30332</v>
      </c>
      <c r="L1199" s="72"/>
      <c r="M1199" s="73"/>
      <c r="N1199" s="73"/>
      <c r="O1199" s="74"/>
      <c r="P1199" s="75"/>
      <c r="Q1199" s="75"/>
      <c r="R1199" s="102"/>
      <c r="S1199" s="102"/>
      <c r="T1199" s="102"/>
      <c r="U1199" s="102"/>
      <c r="V1199" s="48"/>
      <c r="W1199" s="48"/>
      <c r="X1199" s="48"/>
      <c r="Y1199" s="48"/>
      <c r="Z1199" s="47"/>
      <c r="AA1199" s="70">
        <v>1199</v>
      </c>
      <c r="AB1199" s="70"/>
      <c r="AC1199" s="71"/>
      <c r="AD1199" s="86" t="s">
        <v>24800</v>
      </c>
      <c r="AE1199" s="94" t="s">
        <v>25700</v>
      </c>
      <c r="AF1199" s="86">
        <v>182</v>
      </c>
      <c r="AG1199" s="86">
        <v>2877</v>
      </c>
      <c r="AH1199" s="86">
        <v>1673</v>
      </c>
      <c r="AI1199" s="86">
        <v>1</v>
      </c>
      <c r="AJ1199" s="86">
        <v>7150</v>
      </c>
      <c r="AK1199" s="86">
        <v>111</v>
      </c>
      <c r="AL1199" s="86" t="b">
        <v>0</v>
      </c>
      <c r="AM1199" s="89">
        <v>42290.907118055555</v>
      </c>
      <c r="AN1199" s="86" t="s">
        <v>26297</v>
      </c>
      <c r="AO1199" s="86" t="s">
        <v>27516</v>
      </c>
      <c r="AP1199" s="86"/>
      <c r="AQ1199" s="86"/>
      <c r="AR1199" s="86"/>
      <c r="AS1199" s="86"/>
      <c r="AT1199" s="86"/>
      <c r="AU1199" s="86"/>
      <c r="AV1199" s="86">
        <v>1.5636933665624E+18</v>
      </c>
      <c r="AW1199" s="86"/>
      <c r="AX1199" s="86" t="b">
        <v>0</v>
      </c>
      <c r="AY1199" s="86"/>
      <c r="AZ1199" s="86"/>
      <c r="BA1199" s="86" t="b">
        <v>0</v>
      </c>
      <c r="BB1199" s="86" t="b">
        <v>0</v>
      </c>
      <c r="BC1199" s="86" t="b">
        <v>0</v>
      </c>
      <c r="BD1199" s="86" t="b">
        <v>0</v>
      </c>
      <c r="BE1199" s="86" t="b">
        <v>1</v>
      </c>
      <c r="BF1199" s="86" t="b">
        <v>0</v>
      </c>
      <c r="BG1199" s="86" t="b">
        <v>0</v>
      </c>
      <c r="BH1199" s="96" t="str">
        <f>HYPERLINK("https://pbs.twimg.com/profile_banners/3950126116/1695001656")</f>
        <v>https://pbs.twimg.com/profile_banners/3950126116/1695001656</v>
      </c>
      <c r="BI1199" s="86"/>
      <c r="BJ1199" s="86" t="s">
        <v>29134</v>
      </c>
      <c r="BK1199" s="86" t="b">
        <v>0</v>
      </c>
      <c r="BL1199" s="86"/>
      <c r="BM1199" s="86" t="s">
        <v>65</v>
      </c>
      <c r="BN1199" s="86" t="s">
        <v>29136</v>
      </c>
      <c r="BO1199" s="96" t="str">
        <f>HYPERLINK("https://twitter.com/isthetito")</f>
        <v>https://twitter.com/isthetito</v>
      </c>
      <c r="BP1199" s="2"/>
    </row>
    <row r="1200" spans="1:68" x14ac:dyDescent="0.25">
      <c r="A1200" s="63" t="s">
        <v>1777</v>
      </c>
      <c r="B1200" s="64"/>
      <c r="C1200" s="64"/>
      <c r="D1200" s="65"/>
      <c r="E1200" s="67"/>
      <c r="F1200" s="111" t="str">
        <f>HYPERLINK("https://pbs.twimg.com/profile_images/1704250730293399552/qRjQyBe4_normal.jpg")</f>
        <v>https://pbs.twimg.com/profile_images/1704250730293399552/qRjQyBe4_normal.jpg</v>
      </c>
      <c r="G1200" s="64"/>
      <c r="H1200" s="68"/>
      <c r="I1200" s="69"/>
      <c r="J1200" s="69"/>
      <c r="K1200" s="68" t="s">
        <v>30333</v>
      </c>
      <c r="L1200" s="72"/>
      <c r="M1200" s="73"/>
      <c r="N1200" s="73"/>
      <c r="O1200" s="74"/>
      <c r="P1200" s="75"/>
      <c r="Q1200" s="75"/>
      <c r="R1200" s="102"/>
      <c r="S1200" s="102"/>
      <c r="T1200" s="102"/>
      <c r="U1200" s="102"/>
      <c r="V1200" s="48"/>
      <c r="W1200" s="48"/>
      <c r="X1200" s="48"/>
      <c r="Y1200" s="48"/>
      <c r="Z1200" s="47"/>
      <c r="AA1200" s="70">
        <v>1200</v>
      </c>
      <c r="AB1200" s="70"/>
      <c r="AC1200" s="71"/>
      <c r="AD1200" s="86" t="s">
        <v>24801</v>
      </c>
      <c r="AE1200" s="94" t="s">
        <v>22625</v>
      </c>
      <c r="AF1200" s="86">
        <v>1085</v>
      </c>
      <c r="AG1200" s="86">
        <v>485</v>
      </c>
      <c r="AH1200" s="86">
        <v>37726</v>
      </c>
      <c r="AI1200" s="86">
        <v>1</v>
      </c>
      <c r="AJ1200" s="86">
        <v>39445</v>
      </c>
      <c r="AK1200" s="86">
        <v>2189</v>
      </c>
      <c r="AL1200" s="86" t="b">
        <v>0</v>
      </c>
      <c r="AM1200" s="89">
        <v>42271.011990740742</v>
      </c>
      <c r="AN1200" s="86" t="s">
        <v>26298</v>
      </c>
      <c r="AO1200" s="86" t="s">
        <v>27517</v>
      </c>
      <c r="AP1200" s="96" t="str">
        <f>HYPERLINK("https://t.co/Z32KEGYwHK")</f>
        <v>https://t.co/Z32KEGYwHK</v>
      </c>
      <c r="AQ1200" s="96" t="str">
        <f>HYPERLINK("https://daidson.github.io/")</f>
        <v>https://daidson.github.io/</v>
      </c>
      <c r="AR1200" s="86" t="s">
        <v>28699</v>
      </c>
      <c r="AS1200" s="86"/>
      <c r="AT1200" s="86"/>
      <c r="AU1200" s="86"/>
      <c r="AV1200" s="86">
        <v>1.4857218599036001E+18</v>
      </c>
      <c r="AW1200" s="96" t="str">
        <f>HYPERLINK("https://t.co/Z32KEGYwHK")</f>
        <v>https://t.co/Z32KEGYwHK</v>
      </c>
      <c r="AX1200" s="86" t="b">
        <v>0</v>
      </c>
      <c r="AY1200" s="86"/>
      <c r="AZ1200" s="86"/>
      <c r="BA1200" s="86" t="b">
        <v>1</v>
      </c>
      <c r="BB1200" s="86" t="b">
        <v>0</v>
      </c>
      <c r="BC1200" s="86" t="b">
        <v>0</v>
      </c>
      <c r="BD1200" s="86" t="b">
        <v>0</v>
      </c>
      <c r="BE1200" s="86" t="b">
        <v>1</v>
      </c>
      <c r="BF1200" s="86" t="b">
        <v>0</v>
      </c>
      <c r="BG1200" s="86" t="b">
        <v>0</v>
      </c>
      <c r="BH1200" s="96" t="str">
        <f>HYPERLINK("https://pbs.twimg.com/profile_banners/3754559237/1524148574")</f>
        <v>https://pbs.twimg.com/profile_banners/3754559237/1524148574</v>
      </c>
      <c r="BI1200" s="86"/>
      <c r="BJ1200" s="86" t="s">
        <v>29134</v>
      </c>
      <c r="BK1200" s="86" t="b">
        <v>0</v>
      </c>
      <c r="BL1200" s="86"/>
      <c r="BM1200" s="86" t="s">
        <v>65</v>
      </c>
      <c r="BN1200" s="86" t="s">
        <v>29136</v>
      </c>
      <c r="BO1200" s="96" t="str">
        <f>HYPERLINK("https://twitter.com/daidson_")</f>
        <v>https://twitter.com/daidson_</v>
      </c>
      <c r="BP1200" s="2"/>
    </row>
    <row r="1201" spans="1:68" x14ac:dyDescent="0.25">
      <c r="A1201" s="63" t="s">
        <v>1249</v>
      </c>
      <c r="B1201" s="64"/>
      <c r="C1201" s="64"/>
      <c r="D1201" s="65"/>
      <c r="E1201" s="67"/>
      <c r="F1201" s="111" t="str">
        <f>HYPERLINK("https://pbs.twimg.com/profile_images/1674886843744108544/Hq1yDB1j_normal.jpg")</f>
        <v>https://pbs.twimg.com/profile_images/1674886843744108544/Hq1yDB1j_normal.jpg</v>
      </c>
      <c r="G1201" s="64"/>
      <c r="H1201" s="68"/>
      <c r="I1201" s="69"/>
      <c r="J1201" s="69"/>
      <c r="K1201" s="68" t="s">
        <v>30334</v>
      </c>
      <c r="L1201" s="72"/>
      <c r="M1201" s="73"/>
      <c r="N1201" s="73"/>
      <c r="O1201" s="74"/>
      <c r="P1201" s="75"/>
      <c r="Q1201" s="75"/>
      <c r="R1201" s="102"/>
      <c r="S1201" s="102"/>
      <c r="T1201" s="102"/>
      <c r="U1201" s="102"/>
      <c r="V1201" s="48"/>
      <c r="W1201" s="48"/>
      <c r="X1201" s="48"/>
      <c r="Y1201" s="48"/>
      <c r="Z1201" s="47"/>
      <c r="AA1201" s="70">
        <v>1201</v>
      </c>
      <c r="AB1201" s="70"/>
      <c r="AC1201" s="71"/>
      <c r="AD1201" s="86" t="s">
        <v>23989</v>
      </c>
      <c r="AE1201" s="94" t="s">
        <v>25701</v>
      </c>
      <c r="AF1201" s="86">
        <v>5128</v>
      </c>
      <c r="AG1201" s="86">
        <v>365</v>
      </c>
      <c r="AH1201" s="86">
        <v>54587</v>
      </c>
      <c r="AI1201" s="86">
        <v>98</v>
      </c>
      <c r="AJ1201" s="86">
        <v>355</v>
      </c>
      <c r="AK1201" s="86">
        <v>1253</v>
      </c>
      <c r="AL1201" s="86" t="b">
        <v>0</v>
      </c>
      <c r="AM1201" s="89">
        <v>40015.915706018517</v>
      </c>
      <c r="AN1201" s="86" t="s">
        <v>26299</v>
      </c>
      <c r="AO1201" s="86" t="s">
        <v>27518</v>
      </c>
      <c r="AP1201" s="96" t="str">
        <f>HYPERLINK("https://t.co/v7YiiEB8XJ")</f>
        <v>https://t.co/v7YiiEB8XJ</v>
      </c>
      <c r="AQ1201" s="96" t="str">
        <f>HYPERLINK("http://www.dcomercio.com.br/")</f>
        <v>http://www.dcomercio.com.br/</v>
      </c>
      <c r="AR1201" s="86" t="s">
        <v>28700</v>
      </c>
      <c r="AS1201" s="86"/>
      <c r="AT1201" s="86"/>
      <c r="AU1201" s="86"/>
      <c r="AV1201" s="86">
        <v>1.69479229045443E+18</v>
      </c>
      <c r="AW1201" s="96" t="str">
        <f>HYPERLINK("https://t.co/v7YiiEB8XJ")</f>
        <v>https://t.co/v7YiiEB8XJ</v>
      </c>
      <c r="AX1201" s="86" t="b">
        <v>0</v>
      </c>
      <c r="AY1201" s="86"/>
      <c r="AZ1201" s="86"/>
      <c r="BA1201" s="86" t="b">
        <v>0</v>
      </c>
      <c r="BB1201" s="86" t="b">
        <v>1</v>
      </c>
      <c r="BC1201" s="86" t="b">
        <v>0</v>
      </c>
      <c r="BD1201" s="86" t="b">
        <v>0</v>
      </c>
      <c r="BE1201" s="86" t="b">
        <v>1</v>
      </c>
      <c r="BF1201" s="86" t="b">
        <v>0</v>
      </c>
      <c r="BG1201" s="86" t="b">
        <v>0</v>
      </c>
      <c r="BH1201" s="96" t="str">
        <f>HYPERLINK("https://pbs.twimg.com/profile_banners/58935944/1651697534")</f>
        <v>https://pbs.twimg.com/profile_banners/58935944/1651697534</v>
      </c>
      <c r="BI1201" s="86"/>
      <c r="BJ1201" s="86" t="s">
        <v>29134</v>
      </c>
      <c r="BK1201" s="86" t="b">
        <v>0</v>
      </c>
      <c r="BL1201" s="86"/>
      <c r="BM1201" s="86" t="s">
        <v>66</v>
      </c>
      <c r="BN1201" s="86" t="s">
        <v>29136</v>
      </c>
      <c r="BO1201" s="96" t="str">
        <f>HYPERLINK("https://twitter.com/dcomercio1")</f>
        <v>https://twitter.com/dcomercio1</v>
      </c>
      <c r="BP1201" s="2"/>
    </row>
    <row r="1202" spans="1:68" x14ac:dyDescent="0.25">
      <c r="A1202" s="63" t="s">
        <v>1778</v>
      </c>
      <c r="B1202" s="64"/>
      <c r="C1202" s="64"/>
      <c r="D1202" s="65"/>
      <c r="E1202" s="67"/>
      <c r="F1202" s="111" t="str">
        <f>HYPERLINK("https://pbs.twimg.com/profile_images/1671222099694714891/oMAtorya_normal.jpg")</f>
        <v>https://pbs.twimg.com/profile_images/1671222099694714891/oMAtorya_normal.jpg</v>
      </c>
      <c r="G1202" s="64"/>
      <c r="H1202" s="68"/>
      <c r="I1202" s="69"/>
      <c r="J1202" s="69"/>
      <c r="K1202" s="68" t="s">
        <v>30335</v>
      </c>
      <c r="L1202" s="72"/>
      <c r="M1202" s="73"/>
      <c r="N1202" s="73"/>
      <c r="O1202" s="74"/>
      <c r="P1202" s="75"/>
      <c r="Q1202" s="75"/>
      <c r="R1202" s="102"/>
      <c r="S1202" s="102"/>
      <c r="T1202" s="102"/>
      <c r="U1202" s="102"/>
      <c r="V1202" s="48"/>
      <c r="W1202" s="48"/>
      <c r="X1202" s="48"/>
      <c r="Y1202" s="48"/>
      <c r="Z1202" s="47"/>
      <c r="AA1202" s="70">
        <v>1202</v>
      </c>
      <c r="AB1202" s="70"/>
      <c r="AC1202" s="71"/>
      <c r="AD1202" s="86" t="s">
        <v>24802</v>
      </c>
      <c r="AE1202" s="94" t="s">
        <v>25702</v>
      </c>
      <c r="AF1202" s="86">
        <v>212575</v>
      </c>
      <c r="AG1202" s="86">
        <v>18</v>
      </c>
      <c r="AH1202" s="86">
        <v>3861</v>
      </c>
      <c r="AI1202" s="86">
        <v>393</v>
      </c>
      <c r="AJ1202" s="86">
        <v>3031</v>
      </c>
      <c r="AK1202" s="86">
        <v>1841</v>
      </c>
      <c r="AL1202" s="86" t="b">
        <v>0</v>
      </c>
      <c r="AM1202" s="89">
        <v>41240.267025462963</v>
      </c>
      <c r="AN1202" s="86" t="s">
        <v>15246</v>
      </c>
      <c r="AO1202" s="86" t="s">
        <v>27519</v>
      </c>
      <c r="AP1202" s="96" t="str">
        <f>HYPERLINK("https://t.co/XwBI0wA0Rd")</f>
        <v>https://t.co/XwBI0wA0Rd</v>
      </c>
      <c r="AQ1202" s="96" t="str">
        <f>HYPERLINK("http://amazon.com.br")</f>
        <v>http://amazon.com.br</v>
      </c>
      <c r="AR1202" s="86" t="s">
        <v>28701</v>
      </c>
      <c r="AS1202" s="96" t="str">
        <f>HYPERLINK("https://t.co/XwBI0wA0Rd")</f>
        <v>https://t.co/XwBI0wA0Rd</v>
      </c>
      <c r="AT1202" s="96" t="str">
        <f>HYPERLINK("http://amazon.com.br")</f>
        <v>http://amazon.com.br</v>
      </c>
      <c r="AU1202" s="86" t="s">
        <v>28701</v>
      </c>
      <c r="AV1202" s="86"/>
      <c r="AW1202" s="96" t="str">
        <f>HYPERLINK("https://t.co/XwBI0wA0Rd")</f>
        <v>https://t.co/XwBI0wA0Rd</v>
      </c>
      <c r="AX1202" s="86" t="b">
        <v>0</v>
      </c>
      <c r="AY1202" s="86"/>
      <c r="AZ1202" s="86"/>
      <c r="BA1202" s="86" t="b">
        <v>0</v>
      </c>
      <c r="BB1202" s="86" t="b">
        <v>1</v>
      </c>
      <c r="BC1202" s="86" t="b">
        <v>0</v>
      </c>
      <c r="BD1202" s="86" t="b">
        <v>0</v>
      </c>
      <c r="BE1202" s="86" t="b">
        <v>1</v>
      </c>
      <c r="BF1202" s="86" t="b">
        <v>0</v>
      </c>
      <c r="BG1202" s="86" t="b">
        <v>0</v>
      </c>
      <c r="BH1202" s="96" t="str">
        <f>HYPERLINK("https://pbs.twimg.com/profile_banners/973363854/1575485670")</f>
        <v>https://pbs.twimg.com/profile_banners/973363854/1575485670</v>
      </c>
      <c r="BI1202" s="86"/>
      <c r="BJ1202" s="86" t="s">
        <v>29135</v>
      </c>
      <c r="BK1202" s="86" t="b">
        <v>0</v>
      </c>
      <c r="BL1202" s="86"/>
      <c r="BM1202" s="86" t="s">
        <v>65</v>
      </c>
      <c r="BN1202" s="86" t="s">
        <v>29136</v>
      </c>
      <c r="BO1202" s="96" t="str">
        <f>HYPERLINK("https://twitter.com/amazonbrasil")</f>
        <v>https://twitter.com/amazonbrasil</v>
      </c>
      <c r="BP1202" s="2"/>
    </row>
    <row r="1203" spans="1:68" x14ac:dyDescent="0.25">
      <c r="A1203" s="63" t="s">
        <v>1251</v>
      </c>
      <c r="B1203" s="64"/>
      <c r="C1203" s="64"/>
      <c r="D1203" s="65"/>
      <c r="E1203" s="67"/>
      <c r="F1203" s="111" t="str">
        <f>HYPERLINK("https://pbs.twimg.com/profile_images/1604888284173320202/LFQMtVpg_normal.jpg")</f>
        <v>https://pbs.twimg.com/profile_images/1604888284173320202/LFQMtVpg_normal.jpg</v>
      </c>
      <c r="G1203" s="64"/>
      <c r="H1203" s="68"/>
      <c r="I1203" s="69"/>
      <c r="J1203" s="69"/>
      <c r="K1203" s="68" t="s">
        <v>30336</v>
      </c>
      <c r="L1203" s="72"/>
      <c r="M1203" s="73"/>
      <c r="N1203" s="73"/>
      <c r="O1203" s="74"/>
      <c r="P1203" s="75"/>
      <c r="Q1203" s="75"/>
      <c r="R1203" s="102"/>
      <c r="S1203" s="102"/>
      <c r="T1203" s="102"/>
      <c r="U1203" s="102"/>
      <c r="V1203" s="48"/>
      <c r="W1203" s="48"/>
      <c r="X1203" s="48"/>
      <c r="Y1203" s="48"/>
      <c r="Z1203" s="47"/>
      <c r="AA1203" s="70">
        <v>1203</v>
      </c>
      <c r="AB1203" s="70"/>
      <c r="AC1203" s="71"/>
      <c r="AD1203" s="86" t="s">
        <v>24803</v>
      </c>
      <c r="AE1203" s="94" t="s">
        <v>22627</v>
      </c>
      <c r="AF1203" s="86">
        <v>25649</v>
      </c>
      <c r="AG1203" s="86">
        <v>324</v>
      </c>
      <c r="AH1203" s="86">
        <v>33206</v>
      </c>
      <c r="AI1203" s="86">
        <v>141</v>
      </c>
      <c r="AJ1203" s="86">
        <v>680</v>
      </c>
      <c r="AK1203" s="86">
        <v>7783</v>
      </c>
      <c r="AL1203" s="86" t="b">
        <v>0</v>
      </c>
      <c r="AM1203" s="89">
        <v>40159.522719907407</v>
      </c>
      <c r="AN1203" s="86" t="s">
        <v>15234</v>
      </c>
      <c r="AO1203" s="86" t="s">
        <v>27520</v>
      </c>
      <c r="AP1203" s="96" t="str">
        <f>HYPERLINK("https://t.co/ExuRw05mHm")</f>
        <v>https://t.co/ExuRw05mHm</v>
      </c>
      <c r="AQ1203" s="96" t="str">
        <f>HYPERLINK("https://linktr.ee/cufa_brasil")</f>
        <v>https://linktr.ee/cufa_brasil</v>
      </c>
      <c r="AR1203" s="86" t="s">
        <v>28702</v>
      </c>
      <c r="AS1203" s="86"/>
      <c r="AT1203" s="86"/>
      <c r="AU1203" s="86"/>
      <c r="AV1203" s="86"/>
      <c r="AW1203" s="96" t="str">
        <f>HYPERLINK("https://t.co/ExuRw05mHm")</f>
        <v>https://t.co/ExuRw05mHm</v>
      </c>
      <c r="AX1203" s="86" t="b">
        <v>0</v>
      </c>
      <c r="AY1203" s="86"/>
      <c r="AZ1203" s="86"/>
      <c r="BA1203" s="86" t="b">
        <v>0</v>
      </c>
      <c r="BB1203" s="86" t="b">
        <v>1</v>
      </c>
      <c r="BC1203" s="86" t="b">
        <v>0</v>
      </c>
      <c r="BD1203" s="86" t="b">
        <v>0</v>
      </c>
      <c r="BE1203" s="86" t="b">
        <v>0</v>
      </c>
      <c r="BF1203" s="86" t="b">
        <v>0</v>
      </c>
      <c r="BG1203" s="86" t="b">
        <v>0</v>
      </c>
      <c r="BH1203" s="96" t="str">
        <f>HYPERLINK("https://pbs.twimg.com/profile_banners/96334264/1673367289")</f>
        <v>https://pbs.twimg.com/profile_banners/96334264/1673367289</v>
      </c>
      <c r="BI1203" s="86"/>
      <c r="BJ1203" s="86" t="s">
        <v>29134</v>
      </c>
      <c r="BK1203" s="86" t="b">
        <v>0</v>
      </c>
      <c r="BL1203" s="86"/>
      <c r="BM1203" s="86" t="s">
        <v>66</v>
      </c>
      <c r="BN1203" s="86" t="s">
        <v>29136</v>
      </c>
      <c r="BO1203" s="96" t="str">
        <f>HYPERLINK("https://twitter.com/cufa_brasil")</f>
        <v>https://twitter.com/cufa_brasil</v>
      </c>
      <c r="BP1203" s="2"/>
    </row>
    <row r="1204" spans="1:68" x14ac:dyDescent="0.25">
      <c r="A1204" s="63" t="s">
        <v>1779</v>
      </c>
      <c r="B1204" s="64"/>
      <c r="C1204" s="64"/>
      <c r="D1204" s="65"/>
      <c r="E1204" s="67"/>
      <c r="F1204" s="111" t="str">
        <f>HYPERLINK("https://pbs.twimg.com/profile_images/1566857150483382277/MlepwQRJ_normal.jpg")</f>
        <v>https://pbs.twimg.com/profile_images/1566857150483382277/MlepwQRJ_normal.jpg</v>
      </c>
      <c r="G1204" s="64"/>
      <c r="H1204" s="68"/>
      <c r="I1204" s="69"/>
      <c r="J1204" s="69"/>
      <c r="K1204" s="68" t="s">
        <v>30337</v>
      </c>
      <c r="L1204" s="72"/>
      <c r="M1204" s="73"/>
      <c r="N1204" s="73"/>
      <c r="O1204" s="74"/>
      <c r="P1204" s="75"/>
      <c r="Q1204" s="75"/>
      <c r="R1204" s="102"/>
      <c r="S1204" s="102"/>
      <c r="T1204" s="102"/>
      <c r="U1204" s="102"/>
      <c r="V1204" s="48"/>
      <c r="W1204" s="48"/>
      <c r="X1204" s="48"/>
      <c r="Y1204" s="48"/>
      <c r="Z1204" s="47"/>
      <c r="AA1204" s="70">
        <v>1204</v>
      </c>
      <c r="AB1204" s="70"/>
      <c r="AC1204" s="71"/>
      <c r="AD1204" s="86" t="s">
        <v>24804</v>
      </c>
      <c r="AE1204" s="94" t="s">
        <v>25703</v>
      </c>
      <c r="AF1204" s="86">
        <v>800</v>
      </c>
      <c r="AG1204" s="86">
        <v>5</v>
      </c>
      <c r="AH1204" s="86">
        <v>549</v>
      </c>
      <c r="AI1204" s="86">
        <v>0</v>
      </c>
      <c r="AJ1204" s="86">
        <v>80</v>
      </c>
      <c r="AK1204" s="86">
        <v>356</v>
      </c>
      <c r="AL1204" s="86" t="b">
        <v>0</v>
      </c>
      <c r="AM1204" s="89">
        <v>44409.000023148146</v>
      </c>
      <c r="AN1204" s="86" t="s">
        <v>26128</v>
      </c>
      <c r="AO1204" s="86" t="s">
        <v>27521</v>
      </c>
      <c r="AP1204" s="96" t="str">
        <f>HYPERLINK("https://t.co/KUXZJ5b7Vr")</f>
        <v>https://t.co/KUXZJ5b7Vr</v>
      </c>
      <c r="AQ1204" s="96" t="str">
        <f>HYPERLINK("http://www.expofavela.com.br")</f>
        <v>http://www.expofavela.com.br</v>
      </c>
      <c r="AR1204" s="86" t="s">
        <v>28703</v>
      </c>
      <c r="AS1204" s="86"/>
      <c r="AT1204" s="86"/>
      <c r="AU1204" s="86"/>
      <c r="AV1204" s="86"/>
      <c r="AW1204" s="96" t="str">
        <f>HYPERLINK("https://t.co/KUXZJ5b7Vr")</f>
        <v>https://t.co/KUXZJ5b7Vr</v>
      </c>
      <c r="AX1204" s="86" t="b">
        <v>0</v>
      </c>
      <c r="AY1204" s="86"/>
      <c r="AZ1204" s="86"/>
      <c r="BA1204" s="86" t="b">
        <v>0</v>
      </c>
      <c r="BB1204" s="86" t="b">
        <v>1</v>
      </c>
      <c r="BC1204" s="86" t="b">
        <v>1</v>
      </c>
      <c r="BD1204" s="86" t="b">
        <v>0</v>
      </c>
      <c r="BE1204" s="86" t="b">
        <v>1</v>
      </c>
      <c r="BF1204" s="86" t="b">
        <v>0</v>
      </c>
      <c r="BG1204" s="86" t="b">
        <v>0</v>
      </c>
      <c r="BH1204" s="96" t="str">
        <f>HYPERLINK("https://pbs.twimg.com/profile_banners/1421621635879161857/1662402829")</f>
        <v>https://pbs.twimg.com/profile_banners/1421621635879161857/1662402829</v>
      </c>
      <c r="BI1204" s="86"/>
      <c r="BJ1204" s="86" t="s">
        <v>29134</v>
      </c>
      <c r="BK1204" s="86" t="b">
        <v>0</v>
      </c>
      <c r="BL1204" s="86"/>
      <c r="BM1204" s="86" t="s">
        <v>65</v>
      </c>
      <c r="BN1204" s="86" t="s">
        <v>29136</v>
      </c>
      <c r="BO1204" s="96" t="str">
        <f>HYPERLINK("https://twitter.com/expofavela")</f>
        <v>https://twitter.com/expofavela</v>
      </c>
      <c r="BP1204" s="2"/>
    </row>
    <row r="1205" spans="1:68" x14ac:dyDescent="0.25">
      <c r="A1205" s="63" t="s">
        <v>1780</v>
      </c>
      <c r="B1205" s="64"/>
      <c r="C1205" s="64"/>
      <c r="D1205" s="65"/>
      <c r="E1205" s="67"/>
      <c r="F1205" s="111" t="str">
        <f>HYPERLINK("https://pbs.twimg.com/profile_images/1706683095519313920/k9wGSKIz_normal.jpg")</f>
        <v>https://pbs.twimg.com/profile_images/1706683095519313920/k9wGSKIz_normal.jpg</v>
      </c>
      <c r="G1205" s="64"/>
      <c r="H1205" s="68"/>
      <c r="I1205" s="69"/>
      <c r="J1205" s="69"/>
      <c r="K1205" s="68" t="s">
        <v>30338</v>
      </c>
      <c r="L1205" s="72"/>
      <c r="M1205" s="73"/>
      <c r="N1205" s="73"/>
      <c r="O1205" s="74"/>
      <c r="P1205" s="75"/>
      <c r="Q1205" s="75"/>
      <c r="R1205" s="102"/>
      <c r="S1205" s="102"/>
      <c r="T1205" s="102"/>
      <c r="U1205" s="102"/>
      <c r="V1205" s="48"/>
      <c r="W1205" s="48"/>
      <c r="X1205" s="48"/>
      <c r="Y1205" s="48"/>
      <c r="Z1205" s="47"/>
      <c r="AA1205" s="70">
        <v>1205</v>
      </c>
      <c r="AB1205" s="70"/>
      <c r="AC1205" s="71"/>
      <c r="AD1205" s="86" t="s">
        <v>24805</v>
      </c>
      <c r="AE1205" s="94" t="s">
        <v>25704</v>
      </c>
      <c r="AF1205" s="86">
        <v>13682359</v>
      </c>
      <c r="AG1205" s="86">
        <v>624</v>
      </c>
      <c r="AH1205" s="86">
        <v>271441</v>
      </c>
      <c r="AI1205" s="86">
        <v>15544</v>
      </c>
      <c r="AJ1205" s="86">
        <v>8555</v>
      </c>
      <c r="AK1205" s="86">
        <v>142077</v>
      </c>
      <c r="AL1205" s="86" t="b">
        <v>0</v>
      </c>
      <c r="AM1205" s="89">
        <v>39800.739548611113</v>
      </c>
      <c r="AN1205" s="86"/>
      <c r="AO1205" s="86" t="s">
        <v>27522</v>
      </c>
      <c r="AP1205" s="96" t="str">
        <f>HYPERLINK("https://t.co/MrJiEprlsG")</f>
        <v>https://t.co/MrJiEprlsG</v>
      </c>
      <c r="AQ1205" s="96" t="str">
        <f>HYPERLINK("https://linktr.ee/tvglobo")</f>
        <v>https://linktr.ee/tvglobo</v>
      </c>
      <c r="AR1205" s="86" t="s">
        <v>28704</v>
      </c>
      <c r="AS1205" s="86"/>
      <c r="AT1205" s="86"/>
      <c r="AU1205" s="86"/>
      <c r="AV1205" s="86">
        <v>1.7064245505970099E+18</v>
      </c>
      <c r="AW1205" s="96" t="str">
        <f>HYPERLINK("https://t.co/MrJiEprlsG")</f>
        <v>https://t.co/MrJiEprlsG</v>
      </c>
      <c r="AX1205" s="86" t="b">
        <v>1</v>
      </c>
      <c r="AY1205" s="86"/>
      <c r="AZ1205" s="86"/>
      <c r="BA1205" s="86" t="b">
        <v>0</v>
      </c>
      <c r="BB1205" s="86" t="b">
        <v>1</v>
      </c>
      <c r="BC1205" s="86" t="b">
        <v>0</v>
      </c>
      <c r="BD1205" s="86" t="b">
        <v>0</v>
      </c>
      <c r="BE1205" s="86" t="b">
        <v>1</v>
      </c>
      <c r="BF1205" s="86" t="b">
        <v>0</v>
      </c>
      <c r="BG1205" s="86" t="b">
        <v>0</v>
      </c>
      <c r="BH1205" s="96" t="str">
        <f>HYPERLINK("https://pbs.twimg.com/profile_banners/18219976/1695766158")</f>
        <v>https://pbs.twimg.com/profile_banners/18219976/1695766158</v>
      </c>
      <c r="BI1205" s="86"/>
      <c r="BJ1205" s="86" t="s">
        <v>29135</v>
      </c>
      <c r="BK1205" s="86" t="b">
        <v>0</v>
      </c>
      <c r="BL1205" s="86"/>
      <c r="BM1205" s="86" t="s">
        <v>65</v>
      </c>
      <c r="BN1205" s="86" t="s">
        <v>29136</v>
      </c>
      <c r="BO1205" s="96" t="str">
        <f>HYPERLINK("https://twitter.com/tvglobo")</f>
        <v>https://twitter.com/tvglobo</v>
      </c>
      <c r="BP1205" s="2"/>
    </row>
    <row r="1206" spans="1:68" x14ac:dyDescent="0.25">
      <c r="A1206" s="63" t="s">
        <v>1781</v>
      </c>
      <c r="B1206" s="64"/>
      <c r="C1206" s="64"/>
      <c r="D1206" s="65"/>
      <c r="E1206" s="67"/>
      <c r="F1206" s="111" t="str">
        <f>HYPERLINK("https://pbs.twimg.com/profile_images/1611170181081866242/7-ywNeBm_normal.jpg")</f>
        <v>https://pbs.twimg.com/profile_images/1611170181081866242/7-ywNeBm_normal.jpg</v>
      </c>
      <c r="G1206" s="64"/>
      <c r="H1206" s="68"/>
      <c r="I1206" s="69"/>
      <c r="J1206" s="69"/>
      <c r="K1206" s="68" t="s">
        <v>30339</v>
      </c>
      <c r="L1206" s="72"/>
      <c r="M1206" s="73"/>
      <c r="N1206" s="73"/>
      <c r="O1206" s="74"/>
      <c r="P1206" s="75"/>
      <c r="Q1206" s="75"/>
      <c r="R1206" s="102"/>
      <c r="S1206" s="102"/>
      <c r="T1206" s="102"/>
      <c r="U1206" s="102"/>
      <c r="V1206" s="48"/>
      <c r="W1206" s="48"/>
      <c r="X1206" s="48"/>
      <c r="Y1206" s="48"/>
      <c r="Z1206" s="47"/>
      <c r="AA1206" s="70">
        <v>1206</v>
      </c>
      <c r="AB1206" s="70"/>
      <c r="AC1206" s="71"/>
      <c r="AD1206" s="86" t="s">
        <v>24806</v>
      </c>
      <c r="AE1206" s="94" t="s">
        <v>25705</v>
      </c>
      <c r="AF1206" s="86">
        <v>36043</v>
      </c>
      <c r="AG1206" s="86">
        <v>1080</v>
      </c>
      <c r="AH1206" s="86">
        <v>47553</v>
      </c>
      <c r="AI1206" s="86">
        <v>213</v>
      </c>
      <c r="AJ1206" s="86">
        <v>616</v>
      </c>
      <c r="AK1206" s="86">
        <v>9370</v>
      </c>
      <c r="AL1206" s="86" t="b">
        <v>0</v>
      </c>
      <c r="AM1206" s="89">
        <v>40043.753333333334</v>
      </c>
      <c r="AN1206" s="86" t="s">
        <v>26300</v>
      </c>
      <c r="AO1206" s="86" t="s">
        <v>27523</v>
      </c>
      <c r="AP1206" s="96" t="str">
        <f>HYPERLINK("https://t.co/iifIBtfSf8")</f>
        <v>https://t.co/iifIBtfSf8</v>
      </c>
      <c r="AQ1206" s="96" t="str">
        <f>HYPERLINK("http://www.favelaholding.com.br")</f>
        <v>http://www.favelaholding.com.br</v>
      </c>
      <c r="AR1206" s="86" t="s">
        <v>28705</v>
      </c>
      <c r="AS1206" s="86"/>
      <c r="AT1206" s="86"/>
      <c r="AU1206" s="86"/>
      <c r="AV1206" s="86"/>
      <c r="AW1206" s="96" t="str">
        <f>HYPERLINK("https://t.co/iifIBtfSf8")</f>
        <v>https://t.co/iifIBtfSf8</v>
      </c>
      <c r="AX1206" s="86" t="b">
        <v>0</v>
      </c>
      <c r="AY1206" s="86"/>
      <c r="AZ1206" s="86"/>
      <c r="BA1206" s="86" t="b">
        <v>0</v>
      </c>
      <c r="BB1206" s="86" t="b">
        <v>0</v>
      </c>
      <c r="BC1206" s="86" t="b">
        <v>0</v>
      </c>
      <c r="BD1206" s="86" t="b">
        <v>0</v>
      </c>
      <c r="BE1206" s="86" t="b">
        <v>1</v>
      </c>
      <c r="BF1206" s="86" t="b">
        <v>0</v>
      </c>
      <c r="BG1206" s="86" t="b">
        <v>0</v>
      </c>
      <c r="BH1206" s="96" t="str">
        <f>HYPERLINK("https://pbs.twimg.com/profile_banners/66750592/1672967913")</f>
        <v>https://pbs.twimg.com/profile_banners/66750592/1672967913</v>
      </c>
      <c r="BI1206" s="86"/>
      <c r="BJ1206" s="86" t="s">
        <v>29134</v>
      </c>
      <c r="BK1206" s="86" t="b">
        <v>0</v>
      </c>
      <c r="BL1206" s="86"/>
      <c r="BM1206" s="86" t="s">
        <v>65</v>
      </c>
      <c r="BN1206" s="86" t="s">
        <v>29136</v>
      </c>
      <c r="BO1206" s="96" t="str">
        <f>HYPERLINK("https://twitter.com/celsoathayde")</f>
        <v>https://twitter.com/celsoathayde</v>
      </c>
      <c r="BP1206" s="2"/>
    </row>
    <row r="1207" spans="1:68" x14ac:dyDescent="0.25">
      <c r="A1207" s="63" t="s">
        <v>1782</v>
      </c>
      <c r="B1207" s="64"/>
      <c r="C1207" s="64"/>
      <c r="D1207" s="65"/>
      <c r="E1207" s="67"/>
      <c r="F1207" s="111" t="str">
        <f>HYPERLINK("https://pbs.twimg.com/profile_images/1631345725211648009/ObG5dFCS_normal.jpg")</f>
        <v>https://pbs.twimg.com/profile_images/1631345725211648009/ObG5dFCS_normal.jpg</v>
      </c>
      <c r="G1207" s="64"/>
      <c r="H1207" s="68"/>
      <c r="I1207" s="69"/>
      <c r="J1207" s="69"/>
      <c r="K1207" s="68" t="s">
        <v>30340</v>
      </c>
      <c r="L1207" s="72"/>
      <c r="M1207" s="73"/>
      <c r="N1207" s="73"/>
      <c r="O1207" s="74"/>
      <c r="P1207" s="75"/>
      <c r="Q1207" s="75"/>
      <c r="R1207" s="102"/>
      <c r="S1207" s="102"/>
      <c r="T1207" s="102"/>
      <c r="U1207" s="102"/>
      <c r="V1207" s="48"/>
      <c r="W1207" s="48"/>
      <c r="X1207" s="48"/>
      <c r="Y1207" s="48"/>
      <c r="Z1207" s="47"/>
      <c r="AA1207" s="70">
        <v>1207</v>
      </c>
      <c r="AB1207" s="70"/>
      <c r="AC1207" s="71"/>
      <c r="AD1207" s="86" t="s">
        <v>24807</v>
      </c>
      <c r="AE1207" s="94" t="s">
        <v>25706</v>
      </c>
      <c r="AF1207" s="86">
        <v>38</v>
      </c>
      <c r="AG1207" s="86">
        <v>9</v>
      </c>
      <c r="AH1207" s="86">
        <v>10</v>
      </c>
      <c r="AI1207" s="86">
        <v>0</v>
      </c>
      <c r="AJ1207" s="86">
        <v>1</v>
      </c>
      <c r="AK1207" s="86">
        <v>8</v>
      </c>
      <c r="AL1207" s="86" t="b">
        <v>0</v>
      </c>
      <c r="AM1207" s="89">
        <v>44701.688807870371</v>
      </c>
      <c r="AN1207" s="86"/>
      <c r="AO1207" s="86" t="s">
        <v>27524</v>
      </c>
      <c r="AP1207" s="86"/>
      <c r="AQ1207" s="86"/>
      <c r="AR1207" s="86"/>
      <c r="AS1207" s="86"/>
      <c r="AT1207" s="86"/>
      <c r="AU1207" s="86"/>
      <c r="AV1207" s="86"/>
      <c r="AW1207" s="86"/>
      <c r="AX1207" s="86" t="b">
        <v>0</v>
      </c>
      <c r="AY1207" s="86"/>
      <c r="AZ1207" s="86"/>
      <c r="BA1207" s="86" t="b">
        <v>0</v>
      </c>
      <c r="BB1207" s="86" t="b">
        <v>1</v>
      </c>
      <c r="BC1207" s="86" t="b">
        <v>1</v>
      </c>
      <c r="BD1207" s="86" t="b">
        <v>0</v>
      </c>
      <c r="BE1207" s="86" t="b">
        <v>0</v>
      </c>
      <c r="BF1207" s="86" t="b">
        <v>0</v>
      </c>
      <c r="BG1207" s="86" t="b">
        <v>0</v>
      </c>
      <c r="BH1207" s="96" t="str">
        <f>HYPERLINK("https://pbs.twimg.com/profile_banners/1527687681953648651/1677778131")</f>
        <v>https://pbs.twimg.com/profile_banners/1527687681953648651/1677778131</v>
      </c>
      <c r="BI1207" s="86"/>
      <c r="BJ1207" s="86" t="s">
        <v>29134</v>
      </c>
      <c r="BK1207" s="86" t="b">
        <v>0</v>
      </c>
      <c r="BL1207" s="86"/>
      <c r="BM1207" s="86" t="s">
        <v>65</v>
      </c>
      <c r="BN1207" s="86" t="s">
        <v>29136</v>
      </c>
      <c r="BO1207" s="96" t="str">
        <f>HYPERLINK("https://twitter.com/expofavelarj")</f>
        <v>https://twitter.com/expofavelarj</v>
      </c>
      <c r="BP1207" s="2"/>
    </row>
    <row r="1208" spans="1:68" x14ac:dyDescent="0.25">
      <c r="A1208" s="63" t="s">
        <v>1783</v>
      </c>
      <c r="B1208" s="64"/>
      <c r="C1208" s="64"/>
      <c r="D1208" s="65"/>
      <c r="E1208" s="67"/>
      <c r="F1208" s="111" t="str">
        <f>HYPERLINK("https://pbs.twimg.com/profile_images/1489614217351208967/vbYNYBaW_normal.jpg")</f>
        <v>https://pbs.twimg.com/profile_images/1489614217351208967/vbYNYBaW_normal.jpg</v>
      </c>
      <c r="G1208" s="64"/>
      <c r="H1208" s="68"/>
      <c r="I1208" s="69"/>
      <c r="J1208" s="69"/>
      <c r="K1208" s="68" t="s">
        <v>30341</v>
      </c>
      <c r="L1208" s="72"/>
      <c r="M1208" s="73"/>
      <c r="N1208" s="73"/>
      <c r="O1208" s="74"/>
      <c r="P1208" s="75"/>
      <c r="Q1208" s="75"/>
      <c r="R1208" s="102"/>
      <c r="S1208" s="102"/>
      <c r="T1208" s="102"/>
      <c r="U1208" s="102"/>
      <c r="V1208" s="48"/>
      <c r="W1208" s="48"/>
      <c r="X1208" s="48"/>
      <c r="Y1208" s="48"/>
      <c r="Z1208" s="47"/>
      <c r="AA1208" s="70">
        <v>1208</v>
      </c>
      <c r="AB1208" s="70"/>
      <c r="AC1208" s="71"/>
      <c r="AD1208" s="86" t="s">
        <v>24808</v>
      </c>
      <c r="AE1208" s="94" t="s">
        <v>25707</v>
      </c>
      <c r="AF1208" s="86">
        <v>3224</v>
      </c>
      <c r="AG1208" s="86">
        <v>203</v>
      </c>
      <c r="AH1208" s="86">
        <v>9038</v>
      </c>
      <c r="AI1208" s="86">
        <v>46</v>
      </c>
      <c r="AJ1208" s="86">
        <v>1077</v>
      </c>
      <c r="AK1208" s="86">
        <v>2330</v>
      </c>
      <c r="AL1208" s="86" t="b">
        <v>0</v>
      </c>
      <c r="AM1208" s="89">
        <v>41368.829085648147</v>
      </c>
      <c r="AN1208" s="86" t="s">
        <v>15372</v>
      </c>
      <c r="AO1208" s="86" t="s">
        <v>27525</v>
      </c>
      <c r="AP1208" s="96" t="str">
        <f>HYPERLINK("https://t.co/xebclq4Lkc")</f>
        <v>https://t.co/xebclq4Lkc</v>
      </c>
      <c r="AQ1208" s="96" t="str">
        <f>HYPERLINK("http://www.cidadedasartes.rio")</f>
        <v>http://www.cidadedasartes.rio</v>
      </c>
      <c r="AR1208" s="86" t="s">
        <v>28706</v>
      </c>
      <c r="AS1208" s="86"/>
      <c r="AT1208" s="86"/>
      <c r="AU1208" s="86"/>
      <c r="AV1208" s="86"/>
      <c r="AW1208" s="96" t="str">
        <f>HYPERLINK("https://t.co/xebclq4Lkc")</f>
        <v>https://t.co/xebclq4Lkc</v>
      </c>
      <c r="AX1208" s="86" t="b">
        <v>0</v>
      </c>
      <c r="AY1208" s="86"/>
      <c r="AZ1208" s="86"/>
      <c r="BA1208" s="86" t="b">
        <v>0</v>
      </c>
      <c r="BB1208" s="86" t="b">
        <v>1</v>
      </c>
      <c r="BC1208" s="86" t="b">
        <v>0</v>
      </c>
      <c r="BD1208" s="86" t="b">
        <v>0</v>
      </c>
      <c r="BE1208" s="86" t="b">
        <v>1</v>
      </c>
      <c r="BF1208" s="86" t="b">
        <v>0</v>
      </c>
      <c r="BG1208" s="86" t="b">
        <v>0</v>
      </c>
      <c r="BH1208" s="96" t="str">
        <f>HYPERLINK("https://pbs.twimg.com/profile_banners/1327706443/1642015167")</f>
        <v>https://pbs.twimg.com/profile_banners/1327706443/1642015167</v>
      </c>
      <c r="BI1208" s="86"/>
      <c r="BJ1208" s="86" t="s">
        <v>29134</v>
      </c>
      <c r="BK1208" s="86" t="b">
        <v>0</v>
      </c>
      <c r="BL1208" s="86"/>
      <c r="BM1208" s="86" t="s">
        <v>65</v>
      </c>
      <c r="BN1208" s="86" t="s">
        <v>29136</v>
      </c>
      <c r="BO1208" s="96" t="str">
        <f>HYPERLINK("https://twitter.com/cidadedasartes_")</f>
        <v>https://twitter.com/cidadedasartes_</v>
      </c>
      <c r="BP1208" s="2"/>
    </row>
    <row r="1209" spans="1:68" x14ac:dyDescent="0.25">
      <c r="A1209" s="63" t="s">
        <v>1478</v>
      </c>
      <c r="B1209" s="64"/>
      <c r="C1209" s="64"/>
      <c r="D1209" s="65"/>
      <c r="E1209" s="67"/>
      <c r="F1209" s="111" t="str">
        <f>HYPERLINK("https://pbs.twimg.com/profile_images/1565361894029918210/6-wvYGn5_normal.jpg")</f>
        <v>https://pbs.twimg.com/profile_images/1565361894029918210/6-wvYGn5_normal.jpg</v>
      </c>
      <c r="G1209" s="64"/>
      <c r="H1209" s="68"/>
      <c r="I1209" s="69"/>
      <c r="J1209" s="69"/>
      <c r="K1209" s="68" t="s">
        <v>30342</v>
      </c>
      <c r="L1209" s="72"/>
      <c r="M1209" s="73"/>
      <c r="N1209" s="73"/>
      <c r="O1209" s="74"/>
      <c r="P1209" s="75"/>
      <c r="Q1209" s="75"/>
      <c r="R1209" s="102"/>
      <c r="S1209" s="102"/>
      <c r="T1209" s="102"/>
      <c r="U1209" s="102"/>
      <c r="V1209" s="48"/>
      <c r="W1209" s="48"/>
      <c r="X1209" s="48"/>
      <c r="Y1209" s="48"/>
      <c r="Z1209" s="47"/>
      <c r="AA1209" s="70">
        <v>1209</v>
      </c>
      <c r="AB1209" s="70"/>
      <c r="AC1209" s="71"/>
      <c r="AD1209" s="86" t="s">
        <v>24809</v>
      </c>
      <c r="AE1209" s="94" t="s">
        <v>23522</v>
      </c>
      <c r="AF1209" s="86">
        <v>299</v>
      </c>
      <c r="AG1209" s="86">
        <v>49</v>
      </c>
      <c r="AH1209" s="86">
        <v>627</v>
      </c>
      <c r="AI1209" s="86">
        <v>1</v>
      </c>
      <c r="AJ1209" s="86">
        <v>37</v>
      </c>
      <c r="AK1209" s="86">
        <v>392</v>
      </c>
      <c r="AL1209" s="86" t="b">
        <v>0</v>
      </c>
      <c r="AM1209" s="89">
        <v>43714.679895833331</v>
      </c>
      <c r="AN1209" s="86" t="s">
        <v>26301</v>
      </c>
      <c r="AO1209" s="86" t="s">
        <v>27526</v>
      </c>
      <c r="AP1209" s="96" t="str">
        <f>HYPERLINK("https://t.co/PTt6OQ34vu")</f>
        <v>https://t.co/PTt6OQ34vu</v>
      </c>
      <c r="AQ1209" s="96" t="str">
        <f>HYPERLINK("http://www.cufa.org.br")</f>
        <v>http://www.cufa.org.br</v>
      </c>
      <c r="AR1209" s="86" t="s">
        <v>28707</v>
      </c>
      <c r="AS1209" s="86"/>
      <c r="AT1209" s="86"/>
      <c r="AU1209" s="86"/>
      <c r="AV1209" s="86"/>
      <c r="AW1209" s="96" t="str">
        <f>HYPERLINK("https://t.co/PTt6OQ34vu")</f>
        <v>https://t.co/PTt6OQ34vu</v>
      </c>
      <c r="AX1209" s="86" t="b">
        <v>0</v>
      </c>
      <c r="AY1209" s="86"/>
      <c r="AZ1209" s="86"/>
      <c r="BA1209" s="86" t="b">
        <v>0</v>
      </c>
      <c r="BB1209" s="86" t="b">
        <v>1</v>
      </c>
      <c r="BC1209" s="86" t="b">
        <v>1</v>
      </c>
      <c r="BD1209" s="86" t="b">
        <v>0</v>
      </c>
      <c r="BE1209" s="86" t="b">
        <v>1</v>
      </c>
      <c r="BF1209" s="86" t="b">
        <v>0</v>
      </c>
      <c r="BG1209" s="86" t="b">
        <v>0</v>
      </c>
      <c r="BH1209" s="96" t="str">
        <f>HYPERLINK("https://pbs.twimg.com/profile_banners/1170008473742073866/1615911705")</f>
        <v>https://pbs.twimg.com/profile_banners/1170008473742073866/1615911705</v>
      </c>
      <c r="BI1209" s="86"/>
      <c r="BJ1209" s="86" t="s">
        <v>29134</v>
      </c>
      <c r="BK1209" s="86" t="b">
        <v>0</v>
      </c>
      <c r="BL1209" s="86"/>
      <c r="BM1209" s="86" t="s">
        <v>66</v>
      </c>
      <c r="BN1209" s="86" t="s">
        <v>29136</v>
      </c>
      <c r="BO1209" s="96" t="str">
        <f>HYPERLINK("https://twitter.com/cufa_rio")</f>
        <v>https://twitter.com/cufa_rio</v>
      </c>
      <c r="BP1209" s="2"/>
    </row>
    <row r="1210" spans="1:68" x14ac:dyDescent="0.25">
      <c r="A1210" s="63" t="s">
        <v>1252</v>
      </c>
      <c r="B1210" s="64"/>
      <c r="C1210" s="64"/>
      <c r="D1210" s="65"/>
      <c r="E1210" s="67"/>
      <c r="F1210" s="111" t="str">
        <f>HYPERLINK("https://pbs.twimg.com/profile_images/1442906053125967874/oo7ntCG1_normal.jpg")</f>
        <v>https://pbs.twimg.com/profile_images/1442906053125967874/oo7ntCG1_normal.jpg</v>
      </c>
      <c r="G1210" s="64"/>
      <c r="H1210" s="68"/>
      <c r="I1210" s="69"/>
      <c r="J1210" s="69"/>
      <c r="K1210" s="68" t="s">
        <v>30343</v>
      </c>
      <c r="L1210" s="72"/>
      <c r="M1210" s="73"/>
      <c r="N1210" s="73"/>
      <c r="O1210" s="74"/>
      <c r="P1210" s="75"/>
      <c r="Q1210" s="75"/>
      <c r="R1210" s="102"/>
      <c r="S1210" s="102"/>
      <c r="T1210" s="102"/>
      <c r="U1210" s="102"/>
      <c r="V1210" s="48"/>
      <c r="W1210" s="48"/>
      <c r="X1210" s="48"/>
      <c r="Y1210" s="48"/>
      <c r="Z1210" s="47"/>
      <c r="AA1210" s="70">
        <v>1210</v>
      </c>
      <c r="AB1210" s="70"/>
      <c r="AC1210" s="71"/>
      <c r="AD1210" s="86" t="s">
        <v>24810</v>
      </c>
      <c r="AE1210" s="94" t="s">
        <v>23387</v>
      </c>
      <c r="AF1210" s="86">
        <v>442</v>
      </c>
      <c r="AG1210" s="86">
        <v>481</v>
      </c>
      <c r="AH1210" s="86">
        <v>585</v>
      </c>
      <c r="AI1210" s="86">
        <v>1</v>
      </c>
      <c r="AJ1210" s="86">
        <v>231</v>
      </c>
      <c r="AK1210" s="86">
        <v>255</v>
      </c>
      <c r="AL1210" s="86" t="b">
        <v>0</v>
      </c>
      <c r="AM1210" s="89">
        <v>43560.641180555554</v>
      </c>
      <c r="AN1210" s="86" t="s">
        <v>26302</v>
      </c>
      <c r="AO1210" s="86" t="s">
        <v>27527</v>
      </c>
      <c r="AP1210" s="96" t="str">
        <f>HYPERLINK("https://t.co/I4sVCYKifS")</f>
        <v>https://t.co/I4sVCYKifS</v>
      </c>
      <c r="AQ1210" s="96" t="str">
        <f>HYPERLINK("http://www.kamayventures.com")</f>
        <v>http://www.kamayventures.com</v>
      </c>
      <c r="AR1210" s="86" t="s">
        <v>28708</v>
      </c>
      <c r="AS1210" s="86"/>
      <c r="AT1210" s="86"/>
      <c r="AU1210" s="86"/>
      <c r="AV1210" s="86">
        <v>1.63067420769567E+18</v>
      </c>
      <c r="AW1210" s="96" t="str">
        <f>HYPERLINK("https://t.co/I4sVCYKifS")</f>
        <v>https://t.co/I4sVCYKifS</v>
      </c>
      <c r="AX1210" s="86" t="b">
        <v>0</v>
      </c>
      <c r="AY1210" s="86"/>
      <c r="AZ1210" s="86"/>
      <c r="BA1210" s="86" t="b">
        <v>0</v>
      </c>
      <c r="BB1210" s="86" t="b">
        <v>1</v>
      </c>
      <c r="BC1210" s="86" t="b">
        <v>1</v>
      </c>
      <c r="BD1210" s="86" t="b">
        <v>0</v>
      </c>
      <c r="BE1210" s="86" t="b">
        <v>0</v>
      </c>
      <c r="BF1210" s="86" t="b">
        <v>0</v>
      </c>
      <c r="BG1210" s="86" t="b">
        <v>0</v>
      </c>
      <c r="BH1210" s="86"/>
      <c r="BI1210" s="86"/>
      <c r="BJ1210" s="86" t="s">
        <v>29134</v>
      </c>
      <c r="BK1210" s="86" t="b">
        <v>0</v>
      </c>
      <c r="BL1210" s="86"/>
      <c r="BM1210" s="86" t="s">
        <v>66</v>
      </c>
      <c r="BN1210" s="86" t="s">
        <v>29136</v>
      </c>
      <c r="BO1210" s="96" t="str">
        <f>HYPERLINK("https://twitter.com/kamayvc")</f>
        <v>https://twitter.com/kamayvc</v>
      </c>
      <c r="BP1210" s="2"/>
    </row>
    <row r="1211" spans="1:68" x14ac:dyDescent="0.25">
      <c r="A1211" s="63" t="s">
        <v>1784</v>
      </c>
      <c r="B1211" s="64"/>
      <c r="C1211" s="64"/>
      <c r="D1211" s="65"/>
      <c r="E1211" s="67"/>
      <c r="F1211" s="111" t="str">
        <f>HYPERLINK("https://pbs.twimg.com/profile_images/1676221344533340162/zrhJ8qA7_normal.jpg")</f>
        <v>https://pbs.twimg.com/profile_images/1676221344533340162/zrhJ8qA7_normal.jpg</v>
      </c>
      <c r="G1211" s="64"/>
      <c r="H1211" s="68"/>
      <c r="I1211" s="69"/>
      <c r="J1211" s="69"/>
      <c r="K1211" s="68" t="s">
        <v>30344</v>
      </c>
      <c r="L1211" s="72"/>
      <c r="M1211" s="73"/>
      <c r="N1211" s="73"/>
      <c r="O1211" s="74"/>
      <c r="P1211" s="75"/>
      <c r="Q1211" s="75"/>
      <c r="R1211" s="102"/>
      <c r="S1211" s="102"/>
      <c r="T1211" s="102"/>
      <c r="U1211" s="102"/>
      <c r="V1211" s="48"/>
      <c r="W1211" s="48"/>
      <c r="X1211" s="48"/>
      <c r="Y1211" s="48"/>
      <c r="Z1211" s="47"/>
      <c r="AA1211" s="70">
        <v>1211</v>
      </c>
      <c r="AB1211" s="70"/>
      <c r="AC1211" s="71"/>
      <c r="AD1211" s="86" t="s">
        <v>24811</v>
      </c>
      <c r="AE1211" s="94" t="s">
        <v>25708</v>
      </c>
      <c r="AF1211" s="86">
        <v>6</v>
      </c>
      <c r="AG1211" s="86">
        <v>6</v>
      </c>
      <c r="AH1211" s="86">
        <v>36</v>
      </c>
      <c r="AI1211" s="86">
        <v>0</v>
      </c>
      <c r="AJ1211" s="86">
        <v>1</v>
      </c>
      <c r="AK1211" s="86">
        <v>30</v>
      </c>
      <c r="AL1211" s="86" t="b">
        <v>0</v>
      </c>
      <c r="AM1211" s="89">
        <v>44181.586377314816</v>
      </c>
      <c r="AN1211" s="86"/>
      <c r="AO1211" s="86" t="s">
        <v>27528</v>
      </c>
      <c r="AP1211" s="96" t="str">
        <f>HYPERLINK("https://t.co/050FtZMbu6")</f>
        <v>https://t.co/050FtZMbu6</v>
      </c>
      <c r="AQ1211" s="96" t="str">
        <f>HYPERLINK("https://st-one.io")</f>
        <v>https://st-one.io</v>
      </c>
      <c r="AR1211" s="86" t="s">
        <v>28709</v>
      </c>
      <c r="AS1211" s="86"/>
      <c r="AT1211" s="86"/>
      <c r="AU1211" s="86"/>
      <c r="AV1211" s="86"/>
      <c r="AW1211" s="96" t="str">
        <f>HYPERLINK("https://t.co/050FtZMbu6")</f>
        <v>https://t.co/050FtZMbu6</v>
      </c>
      <c r="AX1211" s="86" t="b">
        <v>0</v>
      </c>
      <c r="AY1211" s="86"/>
      <c r="AZ1211" s="86"/>
      <c r="BA1211" s="86" t="b">
        <v>0</v>
      </c>
      <c r="BB1211" s="86" t="b">
        <v>1</v>
      </c>
      <c r="BC1211" s="86" t="b">
        <v>1</v>
      </c>
      <c r="BD1211" s="86" t="b">
        <v>0</v>
      </c>
      <c r="BE1211" s="86" t="b">
        <v>1</v>
      </c>
      <c r="BF1211" s="86" t="b">
        <v>0</v>
      </c>
      <c r="BG1211" s="86" t="b">
        <v>0</v>
      </c>
      <c r="BH1211" s="96" t="str">
        <f>HYPERLINK("https://pbs.twimg.com/profile_banners/1339209672872615937/1688477287")</f>
        <v>https://pbs.twimg.com/profile_banners/1339209672872615937/1688477287</v>
      </c>
      <c r="BI1211" s="86"/>
      <c r="BJ1211" s="86" t="s">
        <v>29134</v>
      </c>
      <c r="BK1211" s="86" t="b">
        <v>0</v>
      </c>
      <c r="BL1211" s="86"/>
      <c r="BM1211" s="86" t="s">
        <v>65</v>
      </c>
      <c r="BN1211" s="86" t="s">
        <v>29136</v>
      </c>
      <c r="BO1211" s="96" t="str">
        <f>HYPERLINK("https://twitter.com/st_one_io")</f>
        <v>https://twitter.com/st_one_io</v>
      </c>
      <c r="BP1211" s="2"/>
    </row>
    <row r="1212" spans="1:68" x14ac:dyDescent="0.25">
      <c r="A1212" s="63" t="s">
        <v>1785</v>
      </c>
      <c r="B1212" s="64"/>
      <c r="C1212" s="64"/>
      <c r="D1212" s="65"/>
      <c r="E1212" s="67"/>
      <c r="F1212" s="111" t="str">
        <f>HYPERLINK("https://pbs.twimg.com/profile_images/1445950523593605121/8gT1CVHR_normal.jpg")</f>
        <v>https://pbs.twimg.com/profile_images/1445950523593605121/8gT1CVHR_normal.jpg</v>
      </c>
      <c r="G1212" s="64"/>
      <c r="H1212" s="68"/>
      <c r="I1212" s="69"/>
      <c r="J1212" s="69"/>
      <c r="K1212" s="68" t="s">
        <v>30345</v>
      </c>
      <c r="L1212" s="72"/>
      <c r="M1212" s="73"/>
      <c r="N1212" s="73"/>
      <c r="O1212" s="74"/>
      <c r="P1212" s="75"/>
      <c r="Q1212" s="75"/>
      <c r="R1212" s="102"/>
      <c r="S1212" s="102"/>
      <c r="T1212" s="102"/>
      <c r="U1212" s="102"/>
      <c r="V1212" s="48"/>
      <c r="W1212" s="48"/>
      <c r="X1212" s="48"/>
      <c r="Y1212" s="48"/>
      <c r="Z1212" s="47"/>
      <c r="AA1212" s="70">
        <v>1212</v>
      </c>
      <c r="AB1212" s="70"/>
      <c r="AC1212" s="71"/>
      <c r="AD1212" s="86" t="s">
        <v>24812</v>
      </c>
      <c r="AE1212" s="94" t="s">
        <v>25709</v>
      </c>
      <c r="AF1212" s="86">
        <v>21</v>
      </c>
      <c r="AG1212" s="86">
        <v>0</v>
      </c>
      <c r="AH1212" s="86">
        <v>2</v>
      </c>
      <c r="AI1212" s="86">
        <v>1</v>
      </c>
      <c r="AJ1212" s="86">
        <v>5</v>
      </c>
      <c r="AK1212" s="86">
        <v>2</v>
      </c>
      <c r="AL1212" s="86" t="b">
        <v>0</v>
      </c>
      <c r="AM1212" s="89">
        <v>44304.254305555558</v>
      </c>
      <c r="AN1212" s="86" t="s">
        <v>25913</v>
      </c>
      <c r="AO1212" s="86" t="s">
        <v>27529</v>
      </c>
      <c r="AP1212" s="96" t="str">
        <f>HYPERLINK("https://t.co/aQlaIWkpPK")</f>
        <v>https://t.co/aQlaIWkpPK</v>
      </c>
      <c r="AQ1212" s="96" t="str">
        <f>HYPERLINK("http://www.dinerama.com.br")</f>
        <v>http://www.dinerama.com.br</v>
      </c>
      <c r="AR1212" s="86" t="s">
        <v>28710</v>
      </c>
      <c r="AS1212" s="86"/>
      <c r="AT1212" s="86"/>
      <c r="AU1212" s="86"/>
      <c r="AV1212" s="86"/>
      <c r="AW1212" s="96" t="str">
        <f>HYPERLINK("https://t.co/aQlaIWkpPK")</f>
        <v>https://t.co/aQlaIWkpPK</v>
      </c>
      <c r="AX1212" s="86" t="b">
        <v>0</v>
      </c>
      <c r="AY1212" s="86"/>
      <c r="AZ1212" s="86"/>
      <c r="BA1212" s="86" t="b">
        <v>0</v>
      </c>
      <c r="BB1212" s="86" t="b">
        <v>1</v>
      </c>
      <c r="BC1212" s="86" t="b">
        <v>1</v>
      </c>
      <c r="BD1212" s="86" t="b">
        <v>0</v>
      </c>
      <c r="BE1212" s="86" t="b">
        <v>0</v>
      </c>
      <c r="BF1212" s="86" t="b">
        <v>0</v>
      </c>
      <c r="BG1212" s="86" t="b">
        <v>0</v>
      </c>
      <c r="BH1212" s="86"/>
      <c r="BI1212" s="86"/>
      <c r="BJ1212" s="86" t="s">
        <v>29134</v>
      </c>
      <c r="BK1212" s="86" t="b">
        <v>0</v>
      </c>
      <c r="BL1212" s="86"/>
      <c r="BM1212" s="86" t="s">
        <v>65</v>
      </c>
      <c r="BN1212" s="86" t="s">
        <v>29136</v>
      </c>
      <c r="BO1212" s="96" t="str">
        <f>HYPERLINK("https://twitter.com/dineramaapp")</f>
        <v>https://twitter.com/dineramaapp</v>
      </c>
      <c r="BP1212" s="2"/>
    </row>
    <row r="1213" spans="1:68" x14ac:dyDescent="0.25">
      <c r="A1213" s="63" t="s">
        <v>1786</v>
      </c>
      <c r="B1213" s="64"/>
      <c r="C1213" s="64"/>
      <c r="D1213" s="65"/>
      <c r="E1213" s="67"/>
      <c r="F1213" s="111" t="str">
        <f>HYPERLINK("https://pbs.twimg.com/profile_images/1153635955556986880/sozMfZpv_normal.png")</f>
        <v>https://pbs.twimg.com/profile_images/1153635955556986880/sozMfZpv_normal.png</v>
      </c>
      <c r="G1213" s="64"/>
      <c r="H1213" s="68"/>
      <c r="I1213" s="69"/>
      <c r="J1213" s="69"/>
      <c r="K1213" s="68" t="s">
        <v>30346</v>
      </c>
      <c r="L1213" s="72"/>
      <c r="M1213" s="73"/>
      <c r="N1213" s="73"/>
      <c r="O1213" s="74"/>
      <c r="P1213" s="75"/>
      <c r="Q1213" s="75"/>
      <c r="R1213" s="102"/>
      <c r="S1213" s="102"/>
      <c r="T1213" s="102"/>
      <c r="U1213" s="102"/>
      <c r="V1213" s="48"/>
      <c r="W1213" s="48"/>
      <c r="X1213" s="48"/>
      <c r="Y1213" s="48"/>
      <c r="Z1213" s="47"/>
      <c r="AA1213" s="70">
        <v>1213</v>
      </c>
      <c r="AB1213" s="70"/>
      <c r="AC1213" s="71"/>
      <c r="AD1213" s="86" t="s">
        <v>24813</v>
      </c>
      <c r="AE1213" s="94" t="s">
        <v>25710</v>
      </c>
      <c r="AF1213" s="86">
        <v>3</v>
      </c>
      <c r="AG1213" s="86">
        <v>0</v>
      </c>
      <c r="AH1213" s="86">
        <v>8</v>
      </c>
      <c r="AI1213" s="86">
        <v>0</v>
      </c>
      <c r="AJ1213" s="86">
        <v>0</v>
      </c>
      <c r="AK1213" s="86">
        <v>8</v>
      </c>
      <c r="AL1213" s="86" t="b">
        <v>0</v>
      </c>
      <c r="AM1213" s="89">
        <v>43547.825416666667</v>
      </c>
      <c r="AN1213" s="86" t="s">
        <v>26303</v>
      </c>
      <c r="AO1213" s="86" t="s">
        <v>27530</v>
      </c>
      <c r="AP1213" s="96" t="str">
        <f>HYPERLINK("https://t.co/lhqmQQfJaF")</f>
        <v>https://t.co/lhqmQQfJaF</v>
      </c>
      <c r="AQ1213" s="96" t="str">
        <f>HYPERLINK("http://www.autaza.com")</f>
        <v>http://www.autaza.com</v>
      </c>
      <c r="AR1213" s="86" t="s">
        <v>28711</v>
      </c>
      <c r="AS1213" s="86"/>
      <c r="AT1213" s="86"/>
      <c r="AU1213" s="86"/>
      <c r="AV1213" s="86"/>
      <c r="AW1213" s="96" t="str">
        <f>HYPERLINK("https://t.co/lhqmQQfJaF")</f>
        <v>https://t.co/lhqmQQfJaF</v>
      </c>
      <c r="AX1213" s="86" t="b">
        <v>0</v>
      </c>
      <c r="AY1213" s="86"/>
      <c r="AZ1213" s="86"/>
      <c r="BA1213" s="86" t="b">
        <v>0</v>
      </c>
      <c r="BB1213" s="86" t="b">
        <v>1</v>
      </c>
      <c r="BC1213" s="86" t="b">
        <v>1</v>
      </c>
      <c r="BD1213" s="86" t="b">
        <v>0</v>
      </c>
      <c r="BE1213" s="86" t="b">
        <v>0</v>
      </c>
      <c r="BF1213" s="86" t="b">
        <v>0</v>
      </c>
      <c r="BG1213" s="86" t="b">
        <v>0</v>
      </c>
      <c r="BH1213" s="86"/>
      <c r="BI1213" s="86"/>
      <c r="BJ1213" s="86" t="s">
        <v>29134</v>
      </c>
      <c r="BK1213" s="86" t="b">
        <v>0</v>
      </c>
      <c r="BL1213" s="86"/>
      <c r="BM1213" s="86" t="s">
        <v>65</v>
      </c>
      <c r="BN1213" s="86" t="s">
        <v>29136</v>
      </c>
      <c r="BO1213" s="96" t="str">
        <f>HYPERLINK("https://twitter.com/autazatech")</f>
        <v>https://twitter.com/autazatech</v>
      </c>
      <c r="BP1213" s="2"/>
    </row>
    <row r="1214" spans="1:68" x14ac:dyDescent="0.25">
      <c r="A1214" s="63" t="s">
        <v>1787</v>
      </c>
      <c r="B1214" s="64"/>
      <c r="C1214" s="64"/>
      <c r="D1214" s="65"/>
      <c r="E1214" s="67"/>
      <c r="F1214" s="111" t="str">
        <f>HYPERLINK("https://pbs.twimg.com/profile_images/1290081983050272769/KQOB818O_normal.jpg")</f>
        <v>https://pbs.twimg.com/profile_images/1290081983050272769/KQOB818O_normal.jpg</v>
      </c>
      <c r="G1214" s="64"/>
      <c r="H1214" s="68"/>
      <c r="I1214" s="69"/>
      <c r="J1214" s="69"/>
      <c r="K1214" s="68" t="s">
        <v>30347</v>
      </c>
      <c r="L1214" s="72"/>
      <c r="M1214" s="73"/>
      <c r="N1214" s="73"/>
      <c r="O1214" s="74"/>
      <c r="P1214" s="75"/>
      <c r="Q1214" s="75"/>
      <c r="R1214" s="102"/>
      <c r="S1214" s="102"/>
      <c r="T1214" s="102"/>
      <c r="U1214" s="102"/>
      <c r="V1214" s="48"/>
      <c r="W1214" s="48"/>
      <c r="X1214" s="48"/>
      <c r="Y1214" s="48"/>
      <c r="Z1214" s="47"/>
      <c r="AA1214" s="70">
        <v>1214</v>
      </c>
      <c r="AB1214" s="70"/>
      <c r="AC1214" s="71"/>
      <c r="AD1214" s="86" t="s">
        <v>24814</v>
      </c>
      <c r="AE1214" s="94" t="s">
        <v>25711</v>
      </c>
      <c r="AF1214" s="86">
        <v>5</v>
      </c>
      <c r="AG1214" s="86">
        <v>0</v>
      </c>
      <c r="AH1214" s="86">
        <v>1</v>
      </c>
      <c r="AI1214" s="86">
        <v>0</v>
      </c>
      <c r="AJ1214" s="86">
        <v>0</v>
      </c>
      <c r="AK1214" s="86">
        <v>0</v>
      </c>
      <c r="AL1214" s="86" t="b">
        <v>0</v>
      </c>
      <c r="AM1214" s="89">
        <v>44046.016076388885</v>
      </c>
      <c r="AN1214" s="86"/>
      <c r="AO1214" s="86"/>
      <c r="AP1214" s="86"/>
      <c r="AQ1214" s="86"/>
      <c r="AR1214" s="86"/>
      <c r="AS1214" s="86"/>
      <c r="AT1214" s="86"/>
      <c r="AU1214" s="86"/>
      <c r="AV1214" s="86"/>
      <c r="AW1214" s="86"/>
      <c r="AX1214" s="86" t="b">
        <v>0</v>
      </c>
      <c r="AY1214" s="86"/>
      <c r="AZ1214" s="86"/>
      <c r="BA1214" s="86" t="b">
        <v>0</v>
      </c>
      <c r="BB1214" s="86" t="b">
        <v>1</v>
      </c>
      <c r="BC1214" s="86" t="b">
        <v>1</v>
      </c>
      <c r="BD1214" s="86" t="b">
        <v>0</v>
      </c>
      <c r="BE1214" s="86" t="b">
        <v>0</v>
      </c>
      <c r="BF1214" s="86" t="b">
        <v>0</v>
      </c>
      <c r="BG1214" s="86" t="b">
        <v>0</v>
      </c>
      <c r="BH1214" s="86"/>
      <c r="BI1214" s="86"/>
      <c r="BJ1214" s="86" t="s">
        <v>29134</v>
      </c>
      <c r="BK1214" s="86" t="b">
        <v>0</v>
      </c>
      <c r="BL1214" s="86"/>
      <c r="BM1214" s="86" t="s">
        <v>65</v>
      </c>
      <c r="BN1214" s="86" t="s">
        <v>29136</v>
      </c>
      <c r="BO1214" s="96" t="str">
        <f>HYPERLINK("https://twitter.com/agtrace1")</f>
        <v>https://twitter.com/agtrace1</v>
      </c>
      <c r="BP1214" s="2"/>
    </row>
    <row r="1215" spans="1:68" x14ac:dyDescent="0.25">
      <c r="A1215" s="63" t="s">
        <v>1788</v>
      </c>
      <c r="B1215" s="64"/>
      <c r="C1215" s="64"/>
      <c r="D1215" s="65"/>
      <c r="E1215" s="67"/>
      <c r="F1215" s="111" t="str">
        <f>HYPERLINK("https://pbs.twimg.com/profile_images/1653032958511529985/zvw7Nh1v_normal.png")</f>
        <v>https://pbs.twimg.com/profile_images/1653032958511529985/zvw7Nh1v_normal.png</v>
      </c>
      <c r="G1215" s="64"/>
      <c r="H1215" s="68"/>
      <c r="I1215" s="69"/>
      <c r="J1215" s="69"/>
      <c r="K1215" s="68" t="s">
        <v>30348</v>
      </c>
      <c r="L1215" s="72"/>
      <c r="M1215" s="73"/>
      <c r="N1215" s="73"/>
      <c r="O1215" s="74"/>
      <c r="P1215" s="75"/>
      <c r="Q1215" s="75"/>
      <c r="R1215" s="102"/>
      <c r="S1215" s="102"/>
      <c r="T1215" s="102"/>
      <c r="U1215" s="102"/>
      <c r="V1215" s="48"/>
      <c r="W1215" s="48"/>
      <c r="X1215" s="48"/>
      <c r="Y1215" s="48"/>
      <c r="Z1215" s="47"/>
      <c r="AA1215" s="70">
        <v>1215</v>
      </c>
      <c r="AB1215" s="70"/>
      <c r="AC1215" s="71"/>
      <c r="AD1215" s="86" t="s">
        <v>24815</v>
      </c>
      <c r="AE1215" s="94" t="s">
        <v>25712</v>
      </c>
      <c r="AF1215" s="86">
        <v>3</v>
      </c>
      <c r="AG1215" s="86">
        <v>6</v>
      </c>
      <c r="AH1215" s="86">
        <v>6</v>
      </c>
      <c r="AI1215" s="86">
        <v>0</v>
      </c>
      <c r="AJ1215" s="86">
        <v>2</v>
      </c>
      <c r="AK1215" s="86">
        <v>1</v>
      </c>
      <c r="AL1215" s="86" t="b">
        <v>0</v>
      </c>
      <c r="AM1215" s="89">
        <v>45047.573067129626</v>
      </c>
      <c r="AN1215" s="86"/>
      <c r="AO1215" s="86" t="s">
        <v>27531</v>
      </c>
      <c r="AP1215" s="96" t="str">
        <f>HYPERLINK("https://t.co/7QPnvZg6Z5")</f>
        <v>https://t.co/7QPnvZg6Z5</v>
      </c>
      <c r="AQ1215" s="96" t="str">
        <f>HYPERLINK("https://www.pixforce.com.br/en")</f>
        <v>https://www.pixforce.com.br/en</v>
      </c>
      <c r="AR1215" s="86" t="s">
        <v>28712</v>
      </c>
      <c r="AS1215" s="86"/>
      <c r="AT1215" s="86"/>
      <c r="AU1215" s="86"/>
      <c r="AV1215" s="86"/>
      <c r="AW1215" s="96" t="str">
        <f>HYPERLINK("https://t.co/7QPnvZg6Z5")</f>
        <v>https://t.co/7QPnvZg6Z5</v>
      </c>
      <c r="AX1215" s="86" t="b">
        <v>0</v>
      </c>
      <c r="AY1215" s="86"/>
      <c r="AZ1215" s="86"/>
      <c r="BA1215" s="86" t="b">
        <v>0</v>
      </c>
      <c r="BB1215" s="86" t="b">
        <v>1</v>
      </c>
      <c r="BC1215" s="86" t="b">
        <v>1</v>
      </c>
      <c r="BD1215" s="86" t="b">
        <v>0</v>
      </c>
      <c r="BE1215" s="86" t="b">
        <v>0</v>
      </c>
      <c r="BF1215" s="86" t="b">
        <v>0</v>
      </c>
      <c r="BG1215" s="86" t="b">
        <v>0</v>
      </c>
      <c r="BH1215" s="96" t="str">
        <f>HYPERLINK("https://pbs.twimg.com/profile_banners/1653032725815631872/1682949171")</f>
        <v>https://pbs.twimg.com/profile_banners/1653032725815631872/1682949171</v>
      </c>
      <c r="BI1215" s="86"/>
      <c r="BJ1215" s="86" t="s">
        <v>29134</v>
      </c>
      <c r="BK1215" s="86" t="b">
        <v>0</v>
      </c>
      <c r="BL1215" s="86"/>
      <c r="BM1215" s="86" t="s">
        <v>65</v>
      </c>
      <c r="BN1215" s="86" t="s">
        <v>29136</v>
      </c>
      <c r="BO1215" s="96" t="str">
        <f>HYPERLINK("https://twitter.com/pixforce_")</f>
        <v>https://twitter.com/pixforce_</v>
      </c>
      <c r="BP1215" s="2"/>
    </row>
    <row r="1216" spans="1:68" x14ac:dyDescent="0.25">
      <c r="A1216" s="63" t="s">
        <v>1789</v>
      </c>
      <c r="B1216" s="64"/>
      <c r="C1216" s="64"/>
      <c r="D1216" s="65"/>
      <c r="E1216" s="67"/>
      <c r="F1216" s="111" t="str">
        <f>HYPERLINK("https://pbs.twimg.com/profile_images/1362743147802075138/A1i8MmWP_normal.jpg")</f>
        <v>https://pbs.twimg.com/profile_images/1362743147802075138/A1i8MmWP_normal.jpg</v>
      </c>
      <c r="G1216" s="64"/>
      <c r="H1216" s="68"/>
      <c r="I1216" s="69"/>
      <c r="J1216" s="69"/>
      <c r="K1216" s="68" t="s">
        <v>30349</v>
      </c>
      <c r="L1216" s="72"/>
      <c r="M1216" s="73"/>
      <c r="N1216" s="73"/>
      <c r="O1216" s="74"/>
      <c r="P1216" s="75"/>
      <c r="Q1216" s="75"/>
      <c r="R1216" s="102"/>
      <c r="S1216" s="102"/>
      <c r="T1216" s="102"/>
      <c r="U1216" s="102"/>
      <c r="V1216" s="48"/>
      <c r="W1216" s="48"/>
      <c r="X1216" s="48"/>
      <c r="Y1216" s="48"/>
      <c r="Z1216" s="47"/>
      <c r="AA1216" s="70">
        <v>1216</v>
      </c>
      <c r="AB1216" s="70"/>
      <c r="AC1216" s="71"/>
      <c r="AD1216" s="86" t="s">
        <v>24816</v>
      </c>
      <c r="AE1216" s="94" t="s">
        <v>25713</v>
      </c>
      <c r="AF1216" s="86">
        <v>60</v>
      </c>
      <c r="AG1216" s="86">
        <v>109</v>
      </c>
      <c r="AH1216" s="86">
        <v>56</v>
      </c>
      <c r="AI1216" s="86">
        <v>0</v>
      </c>
      <c r="AJ1216" s="86">
        <v>0</v>
      </c>
      <c r="AK1216" s="86">
        <v>38</v>
      </c>
      <c r="AL1216" s="86" t="b">
        <v>0</v>
      </c>
      <c r="AM1216" s="89">
        <v>40535.052025462966</v>
      </c>
      <c r="AN1216" s="86" t="s">
        <v>25889</v>
      </c>
      <c r="AO1216" s="86" t="s">
        <v>27532</v>
      </c>
      <c r="AP1216" s="96" t="str">
        <f>HYPERLINK("https://t.co/dgk6hUZnO0")</f>
        <v>https://t.co/dgk6hUZnO0</v>
      </c>
      <c r="AQ1216" s="96" t="str">
        <f>HYPERLINK("http://implantait.com.br")</f>
        <v>http://implantait.com.br</v>
      </c>
      <c r="AR1216" s="86" t="s">
        <v>28713</v>
      </c>
      <c r="AS1216" s="86"/>
      <c r="AT1216" s="86"/>
      <c r="AU1216" s="86"/>
      <c r="AV1216" s="86">
        <v>1.06062156607197E+18</v>
      </c>
      <c r="AW1216" s="96" t="str">
        <f>HYPERLINK("https://t.co/dgk6hUZnO0")</f>
        <v>https://t.co/dgk6hUZnO0</v>
      </c>
      <c r="AX1216" s="86" t="b">
        <v>0</v>
      </c>
      <c r="AY1216" s="86"/>
      <c r="AZ1216" s="86"/>
      <c r="BA1216" s="86" t="b">
        <v>1</v>
      </c>
      <c r="BB1216" s="86" t="b">
        <v>1</v>
      </c>
      <c r="BC1216" s="86" t="b">
        <v>0</v>
      </c>
      <c r="BD1216" s="86" t="b">
        <v>0</v>
      </c>
      <c r="BE1216" s="86" t="b">
        <v>0</v>
      </c>
      <c r="BF1216" s="86" t="b">
        <v>0</v>
      </c>
      <c r="BG1216" s="86" t="b">
        <v>0</v>
      </c>
      <c r="BH1216" s="96" t="str">
        <f>HYPERLINK("https://pbs.twimg.com/profile_banners/229672856/1613738550")</f>
        <v>https://pbs.twimg.com/profile_banners/229672856/1613738550</v>
      </c>
      <c r="BI1216" s="86"/>
      <c r="BJ1216" s="86" t="s">
        <v>29134</v>
      </c>
      <c r="BK1216" s="86" t="b">
        <v>0</v>
      </c>
      <c r="BL1216" s="86"/>
      <c r="BM1216" s="86" t="s">
        <v>65</v>
      </c>
      <c r="BN1216" s="86" t="s">
        <v>29136</v>
      </c>
      <c r="BO1216" s="96" t="str">
        <f>HYPERLINK("https://twitter.com/implantait")</f>
        <v>https://twitter.com/implantait</v>
      </c>
      <c r="BP1216" s="2"/>
    </row>
    <row r="1217" spans="1:68" x14ac:dyDescent="0.25">
      <c r="A1217" s="63" t="s">
        <v>1253</v>
      </c>
      <c r="B1217" s="64"/>
      <c r="C1217" s="64"/>
      <c r="D1217" s="65"/>
      <c r="E1217" s="67"/>
      <c r="F1217" s="111" t="str">
        <f>HYPERLINK("https://pbs.twimg.com/profile_images/1701726058645491712/5Nlv3hZL_normal.jpg")</f>
        <v>https://pbs.twimg.com/profile_images/1701726058645491712/5Nlv3hZL_normal.jpg</v>
      </c>
      <c r="G1217" s="64"/>
      <c r="H1217" s="68"/>
      <c r="I1217" s="69"/>
      <c r="J1217" s="69"/>
      <c r="K1217" s="68" t="s">
        <v>30350</v>
      </c>
      <c r="L1217" s="72"/>
      <c r="M1217" s="73"/>
      <c r="N1217" s="73"/>
      <c r="O1217" s="74"/>
      <c r="P1217" s="75"/>
      <c r="Q1217" s="75"/>
      <c r="R1217" s="102"/>
      <c r="S1217" s="102"/>
      <c r="T1217" s="102"/>
      <c r="U1217" s="102"/>
      <c r="V1217" s="48"/>
      <c r="W1217" s="48"/>
      <c r="X1217" s="48"/>
      <c r="Y1217" s="48"/>
      <c r="Z1217" s="47"/>
      <c r="AA1217" s="70">
        <v>1217</v>
      </c>
      <c r="AB1217" s="70"/>
      <c r="AC1217" s="71"/>
      <c r="AD1217" s="86" t="s">
        <v>24817</v>
      </c>
      <c r="AE1217" s="94" t="s">
        <v>25714</v>
      </c>
      <c r="AF1217" s="86">
        <v>5</v>
      </c>
      <c r="AG1217" s="86">
        <v>67</v>
      </c>
      <c r="AH1217" s="86">
        <v>10</v>
      </c>
      <c r="AI1217" s="86">
        <v>0</v>
      </c>
      <c r="AJ1217" s="86">
        <v>1</v>
      </c>
      <c r="AK1217" s="86">
        <v>10</v>
      </c>
      <c r="AL1217" s="86" t="b">
        <v>0</v>
      </c>
      <c r="AM1217" s="89">
        <v>42410.943310185183</v>
      </c>
      <c r="AN1217" s="86" t="s">
        <v>26304</v>
      </c>
      <c r="AO1217" s="86" t="s">
        <v>27533</v>
      </c>
      <c r="AP1217" s="96" t="str">
        <f>HYPERLINK("https://t.co/Xb6sJeUNCh")</f>
        <v>https://t.co/Xb6sJeUNCh</v>
      </c>
      <c r="AQ1217" s="96" t="str">
        <f>HYPERLINK("https://linktr.ee/somospinka")</f>
        <v>https://linktr.ee/somospinka</v>
      </c>
      <c r="AR1217" s="86" t="s">
        <v>28714</v>
      </c>
      <c r="AS1217" s="86"/>
      <c r="AT1217" s="86"/>
      <c r="AU1217" s="86"/>
      <c r="AV1217" s="86"/>
      <c r="AW1217" s="96" t="str">
        <f>HYPERLINK("https://t.co/Xb6sJeUNCh")</f>
        <v>https://t.co/Xb6sJeUNCh</v>
      </c>
      <c r="AX1217" s="86" t="b">
        <v>0</v>
      </c>
      <c r="AY1217" s="86"/>
      <c r="AZ1217" s="86"/>
      <c r="BA1217" s="86" t="b">
        <v>0</v>
      </c>
      <c r="BB1217" s="86" t="b">
        <v>1</v>
      </c>
      <c r="BC1217" s="86" t="b">
        <v>1</v>
      </c>
      <c r="BD1217" s="86" t="b">
        <v>0</v>
      </c>
      <c r="BE1217" s="86" t="b">
        <v>0</v>
      </c>
      <c r="BF1217" s="86" t="b">
        <v>0</v>
      </c>
      <c r="BG1217" s="86" t="b">
        <v>0</v>
      </c>
      <c r="BH1217" s="96" t="str">
        <f>HYPERLINK("https://pbs.twimg.com/profile_banners/4896346336/1694558124")</f>
        <v>https://pbs.twimg.com/profile_banners/4896346336/1694558124</v>
      </c>
      <c r="BI1217" s="86"/>
      <c r="BJ1217" s="86" t="s">
        <v>29134</v>
      </c>
      <c r="BK1217" s="86" t="b">
        <v>0</v>
      </c>
      <c r="BL1217" s="86"/>
      <c r="BM1217" s="86" t="s">
        <v>66</v>
      </c>
      <c r="BN1217" s="86" t="s">
        <v>29136</v>
      </c>
      <c r="BO1217" s="96" t="str">
        <f>HYPERLINK("https://twitter.com/pinkainnovacion")</f>
        <v>https://twitter.com/pinkainnovacion</v>
      </c>
      <c r="BP1217" s="2"/>
    </row>
    <row r="1218" spans="1:68" x14ac:dyDescent="0.25">
      <c r="A1218" s="63" t="s">
        <v>1254</v>
      </c>
      <c r="B1218" s="64"/>
      <c r="C1218" s="64"/>
      <c r="D1218" s="65"/>
      <c r="E1218" s="67"/>
      <c r="F1218" s="111" t="str">
        <f>HYPERLINK("https://pbs.twimg.com/profile_images/1702932895969714176/tgkRA9fC_normal.jpg")</f>
        <v>https://pbs.twimg.com/profile_images/1702932895969714176/tgkRA9fC_normal.jpg</v>
      </c>
      <c r="G1218" s="64"/>
      <c r="H1218" s="68"/>
      <c r="I1218" s="69"/>
      <c r="J1218" s="69"/>
      <c r="K1218" s="68" t="s">
        <v>30351</v>
      </c>
      <c r="L1218" s="72"/>
      <c r="M1218" s="73"/>
      <c r="N1218" s="73"/>
      <c r="O1218" s="74"/>
      <c r="P1218" s="75"/>
      <c r="Q1218" s="75"/>
      <c r="R1218" s="102"/>
      <c r="S1218" s="102"/>
      <c r="T1218" s="102"/>
      <c r="U1218" s="102"/>
      <c r="V1218" s="48"/>
      <c r="W1218" s="48"/>
      <c r="X1218" s="48"/>
      <c r="Y1218" s="48"/>
      <c r="Z1218" s="47"/>
      <c r="AA1218" s="70">
        <v>1218</v>
      </c>
      <c r="AB1218" s="70"/>
      <c r="AC1218" s="71"/>
      <c r="AD1218" s="86" t="s">
        <v>24818</v>
      </c>
      <c r="AE1218" s="94" t="s">
        <v>23388</v>
      </c>
      <c r="AF1218" s="86">
        <v>63</v>
      </c>
      <c r="AG1218" s="86">
        <v>61</v>
      </c>
      <c r="AH1218" s="86">
        <v>3981</v>
      </c>
      <c r="AI1218" s="86">
        <v>0</v>
      </c>
      <c r="AJ1218" s="86">
        <v>23</v>
      </c>
      <c r="AK1218" s="86">
        <v>1</v>
      </c>
      <c r="AL1218" s="86" t="b">
        <v>0</v>
      </c>
      <c r="AM1218" s="89">
        <v>45182.275104166663</v>
      </c>
      <c r="AN1218" s="86"/>
      <c r="AO1218" s="86" t="s">
        <v>27534</v>
      </c>
      <c r="AP1218" s="96" t="str">
        <f>HYPERLINK("https://t.co/p4AvV72LSA")</f>
        <v>https://t.co/p4AvV72LSA</v>
      </c>
      <c r="AQ1218" s="96" t="str">
        <f>HYPERLINK("https://twitter.com/ParthQuote/likes")</f>
        <v>https://twitter.com/ParthQuote/likes</v>
      </c>
      <c r="AR1218" s="86" t="s">
        <v>28715</v>
      </c>
      <c r="AS1218" s="86"/>
      <c r="AT1218" s="86"/>
      <c r="AU1218" s="86"/>
      <c r="AV1218" s="86">
        <v>1.7018937624217999E+18</v>
      </c>
      <c r="AW1218" s="96" t="str">
        <f>HYPERLINK("https://t.co/p4AvV72LSA")</f>
        <v>https://t.co/p4AvV72LSA</v>
      </c>
      <c r="AX1218" s="86" t="b">
        <v>0</v>
      </c>
      <c r="AY1218" s="86"/>
      <c r="AZ1218" s="86"/>
      <c r="BA1218" s="86" t="b">
        <v>0</v>
      </c>
      <c r="BB1218" s="86" t="b">
        <v>1</v>
      </c>
      <c r="BC1218" s="86" t="b">
        <v>1</v>
      </c>
      <c r="BD1218" s="86" t="b">
        <v>0</v>
      </c>
      <c r="BE1218" s="86" t="b">
        <v>0</v>
      </c>
      <c r="BF1218" s="86" t="b">
        <v>0</v>
      </c>
      <c r="BG1218" s="86" t="b">
        <v>0</v>
      </c>
      <c r="BH1218" s="86"/>
      <c r="BI1218" s="86"/>
      <c r="BJ1218" s="86" t="s">
        <v>29134</v>
      </c>
      <c r="BK1218" s="86" t="b">
        <v>0</v>
      </c>
      <c r="BL1218" s="86"/>
      <c r="BM1218" s="86" t="s">
        <v>66</v>
      </c>
      <c r="BN1218" s="86" t="s">
        <v>29136</v>
      </c>
      <c r="BO1218" s="96" t="str">
        <f>HYPERLINK("https://twitter.com/parthquote")</f>
        <v>https://twitter.com/parthquote</v>
      </c>
      <c r="BP1218" s="2"/>
    </row>
    <row r="1219" spans="1:68" x14ac:dyDescent="0.25">
      <c r="A1219" s="63" t="s">
        <v>1255</v>
      </c>
      <c r="B1219" s="64"/>
      <c r="C1219" s="64"/>
      <c r="D1219" s="65"/>
      <c r="E1219" s="67"/>
      <c r="F1219" s="111" t="str">
        <f>HYPERLINK("https://pbs.twimg.com/profile_images/1601335288424529923/Z0KQ6URS_normal.jpg")</f>
        <v>https://pbs.twimg.com/profile_images/1601335288424529923/Z0KQ6URS_normal.jpg</v>
      </c>
      <c r="G1219" s="64"/>
      <c r="H1219" s="68"/>
      <c r="I1219" s="69"/>
      <c r="J1219" s="69"/>
      <c r="K1219" s="68" t="s">
        <v>30352</v>
      </c>
      <c r="L1219" s="72"/>
      <c r="M1219" s="73"/>
      <c r="N1219" s="73"/>
      <c r="O1219" s="74"/>
      <c r="P1219" s="75"/>
      <c r="Q1219" s="75"/>
      <c r="R1219" s="102"/>
      <c r="S1219" s="102"/>
      <c r="T1219" s="102"/>
      <c r="U1219" s="102"/>
      <c r="V1219" s="48"/>
      <c r="W1219" s="48"/>
      <c r="X1219" s="48"/>
      <c r="Y1219" s="48"/>
      <c r="Z1219" s="47"/>
      <c r="AA1219" s="70">
        <v>1219</v>
      </c>
      <c r="AB1219" s="70"/>
      <c r="AC1219" s="71"/>
      <c r="AD1219" s="86" t="s">
        <v>24819</v>
      </c>
      <c r="AE1219" s="94" t="s">
        <v>25715</v>
      </c>
      <c r="AF1219" s="86">
        <v>366</v>
      </c>
      <c r="AG1219" s="86">
        <v>770</v>
      </c>
      <c r="AH1219" s="86">
        <v>4596</v>
      </c>
      <c r="AI1219" s="86">
        <v>0</v>
      </c>
      <c r="AJ1219" s="86">
        <v>43898</v>
      </c>
      <c r="AK1219" s="86">
        <v>501</v>
      </c>
      <c r="AL1219" s="86" t="b">
        <v>0</v>
      </c>
      <c r="AM1219" s="89">
        <v>40826.590810185182</v>
      </c>
      <c r="AN1219" s="86" t="s">
        <v>15256</v>
      </c>
      <c r="AO1219" s="86" t="s">
        <v>27535</v>
      </c>
      <c r="AP1219" s="96" t="str">
        <f>HYPERLINK("https://t.co/ydvS1UtPc7")</f>
        <v>https://t.co/ydvS1UtPc7</v>
      </c>
      <c r="AQ1219" s="96" t="str">
        <f>HYPERLINK("https://douglasscn.com/bio")</f>
        <v>https://douglasscn.com/bio</v>
      </c>
      <c r="AR1219" s="86" t="s">
        <v>28716</v>
      </c>
      <c r="AS1219" s="86"/>
      <c r="AT1219" s="86"/>
      <c r="AU1219" s="86"/>
      <c r="AV1219" s="86">
        <v>1.69474900287968E+18</v>
      </c>
      <c r="AW1219" s="96" t="str">
        <f>HYPERLINK("https://t.co/ydvS1UtPc7")</f>
        <v>https://t.co/ydvS1UtPc7</v>
      </c>
      <c r="AX1219" s="86" t="b">
        <v>0</v>
      </c>
      <c r="AY1219" s="86"/>
      <c r="AZ1219" s="86"/>
      <c r="BA1219" s="86" t="b">
        <v>0</v>
      </c>
      <c r="BB1219" s="86" t="b">
        <v>1</v>
      </c>
      <c r="BC1219" s="86" t="b">
        <v>0</v>
      </c>
      <c r="BD1219" s="86" t="b">
        <v>0</v>
      </c>
      <c r="BE1219" s="86" t="b">
        <v>1</v>
      </c>
      <c r="BF1219" s="86" t="b">
        <v>0</v>
      </c>
      <c r="BG1219" s="86" t="b">
        <v>0</v>
      </c>
      <c r="BH1219" s="96" t="str">
        <f>HYPERLINK("https://pbs.twimg.com/profile_banners/388286996/1689605399")</f>
        <v>https://pbs.twimg.com/profile_banners/388286996/1689605399</v>
      </c>
      <c r="BI1219" s="86"/>
      <c r="BJ1219" s="86" t="s">
        <v>29134</v>
      </c>
      <c r="BK1219" s="86" t="b">
        <v>0</v>
      </c>
      <c r="BL1219" s="86"/>
      <c r="BM1219" s="86" t="s">
        <v>66</v>
      </c>
      <c r="BN1219" s="86" t="s">
        <v>29136</v>
      </c>
      <c r="BO1219" s="96" t="str">
        <f>HYPERLINK("https://twitter.com/douglas_scn")</f>
        <v>https://twitter.com/douglas_scn</v>
      </c>
      <c r="BP1219" s="2"/>
    </row>
    <row r="1220" spans="1:68" x14ac:dyDescent="0.25">
      <c r="A1220" s="63" t="s">
        <v>1256</v>
      </c>
      <c r="B1220" s="64"/>
      <c r="C1220" s="64"/>
      <c r="D1220" s="65"/>
      <c r="E1220" s="67"/>
      <c r="F1220" s="111" t="str">
        <f>HYPERLINK("https://pbs.twimg.com/profile_images/1508252753923039238/8zF-9SyQ_normal.jpg")</f>
        <v>https://pbs.twimg.com/profile_images/1508252753923039238/8zF-9SyQ_normal.jpg</v>
      </c>
      <c r="G1220" s="64"/>
      <c r="H1220" s="68"/>
      <c r="I1220" s="69"/>
      <c r="J1220" s="69"/>
      <c r="K1220" s="68" t="s">
        <v>30353</v>
      </c>
      <c r="L1220" s="72"/>
      <c r="M1220" s="73"/>
      <c r="N1220" s="73"/>
      <c r="O1220" s="74"/>
      <c r="P1220" s="75"/>
      <c r="Q1220" s="75"/>
      <c r="R1220" s="102"/>
      <c r="S1220" s="102"/>
      <c r="T1220" s="102"/>
      <c r="U1220" s="102"/>
      <c r="V1220" s="48"/>
      <c r="W1220" s="48"/>
      <c r="X1220" s="48"/>
      <c r="Y1220" s="48"/>
      <c r="Z1220" s="47"/>
      <c r="AA1220" s="70">
        <v>1220</v>
      </c>
      <c r="AB1220" s="70"/>
      <c r="AC1220" s="71"/>
      <c r="AD1220" s="86" t="s">
        <v>24820</v>
      </c>
      <c r="AE1220" s="94" t="s">
        <v>25716</v>
      </c>
      <c r="AF1220" s="86">
        <v>366</v>
      </c>
      <c r="AG1220" s="86">
        <v>916</v>
      </c>
      <c r="AH1220" s="86">
        <v>2544</v>
      </c>
      <c r="AI1220" s="86">
        <v>2</v>
      </c>
      <c r="AJ1220" s="86">
        <v>19</v>
      </c>
      <c r="AK1220" s="86">
        <v>1475</v>
      </c>
      <c r="AL1220" s="86" t="b">
        <v>0</v>
      </c>
      <c r="AM1220" s="89">
        <v>40687.120925925927</v>
      </c>
      <c r="AN1220" s="86" t="s">
        <v>15378</v>
      </c>
      <c r="AO1220" s="86" t="s">
        <v>27536</v>
      </c>
      <c r="AP1220" s="96" t="str">
        <f>HYPERLINK("https://t.co/kitJfDiUoP")</f>
        <v>https://t.co/kitJfDiUoP</v>
      </c>
      <c r="AQ1220" s="96" t="str">
        <f>HYPERLINK("http://rapperpirata.com.br")</f>
        <v>http://rapperpirata.com.br</v>
      </c>
      <c r="AR1220" s="86" t="s">
        <v>28717</v>
      </c>
      <c r="AS1220" s="86"/>
      <c r="AT1220" s="86"/>
      <c r="AU1220" s="86"/>
      <c r="AV1220" s="86">
        <v>4.6119768817677498E+17</v>
      </c>
      <c r="AW1220" s="96" t="str">
        <f>HYPERLINK("https://t.co/kitJfDiUoP")</f>
        <v>https://t.co/kitJfDiUoP</v>
      </c>
      <c r="AX1220" s="86" t="b">
        <v>0</v>
      </c>
      <c r="AY1220" s="86"/>
      <c r="AZ1220" s="86"/>
      <c r="BA1220" s="86" t="b">
        <v>0</v>
      </c>
      <c r="BB1220" s="86" t="b">
        <v>1</v>
      </c>
      <c r="BC1220" s="86" t="b">
        <v>1</v>
      </c>
      <c r="BD1220" s="86" t="b">
        <v>0</v>
      </c>
      <c r="BE1220" s="86" t="b">
        <v>1</v>
      </c>
      <c r="BF1220" s="86" t="b">
        <v>0</v>
      </c>
      <c r="BG1220" s="86" t="b">
        <v>0</v>
      </c>
      <c r="BH1220" s="96" t="str">
        <f>HYPERLINK("https://pbs.twimg.com/profile_banners/304193023/1498439478")</f>
        <v>https://pbs.twimg.com/profile_banners/304193023/1498439478</v>
      </c>
      <c r="BI1220" s="86"/>
      <c r="BJ1220" s="86" t="s">
        <v>29134</v>
      </c>
      <c r="BK1220" s="86" t="b">
        <v>0</v>
      </c>
      <c r="BL1220" s="86"/>
      <c r="BM1220" s="86" t="s">
        <v>66</v>
      </c>
      <c r="BN1220" s="86" t="s">
        <v>29136</v>
      </c>
      <c r="BO1220" s="96" t="str">
        <f>HYPERLINK("https://twitter.com/rapperpirata")</f>
        <v>https://twitter.com/rapperpirata</v>
      </c>
      <c r="BP1220" s="2"/>
    </row>
    <row r="1221" spans="1:68" x14ac:dyDescent="0.25">
      <c r="A1221" s="63" t="s">
        <v>1257</v>
      </c>
      <c r="B1221" s="64"/>
      <c r="C1221" s="64"/>
      <c r="D1221" s="65"/>
      <c r="E1221" s="67"/>
      <c r="F1221" s="111" t="str">
        <f>HYPERLINK("https://pbs.twimg.com/profile_images/1674435445743312903/qsL29Sk6_normal.jpg")</f>
        <v>https://pbs.twimg.com/profile_images/1674435445743312903/qsL29Sk6_normal.jpg</v>
      </c>
      <c r="G1221" s="64"/>
      <c r="H1221" s="68"/>
      <c r="I1221" s="69"/>
      <c r="J1221" s="69"/>
      <c r="K1221" s="68" t="s">
        <v>30354</v>
      </c>
      <c r="L1221" s="72"/>
      <c r="M1221" s="73"/>
      <c r="N1221" s="73"/>
      <c r="O1221" s="74"/>
      <c r="P1221" s="75"/>
      <c r="Q1221" s="75"/>
      <c r="R1221" s="102"/>
      <c r="S1221" s="102"/>
      <c r="T1221" s="102"/>
      <c r="U1221" s="102"/>
      <c r="V1221" s="48"/>
      <c r="W1221" s="48"/>
      <c r="X1221" s="48"/>
      <c r="Y1221" s="48"/>
      <c r="Z1221" s="47"/>
      <c r="AA1221" s="70">
        <v>1221</v>
      </c>
      <c r="AB1221" s="70"/>
      <c r="AC1221" s="71"/>
      <c r="AD1221" s="86" t="s">
        <v>24821</v>
      </c>
      <c r="AE1221" s="94" t="s">
        <v>25717</v>
      </c>
      <c r="AF1221" s="86">
        <v>1720</v>
      </c>
      <c r="AG1221" s="86">
        <v>629</v>
      </c>
      <c r="AH1221" s="86">
        <v>18348</v>
      </c>
      <c r="AI1221" s="86">
        <v>1</v>
      </c>
      <c r="AJ1221" s="86">
        <v>14399</v>
      </c>
      <c r="AK1221" s="86">
        <v>1362</v>
      </c>
      <c r="AL1221" s="86" t="b">
        <v>0</v>
      </c>
      <c r="AM1221" s="89">
        <v>40343.749398148146</v>
      </c>
      <c r="AN1221" s="86"/>
      <c r="AO1221" s="86" t="s">
        <v>27537</v>
      </c>
      <c r="AP1221" s="96" t="str">
        <f>HYPERLINK("https://t.co/iB4xPoJKpV")</f>
        <v>https://t.co/iB4xPoJKpV</v>
      </c>
      <c r="AQ1221" s="96" t="str">
        <f>HYPERLINK("http://instagram.com/ricardocarvalho.dpe")</f>
        <v>http://instagram.com/ricardocarvalho.dpe</v>
      </c>
      <c r="AR1221" s="86" t="s">
        <v>28718</v>
      </c>
      <c r="AS1221" s="86"/>
      <c r="AT1221" s="86"/>
      <c r="AU1221" s="86"/>
      <c r="AV1221" s="86">
        <v>1.69705863212112E+18</v>
      </c>
      <c r="AW1221" s="96" t="str">
        <f>HYPERLINK("https://t.co/iB4xPoJKpV")</f>
        <v>https://t.co/iB4xPoJKpV</v>
      </c>
      <c r="AX1221" s="86" t="b">
        <v>0</v>
      </c>
      <c r="AY1221" s="86"/>
      <c r="AZ1221" s="86"/>
      <c r="BA1221" s="86" t="b">
        <v>0</v>
      </c>
      <c r="BB1221" s="86" t="b">
        <v>0</v>
      </c>
      <c r="BC1221" s="86" t="b">
        <v>0</v>
      </c>
      <c r="BD1221" s="86" t="b">
        <v>0</v>
      </c>
      <c r="BE1221" s="86" t="b">
        <v>1</v>
      </c>
      <c r="BF1221" s="86" t="b">
        <v>0</v>
      </c>
      <c r="BG1221" s="86" t="b">
        <v>0</v>
      </c>
      <c r="BH1221" s="96" t="str">
        <f>HYPERLINK("https://pbs.twimg.com/profile_banners/155638696/1681543680")</f>
        <v>https://pbs.twimg.com/profile_banners/155638696/1681543680</v>
      </c>
      <c r="BI1221" s="86"/>
      <c r="BJ1221" s="86" t="s">
        <v>29134</v>
      </c>
      <c r="BK1221" s="86" t="b">
        <v>0</v>
      </c>
      <c r="BL1221" s="86"/>
      <c r="BM1221" s="86" t="s">
        <v>66</v>
      </c>
      <c r="BN1221" s="86" t="s">
        <v>29136</v>
      </c>
      <c r="BO1221" s="96" t="str">
        <f>HYPERLINK("https://twitter.com/carvalho_rick")</f>
        <v>https://twitter.com/carvalho_rick</v>
      </c>
      <c r="BP1221" s="2"/>
    </row>
    <row r="1222" spans="1:68" x14ac:dyDescent="0.25">
      <c r="A1222" s="63" t="s">
        <v>1790</v>
      </c>
      <c r="B1222" s="64"/>
      <c r="C1222" s="64"/>
      <c r="D1222" s="65"/>
      <c r="E1222" s="67"/>
      <c r="F1222" s="111" t="str">
        <f>HYPERLINK("https://pbs.twimg.com/profile_images/1503202410746970112/N_ltagic_normal.jpg")</f>
        <v>https://pbs.twimg.com/profile_images/1503202410746970112/N_ltagic_normal.jpg</v>
      </c>
      <c r="G1222" s="64"/>
      <c r="H1222" s="68"/>
      <c r="I1222" s="69"/>
      <c r="J1222" s="69"/>
      <c r="K1222" s="68" t="s">
        <v>30355</v>
      </c>
      <c r="L1222" s="72"/>
      <c r="M1222" s="73"/>
      <c r="N1222" s="73"/>
      <c r="O1222" s="74"/>
      <c r="P1222" s="75"/>
      <c r="Q1222" s="75"/>
      <c r="R1222" s="102"/>
      <c r="S1222" s="102"/>
      <c r="T1222" s="102"/>
      <c r="U1222" s="102"/>
      <c r="V1222" s="48"/>
      <c r="W1222" s="48"/>
      <c r="X1222" s="48"/>
      <c r="Y1222" s="48"/>
      <c r="Z1222" s="47"/>
      <c r="AA1222" s="70">
        <v>1222</v>
      </c>
      <c r="AB1222" s="70"/>
      <c r="AC1222" s="71"/>
      <c r="AD1222" s="86" t="s">
        <v>24822</v>
      </c>
      <c r="AE1222" s="94" t="s">
        <v>22628</v>
      </c>
      <c r="AF1222" s="86">
        <v>48054</v>
      </c>
      <c r="AG1222" s="86">
        <v>854</v>
      </c>
      <c r="AH1222" s="86">
        <v>135084</v>
      </c>
      <c r="AI1222" s="86">
        <v>21</v>
      </c>
      <c r="AJ1222" s="86">
        <v>24541</v>
      </c>
      <c r="AK1222" s="86">
        <v>4524</v>
      </c>
      <c r="AL1222" s="86" t="b">
        <v>0</v>
      </c>
      <c r="AM1222" s="89">
        <v>39923.793865740743</v>
      </c>
      <c r="AN1222" s="86" t="s">
        <v>15234</v>
      </c>
      <c r="AO1222" s="86" t="s">
        <v>27538</v>
      </c>
      <c r="AP1222" s="96" t="str">
        <f>HYPERLINK("https://t.co/87X9sWyiTj")</f>
        <v>https://t.co/87X9sWyiTj</v>
      </c>
      <c r="AQ1222" s="96" t="str">
        <f>HYPERLINK("http://www.instagram.com/marcoprestes")</f>
        <v>http://www.instagram.com/marcoprestes</v>
      </c>
      <c r="AR1222" s="86" t="s">
        <v>28719</v>
      </c>
      <c r="AS1222" s="86"/>
      <c r="AT1222" s="86"/>
      <c r="AU1222" s="86"/>
      <c r="AV1222" s="86">
        <v>1.6748176009565499E+18</v>
      </c>
      <c r="AW1222" s="96" t="str">
        <f>HYPERLINK("https://t.co/87X9sWyiTj")</f>
        <v>https://t.co/87X9sWyiTj</v>
      </c>
      <c r="AX1222" s="86" t="b">
        <v>0</v>
      </c>
      <c r="AY1222" s="86"/>
      <c r="AZ1222" s="86"/>
      <c r="BA1222" s="86" t="b">
        <v>1</v>
      </c>
      <c r="BB1222" s="86" t="b">
        <v>0</v>
      </c>
      <c r="BC1222" s="86" t="b">
        <v>0</v>
      </c>
      <c r="BD1222" s="86" t="b">
        <v>0</v>
      </c>
      <c r="BE1222" s="86" t="b">
        <v>1</v>
      </c>
      <c r="BF1222" s="86" t="b">
        <v>0</v>
      </c>
      <c r="BG1222" s="86" t="b">
        <v>0</v>
      </c>
      <c r="BH1222" s="96" t="str">
        <f>HYPERLINK("https://pbs.twimg.com/profile_banners/33621717/1637206077")</f>
        <v>https://pbs.twimg.com/profile_banners/33621717/1637206077</v>
      </c>
      <c r="BI1222" s="86"/>
      <c r="BJ1222" s="86" t="s">
        <v>29134</v>
      </c>
      <c r="BK1222" s="86" t="b">
        <v>0</v>
      </c>
      <c r="BL1222" s="86"/>
      <c r="BM1222" s="86" t="s">
        <v>65</v>
      </c>
      <c r="BN1222" s="86" t="s">
        <v>29136</v>
      </c>
      <c r="BO1222" s="96" t="str">
        <f>HYPERLINK("https://twitter.com/marcoprestes")</f>
        <v>https://twitter.com/marcoprestes</v>
      </c>
      <c r="BP1222" s="2"/>
    </row>
    <row r="1223" spans="1:68" x14ac:dyDescent="0.25">
      <c r="A1223" s="63" t="s">
        <v>1258</v>
      </c>
      <c r="B1223" s="64"/>
      <c r="C1223" s="64"/>
      <c r="D1223" s="65"/>
      <c r="E1223" s="67"/>
      <c r="F1223" s="111" t="str">
        <f>HYPERLINK("https://pbs.twimg.com/profile_images/1686874153410789377/BbLURyVK_normal.jpg")</f>
        <v>https://pbs.twimg.com/profile_images/1686874153410789377/BbLURyVK_normal.jpg</v>
      </c>
      <c r="G1223" s="64"/>
      <c r="H1223" s="68"/>
      <c r="I1223" s="69"/>
      <c r="J1223" s="69"/>
      <c r="K1223" s="68" t="s">
        <v>30356</v>
      </c>
      <c r="L1223" s="72"/>
      <c r="M1223" s="73"/>
      <c r="N1223" s="73"/>
      <c r="O1223" s="74"/>
      <c r="P1223" s="75"/>
      <c r="Q1223" s="75"/>
      <c r="R1223" s="102"/>
      <c r="S1223" s="102"/>
      <c r="T1223" s="102"/>
      <c r="U1223" s="102"/>
      <c r="V1223" s="48"/>
      <c r="W1223" s="48"/>
      <c r="X1223" s="48"/>
      <c r="Y1223" s="48"/>
      <c r="Z1223" s="47"/>
      <c r="AA1223" s="70">
        <v>1223</v>
      </c>
      <c r="AB1223" s="70"/>
      <c r="AC1223" s="71"/>
      <c r="AD1223" s="86" t="s">
        <v>24823</v>
      </c>
      <c r="AE1223" s="94" t="s">
        <v>25718</v>
      </c>
      <c r="AF1223" s="86">
        <v>76</v>
      </c>
      <c r="AG1223" s="86">
        <v>383</v>
      </c>
      <c r="AH1223" s="86">
        <v>3246</v>
      </c>
      <c r="AI1223" s="86">
        <v>1</v>
      </c>
      <c r="AJ1223" s="86">
        <v>6</v>
      </c>
      <c r="AK1223" s="86">
        <v>199</v>
      </c>
      <c r="AL1223" s="86" t="b">
        <v>0</v>
      </c>
      <c r="AM1223" s="89">
        <v>40764.012916666667</v>
      </c>
      <c r="AN1223" s="86" t="s">
        <v>15415</v>
      </c>
      <c r="AO1223" s="86" t="s">
        <v>27539</v>
      </c>
      <c r="AP1223" s="96" t="str">
        <f>HYPERLINK("https://t.co/6fIwh1NaCE")</f>
        <v>https://t.co/6fIwh1NaCE</v>
      </c>
      <c r="AQ1223" s="96" t="str">
        <f>HYPERLINK("https://espiritualhope.com")</f>
        <v>https://espiritualhope.com</v>
      </c>
      <c r="AR1223" s="86" t="s">
        <v>28720</v>
      </c>
      <c r="AS1223" s="86"/>
      <c r="AT1223" s="86"/>
      <c r="AU1223" s="86"/>
      <c r="AV1223" s="86"/>
      <c r="AW1223" s="96" t="str">
        <f>HYPERLINK("https://t.co/6fIwh1NaCE")</f>
        <v>https://t.co/6fIwh1NaCE</v>
      </c>
      <c r="AX1223" s="86" t="b">
        <v>0</v>
      </c>
      <c r="AY1223" s="86"/>
      <c r="AZ1223" s="86"/>
      <c r="BA1223" s="86" t="b">
        <v>0</v>
      </c>
      <c r="BB1223" s="86" t="b">
        <v>1</v>
      </c>
      <c r="BC1223" s="86" t="b">
        <v>0</v>
      </c>
      <c r="BD1223" s="86" t="b">
        <v>0</v>
      </c>
      <c r="BE1223" s="86" t="b">
        <v>0</v>
      </c>
      <c r="BF1223" s="86" t="b">
        <v>0</v>
      </c>
      <c r="BG1223" s="86" t="b">
        <v>0</v>
      </c>
      <c r="BH1223" s="96" t="str">
        <f>HYPERLINK("https://pbs.twimg.com/profile_banners/351247493/1681136465")</f>
        <v>https://pbs.twimg.com/profile_banners/351247493/1681136465</v>
      </c>
      <c r="BI1223" s="86"/>
      <c r="BJ1223" s="86" t="s">
        <v>29134</v>
      </c>
      <c r="BK1223" s="86" t="b">
        <v>0</v>
      </c>
      <c r="BL1223" s="86"/>
      <c r="BM1223" s="86" t="s">
        <v>66</v>
      </c>
      <c r="BN1223" s="86" t="s">
        <v>29136</v>
      </c>
      <c r="BO1223" s="96" t="str">
        <f>HYPERLINK("https://twitter.com/caioneto2")</f>
        <v>https://twitter.com/caioneto2</v>
      </c>
      <c r="BP1223" s="2"/>
    </row>
    <row r="1224" spans="1:68" x14ac:dyDescent="0.25">
      <c r="A1224" s="63" t="s">
        <v>1259</v>
      </c>
      <c r="B1224" s="64"/>
      <c r="C1224" s="64"/>
      <c r="D1224" s="65"/>
      <c r="E1224" s="67"/>
      <c r="F1224" s="111" t="str">
        <f>HYPERLINK("https://pbs.twimg.com/profile_images/1701526354376761346/k7Rfe_cy_normal.jpg")</f>
        <v>https://pbs.twimg.com/profile_images/1701526354376761346/k7Rfe_cy_normal.jpg</v>
      </c>
      <c r="G1224" s="64"/>
      <c r="H1224" s="68"/>
      <c r="I1224" s="69"/>
      <c r="J1224" s="69"/>
      <c r="K1224" s="68" t="s">
        <v>30357</v>
      </c>
      <c r="L1224" s="72"/>
      <c r="M1224" s="73"/>
      <c r="N1224" s="73"/>
      <c r="O1224" s="74"/>
      <c r="P1224" s="75"/>
      <c r="Q1224" s="75"/>
      <c r="R1224" s="102"/>
      <c r="S1224" s="102"/>
      <c r="T1224" s="102"/>
      <c r="U1224" s="102"/>
      <c r="V1224" s="48"/>
      <c r="W1224" s="48"/>
      <c r="X1224" s="48"/>
      <c r="Y1224" s="48"/>
      <c r="Z1224" s="47"/>
      <c r="AA1224" s="70">
        <v>1224</v>
      </c>
      <c r="AB1224" s="70"/>
      <c r="AC1224" s="71"/>
      <c r="AD1224" s="86" t="s">
        <v>24824</v>
      </c>
      <c r="AE1224" s="94" t="s">
        <v>23389</v>
      </c>
      <c r="AF1224" s="86">
        <v>0</v>
      </c>
      <c r="AG1224" s="86">
        <v>3</v>
      </c>
      <c r="AH1224" s="86">
        <v>1</v>
      </c>
      <c r="AI1224" s="86">
        <v>0</v>
      </c>
      <c r="AJ1224" s="86">
        <v>0</v>
      </c>
      <c r="AK1224" s="86">
        <v>1</v>
      </c>
      <c r="AL1224" s="86" t="b">
        <v>0</v>
      </c>
      <c r="AM1224" s="89">
        <v>45054.554849537039</v>
      </c>
      <c r="AN1224" s="86" t="s">
        <v>15268</v>
      </c>
      <c r="AO1224" s="86" t="s">
        <v>27540</v>
      </c>
      <c r="AP1224" s="86"/>
      <c r="AQ1224" s="86"/>
      <c r="AR1224" s="86"/>
      <c r="AS1224" s="86"/>
      <c r="AT1224" s="86"/>
      <c r="AU1224" s="86"/>
      <c r="AV1224" s="86"/>
      <c r="AW1224" s="86"/>
      <c r="AX1224" s="86" t="b">
        <v>0</v>
      </c>
      <c r="AY1224" s="86"/>
      <c r="AZ1224" s="86"/>
      <c r="BA1224" s="86" t="b">
        <v>0</v>
      </c>
      <c r="BB1224" s="86" t="b">
        <v>1</v>
      </c>
      <c r="BC1224" s="86" t="b">
        <v>1</v>
      </c>
      <c r="BD1224" s="86" t="b">
        <v>0</v>
      </c>
      <c r="BE1224" s="86" t="b">
        <v>0</v>
      </c>
      <c r="BF1224" s="86" t="b">
        <v>0</v>
      </c>
      <c r="BG1224" s="86" t="b">
        <v>0</v>
      </c>
      <c r="BH1224" s="86"/>
      <c r="BI1224" s="86"/>
      <c r="BJ1224" s="86" t="s">
        <v>29134</v>
      </c>
      <c r="BK1224" s="86" t="b">
        <v>0</v>
      </c>
      <c r="BL1224" s="86"/>
      <c r="BM1224" s="86" t="s">
        <v>66</v>
      </c>
      <c r="BN1224" s="86" t="s">
        <v>29136</v>
      </c>
      <c r="BO1224" s="96" t="str">
        <f>HYPERLINK("https://twitter.com/pacosantos56370")</f>
        <v>https://twitter.com/pacosantos56370</v>
      </c>
      <c r="BP1224" s="2"/>
    </row>
    <row r="1225" spans="1:68" x14ac:dyDescent="0.25">
      <c r="A1225" s="63" t="s">
        <v>1260</v>
      </c>
      <c r="B1225" s="64"/>
      <c r="C1225" s="64"/>
      <c r="D1225" s="65"/>
      <c r="E1225" s="67"/>
      <c r="F1225" s="111" t="str">
        <f>HYPERLINK("https://pbs.twimg.com/profile_images/1562845616853712896/lIak7Q___normal.jpg")</f>
        <v>https://pbs.twimg.com/profile_images/1562845616853712896/lIak7Q___normal.jpg</v>
      </c>
      <c r="G1225" s="64"/>
      <c r="H1225" s="68"/>
      <c r="I1225" s="69"/>
      <c r="J1225" s="69"/>
      <c r="K1225" s="68" t="s">
        <v>30358</v>
      </c>
      <c r="L1225" s="72"/>
      <c r="M1225" s="73"/>
      <c r="N1225" s="73"/>
      <c r="O1225" s="74"/>
      <c r="P1225" s="75"/>
      <c r="Q1225" s="75"/>
      <c r="R1225" s="102"/>
      <c r="S1225" s="102"/>
      <c r="T1225" s="102"/>
      <c r="U1225" s="102"/>
      <c r="V1225" s="48"/>
      <c r="W1225" s="48"/>
      <c r="X1225" s="48"/>
      <c r="Y1225" s="48"/>
      <c r="Z1225" s="47"/>
      <c r="AA1225" s="70">
        <v>1225</v>
      </c>
      <c r="AB1225" s="70"/>
      <c r="AC1225" s="71"/>
      <c r="AD1225" s="86" t="s">
        <v>24825</v>
      </c>
      <c r="AE1225" s="94" t="s">
        <v>23390</v>
      </c>
      <c r="AF1225" s="86">
        <v>2</v>
      </c>
      <c r="AG1225" s="86">
        <v>31</v>
      </c>
      <c r="AH1225" s="86">
        <v>201</v>
      </c>
      <c r="AI1225" s="86">
        <v>0</v>
      </c>
      <c r="AJ1225" s="86">
        <v>1</v>
      </c>
      <c r="AK1225" s="86">
        <v>165</v>
      </c>
      <c r="AL1225" s="86" t="b">
        <v>0</v>
      </c>
      <c r="AM1225" s="89">
        <v>43949.006180555552</v>
      </c>
      <c r="AN1225" s="86" t="s">
        <v>26049</v>
      </c>
      <c r="AO1225" s="86" t="s">
        <v>27541</v>
      </c>
      <c r="AP1225" s="86"/>
      <c r="AQ1225" s="86"/>
      <c r="AR1225" s="86"/>
      <c r="AS1225" s="86"/>
      <c r="AT1225" s="86"/>
      <c r="AU1225" s="86"/>
      <c r="AV1225" s="86"/>
      <c r="AW1225" s="86"/>
      <c r="AX1225" s="86" t="b">
        <v>0</v>
      </c>
      <c r="AY1225" s="86"/>
      <c r="AZ1225" s="86"/>
      <c r="BA1225" s="86" t="b">
        <v>0</v>
      </c>
      <c r="BB1225" s="86" t="b">
        <v>1</v>
      </c>
      <c r="BC1225" s="86" t="b">
        <v>1</v>
      </c>
      <c r="BD1225" s="86" t="b">
        <v>0</v>
      </c>
      <c r="BE1225" s="86" t="b">
        <v>0</v>
      </c>
      <c r="BF1225" s="86" t="b">
        <v>0</v>
      </c>
      <c r="BG1225" s="86" t="b">
        <v>0</v>
      </c>
      <c r="BH1225" s="96" t="str">
        <f>HYPERLINK("https://pbs.twimg.com/profile_banners/1254925465216847873/1656080618")</f>
        <v>https://pbs.twimg.com/profile_banners/1254925465216847873/1656080618</v>
      </c>
      <c r="BI1225" s="86"/>
      <c r="BJ1225" s="86" t="s">
        <v>29134</v>
      </c>
      <c r="BK1225" s="86" t="b">
        <v>0</v>
      </c>
      <c r="BL1225" s="86"/>
      <c r="BM1225" s="86" t="s">
        <v>66</v>
      </c>
      <c r="BN1225" s="86" t="s">
        <v>29136</v>
      </c>
      <c r="BO1225" s="96" t="str">
        <f>HYPERLINK("https://twitter.com/tatifeuanalista")</f>
        <v>https://twitter.com/tatifeuanalista</v>
      </c>
      <c r="BP1225" s="2"/>
    </row>
    <row r="1226" spans="1:68" x14ac:dyDescent="0.25">
      <c r="A1226" s="63" t="s">
        <v>1261</v>
      </c>
      <c r="B1226" s="64"/>
      <c r="C1226" s="64"/>
      <c r="D1226" s="65"/>
      <c r="E1226" s="67"/>
      <c r="F1226" s="111" t="str">
        <f>HYPERLINK("https://pbs.twimg.com/profile_images/1588226692539195393/TQAZx841_normal.jpg")</f>
        <v>https://pbs.twimg.com/profile_images/1588226692539195393/TQAZx841_normal.jpg</v>
      </c>
      <c r="G1226" s="64"/>
      <c r="H1226" s="68"/>
      <c r="I1226" s="69"/>
      <c r="J1226" s="69"/>
      <c r="K1226" s="68" t="s">
        <v>30359</v>
      </c>
      <c r="L1226" s="72"/>
      <c r="M1226" s="73"/>
      <c r="N1226" s="73"/>
      <c r="O1226" s="74"/>
      <c r="P1226" s="75"/>
      <c r="Q1226" s="75"/>
      <c r="R1226" s="102"/>
      <c r="S1226" s="102"/>
      <c r="T1226" s="102"/>
      <c r="U1226" s="102"/>
      <c r="V1226" s="48"/>
      <c r="W1226" s="48"/>
      <c r="X1226" s="48"/>
      <c r="Y1226" s="48"/>
      <c r="Z1226" s="47"/>
      <c r="AA1226" s="70">
        <v>1226</v>
      </c>
      <c r="AB1226" s="70"/>
      <c r="AC1226" s="71"/>
      <c r="AD1226" s="86" t="s">
        <v>24826</v>
      </c>
      <c r="AE1226" s="94" t="s">
        <v>23391</v>
      </c>
      <c r="AF1226" s="86">
        <v>2</v>
      </c>
      <c r="AG1226" s="86">
        <v>25</v>
      </c>
      <c r="AH1226" s="86">
        <v>45</v>
      </c>
      <c r="AI1226" s="86">
        <v>0</v>
      </c>
      <c r="AJ1226" s="86">
        <v>38</v>
      </c>
      <c r="AK1226" s="86">
        <v>0</v>
      </c>
      <c r="AL1226" s="86" t="b">
        <v>0</v>
      </c>
      <c r="AM1226" s="89">
        <v>44868.7421875</v>
      </c>
      <c r="AN1226" s="86"/>
      <c r="AO1226" s="86"/>
      <c r="AP1226" s="86"/>
      <c r="AQ1226" s="86"/>
      <c r="AR1226" s="86"/>
      <c r="AS1226" s="86"/>
      <c r="AT1226" s="86"/>
      <c r="AU1226" s="86"/>
      <c r="AV1226" s="86"/>
      <c r="AW1226" s="86"/>
      <c r="AX1226" s="86" t="b">
        <v>0</v>
      </c>
      <c r="AY1226" s="86"/>
      <c r="AZ1226" s="86"/>
      <c r="BA1226" s="86" t="b">
        <v>0</v>
      </c>
      <c r="BB1226" s="86" t="b">
        <v>1</v>
      </c>
      <c r="BC1226" s="86" t="b">
        <v>1</v>
      </c>
      <c r="BD1226" s="86" t="b">
        <v>0</v>
      </c>
      <c r="BE1226" s="86" t="b">
        <v>0</v>
      </c>
      <c r="BF1226" s="86" t="b">
        <v>0</v>
      </c>
      <c r="BG1226" s="86" t="b">
        <v>0</v>
      </c>
      <c r="BH1226" s="86"/>
      <c r="BI1226" s="86"/>
      <c r="BJ1226" s="86" t="s">
        <v>29134</v>
      </c>
      <c r="BK1226" s="86" t="b">
        <v>0</v>
      </c>
      <c r="BL1226" s="86"/>
      <c r="BM1226" s="86" t="s">
        <v>66</v>
      </c>
      <c r="BN1226" s="86" t="s">
        <v>29136</v>
      </c>
      <c r="BO1226" s="96" t="str">
        <f>HYPERLINK("https://twitter.com/aninhaperfil8")</f>
        <v>https://twitter.com/aninhaperfil8</v>
      </c>
      <c r="BP1226" s="2"/>
    </row>
    <row r="1227" spans="1:68" x14ac:dyDescent="0.25">
      <c r="A1227" s="63" t="s">
        <v>1262</v>
      </c>
      <c r="B1227" s="64"/>
      <c r="C1227" s="64"/>
      <c r="D1227" s="65"/>
      <c r="E1227" s="67"/>
      <c r="F1227" s="111" t="str">
        <f>HYPERLINK("https://pbs.twimg.com/profile_images/1687559559068483584/QTmybI6A_normal.jpg")</f>
        <v>https://pbs.twimg.com/profile_images/1687559559068483584/QTmybI6A_normal.jpg</v>
      </c>
      <c r="G1227" s="64"/>
      <c r="H1227" s="68"/>
      <c r="I1227" s="69"/>
      <c r="J1227" s="69"/>
      <c r="K1227" s="68" t="s">
        <v>30360</v>
      </c>
      <c r="L1227" s="72"/>
      <c r="M1227" s="73"/>
      <c r="N1227" s="73"/>
      <c r="O1227" s="74"/>
      <c r="P1227" s="75"/>
      <c r="Q1227" s="75"/>
      <c r="R1227" s="102"/>
      <c r="S1227" s="102"/>
      <c r="T1227" s="102"/>
      <c r="U1227" s="102"/>
      <c r="V1227" s="48"/>
      <c r="W1227" s="48"/>
      <c r="X1227" s="48"/>
      <c r="Y1227" s="48"/>
      <c r="Z1227" s="47"/>
      <c r="AA1227" s="70">
        <v>1227</v>
      </c>
      <c r="AB1227" s="70"/>
      <c r="AC1227" s="71"/>
      <c r="AD1227" s="86" t="s">
        <v>24827</v>
      </c>
      <c r="AE1227" s="94" t="s">
        <v>22629</v>
      </c>
      <c r="AF1227" s="86">
        <v>9</v>
      </c>
      <c r="AG1227" s="86">
        <v>29</v>
      </c>
      <c r="AH1227" s="86">
        <v>67</v>
      </c>
      <c r="AI1227" s="86">
        <v>0</v>
      </c>
      <c r="AJ1227" s="86">
        <v>36</v>
      </c>
      <c r="AK1227" s="86">
        <v>24</v>
      </c>
      <c r="AL1227" s="86" t="b">
        <v>0</v>
      </c>
      <c r="AM1227" s="89">
        <v>44528.609016203707</v>
      </c>
      <c r="AN1227" s="86"/>
      <c r="AO1227" s="86" t="s">
        <v>27542</v>
      </c>
      <c r="AP1227" s="86"/>
      <c r="AQ1227" s="86"/>
      <c r="AR1227" s="86"/>
      <c r="AS1227" s="86"/>
      <c r="AT1227" s="86"/>
      <c r="AU1227" s="86"/>
      <c r="AV1227" s="86"/>
      <c r="AW1227" s="86"/>
      <c r="AX1227" s="86" t="b">
        <v>0</v>
      </c>
      <c r="AY1227" s="86"/>
      <c r="AZ1227" s="86"/>
      <c r="BA1227" s="86" t="b">
        <v>0</v>
      </c>
      <c r="BB1227" s="86" t="b">
        <v>1</v>
      </c>
      <c r="BC1227" s="86" t="b">
        <v>1</v>
      </c>
      <c r="BD1227" s="86" t="b">
        <v>0</v>
      </c>
      <c r="BE1227" s="86" t="b">
        <v>0</v>
      </c>
      <c r="BF1227" s="86" t="b">
        <v>0</v>
      </c>
      <c r="BG1227" s="86" t="b">
        <v>0</v>
      </c>
      <c r="BH1227" s="96" t="str">
        <f>HYPERLINK("https://pbs.twimg.com/profile_banners/1464966517993447432/1691180933")</f>
        <v>https://pbs.twimg.com/profile_banners/1464966517993447432/1691180933</v>
      </c>
      <c r="BI1227" s="86"/>
      <c r="BJ1227" s="86" t="s">
        <v>29134</v>
      </c>
      <c r="BK1227" s="86" t="b">
        <v>0</v>
      </c>
      <c r="BL1227" s="86"/>
      <c r="BM1227" s="86" t="s">
        <v>66</v>
      </c>
      <c r="BN1227" s="86" t="s">
        <v>29136</v>
      </c>
      <c r="BO1227" s="96" t="str">
        <f>HYPERLINK("https://twitter.com/hachicasamais")</f>
        <v>https://twitter.com/hachicasamais</v>
      </c>
      <c r="BP1227" s="2"/>
    </row>
    <row r="1228" spans="1:68" x14ac:dyDescent="0.25">
      <c r="A1228" s="63" t="s">
        <v>1263</v>
      </c>
      <c r="B1228" s="64"/>
      <c r="C1228" s="64"/>
      <c r="D1228" s="65"/>
      <c r="E1228" s="67"/>
      <c r="F1228" s="111" t="str">
        <f>HYPERLINK("https://pbs.twimg.com/profile_images/1666159862496088064/KMv0GSy3_normal.jpg")</f>
        <v>https://pbs.twimg.com/profile_images/1666159862496088064/KMv0GSy3_normal.jpg</v>
      </c>
      <c r="G1228" s="64"/>
      <c r="H1228" s="68"/>
      <c r="I1228" s="69"/>
      <c r="J1228" s="69"/>
      <c r="K1228" s="68" t="s">
        <v>30361</v>
      </c>
      <c r="L1228" s="72"/>
      <c r="M1228" s="73"/>
      <c r="N1228" s="73"/>
      <c r="O1228" s="74"/>
      <c r="P1228" s="75"/>
      <c r="Q1228" s="75"/>
      <c r="R1228" s="102"/>
      <c r="S1228" s="102"/>
      <c r="T1228" s="102"/>
      <c r="U1228" s="102"/>
      <c r="V1228" s="48"/>
      <c r="W1228" s="48"/>
      <c r="X1228" s="48"/>
      <c r="Y1228" s="48"/>
      <c r="Z1228" s="47"/>
      <c r="AA1228" s="70">
        <v>1228</v>
      </c>
      <c r="AB1228" s="70"/>
      <c r="AC1228" s="71"/>
      <c r="AD1228" s="86" t="s">
        <v>24828</v>
      </c>
      <c r="AE1228" s="94" t="s">
        <v>23392</v>
      </c>
      <c r="AF1228" s="86">
        <v>2</v>
      </c>
      <c r="AG1228" s="86">
        <v>15</v>
      </c>
      <c r="AH1228" s="86">
        <v>50</v>
      </c>
      <c r="AI1228" s="86">
        <v>1</v>
      </c>
      <c r="AJ1228" s="86">
        <v>0</v>
      </c>
      <c r="AK1228" s="86">
        <v>47</v>
      </c>
      <c r="AL1228" s="86" t="b">
        <v>0</v>
      </c>
      <c r="AM1228" s="89">
        <v>45083.796631944446</v>
      </c>
      <c r="AN1228" s="86"/>
      <c r="AO1228" s="86"/>
      <c r="AP1228" s="86"/>
      <c r="AQ1228" s="86"/>
      <c r="AR1228" s="86"/>
      <c r="AS1228" s="86"/>
      <c r="AT1228" s="86"/>
      <c r="AU1228" s="86"/>
      <c r="AV1228" s="86"/>
      <c r="AW1228" s="86"/>
      <c r="AX1228" s="86" t="b">
        <v>0</v>
      </c>
      <c r="AY1228" s="86"/>
      <c r="AZ1228" s="86"/>
      <c r="BA1228" s="86" t="b">
        <v>0</v>
      </c>
      <c r="BB1228" s="86" t="b">
        <v>1</v>
      </c>
      <c r="BC1228" s="86" t="b">
        <v>1</v>
      </c>
      <c r="BD1228" s="86" t="b">
        <v>0</v>
      </c>
      <c r="BE1228" s="86" t="b">
        <v>0</v>
      </c>
      <c r="BF1228" s="86" t="b">
        <v>0</v>
      </c>
      <c r="BG1228" s="86" t="b">
        <v>0</v>
      </c>
      <c r="BH1228" s="86"/>
      <c r="BI1228" s="86"/>
      <c r="BJ1228" s="86" t="s">
        <v>29134</v>
      </c>
      <c r="BK1228" s="86" t="b">
        <v>0</v>
      </c>
      <c r="BL1228" s="86"/>
      <c r="BM1228" s="86" t="s">
        <v>66</v>
      </c>
      <c r="BN1228" s="86" t="s">
        <v>29136</v>
      </c>
      <c r="BO1228" s="96" t="str">
        <f>HYPERLINK("https://twitter.com/sulminastv")</f>
        <v>https://twitter.com/sulminastv</v>
      </c>
      <c r="BP1228" s="2"/>
    </row>
    <row r="1229" spans="1:68" x14ac:dyDescent="0.25">
      <c r="A1229" s="63" t="s">
        <v>1791</v>
      </c>
      <c r="B1229" s="64"/>
      <c r="C1229" s="64"/>
      <c r="D1229" s="65"/>
      <c r="E1229" s="67"/>
      <c r="F1229" s="111" t="str">
        <f>HYPERLINK("https://pbs.twimg.com/profile_images/77013264/Ich_normal.JPG")</f>
        <v>https://pbs.twimg.com/profile_images/77013264/Ich_normal.JPG</v>
      </c>
      <c r="G1229" s="64"/>
      <c r="H1229" s="68"/>
      <c r="I1229" s="69"/>
      <c r="J1229" s="69"/>
      <c r="K1229" s="68" t="s">
        <v>30362</v>
      </c>
      <c r="L1229" s="72"/>
      <c r="M1229" s="73"/>
      <c r="N1229" s="73"/>
      <c r="O1229" s="74"/>
      <c r="P1229" s="75"/>
      <c r="Q1229" s="75"/>
      <c r="R1229" s="102"/>
      <c r="S1229" s="102"/>
      <c r="T1229" s="102"/>
      <c r="U1229" s="102"/>
      <c r="V1229" s="48"/>
      <c r="W1229" s="48"/>
      <c r="X1229" s="48"/>
      <c r="Y1229" s="48"/>
      <c r="Z1229" s="47"/>
      <c r="AA1229" s="70">
        <v>1229</v>
      </c>
      <c r="AB1229" s="70"/>
      <c r="AC1229" s="71"/>
      <c r="AD1229" s="86" t="s">
        <v>24829</v>
      </c>
      <c r="AE1229" s="94" t="s">
        <v>25719</v>
      </c>
      <c r="AF1229" s="86">
        <v>7</v>
      </c>
      <c r="AG1229" s="86">
        <v>0</v>
      </c>
      <c r="AH1229" s="86">
        <v>6</v>
      </c>
      <c r="AI1229" s="86">
        <v>0</v>
      </c>
      <c r="AJ1229" s="86">
        <v>0</v>
      </c>
      <c r="AK1229" s="86">
        <v>0</v>
      </c>
      <c r="AL1229" s="86" t="b">
        <v>0</v>
      </c>
      <c r="AM1229" s="89">
        <v>39854.591111111113</v>
      </c>
      <c r="AN1229" s="86" t="s">
        <v>26305</v>
      </c>
      <c r="AO1229" s="86" t="s">
        <v>27543</v>
      </c>
      <c r="AP1229" s="86"/>
      <c r="AQ1229" s="86"/>
      <c r="AR1229" s="86"/>
      <c r="AS1229" s="86"/>
      <c r="AT1229" s="86"/>
      <c r="AU1229" s="86"/>
      <c r="AV1229" s="86"/>
      <c r="AW1229" s="86"/>
      <c r="AX1229" s="86" t="b">
        <v>0</v>
      </c>
      <c r="AY1229" s="86"/>
      <c r="AZ1229" s="86"/>
      <c r="BA1229" s="86" t="b">
        <v>0</v>
      </c>
      <c r="BB1229" s="86" t="b">
        <v>1</v>
      </c>
      <c r="BC1229" s="86" t="b">
        <v>1</v>
      </c>
      <c r="BD1229" s="86" t="b">
        <v>0</v>
      </c>
      <c r="BE1229" s="86" t="b">
        <v>0</v>
      </c>
      <c r="BF1229" s="86" t="b">
        <v>0</v>
      </c>
      <c r="BG1229" s="86" t="b">
        <v>0</v>
      </c>
      <c r="BH1229" s="86"/>
      <c r="BI1229" s="86"/>
      <c r="BJ1229" s="86" t="s">
        <v>29134</v>
      </c>
      <c r="BK1229" s="86" t="b">
        <v>0</v>
      </c>
      <c r="BL1229" s="86"/>
      <c r="BM1229" s="86" t="s">
        <v>65</v>
      </c>
      <c r="BN1229" s="86" t="s">
        <v>29136</v>
      </c>
      <c r="BO1229" s="96" t="str">
        <f>HYPERLINK("https://twitter.com/nubbi")</f>
        <v>https://twitter.com/nubbi</v>
      </c>
      <c r="BP1229" s="2"/>
    </row>
    <row r="1230" spans="1:68" x14ac:dyDescent="0.25">
      <c r="A1230" s="63" t="s">
        <v>1792</v>
      </c>
      <c r="B1230" s="64"/>
      <c r="C1230" s="64"/>
      <c r="D1230" s="65"/>
      <c r="E1230" s="67"/>
      <c r="F1230" s="111" t="str">
        <f>HYPERLINK("https://pbs.twimg.com/profile_images/151116614/IMG_1615_normal.JPG")</f>
        <v>https://pbs.twimg.com/profile_images/151116614/IMG_1615_normal.JPG</v>
      </c>
      <c r="G1230" s="64"/>
      <c r="H1230" s="68"/>
      <c r="I1230" s="69"/>
      <c r="J1230" s="69"/>
      <c r="K1230" s="68" t="s">
        <v>30363</v>
      </c>
      <c r="L1230" s="72"/>
      <c r="M1230" s="73"/>
      <c r="N1230" s="73"/>
      <c r="O1230" s="74"/>
      <c r="P1230" s="75"/>
      <c r="Q1230" s="75"/>
      <c r="R1230" s="102"/>
      <c r="S1230" s="102"/>
      <c r="T1230" s="102"/>
      <c r="U1230" s="102"/>
      <c r="V1230" s="48"/>
      <c r="W1230" s="48"/>
      <c r="X1230" s="48"/>
      <c r="Y1230" s="48"/>
      <c r="Z1230" s="47"/>
      <c r="AA1230" s="70">
        <v>1230</v>
      </c>
      <c r="AB1230" s="70"/>
      <c r="AC1230" s="71"/>
      <c r="AD1230" s="86" t="s">
        <v>24830</v>
      </c>
      <c r="AE1230" s="94" t="s">
        <v>25720</v>
      </c>
      <c r="AF1230" s="86">
        <v>26</v>
      </c>
      <c r="AG1230" s="86">
        <v>135</v>
      </c>
      <c r="AH1230" s="86">
        <v>131</v>
      </c>
      <c r="AI1230" s="86">
        <v>0</v>
      </c>
      <c r="AJ1230" s="86">
        <v>2713</v>
      </c>
      <c r="AK1230" s="86">
        <v>2</v>
      </c>
      <c r="AL1230" s="86" t="b">
        <v>0</v>
      </c>
      <c r="AM1230" s="89">
        <v>39924.839756944442</v>
      </c>
      <c r="AN1230" s="86" t="s">
        <v>26094</v>
      </c>
      <c r="AO1230" s="86" t="s">
        <v>27544</v>
      </c>
      <c r="AP1230" s="86"/>
      <c r="AQ1230" s="86"/>
      <c r="AR1230" s="86"/>
      <c r="AS1230" s="86"/>
      <c r="AT1230" s="86"/>
      <c r="AU1230" s="86"/>
      <c r="AV1230" s="86"/>
      <c r="AW1230" s="86"/>
      <c r="AX1230" s="86" t="b">
        <v>0</v>
      </c>
      <c r="AY1230" s="86"/>
      <c r="AZ1230" s="86"/>
      <c r="BA1230" s="86" t="b">
        <v>0</v>
      </c>
      <c r="BB1230" s="86" t="b">
        <v>1</v>
      </c>
      <c r="BC1230" s="86" t="b">
        <v>1</v>
      </c>
      <c r="BD1230" s="86" t="b">
        <v>0</v>
      </c>
      <c r="BE1230" s="86" t="b">
        <v>1</v>
      </c>
      <c r="BF1230" s="86" t="b">
        <v>0</v>
      </c>
      <c r="BG1230" s="86" t="b">
        <v>0</v>
      </c>
      <c r="BH1230" s="86"/>
      <c r="BI1230" s="86"/>
      <c r="BJ1230" s="86" t="s">
        <v>29134</v>
      </c>
      <c r="BK1230" s="86" t="b">
        <v>0</v>
      </c>
      <c r="BL1230" s="86"/>
      <c r="BM1230" s="86" t="s">
        <v>65</v>
      </c>
      <c r="BN1230" s="86" t="s">
        <v>29136</v>
      </c>
      <c r="BO1230" s="96" t="str">
        <f>HYPERLINK("https://twitter.com/mvlemos")</f>
        <v>https://twitter.com/mvlemos</v>
      </c>
      <c r="BP1230" s="2"/>
    </row>
    <row r="1231" spans="1:68" x14ac:dyDescent="0.25">
      <c r="A1231" s="63" t="s">
        <v>1264</v>
      </c>
      <c r="B1231" s="64"/>
      <c r="C1231" s="64"/>
      <c r="D1231" s="65"/>
      <c r="E1231" s="67"/>
      <c r="F1231" s="111" t="str">
        <f>HYPERLINK("https://pbs.twimg.com/profile_images/1582211818163945472/ipiu1H4C_normal.jpg")</f>
        <v>https://pbs.twimg.com/profile_images/1582211818163945472/ipiu1H4C_normal.jpg</v>
      </c>
      <c r="G1231" s="64"/>
      <c r="H1231" s="68"/>
      <c r="I1231" s="69"/>
      <c r="J1231" s="69"/>
      <c r="K1231" s="68" t="s">
        <v>30364</v>
      </c>
      <c r="L1231" s="72"/>
      <c r="M1231" s="73"/>
      <c r="N1231" s="73"/>
      <c r="O1231" s="74"/>
      <c r="P1231" s="75"/>
      <c r="Q1231" s="75"/>
      <c r="R1231" s="102"/>
      <c r="S1231" s="102"/>
      <c r="T1231" s="102"/>
      <c r="U1231" s="102"/>
      <c r="V1231" s="48"/>
      <c r="W1231" s="48"/>
      <c r="X1231" s="48"/>
      <c r="Y1231" s="48"/>
      <c r="Z1231" s="47"/>
      <c r="AA1231" s="70">
        <v>1231</v>
      </c>
      <c r="AB1231" s="70"/>
      <c r="AC1231" s="71"/>
      <c r="AD1231" s="86" t="s">
        <v>24831</v>
      </c>
      <c r="AE1231" s="94" t="s">
        <v>23393</v>
      </c>
      <c r="AF1231" s="86">
        <v>20</v>
      </c>
      <c r="AG1231" s="86">
        <v>331</v>
      </c>
      <c r="AH1231" s="86">
        <v>52</v>
      </c>
      <c r="AI1231" s="86">
        <v>0</v>
      </c>
      <c r="AJ1231" s="86">
        <v>78</v>
      </c>
      <c r="AK1231" s="86">
        <v>46</v>
      </c>
      <c r="AL1231" s="86" t="b">
        <v>0</v>
      </c>
      <c r="AM1231" s="89">
        <v>44851.687731481485</v>
      </c>
      <c r="AN1231" s="86" t="s">
        <v>26306</v>
      </c>
      <c r="AO1231" s="86" t="s">
        <v>27545</v>
      </c>
      <c r="AP1231" s="86"/>
      <c r="AQ1231" s="86"/>
      <c r="AR1231" s="86"/>
      <c r="AS1231" s="86"/>
      <c r="AT1231" s="86"/>
      <c r="AU1231" s="86"/>
      <c r="AV1231" s="86"/>
      <c r="AW1231" s="86"/>
      <c r="AX1231" s="86" t="b">
        <v>0</v>
      </c>
      <c r="AY1231" s="86"/>
      <c r="AZ1231" s="86"/>
      <c r="BA1231" s="86" t="b">
        <v>0</v>
      </c>
      <c r="BB1231" s="86" t="b">
        <v>1</v>
      </c>
      <c r="BC1231" s="86" t="b">
        <v>1</v>
      </c>
      <c r="BD1231" s="86" t="b">
        <v>0</v>
      </c>
      <c r="BE1231" s="86" t="b">
        <v>0</v>
      </c>
      <c r="BF1231" s="86" t="b">
        <v>0</v>
      </c>
      <c r="BG1231" s="86" t="b">
        <v>0</v>
      </c>
      <c r="BH1231" s="96" t="str">
        <f>HYPERLINK("https://pbs.twimg.com/profile_banners/1582046286773211136/1666063679")</f>
        <v>https://pbs.twimg.com/profile_banners/1582046286773211136/1666063679</v>
      </c>
      <c r="BI1231" s="86"/>
      <c r="BJ1231" s="86" t="s">
        <v>29134</v>
      </c>
      <c r="BK1231" s="86" t="b">
        <v>0</v>
      </c>
      <c r="BL1231" s="86"/>
      <c r="BM1231" s="86" t="s">
        <v>66</v>
      </c>
      <c r="BN1231" s="86" t="s">
        <v>29136</v>
      </c>
      <c r="BO1231" s="96" t="str">
        <f>HYPERLINK("https://twitter.com/upsilontoledo")</f>
        <v>https://twitter.com/upsilontoledo</v>
      </c>
      <c r="BP1231" s="2"/>
    </row>
    <row r="1232" spans="1:68" x14ac:dyDescent="0.25">
      <c r="A1232" s="63" t="s">
        <v>1265</v>
      </c>
      <c r="B1232" s="64"/>
      <c r="C1232" s="64"/>
      <c r="D1232" s="65"/>
      <c r="E1232" s="67"/>
      <c r="F1232" s="111" t="str">
        <f>HYPERLINK("https://pbs.twimg.com/profile_images/1700617948799315968/HuepgPJ2_normal.jpg")</f>
        <v>https://pbs.twimg.com/profile_images/1700617948799315968/HuepgPJ2_normal.jpg</v>
      </c>
      <c r="G1232" s="64"/>
      <c r="H1232" s="68"/>
      <c r="I1232" s="69"/>
      <c r="J1232" s="69"/>
      <c r="K1232" s="68" t="s">
        <v>30365</v>
      </c>
      <c r="L1232" s="72"/>
      <c r="M1232" s="73"/>
      <c r="N1232" s="73"/>
      <c r="O1232" s="74"/>
      <c r="P1232" s="75"/>
      <c r="Q1232" s="75"/>
      <c r="R1232" s="102"/>
      <c r="S1232" s="102"/>
      <c r="T1232" s="102"/>
      <c r="U1232" s="102"/>
      <c r="V1232" s="48"/>
      <c r="W1232" s="48"/>
      <c r="X1232" s="48"/>
      <c r="Y1232" s="48"/>
      <c r="Z1232" s="47"/>
      <c r="AA1232" s="70">
        <v>1232</v>
      </c>
      <c r="AB1232" s="70"/>
      <c r="AC1232" s="71"/>
      <c r="AD1232" s="86" t="s">
        <v>24832</v>
      </c>
      <c r="AE1232" s="94" t="s">
        <v>23394</v>
      </c>
      <c r="AF1232" s="86">
        <v>1</v>
      </c>
      <c r="AG1232" s="86">
        <v>5</v>
      </c>
      <c r="AH1232" s="86">
        <v>6</v>
      </c>
      <c r="AI1232" s="86">
        <v>0</v>
      </c>
      <c r="AJ1232" s="86">
        <v>1</v>
      </c>
      <c r="AK1232" s="86">
        <v>0</v>
      </c>
      <c r="AL1232" s="86" t="b">
        <v>0</v>
      </c>
      <c r="AM1232" s="89">
        <v>44810.536921296298</v>
      </c>
      <c r="AN1232" s="86"/>
      <c r="AO1232" s="86" t="s">
        <v>27546</v>
      </c>
      <c r="AP1232" s="96" t="str">
        <f>HYPERLINK("https://t.co/KkSZ64eSSd")</f>
        <v>https://t.co/KkSZ64eSSd</v>
      </c>
      <c r="AQ1232" s="96" t="str">
        <f>HYPERLINK("http://www.scalodigital.com.br")</f>
        <v>http://www.scalodigital.com.br</v>
      </c>
      <c r="AR1232" s="86" t="s">
        <v>28721</v>
      </c>
      <c r="AS1232" s="86"/>
      <c r="AT1232" s="86"/>
      <c r="AU1232" s="86"/>
      <c r="AV1232" s="86"/>
      <c r="AW1232" s="96" t="str">
        <f>HYPERLINK("https://t.co/KkSZ64eSSd")</f>
        <v>https://t.co/KkSZ64eSSd</v>
      </c>
      <c r="AX1232" s="86" t="b">
        <v>0</v>
      </c>
      <c r="AY1232" s="86"/>
      <c r="AZ1232" s="86"/>
      <c r="BA1232" s="86" t="b">
        <v>0</v>
      </c>
      <c r="BB1232" s="86" t="b">
        <v>1</v>
      </c>
      <c r="BC1232" s="86" t="b">
        <v>1</v>
      </c>
      <c r="BD1232" s="86" t="b">
        <v>0</v>
      </c>
      <c r="BE1232" s="86" t="b">
        <v>0</v>
      </c>
      <c r="BF1232" s="86" t="b">
        <v>0</v>
      </c>
      <c r="BG1232" s="86" t="b">
        <v>0</v>
      </c>
      <c r="BH1232" s="96" t="str">
        <f>HYPERLINK("https://pbs.twimg.com/profile_banners/1567133780795596801/1694295175")</f>
        <v>https://pbs.twimg.com/profile_banners/1567133780795596801/1694295175</v>
      </c>
      <c r="BI1232" s="86"/>
      <c r="BJ1232" s="86" t="s">
        <v>29134</v>
      </c>
      <c r="BK1232" s="86" t="b">
        <v>0</v>
      </c>
      <c r="BL1232" s="86"/>
      <c r="BM1232" s="86" t="s">
        <v>66</v>
      </c>
      <c r="BN1232" s="86" t="s">
        <v>29136</v>
      </c>
      <c r="BO1232" s="96" t="str">
        <f>HYPERLINK("https://twitter.com/scalodigital")</f>
        <v>https://twitter.com/scalodigital</v>
      </c>
      <c r="BP1232" s="2"/>
    </row>
    <row r="1233" spans="1:68" x14ac:dyDescent="0.25">
      <c r="A1233" s="63" t="s">
        <v>1266</v>
      </c>
      <c r="B1233" s="64"/>
      <c r="C1233" s="64"/>
      <c r="D1233" s="65"/>
      <c r="E1233" s="67"/>
      <c r="F1233" s="111" t="str">
        <f>HYPERLINK("https://pbs.twimg.com/profile_images/1439950778106585088/GMqct4z7_normal.jpg")</f>
        <v>https://pbs.twimg.com/profile_images/1439950778106585088/GMqct4z7_normal.jpg</v>
      </c>
      <c r="G1233" s="64"/>
      <c r="H1233" s="68"/>
      <c r="I1233" s="69"/>
      <c r="J1233" s="69"/>
      <c r="K1233" s="68" t="s">
        <v>30366</v>
      </c>
      <c r="L1233" s="72"/>
      <c r="M1233" s="73"/>
      <c r="N1233" s="73"/>
      <c r="O1233" s="74"/>
      <c r="P1233" s="75"/>
      <c r="Q1233" s="75"/>
      <c r="R1233" s="102"/>
      <c r="S1233" s="102"/>
      <c r="T1233" s="102"/>
      <c r="U1233" s="102"/>
      <c r="V1233" s="48"/>
      <c r="W1233" s="48"/>
      <c r="X1233" s="48"/>
      <c r="Y1233" s="48"/>
      <c r="Z1233" s="47"/>
      <c r="AA1233" s="70">
        <v>1233</v>
      </c>
      <c r="AB1233" s="70"/>
      <c r="AC1233" s="71"/>
      <c r="AD1233" s="86" t="s">
        <v>24833</v>
      </c>
      <c r="AE1233" s="94" t="s">
        <v>23395</v>
      </c>
      <c r="AF1233" s="86">
        <v>217</v>
      </c>
      <c r="AG1233" s="86">
        <v>226</v>
      </c>
      <c r="AH1233" s="86">
        <v>1732</v>
      </c>
      <c r="AI1233" s="86">
        <v>3</v>
      </c>
      <c r="AJ1233" s="86">
        <v>1714</v>
      </c>
      <c r="AK1233" s="86">
        <v>1227</v>
      </c>
      <c r="AL1233" s="86" t="b">
        <v>0</v>
      </c>
      <c r="AM1233" s="89">
        <v>44068.758993055555</v>
      </c>
      <c r="AN1233" s="86"/>
      <c r="AO1233" s="86" t="s">
        <v>27547</v>
      </c>
      <c r="AP1233" s="96" t="str">
        <f>HYPERLINK("https://t.co/ZauBrYpz6y")</f>
        <v>https://t.co/ZauBrYpz6y</v>
      </c>
      <c r="AQ1233" s="96" t="str">
        <f>HYPERLINK("http://cidadeama.com.br/")</f>
        <v>http://cidadeama.com.br/</v>
      </c>
      <c r="AR1233" s="86" t="s">
        <v>28722</v>
      </c>
      <c r="AS1233" s="96" t="str">
        <f>HYPERLINK("https://t.co/LjglYlKf60")</f>
        <v>https://t.co/LjglYlKf60</v>
      </c>
      <c r="AT1233" s="96" t="str">
        <f>HYPERLINK("https://linktr.ee/agentesdomeioambiente")</f>
        <v>https://linktr.ee/agentesdomeioambiente</v>
      </c>
      <c r="AU1233" s="86" t="s">
        <v>29110</v>
      </c>
      <c r="AV1233" s="86">
        <v>1.49911815023906E+18</v>
      </c>
      <c r="AW1233" s="96" t="str">
        <f>HYPERLINK("https://t.co/ZauBrYpz6y")</f>
        <v>https://t.co/ZauBrYpz6y</v>
      </c>
      <c r="AX1233" s="86" t="b">
        <v>0</v>
      </c>
      <c r="AY1233" s="86"/>
      <c r="AZ1233" s="86"/>
      <c r="BA1233" s="86" t="b">
        <v>0</v>
      </c>
      <c r="BB1233" s="86" t="b">
        <v>1</v>
      </c>
      <c r="BC1233" s="86" t="b">
        <v>1</v>
      </c>
      <c r="BD1233" s="86" t="b">
        <v>0</v>
      </c>
      <c r="BE1233" s="86" t="b">
        <v>0</v>
      </c>
      <c r="BF1233" s="86" t="b">
        <v>0</v>
      </c>
      <c r="BG1233" s="86" t="b">
        <v>0</v>
      </c>
      <c r="BH1233" s="96" t="str">
        <f>HYPERLINK("https://pbs.twimg.com/profile_banners/1298322293559566336/1679005754")</f>
        <v>https://pbs.twimg.com/profile_banners/1298322293559566336/1679005754</v>
      </c>
      <c r="BI1233" s="86"/>
      <c r="BJ1233" s="86" t="s">
        <v>29134</v>
      </c>
      <c r="BK1233" s="86" t="b">
        <v>0</v>
      </c>
      <c r="BL1233" s="86"/>
      <c r="BM1233" s="86" t="s">
        <v>66</v>
      </c>
      <c r="BN1233" s="86" t="s">
        <v>29136</v>
      </c>
      <c r="BO1233" s="96" t="str">
        <f>HYPERLINK("https://twitter.com/cidade_ama")</f>
        <v>https://twitter.com/cidade_ama</v>
      </c>
      <c r="BP1233" s="2"/>
    </row>
    <row r="1234" spans="1:68" x14ac:dyDescent="0.25">
      <c r="A1234" s="63" t="s">
        <v>1267</v>
      </c>
      <c r="B1234" s="64"/>
      <c r="C1234" s="64"/>
      <c r="D1234" s="65"/>
      <c r="E1234" s="67"/>
      <c r="F1234" s="111" t="str">
        <f>HYPERLINK("https://pbs.twimg.com/profile_images/1291817287670992896/EW69X0fM_normal.jpg")</f>
        <v>https://pbs.twimg.com/profile_images/1291817287670992896/EW69X0fM_normal.jpg</v>
      </c>
      <c r="G1234" s="64"/>
      <c r="H1234" s="68"/>
      <c r="I1234" s="69"/>
      <c r="J1234" s="69"/>
      <c r="K1234" s="68" t="s">
        <v>30367</v>
      </c>
      <c r="L1234" s="72"/>
      <c r="M1234" s="73"/>
      <c r="N1234" s="73"/>
      <c r="O1234" s="74"/>
      <c r="P1234" s="75"/>
      <c r="Q1234" s="75"/>
      <c r="R1234" s="102"/>
      <c r="S1234" s="102"/>
      <c r="T1234" s="102"/>
      <c r="U1234" s="102"/>
      <c r="V1234" s="48"/>
      <c r="W1234" s="48"/>
      <c r="X1234" s="48"/>
      <c r="Y1234" s="48"/>
      <c r="Z1234" s="47"/>
      <c r="AA1234" s="70">
        <v>1234</v>
      </c>
      <c r="AB1234" s="70"/>
      <c r="AC1234" s="71"/>
      <c r="AD1234" s="86" t="s">
        <v>24834</v>
      </c>
      <c r="AE1234" s="94" t="s">
        <v>25721</v>
      </c>
      <c r="AF1234" s="86">
        <v>11983</v>
      </c>
      <c r="AG1234" s="86">
        <v>560</v>
      </c>
      <c r="AH1234" s="86">
        <v>18894</v>
      </c>
      <c r="AI1234" s="86">
        <v>70</v>
      </c>
      <c r="AJ1234" s="86">
        <v>3110</v>
      </c>
      <c r="AK1234" s="86">
        <v>2032</v>
      </c>
      <c r="AL1234" s="86" t="b">
        <v>0</v>
      </c>
      <c r="AM1234" s="89">
        <v>40509.863819444443</v>
      </c>
      <c r="AN1234" s="86" t="s">
        <v>26307</v>
      </c>
      <c r="AO1234" s="86" t="s">
        <v>27548</v>
      </c>
      <c r="AP1234" s="96" t="str">
        <f>HYPERLINK("https://t.co/KwPBcJfWZi")</f>
        <v>https://t.co/KwPBcJfWZi</v>
      </c>
      <c r="AQ1234" s="96" t="str">
        <f>HYPERLINK("http://www.facebook.com/marcos.faiock.bomfim")</f>
        <v>http://www.facebook.com/marcos.faiock.bomfim</v>
      </c>
      <c r="AR1234" s="86" t="s">
        <v>28723</v>
      </c>
      <c r="AS1234" s="86"/>
      <c r="AT1234" s="86"/>
      <c r="AU1234" s="86"/>
      <c r="AV1234" s="86"/>
      <c r="AW1234" s="96" t="str">
        <f>HYPERLINK("https://t.co/KwPBcJfWZi")</f>
        <v>https://t.co/KwPBcJfWZi</v>
      </c>
      <c r="AX1234" s="86" t="b">
        <v>0</v>
      </c>
      <c r="AY1234" s="86"/>
      <c r="AZ1234" s="86"/>
      <c r="BA1234" s="86" t="b">
        <v>0</v>
      </c>
      <c r="BB1234" s="86" t="b">
        <v>1</v>
      </c>
      <c r="BC1234" s="86" t="b">
        <v>1</v>
      </c>
      <c r="BD1234" s="86" t="b">
        <v>0</v>
      </c>
      <c r="BE1234" s="86" t="b">
        <v>0</v>
      </c>
      <c r="BF1234" s="86" t="b">
        <v>0</v>
      </c>
      <c r="BG1234" s="86" t="b">
        <v>0</v>
      </c>
      <c r="BH1234" s="96" t="str">
        <f>HYPERLINK("https://pbs.twimg.com/profile_banners/220450059/1588340977")</f>
        <v>https://pbs.twimg.com/profile_banners/220450059/1588340977</v>
      </c>
      <c r="BI1234" s="86"/>
      <c r="BJ1234" s="86" t="s">
        <v>29134</v>
      </c>
      <c r="BK1234" s="86" t="b">
        <v>0</v>
      </c>
      <c r="BL1234" s="86"/>
      <c r="BM1234" s="86" t="s">
        <v>66</v>
      </c>
      <c r="BN1234" s="86" t="s">
        <v>29136</v>
      </c>
      <c r="BO1234" s="96" t="str">
        <f>HYPERLINK("https://twitter.com/prmarcosbomfim")</f>
        <v>https://twitter.com/prmarcosbomfim</v>
      </c>
      <c r="BP1234" s="2"/>
    </row>
    <row r="1235" spans="1:68" x14ac:dyDescent="0.25">
      <c r="A1235" s="63" t="s">
        <v>1269</v>
      </c>
      <c r="B1235" s="64"/>
      <c r="C1235" s="64"/>
      <c r="D1235" s="65"/>
      <c r="E1235" s="67"/>
      <c r="F1235" s="111" t="str">
        <f>HYPERLINK("https://pbs.twimg.com/profile_images/1699079608832819200/qSe0f_op_normal.png")</f>
        <v>https://pbs.twimg.com/profile_images/1699079608832819200/qSe0f_op_normal.png</v>
      </c>
      <c r="G1235" s="64"/>
      <c r="H1235" s="68"/>
      <c r="I1235" s="69"/>
      <c r="J1235" s="69"/>
      <c r="K1235" s="68" t="s">
        <v>30368</v>
      </c>
      <c r="L1235" s="72"/>
      <c r="M1235" s="73"/>
      <c r="N1235" s="73"/>
      <c r="O1235" s="74"/>
      <c r="P1235" s="75"/>
      <c r="Q1235" s="75"/>
      <c r="R1235" s="102"/>
      <c r="S1235" s="102"/>
      <c r="T1235" s="102"/>
      <c r="U1235" s="102"/>
      <c r="V1235" s="48"/>
      <c r="W1235" s="48"/>
      <c r="X1235" s="48"/>
      <c r="Y1235" s="48"/>
      <c r="Z1235" s="47"/>
      <c r="AA1235" s="70">
        <v>1235</v>
      </c>
      <c r="AB1235" s="70"/>
      <c r="AC1235" s="71"/>
      <c r="AD1235" s="86" t="s">
        <v>24835</v>
      </c>
      <c r="AE1235" s="94" t="s">
        <v>23396</v>
      </c>
      <c r="AF1235" s="86">
        <v>1</v>
      </c>
      <c r="AG1235" s="86">
        <v>3</v>
      </c>
      <c r="AH1235" s="86">
        <v>28</v>
      </c>
      <c r="AI1235" s="86">
        <v>0</v>
      </c>
      <c r="AJ1235" s="86">
        <v>35</v>
      </c>
      <c r="AK1235" s="86">
        <v>0</v>
      </c>
      <c r="AL1235" s="86" t="b">
        <v>0</v>
      </c>
      <c r="AM1235" s="89">
        <v>45174.637962962966</v>
      </c>
      <c r="AN1235" s="86"/>
      <c r="AO1235" s="86" t="s">
        <v>27549</v>
      </c>
      <c r="AP1235" s="96" t="str">
        <f>HYPERLINK("https://t.co/ZSAMOyzTNj")</f>
        <v>https://t.co/ZSAMOyzTNj</v>
      </c>
      <c r="AQ1235" s="96" t="str">
        <f>HYPERLINK("https://linktr.ee/__.mentalidadesucesso?utm_source=linktree_admin_share")</f>
        <v>https://linktr.ee/__.mentalidadesucesso?utm_source=linktree_admin_share</v>
      </c>
      <c r="AR1235" s="86" t="s">
        <v>28724</v>
      </c>
      <c r="AS1235" s="86"/>
      <c r="AT1235" s="86"/>
      <c r="AU1235" s="86"/>
      <c r="AV1235" s="86"/>
      <c r="AW1235" s="96" t="str">
        <f>HYPERLINK("https://t.co/ZSAMOyzTNj")</f>
        <v>https://t.co/ZSAMOyzTNj</v>
      </c>
      <c r="AX1235" s="86" t="b">
        <v>0</v>
      </c>
      <c r="AY1235" s="86"/>
      <c r="AZ1235" s="86"/>
      <c r="BA1235" s="86" t="b">
        <v>1</v>
      </c>
      <c r="BB1235" s="86" t="b">
        <v>1</v>
      </c>
      <c r="BC1235" s="86" t="b">
        <v>1</v>
      </c>
      <c r="BD1235" s="86" t="b">
        <v>0</v>
      </c>
      <c r="BE1235" s="86" t="b">
        <v>0</v>
      </c>
      <c r="BF1235" s="86" t="b">
        <v>0</v>
      </c>
      <c r="BG1235" s="86" t="b">
        <v>0</v>
      </c>
      <c r="BH1235" s="96" t="str">
        <f>HYPERLINK("https://pbs.twimg.com/profile_banners/1699079365730951168/1694201359")</f>
        <v>https://pbs.twimg.com/profile_banners/1699079365730951168/1694201359</v>
      </c>
      <c r="BI1235" s="86"/>
      <c r="BJ1235" s="86" t="s">
        <v>29134</v>
      </c>
      <c r="BK1235" s="86" t="b">
        <v>0</v>
      </c>
      <c r="BL1235" s="86"/>
      <c r="BM1235" s="86" t="s">
        <v>66</v>
      </c>
      <c r="BN1235" s="86" t="s">
        <v>29136</v>
      </c>
      <c r="BO1235" s="96" t="str">
        <f>HYPERLINK("https://twitter.com/__mentesucesso")</f>
        <v>https://twitter.com/__mentesucesso</v>
      </c>
      <c r="BP1235" s="2"/>
    </row>
    <row r="1236" spans="1:68" x14ac:dyDescent="0.25">
      <c r="A1236" s="63" t="s">
        <v>1270</v>
      </c>
      <c r="B1236" s="64"/>
      <c r="C1236" s="64"/>
      <c r="D1236" s="65"/>
      <c r="E1236" s="67"/>
      <c r="F1236" s="111" t="str">
        <f>HYPERLINK("https://pbs.twimg.com/profile_images/684001211385798656/NyQvIHuQ_normal.jpg")</f>
        <v>https://pbs.twimg.com/profile_images/684001211385798656/NyQvIHuQ_normal.jpg</v>
      </c>
      <c r="G1236" s="64"/>
      <c r="H1236" s="68"/>
      <c r="I1236" s="69"/>
      <c r="J1236" s="69"/>
      <c r="K1236" s="68" t="s">
        <v>30369</v>
      </c>
      <c r="L1236" s="72"/>
      <c r="M1236" s="73"/>
      <c r="N1236" s="73"/>
      <c r="O1236" s="74"/>
      <c r="P1236" s="75"/>
      <c r="Q1236" s="75"/>
      <c r="R1236" s="102"/>
      <c r="S1236" s="102"/>
      <c r="T1236" s="102"/>
      <c r="U1236" s="102"/>
      <c r="V1236" s="48"/>
      <c r="W1236" s="48"/>
      <c r="X1236" s="48"/>
      <c r="Y1236" s="48"/>
      <c r="Z1236" s="47"/>
      <c r="AA1236" s="70">
        <v>1236</v>
      </c>
      <c r="AB1236" s="70"/>
      <c r="AC1236" s="71"/>
      <c r="AD1236" s="86" t="s">
        <v>24836</v>
      </c>
      <c r="AE1236" s="94" t="s">
        <v>25722</v>
      </c>
      <c r="AF1236" s="86">
        <v>136</v>
      </c>
      <c r="AG1236" s="86">
        <v>202</v>
      </c>
      <c r="AH1236" s="86">
        <v>209</v>
      </c>
      <c r="AI1236" s="86">
        <v>1</v>
      </c>
      <c r="AJ1236" s="86">
        <v>447</v>
      </c>
      <c r="AK1236" s="86">
        <v>179</v>
      </c>
      <c r="AL1236" s="86" t="b">
        <v>0</v>
      </c>
      <c r="AM1236" s="89">
        <v>42342.822280092594</v>
      </c>
      <c r="AN1236" s="86"/>
      <c r="AO1236" s="86"/>
      <c r="AP1236" s="86"/>
      <c r="AQ1236" s="86"/>
      <c r="AR1236" s="86"/>
      <c r="AS1236" s="86"/>
      <c r="AT1236" s="86"/>
      <c r="AU1236" s="86"/>
      <c r="AV1236" s="86"/>
      <c r="AW1236" s="86"/>
      <c r="AX1236" s="86" t="b">
        <v>0</v>
      </c>
      <c r="AY1236" s="86"/>
      <c r="AZ1236" s="86"/>
      <c r="BA1236" s="86" t="b">
        <v>0</v>
      </c>
      <c r="BB1236" s="86" t="b">
        <v>1</v>
      </c>
      <c r="BC1236" s="86" t="b">
        <v>0</v>
      </c>
      <c r="BD1236" s="86" t="b">
        <v>0</v>
      </c>
      <c r="BE1236" s="86" t="b">
        <v>0</v>
      </c>
      <c r="BF1236" s="86" t="b">
        <v>0</v>
      </c>
      <c r="BG1236" s="86" t="b">
        <v>0</v>
      </c>
      <c r="BH1236" s="96" t="str">
        <f>HYPERLINK("https://pbs.twimg.com/profile_banners/4375338449/1467317228")</f>
        <v>https://pbs.twimg.com/profile_banners/4375338449/1467317228</v>
      </c>
      <c r="BI1236" s="86"/>
      <c r="BJ1236" s="86" t="s">
        <v>29134</v>
      </c>
      <c r="BK1236" s="86" t="b">
        <v>0</v>
      </c>
      <c r="BL1236" s="86"/>
      <c r="BM1236" s="86" t="s">
        <v>66</v>
      </c>
      <c r="BN1236" s="86" t="s">
        <v>29136</v>
      </c>
      <c r="BO1236" s="96" t="str">
        <f>HYPERLINK("https://twitter.com/uninterpicos")</f>
        <v>https://twitter.com/uninterpicos</v>
      </c>
      <c r="BP1236" s="2"/>
    </row>
    <row r="1237" spans="1:68" x14ac:dyDescent="0.25">
      <c r="A1237" s="63" t="s">
        <v>1793</v>
      </c>
      <c r="B1237" s="64"/>
      <c r="C1237" s="64"/>
      <c r="D1237" s="65"/>
      <c r="E1237" s="67"/>
      <c r="F1237" s="111" t="str">
        <f>HYPERLINK("https://abs.twimg.com/sticky/default_profile_images/default_profile_normal.png")</f>
        <v>https://abs.twimg.com/sticky/default_profile_images/default_profile_normal.png</v>
      </c>
      <c r="G1237" s="64"/>
      <c r="H1237" s="68"/>
      <c r="I1237" s="69"/>
      <c r="J1237" s="69"/>
      <c r="K1237" s="68" t="s">
        <v>30370</v>
      </c>
      <c r="L1237" s="72"/>
      <c r="M1237" s="73"/>
      <c r="N1237" s="73"/>
      <c r="O1237" s="74"/>
      <c r="P1237" s="75"/>
      <c r="Q1237" s="75"/>
      <c r="R1237" s="102"/>
      <c r="S1237" s="102"/>
      <c r="T1237" s="102"/>
      <c r="U1237" s="102"/>
      <c r="V1237" s="48"/>
      <c r="W1237" s="48"/>
      <c r="X1237" s="48"/>
      <c r="Y1237" s="48"/>
      <c r="Z1237" s="47"/>
      <c r="AA1237" s="70">
        <v>1237</v>
      </c>
      <c r="AB1237" s="70"/>
      <c r="AC1237" s="71"/>
      <c r="AD1237" s="86" t="s">
        <v>24837</v>
      </c>
      <c r="AE1237" s="94" t="s">
        <v>25723</v>
      </c>
      <c r="AF1237" s="86">
        <v>0</v>
      </c>
      <c r="AG1237" s="86">
        <v>0</v>
      </c>
      <c r="AH1237" s="86">
        <v>0</v>
      </c>
      <c r="AI1237" s="86">
        <v>0</v>
      </c>
      <c r="AJ1237" s="86">
        <v>0</v>
      </c>
      <c r="AK1237" s="86">
        <v>0</v>
      </c>
      <c r="AL1237" s="86" t="b">
        <v>0</v>
      </c>
      <c r="AM1237" s="89">
        <v>40430.590821759259</v>
      </c>
      <c r="AN1237" s="86"/>
      <c r="AO1237" s="86"/>
      <c r="AP1237" s="86"/>
      <c r="AQ1237" s="86"/>
      <c r="AR1237" s="86"/>
      <c r="AS1237" s="86"/>
      <c r="AT1237" s="86"/>
      <c r="AU1237" s="86"/>
      <c r="AV1237" s="86"/>
      <c r="AW1237" s="86"/>
      <c r="AX1237" s="86" t="b">
        <v>0</v>
      </c>
      <c r="AY1237" s="86"/>
      <c r="AZ1237" s="86"/>
      <c r="BA1237" s="86" t="b">
        <v>0</v>
      </c>
      <c r="BB1237" s="86" t="b">
        <v>1</v>
      </c>
      <c r="BC1237" s="86" t="b">
        <v>1</v>
      </c>
      <c r="BD1237" s="86" t="b">
        <v>1</v>
      </c>
      <c r="BE1237" s="86" t="b">
        <v>0</v>
      </c>
      <c r="BF1237" s="86" t="b">
        <v>0</v>
      </c>
      <c r="BG1237" s="86" t="b">
        <v>0</v>
      </c>
      <c r="BH1237" s="86"/>
      <c r="BI1237" s="86"/>
      <c r="BJ1237" s="86" t="s">
        <v>29134</v>
      </c>
      <c r="BK1237" s="86" t="b">
        <v>0</v>
      </c>
      <c r="BL1237" s="86"/>
      <c r="BM1237" s="86" t="s">
        <v>65</v>
      </c>
      <c r="BN1237" s="86" t="s">
        <v>29136</v>
      </c>
      <c r="BO1237" s="96" t="str">
        <f>HYPERLINK("https://twitter.com/samiramalho")</f>
        <v>https://twitter.com/samiramalho</v>
      </c>
      <c r="BP1237" s="2"/>
    </row>
    <row r="1238" spans="1:68" x14ac:dyDescent="0.25">
      <c r="A1238" s="63" t="s">
        <v>1794</v>
      </c>
      <c r="B1238" s="64"/>
      <c r="C1238" s="64"/>
      <c r="D1238" s="65"/>
      <c r="E1238" s="67"/>
      <c r="F1238" s="111" t="str">
        <f>HYPERLINK("https://pbs.twimg.com/profile_images/572396248691261440/gkeQe_Ci_normal.jpeg")</f>
        <v>https://pbs.twimg.com/profile_images/572396248691261440/gkeQe_Ci_normal.jpeg</v>
      </c>
      <c r="G1238" s="64"/>
      <c r="H1238" s="68"/>
      <c r="I1238" s="69"/>
      <c r="J1238" s="69"/>
      <c r="K1238" s="68" t="s">
        <v>30371</v>
      </c>
      <c r="L1238" s="72"/>
      <c r="M1238" s="73"/>
      <c r="N1238" s="73"/>
      <c r="O1238" s="74"/>
      <c r="P1238" s="75"/>
      <c r="Q1238" s="75"/>
      <c r="R1238" s="102"/>
      <c r="S1238" s="102"/>
      <c r="T1238" s="102"/>
      <c r="U1238" s="102"/>
      <c r="V1238" s="48"/>
      <c r="W1238" s="48"/>
      <c r="X1238" s="48"/>
      <c r="Y1238" s="48"/>
      <c r="Z1238" s="47"/>
      <c r="AA1238" s="70">
        <v>1238</v>
      </c>
      <c r="AB1238" s="70"/>
      <c r="AC1238" s="71"/>
      <c r="AD1238" s="86" t="s">
        <v>24838</v>
      </c>
      <c r="AE1238" s="94" t="s">
        <v>25724</v>
      </c>
      <c r="AF1238" s="86">
        <v>34</v>
      </c>
      <c r="AG1238" s="86">
        <v>38</v>
      </c>
      <c r="AH1238" s="86">
        <v>0</v>
      </c>
      <c r="AI1238" s="86">
        <v>0</v>
      </c>
      <c r="AJ1238" s="86">
        <v>0</v>
      </c>
      <c r="AK1238" s="86">
        <v>0</v>
      </c>
      <c r="AL1238" s="86" t="b">
        <v>0</v>
      </c>
      <c r="AM1238" s="89">
        <v>42065.58216435185</v>
      </c>
      <c r="AN1238" s="86"/>
      <c r="AO1238" s="86"/>
      <c r="AP1238" s="86"/>
      <c r="AQ1238" s="86"/>
      <c r="AR1238" s="86"/>
      <c r="AS1238" s="86"/>
      <c r="AT1238" s="86"/>
      <c r="AU1238" s="86"/>
      <c r="AV1238" s="86"/>
      <c r="AW1238" s="86"/>
      <c r="AX1238" s="86" t="b">
        <v>0</v>
      </c>
      <c r="AY1238" s="86"/>
      <c r="AZ1238" s="86"/>
      <c r="BA1238" s="86" t="b">
        <v>0</v>
      </c>
      <c r="BB1238" s="86" t="b">
        <v>1</v>
      </c>
      <c r="BC1238" s="86" t="b">
        <v>1</v>
      </c>
      <c r="BD1238" s="86" t="b">
        <v>0</v>
      </c>
      <c r="BE1238" s="86" t="b">
        <v>0</v>
      </c>
      <c r="BF1238" s="86" t="b">
        <v>0</v>
      </c>
      <c r="BG1238" s="86" t="b">
        <v>0</v>
      </c>
      <c r="BH1238" s="86"/>
      <c r="BI1238" s="86"/>
      <c r="BJ1238" s="86" t="s">
        <v>29134</v>
      </c>
      <c r="BK1238" s="86" t="b">
        <v>0</v>
      </c>
      <c r="BL1238" s="86"/>
      <c r="BM1238" s="86" t="s">
        <v>65</v>
      </c>
      <c r="BN1238" s="86" t="s">
        <v>29136</v>
      </c>
      <c r="BO1238" s="96" t="str">
        <f>HYPERLINK("https://twitter.com/sebraepi")</f>
        <v>https://twitter.com/sebraepi</v>
      </c>
      <c r="BP1238" s="2"/>
    </row>
    <row r="1239" spans="1:68" x14ac:dyDescent="0.25">
      <c r="A1239" s="63" t="s">
        <v>1271</v>
      </c>
      <c r="B1239" s="64"/>
      <c r="C1239" s="64"/>
      <c r="D1239" s="65"/>
      <c r="E1239" s="67"/>
      <c r="F1239" s="111" t="str">
        <f>HYPERLINK("https://pbs.twimg.com/profile_images/993302617953656833/V2SUGgNp_normal.jpg")</f>
        <v>https://pbs.twimg.com/profile_images/993302617953656833/V2SUGgNp_normal.jpg</v>
      </c>
      <c r="G1239" s="64"/>
      <c r="H1239" s="68"/>
      <c r="I1239" s="69"/>
      <c r="J1239" s="69"/>
      <c r="K1239" s="68" t="s">
        <v>30372</v>
      </c>
      <c r="L1239" s="72"/>
      <c r="M1239" s="73"/>
      <c r="N1239" s="73"/>
      <c r="O1239" s="74"/>
      <c r="P1239" s="75"/>
      <c r="Q1239" s="75"/>
      <c r="R1239" s="102"/>
      <c r="S1239" s="102"/>
      <c r="T1239" s="102"/>
      <c r="U1239" s="102"/>
      <c r="V1239" s="48"/>
      <c r="W1239" s="48"/>
      <c r="X1239" s="48"/>
      <c r="Y1239" s="48"/>
      <c r="Z1239" s="47"/>
      <c r="AA1239" s="70">
        <v>1239</v>
      </c>
      <c r="AB1239" s="70"/>
      <c r="AC1239" s="71"/>
      <c r="AD1239" s="86" t="s">
        <v>24839</v>
      </c>
      <c r="AE1239" s="94" t="s">
        <v>23397</v>
      </c>
      <c r="AF1239" s="86">
        <v>36</v>
      </c>
      <c r="AG1239" s="86">
        <v>2</v>
      </c>
      <c r="AH1239" s="86">
        <v>7168</v>
      </c>
      <c r="AI1239" s="86">
        <v>0</v>
      </c>
      <c r="AJ1239" s="86">
        <v>466</v>
      </c>
      <c r="AK1239" s="86">
        <v>1690</v>
      </c>
      <c r="AL1239" s="86" t="b">
        <v>0</v>
      </c>
      <c r="AM1239" s="89">
        <v>42779.726423611108</v>
      </c>
      <c r="AN1239" s="86" t="s">
        <v>25988</v>
      </c>
      <c r="AO1239" s="86" t="s">
        <v>27550</v>
      </c>
      <c r="AP1239" s="96" t="str">
        <f>HYPERLINK("https://t.co/pVeRswv59s")</f>
        <v>https://t.co/pVeRswv59s</v>
      </c>
      <c r="AQ1239" s="96" t="str">
        <f>HYPERLINK("https://www.youtube.com/@costamiguel1984")</f>
        <v>https://www.youtube.com/@costamiguel1984</v>
      </c>
      <c r="AR1239" s="86" t="s">
        <v>28725</v>
      </c>
      <c r="AS1239" s="86"/>
      <c r="AT1239" s="86"/>
      <c r="AU1239" s="86"/>
      <c r="AV1239" s="86">
        <v>1.38835028788735E+18</v>
      </c>
      <c r="AW1239" s="96" t="str">
        <f>HYPERLINK("https://t.co/pVeRswv59s")</f>
        <v>https://t.co/pVeRswv59s</v>
      </c>
      <c r="AX1239" s="86" t="b">
        <v>0</v>
      </c>
      <c r="AY1239" s="86"/>
      <c r="AZ1239" s="86"/>
      <c r="BA1239" s="86" t="b">
        <v>0</v>
      </c>
      <c r="BB1239" s="86" t="b">
        <v>1</v>
      </c>
      <c r="BC1239" s="86" t="b">
        <v>0</v>
      </c>
      <c r="BD1239" s="86" t="b">
        <v>0</v>
      </c>
      <c r="BE1239" s="86" t="b">
        <v>0</v>
      </c>
      <c r="BF1239" s="86" t="b">
        <v>0</v>
      </c>
      <c r="BG1239" s="86" t="b">
        <v>0</v>
      </c>
      <c r="BH1239" s="96" t="str">
        <f>HYPERLINK("https://pbs.twimg.com/profile_banners/831192726125293568/1487120560")</f>
        <v>https://pbs.twimg.com/profile_banners/831192726125293568/1487120560</v>
      </c>
      <c r="BI1239" s="86"/>
      <c r="BJ1239" s="86" t="s">
        <v>29134</v>
      </c>
      <c r="BK1239" s="86" t="b">
        <v>0</v>
      </c>
      <c r="BL1239" s="86"/>
      <c r="BM1239" s="86" t="s">
        <v>66</v>
      </c>
      <c r="BN1239" s="86" t="s">
        <v>29136</v>
      </c>
      <c r="BO1239" s="96" t="str">
        <f>HYPERLINK("https://twitter.com/costamiguel1984")</f>
        <v>https://twitter.com/costamiguel1984</v>
      </c>
      <c r="BP1239" s="2"/>
    </row>
    <row r="1240" spans="1:68" x14ac:dyDescent="0.25">
      <c r="A1240" s="63" t="s">
        <v>1432</v>
      </c>
      <c r="B1240" s="64"/>
      <c r="C1240" s="64"/>
      <c r="D1240" s="65"/>
      <c r="E1240" s="67"/>
      <c r="F1240" s="111" t="str">
        <f>HYPERLINK("https://pbs.twimg.com/profile_images/1654047815645970432/DrqujGRQ_normal.jpg")</f>
        <v>https://pbs.twimg.com/profile_images/1654047815645970432/DrqujGRQ_normal.jpg</v>
      </c>
      <c r="G1240" s="64"/>
      <c r="H1240" s="68"/>
      <c r="I1240" s="69"/>
      <c r="J1240" s="69"/>
      <c r="K1240" s="68" t="s">
        <v>30373</v>
      </c>
      <c r="L1240" s="72"/>
      <c r="M1240" s="73"/>
      <c r="N1240" s="73"/>
      <c r="O1240" s="74"/>
      <c r="P1240" s="75"/>
      <c r="Q1240" s="75"/>
      <c r="R1240" s="102"/>
      <c r="S1240" s="102"/>
      <c r="T1240" s="102"/>
      <c r="U1240" s="102"/>
      <c r="V1240" s="48"/>
      <c r="W1240" s="48"/>
      <c r="X1240" s="48"/>
      <c r="Y1240" s="48"/>
      <c r="Z1240" s="47"/>
      <c r="AA1240" s="70">
        <v>1240</v>
      </c>
      <c r="AB1240" s="70"/>
      <c r="AC1240" s="71"/>
      <c r="AD1240" s="86" t="s">
        <v>24840</v>
      </c>
      <c r="AE1240" s="94" t="s">
        <v>25725</v>
      </c>
      <c r="AF1240" s="86">
        <v>7106</v>
      </c>
      <c r="AG1240" s="86">
        <v>417</v>
      </c>
      <c r="AH1240" s="86">
        <v>1996</v>
      </c>
      <c r="AI1240" s="86">
        <v>29</v>
      </c>
      <c r="AJ1240" s="86">
        <v>1384</v>
      </c>
      <c r="AK1240" s="86">
        <v>550</v>
      </c>
      <c r="AL1240" s="86" t="b">
        <v>0</v>
      </c>
      <c r="AM1240" s="89">
        <v>41918.323287037034</v>
      </c>
      <c r="AN1240" s="86" t="s">
        <v>26308</v>
      </c>
      <c r="AO1240" s="86" t="s">
        <v>27551</v>
      </c>
      <c r="AP1240" s="96" t="str">
        <f>HYPERLINK("https://t.co/yiFU4J50UA")</f>
        <v>https://t.co/yiFU4J50UA</v>
      </c>
      <c r="AQ1240" s="96" t="str">
        <f>HYPERLINK("http://www.novadireita.pt")</f>
        <v>http://www.novadireita.pt</v>
      </c>
      <c r="AR1240" s="86" t="s">
        <v>28726</v>
      </c>
      <c r="AS1240" s="86"/>
      <c r="AT1240" s="86"/>
      <c r="AU1240" s="86"/>
      <c r="AV1240" s="86">
        <v>1.4921308362290099E+18</v>
      </c>
      <c r="AW1240" s="96" t="str">
        <f>HYPERLINK("https://t.co/yiFU4J50UA")</f>
        <v>https://t.co/yiFU4J50UA</v>
      </c>
      <c r="AX1240" s="86" t="b">
        <v>1</v>
      </c>
      <c r="AY1240" s="86"/>
      <c r="AZ1240" s="86"/>
      <c r="BA1240" s="86" t="b">
        <v>0</v>
      </c>
      <c r="BB1240" s="86" t="b">
        <v>1</v>
      </c>
      <c r="BC1240" s="86" t="b">
        <v>1</v>
      </c>
      <c r="BD1240" s="86" t="b">
        <v>0</v>
      </c>
      <c r="BE1240" s="86" t="b">
        <v>1</v>
      </c>
      <c r="BF1240" s="86" t="b">
        <v>0</v>
      </c>
      <c r="BG1240" s="86" t="b">
        <v>0</v>
      </c>
      <c r="BH1240" s="96" t="str">
        <f>HYPERLINK("https://pbs.twimg.com/profile_banners/2809706668/1687340074")</f>
        <v>https://pbs.twimg.com/profile_banners/2809706668/1687340074</v>
      </c>
      <c r="BI1240" s="86"/>
      <c r="BJ1240" s="86" t="s">
        <v>29134</v>
      </c>
      <c r="BK1240" s="86" t="b">
        <v>0</v>
      </c>
      <c r="BL1240" s="86"/>
      <c r="BM1240" s="86" t="s">
        <v>66</v>
      </c>
      <c r="BN1240" s="86" t="s">
        <v>29136</v>
      </c>
      <c r="BO1240" s="96" t="str">
        <f>HYPERLINK("https://twitter.com/ossandaliber")</f>
        <v>https://twitter.com/ossandaliber</v>
      </c>
      <c r="BP1240" s="2"/>
    </row>
    <row r="1241" spans="1:68" x14ac:dyDescent="0.25">
      <c r="A1241" s="63" t="s">
        <v>1272</v>
      </c>
      <c r="B1241" s="64"/>
      <c r="C1241" s="64"/>
      <c r="D1241" s="65"/>
      <c r="E1241" s="67"/>
      <c r="F1241" s="111" t="str">
        <f>HYPERLINK("https://pbs.twimg.com/profile_images/998595805169700865/Uur2kDpn_normal.jpg")</f>
        <v>https://pbs.twimg.com/profile_images/998595805169700865/Uur2kDpn_normal.jpg</v>
      </c>
      <c r="G1241" s="64"/>
      <c r="H1241" s="68"/>
      <c r="I1241" s="69"/>
      <c r="J1241" s="69"/>
      <c r="K1241" s="68" t="s">
        <v>30374</v>
      </c>
      <c r="L1241" s="72"/>
      <c r="M1241" s="73"/>
      <c r="N1241" s="73"/>
      <c r="O1241" s="74"/>
      <c r="P1241" s="75"/>
      <c r="Q1241" s="75"/>
      <c r="R1241" s="102"/>
      <c r="S1241" s="102"/>
      <c r="T1241" s="102"/>
      <c r="U1241" s="102"/>
      <c r="V1241" s="48"/>
      <c r="W1241" s="48"/>
      <c r="X1241" s="48"/>
      <c r="Y1241" s="48"/>
      <c r="Z1241" s="47"/>
      <c r="AA1241" s="70">
        <v>1241</v>
      </c>
      <c r="AB1241" s="70"/>
      <c r="AC1241" s="71"/>
      <c r="AD1241" s="86" t="s">
        <v>24841</v>
      </c>
      <c r="AE1241" s="94" t="s">
        <v>25726</v>
      </c>
      <c r="AF1241" s="86">
        <v>109</v>
      </c>
      <c r="AG1241" s="86">
        <v>394</v>
      </c>
      <c r="AH1241" s="86">
        <v>2527</v>
      </c>
      <c r="AI1241" s="86">
        <v>0</v>
      </c>
      <c r="AJ1241" s="86">
        <v>2578</v>
      </c>
      <c r="AK1241" s="86">
        <v>537</v>
      </c>
      <c r="AL1241" s="86" t="b">
        <v>0</v>
      </c>
      <c r="AM1241" s="89">
        <v>40059.581620370373</v>
      </c>
      <c r="AN1241" s="86" t="s">
        <v>25889</v>
      </c>
      <c r="AO1241" s="86" t="s">
        <v>27552</v>
      </c>
      <c r="AP1241" s="96" t="str">
        <f>HYPERLINK("https://t.co/WjvJ6Jq43b")</f>
        <v>https://t.co/WjvJ6Jq43b</v>
      </c>
      <c r="AQ1241" s="96" t="str">
        <f>HYPERLINK("http://www.imprensaberta.com.br")</f>
        <v>http://www.imprensaberta.com.br</v>
      </c>
      <c r="AR1241" s="86" t="s">
        <v>28727</v>
      </c>
      <c r="AS1241" s="86"/>
      <c r="AT1241" s="86"/>
      <c r="AU1241" s="86"/>
      <c r="AV1241" s="86"/>
      <c r="AW1241" s="96" t="str">
        <f>HYPERLINK("https://t.co/WjvJ6Jq43b")</f>
        <v>https://t.co/WjvJ6Jq43b</v>
      </c>
      <c r="AX1241" s="86" t="b">
        <v>0</v>
      </c>
      <c r="AY1241" s="86"/>
      <c r="AZ1241" s="86"/>
      <c r="BA1241" s="86" t="b">
        <v>1</v>
      </c>
      <c r="BB1241" s="86" t="b">
        <v>1</v>
      </c>
      <c r="BC1241" s="86" t="b">
        <v>0</v>
      </c>
      <c r="BD1241" s="86" t="b">
        <v>0</v>
      </c>
      <c r="BE1241" s="86" t="b">
        <v>1</v>
      </c>
      <c r="BF1241" s="86" t="b">
        <v>0</v>
      </c>
      <c r="BG1241" s="86" t="b">
        <v>1</v>
      </c>
      <c r="BH1241" s="96" t="str">
        <f>HYPERLINK("https://pbs.twimg.com/profile_banners/71258973/1526923210")</f>
        <v>https://pbs.twimg.com/profile_banners/71258973/1526923210</v>
      </c>
      <c r="BI1241" s="86"/>
      <c r="BJ1241" s="86" t="s">
        <v>29134</v>
      </c>
      <c r="BK1241" s="86" t="b">
        <v>0</v>
      </c>
      <c r="BL1241" s="86"/>
      <c r="BM1241" s="86" t="s">
        <v>66</v>
      </c>
      <c r="BN1241" s="86" t="s">
        <v>29136</v>
      </c>
      <c r="BO1241" s="96" t="str">
        <f>HYPERLINK("https://twitter.com/imprensaberta")</f>
        <v>https://twitter.com/imprensaberta</v>
      </c>
      <c r="BP1241" s="2"/>
    </row>
    <row r="1242" spans="1:68" x14ac:dyDescent="0.25">
      <c r="A1242" s="63" t="s">
        <v>1273</v>
      </c>
      <c r="B1242" s="64"/>
      <c r="C1242" s="64"/>
      <c r="D1242" s="65"/>
      <c r="E1242" s="67"/>
      <c r="F1242" s="111" t="str">
        <f>HYPERLINK("https://pbs.twimg.com/profile_images/1027514443801022464/lg3iD2M-_normal.jpg")</f>
        <v>https://pbs.twimg.com/profile_images/1027514443801022464/lg3iD2M-_normal.jpg</v>
      </c>
      <c r="G1242" s="64"/>
      <c r="H1242" s="68"/>
      <c r="I1242" s="69"/>
      <c r="J1242" s="69"/>
      <c r="K1242" s="68" t="s">
        <v>30375</v>
      </c>
      <c r="L1242" s="72"/>
      <c r="M1242" s="73"/>
      <c r="N1242" s="73"/>
      <c r="O1242" s="74"/>
      <c r="P1242" s="75"/>
      <c r="Q1242" s="75"/>
      <c r="R1242" s="102"/>
      <c r="S1242" s="102"/>
      <c r="T1242" s="102"/>
      <c r="U1242" s="102"/>
      <c r="V1242" s="48"/>
      <c r="W1242" s="48"/>
      <c r="X1242" s="48"/>
      <c r="Y1242" s="48"/>
      <c r="Z1242" s="47"/>
      <c r="AA1242" s="70">
        <v>1242</v>
      </c>
      <c r="AB1242" s="70"/>
      <c r="AC1242" s="71"/>
      <c r="AD1242" s="86" t="s">
        <v>24842</v>
      </c>
      <c r="AE1242" s="94" t="s">
        <v>23398</v>
      </c>
      <c r="AF1242" s="86">
        <v>554</v>
      </c>
      <c r="AG1242" s="86">
        <v>183</v>
      </c>
      <c r="AH1242" s="86">
        <v>5621</v>
      </c>
      <c r="AI1242" s="86">
        <v>6</v>
      </c>
      <c r="AJ1242" s="86">
        <v>1680</v>
      </c>
      <c r="AK1242" s="86">
        <v>401</v>
      </c>
      <c r="AL1242" s="86" t="b">
        <v>0</v>
      </c>
      <c r="AM1242" s="89">
        <v>42518.114305555559</v>
      </c>
      <c r="AN1242" s="86" t="s">
        <v>26309</v>
      </c>
      <c r="AO1242" s="86" t="s">
        <v>27553</v>
      </c>
      <c r="AP1242" s="96" t="str">
        <f>HYPERLINK("https://t.co/qCcmBYkG15")</f>
        <v>https://t.co/qCcmBYkG15</v>
      </c>
      <c r="AQ1242" s="96" t="str">
        <f>HYPERLINK("https://www.penedagerestv.com")</f>
        <v>https://www.penedagerestv.com</v>
      </c>
      <c r="AR1242" s="86" t="s">
        <v>28728</v>
      </c>
      <c r="AS1242" s="86"/>
      <c r="AT1242" s="86"/>
      <c r="AU1242" s="86"/>
      <c r="AV1242" s="86"/>
      <c r="AW1242" s="96" t="str">
        <f>HYPERLINK("https://t.co/qCcmBYkG15")</f>
        <v>https://t.co/qCcmBYkG15</v>
      </c>
      <c r="AX1242" s="86" t="b">
        <v>0</v>
      </c>
      <c r="AY1242" s="86"/>
      <c r="AZ1242" s="86"/>
      <c r="BA1242" s="86" t="b">
        <v>0</v>
      </c>
      <c r="BB1242" s="86" t="b">
        <v>1</v>
      </c>
      <c r="BC1242" s="86" t="b">
        <v>1</v>
      </c>
      <c r="BD1242" s="86" t="b">
        <v>0</v>
      </c>
      <c r="BE1242" s="86" t="b">
        <v>0</v>
      </c>
      <c r="BF1242" s="86" t="b">
        <v>0</v>
      </c>
      <c r="BG1242" s="86" t="b">
        <v>0</v>
      </c>
      <c r="BH1242" s="96" t="str">
        <f>HYPERLINK("https://pbs.twimg.com/profile_banners/736387666665738241/1518124930")</f>
        <v>https://pbs.twimg.com/profile_banners/736387666665738241/1518124930</v>
      </c>
      <c r="BI1242" s="86"/>
      <c r="BJ1242" s="86" t="s">
        <v>29134</v>
      </c>
      <c r="BK1242" s="86" t="b">
        <v>0</v>
      </c>
      <c r="BL1242" s="86"/>
      <c r="BM1242" s="86" t="s">
        <v>66</v>
      </c>
      <c r="BN1242" s="86" t="s">
        <v>29136</v>
      </c>
      <c r="BO1242" s="96" t="str">
        <f>HYPERLINK("https://twitter.com/penedagerestv")</f>
        <v>https://twitter.com/penedagerestv</v>
      </c>
      <c r="BP1242" s="2"/>
    </row>
    <row r="1243" spans="1:68" x14ac:dyDescent="0.25">
      <c r="A1243" s="63" t="s">
        <v>1274</v>
      </c>
      <c r="B1243" s="64"/>
      <c r="C1243" s="64"/>
      <c r="D1243" s="65"/>
      <c r="E1243" s="67"/>
      <c r="F1243" s="111" t="str">
        <f>HYPERLINK("https://pbs.twimg.com/profile_images/1695817917546246144/nUprCX0A_normal.jpg")</f>
        <v>https://pbs.twimg.com/profile_images/1695817917546246144/nUprCX0A_normal.jpg</v>
      </c>
      <c r="G1243" s="64"/>
      <c r="H1243" s="68"/>
      <c r="I1243" s="69"/>
      <c r="J1243" s="69"/>
      <c r="K1243" s="68" t="s">
        <v>30376</v>
      </c>
      <c r="L1243" s="72"/>
      <c r="M1243" s="73"/>
      <c r="N1243" s="73"/>
      <c r="O1243" s="74"/>
      <c r="P1243" s="75"/>
      <c r="Q1243" s="75"/>
      <c r="R1243" s="102"/>
      <c r="S1243" s="102"/>
      <c r="T1243" s="102"/>
      <c r="U1243" s="102"/>
      <c r="V1243" s="48"/>
      <c r="W1243" s="48"/>
      <c r="X1243" s="48"/>
      <c r="Y1243" s="48"/>
      <c r="Z1243" s="47"/>
      <c r="AA1243" s="70">
        <v>1243</v>
      </c>
      <c r="AB1243" s="70"/>
      <c r="AC1243" s="71"/>
      <c r="AD1243" s="86" t="s">
        <v>24843</v>
      </c>
      <c r="AE1243" s="94" t="s">
        <v>23399</v>
      </c>
      <c r="AF1243" s="86">
        <v>1</v>
      </c>
      <c r="AG1243" s="86">
        <v>170</v>
      </c>
      <c r="AH1243" s="86">
        <v>28</v>
      </c>
      <c r="AI1243" s="86">
        <v>0</v>
      </c>
      <c r="AJ1243" s="86">
        <v>22</v>
      </c>
      <c r="AK1243" s="86">
        <v>27</v>
      </c>
      <c r="AL1243" s="86" t="b">
        <v>0</v>
      </c>
      <c r="AM1243" s="89">
        <v>44866.036412037036</v>
      </c>
      <c r="AN1243" s="86" t="s">
        <v>26310</v>
      </c>
      <c r="AO1243" s="86" t="s">
        <v>27554</v>
      </c>
      <c r="AP1243" s="86"/>
      <c r="AQ1243" s="86"/>
      <c r="AR1243" s="86"/>
      <c r="AS1243" s="86"/>
      <c r="AT1243" s="86"/>
      <c r="AU1243" s="86"/>
      <c r="AV1243" s="86"/>
      <c r="AW1243" s="86"/>
      <c r="AX1243" s="86" t="b">
        <v>0</v>
      </c>
      <c r="AY1243" s="86"/>
      <c r="AZ1243" s="86"/>
      <c r="BA1243" s="86" t="b">
        <v>0</v>
      </c>
      <c r="BB1243" s="86" t="b">
        <v>1</v>
      </c>
      <c r="BC1243" s="86" t="b">
        <v>1</v>
      </c>
      <c r="BD1243" s="86" t="b">
        <v>0</v>
      </c>
      <c r="BE1243" s="86" t="b">
        <v>0</v>
      </c>
      <c r="BF1243" s="86" t="b">
        <v>0</v>
      </c>
      <c r="BG1243" s="86" t="b">
        <v>0</v>
      </c>
      <c r="BH1243" s="96" t="str">
        <f>HYPERLINK("https://pbs.twimg.com/profile_banners/1587246019619733506/1693149662")</f>
        <v>https://pbs.twimg.com/profile_banners/1587246019619733506/1693149662</v>
      </c>
      <c r="BI1243" s="86"/>
      <c r="BJ1243" s="86" t="s">
        <v>29134</v>
      </c>
      <c r="BK1243" s="86" t="b">
        <v>0</v>
      </c>
      <c r="BL1243" s="86"/>
      <c r="BM1243" s="86" t="s">
        <v>66</v>
      </c>
      <c r="BN1243" s="86" t="s">
        <v>29136</v>
      </c>
      <c r="BO1243" s="96" t="str">
        <f>HYPERLINK("https://twitter.com/alexkid18734651")</f>
        <v>https://twitter.com/alexkid18734651</v>
      </c>
      <c r="BP1243" s="2"/>
    </row>
    <row r="1244" spans="1:68" x14ac:dyDescent="0.25">
      <c r="A1244" s="63" t="s">
        <v>1275</v>
      </c>
      <c r="B1244" s="64"/>
      <c r="C1244" s="64"/>
      <c r="D1244" s="65"/>
      <c r="E1244" s="67"/>
      <c r="F1244" s="111" t="str">
        <f>HYPERLINK("https://pbs.twimg.com/profile_images/1693798116053377024/cxGXWjJM_normal.png")</f>
        <v>https://pbs.twimg.com/profile_images/1693798116053377024/cxGXWjJM_normal.png</v>
      </c>
      <c r="G1244" s="64"/>
      <c r="H1244" s="68"/>
      <c r="I1244" s="69"/>
      <c r="J1244" s="69"/>
      <c r="K1244" s="68" t="s">
        <v>30377</v>
      </c>
      <c r="L1244" s="72"/>
      <c r="M1244" s="73"/>
      <c r="N1244" s="73"/>
      <c r="O1244" s="74"/>
      <c r="P1244" s="75"/>
      <c r="Q1244" s="75"/>
      <c r="R1244" s="102"/>
      <c r="S1244" s="102"/>
      <c r="T1244" s="102"/>
      <c r="U1244" s="102"/>
      <c r="V1244" s="48"/>
      <c r="W1244" s="48"/>
      <c r="X1244" s="48"/>
      <c r="Y1244" s="48"/>
      <c r="Z1244" s="47"/>
      <c r="AA1244" s="70">
        <v>1244</v>
      </c>
      <c r="AB1244" s="70"/>
      <c r="AC1244" s="71"/>
      <c r="AD1244" s="86" t="s">
        <v>24844</v>
      </c>
      <c r="AE1244" s="94" t="s">
        <v>23400</v>
      </c>
      <c r="AF1244" s="86">
        <v>2</v>
      </c>
      <c r="AG1244" s="86">
        <v>84</v>
      </c>
      <c r="AH1244" s="86">
        <v>18</v>
      </c>
      <c r="AI1244" s="86">
        <v>0</v>
      </c>
      <c r="AJ1244" s="86">
        <v>9</v>
      </c>
      <c r="AK1244" s="86">
        <v>3</v>
      </c>
      <c r="AL1244" s="86" t="b">
        <v>0</v>
      </c>
      <c r="AM1244" s="89">
        <v>45160.063819444447</v>
      </c>
      <c r="AN1244" s="86"/>
      <c r="AO1244" s="86" t="s">
        <v>27555</v>
      </c>
      <c r="AP1244" s="96" t="str">
        <f>HYPERLINK("https://t.co/csYqKSaiyE")</f>
        <v>https://t.co/csYqKSaiyE</v>
      </c>
      <c r="AQ1244" s="96" t="str">
        <f>HYPERLINK("https://linktr.ee/beyoursco")</f>
        <v>https://linktr.ee/beyoursco</v>
      </c>
      <c r="AR1244" s="86" t="s">
        <v>28729</v>
      </c>
      <c r="AS1244" s="86"/>
      <c r="AT1244" s="86"/>
      <c r="AU1244" s="86"/>
      <c r="AV1244" s="86"/>
      <c r="AW1244" s="96" t="str">
        <f>HYPERLINK("https://t.co/csYqKSaiyE")</f>
        <v>https://t.co/csYqKSaiyE</v>
      </c>
      <c r="AX1244" s="86" t="b">
        <v>0</v>
      </c>
      <c r="AY1244" s="86"/>
      <c r="AZ1244" s="86"/>
      <c r="BA1244" s="86" t="b">
        <v>0</v>
      </c>
      <c r="BB1244" s="86" t="b">
        <v>1</v>
      </c>
      <c r="BC1244" s="86" t="b">
        <v>1</v>
      </c>
      <c r="BD1244" s="86" t="b">
        <v>0</v>
      </c>
      <c r="BE1244" s="86" t="b">
        <v>0</v>
      </c>
      <c r="BF1244" s="86" t="b">
        <v>0</v>
      </c>
      <c r="BG1244" s="86" t="b">
        <v>0</v>
      </c>
      <c r="BH1244" s="96" t="str">
        <f>HYPERLINK("https://pbs.twimg.com/profile_banners/1693798055047200768/1692669211")</f>
        <v>https://pbs.twimg.com/profile_banners/1693798055047200768/1692669211</v>
      </c>
      <c r="BI1244" s="86"/>
      <c r="BJ1244" s="86" t="s">
        <v>29134</v>
      </c>
      <c r="BK1244" s="86" t="b">
        <v>0</v>
      </c>
      <c r="BL1244" s="86"/>
      <c r="BM1244" s="86" t="s">
        <v>66</v>
      </c>
      <c r="BN1244" s="86" t="s">
        <v>29136</v>
      </c>
      <c r="BO1244" s="96" t="str">
        <f>HYPERLINK("https://twitter.com/beyourscompany")</f>
        <v>https://twitter.com/beyourscompany</v>
      </c>
      <c r="BP1244" s="2"/>
    </row>
    <row r="1245" spans="1:68" x14ac:dyDescent="0.25">
      <c r="A1245" s="63" t="s">
        <v>1276</v>
      </c>
      <c r="B1245" s="64"/>
      <c r="C1245" s="64"/>
      <c r="D1245" s="65"/>
      <c r="E1245" s="67"/>
      <c r="F1245" s="111" t="str">
        <f>HYPERLINK("https://pbs.twimg.com/profile_images/1699877978522423296/XoWVMjXY_normal.jpg")</f>
        <v>https://pbs.twimg.com/profile_images/1699877978522423296/XoWVMjXY_normal.jpg</v>
      </c>
      <c r="G1245" s="64"/>
      <c r="H1245" s="68"/>
      <c r="I1245" s="69"/>
      <c r="J1245" s="69"/>
      <c r="K1245" s="68" t="s">
        <v>30378</v>
      </c>
      <c r="L1245" s="72"/>
      <c r="M1245" s="73"/>
      <c r="N1245" s="73"/>
      <c r="O1245" s="74"/>
      <c r="P1245" s="75"/>
      <c r="Q1245" s="75"/>
      <c r="R1245" s="102"/>
      <c r="S1245" s="102"/>
      <c r="T1245" s="102"/>
      <c r="U1245" s="102"/>
      <c r="V1245" s="48"/>
      <c r="W1245" s="48"/>
      <c r="X1245" s="48"/>
      <c r="Y1245" s="48"/>
      <c r="Z1245" s="47"/>
      <c r="AA1245" s="70">
        <v>1245</v>
      </c>
      <c r="AB1245" s="70"/>
      <c r="AC1245" s="71"/>
      <c r="AD1245" s="86" t="s">
        <v>24845</v>
      </c>
      <c r="AE1245" s="94" t="s">
        <v>23401</v>
      </c>
      <c r="AF1245" s="86">
        <v>0</v>
      </c>
      <c r="AG1245" s="86">
        <v>2</v>
      </c>
      <c r="AH1245" s="86">
        <v>8</v>
      </c>
      <c r="AI1245" s="86">
        <v>0</v>
      </c>
      <c r="AJ1245" s="86">
        <v>6</v>
      </c>
      <c r="AK1245" s="86">
        <v>8</v>
      </c>
      <c r="AL1245" s="86" t="b">
        <v>0</v>
      </c>
      <c r="AM1245" s="89">
        <v>45176.838703703703</v>
      </c>
      <c r="AN1245" s="86"/>
      <c r="AO1245" s="86" t="s">
        <v>27556</v>
      </c>
      <c r="AP1245" s="96" t="str">
        <f>HYPERLINK("https://t.co/VRo2KUHdX5")</f>
        <v>https://t.co/VRo2KUHdX5</v>
      </c>
      <c r="AQ1245" s="96" t="str">
        <f>HYPERLINK("https://f2tips.com/pronavenda")</f>
        <v>https://f2tips.com/pronavenda</v>
      </c>
      <c r="AR1245" s="86" t="s">
        <v>28730</v>
      </c>
      <c r="AS1245" s="86"/>
      <c r="AT1245" s="86"/>
      <c r="AU1245" s="86"/>
      <c r="AV1245" s="86"/>
      <c r="AW1245" s="96" t="str">
        <f>HYPERLINK("https://t.co/VRo2KUHdX5")</f>
        <v>https://t.co/VRo2KUHdX5</v>
      </c>
      <c r="AX1245" s="86" t="b">
        <v>0</v>
      </c>
      <c r="AY1245" s="86"/>
      <c r="AZ1245" s="86"/>
      <c r="BA1245" s="86" t="b">
        <v>0</v>
      </c>
      <c r="BB1245" s="86" t="b">
        <v>1</v>
      </c>
      <c r="BC1245" s="86" t="b">
        <v>1</v>
      </c>
      <c r="BD1245" s="86" t="b">
        <v>0</v>
      </c>
      <c r="BE1245" s="86" t="b">
        <v>0</v>
      </c>
      <c r="BF1245" s="86" t="b">
        <v>0</v>
      </c>
      <c r="BG1245" s="86" t="b">
        <v>0</v>
      </c>
      <c r="BH1245" s="96" t="str">
        <f>HYPERLINK("https://pbs.twimg.com/profile_banners/1699877062096334848/1694117467")</f>
        <v>https://pbs.twimg.com/profile_banners/1699877062096334848/1694117467</v>
      </c>
      <c r="BI1245" s="86"/>
      <c r="BJ1245" s="86" t="s">
        <v>29134</v>
      </c>
      <c r="BK1245" s="86" t="b">
        <v>0</v>
      </c>
      <c r="BL1245" s="86"/>
      <c r="BM1245" s="86" t="s">
        <v>66</v>
      </c>
      <c r="BN1245" s="86" t="s">
        <v>29136</v>
      </c>
      <c r="BO1245" s="96" t="str">
        <f>HYPERLINK("https://twitter.com/tempodenegocio")</f>
        <v>https://twitter.com/tempodenegocio</v>
      </c>
      <c r="BP1245" s="2"/>
    </row>
    <row r="1246" spans="1:68" x14ac:dyDescent="0.25">
      <c r="A1246" s="63" t="s">
        <v>1277</v>
      </c>
      <c r="B1246" s="64"/>
      <c r="C1246" s="64"/>
      <c r="D1246" s="65"/>
      <c r="E1246" s="67"/>
      <c r="F1246" s="111" t="str">
        <f>HYPERLINK("https://pbs.twimg.com/profile_images/1688922806816526337/V06HgPaj_normal.jpg")</f>
        <v>https://pbs.twimg.com/profile_images/1688922806816526337/V06HgPaj_normal.jpg</v>
      </c>
      <c r="G1246" s="64"/>
      <c r="H1246" s="68"/>
      <c r="I1246" s="69"/>
      <c r="J1246" s="69"/>
      <c r="K1246" s="68" t="s">
        <v>30379</v>
      </c>
      <c r="L1246" s="72"/>
      <c r="M1246" s="73"/>
      <c r="N1246" s="73"/>
      <c r="O1246" s="74"/>
      <c r="P1246" s="75"/>
      <c r="Q1246" s="75"/>
      <c r="R1246" s="102"/>
      <c r="S1246" s="102"/>
      <c r="T1246" s="102"/>
      <c r="U1246" s="102"/>
      <c r="V1246" s="48"/>
      <c r="W1246" s="48"/>
      <c r="X1246" s="48"/>
      <c r="Y1246" s="48"/>
      <c r="Z1246" s="47"/>
      <c r="AA1246" s="70">
        <v>1246</v>
      </c>
      <c r="AB1246" s="70"/>
      <c r="AC1246" s="71"/>
      <c r="AD1246" s="86" t="s">
        <v>24846</v>
      </c>
      <c r="AE1246" s="94" t="s">
        <v>23402</v>
      </c>
      <c r="AF1246" s="86">
        <v>70</v>
      </c>
      <c r="AG1246" s="86">
        <v>287</v>
      </c>
      <c r="AH1246" s="86">
        <v>373</v>
      </c>
      <c r="AI1246" s="86">
        <v>0</v>
      </c>
      <c r="AJ1246" s="86">
        <v>45</v>
      </c>
      <c r="AK1246" s="86">
        <v>22</v>
      </c>
      <c r="AL1246" s="86" t="b">
        <v>0</v>
      </c>
      <c r="AM1246" s="89">
        <v>45146.610300925924</v>
      </c>
      <c r="AN1246" s="86" t="s">
        <v>26311</v>
      </c>
      <c r="AO1246" s="86" t="s">
        <v>27557</v>
      </c>
      <c r="AP1246" s="96" t="str">
        <f>HYPERLINK("https://t.co/Ibp32ds6Ht")</f>
        <v>https://t.co/Ibp32ds6Ht</v>
      </c>
      <c r="AQ1246" s="96" t="str">
        <f>HYPERLINK("https://www.newssantacatarina.com.br/")</f>
        <v>https://www.newssantacatarina.com.br/</v>
      </c>
      <c r="AR1246" s="86" t="s">
        <v>28731</v>
      </c>
      <c r="AS1246" s="86"/>
      <c r="AT1246" s="86"/>
      <c r="AU1246" s="86"/>
      <c r="AV1246" s="86"/>
      <c r="AW1246" s="96" t="str">
        <f>HYPERLINK("https://t.co/Ibp32ds6Ht")</f>
        <v>https://t.co/Ibp32ds6Ht</v>
      </c>
      <c r="AX1246" s="86" t="b">
        <v>0</v>
      </c>
      <c r="AY1246" s="86"/>
      <c r="AZ1246" s="86"/>
      <c r="BA1246" s="86" t="b">
        <v>0</v>
      </c>
      <c r="BB1246" s="86" t="b">
        <v>1</v>
      </c>
      <c r="BC1246" s="86" t="b">
        <v>1</v>
      </c>
      <c r="BD1246" s="86" t="b">
        <v>0</v>
      </c>
      <c r="BE1246" s="86" t="b">
        <v>0</v>
      </c>
      <c r="BF1246" s="86" t="b">
        <v>0</v>
      </c>
      <c r="BG1246" s="86" t="b">
        <v>0</v>
      </c>
      <c r="BH1246" s="96" t="str">
        <f>HYPERLINK("https://pbs.twimg.com/profile_banners/1688922573688745984/1694520868")</f>
        <v>https://pbs.twimg.com/profile_banners/1688922573688745984/1694520868</v>
      </c>
      <c r="BI1246" s="86"/>
      <c r="BJ1246" s="86" t="s">
        <v>29134</v>
      </c>
      <c r="BK1246" s="86" t="b">
        <v>0</v>
      </c>
      <c r="BL1246" s="86"/>
      <c r="BM1246" s="86" t="s">
        <v>66</v>
      </c>
      <c r="BN1246" s="86" t="s">
        <v>29136</v>
      </c>
      <c r="BO1246" s="96" t="str">
        <f>HYPERLINK("https://twitter.com/newscatarina")</f>
        <v>https://twitter.com/newscatarina</v>
      </c>
      <c r="BP1246" s="2"/>
    </row>
    <row r="1247" spans="1:68" x14ac:dyDescent="0.25">
      <c r="A1247" s="63" t="s">
        <v>1278</v>
      </c>
      <c r="B1247" s="64"/>
      <c r="C1247" s="64"/>
      <c r="D1247" s="65"/>
      <c r="E1247" s="67"/>
      <c r="F1247" s="111" t="str">
        <f>HYPERLINK("https://pbs.twimg.com/profile_images/1654237553636065282/s_FbzlFY_normal.jpg")</f>
        <v>https://pbs.twimg.com/profile_images/1654237553636065282/s_FbzlFY_normal.jpg</v>
      </c>
      <c r="G1247" s="64"/>
      <c r="H1247" s="68"/>
      <c r="I1247" s="69"/>
      <c r="J1247" s="69"/>
      <c r="K1247" s="68" t="s">
        <v>30380</v>
      </c>
      <c r="L1247" s="72"/>
      <c r="M1247" s="73"/>
      <c r="N1247" s="73"/>
      <c r="O1247" s="74"/>
      <c r="P1247" s="75"/>
      <c r="Q1247" s="75"/>
      <c r="R1247" s="102"/>
      <c r="S1247" s="102"/>
      <c r="T1247" s="102"/>
      <c r="U1247" s="102"/>
      <c r="V1247" s="48"/>
      <c r="W1247" s="48"/>
      <c r="X1247" s="48"/>
      <c r="Y1247" s="48"/>
      <c r="Z1247" s="47"/>
      <c r="AA1247" s="70">
        <v>1247</v>
      </c>
      <c r="AB1247" s="70"/>
      <c r="AC1247" s="71"/>
      <c r="AD1247" s="86" t="s">
        <v>24847</v>
      </c>
      <c r="AE1247" s="94" t="s">
        <v>23403</v>
      </c>
      <c r="AF1247" s="86">
        <v>454</v>
      </c>
      <c r="AG1247" s="86">
        <v>1368</v>
      </c>
      <c r="AH1247" s="86">
        <v>7954</v>
      </c>
      <c r="AI1247" s="86">
        <v>0</v>
      </c>
      <c r="AJ1247" s="86">
        <v>728</v>
      </c>
      <c r="AK1247" s="86">
        <v>4864</v>
      </c>
      <c r="AL1247" s="86" t="b">
        <v>0</v>
      </c>
      <c r="AM1247" s="89">
        <v>44267.587106481478</v>
      </c>
      <c r="AN1247" s="86" t="s">
        <v>15425</v>
      </c>
      <c r="AO1247" s="86" t="s">
        <v>27558</v>
      </c>
      <c r="AP1247" s="96" t="str">
        <f>HYPERLINK("https://t.co/6VV1JNFIPN")</f>
        <v>https://t.co/6VV1JNFIPN</v>
      </c>
      <c r="AQ1247" s="96" t="str">
        <f>HYPERLINK("https://onjornal.com/")</f>
        <v>https://onjornal.com/</v>
      </c>
      <c r="AR1247" s="86" t="s">
        <v>28732</v>
      </c>
      <c r="AS1247" s="86"/>
      <c r="AT1247" s="86"/>
      <c r="AU1247" s="86"/>
      <c r="AV1247" s="86"/>
      <c r="AW1247" s="96" t="str">
        <f>HYPERLINK("https://t.co/6VV1JNFIPN")</f>
        <v>https://t.co/6VV1JNFIPN</v>
      </c>
      <c r="AX1247" s="86" t="b">
        <v>0</v>
      </c>
      <c r="AY1247" s="86"/>
      <c r="AZ1247" s="86"/>
      <c r="BA1247" s="86" t="b">
        <v>0</v>
      </c>
      <c r="BB1247" s="86" t="b">
        <v>1</v>
      </c>
      <c r="BC1247" s="86" t="b">
        <v>1</v>
      </c>
      <c r="BD1247" s="86" t="b">
        <v>0</v>
      </c>
      <c r="BE1247" s="86" t="b">
        <v>0</v>
      </c>
      <c r="BF1247" s="86" t="b">
        <v>0</v>
      </c>
      <c r="BG1247" s="86" t="b">
        <v>0</v>
      </c>
      <c r="BH1247" s="96" t="str">
        <f>HYPERLINK("https://pbs.twimg.com/profile_banners/1370375263356395524/1683235944")</f>
        <v>https://pbs.twimg.com/profile_banners/1370375263356395524/1683235944</v>
      </c>
      <c r="BI1247" s="86"/>
      <c r="BJ1247" s="86" t="s">
        <v>29134</v>
      </c>
      <c r="BK1247" s="86" t="b">
        <v>0</v>
      </c>
      <c r="BL1247" s="86"/>
      <c r="BM1247" s="86" t="s">
        <v>66</v>
      </c>
      <c r="BN1247" s="86" t="s">
        <v>29136</v>
      </c>
      <c r="BO1247" s="96" t="str">
        <f>HYPERLINK("https://twitter.com/onjornal1")</f>
        <v>https://twitter.com/onjornal1</v>
      </c>
      <c r="BP1247" s="2"/>
    </row>
    <row r="1248" spans="1:68" x14ac:dyDescent="0.25">
      <c r="A1248" s="63" t="s">
        <v>1279</v>
      </c>
      <c r="B1248" s="64"/>
      <c r="C1248" s="64"/>
      <c r="D1248" s="65"/>
      <c r="E1248" s="67"/>
      <c r="F1248" s="111" t="str">
        <f>HYPERLINK("https://pbs.twimg.com/profile_images/1670917140889882625/IvGDMaJf_normal.jpg")</f>
        <v>https://pbs.twimg.com/profile_images/1670917140889882625/IvGDMaJf_normal.jpg</v>
      </c>
      <c r="G1248" s="64"/>
      <c r="H1248" s="68"/>
      <c r="I1248" s="69"/>
      <c r="J1248" s="69"/>
      <c r="K1248" s="68" t="s">
        <v>30381</v>
      </c>
      <c r="L1248" s="72"/>
      <c r="M1248" s="73"/>
      <c r="N1248" s="73"/>
      <c r="O1248" s="74"/>
      <c r="P1248" s="75"/>
      <c r="Q1248" s="75"/>
      <c r="R1248" s="102"/>
      <c r="S1248" s="102"/>
      <c r="T1248" s="102"/>
      <c r="U1248" s="102"/>
      <c r="V1248" s="48"/>
      <c r="W1248" s="48"/>
      <c r="X1248" s="48"/>
      <c r="Y1248" s="48"/>
      <c r="Z1248" s="47"/>
      <c r="AA1248" s="70">
        <v>1248</v>
      </c>
      <c r="AB1248" s="70"/>
      <c r="AC1248" s="71"/>
      <c r="AD1248" s="86" t="s">
        <v>24848</v>
      </c>
      <c r="AE1248" s="94" t="s">
        <v>23404</v>
      </c>
      <c r="AF1248" s="86">
        <v>19</v>
      </c>
      <c r="AG1248" s="86">
        <v>102</v>
      </c>
      <c r="AH1248" s="86">
        <v>195</v>
      </c>
      <c r="AI1248" s="86">
        <v>3</v>
      </c>
      <c r="AJ1248" s="86">
        <v>49</v>
      </c>
      <c r="AK1248" s="86">
        <v>36</v>
      </c>
      <c r="AL1248" s="86" t="b">
        <v>0</v>
      </c>
      <c r="AM1248" s="89">
        <v>42946.625821759262</v>
      </c>
      <c r="AN1248" s="86" t="s">
        <v>26312</v>
      </c>
      <c r="AO1248" s="86" t="s">
        <v>27559</v>
      </c>
      <c r="AP1248" s="96" t="str">
        <f>HYPERLINK("https://t.co/kqNMFhLIV6")</f>
        <v>https://t.co/kqNMFhLIV6</v>
      </c>
      <c r="AQ1248" s="96" t="str">
        <f>HYPERLINK("http://www.bspa.com.br")</f>
        <v>http://www.bspa.com.br</v>
      </c>
      <c r="AR1248" s="86" t="s">
        <v>28733</v>
      </c>
      <c r="AS1248" s="86"/>
      <c r="AT1248" s="86"/>
      <c r="AU1248" s="86"/>
      <c r="AV1248" s="86"/>
      <c r="AW1248" s="96" t="str">
        <f>HYPERLINK("https://t.co/kqNMFhLIV6")</f>
        <v>https://t.co/kqNMFhLIV6</v>
      </c>
      <c r="AX1248" s="86" t="b">
        <v>0</v>
      </c>
      <c r="AY1248" s="86"/>
      <c r="AZ1248" s="86"/>
      <c r="BA1248" s="86" t="b">
        <v>0</v>
      </c>
      <c r="BB1248" s="86" t="b">
        <v>1</v>
      </c>
      <c r="BC1248" s="86" t="b">
        <v>1</v>
      </c>
      <c r="BD1248" s="86" t="b">
        <v>0</v>
      </c>
      <c r="BE1248" s="86" t="b">
        <v>0</v>
      </c>
      <c r="BF1248" s="86" t="b">
        <v>0</v>
      </c>
      <c r="BG1248" s="86" t="b">
        <v>0</v>
      </c>
      <c r="BH1248" s="96" t="str">
        <f>HYPERLINK("https://pbs.twimg.com/profile_banners/891675043910094848/1589756450")</f>
        <v>https://pbs.twimg.com/profile_banners/891675043910094848/1589756450</v>
      </c>
      <c r="BI1248" s="86"/>
      <c r="BJ1248" s="86" t="s">
        <v>29134</v>
      </c>
      <c r="BK1248" s="86" t="b">
        <v>0</v>
      </c>
      <c r="BL1248" s="86"/>
      <c r="BM1248" s="86" t="s">
        <v>66</v>
      </c>
      <c r="BN1248" s="86" t="s">
        <v>29136</v>
      </c>
      <c r="BO1248" s="96" t="str">
        <f>HYPERLINK("https://twitter.com/barbara_alcan")</f>
        <v>https://twitter.com/barbara_alcan</v>
      </c>
      <c r="BP1248" s="2"/>
    </row>
    <row r="1249" spans="1:68" x14ac:dyDescent="0.25">
      <c r="A1249" s="63" t="s">
        <v>1280</v>
      </c>
      <c r="B1249" s="64"/>
      <c r="C1249" s="64"/>
      <c r="D1249" s="65"/>
      <c r="E1249" s="67"/>
      <c r="F1249" s="111" t="str">
        <f>HYPERLINK("https://pbs.twimg.com/profile_images/1670086977113186305/4Vtn0Wux_normal.png")</f>
        <v>https://pbs.twimg.com/profile_images/1670086977113186305/4Vtn0Wux_normal.png</v>
      </c>
      <c r="G1249" s="64"/>
      <c r="H1249" s="68"/>
      <c r="I1249" s="69"/>
      <c r="J1249" s="69"/>
      <c r="K1249" s="68" t="s">
        <v>30382</v>
      </c>
      <c r="L1249" s="72"/>
      <c r="M1249" s="73"/>
      <c r="N1249" s="73"/>
      <c r="O1249" s="74"/>
      <c r="P1249" s="75"/>
      <c r="Q1249" s="75"/>
      <c r="R1249" s="102"/>
      <c r="S1249" s="102"/>
      <c r="T1249" s="102"/>
      <c r="U1249" s="102"/>
      <c r="V1249" s="48"/>
      <c r="W1249" s="48"/>
      <c r="X1249" s="48"/>
      <c r="Y1249" s="48"/>
      <c r="Z1249" s="47"/>
      <c r="AA1249" s="70">
        <v>1249</v>
      </c>
      <c r="AB1249" s="70"/>
      <c r="AC1249" s="71"/>
      <c r="AD1249" s="86" t="s">
        <v>1280</v>
      </c>
      <c r="AE1249" s="94" t="s">
        <v>23405</v>
      </c>
      <c r="AF1249" s="86">
        <v>1796</v>
      </c>
      <c r="AG1249" s="86">
        <v>2523</v>
      </c>
      <c r="AH1249" s="86">
        <v>531</v>
      </c>
      <c r="AI1249" s="86">
        <v>0</v>
      </c>
      <c r="AJ1249" s="86">
        <v>557</v>
      </c>
      <c r="AK1249" s="86">
        <v>241</v>
      </c>
      <c r="AL1249" s="86" t="b">
        <v>0</v>
      </c>
      <c r="AM1249" s="89">
        <v>45094.63354166667</v>
      </c>
      <c r="AN1249" s="86" t="s">
        <v>25930</v>
      </c>
      <c r="AO1249" s="86" t="s">
        <v>27560</v>
      </c>
      <c r="AP1249" s="96" t="str">
        <f>HYPERLINK("https://t.co/ZQwN0Eptyb")</f>
        <v>https://t.co/ZQwN0Eptyb</v>
      </c>
      <c r="AQ1249" s="96" t="str">
        <f>HYPERLINK("https://linktr.ee/workshopdantas")</f>
        <v>https://linktr.ee/workshopdantas</v>
      </c>
      <c r="AR1249" s="86" t="s">
        <v>28734</v>
      </c>
      <c r="AS1249" s="86"/>
      <c r="AT1249" s="86"/>
      <c r="AU1249" s="86"/>
      <c r="AV1249" s="86">
        <v>1.7059997243507699E+18</v>
      </c>
      <c r="AW1249" s="96" t="str">
        <f>HYPERLINK("https://t.co/ZQwN0Eptyb")</f>
        <v>https://t.co/ZQwN0Eptyb</v>
      </c>
      <c r="AX1249" s="86" t="b">
        <v>0</v>
      </c>
      <c r="AY1249" s="86"/>
      <c r="AZ1249" s="86"/>
      <c r="BA1249" s="86" t="b">
        <v>1</v>
      </c>
      <c r="BB1249" s="86" t="b">
        <v>1</v>
      </c>
      <c r="BC1249" s="86" t="b">
        <v>1</v>
      </c>
      <c r="BD1249" s="86" t="b">
        <v>0</v>
      </c>
      <c r="BE1249" s="86" t="b">
        <v>0</v>
      </c>
      <c r="BF1249" s="86" t="b">
        <v>0</v>
      </c>
      <c r="BG1249" s="86" t="b">
        <v>0</v>
      </c>
      <c r="BH1249" s="96" t="str">
        <f>HYPERLINK("https://pbs.twimg.com/profile_banners/1670086879197233152/1695815333")</f>
        <v>https://pbs.twimg.com/profile_banners/1670086879197233152/1695815333</v>
      </c>
      <c r="BI1249" s="86"/>
      <c r="BJ1249" s="86" t="s">
        <v>29134</v>
      </c>
      <c r="BK1249" s="86" t="b">
        <v>0</v>
      </c>
      <c r="BL1249" s="86"/>
      <c r="BM1249" s="86" t="s">
        <v>66</v>
      </c>
      <c r="BN1249" s="86" t="s">
        <v>29136</v>
      </c>
      <c r="BO1249" s="96" t="str">
        <f>HYPERLINK("https://twitter.com/workshopdantas")</f>
        <v>https://twitter.com/workshopdantas</v>
      </c>
      <c r="BP1249" s="2"/>
    </row>
    <row r="1250" spans="1:68" x14ac:dyDescent="0.25">
      <c r="A1250" s="63" t="s">
        <v>1795</v>
      </c>
      <c r="B1250" s="64"/>
      <c r="C1250" s="64"/>
      <c r="D1250" s="65"/>
      <c r="E1250" s="67"/>
      <c r="F1250" s="111" t="str">
        <f>HYPERLINK("https://pbs.twimg.com/profile_images/1630217574100213762/SAMK-BnB_normal.jpg")</f>
        <v>https://pbs.twimg.com/profile_images/1630217574100213762/SAMK-BnB_normal.jpg</v>
      </c>
      <c r="G1250" s="64"/>
      <c r="H1250" s="68"/>
      <c r="I1250" s="69"/>
      <c r="J1250" s="69"/>
      <c r="K1250" s="68" t="s">
        <v>30383</v>
      </c>
      <c r="L1250" s="72"/>
      <c r="M1250" s="73"/>
      <c r="N1250" s="73"/>
      <c r="O1250" s="74"/>
      <c r="P1250" s="75"/>
      <c r="Q1250" s="75"/>
      <c r="R1250" s="102"/>
      <c r="S1250" s="102"/>
      <c r="T1250" s="102"/>
      <c r="U1250" s="102"/>
      <c r="V1250" s="48"/>
      <c r="W1250" s="48"/>
      <c r="X1250" s="48"/>
      <c r="Y1250" s="48"/>
      <c r="Z1250" s="47"/>
      <c r="AA1250" s="70">
        <v>1250</v>
      </c>
      <c r="AB1250" s="70"/>
      <c r="AC1250" s="71"/>
      <c r="AD1250" s="86" t="s">
        <v>24849</v>
      </c>
      <c r="AE1250" s="94" t="s">
        <v>25727</v>
      </c>
      <c r="AF1250" s="86">
        <v>8245347</v>
      </c>
      <c r="AG1250" s="86">
        <v>2901</v>
      </c>
      <c r="AH1250" s="86">
        <v>32053</v>
      </c>
      <c r="AI1250" s="86">
        <v>5631</v>
      </c>
      <c r="AJ1250" s="86">
        <v>15829</v>
      </c>
      <c r="AK1250" s="86">
        <v>6456</v>
      </c>
      <c r="AL1250" s="86" t="b">
        <v>0</v>
      </c>
      <c r="AM1250" s="89">
        <v>41842.900578703702</v>
      </c>
      <c r="AN1250" s="86" t="s">
        <v>15256</v>
      </c>
      <c r="AO1250" s="86" t="s">
        <v>27561</v>
      </c>
      <c r="AP1250" s="96" t="str">
        <f>HYPERLINK("https://t.co/FWDIwBcWRa")</f>
        <v>https://t.co/FWDIwBcWRa</v>
      </c>
      <c r="AQ1250" s="96" t="str">
        <f>HYPERLINK("https://lula.com.br/siga-o-lula/")</f>
        <v>https://lula.com.br/siga-o-lula/</v>
      </c>
      <c r="AR1250" s="86" t="s">
        <v>28735</v>
      </c>
      <c r="AS1250" s="86"/>
      <c r="AT1250" s="86"/>
      <c r="AU1250" s="86"/>
      <c r="AV1250" s="86">
        <v>1.66105073773486E+18</v>
      </c>
      <c r="AW1250" s="96" t="str">
        <f>HYPERLINK("https://t.co/FWDIwBcWRa")</f>
        <v>https://t.co/FWDIwBcWRa</v>
      </c>
      <c r="AX1250" s="86" t="b">
        <v>1</v>
      </c>
      <c r="AY1250" s="86"/>
      <c r="AZ1250" s="86"/>
      <c r="BA1250" s="86" t="b">
        <v>0</v>
      </c>
      <c r="BB1250" s="86" t="b">
        <v>1</v>
      </c>
      <c r="BC1250" s="86" t="b">
        <v>1</v>
      </c>
      <c r="BD1250" s="86" t="b">
        <v>0</v>
      </c>
      <c r="BE1250" s="86" t="b">
        <v>1</v>
      </c>
      <c r="BF1250" s="86" t="b">
        <v>0</v>
      </c>
      <c r="BG1250" s="86" t="b">
        <v>0</v>
      </c>
      <c r="BH1250" s="96" t="str">
        <f>HYPERLINK("https://pbs.twimg.com/profile_banners/2670726740/1672662238")</f>
        <v>https://pbs.twimg.com/profile_banners/2670726740/1672662238</v>
      </c>
      <c r="BI1250" s="86"/>
      <c r="BJ1250" s="86" t="s">
        <v>29134</v>
      </c>
      <c r="BK1250" s="86" t="b">
        <v>0</v>
      </c>
      <c r="BL1250" s="86"/>
      <c r="BM1250" s="86" t="s">
        <v>65</v>
      </c>
      <c r="BN1250" s="86" t="s">
        <v>29136</v>
      </c>
      <c r="BO1250" s="96" t="str">
        <f>HYPERLINK("https://twitter.com/lulaoficial")</f>
        <v>https://twitter.com/lulaoficial</v>
      </c>
      <c r="BP1250" s="2"/>
    </row>
    <row r="1251" spans="1:68" x14ac:dyDescent="0.25">
      <c r="A1251" s="63" t="s">
        <v>1796</v>
      </c>
      <c r="B1251" s="64"/>
      <c r="C1251" s="64"/>
      <c r="D1251" s="65"/>
      <c r="E1251" s="67"/>
      <c r="F1251" s="111" t="str">
        <f>HYPERLINK("https://pbs.twimg.com/profile_images/442744104674660353/zGV7ZcFZ_normal.jpeg")</f>
        <v>https://pbs.twimg.com/profile_images/442744104674660353/zGV7ZcFZ_normal.jpeg</v>
      </c>
      <c r="G1251" s="64"/>
      <c r="H1251" s="68"/>
      <c r="I1251" s="69"/>
      <c r="J1251" s="69"/>
      <c r="K1251" s="68" t="s">
        <v>30384</v>
      </c>
      <c r="L1251" s="72"/>
      <c r="M1251" s="73"/>
      <c r="N1251" s="73"/>
      <c r="O1251" s="74"/>
      <c r="P1251" s="75"/>
      <c r="Q1251" s="75"/>
      <c r="R1251" s="102"/>
      <c r="S1251" s="102"/>
      <c r="T1251" s="102"/>
      <c r="U1251" s="102"/>
      <c r="V1251" s="48"/>
      <c r="W1251" s="48"/>
      <c r="X1251" s="48"/>
      <c r="Y1251" s="48"/>
      <c r="Z1251" s="47"/>
      <c r="AA1251" s="70">
        <v>1251</v>
      </c>
      <c r="AB1251" s="70"/>
      <c r="AC1251" s="71"/>
      <c r="AD1251" s="86" t="s">
        <v>24850</v>
      </c>
      <c r="AE1251" s="94" t="s">
        <v>25728</v>
      </c>
      <c r="AF1251" s="86">
        <v>1480421</v>
      </c>
      <c r="AG1251" s="86">
        <v>1077</v>
      </c>
      <c r="AH1251" s="86">
        <v>240717</v>
      </c>
      <c r="AI1251" s="86">
        <v>2689</v>
      </c>
      <c r="AJ1251" s="86">
        <v>548</v>
      </c>
      <c r="AK1251" s="86">
        <v>17746</v>
      </c>
      <c r="AL1251" s="86" t="b">
        <v>0</v>
      </c>
      <c r="AM1251" s="89">
        <v>39782.416909722226</v>
      </c>
      <c r="AN1251" s="86" t="s">
        <v>26313</v>
      </c>
      <c r="AO1251" s="86" t="s">
        <v>27562</v>
      </c>
      <c r="AP1251" s="96" t="str">
        <f>HYPERLINK("https://t.co/SQ4XChxlul")</f>
        <v>https://t.co/SQ4XChxlul</v>
      </c>
      <c r="AQ1251" s="96" t="str">
        <f>HYPERLINK("http://about.me/rogermoreira")</f>
        <v>http://about.me/rogermoreira</v>
      </c>
      <c r="AR1251" s="86" t="s">
        <v>28736</v>
      </c>
      <c r="AS1251" s="86"/>
      <c r="AT1251" s="86"/>
      <c r="AU1251" s="86"/>
      <c r="AV1251" s="86">
        <v>1.01436084217391E+18</v>
      </c>
      <c r="AW1251" s="96" t="str">
        <f>HYPERLINK("https://t.co/SQ4XChxlul")</f>
        <v>https://t.co/SQ4XChxlul</v>
      </c>
      <c r="AX1251" s="86" t="b">
        <v>1</v>
      </c>
      <c r="AY1251" s="86"/>
      <c r="AZ1251" s="86"/>
      <c r="BA1251" s="86" t="b">
        <v>0</v>
      </c>
      <c r="BB1251" s="86" t="b">
        <v>0</v>
      </c>
      <c r="BC1251" s="86" t="b">
        <v>0</v>
      </c>
      <c r="BD1251" s="86" t="b">
        <v>0</v>
      </c>
      <c r="BE1251" s="86" t="b">
        <v>1</v>
      </c>
      <c r="BF1251" s="86" t="b">
        <v>0</v>
      </c>
      <c r="BG1251" s="86" t="b">
        <v>0</v>
      </c>
      <c r="BH1251" s="96" t="str">
        <f>HYPERLINK("https://pbs.twimg.com/profile_banners/17752026/1401135237")</f>
        <v>https://pbs.twimg.com/profile_banners/17752026/1401135237</v>
      </c>
      <c r="BI1251" s="86"/>
      <c r="BJ1251" s="86" t="s">
        <v>29134</v>
      </c>
      <c r="BK1251" s="86" t="b">
        <v>0</v>
      </c>
      <c r="BL1251" s="86"/>
      <c r="BM1251" s="86" t="s">
        <v>65</v>
      </c>
      <c r="BN1251" s="86" t="s">
        <v>29136</v>
      </c>
      <c r="BO1251" s="96" t="str">
        <f>HYPERLINK("https://twitter.com/roxmo")</f>
        <v>https://twitter.com/roxmo</v>
      </c>
      <c r="BP1251" s="2"/>
    </row>
    <row r="1252" spans="1:68" x14ac:dyDescent="0.25">
      <c r="A1252" s="63" t="s">
        <v>1797</v>
      </c>
      <c r="B1252" s="64"/>
      <c r="C1252" s="64"/>
      <c r="D1252" s="65"/>
      <c r="E1252" s="67"/>
      <c r="F1252" s="111" t="str">
        <f>HYPERLINK("https://pbs.twimg.com/profile_images/1595550170577608706/8tInBlku_normal.jpg")</f>
        <v>https://pbs.twimg.com/profile_images/1595550170577608706/8tInBlku_normal.jpg</v>
      </c>
      <c r="G1252" s="64"/>
      <c r="H1252" s="68"/>
      <c r="I1252" s="69"/>
      <c r="J1252" s="69"/>
      <c r="K1252" s="68" t="s">
        <v>30385</v>
      </c>
      <c r="L1252" s="72"/>
      <c r="M1252" s="73"/>
      <c r="N1252" s="73"/>
      <c r="O1252" s="74"/>
      <c r="P1252" s="75"/>
      <c r="Q1252" s="75"/>
      <c r="R1252" s="102"/>
      <c r="S1252" s="102"/>
      <c r="T1252" s="102"/>
      <c r="U1252" s="102"/>
      <c r="V1252" s="48"/>
      <c r="W1252" s="48"/>
      <c r="X1252" s="48"/>
      <c r="Y1252" s="48"/>
      <c r="Z1252" s="47"/>
      <c r="AA1252" s="70">
        <v>1252</v>
      </c>
      <c r="AB1252" s="70"/>
      <c r="AC1252" s="71"/>
      <c r="AD1252" s="86" t="s">
        <v>24851</v>
      </c>
      <c r="AE1252" s="94" t="s">
        <v>25729</v>
      </c>
      <c r="AF1252" s="86">
        <v>993245</v>
      </c>
      <c r="AG1252" s="86">
        <v>2744</v>
      </c>
      <c r="AH1252" s="86">
        <v>29113</v>
      </c>
      <c r="AI1252" s="86">
        <v>866</v>
      </c>
      <c r="AJ1252" s="86">
        <v>24611</v>
      </c>
      <c r="AK1252" s="86">
        <v>6445</v>
      </c>
      <c r="AL1252" s="86" t="b">
        <v>0</v>
      </c>
      <c r="AM1252" s="89">
        <v>39922.032187500001</v>
      </c>
      <c r="AN1252" s="86" t="s">
        <v>15372</v>
      </c>
      <c r="AO1252" s="86" t="s">
        <v>27563</v>
      </c>
      <c r="AP1252" s="96" t="str">
        <f>HYPERLINK("https://t.co/ovdHS3VMXG")</f>
        <v>https://t.co/ovdHS3VMXG</v>
      </c>
      <c r="AQ1252" s="96" t="str">
        <f>HYPERLINK("https://instagram.com/robertomottaoficial")</f>
        <v>https://instagram.com/robertomottaoficial</v>
      </c>
      <c r="AR1252" s="86" t="s">
        <v>28737</v>
      </c>
      <c r="AS1252" s="86"/>
      <c r="AT1252" s="86"/>
      <c r="AU1252" s="86"/>
      <c r="AV1252" s="86"/>
      <c r="AW1252" s="96" t="str">
        <f>HYPERLINK("https://t.co/ovdHS3VMXG")</f>
        <v>https://t.co/ovdHS3VMXG</v>
      </c>
      <c r="AX1252" s="86" t="b">
        <v>1</v>
      </c>
      <c r="AY1252" s="86"/>
      <c r="AZ1252" s="86"/>
      <c r="BA1252" s="86" t="b">
        <v>0</v>
      </c>
      <c r="BB1252" s="86" t="b">
        <v>0</v>
      </c>
      <c r="BC1252" s="86" t="b">
        <v>1</v>
      </c>
      <c r="BD1252" s="86" t="b">
        <v>0</v>
      </c>
      <c r="BE1252" s="86" t="b">
        <v>1</v>
      </c>
      <c r="BF1252" s="86" t="b">
        <v>0</v>
      </c>
      <c r="BG1252" s="86" t="b">
        <v>0</v>
      </c>
      <c r="BH1252" s="96" t="str">
        <f>HYPERLINK("https://pbs.twimg.com/profile_banners/33071040/1673989418")</f>
        <v>https://pbs.twimg.com/profile_banners/33071040/1673989418</v>
      </c>
      <c r="BI1252" s="86"/>
      <c r="BJ1252" s="86" t="s">
        <v>29134</v>
      </c>
      <c r="BK1252" s="86" t="b">
        <v>0</v>
      </c>
      <c r="BL1252" s="86"/>
      <c r="BM1252" s="86" t="s">
        <v>65</v>
      </c>
      <c r="BN1252" s="86" t="s">
        <v>29136</v>
      </c>
      <c r="BO1252" s="96" t="str">
        <f>HYPERLINK("https://twitter.com/rmotta2")</f>
        <v>https://twitter.com/rmotta2</v>
      </c>
      <c r="BP1252" s="2"/>
    </row>
    <row r="1253" spans="1:68" x14ac:dyDescent="0.25">
      <c r="A1253" s="63" t="s">
        <v>1281</v>
      </c>
      <c r="B1253" s="64"/>
      <c r="C1253" s="64"/>
      <c r="D1253" s="65"/>
      <c r="E1253" s="67"/>
      <c r="F1253" s="111" t="str">
        <f>HYPERLINK("https://pbs.twimg.com/profile_images/981906789838016513/iuFn0WzC_normal.jpg")</f>
        <v>https://pbs.twimg.com/profile_images/981906789838016513/iuFn0WzC_normal.jpg</v>
      </c>
      <c r="G1253" s="64"/>
      <c r="H1253" s="68"/>
      <c r="I1253" s="69"/>
      <c r="J1253" s="69"/>
      <c r="K1253" s="68" t="s">
        <v>30386</v>
      </c>
      <c r="L1253" s="72"/>
      <c r="M1253" s="73"/>
      <c r="N1253" s="73"/>
      <c r="O1253" s="74"/>
      <c r="P1253" s="75"/>
      <c r="Q1253" s="75"/>
      <c r="R1253" s="102"/>
      <c r="S1253" s="102"/>
      <c r="T1253" s="102"/>
      <c r="U1253" s="102"/>
      <c r="V1253" s="48"/>
      <c r="W1253" s="48"/>
      <c r="X1253" s="48"/>
      <c r="Y1253" s="48"/>
      <c r="Z1253" s="47"/>
      <c r="AA1253" s="70">
        <v>1253</v>
      </c>
      <c r="AB1253" s="70"/>
      <c r="AC1253" s="71"/>
      <c r="AD1253" s="86" t="s">
        <v>24852</v>
      </c>
      <c r="AE1253" s="94" t="s">
        <v>23406</v>
      </c>
      <c r="AF1253" s="86">
        <v>5855</v>
      </c>
      <c r="AG1253" s="86">
        <v>266</v>
      </c>
      <c r="AH1253" s="86">
        <v>12355</v>
      </c>
      <c r="AI1253" s="86">
        <v>14</v>
      </c>
      <c r="AJ1253" s="86">
        <v>51</v>
      </c>
      <c r="AK1253" s="86">
        <v>43</v>
      </c>
      <c r="AL1253" s="86" t="b">
        <v>0</v>
      </c>
      <c r="AM1253" s="89">
        <v>43195.608298611114</v>
      </c>
      <c r="AN1253" s="86" t="s">
        <v>26133</v>
      </c>
      <c r="AO1253" s="86" t="s">
        <v>27564</v>
      </c>
      <c r="AP1253" s="86"/>
      <c r="AQ1253" s="86"/>
      <c r="AR1253" s="86"/>
      <c r="AS1253" s="96" t="str">
        <f>HYPERLINK("https://t.co/6MTgsxMD8v")</f>
        <v>https://t.co/6MTgsxMD8v</v>
      </c>
      <c r="AT1253" s="96" t="str">
        <f>HYPERLINK("http://www.diariodeuberlandia.com.br")</f>
        <v>http://www.diariodeuberlandia.com.br</v>
      </c>
      <c r="AU1253" s="86" t="s">
        <v>29111</v>
      </c>
      <c r="AV1253" s="86"/>
      <c r="AW1253" s="86"/>
      <c r="AX1253" s="86" t="b">
        <v>0</v>
      </c>
      <c r="AY1253" s="86"/>
      <c r="AZ1253" s="86"/>
      <c r="BA1253" s="86" t="b">
        <v>0</v>
      </c>
      <c r="BB1253" s="86" t="b">
        <v>1</v>
      </c>
      <c r="BC1253" s="86" t="b">
        <v>1</v>
      </c>
      <c r="BD1253" s="86" t="b">
        <v>0</v>
      </c>
      <c r="BE1253" s="86" t="b">
        <v>1</v>
      </c>
      <c r="BF1253" s="86" t="b">
        <v>0</v>
      </c>
      <c r="BG1253" s="86" t="b">
        <v>0</v>
      </c>
      <c r="BH1253" s="96" t="str">
        <f>HYPERLINK("https://pbs.twimg.com/profile_banners/981903271408349184/1568123684")</f>
        <v>https://pbs.twimg.com/profile_banners/981903271408349184/1568123684</v>
      </c>
      <c r="BI1253" s="86"/>
      <c r="BJ1253" s="86" t="s">
        <v>29134</v>
      </c>
      <c r="BK1253" s="86" t="b">
        <v>0</v>
      </c>
      <c r="BL1253" s="86"/>
      <c r="BM1253" s="86" t="s">
        <v>66</v>
      </c>
      <c r="BN1253" s="86" t="s">
        <v>29136</v>
      </c>
      <c r="BO1253" s="96" t="str">
        <f>HYPERLINK("https://twitter.com/diarioudi")</f>
        <v>https://twitter.com/diarioudi</v>
      </c>
      <c r="BP1253" s="2"/>
    </row>
    <row r="1254" spans="1:68" x14ac:dyDescent="0.25">
      <c r="A1254" s="63" t="s">
        <v>1282</v>
      </c>
      <c r="B1254" s="64"/>
      <c r="C1254" s="64"/>
      <c r="D1254" s="65"/>
      <c r="E1254" s="67"/>
      <c r="F1254" s="111" t="str">
        <f>HYPERLINK("https://pbs.twimg.com/profile_images/1664269510780796932/qnb-pmVx_normal.jpg")</f>
        <v>https://pbs.twimg.com/profile_images/1664269510780796932/qnb-pmVx_normal.jpg</v>
      </c>
      <c r="G1254" s="64"/>
      <c r="H1254" s="68"/>
      <c r="I1254" s="69"/>
      <c r="J1254" s="69"/>
      <c r="K1254" s="68" t="s">
        <v>30387</v>
      </c>
      <c r="L1254" s="72"/>
      <c r="M1254" s="73"/>
      <c r="N1254" s="73"/>
      <c r="O1254" s="74"/>
      <c r="P1254" s="75"/>
      <c r="Q1254" s="75"/>
      <c r="R1254" s="102"/>
      <c r="S1254" s="102"/>
      <c r="T1254" s="102"/>
      <c r="U1254" s="102"/>
      <c r="V1254" s="48"/>
      <c r="W1254" s="48"/>
      <c r="X1254" s="48"/>
      <c r="Y1254" s="48"/>
      <c r="Z1254" s="47"/>
      <c r="AA1254" s="70">
        <v>1254</v>
      </c>
      <c r="AB1254" s="70"/>
      <c r="AC1254" s="71"/>
      <c r="AD1254" s="86" t="s">
        <v>24853</v>
      </c>
      <c r="AE1254" s="94" t="s">
        <v>23407</v>
      </c>
      <c r="AF1254" s="86">
        <v>0</v>
      </c>
      <c r="AG1254" s="86">
        <v>9</v>
      </c>
      <c r="AH1254" s="86">
        <v>33</v>
      </c>
      <c r="AI1254" s="86">
        <v>0</v>
      </c>
      <c r="AJ1254" s="86">
        <v>0</v>
      </c>
      <c r="AK1254" s="86">
        <v>29</v>
      </c>
      <c r="AL1254" s="86" t="b">
        <v>0</v>
      </c>
      <c r="AM1254" s="89">
        <v>45078.575740740744</v>
      </c>
      <c r="AN1254" s="86"/>
      <c r="AO1254" s="86" t="s">
        <v>27565</v>
      </c>
      <c r="AP1254" s="96" t="str">
        <f>HYPERLINK("https://t.co/Pytw3oxgNb")</f>
        <v>https://t.co/Pytw3oxgNb</v>
      </c>
      <c r="AQ1254" s="96" t="str">
        <f>HYPERLINK("http://www.rodrigobaldoino.com")</f>
        <v>http://www.rodrigobaldoino.com</v>
      </c>
      <c r="AR1254" s="86" t="s">
        <v>28738</v>
      </c>
      <c r="AS1254" s="86"/>
      <c r="AT1254" s="86"/>
      <c r="AU1254" s="86"/>
      <c r="AV1254" s="86"/>
      <c r="AW1254" s="96" t="str">
        <f>HYPERLINK("https://t.co/Pytw3oxgNb")</f>
        <v>https://t.co/Pytw3oxgNb</v>
      </c>
      <c r="AX1254" s="86" t="b">
        <v>0</v>
      </c>
      <c r="AY1254" s="86"/>
      <c r="AZ1254" s="86"/>
      <c r="BA1254" s="86" t="b">
        <v>0</v>
      </c>
      <c r="BB1254" s="86" t="b">
        <v>1</v>
      </c>
      <c r="BC1254" s="86" t="b">
        <v>1</v>
      </c>
      <c r="BD1254" s="86" t="b">
        <v>0</v>
      </c>
      <c r="BE1254" s="86" t="b">
        <v>0</v>
      </c>
      <c r="BF1254" s="86" t="b">
        <v>0</v>
      </c>
      <c r="BG1254" s="86" t="b">
        <v>0</v>
      </c>
      <c r="BH1254" s="96" t="str">
        <f>HYPERLINK("https://pbs.twimg.com/profile_banners/1664267702398226432/1685627757")</f>
        <v>https://pbs.twimg.com/profile_banners/1664267702398226432/1685627757</v>
      </c>
      <c r="BI1254" s="86"/>
      <c r="BJ1254" s="86" t="s">
        <v>29134</v>
      </c>
      <c r="BK1254" s="86" t="b">
        <v>0</v>
      </c>
      <c r="BL1254" s="86"/>
      <c r="BM1254" s="86" t="s">
        <v>66</v>
      </c>
      <c r="BN1254" s="86" t="s">
        <v>29136</v>
      </c>
      <c r="BO1254" s="96" t="str">
        <f>HYPERLINK("https://twitter.com/rodrigo_diario")</f>
        <v>https://twitter.com/rodrigo_diario</v>
      </c>
      <c r="BP1254" s="2"/>
    </row>
    <row r="1255" spans="1:68" x14ac:dyDescent="0.25">
      <c r="A1255" s="63" t="s">
        <v>1283</v>
      </c>
      <c r="B1255" s="64"/>
      <c r="C1255" s="64"/>
      <c r="D1255" s="65"/>
      <c r="E1255" s="67"/>
      <c r="F1255" s="111" t="str">
        <f>HYPERLINK("https://pbs.twimg.com/profile_images/1638945644843769860/BD740SU4_normal.jpg")</f>
        <v>https://pbs.twimg.com/profile_images/1638945644843769860/BD740SU4_normal.jpg</v>
      </c>
      <c r="G1255" s="64"/>
      <c r="H1255" s="68"/>
      <c r="I1255" s="69"/>
      <c r="J1255" s="69"/>
      <c r="K1255" s="68" t="s">
        <v>30388</v>
      </c>
      <c r="L1255" s="72"/>
      <c r="M1255" s="73"/>
      <c r="N1255" s="73"/>
      <c r="O1255" s="74"/>
      <c r="P1255" s="75"/>
      <c r="Q1255" s="75"/>
      <c r="R1255" s="102"/>
      <c r="S1255" s="102"/>
      <c r="T1255" s="102"/>
      <c r="U1255" s="102"/>
      <c r="V1255" s="48"/>
      <c r="W1255" s="48"/>
      <c r="X1255" s="48"/>
      <c r="Y1255" s="48"/>
      <c r="Z1255" s="47"/>
      <c r="AA1255" s="70">
        <v>1255</v>
      </c>
      <c r="AB1255" s="70"/>
      <c r="AC1255" s="71"/>
      <c r="AD1255" s="86" t="s">
        <v>24854</v>
      </c>
      <c r="AE1255" s="94" t="s">
        <v>23408</v>
      </c>
      <c r="AF1255" s="86">
        <v>2</v>
      </c>
      <c r="AG1255" s="86">
        <v>0</v>
      </c>
      <c r="AH1255" s="86">
        <v>316</v>
      </c>
      <c r="AI1255" s="86">
        <v>0</v>
      </c>
      <c r="AJ1255" s="86">
        <v>47</v>
      </c>
      <c r="AK1255" s="86">
        <v>198</v>
      </c>
      <c r="AL1255" s="86" t="b">
        <v>0</v>
      </c>
      <c r="AM1255" s="89">
        <v>44993.756018518521</v>
      </c>
      <c r="AN1255" s="86" t="s">
        <v>26274</v>
      </c>
      <c r="AO1255" s="86" t="s">
        <v>27566</v>
      </c>
      <c r="AP1255" s="96" t="str">
        <f>HYPERLINK("https://t.co/roKLgQpWQg")</f>
        <v>https://t.co/roKLgQpWQg</v>
      </c>
      <c r="AQ1255" s="96" t="str">
        <f>HYPERLINK("https://novo.meulink.bio/bahiacamaroes")</f>
        <v>https://novo.meulink.bio/bahiacamaroes</v>
      </c>
      <c r="AR1255" s="86" t="s">
        <v>28739</v>
      </c>
      <c r="AS1255" s="86"/>
      <c r="AT1255" s="86"/>
      <c r="AU1255" s="86"/>
      <c r="AV1255" s="86">
        <v>1.63355154400722E+18</v>
      </c>
      <c r="AW1255" s="96" t="str">
        <f>HYPERLINK("https://t.co/roKLgQpWQg")</f>
        <v>https://t.co/roKLgQpWQg</v>
      </c>
      <c r="AX1255" s="86" t="b">
        <v>0</v>
      </c>
      <c r="AY1255" s="86"/>
      <c r="AZ1255" s="86"/>
      <c r="BA1255" s="86" t="b">
        <v>0</v>
      </c>
      <c r="BB1255" s="86" t="b">
        <v>1</v>
      </c>
      <c r="BC1255" s="86" t="b">
        <v>1</v>
      </c>
      <c r="BD1255" s="86" t="b">
        <v>0</v>
      </c>
      <c r="BE1255" s="86" t="b">
        <v>0</v>
      </c>
      <c r="BF1255" s="86" t="b">
        <v>0</v>
      </c>
      <c r="BG1255" s="86" t="b">
        <v>0</v>
      </c>
      <c r="BH1255" s="96" t="str">
        <f>HYPERLINK("https://pbs.twimg.com/profile_banners/1633529991030878208/1679589561")</f>
        <v>https://pbs.twimg.com/profile_banners/1633529991030878208/1679589561</v>
      </c>
      <c r="BI1255" s="86"/>
      <c r="BJ1255" s="86" t="s">
        <v>29134</v>
      </c>
      <c r="BK1255" s="86" t="b">
        <v>0</v>
      </c>
      <c r="BL1255" s="86"/>
      <c r="BM1255" s="86" t="s">
        <v>66</v>
      </c>
      <c r="BN1255" s="86" t="s">
        <v>29136</v>
      </c>
      <c r="BO1255" s="96" t="str">
        <f>HYPERLINK("https://twitter.com/bahiacamaroess")</f>
        <v>https://twitter.com/bahiacamaroess</v>
      </c>
      <c r="BP1255" s="2"/>
    </row>
    <row r="1256" spans="1:68" x14ac:dyDescent="0.25">
      <c r="A1256" s="63" t="s">
        <v>1284</v>
      </c>
      <c r="B1256" s="64"/>
      <c r="C1256" s="64"/>
      <c r="D1256" s="65"/>
      <c r="E1256" s="67"/>
      <c r="F1256" s="111" t="str">
        <f>HYPERLINK("https://pbs.twimg.com/profile_images/1705330742266368002/m68eL_j3_normal.jpg")</f>
        <v>https://pbs.twimg.com/profile_images/1705330742266368002/m68eL_j3_normal.jpg</v>
      </c>
      <c r="G1256" s="64"/>
      <c r="H1256" s="68"/>
      <c r="I1256" s="69"/>
      <c r="J1256" s="69"/>
      <c r="K1256" s="68" t="s">
        <v>30389</v>
      </c>
      <c r="L1256" s="72"/>
      <c r="M1256" s="73"/>
      <c r="N1256" s="73"/>
      <c r="O1256" s="74"/>
      <c r="P1256" s="75"/>
      <c r="Q1256" s="75"/>
      <c r="R1256" s="102"/>
      <c r="S1256" s="102"/>
      <c r="T1256" s="102"/>
      <c r="U1256" s="102"/>
      <c r="V1256" s="48"/>
      <c r="W1256" s="48"/>
      <c r="X1256" s="48"/>
      <c r="Y1256" s="48"/>
      <c r="Z1256" s="47"/>
      <c r="AA1256" s="70">
        <v>1256</v>
      </c>
      <c r="AB1256" s="70"/>
      <c r="AC1256" s="71"/>
      <c r="AD1256" s="86" t="s">
        <v>24855</v>
      </c>
      <c r="AE1256" s="94" t="s">
        <v>25730</v>
      </c>
      <c r="AF1256" s="86">
        <v>14678</v>
      </c>
      <c r="AG1256" s="86">
        <v>83</v>
      </c>
      <c r="AH1256" s="86">
        <v>25886</v>
      </c>
      <c r="AI1256" s="86">
        <v>68</v>
      </c>
      <c r="AJ1256" s="86">
        <v>168</v>
      </c>
      <c r="AK1256" s="86">
        <v>2287</v>
      </c>
      <c r="AL1256" s="86" t="b">
        <v>0</v>
      </c>
      <c r="AM1256" s="89">
        <v>40003.823587962965</v>
      </c>
      <c r="AN1256" s="86" t="s">
        <v>26314</v>
      </c>
      <c r="AO1256" s="86" t="s">
        <v>27567</v>
      </c>
      <c r="AP1256" s="96" t="str">
        <f>HYPERLINK("https://t.co/6umWfJRKK3")</f>
        <v>https://t.co/6umWfJRKK3</v>
      </c>
      <c r="AQ1256" s="96" t="str">
        <f>HYPERLINK("https://linktr.ee/radiocdlfm")</f>
        <v>https://linktr.ee/radiocdlfm</v>
      </c>
      <c r="AR1256" s="86" t="s">
        <v>28740</v>
      </c>
      <c r="AS1256" s="86"/>
      <c r="AT1256" s="86"/>
      <c r="AU1256" s="86"/>
      <c r="AV1256" s="86"/>
      <c r="AW1256" s="96" t="str">
        <f>HYPERLINK("https://t.co/6umWfJRKK3")</f>
        <v>https://t.co/6umWfJRKK3</v>
      </c>
      <c r="AX1256" s="86" t="b">
        <v>0</v>
      </c>
      <c r="AY1256" s="86"/>
      <c r="AZ1256" s="86"/>
      <c r="BA1256" s="86" t="b">
        <v>0</v>
      </c>
      <c r="BB1256" s="86" t="b">
        <v>1</v>
      </c>
      <c r="BC1256" s="86" t="b">
        <v>0</v>
      </c>
      <c r="BD1256" s="86" t="b">
        <v>0</v>
      </c>
      <c r="BE1256" s="86" t="b">
        <v>0</v>
      </c>
      <c r="BF1256" s="86" t="b">
        <v>0</v>
      </c>
      <c r="BG1256" s="86" t="b">
        <v>0</v>
      </c>
      <c r="BH1256" s="96" t="str">
        <f>HYPERLINK("https://pbs.twimg.com/profile_banners/55339757/1695417508")</f>
        <v>https://pbs.twimg.com/profile_banners/55339757/1695417508</v>
      </c>
      <c r="BI1256" s="86"/>
      <c r="BJ1256" s="86" t="s">
        <v>29134</v>
      </c>
      <c r="BK1256" s="86" t="b">
        <v>0</v>
      </c>
      <c r="BL1256" s="86"/>
      <c r="BM1256" s="86" t="s">
        <v>66</v>
      </c>
      <c r="BN1256" s="86" t="s">
        <v>29136</v>
      </c>
      <c r="BO1256" s="96" t="str">
        <f>HYPERLINK("https://twitter.com/radio1029")</f>
        <v>https://twitter.com/radio1029</v>
      </c>
      <c r="BP1256" s="2"/>
    </row>
    <row r="1257" spans="1:68" x14ac:dyDescent="0.25">
      <c r="A1257" s="63" t="s">
        <v>1285</v>
      </c>
      <c r="B1257" s="64"/>
      <c r="C1257" s="64"/>
      <c r="D1257" s="65"/>
      <c r="E1257" s="67"/>
      <c r="F1257" s="111" t="str">
        <f>HYPERLINK("https://pbs.twimg.com/profile_images/1301164032632803330/XkyfZIvU_normal.jpg")</f>
        <v>https://pbs.twimg.com/profile_images/1301164032632803330/XkyfZIvU_normal.jpg</v>
      </c>
      <c r="G1257" s="64"/>
      <c r="H1257" s="68"/>
      <c r="I1257" s="69"/>
      <c r="J1257" s="69"/>
      <c r="K1257" s="68" t="s">
        <v>30390</v>
      </c>
      <c r="L1257" s="72"/>
      <c r="M1257" s="73"/>
      <c r="N1257" s="73"/>
      <c r="O1257" s="74"/>
      <c r="P1257" s="75"/>
      <c r="Q1257" s="75"/>
      <c r="R1257" s="102"/>
      <c r="S1257" s="102"/>
      <c r="T1257" s="102"/>
      <c r="U1257" s="102"/>
      <c r="V1257" s="48"/>
      <c r="W1257" s="48"/>
      <c r="X1257" s="48"/>
      <c r="Y1257" s="48"/>
      <c r="Z1257" s="47"/>
      <c r="AA1257" s="70">
        <v>1257</v>
      </c>
      <c r="AB1257" s="70"/>
      <c r="AC1257" s="71"/>
      <c r="AD1257" s="86" t="s">
        <v>24856</v>
      </c>
      <c r="AE1257" s="94" t="s">
        <v>25731</v>
      </c>
      <c r="AF1257" s="86">
        <v>141</v>
      </c>
      <c r="AG1257" s="86">
        <v>49</v>
      </c>
      <c r="AH1257" s="86">
        <v>235</v>
      </c>
      <c r="AI1257" s="86">
        <v>1</v>
      </c>
      <c r="AJ1257" s="86">
        <v>92</v>
      </c>
      <c r="AK1257" s="86">
        <v>125</v>
      </c>
      <c r="AL1257" s="86" t="b">
        <v>0</v>
      </c>
      <c r="AM1257" s="89">
        <v>42321.765034722222</v>
      </c>
      <c r="AN1257" s="86" t="s">
        <v>26315</v>
      </c>
      <c r="AO1257" s="86" t="s">
        <v>27568</v>
      </c>
      <c r="AP1257" s="96" t="str">
        <f>HYPERLINK("https://t.co/4PC6k27NHT")</f>
        <v>https://t.co/4PC6k27NHT</v>
      </c>
      <c r="AQ1257" s="96" t="str">
        <f>HYPERLINK("http://www.feis.unesp.br")</f>
        <v>http://www.feis.unesp.br</v>
      </c>
      <c r="AR1257" s="86" t="s">
        <v>28741</v>
      </c>
      <c r="AS1257" s="86"/>
      <c r="AT1257" s="86"/>
      <c r="AU1257" s="86"/>
      <c r="AV1257" s="86"/>
      <c r="AW1257" s="96" t="str">
        <f>HYPERLINK("https://t.co/4PC6k27NHT")</f>
        <v>https://t.co/4PC6k27NHT</v>
      </c>
      <c r="AX1257" s="86" t="b">
        <v>0</v>
      </c>
      <c r="AY1257" s="86"/>
      <c r="AZ1257" s="86"/>
      <c r="BA1257" s="86" t="b">
        <v>0</v>
      </c>
      <c r="BB1257" s="86" t="b">
        <v>1</v>
      </c>
      <c r="BC1257" s="86" t="b">
        <v>0</v>
      </c>
      <c r="BD1257" s="86" t="b">
        <v>0</v>
      </c>
      <c r="BE1257" s="86" t="b">
        <v>0</v>
      </c>
      <c r="BF1257" s="86" t="b">
        <v>0</v>
      </c>
      <c r="BG1257" s="86" t="b">
        <v>0</v>
      </c>
      <c r="BH1257" s="96" t="str">
        <f>HYPERLINK("https://pbs.twimg.com/profile_banners/4180566701/1507568997")</f>
        <v>https://pbs.twimg.com/profile_banners/4180566701/1507568997</v>
      </c>
      <c r="BI1257" s="86"/>
      <c r="BJ1257" s="86" t="s">
        <v>29134</v>
      </c>
      <c r="BK1257" s="86" t="b">
        <v>0</v>
      </c>
      <c r="BL1257" s="86"/>
      <c r="BM1257" s="86" t="s">
        <v>66</v>
      </c>
      <c r="BN1257" s="86" t="s">
        <v>29136</v>
      </c>
      <c r="BO1257" s="96" t="str">
        <f>HYPERLINK("https://twitter.com/unespfeis")</f>
        <v>https://twitter.com/unespfeis</v>
      </c>
      <c r="BP1257" s="2"/>
    </row>
    <row r="1258" spans="1:68" x14ac:dyDescent="0.25">
      <c r="A1258" s="63" t="s">
        <v>1286</v>
      </c>
      <c r="B1258" s="64"/>
      <c r="C1258" s="64"/>
      <c r="D1258" s="65"/>
      <c r="E1258" s="67"/>
      <c r="F1258" s="111" t="str">
        <f>HYPERLINK("https://pbs.twimg.com/profile_images/732951719966048256/yFuykd4a_normal.jpg")</f>
        <v>https://pbs.twimg.com/profile_images/732951719966048256/yFuykd4a_normal.jpg</v>
      </c>
      <c r="G1258" s="64"/>
      <c r="H1258" s="68"/>
      <c r="I1258" s="69"/>
      <c r="J1258" s="69"/>
      <c r="K1258" s="68" t="s">
        <v>30391</v>
      </c>
      <c r="L1258" s="72"/>
      <c r="M1258" s="73"/>
      <c r="N1258" s="73"/>
      <c r="O1258" s="74"/>
      <c r="P1258" s="75"/>
      <c r="Q1258" s="75"/>
      <c r="R1258" s="102"/>
      <c r="S1258" s="102"/>
      <c r="T1258" s="102"/>
      <c r="U1258" s="102"/>
      <c r="V1258" s="48"/>
      <c r="W1258" s="48"/>
      <c r="X1258" s="48"/>
      <c r="Y1258" s="48"/>
      <c r="Z1258" s="47"/>
      <c r="AA1258" s="70">
        <v>1258</v>
      </c>
      <c r="AB1258" s="70"/>
      <c r="AC1258" s="71"/>
      <c r="AD1258" s="86" t="s">
        <v>24857</v>
      </c>
      <c r="AE1258" s="94" t="s">
        <v>25732</v>
      </c>
      <c r="AF1258" s="86">
        <v>13</v>
      </c>
      <c r="AG1258" s="86">
        <v>2</v>
      </c>
      <c r="AH1258" s="86">
        <v>829</v>
      </c>
      <c r="AI1258" s="86">
        <v>0</v>
      </c>
      <c r="AJ1258" s="86">
        <v>2</v>
      </c>
      <c r="AK1258" s="86">
        <v>82</v>
      </c>
      <c r="AL1258" s="86" t="b">
        <v>0</v>
      </c>
      <c r="AM1258" s="89">
        <v>41172.793680555558</v>
      </c>
      <c r="AN1258" s="86" t="s">
        <v>26316</v>
      </c>
      <c r="AO1258" s="86" t="s">
        <v>27569</v>
      </c>
      <c r="AP1258" s="96" t="str">
        <f>HYPERLINK("https://t.co/A5RPkHUYbz")</f>
        <v>https://t.co/A5RPkHUYbz</v>
      </c>
      <c r="AQ1258" s="96" t="str">
        <f>HYPERLINK("http://www.patercontabilidade.com.br")</f>
        <v>http://www.patercontabilidade.com.br</v>
      </c>
      <c r="AR1258" s="86" t="s">
        <v>28742</v>
      </c>
      <c r="AS1258" s="86"/>
      <c r="AT1258" s="86"/>
      <c r="AU1258" s="86"/>
      <c r="AV1258" s="86"/>
      <c r="AW1258" s="96" t="str">
        <f>HYPERLINK("https://t.co/A5RPkHUYbz")</f>
        <v>https://t.co/A5RPkHUYbz</v>
      </c>
      <c r="AX1258" s="86" t="b">
        <v>0</v>
      </c>
      <c r="AY1258" s="86"/>
      <c r="AZ1258" s="86"/>
      <c r="BA1258" s="86" t="b">
        <v>1</v>
      </c>
      <c r="BB1258" s="86" t="b">
        <v>0</v>
      </c>
      <c r="BC1258" s="86" t="b">
        <v>1</v>
      </c>
      <c r="BD1258" s="86" t="b">
        <v>0</v>
      </c>
      <c r="BE1258" s="86" t="b">
        <v>0</v>
      </c>
      <c r="BF1258" s="86" t="b">
        <v>0</v>
      </c>
      <c r="BG1258" s="86" t="b">
        <v>0</v>
      </c>
      <c r="BH1258" s="86"/>
      <c r="BI1258" s="86"/>
      <c r="BJ1258" s="86" t="s">
        <v>29134</v>
      </c>
      <c r="BK1258" s="86" t="b">
        <v>0</v>
      </c>
      <c r="BL1258" s="86"/>
      <c r="BM1258" s="86" t="s">
        <v>66</v>
      </c>
      <c r="BN1258" s="86" t="s">
        <v>29136</v>
      </c>
      <c r="BO1258" s="96" t="str">
        <f>HYPERLINK("https://twitter.com/patercontabil")</f>
        <v>https://twitter.com/patercontabil</v>
      </c>
      <c r="BP1258" s="2"/>
    </row>
    <row r="1259" spans="1:68" x14ac:dyDescent="0.25">
      <c r="A1259" s="63" t="s">
        <v>1287</v>
      </c>
      <c r="B1259" s="64"/>
      <c r="C1259" s="64"/>
      <c r="D1259" s="65"/>
      <c r="E1259" s="67"/>
      <c r="F1259" s="111" t="str">
        <f>HYPERLINK("https://pbs.twimg.com/profile_images/1461748809675980806/QNlqo_a2_normal.jpg")</f>
        <v>https://pbs.twimg.com/profile_images/1461748809675980806/QNlqo_a2_normal.jpg</v>
      </c>
      <c r="G1259" s="64"/>
      <c r="H1259" s="68"/>
      <c r="I1259" s="69"/>
      <c r="J1259" s="69"/>
      <c r="K1259" s="68" t="s">
        <v>30392</v>
      </c>
      <c r="L1259" s="72"/>
      <c r="M1259" s="73"/>
      <c r="N1259" s="73"/>
      <c r="O1259" s="74"/>
      <c r="P1259" s="75"/>
      <c r="Q1259" s="75"/>
      <c r="R1259" s="102"/>
      <c r="S1259" s="102"/>
      <c r="T1259" s="102"/>
      <c r="U1259" s="102"/>
      <c r="V1259" s="48"/>
      <c r="W1259" s="48"/>
      <c r="X1259" s="48"/>
      <c r="Y1259" s="48"/>
      <c r="Z1259" s="47"/>
      <c r="AA1259" s="70">
        <v>1259</v>
      </c>
      <c r="AB1259" s="70"/>
      <c r="AC1259" s="71"/>
      <c r="AD1259" s="86" t="s">
        <v>24858</v>
      </c>
      <c r="AE1259" s="94" t="s">
        <v>25733</v>
      </c>
      <c r="AF1259" s="86">
        <v>51</v>
      </c>
      <c r="AG1259" s="86">
        <v>172</v>
      </c>
      <c r="AH1259" s="86">
        <v>1277</v>
      </c>
      <c r="AI1259" s="86">
        <v>0</v>
      </c>
      <c r="AJ1259" s="86">
        <v>853</v>
      </c>
      <c r="AK1259" s="86">
        <v>823</v>
      </c>
      <c r="AL1259" s="86" t="b">
        <v>0</v>
      </c>
      <c r="AM1259" s="89">
        <v>41036.68822916667</v>
      </c>
      <c r="AN1259" s="86" t="s">
        <v>26231</v>
      </c>
      <c r="AO1259" s="86" t="s">
        <v>27570</v>
      </c>
      <c r="AP1259" s="96" t="str">
        <f>HYPERLINK("https://t.co/r5sqirNFUu")</f>
        <v>https://t.co/r5sqirNFUu</v>
      </c>
      <c r="AQ1259" s="96" t="str">
        <f>HYPERLINK("https://instagram.com/acess_moon?utm_medium=copy_link")</f>
        <v>https://instagram.com/acess_moon?utm_medium=copy_link</v>
      </c>
      <c r="AR1259" s="86" t="s">
        <v>28743</v>
      </c>
      <c r="AS1259" s="86"/>
      <c r="AT1259" s="86"/>
      <c r="AU1259" s="86"/>
      <c r="AV1259" s="86">
        <v>1.42527879296946E+18</v>
      </c>
      <c r="AW1259" s="96" t="str">
        <f>HYPERLINK("https://t.co/r5sqirNFUu")</f>
        <v>https://t.co/r5sqirNFUu</v>
      </c>
      <c r="AX1259" s="86" t="b">
        <v>0</v>
      </c>
      <c r="AY1259" s="86"/>
      <c r="AZ1259" s="86"/>
      <c r="BA1259" s="86" t="b">
        <v>0</v>
      </c>
      <c r="BB1259" s="86" t="b">
        <v>1</v>
      </c>
      <c r="BC1259" s="86" t="b">
        <v>0</v>
      </c>
      <c r="BD1259" s="86" t="b">
        <v>0</v>
      </c>
      <c r="BE1259" s="86" t="b">
        <v>0</v>
      </c>
      <c r="BF1259" s="86" t="b">
        <v>0</v>
      </c>
      <c r="BG1259" s="86" t="b">
        <v>0</v>
      </c>
      <c r="BH1259" s="96" t="str">
        <f>HYPERLINK("https://pbs.twimg.com/profile_banners/573779959/1652059417")</f>
        <v>https://pbs.twimg.com/profile_banners/573779959/1652059417</v>
      </c>
      <c r="BI1259" s="86"/>
      <c r="BJ1259" s="86" t="s">
        <v>29134</v>
      </c>
      <c r="BK1259" s="86" t="b">
        <v>0</v>
      </c>
      <c r="BL1259" s="86"/>
      <c r="BM1259" s="86" t="s">
        <v>66</v>
      </c>
      <c r="BN1259" s="86" t="s">
        <v>29136</v>
      </c>
      <c r="BO1259" s="96" t="str">
        <f>HYPERLINK("https://twitter.com/acess_moon")</f>
        <v>https://twitter.com/acess_moon</v>
      </c>
      <c r="BP1259" s="2"/>
    </row>
    <row r="1260" spans="1:68" x14ac:dyDescent="0.25">
      <c r="A1260" s="63" t="s">
        <v>1288</v>
      </c>
      <c r="B1260" s="64"/>
      <c r="C1260" s="64"/>
      <c r="D1260" s="65"/>
      <c r="E1260" s="67"/>
      <c r="F1260" s="111" t="str">
        <f>HYPERLINK("https://pbs.twimg.com/profile_images/1679947032604049415/1bSEFGrx_normal.png")</f>
        <v>https://pbs.twimg.com/profile_images/1679947032604049415/1bSEFGrx_normal.png</v>
      </c>
      <c r="G1260" s="64"/>
      <c r="H1260" s="68"/>
      <c r="I1260" s="69"/>
      <c r="J1260" s="69"/>
      <c r="K1260" s="68" t="s">
        <v>30393</v>
      </c>
      <c r="L1260" s="72"/>
      <c r="M1260" s="73"/>
      <c r="N1260" s="73"/>
      <c r="O1260" s="74"/>
      <c r="P1260" s="75"/>
      <c r="Q1260" s="75"/>
      <c r="R1260" s="102"/>
      <c r="S1260" s="102"/>
      <c r="T1260" s="102"/>
      <c r="U1260" s="102"/>
      <c r="V1260" s="48"/>
      <c r="W1260" s="48"/>
      <c r="X1260" s="48"/>
      <c r="Y1260" s="48"/>
      <c r="Z1260" s="47"/>
      <c r="AA1260" s="70">
        <v>1260</v>
      </c>
      <c r="AB1260" s="70"/>
      <c r="AC1260" s="71"/>
      <c r="AD1260" s="86" t="s">
        <v>24859</v>
      </c>
      <c r="AE1260" s="94" t="s">
        <v>25734</v>
      </c>
      <c r="AF1260" s="86">
        <v>174</v>
      </c>
      <c r="AG1260" s="86">
        <v>72</v>
      </c>
      <c r="AH1260" s="86">
        <v>11103</v>
      </c>
      <c r="AI1260" s="86">
        <v>0</v>
      </c>
      <c r="AJ1260" s="86">
        <v>13053</v>
      </c>
      <c r="AK1260" s="86">
        <v>900</v>
      </c>
      <c r="AL1260" s="86" t="b">
        <v>0</v>
      </c>
      <c r="AM1260" s="89">
        <v>41255.569641203707</v>
      </c>
      <c r="AN1260" s="86" t="s">
        <v>15246</v>
      </c>
      <c r="AO1260" s="86" t="s">
        <v>27571</v>
      </c>
      <c r="AP1260" s="96" t="str">
        <f>HYPERLINK("https://t.co/alGhQPHyEd")</f>
        <v>https://t.co/alGhQPHyEd</v>
      </c>
      <c r="AQ1260" s="96" t="str">
        <f>HYPERLINK("https://earthinbag.wixsite.com/earthinbag")</f>
        <v>https://earthinbag.wixsite.com/earthinbag</v>
      </c>
      <c r="AR1260" s="86" t="s">
        <v>28744</v>
      </c>
      <c r="AS1260" s="86"/>
      <c r="AT1260" s="86"/>
      <c r="AU1260" s="86"/>
      <c r="AV1260" s="86">
        <v>1.60856168177247E+18</v>
      </c>
      <c r="AW1260" s="96" t="str">
        <f>HYPERLINK("https://t.co/alGhQPHyEd")</f>
        <v>https://t.co/alGhQPHyEd</v>
      </c>
      <c r="AX1260" s="86" t="b">
        <v>0</v>
      </c>
      <c r="AY1260" s="86"/>
      <c r="AZ1260" s="86"/>
      <c r="BA1260" s="86" t="b">
        <v>0</v>
      </c>
      <c r="BB1260" s="86" t="b">
        <v>0</v>
      </c>
      <c r="BC1260" s="86" t="b">
        <v>0</v>
      </c>
      <c r="BD1260" s="86" t="b">
        <v>0</v>
      </c>
      <c r="BE1260" s="86" t="b">
        <v>1</v>
      </c>
      <c r="BF1260" s="86" t="b">
        <v>0</v>
      </c>
      <c r="BG1260" s="86" t="b">
        <v>0</v>
      </c>
      <c r="BH1260" s="96" t="str">
        <f>HYPERLINK("https://pbs.twimg.com/profile_banners/1006384165/1425676143")</f>
        <v>https://pbs.twimg.com/profile_banners/1006384165/1425676143</v>
      </c>
      <c r="BI1260" s="86"/>
      <c r="BJ1260" s="86" t="s">
        <v>29134</v>
      </c>
      <c r="BK1260" s="86" t="b">
        <v>0</v>
      </c>
      <c r="BL1260" s="86"/>
      <c r="BM1260" s="86" t="s">
        <v>66</v>
      </c>
      <c r="BN1260" s="86" t="s">
        <v>29136</v>
      </c>
      <c r="BO1260" s="96" t="str">
        <f>HYPERLINK("https://twitter.com/marcosliotti")</f>
        <v>https://twitter.com/marcosliotti</v>
      </c>
      <c r="BP1260" s="2"/>
    </row>
    <row r="1261" spans="1:68" x14ac:dyDescent="0.25">
      <c r="A1261" s="63" t="s">
        <v>1289</v>
      </c>
      <c r="B1261" s="64"/>
      <c r="C1261" s="64"/>
      <c r="D1261" s="65"/>
      <c r="E1261" s="67"/>
      <c r="F1261" s="111" t="str">
        <f>HYPERLINK("https://pbs.twimg.com/profile_images/906911954945658881/5Bjc0eX1_normal.jpg")</f>
        <v>https://pbs.twimg.com/profile_images/906911954945658881/5Bjc0eX1_normal.jpg</v>
      </c>
      <c r="G1261" s="64"/>
      <c r="H1261" s="68"/>
      <c r="I1261" s="69"/>
      <c r="J1261" s="69"/>
      <c r="K1261" s="68" t="s">
        <v>30394</v>
      </c>
      <c r="L1261" s="72"/>
      <c r="M1261" s="73"/>
      <c r="N1261" s="73"/>
      <c r="O1261" s="74"/>
      <c r="P1261" s="75"/>
      <c r="Q1261" s="75"/>
      <c r="R1261" s="102"/>
      <c r="S1261" s="102"/>
      <c r="T1261" s="102"/>
      <c r="U1261" s="102"/>
      <c r="V1261" s="48"/>
      <c r="W1261" s="48"/>
      <c r="X1261" s="48"/>
      <c r="Y1261" s="48"/>
      <c r="Z1261" s="47"/>
      <c r="AA1261" s="70">
        <v>1261</v>
      </c>
      <c r="AB1261" s="70"/>
      <c r="AC1261" s="71"/>
      <c r="AD1261" s="86" t="s">
        <v>24860</v>
      </c>
      <c r="AE1261" s="94" t="s">
        <v>25735</v>
      </c>
      <c r="AF1261" s="86">
        <v>32</v>
      </c>
      <c r="AG1261" s="86">
        <v>79</v>
      </c>
      <c r="AH1261" s="86">
        <v>522</v>
      </c>
      <c r="AI1261" s="86">
        <v>0</v>
      </c>
      <c r="AJ1261" s="86">
        <v>61</v>
      </c>
      <c r="AK1261" s="86">
        <v>22</v>
      </c>
      <c r="AL1261" s="86" t="b">
        <v>0</v>
      </c>
      <c r="AM1261" s="89">
        <v>41494.775706018518</v>
      </c>
      <c r="AN1261" s="86" t="s">
        <v>25889</v>
      </c>
      <c r="AO1261" s="86" t="s">
        <v>27572</v>
      </c>
      <c r="AP1261" s="96" t="str">
        <f>HYPERLINK("https://t.co/ozH97OcedX")</f>
        <v>https://t.co/ozH97OcedX</v>
      </c>
      <c r="AQ1261" s="96" t="str">
        <f>HYPERLINK("https://linktr.ee/virtualeestudio")</f>
        <v>https://linktr.ee/virtualeestudio</v>
      </c>
      <c r="AR1261" s="86" t="s">
        <v>28745</v>
      </c>
      <c r="AS1261" s="86"/>
      <c r="AT1261" s="86"/>
      <c r="AU1261" s="86"/>
      <c r="AV1261" s="86"/>
      <c r="AW1261" s="96" t="str">
        <f>HYPERLINK("https://t.co/ozH97OcedX")</f>
        <v>https://t.co/ozH97OcedX</v>
      </c>
      <c r="AX1261" s="86" t="b">
        <v>0</v>
      </c>
      <c r="AY1261" s="86"/>
      <c r="AZ1261" s="86"/>
      <c r="BA1261" s="86" t="b">
        <v>0</v>
      </c>
      <c r="BB1261" s="86" t="b">
        <v>1</v>
      </c>
      <c r="BC1261" s="86" t="b">
        <v>0</v>
      </c>
      <c r="BD1261" s="86" t="b">
        <v>0</v>
      </c>
      <c r="BE1261" s="86" t="b">
        <v>0</v>
      </c>
      <c r="BF1261" s="86" t="b">
        <v>0</v>
      </c>
      <c r="BG1261" s="86" t="b">
        <v>0</v>
      </c>
      <c r="BH1261" s="96" t="str">
        <f>HYPERLINK("https://pbs.twimg.com/profile_banners/1655968658/1656088630")</f>
        <v>https://pbs.twimg.com/profile_banners/1655968658/1656088630</v>
      </c>
      <c r="BI1261" s="86"/>
      <c r="BJ1261" s="86" t="s">
        <v>29134</v>
      </c>
      <c r="BK1261" s="86" t="b">
        <v>0</v>
      </c>
      <c r="BL1261" s="86"/>
      <c r="BM1261" s="86" t="s">
        <v>66</v>
      </c>
      <c r="BN1261" s="86" t="s">
        <v>29136</v>
      </c>
      <c r="BO1261" s="96" t="str">
        <f>HYPERLINK("https://twitter.com/virtualeestudio")</f>
        <v>https://twitter.com/virtualeestudio</v>
      </c>
      <c r="BP1261" s="2"/>
    </row>
    <row r="1262" spans="1:68" x14ac:dyDescent="0.25">
      <c r="A1262" s="63" t="s">
        <v>1290</v>
      </c>
      <c r="B1262" s="64"/>
      <c r="C1262" s="64"/>
      <c r="D1262" s="65"/>
      <c r="E1262" s="67"/>
      <c r="F1262" s="111" t="str">
        <f>HYPERLINK("https://pbs.twimg.com/profile_images/1677382296427454483/EGyr-tv-_normal.jpg")</f>
        <v>https://pbs.twimg.com/profile_images/1677382296427454483/EGyr-tv-_normal.jpg</v>
      </c>
      <c r="G1262" s="64"/>
      <c r="H1262" s="68"/>
      <c r="I1262" s="69"/>
      <c r="J1262" s="69"/>
      <c r="K1262" s="68" t="s">
        <v>30395</v>
      </c>
      <c r="L1262" s="72"/>
      <c r="M1262" s="73"/>
      <c r="N1262" s="73"/>
      <c r="O1262" s="74"/>
      <c r="P1262" s="75"/>
      <c r="Q1262" s="75"/>
      <c r="R1262" s="102"/>
      <c r="S1262" s="102"/>
      <c r="T1262" s="102"/>
      <c r="U1262" s="102"/>
      <c r="V1262" s="48"/>
      <c r="W1262" s="48"/>
      <c r="X1262" s="48"/>
      <c r="Y1262" s="48"/>
      <c r="Z1262" s="47"/>
      <c r="AA1262" s="70">
        <v>1262</v>
      </c>
      <c r="AB1262" s="70"/>
      <c r="AC1262" s="71"/>
      <c r="AD1262" s="86" t="s">
        <v>24861</v>
      </c>
      <c r="AE1262" s="94" t="s">
        <v>23409</v>
      </c>
      <c r="AF1262" s="86">
        <v>1</v>
      </c>
      <c r="AG1262" s="86">
        <v>4</v>
      </c>
      <c r="AH1262" s="86">
        <v>9</v>
      </c>
      <c r="AI1262" s="86">
        <v>0</v>
      </c>
      <c r="AJ1262" s="86">
        <v>0</v>
      </c>
      <c r="AK1262" s="86">
        <v>8</v>
      </c>
      <c r="AL1262" s="86" t="b">
        <v>0</v>
      </c>
      <c r="AM1262" s="89">
        <v>45114.755439814813</v>
      </c>
      <c r="AN1262" s="86"/>
      <c r="AO1262" s="86" t="s">
        <v>27573</v>
      </c>
      <c r="AP1262" s="86"/>
      <c r="AQ1262" s="86"/>
      <c r="AR1262" s="86"/>
      <c r="AS1262" s="86"/>
      <c r="AT1262" s="86"/>
      <c r="AU1262" s="86"/>
      <c r="AV1262" s="86"/>
      <c r="AW1262" s="86"/>
      <c r="AX1262" s="86" t="b">
        <v>0</v>
      </c>
      <c r="AY1262" s="86"/>
      <c r="AZ1262" s="86"/>
      <c r="BA1262" s="86" t="b">
        <v>0</v>
      </c>
      <c r="BB1262" s="86" t="b">
        <v>1</v>
      </c>
      <c r="BC1262" s="86" t="b">
        <v>1</v>
      </c>
      <c r="BD1262" s="86" t="b">
        <v>0</v>
      </c>
      <c r="BE1262" s="86" t="b">
        <v>0</v>
      </c>
      <c r="BF1262" s="86" t="b">
        <v>0</v>
      </c>
      <c r="BG1262" s="86" t="b">
        <v>0</v>
      </c>
      <c r="BH1262" s="96" t="str">
        <f>HYPERLINK("https://pbs.twimg.com/profile_banners/1677378680564113408/1688759192")</f>
        <v>https://pbs.twimg.com/profile_banners/1677378680564113408/1688759192</v>
      </c>
      <c r="BI1262" s="86"/>
      <c r="BJ1262" s="86" t="s">
        <v>29134</v>
      </c>
      <c r="BK1262" s="86" t="b">
        <v>0</v>
      </c>
      <c r="BL1262" s="86"/>
      <c r="BM1262" s="86" t="s">
        <v>66</v>
      </c>
      <c r="BN1262" s="86" t="s">
        <v>29136</v>
      </c>
      <c r="BO1262" s="96" t="str">
        <f>HYPERLINK("https://twitter.com/fredmacedof")</f>
        <v>https://twitter.com/fredmacedof</v>
      </c>
      <c r="BP1262" s="2"/>
    </row>
    <row r="1263" spans="1:68" x14ac:dyDescent="0.25">
      <c r="A1263" s="63" t="s">
        <v>1291</v>
      </c>
      <c r="B1263" s="64"/>
      <c r="C1263" s="64"/>
      <c r="D1263" s="65"/>
      <c r="E1263" s="67"/>
      <c r="F1263" s="111" t="str">
        <f>HYPERLINK("https://pbs.twimg.com/profile_images/1700616970192723968/ozTGfOxi_normal.jpg")</f>
        <v>https://pbs.twimg.com/profile_images/1700616970192723968/ozTGfOxi_normal.jpg</v>
      </c>
      <c r="G1263" s="64"/>
      <c r="H1263" s="68"/>
      <c r="I1263" s="69"/>
      <c r="J1263" s="69"/>
      <c r="K1263" s="68" t="s">
        <v>30396</v>
      </c>
      <c r="L1263" s="72"/>
      <c r="M1263" s="73"/>
      <c r="N1263" s="73"/>
      <c r="O1263" s="74"/>
      <c r="P1263" s="75"/>
      <c r="Q1263" s="75"/>
      <c r="R1263" s="102"/>
      <c r="S1263" s="102"/>
      <c r="T1263" s="102"/>
      <c r="U1263" s="102"/>
      <c r="V1263" s="48"/>
      <c r="W1263" s="48"/>
      <c r="X1263" s="48"/>
      <c r="Y1263" s="48"/>
      <c r="Z1263" s="47"/>
      <c r="AA1263" s="70">
        <v>1263</v>
      </c>
      <c r="AB1263" s="70"/>
      <c r="AC1263" s="71"/>
      <c r="AD1263" s="86" t="s">
        <v>24862</v>
      </c>
      <c r="AE1263" s="94" t="s">
        <v>23410</v>
      </c>
      <c r="AF1263" s="86">
        <v>11</v>
      </c>
      <c r="AG1263" s="86">
        <v>171</v>
      </c>
      <c r="AH1263" s="86">
        <v>26</v>
      </c>
      <c r="AI1263" s="86">
        <v>2</v>
      </c>
      <c r="AJ1263" s="86">
        <v>8</v>
      </c>
      <c r="AK1263" s="86">
        <v>5</v>
      </c>
      <c r="AL1263" s="86" t="b">
        <v>0</v>
      </c>
      <c r="AM1263" s="89">
        <v>44134.591944444444</v>
      </c>
      <c r="AN1263" s="86" t="s">
        <v>26056</v>
      </c>
      <c r="AO1263" s="86" t="s">
        <v>27574</v>
      </c>
      <c r="AP1263" s="96" t="str">
        <f>HYPERLINK("https://t.co/eyePo4byR1")</f>
        <v>https://t.co/eyePo4byR1</v>
      </c>
      <c r="AQ1263" s="96" t="str">
        <f>HYPERLINK("https://gomitodigital.ao")</f>
        <v>https://gomitodigital.ao</v>
      </c>
      <c r="AR1263" s="86" t="s">
        <v>28746</v>
      </c>
      <c r="AS1263" s="86"/>
      <c r="AT1263" s="86"/>
      <c r="AU1263" s="86"/>
      <c r="AV1263" s="86"/>
      <c r="AW1263" s="96" t="str">
        <f>HYPERLINK("https://t.co/eyePo4byR1")</f>
        <v>https://t.co/eyePo4byR1</v>
      </c>
      <c r="AX1263" s="86" t="b">
        <v>0</v>
      </c>
      <c r="AY1263" s="86"/>
      <c r="AZ1263" s="86"/>
      <c r="BA1263" s="86" t="b">
        <v>0</v>
      </c>
      <c r="BB1263" s="86" t="b">
        <v>1</v>
      </c>
      <c r="BC1263" s="86" t="b">
        <v>1</v>
      </c>
      <c r="BD1263" s="86" t="b">
        <v>0</v>
      </c>
      <c r="BE1263" s="86" t="b">
        <v>0</v>
      </c>
      <c r="BF1263" s="86" t="b">
        <v>0</v>
      </c>
      <c r="BG1263" s="86" t="b">
        <v>0</v>
      </c>
      <c r="BH1263" s="96" t="str">
        <f>HYPERLINK("https://pbs.twimg.com/profile_banners/1322179444455464961/1694293655")</f>
        <v>https://pbs.twimg.com/profile_banners/1322179444455464961/1694293655</v>
      </c>
      <c r="BI1263" s="86"/>
      <c r="BJ1263" s="86" t="s">
        <v>29134</v>
      </c>
      <c r="BK1263" s="86" t="b">
        <v>0</v>
      </c>
      <c r="BL1263" s="86"/>
      <c r="BM1263" s="86" t="s">
        <v>66</v>
      </c>
      <c r="BN1263" s="86" t="s">
        <v>29136</v>
      </c>
      <c r="BO1263" s="96" t="str">
        <f>HYPERLINK("https://twitter.com/digitalgomito")</f>
        <v>https://twitter.com/digitalgomito</v>
      </c>
      <c r="BP1263" s="2"/>
    </row>
    <row r="1264" spans="1:68" x14ac:dyDescent="0.25">
      <c r="A1264" s="63" t="s">
        <v>1292</v>
      </c>
      <c r="B1264" s="64"/>
      <c r="C1264" s="64"/>
      <c r="D1264" s="65"/>
      <c r="E1264" s="67"/>
      <c r="F1264" s="111" t="str">
        <f>HYPERLINK("https://pbs.twimg.com/profile_images/847780506922090497/UoyIYB6C_normal.jpg")</f>
        <v>https://pbs.twimg.com/profile_images/847780506922090497/UoyIYB6C_normal.jpg</v>
      </c>
      <c r="G1264" s="64"/>
      <c r="H1264" s="68"/>
      <c r="I1264" s="69"/>
      <c r="J1264" s="69"/>
      <c r="K1264" s="68" t="s">
        <v>30397</v>
      </c>
      <c r="L1264" s="72"/>
      <c r="M1264" s="73"/>
      <c r="N1264" s="73"/>
      <c r="O1264" s="74"/>
      <c r="P1264" s="75"/>
      <c r="Q1264" s="75"/>
      <c r="R1264" s="102"/>
      <c r="S1264" s="102"/>
      <c r="T1264" s="102"/>
      <c r="U1264" s="102"/>
      <c r="V1264" s="48"/>
      <c r="W1264" s="48"/>
      <c r="X1264" s="48"/>
      <c r="Y1264" s="48"/>
      <c r="Z1264" s="47"/>
      <c r="AA1264" s="70">
        <v>1264</v>
      </c>
      <c r="AB1264" s="70"/>
      <c r="AC1264" s="71"/>
      <c r="AD1264" s="86" t="s">
        <v>24863</v>
      </c>
      <c r="AE1264" s="94" t="s">
        <v>25736</v>
      </c>
      <c r="AF1264" s="86">
        <v>425</v>
      </c>
      <c r="AG1264" s="86">
        <v>496</v>
      </c>
      <c r="AH1264" s="86">
        <v>37554</v>
      </c>
      <c r="AI1264" s="86">
        <v>0</v>
      </c>
      <c r="AJ1264" s="86">
        <v>43961</v>
      </c>
      <c r="AK1264" s="86">
        <v>2237</v>
      </c>
      <c r="AL1264" s="86" t="b">
        <v>0</v>
      </c>
      <c r="AM1264" s="89">
        <v>40182.090300925927</v>
      </c>
      <c r="AN1264" s="86" t="s">
        <v>26317</v>
      </c>
      <c r="AO1264" s="86" t="s">
        <v>27575</v>
      </c>
      <c r="AP1264" s="86"/>
      <c r="AQ1264" s="86"/>
      <c r="AR1264" s="86"/>
      <c r="AS1264" s="86"/>
      <c r="AT1264" s="86"/>
      <c r="AU1264" s="86"/>
      <c r="AV1264" s="86">
        <v>1.61733075493712E+18</v>
      </c>
      <c r="AW1264" s="86"/>
      <c r="AX1264" s="86" t="b">
        <v>0</v>
      </c>
      <c r="AY1264" s="86"/>
      <c r="AZ1264" s="86"/>
      <c r="BA1264" s="86" t="b">
        <v>1</v>
      </c>
      <c r="BB1264" s="86" t="b">
        <v>0</v>
      </c>
      <c r="BC1264" s="86" t="b">
        <v>0</v>
      </c>
      <c r="BD1264" s="86" t="b">
        <v>0</v>
      </c>
      <c r="BE1264" s="86" t="b">
        <v>1</v>
      </c>
      <c r="BF1264" s="86" t="b">
        <v>0</v>
      </c>
      <c r="BG1264" s="86" t="b">
        <v>0</v>
      </c>
      <c r="BH1264" s="96" t="str">
        <f>HYPERLINK("https://pbs.twimg.com/profile_banners/101630758/1648139828")</f>
        <v>https://pbs.twimg.com/profile_banners/101630758/1648139828</v>
      </c>
      <c r="BI1264" s="86"/>
      <c r="BJ1264" s="86" t="s">
        <v>29134</v>
      </c>
      <c r="BK1264" s="86" t="b">
        <v>0</v>
      </c>
      <c r="BL1264" s="86"/>
      <c r="BM1264" s="86" t="s">
        <v>66</v>
      </c>
      <c r="BN1264" s="86" t="s">
        <v>29136</v>
      </c>
      <c r="BO1264" s="96" t="str">
        <f>HYPERLINK("https://twitter.com/brinjshater")</f>
        <v>https://twitter.com/brinjshater</v>
      </c>
      <c r="BP1264" s="2"/>
    </row>
    <row r="1265" spans="1:68" x14ac:dyDescent="0.25">
      <c r="A1265" s="63" t="s">
        <v>1798</v>
      </c>
      <c r="B1265" s="64"/>
      <c r="C1265" s="64"/>
      <c r="D1265" s="65"/>
      <c r="E1265" s="67"/>
      <c r="F1265" s="111" t="str">
        <f>HYPERLINK("https://pbs.twimg.com/profile_images/1645884089843568641/8knzCAaK_normal.jpg")</f>
        <v>https://pbs.twimg.com/profile_images/1645884089843568641/8knzCAaK_normal.jpg</v>
      </c>
      <c r="G1265" s="64"/>
      <c r="H1265" s="68"/>
      <c r="I1265" s="69"/>
      <c r="J1265" s="69"/>
      <c r="K1265" s="68" t="s">
        <v>30398</v>
      </c>
      <c r="L1265" s="72"/>
      <c r="M1265" s="73"/>
      <c r="N1265" s="73"/>
      <c r="O1265" s="74"/>
      <c r="P1265" s="75"/>
      <c r="Q1265" s="75"/>
      <c r="R1265" s="102"/>
      <c r="S1265" s="102"/>
      <c r="T1265" s="102"/>
      <c r="U1265" s="102"/>
      <c r="V1265" s="48"/>
      <c r="W1265" s="48"/>
      <c r="X1265" s="48"/>
      <c r="Y1265" s="48"/>
      <c r="Z1265" s="47"/>
      <c r="AA1265" s="70">
        <v>1265</v>
      </c>
      <c r="AB1265" s="70"/>
      <c r="AC1265" s="71"/>
      <c r="AD1265" s="86" t="s">
        <v>24864</v>
      </c>
      <c r="AE1265" s="94" t="s">
        <v>22630</v>
      </c>
      <c r="AF1265" s="86">
        <v>25243</v>
      </c>
      <c r="AG1265" s="86">
        <v>984</v>
      </c>
      <c r="AH1265" s="86">
        <v>28473</v>
      </c>
      <c r="AI1265" s="86">
        <v>10</v>
      </c>
      <c r="AJ1265" s="86">
        <v>13218</v>
      </c>
      <c r="AK1265" s="86">
        <v>4047</v>
      </c>
      <c r="AL1265" s="86" t="b">
        <v>0</v>
      </c>
      <c r="AM1265" s="89">
        <v>43529.104988425926</v>
      </c>
      <c r="AN1265" s="86" t="s">
        <v>26017</v>
      </c>
      <c r="AO1265" s="86" t="s">
        <v>27576</v>
      </c>
      <c r="AP1265" s="96" t="str">
        <f>HYPERLINK("https://t.co/MccjTsQRjR")</f>
        <v>https://t.co/MccjTsQRjR</v>
      </c>
      <c r="AQ1265" s="96" t="str">
        <f>HYPERLINK("https://instagram.com/mia_dantas_f?igshid=MzNlNGNkZWQ4Mg==")</f>
        <v>https://instagram.com/mia_dantas_f?igshid=MzNlNGNkZWQ4Mg==</v>
      </c>
      <c r="AR1265" s="86" t="s">
        <v>28747</v>
      </c>
      <c r="AS1265" s="86"/>
      <c r="AT1265" s="86"/>
      <c r="AU1265" s="86"/>
      <c r="AV1265" s="86">
        <v>1.6163918168859699E+18</v>
      </c>
      <c r="AW1265" s="96" t="str">
        <f>HYPERLINK("https://t.co/MccjTsQRjR")</f>
        <v>https://t.co/MccjTsQRjR</v>
      </c>
      <c r="AX1265" s="86" t="b">
        <v>0</v>
      </c>
      <c r="AY1265" s="86"/>
      <c r="AZ1265" s="86"/>
      <c r="BA1265" s="86" t="b">
        <v>1</v>
      </c>
      <c r="BB1265" s="86" t="b">
        <v>0</v>
      </c>
      <c r="BC1265" s="86" t="b">
        <v>1</v>
      </c>
      <c r="BD1265" s="86" t="b">
        <v>0</v>
      </c>
      <c r="BE1265" s="86" t="b">
        <v>1</v>
      </c>
      <c r="BF1265" s="86" t="b">
        <v>0</v>
      </c>
      <c r="BG1265" s="86" t="b">
        <v>0</v>
      </c>
      <c r="BH1265" s="96" t="str">
        <f>HYPERLINK("https://pbs.twimg.com/profile_banners/1102758425224773633/1637023020")</f>
        <v>https://pbs.twimg.com/profile_banners/1102758425224773633/1637023020</v>
      </c>
      <c r="BI1265" s="86"/>
      <c r="BJ1265" s="86" t="s">
        <v>29134</v>
      </c>
      <c r="BK1265" s="86" t="b">
        <v>0</v>
      </c>
      <c r="BL1265" s="86"/>
      <c r="BM1265" s="86" t="s">
        <v>65</v>
      </c>
      <c r="BN1265" s="86" t="s">
        <v>29136</v>
      </c>
      <c r="BO1265" s="96" t="str">
        <f>HYPERLINK("https://twitter.com/dramaticami")</f>
        <v>https://twitter.com/dramaticami</v>
      </c>
      <c r="BP1265" s="2"/>
    </row>
    <row r="1266" spans="1:68" x14ac:dyDescent="0.25">
      <c r="A1266" s="63" t="s">
        <v>1293</v>
      </c>
      <c r="B1266" s="64"/>
      <c r="C1266" s="64"/>
      <c r="D1266" s="65"/>
      <c r="E1266" s="67"/>
      <c r="F1266" s="111" t="str">
        <f>HYPERLINK("https://pbs.twimg.com/profile_images/1198041647055020032/Mgrajvj-_normal.jpg")</f>
        <v>https://pbs.twimg.com/profile_images/1198041647055020032/Mgrajvj-_normal.jpg</v>
      </c>
      <c r="G1266" s="64"/>
      <c r="H1266" s="68"/>
      <c r="I1266" s="69"/>
      <c r="J1266" s="69"/>
      <c r="K1266" s="68" t="s">
        <v>30399</v>
      </c>
      <c r="L1266" s="72"/>
      <c r="M1266" s="73"/>
      <c r="N1266" s="73"/>
      <c r="O1266" s="74"/>
      <c r="P1266" s="75"/>
      <c r="Q1266" s="75"/>
      <c r="R1266" s="102"/>
      <c r="S1266" s="102"/>
      <c r="T1266" s="102"/>
      <c r="U1266" s="102"/>
      <c r="V1266" s="48"/>
      <c r="W1266" s="48"/>
      <c r="X1266" s="48"/>
      <c r="Y1266" s="48"/>
      <c r="Z1266" s="47"/>
      <c r="AA1266" s="70">
        <v>1266</v>
      </c>
      <c r="AB1266" s="70"/>
      <c r="AC1266" s="71"/>
      <c r="AD1266" s="86" t="s">
        <v>24865</v>
      </c>
      <c r="AE1266" s="94" t="s">
        <v>25737</v>
      </c>
      <c r="AF1266" s="86">
        <v>61</v>
      </c>
      <c r="AG1266" s="86">
        <v>197</v>
      </c>
      <c r="AH1266" s="86">
        <v>417</v>
      </c>
      <c r="AI1266" s="86">
        <v>0</v>
      </c>
      <c r="AJ1266" s="86">
        <v>14</v>
      </c>
      <c r="AK1266" s="86">
        <v>317</v>
      </c>
      <c r="AL1266" s="86" t="b">
        <v>0</v>
      </c>
      <c r="AM1266" s="89">
        <v>40551.698425925926</v>
      </c>
      <c r="AN1266" s="86"/>
      <c r="AO1266" s="86" t="s">
        <v>27577</v>
      </c>
      <c r="AP1266" s="86"/>
      <c r="AQ1266" s="86"/>
      <c r="AR1266" s="86"/>
      <c r="AS1266" s="86"/>
      <c r="AT1266" s="86"/>
      <c r="AU1266" s="86"/>
      <c r="AV1266" s="86"/>
      <c r="AW1266" s="86"/>
      <c r="AX1266" s="86" t="b">
        <v>0</v>
      </c>
      <c r="AY1266" s="86"/>
      <c r="AZ1266" s="86"/>
      <c r="BA1266" s="86" t="b">
        <v>0</v>
      </c>
      <c r="BB1266" s="86" t="b">
        <v>1</v>
      </c>
      <c r="BC1266" s="86" t="b">
        <v>1</v>
      </c>
      <c r="BD1266" s="86" t="b">
        <v>0</v>
      </c>
      <c r="BE1266" s="86" t="b">
        <v>0</v>
      </c>
      <c r="BF1266" s="86" t="b">
        <v>0</v>
      </c>
      <c r="BG1266" s="86" t="b">
        <v>0</v>
      </c>
      <c r="BH1266" s="96" t="str">
        <f>HYPERLINK("https://pbs.twimg.com/profile_banners/235606538/1472612054")</f>
        <v>https://pbs.twimg.com/profile_banners/235606538/1472612054</v>
      </c>
      <c r="BI1266" s="86"/>
      <c r="BJ1266" s="86" t="s">
        <v>29134</v>
      </c>
      <c r="BK1266" s="86" t="b">
        <v>0</v>
      </c>
      <c r="BL1266" s="86"/>
      <c r="BM1266" s="86" t="s">
        <v>66</v>
      </c>
      <c r="BN1266" s="86" t="s">
        <v>29136</v>
      </c>
      <c r="BO1266" s="96" t="str">
        <f>HYPERLINK("https://twitter.com/lucianotokikawa")</f>
        <v>https://twitter.com/lucianotokikawa</v>
      </c>
      <c r="BP1266" s="2"/>
    </row>
    <row r="1267" spans="1:68" x14ac:dyDescent="0.25">
      <c r="A1267" s="63" t="s">
        <v>1294</v>
      </c>
      <c r="B1267" s="64"/>
      <c r="C1267" s="64"/>
      <c r="D1267" s="65"/>
      <c r="E1267" s="67"/>
      <c r="F1267" s="111" t="str">
        <f>HYPERLINK("https://pbs.twimg.com/profile_images/1679520135894163456/qLSALpJn_normal.jpg")</f>
        <v>https://pbs.twimg.com/profile_images/1679520135894163456/qLSALpJn_normal.jpg</v>
      </c>
      <c r="G1267" s="64"/>
      <c r="H1267" s="68"/>
      <c r="I1267" s="69"/>
      <c r="J1267" s="69"/>
      <c r="K1267" s="68" t="s">
        <v>30400</v>
      </c>
      <c r="L1267" s="72"/>
      <c r="M1267" s="73"/>
      <c r="N1267" s="73"/>
      <c r="O1267" s="74"/>
      <c r="P1267" s="75"/>
      <c r="Q1267" s="75"/>
      <c r="R1267" s="102"/>
      <c r="S1267" s="102"/>
      <c r="T1267" s="102"/>
      <c r="U1267" s="102"/>
      <c r="V1267" s="48"/>
      <c r="W1267" s="48"/>
      <c r="X1267" s="48"/>
      <c r="Y1267" s="48"/>
      <c r="Z1267" s="47"/>
      <c r="AA1267" s="70">
        <v>1267</v>
      </c>
      <c r="AB1267" s="70"/>
      <c r="AC1267" s="71"/>
      <c r="AD1267" s="86" t="s">
        <v>24866</v>
      </c>
      <c r="AE1267" s="94" t="s">
        <v>25738</v>
      </c>
      <c r="AF1267" s="86">
        <v>5320</v>
      </c>
      <c r="AG1267" s="86">
        <v>54</v>
      </c>
      <c r="AH1267" s="86">
        <v>6514</v>
      </c>
      <c r="AI1267" s="86">
        <v>20</v>
      </c>
      <c r="AJ1267" s="86">
        <v>1722</v>
      </c>
      <c r="AK1267" s="86">
        <v>234</v>
      </c>
      <c r="AL1267" s="86" t="b">
        <v>0</v>
      </c>
      <c r="AM1267" s="89">
        <v>41189.573807870373</v>
      </c>
      <c r="AN1267" s="86" t="s">
        <v>25889</v>
      </c>
      <c r="AO1267" s="86" t="s">
        <v>27578</v>
      </c>
      <c r="AP1267" s="96" t="str">
        <f>HYPERLINK("https://t.co/8ulnt5c2c6")</f>
        <v>https://t.co/8ulnt5c2c6</v>
      </c>
      <c r="AQ1267" s="96" t="str">
        <f>HYPERLINK("http://www.inventivos.co/links")</f>
        <v>http://www.inventivos.co/links</v>
      </c>
      <c r="AR1267" s="86" t="s">
        <v>28748</v>
      </c>
      <c r="AS1267" s="86"/>
      <c r="AT1267" s="86"/>
      <c r="AU1267" s="86"/>
      <c r="AV1267" s="86">
        <v>1.45969333982608E+18</v>
      </c>
      <c r="AW1267" s="96" t="str">
        <f>HYPERLINK("https://t.co/8ulnt5c2c6")</f>
        <v>https://t.co/8ulnt5c2c6</v>
      </c>
      <c r="AX1267" s="86" t="b">
        <v>0</v>
      </c>
      <c r="AY1267" s="86"/>
      <c r="AZ1267" s="86"/>
      <c r="BA1267" s="86" t="b">
        <v>1</v>
      </c>
      <c r="BB1267" s="86" t="b">
        <v>1</v>
      </c>
      <c r="BC1267" s="86" t="b">
        <v>0</v>
      </c>
      <c r="BD1267" s="86" t="b">
        <v>0</v>
      </c>
      <c r="BE1267" s="86" t="b">
        <v>0</v>
      </c>
      <c r="BF1267" s="86" t="b">
        <v>0</v>
      </c>
      <c r="BG1267" s="86" t="b">
        <v>0</v>
      </c>
      <c r="BH1267" s="96" t="str">
        <f>HYPERLINK("https://pbs.twimg.com/profile_banners/866359201/1681075075")</f>
        <v>https://pbs.twimg.com/profile_banners/866359201/1681075075</v>
      </c>
      <c r="BI1267" s="86"/>
      <c r="BJ1267" s="86" t="s">
        <v>29134</v>
      </c>
      <c r="BK1267" s="86" t="b">
        <v>0</v>
      </c>
      <c r="BL1267" s="86"/>
      <c r="BM1267" s="86" t="s">
        <v>66</v>
      </c>
      <c r="BN1267" s="86" t="s">
        <v>29136</v>
      </c>
      <c r="BO1267" s="96" t="str">
        <f>HYPERLINK("https://twitter.com/inventivosco")</f>
        <v>https://twitter.com/inventivosco</v>
      </c>
      <c r="BP1267" s="2"/>
    </row>
    <row r="1268" spans="1:68" x14ac:dyDescent="0.25">
      <c r="A1268" s="63" t="s">
        <v>1295</v>
      </c>
      <c r="B1268" s="64"/>
      <c r="C1268" s="64"/>
      <c r="D1268" s="65"/>
      <c r="E1268" s="67"/>
      <c r="F1268" s="111" t="str">
        <f>HYPERLINK("https://pbs.twimg.com/profile_images/1638168581723635712/F_InepjI_normal.jpg")</f>
        <v>https://pbs.twimg.com/profile_images/1638168581723635712/F_InepjI_normal.jpg</v>
      </c>
      <c r="G1268" s="64"/>
      <c r="H1268" s="68"/>
      <c r="I1268" s="69"/>
      <c r="J1268" s="69"/>
      <c r="K1268" s="68" t="s">
        <v>30401</v>
      </c>
      <c r="L1268" s="72"/>
      <c r="M1268" s="73"/>
      <c r="N1268" s="73"/>
      <c r="O1268" s="74"/>
      <c r="P1268" s="75"/>
      <c r="Q1268" s="75"/>
      <c r="R1268" s="102"/>
      <c r="S1268" s="102"/>
      <c r="T1268" s="102"/>
      <c r="U1268" s="102"/>
      <c r="V1268" s="48"/>
      <c r="W1268" s="48"/>
      <c r="X1268" s="48"/>
      <c r="Y1268" s="48"/>
      <c r="Z1268" s="47"/>
      <c r="AA1268" s="70">
        <v>1268</v>
      </c>
      <c r="AB1268" s="70"/>
      <c r="AC1268" s="71"/>
      <c r="AD1268" s="86" t="s">
        <v>24867</v>
      </c>
      <c r="AE1268" s="94" t="s">
        <v>25739</v>
      </c>
      <c r="AF1268" s="86">
        <v>13023</v>
      </c>
      <c r="AG1268" s="86">
        <v>507</v>
      </c>
      <c r="AH1268" s="86">
        <v>6023</v>
      </c>
      <c r="AI1268" s="86">
        <v>102</v>
      </c>
      <c r="AJ1268" s="86">
        <v>255</v>
      </c>
      <c r="AK1268" s="86">
        <v>1939</v>
      </c>
      <c r="AL1268" s="86" t="b">
        <v>0</v>
      </c>
      <c r="AM1268" s="89">
        <v>40112.690960648149</v>
      </c>
      <c r="AN1268" s="86" t="s">
        <v>26318</v>
      </c>
      <c r="AO1268" s="86" t="s">
        <v>27579</v>
      </c>
      <c r="AP1268" s="96" t="str">
        <f>HYPERLINK("https://t.co/RcDeUpP5wO")</f>
        <v>https://t.co/RcDeUpP5wO</v>
      </c>
      <c r="AQ1268" s="96" t="str">
        <f>HYPERLINK("http://www.sebrae.com.br/para")</f>
        <v>http://www.sebrae.com.br/para</v>
      </c>
      <c r="AR1268" s="86" t="s">
        <v>28749</v>
      </c>
      <c r="AS1268" s="86"/>
      <c r="AT1268" s="86"/>
      <c r="AU1268" s="86"/>
      <c r="AV1268" s="86"/>
      <c r="AW1268" s="96" t="str">
        <f>HYPERLINK("https://t.co/RcDeUpP5wO")</f>
        <v>https://t.co/RcDeUpP5wO</v>
      </c>
      <c r="AX1268" s="86" t="b">
        <v>0</v>
      </c>
      <c r="AY1268" s="86"/>
      <c r="AZ1268" s="86"/>
      <c r="BA1268" s="86" t="b">
        <v>0</v>
      </c>
      <c r="BB1268" s="86" t="b">
        <v>1</v>
      </c>
      <c r="BC1268" s="86" t="b">
        <v>0</v>
      </c>
      <c r="BD1268" s="86" t="b">
        <v>0</v>
      </c>
      <c r="BE1268" s="86" t="b">
        <v>0</v>
      </c>
      <c r="BF1268" s="86" t="b">
        <v>0</v>
      </c>
      <c r="BG1268" s="86" t="b">
        <v>0</v>
      </c>
      <c r="BH1268" s="96" t="str">
        <f>HYPERLINK("https://pbs.twimg.com/profile_banners/85354996/1695326085")</f>
        <v>https://pbs.twimg.com/profile_banners/85354996/1695326085</v>
      </c>
      <c r="BI1268" s="86"/>
      <c r="BJ1268" s="86" t="s">
        <v>29134</v>
      </c>
      <c r="BK1268" s="86" t="b">
        <v>0</v>
      </c>
      <c r="BL1268" s="86"/>
      <c r="BM1268" s="86" t="s">
        <v>66</v>
      </c>
      <c r="BN1268" s="86" t="s">
        <v>29136</v>
      </c>
      <c r="BO1268" s="96" t="str">
        <f>HYPERLINK("https://twitter.com/sebraepa")</f>
        <v>https://twitter.com/sebraepa</v>
      </c>
      <c r="BP1268" s="2"/>
    </row>
    <row r="1269" spans="1:68" x14ac:dyDescent="0.25">
      <c r="A1269" s="63" t="s">
        <v>1799</v>
      </c>
      <c r="B1269" s="64"/>
      <c r="C1269" s="64"/>
      <c r="D1269" s="65"/>
      <c r="E1269" s="67"/>
      <c r="F1269" s="111" t="str">
        <f>HYPERLINK("https://pbs.twimg.com/profile_images/1372638931389399045/j55H6z6O_normal.jpg")</f>
        <v>https://pbs.twimg.com/profile_images/1372638931389399045/j55H6z6O_normal.jpg</v>
      </c>
      <c r="G1269" s="64"/>
      <c r="H1269" s="68"/>
      <c r="I1269" s="69"/>
      <c r="J1269" s="69"/>
      <c r="K1269" s="68" t="s">
        <v>30402</v>
      </c>
      <c r="L1269" s="72"/>
      <c r="M1269" s="73"/>
      <c r="N1269" s="73"/>
      <c r="O1269" s="74"/>
      <c r="P1269" s="75"/>
      <c r="Q1269" s="75"/>
      <c r="R1269" s="102"/>
      <c r="S1269" s="102"/>
      <c r="T1269" s="102"/>
      <c r="U1269" s="102"/>
      <c r="V1269" s="48"/>
      <c r="W1269" s="48"/>
      <c r="X1269" s="48"/>
      <c r="Y1269" s="48"/>
      <c r="Z1269" s="47"/>
      <c r="AA1269" s="70">
        <v>1269</v>
      </c>
      <c r="AB1269" s="70"/>
      <c r="AC1269" s="71"/>
      <c r="AD1269" s="86" t="s">
        <v>24868</v>
      </c>
      <c r="AE1269" s="94" t="s">
        <v>25740</v>
      </c>
      <c r="AF1269" s="86">
        <v>263</v>
      </c>
      <c r="AG1269" s="86">
        <v>246</v>
      </c>
      <c r="AH1269" s="86">
        <v>1425</v>
      </c>
      <c r="AI1269" s="86">
        <v>0</v>
      </c>
      <c r="AJ1269" s="86">
        <v>575</v>
      </c>
      <c r="AK1269" s="86">
        <v>326</v>
      </c>
      <c r="AL1269" s="86" t="b">
        <v>0</v>
      </c>
      <c r="AM1269" s="89">
        <v>40161.542615740742</v>
      </c>
      <c r="AN1269" s="86"/>
      <c r="AO1269" s="86" t="s">
        <v>27580</v>
      </c>
      <c r="AP1269" s="86"/>
      <c r="AQ1269" s="86"/>
      <c r="AR1269" s="86"/>
      <c r="AS1269" s="86"/>
      <c r="AT1269" s="86"/>
      <c r="AU1269" s="86"/>
      <c r="AV1269" s="86"/>
      <c r="AW1269" s="86"/>
      <c r="AX1269" s="86" t="b">
        <v>0</v>
      </c>
      <c r="AY1269" s="86"/>
      <c r="AZ1269" s="86"/>
      <c r="BA1269" s="86" t="b">
        <v>0</v>
      </c>
      <c r="BB1269" s="86" t="b">
        <v>1</v>
      </c>
      <c r="BC1269" s="86" t="b">
        <v>1</v>
      </c>
      <c r="BD1269" s="86" t="b">
        <v>0</v>
      </c>
      <c r="BE1269" s="86" t="b">
        <v>1</v>
      </c>
      <c r="BF1269" s="86" t="b">
        <v>0</v>
      </c>
      <c r="BG1269" s="86" t="b">
        <v>0</v>
      </c>
      <c r="BH1269" s="96" t="str">
        <f>HYPERLINK("https://pbs.twimg.com/profile_banners/96756675/1616097599")</f>
        <v>https://pbs.twimg.com/profile_banners/96756675/1616097599</v>
      </c>
      <c r="BI1269" s="86"/>
      <c r="BJ1269" s="86" t="s">
        <v>29134</v>
      </c>
      <c r="BK1269" s="86" t="b">
        <v>0</v>
      </c>
      <c r="BL1269" s="86"/>
      <c r="BM1269" s="86" t="s">
        <v>65</v>
      </c>
      <c r="BN1269" s="86" t="s">
        <v>29136</v>
      </c>
      <c r="BO1269" s="96" t="str">
        <f>HYPERLINK("https://twitter.com/rubensmagno")</f>
        <v>https://twitter.com/rubensmagno</v>
      </c>
      <c r="BP1269" s="2"/>
    </row>
    <row r="1270" spans="1:68" x14ac:dyDescent="0.25">
      <c r="A1270" s="63" t="s">
        <v>1296</v>
      </c>
      <c r="B1270" s="64"/>
      <c r="C1270" s="64"/>
      <c r="D1270" s="65"/>
      <c r="E1270" s="67"/>
      <c r="F1270" s="111" t="str">
        <f>HYPERLINK("https://pbs.twimg.com/profile_images/1692003309001830400/PRIe8uqd_normal.jpg")</f>
        <v>https://pbs.twimg.com/profile_images/1692003309001830400/PRIe8uqd_normal.jpg</v>
      </c>
      <c r="G1270" s="64"/>
      <c r="H1270" s="68"/>
      <c r="I1270" s="69"/>
      <c r="J1270" s="69"/>
      <c r="K1270" s="68" t="s">
        <v>30403</v>
      </c>
      <c r="L1270" s="72"/>
      <c r="M1270" s="73"/>
      <c r="N1270" s="73"/>
      <c r="O1270" s="74"/>
      <c r="P1270" s="75"/>
      <c r="Q1270" s="75"/>
      <c r="R1270" s="102"/>
      <c r="S1270" s="102"/>
      <c r="T1270" s="102"/>
      <c r="U1270" s="102"/>
      <c r="V1270" s="48"/>
      <c r="W1270" s="48"/>
      <c r="X1270" s="48"/>
      <c r="Y1270" s="48"/>
      <c r="Z1270" s="47"/>
      <c r="AA1270" s="70">
        <v>1270</v>
      </c>
      <c r="AB1270" s="70"/>
      <c r="AC1270" s="71"/>
      <c r="AD1270" s="86" t="s">
        <v>24869</v>
      </c>
      <c r="AE1270" s="94" t="s">
        <v>23411</v>
      </c>
      <c r="AF1270" s="86">
        <v>190</v>
      </c>
      <c r="AG1270" s="86">
        <v>197</v>
      </c>
      <c r="AH1270" s="86">
        <v>8085</v>
      </c>
      <c r="AI1270" s="86">
        <v>0</v>
      </c>
      <c r="AJ1270" s="86">
        <v>10268</v>
      </c>
      <c r="AK1270" s="86">
        <v>2123</v>
      </c>
      <c r="AL1270" s="86" t="b">
        <v>0</v>
      </c>
      <c r="AM1270" s="89">
        <v>44805.550555555557</v>
      </c>
      <c r="AN1270" s="86" t="s">
        <v>15234</v>
      </c>
      <c r="AO1270" s="86" t="s">
        <v>27581</v>
      </c>
      <c r="AP1270" s="96" t="str">
        <f>HYPERLINK("https://t.co/ktU3fSYwCd")</f>
        <v>https://t.co/ktU3fSYwCd</v>
      </c>
      <c r="AQ1270" s="96" t="str">
        <f>HYPERLINK("https://beacons.ai/ajsoares")</f>
        <v>https://beacons.ai/ajsoares</v>
      </c>
      <c r="AR1270" s="86" t="s">
        <v>28750</v>
      </c>
      <c r="AS1270" s="86"/>
      <c r="AT1270" s="86"/>
      <c r="AU1270" s="86"/>
      <c r="AV1270" s="86">
        <v>1.7061330092949299E+18</v>
      </c>
      <c r="AW1270" s="96" t="str">
        <f>HYPERLINK("https://t.co/ktU3fSYwCd")</f>
        <v>https://t.co/ktU3fSYwCd</v>
      </c>
      <c r="AX1270" s="86" t="b">
        <v>0</v>
      </c>
      <c r="AY1270" s="86"/>
      <c r="AZ1270" s="86"/>
      <c r="BA1270" s="86" t="b">
        <v>0</v>
      </c>
      <c r="BB1270" s="86" t="b">
        <v>1</v>
      </c>
      <c r="BC1270" s="86" t="b">
        <v>1</v>
      </c>
      <c r="BD1270" s="86" t="b">
        <v>0</v>
      </c>
      <c r="BE1270" s="86" t="b">
        <v>0</v>
      </c>
      <c r="BF1270" s="86" t="b">
        <v>0</v>
      </c>
      <c r="BG1270" s="86" t="b">
        <v>0</v>
      </c>
      <c r="BH1270" s="96" t="str">
        <f>HYPERLINK("https://pbs.twimg.com/profile_banners/1565326699390279681/1692237851")</f>
        <v>https://pbs.twimg.com/profile_banners/1565326699390279681/1692237851</v>
      </c>
      <c r="BI1270" s="86"/>
      <c r="BJ1270" s="86" t="s">
        <v>29134</v>
      </c>
      <c r="BK1270" s="86" t="b">
        <v>0</v>
      </c>
      <c r="BL1270" s="86"/>
      <c r="BM1270" s="86" t="s">
        <v>66</v>
      </c>
      <c r="BN1270" s="86" t="s">
        <v>29136</v>
      </c>
      <c r="BO1270" s="96" t="str">
        <f>HYPERLINK("https://twitter.com/vibescia")</f>
        <v>https://twitter.com/vibescia</v>
      </c>
      <c r="BP1270" s="2"/>
    </row>
    <row r="1271" spans="1:68" x14ac:dyDescent="0.25">
      <c r="A1271" s="63" t="s">
        <v>1297</v>
      </c>
      <c r="B1271" s="64"/>
      <c r="C1271" s="64"/>
      <c r="D1271" s="65"/>
      <c r="E1271" s="67"/>
      <c r="F1271" s="111" t="str">
        <f>HYPERLINK("https://pbs.twimg.com/profile_images/1698399313875845120/Ve7Po77s_normal.jpg")</f>
        <v>https://pbs.twimg.com/profile_images/1698399313875845120/Ve7Po77s_normal.jpg</v>
      </c>
      <c r="G1271" s="64"/>
      <c r="H1271" s="68"/>
      <c r="I1271" s="69"/>
      <c r="J1271" s="69"/>
      <c r="K1271" s="68" t="s">
        <v>30404</v>
      </c>
      <c r="L1271" s="72"/>
      <c r="M1271" s="73"/>
      <c r="N1271" s="73"/>
      <c r="O1271" s="74"/>
      <c r="P1271" s="75"/>
      <c r="Q1271" s="75"/>
      <c r="R1271" s="102"/>
      <c r="S1271" s="102"/>
      <c r="T1271" s="102"/>
      <c r="U1271" s="102"/>
      <c r="V1271" s="48"/>
      <c r="W1271" s="48"/>
      <c r="X1271" s="48"/>
      <c r="Y1271" s="48"/>
      <c r="Z1271" s="47"/>
      <c r="AA1271" s="70">
        <v>1271</v>
      </c>
      <c r="AB1271" s="70"/>
      <c r="AC1271" s="71"/>
      <c r="AD1271" s="86" t="s">
        <v>24870</v>
      </c>
      <c r="AE1271" s="94" t="s">
        <v>23412</v>
      </c>
      <c r="AF1271" s="86">
        <v>237</v>
      </c>
      <c r="AG1271" s="86">
        <v>377</v>
      </c>
      <c r="AH1271" s="86">
        <v>237</v>
      </c>
      <c r="AI1271" s="86">
        <v>0</v>
      </c>
      <c r="AJ1271" s="86">
        <v>415</v>
      </c>
      <c r="AK1271" s="86">
        <v>28</v>
      </c>
      <c r="AL1271" s="86" t="b">
        <v>0</v>
      </c>
      <c r="AM1271" s="89">
        <v>44010.683159722219</v>
      </c>
      <c r="AN1271" s="86" t="s">
        <v>26056</v>
      </c>
      <c r="AO1271" s="86" t="s">
        <v>27582</v>
      </c>
      <c r="AP1271" s="96" t="str">
        <f>HYPERLINK("https://t.co/76sHV1UcxZ")</f>
        <v>https://t.co/76sHV1UcxZ</v>
      </c>
      <c r="AQ1271" s="96" t="str">
        <f>HYPERLINK("https://instagram.com/arquiteto.ao?igshid=MzRlODBiNWFlZA==")</f>
        <v>https://instagram.com/arquiteto.ao?igshid=MzRlODBiNWFlZA==</v>
      </c>
      <c r="AR1271" s="86" t="s">
        <v>28751</v>
      </c>
      <c r="AS1271" s="86"/>
      <c r="AT1271" s="86"/>
      <c r="AU1271" s="86"/>
      <c r="AV1271" s="86"/>
      <c r="AW1271" s="96" t="str">
        <f>HYPERLINK("https://t.co/76sHV1UcxZ")</f>
        <v>https://t.co/76sHV1UcxZ</v>
      </c>
      <c r="AX1271" s="86" t="b">
        <v>0</v>
      </c>
      <c r="AY1271" s="86"/>
      <c r="AZ1271" s="86"/>
      <c r="BA1271" s="86" t="b">
        <v>1</v>
      </c>
      <c r="BB1271" s="86" t="b">
        <v>0</v>
      </c>
      <c r="BC1271" s="86" t="b">
        <v>1</v>
      </c>
      <c r="BD1271" s="86" t="b">
        <v>0</v>
      </c>
      <c r="BE1271" s="86" t="b">
        <v>0</v>
      </c>
      <c r="BF1271" s="86" t="b">
        <v>0</v>
      </c>
      <c r="BG1271" s="86" t="b">
        <v>0</v>
      </c>
      <c r="BH1271" s="96" t="str">
        <f>HYPERLINK("https://pbs.twimg.com/profile_banners/1277276386181464064/1693733506")</f>
        <v>https://pbs.twimg.com/profile_banners/1277276386181464064/1693733506</v>
      </c>
      <c r="BI1271" s="86"/>
      <c r="BJ1271" s="86" t="s">
        <v>29134</v>
      </c>
      <c r="BK1271" s="86" t="b">
        <v>0</v>
      </c>
      <c r="BL1271" s="86"/>
      <c r="BM1271" s="86" t="s">
        <v>66</v>
      </c>
      <c r="BN1271" s="86" t="s">
        <v>29136</v>
      </c>
      <c r="BO1271" s="96" t="str">
        <f>HYPERLINK("https://twitter.com/iamgiovannagama")</f>
        <v>https://twitter.com/iamgiovannagama</v>
      </c>
      <c r="BP1271" s="2"/>
    </row>
    <row r="1272" spans="1:68" x14ac:dyDescent="0.25">
      <c r="A1272" s="63" t="s">
        <v>1298</v>
      </c>
      <c r="B1272" s="64"/>
      <c r="C1272" s="64"/>
      <c r="D1272" s="65"/>
      <c r="E1272" s="67"/>
      <c r="F1272" s="111" t="str">
        <f>HYPERLINK("https://pbs.twimg.com/profile_images/1666913780503117824/maBLqDRr_normal.jpg")</f>
        <v>https://pbs.twimg.com/profile_images/1666913780503117824/maBLqDRr_normal.jpg</v>
      </c>
      <c r="G1272" s="64"/>
      <c r="H1272" s="68"/>
      <c r="I1272" s="69"/>
      <c r="J1272" s="69"/>
      <c r="K1272" s="68" t="s">
        <v>30405</v>
      </c>
      <c r="L1272" s="72"/>
      <c r="M1272" s="73"/>
      <c r="N1272" s="73"/>
      <c r="O1272" s="74"/>
      <c r="P1272" s="75"/>
      <c r="Q1272" s="75"/>
      <c r="R1272" s="102"/>
      <c r="S1272" s="102"/>
      <c r="T1272" s="102"/>
      <c r="U1272" s="102"/>
      <c r="V1272" s="48"/>
      <c r="W1272" s="48"/>
      <c r="X1272" s="48"/>
      <c r="Y1272" s="48"/>
      <c r="Z1272" s="47"/>
      <c r="AA1272" s="70">
        <v>1272</v>
      </c>
      <c r="AB1272" s="70"/>
      <c r="AC1272" s="71"/>
      <c r="AD1272" s="86" t="s">
        <v>24871</v>
      </c>
      <c r="AE1272" s="94" t="s">
        <v>23413</v>
      </c>
      <c r="AF1272" s="86">
        <v>3</v>
      </c>
      <c r="AG1272" s="86">
        <v>4</v>
      </c>
      <c r="AH1272" s="86">
        <v>8</v>
      </c>
      <c r="AI1272" s="86">
        <v>0</v>
      </c>
      <c r="AJ1272" s="86">
        <v>5</v>
      </c>
      <c r="AK1272" s="86">
        <v>8</v>
      </c>
      <c r="AL1272" s="86" t="b">
        <v>0</v>
      </c>
      <c r="AM1272" s="89">
        <v>45085.875069444446</v>
      </c>
      <c r="AN1272" s="86"/>
      <c r="AO1272" s="86"/>
      <c r="AP1272" s="86"/>
      <c r="AQ1272" s="86"/>
      <c r="AR1272" s="86"/>
      <c r="AS1272" s="86"/>
      <c r="AT1272" s="86"/>
      <c r="AU1272" s="86"/>
      <c r="AV1272" s="86"/>
      <c r="AW1272" s="86"/>
      <c r="AX1272" s="86" t="b">
        <v>0</v>
      </c>
      <c r="AY1272" s="86"/>
      <c r="AZ1272" s="86"/>
      <c r="BA1272" s="86" t="b">
        <v>0</v>
      </c>
      <c r="BB1272" s="86" t="b">
        <v>1</v>
      </c>
      <c r="BC1272" s="86" t="b">
        <v>1</v>
      </c>
      <c r="BD1272" s="86" t="b">
        <v>0</v>
      </c>
      <c r="BE1272" s="86" t="b">
        <v>0</v>
      </c>
      <c r="BF1272" s="86" t="b">
        <v>0</v>
      </c>
      <c r="BG1272" s="86" t="b">
        <v>0</v>
      </c>
      <c r="BH1272" s="96" t="str">
        <f>HYPERLINK("https://pbs.twimg.com/profile_banners/1666912765775060992/1686258279")</f>
        <v>https://pbs.twimg.com/profile_banners/1666912765775060992/1686258279</v>
      </c>
      <c r="BI1272" s="86"/>
      <c r="BJ1272" s="86" t="s">
        <v>29134</v>
      </c>
      <c r="BK1272" s="86" t="b">
        <v>0</v>
      </c>
      <c r="BL1272" s="86"/>
      <c r="BM1272" s="86" t="s">
        <v>66</v>
      </c>
      <c r="BN1272" s="86" t="s">
        <v>29136</v>
      </c>
      <c r="BO1272" s="96" t="str">
        <f>HYPERLINK("https://twitter.com/g2mix_franquias")</f>
        <v>https://twitter.com/g2mix_franquias</v>
      </c>
      <c r="BP1272" s="2"/>
    </row>
    <row r="1273" spans="1:68" x14ac:dyDescent="0.25">
      <c r="A1273" s="63" t="s">
        <v>1299</v>
      </c>
      <c r="B1273" s="64"/>
      <c r="C1273" s="64"/>
      <c r="D1273" s="65"/>
      <c r="E1273" s="67"/>
      <c r="F1273" s="111" t="str">
        <f>HYPERLINK("https://pbs.twimg.com/profile_images/553159664/CRIARDIGITAL_peq_normal.jpg")</f>
        <v>https://pbs.twimg.com/profile_images/553159664/CRIARDIGITAL_peq_normal.jpg</v>
      </c>
      <c r="G1273" s="64"/>
      <c r="H1273" s="68"/>
      <c r="I1273" s="69"/>
      <c r="J1273" s="69"/>
      <c r="K1273" s="68" t="s">
        <v>30406</v>
      </c>
      <c r="L1273" s="72"/>
      <c r="M1273" s="73"/>
      <c r="N1273" s="73"/>
      <c r="O1273" s="74"/>
      <c r="P1273" s="75"/>
      <c r="Q1273" s="75"/>
      <c r="R1273" s="102"/>
      <c r="S1273" s="102"/>
      <c r="T1273" s="102"/>
      <c r="U1273" s="102"/>
      <c r="V1273" s="48"/>
      <c r="W1273" s="48"/>
      <c r="X1273" s="48"/>
      <c r="Y1273" s="48"/>
      <c r="Z1273" s="47"/>
      <c r="AA1273" s="70">
        <v>1273</v>
      </c>
      <c r="AB1273" s="70"/>
      <c r="AC1273" s="71"/>
      <c r="AD1273" s="86" t="s">
        <v>24872</v>
      </c>
      <c r="AE1273" s="94" t="s">
        <v>25741</v>
      </c>
      <c r="AF1273" s="86">
        <v>745</v>
      </c>
      <c r="AG1273" s="86">
        <v>1</v>
      </c>
      <c r="AH1273" s="86">
        <v>603</v>
      </c>
      <c r="AI1273" s="86">
        <v>37</v>
      </c>
      <c r="AJ1273" s="86">
        <v>15</v>
      </c>
      <c r="AK1273" s="86">
        <v>146</v>
      </c>
      <c r="AL1273" s="86" t="b">
        <v>0</v>
      </c>
      <c r="AM1273" s="89">
        <v>40108.549618055556</v>
      </c>
      <c r="AN1273" s="86" t="s">
        <v>26319</v>
      </c>
      <c r="AO1273" s="86" t="s">
        <v>27583</v>
      </c>
      <c r="AP1273" s="96" t="str">
        <f>HYPERLINK("https://t.co/Boq0HzcFBN")</f>
        <v>https://t.co/Boq0HzcFBN</v>
      </c>
      <c r="AQ1273" s="96" t="str">
        <f>HYPERLINK("https://www.criardigital.com.br")</f>
        <v>https://www.criardigital.com.br</v>
      </c>
      <c r="AR1273" s="86" t="s">
        <v>28752</v>
      </c>
      <c r="AS1273" s="86"/>
      <c r="AT1273" s="86"/>
      <c r="AU1273" s="86"/>
      <c r="AV1273" s="86"/>
      <c r="AW1273" s="96" t="str">
        <f>HYPERLINK("https://t.co/Boq0HzcFBN")</f>
        <v>https://t.co/Boq0HzcFBN</v>
      </c>
      <c r="AX1273" s="86" t="b">
        <v>0</v>
      </c>
      <c r="AY1273" s="86"/>
      <c r="AZ1273" s="86"/>
      <c r="BA1273" s="86" t="b">
        <v>0</v>
      </c>
      <c r="BB1273" s="86" t="b">
        <v>1</v>
      </c>
      <c r="BC1273" s="86" t="b">
        <v>0</v>
      </c>
      <c r="BD1273" s="86" t="b">
        <v>0</v>
      </c>
      <c r="BE1273" s="86" t="b">
        <v>0</v>
      </c>
      <c r="BF1273" s="86" t="b">
        <v>0</v>
      </c>
      <c r="BG1273" s="86" t="b">
        <v>0</v>
      </c>
      <c r="BH1273" s="96" t="str">
        <f>HYPERLINK("https://pbs.twimg.com/profile_banners/84320725/1671115189")</f>
        <v>https://pbs.twimg.com/profile_banners/84320725/1671115189</v>
      </c>
      <c r="BI1273" s="86"/>
      <c r="BJ1273" s="86" t="s">
        <v>29134</v>
      </c>
      <c r="BK1273" s="86" t="b">
        <v>0</v>
      </c>
      <c r="BL1273" s="86"/>
      <c r="BM1273" s="86" t="s">
        <v>66</v>
      </c>
      <c r="BN1273" s="86" t="s">
        <v>29136</v>
      </c>
      <c r="BO1273" s="96" t="str">
        <f>HYPERLINK("https://twitter.com/criardigital")</f>
        <v>https://twitter.com/criardigital</v>
      </c>
      <c r="BP1273" s="2"/>
    </row>
    <row r="1274" spans="1:68" x14ac:dyDescent="0.25">
      <c r="A1274" s="63" t="s">
        <v>1300</v>
      </c>
      <c r="B1274" s="64"/>
      <c r="C1274" s="64"/>
      <c r="D1274" s="65"/>
      <c r="E1274" s="67"/>
      <c r="F1274" s="111" t="str">
        <f>HYPERLINK("https://pbs.twimg.com/profile_images/1640387495186640898/cQnvphZY_normal.jpg")</f>
        <v>https://pbs.twimg.com/profile_images/1640387495186640898/cQnvphZY_normal.jpg</v>
      </c>
      <c r="G1274" s="64"/>
      <c r="H1274" s="68"/>
      <c r="I1274" s="69"/>
      <c r="J1274" s="69"/>
      <c r="K1274" s="68" t="s">
        <v>30407</v>
      </c>
      <c r="L1274" s="72"/>
      <c r="M1274" s="73"/>
      <c r="N1274" s="73"/>
      <c r="O1274" s="74"/>
      <c r="P1274" s="75"/>
      <c r="Q1274" s="75"/>
      <c r="R1274" s="102"/>
      <c r="S1274" s="102"/>
      <c r="T1274" s="102"/>
      <c r="U1274" s="102"/>
      <c r="V1274" s="48"/>
      <c r="W1274" s="48"/>
      <c r="X1274" s="48"/>
      <c r="Y1274" s="48"/>
      <c r="Z1274" s="47"/>
      <c r="AA1274" s="70">
        <v>1274</v>
      </c>
      <c r="AB1274" s="70"/>
      <c r="AC1274" s="71"/>
      <c r="AD1274" s="86" t="s">
        <v>24873</v>
      </c>
      <c r="AE1274" s="94" t="s">
        <v>23414</v>
      </c>
      <c r="AF1274" s="86">
        <v>1204</v>
      </c>
      <c r="AG1274" s="86">
        <v>584</v>
      </c>
      <c r="AH1274" s="86">
        <v>279</v>
      </c>
      <c r="AI1274" s="86">
        <v>0</v>
      </c>
      <c r="AJ1274" s="86">
        <v>17</v>
      </c>
      <c r="AK1274" s="86">
        <v>180</v>
      </c>
      <c r="AL1274" s="86" t="b">
        <v>0</v>
      </c>
      <c r="AM1274" s="89">
        <v>44975.035868055558</v>
      </c>
      <c r="AN1274" s="86"/>
      <c r="AO1274" s="86" t="s">
        <v>27584</v>
      </c>
      <c r="AP1274" s="86"/>
      <c r="AQ1274" s="86"/>
      <c r="AR1274" s="86"/>
      <c r="AS1274" s="86"/>
      <c r="AT1274" s="86"/>
      <c r="AU1274" s="86"/>
      <c r="AV1274" s="86"/>
      <c r="AW1274" s="86"/>
      <c r="AX1274" s="86" t="b">
        <v>0</v>
      </c>
      <c r="AY1274" s="86"/>
      <c r="AZ1274" s="86"/>
      <c r="BA1274" s="86" t="b">
        <v>0</v>
      </c>
      <c r="BB1274" s="86" t="b">
        <v>1</v>
      </c>
      <c r="BC1274" s="86" t="b">
        <v>1</v>
      </c>
      <c r="BD1274" s="86" t="b">
        <v>0</v>
      </c>
      <c r="BE1274" s="86" t="b">
        <v>0</v>
      </c>
      <c r="BF1274" s="86" t="b">
        <v>0</v>
      </c>
      <c r="BG1274" s="86" t="b">
        <v>0</v>
      </c>
      <c r="BH1274" s="96" t="str">
        <f>HYPERLINK("https://pbs.twimg.com/profile_banners/1626746020884361220/1688685771")</f>
        <v>https://pbs.twimg.com/profile_banners/1626746020884361220/1688685771</v>
      </c>
      <c r="BI1274" s="86"/>
      <c r="BJ1274" s="86" t="s">
        <v>29134</v>
      </c>
      <c r="BK1274" s="86" t="b">
        <v>0</v>
      </c>
      <c r="BL1274" s="86"/>
      <c r="BM1274" s="86" t="s">
        <v>66</v>
      </c>
      <c r="BN1274" s="86" t="s">
        <v>29136</v>
      </c>
      <c r="BO1274" s="96" t="str">
        <f>HYPERLINK("https://twitter.com/elivretek")</f>
        <v>https://twitter.com/elivretek</v>
      </c>
      <c r="BP1274" s="2"/>
    </row>
    <row r="1275" spans="1:68" x14ac:dyDescent="0.25">
      <c r="A1275" s="63" t="s">
        <v>1301</v>
      </c>
      <c r="B1275" s="64"/>
      <c r="C1275" s="64"/>
      <c r="D1275" s="65"/>
      <c r="E1275" s="67"/>
      <c r="F1275" s="111" t="str">
        <f>HYPERLINK("https://pbs.twimg.com/profile_images/1519473770733490176/pJmeT6tp_normal.jpg")</f>
        <v>https://pbs.twimg.com/profile_images/1519473770733490176/pJmeT6tp_normal.jpg</v>
      </c>
      <c r="G1275" s="64"/>
      <c r="H1275" s="68"/>
      <c r="I1275" s="69"/>
      <c r="J1275" s="69"/>
      <c r="K1275" s="68" t="s">
        <v>30408</v>
      </c>
      <c r="L1275" s="72"/>
      <c r="M1275" s="73"/>
      <c r="N1275" s="73"/>
      <c r="O1275" s="74"/>
      <c r="P1275" s="75"/>
      <c r="Q1275" s="75"/>
      <c r="R1275" s="102"/>
      <c r="S1275" s="102"/>
      <c r="T1275" s="102"/>
      <c r="U1275" s="102"/>
      <c r="V1275" s="48"/>
      <c r="W1275" s="48"/>
      <c r="X1275" s="48"/>
      <c r="Y1275" s="48"/>
      <c r="Z1275" s="47"/>
      <c r="AA1275" s="70">
        <v>1275</v>
      </c>
      <c r="AB1275" s="70"/>
      <c r="AC1275" s="71"/>
      <c r="AD1275" s="86" t="s">
        <v>1301</v>
      </c>
      <c r="AE1275" s="94" t="s">
        <v>22631</v>
      </c>
      <c r="AF1275" s="86">
        <v>12</v>
      </c>
      <c r="AG1275" s="86">
        <v>21</v>
      </c>
      <c r="AH1275" s="86">
        <v>33</v>
      </c>
      <c r="AI1275" s="86">
        <v>0</v>
      </c>
      <c r="AJ1275" s="86">
        <v>103</v>
      </c>
      <c r="AK1275" s="86">
        <v>9</v>
      </c>
      <c r="AL1275" s="86" t="b">
        <v>0</v>
      </c>
      <c r="AM1275" s="89">
        <v>43290.544432870367</v>
      </c>
      <c r="AN1275" s="86" t="s">
        <v>25990</v>
      </c>
      <c r="AO1275" s="86" t="s">
        <v>27585</v>
      </c>
      <c r="AP1275" s="86"/>
      <c r="AQ1275" s="86"/>
      <c r="AR1275" s="86"/>
      <c r="AS1275" s="86"/>
      <c r="AT1275" s="86"/>
      <c r="AU1275" s="86"/>
      <c r="AV1275" s="86"/>
      <c r="AW1275" s="86"/>
      <c r="AX1275" s="86" t="b">
        <v>0</v>
      </c>
      <c r="AY1275" s="86"/>
      <c r="AZ1275" s="86"/>
      <c r="BA1275" s="86" t="b">
        <v>0</v>
      </c>
      <c r="BB1275" s="86" t="b">
        <v>1</v>
      </c>
      <c r="BC1275" s="86" t="b">
        <v>1</v>
      </c>
      <c r="BD1275" s="86" t="b">
        <v>0</v>
      </c>
      <c r="BE1275" s="86" t="b">
        <v>0</v>
      </c>
      <c r="BF1275" s="86" t="b">
        <v>0</v>
      </c>
      <c r="BG1275" s="86" t="b">
        <v>0</v>
      </c>
      <c r="BH1275" s="96" t="str">
        <f>HYPERLINK("https://pbs.twimg.com/profile_banners/1016306973082574848/1651105764")</f>
        <v>https://pbs.twimg.com/profile_banners/1016306973082574848/1651105764</v>
      </c>
      <c r="BI1275" s="86"/>
      <c r="BJ1275" s="86" t="s">
        <v>29134</v>
      </c>
      <c r="BK1275" s="86" t="b">
        <v>0</v>
      </c>
      <c r="BL1275" s="86"/>
      <c r="BM1275" s="86" t="s">
        <v>66</v>
      </c>
      <c r="BN1275" s="86" t="s">
        <v>29136</v>
      </c>
      <c r="BO1275" s="96" t="str">
        <f>HYPERLINK("https://twitter.com/hugosilveirab")</f>
        <v>https://twitter.com/hugosilveirab</v>
      </c>
      <c r="BP1275" s="2"/>
    </row>
    <row r="1276" spans="1:68" x14ac:dyDescent="0.25">
      <c r="A1276" s="63" t="s">
        <v>1302</v>
      </c>
      <c r="B1276" s="64"/>
      <c r="C1276" s="64"/>
      <c r="D1276" s="65"/>
      <c r="E1276" s="67"/>
      <c r="F1276" s="111" t="str">
        <f>HYPERLINK("https://pbs.twimg.com/profile_images/1674429814655324164/QqXOGsJU_normal.jpg")</f>
        <v>https://pbs.twimg.com/profile_images/1674429814655324164/QqXOGsJU_normal.jpg</v>
      </c>
      <c r="G1276" s="64"/>
      <c r="H1276" s="68"/>
      <c r="I1276" s="69"/>
      <c r="J1276" s="69"/>
      <c r="K1276" s="68" t="s">
        <v>30409</v>
      </c>
      <c r="L1276" s="72"/>
      <c r="M1276" s="73"/>
      <c r="N1276" s="73"/>
      <c r="O1276" s="74"/>
      <c r="P1276" s="75"/>
      <c r="Q1276" s="75"/>
      <c r="R1276" s="102"/>
      <c r="S1276" s="102"/>
      <c r="T1276" s="102"/>
      <c r="U1276" s="102"/>
      <c r="V1276" s="48"/>
      <c r="W1276" s="48"/>
      <c r="X1276" s="48"/>
      <c r="Y1276" s="48"/>
      <c r="Z1276" s="47"/>
      <c r="AA1276" s="70">
        <v>1276</v>
      </c>
      <c r="AB1276" s="70"/>
      <c r="AC1276" s="71"/>
      <c r="AD1276" s="86" t="s">
        <v>24874</v>
      </c>
      <c r="AE1276" s="94" t="s">
        <v>22632</v>
      </c>
      <c r="AF1276" s="86">
        <v>0</v>
      </c>
      <c r="AG1276" s="86">
        <v>0</v>
      </c>
      <c r="AH1276" s="86">
        <v>18</v>
      </c>
      <c r="AI1276" s="86">
        <v>0</v>
      </c>
      <c r="AJ1276" s="86">
        <v>0</v>
      </c>
      <c r="AK1276" s="86">
        <v>6</v>
      </c>
      <c r="AL1276" s="86" t="b">
        <v>0</v>
      </c>
      <c r="AM1276" s="89">
        <v>45104.740798611114</v>
      </c>
      <c r="AN1276" s="86"/>
      <c r="AO1276" s="86" t="s">
        <v>27586</v>
      </c>
      <c r="AP1276" s="96" t="str">
        <f>HYPERLINK("https://t.co/nNlF3EcRPj")</f>
        <v>https://t.co/nNlF3EcRPj</v>
      </c>
      <c r="AQ1276" s="96" t="str">
        <f>HYPERLINK("https://lnkd.in/d8_wwYSe")</f>
        <v>https://lnkd.in/d8_wwYSe</v>
      </c>
      <c r="AR1276" s="86" t="s">
        <v>28753</v>
      </c>
      <c r="AS1276" s="86"/>
      <c r="AT1276" s="86"/>
      <c r="AU1276" s="86"/>
      <c r="AV1276" s="86"/>
      <c r="AW1276" s="96" t="str">
        <f>HYPERLINK("https://t.co/nNlF3EcRPj")</f>
        <v>https://t.co/nNlF3EcRPj</v>
      </c>
      <c r="AX1276" s="86" t="b">
        <v>0</v>
      </c>
      <c r="AY1276" s="86"/>
      <c r="AZ1276" s="86"/>
      <c r="BA1276" s="86" t="b">
        <v>0</v>
      </c>
      <c r="BB1276" s="86" t="b">
        <v>1</v>
      </c>
      <c r="BC1276" s="86" t="b">
        <v>1</v>
      </c>
      <c r="BD1276" s="86" t="b">
        <v>0</v>
      </c>
      <c r="BE1276" s="86" t="b">
        <v>0</v>
      </c>
      <c r="BF1276" s="86" t="b">
        <v>0</v>
      </c>
      <c r="BG1276" s="86" t="b">
        <v>0</v>
      </c>
      <c r="BH1276" s="96" t="str">
        <f>HYPERLINK("https://pbs.twimg.com/profile_banners/1673749676770598925/1688050164")</f>
        <v>https://pbs.twimg.com/profile_banners/1673749676770598925/1688050164</v>
      </c>
      <c r="BI1276" s="86"/>
      <c r="BJ1276" s="86" t="s">
        <v>29134</v>
      </c>
      <c r="BK1276" s="86" t="b">
        <v>0</v>
      </c>
      <c r="BL1276" s="86"/>
      <c r="BM1276" s="86" t="s">
        <v>66</v>
      </c>
      <c r="BN1276" s="86" t="s">
        <v>29136</v>
      </c>
      <c r="BO1276" s="96" t="str">
        <f>HYPERLINK("https://twitter.com/bozappfood")</f>
        <v>https://twitter.com/bozappfood</v>
      </c>
      <c r="BP1276" s="2"/>
    </row>
    <row r="1277" spans="1:68" x14ac:dyDescent="0.25">
      <c r="A1277" s="63" t="s">
        <v>1303</v>
      </c>
      <c r="B1277" s="64"/>
      <c r="C1277" s="64"/>
      <c r="D1277" s="65"/>
      <c r="E1277" s="67"/>
      <c r="F1277" s="111" t="str">
        <f>HYPERLINK("https://pbs.twimg.com/profile_images/1695177603802365953/BYlx7ZXR_normal.jpg")</f>
        <v>https://pbs.twimg.com/profile_images/1695177603802365953/BYlx7ZXR_normal.jpg</v>
      </c>
      <c r="G1277" s="64"/>
      <c r="H1277" s="68"/>
      <c r="I1277" s="69"/>
      <c r="J1277" s="69"/>
      <c r="K1277" s="68" t="s">
        <v>30410</v>
      </c>
      <c r="L1277" s="72"/>
      <c r="M1277" s="73"/>
      <c r="N1277" s="73"/>
      <c r="O1277" s="74"/>
      <c r="P1277" s="75"/>
      <c r="Q1277" s="75"/>
      <c r="R1277" s="102"/>
      <c r="S1277" s="102"/>
      <c r="T1277" s="102"/>
      <c r="U1277" s="102"/>
      <c r="V1277" s="48"/>
      <c r="W1277" s="48"/>
      <c r="X1277" s="48"/>
      <c r="Y1277" s="48"/>
      <c r="Z1277" s="47"/>
      <c r="AA1277" s="70">
        <v>1277</v>
      </c>
      <c r="AB1277" s="70"/>
      <c r="AC1277" s="71"/>
      <c r="AD1277" s="86" t="s">
        <v>24875</v>
      </c>
      <c r="AE1277" s="94" t="s">
        <v>23415</v>
      </c>
      <c r="AF1277" s="86">
        <v>2</v>
      </c>
      <c r="AG1277" s="86">
        <v>11</v>
      </c>
      <c r="AH1277" s="86">
        <v>48</v>
      </c>
      <c r="AI1277" s="86">
        <v>0</v>
      </c>
      <c r="AJ1277" s="86">
        <v>5</v>
      </c>
      <c r="AK1277" s="86">
        <v>48</v>
      </c>
      <c r="AL1277" s="86" t="b">
        <v>0</v>
      </c>
      <c r="AM1277" s="89">
        <v>45163.867037037038</v>
      </c>
      <c r="AN1277" s="86"/>
      <c r="AO1277" s="86"/>
      <c r="AP1277" s="86"/>
      <c r="AQ1277" s="86"/>
      <c r="AR1277" s="86"/>
      <c r="AS1277" s="86"/>
      <c r="AT1277" s="86"/>
      <c r="AU1277" s="86"/>
      <c r="AV1277" s="86"/>
      <c r="AW1277" s="86"/>
      <c r="AX1277" s="86" t="b">
        <v>0</v>
      </c>
      <c r="AY1277" s="86"/>
      <c r="AZ1277" s="86"/>
      <c r="BA1277" s="86" t="b">
        <v>0</v>
      </c>
      <c r="BB1277" s="86" t="b">
        <v>1</v>
      </c>
      <c r="BC1277" s="86" t="b">
        <v>1</v>
      </c>
      <c r="BD1277" s="86" t="b">
        <v>0</v>
      </c>
      <c r="BE1277" s="86" t="b">
        <v>0</v>
      </c>
      <c r="BF1277" s="86" t="b">
        <v>0</v>
      </c>
      <c r="BG1277" s="86" t="b">
        <v>0</v>
      </c>
      <c r="BH1277" s="96" t="str">
        <f>HYPERLINK("https://pbs.twimg.com/profile_banners/1695176289634734080/1692997393")</f>
        <v>https://pbs.twimg.com/profile_banners/1695176289634734080/1692997393</v>
      </c>
      <c r="BI1277" s="86"/>
      <c r="BJ1277" s="86" t="s">
        <v>29134</v>
      </c>
      <c r="BK1277" s="86" t="b">
        <v>0</v>
      </c>
      <c r="BL1277" s="86"/>
      <c r="BM1277" s="86" t="s">
        <v>66</v>
      </c>
      <c r="BN1277" s="86" t="s">
        <v>29136</v>
      </c>
      <c r="BO1277" s="96" t="str">
        <f>HYPERLINK("https://twitter.com/campoli1979")</f>
        <v>https://twitter.com/campoli1979</v>
      </c>
      <c r="BP1277" s="2"/>
    </row>
    <row r="1278" spans="1:68" x14ac:dyDescent="0.25">
      <c r="A1278" s="63" t="s">
        <v>1304</v>
      </c>
      <c r="B1278" s="64"/>
      <c r="C1278" s="64"/>
      <c r="D1278" s="65"/>
      <c r="E1278" s="67"/>
      <c r="F1278" s="111" t="str">
        <f>HYPERLINK("https://pbs.twimg.com/profile_images/1706754884609970176/N6nHzVkC_normal.jpg")</f>
        <v>https://pbs.twimg.com/profile_images/1706754884609970176/N6nHzVkC_normal.jpg</v>
      </c>
      <c r="G1278" s="64"/>
      <c r="H1278" s="68"/>
      <c r="I1278" s="69"/>
      <c r="J1278" s="69"/>
      <c r="K1278" s="68" t="s">
        <v>30411</v>
      </c>
      <c r="L1278" s="72"/>
      <c r="M1278" s="73"/>
      <c r="N1278" s="73"/>
      <c r="O1278" s="74"/>
      <c r="P1278" s="75"/>
      <c r="Q1278" s="75"/>
      <c r="R1278" s="102"/>
      <c r="S1278" s="102"/>
      <c r="T1278" s="102"/>
      <c r="U1278" s="102"/>
      <c r="V1278" s="48"/>
      <c r="W1278" s="48"/>
      <c r="X1278" s="48"/>
      <c r="Y1278" s="48"/>
      <c r="Z1278" s="47"/>
      <c r="AA1278" s="70">
        <v>1278</v>
      </c>
      <c r="AB1278" s="70"/>
      <c r="AC1278" s="71"/>
      <c r="AD1278" s="86" t="s">
        <v>24876</v>
      </c>
      <c r="AE1278" s="94" t="s">
        <v>22633</v>
      </c>
      <c r="AF1278" s="86">
        <v>6</v>
      </c>
      <c r="AG1278" s="86">
        <v>45</v>
      </c>
      <c r="AH1278" s="86">
        <v>146</v>
      </c>
      <c r="AI1278" s="86">
        <v>1</v>
      </c>
      <c r="AJ1278" s="86">
        <v>267</v>
      </c>
      <c r="AK1278" s="86">
        <v>7</v>
      </c>
      <c r="AL1278" s="86" t="b">
        <v>0</v>
      </c>
      <c r="AM1278" s="89">
        <v>44909.662164351852</v>
      </c>
      <c r="AN1278" s="86"/>
      <c r="AO1278" s="86" t="s">
        <v>27587</v>
      </c>
      <c r="AP1278" s="86"/>
      <c r="AQ1278" s="86"/>
      <c r="AR1278" s="86"/>
      <c r="AS1278" s="86"/>
      <c r="AT1278" s="86"/>
      <c r="AU1278" s="86"/>
      <c r="AV1278" s="86"/>
      <c r="AW1278" s="86"/>
      <c r="AX1278" s="86" t="b">
        <v>0</v>
      </c>
      <c r="AY1278" s="86"/>
      <c r="AZ1278" s="86"/>
      <c r="BA1278" s="86" t="b">
        <v>0</v>
      </c>
      <c r="BB1278" s="86" t="b">
        <v>1</v>
      </c>
      <c r="BC1278" s="86" t="b">
        <v>1</v>
      </c>
      <c r="BD1278" s="86" t="b">
        <v>0</v>
      </c>
      <c r="BE1278" s="86" t="b">
        <v>0</v>
      </c>
      <c r="BF1278" s="86" t="b">
        <v>0</v>
      </c>
      <c r="BG1278" s="86" t="b">
        <v>0</v>
      </c>
      <c r="BH1278" s="96" t="str">
        <f>HYPERLINK("https://pbs.twimg.com/profile_banners/1603055289628037122/1683638651")</f>
        <v>https://pbs.twimg.com/profile_banners/1603055289628037122/1683638651</v>
      </c>
      <c r="BI1278" s="86"/>
      <c r="BJ1278" s="86" t="s">
        <v>29134</v>
      </c>
      <c r="BK1278" s="86" t="b">
        <v>0</v>
      </c>
      <c r="BL1278" s="86"/>
      <c r="BM1278" s="86" t="s">
        <v>66</v>
      </c>
      <c r="BN1278" s="86" t="s">
        <v>29136</v>
      </c>
      <c r="BO1278" s="96" t="str">
        <f>HYPERLINK("https://twitter.com/joseguilhermeft")</f>
        <v>https://twitter.com/joseguilhermeft</v>
      </c>
      <c r="BP1278" s="2"/>
    </row>
    <row r="1279" spans="1:68" x14ac:dyDescent="0.25">
      <c r="A1279" s="63" t="s">
        <v>1305</v>
      </c>
      <c r="B1279" s="64"/>
      <c r="C1279" s="64"/>
      <c r="D1279" s="65"/>
      <c r="E1279" s="67"/>
      <c r="F1279" s="111" t="str">
        <f>HYPERLINK("https://pbs.twimg.com/profile_images/1450824773047554056/qrVN6vSB_normal.jpg")</f>
        <v>https://pbs.twimg.com/profile_images/1450824773047554056/qrVN6vSB_normal.jpg</v>
      </c>
      <c r="G1279" s="64"/>
      <c r="H1279" s="68"/>
      <c r="I1279" s="69"/>
      <c r="J1279" s="69"/>
      <c r="K1279" s="68" t="s">
        <v>30412</v>
      </c>
      <c r="L1279" s="72"/>
      <c r="M1279" s="73"/>
      <c r="N1279" s="73"/>
      <c r="O1279" s="74"/>
      <c r="P1279" s="75"/>
      <c r="Q1279" s="75"/>
      <c r="R1279" s="102"/>
      <c r="S1279" s="102"/>
      <c r="T1279" s="102"/>
      <c r="U1279" s="102"/>
      <c r="V1279" s="48"/>
      <c r="W1279" s="48"/>
      <c r="X1279" s="48"/>
      <c r="Y1279" s="48"/>
      <c r="Z1279" s="47"/>
      <c r="AA1279" s="70">
        <v>1279</v>
      </c>
      <c r="AB1279" s="70"/>
      <c r="AC1279" s="71"/>
      <c r="AD1279" s="86" t="s">
        <v>24877</v>
      </c>
      <c r="AE1279" s="94" t="s">
        <v>23416</v>
      </c>
      <c r="AF1279" s="86">
        <v>180</v>
      </c>
      <c r="AG1279" s="86">
        <v>831</v>
      </c>
      <c r="AH1279" s="86">
        <v>32</v>
      </c>
      <c r="AI1279" s="86">
        <v>0</v>
      </c>
      <c r="AJ1279" s="86">
        <v>76</v>
      </c>
      <c r="AK1279" s="86">
        <v>29</v>
      </c>
      <c r="AL1279" s="86" t="b">
        <v>0</v>
      </c>
      <c r="AM1279" s="89">
        <v>44489.583368055559</v>
      </c>
      <c r="AN1279" s="86" t="s">
        <v>15256</v>
      </c>
      <c r="AO1279" s="86" t="s">
        <v>27588</v>
      </c>
      <c r="AP1279" s="96" t="str">
        <f>HYPERLINK("https://t.co/8Zl7fxeVja")</f>
        <v>https://t.co/8Zl7fxeVja</v>
      </c>
      <c r="AQ1279" s="96" t="str">
        <f>HYPERLINK("https://www.marketingcomsucesso.com.br/")</f>
        <v>https://www.marketingcomsucesso.com.br/</v>
      </c>
      <c r="AR1279" s="86" t="s">
        <v>28498</v>
      </c>
      <c r="AS1279" s="86"/>
      <c r="AT1279" s="86"/>
      <c r="AU1279" s="86"/>
      <c r="AV1279" s="86">
        <v>1.6990378331204301E+18</v>
      </c>
      <c r="AW1279" s="96" t="str">
        <f>HYPERLINK("https://t.co/8Zl7fxeVja")</f>
        <v>https://t.co/8Zl7fxeVja</v>
      </c>
      <c r="AX1279" s="86" t="b">
        <v>0</v>
      </c>
      <c r="AY1279" s="86"/>
      <c r="AZ1279" s="86"/>
      <c r="BA1279" s="86" t="b">
        <v>0</v>
      </c>
      <c r="BB1279" s="86" t="b">
        <v>1</v>
      </c>
      <c r="BC1279" s="86" t="b">
        <v>1</v>
      </c>
      <c r="BD1279" s="86" t="b">
        <v>0</v>
      </c>
      <c r="BE1279" s="86" t="b">
        <v>0</v>
      </c>
      <c r="BF1279" s="86" t="b">
        <v>0</v>
      </c>
      <c r="BG1279" s="86" t="b">
        <v>0</v>
      </c>
      <c r="BH1279" s="96" t="str">
        <f>HYPERLINK("https://pbs.twimg.com/profile_banners/1450824001673179151/1634738616")</f>
        <v>https://pbs.twimg.com/profile_banners/1450824001673179151/1634738616</v>
      </c>
      <c r="BI1279" s="86"/>
      <c r="BJ1279" s="86" t="s">
        <v>29134</v>
      </c>
      <c r="BK1279" s="86" t="b">
        <v>0</v>
      </c>
      <c r="BL1279" s="86"/>
      <c r="BM1279" s="86" t="s">
        <v>66</v>
      </c>
      <c r="BN1279" s="86" t="s">
        <v>29136</v>
      </c>
      <c r="BO1279" s="96" t="str">
        <f>HYPERLINK("https://twitter.com/mktcomsucesso")</f>
        <v>https://twitter.com/mktcomsucesso</v>
      </c>
      <c r="BP1279" s="2"/>
    </row>
    <row r="1280" spans="1:68" x14ac:dyDescent="0.25">
      <c r="A1280" s="63" t="s">
        <v>1306</v>
      </c>
      <c r="B1280" s="64"/>
      <c r="C1280" s="64"/>
      <c r="D1280" s="65"/>
      <c r="E1280" s="67"/>
      <c r="F1280" s="111" t="str">
        <f>HYPERLINK("https://pbs.twimg.com/profile_images/1022117259794427905/Gqnpowfq_normal.jpg")</f>
        <v>https://pbs.twimg.com/profile_images/1022117259794427905/Gqnpowfq_normal.jpg</v>
      </c>
      <c r="G1280" s="64"/>
      <c r="H1280" s="68"/>
      <c r="I1280" s="69"/>
      <c r="J1280" s="69"/>
      <c r="K1280" s="68" t="s">
        <v>30413</v>
      </c>
      <c r="L1280" s="72"/>
      <c r="M1280" s="73"/>
      <c r="N1280" s="73"/>
      <c r="O1280" s="74"/>
      <c r="P1280" s="75"/>
      <c r="Q1280" s="75"/>
      <c r="R1280" s="102"/>
      <c r="S1280" s="102"/>
      <c r="T1280" s="102"/>
      <c r="U1280" s="102"/>
      <c r="V1280" s="48"/>
      <c r="W1280" s="48"/>
      <c r="X1280" s="48"/>
      <c r="Y1280" s="48"/>
      <c r="Z1280" s="47"/>
      <c r="AA1280" s="70">
        <v>1280</v>
      </c>
      <c r="AB1280" s="70"/>
      <c r="AC1280" s="71"/>
      <c r="AD1280" s="86" t="s">
        <v>24878</v>
      </c>
      <c r="AE1280" s="94" t="s">
        <v>23417</v>
      </c>
      <c r="AF1280" s="86">
        <v>4506</v>
      </c>
      <c r="AG1280" s="86">
        <v>4697</v>
      </c>
      <c r="AH1280" s="86">
        <v>6833</v>
      </c>
      <c r="AI1280" s="86">
        <v>5</v>
      </c>
      <c r="AJ1280" s="86">
        <v>11572</v>
      </c>
      <c r="AK1280" s="86">
        <v>6</v>
      </c>
      <c r="AL1280" s="86" t="b">
        <v>0</v>
      </c>
      <c r="AM1280" s="89">
        <v>43306.575729166667</v>
      </c>
      <c r="AN1280" s="86" t="s">
        <v>15256</v>
      </c>
      <c r="AO1280" s="86" t="s">
        <v>27589</v>
      </c>
      <c r="AP1280" s="96" t="str">
        <f>HYPERLINK("https://t.co/3tiofIogR1")</f>
        <v>https://t.co/3tiofIogR1</v>
      </c>
      <c r="AQ1280" s="96" t="str">
        <f>HYPERLINK("http://biblioteca.cofen.gov.br/")</f>
        <v>http://biblioteca.cofen.gov.br/</v>
      </c>
      <c r="AR1280" s="86" t="s">
        <v>28754</v>
      </c>
      <c r="AS1280" s="86"/>
      <c r="AT1280" s="86"/>
      <c r="AU1280" s="86"/>
      <c r="AV1280" s="86"/>
      <c r="AW1280" s="96" t="str">
        <f>HYPERLINK("https://t.co/3tiofIogR1")</f>
        <v>https://t.co/3tiofIogR1</v>
      </c>
      <c r="AX1280" s="86" t="b">
        <v>0</v>
      </c>
      <c r="AY1280" s="86"/>
      <c r="AZ1280" s="86"/>
      <c r="BA1280" s="86" t="b">
        <v>0</v>
      </c>
      <c r="BB1280" s="86" t="b">
        <v>1</v>
      </c>
      <c r="BC1280" s="86" t="b">
        <v>1</v>
      </c>
      <c r="BD1280" s="86" t="b">
        <v>0</v>
      </c>
      <c r="BE1280" s="86" t="b">
        <v>0</v>
      </c>
      <c r="BF1280" s="86" t="b">
        <v>0</v>
      </c>
      <c r="BG1280" s="86" t="b">
        <v>0</v>
      </c>
      <c r="BH1280" s="96" t="str">
        <f>HYPERLINK("https://pbs.twimg.com/profile_banners/1022116519977922566/1532527037")</f>
        <v>https://pbs.twimg.com/profile_banners/1022116519977922566/1532527037</v>
      </c>
      <c r="BI1280" s="86"/>
      <c r="BJ1280" s="86" t="s">
        <v>29134</v>
      </c>
      <c r="BK1280" s="86" t="b">
        <v>0</v>
      </c>
      <c r="BL1280" s="86"/>
      <c r="BM1280" s="86" t="s">
        <v>66</v>
      </c>
      <c r="BN1280" s="86" t="s">
        <v>29136</v>
      </c>
      <c r="BO1280" s="96" t="str">
        <f>HYPERLINK("https://twitter.com/bvenf")</f>
        <v>https://twitter.com/bvenf</v>
      </c>
      <c r="BP1280" s="2"/>
    </row>
    <row r="1281" spans="1:68" x14ac:dyDescent="0.25">
      <c r="A1281" s="63" t="s">
        <v>1307</v>
      </c>
      <c r="B1281" s="64"/>
      <c r="C1281" s="64"/>
      <c r="D1281" s="65"/>
      <c r="E1281" s="67"/>
      <c r="F1281" s="111" t="str">
        <f>HYPERLINK("https://pbs.twimg.com/profile_images/1704972810865565696/5tuqEZYp_normal.jpg")</f>
        <v>https://pbs.twimg.com/profile_images/1704972810865565696/5tuqEZYp_normal.jpg</v>
      </c>
      <c r="G1281" s="64"/>
      <c r="H1281" s="68"/>
      <c r="I1281" s="69"/>
      <c r="J1281" s="69"/>
      <c r="K1281" s="68" t="s">
        <v>30414</v>
      </c>
      <c r="L1281" s="72"/>
      <c r="M1281" s="73"/>
      <c r="N1281" s="73"/>
      <c r="O1281" s="74"/>
      <c r="P1281" s="75"/>
      <c r="Q1281" s="75"/>
      <c r="R1281" s="102"/>
      <c r="S1281" s="102"/>
      <c r="T1281" s="102"/>
      <c r="U1281" s="102"/>
      <c r="V1281" s="48"/>
      <c r="W1281" s="48"/>
      <c r="X1281" s="48"/>
      <c r="Y1281" s="48"/>
      <c r="Z1281" s="47"/>
      <c r="AA1281" s="70">
        <v>1281</v>
      </c>
      <c r="AB1281" s="70"/>
      <c r="AC1281" s="71"/>
      <c r="AD1281" s="86" t="s">
        <v>24879</v>
      </c>
      <c r="AE1281" s="94" t="s">
        <v>23418</v>
      </c>
      <c r="AF1281" s="86">
        <v>10</v>
      </c>
      <c r="AG1281" s="86">
        <v>43</v>
      </c>
      <c r="AH1281" s="86">
        <v>89</v>
      </c>
      <c r="AI1281" s="86">
        <v>0</v>
      </c>
      <c r="AJ1281" s="86">
        <v>0</v>
      </c>
      <c r="AK1281" s="86">
        <v>88</v>
      </c>
      <c r="AL1281" s="86" t="b">
        <v>0</v>
      </c>
      <c r="AM1281" s="89">
        <v>45162.79111111111</v>
      </c>
      <c r="AN1281" s="86"/>
      <c r="AO1281" s="86" t="s">
        <v>27590</v>
      </c>
      <c r="AP1281" s="86"/>
      <c r="AQ1281" s="86"/>
      <c r="AR1281" s="86"/>
      <c r="AS1281" s="86"/>
      <c r="AT1281" s="86"/>
      <c r="AU1281" s="86"/>
      <c r="AV1281" s="86"/>
      <c r="AW1281" s="86"/>
      <c r="AX1281" s="86" t="b">
        <v>0</v>
      </c>
      <c r="AY1281" s="86"/>
      <c r="AZ1281" s="86"/>
      <c r="BA1281" s="86" t="b">
        <v>0</v>
      </c>
      <c r="BB1281" s="86" t="b">
        <v>1</v>
      </c>
      <c r="BC1281" s="86" t="b">
        <v>1</v>
      </c>
      <c r="BD1281" s="86" t="b">
        <v>0</v>
      </c>
      <c r="BE1281" s="86" t="b">
        <v>0</v>
      </c>
      <c r="BF1281" s="86" t="b">
        <v>0</v>
      </c>
      <c r="BG1281" s="86" t="b">
        <v>0</v>
      </c>
      <c r="BH1281" s="96" t="str">
        <f>HYPERLINK("https://pbs.twimg.com/profile_banners/1694786358479339520/1695332263")</f>
        <v>https://pbs.twimg.com/profile_banners/1694786358479339520/1695332263</v>
      </c>
      <c r="BI1281" s="86"/>
      <c r="BJ1281" s="86" t="s">
        <v>29134</v>
      </c>
      <c r="BK1281" s="86" t="b">
        <v>0</v>
      </c>
      <c r="BL1281" s="86"/>
      <c r="BM1281" s="86" t="s">
        <v>66</v>
      </c>
      <c r="BN1281" s="86" t="s">
        <v>29136</v>
      </c>
      <c r="BO1281" s="96" t="str">
        <f>HYPERLINK("https://twitter.com/historia_md1")</f>
        <v>https://twitter.com/historia_md1</v>
      </c>
      <c r="BP1281" s="2"/>
    </row>
    <row r="1282" spans="1:68" x14ac:dyDescent="0.25">
      <c r="A1282" s="63" t="s">
        <v>1308</v>
      </c>
      <c r="B1282" s="64"/>
      <c r="C1282" s="64"/>
      <c r="D1282" s="65"/>
      <c r="E1282" s="67"/>
      <c r="F1282" s="111" t="str">
        <f>HYPERLINK("https://pbs.twimg.com/profile_images/1564389807702376458/1UGzDIk7_normal.jpg")</f>
        <v>https://pbs.twimg.com/profile_images/1564389807702376458/1UGzDIk7_normal.jpg</v>
      </c>
      <c r="G1282" s="64"/>
      <c r="H1282" s="68"/>
      <c r="I1282" s="69"/>
      <c r="J1282" s="69"/>
      <c r="K1282" s="68" t="s">
        <v>30415</v>
      </c>
      <c r="L1282" s="72"/>
      <c r="M1282" s="73"/>
      <c r="N1282" s="73"/>
      <c r="O1282" s="74"/>
      <c r="P1282" s="75"/>
      <c r="Q1282" s="75"/>
      <c r="R1282" s="102"/>
      <c r="S1282" s="102"/>
      <c r="T1282" s="102"/>
      <c r="U1282" s="102"/>
      <c r="V1282" s="48"/>
      <c r="W1282" s="48"/>
      <c r="X1282" s="48"/>
      <c r="Y1282" s="48"/>
      <c r="Z1282" s="47"/>
      <c r="AA1282" s="70">
        <v>1282</v>
      </c>
      <c r="AB1282" s="70"/>
      <c r="AC1282" s="71"/>
      <c r="AD1282" s="86" t="s">
        <v>24880</v>
      </c>
      <c r="AE1282" s="94" t="s">
        <v>25742</v>
      </c>
      <c r="AF1282" s="86">
        <v>83</v>
      </c>
      <c r="AG1282" s="86">
        <v>345</v>
      </c>
      <c r="AH1282" s="86">
        <v>582</v>
      </c>
      <c r="AI1282" s="86">
        <v>2</v>
      </c>
      <c r="AJ1282" s="86">
        <v>1045</v>
      </c>
      <c r="AK1282" s="86">
        <v>93</v>
      </c>
      <c r="AL1282" s="86" t="b">
        <v>0</v>
      </c>
      <c r="AM1282" s="89">
        <v>40012.721504629626</v>
      </c>
      <c r="AN1282" s="86" t="s">
        <v>25933</v>
      </c>
      <c r="AO1282" s="86" t="s">
        <v>27591</v>
      </c>
      <c r="AP1282" s="96" t="str">
        <f>HYPERLINK("https://t.co/czl3C0J8lE")</f>
        <v>https://t.co/czl3C0J8lE</v>
      </c>
      <c r="AQ1282" s="96" t="str">
        <f>HYPERLINK("http://www.nortusinvestimentos.com.br")</f>
        <v>http://www.nortusinvestimentos.com.br</v>
      </c>
      <c r="AR1282" s="86" t="s">
        <v>28755</v>
      </c>
      <c r="AS1282" s="86"/>
      <c r="AT1282" s="86"/>
      <c r="AU1282" s="86"/>
      <c r="AV1282" s="86"/>
      <c r="AW1282" s="96" t="str">
        <f>HYPERLINK("https://t.co/czl3C0J8lE")</f>
        <v>https://t.co/czl3C0J8lE</v>
      </c>
      <c r="AX1282" s="86" t="b">
        <v>0</v>
      </c>
      <c r="AY1282" s="86"/>
      <c r="AZ1282" s="86"/>
      <c r="BA1282" s="86" t="b">
        <v>0</v>
      </c>
      <c r="BB1282" s="86" t="b">
        <v>0</v>
      </c>
      <c r="BC1282" s="86" t="b">
        <v>0</v>
      </c>
      <c r="BD1282" s="86" t="b">
        <v>0</v>
      </c>
      <c r="BE1282" s="86" t="b">
        <v>1</v>
      </c>
      <c r="BF1282" s="86" t="b">
        <v>0</v>
      </c>
      <c r="BG1282" s="86" t="b">
        <v>0</v>
      </c>
      <c r="BH1282" s="96" t="str">
        <f>HYPERLINK("https://pbs.twimg.com/profile_banners/57981116/1658760614")</f>
        <v>https://pbs.twimg.com/profile_banners/57981116/1658760614</v>
      </c>
      <c r="BI1282" s="86"/>
      <c r="BJ1282" s="86" t="s">
        <v>29134</v>
      </c>
      <c r="BK1282" s="86" t="b">
        <v>0</v>
      </c>
      <c r="BL1282" s="86"/>
      <c r="BM1282" s="86" t="s">
        <v>66</v>
      </c>
      <c r="BN1282" s="86" t="s">
        <v>29136</v>
      </c>
      <c r="BO1282" s="96" t="str">
        <f>HYPERLINK("https://twitter.com/thiagobudni")</f>
        <v>https://twitter.com/thiagobudni</v>
      </c>
      <c r="BP1282" s="2"/>
    </row>
    <row r="1283" spans="1:68" x14ac:dyDescent="0.25">
      <c r="A1283" s="63" t="s">
        <v>1309</v>
      </c>
      <c r="B1283" s="64"/>
      <c r="C1283" s="64"/>
      <c r="D1283" s="65"/>
      <c r="E1283" s="67"/>
      <c r="F1283" s="111" t="str">
        <f>HYPERLINK("https://pbs.twimg.com/profile_images/929320071213846528/ZB8fiPiP_normal.jpg")</f>
        <v>https://pbs.twimg.com/profile_images/929320071213846528/ZB8fiPiP_normal.jpg</v>
      </c>
      <c r="G1283" s="64"/>
      <c r="H1283" s="68"/>
      <c r="I1283" s="69"/>
      <c r="J1283" s="69"/>
      <c r="K1283" s="68" t="s">
        <v>30416</v>
      </c>
      <c r="L1283" s="72"/>
      <c r="M1283" s="73"/>
      <c r="N1283" s="73"/>
      <c r="O1283" s="74"/>
      <c r="P1283" s="75"/>
      <c r="Q1283" s="75"/>
      <c r="R1283" s="102"/>
      <c r="S1283" s="102"/>
      <c r="T1283" s="102"/>
      <c r="U1283" s="102"/>
      <c r="V1283" s="48"/>
      <c r="W1283" s="48"/>
      <c r="X1283" s="48"/>
      <c r="Y1283" s="48"/>
      <c r="Z1283" s="47"/>
      <c r="AA1283" s="70">
        <v>1283</v>
      </c>
      <c r="AB1283" s="70"/>
      <c r="AC1283" s="71"/>
      <c r="AD1283" s="86" t="s">
        <v>24881</v>
      </c>
      <c r="AE1283" s="94" t="s">
        <v>25743</v>
      </c>
      <c r="AF1283" s="86">
        <v>346</v>
      </c>
      <c r="AG1283" s="86">
        <v>1256</v>
      </c>
      <c r="AH1283" s="86">
        <v>4765</v>
      </c>
      <c r="AI1283" s="86">
        <v>10</v>
      </c>
      <c r="AJ1283" s="86">
        <v>9466</v>
      </c>
      <c r="AK1283" s="86">
        <v>1079</v>
      </c>
      <c r="AL1283" s="86" t="b">
        <v>0</v>
      </c>
      <c r="AM1283" s="89">
        <v>39643.988969907405</v>
      </c>
      <c r="AN1283" s="86" t="s">
        <v>26320</v>
      </c>
      <c r="AO1283" s="86"/>
      <c r="AP1283" s="96" t="str">
        <f>HYPERLINK("https://t.co/eTIUPMNkmy")</f>
        <v>https://t.co/eTIUPMNkmy</v>
      </c>
      <c r="AQ1283" s="96" t="str">
        <f>HYPERLINK("http://www.badbitcoin.org/thebadlist/")</f>
        <v>http://www.badbitcoin.org/thebadlist/</v>
      </c>
      <c r="AR1283" s="86" t="s">
        <v>28756</v>
      </c>
      <c r="AS1283" s="86"/>
      <c r="AT1283" s="86"/>
      <c r="AU1283" s="86"/>
      <c r="AV1283" s="86">
        <v>1.2581895478731899E+18</v>
      </c>
      <c r="AW1283" s="96" t="str">
        <f>HYPERLINK("https://t.co/eTIUPMNkmy")</f>
        <v>https://t.co/eTIUPMNkmy</v>
      </c>
      <c r="AX1283" s="86" t="b">
        <v>0</v>
      </c>
      <c r="AY1283" s="86"/>
      <c r="AZ1283" s="86"/>
      <c r="BA1283" s="86" t="b">
        <v>0</v>
      </c>
      <c r="BB1283" s="86" t="b">
        <v>1</v>
      </c>
      <c r="BC1283" s="86" t="b">
        <v>0</v>
      </c>
      <c r="BD1283" s="86" t="b">
        <v>0</v>
      </c>
      <c r="BE1283" s="86" t="b">
        <v>1</v>
      </c>
      <c r="BF1283" s="86" t="b">
        <v>0</v>
      </c>
      <c r="BG1283" s="86" t="b">
        <v>0</v>
      </c>
      <c r="BH1283" s="96" t="str">
        <f>HYPERLINK("https://pbs.twimg.com/profile_banners/15434048/1512695961")</f>
        <v>https://pbs.twimg.com/profile_banners/15434048/1512695961</v>
      </c>
      <c r="BI1283" s="86"/>
      <c r="BJ1283" s="86" t="s">
        <v>29134</v>
      </c>
      <c r="BK1283" s="86" t="b">
        <v>0</v>
      </c>
      <c r="BL1283" s="86"/>
      <c r="BM1283" s="86" t="s">
        <v>66</v>
      </c>
      <c r="BN1283" s="86" t="s">
        <v>29136</v>
      </c>
      <c r="BO1283" s="96" t="str">
        <f>HYPERLINK("https://twitter.com/faeca")</f>
        <v>https://twitter.com/faeca</v>
      </c>
      <c r="BP1283" s="2"/>
    </row>
    <row r="1284" spans="1:68" x14ac:dyDescent="0.25">
      <c r="A1284" s="63" t="s">
        <v>1310</v>
      </c>
      <c r="B1284" s="64"/>
      <c r="C1284" s="64"/>
      <c r="D1284" s="65"/>
      <c r="E1284" s="67"/>
      <c r="F1284" s="111" t="str">
        <f>HYPERLINK("https://pbs.twimg.com/profile_images/1684549521810882568/2Vd0BD7c_normal.jpg")</f>
        <v>https://pbs.twimg.com/profile_images/1684549521810882568/2Vd0BD7c_normal.jpg</v>
      </c>
      <c r="G1284" s="64"/>
      <c r="H1284" s="68"/>
      <c r="I1284" s="69"/>
      <c r="J1284" s="69"/>
      <c r="K1284" s="68" t="s">
        <v>30417</v>
      </c>
      <c r="L1284" s="72"/>
      <c r="M1284" s="73"/>
      <c r="N1284" s="73"/>
      <c r="O1284" s="74"/>
      <c r="P1284" s="75"/>
      <c r="Q1284" s="75"/>
      <c r="R1284" s="102"/>
      <c r="S1284" s="102"/>
      <c r="T1284" s="102"/>
      <c r="U1284" s="102"/>
      <c r="V1284" s="48"/>
      <c r="W1284" s="48"/>
      <c r="X1284" s="48"/>
      <c r="Y1284" s="48"/>
      <c r="Z1284" s="47"/>
      <c r="AA1284" s="70">
        <v>1284</v>
      </c>
      <c r="AB1284" s="70"/>
      <c r="AC1284" s="71"/>
      <c r="AD1284" s="86" t="s">
        <v>24882</v>
      </c>
      <c r="AE1284" s="94" t="s">
        <v>23419</v>
      </c>
      <c r="AF1284" s="86">
        <v>0</v>
      </c>
      <c r="AG1284" s="86">
        <v>34</v>
      </c>
      <c r="AH1284" s="86">
        <v>4</v>
      </c>
      <c r="AI1284" s="86">
        <v>0</v>
      </c>
      <c r="AJ1284" s="86">
        <v>0</v>
      </c>
      <c r="AK1284" s="86">
        <v>1</v>
      </c>
      <c r="AL1284" s="86" t="b">
        <v>0</v>
      </c>
      <c r="AM1284" s="89">
        <v>44252.925659722219</v>
      </c>
      <c r="AN1284" s="86"/>
      <c r="AO1284" s="86" t="s">
        <v>27592</v>
      </c>
      <c r="AP1284" s="96" t="str">
        <f>HYPERLINK("https://t.co/VgPGDwM5LP")</f>
        <v>https://t.co/VgPGDwM5LP</v>
      </c>
      <c r="AQ1284" s="96" t="str">
        <f>HYPERLINK("http://www.lumosconnect.com.br")</f>
        <v>http://www.lumosconnect.com.br</v>
      </c>
      <c r="AR1284" s="86" t="s">
        <v>28757</v>
      </c>
      <c r="AS1284" s="86"/>
      <c r="AT1284" s="86"/>
      <c r="AU1284" s="86"/>
      <c r="AV1284" s="86"/>
      <c r="AW1284" s="96" t="str">
        <f>HYPERLINK("https://t.co/VgPGDwM5LP")</f>
        <v>https://t.co/VgPGDwM5LP</v>
      </c>
      <c r="AX1284" s="86" t="b">
        <v>0</v>
      </c>
      <c r="AY1284" s="86"/>
      <c r="AZ1284" s="86"/>
      <c r="BA1284" s="86" t="b">
        <v>0</v>
      </c>
      <c r="BB1284" s="86" t="b">
        <v>1</v>
      </c>
      <c r="BC1284" s="86" t="b">
        <v>1</v>
      </c>
      <c r="BD1284" s="86" t="b">
        <v>0</v>
      </c>
      <c r="BE1284" s="86" t="b">
        <v>0</v>
      </c>
      <c r="BF1284" s="86" t="b">
        <v>0</v>
      </c>
      <c r="BG1284" s="86" t="b">
        <v>0</v>
      </c>
      <c r="BH1284" s="96" t="str">
        <f>HYPERLINK("https://pbs.twimg.com/profile_banners/1365062176118030345/1690462946")</f>
        <v>https://pbs.twimg.com/profile_banners/1365062176118030345/1690462946</v>
      </c>
      <c r="BI1284" s="86"/>
      <c r="BJ1284" s="86" t="s">
        <v>29134</v>
      </c>
      <c r="BK1284" s="86" t="b">
        <v>0</v>
      </c>
      <c r="BL1284" s="86"/>
      <c r="BM1284" s="86" t="s">
        <v>66</v>
      </c>
      <c r="BN1284" s="86" t="s">
        <v>29136</v>
      </c>
      <c r="BO1284" s="96" t="str">
        <f>HYPERLINK("https://twitter.com/lumosconnectmkt")</f>
        <v>https://twitter.com/lumosconnectmkt</v>
      </c>
      <c r="BP1284" s="2"/>
    </row>
    <row r="1285" spans="1:68" x14ac:dyDescent="0.25">
      <c r="A1285" s="63" t="s">
        <v>1311</v>
      </c>
      <c r="B1285" s="64"/>
      <c r="C1285" s="64"/>
      <c r="D1285" s="65"/>
      <c r="E1285" s="67"/>
      <c r="F1285" s="111" t="str">
        <f>HYPERLINK("https://pbs.twimg.com/profile_images/1703191428141056001/jnjcreaX_normal.jpg")</f>
        <v>https://pbs.twimg.com/profile_images/1703191428141056001/jnjcreaX_normal.jpg</v>
      </c>
      <c r="G1285" s="64"/>
      <c r="H1285" s="68"/>
      <c r="I1285" s="69"/>
      <c r="J1285" s="69"/>
      <c r="K1285" s="68" t="s">
        <v>30418</v>
      </c>
      <c r="L1285" s="72"/>
      <c r="M1285" s="73"/>
      <c r="N1285" s="73"/>
      <c r="O1285" s="74"/>
      <c r="P1285" s="75"/>
      <c r="Q1285" s="75"/>
      <c r="R1285" s="102"/>
      <c r="S1285" s="102"/>
      <c r="T1285" s="102"/>
      <c r="U1285" s="102"/>
      <c r="V1285" s="48"/>
      <c r="W1285" s="48"/>
      <c r="X1285" s="48"/>
      <c r="Y1285" s="48"/>
      <c r="Z1285" s="47"/>
      <c r="AA1285" s="70">
        <v>1285</v>
      </c>
      <c r="AB1285" s="70"/>
      <c r="AC1285" s="71"/>
      <c r="AD1285" s="86" t="s">
        <v>24883</v>
      </c>
      <c r="AE1285" s="94" t="s">
        <v>23420</v>
      </c>
      <c r="AF1285" s="86">
        <v>474</v>
      </c>
      <c r="AG1285" s="86">
        <v>521</v>
      </c>
      <c r="AH1285" s="86">
        <v>5002</v>
      </c>
      <c r="AI1285" s="86">
        <v>1</v>
      </c>
      <c r="AJ1285" s="86">
        <v>2114</v>
      </c>
      <c r="AK1285" s="86">
        <v>1539</v>
      </c>
      <c r="AL1285" s="86" t="b">
        <v>0</v>
      </c>
      <c r="AM1285" s="89">
        <v>44251.948946759258</v>
      </c>
      <c r="AN1285" s="86" t="s">
        <v>26321</v>
      </c>
      <c r="AO1285" s="86" t="s">
        <v>27593</v>
      </c>
      <c r="AP1285" s="96" t="str">
        <f>HYPERLINK("https://t.co/oJCNuHJE91")</f>
        <v>https://t.co/oJCNuHJE91</v>
      </c>
      <c r="AQ1285" s="96" t="str">
        <f>HYPERLINK("http://Instagram.com/crf.augusto")</f>
        <v>http://Instagram.com/crf.augusto</v>
      </c>
      <c r="AR1285" s="86" t="s">
        <v>28758</v>
      </c>
      <c r="AS1285" s="86"/>
      <c r="AT1285" s="86"/>
      <c r="AU1285" s="86"/>
      <c r="AV1285" s="86">
        <v>1.6676751049170401E+18</v>
      </c>
      <c r="AW1285" s="96" t="str">
        <f>HYPERLINK("https://t.co/oJCNuHJE91")</f>
        <v>https://t.co/oJCNuHJE91</v>
      </c>
      <c r="AX1285" s="86" t="b">
        <v>0</v>
      </c>
      <c r="AY1285" s="86"/>
      <c r="AZ1285" s="86"/>
      <c r="BA1285" s="86" t="b">
        <v>0</v>
      </c>
      <c r="BB1285" s="86" t="b">
        <v>1</v>
      </c>
      <c r="BC1285" s="86" t="b">
        <v>1</v>
      </c>
      <c r="BD1285" s="86" t="b">
        <v>0</v>
      </c>
      <c r="BE1285" s="86" t="b">
        <v>0</v>
      </c>
      <c r="BF1285" s="86" t="b">
        <v>0</v>
      </c>
      <c r="BG1285" s="86" t="b">
        <v>0</v>
      </c>
      <c r="BH1285" s="96" t="str">
        <f>HYPERLINK("https://pbs.twimg.com/profile_banners/1364708223140442117/1691102425")</f>
        <v>https://pbs.twimg.com/profile_banners/1364708223140442117/1691102425</v>
      </c>
      <c r="BI1285" s="86"/>
      <c r="BJ1285" s="86" t="s">
        <v>29134</v>
      </c>
      <c r="BK1285" s="86" t="b">
        <v>0</v>
      </c>
      <c r="BL1285" s="86"/>
      <c r="BM1285" s="86" t="s">
        <v>66</v>
      </c>
      <c r="BN1285" s="86" t="s">
        <v>29136</v>
      </c>
      <c r="BO1285" s="96" t="str">
        <f>HYPERLINK("https://twitter.com/crfaugustoo")</f>
        <v>https://twitter.com/crfaugustoo</v>
      </c>
      <c r="BP1285" s="2"/>
    </row>
    <row r="1286" spans="1:68" x14ac:dyDescent="0.25">
      <c r="A1286" s="63" t="s">
        <v>1312</v>
      </c>
      <c r="B1286" s="64"/>
      <c r="C1286" s="64"/>
      <c r="D1286" s="65"/>
      <c r="E1286" s="67"/>
      <c r="F1286" s="111" t="str">
        <f>HYPERLINK("https://pbs.twimg.com/profile_images/1541162790424940544/VCFr3HSm_normal.jpg")</f>
        <v>https://pbs.twimg.com/profile_images/1541162790424940544/VCFr3HSm_normal.jpg</v>
      </c>
      <c r="G1286" s="64"/>
      <c r="H1286" s="68"/>
      <c r="I1286" s="69"/>
      <c r="J1286" s="69"/>
      <c r="K1286" s="68" t="s">
        <v>30419</v>
      </c>
      <c r="L1286" s="72"/>
      <c r="M1286" s="73"/>
      <c r="N1286" s="73"/>
      <c r="O1286" s="74"/>
      <c r="P1286" s="75"/>
      <c r="Q1286" s="75"/>
      <c r="R1286" s="102"/>
      <c r="S1286" s="102"/>
      <c r="T1286" s="102"/>
      <c r="U1286" s="102"/>
      <c r="V1286" s="48"/>
      <c r="W1286" s="48"/>
      <c r="X1286" s="48"/>
      <c r="Y1286" s="48"/>
      <c r="Z1286" s="47"/>
      <c r="AA1286" s="70">
        <v>1286</v>
      </c>
      <c r="AB1286" s="70"/>
      <c r="AC1286" s="71"/>
      <c r="AD1286" s="86" t="s">
        <v>24884</v>
      </c>
      <c r="AE1286" s="94" t="s">
        <v>23421</v>
      </c>
      <c r="AF1286" s="86">
        <v>6</v>
      </c>
      <c r="AG1286" s="86">
        <v>41</v>
      </c>
      <c r="AH1286" s="86">
        <v>28</v>
      </c>
      <c r="AI1286" s="86">
        <v>0</v>
      </c>
      <c r="AJ1286" s="86">
        <v>83</v>
      </c>
      <c r="AK1286" s="86">
        <v>16</v>
      </c>
      <c r="AL1286" s="86" t="b">
        <v>0</v>
      </c>
      <c r="AM1286" s="89">
        <v>44738.863379629627</v>
      </c>
      <c r="AN1286" s="86"/>
      <c r="AO1286" s="86" t="s">
        <v>27594</v>
      </c>
      <c r="AP1286" s="96" t="str">
        <f>HYPERLINK("https://t.co/ViaVxsVBcF")</f>
        <v>https://t.co/ViaVxsVBcF</v>
      </c>
      <c r="AQ1286" s="96" t="str">
        <f>HYPERLINK("https://ysenseblog.blogspot.com/")</f>
        <v>https://ysenseblog.blogspot.com/</v>
      </c>
      <c r="AR1286" s="86" t="s">
        <v>28759</v>
      </c>
      <c r="AS1286" s="86"/>
      <c r="AT1286" s="86"/>
      <c r="AU1286" s="86"/>
      <c r="AV1286" s="86"/>
      <c r="AW1286" s="96" t="str">
        <f>HYPERLINK("https://t.co/ViaVxsVBcF")</f>
        <v>https://t.co/ViaVxsVBcF</v>
      </c>
      <c r="AX1286" s="86" t="b">
        <v>0</v>
      </c>
      <c r="AY1286" s="86"/>
      <c r="AZ1286" s="86"/>
      <c r="BA1286" s="86" t="b">
        <v>0</v>
      </c>
      <c r="BB1286" s="86" t="b">
        <v>1</v>
      </c>
      <c r="BC1286" s="86" t="b">
        <v>1</v>
      </c>
      <c r="BD1286" s="86" t="b">
        <v>0</v>
      </c>
      <c r="BE1286" s="86" t="b">
        <v>0</v>
      </c>
      <c r="BF1286" s="86" t="b">
        <v>0</v>
      </c>
      <c r="BG1286" s="86" t="b">
        <v>0</v>
      </c>
      <c r="BH1286" s="96" t="str">
        <f>HYPERLINK("https://pbs.twimg.com/profile_banners/1541159652607422464/1683435045")</f>
        <v>https://pbs.twimg.com/profile_banners/1541159652607422464/1683435045</v>
      </c>
      <c r="BI1286" s="86"/>
      <c r="BJ1286" s="86" t="s">
        <v>29134</v>
      </c>
      <c r="BK1286" s="86" t="b">
        <v>0</v>
      </c>
      <c r="BL1286" s="86"/>
      <c r="BM1286" s="86" t="s">
        <v>66</v>
      </c>
      <c r="BN1286" s="86" t="s">
        <v>29136</v>
      </c>
      <c r="BO1286" s="96" t="str">
        <f>HYPERLINK("https://twitter.com/ysenselaguna")</f>
        <v>https://twitter.com/ysenselaguna</v>
      </c>
      <c r="BP1286" s="2"/>
    </row>
    <row r="1287" spans="1:68" x14ac:dyDescent="0.25">
      <c r="A1287" s="63" t="s">
        <v>1313</v>
      </c>
      <c r="B1287" s="64"/>
      <c r="C1287" s="64"/>
      <c r="D1287" s="65"/>
      <c r="E1287" s="67"/>
      <c r="F1287" s="111" t="str">
        <f>HYPERLINK("https://pbs.twimg.com/profile_images/1514233462793854982/N-yRMMy8_normal.png")</f>
        <v>https://pbs.twimg.com/profile_images/1514233462793854982/N-yRMMy8_normal.png</v>
      </c>
      <c r="G1287" s="64"/>
      <c r="H1287" s="68"/>
      <c r="I1287" s="69"/>
      <c r="J1287" s="69"/>
      <c r="K1287" s="68" t="s">
        <v>30420</v>
      </c>
      <c r="L1287" s="72"/>
      <c r="M1287" s="73"/>
      <c r="N1287" s="73"/>
      <c r="O1287" s="74"/>
      <c r="P1287" s="75"/>
      <c r="Q1287" s="75"/>
      <c r="R1287" s="102"/>
      <c r="S1287" s="102"/>
      <c r="T1287" s="102"/>
      <c r="U1287" s="102"/>
      <c r="V1287" s="48"/>
      <c r="W1287" s="48"/>
      <c r="X1287" s="48"/>
      <c r="Y1287" s="48"/>
      <c r="Z1287" s="47"/>
      <c r="AA1287" s="70">
        <v>1287</v>
      </c>
      <c r="AB1287" s="70"/>
      <c r="AC1287" s="71"/>
      <c r="AD1287" s="86" t="s">
        <v>24885</v>
      </c>
      <c r="AE1287" s="94" t="s">
        <v>23422</v>
      </c>
      <c r="AF1287" s="86">
        <v>101</v>
      </c>
      <c r="AG1287" s="86">
        <v>67</v>
      </c>
      <c r="AH1287" s="86">
        <v>834</v>
      </c>
      <c r="AI1287" s="86">
        <v>0</v>
      </c>
      <c r="AJ1287" s="86">
        <v>9</v>
      </c>
      <c r="AK1287" s="86">
        <v>283</v>
      </c>
      <c r="AL1287" s="86" t="b">
        <v>0</v>
      </c>
      <c r="AM1287" s="89">
        <v>43642.86787037037</v>
      </c>
      <c r="AN1287" s="86" t="s">
        <v>15246</v>
      </c>
      <c r="AO1287" s="86" t="s">
        <v>27595</v>
      </c>
      <c r="AP1287" s="96" t="str">
        <f>HYPERLINK("https://t.co/LVDXLrTHlA")</f>
        <v>https://t.co/LVDXLrTHlA</v>
      </c>
      <c r="AQ1287" s="96" t="str">
        <f>HYPERLINK("https://tmjuntos.com.br/")</f>
        <v>https://tmjuntos.com.br/</v>
      </c>
      <c r="AR1287" s="86" t="s">
        <v>28760</v>
      </c>
      <c r="AS1287" s="86"/>
      <c r="AT1287" s="86"/>
      <c r="AU1287" s="86"/>
      <c r="AV1287" s="86"/>
      <c r="AW1287" s="96" t="str">
        <f>HYPERLINK("https://t.co/LVDXLrTHlA")</f>
        <v>https://t.co/LVDXLrTHlA</v>
      </c>
      <c r="AX1287" s="86" t="b">
        <v>0</v>
      </c>
      <c r="AY1287" s="86"/>
      <c r="AZ1287" s="86"/>
      <c r="BA1287" s="86" t="b">
        <v>0</v>
      </c>
      <c r="BB1287" s="86" t="b">
        <v>1</v>
      </c>
      <c r="BC1287" s="86" t="b">
        <v>1</v>
      </c>
      <c r="BD1287" s="86" t="b">
        <v>0</v>
      </c>
      <c r="BE1287" s="86" t="b">
        <v>0</v>
      </c>
      <c r="BF1287" s="86" t="b">
        <v>0</v>
      </c>
      <c r="BG1287" s="86" t="b">
        <v>0</v>
      </c>
      <c r="BH1287" s="96" t="str">
        <f>HYPERLINK("https://pbs.twimg.com/profile_banners/1143984714660876288/1649871431")</f>
        <v>https://pbs.twimg.com/profile_banners/1143984714660876288/1649871431</v>
      </c>
      <c r="BI1287" s="86"/>
      <c r="BJ1287" s="86" t="s">
        <v>29134</v>
      </c>
      <c r="BK1287" s="86" t="b">
        <v>0</v>
      </c>
      <c r="BL1287" s="86"/>
      <c r="BM1287" s="86" t="s">
        <v>66</v>
      </c>
      <c r="BN1287" s="86" t="s">
        <v>29136</v>
      </c>
      <c r="BO1287" s="96" t="str">
        <f>HYPERLINK("https://twitter.com/tmjuntos")</f>
        <v>https://twitter.com/tmjuntos</v>
      </c>
      <c r="BP1287" s="2"/>
    </row>
    <row r="1288" spans="1:68" x14ac:dyDescent="0.25">
      <c r="A1288" s="63" t="s">
        <v>1314</v>
      </c>
      <c r="B1288" s="64"/>
      <c r="C1288" s="64"/>
      <c r="D1288" s="65"/>
      <c r="E1288" s="67"/>
      <c r="F1288" s="111" t="str">
        <f>HYPERLINK("https://pbs.twimg.com/profile_images/1704319381579182080/MEz7b-5h_normal.jpg")</f>
        <v>https://pbs.twimg.com/profile_images/1704319381579182080/MEz7b-5h_normal.jpg</v>
      </c>
      <c r="G1288" s="64"/>
      <c r="H1288" s="68"/>
      <c r="I1288" s="69"/>
      <c r="J1288" s="69"/>
      <c r="K1288" s="68" t="s">
        <v>30421</v>
      </c>
      <c r="L1288" s="72"/>
      <c r="M1288" s="73"/>
      <c r="N1288" s="73"/>
      <c r="O1288" s="74"/>
      <c r="P1288" s="75"/>
      <c r="Q1288" s="75"/>
      <c r="R1288" s="102"/>
      <c r="S1288" s="102"/>
      <c r="T1288" s="102"/>
      <c r="U1288" s="102"/>
      <c r="V1288" s="48"/>
      <c r="W1288" s="48"/>
      <c r="X1288" s="48"/>
      <c r="Y1288" s="48"/>
      <c r="Z1288" s="47"/>
      <c r="AA1288" s="70">
        <v>1288</v>
      </c>
      <c r="AB1288" s="70"/>
      <c r="AC1288" s="71"/>
      <c r="AD1288" s="86" t="s">
        <v>24886</v>
      </c>
      <c r="AE1288" s="94" t="s">
        <v>23423</v>
      </c>
      <c r="AF1288" s="86">
        <v>53</v>
      </c>
      <c r="AG1288" s="86">
        <v>88</v>
      </c>
      <c r="AH1288" s="86">
        <v>123</v>
      </c>
      <c r="AI1288" s="86">
        <v>0</v>
      </c>
      <c r="AJ1288" s="86">
        <v>58</v>
      </c>
      <c r="AK1288" s="86">
        <v>3</v>
      </c>
      <c r="AL1288" s="86" t="b">
        <v>0</v>
      </c>
      <c r="AM1288" s="89">
        <v>45189.095995370371</v>
      </c>
      <c r="AN1288" s="86"/>
      <c r="AO1288" s="86" t="s">
        <v>27596</v>
      </c>
      <c r="AP1288" s="96" t="str">
        <f>HYPERLINK("https://t.co/GoaaBfTxbu")</f>
        <v>https://t.co/GoaaBfTxbu</v>
      </c>
      <c r="AQ1288" s="96" t="str">
        <f>HYPERLINK("http://vsco.co/juliacramos")</f>
        <v>http://vsco.co/juliacramos</v>
      </c>
      <c r="AR1288" s="86" t="s">
        <v>28761</v>
      </c>
      <c r="AS1288" s="86"/>
      <c r="AT1288" s="86"/>
      <c r="AU1288" s="86"/>
      <c r="AV1288" s="86">
        <v>1.7060089199177001E+18</v>
      </c>
      <c r="AW1288" s="96" t="str">
        <f>HYPERLINK("https://t.co/GoaaBfTxbu")</f>
        <v>https://t.co/GoaaBfTxbu</v>
      </c>
      <c r="AX1288" s="86" t="b">
        <v>0</v>
      </c>
      <c r="AY1288" s="86"/>
      <c r="AZ1288" s="86"/>
      <c r="BA1288" s="86" t="b">
        <v>0</v>
      </c>
      <c r="BB1288" s="86" t="b">
        <v>1</v>
      </c>
      <c r="BC1288" s="86" t="b">
        <v>1</v>
      </c>
      <c r="BD1288" s="86" t="b">
        <v>0</v>
      </c>
      <c r="BE1288" s="86" t="b">
        <v>0</v>
      </c>
      <c r="BF1288" s="86" t="b">
        <v>0</v>
      </c>
      <c r="BG1288" s="86" t="b">
        <v>0</v>
      </c>
      <c r="BH1288" s="96" t="str">
        <f>HYPERLINK("https://pbs.twimg.com/profile_banners/1704318948102025216/1695176526")</f>
        <v>https://pbs.twimg.com/profile_banners/1704318948102025216/1695176526</v>
      </c>
      <c r="BI1288" s="86"/>
      <c r="BJ1288" s="86" t="s">
        <v>29134</v>
      </c>
      <c r="BK1288" s="86" t="b">
        <v>0</v>
      </c>
      <c r="BL1288" s="86"/>
      <c r="BM1288" s="86" t="s">
        <v>66</v>
      </c>
      <c r="BN1288" s="86" t="s">
        <v>29136</v>
      </c>
      <c r="BO1288" s="96" t="str">
        <f>HYPERLINK("https://twitter.com/_013julia")</f>
        <v>https://twitter.com/_013julia</v>
      </c>
      <c r="BP1288" s="2"/>
    </row>
    <row r="1289" spans="1:68" x14ac:dyDescent="0.25">
      <c r="A1289" s="63" t="s">
        <v>1315</v>
      </c>
      <c r="B1289" s="64"/>
      <c r="C1289" s="64"/>
      <c r="D1289" s="65"/>
      <c r="E1289" s="67"/>
      <c r="F1289" s="111" t="str">
        <f>HYPERLINK("https://pbs.twimg.com/profile_images/1338251923795947526/uF7bImNs_normal.jpg")</f>
        <v>https://pbs.twimg.com/profile_images/1338251923795947526/uF7bImNs_normal.jpg</v>
      </c>
      <c r="G1289" s="64"/>
      <c r="H1289" s="68"/>
      <c r="I1289" s="69"/>
      <c r="J1289" s="69"/>
      <c r="K1289" s="68" t="s">
        <v>30422</v>
      </c>
      <c r="L1289" s="72"/>
      <c r="M1289" s="73"/>
      <c r="N1289" s="73"/>
      <c r="O1289" s="74"/>
      <c r="P1289" s="75"/>
      <c r="Q1289" s="75"/>
      <c r="R1289" s="102"/>
      <c r="S1289" s="102"/>
      <c r="T1289" s="102"/>
      <c r="U1289" s="102"/>
      <c r="V1289" s="48"/>
      <c r="W1289" s="48"/>
      <c r="X1289" s="48"/>
      <c r="Y1289" s="48"/>
      <c r="Z1289" s="47"/>
      <c r="AA1289" s="70">
        <v>1289</v>
      </c>
      <c r="AB1289" s="70"/>
      <c r="AC1289" s="71"/>
      <c r="AD1289" s="86" t="s">
        <v>24887</v>
      </c>
      <c r="AE1289" s="94" t="s">
        <v>23424</v>
      </c>
      <c r="AF1289" s="86">
        <v>586</v>
      </c>
      <c r="AG1289" s="86">
        <v>217</v>
      </c>
      <c r="AH1289" s="86">
        <v>1271</v>
      </c>
      <c r="AI1289" s="86">
        <v>20</v>
      </c>
      <c r="AJ1289" s="86">
        <v>51</v>
      </c>
      <c r="AK1289" s="86">
        <v>97</v>
      </c>
      <c r="AL1289" s="86" t="b">
        <v>0</v>
      </c>
      <c r="AM1289" s="89">
        <v>44178.941921296297</v>
      </c>
      <c r="AN1289" s="86" t="s">
        <v>15246</v>
      </c>
      <c r="AO1289" s="86" t="s">
        <v>27597</v>
      </c>
      <c r="AP1289" s="96" t="str">
        <f>HYPERLINK("https://t.co/7xufFj1640")</f>
        <v>https://t.co/7xufFj1640</v>
      </c>
      <c r="AQ1289" s="96" t="str">
        <f>HYPERLINK("http://www.fastcompanybrasil.com")</f>
        <v>http://www.fastcompanybrasil.com</v>
      </c>
      <c r="AR1289" s="86" t="s">
        <v>8526</v>
      </c>
      <c r="AS1289" s="86"/>
      <c r="AT1289" s="86"/>
      <c r="AU1289" s="86"/>
      <c r="AV1289" s="86"/>
      <c r="AW1289" s="96" t="str">
        <f>HYPERLINK("https://t.co/7xufFj1640")</f>
        <v>https://t.co/7xufFj1640</v>
      </c>
      <c r="AX1289" s="86" t="b">
        <v>0</v>
      </c>
      <c r="AY1289" s="86"/>
      <c r="AZ1289" s="86"/>
      <c r="BA1289" s="86" t="b">
        <v>1</v>
      </c>
      <c r="BB1289" s="86" t="b">
        <v>1</v>
      </c>
      <c r="BC1289" s="86" t="b">
        <v>1</v>
      </c>
      <c r="BD1289" s="86" t="b">
        <v>0</v>
      </c>
      <c r="BE1289" s="86" t="b">
        <v>0</v>
      </c>
      <c r="BF1289" s="86" t="b">
        <v>0</v>
      </c>
      <c r="BG1289" s="86" t="b">
        <v>0</v>
      </c>
      <c r="BH1289" s="96" t="str">
        <f>HYPERLINK("https://pbs.twimg.com/profile_banners/1338251402787885057/1638566733")</f>
        <v>https://pbs.twimg.com/profile_banners/1338251402787885057/1638566733</v>
      </c>
      <c r="BI1289" s="86"/>
      <c r="BJ1289" s="86" t="s">
        <v>29134</v>
      </c>
      <c r="BK1289" s="86" t="b">
        <v>0</v>
      </c>
      <c r="BL1289" s="86"/>
      <c r="BM1289" s="86" t="s">
        <v>66</v>
      </c>
      <c r="BN1289" s="86" t="s">
        <v>29136</v>
      </c>
      <c r="BO1289" s="96" t="str">
        <f>HYPERLINK("https://twitter.com/fastcompanybra")</f>
        <v>https://twitter.com/fastcompanybra</v>
      </c>
      <c r="BP1289" s="2"/>
    </row>
    <row r="1290" spans="1:68" x14ac:dyDescent="0.25">
      <c r="A1290" s="63" t="s">
        <v>1316</v>
      </c>
      <c r="B1290" s="64"/>
      <c r="C1290" s="64"/>
      <c r="D1290" s="65"/>
      <c r="E1290" s="67"/>
      <c r="F1290" s="111" t="str">
        <f>HYPERLINK("https://pbs.twimg.com/profile_images/1702479259766272000/83uEaae9_normal.jpg")</f>
        <v>https://pbs.twimg.com/profile_images/1702479259766272000/83uEaae9_normal.jpg</v>
      </c>
      <c r="G1290" s="64"/>
      <c r="H1290" s="68"/>
      <c r="I1290" s="69"/>
      <c r="J1290" s="69"/>
      <c r="K1290" s="68" t="s">
        <v>30423</v>
      </c>
      <c r="L1290" s="72"/>
      <c r="M1290" s="73"/>
      <c r="N1290" s="73"/>
      <c r="O1290" s="74"/>
      <c r="P1290" s="75"/>
      <c r="Q1290" s="75"/>
      <c r="R1290" s="102"/>
      <c r="S1290" s="102"/>
      <c r="T1290" s="102"/>
      <c r="U1290" s="102"/>
      <c r="V1290" s="48"/>
      <c r="W1290" s="48"/>
      <c r="X1290" s="48"/>
      <c r="Y1290" s="48"/>
      <c r="Z1290" s="47"/>
      <c r="AA1290" s="70">
        <v>1290</v>
      </c>
      <c r="AB1290" s="70"/>
      <c r="AC1290" s="71"/>
      <c r="AD1290" s="86" t="s">
        <v>24888</v>
      </c>
      <c r="AE1290" s="94" t="s">
        <v>23425</v>
      </c>
      <c r="AF1290" s="86">
        <v>0</v>
      </c>
      <c r="AG1290" s="86">
        <v>106</v>
      </c>
      <c r="AH1290" s="86">
        <v>1318</v>
      </c>
      <c r="AI1290" s="86">
        <v>0</v>
      </c>
      <c r="AJ1290" s="86">
        <v>23</v>
      </c>
      <c r="AK1290" s="86">
        <v>257</v>
      </c>
      <c r="AL1290" s="86" t="b">
        <v>0</v>
      </c>
      <c r="AM1290" s="89">
        <v>44801.903946759259</v>
      </c>
      <c r="AN1290" s="86"/>
      <c r="AO1290" s="86" t="s">
        <v>27598</v>
      </c>
      <c r="AP1290" s="96" t="str">
        <f>HYPERLINK("https://t.co/REhAaKgvUC")</f>
        <v>https://t.co/REhAaKgvUC</v>
      </c>
      <c r="AQ1290" s="96" t="str">
        <f>HYPERLINK("https://kiwify.app/UdtaffM?afid=5mVRyQYB")</f>
        <v>https://kiwify.app/UdtaffM?afid=5mVRyQYB</v>
      </c>
      <c r="AR1290" s="86" t="s">
        <v>28762</v>
      </c>
      <c r="AS1290" s="86"/>
      <c r="AT1290" s="86"/>
      <c r="AU1290" s="86"/>
      <c r="AV1290" s="86"/>
      <c r="AW1290" s="96" t="str">
        <f>HYPERLINK("https://t.co/REhAaKgvUC")</f>
        <v>https://t.co/REhAaKgvUC</v>
      </c>
      <c r="AX1290" s="86" t="b">
        <v>0</v>
      </c>
      <c r="AY1290" s="86"/>
      <c r="AZ1290" s="86"/>
      <c r="BA1290" s="86" t="b">
        <v>0</v>
      </c>
      <c r="BB1290" s="86" t="b">
        <v>1</v>
      </c>
      <c r="BC1290" s="86" t="b">
        <v>1</v>
      </c>
      <c r="BD1290" s="86" t="b">
        <v>0</v>
      </c>
      <c r="BE1290" s="86" t="b">
        <v>0</v>
      </c>
      <c r="BF1290" s="86" t="b">
        <v>0</v>
      </c>
      <c r="BG1290" s="86" t="b">
        <v>0</v>
      </c>
      <c r="BH1290" s="86"/>
      <c r="BI1290" s="86"/>
      <c r="BJ1290" s="86" t="s">
        <v>29134</v>
      </c>
      <c r="BK1290" s="86" t="b">
        <v>0</v>
      </c>
      <c r="BL1290" s="86"/>
      <c r="BM1290" s="86" t="s">
        <v>66</v>
      </c>
      <c r="BN1290" s="86" t="s">
        <v>29136</v>
      </c>
      <c r="BO1290" s="96" t="str">
        <f>HYPERLINK("https://twitter.com/camiladalmaso7")</f>
        <v>https://twitter.com/camiladalmaso7</v>
      </c>
      <c r="BP1290" s="2"/>
    </row>
    <row r="1291" spans="1:68" x14ac:dyDescent="0.25">
      <c r="A1291" s="63" t="s">
        <v>1317</v>
      </c>
      <c r="B1291" s="64"/>
      <c r="C1291" s="64"/>
      <c r="D1291" s="65"/>
      <c r="E1291" s="67"/>
      <c r="F1291" s="111" t="str">
        <f>HYPERLINK("https://pbs.twimg.com/profile_images/1703546424908976128/Nn5tyjLY_normal.jpg")</f>
        <v>https://pbs.twimg.com/profile_images/1703546424908976128/Nn5tyjLY_normal.jpg</v>
      </c>
      <c r="G1291" s="64"/>
      <c r="H1291" s="68"/>
      <c r="I1291" s="69"/>
      <c r="J1291" s="69"/>
      <c r="K1291" s="68" t="s">
        <v>30424</v>
      </c>
      <c r="L1291" s="72"/>
      <c r="M1291" s="73"/>
      <c r="N1291" s="73"/>
      <c r="O1291" s="74"/>
      <c r="P1291" s="75"/>
      <c r="Q1291" s="75"/>
      <c r="R1291" s="102"/>
      <c r="S1291" s="102"/>
      <c r="T1291" s="102"/>
      <c r="U1291" s="102"/>
      <c r="V1291" s="48"/>
      <c r="W1291" s="48"/>
      <c r="X1291" s="48"/>
      <c r="Y1291" s="48"/>
      <c r="Z1291" s="47"/>
      <c r="AA1291" s="70">
        <v>1291</v>
      </c>
      <c r="AB1291" s="70"/>
      <c r="AC1291" s="71"/>
      <c r="AD1291" s="86" t="s">
        <v>24889</v>
      </c>
      <c r="AE1291" s="94" t="s">
        <v>23426</v>
      </c>
      <c r="AF1291" s="86">
        <v>187</v>
      </c>
      <c r="AG1291" s="86">
        <v>165</v>
      </c>
      <c r="AH1291" s="86">
        <v>285</v>
      </c>
      <c r="AI1291" s="86">
        <v>0</v>
      </c>
      <c r="AJ1291" s="86">
        <v>10158</v>
      </c>
      <c r="AK1291" s="86">
        <v>2</v>
      </c>
      <c r="AL1291" s="86" t="b">
        <v>0</v>
      </c>
      <c r="AM1291" s="89">
        <v>43930.658263888887</v>
      </c>
      <c r="AN1291" s="86" t="s">
        <v>26024</v>
      </c>
      <c r="AO1291" s="86" t="s">
        <v>27599</v>
      </c>
      <c r="AP1291" s="86"/>
      <c r="AQ1291" s="86"/>
      <c r="AR1291" s="86"/>
      <c r="AS1291" s="86"/>
      <c r="AT1291" s="86"/>
      <c r="AU1291" s="86"/>
      <c r="AV1291" s="86">
        <v>1.6829008680547699E+18</v>
      </c>
      <c r="AW1291" s="86"/>
      <c r="AX1291" s="86" t="b">
        <v>0</v>
      </c>
      <c r="AY1291" s="86"/>
      <c r="AZ1291" s="86"/>
      <c r="BA1291" s="86" t="b">
        <v>1</v>
      </c>
      <c r="BB1291" s="86" t="b">
        <v>0</v>
      </c>
      <c r="BC1291" s="86" t="b">
        <v>1</v>
      </c>
      <c r="BD1291" s="86" t="b">
        <v>0</v>
      </c>
      <c r="BE1291" s="86" t="b">
        <v>1</v>
      </c>
      <c r="BF1291" s="86" t="b">
        <v>0</v>
      </c>
      <c r="BG1291" s="86" t="b">
        <v>1</v>
      </c>
      <c r="BH1291" s="96" t="str">
        <f>HYPERLINK("https://pbs.twimg.com/profile_banners/1248276416212451329/1691431680")</f>
        <v>https://pbs.twimg.com/profile_banners/1248276416212451329/1691431680</v>
      </c>
      <c r="BI1291" s="86"/>
      <c r="BJ1291" s="86" t="s">
        <v>29134</v>
      </c>
      <c r="BK1291" s="86" t="b">
        <v>0</v>
      </c>
      <c r="BL1291" s="86"/>
      <c r="BM1291" s="86" t="s">
        <v>66</v>
      </c>
      <c r="BN1291" s="86" t="s">
        <v>29136</v>
      </c>
      <c r="BO1291" s="96" t="str">
        <f>HYPERLINK("https://twitter.com/simoeslelaa")</f>
        <v>https://twitter.com/simoeslelaa</v>
      </c>
      <c r="BP1291" s="2"/>
    </row>
    <row r="1292" spans="1:68" x14ac:dyDescent="0.25">
      <c r="A1292" s="63" t="s">
        <v>1800</v>
      </c>
      <c r="B1292" s="64"/>
      <c r="C1292" s="64"/>
      <c r="D1292" s="65"/>
      <c r="E1292" s="67"/>
      <c r="F1292" s="111" t="str">
        <f>HYPERLINK("https://pbs.twimg.com/profile_images/1691256657869758464/95F27Wuw_normal.jpg")</f>
        <v>https://pbs.twimg.com/profile_images/1691256657869758464/95F27Wuw_normal.jpg</v>
      </c>
      <c r="G1292" s="64"/>
      <c r="H1292" s="68"/>
      <c r="I1292" s="69"/>
      <c r="J1292" s="69"/>
      <c r="K1292" s="68" t="s">
        <v>30425</v>
      </c>
      <c r="L1292" s="72"/>
      <c r="M1292" s="73"/>
      <c r="N1292" s="73"/>
      <c r="O1292" s="74"/>
      <c r="P1292" s="75"/>
      <c r="Q1292" s="75"/>
      <c r="R1292" s="102"/>
      <c r="S1292" s="102"/>
      <c r="T1292" s="102"/>
      <c r="U1292" s="102"/>
      <c r="V1292" s="48"/>
      <c r="W1292" s="48"/>
      <c r="X1292" s="48"/>
      <c r="Y1292" s="48"/>
      <c r="Z1292" s="47"/>
      <c r="AA1292" s="70">
        <v>1292</v>
      </c>
      <c r="AB1292" s="70"/>
      <c r="AC1292" s="71"/>
      <c r="AD1292" s="86" t="s">
        <v>24890</v>
      </c>
      <c r="AE1292" s="94" t="s">
        <v>22634</v>
      </c>
      <c r="AF1292" s="86">
        <v>59</v>
      </c>
      <c r="AG1292" s="86">
        <v>121</v>
      </c>
      <c r="AH1292" s="86">
        <v>1437</v>
      </c>
      <c r="AI1292" s="86">
        <v>0</v>
      </c>
      <c r="AJ1292" s="86">
        <v>9717</v>
      </c>
      <c r="AK1292" s="86">
        <v>53</v>
      </c>
      <c r="AL1292" s="86" t="b">
        <v>0</v>
      </c>
      <c r="AM1292" s="89">
        <v>44207.087546296294</v>
      </c>
      <c r="AN1292" s="86"/>
      <c r="AO1292" s="86" t="s">
        <v>27600</v>
      </c>
      <c r="AP1292" s="86"/>
      <c r="AQ1292" s="86"/>
      <c r="AR1292" s="86"/>
      <c r="AS1292" s="86"/>
      <c r="AT1292" s="86"/>
      <c r="AU1292" s="86"/>
      <c r="AV1292" s="86">
        <v>1.6983854313591099E+18</v>
      </c>
      <c r="AW1292" s="86"/>
      <c r="AX1292" s="86" t="b">
        <v>0</v>
      </c>
      <c r="AY1292" s="86"/>
      <c r="AZ1292" s="86"/>
      <c r="BA1292" s="86" t="b">
        <v>0</v>
      </c>
      <c r="BB1292" s="86" t="b">
        <v>0</v>
      </c>
      <c r="BC1292" s="86" t="b">
        <v>1</v>
      </c>
      <c r="BD1292" s="86" t="b">
        <v>0</v>
      </c>
      <c r="BE1292" s="86" t="b">
        <v>1</v>
      </c>
      <c r="BF1292" s="86" t="b">
        <v>0</v>
      </c>
      <c r="BG1292" s="86" t="b">
        <v>0</v>
      </c>
      <c r="BH1292" s="96" t="str">
        <f>HYPERLINK("https://pbs.twimg.com/profile_banners/1348450924382064642/1692062002")</f>
        <v>https://pbs.twimg.com/profile_banners/1348450924382064642/1692062002</v>
      </c>
      <c r="BI1292" s="86"/>
      <c r="BJ1292" s="86" t="s">
        <v>29134</v>
      </c>
      <c r="BK1292" s="86" t="b">
        <v>0</v>
      </c>
      <c r="BL1292" s="86"/>
      <c r="BM1292" s="86" t="s">
        <v>65</v>
      </c>
      <c r="BN1292" s="86" t="s">
        <v>29136</v>
      </c>
      <c r="BO1292" s="96" t="str">
        <f>HYPERLINK("https://twitter.com/thallesiwataa")</f>
        <v>https://twitter.com/thallesiwataa</v>
      </c>
      <c r="BP1292" s="2"/>
    </row>
    <row r="1293" spans="1:68" x14ac:dyDescent="0.25">
      <c r="A1293" s="63" t="s">
        <v>1318</v>
      </c>
      <c r="B1293" s="64"/>
      <c r="C1293" s="64"/>
      <c r="D1293" s="65"/>
      <c r="E1293" s="67"/>
      <c r="F1293" s="111" t="str">
        <f>HYPERLINK("https://pbs.twimg.com/profile_images/1686181077528850433/9n7qBezO_normal.jpg")</f>
        <v>https://pbs.twimg.com/profile_images/1686181077528850433/9n7qBezO_normal.jpg</v>
      </c>
      <c r="G1293" s="64"/>
      <c r="H1293" s="68"/>
      <c r="I1293" s="69"/>
      <c r="J1293" s="69"/>
      <c r="K1293" s="68" t="s">
        <v>30426</v>
      </c>
      <c r="L1293" s="72"/>
      <c r="M1293" s="73"/>
      <c r="N1293" s="73"/>
      <c r="O1293" s="74"/>
      <c r="P1293" s="75"/>
      <c r="Q1293" s="75"/>
      <c r="R1293" s="102"/>
      <c r="S1293" s="102"/>
      <c r="T1293" s="102"/>
      <c r="U1293" s="102"/>
      <c r="V1293" s="48"/>
      <c r="W1293" s="48"/>
      <c r="X1293" s="48"/>
      <c r="Y1293" s="48"/>
      <c r="Z1293" s="47"/>
      <c r="AA1293" s="70">
        <v>1293</v>
      </c>
      <c r="AB1293" s="70"/>
      <c r="AC1293" s="71"/>
      <c r="AD1293" s="86" t="s">
        <v>24891</v>
      </c>
      <c r="AE1293" s="94" t="s">
        <v>23427</v>
      </c>
      <c r="AF1293" s="86">
        <v>0</v>
      </c>
      <c r="AG1293" s="86">
        <v>12</v>
      </c>
      <c r="AH1293" s="86">
        <v>3</v>
      </c>
      <c r="AI1293" s="86">
        <v>0</v>
      </c>
      <c r="AJ1293" s="86">
        <v>0</v>
      </c>
      <c r="AK1293" s="86">
        <v>2</v>
      </c>
      <c r="AL1293" s="86" t="b">
        <v>0</v>
      </c>
      <c r="AM1293" s="89">
        <v>45119.952048611114</v>
      </c>
      <c r="AN1293" s="86"/>
      <c r="AO1293" s="86" t="s">
        <v>27601</v>
      </c>
      <c r="AP1293" s="86"/>
      <c r="AQ1293" s="86"/>
      <c r="AR1293" s="86"/>
      <c r="AS1293" s="86"/>
      <c r="AT1293" s="86"/>
      <c r="AU1293" s="86"/>
      <c r="AV1293" s="86"/>
      <c r="AW1293" s="86"/>
      <c r="AX1293" s="86" t="b">
        <v>0</v>
      </c>
      <c r="AY1293" s="86"/>
      <c r="AZ1293" s="86"/>
      <c r="BA1293" s="86" t="b">
        <v>0</v>
      </c>
      <c r="BB1293" s="86" t="b">
        <v>1</v>
      </c>
      <c r="BC1293" s="86" t="b">
        <v>1</v>
      </c>
      <c r="BD1293" s="86" t="b">
        <v>0</v>
      </c>
      <c r="BE1293" s="86" t="b">
        <v>0</v>
      </c>
      <c r="BF1293" s="86" t="b">
        <v>0</v>
      </c>
      <c r="BG1293" s="86" t="b">
        <v>0</v>
      </c>
      <c r="BH1293" s="96" t="str">
        <f>HYPERLINK("https://pbs.twimg.com/profile_banners/1679262034066653184/1690851937")</f>
        <v>https://pbs.twimg.com/profile_banners/1679262034066653184/1690851937</v>
      </c>
      <c r="BI1293" s="86"/>
      <c r="BJ1293" s="86" t="s">
        <v>29134</v>
      </c>
      <c r="BK1293" s="86" t="b">
        <v>0</v>
      </c>
      <c r="BL1293" s="86"/>
      <c r="BM1293" s="86" t="s">
        <v>66</v>
      </c>
      <c r="BN1293" s="86" t="s">
        <v>29136</v>
      </c>
      <c r="BO1293" s="96" t="str">
        <f>HYPERLINK("https://twitter.com/atilamiller")</f>
        <v>https://twitter.com/atilamiller</v>
      </c>
      <c r="BP1293" s="2"/>
    </row>
    <row r="1294" spans="1:68" x14ac:dyDescent="0.25">
      <c r="A1294" s="63" t="s">
        <v>1319</v>
      </c>
      <c r="B1294" s="64"/>
      <c r="C1294" s="64"/>
      <c r="D1294" s="65"/>
      <c r="E1294" s="67"/>
      <c r="F1294" s="111" t="str">
        <f>HYPERLINK("https://pbs.twimg.com/profile_images/1694157293602975744/a7Fr4LH0_normal.jpg")</f>
        <v>https://pbs.twimg.com/profile_images/1694157293602975744/a7Fr4LH0_normal.jpg</v>
      </c>
      <c r="G1294" s="64"/>
      <c r="H1294" s="68"/>
      <c r="I1294" s="69"/>
      <c r="J1294" s="69"/>
      <c r="K1294" s="68" t="s">
        <v>30427</v>
      </c>
      <c r="L1294" s="72"/>
      <c r="M1294" s="73"/>
      <c r="N1294" s="73"/>
      <c r="O1294" s="74"/>
      <c r="P1294" s="75"/>
      <c r="Q1294" s="75"/>
      <c r="R1294" s="102"/>
      <c r="S1294" s="102"/>
      <c r="T1294" s="102"/>
      <c r="U1294" s="102"/>
      <c r="V1294" s="48"/>
      <c r="W1294" s="48"/>
      <c r="X1294" s="48"/>
      <c r="Y1294" s="48"/>
      <c r="Z1294" s="47"/>
      <c r="AA1294" s="70">
        <v>1294</v>
      </c>
      <c r="AB1294" s="70"/>
      <c r="AC1294" s="71"/>
      <c r="AD1294" s="86" t="s">
        <v>24892</v>
      </c>
      <c r="AE1294" s="94" t="s">
        <v>23428</v>
      </c>
      <c r="AF1294" s="86">
        <v>40</v>
      </c>
      <c r="AG1294" s="86">
        <v>14</v>
      </c>
      <c r="AH1294" s="86">
        <v>40</v>
      </c>
      <c r="AI1294" s="86">
        <v>0</v>
      </c>
      <c r="AJ1294" s="86">
        <v>307</v>
      </c>
      <c r="AK1294" s="86">
        <v>7</v>
      </c>
      <c r="AL1294" s="86" t="b">
        <v>0</v>
      </c>
      <c r="AM1294" s="89">
        <v>44866.106342592589</v>
      </c>
      <c r="AN1294" s="86" t="s">
        <v>15234</v>
      </c>
      <c r="AO1294" s="86" t="s">
        <v>27602</v>
      </c>
      <c r="AP1294" s="96" t="str">
        <f>HYPERLINK("https://t.co/vmPwSGQtpz")</f>
        <v>https://t.co/vmPwSGQtpz</v>
      </c>
      <c r="AQ1294" s="96" t="str">
        <f>HYPERLINK("http://www.martinhagondim.com.br")</f>
        <v>http://www.martinhagondim.com.br</v>
      </c>
      <c r="AR1294" s="86" t="s">
        <v>28763</v>
      </c>
      <c r="AS1294" s="86"/>
      <c r="AT1294" s="86"/>
      <c r="AU1294" s="86"/>
      <c r="AV1294" s="86"/>
      <c r="AW1294" s="96" t="str">
        <f>HYPERLINK("https://t.co/vmPwSGQtpz")</f>
        <v>https://t.co/vmPwSGQtpz</v>
      </c>
      <c r="AX1294" s="86" t="b">
        <v>0</v>
      </c>
      <c r="AY1294" s="86"/>
      <c r="AZ1294" s="86"/>
      <c r="BA1294" s="86" t="b">
        <v>0</v>
      </c>
      <c r="BB1294" s="86" t="b">
        <v>1</v>
      </c>
      <c r="BC1294" s="86" t="b">
        <v>1</v>
      </c>
      <c r="BD1294" s="86" t="b">
        <v>0</v>
      </c>
      <c r="BE1294" s="86" t="b">
        <v>0</v>
      </c>
      <c r="BF1294" s="86" t="b">
        <v>0</v>
      </c>
      <c r="BG1294" s="86" t="b">
        <v>0</v>
      </c>
      <c r="BH1294" s="96" t="str">
        <f>HYPERLINK("https://pbs.twimg.com/profile_banners/1587271330407268352/1692753560")</f>
        <v>https://pbs.twimg.com/profile_banners/1587271330407268352/1692753560</v>
      </c>
      <c r="BI1294" s="86"/>
      <c r="BJ1294" s="86" t="s">
        <v>29134</v>
      </c>
      <c r="BK1294" s="86" t="b">
        <v>0</v>
      </c>
      <c r="BL1294" s="86"/>
      <c r="BM1294" s="86" t="s">
        <v>66</v>
      </c>
      <c r="BN1294" s="86" t="s">
        <v>29136</v>
      </c>
      <c r="BO1294" s="96" t="str">
        <f>HYPERLINK("https://twitter.com/martinhagondim")</f>
        <v>https://twitter.com/martinhagondim</v>
      </c>
      <c r="BP1294" s="2"/>
    </row>
    <row r="1295" spans="1:68" x14ac:dyDescent="0.25">
      <c r="A1295" s="63" t="s">
        <v>1320</v>
      </c>
      <c r="B1295" s="64"/>
      <c r="C1295" s="64"/>
      <c r="D1295" s="65"/>
      <c r="E1295" s="67"/>
      <c r="F1295" s="111" t="str">
        <f>HYPERLINK("https://pbs.twimg.com/profile_images/1655984821267472385/__xyobp3_normal.jpg")</f>
        <v>https://pbs.twimg.com/profile_images/1655984821267472385/__xyobp3_normal.jpg</v>
      </c>
      <c r="G1295" s="64"/>
      <c r="H1295" s="68"/>
      <c r="I1295" s="69"/>
      <c r="J1295" s="69"/>
      <c r="K1295" s="68" t="s">
        <v>30428</v>
      </c>
      <c r="L1295" s="72"/>
      <c r="M1295" s="73"/>
      <c r="N1295" s="73"/>
      <c r="O1295" s="74"/>
      <c r="P1295" s="75"/>
      <c r="Q1295" s="75"/>
      <c r="R1295" s="102"/>
      <c r="S1295" s="102"/>
      <c r="T1295" s="102"/>
      <c r="U1295" s="102"/>
      <c r="V1295" s="48"/>
      <c r="W1295" s="48"/>
      <c r="X1295" s="48"/>
      <c r="Y1295" s="48"/>
      <c r="Z1295" s="47"/>
      <c r="AA1295" s="70">
        <v>1295</v>
      </c>
      <c r="AB1295" s="70"/>
      <c r="AC1295" s="71"/>
      <c r="AD1295" s="86" t="s">
        <v>24893</v>
      </c>
      <c r="AE1295" s="94" t="s">
        <v>23429</v>
      </c>
      <c r="AF1295" s="86">
        <v>9524</v>
      </c>
      <c r="AG1295" s="86">
        <v>1498</v>
      </c>
      <c r="AH1295" s="86">
        <v>28110</v>
      </c>
      <c r="AI1295" s="86">
        <v>28</v>
      </c>
      <c r="AJ1295" s="86">
        <v>79597</v>
      </c>
      <c r="AK1295" s="86">
        <v>8113</v>
      </c>
      <c r="AL1295" s="86" t="b">
        <v>0</v>
      </c>
      <c r="AM1295" s="89">
        <v>42518.977592592593</v>
      </c>
      <c r="AN1295" s="86" t="s">
        <v>15234</v>
      </c>
      <c r="AO1295" s="86" t="s">
        <v>27603</v>
      </c>
      <c r="AP1295" s="86"/>
      <c r="AQ1295" s="86"/>
      <c r="AR1295" s="86"/>
      <c r="AS1295" s="86" t="s">
        <v>29008</v>
      </c>
      <c r="AT1295" s="86" t="s">
        <v>29024</v>
      </c>
      <c r="AU1295" s="86" t="s">
        <v>29112</v>
      </c>
      <c r="AV1295" s="86"/>
      <c r="AW1295" s="86"/>
      <c r="AX1295" s="86" t="b">
        <v>0</v>
      </c>
      <c r="AY1295" s="86"/>
      <c r="AZ1295" s="86"/>
      <c r="BA1295" s="86" t="b">
        <v>0</v>
      </c>
      <c r="BB1295" s="86" t="b">
        <v>1</v>
      </c>
      <c r="BC1295" s="86" t="b">
        <v>0</v>
      </c>
      <c r="BD1295" s="86" t="b">
        <v>0</v>
      </c>
      <c r="BE1295" s="86" t="b">
        <v>1</v>
      </c>
      <c r="BF1295" s="86" t="b">
        <v>0</v>
      </c>
      <c r="BG1295" s="86" t="b">
        <v>0</v>
      </c>
      <c r="BH1295" s="96" t="str">
        <f>HYPERLINK("https://pbs.twimg.com/profile_banners/736700514587553792/1683652524")</f>
        <v>https://pbs.twimg.com/profile_banners/736700514587553792/1683652524</v>
      </c>
      <c r="BI1295" s="86"/>
      <c r="BJ1295" s="86" t="s">
        <v>29134</v>
      </c>
      <c r="BK1295" s="86" t="b">
        <v>0</v>
      </c>
      <c r="BL1295" s="86"/>
      <c r="BM1295" s="86" t="s">
        <v>66</v>
      </c>
      <c r="BN1295" s="86" t="s">
        <v>29136</v>
      </c>
      <c r="BO1295" s="96" t="str">
        <f>HYPERLINK("https://twitter.com/tatunotoco")</f>
        <v>https://twitter.com/tatunotoco</v>
      </c>
      <c r="BP1295" s="2"/>
    </row>
    <row r="1296" spans="1:68" x14ac:dyDescent="0.25">
      <c r="A1296" s="63" t="s">
        <v>1321</v>
      </c>
      <c r="B1296" s="64"/>
      <c r="C1296" s="64"/>
      <c r="D1296" s="65"/>
      <c r="E1296" s="67"/>
      <c r="F1296" s="111" t="str">
        <f>HYPERLINK("https://pbs.twimg.com/profile_images/1555916679439335425/fQqlHTyP_normal.jpg")</f>
        <v>https://pbs.twimg.com/profile_images/1555916679439335425/fQqlHTyP_normal.jpg</v>
      </c>
      <c r="G1296" s="64"/>
      <c r="H1296" s="68"/>
      <c r="I1296" s="69"/>
      <c r="J1296" s="69"/>
      <c r="K1296" s="68" t="s">
        <v>30429</v>
      </c>
      <c r="L1296" s="72"/>
      <c r="M1296" s="73"/>
      <c r="N1296" s="73"/>
      <c r="O1296" s="74"/>
      <c r="P1296" s="75"/>
      <c r="Q1296" s="75"/>
      <c r="R1296" s="102"/>
      <c r="S1296" s="102"/>
      <c r="T1296" s="102"/>
      <c r="U1296" s="102"/>
      <c r="V1296" s="48"/>
      <c r="W1296" s="48"/>
      <c r="X1296" s="48"/>
      <c r="Y1296" s="48"/>
      <c r="Z1296" s="47"/>
      <c r="AA1296" s="70">
        <v>1296</v>
      </c>
      <c r="AB1296" s="70"/>
      <c r="AC1296" s="71"/>
      <c r="AD1296" s="86" t="s">
        <v>24894</v>
      </c>
      <c r="AE1296" s="94" t="s">
        <v>23430</v>
      </c>
      <c r="AF1296" s="86">
        <v>179</v>
      </c>
      <c r="AG1296" s="86">
        <v>1</v>
      </c>
      <c r="AH1296" s="86">
        <v>56</v>
      </c>
      <c r="AI1296" s="86">
        <v>0</v>
      </c>
      <c r="AJ1296" s="86">
        <v>13</v>
      </c>
      <c r="AK1296" s="86">
        <v>31</v>
      </c>
      <c r="AL1296" s="86" t="b">
        <v>0</v>
      </c>
      <c r="AM1296" s="89">
        <v>43389.4925</v>
      </c>
      <c r="AN1296" s="86" t="s">
        <v>26322</v>
      </c>
      <c r="AO1296" s="86" t="s">
        <v>27604</v>
      </c>
      <c r="AP1296" s="86"/>
      <c r="AQ1296" s="86"/>
      <c r="AR1296" s="86"/>
      <c r="AS1296" s="86"/>
      <c r="AT1296" s="86"/>
      <c r="AU1296" s="86"/>
      <c r="AV1296" s="86"/>
      <c r="AW1296" s="86"/>
      <c r="AX1296" s="86" t="b">
        <v>0</v>
      </c>
      <c r="AY1296" s="86"/>
      <c r="AZ1296" s="86"/>
      <c r="BA1296" s="86" t="b">
        <v>0</v>
      </c>
      <c r="BB1296" s="86" t="b">
        <v>1</v>
      </c>
      <c r="BC1296" s="86" t="b">
        <v>1</v>
      </c>
      <c r="BD1296" s="86" t="b">
        <v>0</v>
      </c>
      <c r="BE1296" s="86" t="b">
        <v>0</v>
      </c>
      <c r="BF1296" s="86" t="b">
        <v>0</v>
      </c>
      <c r="BG1296" s="86" t="b">
        <v>0</v>
      </c>
      <c r="BH1296" s="86"/>
      <c r="BI1296" s="86"/>
      <c r="BJ1296" s="86" t="s">
        <v>29134</v>
      </c>
      <c r="BK1296" s="86" t="b">
        <v>0</v>
      </c>
      <c r="BL1296" s="86"/>
      <c r="BM1296" s="86" t="s">
        <v>66</v>
      </c>
      <c r="BN1296" s="86" t="s">
        <v>29136</v>
      </c>
      <c r="BO1296" s="96" t="str">
        <f>HYPERLINK("https://twitter.com/jandertabosa")</f>
        <v>https://twitter.com/jandertabosa</v>
      </c>
      <c r="BP1296" s="2"/>
    </row>
    <row r="1297" spans="1:68" x14ac:dyDescent="0.25">
      <c r="A1297" s="63" t="s">
        <v>1322</v>
      </c>
      <c r="B1297" s="64"/>
      <c r="C1297" s="64"/>
      <c r="D1297" s="65"/>
      <c r="E1297" s="67"/>
      <c r="F1297" s="111" t="str">
        <f>HYPERLINK("https://pbs.twimg.com/profile_images/1681691612135452672/B-RN1PHh_normal.jpg")</f>
        <v>https://pbs.twimg.com/profile_images/1681691612135452672/B-RN1PHh_normal.jpg</v>
      </c>
      <c r="G1297" s="64"/>
      <c r="H1297" s="68"/>
      <c r="I1297" s="69"/>
      <c r="J1297" s="69"/>
      <c r="K1297" s="68" t="s">
        <v>30430</v>
      </c>
      <c r="L1297" s="72"/>
      <c r="M1297" s="73"/>
      <c r="N1297" s="73"/>
      <c r="O1297" s="74"/>
      <c r="P1297" s="75"/>
      <c r="Q1297" s="75"/>
      <c r="R1297" s="102"/>
      <c r="S1297" s="102"/>
      <c r="T1297" s="102"/>
      <c r="U1297" s="102"/>
      <c r="V1297" s="48"/>
      <c r="W1297" s="48"/>
      <c r="X1297" s="48"/>
      <c r="Y1297" s="48"/>
      <c r="Z1297" s="47"/>
      <c r="AA1297" s="70">
        <v>1297</v>
      </c>
      <c r="AB1297" s="70"/>
      <c r="AC1297" s="71"/>
      <c r="AD1297" s="86" t="s">
        <v>1322</v>
      </c>
      <c r="AE1297" s="94" t="s">
        <v>23431</v>
      </c>
      <c r="AF1297" s="86">
        <v>7</v>
      </c>
      <c r="AG1297" s="86">
        <v>30</v>
      </c>
      <c r="AH1297" s="86">
        <v>56</v>
      </c>
      <c r="AI1297" s="86">
        <v>0</v>
      </c>
      <c r="AJ1297" s="86">
        <v>3438</v>
      </c>
      <c r="AK1297" s="86">
        <v>25</v>
      </c>
      <c r="AL1297" s="86" t="b">
        <v>0</v>
      </c>
      <c r="AM1297" s="89">
        <v>44863.12568287037</v>
      </c>
      <c r="AN1297" s="86" t="s">
        <v>26323</v>
      </c>
      <c r="AO1297" s="86" t="s">
        <v>27605</v>
      </c>
      <c r="AP1297" s="96" t="str">
        <f>HYPERLINK("https://t.co/UvTQqjjcMU")</f>
        <v>https://t.co/UvTQqjjcMU</v>
      </c>
      <c r="AQ1297" s="96" t="str">
        <f>HYPERLINK("http://www.3079destilados.com.br")</f>
        <v>http://www.3079destilados.com.br</v>
      </c>
      <c r="AR1297" s="86" t="s">
        <v>28764</v>
      </c>
      <c r="AS1297" s="86"/>
      <c r="AT1297" s="86"/>
      <c r="AU1297" s="86"/>
      <c r="AV1297" s="86"/>
      <c r="AW1297" s="96" t="str">
        <f>HYPERLINK("https://t.co/UvTQqjjcMU")</f>
        <v>https://t.co/UvTQqjjcMU</v>
      </c>
      <c r="AX1297" s="86" t="b">
        <v>0</v>
      </c>
      <c r="AY1297" s="86"/>
      <c r="AZ1297" s="86"/>
      <c r="BA1297" s="86" t="b">
        <v>0</v>
      </c>
      <c r="BB1297" s="86" t="b">
        <v>1</v>
      </c>
      <c r="BC1297" s="86" t="b">
        <v>1</v>
      </c>
      <c r="BD1297" s="86" t="b">
        <v>0</v>
      </c>
      <c r="BE1297" s="86" t="b">
        <v>0</v>
      </c>
      <c r="BF1297" s="86" t="b">
        <v>0</v>
      </c>
      <c r="BG1297" s="86" t="b">
        <v>0</v>
      </c>
      <c r="BH1297" s="96" t="str">
        <f>HYPERLINK("https://pbs.twimg.com/profile_banners/1586191288923209730/1689781555")</f>
        <v>https://pbs.twimg.com/profile_banners/1586191288923209730/1689781555</v>
      </c>
      <c r="BI1297" s="86"/>
      <c r="BJ1297" s="86" t="s">
        <v>29134</v>
      </c>
      <c r="BK1297" s="86" t="b">
        <v>0</v>
      </c>
      <c r="BL1297" s="86"/>
      <c r="BM1297" s="86" t="s">
        <v>66</v>
      </c>
      <c r="BN1297" s="86" t="s">
        <v>29136</v>
      </c>
      <c r="BO1297" s="96" t="str">
        <f>HYPERLINK("https://twitter.com/3079destilados")</f>
        <v>https://twitter.com/3079destilados</v>
      </c>
      <c r="BP1297" s="2"/>
    </row>
    <row r="1298" spans="1:68" x14ac:dyDescent="0.25">
      <c r="A1298" s="63" t="s">
        <v>1323</v>
      </c>
      <c r="B1298" s="64"/>
      <c r="C1298" s="64"/>
      <c r="D1298" s="65"/>
      <c r="E1298" s="67"/>
      <c r="F1298" s="111" t="str">
        <f>HYPERLINK("https://pbs.twimg.com/profile_images/1498739474326503432/K-4uz3Vu_normal.jpg")</f>
        <v>https://pbs.twimg.com/profile_images/1498739474326503432/K-4uz3Vu_normal.jpg</v>
      </c>
      <c r="G1298" s="64"/>
      <c r="H1298" s="68"/>
      <c r="I1298" s="69"/>
      <c r="J1298" s="69"/>
      <c r="K1298" s="68" t="s">
        <v>30431</v>
      </c>
      <c r="L1298" s="72"/>
      <c r="M1298" s="73"/>
      <c r="N1298" s="73"/>
      <c r="O1298" s="74"/>
      <c r="P1298" s="75"/>
      <c r="Q1298" s="75"/>
      <c r="R1298" s="102"/>
      <c r="S1298" s="102"/>
      <c r="T1298" s="102"/>
      <c r="U1298" s="102"/>
      <c r="V1298" s="48"/>
      <c r="W1298" s="48"/>
      <c r="X1298" s="48"/>
      <c r="Y1298" s="48"/>
      <c r="Z1298" s="47"/>
      <c r="AA1298" s="70">
        <v>1298</v>
      </c>
      <c r="AB1298" s="70"/>
      <c r="AC1298" s="71"/>
      <c r="AD1298" s="86" t="s">
        <v>24895</v>
      </c>
      <c r="AE1298" s="94" t="s">
        <v>23432</v>
      </c>
      <c r="AF1298" s="86">
        <v>12</v>
      </c>
      <c r="AG1298" s="86">
        <v>108</v>
      </c>
      <c r="AH1298" s="86">
        <v>67</v>
      </c>
      <c r="AI1298" s="86">
        <v>1</v>
      </c>
      <c r="AJ1298" s="86">
        <v>614</v>
      </c>
      <c r="AK1298" s="86">
        <v>3</v>
      </c>
      <c r="AL1298" s="86" t="b">
        <v>0</v>
      </c>
      <c r="AM1298" s="89">
        <v>44512.859583333331</v>
      </c>
      <c r="AN1298" s="86"/>
      <c r="AO1298" s="86" t="s">
        <v>27606</v>
      </c>
      <c r="AP1298" s="86"/>
      <c r="AQ1298" s="86"/>
      <c r="AR1298" s="86"/>
      <c r="AS1298" s="86"/>
      <c r="AT1298" s="86"/>
      <c r="AU1298" s="86"/>
      <c r="AV1298" s="86">
        <v>1.4796633691793001E+18</v>
      </c>
      <c r="AW1298" s="86"/>
      <c r="AX1298" s="86" t="b">
        <v>0</v>
      </c>
      <c r="AY1298" s="86"/>
      <c r="AZ1298" s="86"/>
      <c r="BA1298" s="86" t="b">
        <v>0</v>
      </c>
      <c r="BB1298" s="86" t="b">
        <v>1</v>
      </c>
      <c r="BC1298" s="86" t="b">
        <v>1</v>
      </c>
      <c r="BD1298" s="86" t="b">
        <v>0</v>
      </c>
      <c r="BE1298" s="86" t="b">
        <v>0</v>
      </c>
      <c r="BF1298" s="86" t="b">
        <v>0</v>
      </c>
      <c r="BG1298" s="86" t="b">
        <v>0</v>
      </c>
      <c r="BH1298" s="96" t="str">
        <f>HYPERLINK("https://pbs.twimg.com/profile_banners/1459259104145428490/1670118940")</f>
        <v>https://pbs.twimg.com/profile_banners/1459259104145428490/1670118940</v>
      </c>
      <c r="BI1298" s="86"/>
      <c r="BJ1298" s="86" t="s">
        <v>29134</v>
      </c>
      <c r="BK1298" s="86" t="b">
        <v>0</v>
      </c>
      <c r="BL1298" s="86"/>
      <c r="BM1298" s="86" t="s">
        <v>66</v>
      </c>
      <c r="BN1298" s="86" t="s">
        <v>29136</v>
      </c>
      <c r="BO1298" s="96" t="str">
        <f>HYPERLINK("https://twitter.com/danielramicazzi")</f>
        <v>https://twitter.com/danielramicazzi</v>
      </c>
      <c r="BP1298" s="2"/>
    </row>
    <row r="1299" spans="1:68" x14ac:dyDescent="0.25">
      <c r="A1299" s="63" t="s">
        <v>1324</v>
      </c>
      <c r="B1299" s="64"/>
      <c r="C1299" s="64"/>
      <c r="D1299" s="65"/>
      <c r="E1299" s="67"/>
      <c r="F1299" s="111" t="str">
        <f>HYPERLINK("https://pbs.twimg.com/profile_images/1689062082094710784/LOMROZwf_normal.jpg")</f>
        <v>https://pbs.twimg.com/profile_images/1689062082094710784/LOMROZwf_normal.jpg</v>
      </c>
      <c r="G1299" s="64"/>
      <c r="H1299" s="68"/>
      <c r="I1299" s="69"/>
      <c r="J1299" s="69"/>
      <c r="K1299" s="68" t="s">
        <v>30432</v>
      </c>
      <c r="L1299" s="72"/>
      <c r="M1299" s="73"/>
      <c r="N1299" s="73"/>
      <c r="O1299" s="74"/>
      <c r="P1299" s="75"/>
      <c r="Q1299" s="75"/>
      <c r="R1299" s="102"/>
      <c r="S1299" s="102"/>
      <c r="T1299" s="102"/>
      <c r="U1299" s="102"/>
      <c r="V1299" s="48"/>
      <c r="W1299" s="48"/>
      <c r="X1299" s="48"/>
      <c r="Y1299" s="48"/>
      <c r="Z1299" s="47"/>
      <c r="AA1299" s="70">
        <v>1299</v>
      </c>
      <c r="AB1299" s="70"/>
      <c r="AC1299" s="71"/>
      <c r="AD1299" s="86" t="s">
        <v>24896</v>
      </c>
      <c r="AE1299" s="94" t="s">
        <v>25744</v>
      </c>
      <c r="AF1299" s="86">
        <v>1832</v>
      </c>
      <c r="AG1299" s="86">
        <v>657</v>
      </c>
      <c r="AH1299" s="86">
        <v>26077</v>
      </c>
      <c r="AI1299" s="86">
        <v>11</v>
      </c>
      <c r="AJ1299" s="86">
        <v>661</v>
      </c>
      <c r="AK1299" s="86">
        <v>653</v>
      </c>
      <c r="AL1299" s="86" t="b">
        <v>0</v>
      </c>
      <c r="AM1299" s="89">
        <v>40319.740289351852</v>
      </c>
      <c r="AN1299" s="86" t="s">
        <v>26324</v>
      </c>
      <c r="AO1299" s="86" t="s">
        <v>27607</v>
      </c>
      <c r="AP1299" s="96" t="str">
        <f>HYPERLINK("https://t.co/8MB4ofWCBe")</f>
        <v>https://t.co/8MB4ofWCBe</v>
      </c>
      <c r="AQ1299" s="96" t="str">
        <f>HYPERLINK("http://bio.machado.digital")</f>
        <v>http://bio.machado.digital</v>
      </c>
      <c r="AR1299" s="86" t="s">
        <v>28765</v>
      </c>
      <c r="AS1299" s="86"/>
      <c r="AT1299" s="86"/>
      <c r="AU1299" s="86"/>
      <c r="AV1299" s="86"/>
      <c r="AW1299" s="96" t="str">
        <f>HYPERLINK("https://t.co/8MB4ofWCBe")</f>
        <v>https://t.co/8MB4ofWCBe</v>
      </c>
      <c r="AX1299" s="86" t="b">
        <v>0</v>
      </c>
      <c r="AY1299" s="86"/>
      <c r="AZ1299" s="86"/>
      <c r="BA1299" s="86" t="b">
        <v>0</v>
      </c>
      <c r="BB1299" s="86" t="b">
        <v>1</v>
      </c>
      <c r="BC1299" s="86" t="b">
        <v>0</v>
      </c>
      <c r="BD1299" s="86" t="b">
        <v>0</v>
      </c>
      <c r="BE1299" s="86" t="b">
        <v>0</v>
      </c>
      <c r="BF1299" s="86" t="b">
        <v>0</v>
      </c>
      <c r="BG1299" s="86" t="b">
        <v>0</v>
      </c>
      <c r="BH1299" s="96" t="str">
        <f>HYPERLINK("https://pbs.twimg.com/profile_banners/146536708/1691538757")</f>
        <v>https://pbs.twimg.com/profile_banners/146536708/1691538757</v>
      </c>
      <c r="BI1299" s="86"/>
      <c r="BJ1299" s="86" t="s">
        <v>29134</v>
      </c>
      <c r="BK1299" s="86" t="b">
        <v>0</v>
      </c>
      <c r="BL1299" s="86"/>
      <c r="BM1299" s="86" t="s">
        <v>66</v>
      </c>
      <c r="BN1299" s="86" t="s">
        <v>29136</v>
      </c>
      <c r="BO1299" s="96" t="str">
        <f>HYPERLINK("https://twitter.com/machadodb_")</f>
        <v>https://twitter.com/machadodb_</v>
      </c>
      <c r="BP1299" s="2"/>
    </row>
    <row r="1300" spans="1:68" x14ac:dyDescent="0.25">
      <c r="A1300" s="63" t="s">
        <v>1326</v>
      </c>
      <c r="B1300" s="64"/>
      <c r="C1300" s="64"/>
      <c r="D1300" s="65"/>
      <c r="E1300" s="67"/>
      <c r="F1300" s="111" t="str">
        <f>HYPERLINK("https://pbs.twimg.com/profile_images/1647595443365224450/Hg58uv76_normal.jpg")</f>
        <v>https://pbs.twimg.com/profile_images/1647595443365224450/Hg58uv76_normal.jpg</v>
      </c>
      <c r="G1300" s="64"/>
      <c r="H1300" s="68"/>
      <c r="I1300" s="69"/>
      <c r="J1300" s="69"/>
      <c r="K1300" s="68" t="s">
        <v>30433</v>
      </c>
      <c r="L1300" s="72"/>
      <c r="M1300" s="73"/>
      <c r="N1300" s="73"/>
      <c r="O1300" s="74"/>
      <c r="P1300" s="75"/>
      <c r="Q1300" s="75"/>
      <c r="R1300" s="102"/>
      <c r="S1300" s="102"/>
      <c r="T1300" s="102"/>
      <c r="U1300" s="102"/>
      <c r="V1300" s="48"/>
      <c r="W1300" s="48"/>
      <c r="X1300" s="48"/>
      <c r="Y1300" s="48"/>
      <c r="Z1300" s="47"/>
      <c r="AA1300" s="70">
        <v>1300</v>
      </c>
      <c r="AB1300" s="70"/>
      <c r="AC1300" s="71"/>
      <c r="AD1300" s="86" t="s">
        <v>24897</v>
      </c>
      <c r="AE1300" s="94" t="s">
        <v>25745</v>
      </c>
      <c r="AF1300" s="86">
        <v>159</v>
      </c>
      <c r="AG1300" s="86">
        <v>71</v>
      </c>
      <c r="AH1300" s="86">
        <v>700</v>
      </c>
      <c r="AI1300" s="86">
        <v>0</v>
      </c>
      <c r="AJ1300" s="86">
        <v>1700</v>
      </c>
      <c r="AK1300" s="86">
        <v>102</v>
      </c>
      <c r="AL1300" s="86" t="b">
        <v>0</v>
      </c>
      <c r="AM1300" s="89">
        <v>40020.644525462965</v>
      </c>
      <c r="AN1300" s="86" t="s">
        <v>26196</v>
      </c>
      <c r="AO1300" s="86" t="s">
        <v>27608</v>
      </c>
      <c r="AP1300" s="96" t="str">
        <f>HYPERLINK("https://t.co/oI6SGzZoZU")</f>
        <v>https://t.co/oI6SGzZoZU</v>
      </c>
      <c r="AQ1300" s="96" t="str">
        <f>HYPERLINK("http://www.planetimportadora.com")</f>
        <v>http://www.planetimportadora.com</v>
      </c>
      <c r="AR1300" s="86" t="s">
        <v>28766</v>
      </c>
      <c r="AS1300" s="86"/>
      <c r="AT1300" s="86"/>
      <c r="AU1300" s="86"/>
      <c r="AV1300" s="86"/>
      <c r="AW1300" s="96" t="str">
        <f>HYPERLINK("https://t.co/oI6SGzZoZU")</f>
        <v>https://t.co/oI6SGzZoZU</v>
      </c>
      <c r="AX1300" s="86" t="b">
        <v>0</v>
      </c>
      <c r="AY1300" s="86"/>
      <c r="AZ1300" s="86"/>
      <c r="BA1300" s="86" t="b">
        <v>0</v>
      </c>
      <c r="BB1300" s="86" t="b">
        <v>1</v>
      </c>
      <c r="BC1300" s="86" t="b">
        <v>0</v>
      </c>
      <c r="BD1300" s="86" t="b">
        <v>0</v>
      </c>
      <c r="BE1300" s="86" t="b">
        <v>0</v>
      </c>
      <c r="BF1300" s="86" t="b">
        <v>0</v>
      </c>
      <c r="BG1300" s="86" t="b">
        <v>0</v>
      </c>
      <c r="BH1300" s="96" t="str">
        <f>HYPERLINK("https://pbs.twimg.com/profile_banners/60326241/1681652350")</f>
        <v>https://pbs.twimg.com/profile_banners/60326241/1681652350</v>
      </c>
      <c r="BI1300" s="86"/>
      <c r="BJ1300" s="86" t="s">
        <v>29134</v>
      </c>
      <c r="BK1300" s="86" t="b">
        <v>0</v>
      </c>
      <c r="BL1300" s="86"/>
      <c r="BM1300" s="86" t="s">
        <v>66</v>
      </c>
      <c r="BN1300" s="86" t="s">
        <v>29136</v>
      </c>
      <c r="BO1300" s="96" t="str">
        <f>HYPERLINK("https://twitter.com/eujuliochaves")</f>
        <v>https://twitter.com/eujuliochaves</v>
      </c>
      <c r="BP1300" s="2"/>
    </row>
    <row r="1301" spans="1:68" x14ac:dyDescent="0.25">
      <c r="A1301" s="63" t="s">
        <v>1327</v>
      </c>
      <c r="B1301" s="64"/>
      <c r="C1301" s="64"/>
      <c r="D1301" s="65"/>
      <c r="E1301" s="67"/>
      <c r="F1301" s="111" t="str">
        <f>HYPERLINK("https://pbs.twimg.com/profile_images/1654255591567638528/IouWXOEX_normal.jpg")</f>
        <v>https://pbs.twimg.com/profile_images/1654255591567638528/IouWXOEX_normal.jpg</v>
      </c>
      <c r="G1301" s="64"/>
      <c r="H1301" s="68"/>
      <c r="I1301" s="69"/>
      <c r="J1301" s="69"/>
      <c r="K1301" s="68" t="s">
        <v>30434</v>
      </c>
      <c r="L1301" s="72"/>
      <c r="M1301" s="73"/>
      <c r="N1301" s="73"/>
      <c r="O1301" s="74"/>
      <c r="P1301" s="75"/>
      <c r="Q1301" s="75"/>
      <c r="R1301" s="102"/>
      <c r="S1301" s="102"/>
      <c r="T1301" s="102"/>
      <c r="U1301" s="102"/>
      <c r="V1301" s="48"/>
      <c r="W1301" s="48"/>
      <c r="X1301" s="48"/>
      <c r="Y1301" s="48"/>
      <c r="Z1301" s="47"/>
      <c r="AA1301" s="70">
        <v>1301</v>
      </c>
      <c r="AB1301" s="70"/>
      <c r="AC1301" s="71"/>
      <c r="AD1301" s="86" t="s">
        <v>24898</v>
      </c>
      <c r="AE1301" s="94" t="s">
        <v>23434</v>
      </c>
      <c r="AF1301" s="86">
        <v>4</v>
      </c>
      <c r="AG1301" s="86">
        <v>116</v>
      </c>
      <c r="AH1301" s="86">
        <v>27</v>
      </c>
      <c r="AI1301" s="86">
        <v>0</v>
      </c>
      <c r="AJ1301" s="86">
        <v>0</v>
      </c>
      <c r="AK1301" s="86">
        <v>13</v>
      </c>
      <c r="AL1301" s="86" t="b">
        <v>0</v>
      </c>
      <c r="AM1301" s="89">
        <v>45020.903854166667</v>
      </c>
      <c r="AN1301" s="86" t="s">
        <v>15234</v>
      </c>
      <c r="AO1301" s="86" t="s">
        <v>27609</v>
      </c>
      <c r="AP1301" s="96" t="str">
        <f>HYPERLINK("https://t.co/GYjprMhHgE")</f>
        <v>https://t.co/GYjprMhHgE</v>
      </c>
      <c r="AQ1301" s="96" t="str">
        <f>HYPERLINK("http://www.dicasdeumadministrador.com")</f>
        <v>http://www.dicasdeumadministrador.com</v>
      </c>
      <c r="AR1301" s="86" t="s">
        <v>28767</v>
      </c>
      <c r="AS1301" s="86"/>
      <c r="AT1301" s="86"/>
      <c r="AU1301" s="86"/>
      <c r="AV1301" s="86"/>
      <c r="AW1301" s="96" t="str">
        <f>HYPERLINK("https://t.co/GYjprMhHgE")</f>
        <v>https://t.co/GYjprMhHgE</v>
      </c>
      <c r="AX1301" s="86" t="b">
        <v>0</v>
      </c>
      <c r="AY1301" s="86"/>
      <c r="AZ1301" s="86"/>
      <c r="BA1301" s="86" t="b">
        <v>0</v>
      </c>
      <c r="BB1301" s="86" t="b">
        <v>1</v>
      </c>
      <c r="BC1301" s="86" t="b">
        <v>1</v>
      </c>
      <c r="BD1301" s="86" t="b">
        <v>0</v>
      </c>
      <c r="BE1301" s="86" t="b">
        <v>0</v>
      </c>
      <c r="BF1301" s="86" t="b">
        <v>0</v>
      </c>
      <c r="BG1301" s="86" t="b">
        <v>0</v>
      </c>
      <c r="BH1301" s="96" t="str">
        <f>HYPERLINK("https://pbs.twimg.com/profile_banners/1643368187625390081/1686082830")</f>
        <v>https://pbs.twimg.com/profile_banners/1643368187625390081/1686082830</v>
      </c>
      <c r="BI1301" s="86"/>
      <c r="BJ1301" s="86" t="s">
        <v>29134</v>
      </c>
      <c r="BK1301" s="86" t="b">
        <v>0</v>
      </c>
      <c r="BL1301" s="86"/>
      <c r="BM1301" s="86" t="s">
        <v>66</v>
      </c>
      <c r="BN1301" s="86" t="s">
        <v>29136</v>
      </c>
      <c r="BO1301" s="96" t="str">
        <f>HYPERLINK("https://twitter.com/dicasdeumadm")</f>
        <v>https://twitter.com/dicasdeumadm</v>
      </c>
      <c r="BP1301" s="2"/>
    </row>
    <row r="1302" spans="1:68" x14ac:dyDescent="0.25">
      <c r="A1302" s="63" t="s">
        <v>1328</v>
      </c>
      <c r="B1302" s="64"/>
      <c r="C1302" s="64"/>
      <c r="D1302" s="65"/>
      <c r="E1302" s="67"/>
      <c r="F1302" s="111" t="str">
        <f>HYPERLINK("https://pbs.twimg.com/profile_images/1295806876777619458/1-scEtFi_normal.jpg")</f>
        <v>https://pbs.twimg.com/profile_images/1295806876777619458/1-scEtFi_normal.jpg</v>
      </c>
      <c r="G1302" s="64"/>
      <c r="H1302" s="68"/>
      <c r="I1302" s="69"/>
      <c r="J1302" s="69"/>
      <c r="K1302" s="68" t="s">
        <v>30435</v>
      </c>
      <c r="L1302" s="72"/>
      <c r="M1302" s="73"/>
      <c r="N1302" s="73"/>
      <c r="O1302" s="74"/>
      <c r="P1302" s="75"/>
      <c r="Q1302" s="75"/>
      <c r="R1302" s="102"/>
      <c r="S1302" s="102"/>
      <c r="T1302" s="102"/>
      <c r="U1302" s="102"/>
      <c r="V1302" s="48"/>
      <c r="W1302" s="48"/>
      <c r="X1302" s="48"/>
      <c r="Y1302" s="48"/>
      <c r="Z1302" s="47"/>
      <c r="AA1302" s="70">
        <v>1302</v>
      </c>
      <c r="AB1302" s="70"/>
      <c r="AC1302" s="71"/>
      <c r="AD1302" s="86" t="s">
        <v>24899</v>
      </c>
      <c r="AE1302" s="94" t="s">
        <v>22635</v>
      </c>
      <c r="AF1302" s="86">
        <v>13394</v>
      </c>
      <c r="AG1302" s="86">
        <v>7462</v>
      </c>
      <c r="AH1302" s="86">
        <v>22853</v>
      </c>
      <c r="AI1302" s="86">
        <v>22</v>
      </c>
      <c r="AJ1302" s="86">
        <v>4845</v>
      </c>
      <c r="AK1302" s="86">
        <v>693</v>
      </c>
      <c r="AL1302" s="86" t="b">
        <v>0</v>
      </c>
      <c r="AM1302" s="89">
        <v>40967.977164351854</v>
      </c>
      <c r="AN1302" s="86"/>
      <c r="AO1302" s="86" t="s">
        <v>27610</v>
      </c>
      <c r="AP1302" s="96" t="str">
        <f>HYPERLINK("https://t.co/sOL0spq1aU")</f>
        <v>https://t.co/sOL0spq1aU</v>
      </c>
      <c r="AQ1302" s="96" t="str">
        <f>HYPERLINK("https://sincronizze.com/")</f>
        <v>https://sincronizze.com/</v>
      </c>
      <c r="AR1302" s="86" t="s">
        <v>8529</v>
      </c>
      <c r="AS1302" s="86"/>
      <c r="AT1302" s="86"/>
      <c r="AU1302" s="86"/>
      <c r="AV1302" s="86"/>
      <c r="AW1302" s="96" t="str">
        <f>HYPERLINK("https://t.co/sOL0spq1aU")</f>
        <v>https://t.co/sOL0spq1aU</v>
      </c>
      <c r="AX1302" s="86" t="b">
        <v>0</v>
      </c>
      <c r="AY1302" s="86"/>
      <c r="AZ1302" s="86"/>
      <c r="BA1302" s="86" t="b">
        <v>0</v>
      </c>
      <c r="BB1302" s="86" t="b">
        <v>1</v>
      </c>
      <c r="BC1302" s="86" t="b">
        <v>0</v>
      </c>
      <c r="BD1302" s="86" t="b">
        <v>0</v>
      </c>
      <c r="BE1302" s="86" t="b">
        <v>0</v>
      </c>
      <c r="BF1302" s="86" t="b">
        <v>0</v>
      </c>
      <c r="BG1302" s="86" t="b">
        <v>0</v>
      </c>
      <c r="BH1302" s="96" t="str">
        <f>HYPERLINK("https://pbs.twimg.com/profile_banners/508075094/1482532534")</f>
        <v>https://pbs.twimg.com/profile_banners/508075094/1482532534</v>
      </c>
      <c r="BI1302" s="86"/>
      <c r="BJ1302" s="86" t="s">
        <v>29134</v>
      </c>
      <c r="BK1302" s="86" t="b">
        <v>0</v>
      </c>
      <c r="BL1302" s="86"/>
      <c r="BM1302" s="86" t="s">
        <v>66</v>
      </c>
      <c r="BN1302" s="86" t="s">
        <v>29136</v>
      </c>
      <c r="BO1302" s="96" t="str">
        <f>HYPERLINK("https://twitter.com/tai_follmann")</f>
        <v>https://twitter.com/tai_follmann</v>
      </c>
      <c r="BP1302" s="2"/>
    </row>
    <row r="1303" spans="1:68" x14ac:dyDescent="0.25">
      <c r="A1303" s="63" t="s">
        <v>1329</v>
      </c>
      <c r="B1303" s="64"/>
      <c r="C1303" s="64"/>
      <c r="D1303" s="65"/>
      <c r="E1303" s="67"/>
      <c r="F1303" s="111" t="str">
        <f>HYPERLINK("https://pbs.twimg.com/profile_images/1700624958982889472/6qwhwMLH_normal.jpg")</f>
        <v>https://pbs.twimg.com/profile_images/1700624958982889472/6qwhwMLH_normal.jpg</v>
      </c>
      <c r="G1303" s="64"/>
      <c r="H1303" s="68"/>
      <c r="I1303" s="69"/>
      <c r="J1303" s="69"/>
      <c r="K1303" s="68" t="s">
        <v>30436</v>
      </c>
      <c r="L1303" s="72"/>
      <c r="M1303" s="73"/>
      <c r="N1303" s="73"/>
      <c r="O1303" s="74"/>
      <c r="P1303" s="75"/>
      <c r="Q1303" s="75"/>
      <c r="R1303" s="102"/>
      <c r="S1303" s="102"/>
      <c r="T1303" s="102"/>
      <c r="U1303" s="102"/>
      <c r="V1303" s="48"/>
      <c r="W1303" s="48"/>
      <c r="X1303" s="48"/>
      <c r="Y1303" s="48"/>
      <c r="Z1303" s="47"/>
      <c r="AA1303" s="70">
        <v>1303</v>
      </c>
      <c r="AB1303" s="70"/>
      <c r="AC1303" s="71"/>
      <c r="AD1303" s="86" t="s">
        <v>24900</v>
      </c>
      <c r="AE1303" s="94" t="s">
        <v>23435</v>
      </c>
      <c r="AF1303" s="86">
        <v>0</v>
      </c>
      <c r="AG1303" s="86">
        <v>0</v>
      </c>
      <c r="AH1303" s="86">
        <v>35</v>
      </c>
      <c r="AI1303" s="86">
        <v>0</v>
      </c>
      <c r="AJ1303" s="86">
        <v>0</v>
      </c>
      <c r="AK1303" s="86">
        <v>35</v>
      </c>
      <c r="AL1303" s="86" t="b">
        <v>0</v>
      </c>
      <c r="AM1303" s="89">
        <v>45142.57949074074</v>
      </c>
      <c r="AN1303" s="86"/>
      <c r="AO1303" s="86"/>
      <c r="AP1303" s="86"/>
      <c r="AQ1303" s="86"/>
      <c r="AR1303" s="86"/>
      <c r="AS1303" s="86"/>
      <c r="AT1303" s="86"/>
      <c r="AU1303" s="86"/>
      <c r="AV1303" s="86"/>
      <c r="AW1303" s="86"/>
      <c r="AX1303" s="86" t="b">
        <v>0</v>
      </c>
      <c r="AY1303" s="86"/>
      <c r="AZ1303" s="86"/>
      <c r="BA1303" s="86" t="b">
        <v>1</v>
      </c>
      <c r="BB1303" s="86" t="b">
        <v>1</v>
      </c>
      <c r="BC1303" s="86" t="b">
        <v>1</v>
      </c>
      <c r="BD1303" s="86" t="b">
        <v>0</v>
      </c>
      <c r="BE1303" s="86" t="b">
        <v>0</v>
      </c>
      <c r="BF1303" s="86" t="b">
        <v>0</v>
      </c>
      <c r="BG1303" s="86" t="b">
        <v>0</v>
      </c>
      <c r="BH1303" s="86"/>
      <c r="BI1303" s="86"/>
      <c r="BJ1303" s="86" t="s">
        <v>29134</v>
      </c>
      <c r="BK1303" s="86" t="b">
        <v>0</v>
      </c>
      <c r="BL1303" s="86"/>
      <c r="BM1303" s="86" t="s">
        <v>66</v>
      </c>
      <c r="BN1303" s="86" t="s">
        <v>29136</v>
      </c>
      <c r="BO1303" s="96" t="str">
        <f>HYPERLINK("https://twitter.com/digitalblack_")</f>
        <v>https://twitter.com/digitalblack_</v>
      </c>
      <c r="BP1303" s="2"/>
    </row>
    <row r="1304" spans="1:68" x14ac:dyDescent="0.25">
      <c r="A1304" s="63" t="s">
        <v>1330</v>
      </c>
      <c r="B1304" s="64"/>
      <c r="C1304" s="64"/>
      <c r="D1304" s="65"/>
      <c r="E1304" s="67"/>
      <c r="F1304" s="111" t="str">
        <f>HYPERLINK("https://pbs.twimg.com/profile_images/464807805/DSC03188_normal.JPG")</f>
        <v>https://pbs.twimg.com/profile_images/464807805/DSC03188_normal.JPG</v>
      </c>
      <c r="G1304" s="64"/>
      <c r="H1304" s="68"/>
      <c r="I1304" s="69"/>
      <c r="J1304" s="69"/>
      <c r="K1304" s="68" t="s">
        <v>30437</v>
      </c>
      <c r="L1304" s="72"/>
      <c r="M1304" s="73"/>
      <c r="N1304" s="73"/>
      <c r="O1304" s="74"/>
      <c r="P1304" s="75"/>
      <c r="Q1304" s="75"/>
      <c r="R1304" s="102"/>
      <c r="S1304" s="102"/>
      <c r="T1304" s="102"/>
      <c r="U1304" s="102"/>
      <c r="V1304" s="48"/>
      <c r="W1304" s="48"/>
      <c r="X1304" s="48"/>
      <c r="Y1304" s="48"/>
      <c r="Z1304" s="47"/>
      <c r="AA1304" s="70">
        <v>1304</v>
      </c>
      <c r="AB1304" s="70"/>
      <c r="AC1304" s="71"/>
      <c r="AD1304" s="86" t="s">
        <v>24901</v>
      </c>
      <c r="AE1304" s="94" t="s">
        <v>25746</v>
      </c>
      <c r="AF1304" s="86">
        <v>180</v>
      </c>
      <c r="AG1304" s="86">
        <v>774</v>
      </c>
      <c r="AH1304" s="86">
        <v>1840</v>
      </c>
      <c r="AI1304" s="86">
        <v>1</v>
      </c>
      <c r="AJ1304" s="86">
        <v>1320</v>
      </c>
      <c r="AK1304" s="86">
        <v>81</v>
      </c>
      <c r="AL1304" s="86" t="b">
        <v>0</v>
      </c>
      <c r="AM1304" s="89">
        <v>40097.588263888887</v>
      </c>
      <c r="AN1304" s="86" t="s">
        <v>15234</v>
      </c>
      <c r="AO1304" s="86" t="s">
        <v>27611</v>
      </c>
      <c r="AP1304" s="96" t="str">
        <f>HYPERLINK("https://t.co/oty4ogS1Iz")</f>
        <v>https://t.co/oty4ogS1Iz</v>
      </c>
      <c r="AQ1304" s="96" t="str">
        <f>HYPERLINK("https://linktr.ee/tk.consulting")</f>
        <v>https://linktr.ee/tk.consulting</v>
      </c>
      <c r="AR1304" s="86" t="s">
        <v>28768</v>
      </c>
      <c r="AS1304" s="86"/>
      <c r="AT1304" s="86"/>
      <c r="AU1304" s="86"/>
      <c r="AV1304" s="86"/>
      <c r="AW1304" s="96" t="str">
        <f>HYPERLINK("https://t.co/oty4ogS1Iz")</f>
        <v>https://t.co/oty4ogS1Iz</v>
      </c>
      <c r="AX1304" s="86" t="b">
        <v>0</v>
      </c>
      <c r="AY1304" s="86"/>
      <c r="AZ1304" s="86"/>
      <c r="BA1304" s="86" t="b">
        <v>1</v>
      </c>
      <c r="BB1304" s="86" t="b">
        <v>0</v>
      </c>
      <c r="BC1304" s="86" t="b">
        <v>0</v>
      </c>
      <c r="BD1304" s="86" t="b">
        <v>0</v>
      </c>
      <c r="BE1304" s="86" t="b">
        <v>1</v>
      </c>
      <c r="BF1304" s="86" t="b">
        <v>0</v>
      </c>
      <c r="BG1304" s="86" t="b">
        <v>0</v>
      </c>
      <c r="BH1304" s="96" t="str">
        <f>HYPERLINK("https://pbs.twimg.com/profile_banners/81600870/1436644428")</f>
        <v>https://pbs.twimg.com/profile_banners/81600870/1436644428</v>
      </c>
      <c r="BI1304" s="86"/>
      <c r="BJ1304" s="86" t="s">
        <v>29134</v>
      </c>
      <c r="BK1304" s="86" t="b">
        <v>0</v>
      </c>
      <c r="BL1304" s="86"/>
      <c r="BM1304" s="86" t="s">
        <v>66</v>
      </c>
      <c r="BN1304" s="86" t="s">
        <v>29136</v>
      </c>
      <c r="BO1304" s="96" t="str">
        <f>HYPERLINK("https://twitter.com/thiagoithiro")</f>
        <v>https://twitter.com/thiagoithiro</v>
      </c>
      <c r="BP1304" s="2"/>
    </row>
    <row r="1305" spans="1:68" x14ac:dyDescent="0.25">
      <c r="A1305" s="63" t="s">
        <v>1331</v>
      </c>
      <c r="B1305" s="64"/>
      <c r="C1305" s="64"/>
      <c r="D1305" s="65"/>
      <c r="E1305" s="67"/>
      <c r="F1305" s="111" t="str">
        <f>HYPERLINK("https://pbs.twimg.com/profile_images/1683471073080164352/Nh4lL2kX_normal.jpg")</f>
        <v>https://pbs.twimg.com/profile_images/1683471073080164352/Nh4lL2kX_normal.jpg</v>
      </c>
      <c r="G1305" s="64"/>
      <c r="H1305" s="68"/>
      <c r="I1305" s="69"/>
      <c r="J1305" s="69"/>
      <c r="K1305" s="68" t="s">
        <v>30438</v>
      </c>
      <c r="L1305" s="72"/>
      <c r="M1305" s="73"/>
      <c r="N1305" s="73"/>
      <c r="O1305" s="74"/>
      <c r="P1305" s="75"/>
      <c r="Q1305" s="75"/>
      <c r="R1305" s="102"/>
      <c r="S1305" s="102"/>
      <c r="T1305" s="102"/>
      <c r="U1305" s="102"/>
      <c r="V1305" s="48"/>
      <c r="W1305" s="48"/>
      <c r="X1305" s="48"/>
      <c r="Y1305" s="48"/>
      <c r="Z1305" s="47"/>
      <c r="AA1305" s="70">
        <v>1305</v>
      </c>
      <c r="AB1305" s="70"/>
      <c r="AC1305" s="71"/>
      <c r="AD1305" s="86" t="s">
        <v>24902</v>
      </c>
      <c r="AE1305" s="94" t="s">
        <v>23436</v>
      </c>
      <c r="AF1305" s="86">
        <v>17</v>
      </c>
      <c r="AG1305" s="86">
        <v>165</v>
      </c>
      <c r="AH1305" s="86">
        <v>763</v>
      </c>
      <c r="AI1305" s="86">
        <v>0</v>
      </c>
      <c r="AJ1305" s="86">
        <v>460</v>
      </c>
      <c r="AK1305" s="86">
        <v>43</v>
      </c>
      <c r="AL1305" s="86" t="b">
        <v>0</v>
      </c>
      <c r="AM1305" s="89">
        <v>43229.624062499999</v>
      </c>
      <c r="AN1305" s="86" t="s">
        <v>15246</v>
      </c>
      <c r="AO1305" s="86" t="s">
        <v>27612</v>
      </c>
      <c r="AP1305" s="96" t="str">
        <f>HYPERLINK("https://t.co/rP3Wk4Jci8")</f>
        <v>https://t.co/rP3Wk4Jci8</v>
      </c>
      <c r="AQ1305" s="96" t="str">
        <f>HYPERLINK("http://www.matmitzz.com")</f>
        <v>http://www.matmitzz.com</v>
      </c>
      <c r="AR1305" s="86" t="s">
        <v>28769</v>
      </c>
      <c r="AS1305" s="86"/>
      <c r="AT1305" s="86"/>
      <c r="AU1305" s="86"/>
      <c r="AV1305" s="86">
        <v>1.5120226329038799E+18</v>
      </c>
      <c r="AW1305" s="96" t="str">
        <f>HYPERLINK("https://t.co/rP3Wk4Jci8")</f>
        <v>https://t.co/rP3Wk4Jci8</v>
      </c>
      <c r="AX1305" s="86" t="b">
        <v>0</v>
      </c>
      <c r="AY1305" s="86"/>
      <c r="AZ1305" s="86"/>
      <c r="BA1305" s="86" t="b">
        <v>0</v>
      </c>
      <c r="BB1305" s="86" t="b">
        <v>1</v>
      </c>
      <c r="BC1305" s="86" t="b">
        <v>1</v>
      </c>
      <c r="BD1305" s="86" t="b">
        <v>0</v>
      </c>
      <c r="BE1305" s="86" t="b">
        <v>1</v>
      </c>
      <c r="BF1305" s="86" t="b">
        <v>0</v>
      </c>
      <c r="BG1305" s="86" t="b">
        <v>0</v>
      </c>
      <c r="BH1305" s="96" t="str">
        <f>HYPERLINK("https://pbs.twimg.com/profile_banners/994230171388530688/1668113564")</f>
        <v>https://pbs.twimg.com/profile_banners/994230171388530688/1668113564</v>
      </c>
      <c r="BI1305" s="86"/>
      <c r="BJ1305" s="86" t="s">
        <v>29134</v>
      </c>
      <c r="BK1305" s="86" t="b">
        <v>0</v>
      </c>
      <c r="BL1305" s="86"/>
      <c r="BM1305" s="86" t="s">
        <v>66</v>
      </c>
      <c r="BN1305" s="86" t="s">
        <v>29136</v>
      </c>
      <c r="BO1305" s="96" t="str">
        <f>HYPERLINK("https://twitter.com/matmitzz")</f>
        <v>https://twitter.com/matmitzz</v>
      </c>
      <c r="BP1305" s="2"/>
    </row>
    <row r="1306" spans="1:68" x14ac:dyDescent="0.25">
      <c r="A1306" s="63" t="s">
        <v>1332</v>
      </c>
      <c r="B1306" s="64"/>
      <c r="C1306" s="64"/>
      <c r="D1306" s="65"/>
      <c r="E1306" s="67"/>
      <c r="F1306" s="111" t="str">
        <f>HYPERLINK("https://pbs.twimg.com/profile_images/1532739645968113669/tXltCsHm_normal.jpg")</f>
        <v>https://pbs.twimg.com/profile_images/1532739645968113669/tXltCsHm_normal.jpg</v>
      </c>
      <c r="G1306" s="64"/>
      <c r="H1306" s="68"/>
      <c r="I1306" s="69"/>
      <c r="J1306" s="69"/>
      <c r="K1306" s="68" t="s">
        <v>30439</v>
      </c>
      <c r="L1306" s="72"/>
      <c r="M1306" s="73"/>
      <c r="N1306" s="73"/>
      <c r="O1306" s="74"/>
      <c r="P1306" s="75"/>
      <c r="Q1306" s="75"/>
      <c r="R1306" s="102"/>
      <c r="S1306" s="102"/>
      <c r="T1306" s="102"/>
      <c r="U1306" s="102"/>
      <c r="V1306" s="48"/>
      <c r="W1306" s="48"/>
      <c r="X1306" s="48"/>
      <c r="Y1306" s="48"/>
      <c r="Z1306" s="47"/>
      <c r="AA1306" s="70">
        <v>1306</v>
      </c>
      <c r="AB1306" s="70"/>
      <c r="AC1306" s="71"/>
      <c r="AD1306" s="86" t="s">
        <v>24903</v>
      </c>
      <c r="AE1306" s="94" t="s">
        <v>25747</v>
      </c>
      <c r="AF1306" s="86">
        <v>1126</v>
      </c>
      <c r="AG1306" s="86">
        <v>604</v>
      </c>
      <c r="AH1306" s="86">
        <v>23973</v>
      </c>
      <c r="AI1306" s="86">
        <v>17</v>
      </c>
      <c r="AJ1306" s="86">
        <v>2250</v>
      </c>
      <c r="AK1306" s="86">
        <v>249</v>
      </c>
      <c r="AL1306" s="86" t="b">
        <v>0</v>
      </c>
      <c r="AM1306" s="89">
        <v>40364.435370370367</v>
      </c>
      <c r="AN1306" s="86" t="s">
        <v>15400</v>
      </c>
      <c r="AO1306" s="86" t="s">
        <v>27613</v>
      </c>
      <c r="AP1306" s="96" t="str">
        <f>HYPERLINK("https://t.co/mM4HQ1tlwf")</f>
        <v>https://t.co/mM4HQ1tlwf</v>
      </c>
      <c r="AQ1306" s="96" t="str">
        <f>HYPERLINK("https://www.thiagomota.com.br")</f>
        <v>https://www.thiagomota.com.br</v>
      </c>
      <c r="AR1306" s="86" t="s">
        <v>28770</v>
      </c>
      <c r="AS1306" s="86"/>
      <c r="AT1306" s="86"/>
      <c r="AU1306" s="86"/>
      <c r="AV1306" s="86">
        <v>1.4359290478512699E+18</v>
      </c>
      <c r="AW1306" s="96" t="str">
        <f>HYPERLINK("https://t.co/mM4HQ1tlwf")</f>
        <v>https://t.co/mM4HQ1tlwf</v>
      </c>
      <c r="AX1306" s="86" t="b">
        <v>0</v>
      </c>
      <c r="AY1306" s="86"/>
      <c r="AZ1306" s="86"/>
      <c r="BA1306" s="86" t="b">
        <v>0</v>
      </c>
      <c r="BB1306" s="86" t="b">
        <v>1</v>
      </c>
      <c r="BC1306" s="86" t="b">
        <v>0</v>
      </c>
      <c r="BD1306" s="86" t="b">
        <v>0</v>
      </c>
      <c r="BE1306" s="86" t="b">
        <v>0</v>
      </c>
      <c r="BF1306" s="86" t="b">
        <v>0</v>
      </c>
      <c r="BG1306" s="86" t="b">
        <v>0</v>
      </c>
      <c r="BH1306" s="96" t="str">
        <f>HYPERLINK("https://pbs.twimg.com/profile_banners/163027008/1689691751")</f>
        <v>https://pbs.twimg.com/profile_banners/163027008/1689691751</v>
      </c>
      <c r="BI1306" s="86"/>
      <c r="BJ1306" s="86" t="s">
        <v>29134</v>
      </c>
      <c r="BK1306" s="86" t="b">
        <v>0</v>
      </c>
      <c r="BL1306" s="86"/>
      <c r="BM1306" s="86" t="s">
        <v>66</v>
      </c>
      <c r="BN1306" s="86" t="s">
        <v>29136</v>
      </c>
      <c r="BO1306" s="96" t="str">
        <f>HYPERLINK("https://twitter.com/thiagomotaadv")</f>
        <v>https://twitter.com/thiagomotaadv</v>
      </c>
      <c r="BP1306" s="2"/>
    </row>
    <row r="1307" spans="1:68" x14ac:dyDescent="0.25">
      <c r="A1307" s="63" t="s">
        <v>1801</v>
      </c>
      <c r="B1307" s="64"/>
      <c r="C1307" s="64"/>
      <c r="D1307" s="65"/>
      <c r="E1307" s="67"/>
      <c r="F1307" s="111" t="str">
        <f>HYPERLINK("https://pbs.twimg.com/profile_images/1654171928226037775/7klIAcW7_normal.jpg")</f>
        <v>https://pbs.twimg.com/profile_images/1654171928226037775/7klIAcW7_normal.jpg</v>
      </c>
      <c r="G1307" s="64"/>
      <c r="H1307" s="68"/>
      <c r="I1307" s="69"/>
      <c r="J1307" s="69"/>
      <c r="K1307" s="68" t="s">
        <v>30440</v>
      </c>
      <c r="L1307" s="72"/>
      <c r="M1307" s="73"/>
      <c r="N1307" s="73"/>
      <c r="O1307" s="74"/>
      <c r="P1307" s="75"/>
      <c r="Q1307" s="75"/>
      <c r="R1307" s="102"/>
      <c r="S1307" s="102"/>
      <c r="T1307" s="102"/>
      <c r="U1307" s="102"/>
      <c r="V1307" s="48"/>
      <c r="W1307" s="48"/>
      <c r="X1307" s="48"/>
      <c r="Y1307" s="48"/>
      <c r="Z1307" s="47"/>
      <c r="AA1307" s="70">
        <v>1307</v>
      </c>
      <c r="AB1307" s="70"/>
      <c r="AC1307" s="71"/>
      <c r="AD1307" s="86" t="s">
        <v>24904</v>
      </c>
      <c r="AE1307" s="94" t="s">
        <v>22636</v>
      </c>
      <c r="AF1307" s="86">
        <v>65557</v>
      </c>
      <c r="AG1307" s="86">
        <v>613</v>
      </c>
      <c r="AH1307" s="86">
        <v>55644</v>
      </c>
      <c r="AI1307" s="86">
        <v>241</v>
      </c>
      <c r="AJ1307" s="86">
        <v>155199</v>
      </c>
      <c r="AK1307" s="86">
        <v>5191</v>
      </c>
      <c r="AL1307" s="86" t="b">
        <v>0</v>
      </c>
      <c r="AM1307" s="89">
        <v>40357.964606481481</v>
      </c>
      <c r="AN1307" s="86" t="s">
        <v>15378</v>
      </c>
      <c r="AO1307" s="86" t="s">
        <v>27614</v>
      </c>
      <c r="AP1307" s="96" t="str">
        <f>HYPERLINK("https://t.co/EIe3IIFWIb")</f>
        <v>https://t.co/EIe3IIFWIb</v>
      </c>
      <c r="AQ1307" s="96" t="str">
        <f>HYPERLINK("https://www.instagram.com/leonardolopes.com.br")</f>
        <v>https://www.instagram.com/leonardolopes.com.br</v>
      </c>
      <c r="AR1307" s="86" t="s">
        <v>28771</v>
      </c>
      <c r="AS1307" s="86"/>
      <c r="AT1307" s="86"/>
      <c r="AU1307" s="86"/>
      <c r="AV1307" s="86">
        <v>1.65486359214179E+18</v>
      </c>
      <c r="AW1307" s="96" t="str">
        <f>HYPERLINK("https://t.co/EIe3IIFWIb")</f>
        <v>https://t.co/EIe3IIFWIb</v>
      </c>
      <c r="AX1307" s="86" t="b">
        <v>1</v>
      </c>
      <c r="AY1307" s="86"/>
      <c r="AZ1307" s="86"/>
      <c r="BA1307" s="86" t="b">
        <v>1</v>
      </c>
      <c r="BB1307" s="86" t="b">
        <v>1</v>
      </c>
      <c r="BC1307" s="86" t="b">
        <v>0</v>
      </c>
      <c r="BD1307" s="86" t="b">
        <v>0</v>
      </c>
      <c r="BE1307" s="86" t="b">
        <v>1</v>
      </c>
      <c r="BF1307" s="86" t="b">
        <v>0</v>
      </c>
      <c r="BG1307" s="86" t="b">
        <v>0</v>
      </c>
      <c r="BH1307" s="96" t="str">
        <f>HYPERLINK("https://pbs.twimg.com/profile_banners/160711313/1676057359")</f>
        <v>https://pbs.twimg.com/profile_banners/160711313/1676057359</v>
      </c>
      <c r="BI1307" s="86"/>
      <c r="BJ1307" s="86" t="s">
        <v>29134</v>
      </c>
      <c r="BK1307" s="86" t="b">
        <v>0</v>
      </c>
      <c r="BL1307" s="86"/>
      <c r="BM1307" s="86" t="s">
        <v>65</v>
      </c>
      <c r="BN1307" s="86" t="s">
        <v>29136</v>
      </c>
      <c r="BO1307" s="96" t="str">
        <f>HYPERLINK("https://twitter.com/leonardo1opes")</f>
        <v>https://twitter.com/leonardo1opes</v>
      </c>
      <c r="BP1307" s="2"/>
    </row>
    <row r="1308" spans="1:68" x14ac:dyDescent="0.25">
      <c r="A1308" s="63" t="s">
        <v>1333</v>
      </c>
      <c r="B1308" s="64"/>
      <c r="C1308" s="64"/>
      <c r="D1308" s="65"/>
      <c r="E1308" s="67"/>
      <c r="F1308" s="111" t="str">
        <f>HYPERLINK("https://pbs.twimg.com/profile_images/1198203956230578176/mQbg0syK_normal.jpg")</f>
        <v>https://pbs.twimg.com/profile_images/1198203956230578176/mQbg0syK_normal.jpg</v>
      </c>
      <c r="G1308" s="64"/>
      <c r="H1308" s="68"/>
      <c r="I1308" s="69"/>
      <c r="J1308" s="69"/>
      <c r="K1308" s="68" t="s">
        <v>30441</v>
      </c>
      <c r="L1308" s="72"/>
      <c r="M1308" s="73"/>
      <c r="N1308" s="73"/>
      <c r="O1308" s="74"/>
      <c r="P1308" s="75"/>
      <c r="Q1308" s="75"/>
      <c r="R1308" s="102"/>
      <c r="S1308" s="102"/>
      <c r="T1308" s="102"/>
      <c r="U1308" s="102"/>
      <c r="V1308" s="48"/>
      <c r="W1308" s="48"/>
      <c r="X1308" s="48"/>
      <c r="Y1308" s="48"/>
      <c r="Z1308" s="47"/>
      <c r="AA1308" s="70">
        <v>1308</v>
      </c>
      <c r="AB1308" s="70"/>
      <c r="AC1308" s="71"/>
      <c r="AD1308" s="86" t="s">
        <v>24905</v>
      </c>
      <c r="AE1308" s="94" t="s">
        <v>25748</v>
      </c>
      <c r="AF1308" s="86">
        <v>26</v>
      </c>
      <c r="AG1308" s="86">
        <v>40</v>
      </c>
      <c r="AH1308" s="86">
        <v>2387</v>
      </c>
      <c r="AI1308" s="86">
        <v>0</v>
      </c>
      <c r="AJ1308" s="86">
        <v>945</v>
      </c>
      <c r="AK1308" s="86">
        <v>777</v>
      </c>
      <c r="AL1308" s="86" t="b">
        <v>0</v>
      </c>
      <c r="AM1308" s="89">
        <v>41784.853900462964</v>
      </c>
      <c r="AN1308" s="86"/>
      <c r="AO1308" s="86" t="s">
        <v>27615</v>
      </c>
      <c r="AP1308" s="96" t="str">
        <f>HYPERLINK("https://t.co/2DCCmmttM1")</f>
        <v>https://t.co/2DCCmmttM1</v>
      </c>
      <c r="AQ1308" s="96" t="str">
        <f>HYPERLINK("http://www.ludgeroadvocacia.adv.br/")</f>
        <v>http://www.ludgeroadvocacia.adv.br/</v>
      </c>
      <c r="AR1308" s="86" t="s">
        <v>28772</v>
      </c>
      <c r="AS1308" s="86"/>
      <c r="AT1308" s="86"/>
      <c r="AU1308" s="86"/>
      <c r="AV1308" s="86">
        <v>5.2499415225442701E+17</v>
      </c>
      <c r="AW1308" s="96" t="str">
        <f>HYPERLINK("https://t.co/2DCCmmttM1")</f>
        <v>https://t.co/2DCCmmttM1</v>
      </c>
      <c r="AX1308" s="86" t="b">
        <v>0</v>
      </c>
      <c r="AY1308" s="86"/>
      <c r="AZ1308" s="86"/>
      <c r="BA1308" s="86" t="b">
        <v>0</v>
      </c>
      <c r="BB1308" s="86" t="b">
        <v>1</v>
      </c>
      <c r="BC1308" s="86" t="b">
        <v>1</v>
      </c>
      <c r="BD1308" s="86" t="b">
        <v>0</v>
      </c>
      <c r="BE1308" s="86" t="b">
        <v>1</v>
      </c>
      <c r="BF1308" s="86" t="b">
        <v>0</v>
      </c>
      <c r="BG1308" s="86" t="b">
        <v>0</v>
      </c>
      <c r="BH1308" s="96" t="str">
        <f>HYPERLINK("https://pbs.twimg.com/profile_banners/2523425059/1683222252")</f>
        <v>https://pbs.twimg.com/profile_banners/2523425059/1683222252</v>
      </c>
      <c r="BI1308" s="86"/>
      <c r="BJ1308" s="86" t="s">
        <v>29134</v>
      </c>
      <c r="BK1308" s="86" t="b">
        <v>0</v>
      </c>
      <c r="BL1308" s="86"/>
      <c r="BM1308" s="86" t="s">
        <v>66</v>
      </c>
      <c r="BN1308" s="86" t="s">
        <v>29136</v>
      </c>
      <c r="BO1308" s="96" t="str">
        <f>HYPERLINK("https://twitter.com/ludgerocontato")</f>
        <v>https://twitter.com/ludgerocontato</v>
      </c>
      <c r="BP1308" s="2"/>
    </row>
    <row r="1309" spans="1:68" x14ac:dyDescent="0.25">
      <c r="A1309" s="63" t="s">
        <v>1334</v>
      </c>
      <c r="B1309" s="64"/>
      <c r="C1309" s="64"/>
      <c r="D1309" s="65"/>
      <c r="E1309" s="67"/>
      <c r="F1309" s="111" t="str">
        <f>HYPERLINK("https://pbs.twimg.com/profile_images/1460723930730315784/J5IGQ6FJ_normal.jpg")</f>
        <v>https://pbs.twimg.com/profile_images/1460723930730315784/J5IGQ6FJ_normal.jpg</v>
      </c>
      <c r="G1309" s="64"/>
      <c r="H1309" s="68"/>
      <c r="I1309" s="69"/>
      <c r="J1309" s="69"/>
      <c r="K1309" s="68" t="s">
        <v>30442</v>
      </c>
      <c r="L1309" s="72"/>
      <c r="M1309" s="73"/>
      <c r="N1309" s="73"/>
      <c r="O1309" s="74"/>
      <c r="P1309" s="75"/>
      <c r="Q1309" s="75"/>
      <c r="R1309" s="102"/>
      <c r="S1309" s="102"/>
      <c r="T1309" s="102"/>
      <c r="U1309" s="102"/>
      <c r="V1309" s="48"/>
      <c r="W1309" s="48"/>
      <c r="X1309" s="48"/>
      <c r="Y1309" s="48"/>
      <c r="Z1309" s="47"/>
      <c r="AA1309" s="70">
        <v>1309</v>
      </c>
      <c r="AB1309" s="70"/>
      <c r="AC1309" s="71"/>
      <c r="AD1309" s="86" t="s">
        <v>24906</v>
      </c>
      <c r="AE1309" s="94" t="s">
        <v>25749</v>
      </c>
      <c r="AF1309" s="86">
        <v>909</v>
      </c>
      <c r="AG1309" s="86">
        <v>167</v>
      </c>
      <c r="AH1309" s="86">
        <v>4572</v>
      </c>
      <c r="AI1309" s="86">
        <v>15</v>
      </c>
      <c r="AJ1309" s="86">
        <v>16</v>
      </c>
      <c r="AK1309" s="86">
        <v>1304</v>
      </c>
      <c r="AL1309" s="86" t="b">
        <v>0</v>
      </c>
      <c r="AM1309" s="89">
        <v>40081.893738425926</v>
      </c>
      <c r="AN1309" s="86" t="s">
        <v>15234</v>
      </c>
      <c r="AO1309" s="86" t="s">
        <v>27616</v>
      </c>
      <c r="AP1309" s="96" t="str">
        <f>HYPERLINK("https://t.co/psg6yHZMSX")</f>
        <v>https://t.co/psg6yHZMSX</v>
      </c>
      <c r="AQ1309" s="96" t="str">
        <f>HYPERLINK("http://www.alphagraphics.com.br")</f>
        <v>http://www.alphagraphics.com.br</v>
      </c>
      <c r="AR1309" s="86" t="s">
        <v>28773</v>
      </c>
      <c r="AS1309" s="86"/>
      <c r="AT1309" s="86"/>
      <c r="AU1309" s="86"/>
      <c r="AV1309" s="86"/>
      <c r="AW1309" s="96" t="str">
        <f>HYPERLINK("https://t.co/psg6yHZMSX")</f>
        <v>https://t.co/psg6yHZMSX</v>
      </c>
      <c r="AX1309" s="86" t="b">
        <v>0</v>
      </c>
      <c r="AY1309" s="86"/>
      <c r="AZ1309" s="86"/>
      <c r="BA1309" s="86" t="b">
        <v>0</v>
      </c>
      <c r="BB1309" s="86" t="b">
        <v>1</v>
      </c>
      <c r="BC1309" s="86" t="b">
        <v>0</v>
      </c>
      <c r="BD1309" s="86" t="b">
        <v>0</v>
      </c>
      <c r="BE1309" s="86" t="b">
        <v>0</v>
      </c>
      <c r="BF1309" s="86" t="b">
        <v>0</v>
      </c>
      <c r="BG1309" s="86" t="b">
        <v>0</v>
      </c>
      <c r="BH1309" s="96" t="str">
        <f>HYPERLINK("https://pbs.twimg.com/profile_banners/77315167/1610974198")</f>
        <v>https://pbs.twimg.com/profile_banners/77315167/1610974198</v>
      </c>
      <c r="BI1309" s="86"/>
      <c r="BJ1309" s="86" t="s">
        <v>29134</v>
      </c>
      <c r="BK1309" s="86" t="b">
        <v>0</v>
      </c>
      <c r="BL1309" s="86"/>
      <c r="BM1309" s="86" t="s">
        <v>66</v>
      </c>
      <c r="BN1309" s="86" t="s">
        <v>29136</v>
      </c>
      <c r="BO1309" s="96" t="str">
        <f>HYPERLINK("https://twitter.com/alphagraphicsbr")</f>
        <v>https://twitter.com/alphagraphicsbr</v>
      </c>
      <c r="BP1309" s="2"/>
    </row>
    <row r="1310" spans="1:68" x14ac:dyDescent="0.25">
      <c r="A1310" s="63" t="s">
        <v>1335</v>
      </c>
      <c r="B1310" s="64"/>
      <c r="C1310" s="64"/>
      <c r="D1310" s="65"/>
      <c r="E1310" s="67"/>
      <c r="F1310" s="111" t="str">
        <f>HYPERLINK("https://pbs.twimg.com/profile_images/1704553737245622273/FOaec7Vn_normal.jpg")</f>
        <v>https://pbs.twimg.com/profile_images/1704553737245622273/FOaec7Vn_normal.jpg</v>
      </c>
      <c r="G1310" s="64"/>
      <c r="H1310" s="68"/>
      <c r="I1310" s="69"/>
      <c r="J1310" s="69"/>
      <c r="K1310" s="68" t="s">
        <v>30443</v>
      </c>
      <c r="L1310" s="72"/>
      <c r="M1310" s="73"/>
      <c r="N1310" s="73"/>
      <c r="O1310" s="74"/>
      <c r="P1310" s="75"/>
      <c r="Q1310" s="75"/>
      <c r="R1310" s="102"/>
      <c r="S1310" s="102"/>
      <c r="T1310" s="102"/>
      <c r="U1310" s="102"/>
      <c r="V1310" s="48"/>
      <c r="W1310" s="48"/>
      <c r="X1310" s="48"/>
      <c r="Y1310" s="48"/>
      <c r="Z1310" s="47"/>
      <c r="AA1310" s="70">
        <v>1310</v>
      </c>
      <c r="AB1310" s="70"/>
      <c r="AC1310" s="71"/>
      <c r="AD1310" s="86" t="s">
        <v>24907</v>
      </c>
      <c r="AE1310" s="94" t="s">
        <v>23437</v>
      </c>
      <c r="AF1310" s="86">
        <v>4</v>
      </c>
      <c r="AG1310" s="86">
        <v>33</v>
      </c>
      <c r="AH1310" s="86">
        <v>23</v>
      </c>
      <c r="AI1310" s="86">
        <v>0</v>
      </c>
      <c r="AJ1310" s="86">
        <v>41</v>
      </c>
      <c r="AK1310" s="86">
        <v>5</v>
      </c>
      <c r="AL1310" s="86" t="b">
        <v>0</v>
      </c>
      <c r="AM1310" s="89">
        <v>45123.17287037037</v>
      </c>
      <c r="AN1310" s="86" t="s">
        <v>26325</v>
      </c>
      <c r="AO1310" s="86" t="s">
        <v>27617</v>
      </c>
      <c r="AP1310" s="96" t="str">
        <f>HYPERLINK("https://t.co/FrN23jUtWL")</f>
        <v>https://t.co/FrN23jUtWL</v>
      </c>
      <c r="AQ1310" s="96" t="str">
        <f>HYPERLINK("http://www.beedelivery.com.br")</f>
        <v>http://www.beedelivery.com.br</v>
      </c>
      <c r="AR1310" s="86" t="s">
        <v>28774</v>
      </c>
      <c r="AS1310" s="86"/>
      <c r="AT1310" s="86"/>
      <c r="AU1310" s="86"/>
      <c r="AV1310" s="86"/>
      <c r="AW1310" s="96" t="str">
        <f>HYPERLINK("https://t.co/FrN23jUtWL")</f>
        <v>https://t.co/FrN23jUtWL</v>
      </c>
      <c r="AX1310" s="86" t="b">
        <v>0</v>
      </c>
      <c r="AY1310" s="86"/>
      <c r="AZ1310" s="86"/>
      <c r="BA1310" s="86" t="b">
        <v>0</v>
      </c>
      <c r="BB1310" s="86" t="b">
        <v>1</v>
      </c>
      <c r="BC1310" s="86" t="b">
        <v>1</v>
      </c>
      <c r="BD1310" s="86" t="b">
        <v>0</v>
      </c>
      <c r="BE1310" s="86" t="b">
        <v>0</v>
      </c>
      <c r="BF1310" s="86" t="b">
        <v>0</v>
      </c>
      <c r="BG1310" s="86" t="b">
        <v>0</v>
      </c>
      <c r="BH1310" s="96" t="str">
        <f>HYPERLINK("https://pbs.twimg.com/profile_banners/1680429204821639168/1689537852")</f>
        <v>https://pbs.twimg.com/profile_banners/1680429204821639168/1689537852</v>
      </c>
      <c r="BI1310" s="86"/>
      <c r="BJ1310" s="86" t="s">
        <v>29134</v>
      </c>
      <c r="BK1310" s="86" t="b">
        <v>0</v>
      </c>
      <c r="BL1310" s="86"/>
      <c r="BM1310" s="86" t="s">
        <v>66</v>
      </c>
      <c r="BN1310" s="86" t="s">
        <v>29136</v>
      </c>
      <c r="BO1310" s="96" t="str">
        <f>HYPERLINK("https://twitter.com/ricardo_matos_")</f>
        <v>https://twitter.com/ricardo_matos_</v>
      </c>
      <c r="BP1310" s="2"/>
    </row>
    <row r="1311" spans="1:68" x14ac:dyDescent="0.25">
      <c r="A1311" s="63" t="s">
        <v>1336</v>
      </c>
      <c r="B1311" s="64"/>
      <c r="C1311" s="64"/>
      <c r="D1311" s="65"/>
      <c r="E1311" s="67"/>
      <c r="F1311" s="111" t="str">
        <f>HYPERLINK("https://pbs.twimg.com/profile_images/1655040740244717568/bIozefM4_normal.jpg")</f>
        <v>https://pbs.twimg.com/profile_images/1655040740244717568/bIozefM4_normal.jpg</v>
      </c>
      <c r="G1311" s="64"/>
      <c r="H1311" s="68"/>
      <c r="I1311" s="69"/>
      <c r="J1311" s="69"/>
      <c r="K1311" s="68" t="s">
        <v>30444</v>
      </c>
      <c r="L1311" s="72"/>
      <c r="M1311" s="73"/>
      <c r="N1311" s="73"/>
      <c r="O1311" s="74"/>
      <c r="P1311" s="75"/>
      <c r="Q1311" s="75"/>
      <c r="R1311" s="102"/>
      <c r="S1311" s="102"/>
      <c r="T1311" s="102"/>
      <c r="U1311" s="102"/>
      <c r="V1311" s="48"/>
      <c r="W1311" s="48"/>
      <c r="X1311" s="48"/>
      <c r="Y1311" s="48"/>
      <c r="Z1311" s="47"/>
      <c r="AA1311" s="70">
        <v>1311</v>
      </c>
      <c r="AB1311" s="70"/>
      <c r="AC1311" s="71"/>
      <c r="AD1311" s="86" t="s">
        <v>24908</v>
      </c>
      <c r="AE1311" s="94" t="s">
        <v>23438</v>
      </c>
      <c r="AF1311" s="86">
        <v>0</v>
      </c>
      <c r="AG1311" s="86">
        <v>15</v>
      </c>
      <c r="AH1311" s="86">
        <v>11</v>
      </c>
      <c r="AI1311" s="86">
        <v>0</v>
      </c>
      <c r="AJ1311" s="86">
        <v>30</v>
      </c>
      <c r="AK1311" s="86">
        <v>3</v>
      </c>
      <c r="AL1311" s="86" t="b">
        <v>0</v>
      </c>
      <c r="AM1311" s="89">
        <v>45053.113229166665</v>
      </c>
      <c r="AN1311" s="86"/>
      <c r="AO1311" s="86" t="s">
        <v>27618</v>
      </c>
      <c r="AP1311" s="86"/>
      <c r="AQ1311" s="86"/>
      <c r="AR1311" s="86"/>
      <c r="AS1311" s="86"/>
      <c r="AT1311" s="86"/>
      <c r="AU1311" s="86"/>
      <c r="AV1311" s="86"/>
      <c r="AW1311" s="86"/>
      <c r="AX1311" s="86" t="b">
        <v>0</v>
      </c>
      <c r="AY1311" s="86"/>
      <c r="AZ1311" s="86"/>
      <c r="BA1311" s="86" t="b">
        <v>0</v>
      </c>
      <c r="BB1311" s="86" t="b">
        <v>1</v>
      </c>
      <c r="BC1311" s="86" t="b">
        <v>1</v>
      </c>
      <c r="BD1311" s="86" t="b">
        <v>0</v>
      </c>
      <c r="BE1311" s="86" t="b">
        <v>0</v>
      </c>
      <c r="BF1311" s="86" t="b">
        <v>0</v>
      </c>
      <c r="BG1311" s="86" t="b">
        <v>0</v>
      </c>
      <c r="BH1311" s="96" t="str">
        <f>HYPERLINK("https://pbs.twimg.com/profile_banners/1655040454574891010/1685625549")</f>
        <v>https://pbs.twimg.com/profile_banners/1655040454574891010/1685625549</v>
      </c>
      <c r="BI1311" s="86"/>
      <c r="BJ1311" s="86" t="s">
        <v>29134</v>
      </c>
      <c r="BK1311" s="86" t="b">
        <v>0</v>
      </c>
      <c r="BL1311" s="86"/>
      <c r="BM1311" s="86" t="s">
        <v>66</v>
      </c>
      <c r="BN1311" s="86" t="s">
        <v>29136</v>
      </c>
      <c r="BO1311" s="96" t="str">
        <f>HYPERLINK("https://twitter.com/elivansantos_18")</f>
        <v>https://twitter.com/elivansantos_18</v>
      </c>
      <c r="BP1311" s="2"/>
    </row>
    <row r="1312" spans="1:68" x14ac:dyDescent="0.25">
      <c r="A1312" s="63" t="s">
        <v>1337</v>
      </c>
      <c r="B1312" s="64"/>
      <c r="C1312" s="64"/>
      <c r="D1312" s="65"/>
      <c r="E1312" s="67"/>
      <c r="F1312" s="111" t="str">
        <f>HYPERLINK("https://pbs.twimg.com/profile_images/786944938131030016/WQETClHn_normal.jpg")</f>
        <v>https://pbs.twimg.com/profile_images/786944938131030016/WQETClHn_normal.jpg</v>
      </c>
      <c r="G1312" s="64"/>
      <c r="H1312" s="68"/>
      <c r="I1312" s="69"/>
      <c r="J1312" s="69"/>
      <c r="K1312" s="68" t="s">
        <v>30445</v>
      </c>
      <c r="L1312" s="72"/>
      <c r="M1312" s="73"/>
      <c r="N1312" s="73"/>
      <c r="O1312" s="74"/>
      <c r="P1312" s="75"/>
      <c r="Q1312" s="75"/>
      <c r="R1312" s="102"/>
      <c r="S1312" s="102"/>
      <c r="T1312" s="102"/>
      <c r="U1312" s="102"/>
      <c r="V1312" s="48"/>
      <c r="W1312" s="48"/>
      <c r="X1312" s="48"/>
      <c r="Y1312" s="48"/>
      <c r="Z1312" s="47"/>
      <c r="AA1312" s="70">
        <v>1312</v>
      </c>
      <c r="AB1312" s="70"/>
      <c r="AC1312" s="71"/>
      <c r="AD1312" s="86" t="s">
        <v>24909</v>
      </c>
      <c r="AE1312" s="94" t="s">
        <v>25750</v>
      </c>
      <c r="AF1312" s="86">
        <v>448</v>
      </c>
      <c r="AG1312" s="86">
        <v>287</v>
      </c>
      <c r="AH1312" s="86">
        <v>4094</v>
      </c>
      <c r="AI1312" s="86">
        <v>10</v>
      </c>
      <c r="AJ1312" s="86">
        <v>279</v>
      </c>
      <c r="AK1312" s="86">
        <v>1825</v>
      </c>
      <c r="AL1312" s="86" t="b">
        <v>0</v>
      </c>
      <c r="AM1312" s="89">
        <v>41925.606770833336</v>
      </c>
      <c r="AN1312" s="86" t="s">
        <v>26326</v>
      </c>
      <c r="AO1312" s="86" t="s">
        <v>27619</v>
      </c>
      <c r="AP1312" s="96" t="str">
        <f>HYPERLINK("https://t.co/eA0X0tWnTI")</f>
        <v>https://t.co/eA0X0tWnTI</v>
      </c>
      <c r="AQ1312" s="96" t="str">
        <f>HYPERLINK("http://www.iniav.pt")</f>
        <v>http://www.iniav.pt</v>
      </c>
      <c r="AR1312" s="86" t="s">
        <v>28775</v>
      </c>
      <c r="AS1312" s="86"/>
      <c r="AT1312" s="86"/>
      <c r="AU1312" s="86"/>
      <c r="AV1312" s="86"/>
      <c r="AW1312" s="96" t="str">
        <f>HYPERLINK("https://t.co/eA0X0tWnTI")</f>
        <v>https://t.co/eA0X0tWnTI</v>
      </c>
      <c r="AX1312" s="86" t="b">
        <v>0</v>
      </c>
      <c r="AY1312" s="86"/>
      <c r="AZ1312" s="86"/>
      <c r="BA1312" s="86" t="b">
        <v>0</v>
      </c>
      <c r="BB1312" s="86" t="b">
        <v>1</v>
      </c>
      <c r="BC1312" s="86" t="b">
        <v>0</v>
      </c>
      <c r="BD1312" s="86" t="b">
        <v>0</v>
      </c>
      <c r="BE1312" s="86" t="b">
        <v>0</v>
      </c>
      <c r="BF1312" s="86" t="b">
        <v>0</v>
      </c>
      <c r="BG1312" s="86" t="b">
        <v>1</v>
      </c>
      <c r="BH1312" s="96" t="str">
        <f>HYPERLINK("https://pbs.twimg.com/profile_banners/2854423368/1587468029")</f>
        <v>https://pbs.twimg.com/profile_banners/2854423368/1587468029</v>
      </c>
      <c r="BI1312" s="86"/>
      <c r="BJ1312" s="86" t="s">
        <v>29134</v>
      </c>
      <c r="BK1312" s="86" t="b">
        <v>0</v>
      </c>
      <c r="BL1312" s="86"/>
      <c r="BM1312" s="86" t="s">
        <v>66</v>
      </c>
      <c r="BN1312" s="86" t="s">
        <v>29136</v>
      </c>
      <c r="BO1312" s="96" t="str">
        <f>HYPERLINK("https://twitter.com/iniav_ip")</f>
        <v>https://twitter.com/iniav_ip</v>
      </c>
      <c r="BP1312" s="2"/>
    </row>
    <row r="1313" spans="1:68" x14ac:dyDescent="0.25">
      <c r="A1313" s="63" t="s">
        <v>1338</v>
      </c>
      <c r="B1313" s="64"/>
      <c r="C1313" s="64"/>
      <c r="D1313" s="65"/>
      <c r="E1313" s="67"/>
      <c r="F1313" s="111" t="str">
        <f>HYPERLINK("https://pbs.twimg.com/profile_images/1672199922588819457/x4r4nNLR_normal.jpg")</f>
        <v>https://pbs.twimg.com/profile_images/1672199922588819457/x4r4nNLR_normal.jpg</v>
      </c>
      <c r="G1313" s="64"/>
      <c r="H1313" s="68"/>
      <c r="I1313" s="69"/>
      <c r="J1313" s="69"/>
      <c r="K1313" s="68" t="s">
        <v>30446</v>
      </c>
      <c r="L1313" s="72"/>
      <c r="M1313" s="73"/>
      <c r="N1313" s="73"/>
      <c r="O1313" s="74"/>
      <c r="P1313" s="75"/>
      <c r="Q1313" s="75"/>
      <c r="R1313" s="102"/>
      <c r="S1313" s="102"/>
      <c r="T1313" s="102"/>
      <c r="U1313" s="102"/>
      <c r="V1313" s="48"/>
      <c r="W1313" s="48"/>
      <c r="X1313" s="48"/>
      <c r="Y1313" s="48"/>
      <c r="Z1313" s="47"/>
      <c r="AA1313" s="70">
        <v>1313</v>
      </c>
      <c r="AB1313" s="70"/>
      <c r="AC1313" s="71"/>
      <c r="AD1313" s="86" t="s">
        <v>24910</v>
      </c>
      <c r="AE1313" s="94" t="s">
        <v>25751</v>
      </c>
      <c r="AF1313" s="86">
        <v>735</v>
      </c>
      <c r="AG1313" s="86">
        <v>161</v>
      </c>
      <c r="AH1313" s="86">
        <v>10230</v>
      </c>
      <c r="AI1313" s="86">
        <v>11</v>
      </c>
      <c r="AJ1313" s="86">
        <v>0</v>
      </c>
      <c r="AK1313" s="86">
        <v>197</v>
      </c>
      <c r="AL1313" s="86" t="b">
        <v>0</v>
      </c>
      <c r="AM1313" s="89">
        <v>40761.655324074076</v>
      </c>
      <c r="AN1313" s="86" t="s">
        <v>26008</v>
      </c>
      <c r="AO1313" s="86" t="s">
        <v>27620</v>
      </c>
      <c r="AP1313" s="96" t="str">
        <f>HYPERLINK("https://t.co/Lm7oDSCStq")</f>
        <v>https://t.co/Lm7oDSCStq</v>
      </c>
      <c r="AQ1313" s="96" t="str">
        <f>HYPERLINK("http://www.radioitatiaiajf.com.br/")</f>
        <v>http://www.radioitatiaiajf.com.br/</v>
      </c>
      <c r="AR1313" s="86" t="s">
        <v>28776</v>
      </c>
      <c r="AS1313" s="86"/>
      <c r="AT1313" s="86"/>
      <c r="AU1313" s="86"/>
      <c r="AV1313" s="86"/>
      <c r="AW1313" s="96" t="str">
        <f>HYPERLINK("https://t.co/Lm7oDSCStq")</f>
        <v>https://t.co/Lm7oDSCStq</v>
      </c>
      <c r="AX1313" s="86" t="b">
        <v>0</v>
      </c>
      <c r="AY1313" s="86"/>
      <c r="AZ1313" s="86"/>
      <c r="BA1313" s="86" t="b">
        <v>1</v>
      </c>
      <c r="BB1313" s="86" t="b">
        <v>1</v>
      </c>
      <c r="BC1313" s="86" t="b">
        <v>1</v>
      </c>
      <c r="BD1313" s="86" t="b">
        <v>0</v>
      </c>
      <c r="BE1313" s="86" t="b">
        <v>0</v>
      </c>
      <c r="BF1313" s="86" t="b">
        <v>0</v>
      </c>
      <c r="BG1313" s="86" t="b">
        <v>0</v>
      </c>
      <c r="BH1313" s="96" t="str">
        <f>HYPERLINK("https://pbs.twimg.com/profile_banners/349719588/1687518621")</f>
        <v>https://pbs.twimg.com/profile_banners/349719588/1687518621</v>
      </c>
      <c r="BI1313" s="86"/>
      <c r="BJ1313" s="86" t="s">
        <v>29134</v>
      </c>
      <c r="BK1313" s="86" t="b">
        <v>0</v>
      </c>
      <c r="BL1313" s="86"/>
      <c r="BM1313" s="86" t="s">
        <v>66</v>
      </c>
      <c r="BN1313" s="86" t="s">
        <v>29136</v>
      </c>
      <c r="BO1313" s="96" t="str">
        <f>HYPERLINK("https://twitter.com/itatiaiajf")</f>
        <v>https://twitter.com/itatiaiajf</v>
      </c>
      <c r="BP1313" s="2"/>
    </row>
    <row r="1314" spans="1:68" x14ac:dyDescent="0.25">
      <c r="A1314" s="63" t="s">
        <v>1339</v>
      </c>
      <c r="B1314" s="64"/>
      <c r="C1314" s="64"/>
      <c r="D1314" s="65"/>
      <c r="E1314" s="67"/>
      <c r="F1314" s="111" t="str">
        <f>HYPERLINK("https://pbs.twimg.com/profile_images/1688680164882866177/4_D0MLxn_normal.png")</f>
        <v>https://pbs.twimg.com/profile_images/1688680164882866177/4_D0MLxn_normal.png</v>
      </c>
      <c r="G1314" s="64"/>
      <c r="H1314" s="68"/>
      <c r="I1314" s="69"/>
      <c r="J1314" s="69"/>
      <c r="K1314" s="68" t="s">
        <v>30447</v>
      </c>
      <c r="L1314" s="72"/>
      <c r="M1314" s="73"/>
      <c r="N1314" s="73"/>
      <c r="O1314" s="74"/>
      <c r="P1314" s="75"/>
      <c r="Q1314" s="75"/>
      <c r="R1314" s="102"/>
      <c r="S1314" s="102"/>
      <c r="T1314" s="102"/>
      <c r="U1314" s="102"/>
      <c r="V1314" s="48"/>
      <c r="W1314" s="48"/>
      <c r="X1314" s="48"/>
      <c r="Y1314" s="48"/>
      <c r="Z1314" s="47"/>
      <c r="AA1314" s="70">
        <v>1314</v>
      </c>
      <c r="AB1314" s="70"/>
      <c r="AC1314" s="71"/>
      <c r="AD1314" s="86" t="s">
        <v>24911</v>
      </c>
      <c r="AE1314" s="94" t="s">
        <v>23439</v>
      </c>
      <c r="AF1314" s="86">
        <v>38</v>
      </c>
      <c r="AG1314" s="86">
        <v>10</v>
      </c>
      <c r="AH1314" s="86">
        <v>30</v>
      </c>
      <c r="AI1314" s="86">
        <v>0</v>
      </c>
      <c r="AJ1314" s="86">
        <v>35</v>
      </c>
      <c r="AK1314" s="86">
        <v>10</v>
      </c>
      <c r="AL1314" s="86" t="b">
        <v>0</v>
      </c>
      <c r="AM1314" s="89">
        <v>45145.940960648149</v>
      </c>
      <c r="AN1314" s="86"/>
      <c r="AO1314" s="86" t="s">
        <v>27621</v>
      </c>
      <c r="AP1314" s="96" t="str">
        <f>HYPERLINK("https://t.co/HmGQN61982")</f>
        <v>https://t.co/HmGQN61982</v>
      </c>
      <c r="AQ1314" s="96" t="str">
        <f>HYPERLINK("https://podcastquempodepodi.blogspot.com/")</f>
        <v>https://podcastquempodepodi.blogspot.com/</v>
      </c>
      <c r="AR1314" s="86" t="s">
        <v>28777</v>
      </c>
      <c r="AS1314" s="86"/>
      <c r="AT1314" s="86"/>
      <c r="AU1314" s="86"/>
      <c r="AV1314" s="86"/>
      <c r="AW1314" s="96" t="str">
        <f>HYPERLINK("https://t.co/HmGQN61982")</f>
        <v>https://t.co/HmGQN61982</v>
      </c>
      <c r="AX1314" s="86" t="b">
        <v>0</v>
      </c>
      <c r="AY1314" s="86"/>
      <c r="AZ1314" s="86"/>
      <c r="BA1314" s="86" t="b">
        <v>0</v>
      </c>
      <c r="BB1314" s="86" t="b">
        <v>1</v>
      </c>
      <c r="BC1314" s="86" t="b">
        <v>1</v>
      </c>
      <c r="BD1314" s="86" t="b">
        <v>0</v>
      </c>
      <c r="BE1314" s="86" t="b">
        <v>0</v>
      </c>
      <c r="BF1314" s="86" t="b">
        <v>0</v>
      </c>
      <c r="BG1314" s="86" t="b">
        <v>0</v>
      </c>
      <c r="BH1314" s="96" t="str">
        <f>HYPERLINK("https://pbs.twimg.com/profile_banners/1688679926289899521/1691679210")</f>
        <v>https://pbs.twimg.com/profile_banners/1688679926289899521/1691679210</v>
      </c>
      <c r="BI1314" s="86"/>
      <c r="BJ1314" s="86" t="s">
        <v>29134</v>
      </c>
      <c r="BK1314" s="86" t="b">
        <v>0</v>
      </c>
      <c r="BL1314" s="86"/>
      <c r="BM1314" s="86" t="s">
        <v>66</v>
      </c>
      <c r="BN1314" s="86" t="s">
        <v>29136</v>
      </c>
      <c r="BO1314" s="96" t="str">
        <f>HYPERLINK("https://twitter.com/quempodepodi")</f>
        <v>https://twitter.com/quempodepodi</v>
      </c>
      <c r="BP1314" s="2"/>
    </row>
    <row r="1315" spans="1:68" x14ac:dyDescent="0.25">
      <c r="A1315" s="63" t="s">
        <v>1340</v>
      </c>
      <c r="B1315" s="64"/>
      <c r="C1315" s="64"/>
      <c r="D1315" s="65"/>
      <c r="E1315" s="67"/>
      <c r="F1315" s="111" t="str">
        <f>HYPERLINK("https://pbs.twimg.com/profile_images/1681291978779111425/bX6kE1xR_normal.jpg")</f>
        <v>https://pbs.twimg.com/profile_images/1681291978779111425/bX6kE1xR_normal.jpg</v>
      </c>
      <c r="G1315" s="64"/>
      <c r="H1315" s="68"/>
      <c r="I1315" s="69"/>
      <c r="J1315" s="69"/>
      <c r="K1315" s="68" t="s">
        <v>30448</v>
      </c>
      <c r="L1315" s="72"/>
      <c r="M1315" s="73"/>
      <c r="N1315" s="73"/>
      <c r="O1315" s="74"/>
      <c r="P1315" s="75"/>
      <c r="Q1315" s="75"/>
      <c r="R1315" s="102"/>
      <c r="S1315" s="102"/>
      <c r="T1315" s="102"/>
      <c r="U1315" s="102"/>
      <c r="V1315" s="48"/>
      <c r="W1315" s="48"/>
      <c r="X1315" s="48"/>
      <c r="Y1315" s="48"/>
      <c r="Z1315" s="47"/>
      <c r="AA1315" s="70">
        <v>1315</v>
      </c>
      <c r="AB1315" s="70"/>
      <c r="AC1315" s="71"/>
      <c r="AD1315" s="86" t="s">
        <v>24912</v>
      </c>
      <c r="AE1315" s="94" t="s">
        <v>22637</v>
      </c>
      <c r="AF1315" s="86">
        <v>5</v>
      </c>
      <c r="AG1315" s="86">
        <v>2</v>
      </c>
      <c r="AH1315" s="86">
        <v>59</v>
      </c>
      <c r="AI1315" s="86">
        <v>0</v>
      </c>
      <c r="AJ1315" s="86">
        <v>0</v>
      </c>
      <c r="AK1315" s="86">
        <v>10</v>
      </c>
      <c r="AL1315" s="86" t="b">
        <v>0</v>
      </c>
      <c r="AM1315" s="89">
        <v>44820.550775462965</v>
      </c>
      <c r="AN1315" s="86" t="s">
        <v>26327</v>
      </c>
      <c r="AO1315" s="86" t="s">
        <v>27622</v>
      </c>
      <c r="AP1315" s="96" t="str">
        <f>HYPERLINK("https://t.co/r4KP2gRqPR")</f>
        <v>https://t.co/r4KP2gRqPR</v>
      </c>
      <c r="AQ1315" s="96" t="str">
        <f>HYPERLINK("http://www.gorn.com.br")</f>
        <v>http://www.gorn.com.br</v>
      </c>
      <c r="AR1315" s="86" t="s">
        <v>28778</v>
      </c>
      <c r="AS1315" s="86"/>
      <c r="AT1315" s="86"/>
      <c r="AU1315" s="86"/>
      <c r="AV1315" s="86"/>
      <c r="AW1315" s="96" t="str">
        <f>HYPERLINK("https://t.co/r4KP2gRqPR")</f>
        <v>https://t.co/r4KP2gRqPR</v>
      </c>
      <c r="AX1315" s="86" t="b">
        <v>0</v>
      </c>
      <c r="AY1315" s="86"/>
      <c r="AZ1315" s="86"/>
      <c r="BA1315" s="86" t="b">
        <v>0</v>
      </c>
      <c r="BB1315" s="86" t="b">
        <v>1</v>
      </c>
      <c r="BC1315" s="86" t="b">
        <v>1</v>
      </c>
      <c r="BD1315" s="86" t="b">
        <v>0</v>
      </c>
      <c r="BE1315" s="86" t="b">
        <v>0</v>
      </c>
      <c r="BF1315" s="86" t="b">
        <v>0</v>
      </c>
      <c r="BG1315" s="86" t="b">
        <v>0</v>
      </c>
      <c r="BH1315" s="96" t="str">
        <f>HYPERLINK("https://pbs.twimg.com/profile_banners/1570759780813127681/1663492064")</f>
        <v>https://pbs.twimg.com/profile_banners/1570759780813127681/1663492064</v>
      </c>
      <c r="BI1315" s="86"/>
      <c r="BJ1315" s="86" t="s">
        <v>29134</v>
      </c>
      <c r="BK1315" s="86" t="b">
        <v>0</v>
      </c>
      <c r="BL1315" s="86"/>
      <c r="BM1315" s="86" t="s">
        <v>66</v>
      </c>
      <c r="BN1315" s="86" t="s">
        <v>29136</v>
      </c>
      <c r="BO1315" s="96" t="str">
        <f>HYPERLINK("https://twitter.com/gorn2023")</f>
        <v>https://twitter.com/gorn2023</v>
      </c>
      <c r="BP1315" s="2"/>
    </row>
    <row r="1316" spans="1:68" x14ac:dyDescent="0.25">
      <c r="A1316" s="63" t="s">
        <v>1341</v>
      </c>
      <c r="B1316" s="64"/>
      <c r="C1316" s="64"/>
      <c r="D1316" s="65"/>
      <c r="E1316" s="67"/>
      <c r="F1316" s="111" t="str">
        <f>HYPERLINK("https://pbs.twimg.com/profile_images/1451598407483674624/sZSmao9J_normal.jpg")</f>
        <v>https://pbs.twimg.com/profile_images/1451598407483674624/sZSmao9J_normal.jpg</v>
      </c>
      <c r="G1316" s="64"/>
      <c r="H1316" s="68"/>
      <c r="I1316" s="69"/>
      <c r="J1316" s="69"/>
      <c r="K1316" s="68" t="s">
        <v>30449</v>
      </c>
      <c r="L1316" s="72"/>
      <c r="M1316" s="73"/>
      <c r="N1316" s="73"/>
      <c r="O1316" s="74"/>
      <c r="P1316" s="75"/>
      <c r="Q1316" s="75"/>
      <c r="R1316" s="102"/>
      <c r="S1316" s="102"/>
      <c r="T1316" s="102"/>
      <c r="U1316" s="102"/>
      <c r="V1316" s="48"/>
      <c r="W1316" s="48"/>
      <c r="X1316" s="48"/>
      <c r="Y1316" s="48"/>
      <c r="Z1316" s="47"/>
      <c r="AA1316" s="70">
        <v>1316</v>
      </c>
      <c r="AB1316" s="70"/>
      <c r="AC1316" s="71"/>
      <c r="AD1316" s="86" t="s">
        <v>24913</v>
      </c>
      <c r="AE1316" s="94" t="s">
        <v>25752</v>
      </c>
      <c r="AF1316" s="86">
        <v>140</v>
      </c>
      <c r="AG1316" s="86">
        <v>80</v>
      </c>
      <c r="AH1316" s="86">
        <v>837</v>
      </c>
      <c r="AI1316" s="86">
        <v>5</v>
      </c>
      <c r="AJ1316" s="86">
        <v>139</v>
      </c>
      <c r="AK1316" s="86">
        <v>38</v>
      </c>
      <c r="AL1316" s="86" t="b">
        <v>0</v>
      </c>
      <c r="AM1316" s="89">
        <v>39993.57916666667</v>
      </c>
      <c r="AN1316" s="86" t="s">
        <v>26328</v>
      </c>
      <c r="AO1316" s="86" t="s">
        <v>27623</v>
      </c>
      <c r="AP1316" s="96" t="str">
        <f>HYPERLINK("https://t.co/Vx0jtqNJLM")</f>
        <v>https://t.co/Vx0jtqNJLM</v>
      </c>
      <c r="AQ1316" s="96" t="str">
        <f>HYPERLINK("https://danielemiliano.com.br")</f>
        <v>https://danielemiliano.com.br</v>
      </c>
      <c r="AR1316" s="86" t="s">
        <v>28779</v>
      </c>
      <c r="AS1316" s="96" t="str">
        <f>HYPERLINK("https://t.co/omiWi37cNP")</f>
        <v>https://t.co/omiWi37cNP</v>
      </c>
      <c r="AT1316" s="96" t="str">
        <f>HYPERLINK("http://agenciagrifo.com.br")</f>
        <v>http://agenciagrifo.com.br</v>
      </c>
      <c r="AU1316" s="86" t="s">
        <v>28375</v>
      </c>
      <c r="AV1316" s="86"/>
      <c r="AW1316" s="96" t="str">
        <f>HYPERLINK("https://t.co/Vx0jtqNJLM")</f>
        <v>https://t.co/Vx0jtqNJLM</v>
      </c>
      <c r="AX1316" s="86" t="b">
        <v>0</v>
      </c>
      <c r="AY1316" s="86"/>
      <c r="AZ1316" s="86"/>
      <c r="BA1316" s="86" t="b">
        <v>0</v>
      </c>
      <c r="BB1316" s="86" t="b">
        <v>1</v>
      </c>
      <c r="BC1316" s="86" t="b">
        <v>0</v>
      </c>
      <c r="BD1316" s="86" t="b">
        <v>0</v>
      </c>
      <c r="BE1316" s="86" t="b">
        <v>0</v>
      </c>
      <c r="BF1316" s="86" t="b">
        <v>0</v>
      </c>
      <c r="BG1316" s="86" t="b">
        <v>0</v>
      </c>
      <c r="BH1316" s="96" t="str">
        <f>HYPERLINK("https://pbs.twimg.com/profile_banners/52061411/1513816498")</f>
        <v>https://pbs.twimg.com/profile_banners/52061411/1513816498</v>
      </c>
      <c r="BI1316" s="86"/>
      <c r="BJ1316" s="86" t="s">
        <v>29134</v>
      </c>
      <c r="BK1316" s="86" t="b">
        <v>0</v>
      </c>
      <c r="BL1316" s="86"/>
      <c r="BM1316" s="86" t="s">
        <v>66</v>
      </c>
      <c r="BN1316" s="86" t="s">
        <v>29136</v>
      </c>
      <c r="BO1316" s="96" t="str">
        <f>HYPERLINK("https://twitter.com/danielemiliano")</f>
        <v>https://twitter.com/danielemiliano</v>
      </c>
      <c r="BP1316" s="2"/>
    </row>
    <row r="1317" spans="1:68" x14ac:dyDescent="0.25">
      <c r="A1317" s="63" t="s">
        <v>1342</v>
      </c>
      <c r="B1317" s="64"/>
      <c r="C1317" s="64"/>
      <c r="D1317" s="65"/>
      <c r="E1317" s="67"/>
      <c r="F1317" s="111" t="str">
        <f>HYPERLINK("https://pbs.twimg.com/profile_images/1693148329113206784/KTn-MTEI_normal.jpg")</f>
        <v>https://pbs.twimg.com/profile_images/1693148329113206784/KTn-MTEI_normal.jpg</v>
      </c>
      <c r="G1317" s="64"/>
      <c r="H1317" s="68"/>
      <c r="I1317" s="69"/>
      <c r="J1317" s="69"/>
      <c r="K1317" s="68" t="s">
        <v>30450</v>
      </c>
      <c r="L1317" s="72"/>
      <c r="M1317" s="73"/>
      <c r="N1317" s="73"/>
      <c r="O1317" s="74"/>
      <c r="P1317" s="75"/>
      <c r="Q1317" s="75"/>
      <c r="R1317" s="102"/>
      <c r="S1317" s="102"/>
      <c r="T1317" s="102"/>
      <c r="U1317" s="102"/>
      <c r="V1317" s="48"/>
      <c r="W1317" s="48"/>
      <c r="X1317" s="48"/>
      <c r="Y1317" s="48"/>
      <c r="Z1317" s="47"/>
      <c r="AA1317" s="70">
        <v>1317</v>
      </c>
      <c r="AB1317" s="70"/>
      <c r="AC1317" s="71"/>
      <c r="AD1317" s="86" t="s">
        <v>24914</v>
      </c>
      <c r="AE1317" s="94" t="s">
        <v>23440</v>
      </c>
      <c r="AF1317" s="86">
        <v>1</v>
      </c>
      <c r="AG1317" s="86">
        <v>1</v>
      </c>
      <c r="AH1317" s="86">
        <v>29</v>
      </c>
      <c r="AI1317" s="86">
        <v>0</v>
      </c>
      <c r="AJ1317" s="86">
        <v>0</v>
      </c>
      <c r="AK1317" s="86">
        <v>28</v>
      </c>
      <c r="AL1317" s="86" t="b">
        <v>0</v>
      </c>
      <c r="AM1317" s="89">
        <v>45158.216921296298</v>
      </c>
      <c r="AN1317" s="86"/>
      <c r="AO1317" s="86" t="s">
        <v>27624</v>
      </c>
      <c r="AP1317" s="96" t="str">
        <f>HYPERLINK("https://t.co/PyVjnkL429")</f>
        <v>https://t.co/PyVjnkL429</v>
      </c>
      <c r="AQ1317" s="96" t="str">
        <f>HYPERLINK("https://cursoscda.com.br/")</f>
        <v>https://cursoscda.com.br/</v>
      </c>
      <c r="AR1317" s="86" t="s">
        <v>28780</v>
      </c>
      <c r="AS1317" s="86"/>
      <c r="AT1317" s="86"/>
      <c r="AU1317" s="86"/>
      <c r="AV1317" s="86"/>
      <c r="AW1317" s="96" t="str">
        <f>HYPERLINK("https://t.co/PyVjnkL429")</f>
        <v>https://t.co/PyVjnkL429</v>
      </c>
      <c r="AX1317" s="86" t="b">
        <v>0</v>
      </c>
      <c r="AY1317" s="86"/>
      <c r="AZ1317" s="86"/>
      <c r="BA1317" s="86" t="b">
        <v>0</v>
      </c>
      <c r="BB1317" s="86" t="b">
        <v>1</v>
      </c>
      <c r="BC1317" s="86" t="b">
        <v>1</v>
      </c>
      <c r="BD1317" s="86" t="b">
        <v>0</v>
      </c>
      <c r="BE1317" s="86" t="b">
        <v>0</v>
      </c>
      <c r="BF1317" s="86" t="b">
        <v>0</v>
      </c>
      <c r="BG1317" s="86" t="b">
        <v>0</v>
      </c>
      <c r="BH1317" s="96" t="str">
        <f>HYPERLINK("https://pbs.twimg.com/profile_banners/1693128702316400640/1692510208")</f>
        <v>https://pbs.twimg.com/profile_banners/1693128702316400640/1692510208</v>
      </c>
      <c r="BI1317" s="86"/>
      <c r="BJ1317" s="86" t="s">
        <v>29134</v>
      </c>
      <c r="BK1317" s="86" t="b">
        <v>0</v>
      </c>
      <c r="BL1317" s="86"/>
      <c r="BM1317" s="86" t="s">
        <v>66</v>
      </c>
      <c r="BN1317" s="86" t="s">
        <v>29136</v>
      </c>
      <c r="BO1317" s="96" t="str">
        <f>HYPERLINK("https://twitter.com/plataformacda")</f>
        <v>https://twitter.com/plataformacda</v>
      </c>
      <c r="BP1317" s="2"/>
    </row>
    <row r="1318" spans="1:68" x14ac:dyDescent="0.25">
      <c r="A1318" s="63" t="s">
        <v>1343</v>
      </c>
      <c r="B1318" s="64"/>
      <c r="C1318" s="64"/>
      <c r="D1318" s="65"/>
      <c r="E1318" s="67"/>
      <c r="F1318" s="111" t="str">
        <f>HYPERLINK("https://pbs.twimg.com/profile_images/1671479387789709314/1hOySUqD_normal.jpg")</f>
        <v>https://pbs.twimg.com/profile_images/1671479387789709314/1hOySUqD_normal.jpg</v>
      </c>
      <c r="G1318" s="64"/>
      <c r="H1318" s="68"/>
      <c r="I1318" s="69"/>
      <c r="J1318" s="69"/>
      <c r="K1318" s="68" t="s">
        <v>30451</v>
      </c>
      <c r="L1318" s="72"/>
      <c r="M1318" s="73"/>
      <c r="N1318" s="73"/>
      <c r="O1318" s="74"/>
      <c r="P1318" s="75"/>
      <c r="Q1318" s="75"/>
      <c r="R1318" s="102"/>
      <c r="S1318" s="102"/>
      <c r="T1318" s="102"/>
      <c r="U1318" s="102"/>
      <c r="V1318" s="48"/>
      <c r="W1318" s="48"/>
      <c r="X1318" s="48"/>
      <c r="Y1318" s="48"/>
      <c r="Z1318" s="47"/>
      <c r="AA1318" s="70">
        <v>1318</v>
      </c>
      <c r="AB1318" s="70"/>
      <c r="AC1318" s="71"/>
      <c r="AD1318" s="86" t="s">
        <v>24915</v>
      </c>
      <c r="AE1318" s="94" t="s">
        <v>23441</v>
      </c>
      <c r="AF1318" s="86">
        <v>205</v>
      </c>
      <c r="AG1318" s="86">
        <v>377</v>
      </c>
      <c r="AH1318" s="86">
        <v>353</v>
      </c>
      <c r="AI1318" s="86">
        <v>0</v>
      </c>
      <c r="AJ1318" s="86">
        <v>47</v>
      </c>
      <c r="AK1318" s="86">
        <v>322</v>
      </c>
      <c r="AL1318" s="86" t="b">
        <v>0</v>
      </c>
      <c r="AM1318" s="89">
        <v>43797.85</v>
      </c>
      <c r="AN1318" s="86" t="s">
        <v>26329</v>
      </c>
      <c r="AO1318" s="86" t="s">
        <v>27625</v>
      </c>
      <c r="AP1318" s="96" t="str">
        <f>HYPERLINK("https://t.co/Hocr7rJsPq")</f>
        <v>https://t.co/Hocr7rJsPq</v>
      </c>
      <c r="AQ1318" s="96" t="str">
        <f>HYPERLINK("https://linktr.ee/expotapejara22")</f>
        <v>https://linktr.ee/expotapejara22</v>
      </c>
      <c r="AR1318" s="86" t="s">
        <v>28781</v>
      </c>
      <c r="AS1318" s="96" t="str">
        <f>HYPERLINK("https://t.co/TjE7FWaQn9")</f>
        <v>https://t.co/TjE7FWaQn9</v>
      </c>
      <c r="AT1318" s="96" t="str">
        <f>HYPERLINK("http://linktr.ee/expotapejara22")</f>
        <v>http://linktr.ee/expotapejara22</v>
      </c>
      <c r="AU1318" s="86" t="s">
        <v>28781</v>
      </c>
      <c r="AV1318" s="86"/>
      <c r="AW1318" s="96" t="str">
        <f>HYPERLINK("https://t.co/Hocr7rJsPq")</f>
        <v>https://t.co/Hocr7rJsPq</v>
      </c>
      <c r="AX1318" s="86" t="b">
        <v>0</v>
      </c>
      <c r="AY1318" s="86"/>
      <c r="AZ1318" s="86"/>
      <c r="BA1318" s="86" t="b">
        <v>1</v>
      </c>
      <c r="BB1318" s="86" t="b">
        <v>1</v>
      </c>
      <c r="BC1318" s="86" t="b">
        <v>1</v>
      </c>
      <c r="BD1318" s="86" t="b">
        <v>0</v>
      </c>
      <c r="BE1318" s="86" t="b">
        <v>0</v>
      </c>
      <c r="BF1318" s="86" t="b">
        <v>0</v>
      </c>
      <c r="BG1318" s="86" t="b">
        <v>0</v>
      </c>
      <c r="BH1318" s="96" t="str">
        <f>HYPERLINK("https://pbs.twimg.com/profile_banners/1200148201858379776/1687353633")</f>
        <v>https://pbs.twimg.com/profile_banners/1200148201858379776/1687353633</v>
      </c>
      <c r="BI1318" s="86"/>
      <c r="BJ1318" s="86" t="s">
        <v>29134</v>
      </c>
      <c r="BK1318" s="86" t="b">
        <v>0</v>
      </c>
      <c r="BL1318" s="86"/>
      <c r="BM1318" s="86" t="s">
        <v>66</v>
      </c>
      <c r="BN1318" s="86" t="s">
        <v>29136</v>
      </c>
      <c r="BO1318" s="96" t="str">
        <f>HYPERLINK("https://twitter.com/tapejaraexpo")</f>
        <v>https://twitter.com/tapejaraexpo</v>
      </c>
      <c r="BP1318" s="2"/>
    </row>
    <row r="1319" spans="1:68" x14ac:dyDescent="0.25">
      <c r="A1319" s="63" t="s">
        <v>1344</v>
      </c>
      <c r="B1319" s="64"/>
      <c r="C1319" s="64"/>
      <c r="D1319" s="65"/>
      <c r="E1319" s="67"/>
      <c r="F1319" s="111" t="str">
        <f>HYPERLINK("https://pbs.twimg.com/profile_images/921383232402345985/huGQdQdl_normal.jpg")</f>
        <v>https://pbs.twimg.com/profile_images/921383232402345985/huGQdQdl_normal.jpg</v>
      </c>
      <c r="G1319" s="64"/>
      <c r="H1319" s="68"/>
      <c r="I1319" s="69"/>
      <c r="J1319" s="69"/>
      <c r="K1319" s="68" t="s">
        <v>30452</v>
      </c>
      <c r="L1319" s="72"/>
      <c r="M1319" s="73"/>
      <c r="N1319" s="73"/>
      <c r="O1319" s="74"/>
      <c r="P1319" s="75"/>
      <c r="Q1319" s="75"/>
      <c r="R1319" s="102"/>
      <c r="S1319" s="102"/>
      <c r="T1319" s="102"/>
      <c r="U1319" s="102"/>
      <c r="V1319" s="48"/>
      <c r="W1319" s="48"/>
      <c r="X1319" s="48"/>
      <c r="Y1319" s="48"/>
      <c r="Z1319" s="47"/>
      <c r="AA1319" s="70">
        <v>1319</v>
      </c>
      <c r="AB1319" s="70"/>
      <c r="AC1319" s="71"/>
      <c r="AD1319" s="86" t="s">
        <v>24916</v>
      </c>
      <c r="AE1319" s="94" t="s">
        <v>23442</v>
      </c>
      <c r="AF1319" s="86">
        <v>17</v>
      </c>
      <c r="AG1319" s="86">
        <v>39</v>
      </c>
      <c r="AH1319" s="86">
        <v>61</v>
      </c>
      <c r="AI1319" s="86">
        <v>0</v>
      </c>
      <c r="AJ1319" s="86">
        <v>321</v>
      </c>
      <c r="AK1319" s="86">
        <v>6</v>
      </c>
      <c r="AL1319" s="86" t="b">
        <v>0</v>
      </c>
      <c r="AM1319" s="89">
        <v>43028.589837962965</v>
      </c>
      <c r="AN1319" s="86"/>
      <c r="AO1319" s="86"/>
      <c r="AP1319" s="86"/>
      <c r="AQ1319" s="86"/>
      <c r="AR1319" s="86"/>
      <c r="AS1319" s="86"/>
      <c r="AT1319" s="86"/>
      <c r="AU1319" s="86"/>
      <c r="AV1319" s="86"/>
      <c r="AW1319" s="86"/>
      <c r="AX1319" s="86" t="b">
        <v>0</v>
      </c>
      <c r="AY1319" s="86"/>
      <c r="AZ1319" s="86"/>
      <c r="BA1319" s="86" t="b">
        <v>0</v>
      </c>
      <c r="BB1319" s="86" t="b">
        <v>1</v>
      </c>
      <c r="BC1319" s="86" t="b">
        <v>1</v>
      </c>
      <c r="BD1319" s="86" t="b">
        <v>0</v>
      </c>
      <c r="BE1319" s="86" t="b">
        <v>0</v>
      </c>
      <c r="BF1319" s="86" t="b">
        <v>0</v>
      </c>
      <c r="BG1319" s="86" t="b">
        <v>0</v>
      </c>
      <c r="BH1319" s="96" t="str">
        <f>HYPERLINK("https://pbs.twimg.com/profile_banners/921377807707582464/1509017015")</f>
        <v>https://pbs.twimg.com/profile_banners/921377807707582464/1509017015</v>
      </c>
      <c r="BI1319" s="86"/>
      <c r="BJ1319" s="86" t="s">
        <v>29134</v>
      </c>
      <c r="BK1319" s="86" t="b">
        <v>0</v>
      </c>
      <c r="BL1319" s="86"/>
      <c r="BM1319" s="86" t="s">
        <v>66</v>
      </c>
      <c r="BN1319" s="86" t="s">
        <v>29136</v>
      </c>
      <c r="BO1319" s="96" t="str">
        <f>HYPERLINK("https://twitter.com/folettojuliana")</f>
        <v>https://twitter.com/folettojuliana</v>
      </c>
      <c r="BP1319" s="2"/>
    </row>
    <row r="1320" spans="1:68" x14ac:dyDescent="0.25">
      <c r="A1320" s="63" t="s">
        <v>1345</v>
      </c>
      <c r="B1320" s="64"/>
      <c r="C1320" s="64"/>
      <c r="D1320" s="65"/>
      <c r="E1320" s="67"/>
      <c r="F1320" s="111" t="str">
        <f>HYPERLINK("https://pbs.twimg.com/profile_images/1676758122319208448/22xERrOK_normal.jpg")</f>
        <v>https://pbs.twimg.com/profile_images/1676758122319208448/22xERrOK_normal.jpg</v>
      </c>
      <c r="G1320" s="64"/>
      <c r="H1320" s="68"/>
      <c r="I1320" s="69"/>
      <c r="J1320" s="69"/>
      <c r="K1320" s="68" t="s">
        <v>30453</v>
      </c>
      <c r="L1320" s="72"/>
      <c r="M1320" s="73"/>
      <c r="N1320" s="73"/>
      <c r="O1320" s="74"/>
      <c r="P1320" s="75"/>
      <c r="Q1320" s="75"/>
      <c r="R1320" s="102"/>
      <c r="S1320" s="102"/>
      <c r="T1320" s="102"/>
      <c r="U1320" s="102"/>
      <c r="V1320" s="48"/>
      <c r="W1320" s="48"/>
      <c r="X1320" s="48"/>
      <c r="Y1320" s="48"/>
      <c r="Z1320" s="47"/>
      <c r="AA1320" s="70">
        <v>1320</v>
      </c>
      <c r="AB1320" s="70"/>
      <c r="AC1320" s="71"/>
      <c r="AD1320" s="86" t="s">
        <v>24917</v>
      </c>
      <c r="AE1320" s="94" t="s">
        <v>23443</v>
      </c>
      <c r="AF1320" s="86">
        <v>102</v>
      </c>
      <c r="AG1320" s="86">
        <v>1177</v>
      </c>
      <c r="AH1320" s="86">
        <v>391</v>
      </c>
      <c r="AI1320" s="86">
        <v>2</v>
      </c>
      <c r="AJ1320" s="86">
        <v>8</v>
      </c>
      <c r="AK1320" s="86">
        <v>371</v>
      </c>
      <c r="AL1320" s="86" t="b">
        <v>0</v>
      </c>
      <c r="AM1320" s="89">
        <v>44575.117824074077</v>
      </c>
      <c r="AN1320" s="86" t="s">
        <v>15234</v>
      </c>
      <c r="AO1320" s="86" t="s">
        <v>27626</v>
      </c>
      <c r="AP1320" s="96" t="str">
        <f>HYPERLINK("https://t.co/H75F5sOiVn")</f>
        <v>https://t.co/H75F5sOiVn</v>
      </c>
      <c r="AQ1320" s="96" t="str">
        <f>HYPERLINK("https://linkme.bio/ghitswh")</f>
        <v>https://linkme.bio/ghitswh</v>
      </c>
      <c r="AR1320" s="86" t="s">
        <v>28782</v>
      </c>
      <c r="AS1320" s="86"/>
      <c r="AT1320" s="86"/>
      <c r="AU1320" s="86"/>
      <c r="AV1320" s="86"/>
      <c r="AW1320" s="96" t="str">
        <f>HYPERLINK("https://t.co/H75F5sOiVn")</f>
        <v>https://t.co/H75F5sOiVn</v>
      </c>
      <c r="AX1320" s="86" t="b">
        <v>0</v>
      </c>
      <c r="AY1320" s="86"/>
      <c r="AZ1320" s="86"/>
      <c r="BA1320" s="86" t="b">
        <v>0</v>
      </c>
      <c r="BB1320" s="86" t="b">
        <v>1</v>
      </c>
      <c r="BC1320" s="86" t="b">
        <v>1</v>
      </c>
      <c r="BD1320" s="86" t="b">
        <v>0</v>
      </c>
      <c r="BE1320" s="86" t="b">
        <v>0</v>
      </c>
      <c r="BF1320" s="86" t="b">
        <v>0</v>
      </c>
      <c r="BG1320" s="86" t="b">
        <v>0</v>
      </c>
      <c r="BH1320" s="96" t="str">
        <f>HYPERLINK("https://pbs.twimg.com/profile_banners/1481820693343911939/1691459936")</f>
        <v>https://pbs.twimg.com/profile_banners/1481820693343911939/1691459936</v>
      </c>
      <c r="BI1320" s="86"/>
      <c r="BJ1320" s="86" t="s">
        <v>29134</v>
      </c>
      <c r="BK1320" s="86" t="b">
        <v>0</v>
      </c>
      <c r="BL1320" s="86"/>
      <c r="BM1320" s="86" t="s">
        <v>66</v>
      </c>
      <c r="BN1320" s="86" t="s">
        <v>29136</v>
      </c>
      <c r="BO1320" s="96" t="str">
        <f>HYPERLINK("https://twitter.com/ghitswh_")</f>
        <v>https://twitter.com/ghitswh_</v>
      </c>
      <c r="BP1320" s="2"/>
    </row>
    <row r="1321" spans="1:68" x14ac:dyDescent="0.25">
      <c r="A1321" s="63" t="s">
        <v>1346</v>
      </c>
      <c r="B1321" s="64"/>
      <c r="C1321" s="64"/>
      <c r="D1321" s="65"/>
      <c r="E1321" s="67"/>
      <c r="F1321" s="111" t="str">
        <f>HYPERLINK("https://pbs.twimg.com/profile_images/1453883793211863043/ydEbOV7__normal.jpg")</f>
        <v>https://pbs.twimg.com/profile_images/1453883793211863043/ydEbOV7__normal.jpg</v>
      </c>
      <c r="G1321" s="64"/>
      <c r="H1321" s="68"/>
      <c r="I1321" s="69"/>
      <c r="J1321" s="69"/>
      <c r="K1321" s="68" t="s">
        <v>30454</v>
      </c>
      <c r="L1321" s="72"/>
      <c r="M1321" s="73"/>
      <c r="N1321" s="73"/>
      <c r="O1321" s="74"/>
      <c r="P1321" s="75"/>
      <c r="Q1321" s="75"/>
      <c r="R1321" s="102"/>
      <c r="S1321" s="102"/>
      <c r="T1321" s="102"/>
      <c r="U1321" s="102"/>
      <c r="V1321" s="48"/>
      <c r="W1321" s="48"/>
      <c r="X1321" s="48"/>
      <c r="Y1321" s="48"/>
      <c r="Z1321" s="47"/>
      <c r="AA1321" s="70">
        <v>1321</v>
      </c>
      <c r="AB1321" s="70"/>
      <c r="AC1321" s="71"/>
      <c r="AD1321" s="86" t="s">
        <v>24918</v>
      </c>
      <c r="AE1321" s="94" t="s">
        <v>23444</v>
      </c>
      <c r="AF1321" s="86">
        <v>4</v>
      </c>
      <c r="AG1321" s="86">
        <v>27</v>
      </c>
      <c r="AH1321" s="86">
        <v>7</v>
      </c>
      <c r="AI1321" s="86">
        <v>5</v>
      </c>
      <c r="AJ1321" s="86">
        <v>27</v>
      </c>
      <c r="AK1321" s="86">
        <v>1</v>
      </c>
      <c r="AL1321" s="86" t="b">
        <v>0</v>
      </c>
      <c r="AM1321" s="89">
        <v>44498.025613425925</v>
      </c>
      <c r="AN1321" s="86"/>
      <c r="AO1321" s="86"/>
      <c r="AP1321" s="86"/>
      <c r="AQ1321" s="86"/>
      <c r="AR1321" s="86"/>
      <c r="AS1321" s="86"/>
      <c r="AT1321" s="86"/>
      <c r="AU1321" s="86"/>
      <c r="AV1321" s="86"/>
      <c r="AW1321" s="86"/>
      <c r="AX1321" s="86" t="b">
        <v>0</v>
      </c>
      <c r="AY1321" s="86"/>
      <c r="AZ1321" s="86"/>
      <c r="BA1321" s="86" t="b">
        <v>0</v>
      </c>
      <c r="BB1321" s="86" t="b">
        <v>1</v>
      </c>
      <c r="BC1321" s="86" t="b">
        <v>1</v>
      </c>
      <c r="BD1321" s="86" t="b">
        <v>0</v>
      </c>
      <c r="BE1321" s="86" t="b">
        <v>0</v>
      </c>
      <c r="BF1321" s="86" t="b">
        <v>0</v>
      </c>
      <c r="BG1321" s="86" t="b">
        <v>0</v>
      </c>
      <c r="BH1321" s="86"/>
      <c r="BI1321" s="86"/>
      <c r="BJ1321" s="86" t="s">
        <v>29134</v>
      </c>
      <c r="BK1321" s="86" t="b">
        <v>0</v>
      </c>
      <c r="BL1321" s="86"/>
      <c r="BM1321" s="86" t="s">
        <v>66</v>
      </c>
      <c r="BN1321" s="86" t="s">
        <v>29136</v>
      </c>
      <c r="BO1321" s="96" t="str">
        <f>HYPERLINK("https://twitter.com/silwadigital")</f>
        <v>https://twitter.com/silwadigital</v>
      </c>
      <c r="BP1321" s="2"/>
    </row>
    <row r="1322" spans="1:68" x14ac:dyDescent="0.25">
      <c r="A1322" s="63" t="s">
        <v>1347</v>
      </c>
      <c r="B1322" s="64"/>
      <c r="C1322" s="64"/>
      <c r="D1322" s="65"/>
      <c r="E1322" s="67"/>
      <c r="F1322" s="111" t="str">
        <f>HYPERLINK("https://pbs.twimg.com/profile_images/1697739336467292160/GAtS1NaQ_normal.jpg")</f>
        <v>https://pbs.twimg.com/profile_images/1697739336467292160/GAtS1NaQ_normal.jpg</v>
      </c>
      <c r="G1322" s="64"/>
      <c r="H1322" s="68"/>
      <c r="I1322" s="69"/>
      <c r="J1322" s="69"/>
      <c r="K1322" s="68" t="s">
        <v>30455</v>
      </c>
      <c r="L1322" s="72"/>
      <c r="M1322" s="73"/>
      <c r="N1322" s="73"/>
      <c r="O1322" s="74"/>
      <c r="P1322" s="75"/>
      <c r="Q1322" s="75"/>
      <c r="R1322" s="102"/>
      <c r="S1322" s="102"/>
      <c r="T1322" s="102"/>
      <c r="U1322" s="102"/>
      <c r="V1322" s="48"/>
      <c r="W1322" s="48"/>
      <c r="X1322" s="48"/>
      <c r="Y1322" s="48"/>
      <c r="Z1322" s="47"/>
      <c r="AA1322" s="70">
        <v>1322</v>
      </c>
      <c r="AB1322" s="70"/>
      <c r="AC1322" s="71"/>
      <c r="AD1322" s="86" t="s">
        <v>24919</v>
      </c>
      <c r="AE1322" s="94" t="s">
        <v>23445</v>
      </c>
      <c r="AF1322" s="86">
        <v>2</v>
      </c>
      <c r="AG1322" s="86">
        <v>139</v>
      </c>
      <c r="AH1322" s="86">
        <v>97</v>
      </c>
      <c r="AI1322" s="86">
        <v>0</v>
      </c>
      <c r="AJ1322" s="86">
        <v>35</v>
      </c>
      <c r="AK1322" s="86">
        <v>0</v>
      </c>
      <c r="AL1322" s="86" t="b">
        <v>0</v>
      </c>
      <c r="AM1322" s="89">
        <v>45130.080821759257</v>
      </c>
      <c r="AN1322" s="86"/>
      <c r="AO1322" s="86"/>
      <c r="AP1322" s="86"/>
      <c r="AQ1322" s="86"/>
      <c r="AR1322" s="86"/>
      <c r="AS1322" s="86"/>
      <c r="AT1322" s="86"/>
      <c r="AU1322" s="86"/>
      <c r="AV1322" s="86"/>
      <c r="AW1322" s="86"/>
      <c r="AX1322" s="86" t="b">
        <v>0</v>
      </c>
      <c r="AY1322" s="86"/>
      <c r="AZ1322" s="86"/>
      <c r="BA1322" s="86" t="b">
        <v>0</v>
      </c>
      <c r="BB1322" s="86" t="b">
        <v>1</v>
      </c>
      <c r="BC1322" s="86" t="b">
        <v>1</v>
      </c>
      <c r="BD1322" s="86" t="b">
        <v>0</v>
      </c>
      <c r="BE1322" s="86" t="b">
        <v>0</v>
      </c>
      <c r="BF1322" s="86" t="b">
        <v>0</v>
      </c>
      <c r="BG1322" s="86" t="b">
        <v>0</v>
      </c>
      <c r="BH1322" s="96" t="str">
        <f>HYPERLINK("https://pbs.twimg.com/profile_banners/1682932398630006784/1693607601")</f>
        <v>https://pbs.twimg.com/profile_banners/1682932398630006784/1693607601</v>
      </c>
      <c r="BI1322" s="86"/>
      <c r="BJ1322" s="86" t="s">
        <v>29134</v>
      </c>
      <c r="BK1322" s="86" t="b">
        <v>0</v>
      </c>
      <c r="BL1322" s="86"/>
      <c r="BM1322" s="86" t="s">
        <v>66</v>
      </c>
      <c r="BN1322" s="86" t="s">
        <v>29136</v>
      </c>
      <c r="BO1322" s="96" t="str">
        <f>HYPERLINK("https://twitter.com/shannonwoo20449")</f>
        <v>https://twitter.com/shannonwoo20449</v>
      </c>
      <c r="BP1322" s="2"/>
    </row>
    <row r="1323" spans="1:68" x14ac:dyDescent="0.25">
      <c r="A1323" s="63" t="s">
        <v>1348</v>
      </c>
      <c r="B1323" s="64"/>
      <c r="C1323" s="64"/>
      <c r="D1323" s="65"/>
      <c r="E1323" s="67"/>
      <c r="F1323" s="111" t="str">
        <f>HYPERLINK("https://pbs.twimg.com/profile_images/1526404556296421376/TEMay8-3_normal.jpg")</f>
        <v>https://pbs.twimg.com/profile_images/1526404556296421376/TEMay8-3_normal.jpg</v>
      </c>
      <c r="G1323" s="64"/>
      <c r="H1323" s="68"/>
      <c r="I1323" s="69"/>
      <c r="J1323" s="69"/>
      <c r="K1323" s="68" t="s">
        <v>30456</v>
      </c>
      <c r="L1323" s="72"/>
      <c r="M1323" s="73"/>
      <c r="N1323" s="73"/>
      <c r="O1323" s="74"/>
      <c r="P1323" s="75"/>
      <c r="Q1323" s="75"/>
      <c r="R1323" s="102"/>
      <c r="S1323" s="102"/>
      <c r="T1323" s="102"/>
      <c r="U1323" s="102"/>
      <c r="V1323" s="48"/>
      <c r="W1323" s="48"/>
      <c r="X1323" s="48"/>
      <c r="Y1323" s="48"/>
      <c r="Z1323" s="47"/>
      <c r="AA1323" s="70">
        <v>1323</v>
      </c>
      <c r="AB1323" s="70"/>
      <c r="AC1323" s="71"/>
      <c r="AD1323" s="86" t="s">
        <v>24920</v>
      </c>
      <c r="AE1323" s="94" t="s">
        <v>23446</v>
      </c>
      <c r="AF1323" s="86">
        <v>255</v>
      </c>
      <c r="AG1323" s="86">
        <v>20</v>
      </c>
      <c r="AH1323" s="86">
        <v>7591</v>
      </c>
      <c r="AI1323" s="86">
        <v>2</v>
      </c>
      <c r="AJ1323" s="86">
        <v>17</v>
      </c>
      <c r="AK1323" s="86">
        <v>7330</v>
      </c>
      <c r="AL1323" s="86" t="b">
        <v>0</v>
      </c>
      <c r="AM1323" s="89">
        <v>44018.012048611112</v>
      </c>
      <c r="AN1323" s="86" t="s">
        <v>15265</v>
      </c>
      <c r="AO1323" s="86" t="s">
        <v>27627</v>
      </c>
      <c r="AP1323" s="96" t="str">
        <f>HYPERLINK("https://t.co/xJP9d8HzbB")</f>
        <v>https://t.co/xJP9d8HzbB</v>
      </c>
      <c r="AQ1323" s="96" t="str">
        <f>HYPERLINK("http://www.riomaframix.com.br")</f>
        <v>http://www.riomaframix.com.br</v>
      </c>
      <c r="AR1323" s="86" t="s">
        <v>28783</v>
      </c>
      <c r="AS1323" s="86"/>
      <c r="AT1323" s="86"/>
      <c r="AU1323" s="86"/>
      <c r="AV1323" s="86"/>
      <c r="AW1323" s="96" t="str">
        <f>HYPERLINK("https://t.co/xJP9d8HzbB")</f>
        <v>https://t.co/xJP9d8HzbB</v>
      </c>
      <c r="AX1323" s="86" t="b">
        <v>0</v>
      </c>
      <c r="AY1323" s="86"/>
      <c r="AZ1323" s="86"/>
      <c r="BA1323" s="86" t="b">
        <v>0</v>
      </c>
      <c r="BB1323" s="86" t="b">
        <v>1</v>
      </c>
      <c r="BC1323" s="86" t="b">
        <v>1</v>
      </c>
      <c r="BD1323" s="86" t="b">
        <v>0</v>
      </c>
      <c r="BE1323" s="86" t="b">
        <v>0</v>
      </c>
      <c r="BF1323" s="86" t="b">
        <v>0</v>
      </c>
      <c r="BG1323" s="86" t="b">
        <v>0</v>
      </c>
      <c r="BH1323" s="96" t="str">
        <f>HYPERLINK("https://pbs.twimg.com/profile_banners/1279932298117423105/1652790185")</f>
        <v>https://pbs.twimg.com/profile_banners/1279932298117423105/1652790185</v>
      </c>
      <c r="BI1323" s="86"/>
      <c r="BJ1323" s="86" t="s">
        <v>29134</v>
      </c>
      <c r="BK1323" s="86" t="b">
        <v>0</v>
      </c>
      <c r="BL1323" s="86"/>
      <c r="BM1323" s="86" t="s">
        <v>66</v>
      </c>
      <c r="BN1323" s="86" t="s">
        <v>29136</v>
      </c>
      <c r="BO1323" s="96" t="str">
        <f>HYPERLINK("https://twitter.com/riomaframix")</f>
        <v>https://twitter.com/riomaframix</v>
      </c>
      <c r="BP1323" s="2"/>
    </row>
    <row r="1324" spans="1:68" x14ac:dyDescent="0.25">
      <c r="A1324" s="63" t="s">
        <v>1349</v>
      </c>
      <c r="B1324" s="64"/>
      <c r="C1324" s="64"/>
      <c r="D1324" s="65"/>
      <c r="E1324" s="67"/>
      <c r="F1324" s="111" t="str">
        <f>HYPERLINK("https://pbs.twimg.com/profile_images/1670517444501295104/lOFwrExi_normal.jpg")</f>
        <v>https://pbs.twimg.com/profile_images/1670517444501295104/lOFwrExi_normal.jpg</v>
      </c>
      <c r="G1324" s="64"/>
      <c r="H1324" s="68"/>
      <c r="I1324" s="69"/>
      <c r="J1324" s="69"/>
      <c r="K1324" s="68" t="s">
        <v>30457</v>
      </c>
      <c r="L1324" s="72"/>
      <c r="M1324" s="73"/>
      <c r="N1324" s="73"/>
      <c r="O1324" s="74"/>
      <c r="P1324" s="75"/>
      <c r="Q1324" s="75"/>
      <c r="R1324" s="102"/>
      <c r="S1324" s="102"/>
      <c r="T1324" s="102"/>
      <c r="U1324" s="102"/>
      <c r="V1324" s="48"/>
      <c r="W1324" s="48"/>
      <c r="X1324" s="48"/>
      <c r="Y1324" s="48"/>
      <c r="Z1324" s="47"/>
      <c r="AA1324" s="70">
        <v>1324</v>
      </c>
      <c r="AB1324" s="70"/>
      <c r="AC1324" s="71"/>
      <c r="AD1324" s="86" t="s">
        <v>24921</v>
      </c>
      <c r="AE1324" s="94" t="s">
        <v>23447</v>
      </c>
      <c r="AF1324" s="86">
        <v>767</v>
      </c>
      <c r="AG1324" s="86">
        <v>1220</v>
      </c>
      <c r="AH1324" s="86">
        <v>1220</v>
      </c>
      <c r="AI1324" s="86">
        <v>0</v>
      </c>
      <c r="AJ1324" s="86">
        <v>17080</v>
      </c>
      <c r="AK1324" s="86">
        <v>379</v>
      </c>
      <c r="AL1324" s="86" t="b">
        <v>0</v>
      </c>
      <c r="AM1324" s="89">
        <v>43699.525879629633</v>
      </c>
      <c r="AN1324" s="86" t="s">
        <v>26330</v>
      </c>
      <c r="AO1324" s="86"/>
      <c r="AP1324" s="86"/>
      <c r="AQ1324" s="86"/>
      <c r="AR1324" s="86"/>
      <c r="AS1324" s="86"/>
      <c r="AT1324" s="86"/>
      <c r="AU1324" s="86"/>
      <c r="AV1324" s="86"/>
      <c r="AW1324" s="86"/>
      <c r="AX1324" s="86" t="b">
        <v>0</v>
      </c>
      <c r="AY1324" s="86"/>
      <c r="AZ1324" s="86"/>
      <c r="BA1324" s="86" t="b">
        <v>0</v>
      </c>
      <c r="BB1324" s="86" t="b">
        <v>1</v>
      </c>
      <c r="BC1324" s="86" t="b">
        <v>1</v>
      </c>
      <c r="BD1324" s="86" t="b">
        <v>0</v>
      </c>
      <c r="BE1324" s="86" t="b">
        <v>1</v>
      </c>
      <c r="BF1324" s="86" t="b">
        <v>0</v>
      </c>
      <c r="BG1324" s="86" t="b">
        <v>0</v>
      </c>
      <c r="BH1324" s="96" t="str">
        <f>HYPERLINK("https://pbs.twimg.com/profile_banners/1164516166448156672/1690389340")</f>
        <v>https://pbs.twimg.com/profile_banners/1164516166448156672/1690389340</v>
      </c>
      <c r="BI1324" s="86"/>
      <c r="BJ1324" s="86" t="s">
        <v>29134</v>
      </c>
      <c r="BK1324" s="86" t="b">
        <v>0</v>
      </c>
      <c r="BL1324" s="86"/>
      <c r="BM1324" s="86" t="s">
        <v>66</v>
      </c>
      <c r="BN1324" s="86" t="s">
        <v>29136</v>
      </c>
      <c r="BO1324" s="96" t="str">
        <f>HYPERLINK("https://twitter.com/i_trentini")</f>
        <v>https://twitter.com/i_trentini</v>
      </c>
      <c r="BP1324" s="2"/>
    </row>
    <row r="1325" spans="1:68" x14ac:dyDescent="0.25">
      <c r="A1325" s="63" t="s">
        <v>1350</v>
      </c>
      <c r="B1325" s="64"/>
      <c r="C1325" s="64"/>
      <c r="D1325" s="65"/>
      <c r="E1325" s="67"/>
      <c r="F1325" s="111" t="str">
        <f>HYPERLINK("https://pbs.twimg.com/profile_images/1697812595640590336/AP8_3E9r_normal.jpg")</f>
        <v>https://pbs.twimg.com/profile_images/1697812595640590336/AP8_3E9r_normal.jpg</v>
      </c>
      <c r="G1325" s="64"/>
      <c r="H1325" s="68"/>
      <c r="I1325" s="69"/>
      <c r="J1325" s="69"/>
      <c r="K1325" s="68" t="s">
        <v>30458</v>
      </c>
      <c r="L1325" s="72"/>
      <c r="M1325" s="73"/>
      <c r="N1325" s="73"/>
      <c r="O1325" s="74"/>
      <c r="P1325" s="75"/>
      <c r="Q1325" s="75"/>
      <c r="R1325" s="102"/>
      <c r="S1325" s="102"/>
      <c r="T1325" s="102"/>
      <c r="U1325" s="102"/>
      <c r="V1325" s="48"/>
      <c r="W1325" s="48"/>
      <c r="X1325" s="48"/>
      <c r="Y1325" s="48"/>
      <c r="Z1325" s="47"/>
      <c r="AA1325" s="70">
        <v>1325</v>
      </c>
      <c r="AB1325" s="70"/>
      <c r="AC1325" s="71"/>
      <c r="AD1325" s="86" t="s">
        <v>24922</v>
      </c>
      <c r="AE1325" s="94" t="s">
        <v>25753</v>
      </c>
      <c r="AF1325" s="86">
        <v>38</v>
      </c>
      <c r="AG1325" s="86">
        <v>136</v>
      </c>
      <c r="AH1325" s="86">
        <v>852</v>
      </c>
      <c r="AI1325" s="86">
        <v>0</v>
      </c>
      <c r="AJ1325" s="86">
        <v>197</v>
      </c>
      <c r="AK1325" s="86">
        <v>263</v>
      </c>
      <c r="AL1325" s="86" t="b">
        <v>0</v>
      </c>
      <c r="AM1325" s="89">
        <v>40014.955138888887</v>
      </c>
      <c r="AN1325" s="86"/>
      <c r="AO1325" s="86"/>
      <c r="AP1325" s="96" t="str">
        <f>HYPERLINK("https://t.co/5P9FzjQu1d")</f>
        <v>https://t.co/5P9FzjQu1d</v>
      </c>
      <c r="AQ1325" s="96" t="str">
        <f>HYPERLINK("https://vendah.com.br/fabiola.pereira.pardim")</f>
        <v>https://vendah.com.br/fabiola.pereira.pardim</v>
      </c>
      <c r="AR1325" s="86" t="s">
        <v>28784</v>
      </c>
      <c r="AS1325" s="86"/>
      <c r="AT1325" s="86"/>
      <c r="AU1325" s="86"/>
      <c r="AV1325" s="86"/>
      <c r="AW1325" s="96" t="str">
        <f>HYPERLINK("https://t.co/5P9FzjQu1d")</f>
        <v>https://t.co/5P9FzjQu1d</v>
      </c>
      <c r="AX1325" s="86" t="b">
        <v>0</v>
      </c>
      <c r="AY1325" s="86"/>
      <c r="AZ1325" s="86"/>
      <c r="BA1325" s="86" t="b">
        <v>0</v>
      </c>
      <c r="BB1325" s="86" t="b">
        <v>1</v>
      </c>
      <c r="BC1325" s="86" t="b">
        <v>0</v>
      </c>
      <c r="BD1325" s="86" t="b">
        <v>0</v>
      </c>
      <c r="BE1325" s="86" t="b">
        <v>1</v>
      </c>
      <c r="BF1325" s="86" t="b">
        <v>0</v>
      </c>
      <c r="BG1325" s="86" t="b">
        <v>0</v>
      </c>
      <c r="BH1325" s="96" t="str">
        <f>HYPERLINK("https://pbs.twimg.com/profile_banners/58619347/1693625041")</f>
        <v>https://pbs.twimg.com/profile_banners/58619347/1693625041</v>
      </c>
      <c r="BI1325" s="86"/>
      <c r="BJ1325" s="86" t="s">
        <v>29134</v>
      </c>
      <c r="BK1325" s="86" t="b">
        <v>0</v>
      </c>
      <c r="BL1325" s="86"/>
      <c r="BM1325" s="86" t="s">
        <v>66</v>
      </c>
      <c r="BN1325" s="86" t="s">
        <v>29136</v>
      </c>
      <c r="BO1325" s="96" t="str">
        <f>HYPERLINK("https://twitter.com/bila_morena")</f>
        <v>https://twitter.com/bila_morena</v>
      </c>
      <c r="BP1325" s="2"/>
    </row>
    <row r="1326" spans="1:68" x14ac:dyDescent="0.25">
      <c r="A1326" s="63" t="s">
        <v>1351</v>
      </c>
      <c r="B1326" s="64"/>
      <c r="C1326" s="64"/>
      <c r="D1326" s="65"/>
      <c r="E1326" s="67"/>
      <c r="F1326" s="111" t="str">
        <f>HYPERLINK("https://pbs.twimg.com/profile_images/480007613753483266/NuT-6GiN_normal.png")</f>
        <v>https://pbs.twimg.com/profile_images/480007613753483266/NuT-6GiN_normal.png</v>
      </c>
      <c r="G1326" s="64"/>
      <c r="H1326" s="68"/>
      <c r="I1326" s="69"/>
      <c r="J1326" s="69"/>
      <c r="K1326" s="68" t="s">
        <v>30459</v>
      </c>
      <c r="L1326" s="72"/>
      <c r="M1326" s="73"/>
      <c r="N1326" s="73"/>
      <c r="O1326" s="74"/>
      <c r="P1326" s="75"/>
      <c r="Q1326" s="75"/>
      <c r="R1326" s="102"/>
      <c r="S1326" s="102"/>
      <c r="T1326" s="102"/>
      <c r="U1326" s="102"/>
      <c r="V1326" s="48"/>
      <c r="W1326" s="48"/>
      <c r="X1326" s="48"/>
      <c r="Y1326" s="48"/>
      <c r="Z1326" s="47"/>
      <c r="AA1326" s="70">
        <v>1326</v>
      </c>
      <c r="AB1326" s="70"/>
      <c r="AC1326" s="71"/>
      <c r="AD1326" s="86" t="s">
        <v>24923</v>
      </c>
      <c r="AE1326" s="94" t="s">
        <v>25754</v>
      </c>
      <c r="AF1326" s="86">
        <v>1152</v>
      </c>
      <c r="AG1326" s="86">
        <v>385</v>
      </c>
      <c r="AH1326" s="86">
        <v>1170</v>
      </c>
      <c r="AI1326" s="86">
        <v>45</v>
      </c>
      <c r="AJ1326" s="86">
        <v>136</v>
      </c>
      <c r="AK1326" s="86">
        <v>382</v>
      </c>
      <c r="AL1326" s="86" t="b">
        <v>0</v>
      </c>
      <c r="AM1326" s="89">
        <v>41794.706782407404</v>
      </c>
      <c r="AN1326" s="86"/>
      <c r="AO1326" s="86" t="s">
        <v>27628</v>
      </c>
      <c r="AP1326" s="86"/>
      <c r="AQ1326" s="86"/>
      <c r="AR1326" s="86"/>
      <c r="AS1326" s="96" t="str">
        <f>HYPERLINK("https://t.co/zqKvxK1Xl0")</f>
        <v>https://t.co/zqKvxK1Xl0</v>
      </c>
      <c r="AT1326" s="96" t="str">
        <f>HYPERLINK("http://smart-cities.pt")</f>
        <v>http://smart-cities.pt</v>
      </c>
      <c r="AU1326" s="86" t="s">
        <v>29113</v>
      </c>
      <c r="AV1326" s="86">
        <v>1.4668187017606001E+18</v>
      </c>
      <c r="AW1326" s="86"/>
      <c r="AX1326" s="86" t="b">
        <v>0</v>
      </c>
      <c r="AY1326" s="86"/>
      <c r="AZ1326" s="86"/>
      <c r="BA1326" s="86" t="b">
        <v>0</v>
      </c>
      <c r="BB1326" s="86" t="b">
        <v>1</v>
      </c>
      <c r="BC1326" s="86" t="b">
        <v>1</v>
      </c>
      <c r="BD1326" s="86" t="b">
        <v>0</v>
      </c>
      <c r="BE1326" s="86" t="b">
        <v>0</v>
      </c>
      <c r="BF1326" s="86" t="b">
        <v>0</v>
      </c>
      <c r="BG1326" s="86" t="b">
        <v>0</v>
      </c>
      <c r="BH1326" s="96" t="str">
        <f>HYPERLINK("https://pbs.twimg.com/profile_banners/2546487510/1403695634")</f>
        <v>https://pbs.twimg.com/profile_banners/2546487510/1403695634</v>
      </c>
      <c r="BI1326" s="86"/>
      <c r="BJ1326" s="86" t="s">
        <v>29134</v>
      </c>
      <c r="BK1326" s="86" t="b">
        <v>0</v>
      </c>
      <c r="BL1326" s="86"/>
      <c r="BM1326" s="86" t="s">
        <v>66</v>
      </c>
      <c r="BN1326" s="86" t="s">
        <v>29136</v>
      </c>
      <c r="BO1326" s="96" t="str">
        <f>HYPERLINK("https://twitter.com/smart_citiespt")</f>
        <v>https://twitter.com/smart_citiespt</v>
      </c>
      <c r="BP1326" s="2"/>
    </row>
    <row r="1327" spans="1:68" x14ac:dyDescent="0.25">
      <c r="A1327" s="63" t="s">
        <v>1802</v>
      </c>
      <c r="B1327" s="64"/>
      <c r="C1327" s="64"/>
      <c r="D1327" s="65"/>
      <c r="E1327" s="67"/>
      <c r="F1327" s="111" t="str">
        <f>HYPERLINK("https://pbs.twimg.com/profile_images/2877964137/c2764485b6ea9cc1061f895db40f37b0_normal.png")</f>
        <v>https://pbs.twimg.com/profile_images/2877964137/c2764485b6ea9cc1061f895db40f37b0_normal.png</v>
      </c>
      <c r="G1327" s="64"/>
      <c r="H1327" s="68"/>
      <c r="I1327" s="69"/>
      <c r="J1327" s="69"/>
      <c r="K1327" s="68" t="s">
        <v>30460</v>
      </c>
      <c r="L1327" s="72"/>
      <c r="M1327" s="73"/>
      <c r="N1327" s="73"/>
      <c r="O1327" s="74"/>
      <c r="P1327" s="75"/>
      <c r="Q1327" s="75"/>
      <c r="R1327" s="102"/>
      <c r="S1327" s="102"/>
      <c r="T1327" s="102"/>
      <c r="U1327" s="102"/>
      <c r="V1327" s="48"/>
      <c r="W1327" s="48"/>
      <c r="X1327" s="48"/>
      <c r="Y1327" s="48"/>
      <c r="Z1327" s="47"/>
      <c r="AA1327" s="70">
        <v>1327</v>
      </c>
      <c r="AB1327" s="70"/>
      <c r="AC1327" s="71"/>
      <c r="AD1327" s="86" t="s">
        <v>24924</v>
      </c>
      <c r="AE1327" s="94" t="s">
        <v>25755</v>
      </c>
      <c r="AF1327" s="86">
        <v>114</v>
      </c>
      <c r="AG1327" s="86">
        <v>0</v>
      </c>
      <c r="AH1327" s="86">
        <v>30</v>
      </c>
      <c r="AI1327" s="86">
        <v>5</v>
      </c>
      <c r="AJ1327" s="86">
        <v>0</v>
      </c>
      <c r="AK1327" s="86">
        <v>11</v>
      </c>
      <c r="AL1327" s="86" t="b">
        <v>0</v>
      </c>
      <c r="AM1327" s="89">
        <v>41234.451145833336</v>
      </c>
      <c r="AN1327" s="86"/>
      <c r="AO1327" s="86" t="s">
        <v>27629</v>
      </c>
      <c r="AP1327" s="96" t="str">
        <f>HYPERLINK("http://t.co/nw6dcLM7")</f>
        <v>http://t.co/nw6dcLM7</v>
      </c>
      <c r="AQ1327" s="96" t="str">
        <f>HYPERLINK("http://www.pontoverde.pt")</f>
        <v>http://www.pontoverde.pt</v>
      </c>
      <c r="AR1327" s="86" t="s">
        <v>28785</v>
      </c>
      <c r="AS1327" s="86"/>
      <c r="AT1327" s="86"/>
      <c r="AU1327" s="86"/>
      <c r="AV1327" s="86"/>
      <c r="AW1327" s="96" t="str">
        <f>HYPERLINK("http://t.co/nw6dcLM7")</f>
        <v>http://t.co/nw6dcLM7</v>
      </c>
      <c r="AX1327" s="86" t="b">
        <v>0</v>
      </c>
      <c r="AY1327" s="86"/>
      <c r="AZ1327" s="86"/>
      <c r="BA1327" s="86" t="b">
        <v>0</v>
      </c>
      <c r="BB1327" s="86" t="b">
        <v>1</v>
      </c>
      <c r="BC1327" s="86" t="b">
        <v>0</v>
      </c>
      <c r="BD1327" s="86" t="b">
        <v>0</v>
      </c>
      <c r="BE1327" s="86" t="b">
        <v>0</v>
      </c>
      <c r="BF1327" s="86" t="b">
        <v>0</v>
      </c>
      <c r="BG1327" s="86" t="b">
        <v>0</v>
      </c>
      <c r="BH1327" s="96" t="str">
        <f>HYPERLINK("https://pbs.twimg.com/profile_banners/962188615/1353499813")</f>
        <v>https://pbs.twimg.com/profile_banners/962188615/1353499813</v>
      </c>
      <c r="BI1327" s="86"/>
      <c r="BJ1327" s="86" t="s">
        <v>29134</v>
      </c>
      <c r="BK1327" s="86" t="b">
        <v>0</v>
      </c>
      <c r="BL1327" s="86"/>
      <c r="BM1327" s="86" t="s">
        <v>65</v>
      </c>
      <c r="BN1327" s="86" t="s">
        <v>29136</v>
      </c>
      <c r="BO1327" s="96" t="str">
        <f>HYPERLINK("https://twitter.com/soc_ponto_verde")</f>
        <v>https://twitter.com/soc_ponto_verde</v>
      </c>
      <c r="BP1327" s="2"/>
    </row>
    <row r="1328" spans="1:68" x14ac:dyDescent="0.25">
      <c r="A1328" s="63" t="s">
        <v>1803</v>
      </c>
      <c r="B1328" s="64"/>
      <c r="C1328" s="64"/>
      <c r="D1328" s="65"/>
      <c r="E1328" s="67"/>
      <c r="F1328" s="111" t="str">
        <f>HYPERLINK("https://pbs.twimg.com/profile_images/1410538588878610432/YYAKe7Zt_normal.jpg")</f>
        <v>https://pbs.twimg.com/profile_images/1410538588878610432/YYAKe7Zt_normal.jpg</v>
      </c>
      <c r="G1328" s="64"/>
      <c r="H1328" s="68"/>
      <c r="I1328" s="69"/>
      <c r="J1328" s="69"/>
      <c r="K1328" s="68" t="s">
        <v>30461</v>
      </c>
      <c r="L1328" s="72"/>
      <c r="M1328" s="73"/>
      <c r="N1328" s="73"/>
      <c r="O1328" s="74"/>
      <c r="P1328" s="75"/>
      <c r="Q1328" s="75"/>
      <c r="R1328" s="102"/>
      <c r="S1328" s="102"/>
      <c r="T1328" s="102"/>
      <c r="U1328" s="102"/>
      <c r="V1328" s="48"/>
      <c r="W1328" s="48"/>
      <c r="X1328" s="48"/>
      <c r="Y1328" s="48"/>
      <c r="Z1328" s="47"/>
      <c r="AA1328" s="70">
        <v>1328</v>
      </c>
      <c r="AB1328" s="70"/>
      <c r="AC1328" s="71"/>
      <c r="AD1328" s="86" t="s">
        <v>24925</v>
      </c>
      <c r="AE1328" s="94" t="s">
        <v>25756</v>
      </c>
      <c r="AF1328" s="86">
        <v>268</v>
      </c>
      <c r="AG1328" s="86">
        <v>134</v>
      </c>
      <c r="AH1328" s="86">
        <v>498</v>
      </c>
      <c r="AI1328" s="86">
        <v>1</v>
      </c>
      <c r="AJ1328" s="86">
        <v>1</v>
      </c>
      <c r="AK1328" s="86">
        <v>20</v>
      </c>
      <c r="AL1328" s="86" t="b">
        <v>0</v>
      </c>
      <c r="AM1328" s="89">
        <v>40505.7190162037</v>
      </c>
      <c r="AN1328" s="86" t="s">
        <v>26331</v>
      </c>
      <c r="AO1328" s="86" t="s">
        <v>27630</v>
      </c>
      <c r="AP1328" s="96" t="str">
        <f>HYPERLINK("https://t.co/INIMLUAC2x")</f>
        <v>https://t.co/INIMLUAC2x</v>
      </c>
      <c r="AQ1328" s="96" t="str">
        <f>HYPERLINK("https://www.facebook.com/NOVAImpactUNL")</f>
        <v>https://www.facebook.com/NOVAImpactUNL</v>
      </c>
      <c r="AR1328" s="86" t="s">
        <v>28786</v>
      </c>
      <c r="AS1328" s="86" t="s">
        <v>29009</v>
      </c>
      <c r="AT1328" s="86" t="s">
        <v>29025</v>
      </c>
      <c r="AU1328" s="86" t="s">
        <v>29114</v>
      </c>
      <c r="AV1328" s="86"/>
      <c r="AW1328" s="96" t="str">
        <f>HYPERLINK("https://t.co/INIMLUAC2x")</f>
        <v>https://t.co/INIMLUAC2x</v>
      </c>
      <c r="AX1328" s="86" t="b">
        <v>0</v>
      </c>
      <c r="AY1328" s="86"/>
      <c r="AZ1328" s="86"/>
      <c r="BA1328" s="86" t="b">
        <v>0</v>
      </c>
      <c r="BB1328" s="86" t="b">
        <v>1</v>
      </c>
      <c r="BC1328" s="86" t="b">
        <v>0</v>
      </c>
      <c r="BD1328" s="86" t="b">
        <v>0</v>
      </c>
      <c r="BE1328" s="86" t="b">
        <v>0</v>
      </c>
      <c r="BF1328" s="86" t="b">
        <v>0</v>
      </c>
      <c r="BG1328" s="86" t="b">
        <v>0</v>
      </c>
      <c r="BH1328" s="96" t="str">
        <f>HYPERLINK("https://pbs.twimg.com/profile_banners/218994728/1625133582")</f>
        <v>https://pbs.twimg.com/profile_banners/218994728/1625133582</v>
      </c>
      <c r="BI1328" s="86"/>
      <c r="BJ1328" s="86" t="s">
        <v>29134</v>
      </c>
      <c r="BK1328" s="86" t="b">
        <v>0</v>
      </c>
      <c r="BL1328" s="86"/>
      <c r="BM1328" s="86" t="s">
        <v>65</v>
      </c>
      <c r="BN1328" s="86" t="s">
        <v>29136</v>
      </c>
      <c r="BO1328" s="96" t="str">
        <f>HYPERLINK("https://twitter.com/novaempreende")</f>
        <v>https://twitter.com/novaempreende</v>
      </c>
      <c r="BP1328" s="2"/>
    </row>
    <row r="1329" spans="1:68" x14ac:dyDescent="0.25">
      <c r="A1329" s="63" t="s">
        <v>1804</v>
      </c>
      <c r="B1329" s="64"/>
      <c r="C1329" s="64"/>
      <c r="D1329" s="65"/>
      <c r="E1329" s="67"/>
      <c r="F1329" s="111" t="str">
        <f>HYPERLINK("https://pbs.twimg.com/profile_images/1336706744525987840/87d7nrj-_normal.jpg")</f>
        <v>https://pbs.twimg.com/profile_images/1336706744525987840/87d7nrj-_normal.jpg</v>
      </c>
      <c r="G1329" s="64"/>
      <c r="H1329" s="68"/>
      <c r="I1329" s="69"/>
      <c r="J1329" s="69"/>
      <c r="K1329" s="68" t="s">
        <v>30462</v>
      </c>
      <c r="L1329" s="72"/>
      <c r="M1329" s="73"/>
      <c r="N1329" s="73"/>
      <c r="O1329" s="74"/>
      <c r="P1329" s="75"/>
      <c r="Q1329" s="75"/>
      <c r="R1329" s="102"/>
      <c r="S1329" s="102"/>
      <c r="T1329" s="102"/>
      <c r="U1329" s="102"/>
      <c r="V1329" s="48"/>
      <c r="W1329" s="48"/>
      <c r="X1329" s="48"/>
      <c r="Y1329" s="48"/>
      <c r="Z1329" s="47"/>
      <c r="AA1329" s="70">
        <v>1329</v>
      </c>
      <c r="AB1329" s="70"/>
      <c r="AC1329" s="71"/>
      <c r="AD1329" s="86" t="s">
        <v>24926</v>
      </c>
      <c r="AE1329" s="94" t="s">
        <v>25757</v>
      </c>
      <c r="AF1329" s="86">
        <v>253</v>
      </c>
      <c r="AG1329" s="86">
        <v>234</v>
      </c>
      <c r="AH1329" s="86">
        <v>392</v>
      </c>
      <c r="AI1329" s="86">
        <v>0</v>
      </c>
      <c r="AJ1329" s="86">
        <v>328</v>
      </c>
      <c r="AK1329" s="86">
        <v>134</v>
      </c>
      <c r="AL1329" s="86" t="b">
        <v>0</v>
      </c>
      <c r="AM1329" s="89">
        <v>44127.619305555556</v>
      </c>
      <c r="AN1329" s="86"/>
      <c r="AO1329" s="86" t="s">
        <v>27631</v>
      </c>
      <c r="AP1329" s="96" t="str">
        <f>HYPERLINK("https://t.co/5UkXFVT39I")</f>
        <v>https://t.co/5UkXFVT39I</v>
      </c>
      <c r="AQ1329" s="96" t="str">
        <f>HYPERLINK("https://hubin-project.eu/")</f>
        <v>https://hubin-project.eu/</v>
      </c>
      <c r="AR1329" s="86" t="s">
        <v>28787</v>
      </c>
      <c r="AS1329" s="86"/>
      <c r="AT1329" s="86"/>
      <c r="AU1329" s="86"/>
      <c r="AV1329" s="86"/>
      <c r="AW1329" s="96" t="str">
        <f>HYPERLINK("https://t.co/5UkXFVT39I")</f>
        <v>https://t.co/5UkXFVT39I</v>
      </c>
      <c r="AX1329" s="86" t="b">
        <v>0</v>
      </c>
      <c r="AY1329" s="86"/>
      <c r="AZ1329" s="86"/>
      <c r="BA1329" s="86" t="b">
        <v>0</v>
      </c>
      <c r="BB1329" s="86" t="b">
        <v>1</v>
      </c>
      <c r="BC1329" s="86" t="b">
        <v>1</v>
      </c>
      <c r="BD1329" s="86" t="b">
        <v>0</v>
      </c>
      <c r="BE1329" s="86" t="b">
        <v>0</v>
      </c>
      <c r="BF1329" s="86" t="b">
        <v>0</v>
      </c>
      <c r="BG1329" s="86" t="b">
        <v>0</v>
      </c>
      <c r="BH1329" s="96" t="str">
        <f>HYPERLINK("https://pbs.twimg.com/profile_banners/1319652311086567427/1647254007")</f>
        <v>https://pbs.twimg.com/profile_banners/1319652311086567427/1647254007</v>
      </c>
      <c r="BI1329" s="86"/>
      <c r="BJ1329" s="86" t="s">
        <v>29134</v>
      </c>
      <c r="BK1329" s="86" t="b">
        <v>0</v>
      </c>
      <c r="BL1329" s="86"/>
      <c r="BM1329" s="86" t="s">
        <v>65</v>
      </c>
      <c r="BN1329" s="86" t="s">
        <v>29136</v>
      </c>
      <c r="BO1329" s="96" t="str">
        <f>HYPERLINK("https://twitter.com/euhubin")</f>
        <v>https://twitter.com/euhubin</v>
      </c>
      <c r="BP1329" s="2"/>
    </row>
    <row r="1330" spans="1:68" x14ac:dyDescent="0.25">
      <c r="A1330" s="63" t="s">
        <v>1805</v>
      </c>
      <c r="B1330" s="64"/>
      <c r="C1330" s="64"/>
      <c r="D1330" s="65"/>
      <c r="E1330" s="67"/>
      <c r="F1330" s="111" t="str">
        <f>HYPERLINK("https://pbs.twimg.com/profile_images/1364976866352893957/WSh5e3_Z_normal.jpg")</f>
        <v>https://pbs.twimg.com/profile_images/1364976866352893957/WSh5e3_Z_normal.jpg</v>
      </c>
      <c r="G1330" s="64"/>
      <c r="H1330" s="68"/>
      <c r="I1330" s="69"/>
      <c r="J1330" s="69"/>
      <c r="K1330" s="68" t="s">
        <v>30463</v>
      </c>
      <c r="L1330" s="72"/>
      <c r="M1330" s="73"/>
      <c r="N1330" s="73"/>
      <c r="O1330" s="74"/>
      <c r="P1330" s="75"/>
      <c r="Q1330" s="75"/>
      <c r="R1330" s="102"/>
      <c r="S1330" s="102"/>
      <c r="T1330" s="102"/>
      <c r="U1330" s="102"/>
      <c r="V1330" s="48"/>
      <c r="W1330" s="48"/>
      <c r="X1330" s="48"/>
      <c r="Y1330" s="48"/>
      <c r="Z1330" s="47"/>
      <c r="AA1330" s="70">
        <v>1330</v>
      </c>
      <c r="AB1330" s="70"/>
      <c r="AC1330" s="71"/>
      <c r="AD1330" s="86" t="s">
        <v>24927</v>
      </c>
      <c r="AE1330" s="94" t="s">
        <v>25758</v>
      </c>
      <c r="AF1330" s="86">
        <v>309</v>
      </c>
      <c r="AG1330" s="86">
        <v>52</v>
      </c>
      <c r="AH1330" s="86">
        <v>468</v>
      </c>
      <c r="AI1330" s="86">
        <v>8</v>
      </c>
      <c r="AJ1330" s="86">
        <v>23</v>
      </c>
      <c r="AK1330" s="86">
        <v>359</v>
      </c>
      <c r="AL1330" s="86" t="b">
        <v>0</v>
      </c>
      <c r="AM1330" s="89">
        <v>42522.422083333331</v>
      </c>
      <c r="AN1330" s="86" t="s">
        <v>25951</v>
      </c>
      <c r="AO1330" s="86" t="s">
        <v>27632</v>
      </c>
      <c r="AP1330" s="96" t="str">
        <f>HYPERLINK("https://t.co/Ci26J9kP26")</f>
        <v>https://t.co/Ci26J9kP26</v>
      </c>
      <c r="AQ1330" s="96" t="str">
        <f>HYPERLINK("http://www.lisboaenova.org")</f>
        <v>http://www.lisboaenova.org</v>
      </c>
      <c r="AR1330" s="86" t="s">
        <v>28788</v>
      </c>
      <c r="AS1330" s="86"/>
      <c r="AT1330" s="86"/>
      <c r="AU1330" s="86"/>
      <c r="AV1330" s="86"/>
      <c r="AW1330" s="96" t="str">
        <f>HYPERLINK("https://t.co/Ci26J9kP26")</f>
        <v>https://t.co/Ci26J9kP26</v>
      </c>
      <c r="AX1330" s="86" t="b">
        <v>0</v>
      </c>
      <c r="AY1330" s="86"/>
      <c r="AZ1330" s="86"/>
      <c r="BA1330" s="86" t="b">
        <v>0</v>
      </c>
      <c r="BB1330" s="86" t="b">
        <v>1</v>
      </c>
      <c r="BC1330" s="86" t="b">
        <v>0</v>
      </c>
      <c r="BD1330" s="86" t="b">
        <v>0</v>
      </c>
      <c r="BE1330" s="86" t="b">
        <v>0</v>
      </c>
      <c r="BF1330" s="86" t="b">
        <v>0</v>
      </c>
      <c r="BG1330" s="86" t="b">
        <v>0</v>
      </c>
      <c r="BH1330" s="96" t="str">
        <f>HYPERLINK("https://pbs.twimg.com/profile_banners/737948753815048193/1464780864")</f>
        <v>https://pbs.twimg.com/profile_banners/737948753815048193/1464780864</v>
      </c>
      <c r="BI1330" s="86"/>
      <c r="BJ1330" s="86" t="s">
        <v>29134</v>
      </c>
      <c r="BK1330" s="86" t="b">
        <v>0</v>
      </c>
      <c r="BL1330" s="86"/>
      <c r="BM1330" s="86" t="s">
        <v>65</v>
      </c>
      <c r="BN1330" s="86" t="s">
        <v>29136</v>
      </c>
      <c r="BO1330" s="96" t="str">
        <f>HYPERLINK("https://twitter.com/lisboaenova")</f>
        <v>https://twitter.com/lisboaenova</v>
      </c>
      <c r="BP1330" s="2"/>
    </row>
    <row r="1331" spans="1:68" x14ac:dyDescent="0.25">
      <c r="A1331" s="63" t="s">
        <v>1352</v>
      </c>
      <c r="B1331" s="64"/>
      <c r="C1331" s="64"/>
      <c r="D1331" s="65"/>
      <c r="E1331" s="67"/>
      <c r="F1331" s="111" t="str">
        <f>HYPERLINK("https://pbs.twimg.com/profile_images/1683475728698949640/w231UHyi_normal.jpg")</f>
        <v>https://pbs.twimg.com/profile_images/1683475728698949640/w231UHyi_normal.jpg</v>
      </c>
      <c r="G1331" s="64"/>
      <c r="H1331" s="68"/>
      <c r="I1331" s="69"/>
      <c r="J1331" s="69"/>
      <c r="K1331" s="68" t="s">
        <v>30464</v>
      </c>
      <c r="L1331" s="72"/>
      <c r="M1331" s="73"/>
      <c r="N1331" s="73"/>
      <c r="O1331" s="74"/>
      <c r="P1331" s="75"/>
      <c r="Q1331" s="75"/>
      <c r="R1331" s="102"/>
      <c r="S1331" s="102"/>
      <c r="T1331" s="102"/>
      <c r="U1331" s="102"/>
      <c r="V1331" s="48"/>
      <c r="W1331" s="48"/>
      <c r="X1331" s="48"/>
      <c r="Y1331" s="48"/>
      <c r="Z1331" s="47"/>
      <c r="AA1331" s="70">
        <v>1331</v>
      </c>
      <c r="AB1331" s="70"/>
      <c r="AC1331" s="71"/>
      <c r="AD1331" s="86" t="s">
        <v>24928</v>
      </c>
      <c r="AE1331" s="94" t="s">
        <v>23448</v>
      </c>
      <c r="AF1331" s="86">
        <v>3</v>
      </c>
      <c r="AG1331" s="86">
        <v>11</v>
      </c>
      <c r="AH1331" s="86">
        <v>1</v>
      </c>
      <c r="AI1331" s="86">
        <v>0</v>
      </c>
      <c r="AJ1331" s="86">
        <v>1</v>
      </c>
      <c r="AK1331" s="86">
        <v>1</v>
      </c>
      <c r="AL1331" s="86" t="b">
        <v>0</v>
      </c>
      <c r="AM1331" s="89">
        <v>45067.052546296298</v>
      </c>
      <c r="AN1331" s="86"/>
      <c r="AO1331" s="86" t="s">
        <v>27633</v>
      </c>
      <c r="AP1331" s="96" t="str">
        <f>HYPERLINK("https://t.co/CfjXLTkWd4")</f>
        <v>https://t.co/CfjXLTkWd4</v>
      </c>
      <c r="AQ1331" s="96" t="str">
        <f>HYPERLINK("https://linktr.ee/dayanamazini")</f>
        <v>https://linktr.ee/dayanamazini</v>
      </c>
      <c r="AR1331" s="86" t="s">
        <v>28789</v>
      </c>
      <c r="AS1331" s="86"/>
      <c r="AT1331" s="86"/>
      <c r="AU1331" s="86"/>
      <c r="AV1331" s="86"/>
      <c r="AW1331" s="96" t="str">
        <f>HYPERLINK("https://t.co/CfjXLTkWd4")</f>
        <v>https://t.co/CfjXLTkWd4</v>
      </c>
      <c r="AX1331" s="86" t="b">
        <v>0</v>
      </c>
      <c r="AY1331" s="86"/>
      <c r="AZ1331" s="86"/>
      <c r="BA1331" s="86" t="b">
        <v>0</v>
      </c>
      <c r="BB1331" s="86" t="b">
        <v>1</v>
      </c>
      <c r="BC1331" s="86" t="b">
        <v>1</v>
      </c>
      <c r="BD1331" s="86" t="b">
        <v>0</v>
      </c>
      <c r="BE1331" s="86" t="b">
        <v>0</v>
      </c>
      <c r="BF1331" s="86" t="b">
        <v>0</v>
      </c>
      <c r="BG1331" s="86" t="b">
        <v>0</v>
      </c>
      <c r="BH1331" s="96" t="str">
        <f>HYPERLINK("https://pbs.twimg.com/profile_banners/1660091880082636800/1690206867")</f>
        <v>https://pbs.twimg.com/profile_banners/1660091880082636800/1690206867</v>
      </c>
      <c r="BI1331" s="86"/>
      <c r="BJ1331" s="86" t="s">
        <v>29134</v>
      </c>
      <c r="BK1331" s="86" t="b">
        <v>0</v>
      </c>
      <c r="BL1331" s="86"/>
      <c r="BM1331" s="86" t="s">
        <v>66</v>
      </c>
      <c r="BN1331" s="86" t="s">
        <v>29136</v>
      </c>
      <c r="BO1331" s="96" t="str">
        <f>HYPERLINK("https://twitter.com/dayanamazini")</f>
        <v>https://twitter.com/dayanamazini</v>
      </c>
      <c r="BP1331" s="2"/>
    </row>
    <row r="1332" spans="1:68" x14ac:dyDescent="0.25">
      <c r="A1332" s="63" t="s">
        <v>1353</v>
      </c>
      <c r="B1332" s="64"/>
      <c r="C1332" s="64"/>
      <c r="D1332" s="65"/>
      <c r="E1332" s="67"/>
      <c r="F1332" s="111" t="str">
        <f>HYPERLINK("https://pbs.twimg.com/profile_images/1622228416786227201/DK_bFjQv_normal.jpg")</f>
        <v>https://pbs.twimg.com/profile_images/1622228416786227201/DK_bFjQv_normal.jpg</v>
      </c>
      <c r="G1332" s="64"/>
      <c r="H1332" s="68"/>
      <c r="I1332" s="69"/>
      <c r="J1332" s="69"/>
      <c r="K1332" s="68" t="s">
        <v>30465</v>
      </c>
      <c r="L1332" s="72"/>
      <c r="M1332" s="73"/>
      <c r="N1332" s="73"/>
      <c r="O1332" s="74"/>
      <c r="P1332" s="75"/>
      <c r="Q1332" s="75"/>
      <c r="R1332" s="102"/>
      <c r="S1332" s="102"/>
      <c r="T1332" s="102"/>
      <c r="U1332" s="102"/>
      <c r="V1332" s="48"/>
      <c r="W1332" s="48"/>
      <c r="X1332" s="48"/>
      <c r="Y1332" s="48"/>
      <c r="Z1332" s="47"/>
      <c r="AA1332" s="70">
        <v>1332</v>
      </c>
      <c r="AB1332" s="70"/>
      <c r="AC1332" s="71"/>
      <c r="AD1332" s="86" t="s">
        <v>24929</v>
      </c>
      <c r="AE1332" s="94" t="s">
        <v>23449</v>
      </c>
      <c r="AF1332" s="86">
        <v>4</v>
      </c>
      <c r="AG1332" s="86">
        <v>104</v>
      </c>
      <c r="AH1332" s="86">
        <v>72</v>
      </c>
      <c r="AI1332" s="86">
        <v>0</v>
      </c>
      <c r="AJ1332" s="86">
        <v>449</v>
      </c>
      <c r="AK1332" s="86">
        <v>4</v>
      </c>
      <c r="AL1332" s="86" t="b">
        <v>0</v>
      </c>
      <c r="AM1332" s="89">
        <v>44961.576168981483</v>
      </c>
      <c r="AN1332" s="86"/>
      <c r="AO1332" s="86" t="s">
        <v>27634</v>
      </c>
      <c r="AP1332" s="86"/>
      <c r="AQ1332" s="86"/>
      <c r="AR1332" s="86"/>
      <c r="AS1332" s="86"/>
      <c r="AT1332" s="86"/>
      <c r="AU1332" s="86"/>
      <c r="AV1332" s="86"/>
      <c r="AW1332" s="86"/>
      <c r="AX1332" s="86" t="b">
        <v>0</v>
      </c>
      <c r="AY1332" s="86"/>
      <c r="AZ1332" s="86"/>
      <c r="BA1332" s="86" t="b">
        <v>0</v>
      </c>
      <c r="BB1332" s="86" t="b">
        <v>1</v>
      </c>
      <c r="BC1332" s="86" t="b">
        <v>1</v>
      </c>
      <c r="BD1332" s="86" t="b">
        <v>0</v>
      </c>
      <c r="BE1332" s="86" t="b">
        <v>0</v>
      </c>
      <c r="BF1332" s="86" t="b">
        <v>0</v>
      </c>
      <c r="BG1332" s="86" t="b">
        <v>0</v>
      </c>
      <c r="BH1332" s="86"/>
      <c r="BI1332" s="86"/>
      <c r="BJ1332" s="86" t="s">
        <v>29134</v>
      </c>
      <c r="BK1332" s="86" t="b">
        <v>0</v>
      </c>
      <c r="BL1332" s="86"/>
      <c r="BM1332" s="86" t="s">
        <v>66</v>
      </c>
      <c r="BN1332" s="86" t="s">
        <v>29136</v>
      </c>
      <c r="BO1332" s="96" t="str">
        <f>HYPERLINK("https://twitter.com/rafaribeironet")</f>
        <v>https://twitter.com/rafaribeironet</v>
      </c>
      <c r="BP1332" s="2"/>
    </row>
    <row r="1333" spans="1:68" x14ac:dyDescent="0.25">
      <c r="A1333" s="63" t="s">
        <v>1354</v>
      </c>
      <c r="B1333" s="64"/>
      <c r="C1333" s="64"/>
      <c r="D1333" s="65"/>
      <c r="E1333" s="67"/>
      <c r="F1333" s="111" t="str">
        <f>HYPERLINK("https://pbs.twimg.com/profile_images/1696519918953676800/2fvKZfXJ_normal.png")</f>
        <v>https://pbs.twimg.com/profile_images/1696519918953676800/2fvKZfXJ_normal.png</v>
      </c>
      <c r="G1333" s="64"/>
      <c r="H1333" s="68"/>
      <c r="I1333" s="69"/>
      <c r="J1333" s="69"/>
      <c r="K1333" s="68" t="s">
        <v>30466</v>
      </c>
      <c r="L1333" s="72"/>
      <c r="M1333" s="73"/>
      <c r="N1333" s="73"/>
      <c r="O1333" s="74"/>
      <c r="P1333" s="75"/>
      <c r="Q1333" s="75"/>
      <c r="R1333" s="102"/>
      <c r="S1333" s="102"/>
      <c r="T1333" s="102"/>
      <c r="U1333" s="102"/>
      <c r="V1333" s="48"/>
      <c r="W1333" s="48"/>
      <c r="X1333" s="48"/>
      <c r="Y1333" s="48"/>
      <c r="Z1333" s="47"/>
      <c r="AA1333" s="70">
        <v>1333</v>
      </c>
      <c r="AB1333" s="70"/>
      <c r="AC1333" s="71"/>
      <c r="AD1333" s="86" t="s">
        <v>24930</v>
      </c>
      <c r="AE1333" s="94" t="s">
        <v>25759</v>
      </c>
      <c r="AF1333" s="86">
        <v>571</v>
      </c>
      <c r="AG1333" s="86">
        <v>1156</v>
      </c>
      <c r="AH1333" s="86">
        <v>7577</v>
      </c>
      <c r="AI1333" s="86">
        <v>8</v>
      </c>
      <c r="AJ1333" s="86">
        <v>1655</v>
      </c>
      <c r="AK1333" s="86">
        <v>580</v>
      </c>
      <c r="AL1333" s="86" t="b">
        <v>0</v>
      </c>
      <c r="AM1333" s="89">
        <v>40128.685208333336</v>
      </c>
      <c r="AN1333" s="86" t="s">
        <v>26332</v>
      </c>
      <c r="AO1333" s="86" t="s">
        <v>27635</v>
      </c>
      <c r="AP1333" s="96" t="str">
        <f>HYPERLINK("https://t.co/k7ufLX0s1O")</f>
        <v>https://t.co/k7ufLX0s1O</v>
      </c>
      <c r="AQ1333" s="96" t="str">
        <f>HYPERLINK("http://ipaldi.com")</f>
        <v>http://ipaldi.com</v>
      </c>
      <c r="AR1333" s="86" t="s">
        <v>28790</v>
      </c>
      <c r="AS1333" s="86"/>
      <c r="AT1333" s="86"/>
      <c r="AU1333" s="86"/>
      <c r="AV1333" s="86"/>
      <c r="AW1333" s="96" t="str">
        <f>HYPERLINK("https://t.co/k7ufLX0s1O")</f>
        <v>https://t.co/k7ufLX0s1O</v>
      </c>
      <c r="AX1333" s="86" t="b">
        <v>0</v>
      </c>
      <c r="AY1333" s="86"/>
      <c r="AZ1333" s="86"/>
      <c r="BA1333" s="86" t="b">
        <v>0</v>
      </c>
      <c r="BB1333" s="86" t="b">
        <v>0</v>
      </c>
      <c r="BC1333" s="86" t="b">
        <v>0</v>
      </c>
      <c r="BD1333" s="86" t="b">
        <v>0</v>
      </c>
      <c r="BE1333" s="86" t="b">
        <v>1</v>
      </c>
      <c r="BF1333" s="86" t="b">
        <v>0</v>
      </c>
      <c r="BG1333" s="86" t="b">
        <v>0</v>
      </c>
      <c r="BH1333" s="86"/>
      <c r="BI1333" s="86"/>
      <c r="BJ1333" s="86" t="s">
        <v>29134</v>
      </c>
      <c r="BK1333" s="86" t="b">
        <v>0</v>
      </c>
      <c r="BL1333" s="86"/>
      <c r="BM1333" s="86" t="s">
        <v>66</v>
      </c>
      <c r="BN1333" s="86" t="s">
        <v>29136</v>
      </c>
      <c r="BO1333" s="96" t="str">
        <f>HYPERLINK("https://twitter.com/izisfilipaldi")</f>
        <v>https://twitter.com/izisfilipaldi</v>
      </c>
      <c r="BP1333" s="2"/>
    </row>
    <row r="1334" spans="1:68" x14ac:dyDescent="0.25">
      <c r="A1334" s="63" t="s">
        <v>1355</v>
      </c>
      <c r="B1334" s="64"/>
      <c r="C1334" s="64"/>
      <c r="D1334" s="65"/>
      <c r="E1334" s="67"/>
      <c r="F1334" s="111" t="str">
        <f>HYPERLINK("https://pbs.twimg.com/profile_images/1519027326817869826/uqWpuzs__normal.jpg")</f>
        <v>https://pbs.twimg.com/profile_images/1519027326817869826/uqWpuzs__normal.jpg</v>
      </c>
      <c r="G1334" s="64"/>
      <c r="H1334" s="68"/>
      <c r="I1334" s="69"/>
      <c r="J1334" s="69"/>
      <c r="K1334" s="68" t="s">
        <v>30467</v>
      </c>
      <c r="L1334" s="72"/>
      <c r="M1334" s="73"/>
      <c r="N1334" s="73"/>
      <c r="O1334" s="74"/>
      <c r="P1334" s="75"/>
      <c r="Q1334" s="75"/>
      <c r="R1334" s="102"/>
      <c r="S1334" s="102"/>
      <c r="T1334" s="102"/>
      <c r="U1334" s="102"/>
      <c r="V1334" s="48"/>
      <c r="W1334" s="48"/>
      <c r="X1334" s="48"/>
      <c r="Y1334" s="48"/>
      <c r="Z1334" s="47"/>
      <c r="AA1334" s="70">
        <v>1334</v>
      </c>
      <c r="AB1334" s="70"/>
      <c r="AC1334" s="71"/>
      <c r="AD1334" s="86" t="s">
        <v>24931</v>
      </c>
      <c r="AE1334" s="94" t="s">
        <v>23450</v>
      </c>
      <c r="AF1334" s="86">
        <v>14</v>
      </c>
      <c r="AG1334" s="86">
        <v>41</v>
      </c>
      <c r="AH1334" s="86">
        <v>76</v>
      </c>
      <c r="AI1334" s="86">
        <v>0</v>
      </c>
      <c r="AJ1334" s="86">
        <v>118</v>
      </c>
      <c r="AK1334" s="86">
        <v>51</v>
      </c>
      <c r="AL1334" s="86" t="b">
        <v>0</v>
      </c>
      <c r="AM1334" s="89">
        <v>44677.788032407407</v>
      </c>
      <c r="AN1334" s="86"/>
      <c r="AO1334" s="86" t="s">
        <v>27636</v>
      </c>
      <c r="AP1334" s="96" t="str">
        <f>HYPERLINK("https://t.co/KB5pAoXRxF")</f>
        <v>https://t.co/KB5pAoXRxF</v>
      </c>
      <c r="AQ1334" s="96" t="str">
        <f>HYPERLINK("https://bit.ly/MaterialCliqueparaAcessar")</f>
        <v>https://bit.ly/MaterialCliqueparaAcessar</v>
      </c>
      <c r="AR1334" s="86" t="s">
        <v>28791</v>
      </c>
      <c r="AS1334" s="96" t="str">
        <f>HYPERLINK("https://t.co/hAf6oq5B6U")</f>
        <v>https://t.co/hAf6oq5B6U</v>
      </c>
      <c r="AT1334" s="96" t="str">
        <f>HYPERLINK("https://instagram.com/eunaedson")</f>
        <v>https://instagram.com/eunaedson</v>
      </c>
      <c r="AU1334" s="86" t="s">
        <v>29115</v>
      </c>
      <c r="AV1334" s="86">
        <v>1.58734319230688E+18</v>
      </c>
      <c r="AW1334" s="96" t="str">
        <f>HYPERLINK("https://t.co/KB5pAoXRxF")</f>
        <v>https://t.co/KB5pAoXRxF</v>
      </c>
      <c r="AX1334" s="86" t="b">
        <v>0</v>
      </c>
      <c r="AY1334" s="86"/>
      <c r="AZ1334" s="86"/>
      <c r="BA1334" s="86" t="b">
        <v>0</v>
      </c>
      <c r="BB1334" s="86" t="b">
        <v>1</v>
      </c>
      <c r="BC1334" s="86" t="b">
        <v>1</v>
      </c>
      <c r="BD1334" s="86" t="b">
        <v>0</v>
      </c>
      <c r="BE1334" s="86" t="b">
        <v>0</v>
      </c>
      <c r="BF1334" s="86" t="b">
        <v>0</v>
      </c>
      <c r="BG1334" s="86" t="b">
        <v>0</v>
      </c>
      <c r="BH1334" s="96" t="str">
        <f>HYPERLINK("https://pbs.twimg.com/profile_banners/1519027174765903875/1651018749")</f>
        <v>https://pbs.twimg.com/profile_banners/1519027174765903875/1651018749</v>
      </c>
      <c r="BI1334" s="86"/>
      <c r="BJ1334" s="86" t="s">
        <v>29134</v>
      </c>
      <c r="BK1334" s="86" t="b">
        <v>0</v>
      </c>
      <c r="BL1334" s="86"/>
      <c r="BM1334" s="86" t="s">
        <v>66</v>
      </c>
      <c r="BN1334" s="86" t="s">
        <v>29136</v>
      </c>
      <c r="BO1334" s="96" t="str">
        <f>HYPERLINK("https://twitter.com/eunaedson")</f>
        <v>https://twitter.com/eunaedson</v>
      </c>
      <c r="BP1334" s="2"/>
    </row>
    <row r="1335" spans="1:68" x14ac:dyDescent="0.25">
      <c r="A1335" s="63" t="s">
        <v>1356</v>
      </c>
      <c r="B1335" s="64"/>
      <c r="C1335" s="64"/>
      <c r="D1335" s="65"/>
      <c r="E1335" s="67"/>
      <c r="F1335" s="111" t="str">
        <f>HYPERLINK("https://pbs.twimg.com/profile_images/1557452525816651776/yJqFQjZQ_normal.jpg")</f>
        <v>https://pbs.twimg.com/profile_images/1557452525816651776/yJqFQjZQ_normal.jpg</v>
      </c>
      <c r="G1335" s="64"/>
      <c r="H1335" s="68"/>
      <c r="I1335" s="69"/>
      <c r="J1335" s="69"/>
      <c r="K1335" s="68" t="s">
        <v>30468</v>
      </c>
      <c r="L1335" s="72"/>
      <c r="M1335" s="73"/>
      <c r="N1335" s="73"/>
      <c r="O1335" s="74"/>
      <c r="P1335" s="75"/>
      <c r="Q1335" s="75"/>
      <c r="R1335" s="102"/>
      <c r="S1335" s="102"/>
      <c r="T1335" s="102"/>
      <c r="U1335" s="102"/>
      <c r="V1335" s="48"/>
      <c r="W1335" s="48"/>
      <c r="X1335" s="48"/>
      <c r="Y1335" s="48"/>
      <c r="Z1335" s="47"/>
      <c r="AA1335" s="70">
        <v>1335</v>
      </c>
      <c r="AB1335" s="70"/>
      <c r="AC1335" s="71"/>
      <c r="AD1335" s="86" t="s">
        <v>24932</v>
      </c>
      <c r="AE1335" s="94" t="s">
        <v>23451</v>
      </c>
      <c r="AF1335" s="86">
        <v>12</v>
      </c>
      <c r="AG1335" s="86">
        <v>27</v>
      </c>
      <c r="AH1335" s="86">
        <v>1645</v>
      </c>
      <c r="AI1335" s="86">
        <v>0</v>
      </c>
      <c r="AJ1335" s="86">
        <v>25</v>
      </c>
      <c r="AK1335" s="86">
        <v>29</v>
      </c>
      <c r="AL1335" s="86" t="b">
        <v>0</v>
      </c>
      <c r="AM1335" s="89">
        <v>44783.821331018517</v>
      </c>
      <c r="AN1335" s="86"/>
      <c r="AO1335" s="86" t="s">
        <v>27637</v>
      </c>
      <c r="AP1335" s="96" t="str">
        <f>HYPERLINK("https://t.co/gVsHI2LSzZ")</f>
        <v>https://t.co/gVsHI2LSzZ</v>
      </c>
      <c r="AQ1335" s="96" t="str">
        <f>HYPERLINK("http://www.radardigitalbrasilia.com.br")</f>
        <v>http://www.radardigitalbrasilia.com.br</v>
      </c>
      <c r="AR1335" s="86" t="s">
        <v>28792</v>
      </c>
      <c r="AS1335" s="86"/>
      <c r="AT1335" s="86"/>
      <c r="AU1335" s="86"/>
      <c r="AV1335" s="86"/>
      <c r="AW1335" s="96" t="str">
        <f>HYPERLINK("https://t.co/gVsHI2LSzZ")</f>
        <v>https://t.co/gVsHI2LSzZ</v>
      </c>
      <c r="AX1335" s="86" t="b">
        <v>0</v>
      </c>
      <c r="AY1335" s="86"/>
      <c r="AZ1335" s="86"/>
      <c r="BA1335" s="86" t="b">
        <v>0</v>
      </c>
      <c r="BB1335" s="86" t="b">
        <v>1</v>
      </c>
      <c r="BC1335" s="86" t="b">
        <v>1</v>
      </c>
      <c r="BD1335" s="86" t="b">
        <v>0</v>
      </c>
      <c r="BE1335" s="86" t="b">
        <v>0</v>
      </c>
      <c r="BF1335" s="86" t="b">
        <v>0</v>
      </c>
      <c r="BG1335" s="86" t="b">
        <v>0</v>
      </c>
      <c r="BH1335" s="96" t="str">
        <f>HYPERLINK("https://pbs.twimg.com/profile_banners/1557452330768949253/1675881667")</f>
        <v>https://pbs.twimg.com/profile_banners/1557452330768949253/1675881667</v>
      </c>
      <c r="BI1335" s="86"/>
      <c r="BJ1335" s="86" t="s">
        <v>29134</v>
      </c>
      <c r="BK1335" s="86" t="b">
        <v>0</v>
      </c>
      <c r="BL1335" s="86"/>
      <c r="BM1335" s="86" t="s">
        <v>66</v>
      </c>
      <c r="BN1335" s="86" t="s">
        <v>29136</v>
      </c>
      <c r="BO1335" s="96" t="str">
        <f>HYPERLINK("https://twitter.com/brasilia_radar")</f>
        <v>https://twitter.com/brasilia_radar</v>
      </c>
      <c r="BP1335" s="2"/>
    </row>
    <row r="1336" spans="1:68" x14ac:dyDescent="0.25">
      <c r="A1336" s="63" t="s">
        <v>1357</v>
      </c>
      <c r="B1336" s="64"/>
      <c r="C1336" s="64"/>
      <c r="D1336" s="65"/>
      <c r="E1336" s="67"/>
      <c r="F1336" s="111" t="str">
        <f>HYPERLINK("https://pbs.twimg.com/profile_images/620989301040488448/j6cw0DJ9_normal.jpg")</f>
        <v>https://pbs.twimg.com/profile_images/620989301040488448/j6cw0DJ9_normal.jpg</v>
      </c>
      <c r="G1336" s="64"/>
      <c r="H1336" s="68"/>
      <c r="I1336" s="69"/>
      <c r="J1336" s="69"/>
      <c r="K1336" s="68" t="s">
        <v>30469</v>
      </c>
      <c r="L1336" s="72"/>
      <c r="M1336" s="73"/>
      <c r="N1336" s="73"/>
      <c r="O1336" s="74"/>
      <c r="P1336" s="75"/>
      <c r="Q1336" s="75"/>
      <c r="R1336" s="102"/>
      <c r="S1336" s="102"/>
      <c r="T1336" s="102"/>
      <c r="U1336" s="102"/>
      <c r="V1336" s="48"/>
      <c r="W1336" s="48"/>
      <c r="X1336" s="48"/>
      <c r="Y1336" s="48"/>
      <c r="Z1336" s="47"/>
      <c r="AA1336" s="70">
        <v>1336</v>
      </c>
      <c r="AB1336" s="70"/>
      <c r="AC1336" s="71"/>
      <c r="AD1336" s="86" t="s">
        <v>24933</v>
      </c>
      <c r="AE1336" s="94" t="s">
        <v>25760</v>
      </c>
      <c r="AF1336" s="86">
        <v>198</v>
      </c>
      <c r="AG1336" s="86">
        <v>470</v>
      </c>
      <c r="AH1336" s="86">
        <v>1946</v>
      </c>
      <c r="AI1336" s="86">
        <v>9</v>
      </c>
      <c r="AJ1336" s="86">
        <v>864</v>
      </c>
      <c r="AK1336" s="86">
        <v>284</v>
      </c>
      <c r="AL1336" s="86" t="b">
        <v>0</v>
      </c>
      <c r="AM1336" s="89">
        <v>41797.100798611114</v>
      </c>
      <c r="AN1336" s="86" t="s">
        <v>15234</v>
      </c>
      <c r="AO1336" s="86" t="s">
        <v>27638</v>
      </c>
      <c r="AP1336" s="96" t="str">
        <f>HYPERLINK("https://t.co/wYIAVwcC7I")</f>
        <v>https://t.co/wYIAVwcC7I</v>
      </c>
      <c r="AQ1336" s="96" t="str">
        <f>HYPERLINK("https://linktr.ee/sigera_sbera")</f>
        <v>https://linktr.ee/sigera_sbera</v>
      </c>
      <c r="AR1336" s="86" t="s">
        <v>28793</v>
      </c>
      <c r="AS1336" s="86"/>
      <c r="AT1336" s="86"/>
      <c r="AU1336" s="86"/>
      <c r="AV1336" s="86"/>
      <c r="AW1336" s="96" t="str">
        <f>HYPERLINK("https://t.co/wYIAVwcC7I")</f>
        <v>https://t.co/wYIAVwcC7I</v>
      </c>
      <c r="AX1336" s="86" t="b">
        <v>0</v>
      </c>
      <c r="AY1336" s="86"/>
      <c r="AZ1336" s="86"/>
      <c r="BA1336" s="86" t="b">
        <v>0</v>
      </c>
      <c r="BB1336" s="86" t="b">
        <v>1</v>
      </c>
      <c r="BC1336" s="86" t="b">
        <v>1</v>
      </c>
      <c r="BD1336" s="86" t="b">
        <v>0</v>
      </c>
      <c r="BE1336" s="86" t="b">
        <v>0</v>
      </c>
      <c r="BF1336" s="86" t="b">
        <v>0</v>
      </c>
      <c r="BG1336" s="86" t="b">
        <v>0</v>
      </c>
      <c r="BH1336" s="96" t="str">
        <f>HYPERLINK("https://pbs.twimg.com/profile_banners/2551402484/1679866428")</f>
        <v>https://pbs.twimg.com/profile_banners/2551402484/1679866428</v>
      </c>
      <c r="BI1336" s="86"/>
      <c r="BJ1336" s="86" t="s">
        <v>29134</v>
      </c>
      <c r="BK1336" s="86" t="b">
        <v>0</v>
      </c>
      <c r="BL1336" s="86"/>
      <c r="BM1336" s="86" t="s">
        <v>66</v>
      </c>
      <c r="BN1336" s="86" t="s">
        <v>29136</v>
      </c>
      <c r="BO1336" s="96" t="str">
        <f>HYPERLINK("https://twitter.com/contatosbera")</f>
        <v>https://twitter.com/contatosbera</v>
      </c>
      <c r="BP1336" s="2"/>
    </row>
    <row r="1337" spans="1:68" x14ac:dyDescent="0.25">
      <c r="A1337" s="63" t="s">
        <v>1358</v>
      </c>
      <c r="B1337" s="64"/>
      <c r="C1337" s="64"/>
      <c r="D1337" s="65"/>
      <c r="E1337" s="67"/>
      <c r="F1337" s="111" t="str">
        <f>HYPERLINK("https://pbs.twimg.com/profile_images/1679250999762989058/tlLiLwfR_normal.jpg")</f>
        <v>https://pbs.twimg.com/profile_images/1679250999762989058/tlLiLwfR_normal.jpg</v>
      </c>
      <c r="G1337" s="64"/>
      <c r="H1337" s="68"/>
      <c r="I1337" s="69"/>
      <c r="J1337" s="69"/>
      <c r="K1337" s="68" t="s">
        <v>30470</v>
      </c>
      <c r="L1337" s="72"/>
      <c r="M1337" s="73"/>
      <c r="N1337" s="73"/>
      <c r="O1337" s="74"/>
      <c r="P1337" s="75"/>
      <c r="Q1337" s="75"/>
      <c r="R1337" s="102"/>
      <c r="S1337" s="102"/>
      <c r="T1337" s="102"/>
      <c r="U1337" s="102"/>
      <c r="V1337" s="48"/>
      <c r="W1337" s="48"/>
      <c r="X1337" s="48"/>
      <c r="Y1337" s="48"/>
      <c r="Z1337" s="47"/>
      <c r="AA1337" s="70">
        <v>1337</v>
      </c>
      <c r="AB1337" s="70"/>
      <c r="AC1337" s="71"/>
      <c r="AD1337" s="86" t="s">
        <v>24934</v>
      </c>
      <c r="AE1337" s="94" t="s">
        <v>23452</v>
      </c>
      <c r="AF1337" s="86">
        <v>0</v>
      </c>
      <c r="AG1337" s="86">
        <v>5</v>
      </c>
      <c r="AH1337" s="86">
        <v>8</v>
      </c>
      <c r="AI1337" s="86">
        <v>0</v>
      </c>
      <c r="AJ1337" s="86">
        <v>6</v>
      </c>
      <c r="AK1337" s="86">
        <v>8</v>
      </c>
      <c r="AL1337" s="86" t="b">
        <v>0</v>
      </c>
      <c r="AM1337" s="89">
        <v>45119.912627314814</v>
      </c>
      <c r="AN1337" s="86"/>
      <c r="AO1337" s="86" t="s">
        <v>27639</v>
      </c>
      <c r="AP1337" s="86"/>
      <c r="AQ1337" s="86"/>
      <c r="AR1337" s="86"/>
      <c r="AS1337" s="86"/>
      <c r="AT1337" s="86"/>
      <c r="AU1337" s="86"/>
      <c r="AV1337" s="86"/>
      <c r="AW1337" s="86"/>
      <c r="AX1337" s="86" t="b">
        <v>0</v>
      </c>
      <c r="AY1337" s="86"/>
      <c r="AZ1337" s="86"/>
      <c r="BA1337" s="86" t="b">
        <v>0</v>
      </c>
      <c r="BB1337" s="86" t="b">
        <v>0</v>
      </c>
      <c r="BC1337" s="86" t="b">
        <v>1</v>
      </c>
      <c r="BD1337" s="86" t="b">
        <v>0</v>
      </c>
      <c r="BE1337" s="86" t="b">
        <v>0</v>
      </c>
      <c r="BF1337" s="86" t="b">
        <v>0</v>
      </c>
      <c r="BG1337" s="86" t="b">
        <v>0</v>
      </c>
      <c r="BH1337" s="96" t="str">
        <f>HYPERLINK("https://pbs.twimg.com/profile_banners/1679247730978217985/1689199611")</f>
        <v>https://pbs.twimg.com/profile_banners/1679247730978217985/1689199611</v>
      </c>
      <c r="BI1337" s="86"/>
      <c r="BJ1337" s="86" t="s">
        <v>29134</v>
      </c>
      <c r="BK1337" s="86" t="b">
        <v>0</v>
      </c>
      <c r="BL1337" s="86"/>
      <c r="BM1337" s="86" t="s">
        <v>66</v>
      </c>
      <c r="BN1337" s="86" t="s">
        <v>29136</v>
      </c>
      <c r="BO1337" s="96" t="str">
        <f>HYPERLINK("https://twitter.com/designergaby06")</f>
        <v>https://twitter.com/designergaby06</v>
      </c>
      <c r="BP1337" s="2"/>
    </row>
    <row r="1338" spans="1:68" x14ac:dyDescent="0.25">
      <c r="A1338" s="63" t="s">
        <v>1359</v>
      </c>
      <c r="B1338" s="64"/>
      <c r="C1338" s="64"/>
      <c r="D1338" s="65"/>
      <c r="E1338" s="67"/>
      <c r="F1338" s="111" t="str">
        <f>HYPERLINK("https://pbs.twimg.com/profile_images/1661790216250687500/purhJhH7_normal.jpg")</f>
        <v>https://pbs.twimg.com/profile_images/1661790216250687500/purhJhH7_normal.jpg</v>
      </c>
      <c r="G1338" s="64"/>
      <c r="H1338" s="68"/>
      <c r="I1338" s="69"/>
      <c r="J1338" s="69"/>
      <c r="K1338" s="68" t="s">
        <v>30471</v>
      </c>
      <c r="L1338" s="72"/>
      <c r="M1338" s="73"/>
      <c r="N1338" s="73"/>
      <c r="O1338" s="74"/>
      <c r="P1338" s="75"/>
      <c r="Q1338" s="75"/>
      <c r="R1338" s="102"/>
      <c r="S1338" s="102"/>
      <c r="T1338" s="102"/>
      <c r="U1338" s="102"/>
      <c r="V1338" s="48"/>
      <c r="W1338" s="48"/>
      <c r="X1338" s="48"/>
      <c r="Y1338" s="48"/>
      <c r="Z1338" s="47"/>
      <c r="AA1338" s="70">
        <v>1338</v>
      </c>
      <c r="AB1338" s="70"/>
      <c r="AC1338" s="71"/>
      <c r="AD1338" s="86" t="s">
        <v>24935</v>
      </c>
      <c r="AE1338" s="94" t="s">
        <v>23453</v>
      </c>
      <c r="AF1338" s="86">
        <v>6</v>
      </c>
      <c r="AG1338" s="86">
        <v>0</v>
      </c>
      <c r="AH1338" s="86">
        <v>262</v>
      </c>
      <c r="AI1338" s="86">
        <v>0</v>
      </c>
      <c r="AJ1338" s="86">
        <v>0</v>
      </c>
      <c r="AK1338" s="86">
        <v>0</v>
      </c>
      <c r="AL1338" s="86" t="b">
        <v>0</v>
      </c>
      <c r="AM1338" s="89">
        <v>45071.738726851851</v>
      </c>
      <c r="AN1338" s="86" t="s">
        <v>15378</v>
      </c>
      <c r="AO1338" s="86" t="s">
        <v>27640</v>
      </c>
      <c r="AP1338" s="86"/>
      <c r="AQ1338" s="86"/>
      <c r="AR1338" s="86"/>
      <c r="AS1338" s="86" t="s">
        <v>29010</v>
      </c>
      <c r="AT1338" s="86" t="s">
        <v>29026</v>
      </c>
      <c r="AU1338" s="86" t="s">
        <v>29116</v>
      </c>
      <c r="AV1338" s="86"/>
      <c r="AW1338" s="86"/>
      <c r="AX1338" s="86" t="b">
        <v>0</v>
      </c>
      <c r="AY1338" s="86"/>
      <c r="AZ1338" s="86"/>
      <c r="BA1338" s="86" t="b">
        <v>0</v>
      </c>
      <c r="BB1338" s="86" t="b">
        <v>1</v>
      </c>
      <c r="BC1338" s="86" t="b">
        <v>1</v>
      </c>
      <c r="BD1338" s="86" t="b">
        <v>0</v>
      </c>
      <c r="BE1338" s="86" t="b">
        <v>0</v>
      </c>
      <c r="BF1338" s="86" t="b">
        <v>0</v>
      </c>
      <c r="BG1338" s="86" t="b">
        <v>0</v>
      </c>
      <c r="BH1338" s="96" t="str">
        <f>HYPERLINK("https://pbs.twimg.com/profile_banners/1661790129126604801/1685148746")</f>
        <v>https://pbs.twimg.com/profile_banners/1661790129126604801/1685148746</v>
      </c>
      <c r="BI1338" s="86"/>
      <c r="BJ1338" s="86" t="s">
        <v>29134</v>
      </c>
      <c r="BK1338" s="86" t="b">
        <v>0</v>
      </c>
      <c r="BL1338" s="86"/>
      <c r="BM1338" s="86" t="s">
        <v>66</v>
      </c>
      <c r="BN1338" s="86" t="s">
        <v>29136</v>
      </c>
      <c r="BO1338" s="96" t="str">
        <f>HYPERLINK("https://twitter.com/aleatoriando_o")</f>
        <v>https://twitter.com/aleatoriando_o</v>
      </c>
      <c r="BP1338" s="2"/>
    </row>
    <row r="1339" spans="1:68" x14ac:dyDescent="0.25">
      <c r="A1339" s="63" t="s">
        <v>1360</v>
      </c>
      <c r="B1339" s="64"/>
      <c r="C1339" s="64"/>
      <c r="D1339" s="65"/>
      <c r="E1339" s="67"/>
      <c r="F1339" s="111" t="str">
        <f>HYPERLINK("https://pbs.twimg.com/profile_images/1646918343448723456/76AS6lYW_normal.jpg")</f>
        <v>https://pbs.twimg.com/profile_images/1646918343448723456/76AS6lYW_normal.jpg</v>
      </c>
      <c r="G1339" s="64"/>
      <c r="H1339" s="68"/>
      <c r="I1339" s="69"/>
      <c r="J1339" s="69"/>
      <c r="K1339" s="68" t="s">
        <v>30472</v>
      </c>
      <c r="L1339" s="72"/>
      <c r="M1339" s="73"/>
      <c r="N1339" s="73"/>
      <c r="O1339" s="74"/>
      <c r="P1339" s="75"/>
      <c r="Q1339" s="75"/>
      <c r="R1339" s="102"/>
      <c r="S1339" s="102"/>
      <c r="T1339" s="102"/>
      <c r="U1339" s="102"/>
      <c r="V1339" s="48"/>
      <c r="W1339" s="48"/>
      <c r="X1339" s="48"/>
      <c r="Y1339" s="48"/>
      <c r="Z1339" s="47"/>
      <c r="AA1339" s="70">
        <v>1339</v>
      </c>
      <c r="AB1339" s="70"/>
      <c r="AC1339" s="71"/>
      <c r="AD1339" s="86" t="s">
        <v>1360</v>
      </c>
      <c r="AE1339" s="94" t="s">
        <v>23454</v>
      </c>
      <c r="AF1339" s="86">
        <v>0</v>
      </c>
      <c r="AG1339" s="86">
        <v>2</v>
      </c>
      <c r="AH1339" s="86">
        <v>17</v>
      </c>
      <c r="AI1339" s="86">
        <v>0</v>
      </c>
      <c r="AJ1339" s="86">
        <v>0</v>
      </c>
      <c r="AK1339" s="86">
        <v>17</v>
      </c>
      <c r="AL1339" s="86" t="b">
        <v>0</v>
      </c>
      <c r="AM1339" s="89">
        <v>45030.699791666666</v>
      </c>
      <c r="AN1339" s="86"/>
      <c r="AO1339" s="86" t="s">
        <v>27641</v>
      </c>
      <c r="AP1339" s="96" t="str">
        <f>HYPERLINK("https://t.co/vxyZZkUdv6")</f>
        <v>https://t.co/vxyZZkUdv6</v>
      </c>
      <c r="AQ1339" s="96" t="str">
        <f>HYPERLINK("https://youtube.com/@MindLabPodCast")</f>
        <v>https://youtube.com/@MindLabPodCast</v>
      </c>
      <c r="AR1339" s="86" t="s">
        <v>28794</v>
      </c>
      <c r="AS1339" s="86"/>
      <c r="AT1339" s="86"/>
      <c r="AU1339" s="86"/>
      <c r="AV1339" s="86"/>
      <c r="AW1339" s="96" t="str">
        <f>HYPERLINK("https://t.co/vxyZZkUdv6")</f>
        <v>https://t.co/vxyZZkUdv6</v>
      </c>
      <c r="AX1339" s="86" t="b">
        <v>0</v>
      </c>
      <c r="AY1339" s="86"/>
      <c r="AZ1339" s="86"/>
      <c r="BA1339" s="86" t="b">
        <v>0</v>
      </c>
      <c r="BB1339" s="86" t="b">
        <v>1</v>
      </c>
      <c r="BC1339" s="86" t="b">
        <v>1</v>
      </c>
      <c r="BD1339" s="86" t="b">
        <v>0</v>
      </c>
      <c r="BE1339" s="86" t="b">
        <v>0</v>
      </c>
      <c r="BF1339" s="86" t="b">
        <v>0</v>
      </c>
      <c r="BG1339" s="86" t="b">
        <v>0</v>
      </c>
      <c r="BH1339" s="96" t="str">
        <f>HYPERLINK("https://pbs.twimg.com/profile_banners/1646918105421996049/1684871776")</f>
        <v>https://pbs.twimg.com/profile_banners/1646918105421996049/1684871776</v>
      </c>
      <c r="BI1339" s="86"/>
      <c r="BJ1339" s="86" t="s">
        <v>29134</v>
      </c>
      <c r="BK1339" s="86" t="b">
        <v>0</v>
      </c>
      <c r="BL1339" s="86"/>
      <c r="BM1339" s="86" t="s">
        <v>66</v>
      </c>
      <c r="BN1339" s="86" t="s">
        <v>29136</v>
      </c>
      <c r="BO1339" s="96" t="str">
        <f>HYPERLINK("https://twitter.com/mindlabcast")</f>
        <v>https://twitter.com/mindlabcast</v>
      </c>
      <c r="BP1339" s="2"/>
    </row>
    <row r="1340" spans="1:68" x14ac:dyDescent="0.25">
      <c r="A1340" s="63" t="s">
        <v>1361</v>
      </c>
      <c r="B1340" s="64"/>
      <c r="C1340" s="64"/>
      <c r="D1340" s="65"/>
      <c r="E1340" s="67"/>
      <c r="F1340" s="111" t="str">
        <f>HYPERLINK("https://pbs.twimg.com/profile_images/1253682277621661697/B94XBdSL_normal.jpg")</f>
        <v>https://pbs.twimg.com/profile_images/1253682277621661697/B94XBdSL_normal.jpg</v>
      </c>
      <c r="G1340" s="64"/>
      <c r="H1340" s="68"/>
      <c r="I1340" s="69"/>
      <c r="J1340" s="69"/>
      <c r="K1340" s="68" t="s">
        <v>30473</v>
      </c>
      <c r="L1340" s="72"/>
      <c r="M1340" s="73"/>
      <c r="N1340" s="73"/>
      <c r="O1340" s="74"/>
      <c r="P1340" s="75"/>
      <c r="Q1340" s="75"/>
      <c r="R1340" s="102"/>
      <c r="S1340" s="102"/>
      <c r="T1340" s="102"/>
      <c r="U1340" s="102"/>
      <c r="V1340" s="48"/>
      <c r="W1340" s="48"/>
      <c r="X1340" s="48"/>
      <c r="Y1340" s="48"/>
      <c r="Z1340" s="47"/>
      <c r="AA1340" s="70">
        <v>1340</v>
      </c>
      <c r="AB1340" s="70"/>
      <c r="AC1340" s="71"/>
      <c r="AD1340" s="86" t="s">
        <v>24936</v>
      </c>
      <c r="AE1340" s="94" t="s">
        <v>25761</v>
      </c>
      <c r="AF1340" s="86">
        <v>60</v>
      </c>
      <c r="AG1340" s="86">
        <v>219</v>
      </c>
      <c r="AH1340" s="86">
        <v>746</v>
      </c>
      <c r="AI1340" s="86">
        <v>0</v>
      </c>
      <c r="AJ1340" s="86">
        <v>11</v>
      </c>
      <c r="AK1340" s="86">
        <v>700</v>
      </c>
      <c r="AL1340" s="86" t="b">
        <v>0</v>
      </c>
      <c r="AM1340" s="89">
        <v>42168.722893518519</v>
      </c>
      <c r="AN1340" s="86" t="s">
        <v>26333</v>
      </c>
      <c r="AO1340" s="86" t="s">
        <v>27642</v>
      </c>
      <c r="AP1340" s="86"/>
      <c r="AQ1340" s="86"/>
      <c r="AR1340" s="86"/>
      <c r="AS1340" s="86"/>
      <c r="AT1340" s="86"/>
      <c r="AU1340" s="86"/>
      <c r="AV1340" s="86"/>
      <c r="AW1340" s="86"/>
      <c r="AX1340" s="86" t="b">
        <v>0</v>
      </c>
      <c r="AY1340" s="86"/>
      <c r="AZ1340" s="86"/>
      <c r="BA1340" s="86" t="b">
        <v>0</v>
      </c>
      <c r="BB1340" s="86" t="b">
        <v>1</v>
      </c>
      <c r="BC1340" s="86" t="b">
        <v>1</v>
      </c>
      <c r="BD1340" s="86" t="b">
        <v>0</v>
      </c>
      <c r="BE1340" s="86" t="b">
        <v>0</v>
      </c>
      <c r="BF1340" s="86" t="b">
        <v>0</v>
      </c>
      <c r="BG1340" s="86" t="b">
        <v>0</v>
      </c>
      <c r="BH1340" s="96" t="str">
        <f>HYPERLINK("https://pbs.twimg.com/profile_banners/3323390896/1587736187")</f>
        <v>https://pbs.twimg.com/profile_banners/3323390896/1587736187</v>
      </c>
      <c r="BI1340" s="86"/>
      <c r="BJ1340" s="86" t="s">
        <v>29134</v>
      </c>
      <c r="BK1340" s="86" t="b">
        <v>0</v>
      </c>
      <c r="BL1340" s="86"/>
      <c r="BM1340" s="86" t="s">
        <v>66</v>
      </c>
      <c r="BN1340" s="86" t="s">
        <v>29136</v>
      </c>
      <c r="BO1340" s="96" t="str">
        <f>HYPERLINK("https://twitter.com/olavoauemidia")</f>
        <v>https://twitter.com/olavoauemidia</v>
      </c>
      <c r="BP1340" s="2"/>
    </row>
    <row r="1341" spans="1:68" x14ac:dyDescent="0.25">
      <c r="A1341" s="63" t="s">
        <v>1362</v>
      </c>
      <c r="B1341" s="64"/>
      <c r="C1341" s="64"/>
      <c r="D1341" s="65"/>
      <c r="E1341" s="67"/>
      <c r="F1341" s="111" t="str">
        <f>HYPERLINK("https://pbs.twimg.com/profile_images/1697625748268253184/S-xNI1_f_normal.jpg")</f>
        <v>https://pbs.twimg.com/profile_images/1697625748268253184/S-xNI1_f_normal.jpg</v>
      </c>
      <c r="G1341" s="64"/>
      <c r="H1341" s="68"/>
      <c r="I1341" s="69"/>
      <c r="J1341" s="69"/>
      <c r="K1341" s="68" t="s">
        <v>30474</v>
      </c>
      <c r="L1341" s="72"/>
      <c r="M1341" s="73"/>
      <c r="N1341" s="73"/>
      <c r="O1341" s="74"/>
      <c r="P1341" s="75"/>
      <c r="Q1341" s="75"/>
      <c r="R1341" s="102"/>
      <c r="S1341" s="102"/>
      <c r="T1341" s="102"/>
      <c r="U1341" s="102"/>
      <c r="V1341" s="48"/>
      <c r="W1341" s="48"/>
      <c r="X1341" s="48"/>
      <c r="Y1341" s="48"/>
      <c r="Z1341" s="47"/>
      <c r="AA1341" s="70">
        <v>1341</v>
      </c>
      <c r="AB1341" s="70"/>
      <c r="AC1341" s="71"/>
      <c r="AD1341" s="86" t="s">
        <v>24937</v>
      </c>
      <c r="AE1341" s="94" t="s">
        <v>22638</v>
      </c>
      <c r="AF1341" s="86">
        <v>13477</v>
      </c>
      <c r="AG1341" s="86">
        <v>440</v>
      </c>
      <c r="AH1341" s="86">
        <v>11845</v>
      </c>
      <c r="AI1341" s="86">
        <v>74</v>
      </c>
      <c r="AJ1341" s="86">
        <v>1157</v>
      </c>
      <c r="AK1341" s="86">
        <v>2568</v>
      </c>
      <c r="AL1341" s="86" t="b">
        <v>0</v>
      </c>
      <c r="AM1341" s="89">
        <v>40060.873865740738</v>
      </c>
      <c r="AN1341" s="86" t="s">
        <v>25993</v>
      </c>
      <c r="AO1341" s="86" t="s">
        <v>27643</v>
      </c>
      <c r="AP1341" s="96" t="str">
        <f>HYPERLINK("https://t.co/09azjbNuNL")</f>
        <v>https://t.co/09azjbNuNL</v>
      </c>
      <c r="AQ1341" s="96" t="str">
        <f>HYPERLINK("https://linktr.ee/accamargocancercenter")</f>
        <v>https://linktr.ee/accamargocancercenter</v>
      </c>
      <c r="AR1341" s="86" t="s">
        <v>28795</v>
      </c>
      <c r="AS1341" s="86"/>
      <c r="AT1341" s="86"/>
      <c r="AU1341" s="86"/>
      <c r="AV1341" s="86"/>
      <c r="AW1341" s="96" t="str">
        <f>HYPERLINK("https://t.co/09azjbNuNL")</f>
        <v>https://t.co/09azjbNuNL</v>
      </c>
      <c r="AX1341" s="86" t="b">
        <v>1</v>
      </c>
      <c r="AY1341" s="86"/>
      <c r="AZ1341" s="86"/>
      <c r="BA1341" s="86" t="b">
        <v>1</v>
      </c>
      <c r="BB1341" s="86" t="b">
        <v>1</v>
      </c>
      <c r="BC1341" s="86" t="b">
        <v>0</v>
      </c>
      <c r="BD1341" s="86" t="b">
        <v>0</v>
      </c>
      <c r="BE1341" s="86" t="b">
        <v>1</v>
      </c>
      <c r="BF1341" s="86" t="b">
        <v>0</v>
      </c>
      <c r="BG1341" s="86" t="b">
        <v>0</v>
      </c>
      <c r="BH1341" s="96" t="str">
        <f>HYPERLINK("https://pbs.twimg.com/profile_banners/71636822/1695248390")</f>
        <v>https://pbs.twimg.com/profile_banners/71636822/1695248390</v>
      </c>
      <c r="BI1341" s="86"/>
      <c r="BJ1341" s="86" t="s">
        <v>29134</v>
      </c>
      <c r="BK1341" s="86" t="b">
        <v>0</v>
      </c>
      <c r="BL1341" s="86"/>
      <c r="BM1341" s="86" t="s">
        <v>66</v>
      </c>
      <c r="BN1341" s="86" t="s">
        <v>29136</v>
      </c>
      <c r="BO1341" s="96" t="str">
        <f>HYPERLINK("https://twitter.com/acccancercenter")</f>
        <v>https://twitter.com/acccancercenter</v>
      </c>
      <c r="BP1341" s="2"/>
    </row>
    <row r="1342" spans="1:68" x14ac:dyDescent="0.25">
      <c r="A1342" s="63" t="s">
        <v>1363</v>
      </c>
      <c r="B1342" s="64"/>
      <c r="C1342" s="64"/>
      <c r="D1342" s="65"/>
      <c r="E1342" s="67"/>
      <c r="F1342" s="111" t="str">
        <f>HYPERLINK("https://pbs.twimg.com/profile_images/1056911044453502976/q1W37cV-_normal.jpg")</f>
        <v>https://pbs.twimg.com/profile_images/1056911044453502976/q1W37cV-_normal.jpg</v>
      </c>
      <c r="G1342" s="64"/>
      <c r="H1342" s="68"/>
      <c r="I1342" s="69"/>
      <c r="J1342" s="69"/>
      <c r="K1342" s="68" t="s">
        <v>30475</v>
      </c>
      <c r="L1342" s="72"/>
      <c r="M1342" s="73"/>
      <c r="N1342" s="73"/>
      <c r="O1342" s="74"/>
      <c r="P1342" s="75"/>
      <c r="Q1342" s="75"/>
      <c r="R1342" s="102"/>
      <c r="S1342" s="102"/>
      <c r="T1342" s="102"/>
      <c r="U1342" s="102"/>
      <c r="V1342" s="48"/>
      <c r="W1342" s="48"/>
      <c r="X1342" s="48"/>
      <c r="Y1342" s="48"/>
      <c r="Z1342" s="47"/>
      <c r="AA1342" s="70">
        <v>1342</v>
      </c>
      <c r="AB1342" s="70"/>
      <c r="AC1342" s="71"/>
      <c r="AD1342" s="86" t="s">
        <v>24938</v>
      </c>
      <c r="AE1342" s="94" t="s">
        <v>23455</v>
      </c>
      <c r="AF1342" s="86">
        <v>93</v>
      </c>
      <c r="AG1342" s="86">
        <v>172</v>
      </c>
      <c r="AH1342" s="86">
        <v>1465</v>
      </c>
      <c r="AI1342" s="86">
        <v>0</v>
      </c>
      <c r="AJ1342" s="86">
        <v>1012</v>
      </c>
      <c r="AK1342" s="86">
        <v>1190</v>
      </c>
      <c r="AL1342" s="86" t="b">
        <v>0</v>
      </c>
      <c r="AM1342" s="89">
        <v>42873.971678240741</v>
      </c>
      <c r="AN1342" s="86" t="s">
        <v>15234</v>
      </c>
      <c r="AO1342" s="86" t="s">
        <v>27644</v>
      </c>
      <c r="AP1342" s="96" t="str">
        <f>HYPERLINK("https://t.co/LNuQv5OXyu")</f>
        <v>https://t.co/LNuQv5OXyu</v>
      </c>
      <c r="AQ1342" s="96" t="str">
        <f>HYPERLINK("http://www.hss-consulting.com.br")</f>
        <v>http://www.hss-consulting.com.br</v>
      </c>
      <c r="AR1342" s="86" t="s">
        <v>28796</v>
      </c>
      <c r="AS1342" s="86"/>
      <c r="AT1342" s="86"/>
      <c r="AU1342" s="86"/>
      <c r="AV1342" s="86"/>
      <c r="AW1342" s="96" t="str">
        <f>HYPERLINK("https://t.co/LNuQv5OXyu")</f>
        <v>https://t.co/LNuQv5OXyu</v>
      </c>
      <c r="AX1342" s="86" t="b">
        <v>0</v>
      </c>
      <c r="AY1342" s="86"/>
      <c r="AZ1342" s="86"/>
      <c r="BA1342" s="86" t="b">
        <v>1</v>
      </c>
      <c r="BB1342" s="86" t="b">
        <v>1</v>
      </c>
      <c r="BC1342" s="86" t="b">
        <v>0</v>
      </c>
      <c r="BD1342" s="86" t="b">
        <v>0</v>
      </c>
      <c r="BE1342" s="86" t="b">
        <v>1</v>
      </c>
      <c r="BF1342" s="86" t="b">
        <v>0</v>
      </c>
      <c r="BG1342" s="86" t="b">
        <v>0</v>
      </c>
      <c r="BH1342" s="96" t="str">
        <f>HYPERLINK("https://pbs.twimg.com/profile_banners/865346063552704514/1507650326")</f>
        <v>https://pbs.twimg.com/profile_banners/865346063552704514/1507650326</v>
      </c>
      <c r="BI1342" s="86"/>
      <c r="BJ1342" s="86" t="s">
        <v>29134</v>
      </c>
      <c r="BK1342" s="86" t="b">
        <v>0</v>
      </c>
      <c r="BL1342" s="86"/>
      <c r="BM1342" s="86" t="s">
        <v>66</v>
      </c>
      <c r="BN1342" s="86" t="s">
        <v>29136</v>
      </c>
      <c r="BO1342" s="96" t="str">
        <f>HYPERLINK("https://twitter.com/hss_vendamais")</f>
        <v>https://twitter.com/hss_vendamais</v>
      </c>
      <c r="BP1342" s="2"/>
    </row>
    <row r="1343" spans="1:68" x14ac:dyDescent="0.25">
      <c r="A1343" s="63" t="s">
        <v>1364</v>
      </c>
      <c r="B1343" s="64"/>
      <c r="C1343" s="64"/>
      <c r="D1343" s="65"/>
      <c r="E1343" s="67"/>
      <c r="F1343" s="111" t="str">
        <f>HYPERLINK("https://pbs.twimg.com/profile_images/1611479498146435079/1LRTJsEv_normal.jpg")</f>
        <v>https://pbs.twimg.com/profile_images/1611479498146435079/1LRTJsEv_normal.jpg</v>
      </c>
      <c r="G1343" s="64"/>
      <c r="H1343" s="68"/>
      <c r="I1343" s="69"/>
      <c r="J1343" s="69"/>
      <c r="K1343" s="68" t="s">
        <v>30476</v>
      </c>
      <c r="L1343" s="72"/>
      <c r="M1343" s="73"/>
      <c r="N1343" s="73"/>
      <c r="O1343" s="74"/>
      <c r="P1343" s="75"/>
      <c r="Q1343" s="75"/>
      <c r="R1343" s="102"/>
      <c r="S1343" s="102"/>
      <c r="T1343" s="102"/>
      <c r="U1343" s="102"/>
      <c r="V1343" s="48"/>
      <c r="W1343" s="48"/>
      <c r="X1343" s="48"/>
      <c r="Y1343" s="48"/>
      <c r="Z1343" s="47"/>
      <c r="AA1343" s="70">
        <v>1343</v>
      </c>
      <c r="AB1343" s="70"/>
      <c r="AC1343" s="71"/>
      <c r="AD1343" s="86" t="s">
        <v>23999</v>
      </c>
      <c r="AE1343" s="94" t="s">
        <v>23456</v>
      </c>
      <c r="AF1343" s="86">
        <v>2</v>
      </c>
      <c r="AG1343" s="86">
        <v>2</v>
      </c>
      <c r="AH1343" s="86">
        <v>102</v>
      </c>
      <c r="AI1343" s="86">
        <v>0</v>
      </c>
      <c r="AJ1343" s="86">
        <v>434</v>
      </c>
      <c r="AK1343" s="86">
        <v>101</v>
      </c>
      <c r="AL1343" s="86" t="b">
        <v>0</v>
      </c>
      <c r="AM1343" s="89">
        <v>44788.081076388888</v>
      </c>
      <c r="AN1343" s="86" t="s">
        <v>26334</v>
      </c>
      <c r="AO1343" s="86" t="s">
        <v>27645</v>
      </c>
      <c r="AP1343" s="96" t="str">
        <f>HYPERLINK("https://t.co/ZuAuSteBdO")</f>
        <v>https://t.co/ZuAuSteBdO</v>
      </c>
      <c r="AQ1343" s="96" t="str">
        <f>HYPERLINK("http://www.virtualflight.com.br/")</f>
        <v>http://www.virtualflight.com.br/</v>
      </c>
      <c r="AR1343" s="86" t="s">
        <v>28797</v>
      </c>
      <c r="AS1343" s="86"/>
      <c r="AT1343" s="86"/>
      <c r="AU1343" s="86"/>
      <c r="AV1343" s="86"/>
      <c r="AW1343" s="96" t="str">
        <f>HYPERLINK("https://t.co/ZuAuSteBdO")</f>
        <v>https://t.co/ZuAuSteBdO</v>
      </c>
      <c r="AX1343" s="86" t="b">
        <v>0</v>
      </c>
      <c r="AY1343" s="86"/>
      <c r="AZ1343" s="86"/>
      <c r="BA1343" s="86" t="b">
        <v>0</v>
      </c>
      <c r="BB1343" s="86" t="b">
        <v>1</v>
      </c>
      <c r="BC1343" s="86" t="b">
        <v>1</v>
      </c>
      <c r="BD1343" s="86" t="b">
        <v>0</v>
      </c>
      <c r="BE1343" s="86" t="b">
        <v>0</v>
      </c>
      <c r="BF1343" s="86" t="b">
        <v>0</v>
      </c>
      <c r="BG1343" s="86" t="b">
        <v>0</v>
      </c>
      <c r="BH1343" s="96" t="str">
        <f>HYPERLINK("https://pbs.twimg.com/profile_banners/1558995912646590466/1673041667")</f>
        <v>https://pbs.twimg.com/profile_banners/1558995912646590466/1673041667</v>
      </c>
      <c r="BI1343" s="86"/>
      <c r="BJ1343" s="86" t="s">
        <v>29134</v>
      </c>
      <c r="BK1343" s="86" t="b">
        <v>0</v>
      </c>
      <c r="BL1343" s="86"/>
      <c r="BM1343" s="86" t="s">
        <v>66</v>
      </c>
      <c r="BN1343" s="86" t="s">
        <v>29136</v>
      </c>
      <c r="BO1343" s="96" t="str">
        <f>HYPERLINK("https://twitter.com/nelberezende")</f>
        <v>https://twitter.com/nelberezende</v>
      </c>
      <c r="BP1343" s="2"/>
    </row>
    <row r="1344" spans="1:68" x14ac:dyDescent="0.25">
      <c r="A1344" s="63" t="s">
        <v>1365</v>
      </c>
      <c r="B1344" s="64"/>
      <c r="C1344" s="64"/>
      <c r="D1344" s="65"/>
      <c r="E1344" s="67"/>
      <c r="F1344" s="111" t="str">
        <f>HYPERLINK("https://pbs.twimg.com/profile_images/1548982536596078593/p2JpGmvj_normal.jpg")</f>
        <v>https://pbs.twimg.com/profile_images/1548982536596078593/p2JpGmvj_normal.jpg</v>
      </c>
      <c r="G1344" s="64"/>
      <c r="H1344" s="68"/>
      <c r="I1344" s="69"/>
      <c r="J1344" s="69"/>
      <c r="K1344" s="68" t="s">
        <v>30477</v>
      </c>
      <c r="L1344" s="72"/>
      <c r="M1344" s="73"/>
      <c r="N1344" s="73"/>
      <c r="O1344" s="74"/>
      <c r="P1344" s="75"/>
      <c r="Q1344" s="75"/>
      <c r="R1344" s="102"/>
      <c r="S1344" s="102"/>
      <c r="T1344" s="102"/>
      <c r="U1344" s="102"/>
      <c r="V1344" s="48"/>
      <c r="W1344" s="48"/>
      <c r="X1344" s="48"/>
      <c r="Y1344" s="48"/>
      <c r="Z1344" s="47"/>
      <c r="AA1344" s="70">
        <v>1344</v>
      </c>
      <c r="AB1344" s="70"/>
      <c r="AC1344" s="71"/>
      <c r="AD1344" s="86" t="s">
        <v>24939</v>
      </c>
      <c r="AE1344" s="94" t="s">
        <v>25762</v>
      </c>
      <c r="AF1344" s="86">
        <v>4593</v>
      </c>
      <c r="AG1344" s="86">
        <v>753</v>
      </c>
      <c r="AH1344" s="86">
        <v>5469</v>
      </c>
      <c r="AI1344" s="86">
        <v>44</v>
      </c>
      <c r="AJ1344" s="86">
        <v>1937</v>
      </c>
      <c r="AK1344" s="86">
        <v>2646</v>
      </c>
      <c r="AL1344" s="86" t="b">
        <v>0</v>
      </c>
      <c r="AM1344" s="89">
        <v>40382.572094907409</v>
      </c>
      <c r="AN1344" s="86" t="s">
        <v>15235</v>
      </c>
      <c r="AO1344" s="86" t="s">
        <v>27646</v>
      </c>
      <c r="AP1344" s="96" t="str">
        <f>HYPERLINK("https://t.co/nkAdEzUBBk")</f>
        <v>https://t.co/nkAdEzUBBk</v>
      </c>
      <c r="AQ1344" s="96" t="str">
        <f>HYPERLINK("http://www.fc.ul.pt/")</f>
        <v>http://www.fc.ul.pt/</v>
      </c>
      <c r="AR1344" s="86" t="s">
        <v>28798</v>
      </c>
      <c r="AS1344" s="86"/>
      <c r="AT1344" s="86"/>
      <c r="AU1344" s="86"/>
      <c r="AV1344" s="86"/>
      <c r="AW1344" s="96" t="str">
        <f>HYPERLINK("https://t.co/nkAdEzUBBk")</f>
        <v>https://t.co/nkAdEzUBBk</v>
      </c>
      <c r="AX1344" s="86" t="b">
        <v>0</v>
      </c>
      <c r="AY1344" s="86"/>
      <c r="AZ1344" s="86"/>
      <c r="BA1344" s="86" t="b">
        <v>0</v>
      </c>
      <c r="BB1344" s="86" t="b">
        <v>1</v>
      </c>
      <c r="BC1344" s="86" t="b">
        <v>0</v>
      </c>
      <c r="BD1344" s="86" t="b">
        <v>0</v>
      </c>
      <c r="BE1344" s="86" t="b">
        <v>0</v>
      </c>
      <c r="BF1344" s="86" t="b">
        <v>0</v>
      </c>
      <c r="BG1344" s="86" t="b">
        <v>0</v>
      </c>
      <c r="BH1344" s="96" t="str">
        <f>HYPERLINK("https://pbs.twimg.com/profile_banners/169913717/1641208472")</f>
        <v>https://pbs.twimg.com/profile_banners/169913717/1641208472</v>
      </c>
      <c r="BI1344" s="86"/>
      <c r="BJ1344" s="86" t="s">
        <v>29134</v>
      </c>
      <c r="BK1344" s="86" t="b">
        <v>0</v>
      </c>
      <c r="BL1344" s="86"/>
      <c r="BM1344" s="86" t="s">
        <v>66</v>
      </c>
      <c r="BN1344" s="86" t="s">
        <v>29136</v>
      </c>
      <c r="BO1344" s="96" t="str">
        <f>HYPERLINK("https://twitter.com/fc_ul")</f>
        <v>https://twitter.com/fc_ul</v>
      </c>
      <c r="BP1344" s="2"/>
    </row>
    <row r="1345" spans="1:68" x14ac:dyDescent="0.25">
      <c r="A1345" s="63" t="s">
        <v>1806</v>
      </c>
      <c r="B1345" s="64"/>
      <c r="C1345" s="64"/>
      <c r="D1345" s="65"/>
      <c r="E1345" s="67"/>
      <c r="F1345" s="111" t="str">
        <f>HYPERLINK("https://pbs.twimg.com/profile_images/1329809456838930433/wTMzCN4F_normal.jpg")</f>
        <v>https://pbs.twimg.com/profile_images/1329809456838930433/wTMzCN4F_normal.jpg</v>
      </c>
      <c r="G1345" s="64"/>
      <c r="H1345" s="68"/>
      <c r="I1345" s="69"/>
      <c r="J1345" s="69"/>
      <c r="K1345" s="68" t="s">
        <v>30478</v>
      </c>
      <c r="L1345" s="72"/>
      <c r="M1345" s="73"/>
      <c r="N1345" s="73"/>
      <c r="O1345" s="74"/>
      <c r="P1345" s="75"/>
      <c r="Q1345" s="75"/>
      <c r="R1345" s="102"/>
      <c r="S1345" s="102"/>
      <c r="T1345" s="102"/>
      <c r="U1345" s="102"/>
      <c r="V1345" s="48"/>
      <c r="W1345" s="48"/>
      <c r="X1345" s="48"/>
      <c r="Y1345" s="48"/>
      <c r="Z1345" s="47"/>
      <c r="AA1345" s="70">
        <v>1345</v>
      </c>
      <c r="AB1345" s="70"/>
      <c r="AC1345" s="71"/>
      <c r="AD1345" s="86" t="s">
        <v>24940</v>
      </c>
      <c r="AE1345" s="94" t="s">
        <v>25763</v>
      </c>
      <c r="AF1345" s="86">
        <v>4776</v>
      </c>
      <c r="AG1345" s="86">
        <v>140</v>
      </c>
      <c r="AH1345" s="86">
        <v>754</v>
      </c>
      <c r="AI1345" s="86">
        <v>121</v>
      </c>
      <c r="AJ1345" s="86">
        <v>247</v>
      </c>
      <c r="AK1345" s="86">
        <v>358</v>
      </c>
      <c r="AL1345" s="86" t="b">
        <v>0</v>
      </c>
      <c r="AM1345" s="89">
        <v>41291.730798611112</v>
      </c>
      <c r="AN1345" s="86" t="s">
        <v>26335</v>
      </c>
      <c r="AO1345" s="86" t="s">
        <v>27647</v>
      </c>
      <c r="AP1345" s="96" t="str">
        <f>HYPERLINK("http://t.co/URB7Dfy1dM")</f>
        <v>http://t.co/URB7Dfy1dM</v>
      </c>
      <c r="AQ1345" s="96" t="str">
        <f>HYPERLINK("http://www.portugalventures.pt")</f>
        <v>http://www.portugalventures.pt</v>
      </c>
      <c r="AR1345" s="86" t="s">
        <v>28799</v>
      </c>
      <c r="AS1345" s="86"/>
      <c r="AT1345" s="86"/>
      <c r="AU1345" s="86"/>
      <c r="AV1345" s="86"/>
      <c r="AW1345" s="96" t="str">
        <f>HYPERLINK("http://t.co/URB7Dfy1dM")</f>
        <v>http://t.co/URB7Dfy1dM</v>
      </c>
      <c r="AX1345" s="86" t="b">
        <v>0</v>
      </c>
      <c r="AY1345" s="86"/>
      <c r="AZ1345" s="86"/>
      <c r="BA1345" s="86" t="b">
        <v>0</v>
      </c>
      <c r="BB1345" s="86" t="b">
        <v>1</v>
      </c>
      <c r="BC1345" s="86" t="b">
        <v>0</v>
      </c>
      <c r="BD1345" s="86" t="b">
        <v>0</v>
      </c>
      <c r="BE1345" s="86" t="b">
        <v>0</v>
      </c>
      <c r="BF1345" s="86" t="b">
        <v>0</v>
      </c>
      <c r="BG1345" s="86" t="b">
        <v>0</v>
      </c>
      <c r="BH1345" s="96" t="str">
        <f>HYPERLINK("https://pbs.twimg.com/profile_banners/1098801199/1505723268")</f>
        <v>https://pbs.twimg.com/profile_banners/1098801199/1505723268</v>
      </c>
      <c r="BI1345" s="86"/>
      <c r="BJ1345" s="86" t="s">
        <v>29134</v>
      </c>
      <c r="BK1345" s="86" t="b">
        <v>0</v>
      </c>
      <c r="BL1345" s="86"/>
      <c r="BM1345" s="86" t="s">
        <v>65</v>
      </c>
      <c r="BN1345" s="86" t="s">
        <v>29136</v>
      </c>
      <c r="BO1345" s="96" t="str">
        <f>HYPERLINK("https://twitter.com/portugalventure")</f>
        <v>https://twitter.com/portugalventure</v>
      </c>
      <c r="BP1345" s="2"/>
    </row>
    <row r="1346" spans="1:68" x14ac:dyDescent="0.25">
      <c r="A1346" s="63" t="s">
        <v>1807</v>
      </c>
      <c r="B1346" s="64"/>
      <c r="C1346" s="64"/>
      <c r="D1346" s="65"/>
      <c r="E1346" s="67"/>
      <c r="F1346" s="111" t="str">
        <f>HYPERLINK("https://pbs.twimg.com/profile_images/1654500799936864260/Rt10xZbR_normal.jpg")</f>
        <v>https://pbs.twimg.com/profile_images/1654500799936864260/Rt10xZbR_normal.jpg</v>
      </c>
      <c r="G1346" s="64"/>
      <c r="H1346" s="68"/>
      <c r="I1346" s="69"/>
      <c r="J1346" s="69"/>
      <c r="K1346" s="68" t="s">
        <v>30479</v>
      </c>
      <c r="L1346" s="72"/>
      <c r="M1346" s="73"/>
      <c r="N1346" s="73"/>
      <c r="O1346" s="74"/>
      <c r="P1346" s="75"/>
      <c r="Q1346" s="75"/>
      <c r="R1346" s="102"/>
      <c r="S1346" s="102"/>
      <c r="T1346" s="102"/>
      <c r="U1346" s="102"/>
      <c r="V1346" s="48"/>
      <c r="W1346" s="48"/>
      <c r="X1346" s="48"/>
      <c r="Y1346" s="48"/>
      <c r="Z1346" s="47"/>
      <c r="AA1346" s="70">
        <v>1346</v>
      </c>
      <c r="AB1346" s="70"/>
      <c r="AC1346" s="71"/>
      <c r="AD1346" s="86" t="s">
        <v>24941</v>
      </c>
      <c r="AE1346" s="94" t="s">
        <v>25764</v>
      </c>
      <c r="AF1346" s="86">
        <v>10877</v>
      </c>
      <c r="AG1346" s="86">
        <v>417</v>
      </c>
      <c r="AH1346" s="86">
        <v>16179</v>
      </c>
      <c r="AI1346" s="86">
        <v>0</v>
      </c>
      <c r="AJ1346" s="86">
        <v>784</v>
      </c>
      <c r="AK1346" s="86">
        <v>3861</v>
      </c>
      <c r="AL1346" s="86" t="b">
        <v>0</v>
      </c>
      <c r="AM1346" s="89">
        <v>40014.664826388886</v>
      </c>
      <c r="AN1346" s="86" t="s">
        <v>26336</v>
      </c>
      <c r="AO1346" s="86" t="s">
        <v>27648</v>
      </c>
      <c r="AP1346" s="96" t="str">
        <f>HYPERLINK("https://t.co/x6a3LxAZYb")</f>
        <v>https://t.co/x6a3LxAZYb</v>
      </c>
      <c r="AQ1346" s="96" t="str">
        <f>HYPERLINK("https://portal.al.go.leg.br/")</f>
        <v>https://portal.al.go.leg.br/</v>
      </c>
      <c r="AR1346" s="86" t="s">
        <v>28800</v>
      </c>
      <c r="AS1346" s="86"/>
      <c r="AT1346" s="86"/>
      <c r="AU1346" s="86"/>
      <c r="AV1346" s="86"/>
      <c r="AW1346" s="96" t="str">
        <f>HYPERLINK("https://t.co/x6a3LxAZYb")</f>
        <v>https://t.co/x6a3LxAZYb</v>
      </c>
      <c r="AX1346" s="86" t="b">
        <v>0</v>
      </c>
      <c r="AY1346" s="86"/>
      <c r="AZ1346" s="86"/>
      <c r="BA1346" s="86" t="b">
        <v>1</v>
      </c>
      <c r="BB1346" s="86" t="b">
        <v>1</v>
      </c>
      <c r="BC1346" s="86" t="b">
        <v>0</v>
      </c>
      <c r="BD1346" s="86" t="b">
        <v>0</v>
      </c>
      <c r="BE1346" s="86" t="b">
        <v>1</v>
      </c>
      <c r="BF1346" s="86" t="b">
        <v>0</v>
      </c>
      <c r="BG1346" s="86" t="b">
        <v>0</v>
      </c>
      <c r="BH1346" s="96" t="str">
        <f>HYPERLINK("https://pbs.twimg.com/profile_banners/58508636/1683298724")</f>
        <v>https://pbs.twimg.com/profile_banners/58508636/1683298724</v>
      </c>
      <c r="BI1346" s="86"/>
      <c r="BJ1346" s="86" t="s">
        <v>29134</v>
      </c>
      <c r="BK1346" s="86" t="b">
        <v>0</v>
      </c>
      <c r="BL1346" s="86"/>
      <c r="BM1346" s="86" t="s">
        <v>65</v>
      </c>
      <c r="BN1346" s="86" t="s">
        <v>29136</v>
      </c>
      <c r="BO1346" s="96" t="str">
        <f>HYPERLINK("https://twitter.com/assembleiago")</f>
        <v>https://twitter.com/assembleiago</v>
      </c>
      <c r="BP1346" s="2"/>
    </row>
    <row r="1347" spans="1:68" x14ac:dyDescent="0.25">
      <c r="A1347" s="63" t="s">
        <v>1808</v>
      </c>
      <c r="B1347" s="64"/>
      <c r="C1347" s="64"/>
      <c r="D1347" s="65"/>
      <c r="E1347" s="67"/>
      <c r="F1347" s="111" t="str">
        <f>HYPERLINK("https://pbs.twimg.com/profile_images/2421526081/vuclk07fe6vszrosmxyo_normal.jpeg")</f>
        <v>https://pbs.twimg.com/profile_images/2421526081/vuclk07fe6vszrosmxyo_normal.jpeg</v>
      </c>
      <c r="G1347" s="64"/>
      <c r="H1347" s="68"/>
      <c r="I1347" s="69"/>
      <c r="J1347" s="69"/>
      <c r="K1347" s="68" t="s">
        <v>30480</v>
      </c>
      <c r="L1347" s="72"/>
      <c r="M1347" s="73"/>
      <c r="N1347" s="73"/>
      <c r="O1347" s="74"/>
      <c r="P1347" s="75"/>
      <c r="Q1347" s="75"/>
      <c r="R1347" s="102"/>
      <c r="S1347" s="102"/>
      <c r="T1347" s="102"/>
      <c r="U1347" s="102"/>
      <c r="V1347" s="48"/>
      <c r="W1347" s="48"/>
      <c r="X1347" s="48"/>
      <c r="Y1347" s="48"/>
      <c r="Z1347" s="47"/>
      <c r="AA1347" s="70">
        <v>1347</v>
      </c>
      <c r="AB1347" s="70"/>
      <c r="AC1347" s="71"/>
      <c r="AD1347" s="86" t="s">
        <v>24942</v>
      </c>
      <c r="AE1347" s="94" t="s">
        <v>25765</v>
      </c>
      <c r="AF1347" s="86">
        <v>453</v>
      </c>
      <c r="AG1347" s="86">
        <v>460</v>
      </c>
      <c r="AH1347" s="86">
        <v>1101</v>
      </c>
      <c r="AI1347" s="86">
        <v>17</v>
      </c>
      <c r="AJ1347" s="86">
        <v>150</v>
      </c>
      <c r="AK1347" s="86">
        <v>233</v>
      </c>
      <c r="AL1347" s="86" t="b">
        <v>0</v>
      </c>
      <c r="AM1347" s="89">
        <v>41081.661122685182</v>
      </c>
      <c r="AN1347" s="86" t="s">
        <v>25951</v>
      </c>
      <c r="AO1347" s="86" t="s">
        <v>27649</v>
      </c>
      <c r="AP1347" s="96" t="str">
        <f>HYPERLINK("http://t.co/LJX759uOcH")</f>
        <v>http://t.co/LJX759uOcH</v>
      </c>
      <c r="AQ1347" s="96" t="str">
        <f>HYPERLINK("http://www.teclabs.pt")</f>
        <v>http://www.teclabs.pt</v>
      </c>
      <c r="AR1347" s="86" t="s">
        <v>28801</v>
      </c>
      <c r="AS1347" s="86"/>
      <c r="AT1347" s="86"/>
      <c r="AU1347" s="86"/>
      <c r="AV1347" s="86"/>
      <c r="AW1347" s="96" t="str">
        <f>HYPERLINK("http://t.co/LJX759uOcH")</f>
        <v>http://t.co/LJX759uOcH</v>
      </c>
      <c r="AX1347" s="86" t="b">
        <v>0</v>
      </c>
      <c r="AY1347" s="86"/>
      <c r="AZ1347" s="86"/>
      <c r="BA1347" s="86" t="b">
        <v>0</v>
      </c>
      <c r="BB1347" s="86" t="b">
        <v>1</v>
      </c>
      <c r="BC1347" s="86" t="b">
        <v>0</v>
      </c>
      <c r="BD1347" s="86" t="b">
        <v>0</v>
      </c>
      <c r="BE1347" s="86" t="b">
        <v>0</v>
      </c>
      <c r="BF1347" s="86" t="b">
        <v>0</v>
      </c>
      <c r="BG1347" s="86" t="b">
        <v>0</v>
      </c>
      <c r="BH1347" s="96" t="str">
        <f>HYPERLINK("https://pbs.twimg.com/profile_banners/614496492/1400231039")</f>
        <v>https://pbs.twimg.com/profile_banners/614496492/1400231039</v>
      </c>
      <c r="BI1347" s="86"/>
      <c r="BJ1347" s="86" t="s">
        <v>29134</v>
      </c>
      <c r="BK1347" s="86" t="b">
        <v>0</v>
      </c>
      <c r="BL1347" s="86"/>
      <c r="BM1347" s="86" t="s">
        <v>65</v>
      </c>
      <c r="BN1347" s="86" t="s">
        <v>29136</v>
      </c>
      <c r="BO1347" s="96" t="str">
        <f>HYPERLINK("https://twitter.com/teclabs")</f>
        <v>https://twitter.com/teclabs</v>
      </c>
      <c r="BP1347" s="2"/>
    </row>
    <row r="1348" spans="1:68" x14ac:dyDescent="0.25">
      <c r="A1348" s="63" t="s">
        <v>1366</v>
      </c>
      <c r="B1348" s="64"/>
      <c r="C1348" s="64"/>
      <c r="D1348" s="65"/>
      <c r="E1348" s="67"/>
      <c r="F1348" s="111" t="str">
        <f>HYPERLINK("https://pbs.twimg.com/profile_images/1665217315330195457/RYmUipGt_normal.jpg")</f>
        <v>https://pbs.twimg.com/profile_images/1665217315330195457/RYmUipGt_normal.jpg</v>
      </c>
      <c r="G1348" s="64"/>
      <c r="H1348" s="68"/>
      <c r="I1348" s="69"/>
      <c r="J1348" s="69"/>
      <c r="K1348" s="68" t="s">
        <v>30481</v>
      </c>
      <c r="L1348" s="72"/>
      <c r="M1348" s="73"/>
      <c r="N1348" s="73"/>
      <c r="O1348" s="74"/>
      <c r="P1348" s="75"/>
      <c r="Q1348" s="75"/>
      <c r="R1348" s="102"/>
      <c r="S1348" s="102"/>
      <c r="T1348" s="102"/>
      <c r="U1348" s="102"/>
      <c r="V1348" s="48"/>
      <c r="W1348" s="48"/>
      <c r="X1348" s="48"/>
      <c r="Y1348" s="48"/>
      <c r="Z1348" s="47"/>
      <c r="AA1348" s="70">
        <v>1348</v>
      </c>
      <c r="AB1348" s="70"/>
      <c r="AC1348" s="71"/>
      <c r="AD1348" s="86" t="s">
        <v>24943</v>
      </c>
      <c r="AE1348" s="94" t="s">
        <v>23457</v>
      </c>
      <c r="AF1348" s="86">
        <v>719</v>
      </c>
      <c r="AG1348" s="86">
        <v>1091</v>
      </c>
      <c r="AH1348" s="86">
        <v>16407</v>
      </c>
      <c r="AI1348" s="86">
        <v>1</v>
      </c>
      <c r="AJ1348" s="86">
        <v>34890</v>
      </c>
      <c r="AK1348" s="86">
        <v>324</v>
      </c>
      <c r="AL1348" s="86" t="b">
        <v>0</v>
      </c>
      <c r="AM1348" s="89">
        <v>44360.703032407408</v>
      </c>
      <c r="AN1348" s="86" t="s">
        <v>26337</v>
      </c>
      <c r="AO1348" s="86" t="s">
        <v>27650</v>
      </c>
      <c r="AP1348" s="86"/>
      <c r="AQ1348" s="86"/>
      <c r="AR1348" s="86"/>
      <c r="AS1348" s="86"/>
      <c r="AT1348" s="86"/>
      <c r="AU1348" s="86"/>
      <c r="AV1348" s="86"/>
      <c r="AW1348" s="86"/>
      <c r="AX1348" s="86" t="b">
        <v>0</v>
      </c>
      <c r="AY1348" s="86"/>
      <c r="AZ1348" s="86"/>
      <c r="BA1348" s="86" t="b">
        <v>0</v>
      </c>
      <c r="BB1348" s="86" t="b">
        <v>0</v>
      </c>
      <c r="BC1348" s="86" t="b">
        <v>1</v>
      </c>
      <c r="BD1348" s="86" t="b">
        <v>0</v>
      </c>
      <c r="BE1348" s="86" t="b">
        <v>1</v>
      </c>
      <c r="BF1348" s="86" t="b">
        <v>0</v>
      </c>
      <c r="BG1348" s="86" t="b">
        <v>0</v>
      </c>
      <c r="BH1348" s="96" t="str">
        <f>HYPERLINK("https://pbs.twimg.com/profile_banners/1404119392242315266/1685853720")</f>
        <v>https://pbs.twimg.com/profile_banners/1404119392242315266/1685853720</v>
      </c>
      <c r="BI1348" s="86"/>
      <c r="BJ1348" s="86" t="s">
        <v>29134</v>
      </c>
      <c r="BK1348" s="86" t="b">
        <v>0</v>
      </c>
      <c r="BL1348" s="86"/>
      <c r="BM1348" s="86" t="s">
        <v>66</v>
      </c>
      <c r="BN1348" s="86" t="s">
        <v>29136</v>
      </c>
      <c r="BO1348" s="96" t="str">
        <f>HYPERLINK("https://twitter.com/wyzalecx")</f>
        <v>https://twitter.com/wyzalecx</v>
      </c>
      <c r="BP1348" s="2"/>
    </row>
    <row r="1349" spans="1:68" x14ac:dyDescent="0.25">
      <c r="A1349" s="63" t="s">
        <v>1809</v>
      </c>
      <c r="B1349" s="64"/>
      <c r="C1349" s="64"/>
      <c r="D1349" s="65"/>
      <c r="E1349" s="67"/>
      <c r="F1349" s="111" t="str">
        <f>HYPERLINK("https://pbs.twimg.com/profile_images/1648140399494529030/uPiZ7pol_normal.jpg")</f>
        <v>https://pbs.twimg.com/profile_images/1648140399494529030/uPiZ7pol_normal.jpg</v>
      </c>
      <c r="G1349" s="64"/>
      <c r="H1349" s="68"/>
      <c r="I1349" s="69"/>
      <c r="J1349" s="69"/>
      <c r="K1349" s="68" t="s">
        <v>30482</v>
      </c>
      <c r="L1349" s="72"/>
      <c r="M1349" s="73"/>
      <c r="N1349" s="73"/>
      <c r="O1349" s="74"/>
      <c r="P1349" s="75"/>
      <c r="Q1349" s="75"/>
      <c r="R1349" s="102"/>
      <c r="S1349" s="102"/>
      <c r="T1349" s="102"/>
      <c r="U1349" s="102"/>
      <c r="V1349" s="48"/>
      <c r="W1349" s="48"/>
      <c r="X1349" s="48"/>
      <c r="Y1349" s="48"/>
      <c r="Z1349" s="47"/>
      <c r="AA1349" s="70">
        <v>1349</v>
      </c>
      <c r="AB1349" s="70"/>
      <c r="AC1349" s="71"/>
      <c r="AD1349" s="86" t="s">
        <v>24944</v>
      </c>
      <c r="AE1349" s="94" t="s">
        <v>22639</v>
      </c>
      <c r="AF1349" s="86">
        <v>43</v>
      </c>
      <c r="AG1349" s="86">
        <v>65</v>
      </c>
      <c r="AH1349" s="86">
        <v>2907</v>
      </c>
      <c r="AI1349" s="86">
        <v>0</v>
      </c>
      <c r="AJ1349" s="86">
        <v>9243</v>
      </c>
      <c r="AK1349" s="86">
        <v>265</v>
      </c>
      <c r="AL1349" s="86" t="b">
        <v>0</v>
      </c>
      <c r="AM1349" s="89">
        <v>44119.146851851852</v>
      </c>
      <c r="AN1349" s="86"/>
      <c r="AO1349" s="86" t="s">
        <v>27651</v>
      </c>
      <c r="AP1349" s="86"/>
      <c r="AQ1349" s="86"/>
      <c r="AR1349" s="86"/>
      <c r="AS1349" s="86"/>
      <c r="AT1349" s="86"/>
      <c r="AU1349" s="86"/>
      <c r="AV1349" s="86"/>
      <c r="AW1349" s="86"/>
      <c r="AX1349" s="86" t="b">
        <v>0</v>
      </c>
      <c r="AY1349" s="86"/>
      <c r="AZ1349" s="86"/>
      <c r="BA1349" s="86" t="b">
        <v>1</v>
      </c>
      <c r="BB1349" s="86" t="b">
        <v>0</v>
      </c>
      <c r="BC1349" s="86" t="b">
        <v>1</v>
      </c>
      <c r="BD1349" s="86" t="b">
        <v>0</v>
      </c>
      <c r="BE1349" s="86" t="b">
        <v>1</v>
      </c>
      <c r="BF1349" s="86" t="b">
        <v>0</v>
      </c>
      <c r="BG1349" s="86" t="b">
        <v>0</v>
      </c>
      <c r="BH1349" s="96" t="str">
        <f>HYPERLINK("https://pbs.twimg.com/profile_banners/1316582385178288128/1681782267")</f>
        <v>https://pbs.twimg.com/profile_banners/1316582385178288128/1681782267</v>
      </c>
      <c r="BI1349" s="86"/>
      <c r="BJ1349" s="86" t="s">
        <v>29134</v>
      </c>
      <c r="BK1349" s="86" t="b">
        <v>0</v>
      </c>
      <c r="BL1349" s="86"/>
      <c r="BM1349" s="86" t="s">
        <v>65</v>
      </c>
      <c r="BN1349" s="86" t="s">
        <v>29136</v>
      </c>
      <c r="BO1349" s="96" t="str">
        <f>HYPERLINK("https://twitter.com/gabriehnb")</f>
        <v>https://twitter.com/gabriehnb</v>
      </c>
      <c r="BP1349" s="2"/>
    </row>
    <row r="1350" spans="1:68" x14ac:dyDescent="0.25">
      <c r="A1350" s="63" t="s">
        <v>1368</v>
      </c>
      <c r="B1350" s="64"/>
      <c r="C1350" s="64"/>
      <c r="D1350" s="65"/>
      <c r="E1350" s="67"/>
      <c r="F1350" s="111" t="str">
        <f>HYPERLINK("https://pbs.twimg.com/profile_images/1702927511477276672/uNw1Ft75_normal.jpg")</f>
        <v>https://pbs.twimg.com/profile_images/1702927511477276672/uNw1Ft75_normal.jpg</v>
      </c>
      <c r="G1350" s="64"/>
      <c r="H1350" s="68"/>
      <c r="I1350" s="69"/>
      <c r="J1350" s="69"/>
      <c r="K1350" s="68" t="s">
        <v>30483</v>
      </c>
      <c r="L1350" s="72"/>
      <c r="M1350" s="73"/>
      <c r="N1350" s="73"/>
      <c r="O1350" s="74"/>
      <c r="P1350" s="75"/>
      <c r="Q1350" s="75"/>
      <c r="R1350" s="102"/>
      <c r="S1350" s="102"/>
      <c r="T1350" s="102"/>
      <c r="U1350" s="102"/>
      <c r="V1350" s="48"/>
      <c r="W1350" s="48"/>
      <c r="X1350" s="48"/>
      <c r="Y1350" s="48"/>
      <c r="Z1350" s="47"/>
      <c r="AA1350" s="70">
        <v>1350</v>
      </c>
      <c r="AB1350" s="70"/>
      <c r="AC1350" s="71"/>
      <c r="AD1350" s="86" t="s">
        <v>24945</v>
      </c>
      <c r="AE1350" s="94" t="s">
        <v>23458</v>
      </c>
      <c r="AF1350" s="86">
        <v>125</v>
      </c>
      <c r="AG1350" s="86">
        <v>785</v>
      </c>
      <c r="AH1350" s="86">
        <v>2660</v>
      </c>
      <c r="AI1350" s="86">
        <v>0</v>
      </c>
      <c r="AJ1350" s="86">
        <v>5957</v>
      </c>
      <c r="AK1350" s="86">
        <v>96</v>
      </c>
      <c r="AL1350" s="86" t="b">
        <v>0</v>
      </c>
      <c r="AM1350" s="89">
        <v>43773.866111111114</v>
      </c>
      <c r="AN1350" s="86" t="s">
        <v>26338</v>
      </c>
      <c r="AO1350" s="86"/>
      <c r="AP1350" s="96" t="str">
        <f>HYPERLINK("https://t.co/Iq6AseafdW")</f>
        <v>https://t.co/Iq6AseafdW</v>
      </c>
      <c r="AQ1350" s="96" t="str">
        <f>HYPERLINK("https://instagram.com/felipeacostafotografo?igshid=MzNlNGNkZWQ4Mg==")</f>
        <v>https://instagram.com/felipeacostafotografo?igshid=MzNlNGNkZWQ4Mg==</v>
      </c>
      <c r="AR1350" s="86" t="s">
        <v>28802</v>
      </c>
      <c r="AS1350" s="86"/>
      <c r="AT1350" s="86"/>
      <c r="AU1350" s="86"/>
      <c r="AV1350" s="86"/>
      <c r="AW1350" s="96" t="str">
        <f>HYPERLINK("https://t.co/Iq6AseafdW")</f>
        <v>https://t.co/Iq6AseafdW</v>
      </c>
      <c r="AX1350" s="86" t="b">
        <v>0</v>
      </c>
      <c r="AY1350" s="86"/>
      <c r="AZ1350" s="86"/>
      <c r="BA1350" s="86" t="b">
        <v>1</v>
      </c>
      <c r="BB1350" s="86" t="b">
        <v>1</v>
      </c>
      <c r="BC1350" s="86" t="b">
        <v>1</v>
      </c>
      <c r="BD1350" s="86" t="b">
        <v>0</v>
      </c>
      <c r="BE1350" s="86" t="b">
        <v>1</v>
      </c>
      <c r="BF1350" s="86" t="b">
        <v>0</v>
      </c>
      <c r="BG1350" s="86" t="b">
        <v>0</v>
      </c>
      <c r="BH1350" s="96" t="str">
        <f>HYPERLINK("https://pbs.twimg.com/profile_banners/1191456816238092290/1685549083")</f>
        <v>https://pbs.twimg.com/profile_banners/1191456816238092290/1685549083</v>
      </c>
      <c r="BI1350" s="86"/>
      <c r="BJ1350" s="86" t="s">
        <v>29134</v>
      </c>
      <c r="BK1350" s="86" t="b">
        <v>0</v>
      </c>
      <c r="BL1350" s="86"/>
      <c r="BM1350" s="86" t="s">
        <v>66</v>
      </c>
      <c r="BN1350" s="86" t="s">
        <v>29136</v>
      </c>
      <c r="BO1350" s="96" t="str">
        <f>HYPERLINK("https://twitter.com/eufelipeacosta")</f>
        <v>https://twitter.com/eufelipeacosta</v>
      </c>
      <c r="BP1350" s="2"/>
    </row>
    <row r="1351" spans="1:68" x14ac:dyDescent="0.25">
      <c r="A1351" s="63" t="s">
        <v>1369</v>
      </c>
      <c r="B1351" s="64"/>
      <c r="C1351" s="64"/>
      <c r="D1351" s="65"/>
      <c r="E1351" s="67"/>
      <c r="F1351" s="111" t="str">
        <f>HYPERLINK("https://pbs.twimg.com/profile_images/1543952802455719937/fevrhC1c_normal.jpg")</f>
        <v>https://pbs.twimg.com/profile_images/1543952802455719937/fevrhC1c_normal.jpg</v>
      </c>
      <c r="G1351" s="64"/>
      <c r="H1351" s="68"/>
      <c r="I1351" s="69"/>
      <c r="J1351" s="69"/>
      <c r="K1351" s="68" t="s">
        <v>30484</v>
      </c>
      <c r="L1351" s="72"/>
      <c r="M1351" s="73"/>
      <c r="N1351" s="73"/>
      <c r="O1351" s="74"/>
      <c r="P1351" s="75"/>
      <c r="Q1351" s="75"/>
      <c r="R1351" s="102"/>
      <c r="S1351" s="102"/>
      <c r="T1351" s="102"/>
      <c r="U1351" s="102"/>
      <c r="V1351" s="48"/>
      <c r="W1351" s="48"/>
      <c r="X1351" s="48"/>
      <c r="Y1351" s="48"/>
      <c r="Z1351" s="47"/>
      <c r="AA1351" s="70">
        <v>1351</v>
      </c>
      <c r="AB1351" s="70"/>
      <c r="AC1351" s="71"/>
      <c r="AD1351" s="86" t="s">
        <v>24946</v>
      </c>
      <c r="AE1351" s="94" t="s">
        <v>22640</v>
      </c>
      <c r="AF1351" s="86">
        <v>22</v>
      </c>
      <c r="AG1351" s="86">
        <v>7</v>
      </c>
      <c r="AH1351" s="86">
        <v>596</v>
      </c>
      <c r="AI1351" s="86">
        <v>0</v>
      </c>
      <c r="AJ1351" s="86">
        <v>9</v>
      </c>
      <c r="AK1351" s="86">
        <v>385</v>
      </c>
      <c r="AL1351" s="86" t="b">
        <v>0</v>
      </c>
      <c r="AM1351" s="89">
        <v>42255.65347222222</v>
      </c>
      <c r="AN1351" s="86" t="s">
        <v>15246</v>
      </c>
      <c r="AO1351" s="86" t="s">
        <v>27652</v>
      </c>
      <c r="AP1351" s="96" t="str">
        <f>HYPERLINK("https://t.co/PD1d2F9jIO")</f>
        <v>https://t.co/PD1d2F9jIO</v>
      </c>
      <c r="AQ1351" s="96" t="str">
        <f>HYPERLINK("https://ipforce.com.br")</f>
        <v>https://ipforce.com.br</v>
      </c>
      <c r="AR1351" s="86" t="s">
        <v>28803</v>
      </c>
      <c r="AS1351" s="86"/>
      <c r="AT1351" s="86"/>
      <c r="AU1351" s="86"/>
      <c r="AV1351" s="86">
        <v>1.67997113807471E+18</v>
      </c>
      <c r="AW1351" s="96" t="str">
        <f>HYPERLINK("https://t.co/PD1d2F9jIO")</f>
        <v>https://t.co/PD1d2F9jIO</v>
      </c>
      <c r="AX1351" s="86" t="b">
        <v>0</v>
      </c>
      <c r="AY1351" s="86"/>
      <c r="AZ1351" s="86"/>
      <c r="BA1351" s="86" t="b">
        <v>0</v>
      </c>
      <c r="BB1351" s="86" t="b">
        <v>1</v>
      </c>
      <c r="BC1351" s="86" t="b">
        <v>1</v>
      </c>
      <c r="BD1351" s="86" t="b">
        <v>0</v>
      </c>
      <c r="BE1351" s="86" t="b">
        <v>0</v>
      </c>
      <c r="BF1351" s="86" t="b">
        <v>0</v>
      </c>
      <c r="BG1351" s="86" t="b">
        <v>0</v>
      </c>
      <c r="BH1351" s="96" t="str">
        <f>HYPERLINK("https://pbs.twimg.com/profile_banners/3588952461/1656945114")</f>
        <v>https://pbs.twimg.com/profile_banners/3588952461/1656945114</v>
      </c>
      <c r="BI1351" s="86"/>
      <c r="BJ1351" s="86" t="s">
        <v>29134</v>
      </c>
      <c r="BK1351" s="86" t="b">
        <v>0</v>
      </c>
      <c r="BL1351" s="86"/>
      <c r="BM1351" s="86" t="s">
        <v>66</v>
      </c>
      <c r="BN1351" s="86" t="s">
        <v>29136</v>
      </c>
      <c r="BO1351" s="96" t="str">
        <f>HYPERLINK("https://twitter.com/ipforce_telecom")</f>
        <v>https://twitter.com/ipforce_telecom</v>
      </c>
      <c r="BP1351" s="2"/>
    </row>
    <row r="1352" spans="1:68" x14ac:dyDescent="0.25">
      <c r="A1352" s="63" t="s">
        <v>1370</v>
      </c>
      <c r="B1352" s="64"/>
      <c r="C1352" s="64"/>
      <c r="D1352" s="65"/>
      <c r="E1352" s="67"/>
      <c r="F1352" s="111" t="str">
        <f>HYPERLINK("https://pbs.twimg.com/profile_images/1604555220146601984/KLTk9n59_normal.jpg")</f>
        <v>https://pbs.twimg.com/profile_images/1604555220146601984/KLTk9n59_normal.jpg</v>
      </c>
      <c r="G1352" s="64"/>
      <c r="H1352" s="68"/>
      <c r="I1352" s="69"/>
      <c r="J1352" s="69"/>
      <c r="K1352" s="68" t="s">
        <v>30485</v>
      </c>
      <c r="L1352" s="72"/>
      <c r="M1352" s="73"/>
      <c r="N1352" s="73"/>
      <c r="O1352" s="74"/>
      <c r="P1352" s="75"/>
      <c r="Q1352" s="75"/>
      <c r="R1352" s="102"/>
      <c r="S1352" s="102"/>
      <c r="T1352" s="102"/>
      <c r="U1352" s="102"/>
      <c r="V1352" s="48"/>
      <c r="W1352" s="48"/>
      <c r="X1352" s="48"/>
      <c r="Y1352" s="48"/>
      <c r="Z1352" s="47"/>
      <c r="AA1352" s="70">
        <v>1352</v>
      </c>
      <c r="AB1352" s="70"/>
      <c r="AC1352" s="71"/>
      <c r="AD1352" s="86" t="s">
        <v>24947</v>
      </c>
      <c r="AE1352" s="94" t="s">
        <v>25766</v>
      </c>
      <c r="AF1352" s="86">
        <v>353</v>
      </c>
      <c r="AG1352" s="86">
        <v>1258</v>
      </c>
      <c r="AH1352" s="86">
        <v>1844</v>
      </c>
      <c r="AI1352" s="86">
        <v>4</v>
      </c>
      <c r="AJ1352" s="86">
        <v>8776</v>
      </c>
      <c r="AK1352" s="86">
        <v>416</v>
      </c>
      <c r="AL1352" s="86" t="b">
        <v>0</v>
      </c>
      <c r="AM1352" s="89">
        <v>39991.558715277781</v>
      </c>
      <c r="AN1352" s="86"/>
      <c r="AO1352" s="86" t="s">
        <v>27653</v>
      </c>
      <c r="AP1352" s="96" t="str">
        <f>HYPERLINK("https://t.co/n0nzi3wyjl")</f>
        <v>https://t.co/n0nzi3wyjl</v>
      </c>
      <c r="AQ1352" s="96" t="str">
        <f>HYPERLINK("http://bit.ly/3Im8rTk")</f>
        <v>http://bit.ly/3Im8rTk</v>
      </c>
      <c r="AR1352" s="86" t="s">
        <v>28804</v>
      </c>
      <c r="AS1352" s="86"/>
      <c r="AT1352" s="86"/>
      <c r="AU1352" s="86"/>
      <c r="AV1352" s="86"/>
      <c r="AW1352" s="96" t="str">
        <f>HYPERLINK("https://t.co/n0nzi3wyjl")</f>
        <v>https://t.co/n0nzi3wyjl</v>
      </c>
      <c r="AX1352" s="86" t="b">
        <v>0</v>
      </c>
      <c r="AY1352" s="86"/>
      <c r="AZ1352" s="86"/>
      <c r="BA1352" s="86" t="b">
        <v>0</v>
      </c>
      <c r="BB1352" s="86" t="b">
        <v>1</v>
      </c>
      <c r="BC1352" s="86" t="b">
        <v>0</v>
      </c>
      <c r="BD1352" s="86" t="b">
        <v>0</v>
      </c>
      <c r="BE1352" s="86" t="b">
        <v>1</v>
      </c>
      <c r="BF1352" s="86" t="b">
        <v>0</v>
      </c>
      <c r="BG1352" s="86" t="b">
        <v>0</v>
      </c>
      <c r="BH1352" s="96" t="str">
        <f>HYPERLINK("https://pbs.twimg.com/profile_banners/51436322/1673365991")</f>
        <v>https://pbs.twimg.com/profile_banners/51436322/1673365991</v>
      </c>
      <c r="BI1352" s="86"/>
      <c r="BJ1352" s="86" t="s">
        <v>29134</v>
      </c>
      <c r="BK1352" s="86" t="b">
        <v>0</v>
      </c>
      <c r="BL1352" s="86"/>
      <c r="BM1352" s="86" t="s">
        <v>66</v>
      </c>
      <c r="BN1352" s="86" t="s">
        <v>29136</v>
      </c>
      <c r="BO1352" s="96" t="str">
        <f>HYPERLINK("https://twitter.com/leopuglia")</f>
        <v>https://twitter.com/leopuglia</v>
      </c>
      <c r="BP1352" s="2"/>
    </row>
    <row r="1353" spans="1:68" x14ac:dyDescent="0.25">
      <c r="A1353" s="63" t="s">
        <v>1371</v>
      </c>
      <c r="B1353" s="64"/>
      <c r="C1353" s="64"/>
      <c r="D1353" s="65"/>
      <c r="E1353" s="67"/>
      <c r="F1353" s="111" t="str">
        <f>HYPERLINK("https://pbs.twimg.com/profile_images/1274497370768781312/_rUvEX6j_normal.png")</f>
        <v>https://pbs.twimg.com/profile_images/1274497370768781312/_rUvEX6j_normal.png</v>
      </c>
      <c r="G1353" s="64"/>
      <c r="H1353" s="68"/>
      <c r="I1353" s="69"/>
      <c r="J1353" s="69"/>
      <c r="K1353" s="68" t="s">
        <v>30486</v>
      </c>
      <c r="L1353" s="72"/>
      <c r="M1353" s="73"/>
      <c r="N1353" s="73"/>
      <c r="O1353" s="74"/>
      <c r="P1353" s="75"/>
      <c r="Q1353" s="75"/>
      <c r="R1353" s="102"/>
      <c r="S1353" s="102"/>
      <c r="T1353" s="102"/>
      <c r="U1353" s="102"/>
      <c r="V1353" s="48"/>
      <c r="W1353" s="48"/>
      <c r="X1353" s="48"/>
      <c r="Y1353" s="48"/>
      <c r="Z1353" s="47"/>
      <c r="AA1353" s="70">
        <v>1353</v>
      </c>
      <c r="AB1353" s="70"/>
      <c r="AC1353" s="71"/>
      <c r="AD1353" s="86" t="s">
        <v>24948</v>
      </c>
      <c r="AE1353" s="94" t="s">
        <v>25767</v>
      </c>
      <c r="AF1353" s="86">
        <v>3501</v>
      </c>
      <c r="AG1353" s="86">
        <v>1095</v>
      </c>
      <c r="AH1353" s="86">
        <v>36271</v>
      </c>
      <c r="AI1353" s="86">
        <v>29</v>
      </c>
      <c r="AJ1353" s="86">
        <v>11</v>
      </c>
      <c r="AK1353" s="86">
        <v>23240</v>
      </c>
      <c r="AL1353" s="86" t="b">
        <v>0</v>
      </c>
      <c r="AM1353" s="89">
        <v>39946.784988425927</v>
      </c>
      <c r="AN1353" s="86" t="s">
        <v>26339</v>
      </c>
      <c r="AO1353" s="86" t="s">
        <v>27654</v>
      </c>
      <c r="AP1353" s="96" t="str">
        <f>HYPERLINK("https://t.co/x70IRGgROw")</f>
        <v>https://t.co/x70IRGgROw</v>
      </c>
      <c r="AQ1353" s="96" t="str">
        <f>HYPERLINK("http://www.visaooeste.com.br")</f>
        <v>http://www.visaooeste.com.br</v>
      </c>
      <c r="AR1353" s="86" t="s">
        <v>28805</v>
      </c>
      <c r="AS1353" s="86"/>
      <c r="AT1353" s="86"/>
      <c r="AU1353" s="86"/>
      <c r="AV1353" s="86"/>
      <c r="AW1353" s="96" t="str">
        <f>HYPERLINK("https://t.co/x70IRGgROw")</f>
        <v>https://t.co/x70IRGgROw</v>
      </c>
      <c r="AX1353" s="86" t="b">
        <v>0</v>
      </c>
      <c r="AY1353" s="86"/>
      <c r="AZ1353" s="86"/>
      <c r="BA1353" s="86" t="b">
        <v>0</v>
      </c>
      <c r="BB1353" s="86" t="b">
        <v>1</v>
      </c>
      <c r="BC1353" s="86" t="b">
        <v>0</v>
      </c>
      <c r="BD1353" s="86" t="b">
        <v>0</v>
      </c>
      <c r="BE1353" s="86" t="b">
        <v>0</v>
      </c>
      <c r="BF1353" s="86" t="b">
        <v>0</v>
      </c>
      <c r="BG1353" s="86" t="b">
        <v>0</v>
      </c>
      <c r="BH1353" s="96" t="str">
        <f>HYPERLINK("https://pbs.twimg.com/profile_banners/39816068/1664309866")</f>
        <v>https://pbs.twimg.com/profile_banners/39816068/1664309866</v>
      </c>
      <c r="BI1353" s="86"/>
      <c r="BJ1353" s="86" t="s">
        <v>29134</v>
      </c>
      <c r="BK1353" s="86" t="b">
        <v>0</v>
      </c>
      <c r="BL1353" s="86"/>
      <c r="BM1353" s="86" t="s">
        <v>66</v>
      </c>
      <c r="BN1353" s="86" t="s">
        <v>29136</v>
      </c>
      <c r="BO1353" s="96" t="str">
        <f>HYPERLINK("https://twitter.com/visaooeste")</f>
        <v>https://twitter.com/visaooeste</v>
      </c>
      <c r="BP1353" s="2"/>
    </row>
    <row r="1354" spans="1:68" x14ac:dyDescent="0.25">
      <c r="A1354" s="63" t="s">
        <v>1372</v>
      </c>
      <c r="B1354" s="64"/>
      <c r="C1354" s="64"/>
      <c r="D1354" s="65"/>
      <c r="E1354" s="67"/>
      <c r="F1354" s="111" t="str">
        <f>HYPERLINK("https://pbs.twimg.com/profile_images/1676271180439855117/_kc1Ogjl_normal.jpg")</f>
        <v>https://pbs.twimg.com/profile_images/1676271180439855117/_kc1Ogjl_normal.jpg</v>
      </c>
      <c r="G1354" s="64"/>
      <c r="H1354" s="68"/>
      <c r="I1354" s="69"/>
      <c r="J1354" s="69"/>
      <c r="K1354" s="68" t="s">
        <v>30487</v>
      </c>
      <c r="L1354" s="72"/>
      <c r="M1354" s="73"/>
      <c r="N1354" s="73"/>
      <c r="O1354" s="74"/>
      <c r="P1354" s="75"/>
      <c r="Q1354" s="75"/>
      <c r="R1354" s="102"/>
      <c r="S1354" s="102"/>
      <c r="T1354" s="102"/>
      <c r="U1354" s="102"/>
      <c r="V1354" s="48"/>
      <c r="W1354" s="48"/>
      <c r="X1354" s="48"/>
      <c r="Y1354" s="48"/>
      <c r="Z1354" s="47"/>
      <c r="AA1354" s="70">
        <v>1354</v>
      </c>
      <c r="AB1354" s="70"/>
      <c r="AC1354" s="71"/>
      <c r="AD1354" s="86" t="s">
        <v>24949</v>
      </c>
      <c r="AE1354" s="94" t="s">
        <v>22641</v>
      </c>
      <c r="AF1354" s="86">
        <v>54</v>
      </c>
      <c r="AG1354" s="86">
        <v>322</v>
      </c>
      <c r="AH1354" s="86">
        <v>486</v>
      </c>
      <c r="AI1354" s="86">
        <v>1</v>
      </c>
      <c r="AJ1354" s="86">
        <v>9109</v>
      </c>
      <c r="AK1354" s="86">
        <v>104</v>
      </c>
      <c r="AL1354" s="86" t="b">
        <v>0</v>
      </c>
      <c r="AM1354" s="89">
        <v>44168.020567129628</v>
      </c>
      <c r="AN1354" s="86" t="s">
        <v>26340</v>
      </c>
      <c r="AO1354" s="86" t="s">
        <v>27655</v>
      </c>
      <c r="AP1354" s="96" t="str">
        <f>HYPERLINK("https://t.co/z1g3AFThJR")</f>
        <v>https://t.co/z1g3AFThJR</v>
      </c>
      <c r="AQ1354" s="96" t="str">
        <f>HYPERLINK("https://taplink.cc/tiagomerces.r")</f>
        <v>https://taplink.cc/tiagomerces.r</v>
      </c>
      <c r="AR1354" s="86" t="s">
        <v>28806</v>
      </c>
      <c r="AS1354" s="86"/>
      <c r="AT1354" s="86"/>
      <c r="AU1354" s="86"/>
      <c r="AV1354" s="86">
        <v>1.62166734481568E+18</v>
      </c>
      <c r="AW1354" s="96" t="str">
        <f>HYPERLINK("https://t.co/z1g3AFThJR")</f>
        <v>https://t.co/z1g3AFThJR</v>
      </c>
      <c r="AX1354" s="86" t="b">
        <v>0</v>
      </c>
      <c r="AY1354" s="86"/>
      <c r="AZ1354" s="86"/>
      <c r="BA1354" s="86" t="b">
        <v>0</v>
      </c>
      <c r="BB1354" s="86" t="b">
        <v>0</v>
      </c>
      <c r="BC1354" s="86" t="b">
        <v>1</v>
      </c>
      <c r="BD1354" s="86" t="b">
        <v>0</v>
      </c>
      <c r="BE1354" s="86" t="b">
        <v>0</v>
      </c>
      <c r="BF1354" s="86" t="b">
        <v>0</v>
      </c>
      <c r="BG1354" s="86" t="b">
        <v>0</v>
      </c>
      <c r="BH1354" s="96" t="str">
        <f>HYPERLINK("https://pbs.twimg.com/profile_banners/1334293548318003200/1614788634")</f>
        <v>https://pbs.twimg.com/profile_banners/1334293548318003200/1614788634</v>
      </c>
      <c r="BI1354" s="86"/>
      <c r="BJ1354" s="86" t="s">
        <v>29134</v>
      </c>
      <c r="BK1354" s="86" t="b">
        <v>0</v>
      </c>
      <c r="BL1354" s="86"/>
      <c r="BM1354" s="86" t="s">
        <v>66</v>
      </c>
      <c r="BN1354" s="86" t="s">
        <v>29136</v>
      </c>
      <c r="BO1354" s="96" t="str">
        <f>HYPERLINK("https://twitter.com/tiagotmr_7")</f>
        <v>https://twitter.com/tiagotmr_7</v>
      </c>
      <c r="BP1354" s="2"/>
    </row>
    <row r="1355" spans="1:68" x14ac:dyDescent="0.25">
      <c r="A1355" s="63" t="s">
        <v>1373</v>
      </c>
      <c r="B1355" s="64"/>
      <c r="C1355" s="64"/>
      <c r="D1355" s="65"/>
      <c r="E1355" s="67"/>
      <c r="F1355" s="111" t="str">
        <f>HYPERLINK("https://pbs.twimg.com/profile_images/1704469566460395520/bQczX6Hv_normal.jpg")</f>
        <v>https://pbs.twimg.com/profile_images/1704469566460395520/bQczX6Hv_normal.jpg</v>
      </c>
      <c r="G1355" s="64"/>
      <c r="H1355" s="68"/>
      <c r="I1355" s="69"/>
      <c r="J1355" s="69"/>
      <c r="K1355" s="68" t="s">
        <v>30488</v>
      </c>
      <c r="L1355" s="72"/>
      <c r="M1355" s="73"/>
      <c r="N1355" s="73"/>
      <c r="O1355" s="74"/>
      <c r="P1355" s="75"/>
      <c r="Q1355" s="75"/>
      <c r="R1355" s="102"/>
      <c r="S1355" s="102"/>
      <c r="T1355" s="102"/>
      <c r="U1355" s="102"/>
      <c r="V1355" s="48"/>
      <c r="W1355" s="48"/>
      <c r="X1355" s="48"/>
      <c r="Y1355" s="48"/>
      <c r="Z1355" s="47"/>
      <c r="AA1355" s="70">
        <v>1355</v>
      </c>
      <c r="AB1355" s="70"/>
      <c r="AC1355" s="71"/>
      <c r="AD1355" s="86" t="s">
        <v>24950</v>
      </c>
      <c r="AE1355" s="94" t="s">
        <v>23459</v>
      </c>
      <c r="AF1355" s="86">
        <v>18</v>
      </c>
      <c r="AG1355" s="86">
        <v>364</v>
      </c>
      <c r="AH1355" s="86">
        <v>7</v>
      </c>
      <c r="AI1355" s="86">
        <v>0</v>
      </c>
      <c r="AJ1355" s="86">
        <v>441</v>
      </c>
      <c r="AK1355" s="86">
        <v>1</v>
      </c>
      <c r="AL1355" s="86" t="b">
        <v>0</v>
      </c>
      <c r="AM1355" s="89">
        <v>44174.585532407407</v>
      </c>
      <c r="AN1355" s="86" t="s">
        <v>15249</v>
      </c>
      <c r="AO1355" s="86" t="s">
        <v>27656</v>
      </c>
      <c r="AP1355" s="96" t="str">
        <f>HYPERLINK("https://t.co/AENrIElmd7")</f>
        <v>https://t.co/AENrIElmd7</v>
      </c>
      <c r="AQ1355" s="96" t="str">
        <f>HYPERLINK("https://rmhdesigner.myportfolio.com/")</f>
        <v>https://rmhdesigner.myportfolio.com/</v>
      </c>
      <c r="AR1355" s="86" t="s">
        <v>28807</v>
      </c>
      <c r="AS1355" s="86"/>
      <c r="AT1355" s="86"/>
      <c r="AU1355" s="86"/>
      <c r="AV1355" s="86"/>
      <c r="AW1355" s="96" t="str">
        <f>HYPERLINK("https://t.co/AENrIElmd7")</f>
        <v>https://t.co/AENrIElmd7</v>
      </c>
      <c r="AX1355" s="86" t="b">
        <v>0</v>
      </c>
      <c r="AY1355" s="86"/>
      <c r="AZ1355" s="86"/>
      <c r="BA1355" s="86" t="b">
        <v>1</v>
      </c>
      <c r="BB1355" s="86" t="b">
        <v>0</v>
      </c>
      <c r="BC1355" s="86" t="b">
        <v>1</v>
      </c>
      <c r="BD1355" s="86" t="b">
        <v>0</v>
      </c>
      <c r="BE1355" s="86" t="b">
        <v>0</v>
      </c>
      <c r="BF1355" s="86" t="b">
        <v>0</v>
      </c>
      <c r="BG1355" s="86" t="b">
        <v>1</v>
      </c>
      <c r="BH1355" s="96" t="str">
        <f>HYPERLINK("https://pbs.twimg.com/profile_banners/1336672635623763971/1639530159")</f>
        <v>https://pbs.twimg.com/profile_banners/1336672635623763971/1639530159</v>
      </c>
      <c r="BI1355" s="86"/>
      <c r="BJ1355" s="86" t="s">
        <v>29134</v>
      </c>
      <c r="BK1355" s="86" t="b">
        <v>0</v>
      </c>
      <c r="BL1355" s="86"/>
      <c r="BM1355" s="86" t="s">
        <v>66</v>
      </c>
      <c r="BN1355" s="86" t="s">
        <v>29136</v>
      </c>
      <c r="BO1355" s="96" t="str">
        <f>HYPERLINK("https://twitter.com/rfmh_design")</f>
        <v>https://twitter.com/rfmh_design</v>
      </c>
      <c r="BP1355" s="2"/>
    </row>
    <row r="1356" spans="1:68" x14ac:dyDescent="0.25">
      <c r="A1356" s="63" t="s">
        <v>1810</v>
      </c>
      <c r="B1356" s="64"/>
      <c r="C1356" s="64"/>
      <c r="D1356" s="65"/>
      <c r="E1356" s="67"/>
      <c r="F1356" s="111" t="str">
        <f>HYPERLINK("https://pbs.twimg.com/profile_images/1196952764/Foto_255__normal.jpg")</f>
        <v>https://pbs.twimg.com/profile_images/1196952764/Foto_255__normal.jpg</v>
      </c>
      <c r="G1356" s="64"/>
      <c r="H1356" s="68"/>
      <c r="I1356" s="69"/>
      <c r="J1356" s="69"/>
      <c r="K1356" s="68" t="s">
        <v>30489</v>
      </c>
      <c r="L1356" s="72"/>
      <c r="M1356" s="73"/>
      <c r="N1356" s="73"/>
      <c r="O1356" s="74"/>
      <c r="P1356" s="75"/>
      <c r="Q1356" s="75"/>
      <c r="R1356" s="102"/>
      <c r="S1356" s="102"/>
      <c r="T1356" s="102"/>
      <c r="U1356" s="102"/>
      <c r="V1356" s="48"/>
      <c r="W1356" s="48"/>
      <c r="X1356" s="48"/>
      <c r="Y1356" s="48"/>
      <c r="Z1356" s="47"/>
      <c r="AA1356" s="70">
        <v>1356</v>
      </c>
      <c r="AB1356" s="70"/>
      <c r="AC1356" s="71"/>
      <c r="AD1356" s="86" t="s">
        <v>24951</v>
      </c>
      <c r="AE1356" s="94" t="s">
        <v>25768</v>
      </c>
      <c r="AF1356" s="86">
        <v>9</v>
      </c>
      <c r="AG1356" s="86">
        <v>0</v>
      </c>
      <c r="AH1356" s="86">
        <v>3</v>
      </c>
      <c r="AI1356" s="86">
        <v>0</v>
      </c>
      <c r="AJ1356" s="86">
        <v>0</v>
      </c>
      <c r="AK1356" s="86">
        <v>0</v>
      </c>
      <c r="AL1356" s="86" t="b">
        <v>0</v>
      </c>
      <c r="AM1356" s="89">
        <v>40094.391099537039</v>
      </c>
      <c r="AN1356" s="86" t="s">
        <v>26341</v>
      </c>
      <c r="AO1356" s="86"/>
      <c r="AP1356" s="86"/>
      <c r="AQ1356" s="86"/>
      <c r="AR1356" s="86"/>
      <c r="AS1356" s="86"/>
      <c r="AT1356" s="86"/>
      <c r="AU1356" s="86"/>
      <c r="AV1356" s="86"/>
      <c r="AW1356" s="86"/>
      <c r="AX1356" s="86" t="b">
        <v>0</v>
      </c>
      <c r="AY1356" s="86"/>
      <c r="AZ1356" s="86"/>
      <c r="BA1356" s="86" t="b">
        <v>0</v>
      </c>
      <c r="BB1356" s="86" t="b">
        <v>1</v>
      </c>
      <c r="BC1356" s="86" t="b">
        <v>1</v>
      </c>
      <c r="BD1356" s="86" t="b">
        <v>0</v>
      </c>
      <c r="BE1356" s="86" t="b">
        <v>0</v>
      </c>
      <c r="BF1356" s="86" t="b">
        <v>0</v>
      </c>
      <c r="BG1356" s="86" t="b">
        <v>0</v>
      </c>
      <c r="BH1356" s="86"/>
      <c r="BI1356" s="86"/>
      <c r="BJ1356" s="86" t="s">
        <v>29134</v>
      </c>
      <c r="BK1356" s="86" t="b">
        <v>0</v>
      </c>
      <c r="BL1356" s="86"/>
      <c r="BM1356" s="86" t="s">
        <v>65</v>
      </c>
      <c r="BN1356" s="86" t="s">
        <v>29136</v>
      </c>
      <c r="BO1356" s="96" t="str">
        <f>HYPERLINK("https://twitter.com/apercom")</f>
        <v>https://twitter.com/apercom</v>
      </c>
      <c r="BP1356" s="2"/>
    </row>
    <row r="1357" spans="1:68" x14ac:dyDescent="0.25">
      <c r="A1357" s="63" t="s">
        <v>1374</v>
      </c>
      <c r="B1357" s="64"/>
      <c r="C1357" s="64"/>
      <c r="D1357" s="65"/>
      <c r="E1357" s="67"/>
      <c r="F1357" s="111" t="str">
        <f>HYPERLINK("https://pbs.twimg.com/profile_images/1686448995923542023/698dY3C5_normal.jpg")</f>
        <v>https://pbs.twimg.com/profile_images/1686448995923542023/698dY3C5_normal.jpg</v>
      </c>
      <c r="G1357" s="64"/>
      <c r="H1357" s="68"/>
      <c r="I1357" s="69"/>
      <c r="J1357" s="69"/>
      <c r="K1357" s="68" t="s">
        <v>30490</v>
      </c>
      <c r="L1357" s="72"/>
      <c r="M1357" s="73"/>
      <c r="N1357" s="73"/>
      <c r="O1357" s="74"/>
      <c r="P1357" s="75"/>
      <c r="Q1357" s="75"/>
      <c r="R1357" s="102"/>
      <c r="S1357" s="102"/>
      <c r="T1357" s="102"/>
      <c r="U1357" s="102"/>
      <c r="V1357" s="48"/>
      <c r="W1357" s="48"/>
      <c r="X1357" s="48"/>
      <c r="Y1357" s="48"/>
      <c r="Z1357" s="47"/>
      <c r="AA1357" s="70">
        <v>1357</v>
      </c>
      <c r="AB1357" s="70"/>
      <c r="AC1357" s="71"/>
      <c r="AD1357" s="86" t="s">
        <v>24952</v>
      </c>
      <c r="AE1357" s="94" t="s">
        <v>25769</v>
      </c>
      <c r="AF1357" s="86">
        <v>730</v>
      </c>
      <c r="AG1357" s="86">
        <v>2255</v>
      </c>
      <c r="AH1357" s="86">
        <v>8360</v>
      </c>
      <c r="AI1357" s="86">
        <v>27</v>
      </c>
      <c r="AJ1357" s="86">
        <v>518</v>
      </c>
      <c r="AK1357" s="86">
        <v>415</v>
      </c>
      <c r="AL1357" s="86" t="b">
        <v>0</v>
      </c>
      <c r="AM1357" s="89">
        <v>39786.375185185185</v>
      </c>
      <c r="AN1357" s="86" t="s">
        <v>15246</v>
      </c>
      <c r="AO1357" s="86" t="s">
        <v>27657</v>
      </c>
      <c r="AP1357" s="96" t="str">
        <f>HYPERLINK("https://t.co/cdRJFJ3WrY")</f>
        <v>https://t.co/cdRJFJ3WrY</v>
      </c>
      <c r="AQ1357" s="96" t="str">
        <f>HYPERLINK("http://www.agencianoimd.com.br")</f>
        <v>http://www.agencianoimd.com.br</v>
      </c>
      <c r="AR1357" s="86" t="s">
        <v>28808</v>
      </c>
      <c r="AS1357" s="86"/>
      <c r="AT1357" s="86"/>
      <c r="AU1357" s="86"/>
      <c r="AV1357" s="86"/>
      <c r="AW1357" s="96" t="str">
        <f>HYPERLINK("https://t.co/cdRJFJ3WrY")</f>
        <v>https://t.co/cdRJFJ3WrY</v>
      </c>
      <c r="AX1357" s="86" t="b">
        <v>0</v>
      </c>
      <c r="AY1357" s="86"/>
      <c r="AZ1357" s="86"/>
      <c r="BA1357" s="86" t="b">
        <v>0</v>
      </c>
      <c r="BB1357" s="86" t="b">
        <v>1</v>
      </c>
      <c r="BC1357" s="86" t="b">
        <v>0</v>
      </c>
      <c r="BD1357" s="86" t="b">
        <v>0</v>
      </c>
      <c r="BE1357" s="86" t="b">
        <v>0</v>
      </c>
      <c r="BF1357" s="86" t="b">
        <v>0</v>
      </c>
      <c r="BG1357" s="86" t="b">
        <v>0</v>
      </c>
      <c r="BH1357" s="96" t="str">
        <f>HYPERLINK("https://pbs.twimg.com/profile_banners/17863805/1690851798")</f>
        <v>https://pbs.twimg.com/profile_banners/17863805/1690851798</v>
      </c>
      <c r="BI1357" s="86"/>
      <c r="BJ1357" s="86" t="s">
        <v>29134</v>
      </c>
      <c r="BK1357" s="86" t="b">
        <v>0</v>
      </c>
      <c r="BL1357" s="86"/>
      <c r="BM1357" s="86" t="s">
        <v>66</v>
      </c>
      <c r="BN1357" s="86" t="s">
        <v>29136</v>
      </c>
      <c r="BO1357" s="96" t="str">
        <f>HYPERLINK("https://twitter.com/rferreirasbc")</f>
        <v>https://twitter.com/rferreirasbc</v>
      </c>
      <c r="BP1357" s="2"/>
    </row>
    <row r="1358" spans="1:68" x14ac:dyDescent="0.25">
      <c r="A1358" s="63" t="s">
        <v>1375</v>
      </c>
      <c r="B1358" s="64"/>
      <c r="C1358" s="64"/>
      <c r="D1358" s="65"/>
      <c r="E1358" s="67"/>
      <c r="F1358" s="111" t="str">
        <f>HYPERLINK("https://pbs.twimg.com/profile_images/746770650937819136/NOdxSxS2_normal.jpg")</f>
        <v>https://pbs.twimg.com/profile_images/746770650937819136/NOdxSxS2_normal.jpg</v>
      </c>
      <c r="G1358" s="64"/>
      <c r="H1358" s="68"/>
      <c r="I1358" s="69"/>
      <c r="J1358" s="69"/>
      <c r="K1358" s="68" t="s">
        <v>30491</v>
      </c>
      <c r="L1358" s="72"/>
      <c r="M1358" s="73"/>
      <c r="N1358" s="73"/>
      <c r="O1358" s="74"/>
      <c r="P1358" s="75"/>
      <c r="Q1358" s="75"/>
      <c r="R1358" s="102"/>
      <c r="S1358" s="102"/>
      <c r="T1358" s="102"/>
      <c r="U1358" s="102"/>
      <c r="V1358" s="48"/>
      <c r="W1358" s="48"/>
      <c r="X1358" s="48"/>
      <c r="Y1358" s="48"/>
      <c r="Z1358" s="47"/>
      <c r="AA1358" s="70">
        <v>1358</v>
      </c>
      <c r="AB1358" s="70"/>
      <c r="AC1358" s="71"/>
      <c r="AD1358" s="86" t="s">
        <v>24953</v>
      </c>
      <c r="AE1358" s="94" t="s">
        <v>23460</v>
      </c>
      <c r="AF1358" s="86">
        <v>27</v>
      </c>
      <c r="AG1358" s="86">
        <v>211</v>
      </c>
      <c r="AH1358" s="86">
        <v>9883</v>
      </c>
      <c r="AI1358" s="86">
        <v>2</v>
      </c>
      <c r="AJ1358" s="86">
        <v>1047</v>
      </c>
      <c r="AK1358" s="86">
        <v>3904</v>
      </c>
      <c r="AL1358" s="86" t="b">
        <v>0</v>
      </c>
      <c r="AM1358" s="89">
        <v>42546.763136574074</v>
      </c>
      <c r="AN1358" s="86" t="s">
        <v>15235</v>
      </c>
      <c r="AO1358" s="86" t="s">
        <v>27658</v>
      </c>
      <c r="AP1358" s="96" t="str">
        <f>HYPERLINK("https://t.co/vOl5aPjjgj")</f>
        <v>https://t.co/vOl5aPjjgj</v>
      </c>
      <c r="AQ1358" s="96" t="str">
        <f>HYPERLINK("http://mvpdesportiva.blogspot.pt")</f>
        <v>http://mvpdesportiva.blogspot.pt</v>
      </c>
      <c r="AR1358" s="86" t="s">
        <v>28809</v>
      </c>
      <c r="AS1358" s="86"/>
      <c r="AT1358" s="86"/>
      <c r="AU1358" s="86"/>
      <c r="AV1358" s="86"/>
      <c r="AW1358" s="96" t="str">
        <f>HYPERLINK("https://t.co/vOl5aPjjgj")</f>
        <v>https://t.co/vOl5aPjjgj</v>
      </c>
      <c r="AX1358" s="86" t="b">
        <v>0</v>
      </c>
      <c r="AY1358" s="86"/>
      <c r="AZ1358" s="86"/>
      <c r="BA1358" s="86" t="b">
        <v>0</v>
      </c>
      <c r="BB1358" s="86" t="b">
        <v>1</v>
      </c>
      <c r="BC1358" s="86" t="b">
        <v>1</v>
      </c>
      <c r="BD1358" s="86" t="b">
        <v>0</v>
      </c>
      <c r="BE1358" s="86" t="b">
        <v>1</v>
      </c>
      <c r="BF1358" s="86" t="b">
        <v>0</v>
      </c>
      <c r="BG1358" s="86" t="b">
        <v>0</v>
      </c>
      <c r="BH1358" s="96" t="str">
        <f>HYPERLINK("https://pbs.twimg.com/profile_banners/746769658192236545/1467914221")</f>
        <v>https://pbs.twimg.com/profile_banners/746769658192236545/1467914221</v>
      </c>
      <c r="BI1358" s="86"/>
      <c r="BJ1358" s="86" t="s">
        <v>29134</v>
      </c>
      <c r="BK1358" s="86" t="b">
        <v>0</v>
      </c>
      <c r="BL1358" s="86"/>
      <c r="BM1358" s="86" t="s">
        <v>66</v>
      </c>
      <c r="BN1358" s="86" t="s">
        <v>29136</v>
      </c>
      <c r="BO1358" s="96" t="str">
        <f>HYPERLINK("https://twitter.com/mvpd14")</f>
        <v>https://twitter.com/mvpd14</v>
      </c>
      <c r="BP1358" s="2"/>
    </row>
    <row r="1359" spans="1:68" x14ac:dyDescent="0.25">
      <c r="A1359" s="63" t="s">
        <v>1376</v>
      </c>
      <c r="B1359" s="64"/>
      <c r="C1359" s="64"/>
      <c r="D1359" s="65"/>
      <c r="E1359" s="67"/>
      <c r="F1359" s="111" t="str">
        <f>HYPERLINK("https://pbs.twimg.com/profile_images/1700704107546267648/snsIh7Zz_normal.jpg")</f>
        <v>https://pbs.twimg.com/profile_images/1700704107546267648/snsIh7Zz_normal.jpg</v>
      </c>
      <c r="G1359" s="64"/>
      <c r="H1359" s="68"/>
      <c r="I1359" s="69"/>
      <c r="J1359" s="69"/>
      <c r="K1359" s="68" t="s">
        <v>30492</v>
      </c>
      <c r="L1359" s="72"/>
      <c r="M1359" s="73"/>
      <c r="N1359" s="73"/>
      <c r="O1359" s="74"/>
      <c r="P1359" s="75"/>
      <c r="Q1359" s="75"/>
      <c r="R1359" s="102"/>
      <c r="S1359" s="102"/>
      <c r="T1359" s="102"/>
      <c r="U1359" s="102"/>
      <c r="V1359" s="48"/>
      <c r="W1359" s="48"/>
      <c r="X1359" s="48"/>
      <c r="Y1359" s="48"/>
      <c r="Z1359" s="47"/>
      <c r="AA1359" s="70">
        <v>1359</v>
      </c>
      <c r="AB1359" s="70"/>
      <c r="AC1359" s="71"/>
      <c r="AD1359" s="86" t="s">
        <v>24954</v>
      </c>
      <c r="AE1359" s="94" t="s">
        <v>23461</v>
      </c>
      <c r="AF1359" s="86">
        <v>3</v>
      </c>
      <c r="AG1359" s="86">
        <v>8</v>
      </c>
      <c r="AH1359" s="86">
        <v>199</v>
      </c>
      <c r="AI1359" s="86">
        <v>0</v>
      </c>
      <c r="AJ1359" s="86">
        <v>44</v>
      </c>
      <c r="AK1359" s="86">
        <v>49</v>
      </c>
      <c r="AL1359" s="86" t="b">
        <v>0</v>
      </c>
      <c r="AM1359" s="89">
        <v>45040.524456018517</v>
      </c>
      <c r="AN1359" s="86" t="s">
        <v>26342</v>
      </c>
      <c r="AO1359" s="86" t="s">
        <v>27659</v>
      </c>
      <c r="AP1359" s="96" t="str">
        <f>HYPERLINK("https://t.co/R0mjufiNPz")</f>
        <v>https://t.co/R0mjufiNPz</v>
      </c>
      <c r="AQ1359" s="96" t="str">
        <f>HYPERLINK("https://chat.whatsapp.com/CpAMNv2k5w98MbuKlqA5nk?fbclid=PAAaYVA3n-kfjExIoDRaZ-pcQaHhbHLcrwmz-FSultL8")</f>
        <v>https://chat.whatsapp.com/CpAMNv2k5w98MbuKlqA5nk?fbclid=PAAaYVA3n-kfjExIoDRaZ-pcQaHhbHLcrwmz-FSultL8</v>
      </c>
      <c r="AR1359" s="86" t="s">
        <v>28810</v>
      </c>
      <c r="AS1359" s="86"/>
      <c r="AT1359" s="86"/>
      <c r="AU1359" s="86"/>
      <c r="AV1359" s="86"/>
      <c r="AW1359" s="96" t="str">
        <f>HYPERLINK("https://t.co/R0mjufiNPz")</f>
        <v>https://t.co/R0mjufiNPz</v>
      </c>
      <c r="AX1359" s="86" t="b">
        <v>0</v>
      </c>
      <c r="AY1359" s="86"/>
      <c r="AZ1359" s="86"/>
      <c r="BA1359" s="86" t="b">
        <v>0</v>
      </c>
      <c r="BB1359" s="86" t="b">
        <v>1</v>
      </c>
      <c r="BC1359" s="86" t="b">
        <v>1</v>
      </c>
      <c r="BD1359" s="86" t="b">
        <v>0</v>
      </c>
      <c r="BE1359" s="86" t="b">
        <v>0</v>
      </c>
      <c r="BF1359" s="86" t="b">
        <v>0</v>
      </c>
      <c r="BG1359" s="86" t="b">
        <v>0</v>
      </c>
      <c r="BH1359" s="96" t="str">
        <f>HYPERLINK("https://pbs.twimg.com/profile_banners/1650478126969896960/1694314431")</f>
        <v>https://pbs.twimg.com/profile_banners/1650478126969896960/1694314431</v>
      </c>
      <c r="BI1359" s="86"/>
      <c r="BJ1359" s="86" t="s">
        <v>29134</v>
      </c>
      <c r="BK1359" s="86" t="b">
        <v>0</v>
      </c>
      <c r="BL1359" s="86"/>
      <c r="BM1359" s="86" t="s">
        <v>66</v>
      </c>
      <c r="BN1359" s="86" t="s">
        <v>29136</v>
      </c>
      <c r="BO1359" s="96" t="str">
        <f>HYPERLINK("https://twitter.com/bemmercearia19")</f>
        <v>https://twitter.com/bemmercearia19</v>
      </c>
      <c r="BP1359" s="2"/>
    </row>
    <row r="1360" spans="1:68" x14ac:dyDescent="0.25">
      <c r="A1360" s="63" t="s">
        <v>1377</v>
      </c>
      <c r="B1360" s="64"/>
      <c r="C1360" s="64"/>
      <c r="D1360" s="65"/>
      <c r="E1360" s="67"/>
      <c r="F1360" s="111" t="str">
        <f>HYPERLINK("https://pbs.twimg.com/profile_images/1663626383275220998/yXUqUYDq_normal.png")</f>
        <v>https://pbs.twimg.com/profile_images/1663626383275220998/yXUqUYDq_normal.png</v>
      </c>
      <c r="G1360" s="64"/>
      <c r="H1360" s="68"/>
      <c r="I1360" s="69"/>
      <c r="J1360" s="69"/>
      <c r="K1360" s="68" t="s">
        <v>30493</v>
      </c>
      <c r="L1360" s="72"/>
      <c r="M1360" s="73"/>
      <c r="N1360" s="73"/>
      <c r="O1360" s="74"/>
      <c r="P1360" s="75"/>
      <c r="Q1360" s="75"/>
      <c r="R1360" s="102"/>
      <c r="S1360" s="102"/>
      <c r="T1360" s="102"/>
      <c r="U1360" s="102"/>
      <c r="V1360" s="48"/>
      <c r="W1360" s="48"/>
      <c r="X1360" s="48"/>
      <c r="Y1360" s="48"/>
      <c r="Z1360" s="47"/>
      <c r="AA1360" s="70">
        <v>1360</v>
      </c>
      <c r="AB1360" s="70"/>
      <c r="AC1360" s="71"/>
      <c r="AD1360" s="86" t="s">
        <v>24955</v>
      </c>
      <c r="AE1360" s="94" t="s">
        <v>23462</v>
      </c>
      <c r="AF1360" s="86">
        <v>103</v>
      </c>
      <c r="AG1360" s="86">
        <v>68</v>
      </c>
      <c r="AH1360" s="86">
        <v>492</v>
      </c>
      <c r="AI1360" s="86">
        <v>1</v>
      </c>
      <c r="AJ1360" s="86">
        <v>237</v>
      </c>
      <c r="AK1360" s="86">
        <v>327</v>
      </c>
      <c r="AL1360" s="86" t="b">
        <v>0</v>
      </c>
      <c r="AM1360" s="89">
        <v>44216.92396990741</v>
      </c>
      <c r="AN1360" s="86" t="s">
        <v>25896</v>
      </c>
      <c r="AO1360" s="86" t="s">
        <v>27660</v>
      </c>
      <c r="AP1360" s="96" t="str">
        <f>HYPERLINK("https://t.co/LX6clUIQeN")</f>
        <v>https://t.co/LX6clUIQeN</v>
      </c>
      <c r="AQ1360" s="96" t="str">
        <f>HYPERLINK("http://linklist.bio/inovahcfmusp")</f>
        <v>http://linklist.bio/inovahcfmusp</v>
      </c>
      <c r="AR1360" s="86" t="s">
        <v>28811</v>
      </c>
      <c r="AS1360" s="86"/>
      <c r="AT1360" s="86"/>
      <c r="AU1360" s="86"/>
      <c r="AV1360" s="86"/>
      <c r="AW1360" s="96" t="str">
        <f>HYPERLINK("https://t.co/LX6clUIQeN")</f>
        <v>https://t.co/LX6clUIQeN</v>
      </c>
      <c r="AX1360" s="86" t="b">
        <v>0</v>
      </c>
      <c r="AY1360" s="86"/>
      <c r="AZ1360" s="86"/>
      <c r="BA1360" s="86" t="b">
        <v>0</v>
      </c>
      <c r="BB1360" s="86" t="b">
        <v>1</v>
      </c>
      <c r="BC1360" s="86" t="b">
        <v>1</v>
      </c>
      <c r="BD1360" s="86" t="b">
        <v>0</v>
      </c>
      <c r="BE1360" s="86" t="b">
        <v>0</v>
      </c>
      <c r="BF1360" s="86" t="b">
        <v>0</v>
      </c>
      <c r="BG1360" s="86" t="b">
        <v>0</v>
      </c>
      <c r="BH1360" s="96" t="str">
        <f>HYPERLINK("https://pbs.twimg.com/profile_banners/1352015618845908994/1685474414")</f>
        <v>https://pbs.twimg.com/profile_banners/1352015618845908994/1685474414</v>
      </c>
      <c r="BI1360" s="86"/>
      <c r="BJ1360" s="86" t="s">
        <v>29134</v>
      </c>
      <c r="BK1360" s="86" t="b">
        <v>0</v>
      </c>
      <c r="BL1360" s="86"/>
      <c r="BM1360" s="86" t="s">
        <v>66</v>
      </c>
      <c r="BN1360" s="86" t="s">
        <v>29136</v>
      </c>
      <c r="BO1360" s="96" t="str">
        <f>HYPERLINK("https://twitter.com/inovahcfmusp")</f>
        <v>https://twitter.com/inovahcfmusp</v>
      </c>
      <c r="BP1360" s="2"/>
    </row>
    <row r="1361" spans="1:68" x14ac:dyDescent="0.25">
      <c r="A1361" s="63" t="s">
        <v>1378</v>
      </c>
      <c r="B1361" s="64"/>
      <c r="C1361" s="64"/>
      <c r="D1361" s="65"/>
      <c r="E1361" s="67"/>
      <c r="F1361" s="111" t="str">
        <f>HYPERLINK("https://pbs.twimg.com/profile_images/1687530896004415494/JSVRdGgw_normal.jpg")</f>
        <v>https://pbs.twimg.com/profile_images/1687530896004415494/JSVRdGgw_normal.jpg</v>
      </c>
      <c r="G1361" s="64"/>
      <c r="H1361" s="68"/>
      <c r="I1361" s="69"/>
      <c r="J1361" s="69"/>
      <c r="K1361" s="68" t="s">
        <v>30494</v>
      </c>
      <c r="L1361" s="72"/>
      <c r="M1361" s="73"/>
      <c r="N1361" s="73"/>
      <c r="O1361" s="74"/>
      <c r="P1361" s="75"/>
      <c r="Q1361" s="75"/>
      <c r="R1361" s="102"/>
      <c r="S1361" s="102"/>
      <c r="T1361" s="102"/>
      <c r="U1361" s="102"/>
      <c r="V1361" s="48"/>
      <c r="W1361" s="48"/>
      <c r="X1361" s="48"/>
      <c r="Y1361" s="48"/>
      <c r="Z1361" s="47"/>
      <c r="AA1361" s="70">
        <v>1361</v>
      </c>
      <c r="AB1361" s="70"/>
      <c r="AC1361" s="71"/>
      <c r="AD1361" s="86" t="s">
        <v>24956</v>
      </c>
      <c r="AE1361" s="94" t="s">
        <v>23463</v>
      </c>
      <c r="AF1361" s="86">
        <v>5</v>
      </c>
      <c r="AG1361" s="86">
        <v>77</v>
      </c>
      <c r="AH1361" s="86">
        <v>2</v>
      </c>
      <c r="AI1361" s="86">
        <v>0</v>
      </c>
      <c r="AJ1361" s="86">
        <v>5</v>
      </c>
      <c r="AK1361" s="86">
        <v>2</v>
      </c>
      <c r="AL1361" s="86" t="b">
        <v>0</v>
      </c>
      <c r="AM1361" s="89">
        <v>45142.768333333333</v>
      </c>
      <c r="AN1361" s="86" t="s">
        <v>15372</v>
      </c>
      <c r="AO1361" s="86" t="s">
        <v>27661</v>
      </c>
      <c r="AP1361" s="96" t="str">
        <f>HYPERLINK("https://t.co/vNBm44Jw3t")</f>
        <v>https://t.co/vNBm44Jw3t</v>
      </c>
      <c r="AQ1361" s="96" t="str">
        <f>HYPERLINK("https://starbetsonline.com/afiliados/tawanx10")</f>
        <v>https://starbetsonline.com/afiliados/tawanx10</v>
      </c>
      <c r="AR1361" s="86" t="s">
        <v>28812</v>
      </c>
      <c r="AS1361" s="86"/>
      <c r="AT1361" s="86"/>
      <c r="AU1361" s="86"/>
      <c r="AV1361" s="86"/>
      <c r="AW1361" s="96" t="str">
        <f>HYPERLINK("https://t.co/vNBm44Jw3t")</f>
        <v>https://t.co/vNBm44Jw3t</v>
      </c>
      <c r="AX1361" s="86" t="b">
        <v>0</v>
      </c>
      <c r="AY1361" s="86"/>
      <c r="AZ1361" s="86"/>
      <c r="BA1361" s="86" t="b">
        <v>0</v>
      </c>
      <c r="BB1361" s="86" t="b">
        <v>1</v>
      </c>
      <c r="BC1361" s="86" t="b">
        <v>1</v>
      </c>
      <c r="BD1361" s="86" t="b">
        <v>0</v>
      </c>
      <c r="BE1361" s="86" t="b">
        <v>0</v>
      </c>
      <c r="BF1361" s="86" t="b">
        <v>0</v>
      </c>
      <c r="BG1361" s="86" t="b">
        <v>0</v>
      </c>
      <c r="BH1361" s="86"/>
      <c r="BI1361" s="86"/>
      <c r="BJ1361" s="86" t="s">
        <v>29134</v>
      </c>
      <c r="BK1361" s="86" t="b">
        <v>0</v>
      </c>
      <c r="BL1361" s="86"/>
      <c r="BM1361" s="86" t="s">
        <v>66</v>
      </c>
      <c r="BN1361" s="86" t="s">
        <v>29136</v>
      </c>
      <c r="BO1361" s="96" t="str">
        <f>HYPERLINK("https://twitter.com/starbetsrj")</f>
        <v>https://twitter.com/starbetsrj</v>
      </c>
      <c r="BP1361" s="2"/>
    </row>
    <row r="1362" spans="1:68" x14ac:dyDescent="0.25">
      <c r="A1362" s="63" t="s">
        <v>1379</v>
      </c>
      <c r="B1362" s="64"/>
      <c r="C1362" s="64"/>
      <c r="D1362" s="65"/>
      <c r="E1362" s="67"/>
      <c r="F1362" s="111" t="str">
        <f>HYPERLINK("https://pbs.twimg.com/profile_images/1472688442366648331/2M1fE_Lk_normal.jpg")</f>
        <v>https://pbs.twimg.com/profile_images/1472688442366648331/2M1fE_Lk_normal.jpg</v>
      </c>
      <c r="G1362" s="64"/>
      <c r="H1362" s="68"/>
      <c r="I1362" s="69"/>
      <c r="J1362" s="69"/>
      <c r="K1362" s="68" t="s">
        <v>30495</v>
      </c>
      <c r="L1362" s="72"/>
      <c r="M1362" s="73"/>
      <c r="N1362" s="73"/>
      <c r="O1362" s="74"/>
      <c r="P1362" s="75"/>
      <c r="Q1362" s="75"/>
      <c r="R1362" s="102"/>
      <c r="S1362" s="102"/>
      <c r="T1362" s="102"/>
      <c r="U1362" s="102"/>
      <c r="V1362" s="48"/>
      <c r="W1362" s="48"/>
      <c r="X1362" s="48"/>
      <c r="Y1362" s="48"/>
      <c r="Z1362" s="47"/>
      <c r="AA1362" s="70">
        <v>1362</v>
      </c>
      <c r="AB1362" s="70"/>
      <c r="AC1362" s="71"/>
      <c r="AD1362" s="86" t="s">
        <v>24957</v>
      </c>
      <c r="AE1362" s="94" t="s">
        <v>22642</v>
      </c>
      <c r="AF1362" s="86">
        <v>5</v>
      </c>
      <c r="AG1362" s="86">
        <v>184</v>
      </c>
      <c r="AH1362" s="86">
        <v>354</v>
      </c>
      <c r="AI1362" s="86">
        <v>0</v>
      </c>
      <c r="AJ1362" s="86">
        <v>355</v>
      </c>
      <c r="AK1362" s="86">
        <v>126</v>
      </c>
      <c r="AL1362" s="86" t="b">
        <v>0</v>
      </c>
      <c r="AM1362" s="89">
        <v>44509.111979166664</v>
      </c>
      <c r="AN1362" s="86" t="s">
        <v>15378</v>
      </c>
      <c r="AO1362" s="86" t="s">
        <v>27662</v>
      </c>
      <c r="AP1362" s="96" t="str">
        <f>HYPERLINK("https://t.co/0BLL8XEsw3")</f>
        <v>https://t.co/0BLL8XEsw3</v>
      </c>
      <c r="AQ1362" s="96" t="str">
        <f>HYPERLINK("https://sellab.com.br/")</f>
        <v>https://sellab.com.br/</v>
      </c>
      <c r="AR1362" s="86" t="s">
        <v>28813</v>
      </c>
      <c r="AS1362" s="86"/>
      <c r="AT1362" s="86"/>
      <c r="AU1362" s="86"/>
      <c r="AV1362" s="86">
        <v>1.48688062646048E+18</v>
      </c>
      <c r="AW1362" s="96" t="str">
        <f>HYPERLINK("https://t.co/0BLL8XEsw3")</f>
        <v>https://t.co/0BLL8XEsw3</v>
      </c>
      <c r="AX1362" s="86" t="b">
        <v>0</v>
      </c>
      <c r="AY1362" s="86"/>
      <c r="AZ1362" s="86"/>
      <c r="BA1362" s="86" t="b">
        <v>0</v>
      </c>
      <c r="BB1362" s="86" t="b">
        <v>1</v>
      </c>
      <c r="BC1362" s="86" t="b">
        <v>1</v>
      </c>
      <c r="BD1362" s="86" t="b">
        <v>0</v>
      </c>
      <c r="BE1362" s="86" t="b">
        <v>0</v>
      </c>
      <c r="BF1362" s="86" t="b">
        <v>0</v>
      </c>
      <c r="BG1362" s="86" t="b">
        <v>0</v>
      </c>
      <c r="BH1362" s="96" t="str">
        <f>HYPERLINK("https://pbs.twimg.com/profile_banners/1457900689154248706/1643145861")</f>
        <v>https://pbs.twimg.com/profile_banners/1457900689154248706/1643145861</v>
      </c>
      <c r="BI1362" s="86"/>
      <c r="BJ1362" s="86" t="s">
        <v>29134</v>
      </c>
      <c r="BK1362" s="86" t="b">
        <v>0</v>
      </c>
      <c r="BL1362" s="86"/>
      <c r="BM1362" s="86" t="s">
        <v>66</v>
      </c>
      <c r="BN1362" s="86" t="s">
        <v>29136</v>
      </c>
      <c r="BO1362" s="96" t="str">
        <f>HYPERLINK("https://twitter.com/sellabvarejo")</f>
        <v>https://twitter.com/sellabvarejo</v>
      </c>
      <c r="BP1362" s="2"/>
    </row>
    <row r="1363" spans="1:68" x14ac:dyDescent="0.25">
      <c r="A1363" s="63" t="s">
        <v>1380</v>
      </c>
      <c r="B1363" s="64"/>
      <c r="C1363" s="64"/>
      <c r="D1363" s="65"/>
      <c r="E1363" s="67"/>
      <c r="F1363" s="111" t="str">
        <f>HYPERLINK("https://pbs.twimg.com/profile_images/995647405713510400/IrAKVrWf_normal.jpg")</f>
        <v>https://pbs.twimg.com/profile_images/995647405713510400/IrAKVrWf_normal.jpg</v>
      </c>
      <c r="G1363" s="64"/>
      <c r="H1363" s="68"/>
      <c r="I1363" s="69"/>
      <c r="J1363" s="69"/>
      <c r="K1363" s="68" t="s">
        <v>30496</v>
      </c>
      <c r="L1363" s="72"/>
      <c r="M1363" s="73"/>
      <c r="N1363" s="73"/>
      <c r="O1363" s="74"/>
      <c r="P1363" s="75"/>
      <c r="Q1363" s="75"/>
      <c r="R1363" s="102"/>
      <c r="S1363" s="102"/>
      <c r="T1363" s="102"/>
      <c r="U1363" s="102"/>
      <c r="V1363" s="48"/>
      <c r="W1363" s="48"/>
      <c r="X1363" s="48"/>
      <c r="Y1363" s="48"/>
      <c r="Z1363" s="47"/>
      <c r="AA1363" s="70">
        <v>1363</v>
      </c>
      <c r="AB1363" s="70"/>
      <c r="AC1363" s="71"/>
      <c r="AD1363" s="86" t="s">
        <v>24958</v>
      </c>
      <c r="AE1363" s="94" t="s">
        <v>23464</v>
      </c>
      <c r="AF1363" s="86">
        <v>490</v>
      </c>
      <c r="AG1363" s="86">
        <v>149</v>
      </c>
      <c r="AH1363" s="86">
        <v>620</v>
      </c>
      <c r="AI1363" s="86">
        <v>0</v>
      </c>
      <c r="AJ1363" s="86">
        <v>369</v>
      </c>
      <c r="AK1363" s="86">
        <v>255</v>
      </c>
      <c r="AL1363" s="86" t="b">
        <v>0</v>
      </c>
      <c r="AM1363" s="89">
        <v>43233.52611111111</v>
      </c>
      <c r="AN1363" s="86" t="s">
        <v>26056</v>
      </c>
      <c r="AO1363" s="86" t="s">
        <v>27663</v>
      </c>
      <c r="AP1363" s="96" t="str">
        <f>HYPERLINK("https://t.co/qL5Sd10SE2")</f>
        <v>https://t.co/qL5Sd10SE2</v>
      </c>
      <c r="AQ1363" s="96" t="str">
        <f>HYPERLINK("https://linktr.ee/Kamba.Rico")</f>
        <v>https://linktr.ee/Kamba.Rico</v>
      </c>
      <c r="AR1363" s="86" t="s">
        <v>28814</v>
      </c>
      <c r="AS1363" s="86"/>
      <c r="AT1363" s="86"/>
      <c r="AU1363" s="86"/>
      <c r="AV1363" s="86"/>
      <c r="AW1363" s="96" t="str">
        <f>HYPERLINK("https://t.co/qL5Sd10SE2")</f>
        <v>https://t.co/qL5Sd10SE2</v>
      </c>
      <c r="AX1363" s="86" t="b">
        <v>0</v>
      </c>
      <c r="AY1363" s="86"/>
      <c r="AZ1363" s="86"/>
      <c r="BA1363" s="86" t="b">
        <v>0</v>
      </c>
      <c r="BB1363" s="86" t="b">
        <v>1</v>
      </c>
      <c r="BC1363" s="86" t="b">
        <v>1</v>
      </c>
      <c r="BD1363" s="86" t="b">
        <v>0</v>
      </c>
      <c r="BE1363" s="86" t="b">
        <v>0</v>
      </c>
      <c r="BF1363" s="86" t="b">
        <v>0</v>
      </c>
      <c r="BG1363" s="86" t="b">
        <v>0</v>
      </c>
      <c r="BH1363" s="96" t="str">
        <f>HYPERLINK("https://pbs.twimg.com/profile_banners/995644224497504256/1667162421")</f>
        <v>https://pbs.twimg.com/profile_banners/995644224497504256/1667162421</v>
      </c>
      <c r="BI1363" s="86"/>
      <c r="BJ1363" s="86" t="s">
        <v>29134</v>
      </c>
      <c r="BK1363" s="86" t="b">
        <v>0</v>
      </c>
      <c r="BL1363" s="86"/>
      <c r="BM1363" s="86" t="s">
        <v>66</v>
      </c>
      <c r="BN1363" s="86" t="s">
        <v>29136</v>
      </c>
      <c r="BO1363" s="96" t="str">
        <f>HYPERLINK("https://twitter.com/kamba_rico")</f>
        <v>https://twitter.com/kamba_rico</v>
      </c>
      <c r="BP1363" s="2"/>
    </row>
    <row r="1364" spans="1:68" x14ac:dyDescent="0.25">
      <c r="A1364" s="63" t="s">
        <v>1381</v>
      </c>
      <c r="B1364" s="64"/>
      <c r="C1364" s="64"/>
      <c r="D1364" s="65"/>
      <c r="E1364" s="67"/>
      <c r="F1364" s="111" t="str">
        <f>HYPERLINK("https://pbs.twimg.com/profile_images/1704082899350216704/u_U_luMm_normal.jpg")</f>
        <v>https://pbs.twimg.com/profile_images/1704082899350216704/u_U_luMm_normal.jpg</v>
      </c>
      <c r="G1364" s="64"/>
      <c r="H1364" s="68"/>
      <c r="I1364" s="69"/>
      <c r="J1364" s="69"/>
      <c r="K1364" s="68" t="s">
        <v>30497</v>
      </c>
      <c r="L1364" s="72"/>
      <c r="M1364" s="73"/>
      <c r="N1364" s="73"/>
      <c r="O1364" s="74"/>
      <c r="P1364" s="75"/>
      <c r="Q1364" s="75"/>
      <c r="R1364" s="102"/>
      <c r="S1364" s="102"/>
      <c r="T1364" s="102"/>
      <c r="U1364" s="102"/>
      <c r="V1364" s="48"/>
      <c r="W1364" s="48"/>
      <c r="X1364" s="48"/>
      <c r="Y1364" s="48"/>
      <c r="Z1364" s="47"/>
      <c r="AA1364" s="70">
        <v>1364</v>
      </c>
      <c r="AB1364" s="70"/>
      <c r="AC1364" s="71"/>
      <c r="AD1364" s="86" t="s">
        <v>24959</v>
      </c>
      <c r="AE1364" s="94" t="s">
        <v>23465</v>
      </c>
      <c r="AF1364" s="86">
        <v>60</v>
      </c>
      <c r="AG1364" s="86">
        <v>34</v>
      </c>
      <c r="AH1364" s="86">
        <v>6726</v>
      </c>
      <c r="AI1364" s="86">
        <v>6</v>
      </c>
      <c r="AJ1364" s="86">
        <v>6063</v>
      </c>
      <c r="AK1364" s="86">
        <v>205</v>
      </c>
      <c r="AL1364" s="86" t="b">
        <v>0</v>
      </c>
      <c r="AM1364" s="89">
        <v>44478.945069444446</v>
      </c>
      <c r="AN1364" s="86" t="s">
        <v>26343</v>
      </c>
      <c r="AO1364" s="86" t="s">
        <v>27664</v>
      </c>
      <c r="AP1364" s="86"/>
      <c r="AQ1364" s="86"/>
      <c r="AR1364" s="86"/>
      <c r="AS1364" s="86"/>
      <c r="AT1364" s="86"/>
      <c r="AU1364" s="86"/>
      <c r="AV1364" s="86"/>
      <c r="AW1364" s="86"/>
      <c r="AX1364" s="86" t="b">
        <v>0</v>
      </c>
      <c r="AY1364" s="86"/>
      <c r="AZ1364" s="86"/>
      <c r="BA1364" s="86" t="b">
        <v>0</v>
      </c>
      <c r="BB1364" s="86" t="b">
        <v>0</v>
      </c>
      <c r="BC1364" s="86" t="b">
        <v>1</v>
      </c>
      <c r="BD1364" s="86" t="b">
        <v>0</v>
      </c>
      <c r="BE1364" s="86" t="b">
        <v>1</v>
      </c>
      <c r="BF1364" s="86" t="b">
        <v>0</v>
      </c>
      <c r="BG1364" s="86" t="b">
        <v>0</v>
      </c>
      <c r="BH1364" s="96" t="str">
        <f>HYPERLINK("https://pbs.twimg.com/profile_banners/1446968881575301123/1685382733")</f>
        <v>https://pbs.twimg.com/profile_banners/1446968881575301123/1685382733</v>
      </c>
      <c r="BI1364" s="86"/>
      <c r="BJ1364" s="86" t="s">
        <v>29134</v>
      </c>
      <c r="BK1364" s="86" t="b">
        <v>0</v>
      </c>
      <c r="BL1364" s="86"/>
      <c r="BM1364" s="86" t="s">
        <v>66</v>
      </c>
      <c r="BN1364" s="86" t="s">
        <v>29136</v>
      </c>
      <c r="BO1364" s="96" t="str">
        <f>HYPERLINK("https://twitter.com/pedrocontreira5")</f>
        <v>https://twitter.com/pedrocontreira5</v>
      </c>
      <c r="BP1364" s="2"/>
    </row>
    <row r="1365" spans="1:68" x14ac:dyDescent="0.25">
      <c r="A1365" s="63" t="s">
        <v>1382</v>
      </c>
      <c r="B1365" s="64"/>
      <c r="C1365" s="64"/>
      <c r="D1365" s="65"/>
      <c r="E1365" s="67"/>
      <c r="F1365" s="111" t="str">
        <f>HYPERLINK("https://pbs.twimg.com/profile_images/1578524731237699584/-yB7G7br_normal.jpg")</f>
        <v>https://pbs.twimg.com/profile_images/1578524731237699584/-yB7G7br_normal.jpg</v>
      </c>
      <c r="G1365" s="64"/>
      <c r="H1365" s="68"/>
      <c r="I1365" s="69"/>
      <c r="J1365" s="69"/>
      <c r="K1365" s="68" t="s">
        <v>30498</v>
      </c>
      <c r="L1365" s="72"/>
      <c r="M1365" s="73"/>
      <c r="N1365" s="73"/>
      <c r="O1365" s="74"/>
      <c r="P1365" s="75"/>
      <c r="Q1365" s="75"/>
      <c r="R1365" s="102"/>
      <c r="S1365" s="102"/>
      <c r="T1365" s="102"/>
      <c r="U1365" s="102"/>
      <c r="V1365" s="48"/>
      <c r="W1365" s="48"/>
      <c r="X1365" s="48"/>
      <c r="Y1365" s="48"/>
      <c r="Z1365" s="47"/>
      <c r="AA1365" s="70">
        <v>1365</v>
      </c>
      <c r="AB1365" s="70"/>
      <c r="AC1365" s="71"/>
      <c r="AD1365" s="86" t="s">
        <v>24960</v>
      </c>
      <c r="AE1365" s="94" t="s">
        <v>25770</v>
      </c>
      <c r="AF1365" s="86">
        <v>37</v>
      </c>
      <c r="AG1365" s="86">
        <v>42</v>
      </c>
      <c r="AH1365" s="86">
        <v>424</v>
      </c>
      <c r="AI1365" s="86">
        <v>0</v>
      </c>
      <c r="AJ1365" s="86">
        <v>25</v>
      </c>
      <c r="AK1365" s="86">
        <v>413</v>
      </c>
      <c r="AL1365" s="86" t="b">
        <v>0</v>
      </c>
      <c r="AM1365" s="89">
        <v>41982.877916666665</v>
      </c>
      <c r="AN1365" s="86" t="s">
        <v>26344</v>
      </c>
      <c r="AO1365" s="86" t="s">
        <v>27665</v>
      </c>
      <c r="AP1365" s="96" t="str">
        <f>HYPERLINK("https://t.co/zKMyZD2X7m")</f>
        <v>https://t.co/zKMyZD2X7m</v>
      </c>
      <c r="AQ1365" s="96" t="str">
        <f>HYPERLINK("http://www.clubeloucasporsapatos.com.br")</f>
        <v>http://www.clubeloucasporsapatos.com.br</v>
      </c>
      <c r="AR1365" s="86" t="s">
        <v>28815</v>
      </c>
      <c r="AS1365" s="86"/>
      <c r="AT1365" s="86"/>
      <c r="AU1365" s="86"/>
      <c r="AV1365" s="86"/>
      <c r="AW1365" s="96" t="str">
        <f>HYPERLINK("https://t.co/zKMyZD2X7m")</f>
        <v>https://t.co/zKMyZD2X7m</v>
      </c>
      <c r="AX1365" s="86" t="b">
        <v>0</v>
      </c>
      <c r="AY1365" s="86"/>
      <c r="AZ1365" s="86"/>
      <c r="BA1365" s="86" t="b">
        <v>0</v>
      </c>
      <c r="BB1365" s="86" t="b">
        <v>1</v>
      </c>
      <c r="BC1365" s="86" t="b">
        <v>0</v>
      </c>
      <c r="BD1365" s="86" t="b">
        <v>0</v>
      </c>
      <c r="BE1365" s="86" t="b">
        <v>0</v>
      </c>
      <c r="BF1365" s="86" t="b">
        <v>0</v>
      </c>
      <c r="BG1365" s="86" t="b">
        <v>0</v>
      </c>
      <c r="BH1365" s="96" t="str">
        <f>HYPERLINK("https://pbs.twimg.com/profile_banners/2924535836/1692867791")</f>
        <v>https://pbs.twimg.com/profile_banners/2924535836/1692867791</v>
      </c>
      <c r="BI1365" s="86"/>
      <c r="BJ1365" s="86" t="s">
        <v>29134</v>
      </c>
      <c r="BK1365" s="86" t="b">
        <v>0</v>
      </c>
      <c r="BL1365" s="86"/>
      <c r="BM1365" s="86" t="s">
        <v>66</v>
      </c>
      <c r="BN1365" s="86" t="s">
        <v>29136</v>
      </c>
      <c r="BO1365" s="96" t="str">
        <f>HYPERLINK("https://twitter.com/suzanavalerios")</f>
        <v>https://twitter.com/suzanavalerios</v>
      </c>
      <c r="BP1365" s="2"/>
    </row>
    <row r="1366" spans="1:68" x14ac:dyDescent="0.25">
      <c r="A1366" s="63" t="s">
        <v>1384</v>
      </c>
      <c r="B1366" s="64"/>
      <c r="C1366" s="64"/>
      <c r="D1366" s="65"/>
      <c r="E1366" s="67"/>
      <c r="F1366" s="111" t="str">
        <f>HYPERLINK("https://pbs.twimg.com/profile_images/1449961975912570880/ZnFTfwUa_normal.jpg")</f>
        <v>https://pbs.twimg.com/profile_images/1449961975912570880/ZnFTfwUa_normal.jpg</v>
      </c>
      <c r="G1366" s="64"/>
      <c r="H1366" s="68"/>
      <c r="I1366" s="69"/>
      <c r="J1366" s="69"/>
      <c r="K1366" s="68" t="s">
        <v>30499</v>
      </c>
      <c r="L1366" s="72"/>
      <c r="M1366" s="73"/>
      <c r="N1366" s="73"/>
      <c r="O1366" s="74"/>
      <c r="P1366" s="75"/>
      <c r="Q1366" s="75"/>
      <c r="R1366" s="102"/>
      <c r="S1366" s="102"/>
      <c r="T1366" s="102"/>
      <c r="U1366" s="102"/>
      <c r="V1366" s="48"/>
      <c r="W1366" s="48"/>
      <c r="X1366" s="48"/>
      <c r="Y1366" s="48"/>
      <c r="Z1366" s="47"/>
      <c r="AA1366" s="70">
        <v>1366</v>
      </c>
      <c r="AB1366" s="70"/>
      <c r="AC1366" s="71"/>
      <c r="AD1366" s="86" t="s">
        <v>24961</v>
      </c>
      <c r="AE1366" s="94" t="s">
        <v>23467</v>
      </c>
      <c r="AF1366" s="86">
        <v>5</v>
      </c>
      <c r="AG1366" s="86">
        <v>9</v>
      </c>
      <c r="AH1366" s="86">
        <v>79</v>
      </c>
      <c r="AI1366" s="86">
        <v>0</v>
      </c>
      <c r="AJ1366" s="86">
        <v>17</v>
      </c>
      <c r="AK1366" s="86">
        <v>66</v>
      </c>
      <c r="AL1366" s="86" t="b">
        <v>0</v>
      </c>
      <c r="AM1366" s="89">
        <v>44487.203773148147</v>
      </c>
      <c r="AN1366" s="86"/>
      <c r="AO1366" s="86" t="s">
        <v>27666</v>
      </c>
      <c r="AP1366" s="96" t="str">
        <f>HYPERLINK("https://t.co/TkJOhEm1Xl")</f>
        <v>https://t.co/TkJOhEm1Xl</v>
      </c>
      <c r="AQ1366" s="96" t="str">
        <f>HYPERLINK("http://facebook.com/prosperidade.economica")</f>
        <v>http://facebook.com/prosperidade.economica</v>
      </c>
      <c r="AR1366" s="86" t="s">
        <v>28816</v>
      </c>
      <c r="AS1366" s="86"/>
      <c r="AT1366" s="86"/>
      <c r="AU1366" s="86"/>
      <c r="AV1366" s="86"/>
      <c r="AW1366" s="96" t="str">
        <f>HYPERLINK("https://t.co/TkJOhEm1Xl")</f>
        <v>https://t.co/TkJOhEm1Xl</v>
      </c>
      <c r="AX1366" s="86" t="b">
        <v>0</v>
      </c>
      <c r="AY1366" s="86"/>
      <c r="AZ1366" s="86"/>
      <c r="BA1366" s="86" t="b">
        <v>1</v>
      </c>
      <c r="BB1366" s="86" t="b">
        <v>1</v>
      </c>
      <c r="BC1366" s="86" t="b">
        <v>1</v>
      </c>
      <c r="BD1366" s="86" t="b">
        <v>0</v>
      </c>
      <c r="BE1366" s="86" t="b">
        <v>0</v>
      </c>
      <c r="BF1366" s="86" t="b">
        <v>0</v>
      </c>
      <c r="BG1366" s="86" t="b">
        <v>0</v>
      </c>
      <c r="BH1366" s="86"/>
      <c r="BI1366" s="86"/>
      <c r="BJ1366" s="86" t="s">
        <v>29134</v>
      </c>
      <c r="BK1366" s="86" t="b">
        <v>0</v>
      </c>
      <c r="BL1366" s="86"/>
      <c r="BM1366" s="86" t="s">
        <v>66</v>
      </c>
      <c r="BN1366" s="86" t="s">
        <v>29136</v>
      </c>
      <c r="BO1366" s="96" t="str">
        <f>HYPERLINK("https://twitter.com/prospeconomica")</f>
        <v>https://twitter.com/prospeconomica</v>
      </c>
      <c r="BP1366" s="2"/>
    </row>
    <row r="1367" spans="1:68" x14ac:dyDescent="0.25">
      <c r="A1367" s="63" t="s">
        <v>1385</v>
      </c>
      <c r="B1367" s="64"/>
      <c r="C1367" s="64"/>
      <c r="D1367" s="65"/>
      <c r="E1367" s="67"/>
      <c r="F1367" s="111" t="str">
        <f>HYPERLINK("https://pbs.twimg.com/profile_images/1665933073312096259/2wvh0UEI_normal.jpg")</f>
        <v>https://pbs.twimg.com/profile_images/1665933073312096259/2wvh0UEI_normal.jpg</v>
      </c>
      <c r="G1367" s="64"/>
      <c r="H1367" s="68"/>
      <c r="I1367" s="69"/>
      <c r="J1367" s="69"/>
      <c r="K1367" s="68" t="s">
        <v>30500</v>
      </c>
      <c r="L1367" s="72"/>
      <c r="M1367" s="73"/>
      <c r="N1367" s="73"/>
      <c r="O1367" s="74"/>
      <c r="P1367" s="75"/>
      <c r="Q1367" s="75"/>
      <c r="R1367" s="102"/>
      <c r="S1367" s="102"/>
      <c r="T1367" s="102"/>
      <c r="U1367" s="102"/>
      <c r="V1367" s="48"/>
      <c r="W1367" s="48"/>
      <c r="X1367" s="48"/>
      <c r="Y1367" s="48"/>
      <c r="Z1367" s="47"/>
      <c r="AA1367" s="70">
        <v>1367</v>
      </c>
      <c r="AB1367" s="70"/>
      <c r="AC1367" s="71"/>
      <c r="AD1367" s="86" t="s">
        <v>24962</v>
      </c>
      <c r="AE1367" s="94" t="s">
        <v>23468</v>
      </c>
      <c r="AF1367" s="86">
        <v>34</v>
      </c>
      <c r="AG1367" s="86">
        <v>21</v>
      </c>
      <c r="AH1367" s="86">
        <v>17</v>
      </c>
      <c r="AI1367" s="86">
        <v>0</v>
      </c>
      <c r="AJ1367" s="86">
        <v>8</v>
      </c>
      <c r="AK1367" s="86">
        <v>9</v>
      </c>
      <c r="AL1367" s="86" t="b">
        <v>0</v>
      </c>
      <c r="AM1367" s="89">
        <v>45083.16777777778</v>
      </c>
      <c r="AN1367" s="86" t="s">
        <v>26277</v>
      </c>
      <c r="AO1367" s="86" t="s">
        <v>27667</v>
      </c>
      <c r="AP1367" s="96" t="str">
        <f>HYPERLINK("https://t.co/RE3WXpjlLi")</f>
        <v>https://t.co/RE3WXpjlLi</v>
      </c>
      <c r="AQ1367" s="96" t="str">
        <f>HYPERLINK("https://wa.me/message/S4ONYS6NVA4QP1")</f>
        <v>https://wa.me/message/S4ONYS6NVA4QP1</v>
      </c>
      <c r="AR1367" s="86" t="s">
        <v>28817</v>
      </c>
      <c r="AS1367" s="86"/>
      <c r="AT1367" s="86"/>
      <c r="AU1367" s="86"/>
      <c r="AV1367" s="86"/>
      <c r="AW1367" s="96" t="str">
        <f>HYPERLINK("https://t.co/RE3WXpjlLi")</f>
        <v>https://t.co/RE3WXpjlLi</v>
      </c>
      <c r="AX1367" s="86" t="b">
        <v>0</v>
      </c>
      <c r="AY1367" s="86"/>
      <c r="AZ1367" s="86"/>
      <c r="BA1367" s="86" t="b">
        <v>0</v>
      </c>
      <c r="BB1367" s="86" t="b">
        <v>1</v>
      </c>
      <c r="BC1367" s="86" t="b">
        <v>1</v>
      </c>
      <c r="BD1367" s="86" t="b">
        <v>0</v>
      </c>
      <c r="BE1367" s="86" t="b">
        <v>0</v>
      </c>
      <c r="BF1367" s="86" t="b">
        <v>0</v>
      </c>
      <c r="BG1367" s="86" t="b">
        <v>0</v>
      </c>
      <c r="BH1367" s="96" t="str">
        <f>HYPERLINK("https://pbs.twimg.com/profile_banners/1665931860789043200/1694662173")</f>
        <v>https://pbs.twimg.com/profile_banners/1665931860789043200/1694662173</v>
      </c>
      <c r="BI1367" s="86"/>
      <c r="BJ1367" s="86" t="s">
        <v>29134</v>
      </c>
      <c r="BK1367" s="86" t="b">
        <v>0</v>
      </c>
      <c r="BL1367" s="86"/>
      <c r="BM1367" s="86" t="s">
        <v>66</v>
      </c>
      <c r="BN1367" s="86" t="s">
        <v>29136</v>
      </c>
      <c r="BO1367" s="96" t="str">
        <f>HYPERLINK("https://twitter.com/jubslingeries")</f>
        <v>https://twitter.com/jubslingeries</v>
      </c>
      <c r="BP1367" s="2"/>
    </row>
    <row r="1368" spans="1:68" x14ac:dyDescent="0.25">
      <c r="A1368" s="63" t="s">
        <v>1386</v>
      </c>
      <c r="B1368" s="64"/>
      <c r="C1368" s="64"/>
      <c r="D1368" s="65"/>
      <c r="E1368" s="67"/>
      <c r="F1368" s="111" t="str">
        <f>HYPERLINK("https://pbs.twimg.com/profile_images/1688254738595282947/XK7icH9F_normal.jpg")</f>
        <v>https://pbs.twimg.com/profile_images/1688254738595282947/XK7icH9F_normal.jpg</v>
      </c>
      <c r="G1368" s="64"/>
      <c r="H1368" s="68"/>
      <c r="I1368" s="69"/>
      <c r="J1368" s="69"/>
      <c r="K1368" s="68" t="s">
        <v>30501</v>
      </c>
      <c r="L1368" s="72"/>
      <c r="M1368" s="73"/>
      <c r="N1368" s="73"/>
      <c r="O1368" s="74"/>
      <c r="P1368" s="75"/>
      <c r="Q1368" s="75"/>
      <c r="R1368" s="102"/>
      <c r="S1368" s="102"/>
      <c r="T1368" s="102"/>
      <c r="U1368" s="102"/>
      <c r="V1368" s="48"/>
      <c r="W1368" s="48"/>
      <c r="X1368" s="48"/>
      <c r="Y1368" s="48"/>
      <c r="Z1368" s="47"/>
      <c r="AA1368" s="70">
        <v>1368</v>
      </c>
      <c r="AB1368" s="70"/>
      <c r="AC1368" s="71"/>
      <c r="AD1368" s="86" t="s">
        <v>24963</v>
      </c>
      <c r="AE1368" s="94" t="s">
        <v>23469</v>
      </c>
      <c r="AF1368" s="86">
        <v>2</v>
      </c>
      <c r="AG1368" s="86">
        <v>64</v>
      </c>
      <c r="AH1368" s="86">
        <v>40</v>
      </c>
      <c r="AI1368" s="86">
        <v>0</v>
      </c>
      <c r="AJ1368" s="86">
        <v>4</v>
      </c>
      <c r="AK1368" s="86">
        <v>32</v>
      </c>
      <c r="AL1368" s="86" t="b">
        <v>0</v>
      </c>
      <c r="AM1368" s="89">
        <v>45144.732951388891</v>
      </c>
      <c r="AN1368" s="86" t="s">
        <v>15240</v>
      </c>
      <c r="AO1368" s="86" t="s">
        <v>27668</v>
      </c>
      <c r="AP1368" s="86"/>
      <c r="AQ1368" s="86"/>
      <c r="AR1368" s="86"/>
      <c r="AS1368" s="86"/>
      <c r="AT1368" s="86"/>
      <c r="AU1368" s="86"/>
      <c r="AV1368" s="86"/>
      <c r="AW1368" s="86"/>
      <c r="AX1368" s="86" t="b">
        <v>0</v>
      </c>
      <c r="AY1368" s="86"/>
      <c r="AZ1368" s="86"/>
      <c r="BA1368" s="86" t="b">
        <v>0</v>
      </c>
      <c r="BB1368" s="86" t="b">
        <v>1</v>
      </c>
      <c r="BC1368" s="86" t="b">
        <v>1</v>
      </c>
      <c r="BD1368" s="86" t="b">
        <v>0</v>
      </c>
      <c r="BE1368" s="86" t="b">
        <v>0</v>
      </c>
      <c r="BF1368" s="86" t="b">
        <v>0</v>
      </c>
      <c r="BG1368" s="86" t="b">
        <v>0</v>
      </c>
      <c r="BH1368" s="86"/>
      <c r="BI1368" s="86"/>
      <c r="BJ1368" s="86" t="s">
        <v>29134</v>
      </c>
      <c r="BK1368" s="86" t="b">
        <v>0</v>
      </c>
      <c r="BL1368" s="86"/>
      <c r="BM1368" s="86" t="s">
        <v>66</v>
      </c>
      <c r="BN1368" s="86" t="s">
        <v>29136</v>
      </c>
      <c r="BO1368" s="96" t="str">
        <f>HYPERLINK("https://twitter.com/imovinvestbr")</f>
        <v>https://twitter.com/imovinvestbr</v>
      </c>
      <c r="BP1368" s="2"/>
    </row>
    <row r="1369" spans="1:68" x14ac:dyDescent="0.25">
      <c r="A1369" s="63" t="s">
        <v>1387</v>
      </c>
      <c r="B1369" s="64"/>
      <c r="C1369" s="64"/>
      <c r="D1369" s="65"/>
      <c r="E1369" s="67"/>
      <c r="F1369" s="111" t="str">
        <f>HYPERLINK("https://pbs.twimg.com/profile_images/1682909647064248320/NWwbPHXr_normal.png")</f>
        <v>https://pbs.twimg.com/profile_images/1682909647064248320/NWwbPHXr_normal.png</v>
      </c>
      <c r="G1369" s="64"/>
      <c r="H1369" s="68"/>
      <c r="I1369" s="69"/>
      <c r="J1369" s="69"/>
      <c r="K1369" s="68" t="s">
        <v>30502</v>
      </c>
      <c r="L1369" s="72"/>
      <c r="M1369" s="73"/>
      <c r="N1369" s="73"/>
      <c r="O1369" s="74"/>
      <c r="P1369" s="75"/>
      <c r="Q1369" s="75"/>
      <c r="R1369" s="102"/>
      <c r="S1369" s="102"/>
      <c r="T1369" s="102"/>
      <c r="U1369" s="102"/>
      <c r="V1369" s="48"/>
      <c r="W1369" s="48"/>
      <c r="X1369" s="48"/>
      <c r="Y1369" s="48"/>
      <c r="Z1369" s="47"/>
      <c r="AA1369" s="70">
        <v>1369</v>
      </c>
      <c r="AB1369" s="70"/>
      <c r="AC1369" s="71"/>
      <c r="AD1369" s="86" t="s">
        <v>24964</v>
      </c>
      <c r="AE1369" s="94" t="s">
        <v>23470</v>
      </c>
      <c r="AF1369" s="86">
        <v>1</v>
      </c>
      <c r="AG1369" s="86">
        <v>27</v>
      </c>
      <c r="AH1369" s="86">
        <v>21</v>
      </c>
      <c r="AI1369" s="86">
        <v>0</v>
      </c>
      <c r="AJ1369" s="86">
        <v>4</v>
      </c>
      <c r="AK1369" s="86">
        <v>13</v>
      </c>
      <c r="AL1369" s="86" t="b">
        <v>0</v>
      </c>
      <c r="AM1369" s="89">
        <v>45130.017372685186</v>
      </c>
      <c r="AN1369" s="86"/>
      <c r="AO1369" s="86" t="s">
        <v>27669</v>
      </c>
      <c r="AP1369" s="96" t="str">
        <f>HYPERLINK("https://t.co/Y4IMrXoLWh")</f>
        <v>https://t.co/Y4IMrXoLWh</v>
      </c>
      <c r="AQ1369" s="96" t="str">
        <f>HYPERLINK("http://www.claudiasouza.com.br")</f>
        <v>http://www.claudiasouza.com.br</v>
      </c>
      <c r="AR1369" s="86" t="s">
        <v>28818</v>
      </c>
      <c r="AS1369" s="86"/>
      <c r="AT1369" s="86"/>
      <c r="AU1369" s="86"/>
      <c r="AV1369" s="86"/>
      <c r="AW1369" s="96" t="str">
        <f>HYPERLINK("https://t.co/Y4IMrXoLWh")</f>
        <v>https://t.co/Y4IMrXoLWh</v>
      </c>
      <c r="AX1369" s="86" t="b">
        <v>0</v>
      </c>
      <c r="AY1369" s="86"/>
      <c r="AZ1369" s="86"/>
      <c r="BA1369" s="86" t="b">
        <v>0</v>
      </c>
      <c r="BB1369" s="86" t="b">
        <v>1</v>
      </c>
      <c r="BC1369" s="86" t="b">
        <v>1</v>
      </c>
      <c r="BD1369" s="86" t="b">
        <v>0</v>
      </c>
      <c r="BE1369" s="86" t="b">
        <v>0</v>
      </c>
      <c r="BF1369" s="86" t="b">
        <v>0</v>
      </c>
      <c r="BG1369" s="86" t="b">
        <v>0</v>
      </c>
      <c r="BH1369" s="96" t="str">
        <f>HYPERLINK("https://pbs.twimg.com/profile_banners/1682909369724174336/1690072120")</f>
        <v>https://pbs.twimg.com/profile_banners/1682909369724174336/1690072120</v>
      </c>
      <c r="BI1369" s="86"/>
      <c r="BJ1369" s="86" t="s">
        <v>29134</v>
      </c>
      <c r="BK1369" s="86" t="b">
        <v>0</v>
      </c>
      <c r="BL1369" s="86"/>
      <c r="BM1369" s="86" t="s">
        <v>66</v>
      </c>
      <c r="BN1369" s="86" t="s">
        <v>29136</v>
      </c>
      <c r="BO1369" s="96" t="str">
        <f>HYPERLINK("https://twitter.com/claudiasouzaad")</f>
        <v>https://twitter.com/claudiasouzaad</v>
      </c>
      <c r="BP1369" s="2"/>
    </row>
    <row r="1370" spans="1:68" x14ac:dyDescent="0.25">
      <c r="A1370" s="63" t="s">
        <v>1388</v>
      </c>
      <c r="B1370" s="64"/>
      <c r="C1370" s="64"/>
      <c r="D1370" s="65"/>
      <c r="E1370" s="67"/>
      <c r="F1370" s="111" t="str">
        <f>HYPERLINK("https://pbs.twimg.com/profile_images/1375852768523616258/00Ngr3RZ_normal.jpg")</f>
        <v>https://pbs.twimg.com/profile_images/1375852768523616258/00Ngr3RZ_normal.jpg</v>
      </c>
      <c r="G1370" s="64"/>
      <c r="H1370" s="68"/>
      <c r="I1370" s="69"/>
      <c r="J1370" s="69"/>
      <c r="K1370" s="68" t="s">
        <v>30503</v>
      </c>
      <c r="L1370" s="72"/>
      <c r="M1370" s="73"/>
      <c r="N1370" s="73"/>
      <c r="O1370" s="74"/>
      <c r="P1370" s="75"/>
      <c r="Q1370" s="75"/>
      <c r="R1370" s="102"/>
      <c r="S1370" s="102"/>
      <c r="T1370" s="102"/>
      <c r="U1370" s="102"/>
      <c r="V1370" s="48"/>
      <c r="W1370" s="48"/>
      <c r="X1370" s="48"/>
      <c r="Y1370" s="48"/>
      <c r="Z1370" s="47"/>
      <c r="AA1370" s="70">
        <v>1370</v>
      </c>
      <c r="AB1370" s="70"/>
      <c r="AC1370" s="71"/>
      <c r="AD1370" s="86" t="s">
        <v>24965</v>
      </c>
      <c r="AE1370" s="94" t="s">
        <v>25771</v>
      </c>
      <c r="AF1370" s="86">
        <v>94</v>
      </c>
      <c r="AG1370" s="86">
        <v>48</v>
      </c>
      <c r="AH1370" s="86">
        <v>5620</v>
      </c>
      <c r="AI1370" s="86">
        <v>4</v>
      </c>
      <c r="AJ1370" s="86">
        <v>7</v>
      </c>
      <c r="AK1370" s="86">
        <v>87</v>
      </c>
      <c r="AL1370" s="86" t="b">
        <v>0</v>
      </c>
      <c r="AM1370" s="89">
        <v>40086.720092592594</v>
      </c>
      <c r="AN1370" s="86" t="s">
        <v>15378</v>
      </c>
      <c r="AO1370" s="86" t="s">
        <v>27670</v>
      </c>
      <c r="AP1370" s="96" t="str">
        <f>HYPERLINK("https://t.co/wENGu9u7oh")</f>
        <v>https://t.co/wENGu9u7oh</v>
      </c>
      <c r="AQ1370" s="96" t="str">
        <f>HYPERLINK("http://www.revolucaoconsig.com.br")</f>
        <v>http://www.revolucaoconsig.com.br</v>
      </c>
      <c r="AR1370" s="86" t="s">
        <v>28819</v>
      </c>
      <c r="AS1370" s="86"/>
      <c r="AT1370" s="86"/>
      <c r="AU1370" s="86"/>
      <c r="AV1370" s="86"/>
      <c r="AW1370" s="96" t="str">
        <f>HYPERLINK("https://t.co/wENGu9u7oh")</f>
        <v>https://t.co/wENGu9u7oh</v>
      </c>
      <c r="AX1370" s="86" t="b">
        <v>0</v>
      </c>
      <c r="AY1370" s="86"/>
      <c r="AZ1370" s="86"/>
      <c r="BA1370" s="86" t="b">
        <v>0</v>
      </c>
      <c r="BB1370" s="86" t="b">
        <v>1</v>
      </c>
      <c r="BC1370" s="86" t="b">
        <v>0</v>
      </c>
      <c r="BD1370" s="86" t="b">
        <v>0</v>
      </c>
      <c r="BE1370" s="86" t="b">
        <v>0</v>
      </c>
      <c r="BF1370" s="86" t="b">
        <v>0</v>
      </c>
      <c r="BG1370" s="86" t="b">
        <v>0</v>
      </c>
      <c r="BH1370" s="96" t="str">
        <f>HYPERLINK("https://pbs.twimg.com/profile_banners/78655984/1616864036")</f>
        <v>https://pbs.twimg.com/profile_banners/78655984/1616864036</v>
      </c>
      <c r="BI1370" s="86"/>
      <c r="BJ1370" s="86" t="s">
        <v>29134</v>
      </c>
      <c r="BK1370" s="86" t="b">
        <v>0</v>
      </c>
      <c r="BL1370" s="86"/>
      <c r="BM1370" s="86" t="s">
        <v>66</v>
      </c>
      <c r="BN1370" s="86" t="s">
        <v>29136</v>
      </c>
      <c r="BO1370" s="96" t="str">
        <f>HYPERLINK("https://twitter.com/daniel_consig")</f>
        <v>https://twitter.com/daniel_consig</v>
      </c>
      <c r="BP1370" s="2"/>
    </row>
    <row r="1371" spans="1:68" x14ac:dyDescent="0.25">
      <c r="A1371" s="63" t="s">
        <v>1389</v>
      </c>
      <c r="B1371" s="64"/>
      <c r="C1371" s="64"/>
      <c r="D1371" s="65"/>
      <c r="E1371" s="67"/>
      <c r="F1371" s="111" t="str">
        <f>HYPERLINK("https://pbs.twimg.com/profile_images/1655540206265614336/P7D-yloe_normal.jpg")</f>
        <v>https://pbs.twimg.com/profile_images/1655540206265614336/P7D-yloe_normal.jpg</v>
      </c>
      <c r="G1371" s="64"/>
      <c r="H1371" s="68"/>
      <c r="I1371" s="69"/>
      <c r="J1371" s="69"/>
      <c r="K1371" s="68" t="s">
        <v>30504</v>
      </c>
      <c r="L1371" s="72"/>
      <c r="M1371" s="73"/>
      <c r="N1371" s="73"/>
      <c r="O1371" s="74"/>
      <c r="P1371" s="75"/>
      <c r="Q1371" s="75"/>
      <c r="R1371" s="102"/>
      <c r="S1371" s="102"/>
      <c r="T1371" s="102"/>
      <c r="U1371" s="102"/>
      <c r="V1371" s="48"/>
      <c r="W1371" s="48"/>
      <c r="X1371" s="48"/>
      <c r="Y1371" s="48"/>
      <c r="Z1371" s="47"/>
      <c r="AA1371" s="70">
        <v>1371</v>
      </c>
      <c r="AB1371" s="70"/>
      <c r="AC1371" s="71"/>
      <c r="AD1371" s="86" t="s">
        <v>24966</v>
      </c>
      <c r="AE1371" s="94" t="s">
        <v>23471</v>
      </c>
      <c r="AF1371" s="86">
        <v>4</v>
      </c>
      <c r="AG1371" s="86">
        <v>4</v>
      </c>
      <c r="AH1371" s="86">
        <v>60</v>
      </c>
      <c r="AI1371" s="86">
        <v>0</v>
      </c>
      <c r="AJ1371" s="86">
        <v>0</v>
      </c>
      <c r="AK1371" s="86">
        <v>57</v>
      </c>
      <c r="AL1371" s="86" t="b">
        <v>0</v>
      </c>
      <c r="AM1371" s="89">
        <v>45054.491759259261</v>
      </c>
      <c r="AN1371" s="86"/>
      <c r="AO1371" s="86" t="s">
        <v>27671</v>
      </c>
      <c r="AP1371" s="96" t="str">
        <f>HYPERLINK("https://t.co/PbVmaPL3sN")</f>
        <v>https://t.co/PbVmaPL3sN</v>
      </c>
      <c r="AQ1371" s="96" t="str">
        <f>HYPERLINK("http://douglasdallagnol.com.br")</f>
        <v>http://douglasdallagnol.com.br</v>
      </c>
      <c r="AR1371" s="86" t="s">
        <v>28820</v>
      </c>
      <c r="AS1371" s="86"/>
      <c r="AT1371" s="86"/>
      <c r="AU1371" s="86"/>
      <c r="AV1371" s="86"/>
      <c r="AW1371" s="96" t="str">
        <f>HYPERLINK("https://t.co/PbVmaPL3sN")</f>
        <v>https://t.co/PbVmaPL3sN</v>
      </c>
      <c r="AX1371" s="86" t="b">
        <v>0</v>
      </c>
      <c r="AY1371" s="86"/>
      <c r="AZ1371" s="86"/>
      <c r="BA1371" s="86" t="b">
        <v>0</v>
      </c>
      <c r="BB1371" s="86" t="b">
        <v>1</v>
      </c>
      <c r="BC1371" s="86" t="b">
        <v>1</v>
      </c>
      <c r="BD1371" s="86" t="b">
        <v>0</v>
      </c>
      <c r="BE1371" s="86" t="b">
        <v>0</v>
      </c>
      <c r="BF1371" s="86" t="b">
        <v>0</v>
      </c>
      <c r="BG1371" s="86" t="b">
        <v>0</v>
      </c>
      <c r="BH1371" s="96" t="str">
        <f>HYPERLINK("https://pbs.twimg.com/profile_banners/1655540047586762754/1683550677")</f>
        <v>https://pbs.twimg.com/profile_banners/1655540047586762754/1683550677</v>
      </c>
      <c r="BI1371" s="86"/>
      <c r="BJ1371" s="86" t="s">
        <v>29134</v>
      </c>
      <c r="BK1371" s="86" t="b">
        <v>0</v>
      </c>
      <c r="BL1371" s="86"/>
      <c r="BM1371" s="86" t="s">
        <v>66</v>
      </c>
      <c r="BN1371" s="86" t="s">
        <v>29136</v>
      </c>
      <c r="BO1371" s="96" t="str">
        <f>HYPERLINK("https://twitter.com/douglaswebp")</f>
        <v>https://twitter.com/douglaswebp</v>
      </c>
      <c r="BP1371" s="2"/>
    </row>
    <row r="1372" spans="1:68" x14ac:dyDescent="0.25">
      <c r="A1372" s="63" t="s">
        <v>1390</v>
      </c>
      <c r="B1372" s="64"/>
      <c r="C1372" s="64"/>
      <c r="D1372" s="65"/>
      <c r="E1372" s="67"/>
      <c r="F1372" s="111" t="str">
        <f>HYPERLINK("https://pbs.twimg.com/profile_images/1508419601436221445/_KjXslSw_normal.jpg")</f>
        <v>https://pbs.twimg.com/profile_images/1508419601436221445/_KjXslSw_normal.jpg</v>
      </c>
      <c r="G1372" s="64"/>
      <c r="H1372" s="68"/>
      <c r="I1372" s="69"/>
      <c r="J1372" s="69"/>
      <c r="K1372" s="68" t="s">
        <v>30505</v>
      </c>
      <c r="L1372" s="72"/>
      <c r="M1372" s="73"/>
      <c r="N1372" s="73"/>
      <c r="O1372" s="74"/>
      <c r="P1372" s="75"/>
      <c r="Q1372" s="75"/>
      <c r="R1372" s="102"/>
      <c r="S1372" s="102"/>
      <c r="T1372" s="102"/>
      <c r="U1372" s="102"/>
      <c r="V1372" s="48"/>
      <c r="W1372" s="48"/>
      <c r="X1372" s="48"/>
      <c r="Y1372" s="48"/>
      <c r="Z1372" s="47"/>
      <c r="AA1372" s="70">
        <v>1372</v>
      </c>
      <c r="AB1372" s="70"/>
      <c r="AC1372" s="71"/>
      <c r="AD1372" s="86" t="s">
        <v>24967</v>
      </c>
      <c r="AE1372" s="94" t="s">
        <v>23472</v>
      </c>
      <c r="AF1372" s="86">
        <v>2</v>
      </c>
      <c r="AG1372" s="86">
        <v>0</v>
      </c>
      <c r="AH1372" s="86">
        <v>138</v>
      </c>
      <c r="AI1372" s="86">
        <v>0</v>
      </c>
      <c r="AJ1372" s="86">
        <v>0</v>
      </c>
      <c r="AK1372" s="86">
        <v>138</v>
      </c>
      <c r="AL1372" s="86" t="b">
        <v>0</v>
      </c>
      <c r="AM1372" s="89">
        <v>44648.514166666668</v>
      </c>
      <c r="AN1372" s="86" t="s">
        <v>26345</v>
      </c>
      <c r="AO1372" s="86" t="s">
        <v>27672</v>
      </c>
      <c r="AP1372" s="96" t="str">
        <f>HYPERLINK("https://t.co/B5ToI7GJh7")</f>
        <v>https://t.co/B5ToI7GJh7</v>
      </c>
      <c r="AQ1372" s="96" t="str">
        <f>HYPERLINK("https://cdlsaocaetano.org.br/")</f>
        <v>https://cdlsaocaetano.org.br/</v>
      </c>
      <c r="AR1372" s="86" t="s">
        <v>28821</v>
      </c>
      <c r="AS1372" s="86"/>
      <c r="AT1372" s="86"/>
      <c r="AU1372" s="86"/>
      <c r="AV1372" s="86"/>
      <c r="AW1372" s="96" t="str">
        <f>HYPERLINK("https://t.co/B5ToI7GJh7")</f>
        <v>https://t.co/B5ToI7GJh7</v>
      </c>
      <c r="AX1372" s="86" t="b">
        <v>0</v>
      </c>
      <c r="AY1372" s="86"/>
      <c r="AZ1372" s="86"/>
      <c r="BA1372" s="86" t="b">
        <v>0</v>
      </c>
      <c r="BB1372" s="86" t="b">
        <v>1</v>
      </c>
      <c r="BC1372" s="86" t="b">
        <v>1</v>
      </c>
      <c r="BD1372" s="86" t="b">
        <v>0</v>
      </c>
      <c r="BE1372" s="86" t="b">
        <v>0</v>
      </c>
      <c r="BF1372" s="86" t="b">
        <v>0</v>
      </c>
      <c r="BG1372" s="86" t="b">
        <v>0</v>
      </c>
      <c r="BH1372" s="96" t="str">
        <f>HYPERLINK("https://pbs.twimg.com/profile_banners/1508418556760924173/1648470252")</f>
        <v>https://pbs.twimg.com/profile_banners/1508418556760924173/1648470252</v>
      </c>
      <c r="BI1372" s="86"/>
      <c r="BJ1372" s="86" t="s">
        <v>29134</v>
      </c>
      <c r="BK1372" s="86" t="b">
        <v>0</v>
      </c>
      <c r="BL1372" s="86"/>
      <c r="BM1372" s="86" t="s">
        <v>66</v>
      </c>
      <c r="BN1372" s="86" t="s">
        <v>29136</v>
      </c>
      <c r="BO1372" s="96" t="str">
        <f>HYPERLINK("https://twitter.com/cdlsaocaetano")</f>
        <v>https://twitter.com/cdlsaocaetano</v>
      </c>
      <c r="BP1372" s="2"/>
    </row>
    <row r="1373" spans="1:68" x14ac:dyDescent="0.25">
      <c r="A1373" s="63" t="s">
        <v>1391</v>
      </c>
      <c r="B1373" s="64"/>
      <c r="C1373" s="64"/>
      <c r="D1373" s="65"/>
      <c r="E1373" s="67"/>
      <c r="F1373" s="111" t="str">
        <f>HYPERLINK("https://pbs.twimg.com/profile_images/1652299964486172678/6ezKGsYa_normal.jpg")</f>
        <v>https://pbs.twimg.com/profile_images/1652299964486172678/6ezKGsYa_normal.jpg</v>
      </c>
      <c r="G1373" s="64"/>
      <c r="H1373" s="68"/>
      <c r="I1373" s="69"/>
      <c r="J1373" s="69"/>
      <c r="K1373" s="68" t="s">
        <v>30506</v>
      </c>
      <c r="L1373" s="72"/>
      <c r="M1373" s="73"/>
      <c r="N1373" s="73"/>
      <c r="O1373" s="74"/>
      <c r="P1373" s="75"/>
      <c r="Q1373" s="75"/>
      <c r="R1373" s="102"/>
      <c r="S1373" s="102"/>
      <c r="T1373" s="102"/>
      <c r="U1373" s="102"/>
      <c r="V1373" s="48"/>
      <c r="W1373" s="48"/>
      <c r="X1373" s="48"/>
      <c r="Y1373" s="48"/>
      <c r="Z1373" s="47"/>
      <c r="AA1373" s="70">
        <v>1373</v>
      </c>
      <c r="AB1373" s="70"/>
      <c r="AC1373" s="71"/>
      <c r="AD1373" s="86" t="s">
        <v>24968</v>
      </c>
      <c r="AE1373" s="94" t="s">
        <v>23473</v>
      </c>
      <c r="AF1373" s="86">
        <v>2</v>
      </c>
      <c r="AG1373" s="86">
        <v>11</v>
      </c>
      <c r="AH1373" s="86">
        <v>16</v>
      </c>
      <c r="AI1373" s="86">
        <v>0</v>
      </c>
      <c r="AJ1373" s="86">
        <v>10</v>
      </c>
      <c r="AK1373" s="86">
        <v>0</v>
      </c>
      <c r="AL1373" s="86" t="b">
        <v>0</v>
      </c>
      <c r="AM1373" s="89">
        <v>44517.833495370367</v>
      </c>
      <c r="AN1373" s="86" t="s">
        <v>26346</v>
      </c>
      <c r="AO1373" s="86" t="s">
        <v>27673</v>
      </c>
      <c r="AP1373" s="96" t="str">
        <f>HYPERLINK("https://t.co/1VvBHwAlPM")</f>
        <v>https://t.co/1VvBHwAlPM</v>
      </c>
      <c r="AQ1373" s="96" t="str">
        <f>HYPERLINK("https://keepo.io/ogabrielaugusto")</f>
        <v>https://keepo.io/ogabrielaugusto</v>
      </c>
      <c r="AR1373" s="86" t="s">
        <v>28822</v>
      </c>
      <c r="AS1373" s="86"/>
      <c r="AT1373" s="86"/>
      <c r="AU1373" s="86"/>
      <c r="AV1373" s="86"/>
      <c r="AW1373" s="96" t="str">
        <f>HYPERLINK("https://t.co/1VvBHwAlPM")</f>
        <v>https://t.co/1VvBHwAlPM</v>
      </c>
      <c r="AX1373" s="86" t="b">
        <v>0</v>
      </c>
      <c r="AY1373" s="86"/>
      <c r="AZ1373" s="86"/>
      <c r="BA1373" s="86" t="b">
        <v>0</v>
      </c>
      <c r="BB1373" s="86" t="b">
        <v>1</v>
      </c>
      <c r="BC1373" s="86" t="b">
        <v>1</v>
      </c>
      <c r="BD1373" s="86" t="b">
        <v>0</v>
      </c>
      <c r="BE1373" s="86" t="b">
        <v>0</v>
      </c>
      <c r="BF1373" s="86" t="b">
        <v>0</v>
      </c>
      <c r="BG1373" s="86" t="b">
        <v>0</v>
      </c>
      <c r="BH1373" s="96" t="str">
        <f>HYPERLINK("https://pbs.twimg.com/profile_banners/1461061433341456387/1690230593")</f>
        <v>https://pbs.twimg.com/profile_banners/1461061433341456387/1690230593</v>
      </c>
      <c r="BI1373" s="86"/>
      <c r="BJ1373" s="86" t="s">
        <v>29134</v>
      </c>
      <c r="BK1373" s="86" t="b">
        <v>0</v>
      </c>
      <c r="BL1373" s="86"/>
      <c r="BM1373" s="86" t="s">
        <v>66</v>
      </c>
      <c r="BN1373" s="86" t="s">
        <v>29136</v>
      </c>
      <c r="BO1373" s="96" t="str">
        <f>HYPERLINK("https://twitter.com/ogabrielaugust")</f>
        <v>https://twitter.com/ogabrielaugust</v>
      </c>
      <c r="BP1373" s="2"/>
    </row>
    <row r="1374" spans="1:68" x14ac:dyDescent="0.25">
      <c r="A1374" s="63" t="s">
        <v>1392</v>
      </c>
      <c r="B1374" s="64"/>
      <c r="C1374" s="64"/>
      <c r="D1374" s="65"/>
      <c r="E1374" s="67"/>
      <c r="F1374" s="111" t="str">
        <f>HYPERLINK("https://pbs.twimg.com/profile_images/1706784263557767168/fvM0ZuJN_normal.jpg")</f>
        <v>https://pbs.twimg.com/profile_images/1706784263557767168/fvM0ZuJN_normal.jpg</v>
      </c>
      <c r="G1374" s="64"/>
      <c r="H1374" s="68"/>
      <c r="I1374" s="69"/>
      <c r="J1374" s="69"/>
      <c r="K1374" s="68" t="s">
        <v>30507</v>
      </c>
      <c r="L1374" s="72"/>
      <c r="M1374" s="73"/>
      <c r="N1374" s="73"/>
      <c r="O1374" s="74"/>
      <c r="P1374" s="75"/>
      <c r="Q1374" s="75"/>
      <c r="R1374" s="102"/>
      <c r="S1374" s="102"/>
      <c r="T1374" s="102"/>
      <c r="U1374" s="102"/>
      <c r="V1374" s="48"/>
      <c r="W1374" s="48"/>
      <c r="X1374" s="48"/>
      <c r="Y1374" s="48"/>
      <c r="Z1374" s="47"/>
      <c r="AA1374" s="70">
        <v>1374</v>
      </c>
      <c r="AB1374" s="70"/>
      <c r="AC1374" s="71"/>
      <c r="AD1374" s="86" t="s">
        <v>24969</v>
      </c>
      <c r="AE1374" s="94" t="s">
        <v>23474</v>
      </c>
      <c r="AF1374" s="86">
        <v>7</v>
      </c>
      <c r="AG1374" s="86">
        <v>0</v>
      </c>
      <c r="AH1374" s="86">
        <v>134</v>
      </c>
      <c r="AI1374" s="86">
        <v>0</v>
      </c>
      <c r="AJ1374" s="86">
        <v>0</v>
      </c>
      <c r="AK1374" s="86">
        <v>84</v>
      </c>
      <c r="AL1374" s="86" t="b">
        <v>0</v>
      </c>
      <c r="AM1374" s="89">
        <v>45126.093622685185</v>
      </c>
      <c r="AN1374" s="86" t="s">
        <v>26347</v>
      </c>
      <c r="AO1374" s="86" t="s">
        <v>27674</v>
      </c>
      <c r="AP1374" s="96" t="str">
        <f>HYPERLINK("https://t.co/t2A95SVLgr")</f>
        <v>https://t.co/t2A95SVLgr</v>
      </c>
      <c r="AQ1374" s="96" t="str">
        <f>HYPERLINK("http://www.conceitoking.com.br")</f>
        <v>http://www.conceitoking.com.br</v>
      </c>
      <c r="AR1374" s="86" t="s">
        <v>28823</v>
      </c>
      <c r="AS1374" s="86"/>
      <c r="AT1374" s="86"/>
      <c r="AU1374" s="86"/>
      <c r="AV1374" s="86">
        <v>1.6963176928970701E+18</v>
      </c>
      <c r="AW1374" s="96" t="str">
        <f>HYPERLINK("https://t.co/t2A95SVLgr")</f>
        <v>https://t.co/t2A95SVLgr</v>
      </c>
      <c r="AX1374" s="86" t="b">
        <v>0</v>
      </c>
      <c r="AY1374" s="86"/>
      <c r="AZ1374" s="86"/>
      <c r="BA1374" s="86" t="b">
        <v>0</v>
      </c>
      <c r="BB1374" s="86" t="b">
        <v>1</v>
      </c>
      <c r="BC1374" s="86" t="b">
        <v>1</v>
      </c>
      <c r="BD1374" s="86" t="b">
        <v>0</v>
      </c>
      <c r="BE1374" s="86" t="b">
        <v>0</v>
      </c>
      <c r="BF1374" s="86" t="b">
        <v>0</v>
      </c>
      <c r="BG1374" s="86" t="b">
        <v>0</v>
      </c>
      <c r="BH1374" s="96" t="str">
        <f>HYPERLINK("https://pbs.twimg.com/profile_banners/1681487635884175360/1695764039")</f>
        <v>https://pbs.twimg.com/profile_banners/1681487635884175360/1695764039</v>
      </c>
      <c r="BI1374" s="86"/>
      <c r="BJ1374" s="86" t="s">
        <v>29134</v>
      </c>
      <c r="BK1374" s="86" t="b">
        <v>0</v>
      </c>
      <c r="BL1374" s="86"/>
      <c r="BM1374" s="86" t="s">
        <v>66</v>
      </c>
      <c r="BN1374" s="86" t="s">
        <v>29136</v>
      </c>
      <c r="BO1374" s="96" t="str">
        <f>HYPERLINK("https://twitter.com/conceitoking")</f>
        <v>https://twitter.com/conceitoking</v>
      </c>
      <c r="BP1374" s="2"/>
    </row>
    <row r="1375" spans="1:68" x14ac:dyDescent="0.25">
      <c r="A1375" s="63" t="s">
        <v>1393</v>
      </c>
      <c r="B1375" s="64"/>
      <c r="C1375" s="64"/>
      <c r="D1375" s="65"/>
      <c r="E1375" s="67"/>
      <c r="F1375" s="111" t="str">
        <f>HYPERLINK("https://pbs.twimg.com/profile_images/1400015454165508100/uvFMDB3m_normal.jpg")</f>
        <v>https://pbs.twimg.com/profile_images/1400015454165508100/uvFMDB3m_normal.jpg</v>
      </c>
      <c r="G1375" s="64"/>
      <c r="H1375" s="68"/>
      <c r="I1375" s="69"/>
      <c r="J1375" s="69"/>
      <c r="K1375" s="68" t="s">
        <v>30508</v>
      </c>
      <c r="L1375" s="72"/>
      <c r="M1375" s="73"/>
      <c r="N1375" s="73"/>
      <c r="O1375" s="74"/>
      <c r="P1375" s="75"/>
      <c r="Q1375" s="75"/>
      <c r="R1375" s="102"/>
      <c r="S1375" s="102"/>
      <c r="T1375" s="102"/>
      <c r="U1375" s="102"/>
      <c r="V1375" s="48"/>
      <c r="W1375" s="48"/>
      <c r="X1375" s="48"/>
      <c r="Y1375" s="48"/>
      <c r="Z1375" s="47"/>
      <c r="AA1375" s="70">
        <v>1375</v>
      </c>
      <c r="AB1375" s="70"/>
      <c r="AC1375" s="71"/>
      <c r="AD1375" s="86" t="s">
        <v>24970</v>
      </c>
      <c r="AE1375" s="94" t="s">
        <v>23475</v>
      </c>
      <c r="AF1375" s="86">
        <v>51</v>
      </c>
      <c r="AG1375" s="86">
        <v>12</v>
      </c>
      <c r="AH1375" s="86">
        <v>796</v>
      </c>
      <c r="AI1375" s="86">
        <v>1</v>
      </c>
      <c r="AJ1375" s="86">
        <v>1</v>
      </c>
      <c r="AK1375" s="86">
        <v>771</v>
      </c>
      <c r="AL1375" s="86" t="b">
        <v>0</v>
      </c>
      <c r="AM1375" s="89">
        <v>42744.471608796295</v>
      </c>
      <c r="AN1375" s="86"/>
      <c r="AO1375" s="86"/>
      <c r="AP1375" s="86"/>
      <c r="AQ1375" s="86"/>
      <c r="AR1375" s="86"/>
      <c r="AS1375" s="86"/>
      <c r="AT1375" s="86"/>
      <c r="AU1375" s="86"/>
      <c r="AV1375" s="86"/>
      <c r="AW1375" s="86"/>
      <c r="AX1375" s="86" t="b">
        <v>0</v>
      </c>
      <c r="AY1375" s="86"/>
      <c r="AZ1375" s="86"/>
      <c r="BA1375" s="86" t="b">
        <v>0</v>
      </c>
      <c r="BB1375" s="86" t="b">
        <v>1</v>
      </c>
      <c r="BC1375" s="86" t="b">
        <v>1</v>
      </c>
      <c r="BD1375" s="86" t="b">
        <v>0</v>
      </c>
      <c r="BE1375" s="86" t="b">
        <v>0</v>
      </c>
      <c r="BF1375" s="86" t="b">
        <v>0</v>
      </c>
      <c r="BG1375" s="86" t="b">
        <v>0</v>
      </c>
      <c r="BH1375" s="86"/>
      <c r="BI1375" s="86"/>
      <c r="BJ1375" s="86" t="s">
        <v>29134</v>
      </c>
      <c r="BK1375" s="86" t="b">
        <v>0</v>
      </c>
      <c r="BL1375" s="86"/>
      <c r="BM1375" s="86" t="s">
        <v>66</v>
      </c>
      <c r="BN1375" s="86" t="s">
        <v>29136</v>
      </c>
      <c r="BO1375" s="96" t="str">
        <f>HYPERLINK("https://twitter.com/tagusvalley_pt")</f>
        <v>https://twitter.com/tagusvalley_pt</v>
      </c>
      <c r="BP1375" s="2"/>
    </row>
    <row r="1376" spans="1:68" x14ac:dyDescent="0.25">
      <c r="A1376" s="63" t="s">
        <v>1394</v>
      </c>
      <c r="B1376" s="64"/>
      <c r="C1376" s="64"/>
      <c r="D1376" s="65"/>
      <c r="E1376" s="67"/>
      <c r="F1376" s="111" t="str">
        <f>HYPERLINK("https://pbs.twimg.com/profile_images/994344593423585280/8VUHnKRC_normal.jpg")</f>
        <v>https://pbs.twimg.com/profile_images/994344593423585280/8VUHnKRC_normal.jpg</v>
      </c>
      <c r="G1376" s="64"/>
      <c r="H1376" s="68"/>
      <c r="I1376" s="69"/>
      <c r="J1376" s="69"/>
      <c r="K1376" s="68" t="s">
        <v>30509</v>
      </c>
      <c r="L1376" s="72"/>
      <c r="M1376" s="73"/>
      <c r="N1376" s="73"/>
      <c r="O1376" s="74"/>
      <c r="P1376" s="75"/>
      <c r="Q1376" s="75"/>
      <c r="R1376" s="102"/>
      <c r="S1376" s="102"/>
      <c r="T1376" s="102"/>
      <c r="U1376" s="102"/>
      <c r="V1376" s="48"/>
      <c r="W1376" s="48"/>
      <c r="X1376" s="48"/>
      <c r="Y1376" s="48"/>
      <c r="Z1376" s="47"/>
      <c r="AA1376" s="70">
        <v>1376</v>
      </c>
      <c r="AB1376" s="70"/>
      <c r="AC1376" s="71"/>
      <c r="AD1376" s="86" t="s">
        <v>24971</v>
      </c>
      <c r="AE1376" s="94" t="s">
        <v>25772</v>
      </c>
      <c r="AF1376" s="86">
        <v>1093</v>
      </c>
      <c r="AG1376" s="86">
        <v>673</v>
      </c>
      <c r="AH1376" s="86">
        <v>65157</v>
      </c>
      <c r="AI1376" s="86">
        <v>21</v>
      </c>
      <c r="AJ1376" s="86">
        <v>71006</v>
      </c>
      <c r="AK1376" s="86">
        <v>1969</v>
      </c>
      <c r="AL1376" s="86" t="b">
        <v>0</v>
      </c>
      <c r="AM1376" s="89">
        <v>40029.433240740742</v>
      </c>
      <c r="AN1376" s="86" t="s">
        <v>26348</v>
      </c>
      <c r="AO1376" s="86" t="s">
        <v>27675</v>
      </c>
      <c r="AP1376" s="96" t="str">
        <f>HYPERLINK("https://t.co/zKbM6GjaWz")</f>
        <v>https://t.co/zKbM6GjaWz</v>
      </c>
      <c r="AQ1376" s="96" t="str">
        <f>HYPERLINK("https://www.rodrigoklyngerr.com.br")</f>
        <v>https://www.rodrigoklyngerr.com.br</v>
      </c>
      <c r="AR1376" s="86" t="s">
        <v>28824</v>
      </c>
      <c r="AS1376" s="86"/>
      <c r="AT1376" s="86"/>
      <c r="AU1376" s="86"/>
      <c r="AV1376" s="86"/>
      <c r="AW1376" s="96" t="str">
        <f>HYPERLINK("https://t.co/zKbM6GjaWz")</f>
        <v>https://t.co/zKbM6GjaWz</v>
      </c>
      <c r="AX1376" s="86" t="b">
        <v>0</v>
      </c>
      <c r="AY1376" s="86"/>
      <c r="AZ1376" s="86"/>
      <c r="BA1376" s="86" t="b">
        <v>0</v>
      </c>
      <c r="BB1376" s="86" t="b">
        <v>1</v>
      </c>
      <c r="BC1376" s="86" t="b">
        <v>0</v>
      </c>
      <c r="BD1376" s="86" t="b">
        <v>0</v>
      </c>
      <c r="BE1376" s="86" t="b">
        <v>1</v>
      </c>
      <c r="BF1376" s="86" t="b">
        <v>0</v>
      </c>
      <c r="BG1376" s="86" t="b">
        <v>0</v>
      </c>
      <c r="BH1376" s="96" t="str">
        <f>HYPERLINK("https://pbs.twimg.com/profile_banners/62780144/1517405905")</f>
        <v>https://pbs.twimg.com/profile_banners/62780144/1517405905</v>
      </c>
      <c r="BI1376" s="86"/>
      <c r="BJ1376" s="86" t="s">
        <v>29134</v>
      </c>
      <c r="BK1376" s="86" t="b">
        <v>0</v>
      </c>
      <c r="BL1376" s="86"/>
      <c r="BM1376" s="86" t="s">
        <v>66</v>
      </c>
      <c r="BN1376" s="86" t="s">
        <v>29136</v>
      </c>
      <c r="BO1376" s="96" t="str">
        <f>HYPERLINK("https://twitter.com/rodrigoklyngerr")</f>
        <v>https://twitter.com/rodrigoklyngerr</v>
      </c>
      <c r="BP1376" s="2"/>
    </row>
    <row r="1377" spans="1:68" x14ac:dyDescent="0.25">
      <c r="A1377" s="63" t="s">
        <v>1407</v>
      </c>
      <c r="B1377" s="64"/>
      <c r="C1377" s="64"/>
      <c r="D1377" s="65"/>
      <c r="E1377" s="67"/>
      <c r="F1377" s="111" t="str">
        <f>HYPERLINK("https://pbs.twimg.com/profile_images/1611106186140569617/lmTEBtoX_normal.jpg")</f>
        <v>https://pbs.twimg.com/profile_images/1611106186140569617/lmTEBtoX_normal.jpg</v>
      </c>
      <c r="G1377" s="64"/>
      <c r="H1377" s="68"/>
      <c r="I1377" s="69"/>
      <c r="J1377" s="69"/>
      <c r="K1377" s="68" t="s">
        <v>30510</v>
      </c>
      <c r="L1377" s="72"/>
      <c r="M1377" s="73"/>
      <c r="N1377" s="73"/>
      <c r="O1377" s="74"/>
      <c r="P1377" s="75"/>
      <c r="Q1377" s="75"/>
      <c r="R1377" s="102"/>
      <c r="S1377" s="102"/>
      <c r="T1377" s="102"/>
      <c r="U1377" s="102"/>
      <c r="V1377" s="48"/>
      <c r="W1377" s="48"/>
      <c r="X1377" s="48"/>
      <c r="Y1377" s="48"/>
      <c r="Z1377" s="47"/>
      <c r="AA1377" s="70">
        <v>1377</v>
      </c>
      <c r="AB1377" s="70"/>
      <c r="AC1377" s="71"/>
      <c r="AD1377" s="86" t="s">
        <v>24972</v>
      </c>
      <c r="AE1377" s="94" t="s">
        <v>25773</v>
      </c>
      <c r="AF1377" s="86">
        <v>303</v>
      </c>
      <c r="AG1377" s="86">
        <v>357</v>
      </c>
      <c r="AH1377" s="86">
        <v>22067</v>
      </c>
      <c r="AI1377" s="86">
        <v>4</v>
      </c>
      <c r="AJ1377" s="86">
        <v>11142</v>
      </c>
      <c r="AK1377" s="86">
        <v>1489</v>
      </c>
      <c r="AL1377" s="86" t="b">
        <v>0</v>
      </c>
      <c r="AM1377" s="89">
        <v>40555.04042824074</v>
      </c>
      <c r="AN1377" s="86" t="s">
        <v>26349</v>
      </c>
      <c r="AO1377" s="86" t="s">
        <v>27676</v>
      </c>
      <c r="AP1377" s="96" t="str">
        <f>HYPERLINK("https://t.co/gtQeufLFVm")</f>
        <v>https://t.co/gtQeufLFVm</v>
      </c>
      <c r="AQ1377" s="96" t="str">
        <f>HYPERLINK("https://www.rodrigoklyngerr.com.br/")</f>
        <v>https://www.rodrigoklyngerr.com.br/</v>
      </c>
      <c r="AR1377" s="86" t="s">
        <v>28824</v>
      </c>
      <c r="AS1377" s="86"/>
      <c r="AT1377" s="86"/>
      <c r="AU1377" s="86"/>
      <c r="AV1377" s="86"/>
      <c r="AW1377" s="96" t="str">
        <f>HYPERLINK("https://t.co/gtQeufLFVm")</f>
        <v>https://t.co/gtQeufLFVm</v>
      </c>
      <c r="AX1377" s="86" t="b">
        <v>0</v>
      </c>
      <c r="AY1377" s="86"/>
      <c r="AZ1377" s="86"/>
      <c r="BA1377" s="86" t="b">
        <v>0</v>
      </c>
      <c r="BB1377" s="86" t="b">
        <v>1</v>
      </c>
      <c r="BC1377" s="86" t="b">
        <v>0</v>
      </c>
      <c r="BD1377" s="86" t="b">
        <v>0</v>
      </c>
      <c r="BE1377" s="86" t="b">
        <v>1</v>
      </c>
      <c r="BF1377" s="86" t="b">
        <v>0</v>
      </c>
      <c r="BG1377" s="86" t="b">
        <v>0</v>
      </c>
      <c r="BH1377" s="96" t="str">
        <f>HYPERLINK("https://pbs.twimg.com/profile_banners/237070073/1672952624")</f>
        <v>https://pbs.twimg.com/profile_banners/237070073/1672952624</v>
      </c>
      <c r="BI1377" s="86"/>
      <c r="BJ1377" s="86" t="s">
        <v>29134</v>
      </c>
      <c r="BK1377" s="86" t="b">
        <v>0</v>
      </c>
      <c r="BL1377" s="86"/>
      <c r="BM1377" s="86" t="s">
        <v>66</v>
      </c>
      <c r="BN1377" s="86" t="s">
        <v>29136</v>
      </c>
      <c r="BO1377" s="96" t="str">
        <f>HYPERLINK("https://twitter.com/blogdoklyngerr")</f>
        <v>https://twitter.com/blogdoklyngerr</v>
      </c>
      <c r="BP1377" s="2"/>
    </row>
    <row r="1378" spans="1:68" x14ac:dyDescent="0.25">
      <c r="A1378" s="63" t="s">
        <v>1395</v>
      </c>
      <c r="B1378" s="64"/>
      <c r="C1378" s="64"/>
      <c r="D1378" s="65"/>
      <c r="E1378" s="67"/>
      <c r="F1378" s="111" t="str">
        <f>HYPERLINK("https://pbs.twimg.com/profile_images/1678861109263048707/aWzd1JD-_normal.jpg")</f>
        <v>https://pbs.twimg.com/profile_images/1678861109263048707/aWzd1JD-_normal.jpg</v>
      </c>
      <c r="G1378" s="64"/>
      <c r="H1378" s="68"/>
      <c r="I1378" s="69"/>
      <c r="J1378" s="69"/>
      <c r="K1378" s="68" t="s">
        <v>30511</v>
      </c>
      <c r="L1378" s="72"/>
      <c r="M1378" s="73"/>
      <c r="N1378" s="73"/>
      <c r="O1378" s="74"/>
      <c r="P1378" s="75"/>
      <c r="Q1378" s="75"/>
      <c r="R1378" s="102"/>
      <c r="S1378" s="102"/>
      <c r="T1378" s="102"/>
      <c r="U1378" s="102"/>
      <c r="V1378" s="48"/>
      <c r="W1378" s="48"/>
      <c r="X1378" s="48"/>
      <c r="Y1378" s="48"/>
      <c r="Z1378" s="47"/>
      <c r="AA1378" s="70">
        <v>1378</v>
      </c>
      <c r="AB1378" s="70"/>
      <c r="AC1378" s="71"/>
      <c r="AD1378" s="86" t="s">
        <v>24168</v>
      </c>
      <c r="AE1378" s="94" t="s">
        <v>23476</v>
      </c>
      <c r="AF1378" s="86">
        <v>1420</v>
      </c>
      <c r="AG1378" s="86">
        <v>4995</v>
      </c>
      <c r="AH1378" s="86">
        <v>236</v>
      </c>
      <c r="AI1378" s="86">
        <v>0</v>
      </c>
      <c r="AJ1378" s="86">
        <v>146</v>
      </c>
      <c r="AK1378" s="86">
        <v>73</v>
      </c>
      <c r="AL1378" s="86" t="b">
        <v>0</v>
      </c>
      <c r="AM1378" s="89">
        <v>44887.995462962965</v>
      </c>
      <c r="AN1378" s="86"/>
      <c r="AO1378" s="86" t="s">
        <v>27677</v>
      </c>
      <c r="AP1378" s="96" t="str">
        <f>HYPERLINK("https://t.co/DPwhYlLSJO")</f>
        <v>https://t.co/DPwhYlLSJO</v>
      </c>
      <c r="AQ1378" s="96" t="str">
        <f>HYPERLINK("https://marketingnew.com.br")</f>
        <v>https://marketingnew.com.br</v>
      </c>
      <c r="AR1378" s="86" t="s">
        <v>28275</v>
      </c>
      <c r="AS1378" s="86"/>
      <c r="AT1378" s="86"/>
      <c r="AU1378" s="86"/>
      <c r="AV1378" s="86"/>
      <c r="AW1378" s="96" t="str">
        <f>HYPERLINK("https://t.co/DPwhYlLSJO")</f>
        <v>https://t.co/DPwhYlLSJO</v>
      </c>
      <c r="AX1378" s="86" t="b">
        <v>0</v>
      </c>
      <c r="AY1378" s="86"/>
      <c r="AZ1378" s="86"/>
      <c r="BA1378" s="86" t="b">
        <v>0</v>
      </c>
      <c r="BB1378" s="86" t="b">
        <v>1</v>
      </c>
      <c r="BC1378" s="86" t="b">
        <v>1</v>
      </c>
      <c r="BD1378" s="86" t="b">
        <v>0</v>
      </c>
      <c r="BE1378" s="86" t="b">
        <v>0</v>
      </c>
      <c r="BF1378" s="86" t="b">
        <v>0</v>
      </c>
      <c r="BG1378" s="86" t="b">
        <v>0</v>
      </c>
      <c r="BH1378" s="96" t="str">
        <f>HYPERLINK("https://pbs.twimg.com/profile_banners/1595203704495505408/1689392823")</f>
        <v>https://pbs.twimg.com/profile_banners/1595203704495505408/1689392823</v>
      </c>
      <c r="BI1378" s="86"/>
      <c r="BJ1378" s="86" t="s">
        <v>29134</v>
      </c>
      <c r="BK1378" s="86" t="b">
        <v>0</v>
      </c>
      <c r="BL1378" s="86"/>
      <c r="BM1378" s="86" t="s">
        <v>66</v>
      </c>
      <c r="BN1378" s="86" t="s">
        <v>29136</v>
      </c>
      <c r="BO1378" s="96" t="str">
        <f>HYPERLINK("https://twitter.com/viniciu80206889")</f>
        <v>https://twitter.com/viniciu80206889</v>
      </c>
      <c r="BP1378" s="2"/>
    </row>
    <row r="1379" spans="1:68" x14ac:dyDescent="0.25">
      <c r="A1379" s="63" t="s">
        <v>1396</v>
      </c>
      <c r="B1379" s="64"/>
      <c r="C1379" s="64"/>
      <c r="D1379" s="65"/>
      <c r="E1379" s="67"/>
      <c r="F1379" s="111" t="str">
        <f>HYPERLINK("https://pbs.twimg.com/profile_images/751772701942054912/lLajGipZ_normal.jpg")</f>
        <v>https://pbs.twimg.com/profile_images/751772701942054912/lLajGipZ_normal.jpg</v>
      </c>
      <c r="G1379" s="64"/>
      <c r="H1379" s="68"/>
      <c r="I1379" s="69"/>
      <c r="J1379" s="69"/>
      <c r="K1379" s="68" t="s">
        <v>30512</v>
      </c>
      <c r="L1379" s="72"/>
      <c r="M1379" s="73"/>
      <c r="N1379" s="73"/>
      <c r="O1379" s="74"/>
      <c r="P1379" s="75"/>
      <c r="Q1379" s="75"/>
      <c r="R1379" s="102"/>
      <c r="S1379" s="102"/>
      <c r="T1379" s="102"/>
      <c r="U1379" s="102"/>
      <c r="V1379" s="48"/>
      <c r="W1379" s="48"/>
      <c r="X1379" s="48"/>
      <c r="Y1379" s="48"/>
      <c r="Z1379" s="47"/>
      <c r="AA1379" s="70">
        <v>1379</v>
      </c>
      <c r="AB1379" s="70"/>
      <c r="AC1379" s="71"/>
      <c r="AD1379" s="86" t="s">
        <v>24973</v>
      </c>
      <c r="AE1379" s="94" t="s">
        <v>25774</v>
      </c>
      <c r="AF1379" s="86">
        <v>206</v>
      </c>
      <c r="AG1379" s="86">
        <v>269</v>
      </c>
      <c r="AH1379" s="86">
        <v>37497</v>
      </c>
      <c r="AI1379" s="86">
        <v>1</v>
      </c>
      <c r="AJ1379" s="86">
        <v>258</v>
      </c>
      <c r="AK1379" s="86">
        <v>13408</v>
      </c>
      <c r="AL1379" s="86" t="b">
        <v>0</v>
      </c>
      <c r="AM1379" s="89">
        <v>40744.997824074075</v>
      </c>
      <c r="AN1379" s="86" t="s">
        <v>15261</v>
      </c>
      <c r="AO1379" s="86" t="s">
        <v>27678</v>
      </c>
      <c r="AP1379" s="96" t="str">
        <f>HYPERLINK("http://t.co/Gj3jya4Bhs")</f>
        <v>http://t.co/Gj3jya4Bhs</v>
      </c>
      <c r="AQ1379" s="96" t="str">
        <f>HYPERLINK("http://www.portalsbn.com.br")</f>
        <v>http://www.portalsbn.com.br</v>
      </c>
      <c r="AR1379" s="86" t="s">
        <v>28825</v>
      </c>
      <c r="AS1379" s="86"/>
      <c r="AT1379" s="86"/>
      <c r="AU1379" s="86"/>
      <c r="AV1379" s="86"/>
      <c r="AW1379" s="96" t="str">
        <f>HYPERLINK("http://t.co/Gj3jya4Bhs")</f>
        <v>http://t.co/Gj3jya4Bhs</v>
      </c>
      <c r="AX1379" s="86" t="b">
        <v>0</v>
      </c>
      <c r="AY1379" s="86"/>
      <c r="AZ1379" s="86"/>
      <c r="BA1379" s="86" t="b">
        <v>0</v>
      </c>
      <c r="BB1379" s="86" t="b">
        <v>1</v>
      </c>
      <c r="BC1379" s="86" t="b">
        <v>0</v>
      </c>
      <c r="BD1379" s="86" t="b">
        <v>0</v>
      </c>
      <c r="BE1379" s="86" t="b">
        <v>1</v>
      </c>
      <c r="BF1379" s="86" t="b">
        <v>0</v>
      </c>
      <c r="BG1379" s="86" t="b">
        <v>0</v>
      </c>
      <c r="BH1379" s="96" t="str">
        <f>HYPERLINK("https://pbs.twimg.com/profile_banners/339352805/1552168930")</f>
        <v>https://pbs.twimg.com/profile_banners/339352805/1552168930</v>
      </c>
      <c r="BI1379" s="86"/>
      <c r="BJ1379" s="86" t="s">
        <v>29134</v>
      </c>
      <c r="BK1379" s="86" t="b">
        <v>0</v>
      </c>
      <c r="BL1379" s="86"/>
      <c r="BM1379" s="86" t="s">
        <v>66</v>
      </c>
      <c r="BN1379" s="86" t="s">
        <v>29136</v>
      </c>
      <c r="BO1379" s="96" t="str">
        <f>HYPERLINK("https://twitter.com/portalsbn")</f>
        <v>https://twitter.com/portalsbn</v>
      </c>
      <c r="BP1379" s="2"/>
    </row>
    <row r="1380" spans="1:68" x14ac:dyDescent="0.25">
      <c r="A1380" s="63" t="s">
        <v>1397</v>
      </c>
      <c r="B1380" s="64"/>
      <c r="C1380" s="64"/>
      <c r="D1380" s="65"/>
      <c r="E1380" s="67"/>
      <c r="F1380" s="111" t="str">
        <f>HYPERLINK("https://pbs.twimg.com/profile_images/1701707642777812992/DZWSXrMy_normal.jpg")</f>
        <v>https://pbs.twimg.com/profile_images/1701707642777812992/DZWSXrMy_normal.jpg</v>
      </c>
      <c r="G1380" s="64"/>
      <c r="H1380" s="68"/>
      <c r="I1380" s="69"/>
      <c r="J1380" s="69"/>
      <c r="K1380" s="68" t="s">
        <v>30513</v>
      </c>
      <c r="L1380" s="72"/>
      <c r="M1380" s="73"/>
      <c r="N1380" s="73"/>
      <c r="O1380" s="74"/>
      <c r="P1380" s="75"/>
      <c r="Q1380" s="75"/>
      <c r="R1380" s="102"/>
      <c r="S1380" s="102"/>
      <c r="T1380" s="102"/>
      <c r="U1380" s="102"/>
      <c r="V1380" s="48"/>
      <c r="W1380" s="48"/>
      <c r="X1380" s="48"/>
      <c r="Y1380" s="48"/>
      <c r="Z1380" s="47"/>
      <c r="AA1380" s="70">
        <v>1380</v>
      </c>
      <c r="AB1380" s="70"/>
      <c r="AC1380" s="71"/>
      <c r="AD1380" s="86" t="s">
        <v>24974</v>
      </c>
      <c r="AE1380" s="94" t="s">
        <v>23477</v>
      </c>
      <c r="AF1380" s="86">
        <v>8</v>
      </c>
      <c r="AG1380" s="86">
        <v>68</v>
      </c>
      <c r="AH1380" s="86">
        <v>929</v>
      </c>
      <c r="AI1380" s="86">
        <v>0</v>
      </c>
      <c r="AJ1380" s="86">
        <v>527</v>
      </c>
      <c r="AK1380" s="86">
        <v>203</v>
      </c>
      <c r="AL1380" s="86" t="b">
        <v>0</v>
      </c>
      <c r="AM1380" s="89">
        <v>44976.01902777778</v>
      </c>
      <c r="AN1380" s="86"/>
      <c r="AO1380" s="86" t="s">
        <v>27679</v>
      </c>
      <c r="AP1380" s="86"/>
      <c r="AQ1380" s="86"/>
      <c r="AR1380" s="86"/>
      <c r="AS1380" s="86"/>
      <c r="AT1380" s="86"/>
      <c r="AU1380" s="86"/>
      <c r="AV1380" s="86"/>
      <c r="AW1380" s="86"/>
      <c r="AX1380" s="86" t="b">
        <v>0</v>
      </c>
      <c r="AY1380" s="86"/>
      <c r="AZ1380" s="86"/>
      <c r="BA1380" s="86" t="b">
        <v>0</v>
      </c>
      <c r="BB1380" s="86" t="b">
        <v>0</v>
      </c>
      <c r="BC1380" s="86" t="b">
        <v>1</v>
      </c>
      <c r="BD1380" s="86" t="b">
        <v>0</v>
      </c>
      <c r="BE1380" s="86" t="b">
        <v>0</v>
      </c>
      <c r="BF1380" s="86" t="b">
        <v>0</v>
      </c>
      <c r="BG1380" s="86" t="b">
        <v>0</v>
      </c>
      <c r="BH1380" s="96" t="str">
        <f>HYPERLINK("https://pbs.twimg.com/profile_banners/1627102450321694720/1694846691")</f>
        <v>https://pbs.twimg.com/profile_banners/1627102450321694720/1694846691</v>
      </c>
      <c r="BI1380" s="86"/>
      <c r="BJ1380" s="86" t="s">
        <v>29134</v>
      </c>
      <c r="BK1380" s="86" t="b">
        <v>0</v>
      </c>
      <c r="BL1380" s="86"/>
      <c r="BM1380" s="86" t="s">
        <v>66</v>
      </c>
      <c r="BN1380" s="86" t="s">
        <v>29136</v>
      </c>
      <c r="BO1380" s="96" t="str">
        <f>HYPERLINK("https://twitter.com/anabrazilkorea")</f>
        <v>https://twitter.com/anabrazilkorea</v>
      </c>
      <c r="BP1380" s="2"/>
    </row>
    <row r="1381" spans="1:68" x14ac:dyDescent="0.25">
      <c r="A1381" s="63" t="s">
        <v>1398</v>
      </c>
      <c r="B1381" s="64"/>
      <c r="C1381" s="64"/>
      <c r="D1381" s="65"/>
      <c r="E1381" s="67"/>
      <c r="F1381" s="111" t="str">
        <f>HYPERLINK("https://pbs.twimg.com/profile_images/1325904530094116865/kqfqQuim_normal.jpg")</f>
        <v>https://pbs.twimg.com/profile_images/1325904530094116865/kqfqQuim_normal.jpg</v>
      </c>
      <c r="G1381" s="64"/>
      <c r="H1381" s="68"/>
      <c r="I1381" s="69"/>
      <c r="J1381" s="69"/>
      <c r="K1381" s="68" t="s">
        <v>30514</v>
      </c>
      <c r="L1381" s="72"/>
      <c r="M1381" s="73"/>
      <c r="N1381" s="73"/>
      <c r="O1381" s="74"/>
      <c r="P1381" s="75"/>
      <c r="Q1381" s="75"/>
      <c r="R1381" s="102"/>
      <c r="S1381" s="102"/>
      <c r="T1381" s="102"/>
      <c r="U1381" s="102"/>
      <c r="V1381" s="48"/>
      <c r="W1381" s="48"/>
      <c r="X1381" s="48"/>
      <c r="Y1381" s="48"/>
      <c r="Z1381" s="47"/>
      <c r="AA1381" s="70">
        <v>1381</v>
      </c>
      <c r="AB1381" s="70"/>
      <c r="AC1381" s="71"/>
      <c r="AD1381" s="86" t="s">
        <v>24975</v>
      </c>
      <c r="AE1381" s="94" t="s">
        <v>23478</v>
      </c>
      <c r="AF1381" s="86">
        <v>103</v>
      </c>
      <c r="AG1381" s="86">
        <v>7</v>
      </c>
      <c r="AH1381" s="86">
        <v>960</v>
      </c>
      <c r="AI1381" s="86">
        <v>2</v>
      </c>
      <c r="AJ1381" s="86">
        <v>52</v>
      </c>
      <c r="AK1381" s="86">
        <v>880</v>
      </c>
      <c r="AL1381" s="86" t="b">
        <v>0</v>
      </c>
      <c r="AM1381" s="89">
        <v>43417.559641203705</v>
      </c>
      <c r="AN1381" s="86" t="s">
        <v>15246</v>
      </c>
      <c r="AO1381" s="86" t="s">
        <v>27680</v>
      </c>
      <c r="AP1381" s="96" t="str">
        <f>HYPERLINK("https://t.co/EJvF5cBcET")</f>
        <v>https://t.co/EJvF5cBcET</v>
      </c>
      <c r="AQ1381" s="96" t="str">
        <f>HYPERLINK("http://eseg.edu.br")</f>
        <v>http://eseg.edu.br</v>
      </c>
      <c r="AR1381" s="86" t="s">
        <v>28826</v>
      </c>
      <c r="AS1381" s="86"/>
      <c r="AT1381" s="86"/>
      <c r="AU1381" s="86"/>
      <c r="AV1381" s="86">
        <v>1.3114269191712699E+18</v>
      </c>
      <c r="AW1381" s="96" t="str">
        <f>HYPERLINK("https://t.co/EJvF5cBcET")</f>
        <v>https://t.co/EJvF5cBcET</v>
      </c>
      <c r="AX1381" s="86" t="b">
        <v>0</v>
      </c>
      <c r="AY1381" s="86"/>
      <c r="AZ1381" s="86"/>
      <c r="BA1381" s="86" t="b">
        <v>0</v>
      </c>
      <c r="BB1381" s="86" t="b">
        <v>1</v>
      </c>
      <c r="BC1381" s="86" t="b">
        <v>1</v>
      </c>
      <c r="BD1381" s="86" t="b">
        <v>0</v>
      </c>
      <c r="BE1381" s="86" t="b">
        <v>0</v>
      </c>
      <c r="BF1381" s="86" t="b">
        <v>0</v>
      </c>
      <c r="BG1381" s="86" t="b">
        <v>0</v>
      </c>
      <c r="BH1381" s="96" t="str">
        <f>HYPERLINK("https://pbs.twimg.com/profile_banners/1062335746336526336/1693226186")</f>
        <v>https://pbs.twimg.com/profile_banners/1062335746336526336/1693226186</v>
      </c>
      <c r="BI1381" s="86"/>
      <c r="BJ1381" s="86" t="s">
        <v>29134</v>
      </c>
      <c r="BK1381" s="86" t="b">
        <v>0</v>
      </c>
      <c r="BL1381" s="86"/>
      <c r="BM1381" s="86" t="s">
        <v>66</v>
      </c>
      <c r="BN1381" s="86" t="s">
        <v>29136</v>
      </c>
      <c r="BO1381" s="96" t="str">
        <f>HYPERLINK("https://twitter.com/eseg_oficial")</f>
        <v>https://twitter.com/eseg_oficial</v>
      </c>
      <c r="BP1381" s="2"/>
    </row>
    <row r="1382" spans="1:68" x14ac:dyDescent="0.25">
      <c r="A1382" s="63" t="s">
        <v>1399</v>
      </c>
      <c r="B1382" s="64"/>
      <c r="C1382" s="64"/>
      <c r="D1382" s="65"/>
      <c r="E1382" s="67"/>
      <c r="F1382" s="111" t="str">
        <f>HYPERLINK("https://pbs.twimg.com/profile_images/1591094131018833921/VwcGW6bI_normal.jpg")</f>
        <v>https://pbs.twimg.com/profile_images/1591094131018833921/VwcGW6bI_normal.jpg</v>
      </c>
      <c r="G1382" s="64"/>
      <c r="H1382" s="68"/>
      <c r="I1382" s="69"/>
      <c r="J1382" s="69"/>
      <c r="K1382" s="68" t="s">
        <v>30515</v>
      </c>
      <c r="L1382" s="72"/>
      <c r="M1382" s="73"/>
      <c r="N1382" s="73"/>
      <c r="O1382" s="74"/>
      <c r="P1382" s="75"/>
      <c r="Q1382" s="75"/>
      <c r="R1382" s="102"/>
      <c r="S1382" s="102"/>
      <c r="T1382" s="102"/>
      <c r="U1382" s="102"/>
      <c r="V1382" s="48"/>
      <c r="W1382" s="48"/>
      <c r="X1382" s="48"/>
      <c r="Y1382" s="48"/>
      <c r="Z1382" s="47"/>
      <c r="AA1382" s="70">
        <v>1382</v>
      </c>
      <c r="AB1382" s="70"/>
      <c r="AC1382" s="71"/>
      <c r="AD1382" s="86" t="s">
        <v>24976</v>
      </c>
      <c r="AE1382" s="94" t="s">
        <v>23479</v>
      </c>
      <c r="AF1382" s="86">
        <v>1</v>
      </c>
      <c r="AG1382" s="86">
        <v>27</v>
      </c>
      <c r="AH1382" s="86">
        <v>44</v>
      </c>
      <c r="AI1382" s="86">
        <v>0</v>
      </c>
      <c r="AJ1382" s="86">
        <v>0</v>
      </c>
      <c r="AK1382" s="86">
        <v>42</v>
      </c>
      <c r="AL1382" s="86" t="b">
        <v>0</v>
      </c>
      <c r="AM1382" s="89">
        <v>44853.564004629632</v>
      </c>
      <c r="AN1382" s="86" t="s">
        <v>26160</v>
      </c>
      <c r="AO1382" s="86" t="s">
        <v>27681</v>
      </c>
      <c r="AP1382" s="96" t="str">
        <f>HYPERLINK("https://t.co/aJU0VZzBhH")</f>
        <v>https://t.co/aJU0VZzBhH</v>
      </c>
      <c r="AQ1382" s="96" t="str">
        <f>HYPERLINK("http://www.mpsrobotica.com.br")</f>
        <v>http://www.mpsrobotica.com.br</v>
      </c>
      <c r="AR1382" s="86" t="s">
        <v>28827</v>
      </c>
      <c r="AS1382" s="86"/>
      <c r="AT1382" s="86"/>
      <c r="AU1382" s="86"/>
      <c r="AV1382" s="86"/>
      <c r="AW1382" s="96" t="str">
        <f>HYPERLINK("https://t.co/aJU0VZzBhH")</f>
        <v>https://t.co/aJU0VZzBhH</v>
      </c>
      <c r="AX1382" s="86" t="b">
        <v>0</v>
      </c>
      <c r="AY1382" s="86"/>
      <c r="AZ1382" s="86"/>
      <c r="BA1382" s="86" t="b">
        <v>0</v>
      </c>
      <c r="BB1382" s="86" t="b">
        <v>1</v>
      </c>
      <c r="BC1382" s="86" t="b">
        <v>1</v>
      </c>
      <c r="BD1382" s="86" t="b">
        <v>0</v>
      </c>
      <c r="BE1382" s="86" t="b">
        <v>0</v>
      </c>
      <c r="BF1382" s="86" t="b">
        <v>0</v>
      </c>
      <c r="BG1382" s="86" t="b">
        <v>0</v>
      </c>
      <c r="BH1382" s="96" t="str">
        <f>HYPERLINK("https://pbs.twimg.com/profile_banners/1582726209925947397/1682959082")</f>
        <v>https://pbs.twimg.com/profile_banners/1582726209925947397/1682959082</v>
      </c>
      <c r="BI1382" s="86"/>
      <c r="BJ1382" s="86" t="s">
        <v>29134</v>
      </c>
      <c r="BK1382" s="86" t="b">
        <v>0</v>
      </c>
      <c r="BL1382" s="86"/>
      <c r="BM1382" s="86" t="s">
        <v>66</v>
      </c>
      <c r="BN1382" s="86" t="s">
        <v>29136</v>
      </c>
      <c r="BO1382" s="96" t="str">
        <f>HYPERLINK("https://twitter.com/mpsrobotica")</f>
        <v>https://twitter.com/mpsrobotica</v>
      </c>
      <c r="BP1382" s="2"/>
    </row>
    <row r="1383" spans="1:68" x14ac:dyDescent="0.25">
      <c r="A1383" s="63" t="s">
        <v>1400</v>
      </c>
      <c r="B1383" s="64"/>
      <c r="C1383" s="64"/>
      <c r="D1383" s="65"/>
      <c r="E1383" s="67"/>
      <c r="F1383" s="111" t="str">
        <f>HYPERLINK("https://pbs.twimg.com/profile_images/1329069076753235970/ER6bGRTB_normal.jpg")</f>
        <v>https://pbs.twimg.com/profile_images/1329069076753235970/ER6bGRTB_normal.jpg</v>
      </c>
      <c r="G1383" s="64"/>
      <c r="H1383" s="68"/>
      <c r="I1383" s="69"/>
      <c r="J1383" s="69"/>
      <c r="K1383" s="68" t="s">
        <v>30516</v>
      </c>
      <c r="L1383" s="72"/>
      <c r="M1383" s="73"/>
      <c r="N1383" s="73"/>
      <c r="O1383" s="74"/>
      <c r="P1383" s="75"/>
      <c r="Q1383" s="75"/>
      <c r="R1383" s="102"/>
      <c r="S1383" s="102"/>
      <c r="T1383" s="102"/>
      <c r="U1383" s="102"/>
      <c r="V1383" s="48"/>
      <c r="W1383" s="48"/>
      <c r="X1383" s="48"/>
      <c r="Y1383" s="48"/>
      <c r="Z1383" s="47"/>
      <c r="AA1383" s="70">
        <v>1383</v>
      </c>
      <c r="AB1383" s="70"/>
      <c r="AC1383" s="71"/>
      <c r="AD1383" s="86" t="s">
        <v>24977</v>
      </c>
      <c r="AE1383" s="94" t="s">
        <v>23480</v>
      </c>
      <c r="AF1383" s="86">
        <v>2</v>
      </c>
      <c r="AG1383" s="86">
        <v>64</v>
      </c>
      <c r="AH1383" s="86">
        <v>89</v>
      </c>
      <c r="AI1383" s="86">
        <v>0</v>
      </c>
      <c r="AJ1383" s="86">
        <v>39</v>
      </c>
      <c r="AK1383" s="86">
        <v>74</v>
      </c>
      <c r="AL1383" s="86" t="b">
        <v>0</v>
      </c>
      <c r="AM1383" s="89">
        <v>44153.597708333335</v>
      </c>
      <c r="AN1383" s="86" t="s">
        <v>26350</v>
      </c>
      <c r="AO1383" s="86" t="s">
        <v>27682</v>
      </c>
      <c r="AP1383" s="96" t="str">
        <f>HYPERLINK("https://t.co/gSTNw4mJiA")</f>
        <v>https://t.co/gSTNw4mJiA</v>
      </c>
      <c r="AQ1383" s="96" t="str">
        <f>HYPERLINK("https://grupoadvancedce.com.br/")</f>
        <v>https://grupoadvancedce.com.br/</v>
      </c>
      <c r="AR1383" s="86" t="s">
        <v>28828</v>
      </c>
      <c r="AS1383" s="86"/>
      <c r="AT1383" s="86"/>
      <c r="AU1383" s="86"/>
      <c r="AV1383" s="86"/>
      <c r="AW1383" s="96" t="str">
        <f>HYPERLINK("https://t.co/gSTNw4mJiA")</f>
        <v>https://t.co/gSTNw4mJiA</v>
      </c>
      <c r="AX1383" s="86" t="b">
        <v>0</v>
      </c>
      <c r="AY1383" s="86"/>
      <c r="AZ1383" s="86"/>
      <c r="BA1383" s="86" t="b">
        <v>0</v>
      </c>
      <c r="BB1383" s="86" t="b">
        <v>1</v>
      </c>
      <c r="BC1383" s="86" t="b">
        <v>1</v>
      </c>
      <c r="BD1383" s="86" t="b">
        <v>0</v>
      </c>
      <c r="BE1383" s="86" t="b">
        <v>0</v>
      </c>
      <c r="BF1383" s="86" t="b">
        <v>0</v>
      </c>
      <c r="BG1383" s="86" t="b">
        <v>0</v>
      </c>
      <c r="BH1383" s="96" t="str">
        <f>HYPERLINK("https://pbs.twimg.com/profile_banners/1329066901360799745/1643975823")</f>
        <v>https://pbs.twimg.com/profile_banners/1329066901360799745/1643975823</v>
      </c>
      <c r="BI1383" s="86"/>
      <c r="BJ1383" s="86" t="s">
        <v>29134</v>
      </c>
      <c r="BK1383" s="86" t="b">
        <v>0</v>
      </c>
      <c r="BL1383" s="86"/>
      <c r="BM1383" s="86" t="s">
        <v>66</v>
      </c>
      <c r="BN1383" s="86" t="s">
        <v>29136</v>
      </c>
      <c r="BO1383" s="96" t="str">
        <f>HYPERLINK("https://twitter.com/grupoadvanced")</f>
        <v>https://twitter.com/grupoadvanced</v>
      </c>
      <c r="BP1383" s="2"/>
    </row>
    <row r="1384" spans="1:68" x14ac:dyDescent="0.25">
      <c r="A1384" s="63" t="s">
        <v>1401</v>
      </c>
      <c r="B1384" s="64"/>
      <c r="C1384" s="64"/>
      <c r="D1384" s="65"/>
      <c r="E1384" s="67"/>
      <c r="F1384" s="111" t="str">
        <f>HYPERLINK("https://pbs.twimg.com/profile_images/1682161158751502338/pZr_gGin_normal.jpg")</f>
        <v>https://pbs.twimg.com/profile_images/1682161158751502338/pZr_gGin_normal.jpg</v>
      </c>
      <c r="G1384" s="64"/>
      <c r="H1384" s="68"/>
      <c r="I1384" s="69"/>
      <c r="J1384" s="69"/>
      <c r="K1384" s="68" t="s">
        <v>30517</v>
      </c>
      <c r="L1384" s="72"/>
      <c r="M1384" s="73"/>
      <c r="N1384" s="73"/>
      <c r="O1384" s="74"/>
      <c r="P1384" s="75"/>
      <c r="Q1384" s="75"/>
      <c r="R1384" s="102"/>
      <c r="S1384" s="102"/>
      <c r="T1384" s="102"/>
      <c r="U1384" s="102"/>
      <c r="V1384" s="48"/>
      <c r="W1384" s="48"/>
      <c r="X1384" s="48"/>
      <c r="Y1384" s="48"/>
      <c r="Z1384" s="47"/>
      <c r="AA1384" s="70">
        <v>1384</v>
      </c>
      <c r="AB1384" s="70"/>
      <c r="AC1384" s="71"/>
      <c r="AD1384" s="86" t="s">
        <v>24978</v>
      </c>
      <c r="AE1384" s="94" t="s">
        <v>23481</v>
      </c>
      <c r="AF1384" s="86">
        <v>4</v>
      </c>
      <c r="AG1384" s="86">
        <v>17</v>
      </c>
      <c r="AH1384" s="86">
        <v>98</v>
      </c>
      <c r="AI1384" s="86">
        <v>0</v>
      </c>
      <c r="AJ1384" s="86">
        <v>0</v>
      </c>
      <c r="AK1384" s="86">
        <v>21</v>
      </c>
      <c r="AL1384" s="86" t="b">
        <v>0</v>
      </c>
      <c r="AM1384" s="89">
        <v>44700.892025462963</v>
      </c>
      <c r="AN1384" s="86"/>
      <c r="AO1384" s="86" t="s">
        <v>27683</v>
      </c>
      <c r="AP1384" s="96" t="str">
        <f>HYPERLINK("https://t.co/tfR9ck9lDm")</f>
        <v>https://t.co/tfR9ck9lDm</v>
      </c>
      <c r="AQ1384" s="96" t="str">
        <f>HYPERLINK("http://beacons.page/zerodoze")</f>
        <v>http://beacons.page/zerodoze</v>
      </c>
      <c r="AR1384" s="86" t="s">
        <v>28829</v>
      </c>
      <c r="AS1384" s="86"/>
      <c r="AT1384" s="86"/>
      <c r="AU1384" s="86"/>
      <c r="AV1384" s="86"/>
      <c r="AW1384" s="96" t="str">
        <f>HYPERLINK("https://t.co/tfR9ck9lDm")</f>
        <v>https://t.co/tfR9ck9lDm</v>
      </c>
      <c r="AX1384" s="86" t="b">
        <v>0</v>
      </c>
      <c r="AY1384" s="86"/>
      <c r="AZ1384" s="86"/>
      <c r="BA1384" s="86" t="b">
        <v>0</v>
      </c>
      <c r="BB1384" s="86" t="b">
        <v>1</v>
      </c>
      <c r="BC1384" s="86" t="b">
        <v>1</v>
      </c>
      <c r="BD1384" s="86" t="b">
        <v>0</v>
      </c>
      <c r="BE1384" s="86" t="b">
        <v>0</v>
      </c>
      <c r="BF1384" s="86" t="b">
        <v>0</v>
      </c>
      <c r="BG1384" s="86" t="b">
        <v>0</v>
      </c>
      <c r="BH1384" s="96" t="str">
        <f>HYPERLINK("https://pbs.twimg.com/profile_banners/1527399787854700546/1689893449")</f>
        <v>https://pbs.twimg.com/profile_banners/1527399787854700546/1689893449</v>
      </c>
      <c r="BI1384" s="86"/>
      <c r="BJ1384" s="86" t="s">
        <v>29134</v>
      </c>
      <c r="BK1384" s="86" t="b">
        <v>0</v>
      </c>
      <c r="BL1384" s="86"/>
      <c r="BM1384" s="86" t="s">
        <v>66</v>
      </c>
      <c r="BN1384" s="86" t="s">
        <v>29136</v>
      </c>
      <c r="BO1384" s="96" t="str">
        <f>HYPERLINK("https://twitter.com/lojazerodoze")</f>
        <v>https://twitter.com/lojazerodoze</v>
      </c>
      <c r="BP1384" s="2"/>
    </row>
    <row r="1385" spans="1:68" x14ac:dyDescent="0.25">
      <c r="A1385" s="63" t="s">
        <v>1402</v>
      </c>
      <c r="B1385" s="64"/>
      <c r="C1385" s="64"/>
      <c r="D1385" s="65"/>
      <c r="E1385" s="67"/>
      <c r="F1385" s="111" t="str">
        <f>HYPERLINK("https://pbs.twimg.com/profile_images/1629967676691865600/X3kQtdHz_normal.jpg")</f>
        <v>https://pbs.twimg.com/profile_images/1629967676691865600/X3kQtdHz_normal.jpg</v>
      </c>
      <c r="G1385" s="64"/>
      <c r="H1385" s="68"/>
      <c r="I1385" s="69"/>
      <c r="J1385" s="69"/>
      <c r="K1385" s="68" t="s">
        <v>30518</v>
      </c>
      <c r="L1385" s="72"/>
      <c r="M1385" s="73"/>
      <c r="N1385" s="73"/>
      <c r="O1385" s="74"/>
      <c r="P1385" s="75"/>
      <c r="Q1385" s="75"/>
      <c r="R1385" s="102"/>
      <c r="S1385" s="102"/>
      <c r="T1385" s="102"/>
      <c r="U1385" s="102"/>
      <c r="V1385" s="48"/>
      <c r="W1385" s="48"/>
      <c r="X1385" s="48"/>
      <c r="Y1385" s="48"/>
      <c r="Z1385" s="47"/>
      <c r="AA1385" s="70">
        <v>1385</v>
      </c>
      <c r="AB1385" s="70"/>
      <c r="AC1385" s="71"/>
      <c r="AD1385" s="86" t="s">
        <v>24979</v>
      </c>
      <c r="AE1385" s="94" t="s">
        <v>22643</v>
      </c>
      <c r="AF1385" s="86">
        <v>10</v>
      </c>
      <c r="AG1385" s="86">
        <v>96</v>
      </c>
      <c r="AH1385" s="86">
        <v>87</v>
      </c>
      <c r="AI1385" s="86">
        <v>0</v>
      </c>
      <c r="AJ1385" s="86">
        <v>18</v>
      </c>
      <c r="AK1385" s="86">
        <v>11</v>
      </c>
      <c r="AL1385" s="86" t="b">
        <v>0</v>
      </c>
      <c r="AM1385" s="89">
        <v>44982.746423611112</v>
      </c>
      <c r="AN1385" s="86"/>
      <c r="AO1385" s="86" t="s">
        <v>24566</v>
      </c>
      <c r="AP1385" s="96" t="str">
        <f>HYPERLINK("https://t.co/kjxW8ZXFbW")</f>
        <v>https://t.co/kjxW8ZXFbW</v>
      </c>
      <c r="AQ1385" s="96" t="str">
        <f>HYPERLINK("http://exponencial5.com.br")</f>
        <v>http://exponencial5.com.br</v>
      </c>
      <c r="AR1385" s="86" t="s">
        <v>28830</v>
      </c>
      <c r="AS1385" s="86"/>
      <c r="AT1385" s="86"/>
      <c r="AU1385" s="86"/>
      <c r="AV1385" s="86">
        <v>1.62954255557344E+18</v>
      </c>
      <c r="AW1385" s="96" t="str">
        <f>HYPERLINK("https://t.co/kjxW8ZXFbW")</f>
        <v>https://t.co/kjxW8ZXFbW</v>
      </c>
      <c r="AX1385" s="86" t="b">
        <v>0</v>
      </c>
      <c r="AY1385" s="86"/>
      <c r="AZ1385" s="86"/>
      <c r="BA1385" s="86" t="b">
        <v>1</v>
      </c>
      <c r="BB1385" s="86" t="b">
        <v>1</v>
      </c>
      <c r="BC1385" s="86" t="b">
        <v>1</v>
      </c>
      <c r="BD1385" s="86" t="b">
        <v>0</v>
      </c>
      <c r="BE1385" s="86" t="b">
        <v>0</v>
      </c>
      <c r="BF1385" s="86" t="b">
        <v>0</v>
      </c>
      <c r="BG1385" s="86" t="b">
        <v>0</v>
      </c>
      <c r="BH1385" s="86"/>
      <c r="BI1385" s="86"/>
      <c r="BJ1385" s="86" t="s">
        <v>29134</v>
      </c>
      <c r="BK1385" s="86" t="b">
        <v>0</v>
      </c>
      <c r="BL1385" s="86"/>
      <c r="BM1385" s="86" t="s">
        <v>66</v>
      </c>
      <c r="BN1385" s="86" t="s">
        <v>29136</v>
      </c>
      <c r="BO1385" s="96" t="str">
        <f>HYPERLINK("https://twitter.com/andersonexpo5")</f>
        <v>https://twitter.com/andersonexpo5</v>
      </c>
      <c r="BP1385" s="2"/>
    </row>
    <row r="1386" spans="1:68" x14ac:dyDescent="0.25">
      <c r="A1386" s="63" t="s">
        <v>1403</v>
      </c>
      <c r="B1386" s="64"/>
      <c r="C1386" s="64"/>
      <c r="D1386" s="65"/>
      <c r="E1386" s="67"/>
      <c r="F1386" s="111" t="str">
        <f>HYPERLINK("https://pbs.twimg.com/profile_images/1642201546933846020/08-q-ei9_normal.jpg")</f>
        <v>https://pbs.twimg.com/profile_images/1642201546933846020/08-q-ei9_normal.jpg</v>
      </c>
      <c r="G1386" s="64"/>
      <c r="H1386" s="68"/>
      <c r="I1386" s="69"/>
      <c r="J1386" s="69"/>
      <c r="K1386" s="68" t="s">
        <v>30519</v>
      </c>
      <c r="L1386" s="72"/>
      <c r="M1386" s="73"/>
      <c r="N1386" s="73"/>
      <c r="O1386" s="74"/>
      <c r="P1386" s="75"/>
      <c r="Q1386" s="75"/>
      <c r="R1386" s="102"/>
      <c r="S1386" s="102"/>
      <c r="T1386" s="102"/>
      <c r="U1386" s="102"/>
      <c r="V1386" s="48"/>
      <c r="W1386" s="48"/>
      <c r="X1386" s="48"/>
      <c r="Y1386" s="48"/>
      <c r="Z1386" s="47"/>
      <c r="AA1386" s="70">
        <v>1386</v>
      </c>
      <c r="AB1386" s="70"/>
      <c r="AC1386" s="71"/>
      <c r="AD1386" s="86" t="s">
        <v>24980</v>
      </c>
      <c r="AE1386" s="94" t="s">
        <v>23482</v>
      </c>
      <c r="AF1386" s="86">
        <v>7</v>
      </c>
      <c r="AG1386" s="86">
        <v>63</v>
      </c>
      <c r="AH1386" s="86">
        <v>36</v>
      </c>
      <c r="AI1386" s="86">
        <v>1</v>
      </c>
      <c r="AJ1386" s="86">
        <v>2</v>
      </c>
      <c r="AK1386" s="86">
        <v>25</v>
      </c>
      <c r="AL1386" s="86" t="b">
        <v>0</v>
      </c>
      <c r="AM1386" s="89">
        <v>43704.68990740741</v>
      </c>
      <c r="AN1386" s="86"/>
      <c r="AO1386" s="86" t="s">
        <v>27684</v>
      </c>
      <c r="AP1386" s="86"/>
      <c r="AQ1386" s="86"/>
      <c r="AR1386" s="86"/>
      <c r="AS1386" s="86"/>
      <c r="AT1386" s="86"/>
      <c r="AU1386" s="86"/>
      <c r="AV1386" s="86">
        <v>1.62732857217503E+18</v>
      </c>
      <c r="AW1386" s="86"/>
      <c r="AX1386" s="86" t="b">
        <v>0</v>
      </c>
      <c r="AY1386" s="86"/>
      <c r="AZ1386" s="86"/>
      <c r="BA1386" s="86" t="b">
        <v>0</v>
      </c>
      <c r="BB1386" s="86" t="b">
        <v>1</v>
      </c>
      <c r="BC1386" s="86" t="b">
        <v>1</v>
      </c>
      <c r="BD1386" s="86" t="b">
        <v>0</v>
      </c>
      <c r="BE1386" s="86" t="b">
        <v>0</v>
      </c>
      <c r="BF1386" s="86" t="b">
        <v>0</v>
      </c>
      <c r="BG1386" s="86" t="b">
        <v>0</v>
      </c>
      <c r="BH1386" s="86"/>
      <c r="BI1386" s="86"/>
      <c r="BJ1386" s="86" t="s">
        <v>29134</v>
      </c>
      <c r="BK1386" s="86" t="b">
        <v>0</v>
      </c>
      <c r="BL1386" s="86"/>
      <c r="BM1386" s="86" t="s">
        <v>66</v>
      </c>
      <c r="BN1386" s="86" t="s">
        <v>29136</v>
      </c>
      <c r="BO1386" s="96" t="str">
        <f>HYPERLINK("https://twitter.com/gustavo25867079")</f>
        <v>https://twitter.com/gustavo25867079</v>
      </c>
      <c r="BP1386" s="2"/>
    </row>
    <row r="1387" spans="1:68" x14ac:dyDescent="0.25">
      <c r="A1387" s="63" t="s">
        <v>1404</v>
      </c>
      <c r="B1387" s="64"/>
      <c r="C1387" s="64"/>
      <c r="D1387" s="65"/>
      <c r="E1387" s="67"/>
      <c r="F1387" s="111" t="str">
        <f>HYPERLINK("https://pbs.twimg.com/profile_images/1703470112093749248/bgtvgRO3_normal.jpg")</f>
        <v>https://pbs.twimg.com/profile_images/1703470112093749248/bgtvgRO3_normal.jpg</v>
      </c>
      <c r="G1387" s="64"/>
      <c r="H1387" s="68"/>
      <c r="I1387" s="69"/>
      <c r="J1387" s="69"/>
      <c r="K1387" s="68" t="s">
        <v>30520</v>
      </c>
      <c r="L1387" s="72"/>
      <c r="M1387" s="73"/>
      <c r="N1387" s="73"/>
      <c r="O1387" s="74"/>
      <c r="P1387" s="75"/>
      <c r="Q1387" s="75"/>
      <c r="R1387" s="102"/>
      <c r="S1387" s="102"/>
      <c r="T1387" s="102"/>
      <c r="U1387" s="102"/>
      <c r="V1387" s="48"/>
      <c r="W1387" s="48"/>
      <c r="X1387" s="48"/>
      <c r="Y1387" s="48"/>
      <c r="Z1387" s="47"/>
      <c r="AA1387" s="70">
        <v>1387</v>
      </c>
      <c r="AB1387" s="70"/>
      <c r="AC1387" s="71"/>
      <c r="AD1387" s="86" t="s">
        <v>24981</v>
      </c>
      <c r="AE1387" s="94" t="s">
        <v>25775</v>
      </c>
      <c r="AF1387" s="86">
        <v>1</v>
      </c>
      <c r="AG1387" s="86">
        <v>68</v>
      </c>
      <c r="AH1387" s="86">
        <v>89</v>
      </c>
      <c r="AI1387" s="86">
        <v>0</v>
      </c>
      <c r="AJ1387" s="86">
        <v>13</v>
      </c>
      <c r="AK1387" s="86">
        <v>1</v>
      </c>
      <c r="AL1387" s="86" t="b">
        <v>0</v>
      </c>
      <c r="AM1387" s="89">
        <v>40843.314733796295</v>
      </c>
      <c r="AN1387" s="86"/>
      <c r="AO1387" s="86"/>
      <c r="AP1387" s="86"/>
      <c r="AQ1387" s="86"/>
      <c r="AR1387" s="86"/>
      <c r="AS1387" s="86"/>
      <c r="AT1387" s="86"/>
      <c r="AU1387" s="86"/>
      <c r="AV1387" s="86"/>
      <c r="AW1387" s="86"/>
      <c r="AX1387" s="86" t="b">
        <v>0</v>
      </c>
      <c r="AY1387" s="86"/>
      <c r="AZ1387" s="86"/>
      <c r="BA1387" s="86" t="b">
        <v>0</v>
      </c>
      <c r="BB1387" s="86" t="b">
        <v>1</v>
      </c>
      <c r="BC1387" s="86" t="b">
        <v>1</v>
      </c>
      <c r="BD1387" s="86" t="b">
        <v>0</v>
      </c>
      <c r="BE1387" s="86" t="b">
        <v>0</v>
      </c>
      <c r="BF1387" s="86" t="b">
        <v>0</v>
      </c>
      <c r="BG1387" s="86" t="b">
        <v>0</v>
      </c>
      <c r="BH1387" s="96" t="str">
        <f>HYPERLINK("https://pbs.twimg.com/profile_banners/399265512/1694973906")</f>
        <v>https://pbs.twimg.com/profile_banners/399265512/1694973906</v>
      </c>
      <c r="BI1387" s="86"/>
      <c r="BJ1387" s="86" t="s">
        <v>29134</v>
      </c>
      <c r="BK1387" s="86" t="b">
        <v>0</v>
      </c>
      <c r="BL1387" s="86"/>
      <c r="BM1387" s="86" t="s">
        <v>66</v>
      </c>
      <c r="BN1387" s="86" t="s">
        <v>29136</v>
      </c>
      <c r="BO1387" s="96" t="str">
        <f>HYPERLINK("https://twitter.com/turankurnaz")</f>
        <v>https://twitter.com/turankurnaz</v>
      </c>
      <c r="BP1387" s="2"/>
    </row>
    <row r="1388" spans="1:68" x14ac:dyDescent="0.25">
      <c r="A1388" s="63" t="s">
        <v>1405</v>
      </c>
      <c r="B1388" s="64"/>
      <c r="C1388" s="64"/>
      <c r="D1388" s="65"/>
      <c r="E1388" s="67"/>
      <c r="F1388" s="111" t="str">
        <f>HYPERLINK("https://pbs.twimg.com/profile_images/1671224142950019072/TuFb2VFB_normal.jpg")</f>
        <v>https://pbs.twimg.com/profile_images/1671224142950019072/TuFb2VFB_normal.jpg</v>
      </c>
      <c r="G1388" s="64"/>
      <c r="H1388" s="68"/>
      <c r="I1388" s="69"/>
      <c r="J1388" s="69"/>
      <c r="K1388" s="68" t="s">
        <v>30521</v>
      </c>
      <c r="L1388" s="72"/>
      <c r="M1388" s="73"/>
      <c r="N1388" s="73"/>
      <c r="O1388" s="74"/>
      <c r="P1388" s="75"/>
      <c r="Q1388" s="75"/>
      <c r="R1388" s="102"/>
      <c r="S1388" s="102"/>
      <c r="T1388" s="102"/>
      <c r="U1388" s="102"/>
      <c r="V1388" s="48"/>
      <c r="W1388" s="48"/>
      <c r="X1388" s="48"/>
      <c r="Y1388" s="48"/>
      <c r="Z1388" s="47"/>
      <c r="AA1388" s="70">
        <v>1388</v>
      </c>
      <c r="AB1388" s="70"/>
      <c r="AC1388" s="71"/>
      <c r="AD1388" s="86" t="s">
        <v>24982</v>
      </c>
      <c r="AE1388" s="94" t="s">
        <v>23483</v>
      </c>
      <c r="AF1388" s="86">
        <v>1</v>
      </c>
      <c r="AG1388" s="86">
        <v>4</v>
      </c>
      <c r="AH1388" s="86">
        <v>14</v>
      </c>
      <c r="AI1388" s="86">
        <v>0</v>
      </c>
      <c r="AJ1388" s="86">
        <v>0</v>
      </c>
      <c r="AK1388" s="86">
        <v>14</v>
      </c>
      <c r="AL1388" s="86" t="b">
        <v>0</v>
      </c>
      <c r="AM1388" s="89">
        <v>45097.768125000002</v>
      </c>
      <c r="AN1388" s="86"/>
      <c r="AO1388" s="86" t="s">
        <v>27685</v>
      </c>
      <c r="AP1388" s="86"/>
      <c r="AQ1388" s="86"/>
      <c r="AR1388" s="86"/>
      <c r="AS1388" s="96" t="str">
        <f>HYPERLINK("https://t.co/mrOBKSXdXY")</f>
        <v>https://t.co/mrOBKSXdXY</v>
      </c>
      <c r="AT1388" s="96" t="str">
        <f>HYPERLINK("http://siteinterativo.com.br/bem-vindo")</f>
        <v>http://siteinterativo.com.br/bem-vindo</v>
      </c>
      <c r="AU1388" s="86" t="s">
        <v>29117</v>
      </c>
      <c r="AV1388" s="86">
        <v>1.6890133794976399E+18</v>
      </c>
      <c r="AW1388" s="86"/>
      <c r="AX1388" s="86" t="b">
        <v>0</v>
      </c>
      <c r="AY1388" s="86"/>
      <c r="AZ1388" s="86"/>
      <c r="BA1388" s="86" t="b">
        <v>0</v>
      </c>
      <c r="BB1388" s="86" t="b">
        <v>1</v>
      </c>
      <c r="BC1388" s="86" t="b">
        <v>1</v>
      </c>
      <c r="BD1388" s="86" t="b">
        <v>0</v>
      </c>
      <c r="BE1388" s="86" t="b">
        <v>0</v>
      </c>
      <c r="BF1388" s="86" t="b">
        <v>0</v>
      </c>
      <c r="BG1388" s="86" t="b">
        <v>0</v>
      </c>
      <c r="BH1388" s="96" t="str">
        <f>HYPERLINK("https://pbs.twimg.com/profile_banners/1671222712184733706/1688294986")</f>
        <v>https://pbs.twimg.com/profile_banners/1671222712184733706/1688294986</v>
      </c>
      <c r="BI1388" s="86"/>
      <c r="BJ1388" s="86" t="s">
        <v>29134</v>
      </c>
      <c r="BK1388" s="86" t="b">
        <v>0</v>
      </c>
      <c r="BL1388" s="86"/>
      <c r="BM1388" s="86" t="s">
        <v>66</v>
      </c>
      <c r="BN1388" s="86" t="s">
        <v>29136</v>
      </c>
      <c r="BO1388" s="96" t="str">
        <f>HYPERLINK("https://twitter.com/maiconalberttt")</f>
        <v>https://twitter.com/maiconalberttt</v>
      </c>
      <c r="BP1388" s="2"/>
    </row>
    <row r="1389" spans="1:68" x14ac:dyDescent="0.25">
      <c r="A1389" s="63" t="s">
        <v>1811</v>
      </c>
      <c r="B1389" s="64"/>
      <c r="C1389" s="64"/>
      <c r="D1389" s="65"/>
      <c r="E1389" s="67"/>
      <c r="F1389" s="111" t="str">
        <f>HYPERLINK("https://abs.twimg.com/sticky/default_profile_images/default_profile_normal.png")</f>
        <v>https://abs.twimg.com/sticky/default_profile_images/default_profile_normal.png</v>
      </c>
      <c r="G1389" s="64"/>
      <c r="H1389" s="68"/>
      <c r="I1389" s="69"/>
      <c r="J1389" s="69"/>
      <c r="K1389" s="68" t="s">
        <v>30522</v>
      </c>
      <c r="L1389" s="72"/>
      <c r="M1389" s="73"/>
      <c r="N1389" s="73"/>
      <c r="O1389" s="74"/>
      <c r="P1389" s="75"/>
      <c r="Q1389" s="75"/>
      <c r="R1389" s="102"/>
      <c r="S1389" s="102"/>
      <c r="T1389" s="102"/>
      <c r="U1389" s="102"/>
      <c r="V1389" s="48"/>
      <c r="W1389" s="48"/>
      <c r="X1389" s="48"/>
      <c r="Y1389" s="48"/>
      <c r="Z1389" s="47"/>
      <c r="AA1389" s="70">
        <v>1389</v>
      </c>
      <c r="AB1389" s="70"/>
      <c r="AC1389" s="71"/>
      <c r="AD1389" s="86" t="s">
        <v>24983</v>
      </c>
      <c r="AE1389" s="94" t="s">
        <v>25776</v>
      </c>
      <c r="AF1389" s="86">
        <v>0</v>
      </c>
      <c r="AG1389" s="86">
        <v>0</v>
      </c>
      <c r="AH1389" s="86">
        <v>0</v>
      </c>
      <c r="AI1389" s="86">
        <v>0</v>
      </c>
      <c r="AJ1389" s="86">
        <v>0</v>
      </c>
      <c r="AK1389" s="86">
        <v>0</v>
      </c>
      <c r="AL1389" s="86" t="b">
        <v>0</v>
      </c>
      <c r="AM1389" s="89">
        <v>40049.58697916667</v>
      </c>
      <c r="AN1389" s="86"/>
      <c r="AO1389" s="86"/>
      <c r="AP1389" s="86"/>
      <c r="AQ1389" s="86"/>
      <c r="AR1389" s="86"/>
      <c r="AS1389" s="86"/>
      <c r="AT1389" s="86"/>
      <c r="AU1389" s="86"/>
      <c r="AV1389" s="86"/>
      <c r="AW1389" s="86"/>
      <c r="AX1389" s="86" t="b">
        <v>0</v>
      </c>
      <c r="AY1389" s="86"/>
      <c r="AZ1389" s="86"/>
      <c r="BA1389" s="86" t="b">
        <v>0</v>
      </c>
      <c r="BB1389" s="86" t="b">
        <v>1</v>
      </c>
      <c r="BC1389" s="86" t="b">
        <v>1</v>
      </c>
      <c r="BD1389" s="86" t="b">
        <v>1</v>
      </c>
      <c r="BE1389" s="86" t="b">
        <v>0</v>
      </c>
      <c r="BF1389" s="86" t="b">
        <v>0</v>
      </c>
      <c r="BG1389" s="86" t="b">
        <v>0</v>
      </c>
      <c r="BH1389" s="86"/>
      <c r="BI1389" s="86"/>
      <c r="BJ1389" s="86" t="s">
        <v>29134</v>
      </c>
      <c r="BK1389" s="86" t="b">
        <v>0</v>
      </c>
      <c r="BL1389" s="86"/>
      <c r="BM1389" s="86" t="s">
        <v>65</v>
      </c>
      <c r="BN1389" s="86" t="s">
        <v>29136</v>
      </c>
      <c r="BO1389" s="96" t="str">
        <f>HYPERLINK("https://twitter.com/jedsoncalvi")</f>
        <v>https://twitter.com/jedsoncalvi</v>
      </c>
      <c r="BP1389" s="2"/>
    </row>
    <row r="1390" spans="1:68" x14ac:dyDescent="0.25">
      <c r="A1390" s="63" t="s">
        <v>1408</v>
      </c>
      <c r="B1390" s="64"/>
      <c r="C1390" s="64"/>
      <c r="D1390" s="65"/>
      <c r="E1390" s="67"/>
      <c r="F1390" s="111" t="str">
        <f>HYPERLINK("https://pbs.twimg.com/profile_images/846178730766749698/oSUp1mA8_normal.jpg")</f>
        <v>https://pbs.twimg.com/profile_images/846178730766749698/oSUp1mA8_normal.jpg</v>
      </c>
      <c r="G1390" s="64"/>
      <c r="H1390" s="68"/>
      <c r="I1390" s="69"/>
      <c r="J1390" s="69"/>
      <c r="K1390" s="68" t="s">
        <v>30523</v>
      </c>
      <c r="L1390" s="72"/>
      <c r="M1390" s="73"/>
      <c r="N1390" s="73"/>
      <c r="O1390" s="74"/>
      <c r="P1390" s="75"/>
      <c r="Q1390" s="75"/>
      <c r="R1390" s="102"/>
      <c r="S1390" s="102"/>
      <c r="T1390" s="102"/>
      <c r="U1390" s="102"/>
      <c r="V1390" s="48"/>
      <c r="W1390" s="48"/>
      <c r="X1390" s="48"/>
      <c r="Y1390" s="48"/>
      <c r="Z1390" s="47"/>
      <c r="AA1390" s="70">
        <v>1390</v>
      </c>
      <c r="AB1390" s="70"/>
      <c r="AC1390" s="71"/>
      <c r="AD1390" s="86" t="s">
        <v>24984</v>
      </c>
      <c r="AE1390" s="94" t="s">
        <v>25777</v>
      </c>
      <c r="AF1390" s="86">
        <v>5086</v>
      </c>
      <c r="AG1390" s="86">
        <v>5594</v>
      </c>
      <c r="AH1390" s="86">
        <v>75772</v>
      </c>
      <c r="AI1390" s="86">
        <v>174</v>
      </c>
      <c r="AJ1390" s="86">
        <v>96</v>
      </c>
      <c r="AK1390" s="86">
        <v>2624</v>
      </c>
      <c r="AL1390" s="86" t="b">
        <v>0</v>
      </c>
      <c r="AM1390" s="89">
        <v>39871.472627314812</v>
      </c>
      <c r="AN1390" s="86" t="s">
        <v>26351</v>
      </c>
      <c r="AO1390" s="86" t="s">
        <v>27686</v>
      </c>
      <c r="AP1390" s="96" t="str">
        <f>HYPERLINK("https://t.co/X5uE6Hlm4y")</f>
        <v>https://t.co/X5uE6Hlm4y</v>
      </c>
      <c r="AQ1390" s="96" t="str">
        <f>HYPERLINK("http://www.thalesbrandao.com.br")</f>
        <v>http://www.thalesbrandao.com.br</v>
      </c>
      <c r="AR1390" s="86" t="s">
        <v>28831</v>
      </c>
      <c r="AS1390" s="96" t="str">
        <f>HYPERLINK("http://t.co/43SFjRq6TP")</f>
        <v>http://t.co/43SFjRq6TP</v>
      </c>
      <c r="AT1390" s="96" t="str">
        <f>HYPERLINK("http://CidadeMarketing.com.br")</f>
        <v>http://CidadeMarketing.com.br</v>
      </c>
      <c r="AU1390" s="86" t="s">
        <v>29118</v>
      </c>
      <c r="AV1390" s="86"/>
      <c r="AW1390" s="96" t="str">
        <f>HYPERLINK("https://t.co/X5uE6Hlm4y")</f>
        <v>https://t.co/X5uE6Hlm4y</v>
      </c>
      <c r="AX1390" s="86" t="b">
        <v>0</v>
      </c>
      <c r="AY1390" s="86"/>
      <c r="AZ1390" s="86"/>
      <c r="BA1390" s="86" t="b">
        <v>0</v>
      </c>
      <c r="BB1390" s="86" t="b">
        <v>1</v>
      </c>
      <c r="BC1390" s="86" t="b">
        <v>0</v>
      </c>
      <c r="BD1390" s="86" t="b">
        <v>0</v>
      </c>
      <c r="BE1390" s="86" t="b">
        <v>1</v>
      </c>
      <c r="BF1390" s="86" t="b">
        <v>0</v>
      </c>
      <c r="BG1390" s="86" t="b">
        <v>0</v>
      </c>
      <c r="BH1390" s="96" t="str">
        <f>HYPERLINK("https://pbs.twimg.com/profile_banners/22129996/1508209840")</f>
        <v>https://pbs.twimg.com/profile_banners/22129996/1508209840</v>
      </c>
      <c r="BI1390" s="86"/>
      <c r="BJ1390" s="86" t="s">
        <v>29134</v>
      </c>
      <c r="BK1390" s="86" t="b">
        <v>0</v>
      </c>
      <c r="BL1390" s="86"/>
      <c r="BM1390" s="86" t="s">
        <v>66</v>
      </c>
      <c r="BN1390" s="86" t="s">
        <v>29136</v>
      </c>
      <c r="BO1390" s="96" t="str">
        <f>HYPERLINK("https://twitter.com/thalesbrandao")</f>
        <v>https://twitter.com/thalesbrandao</v>
      </c>
      <c r="BP1390" s="2"/>
    </row>
    <row r="1391" spans="1:68" x14ac:dyDescent="0.25">
      <c r="A1391" s="63" t="s">
        <v>1409</v>
      </c>
      <c r="B1391" s="64"/>
      <c r="C1391" s="64"/>
      <c r="D1391" s="65"/>
      <c r="E1391" s="67"/>
      <c r="F1391" s="111" t="str">
        <f>HYPERLINK("https://pbs.twimg.com/profile_images/1561516721835577352/FYTrPwEo_normal.jpg")</f>
        <v>https://pbs.twimg.com/profile_images/1561516721835577352/FYTrPwEo_normal.jpg</v>
      </c>
      <c r="G1391" s="64"/>
      <c r="H1391" s="68"/>
      <c r="I1391" s="69"/>
      <c r="J1391" s="69"/>
      <c r="K1391" s="68" t="s">
        <v>30524</v>
      </c>
      <c r="L1391" s="72"/>
      <c r="M1391" s="73"/>
      <c r="N1391" s="73"/>
      <c r="O1391" s="74"/>
      <c r="P1391" s="75"/>
      <c r="Q1391" s="75"/>
      <c r="R1391" s="102"/>
      <c r="S1391" s="102"/>
      <c r="T1391" s="102"/>
      <c r="U1391" s="102"/>
      <c r="V1391" s="48"/>
      <c r="W1391" s="48"/>
      <c r="X1391" s="48"/>
      <c r="Y1391" s="48"/>
      <c r="Z1391" s="47"/>
      <c r="AA1391" s="70">
        <v>1391</v>
      </c>
      <c r="AB1391" s="70"/>
      <c r="AC1391" s="71"/>
      <c r="AD1391" s="86" t="s">
        <v>24985</v>
      </c>
      <c r="AE1391" s="94" t="s">
        <v>22645</v>
      </c>
      <c r="AF1391" s="86">
        <v>128</v>
      </c>
      <c r="AG1391" s="86">
        <v>906</v>
      </c>
      <c r="AH1391" s="86">
        <v>3272</v>
      </c>
      <c r="AI1391" s="86">
        <v>3</v>
      </c>
      <c r="AJ1391" s="86">
        <v>27318</v>
      </c>
      <c r="AK1391" s="86">
        <v>351</v>
      </c>
      <c r="AL1391" s="86" t="b">
        <v>0</v>
      </c>
      <c r="AM1391" s="89">
        <v>42248.044189814813</v>
      </c>
      <c r="AN1391" s="86"/>
      <c r="AO1391" s="86" t="s">
        <v>27687</v>
      </c>
      <c r="AP1391" s="86"/>
      <c r="AQ1391" s="86"/>
      <c r="AR1391" s="86"/>
      <c r="AS1391" s="86"/>
      <c r="AT1391" s="86"/>
      <c r="AU1391" s="86"/>
      <c r="AV1391" s="86"/>
      <c r="AW1391" s="86"/>
      <c r="AX1391" s="86" t="b">
        <v>0</v>
      </c>
      <c r="AY1391" s="86"/>
      <c r="AZ1391" s="86"/>
      <c r="BA1391" s="86" t="b">
        <v>0</v>
      </c>
      <c r="BB1391" s="86" t="b">
        <v>0</v>
      </c>
      <c r="BC1391" s="86" t="b">
        <v>1</v>
      </c>
      <c r="BD1391" s="86" t="b">
        <v>0</v>
      </c>
      <c r="BE1391" s="86" t="b">
        <v>1</v>
      </c>
      <c r="BF1391" s="86" t="b">
        <v>0</v>
      </c>
      <c r="BG1391" s="86" t="b">
        <v>0</v>
      </c>
      <c r="BH1391" s="96" t="str">
        <f>HYPERLINK("https://pbs.twimg.com/profile_banners/3507344897/1560433348")</f>
        <v>https://pbs.twimg.com/profile_banners/3507344897/1560433348</v>
      </c>
      <c r="BI1391" s="86"/>
      <c r="BJ1391" s="86" t="s">
        <v>29134</v>
      </c>
      <c r="BK1391" s="86" t="b">
        <v>0</v>
      </c>
      <c r="BL1391" s="86"/>
      <c r="BM1391" s="86" t="s">
        <v>66</v>
      </c>
      <c r="BN1391" s="86" t="s">
        <v>29136</v>
      </c>
      <c r="BO1391" s="96" t="str">
        <f>HYPERLINK("https://twitter.com/fgaugustus")</f>
        <v>https://twitter.com/fgaugustus</v>
      </c>
      <c r="BP1391" s="2"/>
    </row>
    <row r="1392" spans="1:68" x14ac:dyDescent="0.25">
      <c r="A1392" s="63" t="s">
        <v>1410</v>
      </c>
      <c r="B1392" s="64"/>
      <c r="C1392" s="64"/>
      <c r="D1392" s="65"/>
      <c r="E1392" s="67"/>
      <c r="F1392" s="111" t="str">
        <f>HYPERLINK("https://pbs.twimg.com/profile_images/992912888359784450/3Z2cTm4z_normal.jpg")</f>
        <v>https://pbs.twimg.com/profile_images/992912888359784450/3Z2cTm4z_normal.jpg</v>
      </c>
      <c r="G1392" s="64"/>
      <c r="H1392" s="68"/>
      <c r="I1392" s="69"/>
      <c r="J1392" s="69"/>
      <c r="K1392" s="68" t="s">
        <v>30525</v>
      </c>
      <c r="L1392" s="72"/>
      <c r="M1392" s="73"/>
      <c r="N1392" s="73"/>
      <c r="O1392" s="74"/>
      <c r="P1392" s="75"/>
      <c r="Q1392" s="75"/>
      <c r="R1392" s="102"/>
      <c r="S1392" s="102"/>
      <c r="T1392" s="102"/>
      <c r="U1392" s="102"/>
      <c r="V1392" s="48"/>
      <c r="W1392" s="48"/>
      <c r="X1392" s="48"/>
      <c r="Y1392" s="48"/>
      <c r="Z1392" s="47"/>
      <c r="AA1392" s="70">
        <v>1392</v>
      </c>
      <c r="AB1392" s="70"/>
      <c r="AC1392" s="71"/>
      <c r="AD1392" s="86" t="s">
        <v>24986</v>
      </c>
      <c r="AE1392" s="94" t="s">
        <v>22646</v>
      </c>
      <c r="AF1392" s="86">
        <v>5319</v>
      </c>
      <c r="AG1392" s="86">
        <v>1149</v>
      </c>
      <c r="AH1392" s="86">
        <v>796</v>
      </c>
      <c r="AI1392" s="86">
        <v>60</v>
      </c>
      <c r="AJ1392" s="86">
        <v>578</v>
      </c>
      <c r="AK1392" s="86">
        <v>417</v>
      </c>
      <c r="AL1392" s="86" t="b">
        <v>0</v>
      </c>
      <c r="AM1392" s="89">
        <v>43225.984363425923</v>
      </c>
      <c r="AN1392" s="86" t="s">
        <v>26352</v>
      </c>
      <c r="AO1392" s="86" t="s">
        <v>27688</v>
      </c>
      <c r="AP1392" s="96" t="str">
        <f>HYPERLINK("https://t.co/HAaXGnoZrf")</f>
        <v>https://t.co/HAaXGnoZrf</v>
      </c>
      <c r="AQ1392" s="96" t="str">
        <f>HYPERLINK("http://afropython.org/")</f>
        <v>http://afropython.org/</v>
      </c>
      <c r="AR1392" s="86" t="s">
        <v>28832</v>
      </c>
      <c r="AS1392" s="86"/>
      <c r="AT1392" s="86"/>
      <c r="AU1392" s="86"/>
      <c r="AV1392" s="86">
        <v>1.7049266135597399E+18</v>
      </c>
      <c r="AW1392" s="96" t="str">
        <f>HYPERLINK("https://t.co/HAaXGnoZrf")</f>
        <v>https://t.co/HAaXGnoZrf</v>
      </c>
      <c r="AX1392" s="86" t="b">
        <v>0</v>
      </c>
      <c r="AY1392" s="86"/>
      <c r="AZ1392" s="86"/>
      <c r="BA1392" s="86" t="b">
        <v>1</v>
      </c>
      <c r="BB1392" s="86" t="b">
        <v>1</v>
      </c>
      <c r="BC1392" s="86" t="b">
        <v>0</v>
      </c>
      <c r="BD1392" s="86" t="b">
        <v>0</v>
      </c>
      <c r="BE1392" s="86" t="b">
        <v>0</v>
      </c>
      <c r="BF1392" s="86" t="b">
        <v>0</v>
      </c>
      <c r="BG1392" s="86" t="b">
        <v>0</v>
      </c>
      <c r="BH1392" s="96" t="str">
        <f>HYPERLINK("https://pbs.twimg.com/profile_banners/992911186499919872/1654107375")</f>
        <v>https://pbs.twimg.com/profile_banners/992911186499919872/1654107375</v>
      </c>
      <c r="BI1392" s="86"/>
      <c r="BJ1392" s="86" t="s">
        <v>29134</v>
      </c>
      <c r="BK1392" s="86" t="b">
        <v>0</v>
      </c>
      <c r="BL1392" s="86"/>
      <c r="BM1392" s="86" t="s">
        <v>66</v>
      </c>
      <c r="BN1392" s="86" t="s">
        <v>29136</v>
      </c>
      <c r="BO1392" s="96" t="str">
        <f>HYPERLINK("https://twitter.com/afropython")</f>
        <v>https://twitter.com/afropython</v>
      </c>
      <c r="BP1392" s="2"/>
    </row>
    <row r="1393" spans="1:68" x14ac:dyDescent="0.25">
      <c r="A1393" s="63" t="s">
        <v>1411</v>
      </c>
      <c r="B1393" s="64"/>
      <c r="C1393" s="64"/>
      <c r="D1393" s="65"/>
      <c r="E1393" s="67"/>
      <c r="F1393" s="111" t="str">
        <f>HYPERLINK("https://pbs.twimg.com/profile_images/1435090246299967496/lJ9EVcZz_normal.jpg")</f>
        <v>https://pbs.twimg.com/profile_images/1435090246299967496/lJ9EVcZz_normal.jpg</v>
      </c>
      <c r="G1393" s="64"/>
      <c r="H1393" s="68"/>
      <c r="I1393" s="69"/>
      <c r="J1393" s="69"/>
      <c r="K1393" s="68" t="s">
        <v>30526</v>
      </c>
      <c r="L1393" s="72"/>
      <c r="M1393" s="73"/>
      <c r="N1393" s="73"/>
      <c r="O1393" s="74"/>
      <c r="P1393" s="75"/>
      <c r="Q1393" s="75"/>
      <c r="R1393" s="102"/>
      <c r="S1393" s="102"/>
      <c r="T1393" s="102"/>
      <c r="U1393" s="102"/>
      <c r="V1393" s="48"/>
      <c r="W1393" s="48"/>
      <c r="X1393" s="48"/>
      <c r="Y1393" s="48"/>
      <c r="Z1393" s="47"/>
      <c r="AA1393" s="70">
        <v>1393</v>
      </c>
      <c r="AB1393" s="70"/>
      <c r="AC1393" s="71"/>
      <c r="AD1393" s="86" t="s">
        <v>24987</v>
      </c>
      <c r="AE1393" s="94" t="s">
        <v>23484</v>
      </c>
      <c r="AF1393" s="86">
        <v>1492</v>
      </c>
      <c r="AG1393" s="86">
        <v>2545</v>
      </c>
      <c r="AH1393" s="86">
        <v>6851</v>
      </c>
      <c r="AI1393" s="86">
        <v>4</v>
      </c>
      <c r="AJ1393" s="86">
        <v>51351</v>
      </c>
      <c r="AK1393" s="86">
        <v>934</v>
      </c>
      <c r="AL1393" s="86" t="b">
        <v>0</v>
      </c>
      <c r="AM1393" s="89">
        <v>43510.732407407406</v>
      </c>
      <c r="AN1393" s="86" t="s">
        <v>15240</v>
      </c>
      <c r="AO1393" s="86" t="s">
        <v>27689</v>
      </c>
      <c r="AP1393" s="96" t="str">
        <f>HYPERLINK("https://t.co/kIgR9QkGSp")</f>
        <v>https://t.co/kIgR9QkGSp</v>
      </c>
      <c r="AQ1393" s="96" t="str">
        <f>HYPERLINK("https://instagram.com/juliomj.85?utm_source=qr&amp;igshid=NGExMmI2YTkyZg%3D%3D")</f>
        <v>https://instagram.com/juliomj.85?utm_source=qr&amp;igshid=NGExMmI2YTkyZg%3D%3D</v>
      </c>
      <c r="AR1393" s="86" t="s">
        <v>28833</v>
      </c>
      <c r="AS1393" s="86"/>
      <c r="AT1393" s="86"/>
      <c r="AU1393" s="86"/>
      <c r="AV1393" s="86">
        <v>1.70529305427647E+18</v>
      </c>
      <c r="AW1393" s="96" t="str">
        <f>HYPERLINK("https://t.co/kIgR9QkGSp")</f>
        <v>https://t.co/kIgR9QkGSp</v>
      </c>
      <c r="AX1393" s="86" t="b">
        <v>0</v>
      </c>
      <c r="AY1393" s="86"/>
      <c r="AZ1393" s="86"/>
      <c r="BA1393" s="86" t="b">
        <v>1</v>
      </c>
      <c r="BB1393" s="86" t="b">
        <v>0</v>
      </c>
      <c r="BC1393" s="86" t="b">
        <v>1</v>
      </c>
      <c r="BD1393" s="86" t="b">
        <v>0</v>
      </c>
      <c r="BE1393" s="86" t="b">
        <v>1</v>
      </c>
      <c r="BF1393" s="86" t="b">
        <v>0</v>
      </c>
      <c r="BG1393" s="86" t="b">
        <v>0</v>
      </c>
      <c r="BH1393" s="96" t="str">
        <f>HYPERLINK("https://pbs.twimg.com/profile_banners/1096100426355785731/1694959399")</f>
        <v>https://pbs.twimg.com/profile_banners/1096100426355785731/1694959399</v>
      </c>
      <c r="BI1393" s="86"/>
      <c r="BJ1393" s="86" t="s">
        <v>29134</v>
      </c>
      <c r="BK1393" s="86" t="b">
        <v>0</v>
      </c>
      <c r="BL1393" s="86"/>
      <c r="BM1393" s="86" t="s">
        <v>66</v>
      </c>
      <c r="BN1393" s="86" t="s">
        <v>29136</v>
      </c>
      <c r="BO1393" s="96" t="str">
        <f>HYPERLINK("https://twitter.com/juliomj85")</f>
        <v>https://twitter.com/juliomj85</v>
      </c>
      <c r="BP1393" s="2"/>
    </row>
    <row r="1394" spans="1:68" x14ac:dyDescent="0.25">
      <c r="A1394" s="63" t="s">
        <v>1412</v>
      </c>
      <c r="B1394" s="64"/>
      <c r="C1394" s="64"/>
      <c r="D1394" s="65"/>
      <c r="E1394" s="67"/>
      <c r="F1394" s="111" t="str">
        <f>HYPERLINK("https://pbs.twimg.com/profile_images/1705428582267232256/AJC3UrGK_normal.jpg")</f>
        <v>https://pbs.twimg.com/profile_images/1705428582267232256/AJC3UrGK_normal.jpg</v>
      </c>
      <c r="G1394" s="64"/>
      <c r="H1394" s="68"/>
      <c r="I1394" s="69"/>
      <c r="J1394" s="69"/>
      <c r="K1394" s="68" t="s">
        <v>30527</v>
      </c>
      <c r="L1394" s="72"/>
      <c r="M1394" s="73"/>
      <c r="N1394" s="73"/>
      <c r="O1394" s="74"/>
      <c r="P1394" s="75"/>
      <c r="Q1394" s="75"/>
      <c r="R1394" s="102"/>
      <c r="S1394" s="102"/>
      <c r="T1394" s="102"/>
      <c r="U1394" s="102"/>
      <c r="V1394" s="48"/>
      <c r="W1394" s="48"/>
      <c r="X1394" s="48"/>
      <c r="Y1394" s="48"/>
      <c r="Z1394" s="47"/>
      <c r="AA1394" s="70">
        <v>1394</v>
      </c>
      <c r="AB1394" s="70"/>
      <c r="AC1394" s="71"/>
      <c r="AD1394" s="86" t="s">
        <v>24988</v>
      </c>
      <c r="AE1394" s="94" t="s">
        <v>23485</v>
      </c>
      <c r="AF1394" s="86">
        <v>174</v>
      </c>
      <c r="AG1394" s="86">
        <v>193</v>
      </c>
      <c r="AH1394" s="86">
        <v>13656</v>
      </c>
      <c r="AI1394" s="86">
        <v>0</v>
      </c>
      <c r="AJ1394" s="86">
        <v>13855</v>
      </c>
      <c r="AK1394" s="86">
        <v>38</v>
      </c>
      <c r="AL1394" s="86" t="b">
        <v>0</v>
      </c>
      <c r="AM1394" s="89">
        <v>43652.078229166669</v>
      </c>
      <c r="AN1394" s="86" t="s">
        <v>15234</v>
      </c>
      <c r="AO1394" s="86" t="s">
        <v>27690</v>
      </c>
      <c r="AP1394" s="86"/>
      <c r="AQ1394" s="86"/>
      <c r="AR1394" s="86"/>
      <c r="AS1394" s="86"/>
      <c r="AT1394" s="86"/>
      <c r="AU1394" s="86"/>
      <c r="AV1394" s="86">
        <v>1.68854623469953E+18</v>
      </c>
      <c r="AW1394" s="86"/>
      <c r="AX1394" s="86" t="b">
        <v>0</v>
      </c>
      <c r="AY1394" s="86"/>
      <c r="AZ1394" s="86"/>
      <c r="BA1394" s="86" t="b">
        <v>0</v>
      </c>
      <c r="BB1394" s="86" t="b">
        <v>0</v>
      </c>
      <c r="BC1394" s="86" t="b">
        <v>1</v>
      </c>
      <c r="BD1394" s="86" t="b">
        <v>0</v>
      </c>
      <c r="BE1394" s="86" t="b">
        <v>1</v>
      </c>
      <c r="BF1394" s="86" t="b">
        <v>0</v>
      </c>
      <c r="BG1394" s="86" t="b">
        <v>0</v>
      </c>
      <c r="BH1394" s="96" t="str">
        <f>HYPERLINK("https://pbs.twimg.com/profile_banners/1147322435395575808/1695440834")</f>
        <v>https://pbs.twimg.com/profile_banners/1147322435395575808/1695440834</v>
      </c>
      <c r="BI1394" s="86"/>
      <c r="BJ1394" s="86" t="s">
        <v>29134</v>
      </c>
      <c r="BK1394" s="86" t="b">
        <v>0</v>
      </c>
      <c r="BL1394" s="86"/>
      <c r="BM1394" s="86" t="s">
        <v>66</v>
      </c>
      <c r="BN1394" s="86" t="s">
        <v>29136</v>
      </c>
      <c r="BO1394" s="96" t="str">
        <f>HYPERLINK("https://twitter.com/regivnia4")</f>
        <v>https://twitter.com/regivnia4</v>
      </c>
      <c r="BP1394" s="2"/>
    </row>
    <row r="1395" spans="1:68" x14ac:dyDescent="0.25">
      <c r="A1395" s="63" t="s">
        <v>1413</v>
      </c>
      <c r="B1395" s="64"/>
      <c r="C1395" s="64"/>
      <c r="D1395" s="65"/>
      <c r="E1395" s="67"/>
      <c r="F1395" s="111" t="str">
        <f>HYPERLINK("https://pbs.twimg.com/profile_images/1669215944076345344/KAzrJLbo_normal.jpg")</f>
        <v>https://pbs.twimg.com/profile_images/1669215944076345344/KAzrJLbo_normal.jpg</v>
      </c>
      <c r="G1395" s="64"/>
      <c r="H1395" s="68"/>
      <c r="I1395" s="69"/>
      <c r="J1395" s="69"/>
      <c r="K1395" s="68" t="s">
        <v>30528</v>
      </c>
      <c r="L1395" s="72"/>
      <c r="M1395" s="73"/>
      <c r="N1395" s="73"/>
      <c r="O1395" s="74"/>
      <c r="P1395" s="75"/>
      <c r="Q1395" s="75"/>
      <c r="R1395" s="102"/>
      <c r="S1395" s="102"/>
      <c r="T1395" s="102"/>
      <c r="U1395" s="102"/>
      <c r="V1395" s="48"/>
      <c r="W1395" s="48"/>
      <c r="X1395" s="48"/>
      <c r="Y1395" s="48"/>
      <c r="Z1395" s="47"/>
      <c r="AA1395" s="70">
        <v>1395</v>
      </c>
      <c r="AB1395" s="70"/>
      <c r="AC1395" s="71"/>
      <c r="AD1395" s="86" t="s">
        <v>24989</v>
      </c>
      <c r="AE1395" s="94" t="s">
        <v>23486</v>
      </c>
      <c r="AF1395" s="86">
        <v>0</v>
      </c>
      <c r="AG1395" s="86">
        <v>1</v>
      </c>
      <c r="AH1395" s="86">
        <v>8</v>
      </c>
      <c r="AI1395" s="86">
        <v>0</v>
      </c>
      <c r="AJ1395" s="86">
        <v>0</v>
      </c>
      <c r="AK1395" s="86">
        <v>8</v>
      </c>
      <c r="AL1395" s="86" t="b">
        <v>0</v>
      </c>
      <c r="AM1395" s="89">
        <v>45085.859305555554</v>
      </c>
      <c r="AN1395" s="86"/>
      <c r="AO1395" s="86" t="s">
        <v>27691</v>
      </c>
      <c r="AP1395" s="96" t="str">
        <f>HYPERLINK("https://t.co/5ukiH4Gin5")</f>
        <v>https://t.co/5ukiH4Gin5</v>
      </c>
      <c r="AQ1395" s="96" t="str">
        <f>HYPERLINK("http://www.lucianogaliotto.com")</f>
        <v>http://www.lucianogaliotto.com</v>
      </c>
      <c r="AR1395" s="86" t="s">
        <v>27969</v>
      </c>
      <c r="AS1395" s="86"/>
      <c r="AT1395" s="86"/>
      <c r="AU1395" s="86"/>
      <c r="AV1395" s="86"/>
      <c r="AW1395" s="96" t="str">
        <f>HYPERLINK("https://t.co/5ukiH4Gin5")</f>
        <v>https://t.co/5ukiH4Gin5</v>
      </c>
      <c r="AX1395" s="86" t="b">
        <v>0</v>
      </c>
      <c r="AY1395" s="86"/>
      <c r="AZ1395" s="86"/>
      <c r="BA1395" s="86" t="b">
        <v>0</v>
      </c>
      <c r="BB1395" s="86" t="b">
        <v>1</v>
      </c>
      <c r="BC1395" s="86" t="b">
        <v>1</v>
      </c>
      <c r="BD1395" s="86" t="b">
        <v>0</v>
      </c>
      <c r="BE1395" s="86" t="b">
        <v>0</v>
      </c>
      <c r="BF1395" s="86" t="b">
        <v>0</v>
      </c>
      <c r="BG1395" s="86" t="b">
        <v>0</v>
      </c>
      <c r="BH1395" s="86"/>
      <c r="BI1395" s="86"/>
      <c r="BJ1395" s="86" t="s">
        <v>29134</v>
      </c>
      <c r="BK1395" s="86" t="b">
        <v>0</v>
      </c>
      <c r="BL1395" s="86"/>
      <c r="BM1395" s="86" t="s">
        <v>66</v>
      </c>
      <c r="BN1395" s="86" t="s">
        <v>29136</v>
      </c>
      <c r="BO1395" s="96" t="str">
        <f>HYPERLINK("https://twitter.com/lucianojap77")</f>
        <v>https://twitter.com/lucianojap77</v>
      </c>
      <c r="BP1395" s="2"/>
    </row>
    <row r="1396" spans="1:68" x14ac:dyDescent="0.25">
      <c r="A1396" s="63" t="s">
        <v>1414</v>
      </c>
      <c r="B1396" s="64"/>
      <c r="C1396" s="64"/>
      <c r="D1396" s="65"/>
      <c r="E1396" s="67"/>
      <c r="F1396" s="111" t="str">
        <f>HYPERLINK("https://pbs.twimg.com/profile_images/663683194986897408/wZLFENFD_normal.jpg")</f>
        <v>https://pbs.twimg.com/profile_images/663683194986897408/wZLFENFD_normal.jpg</v>
      </c>
      <c r="G1396" s="64"/>
      <c r="H1396" s="68"/>
      <c r="I1396" s="69"/>
      <c r="J1396" s="69"/>
      <c r="K1396" s="68" t="s">
        <v>30529</v>
      </c>
      <c r="L1396" s="72"/>
      <c r="M1396" s="73"/>
      <c r="N1396" s="73"/>
      <c r="O1396" s="74"/>
      <c r="P1396" s="75"/>
      <c r="Q1396" s="75"/>
      <c r="R1396" s="102"/>
      <c r="S1396" s="102"/>
      <c r="T1396" s="102"/>
      <c r="U1396" s="102"/>
      <c r="V1396" s="48"/>
      <c r="W1396" s="48"/>
      <c r="X1396" s="48"/>
      <c r="Y1396" s="48"/>
      <c r="Z1396" s="47"/>
      <c r="AA1396" s="70">
        <v>1396</v>
      </c>
      <c r="AB1396" s="70"/>
      <c r="AC1396" s="71"/>
      <c r="AD1396" s="86" t="s">
        <v>24990</v>
      </c>
      <c r="AE1396" s="94" t="s">
        <v>25778</v>
      </c>
      <c r="AF1396" s="86">
        <v>7</v>
      </c>
      <c r="AG1396" s="86">
        <v>42</v>
      </c>
      <c r="AH1396" s="86">
        <v>567</v>
      </c>
      <c r="AI1396" s="86">
        <v>0</v>
      </c>
      <c r="AJ1396" s="86">
        <v>27</v>
      </c>
      <c r="AK1396" s="86">
        <v>333</v>
      </c>
      <c r="AL1396" s="86" t="b">
        <v>0</v>
      </c>
      <c r="AM1396" s="89">
        <v>42279.620219907411</v>
      </c>
      <c r="AN1396" s="86" t="s">
        <v>15234</v>
      </c>
      <c r="AO1396" s="86" t="s">
        <v>27692</v>
      </c>
      <c r="AP1396" s="96" t="str">
        <f>HYPERLINK("https://t.co/y2iYs3DlWr")</f>
        <v>https://t.co/y2iYs3DlWr</v>
      </c>
      <c r="AQ1396" s="96" t="str">
        <f>HYPERLINK("http://www.q-assist.com")</f>
        <v>http://www.q-assist.com</v>
      </c>
      <c r="AR1396" s="86" t="s">
        <v>28834</v>
      </c>
      <c r="AS1396" s="86"/>
      <c r="AT1396" s="86"/>
      <c r="AU1396" s="86"/>
      <c r="AV1396" s="86"/>
      <c r="AW1396" s="96" t="str">
        <f>HYPERLINK("https://t.co/y2iYs3DlWr")</f>
        <v>https://t.co/y2iYs3DlWr</v>
      </c>
      <c r="AX1396" s="86" t="b">
        <v>0</v>
      </c>
      <c r="AY1396" s="86"/>
      <c r="AZ1396" s="86"/>
      <c r="BA1396" s="86" t="b">
        <v>0</v>
      </c>
      <c r="BB1396" s="86" t="b">
        <v>1</v>
      </c>
      <c r="BC1396" s="86" t="b">
        <v>1</v>
      </c>
      <c r="BD1396" s="86" t="b">
        <v>0</v>
      </c>
      <c r="BE1396" s="86" t="b">
        <v>0</v>
      </c>
      <c r="BF1396" s="86" t="b">
        <v>0</v>
      </c>
      <c r="BG1396" s="86" t="b">
        <v>0</v>
      </c>
      <c r="BH1396" s="96" t="str">
        <f>HYPERLINK("https://pbs.twimg.com/profile_banners/3843888556/1443798036")</f>
        <v>https://pbs.twimg.com/profile_banners/3843888556/1443798036</v>
      </c>
      <c r="BI1396" s="86"/>
      <c r="BJ1396" s="86" t="s">
        <v>29134</v>
      </c>
      <c r="BK1396" s="86" t="b">
        <v>0</v>
      </c>
      <c r="BL1396" s="86"/>
      <c r="BM1396" s="86" t="s">
        <v>66</v>
      </c>
      <c r="BN1396" s="86" t="s">
        <v>29136</v>
      </c>
      <c r="BO1396" s="96" t="str">
        <f>HYPERLINK("https://twitter.com/q_assist")</f>
        <v>https://twitter.com/q_assist</v>
      </c>
      <c r="BP1396" s="2"/>
    </row>
    <row r="1397" spans="1:68" x14ac:dyDescent="0.25">
      <c r="A1397" s="63" t="s">
        <v>1415</v>
      </c>
      <c r="B1397" s="64"/>
      <c r="C1397" s="64"/>
      <c r="D1397" s="65"/>
      <c r="E1397" s="67"/>
      <c r="F1397" s="111" t="str">
        <f>HYPERLINK("https://pbs.twimg.com/profile_images/1682523194870099970/TAmI4sOd_normal.jpg")</f>
        <v>https://pbs.twimg.com/profile_images/1682523194870099970/TAmI4sOd_normal.jpg</v>
      </c>
      <c r="G1397" s="64"/>
      <c r="H1397" s="68"/>
      <c r="I1397" s="69"/>
      <c r="J1397" s="69"/>
      <c r="K1397" s="68" t="s">
        <v>30530</v>
      </c>
      <c r="L1397" s="72"/>
      <c r="M1397" s="73"/>
      <c r="N1397" s="73"/>
      <c r="O1397" s="74"/>
      <c r="P1397" s="75"/>
      <c r="Q1397" s="75"/>
      <c r="R1397" s="102"/>
      <c r="S1397" s="102"/>
      <c r="T1397" s="102"/>
      <c r="U1397" s="102"/>
      <c r="V1397" s="48"/>
      <c r="W1397" s="48"/>
      <c r="X1397" s="48"/>
      <c r="Y1397" s="48"/>
      <c r="Z1397" s="47"/>
      <c r="AA1397" s="70">
        <v>1397</v>
      </c>
      <c r="AB1397" s="70"/>
      <c r="AC1397" s="71"/>
      <c r="AD1397" s="86" t="s">
        <v>24991</v>
      </c>
      <c r="AE1397" s="94" t="s">
        <v>25779</v>
      </c>
      <c r="AF1397" s="86">
        <v>21</v>
      </c>
      <c r="AG1397" s="86">
        <v>8</v>
      </c>
      <c r="AH1397" s="86">
        <v>21</v>
      </c>
      <c r="AI1397" s="86">
        <v>2</v>
      </c>
      <c r="AJ1397" s="86">
        <v>0</v>
      </c>
      <c r="AK1397" s="86">
        <v>3</v>
      </c>
      <c r="AL1397" s="86" t="b">
        <v>0</v>
      </c>
      <c r="AM1397" s="89">
        <v>40395.142743055556</v>
      </c>
      <c r="AN1397" s="86" t="s">
        <v>15235</v>
      </c>
      <c r="AO1397" s="86" t="s">
        <v>27693</v>
      </c>
      <c r="AP1397" s="96" t="str">
        <f>HYPERLINK("https://t.co/j1fQRbHa7u")</f>
        <v>https://t.co/j1fQRbHa7u</v>
      </c>
      <c r="AQ1397" s="96" t="str">
        <f>HYPERLINK("https://adolescentevintage.com/")</f>
        <v>https://adolescentevintage.com/</v>
      </c>
      <c r="AR1397" s="86" t="s">
        <v>28835</v>
      </c>
      <c r="AS1397" s="86"/>
      <c r="AT1397" s="86"/>
      <c r="AU1397" s="86"/>
      <c r="AV1397" s="86"/>
      <c r="AW1397" s="96" t="str">
        <f>HYPERLINK("https://t.co/j1fQRbHa7u")</f>
        <v>https://t.co/j1fQRbHa7u</v>
      </c>
      <c r="AX1397" s="86" t="b">
        <v>0</v>
      </c>
      <c r="AY1397" s="86"/>
      <c r="AZ1397" s="86"/>
      <c r="BA1397" s="86" t="b">
        <v>0</v>
      </c>
      <c r="BB1397" s="86" t="b">
        <v>1</v>
      </c>
      <c r="BC1397" s="86" t="b">
        <v>0</v>
      </c>
      <c r="BD1397" s="86" t="b">
        <v>0</v>
      </c>
      <c r="BE1397" s="86" t="b">
        <v>0</v>
      </c>
      <c r="BF1397" s="86" t="b">
        <v>0</v>
      </c>
      <c r="BG1397" s="86" t="b">
        <v>1</v>
      </c>
      <c r="BH1397" s="96" t="str">
        <f>HYPERLINK("https://pbs.twimg.com/profile_banners/174906759/1689979765")</f>
        <v>https://pbs.twimg.com/profile_banners/174906759/1689979765</v>
      </c>
      <c r="BI1397" s="86"/>
      <c r="BJ1397" s="86" t="s">
        <v>29134</v>
      </c>
      <c r="BK1397" s="86" t="b">
        <v>0</v>
      </c>
      <c r="BL1397" s="86"/>
      <c r="BM1397" s="86" t="s">
        <v>66</v>
      </c>
      <c r="BN1397" s="86" t="s">
        <v>29136</v>
      </c>
      <c r="BO1397" s="96" t="str">
        <f>HYPERLINK("https://twitter.com/elianenramin")</f>
        <v>https://twitter.com/elianenramin</v>
      </c>
      <c r="BP1397" s="2"/>
    </row>
    <row r="1398" spans="1:68" x14ac:dyDescent="0.25">
      <c r="A1398" s="63" t="s">
        <v>1416</v>
      </c>
      <c r="B1398" s="64"/>
      <c r="C1398" s="64"/>
      <c r="D1398" s="65"/>
      <c r="E1398" s="67"/>
      <c r="F1398" s="111" t="str">
        <f>HYPERLINK("https://pbs.twimg.com/profile_images/1684254592228261889/LDIOdZhr_normal.jpg")</f>
        <v>https://pbs.twimg.com/profile_images/1684254592228261889/LDIOdZhr_normal.jpg</v>
      </c>
      <c r="G1398" s="64"/>
      <c r="H1398" s="68"/>
      <c r="I1398" s="69"/>
      <c r="J1398" s="69"/>
      <c r="K1398" s="68" t="s">
        <v>30531</v>
      </c>
      <c r="L1398" s="72"/>
      <c r="M1398" s="73"/>
      <c r="N1398" s="73"/>
      <c r="O1398" s="74"/>
      <c r="P1398" s="75"/>
      <c r="Q1398" s="75"/>
      <c r="R1398" s="102"/>
      <c r="S1398" s="102"/>
      <c r="T1398" s="102"/>
      <c r="U1398" s="102"/>
      <c r="V1398" s="48"/>
      <c r="W1398" s="48"/>
      <c r="X1398" s="48"/>
      <c r="Y1398" s="48"/>
      <c r="Z1398" s="47"/>
      <c r="AA1398" s="70">
        <v>1398</v>
      </c>
      <c r="AB1398" s="70"/>
      <c r="AC1398" s="71"/>
      <c r="AD1398" s="86" t="s">
        <v>24992</v>
      </c>
      <c r="AE1398" s="94" t="s">
        <v>25780</v>
      </c>
      <c r="AF1398" s="86">
        <v>1452</v>
      </c>
      <c r="AG1398" s="86">
        <v>1778</v>
      </c>
      <c r="AH1398" s="86">
        <v>3596</v>
      </c>
      <c r="AI1398" s="86">
        <v>6</v>
      </c>
      <c r="AJ1398" s="86">
        <v>8</v>
      </c>
      <c r="AK1398" s="86">
        <v>848</v>
      </c>
      <c r="AL1398" s="86" t="b">
        <v>0</v>
      </c>
      <c r="AM1398" s="89">
        <v>40651.630578703705</v>
      </c>
      <c r="AN1398" s="86" t="s">
        <v>25912</v>
      </c>
      <c r="AO1398" s="86" t="s">
        <v>27694</v>
      </c>
      <c r="AP1398" s="96" t="str">
        <f>HYPERLINK("https://t.co/Z2wqLDothE")</f>
        <v>https://t.co/Z2wqLDothE</v>
      </c>
      <c r="AQ1398" s="96" t="str">
        <f>HYPERLINK("http://www.acese.org.br")</f>
        <v>http://www.acese.org.br</v>
      </c>
      <c r="AR1398" s="86" t="s">
        <v>28836</v>
      </c>
      <c r="AS1398" s="86"/>
      <c r="AT1398" s="86"/>
      <c r="AU1398" s="86"/>
      <c r="AV1398" s="86">
        <v>6.6920652904481498E+17</v>
      </c>
      <c r="AW1398" s="96" t="str">
        <f>HYPERLINK("https://t.co/Z2wqLDothE")</f>
        <v>https://t.co/Z2wqLDothE</v>
      </c>
      <c r="AX1398" s="86" t="b">
        <v>0</v>
      </c>
      <c r="AY1398" s="86"/>
      <c r="AZ1398" s="86"/>
      <c r="BA1398" s="86" t="b">
        <v>0</v>
      </c>
      <c r="BB1398" s="86" t="b">
        <v>1</v>
      </c>
      <c r="BC1398" s="86" t="b">
        <v>0</v>
      </c>
      <c r="BD1398" s="86" t="b">
        <v>0</v>
      </c>
      <c r="BE1398" s="86" t="b">
        <v>1</v>
      </c>
      <c r="BF1398" s="86" t="b">
        <v>0</v>
      </c>
      <c r="BG1398" s="86" t="b">
        <v>0</v>
      </c>
      <c r="BH1398" s="86"/>
      <c r="BI1398" s="86"/>
      <c r="BJ1398" s="86" t="s">
        <v>29134</v>
      </c>
      <c r="BK1398" s="86" t="b">
        <v>0</v>
      </c>
      <c r="BL1398" s="86"/>
      <c r="BM1398" s="86" t="s">
        <v>66</v>
      </c>
      <c r="BN1398" s="86" t="s">
        <v>29136</v>
      </c>
      <c r="BO1398" s="96" t="str">
        <f>HYPERLINK("https://twitter.com/acese_")</f>
        <v>https://twitter.com/acese_</v>
      </c>
      <c r="BP1398" s="2"/>
    </row>
    <row r="1399" spans="1:68" x14ac:dyDescent="0.25">
      <c r="A1399" s="63" t="s">
        <v>1417</v>
      </c>
      <c r="B1399" s="64"/>
      <c r="C1399" s="64"/>
      <c r="D1399" s="65"/>
      <c r="E1399" s="67"/>
      <c r="F1399" s="111" t="str">
        <f>HYPERLINK("https://pbs.twimg.com/profile_images/1684180611353772032/RRZKbgii_normal.jpg")</f>
        <v>https://pbs.twimg.com/profile_images/1684180611353772032/RRZKbgii_normal.jpg</v>
      </c>
      <c r="G1399" s="64"/>
      <c r="H1399" s="68"/>
      <c r="I1399" s="69"/>
      <c r="J1399" s="69"/>
      <c r="K1399" s="68" t="s">
        <v>30532</v>
      </c>
      <c r="L1399" s="72"/>
      <c r="M1399" s="73"/>
      <c r="N1399" s="73"/>
      <c r="O1399" s="74"/>
      <c r="P1399" s="75"/>
      <c r="Q1399" s="75"/>
      <c r="R1399" s="102"/>
      <c r="S1399" s="102"/>
      <c r="T1399" s="102"/>
      <c r="U1399" s="102"/>
      <c r="V1399" s="48"/>
      <c r="W1399" s="48"/>
      <c r="X1399" s="48"/>
      <c r="Y1399" s="48"/>
      <c r="Z1399" s="47"/>
      <c r="AA1399" s="70">
        <v>1399</v>
      </c>
      <c r="AB1399" s="70"/>
      <c r="AC1399" s="71"/>
      <c r="AD1399" s="86" t="s">
        <v>24993</v>
      </c>
      <c r="AE1399" s="94" t="s">
        <v>23487</v>
      </c>
      <c r="AF1399" s="86">
        <v>0</v>
      </c>
      <c r="AG1399" s="86">
        <v>0</v>
      </c>
      <c r="AH1399" s="86">
        <v>3</v>
      </c>
      <c r="AI1399" s="86">
        <v>0</v>
      </c>
      <c r="AJ1399" s="86">
        <v>0</v>
      </c>
      <c r="AK1399" s="86">
        <v>2</v>
      </c>
      <c r="AL1399" s="86" t="b">
        <v>0</v>
      </c>
      <c r="AM1399" s="89">
        <v>45133.524340277778</v>
      </c>
      <c r="AN1399" s="86"/>
      <c r="AO1399" s="86"/>
      <c r="AP1399" s="86"/>
      <c r="AQ1399" s="86"/>
      <c r="AR1399" s="86"/>
      <c r="AS1399" s="86"/>
      <c r="AT1399" s="86"/>
      <c r="AU1399" s="86"/>
      <c r="AV1399" s="86"/>
      <c r="AW1399" s="86"/>
      <c r="AX1399" s="86" t="b">
        <v>0</v>
      </c>
      <c r="AY1399" s="86"/>
      <c r="AZ1399" s="86"/>
      <c r="BA1399" s="86" t="b">
        <v>0</v>
      </c>
      <c r="BB1399" s="86" t="b">
        <v>1</v>
      </c>
      <c r="BC1399" s="86" t="b">
        <v>1</v>
      </c>
      <c r="BD1399" s="86" t="b">
        <v>0</v>
      </c>
      <c r="BE1399" s="86" t="b">
        <v>0</v>
      </c>
      <c r="BF1399" s="86" t="b">
        <v>0</v>
      </c>
      <c r="BG1399" s="86" t="b">
        <v>0</v>
      </c>
      <c r="BH1399" s="86"/>
      <c r="BI1399" s="86"/>
      <c r="BJ1399" s="86" t="s">
        <v>29134</v>
      </c>
      <c r="BK1399" s="86" t="b">
        <v>0</v>
      </c>
      <c r="BL1399" s="86"/>
      <c r="BM1399" s="86" t="s">
        <v>66</v>
      </c>
      <c r="BN1399" s="86" t="s">
        <v>29136</v>
      </c>
      <c r="BO1399" s="96" t="str">
        <f>HYPERLINK("https://twitter.com/gabriel87737044")</f>
        <v>https://twitter.com/gabriel87737044</v>
      </c>
      <c r="BP1399" s="2"/>
    </row>
    <row r="1400" spans="1:68" x14ac:dyDescent="0.25">
      <c r="A1400" s="63" t="s">
        <v>1418</v>
      </c>
      <c r="B1400" s="64"/>
      <c r="C1400" s="64"/>
      <c r="D1400" s="65"/>
      <c r="E1400" s="67"/>
      <c r="F1400" s="111" t="str">
        <f>HYPERLINK("https://pbs.twimg.com/profile_images/1225061329393922048/1I_-y484_normal.jpg")</f>
        <v>https://pbs.twimg.com/profile_images/1225061329393922048/1I_-y484_normal.jpg</v>
      </c>
      <c r="G1400" s="64"/>
      <c r="H1400" s="68"/>
      <c r="I1400" s="69"/>
      <c r="J1400" s="69"/>
      <c r="K1400" s="68" t="s">
        <v>30533</v>
      </c>
      <c r="L1400" s="72"/>
      <c r="M1400" s="73"/>
      <c r="N1400" s="73"/>
      <c r="O1400" s="74"/>
      <c r="P1400" s="75"/>
      <c r="Q1400" s="75"/>
      <c r="R1400" s="102"/>
      <c r="S1400" s="102"/>
      <c r="T1400" s="102"/>
      <c r="U1400" s="102"/>
      <c r="V1400" s="48"/>
      <c r="W1400" s="48"/>
      <c r="X1400" s="48"/>
      <c r="Y1400" s="48"/>
      <c r="Z1400" s="47"/>
      <c r="AA1400" s="70">
        <v>1400</v>
      </c>
      <c r="AB1400" s="70"/>
      <c r="AC1400" s="71"/>
      <c r="AD1400" s="86" t="s">
        <v>24994</v>
      </c>
      <c r="AE1400" s="94" t="s">
        <v>25781</v>
      </c>
      <c r="AF1400" s="86">
        <v>3291</v>
      </c>
      <c r="AG1400" s="86">
        <v>104</v>
      </c>
      <c r="AH1400" s="86">
        <v>23015</v>
      </c>
      <c r="AI1400" s="86">
        <v>56</v>
      </c>
      <c r="AJ1400" s="86">
        <v>72</v>
      </c>
      <c r="AK1400" s="86">
        <v>15741</v>
      </c>
      <c r="AL1400" s="86" t="b">
        <v>0</v>
      </c>
      <c r="AM1400" s="89">
        <v>39979.522048611114</v>
      </c>
      <c r="AN1400" s="86" t="s">
        <v>26353</v>
      </c>
      <c r="AO1400" s="86" t="s">
        <v>27695</v>
      </c>
      <c r="AP1400" s="96" t="str">
        <f>HYPERLINK("http://t.co/cbFUlWR5D0")</f>
        <v>http://t.co/cbFUlWR5D0</v>
      </c>
      <c r="AQ1400" s="96" t="str">
        <f>HYPERLINK("http://www.noticenter.com.br")</f>
        <v>http://www.noticenter.com.br</v>
      </c>
      <c r="AR1400" s="86" t="s">
        <v>28837</v>
      </c>
      <c r="AS1400" s="86"/>
      <c r="AT1400" s="86"/>
      <c r="AU1400" s="86"/>
      <c r="AV1400" s="86"/>
      <c r="AW1400" s="96" t="str">
        <f>HYPERLINK("http://t.co/cbFUlWR5D0")</f>
        <v>http://t.co/cbFUlWR5D0</v>
      </c>
      <c r="AX1400" s="86" t="b">
        <v>0</v>
      </c>
      <c r="AY1400" s="86"/>
      <c r="AZ1400" s="86"/>
      <c r="BA1400" s="86" t="b">
        <v>0</v>
      </c>
      <c r="BB1400" s="86" t="b">
        <v>1</v>
      </c>
      <c r="BC1400" s="86" t="b">
        <v>0</v>
      </c>
      <c r="BD1400" s="86" t="b">
        <v>0</v>
      </c>
      <c r="BE1400" s="86" t="b">
        <v>0</v>
      </c>
      <c r="BF1400" s="86" t="b">
        <v>0</v>
      </c>
      <c r="BG1400" s="86" t="b">
        <v>0</v>
      </c>
      <c r="BH1400" s="96" t="str">
        <f>HYPERLINK("https://pbs.twimg.com/profile_banners/47322942/1580912358")</f>
        <v>https://pbs.twimg.com/profile_banners/47322942/1580912358</v>
      </c>
      <c r="BI1400" s="86"/>
      <c r="BJ1400" s="86" t="s">
        <v>29134</v>
      </c>
      <c r="BK1400" s="86" t="b">
        <v>0</v>
      </c>
      <c r="BL1400" s="86"/>
      <c r="BM1400" s="86" t="s">
        <v>66</v>
      </c>
      <c r="BN1400" s="86" t="s">
        <v>29136</v>
      </c>
      <c r="BO1400" s="96" t="str">
        <f>HYPERLINK("https://twitter.com/noticenter")</f>
        <v>https://twitter.com/noticenter</v>
      </c>
      <c r="BP1400" s="2"/>
    </row>
    <row r="1401" spans="1:68" x14ac:dyDescent="0.25">
      <c r="A1401" s="63" t="s">
        <v>1419</v>
      </c>
      <c r="B1401" s="64"/>
      <c r="C1401" s="64"/>
      <c r="D1401" s="65"/>
      <c r="E1401" s="67"/>
      <c r="F1401" s="111" t="str">
        <f>HYPERLINK("https://pbs.twimg.com/profile_images/1063667496446816256/UrRCc-Eg_normal.jpg")</f>
        <v>https://pbs.twimg.com/profile_images/1063667496446816256/UrRCc-Eg_normal.jpg</v>
      </c>
      <c r="G1401" s="64"/>
      <c r="H1401" s="68"/>
      <c r="I1401" s="69"/>
      <c r="J1401" s="69"/>
      <c r="K1401" s="68" t="s">
        <v>30534</v>
      </c>
      <c r="L1401" s="72"/>
      <c r="M1401" s="73"/>
      <c r="N1401" s="73"/>
      <c r="O1401" s="74"/>
      <c r="P1401" s="75"/>
      <c r="Q1401" s="75"/>
      <c r="R1401" s="102"/>
      <c r="S1401" s="102"/>
      <c r="T1401" s="102"/>
      <c r="U1401" s="102"/>
      <c r="V1401" s="48"/>
      <c r="W1401" s="48"/>
      <c r="X1401" s="48"/>
      <c r="Y1401" s="48"/>
      <c r="Z1401" s="47"/>
      <c r="AA1401" s="70">
        <v>1401</v>
      </c>
      <c r="AB1401" s="70"/>
      <c r="AC1401" s="71"/>
      <c r="AD1401" s="86" t="s">
        <v>24995</v>
      </c>
      <c r="AE1401" s="94" t="s">
        <v>23488</v>
      </c>
      <c r="AF1401" s="86">
        <v>212</v>
      </c>
      <c r="AG1401" s="86">
        <v>22</v>
      </c>
      <c r="AH1401" s="86">
        <v>49027</v>
      </c>
      <c r="AI1401" s="86">
        <v>2</v>
      </c>
      <c r="AJ1401" s="86">
        <v>664</v>
      </c>
      <c r="AK1401" s="86">
        <v>454</v>
      </c>
      <c r="AL1401" s="86" t="b">
        <v>0</v>
      </c>
      <c r="AM1401" s="89">
        <v>42474.223263888889</v>
      </c>
      <c r="AN1401" s="86" t="s">
        <v>15234</v>
      </c>
      <c r="AO1401" s="86" t="s">
        <v>27696</v>
      </c>
      <c r="AP1401" s="96" t="str">
        <f>HYPERLINK("https://t.co/VpC8NbVbj2")</f>
        <v>https://t.co/VpC8NbVbj2</v>
      </c>
      <c r="AQ1401" s="96" t="str">
        <f>HYPERLINK("https://AndroidFinal.com.br")</f>
        <v>https://AndroidFinal.com.br</v>
      </c>
      <c r="AR1401" s="86" t="s">
        <v>28838</v>
      </c>
      <c r="AS1401" s="86"/>
      <c r="AT1401" s="86"/>
      <c r="AU1401" s="86"/>
      <c r="AV1401" s="86">
        <v>1.4629913717578299E+18</v>
      </c>
      <c r="AW1401" s="96" t="str">
        <f>HYPERLINK("https://t.co/VpC8NbVbj2")</f>
        <v>https://t.co/VpC8NbVbj2</v>
      </c>
      <c r="AX1401" s="86" t="b">
        <v>0</v>
      </c>
      <c r="AY1401" s="86"/>
      <c r="AZ1401" s="86"/>
      <c r="BA1401" s="86" t="b">
        <v>0</v>
      </c>
      <c r="BB1401" s="86" t="b">
        <v>1</v>
      </c>
      <c r="BC1401" s="86" t="b">
        <v>0</v>
      </c>
      <c r="BD1401" s="86" t="b">
        <v>0</v>
      </c>
      <c r="BE1401" s="86" t="b">
        <v>1</v>
      </c>
      <c r="BF1401" s="86" t="b">
        <v>0</v>
      </c>
      <c r="BG1401" s="86" t="b">
        <v>0</v>
      </c>
      <c r="BH1401" s="96" t="str">
        <f>HYPERLINK("https://pbs.twimg.com/profile_banners/720482086688317440/1586493746")</f>
        <v>https://pbs.twimg.com/profile_banners/720482086688317440/1586493746</v>
      </c>
      <c r="BI1401" s="86"/>
      <c r="BJ1401" s="86" t="s">
        <v>29134</v>
      </c>
      <c r="BK1401" s="86" t="b">
        <v>0</v>
      </c>
      <c r="BL1401" s="86"/>
      <c r="BM1401" s="86" t="s">
        <v>66</v>
      </c>
      <c r="BN1401" s="86" t="s">
        <v>29136</v>
      </c>
      <c r="BO1401" s="96" t="str">
        <f>HYPERLINK("https://twitter.com/androidfinal")</f>
        <v>https://twitter.com/androidfinal</v>
      </c>
      <c r="BP1401" s="2"/>
    </row>
    <row r="1402" spans="1:68" x14ac:dyDescent="0.25">
      <c r="A1402" s="63" t="s">
        <v>1420</v>
      </c>
      <c r="B1402" s="64"/>
      <c r="C1402" s="64"/>
      <c r="D1402" s="65"/>
      <c r="E1402" s="67"/>
      <c r="F1402" s="111" t="str">
        <f>HYPERLINK("https://pbs.twimg.com/profile_images/1365400323083403265/JbLQ67eP_normal.jpg")</f>
        <v>https://pbs.twimg.com/profile_images/1365400323083403265/JbLQ67eP_normal.jpg</v>
      </c>
      <c r="G1402" s="64"/>
      <c r="H1402" s="68"/>
      <c r="I1402" s="69"/>
      <c r="J1402" s="69"/>
      <c r="K1402" s="68" t="s">
        <v>30535</v>
      </c>
      <c r="L1402" s="72"/>
      <c r="M1402" s="73"/>
      <c r="N1402" s="73"/>
      <c r="O1402" s="74"/>
      <c r="P1402" s="75"/>
      <c r="Q1402" s="75"/>
      <c r="R1402" s="102"/>
      <c r="S1402" s="102"/>
      <c r="T1402" s="102"/>
      <c r="U1402" s="102"/>
      <c r="V1402" s="48"/>
      <c r="W1402" s="48"/>
      <c r="X1402" s="48"/>
      <c r="Y1402" s="48"/>
      <c r="Z1402" s="47"/>
      <c r="AA1402" s="70">
        <v>1402</v>
      </c>
      <c r="AB1402" s="70"/>
      <c r="AC1402" s="71"/>
      <c r="AD1402" s="86" t="s">
        <v>24996</v>
      </c>
      <c r="AE1402" s="94" t="s">
        <v>23489</v>
      </c>
      <c r="AF1402" s="86">
        <v>5830</v>
      </c>
      <c r="AG1402" s="86">
        <v>57</v>
      </c>
      <c r="AH1402" s="86">
        <v>1216</v>
      </c>
      <c r="AI1402" s="86">
        <v>9</v>
      </c>
      <c r="AJ1402" s="86">
        <v>247</v>
      </c>
      <c r="AK1402" s="86">
        <v>581</v>
      </c>
      <c r="AL1402" s="86" t="b">
        <v>0</v>
      </c>
      <c r="AM1402" s="89">
        <v>44207.8278125</v>
      </c>
      <c r="AN1402" s="86"/>
      <c r="AO1402" s="86" t="s">
        <v>27697</v>
      </c>
      <c r="AP1402" s="96" t="str">
        <f>HYPERLINK("https://t.co/BodOQEJPI8")</f>
        <v>https://t.co/BodOQEJPI8</v>
      </c>
      <c r="AQ1402" s="96" t="str">
        <f>HYPERLINK("http://institutopropague.org/")</f>
        <v>http://institutopropague.org/</v>
      </c>
      <c r="AR1402" s="86" t="s">
        <v>28839</v>
      </c>
      <c r="AS1402" s="86"/>
      <c r="AT1402" s="86"/>
      <c r="AU1402" s="86"/>
      <c r="AV1402" s="86"/>
      <c r="AW1402" s="96" t="str">
        <f>HYPERLINK("https://t.co/BodOQEJPI8")</f>
        <v>https://t.co/BodOQEJPI8</v>
      </c>
      <c r="AX1402" s="86" t="b">
        <v>0</v>
      </c>
      <c r="AY1402" s="86"/>
      <c r="AZ1402" s="86"/>
      <c r="BA1402" s="86" t="b">
        <v>0</v>
      </c>
      <c r="BB1402" s="86" t="b">
        <v>1</v>
      </c>
      <c r="BC1402" s="86" t="b">
        <v>1</v>
      </c>
      <c r="BD1402" s="86" t="b">
        <v>0</v>
      </c>
      <c r="BE1402" s="86" t="b">
        <v>0</v>
      </c>
      <c r="BF1402" s="86" t="b">
        <v>0</v>
      </c>
      <c r="BG1402" s="86" t="b">
        <v>0</v>
      </c>
      <c r="BH1402" s="96" t="str">
        <f>HYPERLINK("https://pbs.twimg.com/profile_banners/1348719237855137800/1611241027")</f>
        <v>https://pbs.twimg.com/profile_banners/1348719237855137800/1611241027</v>
      </c>
      <c r="BI1402" s="86"/>
      <c r="BJ1402" s="86" t="s">
        <v>29134</v>
      </c>
      <c r="BK1402" s="86" t="b">
        <v>0</v>
      </c>
      <c r="BL1402" s="86"/>
      <c r="BM1402" s="86" t="s">
        <v>66</v>
      </c>
      <c r="BN1402" s="86" t="s">
        <v>29136</v>
      </c>
      <c r="BO1402" s="96" t="str">
        <f>HYPERLINK("https://twitter.com/instpropague")</f>
        <v>https://twitter.com/instpropague</v>
      </c>
      <c r="BP1402" s="2"/>
    </row>
    <row r="1403" spans="1:68" x14ac:dyDescent="0.25">
      <c r="A1403" s="63" t="s">
        <v>1421</v>
      </c>
      <c r="B1403" s="64"/>
      <c r="C1403" s="64"/>
      <c r="D1403" s="65"/>
      <c r="E1403" s="67"/>
      <c r="F1403" s="111" t="str">
        <f>HYPERLINK("https://pbs.twimg.com/profile_images/1599968473505038339/Tlfu66HJ_normal.jpg")</f>
        <v>https://pbs.twimg.com/profile_images/1599968473505038339/Tlfu66HJ_normal.jpg</v>
      </c>
      <c r="G1403" s="64"/>
      <c r="H1403" s="68"/>
      <c r="I1403" s="69"/>
      <c r="J1403" s="69"/>
      <c r="K1403" s="68" t="s">
        <v>30536</v>
      </c>
      <c r="L1403" s="72"/>
      <c r="M1403" s="73"/>
      <c r="N1403" s="73"/>
      <c r="O1403" s="74"/>
      <c r="P1403" s="75"/>
      <c r="Q1403" s="75"/>
      <c r="R1403" s="102"/>
      <c r="S1403" s="102"/>
      <c r="T1403" s="102"/>
      <c r="U1403" s="102"/>
      <c r="V1403" s="48"/>
      <c r="W1403" s="48"/>
      <c r="X1403" s="48"/>
      <c r="Y1403" s="48"/>
      <c r="Z1403" s="47"/>
      <c r="AA1403" s="70">
        <v>1403</v>
      </c>
      <c r="AB1403" s="70"/>
      <c r="AC1403" s="71"/>
      <c r="AD1403" s="86" t="s">
        <v>24997</v>
      </c>
      <c r="AE1403" s="94" t="s">
        <v>23490</v>
      </c>
      <c r="AF1403" s="86">
        <v>593</v>
      </c>
      <c r="AG1403" s="86">
        <v>1091</v>
      </c>
      <c r="AH1403" s="86">
        <v>131</v>
      </c>
      <c r="AI1403" s="86">
        <v>2</v>
      </c>
      <c r="AJ1403" s="86">
        <v>1</v>
      </c>
      <c r="AK1403" s="86">
        <v>2</v>
      </c>
      <c r="AL1403" s="86" t="b">
        <v>0</v>
      </c>
      <c r="AM1403" s="89">
        <v>44555.124872685185</v>
      </c>
      <c r="AN1403" s="86" t="s">
        <v>15414</v>
      </c>
      <c r="AO1403" s="86" t="s">
        <v>27698</v>
      </c>
      <c r="AP1403" s="96" t="str">
        <f>HYPERLINK("https://t.co/GbtTj7bWRQ")</f>
        <v>https://t.co/GbtTj7bWRQ</v>
      </c>
      <c r="AQ1403" s="96" t="str">
        <f>HYPERLINK("https://www.khanh.com.br")</f>
        <v>https://www.khanh.com.br</v>
      </c>
      <c r="AR1403" s="86" t="s">
        <v>28840</v>
      </c>
      <c r="AS1403" s="86"/>
      <c r="AT1403" s="86"/>
      <c r="AU1403" s="86"/>
      <c r="AV1403" s="86"/>
      <c r="AW1403" s="96" t="str">
        <f>HYPERLINK("https://t.co/GbtTj7bWRQ")</f>
        <v>https://t.co/GbtTj7bWRQ</v>
      </c>
      <c r="AX1403" s="86" t="b">
        <v>0</v>
      </c>
      <c r="AY1403" s="86"/>
      <c r="AZ1403" s="86"/>
      <c r="BA1403" s="86" t="b">
        <v>0</v>
      </c>
      <c r="BB1403" s="86" t="b">
        <v>1</v>
      </c>
      <c r="BC1403" s="86" t="b">
        <v>1</v>
      </c>
      <c r="BD1403" s="86" t="b">
        <v>0</v>
      </c>
      <c r="BE1403" s="86" t="b">
        <v>0</v>
      </c>
      <c r="BF1403" s="86" t="b">
        <v>0</v>
      </c>
      <c r="BG1403" s="86" t="b">
        <v>0</v>
      </c>
      <c r="BH1403" s="86"/>
      <c r="BI1403" s="86"/>
      <c r="BJ1403" s="86" t="s">
        <v>29134</v>
      </c>
      <c r="BK1403" s="86" t="b">
        <v>0</v>
      </c>
      <c r="BL1403" s="86"/>
      <c r="BM1403" s="86" t="s">
        <v>66</v>
      </c>
      <c r="BN1403" s="86" t="s">
        <v>29136</v>
      </c>
      <c r="BO1403" s="96" t="str">
        <f>HYPERLINK("https://twitter.com/giovaniaandre")</f>
        <v>https://twitter.com/giovaniaandre</v>
      </c>
      <c r="BP1403" s="2"/>
    </row>
    <row r="1404" spans="1:68" x14ac:dyDescent="0.25">
      <c r="A1404" s="63" t="s">
        <v>1422</v>
      </c>
      <c r="B1404" s="64"/>
      <c r="C1404" s="64"/>
      <c r="D1404" s="65"/>
      <c r="E1404" s="67"/>
      <c r="F1404" s="111" t="str">
        <f>HYPERLINK("https://pbs.twimg.com/profile_images/1704594804938518528/XcED-4_1_normal.jpg")</f>
        <v>https://pbs.twimg.com/profile_images/1704594804938518528/XcED-4_1_normal.jpg</v>
      </c>
      <c r="G1404" s="64"/>
      <c r="H1404" s="68"/>
      <c r="I1404" s="69"/>
      <c r="J1404" s="69"/>
      <c r="K1404" s="68" t="s">
        <v>30537</v>
      </c>
      <c r="L1404" s="72"/>
      <c r="M1404" s="73"/>
      <c r="N1404" s="73"/>
      <c r="O1404" s="74"/>
      <c r="P1404" s="75"/>
      <c r="Q1404" s="75"/>
      <c r="R1404" s="102"/>
      <c r="S1404" s="102"/>
      <c r="T1404" s="102"/>
      <c r="U1404" s="102"/>
      <c r="V1404" s="48"/>
      <c r="W1404" s="48"/>
      <c r="X1404" s="48"/>
      <c r="Y1404" s="48"/>
      <c r="Z1404" s="47"/>
      <c r="AA1404" s="70">
        <v>1404</v>
      </c>
      <c r="AB1404" s="70"/>
      <c r="AC1404" s="71"/>
      <c r="AD1404" s="86" t="s">
        <v>24998</v>
      </c>
      <c r="AE1404" s="94" t="s">
        <v>23491</v>
      </c>
      <c r="AF1404" s="86">
        <v>4</v>
      </c>
      <c r="AG1404" s="86">
        <v>3</v>
      </c>
      <c r="AH1404" s="86">
        <v>521</v>
      </c>
      <c r="AI1404" s="86">
        <v>0</v>
      </c>
      <c r="AJ1404" s="86">
        <v>565</v>
      </c>
      <c r="AK1404" s="86">
        <v>497</v>
      </c>
      <c r="AL1404" s="86" t="b">
        <v>0</v>
      </c>
      <c r="AM1404" s="89">
        <v>44892.786157407405</v>
      </c>
      <c r="AN1404" s="86" t="s">
        <v>26354</v>
      </c>
      <c r="AO1404" s="86" t="s">
        <v>27699</v>
      </c>
      <c r="AP1404" s="96" t="str">
        <f>HYPERLINK("https://t.co/bEbSeCTr3Z")</f>
        <v>https://t.co/bEbSeCTr3Z</v>
      </c>
      <c r="AQ1404" s="96" t="str">
        <f>HYPERLINK("https://bit.ly/marlus-links")</f>
        <v>https://bit.ly/marlus-links</v>
      </c>
      <c r="AR1404" s="86" t="s">
        <v>28841</v>
      </c>
      <c r="AS1404" s="86"/>
      <c r="AT1404" s="86"/>
      <c r="AU1404" s="86"/>
      <c r="AV1404" s="86"/>
      <c r="AW1404" s="96" t="str">
        <f>HYPERLINK("https://t.co/bEbSeCTr3Z")</f>
        <v>https://t.co/bEbSeCTr3Z</v>
      </c>
      <c r="AX1404" s="86" t="b">
        <v>0</v>
      </c>
      <c r="AY1404" s="86"/>
      <c r="AZ1404" s="86"/>
      <c r="BA1404" s="86" t="b">
        <v>0</v>
      </c>
      <c r="BB1404" s="86" t="b">
        <v>1</v>
      </c>
      <c r="BC1404" s="86" t="b">
        <v>1</v>
      </c>
      <c r="BD1404" s="86" t="b">
        <v>0</v>
      </c>
      <c r="BE1404" s="86" t="b">
        <v>0</v>
      </c>
      <c r="BF1404" s="86" t="b">
        <v>0</v>
      </c>
      <c r="BG1404" s="86" t="b">
        <v>0</v>
      </c>
      <c r="BH1404" s="96" t="str">
        <f>HYPERLINK("https://pbs.twimg.com/profile_banners/1596939852930584578/1695590137")</f>
        <v>https://pbs.twimg.com/profile_banners/1596939852930584578/1695590137</v>
      </c>
      <c r="BI1404" s="86"/>
      <c r="BJ1404" s="86" t="s">
        <v>29134</v>
      </c>
      <c r="BK1404" s="86" t="b">
        <v>0</v>
      </c>
      <c r="BL1404" s="86"/>
      <c r="BM1404" s="86" t="s">
        <v>66</v>
      </c>
      <c r="BN1404" s="86" t="s">
        <v>29136</v>
      </c>
      <c r="BO1404" s="96" t="str">
        <f>HYPERLINK("https://twitter.com/eumarlussantos")</f>
        <v>https://twitter.com/eumarlussantos</v>
      </c>
      <c r="BP1404" s="2"/>
    </row>
    <row r="1405" spans="1:68" x14ac:dyDescent="0.25">
      <c r="A1405" s="63" t="s">
        <v>1423</v>
      </c>
      <c r="B1405" s="64"/>
      <c r="C1405" s="64"/>
      <c r="D1405" s="65"/>
      <c r="E1405" s="67"/>
      <c r="F1405" s="111" t="str">
        <f>HYPERLINK("https://pbs.twimg.com/profile_images/1119241453807505408/Cq3JEHDn_normal.jpg")</f>
        <v>https://pbs.twimg.com/profile_images/1119241453807505408/Cq3JEHDn_normal.jpg</v>
      </c>
      <c r="G1405" s="64"/>
      <c r="H1405" s="68"/>
      <c r="I1405" s="69"/>
      <c r="J1405" s="69"/>
      <c r="K1405" s="68" t="s">
        <v>30538</v>
      </c>
      <c r="L1405" s="72"/>
      <c r="M1405" s="73"/>
      <c r="N1405" s="73"/>
      <c r="O1405" s="74"/>
      <c r="P1405" s="75"/>
      <c r="Q1405" s="75"/>
      <c r="R1405" s="102"/>
      <c r="S1405" s="102"/>
      <c r="T1405" s="102"/>
      <c r="U1405" s="102"/>
      <c r="V1405" s="48"/>
      <c r="W1405" s="48"/>
      <c r="X1405" s="48"/>
      <c r="Y1405" s="48"/>
      <c r="Z1405" s="47"/>
      <c r="AA1405" s="70">
        <v>1405</v>
      </c>
      <c r="AB1405" s="70"/>
      <c r="AC1405" s="71"/>
      <c r="AD1405" s="86" t="s">
        <v>24999</v>
      </c>
      <c r="AE1405" s="94" t="s">
        <v>23492</v>
      </c>
      <c r="AF1405" s="86">
        <v>11</v>
      </c>
      <c r="AG1405" s="86">
        <v>120</v>
      </c>
      <c r="AH1405" s="86">
        <v>11</v>
      </c>
      <c r="AI1405" s="86">
        <v>0</v>
      </c>
      <c r="AJ1405" s="86">
        <v>7</v>
      </c>
      <c r="AK1405" s="86">
        <v>4</v>
      </c>
      <c r="AL1405" s="86" t="b">
        <v>0</v>
      </c>
      <c r="AM1405" s="89">
        <v>42477.035254629627</v>
      </c>
      <c r="AN1405" s="86" t="s">
        <v>26355</v>
      </c>
      <c r="AO1405" s="86" t="s">
        <v>27700</v>
      </c>
      <c r="AP1405" s="86"/>
      <c r="AQ1405" s="86"/>
      <c r="AR1405" s="86"/>
      <c r="AS1405" s="86"/>
      <c r="AT1405" s="86"/>
      <c r="AU1405" s="86"/>
      <c r="AV1405" s="86"/>
      <c r="AW1405" s="86"/>
      <c r="AX1405" s="86" t="b">
        <v>0</v>
      </c>
      <c r="AY1405" s="86"/>
      <c r="AZ1405" s="86"/>
      <c r="BA1405" s="86" t="b">
        <v>1</v>
      </c>
      <c r="BB1405" s="86" t="b">
        <v>1</v>
      </c>
      <c r="BC1405" s="86" t="b">
        <v>1</v>
      </c>
      <c r="BD1405" s="86" t="b">
        <v>0</v>
      </c>
      <c r="BE1405" s="86" t="b">
        <v>0</v>
      </c>
      <c r="BF1405" s="86" t="b">
        <v>0</v>
      </c>
      <c r="BG1405" s="86" t="b">
        <v>0</v>
      </c>
      <c r="BH1405" s="86"/>
      <c r="BI1405" s="86"/>
      <c r="BJ1405" s="86" t="s">
        <v>29134</v>
      </c>
      <c r="BK1405" s="86" t="b">
        <v>0</v>
      </c>
      <c r="BL1405" s="86"/>
      <c r="BM1405" s="86" t="s">
        <v>66</v>
      </c>
      <c r="BN1405" s="86" t="s">
        <v>29136</v>
      </c>
      <c r="BO1405" s="96" t="str">
        <f>HYPERLINK("https://twitter.com/sandriellysan20")</f>
        <v>https://twitter.com/sandriellysan20</v>
      </c>
      <c r="BP1405" s="2"/>
    </row>
    <row r="1406" spans="1:68" x14ac:dyDescent="0.25">
      <c r="A1406" s="63" t="s">
        <v>1424</v>
      </c>
      <c r="B1406" s="64"/>
      <c r="C1406" s="64"/>
      <c r="D1406" s="65"/>
      <c r="E1406" s="67"/>
      <c r="F1406" s="111" t="str">
        <f>HYPERLINK("https://pbs.twimg.com/profile_images/1673233969318338560/SvEWFJDy_normal.jpg")</f>
        <v>https://pbs.twimg.com/profile_images/1673233969318338560/SvEWFJDy_normal.jpg</v>
      </c>
      <c r="G1406" s="64"/>
      <c r="H1406" s="68"/>
      <c r="I1406" s="69"/>
      <c r="J1406" s="69"/>
      <c r="K1406" s="68" t="s">
        <v>30539</v>
      </c>
      <c r="L1406" s="72"/>
      <c r="M1406" s="73"/>
      <c r="N1406" s="73"/>
      <c r="O1406" s="74"/>
      <c r="P1406" s="75"/>
      <c r="Q1406" s="75"/>
      <c r="R1406" s="102"/>
      <c r="S1406" s="102"/>
      <c r="T1406" s="102"/>
      <c r="U1406" s="102"/>
      <c r="V1406" s="48"/>
      <c r="W1406" s="48"/>
      <c r="X1406" s="48"/>
      <c r="Y1406" s="48"/>
      <c r="Z1406" s="47"/>
      <c r="AA1406" s="70">
        <v>1406</v>
      </c>
      <c r="AB1406" s="70"/>
      <c r="AC1406" s="71"/>
      <c r="AD1406" s="86" t="s">
        <v>25000</v>
      </c>
      <c r="AE1406" s="94" t="s">
        <v>23493</v>
      </c>
      <c r="AF1406" s="86">
        <v>16</v>
      </c>
      <c r="AG1406" s="86">
        <v>62</v>
      </c>
      <c r="AH1406" s="86">
        <v>220</v>
      </c>
      <c r="AI1406" s="86">
        <v>0</v>
      </c>
      <c r="AJ1406" s="86">
        <v>23</v>
      </c>
      <c r="AK1406" s="86">
        <v>122</v>
      </c>
      <c r="AL1406" s="86" t="b">
        <v>0</v>
      </c>
      <c r="AM1406" s="89">
        <v>45103.299050925925</v>
      </c>
      <c r="AN1406" s="86" t="s">
        <v>26356</v>
      </c>
      <c r="AO1406" s="86" t="s">
        <v>27701</v>
      </c>
      <c r="AP1406" s="96" t="str">
        <f>HYPERLINK("https://t.co/ZHE5q6hbim")</f>
        <v>https://t.co/ZHE5q6hbim</v>
      </c>
      <c r="AQ1406" s="96" t="str">
        <f>HYPERLINK("https://hellotribune.com/")</f>
        <v>https://hellotribune.com/</v>
      </c>
      <c r="AR1406" s="86" t="s">
        <v>28842</v>
      </c>
      <c r="AS1406" s="86"/>
      <c r="AT1406" s="86"/>
      <c r="AU1406" s="86"/>
      <c r="AV1406" s="86"/>
      <c r="AW1406" s="96" t="str">
        <f>HYPERLINK("https://t.co/ZHE5q6hbim")</f>
        <v>https://t.co/ZHE5q6hbim</v>
      </c>
      <c r="AX1406" s="86" t="b">
        <v>0</v>
      </c>
      <c r="AY1406" s="86"/>
      <c r="AZ1406" s="86"/>
      <c r="BA1406" s="86" t="b">
        <v>0</v>
      </c>
      <c r="BB1406" s="86" t="b">
        <v>1</v>
      </c>
      <c r="BC1406" s="86" t="b">
        <v>1</v>
      </c>
      <c r="BD1406" s="86" t="b">
        <v>0</v>
      </c>
      <c r="BE1406" s="86" t="b">
        <v>0</v>
      </c>
      <c r="BF1406" s="86" t="b">
        <v>0</v>
      </c>
      <c r="BG1406" s="86" t="b">
        <v>0</v>
      </c>
      <c r="BH1406" s="96" t="str">
        <f>HYPERLINK("https://pbs.twimg.com/profile_banners/1673227141960351744/1687765041")</f>
        <v>https://pbs.twimg.com/profile_banners/1673227141960351744/1687765041</v>
      </c>
      <c r="BI1406" s="86"/>
      <c r="BJ1406" s="86" t="s">
        <v>29134</v>
      </c>
      <c r="BK1406" s="86" t="b">
        <v>0</v>
      </c>
      <c r="BL1406" s="86"/>
      <c r="BM1406" s="86" t="s">
        <v>66</v>
      </c>
      <c r="BN1406" s="86" t="s">
        <v>29136</v>
      </c>
      <c r="BO1406" s="96" t="str">
        <f>HYPERLINK("https://twitter.com/ashentharakag")</f>
        <v>https://twitter.com/ashentharakag</v>
      </c>
      <c r="BP1406" s="2"/>
    </row>
    <row r="1407" spans="1:68" x14ac:dyDescent="0.25">
      <c r="A1407" s="63" t="s">
        <v>1425</v>
      </c>
      <c r="B1407" s="64"/>
      <c r="C1407" s="64"/>
      <c r="D1407" s="65"/>
      <c r="E1407" s="67"/>
      <c r="F1407" s="111" t="str">
        <f>HYPERLINK("https://pbs.twimg.com/profile_images/1594457297182507009/qDTIc0IT_normal.jpg")</f>
        <v>https://pbs.twimg.com/profile_images/1594457297182507009/qDTIc0IT_normal.jpg</v>
      </c>
      <c r="G1407" s="64"/>
      <c r="H1407" s="68"/>
      <c r="I1407" s="69"/>
      <c r="J1407" s="69"/>
      <c r="K1407" s="68" t="s">
        <v>30540</v>
      </c>
      <c r="L1407" s="72"/>
      <c r="M1407" s="73"/>
      <c r="N1407" s="73"/>
      <c r="O1407" s="74"/>
      <c r="P1407" s="75"/>
      <c r="Q1407" s="75"/>
      <c r="R1407" s="102"/>
      <c r="S1407" s="102"/>
      <c r="T1407" s="102"/>
      <c r="U1407" s="102"/>
      <c r="V1407" s="48"/>
      <c r="W1407" s="48"/>
      <c r="X1407" s="48"/>
      <c r="Y1407" s="48"/>
      <c r="Z1407" s="47"/>
      <c r="AA1407" s="70">
        <v>1407</v>
      </c>
      <c r="AB1407" s="70"/>
      <c r="AC1407" s="71"/>
      <c r="AD1407" s="86" t="s">
        <v>25001</v>
      </c>
      <c r="AE1407" s="94" t="s">
        <v>25782</v>
      </c>
      <c r="AF1407" s="86">
        <v>156</v>
      </c>
      <c r="AG1407" s="86">
        <v>695</v>
      </c>
      <c r="AH1407" s="86">
        <v>128</v>
      </c>
      <c r="AI1407" s="86">
        <v>2</v>
      </c>
      <c r="AJ1407" s="86">
        <v>646</v>
      </c>
      <c r="AK1407" s="86">
        <v>81</v>
      </c>
      <c r="AL1407" s="86" t="b">
        <v>0</v>
      </c>
      <c r="AM1407" s="89">
        <v>39905.628900462965</v>
      </c>
      <c r="AN1407" s="86" t="s">
        <v>26140</v>
      </c>
      <c r="AO1407" s="86" t="s">
        <v>27702</v>
      </c>
      <c r="AP1407" s="96" t="str">
        <f>HYPERLINK("https://t.co/TAKhIifcig")</f>
        <v>https://t.co/TAKhIifcig</v>
      </c>
      <c r="AQ1407" s="96" t="str">
        <f>HYPERLINK("http://ruokdigital.com.br")</f>
        <v>http://ruokdigital.com.br</v>
      </c>
      <c r="AR1407" s="86" t="s">
        <v>28843</v>
      </c>
      <c r="AS1407" s="86"/>
      <c r="AT1407" s="86"/>
      <c r="AU1407" s="86"/>
      <c r="AV1407" s="86"/>
      <c r="AW1407" s="96" t="str">
        <f>HYPERLINK("https://t.co/TAKhIifcig")</f>
        <v>https://t.co/TAKhIifcig</v>
      </c>
      <c r="AX1407" s="86" t="b">
        <v>0</v>
      </c>
      <c r="AY1407" s="86"/>
      <c r="AZ1407" s="86"/>
      <c r="BA1407" s="86" t="b">
        <v>0</v>
      </c>
      <c r="BB1407" s="86" t="b">
        <v>1</v>
      </c>
      <c r="BC1407" s="86" t="b">
        <v>0</v>
      </c>
      <c r="BD1407" s="86" t="b">
        <v>0</v>
      </c>
      <c r="BE1407" s="86" t="b">
        <v>0</v>
      </c>
      <c r="BF1407" s="86" t="b">
        <v>0</v>
      </c>
      <c r="BG1407" s="86" t="b">
        <v>0</v>
      </c>
      <c r="BH1407" s="86"/>
      <c r="BI1407" s="86"/>
      <c r="BJ1407" s="86" t="s">
        <v>29134</v>
      </c>
      <c r="BK1407" s="86" t="b">
        <v>0</v>
      </c>
      <c r="BL1407" s="86"/>
      <c r="BM1407" s="86" t="s">
        <v>66</v>
      </c>
      <c r="BN1407" s="86" t="s">
        <v>29136</v>
      </c>
      <c r="BO1407" s="96" t="str">
        <f>HYPERLINK("https://twitter.com/henrikubota")</f>
        <v>https://twitter.com/henrikubota</v>
      </c>
      <c r="BP1407" s="2"/>
    </row>
    <row r="1408" spans="1:68" x14ac:dyDescent="0.25">
      <c r="A1408" s="63" t="s">
        <v>1426</v>
      </c>
      <c r="B1408" s="64"/>
      <c r="C1408" s="64"/>
      <c r="D1408" s="65"/>
      <c r="E1408" s="67"/>
      <c r="F1408" s="111" t="str">
        <f>HYPERLINK("https://pbs.twimg.com/profile_images/1640995716775460865/jiKMJXNt_normal.jpg")</f>
        <v>https://pbs.twimg.com/profile_images/1640995716775460865/jiKMJXNt_normal.jpg</v>
      </c>
      <c r="G1408" s="64"/>
      <c r="H1408" s="68"/>
      <c r="I1408" s="69"/>
      <c r="J1408" s="69"/>
      <c r="K1408" s="68" t="s">
        <v>30541</v>
      </c>
      <c r="L1408" s="72"/>
      <c r="M1408" s="73"/>
      <c r="N1408" s="73"/>
      <c r="O1408" s="74"/>
      <c r="P1408" s="75"/>
      <c r="Q1408" s="75"/>
      <c r="R1408" s="102"/>
      <c r="S1408" s="102"/>
      <c r="T1408" s="102"/>
      <c r="U1408" s="102"/>
      <c r="V1408" s="48"/>
      <c r="W1408" s="48"/>
      <c r="X1408" s="48"/>
      <c r="Y1408" s="48"/>
      <c r="Z1408" s="47"/>
      <c r="AA1408" s="70">
        <v>1408</v>
      </c>
      <c r="AB1408" s="70"/>
      <c r="AC1408" s="71"/>
      <c r="AD1408" s="86" t="s">
        <v>25002</v>
      </c>
      <c r="AE1408" s="94" t="s">
        <v>23494</v>
      </c>
      <c r="AF1408" s="86">
        <v>15</v>
      </c>
      <c r="AG1408" s="86">
        <v>80</v>
      </c>
      <c r="AH1408" s="86">
        <v>339</v>
      </c>
      <c r="AI1408" s="86">
        <v>1</v>
      </c>
      <c r="AJ1408" s="86">
        <v>162</v>
      </c>
      <c r="AK1408" s="86">
        <v>33</v>
      </c>
      <c r="AL1408" s="86" t="b">
        <v>0</v>
      </c>
      <c r="AM1408" s="89">
        <v>44307.500150462962</v>
      </c>
      <c r="AN1408" s="86" t="s">
        <v>15256</v>
      </c>
      <c r="AO1408" s="86" t="s">
        <v>27703</v>
      </c>
      <c r="AP1408" s="86"/>
      <c r="AQ1408" s="86"/>
      <c r="AR1408" s="86"/>
      <c r="AS1408" s="86"/>
      <c r="AT1408" s="86"/>
      <c r="AU1408" s="86"/>
      <c r="AV1408" s="86"/>
      <c r="AW1408" s="86"/>
      <c r="AX1408" s="86" t="b">
        <v>0</v>
      </c>
      <c r="AY1408" s="86"/>
      <c r="AZ1408" s="86"/>
      <c r="BA1408" s="86" t="b">
        <v>0</v>
      </c>
      <c r="BB1408" s="86" t="b">
        <v>1</v>
      </c>
      <c r="BC1408" s="86" t="b">
        <v>1</v>
      </c>
      <c r="BD1408" s="86" t="b">
        <v>0</v>
      </c>
      <c r="BE1408" s="86" t="b">
        <v>0</v>
      </c>
      <c r="BF1408" s="86" t="b">
        <v>0</v>
      </c>
      <c r="BG1408" s="86" t="b">
        <v>0</v>
      </c>
      <c r="BH1408" s="96" t="str">
        <f>HYPERLINK("https://pbs.twimg.com/profile_banners/1384839326987608067/1661285102")</f>
        <v>https://pbs.twimg.com/profile_banners/1384839326987608067/1661285102</v>
      </c>
      <c r="BI1408" s="86"/>
      <c r="BJ1408" s="86" t="s">
        <v>29134</v>
      </c>
      <c r="BK1408" s="86" t="b">
        <v>0</v>
      </c>
      <c r="BL1408" s="86"/>
      <c r="BM1408" s="86" t="s">
        <v>66</v>
      </c>
      <c r="BN1408" s="86" t="s">
        <v>29136</v>
      </c>
      <c r="BO1408" s="96" t="str">
        <f>HYPERLINK("https://twitter.com/eupaulateles")</f>
        <v>https://twitter.com/eupaulateles</v>
      </c>
      <c r="BP1408" s="2"/>
    </row>
    <row r="1409" spans="1:68" x14ac:dyDescent="0.25">
      <c r="A1409" s="63" t="s">
        <v>1427</v>
      </c>
      <c r="B1409" s="64"/>
      <c r="C1409" s="64"/>
      <c r="D1409" s="65"/>
      <c r="E1409" s="67"/>
      <c r="F1409" s="111" t="str">
        <f>HYPERLINK("https://pbs.twimg.com/profile_images/1633004111716122625/ePwXD52q_normal.jpg")</f>
        <v>https://pbs.twimg.com/profile_images/1633004111716122625/ePwXD52q_normal.jpg</v>
      </c>
      <c r="G1409" s="64"/>
      <c r="H1409" s="68"/>
      <c r="I1409" s="69"/>
      <c r="J1409" s="69"/>
      <c r="K1409" s="68" t="s">
        <v>30542</v>
      </c>
      <c r="L1409" s="72"/>
      <c r="M1409" s="73"/>
      <c r="N1409" s="73"/>
      <c r="O1409" s="74"/>
      <c r="P1409" s="75"/>
      <c r="Q1409" s="75"/>
      <c r="R1409" s="102"/>
      <c r="S1409" s="102"/>
      <c r="T1409" s="102"/>
      <c r="U1409" s="102"/>
      <c r="V1409" s="48"/>
      <c r="W1409" s="48"/>
      <c r="X1409" s="48"/>
      <c r="Y1409" s="48"/>
      <c r="Z1409" s="47"/>
      <c r="AA1409" s="70">
        <v>1409</v>
      </c>
      <c r="AB1409" s="70"/>
      <c r="AC1409" s="71"/>
      <c r="AD1409" s="86" t="s">
        <v>25003</v>
      </c>
      <c r="AE1409" s="94" t="s">
        <v>25783</v>
      </c>
      <c r="AF1409" s="86">
        <v>435</v>
      </c>
      <c r="AG1409" s="86">
        <v>197</v>
      </c>
      <c r="AH1409" s="86">
        <v>2781</v>
      </c>
      <c r="AI1409" s="86">
        <v>7</v>
      </c>
      <c r="AJ1409" s="86">
        <v>3106</v>
      </c>
      <c r="AK1409" s="86">
        <v>1160</v>
      </c>
      <c r="AL1409" s="86" t="b">
        <v>0</v>
      </c>
      <c r="AM1409" s="89">
        <v>41842.932685185187</v>
      </c>
      <c r="AN1409" s="86" t="s">
        <v>15234</v>
      </c>
      <c r="AO1409" s="86" t="s">
        <v>27704</v>
      </c>
      <c r="AP1409" s="96" t="str">
        <f>HYPERLINK("https://t.co/LfleD1EhSa")</f>
        <v>https://t.co/LfleD1EhSa</v>
      </c>
      <c r="AQ1409" s="96" t="str">
        <f>HYPERLINK("https://www.franchisingbook.com.br")</f>
        <v>https://www.franchisingbook.com.br</v>
      </c>
      <c r="AR1409" s="86" t="s">
        <v>28844</v>
      </c>
      <c r="AS1409" s="86"/>
      <c r="AT1409" s="86"/>
      <c r="AU1409" s="86"/>
      <c r="AV1409" s="86"/>
      <c r="AW1409" s="96" t="str">
        <f>HYPERLINK("https://t.co/LfleD1EhSa")</f>
        <v>https://t.co/LfleD1EhSa</v>
      </c>
      <c r="AX1409" s="86" t="b">
        <v>0</v>
      </c>
      <c r="AY1409" s="86"/>
      <c r="AZ1409" s="86"/>
      <c r="BA1409" s="86" t="b">
        <v>1</v>
      </c>
      <c r="BB1409" s="86" t="b">
        <v>0</v>
      </c>
      <c r="BC1409" s="86" t="b">
        <v>1</v>
      </c>
      <c r="BD1409" s="86" t="b">
        <v>0</v>
      </c>
      <c r="BE1409" s="86" t="b">
        <v>1</v>
      </c>
      <c r="BF1409" s="86" t="b">
        <v>0</v>
      </c>
      <c r="BG1409" s="86" t="b">
        <v>0</v>
      </c>
      <c r="BH1409" s="96" t="str">
        <f>HYPERLINK("https://pbs.twimg.com/profile_banners/2670811062/1678121870")</f>
        <v>https://pbs.twimg.com/profile_banners/2670811062/1678121870</v>
      </c>
      <c r="BI1409" s="86"/>
      <c r="BJ1409" s="86" t="s">
        <v>29134</v>
      </c>
      <c r="BK1409" s="86" t="b">
        <v>0</v>
      </c>
      <c r="BL1409" s="86"/>
      <c r="BM1409" s="86" t="s">
        <v>66</v>
      </c>
      <c r="BN1409" s="86" t="s">
        <v>29136</v>
      </c>
      <c r="BO1409" s="96" t="str">
        <f>HYPERLINK("https://twitter.com/newsfranchising")</f>
        <v>https://twitter.com/newsfranchising</v>
      </c>
      <c r="BP1409" s="2"/>
    </row>
    <row r="1410" spans="1:68" x14ac:dyDescent="0.25">
      <c r="A1410" s="63" t="s">
        <v>1428</v>
      </c>
      <c r="B1410" s="64"/>
      <c r="C1410" s="64"/>
      <c r="D1410" s="65"/>
      <c r="E1410" s="67"/>
      <c r="F1410" s="111" t="str">
        <f>HYPERLINK("https://pbs.twimg.com/profile_images/1596084569341677572/5wtqshRu_normal.jpg")</f>
        <v>https://pbs.twimg.com/profile_images/1596084569341677572/5wtqshRu_normal.jpg</v>
      </c>
      <c r="G1410" s="64"/>
      <c r="H1410" s="68"/>
      <c r="I1410" s="69"/>
      <c r="J1410" s="69"/>
      <c r="K1410" s="68" t="s">
        <v>30543</v>
      </c>
      <c r="L1410" s="72"/>
      <c r="M1410" s="73"/>
      <c r="N1410" s="73"/>
      <c r="O1410" s="74"/>
      <c r="P1410" s="75"/>
      <c r="Q1410" s="75"/>
      <c r="R1410" s="102"/>
      <c r="S1410" s="102"/>
      <c r="T1410" s="102"/>
      <c r="U1410" s="102"/>
      <c r="V1410" s="48"/>
      <c r="W1410" s="48"/>
      <c r="X1410" s="48"/>
      <c r="Y1410" s="48"/>
      <c r="Z1410" s="47"/>
      <c r="AA1410" s="70">
        <v>1410</v>
      </c>
      <c r="AB1410" s="70"/>
      <c r="AC1410" s="71"/>
      <c r="AD1410" s="86" t="s">
        <v>25004</v>
      </c>
      <c r="AE1410" s="94" t="s">
        <v>23495</v>
      </c>
      <c r="AF1410" s="86">
        <v>4728496</v>
      </c>
      <c r="AG1410" s="86">
        <v>0</v>
      </c>
      <c r="AH1410" s="86">
        <v>3181</v>
      </c>
      <c r="AI1410" s="86">
        <v>10082</v>
      </c>
      <c r="AJ1410" s="86">
        <v>72</v>
      </c>
      <c r="AK1410" s="86">
        <v>2934</v>
      </c>
      <c r="AL1410" s="86" t="b">
        <v>0</v>
      </c>
      <c r="AM1410" s="89">
        <v>42846.250393518516</v>
      </c>
      <c r="AN1410" s="86"/>
      <c r="AO1410" s="86" t="s">
        <v>27705</v>
      </c>
      <c r="AP1410" s="86"/>
      <c r="AQ1410" s="86"/>
      <c r="AR1410" s="86"/>
      <c r="AS1410" s="86"/>
      <c r="AT1410" s="86"/>
      <c r="AU1410" s="86"/>
      <c r="AV1410" s="86">
        <v>1.6882561475374899E+18</v>
      </c>
      <c r="AW1410" s="86"/>
      <c r="AX1410" s="86" t="b">
        <v>1</v>
      </c>
      <c r="AY1410" s="86"/>
      <c r="AZ1410" s="86"/>
      <c r="BA1410" s="86" t="b">
        <v>1</v>
      </c>
      <c r="BB1410" s="86" t="b">
        <v>1</v>
      </c>
      <c r="BC1410" s="86" t="b">
        <v>1</v>
      </c>
      <c r="BD1410" s="86" t="b">
        <v>0</v>
      </c>
      <c r="BE1410" s="86" t="b">
        <v>1</v>
      </c>
      <c r="BF1410" s="86" t="b">
        <v>0</v>
      </c>
      <c r="BG1410" s="86" t="b">
        <v>0</v>
      </c>
      <c r="BH1410" s="96" t="str">
        <f>HYPERLINK("https://pbs.twimg.com/profile_banners/855300206086168576/1694512177")</f>
        <v>https://pbs.twimg.com/profile_banners/855300206086168576/1694512177</v>
      </c>
      <c r="BI1410" s="86"/>
      <c r="BJ1410" s="86" t="s">
        <v>29134</v>
      </c>
      <c r="BK1410" s="86" t="b">
        <v>0</v>
      </c>
      <c r="BL1410" s="86"/>
      <c r="BM1410" s="86" t="s">
        <v>66</v>
      </c>
      <c r="BN1410" s="86" t="s">
        <v>29136</v>
      </c>
      <c r="BO1410" s="96" t="str">
        <f>HYPERLINK("https://twitter.com/humansnocontext")</f>
        <v>https://twitter.com/humansnocontext</v>
      </c>
      <c r="BP1410" s="2"/>
    </row>
    <row r="1411" spans="1:68" x14ac:dyDescent="0.25">
      <c r="A1411" s="63" t="s">
        <v>1429</v>
      </c>
      <c r="B1411" s="64"/>
      <c r="C1411" s="64"/>
      <c r="D1411" s="65"/>
      <c r="E1411" s="67"/>
      <c r="F1411" s="111" t="str">
        <f>HYPERLINK("https://pbs.twimg.com/profile_images/1547260353242927104/BDSDjrb0_normal.jpg")</f>
        <v>https://pbs.twimg.com/profile_images/1547260353242927104/BDSDjrb0_normal.jpg</v>
      </c>
      <c r="G1411" s="64"/>
      <c r="H1411" s="68"/>
      <c r="I1411" s="69"/>
      <c r="J1411" s="69"/>
      <c r="K1411" s="68" t="s">
        <v>30544</v>
      </c>
      <c r="L1411" s="72"/>
      <c r="M1411" s="73"/>
      <c r="N1411" s="73"/>
      <c r="O1411" s="74"/>
      <c r="P1411" s="75"/>
      <c r="Q1411" s="75"/>
      <c r="R1411" s="102"/>
      <c r="S1411" s="102"/>
      <c r="T1411" s="102"/>
      <c r="U1411" s="102"/>
      <c r="V1411" s="48"/>
      <c r="W1411" s="48"/>
      <c r="X1411" s="48"/>
      <c r="Y1411" s="48"/>
      <c r="Z1411" s="47"/>
      <c r="AA1411" s="70">
        <v>1411</v>
      </c>
      <c r="AB1411" s="70"/>
      <c r="AC1411" s="71"/>
      <c r="AD1411" s="86" t="s">
        <v>25005</v>
      </c>
      <c r="AE1411" s="94" t="s">
        <v>25784</v>
      </c>
      <c r="AF1411" s="86">
        <v>108</v>
      </c>
      <c r="AG1411" s="86">
        <v>744</v>
      </c>
      <c r="AH1411" s="86">
        <v>1953</v>
      </c>
      <c r="AI1411" s="86">
        <v>3</v>
      </c>
      <c r="AJ1411" s="86">
        <v>2040</v>
      </c>
      <c r="AK1411" s="86">
        <v>95</v>
      </c>
      <c r="AL1411" s="86" t="b">
        <v>0</v>
      </c>
      <c r="AM1411" s="89">
        <v>40044.904918981483</v>
      </c>
      <c r="AN1411" s="86"/>
      <c r="AO1411" s="86"/>
      <c r="AP1411" s="96" t="str">
        <f>HYPERLINK("https://t.co/6QNiBAs7js")</f>
        <v>https://t.co/6QNiBAs7js</v>
      </c>
      <c r="AQ1411" s="96" t="str">
        <f>HYPERLINK("http://www.tsdg.com.br")</f>
        <v>http://www.tsdg.com.br</v>
      </c>
      <c r="AR1411" s="86" t="s">
        <v>28845</v>
      </c>
      <c r="AS1411" s="86"/>
      <c r="AT1411" s="86"/>
      <c r="AU1411" s="86"/>
      <c r="AV1411" s="86"/>
      <c r="AW1411" s="96" t="str">
        <f>HYPERLINK("https://t.co/6QNiBAs7js")</f>
        <v>https://t.co/6QNiBAs7js</v>
      </c>
      <c r="AX1411" s="86" t="b">
        <v>0</v>
      </c>
      <c r="AY1411" s="86"/>
      <c r="AZ1411" s="86"/>
      <c r="BA1411" s="86" t="b">
        <v>0</v>
      </c>
      <c r="BB1411" s="86" t="b">
        <v>1</v>
      </c>
      <c r="BC1411" s="86" t="b">
        <v>0</v>
      </c>
      <c r="BD1411" s="86" t="b">
        <v>0</v>
      </c>
      <c r="BE1411" s="86" t="b">
        <v>1</v>
      </c>
      <c r="BF1411" s="86" t="b">
        <v>0</v>
      </c>
      <c r="BG1411" s="86" t="b">
        <v>0</v>
      </c>
      <c r="BH1411" s="96" t="str">
        <f>HYPERLINK("https://pbs.twimg.com/profile_banners/67131467/1460123269")</f>
        <v>https://pbs.twimg.com/profile_banners/67131467/1460123269</v>
      </c>
      <c r="BI1411" s="86"/>
      <c r="BJ1411" s="86" t="s">
        <v>29135</v>
      </c>
      <c r="BK1411" s="86" t="b">
        <v>0</v>
      </c>
      <c r="BL1411" s="86"/>
      <c r="BM1411" s="86" t="s">
        <v>66</v>
      </c>
      <c r="BN1411" s="86" t="s">
        <v>29136</v>
      </c>
      <c r="BO1411" s="96" t="str">
        <f>HYPERLINK("https://twitter.com/tottysouza")</f>
        <v>https://twitter.com/tottysouza</v>
      </c>
      <c r="BP1411" s="2"/>
    </row>
    <row r="1412" spans="1:68" x14ac:dyDescent="0.25">
      <c r="A1412" s="63" t="s">
        <v>1430</v>
      </c>
      <c r="B1412" s="64"/>
      <c r="C1412" s="64"/>
      <c r="D1412" s="65"/>
      <c r="E1412" s="67"/>
      <c r="F1412" s="111" t="str">
        <f>HYPERLINK("https://pbs.twimg.com/profile_images/1064147746238709760/zwTuvIdq_normal.jpg")</f>
        <v>https://pbs.twimg.com/profile_images/1064147746238709760/zwTuvIdq_normal.jpg</v>
      </c>
      <c r="G1412" s="64"/>
      <c r="H1412" s="68"/>
      <c r="I1412" s="69"/>
      <c r="J1412" s="69"/>
      <c r="K1412" s="68" t="s">
        <v>30545</v>
      </c>
      <c r="L1412" s="72"/>
      <c r="M1412" s="73"/>
      <c r="N1412" s="73"/>
      <c r="O1412" s="74"/>
      <c r="P1412" s="75"/>
      <c r="Q1412" s="75"/>
      <c r="R1412" s="102"/>
      <c r="S1412" s="102"/>
      <c r="T1412" s="102"/>
      <c r="U1412" s="102"/>
      <c r="V1412" s="48"/>
      <c r="W1412" s="48"/>
      <c r="X1412" s="48"/>
      <c r="Y1412" s="48"/>
      <c r="Z1412" s="47"/>
      <c r="AA1412" s="70">
        <v>1412</v>
      </c>
      <c r="AB1412" s="70"/>
      <c r="AC1412" s="71"/>
      <c r="AD1412" s="86" t="s">
        <v>25006</v>
      </c>
      <c r="AE1412" s="94" t="s">
        <v>25785</v>
      </c>
      <c r="AF1412" s="86">
        <v>1217</v>
      </c>
      <c r="AG1412" s="86">
        <v>2</v>
      </c>
      <c r="AH1412" s="86">
        <v>18493</v>
      </c>
      <c r="AI1412" s="86">
        <v>28</v>
      </c>
      <c r="AJ1412" s="86">
        <v>365</v>
      </c>
      <c r="AK1412" s="86">
        <v>402</v>
      </c>
      <c r="AL1412" s="86" t="b">
        <v>0</v>
      </c>
      <c r="AM1412" s="89">
        <v>39929.994108796294</v>
      </c>
      <c r="AN1412" s="86" t="s">
        <v>26357</v>
      </c>
      <c r="AO1412" s="86" t="s">
        <v>27706</v>
      </c>
      <c r="AP1412" s="96" t="str">
        <f>HYPERLINK("https://t.co/RLpUUWftR4")</f>
        <v>https://t.co/RLpUUWftR4</v>
      </c>
      <c r="AQ1412" s="96" t="str">
        <f>HYPERLINK("http://www.sigamais.com")</f>
        <v>http://www.sigamais.com</v>
      </c>
      <c r="AR1412" s="86" t="s">
        <v>8538</v>
      </c>
      <c r="AS1412" s="86"/>
      <c r="AT1412" s="86"/>
      <c r="AU1412" s="86"/>
      <c r="AV1412" s="86"/>
      <c r="AW1412" s="96" t="str">
        <f>HYPERLINK("https://t.co/RLpUUWftR4")</f>
        <v>https://t.co/RLpUUWftR4</v>
      </c>
      <c r="AX1412" s="86" t="b">
        <v>0</v>
      </c>
      <c r="AY1412" s="86"/>
      <c r="AZ1412" s="86"/>
      <c r="BA1412" s="86" t="b">
        <v>1</v>
      </c>
      <c r="BB1412" s="86" t="b">
        <v>1</v>
      </c>
      <c r="BC1412" s="86" t="b">
        <v>1</v>
      </c>
      <c r="BD1412" s="86" t="b">
        <v>0</v>
      </c>
      <c r="BE1412" s="86" t="b">
        <v>0</v>
      </c>
      <c r="BF1412" s="86" t="b">
        <v>0</v>
      </c>
      <c r="BG1412" s="86" t="b">
        <v>0</v>
      </c>
      <c r="BH1412" s="96" t="str">
        <f>HYPERLINK("https://pbs.twimg.com/profile_banners/35604602/1667419082")</f>
        <v>https://pbs.twimg.com/profile_banners/35604602/1667419082</v>
      </c>
      <c r="BI1412" s="86"/>
      <c r="BJ1412" s="86" t="s">
        <v>29134</v>
      </c>
      <c r="BK1412" s="86" t="b">
        <v>0</v>
      </c>
      <c r="BL1412" s="86"/>
      <c r="BM1412" s="86" t="s">
        <v>66</v>
      </c>
      <c r="BN1412" s="86" t="s">
        <v>29136</v>
      </c>
      <c r="BO1412" s="96" t="str">
        <f>HYPERLINK("https://twitter.com/portalsigamais")</f>
        <v>https://twitter.com/portalsigamais</v>
      </c>
      <c r="BP1412" s="2"/>
    </row>
    <row r="1413" spans="1:68" x14ac:dyDescent="0.25">
      <c r="A1413" s="63" t="s">
        <v>1431</v>
      </c>
      <c r="B1413" s="64"/>
      <c r="C1413" s="64"/>
      <c r="D1413" s="65"/>
      <c r="E1413" s="67"/>
      <c r="F1413" s="111" t="str">
        <f>HYPERLINK("https://pbs.twimg.com/profile_images/1590346845959733250/P8VaaITJ_normal.jpg")</f>
        <v>https://pbs.twimg.com/profile_images/1590346845959733250/P8VaaITJ_normal.jpg</v>
      </c>
      <c r="G1413" s="64"/>
      <c r="H1413" s="68"/>
      <c r="I1413" s="69"/>
      <c r="J1413" s="69"/>
      <c r="K1413" s="68" t="s">
        <v>30546</v>
      </c>
      <c r="L1413" s="72"/>
      <c r="M1413" s="73"/>
      <c r="N1413" s="73"/>
      <c r="O1413" s="74"/>
      <c r="P1413" s="75"/>
      <c r="Q1413" s="75"/>
      <c r="R1413" s="102"/>
      <c r="S1413" s="102"/>
      <c r="T1413" s="102"/>
      <c r="U1413" s="102"/>
      <c r="V1413" s="48"/>
      <c r="W1413" s="48"/>
      <c r="X1413" s="48"/>
      <c r="Y1413" s="48"/>
      <c r="Z1413" s="47"/>
      <c r="AA1413" s="70">
        <v>1413</v>
      </c>
      <c r="AB1413" s="70"/>
      <c r="AC1413" s="71"/>
      <c r="AD1413" s="86" t="s">
        <v>25007</v>
      </c>
      <c r="AE1413" s="94" t="s">
        <v>23496</v>
      </c>
      <c r="AF1413" s="86">
        <v>133</v>
      </c>
      <c r="AG1413" s="86">
        <v>104</v>
      </c>
      <c r="AH1413" s="86">
        <v>175</v>
      </c>
      <c r="AI1413" s="86">
        <v>0</v>
      </c>
      <c r="AJ1413" s="86">
        <v>34</v>
      </c>
      <c r="AK1413" s="86">
        <v>84</v>
      </c>
      <c r="AL1413" s="86" t="b">
        <v>0</v>
      </c>
      <c r="AM1413" s="89">
        <v>44874.591863425929</v>
      </c>
      <c r="AN1413" s="86"/>
      <c r="AO1413" s="86" t="s">
        <v>27707</v>
      </c>
      <c r="AP1413" s="96" t="str">
        <f>HYPERLINK("https://t.co/iG51nHJsLK")</f>
        <v>https://t.co/iG51nHJsLK</v>
      </c>
      <c r="AQ1413" s="96" t="str">
        <f>HYPERLINK("https://jlucastz.blogspot.com/")</f>
        <v>https://jlucastz.blogspot.com/</v>
      </c>
      <c r="AR1413" s="86" t="s">
        <v>28846</v>
      </c>
      <c r="AS1413" s="96" t="str">
        <f>HYPERLINK("https://t.co/JD1aTPd980")</f>
        <v>https://t.co/JD1aTPd980</v>
      </c>
      <c r="AT1413" s="96" t="str">
        <f>HYPERLINK("https://instagram.com/frasescomespiritualidade?igshid=MzNlNGNkZWQ4Mg==")</f>
        <v>https://instagram.com/frasescomespiritualidade?igshid=MzNlNGNkZWQ4Mg==</v>
      </c>
      <c r="AU1413" s="86" t="s">
        <v>29119</v>
      </c>
      <c r="AV1413" s="86"/>
      <c r="AW1413" s="96" t="str">
        <f>HYPERLINK("https://t.co/iG51nHJsLK")</f>
        <v>https://t.co/iG51nHJsLK</v>
      </c>
      <c r="AX1413" s="86" t="b">
        <v>0</v>
      </c>
      <c r="AY1413" s="86"/>
      <c r="AZ1413" s="86"/>
      <c r="BA1413" s="86" t="b">
        <v>0</v>
      </c>
      <c r="BB1413" s="86" t="b">
        <v>1</v>
      </c>
      <c r="BC1413" s="86" t="b">
        <v>1</v>
      </c>
      <c r="BD1413" s="86" t="b">
        <v>0</v>
      </c>
      <c r="BE1413" s="86" t="b">
        <v>0</v>
      </c>
      <c r="BF1413" s="86" t="b">
        <v>0</v>
      </c>
      <c r="BG1413" s="86" t="b">
        <v>0</v>
      </c>
      <c r="BH1413" s="86"/>
      <c r="BI1413" s="86"/>
      <c r="BJ1413" s="86" t="s">
        <v>29134</v>
      </c>
      <c r="BK1413" s="86" t="b">
        <v>0</v>
      </c>
      <c r="BL1413" s="86"/>
      <c r="BM1413" s="86" t="s">
        <v>66</v>
      </c>
      <c r="BN1413" s="86" t="s">
        <v>29136</v>
      </c>
      <c r="BO1413" s="96" t="str">
        <f>HYPERLINK("https://twitter.com/joselucasstz")</f>
        <v>https://twitter.com/joselucasstz</v>
      </c>
      <c r="BP1413" s="2"/>
    </row>
    <row r="1414" spans="1:68" x14ac:dyDescent="0.25">
      <c r="A1414" s="63" t="s">
        <v>1433</v>
      </c>
      <c r="B1414" s="64"/>
      <c r="C1414" s="64"/>
      <c r="D1414" s="65"/>
      <c r="E1414" s="67"/>
      <c r="F1414" s="111" t="str">
        <f>HYPERLINK("https://pbs.twimg.com/profile_images/1432189697623838723/MKysJp92_normal.jpg")</f>
        <v>https://pbs.twimg.com/profile_images/1432189697623838723/MKysJp92_normal.jpg</v>
      </c>
      <c r="G1414" s="64"/>
      <c r="H1414" s="68"/>
      <c r="I1414" s="69"/>
      <c r="J1414" s="69"/>
      <c r="K1414" s="68" t="s">
        <v>30547</v>
      </c>
      <c r="L1414" s="72"/>
      <c r="M1414" s="73"/>
      <c r="N1414" s="73"/>
      <c r="O1414" s="74"/>
      <c r="P1414" s="75"/>
      <c r="Q1414" s="75"/>
      <c r="R1414" s="102"/>
      <c r="S1414" s="102"/>
      <c r="T1414" s="102"/>
      <c r="U1414" s="102"/>
      <c r="V1414" s="48"/>
      <c r="W1414" s="48"/>
      <c r="X1414" s="48"/>
      <c r="Y1414" s="48"/>
      <c r="Z1414" s="47"/>
      <c r="AA1414" s="70">
        <v>1414</v>
      </c>
      <c r="AB1414" s="70"/>
      <c r="AC1414" s="71"/>
      <c r="AD1414" s="86" t="s">
        <v>25008</v>
      </c>
      <c r="AE1414" s="94" t="s">
        <v>25786</v>
      </c>
      <c r="AF1414" s="86">
        <v>737</v>
      </c>
      <c r="AG1414" s="86">
        <v>1182</v>
      </c>
      <c r="AH1414" s="86">
        <v>1768</v>
      </c>
      <c r="AI1414" s="86">
        <v>5</v>
      </c>
      <c r="AJ1414" s="86">
        <v>880</v>
      </c>
      <c r="AK1414" s="86">
        <v>141</v>
      </c>
      <c r="AL1414" s="86" t="b">
        <v>0</v>
      </c>
      <c r="AM1414" s="89">
        <v>39948.811921296299</v>
      </c>
      <c r="AN1414" s="86" t="s">
        <v>15234</v>
      </c>
      <c r="AO1414" s="86" t="s">
        <v>27708</v>
      </c>
      <c r="AP1414" s="96" t="str">
        <f>HYPERLINK("https://t.co/iXaPz3PrDh")</f>
        <v>https://t.co/iXaPz3PrDh</v>
      </c>
      <c r="AQ1414" s="96" t="str">
        <f>HYPERLINK("http://www.youtube.com/kleysller")</f>
        <v>http://www.youtube.com/kleysller</v>
      </c>
      <c r="AR1414" s="86" t="s">
        <v>28847</v>
      </c>
      <c r="AS1414" s="86"/>
      <c r="AT1414" s="86"/>
      <c r="AU1414" s="86"/>
      <c r="AV1414" s="86">
        <v>1.67871951014301E+18</v>
      </c>
      <c r="AW1414" s="96" t="str">
        <f>HYPERLINK("https://t.co/iXaPz3PrDh")</f>
        <v>https://t.co/iXaPz3PrDh</v>
      </c>
      <c r="AX1414" s="86" t="b">
        <v>1</v>
      </c>
      <c r="AY1414" s="86"/>
      <c r="AZ1414" s="86"/>
      <c r="BA1414" s="86" t="b">
        <v>1</v>
      </c>
      <c r="BB1414" s="86" t="b">
        <v>1</v>
      </c>
      <c r="BC1414" s="86" t="b">
        <v>1</v>
      </c>
      <c r="BD1414" s="86" t="b">
        <v>0</v>
      </c>
      <c r="BE1414" s="86" t="b">
        <v>0</v>
      </c>
      <c r="BF1414" s="86" t="b">
        <v>0</v>
      </c>
      <c r="BG1414" s="86" t="b">
        <v>0</v>
      </c>
      <c r="BH1414" s="96" t="str">
        <f>HYPERLINK("https://pbs.twimg.com/profile_banners/40312986/1680873867")</f>
        <v>https://pbs.twimg.com/profile_banners/40312986/1680873867</v>
      </c>
      <c r="BI1414" s="86"/>
      <c r="BJ1414" s="86" t="s">
        <v>29134</v>
      </c>
      <c r="BK1414" s="86" t="b">
        <v>0</v>
      </c>
      <c r="BL1414" s="86"/>
      <c r="BM1414" s="86" t="s">
        <v>66</v>
      </c>
      <c r="BN1414" s="86" t="s">
        <v>29136</v>
      </c>
      <c r="BO1414" s="96" t="str">
        <f>HYPERLINK("https://twitter.com/kleysller")</f>
        <v>https://twitter.com/kleysller</v>
      </c>
      <c r="BP1414" s="2"/>
    </row>
    <row r="1415" spans="1:68" x14ac:dyDescent="0.25">
      <c r="A1415" s="63" t="s">
        <v>1434</v>
      </c>
      <c r="B1415" s="64"/>
      <c r="C1415" s="64"/>
      <c r="D1415" s="65"/>
      <c r="E1415" s="67"/>
      <c r="F1415" s="111" t="str">
        <f>HYPERLINK("https://pbs.twimg.com/profile_images/1644098803828400132/q6k4j2QO_normal.jpg")</f>
        <v>https://pbs.twimg.com/profile_images/1644098803828400132/q6k4j2QO_normal.jpg</v>
      </c>
      <c r="G1415" s="64"/>
      <c r="H1415" s="68"/>
      <c r="I1415" s="69"/>
      <c r="J1415" s="69"/>
      <c r="K1415" s="68" t="s">
        <v>30548</v>
      </c>
      <c r="L1415" s="72"/>
      <c r="M1415" s="73"/>
      <c r="N1415" s="73"/>
      <c r="O1415" s="74"/>
      <c r="P1415" s="75"/>
      <c r="Q1415" s="75"/>
      <c r="R1415" s="102"/>
      <c r="S1415" s="102"/>
      <c r="T1415" s="102"/>
      <c r="U1415" s="102"/>
      <c r="V1415" s="48"/>
      <c r="W1415" s="48"/>
      <c r="X1415" s="48"/>
      <c r="Y1415" s="48"/>
      <c r="Z1415" s="47"/>
      <c r="AA1415" s="70">
        <v>1415</v>
      </c>
      <c r="AB1415" s="70"/>
      <c r="AC1415" s="71"/>
      <c r="AD1415" s="86" t="s">
        <v>25009</v>
      </c>
      <c r="AE1415" s="94" t="s">
        <v>25787</v>
      </c>
      <c r="AF1415" s="86">
        <v>50</v>
      </c>
      <c r="AG1415" s="86">
        <v>53</v>
      </c>
      <c r="AH1415" s="86">
        <v>284</v>
      </c>
      <c r="AI1415" s="86">
        <v>0</v>
      </c>
      <c r="AJ1415" s="86">
        <v>102</v>
      </c>
      <c r="AK1415" s="86">
        <v>66</v>
      </c>
      <c r="AL1415" s="86" t="b">
        <v>0</v>
      </c>
      <c r="AM1415" s="89">
        <v>40277.003506944442</v>
      </c>
      <c r="AN1415" s="86" t="s">
        <v>26358</v>
      </c>
      <c r="AO1415" s="86" t="s">
        <v>27709</v>
      </c>
      <c r="AP1415" s="96" t="str">
        <f>HYPERLINK("https://t.co/LrrxYPBqmK")</f>
        <v>https://t.co/LrrxYPBqmK</v>
      </c>
      <c r="AQ1415" s="96" t="str">
        <f>HYPERLINK("http://www.automasterbr.com")</f>
        <v>http://www.automasterbr.com</v>
      </c>
      <c r="AR1415" s="86" t="s">
        <v>28848</v>
      </c>
      <c r="AS1415" s="86"/>
      <c r="AT1415" s="86"/>
      <c r="AU1415" s="86"/>
      <c r="AV1415" s="86"/>
      <c r="AW1415" s="96" t="str">
        <f>HYPERLINK("https://t.co/LrrxYPBqmK")</f>
        <v>https://t.co/LrrxYPBqmK</v>
      </c>
      <c r="AX1415" s="86" t="b">
        <v>0</v>
      </c>
      <c r="AY1415" s="86"/>
      <c r="AZ1415" s="86"/>
      <c r="BA1415" s="86" t="b">
        <v>1</v>
      </c>
      <c r="BB1415" s="86" t="b">
        <v>1</v>
      </c>
      <c r="BC1415" s="86" t="b">
        <v>0</v>
      </c>
      <c r="BD1415" s="86" t="b">
        <v>0</v>
      </c>
      <c r="BE1415" s="86" t="b">
        <v>1</v>
      </c>
      <c r="BF1415" s="86" t="b">
        <v>0</v>
      </c>
      <c r="BG1415" s="86" t="b">
        <v>0</v>
      </c>
      <c r="BH1415" s="96" t="str">
        <f>HYPERLINK("https://pbs.twimg.com/profile_banners/130999630/1675139108")</f>
        <v>https://pbs.twimg.com/profile_banners/130999630/1675139108</v>
      </c>
      <c r="BI1415" s="86"/>
      <c r="BJ1415" s="86" t="s">
        <v>29134</v>
      </c>
      <c r="BK1415" s="86" t="b">
        <v>0</v>
      </c>
      <c r="BL1415" s="86"/>
      <c r="BM1415" s="86" t="s">
        <v>66</v>
      </c>
      <c r="BN1415" s="86" t="s">
        <v>29136</v>
      </c>
      <c r="BO1415" s="96" t="str">
        <f>HYPERLINK("https://twitter.com/oelberdomingos")</f>
        <v>https://twitter.com/oelberdomingos</v>
      </c>
      <c r="BP1415" s="2"/>
    </row>
    <row r="1416" spans="1:68" x14ac:dyDescent="0.25">
      <c r="A1416" s="63" t="s">
        <v>1812</v>
      </c>
      <c r="B1416" s="64"/>
      <c r="C1416" s="64"/>
      <c r="D1416" s="65"/>
      <c r="E1416" s="67"/>
      <c r="F1416" s="111" t="str">
        <f>HYPERLINK("https://pbs.twimg.com/profile_images/1617191347852656641/Eb_gIMxP_normal.jpg")</f>
        <v>https://pbs.twimg.com/profile_images/1617191347852656641/Eb_gIMxP_normal.jpg</v>
      </c>
      <c r="G1416" s="64"/>
      <c r="H1416" s="68"/>
      <c r="I1416" s="69"/>
      <c r="J1416" s="69"/>
      <c r="K1416" s="68" t="s">
        <v>30549</v>
      </c>
      <c r="L1416" s="72"/>
      <c r="M1416" s="73"/>
      <c r="N1416" s="73"/>
      <c r="O1416" s="74"/>
      <c r="P1416" s="75"/>
      <c r="Q1416" s="75"/>
      <c r="R1416" s="102"/>
      <c r="S1416" s="102"/>
      <c r="T1416" s="102"/>
      <c r="U1416" s="102"/>
      <c r="V1416" s="48"/>
      <c r="W1416" s="48"/>
      <c r="X1416" s="48"/>
      <c r="Y1416" s="48"/>
      <c r="Z1416" s="47"/>
      <c r="AA1416" s="70">
        <v>1416</v>
      </c>
      <c r="AB1416" s="70"/>
      <c r="AC1416" s="71"/>
      <c r="AD1416" s="86" t="s">
        <v>25010</v>
      </c>
      <c r="AE1416" s="94" t="s">
        <v>25788</v>
      </c>
      <c r="AF1416" s="86">
        <v>1483408</v>
      </c>
      <c r="AG1416" s="86">
        <v>116</v>
      </c>
      <c r="AH1416" s="86">
        <v>78426</v>
      </c>
      <c r="AI1416" s="86">
        <v>2190</v>
      </c>
      <c r="AJ1416" s="86">
        <v>4189</v>
      </c>
      <c r="AK1416" s="86">
        <v>36073</v>
      </c>
      <c r="AL1416" s="86" t="b">
        <v>0</v>
      </c>
      <c r="AM1416" s="89">
        <v>40053.564745370371</v>
      </c>
      <c r="AN1416" s="86" t="s">
        <v>15372</v>
      </c>
      <c r="AO1416" s="86" t="s">
        <v>27710</v>
      </c>
      <c r="AP1416" s="96" t="str">
        <f>HYPERLINK("https://t.co/hEejenqLEv")</f>
        <v>https://t.co/hEejenqLEv</v>
      </c>
      <c r="AQ1416" s="96" t="str">
        <f>HYPERLINK("http://www.botafogo.com.br")</f>
        <v>http://www.botafogo.com.br</v>
      </c>
      <c r="AR1416" s="86" t="s">
        <v>28849</v>
      </c>
      <c r="AS1416" s="86"/>
      <c r="AT1416" s="86"/>
      <c r="AU1416" s="86"/>
      <c r="AV1416" s="86"/>
      <c r="AW1416" s="96" t="str">
        <f>HYPERLINK("https://t.co/hEejenqLEv")</f>
        <v>https://t.co/hEejenqLEv</v>
      </c>
      <c r="AX1416" s="86" t="b">
        <v>1</v>
      </c>
      <c r="AY1416" s="86"/>
      <c r="AZ1416" s="86"/>
      <c r="BA1416" s="86" t="b">
        <v>0</v>
      </c>
      <c r="BB1416" s="86" t="b">
        <v>1</v>
      </c>
      <c r="BC1416" s="86" t="b">
        <v>0</v>
      </c>
      <c r="BD1416" s="86" t="b">
        <v>0</v>
      </c>
      <c r="BE1416" s="86" t="b">
        <v>0</v>
      </c>
      <c r="BF1416" s="86" t="b">
        <v>0</v>
      </c>
      <c r="BG1416" s="86" t="b">
        <v>0</v>
      </c>
      <c r="BH1416" s="96" t="str">
        <f>HYPERLINK("https://pbs.twimg.com/profile_banners/69588362/1690558684")</f>
        <v>https://pbs.twimg.com/profile_banners/69588362/1690558684</v>
      </c>
      <c r="BI1416" s="86"/>
      <c r="BJ1416" s="86" t="s">
        <v>29134</v>
      </c>
      <c r="BK1416" s="86" t="b">
        <v>0</v>
      </c>
      <c r="BL1416" s="86"/>
      <c r="BM1416" s="86" t="s">
        <v>65</v>
      </c>
      <c r="BN1416" s="86" t="s">
        <v>29136</v>
      </c>
      <c r="BO1416" s="96" t="str">
        <f>HYPERLINK("https://twitter.com/botafogo")</f>
        <v>https://twitter.com/botafogo</v>
      </c>
      <c r="BP1416" s="2"/>
    </row>
    <row r="1417" spans="1:68" x14ac:dyDescent="0.25">
      <c r="A1417" s="63" t="s">
        <v>1813</v>
      </c>
      <c r="B1417" s="64"/>
      <c r="C1417" s="64"/>
      <c r="D1417" s="65"/>
      <c r="E1417" s="67"/>
      <c r="F1417" s="111" t="str">
        <f>HYPERLINK("https://pbs.twimg.com/profile_images/1096110640945643525/q-ZqufGW_normal.png")</f>
        <v>https://pbs.twimg.com/profile_images/1096110640945643525/q-ZqufGW_normal.png</v>
      </c>
      <c r="G1417" s="64"/>
      <c r="H1417" s="68"/>
      <c r="I1417" s="69"/>
      <c r="J1417" s="69"/>
      <c r="K1417" s="68" t="s">
        <v>30550</v>
      </c>
      <c r="L1417" s="72"/>
      <c r="M1417" s="73"/>
      <c r="N1417" s="73"/>
      <c r="O1417" s="74"/>
      <c r="P1417" s="75"/>
      <c r="Q1417" s="75"/>
      <c r="R1417" s="102"/>
      <c r="S1417" s="102"/>
      <c r="T1417" s="102"/>
      <c r="U1417" s="102"/>
      <c r="V1417" s="48"/>
      <c r="W1417" s="48"/>
      <c r="X1417" s="48"/>
      <c r="Y1417" s="48"/>
      <c r="Z1417" s="47"/>
      <c r="AA1417" s="70">
        <v>1417</v>
      </c>
      <c r="AB1417" s="70"/>
      <c r="AC1417" s="71"/>
      <c r="AD1417" s="86" t="s">
        <v>25011</v>
      </c>
      <c r="AE1417" s="94" t="s">
        <v>25789</v>
      </c>
      <c r="AF1417" s="86">
        <v>808</v>
      </c>
      <c r="AG1417" s="86">
        <v>1664</v>
      </c>
      <c r="AH1417" s="86">
        <v>307</v>
      </c>
      <c r="AI1417" s="86">
        <v>7</v>
      </c>
      <c r="AJ1417" s="86">
        <v>69</v>
      </c>
      <c r="AK1417" s="86">
        <v>264</v>
      </c>
      <c r="AL1417" s="86" t="b">
        <v>0</v>
      </c>
      <c r="AM1417" s="89">
        <v>43427.461562500001</v>
      </c>
      <c r="AN1417" s="86"/>
      <c r="AO1417" s="86"/>
      <c r="AP1417" s="86"/>
      <c r="AQ1417" s="86"/>
      <c r="AR1417" s="86"/>
      <c r="AS1417" s="86"/>
      <c r="AT1417" s="86"/>
      <c r="AU1417" s="86"/>
      <c r="AV1417" s="86">
        <v>1.06700231667766E+18</v>
      </c>
      <c r="AW1417" s="86"/>
      <c r="AX1417" s="86" t="b">
        <v>0</v>
      </c>
      <c r="AY1417" s="86"/>
      <c r="AZ1417" s="86"/>
      <c r="BA1417" s="86" t="b">
        <v>0</v>
      </c>
      <c r="BB1417" s="86" t="b">
        <v>1</v>
      </c>
      <c r="BC1417" s="86" t="b">
        <v>1</v>
      </c>
      <c r="BD1417" s="86" t="b">
        <v>0</v>
      </c>
      <c r="BE1417" s="86" t="b">
        <v>0</v>
      </c>
      <c r="BF1417" s="86" t="b">
        <v>0</v>
      </c>
      <c r="BG1417" s="86" t="b">
        <v>0</v>
      </c>
      <c r="BH1417" s="96" t="str">
        <f>HYPERLINK("https://pbs.twimg.com/profile_banners/1065924082552717317/1567521794")</f>
        <v>https://pbs.twimg.com/profile_banners/1065924082552717317/1567521794</v>
      </c>
      <c r="BI1417" s="86"/>
      <c r="BJ1417" s="86" t="s">
        <v>29134</v>
      </c>
      <c r="BK1417" s="86" t="b">
        <v>0</v>
      </c>
      <c r="BL1417" s="86"/>
      <c r="BM1417" s="86" t="s">
        <v>65</v>
      </c>
      <c r="BN1417" s="86" t="s">
        <v>29136</v>
      </c>
      <c r="BO1417" s="96" t="str">
        <f>HYPERLINK("https://twitter.com/centelhabr")</f>
        <v>https://twitter.com/centelhabr</v>
      </c>
      <c r="BP1417" s="2"/>
    </row>
    <row r="1418" spans="1:68" x14ac:dyDescent="0.25">
      <c r="A1418" s="63" t="s">
        <v>1814</v>
      </c>
      <c r="B1418" s="64"/>
      <c r="C1418" s="64"/>
      <c r="D1418" s="65"/>
      <c r="E1418" s="67"/>
      <c r="F1418" s="111" t="str">
        <f>HYPERLINK("https://pbs.twimg.com/profile_images/1469310275367145474/U7WN5Akz_normal.jpg")</f>
        <v>https://pbs.twimg.com/profile_images/1469310275367145474/U7WN5Akz_normal.jpg</v>
      </c>
      <c r="G1418" s="64"/>
      <c r="H1418" s="68"/>
      <c r="I1418" s="69"/>
      <c r="J1418" s="69"/>
      <c r="K1418" s="68" t="s">
        <v>30551</v>
      </c>
      <c r="L1418" s="72"/>
      <c r="M1418" s="73"/>
      <c r="N1418" s="73"/>
      <c r="O1418" s="74"/>
      <c r="P1418" s="75"/>
      <c r="Q1418" s="75"/>
      <c r="R1418" s="102"/>
      <c r="S1418" s="102"/>
      <c r="T1418" s="102"/>
      <c r="U1418" s="102"/>
      <c r="V1418" s="48"/>
      <c r="W1418" s="48"/>
      <c r="X1418" s="48"/>
      <c r="Y1418" s="48"/>
      <c r="Z1418" s="47"/>
      <c r="AA1418" s="70">
        <v>1418</v>
      </c>
      <c r="AB1418" s="70"/>
      <c r="AC1418" s="71"/>
      <c r="AD1418" s="86" t="s">
        <v>25012</v>
      </c>
      <c r="AE1418" s="94" t="s">
        <v>25790</v>
      </c>
      <c r="AF1418" s="86">
        <v>893</v>
      </c>
      <c r="AG1418" s="86">
        <v>394</v>
      </c>
      <c r="AH1418" s="86">
        <v>858</v>
      </c>
      <c r="AI1418" s="86">
        <v>12</v>
      </c>
      <c r="AJ1418" s="86">
        <v>46</v>
      </c>
      <c r="AK1418" s="86">
        <v>491</v>
      </c>
      <c r="AL1418" s="86" t="b">
        <v>0</v>
      </c>
      <c r="AM1418" s="89">
        <v>41170.576793981483</v>
      </c>
      <c r="AN1418" s="86" t="s">
        <v>15234</v>
      </c>
      <c r="AO1418" s="86" t="s">
        <v>27711</v>
      </c>
      <c r="AP1418" s="96" t="str">
        <f>HYPERLINK("https://t.co/pJxXz87uQg")</f>
        <v>https://t.co/pJxXz87uQg</v>
      </c>
      <c r="AQ1418" s="96" t="str">
        <f>HYPERLINK("https://certi.org.br/")</f>
        <v>https://certi.org.br/</v>
      </c>
      <c r="AR1418" s="86" t="s">
        <v>28850</v>
      </c>
      <c r="AS1418" s="86"/>
      <c r="AT1418" s="86"/>
      <c r="AU1418" s="86"/>
      <c r="AV1418" s="86"/>
      <c r="AW1418" s="96" t="str">
        <f>HYPERLINK("https://t.co/pJxXz87uQg")</f>
        <v>https://t.co/pJxXz87uQg</v>
      </c>
      <c r="AX1418" s="86" t="b">
        <v>0</v>
      </c>
      <c r="AY1418" s="86"/>
      <c r="AZ1418" s="86"/>
      <c r="BA1418" s="86" t="b">
        <v>0</v>
      </c>
      <c r="BB1418" s="86" t="b">
        <v>1</v>
      </c>
      <c r="BC1418" s="86" t="b">
        <v>0</v>
      </c>
      <c r="BD1418" s="86" t="b">
        <v>0</v>
      </c>
      <c r="BE1418" s="86" t="b">
        <v>0</v>
      </c>
      <c r="BF1418" s="86" t="b">
        <v>0</v>
      </c>
      <c r="BG1418" s="86" t="b">
        <v>0</v>
      </c>
      <c r="BH1418" s="96" t="str">
        <f>HYPERLINK("https://pbs.twimg.com/profile_banners/831101382/1626980602")</f>
        <v>https://pbs.twimg.com/profile_banners/831101382/1626980602</v>
      </c>
      <c r="BI1418" s="86"/>
      <c r="BJ1418" s="86" t="s">
        <v>29134</v>
      </c>
      <c r="BK1418" s="86" t="b">
        <v>0</v>
      </c>
      <c r="BL1418" s="86"/>
      <c r="BM1418" s="86" t="s">
        <v>65</v>
      </c>
      <c r="BN1418" s="86" t="s">
        <v>29136</v>
      </c>
      <c r="BO1418" s="96" t="str">
        <f>HYPERLINK("https://twitter.com/fundacaocerti")</f>
        <v>https://twitter.com/fundacaocerti</v>
      </c>
      <c r="BP1418" s="2"/>
    </row>
    <row r="1419" spans="1:68" x14ac:dyDescent="0.25">
      <c r="A1419" s="63" t="s">
        <v>1815</v>
      </c>
      <c r="B1419" s="64"/>
      <c r="C1419" s="64"/>
      <c r="D1419" s="65"/>
      <c r="E1419" s="67"/>
      <c r="F1419" s="111" t="str">
        <f>HYPERLINK("https://pbs.twimg.com/profile_images/1542480252781330433/xzJlPdvv_normal.jpg")</f>
        <v>https://pbs.twimg.com/profile_images/1542480252781330433/xzJlPdvv_normal.jpg</v>
      </c>
      <c r="G1419" s="64"/>
      <c r="H1419" s="68"/>
      <c r="I1419" s="69"/>
      <c r="J1419" s="69"/>
      <c r="K1419" s="68" t="s">
        <v>30552</v>
      </c>
      <c r="L1419" s="72"/>
      <c r="M1419" s="73"/>
      <c r="N1419" s="73"/>
      <c r="O1419" s="74"/>
      <c r="P1419" s="75"/>
      <c r="Q1419" s="75"/>
      <c r="R1419" s="102"/>
      <c r="S1419" s="102"/>
      <c r="T1419" s="102"/>
      <c r="U1419" s="102"/>
      <c r="V1419" s="48"/>
      <c r="W1419" s="48"/>
      <c r="X1419" s="48"/>
      <c r="Y1419" s="48"/>
      <c r="Z1419" s="47"/>
      <c r="AA1419" s="70">
        <v>1419</v>
      </c>
      <c r="AB1419" s="70"/>
      <c r="AC1419" s="71"/>
      <c r="AD1419" s="86" t="s">
        <v>25013</v>
      </c>
      <c r="AE1419" s="94" t="s">
        <v>25791</v>
      </c>
      <c r="AF1419" s="86">
        <v>15984</v>
      </c>
      <c r="AG1419" s="86">
        <v>54</v>
      </c>
      <c r="AH1419" s="86">
        <v>19982</v>
      </c>
      <c r="AI1419" s="86">
        <v>75</v>
      </c>
      <c r="AJ1419" s="86">
        <v>1701</v>
      </c>
      <c r="AK1419" s="86">
        <v>693</v>
      </c>
      <c r="AL1419" s="86" t="b">
        <v>0</v>
      </c>
      <c r="AM1419" s="89">
        <v>40673.554502314815</v>
      </c>
      <c r="AN1419" s="86" t="s">
        <v>26359</v>
      </c>
      <c r="AO1419" s="86" t="s">
        <v>27712</v>
      </c>
      <c r="AP1419" s="96" t="str">
        <f>HYPERLINK("https://t.co/vZ0jzLt0Gx")</f>
        <v>https://t.co/vZ0jzLt0Gx</v>
      </c>
      <c r="AQ1419" s="96" t="str">
        <f>HYPERLINK("http://www.banrisul.com.br")</f>
        <v>http://www.banrisul.com.br</v>
      </c>
      <c r="AR1419" s="86" t="s">
        <v>28851</v>
      </c>
      <c r="AS1419" s="86"/>
      <c r="AT1419" s="86"/>
      <c r="AU1419" s="86"/>
      <c r="AV1419" s="86"/>
      <c r="AW1419" s="96" t="str">
        <f>HYPERLINK("https://t.co/vZ0jzLt0Gx")</f>
        <v>https://t.co/vZ0jzLt0Gx</v>
      </c>
      <c r="AX1419" s="86" t="b">
        <v>0</v>
      </c>
      <c r="AY1419" s="86"/>
      <c r="AZ1419" s="86"/>
      <c r="BA1419" s="86" t="b">
        <v>1</v>
      </c>
      <c r="BB1419" s="86" t="b">
        <v>1</v>
      </c>
      <c r="BC1419" s="86" t="b">
        <v>0</v>
      </c>
      <c r="BD1419" s="86" t="b">
        <v>0</v>
      </c>
      <c r="BE1419" s="86" t="b">
        <v>1</v>
      </c>
      <c r="BF1419" s="86" t="b">
        <v>0</v>
      </c>
      <c r="BG1419" s="86" t="b">
        <v>0</v>
      </c>
      <c r="BH1419" s="96" t="str">
        <f>HYPERLINK("https://pbs.twimg.com/profile_banners/296257613/1653311793")</f>
        <v>https://pbs.twimg.com/profile_banners/296257613/1653311793</v>
      </c>
      <c r="BI1419" s="86"/>
      <c r="BJ1419" s="86" t="s">
        <v>29134</v>
      </c>
      <c r="BK1419" s="86" t="b">
        <v>0</v>
      </c>
      <c r="BL1419" s="86"/>
      <c r="BM1419" s="86" t="s">
        <v>65</v>
      </c>
      <c r="BN1419" s="86" t="s">
        <v>29136</v>
      </c>
      <c r="BO1419" s="96" t="str">
        <f>HYPERLINK("https://twitter.com/banrisul")</f>
        <v>https://twitter.com/banrisul</v>
      </c>
      <c r="BP1419" s="2"/>
    </row>
    <row r="1420" spans="1:68" x14ac:dyDescent="0.25">
      <c r="A1420" s="63" t="s">
        <v>1816</v>
      </c>
      <c r="B1420" s="64"/>
      <c r="C1420" s="64"/>
      <c r="D1420" s="65"/>
      <c r="E1420" s="67"/>
      <c r="F1420" s="111" t="str">
        <f>HYPERLINK("https://pbs.twimg.com/profile_images/953606865665101824/wCPUrcyN_normal.jpg")</f>
        <v>https://pbs.twimg.com/profile_images/953606865665101824/wCPUrcyN_normal.jpg</v>
      </c>
      <c r="G1420" s="64"/>
      <c r="H1420" s="68"/>
      <c r="I1420" s="69"/>
      <c r="J1420" s="69"/>
      <c r="K1420" s="68" t="s">
        <v>30553</v>
      </c>
      <c r="L1420" s="72"/>
      <c r="M1420" s="73"/>
      <c r="N1420" s="73"/>
      <c r="O1420" s="74"/>
      <c r="P1420" s="75"/>
      <c r="Q1420" s="75"/>
      <c r="R1420" s="102"/>
      <c r="S1420" s="102"/>
      <c r="T1420" s="102"/>
      <c r="U1420" s="102"/>
      <c r="V1420" s="48"/>
      <c r="W1420" s="48"/>
      <c r="X1420" s="48"/>
      <c r="Y1420" s="48"/>
      <c r="Z1420" s="47"/>
      <c r="AA1420" s="70">
        <v>1420</v>
      </c>
      <c r="AB1420" s="70"/>
      <c r="AC1420" s="71"/>
      <c r="AD1420" s="86" t="s">
        <v>1816</v>
      </c>
      <c r="AE1420" s="94" t="s">
        <v>25792</v>
      </c>
      <c r="AF1420" s="86">
        <v>3083</v>
      </c>
      <c r="AG1420" s="86">
        <v>11</v>
      </c>
      <c r="AH1420" s="86">
        <v>2947</v>
      </c>
      <c r="AI1420" s="86">
        <v>32</v>
      </c>
      <c r="AJ1420" s="86">
        <v>418</v>
      </c>
      <c r="AK1420" s="86">
        <v>433</v>
      </c>
      <c r="AL1420" s="86" t="b">
        <v>0</v>
      </c>
      <c r="AM1420" s="89">
        <v>40588.509247685186</v>
      </c>
      <c r="AN1420" s="86" t="s">
        <v>26360</v>
      </c>
      <c r="AO1420" s="86" t="s">
        <v>27713</v>
      </c>
      <c r="AP1420" s="96" t="str">
        <f>HYPERLINK("https://t.co/ldNtCwJzH5")</f>
        <v>https://t.co/ldNtCwJzH5</v>
      </c>
      <c r="AQ1420" s="96" t="str">
        <f>HYPERLINK("http://www.sofisadireto.com.br")</f>
        <v>http://www.sofisadireto.com.br</v>
      </c>
      <c r="AR1420" s="86" t="s">
        <v>28852</v>
      </c>
      <c r="AS1420" s="86"/>
      <c r="AT1420" s="86"/>
      <c r="AU1420" s="86"/>
      <c r="AV1420" s="86"/>
      <c r="AW1420" s="96" t="str">
        <f>HYPERLINK("https://t.co/ldNtCwJzH5")</f>
        <v>https://t.co/ldNtCwJzH5</v>
      </c>
      <c r="AX1420" s="86" t="b">
        <v>0</v>
      </c>
      <c r="AY1420" s="86"/>
      <c r="AZ1420" s="86"/>
      <c r="BA1420" s="86" t="b">
        <v>1</v>
      </c>
      <c r="BB1420" s="86" t="b">
        <v>0</v>
      </c>
      <c r="BC1420" s="86" t="b">
        <v>0</v>
      </c>
      <c r="BD1420" s="86" t="b">
        <v>0</v>
      </c>
      <c r="BE1420" s="86" t="b">
        <v>0</v>
      </c>
      <c r="BF1420" s="86" t="b">
        <v>0</v>
      </c>
      <c r="BG1420" s="86" t="b">
        <v>0</v>
      </c>
      <c r="BH1420" s="96" t="str">
        <f>HYPERLINK("https://pbs.twimg.com/profile_banners/252063642/1686946286")</f>
        <v>https://pbs.twimg.com/profile_banners/252063642/1686946286</v>
      </c>
      <c r="BI1420" s="86"/>
      <c r="BJ1420" s="86" t="s">
        <v>29134</v>
      </c>
      <c r="BK1420" s="86" t="b">
        <v>0</v>
      </c>
      <c r="BL1420" s="86"/>
      <c r="BM1420" s="86" t="s">
        <v>65</v>
      </c>
      <c r="BN1420" s="86" t="s">
        <v>29136</v>
      </c>
      <c r="BO1420" s="96" t="str">
        <f>HYPERLINK("https://twitter.com/sofisadireto")</f>
        <v>https://twitter.com/sofisadireto</v>
      </c>
      <c r="BP1420" s="2"/>
    </row>
    <row r="1421" spans="1:68" x14ac:dyDescent="0.25">
      <c r="A1421" s="63" t="s">
        <v>1817</v>
      </c>
      <c r="B1421" s="64"/>
      <c r="C1421" s="64"/>
      <c r="D1421" s="65"/>
      <c r="E1421" s="67"/>
      <c r="F1421" s="111" t="str">
        <f>HYPERLINK("https://pbs.twimg.com/profile_images/1668979310793826305/r7StgySZ_normal.jpg")</f>
        <v>https://pbs.twimg.com/profile_images/1668979310793826305/r7StgySZ_normal.jpg</v>
      </c>
      <c r="G1421" s="64"/>
      <c r="H1421" s="68"/>
      <c r="I1421" s="69"/>
      <c r="J1421" s="69"/>
      <c r="K1421" s="68" t="s">
        <v>30554</v>
      </c>
      <c r="L1421" s="72"/>
      <c r="M1421" s="73"/>
      <c r="N1421" s="73"/>
      <c r="O1421" s="74"/>
      <c r="P1421" s="75"/>
      <c r="Q1421" s="75"/>
      <c r="R1421" s="102"/>
      <c r="S1421" s="102"/>
      <c r="T1421" s="102"/>
      <c r="U1421" s="102"/>
      <c r="V1421" s="48"/>
      <c r="W1421" s="48"/>
      <c r="X1421" s="48"/>
      <c r="Y1421" s="48"/>
      <c r="Z1421" s="47"/>
      <c r="AA1421" s="70">
        <v>1421</v>
      </c>
      <c r="AB1421" s="70"/>
      <c r="AC1421" s="71"/>
      <c r="AD1421" s="86" t="s">
        <v>25014</v>
      </c>
      <c r="AE1421" s="94" t="s">
        <v>25793</v>
      </c>
      <c r="AF1421" s="86">
        <v>1495</v>
      </c>
      <c r="AG1421" s="86">
        <v>14</v>
      </c>
      <c r="AH1421" s="86">
        <v>2891</v>
      </c>
      <c r="AI1421" s="86">
        <v>9</v>
      </c>
      <c r="AJ1421" s="86">
        <v>1108</v>
      </c>
      <c r="AK1421" s="86">
        <v>1079</v>
      </c>
      <c r="AL1421" s="86" t="b">
        <v>0</v>
      </c>
      <c r="AM1421" s="89">
        <v>40019.672175925924</v>
      </c>
      <c r="AN1421" s="86" t="s">
        <v>15234</v>
      </c>
      <c r="AO1421" s="86" t="s">
        <v>27714</v>
      </c>
      <c r="AP1421" s="96" t="str">
        <f>HYPERLINK("https://t.co/rXAK03CLYF")</f>
        <v>https://t.co/rXAK03CLYF</v>
      </c>
      <c r="AQ1421" s="96" t="str">
        <f>HYPERLINK("https://beacons.ai/cresol.coop")</f>
        <v>https://beacons.ai/cresol.coop</v>
      </c>
      <c r="AR1421" s="86" t="s">
        <v>28853</v>
      </c>
      <c r="AS1421" s="86"/>
      <c r="AT1421" s="86"/>
      <c r="AU1421" s="86"/>
      <c r="AV1421" s="86"/>
      <c r="AW1421" s="96" t="str">
        <f>HYPERLINK("https://t.co/rXAK03CLYF")</f>
        <v>https://t.co/rXAK03CLYF</v>
      </c>
      <c r="AX1421" s="86" t="b">
        <v>0</v>
      </c>
      <c r="AY1421" s="86"/>
      <c r="AZ1421" s="86"/>
      <c r="BA1421" s="86" t="b">
        <v>0</v>
      </c>
      <c r="BB1421" s="86" t="b">
        <v>1</v>
      </c>
      <c r="BC1421" s="86" t="b">
        <v>0</v>
      </c>
      <c r="BD1421" s="86" t="b">
        <v>0</v>
      </c>
      <c r="BE1421" s="86" t="b">
        <v>1</v>
      </c>
      <c r="BF1421" s="86" t="b">
        <v>0</v>
      </c>
      <c r="BG1421" s="86" t="b">
        <v>0</v>
      </c>
      <c r="BH1421" s="96" t="str">
        <f>HYPERLINK("https://pbs.twimg.com/profile_banners/60087925/1685275764")</f>
        <v>https://pbs.twimg.com/profile_banners/60087925/1685275764</v>
      </c>
      <c r="BI1421" s="86"/>
      <c r="BJ1421" s="86" t="s">
        <v>29134</v>
      </c>
      <c r="BK1421" s="86" t="b">
        <v>0</v>
      </c>
      <c r="BL1421" s="86"/>
      <c r="BM1421" s="86" t="s">
        <v>65</v>
      </c>
      <c r="BN1421" s="86" t="s">
        <v>29136</v>
      </c>
      <c r="BO1421" s="96" t="str">
        <f>HYPERLINK("https://twitter.com/cresol_coop")</f>
        <v>https://twitter.com/cresol_coop</v>
      </c>
      <c r="BP1421" s="2"/>
    </row>
    <row r="1422" spans="1:68" x14ac:dyDescent="0.25">
      <c r="A1422" s="63" t="s">
        <v>1818</v>
      </c>
      <c r="B1422" s="64"/>
      <c r="C1422" s="64"/>
      <c r="D1422" s="65"/>
      <c r="E1422" s="67"/>
      <c r="F1422" s="111" t="str">
        <f>HYPERLINK("https://pbs.twimg.com/profile_images/936905663967412224/tlK8E2bV_normal.jpg")</f>
        <v>https://pbs.twimg.com/profile_images/936905663967412224/tlK8E2bV_normal.jpg</v>
      </c>
      <c r="G1422" s="64"/>
      <c r="H1422" s="68"/>
      <c r="I1422" s="69"/>
      <c r="J1422" s="69"/>
      <c r="K1422" s="68" t="s">
        <v>30555</v>
      </c>
      <c r="L1422" s="72"/>
      <c r="M1422" s="73"/>
      <c r="N1422" s="73"/>
      <c r="O1422" s="74"/>
      <c r="P1422" s="75"/>
      <c r="Q1422" s="75"/>
      <c r="R1422" s="102"/>
      <c r="S1422" s="102"/>
      <c r="T1422" s="102"/>
      <c r="U1422" s="102"/>
      <c r="V1422" s="48"/>
      <c r="W1422" s="48"/>
      <c r="X1422" s="48"/>
      <c r="Y1422" s="48"/>
      <c r="Z1422" s="47"/>
      <c r="AA1422" s="70">
        <v>1422</v>
      </c>
      <c r="AB1422" s="70"/>
      <c r="AC1422" s="71"/>
      <c r="AD1422" s="86" t="s">
        <v>25015</v>
      </c>
      <c r="AE1422" s="94" t="s">
        <v>25794</v>
      </c>
      <c r="AF1422" s="86">
        <v>2743</v>
      </c>
      <c r="AG1422" s="86">
        <v>509</v>
      </c>
      <c r="AH1422" s="86">
        <v>5451</v>
      </c>
      <c r="AI1422" s="86">
        <v>49</v>
      </c>
      <c r="AJ1422" s="86">
        <v>53</v>
      </c>
      <c r="AK1422" s="86">
        <v>207</v>
      </c>
      <c r="AL1422" s="86" t="b">
        <v>0</v>
      </c>
      <c r="AM1422" s="89">
        <v>40064.585231481484</v>
      </c>
      <c r="AN1422" s="86" t="s">
        <v>26077</v>
      </c>
      <c r="AO1422" s="86" t="s">
        <v>27715</v>
      </c>
      <c r="AP1422" s="96" t="str">
        <f>HYPERLINK("https://t.co/0grGRDne6k")</f>
        <v>https://t.co/0grGRDne6k</v>
      </c>
      <c r="AQ1422" s="96" t="str">
        <f>HYPERLINK("http://www.acate.com.br")</f>
        <v>http://www.acate.com.br</v>
      </c>
      <c r="AR1422" s="86" t="s">
        <v>28854</v>
      </c>
      <c r="AS1422" s="86"/>
      <c r="AT1422" s="86"/>
      <c r="AU1422" s="86"/>
      <c r="AV1422" s="86">
        <v>1.4694081586994601E+18</v>
      </c>
      <c r="AW1422" s="96" t="str">
        <f>HYPERLINK("https://t.co/0grGRDne6k")</f>
        <v>https://t.co/0grGRDne6k</v>
      </c>
      <c r="AX1422" s="86" t="b">
        <v>0</v>
      </c>
      <c r="AY1422" s="86"/>
      <c r="AZ1422" s="86"/>
      <c r="BA1422" s="86" t="b">
        <v>0</v>
      </c>
      <c r="BB1422" s="86" t="b">
        <v>1</v>
      </c>
      <c r="BC1422" s="86" t="b">
        <v>0</v>
      </c>
      <c r="BD1422" s="86" t="b">
        <v>0</v>
      </c>
      <c r="BE1422" s="86" t="b">
        <v>0</v>
      </c>
      <c r="BF1422" s="86" t="b">
        <v>0</v>
      </c>
      <c r="BG1422" s="86" t="b">
        <v>0</v>
      </c>
      <c r="BH1422" s="96" t="str">
        <f>HYPERLINK("https://pbs.twimg.com/profile_banners/72559332/1512210729")</f>
        <v>https://pbs.twimg.com/profile_banners/72559332/1512210729</v>
      </c>
      <c r="BI1422" s="86"/>
      <c r="BJ1422" s="86" t="s">
        <v>29134</v>
      </c>
      <c r="BK1422" s="86" t="b">
        <v>0</v>
      </c>
      <c r="BL1422" s="86"/>
      <c r="BM1422" s="86" t="s">
        <v>65</v>
      </c>
      <c r="BN1422" s="86" t="s">
        <v>29136</v>
      </c>
      <c r="BO1422" s="96" t="str">
        <f>HYPERLINK("https://twitter.com/acatesc")</f>
        <v>https://twitter.com/acatesc</v>
      </c>
      <c r="BP1422" s="2"/>
    </row>
    <row r="1423" spans="1:68" x14ac:dyDescent="0.25">
      <c r="A1423" s="63" t="s">
        <v>1437</v>
      </c>
      <c r="B1423" s="64"/>
      <c r="C1423" s="64"/>
      <c r="D1423" s="65"/>
      <c r="E1423" s="67"/>
      <c r="F1423" s="111" t="str">
        <f>HYPERLINK("https://pbs.twimg.com/profile_images/1674385210312466432/jomNqvuX_normal.jpg")</f>
        <v>https://pbs.twimg.com/profile_images/1674385210312466432/jomNqvuX_normal.jpg</v>
      </c>
      <c r="G1423" s="64"/>
      <c r="H1423" s="68"/>
      <c r="I1423" s="69"/>
      <c r="J1423" s="69"/>
      <c r="K1423" s="68" t="s">
        <v>30556</v>
      </c>
      <c r="L1423" s="72"/>
      <c r="M1423" s="73"/>
      <c r="N1423" s="73"/>
      <c r="O1423" s="74"/>
      <c r="P1423" s="75"/>
      <c r="Q1423" s="75"/>
      <c r="R1423" s="102"/>
      <c r="S1423" s="102"/>
      <c r="T1423" s="102"/>
      <c r="U1423" s="102"/>
      <c r="V1423" s="48"/>
      <c r="W1423" s="48"/>
      <c r="X1423" s="48"/>
      <c r="Y1423" s="48"/>
      <c r="Z1423" s="47"/>
      <c r="AA1423" s="70">
        <v>1423</v>
      </c>
      <c r="AB1423" s="70"/>
      <c r="AC1423" s="71"/>
      <c r="AD1423" s="86" t="s">
        <v>25016</v>
      </c>
      <c r="AE1423" s="94" t="s">
        <v>25795</v>
      </c>
      <c r="AF1423" s="86">
        <v>20444</v>
      </c>
      <c r="AG1423" s="86">
        <v>101</v>
      </c>
      <c r="AH1423" s="86">
        <v>40337</v>
      </c>
      <c r="AI1423" s="86">
        <v>145</v>
      </c>
      <c r="AJ1423" s="86">
        <v>2993</v>
      </c>
      <c r="AK1423" s="86">
        <v>18563</v>
      </c>
      <c r="AL1423" s="86" t="b">
        <v>0</v>
      </c>
      <c r="AM1423" s="89">
        <v>40093.78701388889</v>
      </c>
      <c r="AN1423" s="86" t="s">
        <v>26349</v>
      </c>
      <c r="AO1423" s="86" t="s">
        <v>27716</v>
      </c>
      <c r="AP1423" s="96" t="str">
        <f>HYPERLINK("https://t.co/9J2F42Ree9")</f>
        <v>https://t.co/9J2F42Ree9</v>
      </c>
      <c r="AQ1423" s="96" t="str">
        <f>HYPERLINK("http://ufrn.br")</f>
        <v>http://ufrn.br</v>
      </c>
      <c r="AR1423" s="86" t="s">
        <v>8540</v>
      </c>
      <c r="AS1423" s="86"/>
      <c r="AT1423" s="86"/>
      <c r="AU1423" s="86"/>
      <c r="AV1423" s="86">
        <v>1.66971467715522E+18</v>
      </c>
      <c r="AW1423" s="96" t="str">
        <f>HYPERLINK("https://t.co/9J2F42Ree9")</f>
        <v>https://t.co/9J2F42Ree9</v>
      </c>
      <c r="AX1423" s="86" t="b">
        <v>0</v>
      </c>
      <c r="AY1423" s="86"/>
      <c r="AZ1423" s="86"/>
      <c r="BA1423" s="86" t="b">
        <v>0</v>
      </c>
      <c r="BB1423" s="86" t="b">
        <v>1</v>
      </c>
      <c r="BC1423" s="86" t="b">
        <v>0</v>
      </c>
      <c r="BD1423" s="86" t="b">
        <v>0</v>
      </c>
      <c r="BE1423" s="86" t="b">
        <v>0</v>
      </c>
      <c r="BF1423" s="86" t="b">
        <v>0</v>
      </c>
      <c r="BG1423" s="86" t="b">
        <v>0</v>
      </c>
      <c r="BH1423" s="96" t="str">
        <f>HYPERLINK("https://pbs.twimg.com/profile_banners/80650908/1652890751")</f>
        <v>https://pbs.twimg.com/profile_banners/80650908/1652890751</v>
      </c>
      <c r="BI1423" s="86"/>
      <c r="BJ1423" s="86" t="s">
        <v>29134</v>
      </c>
      <c r="BK1423" s="86" t="b">
        <v>0</v>
      </c>
      <c r="BL1423" s="86"/>
      <c r="BM1423" s="86" t="s">
        <v>66</v>
      </c>
      <c r="BN1423" s="86" t="s">
        <v>29136</v>
      </c>
      <c r="BO1423" s="96" t="str">
        <f>HYPERLINK("https://twitter.com/ufrnbr")</f>
        <v>https://twitter.com/ufrnbr</v>
      </c>
      <c r="BP1423" s="2"/>
    </row>
    <row r="1424" spans="1:68" x14ac:dyDescent="0.25">
      <c r="A1424" s="63" t="s">
        <v>1438</v>
      </c>
      <c r="B1424" s="64"/>
      <c r="C1424" s="64"/>
      <c r="D1424" s="65"/>
      <c r="E1424" s="67"/>
      <c r="F1424" s="111" t="str">
        <f>HYPERLINK("https://pbs.twimg.com/profile_images/1541487025689337856/QgAhBVGF_normal.jpg")</f>
        <v>https://pbs.twimg.com/profile_images/1541487025689337856/QgAhBVGF_normal.jpg</v>
      </c>
      <c r="G1424" s="64"/>
      <c r="H1424" s="68"/>
      <c r="I1424" s="69"/>
      <c r="J1424" s="69"/>
      <c r="K1424" s="68" t="s">
        <v>30557</v>
      </c>
      <c r="L1424" s="72"/>
      <c r="M1424" s="73"/>
      <c r="N1424" s="73"/>
      <c r="O1424" s="74"/>
      <c r="P1424" s="75"/>
      <c r="Q1424" s="75"/>
      <c r="R1424" s="102"/>
      <c r="S1424" s="102"/>
      <c r="T1424" s="102"/>
      <c r="U1424" s="102"/>
      <c r="V1424" s="48"/>
      <c r="W1424" s="48"/>
      <c r="X1424" s="48"/>
      <c r="Y1424" s="48"/>
      <c r="Z1424" s="47"/>
      <c r="AA1424" s="70">
        <v>1424</v>
      </c>
      <c r="AB1424" s="70"/>
      <c r="AC1424" s="71"/>
      <c r="AD1424" s="86" t="s">
        <v>1438</v>
      </c>
      <c r="AE1424" s="94" t="s">
        <v>23497</v>
      </c>
      <c r="AF1424" s="86">
        <v>587</v>
      </c>
      <c r="AG1424" s="86">
        <v>1287</v>
      </c>
      <c r="AH1424" s="86">
        <v>1289</v>
      </c>
      <c r="AI1424" s="86">
        <v>1</v>
      </c>
      <c r="AJ1424" s="86">
        <v>1692</v>
      </c>
      <c r="AK1424" s="86">
        <v>80</v>
      </c>
      <c r="AL1424" s="86" t="b">
        <v>0</v>
      </c>
      <c r="AM1424" s="89">
        <v>44683.094259259262</v>
      </c>
      <c r="AN1424" s="86" t="s">
        <v>15246</v>
      </c>
      <c r="AO1424" s="86" t="s">
        <v>27717</v>
      </c>
      <c r="AP1424" s="96" t="str">
        <f>HYPERLINK("https://t.co/IWmcUiRd3l")</f>
        <v>https://t.co/IWmcUiRd3l</v>
      </c>
      <c r="AQ1424" s="96" t="str">
        <f>HYPERLINK("http://frxmidia.rds.land/lead")</f>
        <v>http://frxmidia.rds.land/lead</v>
      </c>
      <c r="AR1424" s="86" t="s">
        <v>28855</v>
      </c>
      <c r="AS1424" s="86"/>
      <c r="AT1424" s="86"/>
      <c r="AU1424" s="86"/>
      <c r="AV1424" s="86">
        <v>1.7056396035021901E+18</v>
      </c>
      <c r="AW1424" s="96" t="str">
        <f>HYPERLINK("https://t.co/IWmcUiRd3l")</f>
        <v>https://t.co/IWmcUiRd3l</v>
      </c>
      <c r="AX1424" s="86" t="b">
        <v>1</v>
      </c>
      <c r="AY1424" s="86"/>
      <c r="AZ1424" s="86"/>
      <c r="BA1424" s="86" t="b">
        <v>0</v>
      </c>
      <c r="BB1424" s="86" t="b">
        <v>1</v>
      </c>
      <c r="BC1424" s="86" t="b">
        <v>1</v>
      </c>
      <c r="BD1424" s="86" t="b">
        <v>0</v>
      </c>
      <c r="BE1424" s="86" t="b">
        <v>1</v>
      </c>
      <c r="BF1424" s="86" t="b">
        <v>0</v>
      </c>
      <c r="BG1424" s="86" t="b">
        <v>0</v>
      </c>
      <c r="BH1424" s="96" t="str">
        <f>HYPERLINK("https://pbs.twimg.com/profile_banners/1520950079087128577/1651458552")</f>
        <v>https://pbs.twimg.com/profile_banners/1520950079087128577/1651458552</v>
      </c>
      <c r="BI1424" s="86"/>
      <c r="BJ1424" s="86" t="s">
        <v>29134</v>
      </c>
      <c r="BK1424" s="86" t="b">
        <v>0</v>
      </c>
      <c r="BL1424" s="86"/>
      <c r="BM1424" s="86" t="s">
        <v>66</v>
      </c>
      <c r="BN1424" s="86" t="s">
        <v>29136</v>
      </c>
      <c r="BO1424" s="96" t="str">
        <f>HYPERLINK("https://twitter.com/ricardoutsider")</f>
        <v>https://twitter.com/ricardoutsider</v>
      </c>
      <c r="BP1424" s="2"/>
    </row>
    <row r="1425" spans="1:68" x14ac:dyDescent="0.25">
      <c r="A1425" s="63" t="s">
        <v>1439</v>
      </c>
      <c r="B1425" s="64"/>
      <c r="C1425" s="64"/>
      <c r="D1425" s="65"/>
      <c r="E1425" s="67"/>
      <c r="F1425" s="111" t="str">
        <f>HYPERLINK("https://pbs.twimg.com/profile_images/1689127512071094272/l31B1Bfq_normal.jpg")</f>
        <v>https://pbs.twimg.com/profile_images/1689127512071094272/l31B1Bfq_normal.jpg</v>
      </c>
      <c r="G1425" s="64"/>
      <c r="H1425" s="68"/>
      <c r="I1425" s="69"/>
      <c r="J1425" s="69"/>
      <c r="K1425" s="68" t="s">
        <v>30558</v>
      </c>
      <c r="L1425" s="72"/>
      <c r="M1425" s="73"/>
      <c r="N1425" s="73"/>
      <c r="O1425" s="74"/>
      <c r="P1425" s="75"/>
      <c r="Q1425" s="75"/>
      <c r="R1425" s="102"/>
      <c r="S1425" s="102"/>
      <c r="T1425" s="102"/>
      <c r="U1425" s="102"/>
      <c r="V1425" s="48"/>
      <c r="W1425" s="48"/>
      <c r="X1425" s="48"/>
      <c r="Y1425" s="48"/>
      <c r="Z1425" s="47"/>
      <c r="AA1425" s="70">
        <v>1425</v>
      </c>
      <c r="AB1425" s="70"/>
      <c r="AC1425" s="71"/>
      <c r="AD1425" s="86" t="s">
        <v>25017</v>
      </c>
      <c r="AE1425" s="94" t="s">
        <v>25796</v>
      </c>
      <c r="AF1425" s="86">
        <v>2486</v>
      </c>
      <c r="AG1425" s="86">
        <v>2424</v>
      </c>
      <c r="AH1425" s="86">
        <v>16230</v>
      </c>
      <c r="AI1425" s="86">
        <v>10</v>
      </c>
      <c r="AJ1425" s="86">
        <v>18628</v>
      </c>
      <c r="AK1425" s="86">
        <v>1742</v>
      </c>
      <c r="AL1425" s="86" t="b">
        <v>0</v>
      </c>
      <c r="AM1425" s="89">
        <v>40454.1409375</v>
      </c>
      <c r="AN1425" s="86" t="s">
        <v>26361</v>
      </c>
      <c r="AO1425" s="86" t="s">
        <v>27718</v>
      </c>
      <c r="AP1425" s="96" t="str">
        <f>HYPERLINK("https://t.co/DFQgGnXhx9")</f>
        <v>https://t.co/DFQgGnXhx9</v>
      </c>
      <c r="AQ1425" s="96" t="str">
        <f>HYPERLINK("http://instagram.com/leao_alexandre")</f>
        <v>http://instagram.com/leao_alexandre</v>
      </c>
      <c r="AR1425" s="86" t="s">
        <v>28856</v>
      </c>
      <c r="AS1425" s="86"/>
      <c r="AT1425" s="86"/>
      <c r="AU1425" s="86"/>
      <c r="AV1425" s="86"/>
      <c r="AW1425" s="96" t="str">
        <f>HYPERLINK("https://t.co/DFQgGnXhx9")</f>
        <v>https://t.co/DFQgGnXhx9</v>
      </c>
      <c r="AX1425" s="86" t="b">
        <v>0</v>
      </c>
      <c r="AY1425" s="86"/>
      <c r="AZ1425" s="86"/>
      <c r="BA1425" s="86" t="b">
        <v>0</v>
      </c>
      <c r="BB1425" s="86" t="b">
        <v>0</v>
      </c>
      <c r="BC1425" s="86" t="b">
        <v>0</v>
      </c>
      <c r="BD1425" s="86" t="b">
        <v>0</v>
      </c>
      <c r="BE1425" s="86" t="b">
        <v>1</v>
      </c>
      <c r="BF1425" s="86" t="b">
        <v>0</v>
      </c>
      <c r="BG1425" s="86" t="b">
        <v>0</v>
      </c>
      <c r="BH1425" s="96" t="str">
        <f>HYPERLINK("https://pbs.twimg.com/profile_banners/198017623/1669138570")</f>
        <v>https://pbs.twimg.com/profile_banners/198017623/1669138570</v>
      </c>
      <c r="BI1425" s="86"/>
      <c r="BJ1425" s="86" t="s">
        <v>29134</v>
      </c>
      <c r="BK1425" s="86" t="b">
        <v>0</v>
      </c>
      <c r="BL1425" s="86"/>
      <c r="BM1425" s="86" t="s">
        <v>66</v>
      </c>
      <c r="BN1425" s="86" t="s">
        <v>29136</v>
      </c>
      <c r="BO1425" s="96" t="str">
        <f>HYPERLINK("https://twitter.com/leao_alexandre")</f>
        <v>https://twitter.com/leao_alexandre</v>
      </c>
      <c r="BP1425" s="2"/>
    </row>
    <row r="1426" spans="1:68" x14ac:dyDescent="0.25">
      <c r="A1426" s="63" t="s">
        <v>1440</v>
      </c>
      <c r="B1426" s="64"/>
      <c r="C1426" s="64"/>
      <c r="D1426" s="65"/>
      <c r="E1426" s="67"/>
      <c r="F1426" s="111" t="str">
        <f>HYPERLINK("https://pbs.twimg.com/profile_images/1696670483901456384/V-YomjT4_normal.jpg")</f>
        <v>https://pbs.twimg.com/profile_images/1696670483901456384/V-YomjT4_normal.jpg</v>
      </c>
      <c r="G1426" s="64"/>
      <c r="H1426" s="68"/>
      <c r="I1426" s="69"/>
      <c r="J1426" s="69"/>
      <c r="K1426" s="68" t="s">
        <v>30559</v>
      </c>
      <c r="L1426" s="72"/>
      <c r="M1426" s="73"/>
      <c r="N1426" s="73"/>
      <c r="O1426" s="74"/>
      <c r="P1426" s="75"/>
      <c r="Q1426" s="75"/>
      <c r="R1426" s="102"/>
      <c r="S1426" s="102"/>
      <c r="T1426" s="102"/>
      <c r="U1426" s="102"/>
      <c r="V1426" s="48"/>
      <c r="W1426" s="48"/>
      <c r="X1426" s="48"/>
      <c r="Y1426" s="48"/>
      <c r="Z1426" s="47"/>
      <c r="AA1426" s="70">
        <v>1426</v>
      </c>
      <c r="AB1426" s="70"/>
      <c r="AC1426" s="71"/>
      <c r="AD1426" s="86" t="s">
        <v>25018</v>
      </c>
      <c r="AE1426" s="94" t="s">
        <v>25797</v>
      </c>
      <c r="AF1426" s="86">
        <v>3055</v>
      </c>
      <c r="AG1426" s="86">
        <v>1151</v>
      </c>
      <c r="AH1426" s="86">
        <v>484</v>
      </c>
      <c r="AI1426" s="86">
        <v>78</v>
      </c>
      <c r="AJ1426" s="86">
        <v>13</v>
      </c>
      <c r="AK1426" s="86">
        <v>247</v>
      </c>
      <c r="AL1426" s="86" t="b">
        <v>0</v>
      </c>
      <c r="AM1426" s="89">
        <v>39983.80537037037</v>
      </c>
      <c r="AN1426" s="86" t="s">
        <v>26362</v>
      </c>
      <c r="AO1426" s="86" t="s">
        <v>27719</v>
      </c>
      <c r="AP1426" s="96" t="str">
        <f>HYPERLINK("https://t.co/Y9GqlEhKgy")</f>
        <v>https://t.co/Y9GqlEhKgy</v>
      </c>
      <c r="AQ1426" s="96" t="str">
        <f>HYPERLINK("http://www.iconeeditora.com.br")</f>
        <v>http://www.iconeeditora.com.br</v>
      </c>
      <c r="AR1426" s="86" t="s">
        <v>28857</v>
      </c>
      <c r="AS1426" s="86"/>
      <c r="AT1426" s="86"/>
      <c r="AU1426" s="86"/>
      <c r="AV1426" s="86"/>
      <c r="AW1426" s="96" t="str">
        <f>HYPERLINK("https://t.co/Y9GqlEhKgy")</f>
        <v>https://t.co/Y9GqlEhKgy</v>
      </c>
      <c r="AX1426" s="86" t="b">
        <v>0</v>
      </c>
      <c r="AY1426" s="86"/>
      <c r="AZ1426" s="86"/>
      <c r="BA1426" s="86" t="b">
        <v>0</v>
      </c>
      <c r="BB1426" s="86" t="b">
        <v>1</v>
      </c>
      <c r="BC1426" s="86" t="b">
        <v>0</v>
      </c>
      <c r="BD1426" s="86" t="b">
        <v>0</v>
      </c>
      <c r="BE1426" s="86" t="b">
        <v>0</v>
      </c>
      <c r="BF1426" s="86" t="b">
        <v>0</v>
      </c>
      <c r="BG1426" s="86" t="b">
        <v>0</v>
      </c>
      <c r="BH1426" s="96" t="str">
        <f>HYPERLINK("https://pbs.twimg.com/profile_banners/48799494/1695176138")</f>
        <v>https://pbs.twimg.com/profile_banners/48799494/1695176138</v>
      </c>
      <c r="BI1426" s="86"/>
      <c r="BJ1426" s="86" t="s">
        <v>29134</v>
      </c>
      <c r="BK1426" s="86" t="b">
        <v>0</v>
      </c>
      <c r="BL1426" s="86"/>
      <c r="BM1426" s="86" t="s">
        <v>66</v>
      </c>
      <c r="BN1426" s="86" t="s">
        <v>29136</v>
      </c>
      <c r="BO1426" s="96" t="str">
        <f>HYPERLINK("https://twitter.com/iconeeditora")</f>
        <v>https://twitter.com/iconeeditora</v>
      </c>
      <c r="BP1426" s="2"/>
    </row>
    <row r="1427" spans="1:68" x14ac:dyDescent="0.25">
      <c r="A1427" s="63" t="s">
        <v>1441</v>
      </c>
      <c r="B1427" s="64"/>
      <c r="C1427" s="64"/>
      <c r="D1427" s="65"/>
      <c r="E1427" s="67"/>
      <c r="F1427" s="111" t="str">
        <f>HYPERLINK("https://pbs.twimg.com/profile_images/776060252559138816/zeWcQXFg_normal.jpg")</f>
        <v>https://pbs.twimg.com/profile_images/776060252559138816/zeWcQXFg_normal.jpg</v>
      </c>
      <c r="G1427" s="64"/>
      <c r="H1427" s="68"/>
      <c r="I1427" s="69"/>
      <c r="J1427" s="69"/>
      <c r="K1427" s="68" t="s">
        <v>30560</v>
      </c>
      <c r="L1427" s="72"/>
      <c r="M1427" s="73"/>
      <c r="N1427" s="73"/>
      <c r="O1427" s="74"/>
      <c r="P1427" s="75"/>
      <c r="Q1427" s="75"/>
      <c r="R1427" s="102"/>
      <c r="S1427" s="102"/>
      <c r="T1427" s="102"/>
      <c r="U1427" s="102"/>
      <c r="V1427" s="48"/>
      <c r="W1427" s="48"/>
      <c r="X1427" s="48"/>
      <c r="Y1427" s="48"/>
      <c r="Z1427" s="47"/>
      <c r="AA1427" s="70">
        <v>1427</v>
      </c>
      <c r="AB1427" s="70"/>
      <c r="AC1427" s="71"/>
      <c r="AD1427" s="86" t="s">
        <v>25019</v>
      </c>
      <c r="AE1427" s="94" t="s">
        <v>25798</v>
      </c>
      <c r="AF1427" s="86">
        <v>467343</v>
      </c>
      <c r="AG1427" s="86">
        <v>255</v>
      </c>
      <c r="AH1427" s="86">
        <v>132798</v>
      </c>
      <c r="AI1427" s="86">
        <v>1721</v>
      </c>
      <c r="AJ1427" s="86">
        <v>88</v>
      </c>
      <c r="AK1427" s="86">
        <v>1135</v>
      </c>
      <c r="AL1427" s="86" t="b">
        <v>0</v>
      </c>
      <c r="AM1427" s="89">
        <v>39716.586678240739</v>
      </c>
      <c r="AN1427" s="86" t="s">
        <v>15235</v>
      </c>
      <c r="AO1427" s="86" t="s">
        <v>27720</v>
      </c>
      <c r="AP1427" s="96" t="str">
        <f>HYPERLINK("https://t.co/rXL3aFgDYg")</f>
        <v>https://t.co/rXL3aFgDYg</v>
      </c>
      <c r="AQ1427" s="96" t="str">
        <f>HYPERLINK("http://noticias.rtp.pt")</f>
        <v>http://noticias.rtp.pt</v>
      </c>
      <c r="AR1427" s="86" t="s">
        <v>28858</v>
      </c>
      <c r="AS1427" s="86"/>
      <c r="AT1427" s="86"/>
      <c r="AU1427" s="86"/>
      <c r="AV1427" s="86"/>
      <c r="AW1427" s="96" t="str">
        <f>HYPERLINK("https://t.co/rXL3aFgDYg")</f>
        <v>https://t.co/rXL3aFgDYg</v>
      </c>
      <c r="AX1427" s="86" t="b">
        <v>0</v>
      </c>
      <c r="AY1427" s="86"/>
      <c r="AZ1427" s="86"/>
      <c r="BA1427" s="86" t="b">
        <v>0</v>
      </c>
      <c r="BB1427" s="86" t="b">
        <v>1</v>
      </c>
      <c r="BC1427" s="86" t="b">
        <v>1</v>
      </c>
      <c r="BD1427" s="86" t="b">
        <v>0</v>
      </c>
      <c r="BE1427" s="86" t="b">
        <v>0</v>
      </c>
      <c r="BF1427" s="86" t="b">
        <v>0</v>
      </c>
      <c r="BG1427" s="86" t="b">
        <v>0</v>
      </c>
      <c r="BH1427" s="96" t="str">
        <f>HYPERLINK("https://pbs.twimg.com/profile_banners/16451028/1673362646")</f>
        <v>https://pbs.twimg.com/profile_banners/16451028/1673362646</v>
      </c>
      <c r="BI1427" s="86"/>
      <c r="BJ1427" s="86" t="s">
        <v>29134</v>
      </c>
      <c r="BK1427" s="86" t="b">
        <v>0</v>
      </c>
      <c r="BL1427" s="86"/>
      <c r="BM1427" s="86" t="s">
        <v>66</v>
      </c>
      <c r="BN1427" s="86" t="s">
        <v>29136</v>
      </c>
      <c r="BO1427" s="96" t="str">
        <f>HYPERLINK("https://twitter.com/rtpnoticias")</f>
        <v>https://twitter.com/rtpnoticias</v>
      </c>
      <c r="BP1427" s="2"/>
    </row>
    <row r="1428" spans="1:68" x14ac:dyDescent="0.25">
      <c r="A1428" s="63" t="s">
        <v>1442</v>
      </c>
      <c r="B1428" s="64"/>
      <c r="C1428" s="64"/>
      <c r="D1428" s="65"/>
      <c r="E1428" s="67"/>
      <c r="F1428" s="111" t="str">
        <f>HYPERLINK("https://pbs.twimg.com/profile_images/1599206756424491015/ozua_6xi_normal.jpg")</f>
        <v>https://pbs.twimg.com/profile_images/1599206756424491015/ozua_6xi_normal.jpg</v>
      </c>
      <c r="G1428" s="64"/>
      <c r="H1428" s="68"/>
      <c r="I1428" s="69"/>
      <c r="J1428" s="69"/>
      <c r="K1428" s="68" t="s">
        <v>30561</v>
      </c>
      <c r="L1428" s="72"/>
      <c r="M1428" s="73"/>
      <c r="N1428" s="73"/>
      <c r="O1428" s="74"/>
      <c r="P1428" s="75"/>
      <c r="Q1428" s="75"/>
      <c r="R1428" s="102"/>
      <c r="S1428" s="102"/>
      <c r="T1428" s="102"/>
      <c r="U1428" s="102"/>
      <c r="V1428" s="48"/>
      <c r="W1428" s="48"/>
      <c r="X1428" s="48"/>
      <c r="Y1428" s="48"/>
      <c r="Z1428" s="47"/>
      <c r="AA1428" s="70">
        <v>1428</v>
      </c>
      <c r="AB1428" s="70"/>
      <c r="AC1428" s="71"/>
      <c r="AD1428" s="86" t="s">
        <v>25020</v>
      </c>
      <c r="AE1428" s="94" t="s">
        <v>23498</v>
      </c>
      <c r="AF1428" s="86">
        <v>4</v>
      </c>
      <c r="AG1428" s="86">
        <v>267</v>
      </c>
      <c r="AH1428" s="86">
        <v>116</v>
      </c>
      <c r="AI1428" s="86">
        <v>0</v>
      </c>
      <c r="AJ1428" s="86">
        <v>13</v>
      </c>
      <c r="AK1428" s="86">
        <v>32</v>
      </c>
      <c r="AL1428" s="86" t="b">
        <v>0</v>
      </c>
      <c r="AM1428" s="89">
        <v>44899.022789351853</v>
      </c>
      <c r="AN1428" s="86" t="s">
        <v>15378</v>
      </c>
      <c r="AO1428" s="86" t="s">
        <v>27721</v>
      </c>
      <c r="AP1428" s="96" t="str">
        <f>HYPERLINK("https://t.co/694Z5pvo2J")</f>
        <v>https://t.co/694Z5pvo2J</v>
      </c>
      <c r="AQ1428" s="96" t="str">
        <f>HYPERLINK("https://www.atitudequerealiza.com.br/")</f>
        <v>https://www.atitudequerealiza.com.br/</v>
      </c>
      <c r="AR1428" s="86" t="s">
        <v>28859</v>
      </c>
      <c r="AS1428" s="86"/>
      <c r="AT1428" s="86"/>
      <c r="AU1428" s="86"/>
      <c r="AV1428" s="86">
        <v>1.6952257425759401E+18</v>
      </c>
      <c r="AW1428" s="96" t="str">
        <f>HYPERLINK("https://t.co/694Z5pvo2J")</f>
        <v>https://t.co/694Z5pvo2J</v>
      </c>
      <c r="AX1428" s="86" t="b">
        <v>0</v>
      </c>
      <c r="AY1428" s="86"/>
      <c r="AZ1428" s="86"/>
      <c r="BA1428" s="86" t="b">
        <v>0</v>
      </c>
      <c r="BB1428" s="86" t="b">
        <v>1</v>
      </c>
      <c r="BC1428" s="86" t="b">
        <v>1</v>
      </c>
      <c r="BD1428" s="86" t="b">
        <v>0</v>
      </c>
      <c r="BE1428" s="86" t="b">
        <v>0</v>
      </c>
      <c r="BF1428" s="86" t="b">
        <v>0</v>
      </c>
      <c r="BG1428" s="86" t="b">
        <v>0</v>
      </c>
      <c r="BH1428" s="96" t="str">
        <f>HYPERLINK("https://pbs.twimg.com/profile_banners/1599199916269731840/1693008711")</f>
        <v>https://pbs.twimg.com/profile_banners/1599199916269731840/1693008711</v>
      </c>
      <c r="BI1428" s="86"/>
      <c r="BJ1428" s="86" t="s">
        <v>29134</v>
      </c>
      <c r="BK1428" s="86" t="b">
        <v>0</v>
      </c>
      <c r="BL1428" s="86"/>
      <c r="BM1428" s="86" t="s">
        <v>66</v>
      </c>
      <c r="BN1428" s="86" t="s">
        <v>29136</v>
      </c>
      <c r="BO1428" s="96" t="str">
        <f>HYPERLINK("https://twitter.com/dvitoroficial")</f>
        <v>https://twitter.com/dvitoroficial</v>
      </c>
      <c r="BP1428" s="2"/>
    </row>
    <row r="1429" spans="1:68" x14ac:dyDescent="0.25">
      <c r="A1429" s="63" t="s">
        <v>1444</v>
      </c>
      <c r="B1429" s="64"/>
      <c r="C1429" s="64"/>
      <c r="D1429" s="65"/>
      <c r="E1429" s="67"/>
      <c r="F1429" s="111" t="str">
        <f>HYPERLINK("https://pbs.twimg.com/profile_images/1552271523196637185/ug7ScPm0_normal.jpg")</f>
        <v>https://pbs.twimg.com/profile_images/1552271523196637185/ug7ScPm0_normal.jpg</v>
      </c>
      <c r="G1429" s="64"/>
      <c r="H1429" s="68"/>
      <c r="I1429" s="69"/>
      <c r="J1429" s="69"/>
      <c r="K1429" s="68" t="s">
        <v>30562</v>
      </c>
      <c r="L1429" s="72"/>
      <c r="M1429" s="73"/>
      <c r="N1429" s="73"/>
      <c r="O1429" s="74"/>
      <c r="P1429" s="75"/>
      <c r="Q1429" s="75"/>
      <c r="R1429" s="102"/>
      <c r="S1429" s="102"/>
      <c r="T1429" s="102"/>
      <c r="U1429" s="102"/>
      <c r="V1429" s="48"/>
      <c r="W1429" s="48"/>
      <c r="X1429" s="48"/>
      <c r="Y1429" s="48"/>
      <c r="Z1429" s="47"/>
      <c r="AA1429" s="70">
        <v>1429</v>
      </c>
      <c r="AB1429" s="70"/>
      <c r="AC1429" s="71"/>
      <c r="AD1429" s="86" t="s">
        <v>25021</v>
      </c>
      <c r="AE1429" s="94" t="s">
        <v>23500</v>
      </c>
      <c r="AF1429" s="86">
        <v>2</v>
      </c>
      <c r="AG1429" s="86">
        <v>0</v>
      </c>
      <c r="AH1429" s="86">
        <v>87</v>
      </c>
      <c r="AI1429" s="86">
        <v>0</v>
      </c>
      <c r="AJ1429" s="86">
        <v>0</v>
      </c>
      <c r="AK1429" s="86">
        <v>87</v>
      </c>
      <c r="AL1429" s="86" t="b">
        <v>0</v>
      </c>
      <c r="AM1429" s="89">
        <v>44769.523888888885</v>
      </c>
      <c r="AN1429" s="86"/>
      <c r="AO1429" s="86" t="s">
        <v>27722</v>
      </c>
      <c r="AP1429" s="86"/>
      <c r="AQ1429" s="86"/>
      <c r="AR1429" s="86"/>
      <c r="AS1429" s="96" t="str">
        <f>HYPERLINK("https://t.co/AyessLzyPm")</f>
        <v>https://t.co/AyessLzyPm</v>
      </c>
      <c r="AT1429" s="96" t="str">
        <f>HYPERLINK("http://mkt.b2hmarketing.com.br/li")</f>
        <v>http://mkt.b2hmarketing.com.br/li</v>
      </c>
      <c r="AU1429" s="86" t="s">
        <v>29120</v>
      </c>
      <c r="AV1429" s="86"/>
      <c r="AW1429" s="86"/>
      <c r="AX1429" s="86" t="b">
        <v>0</v>
      </c>
      <c r="AY1429" s="86"/>
      <c r="AZ1429" s="86"/>
      <c r="BA1429" s="86" t="b">
        <v>0</v>
      </c>
      <c r="BB1429" s="86" t="b">
        <v>1</v>
      </c>
      <c r="BC1429" s="86" t="b">
        <v>1</v>
      </c>
      <c r="BD1429" s="86" t="b">
        <v>0</v>
      </c>
      <c r="BE1429" s="86" t="b">
        <v>0</v>
      </c>
      <c r="BF1429" s="86" t="b">
        <v>0</v>
      </c>
      <c r="BG1429" s="86" t="b">
        <v>0</v>
      </c>
      <c r="BH1429" s="96" t="str">
        <f>HYPERLINK("https://pbs.twimg.com/profile_banners/1552271025437556739/1658925378")</f>
        <v>https://pbs.twimg.com/profile_banners/1552271025437556739/1658925378</v>
      </c>
      <c r="BI1429" s="86"/>
      <c r="BJ1429" s="86" t="s">
        <v>29134</v>
      </c>
      <c r="BK1429" s="86" t="b">
        <v>0</v>
      </c>
      <c r="BL1429" s="86"/>
      <c r="BM1429" s="86" t="s">
        <v>66</v>
      </c>
      <c r="BN1429" s="86" t="s">
        <v>29136</v>
      </c>
      <c r="BO1429" s="96" t="str">
        <f>HYPERLINK("https://twitter.com/b2h_marketing")</f>
        <v>https://twitter.com/b2h_marketing</v>
      </c>
      <c r="BP1429" s="2"/>
    </row>
    <row r="1430" spans="1:68" x14ac:dyDescent="0.25">
      <c r="A1430" s="63" t="s">
        <v>1445</v>
      </c>
      <c r="B1430" s="64"/>
      <c r="C1430" s="64"/>
      <c r="D1430" s="65"/>
      <c r="E1430" s="67"/>
      <c r="F1430" s="111" t="str">
        <f>HYPERLINK("https://pbs.twimg.com/profile_images/1436823420113727494/6TlAhO7d_normal.jpg")</f>
        <v>https://pbs.twimg.com/profile_images/1436823420113727494/6TlAhO7d_normal.jpg</v>
      </c>
      <c r="G1430" s="64"/>
      <c r="H1430" s="68"/>
      <c r="I1430" s="69"/>
      <c r="J1430" s="69"/>
      <c r="K1430" s="68" t="s">
        <v>30563</v>
      </c>
      <c r="L1430" s="72"/>
      <c r="M1430" s="73"/>
      <c r="N1430" s="73"/>
      <c r="O1430" s="74"/>
      <c r="P1430" s="75"/>
      <c r="Q1430" s="75"/>
      <c r="R1430" s="102"/>
      <c r="S1430" s="102"/>
      <c r="T1430" s="102"/>
      <c r="U1430" s="102"/>
      <c r="V1430" s="48"/>
      <c r="W1430" s="48"/>
      <c r="X1430" s="48"/>
      <c r="Y1430" s="48"/>
      <c r="Z1430" s="47"/>
      <c r="AA1430" s="70">
        <v>1430</v>
      </c>
      <c r="AB1430" s="70"/>
      <c r="AC1430" s="71"/>
      <c r="AD1430" s="86" t="s">
        <v>25022</v>
      </c>
      <c r="AE1430" s="94" t="s">
        <v>23501</v>
      </c>
      <c r="AF1430" s="86">
        <v>8</v>
      </c>
      <c r="AG1430" s="86">
        <v>3</v>
      </c>
      <c r="AH1430" s="86">
        <v>121</v>
      </c>
      <c r="AI1430" s="86">
        <v>0</v>
      </c>
      <c r="AJ1430" s="86">
        <v>7</v>
      </c>
      <c r="AK1430" s="86">
        <v>119</v>
      </c>
      <c r="AL1430" s="86" t="b">
        <v>0</v>
      </c>
      <c r="AM1430" s="89">
        <v>43452.820810185185</v>
      </c>
      <c r="AN1430" s="86"/>
      <c r="AO1430" s="86" t="s">
        <v>27723</v>
      </c>
      <c r="AP1430" s="86"/>
      <c r="AQ1430" s="86"/>
      <c r="AR1430" s="86"/>
      <c r="AS1430" s="86"/>
      <c r="AT1430" s="86"/>
      <c r="AU1430" s="86"/>
      <c r="AV1430" s="86"/>
      <c r="AW1430" s="86"/>
      <c r="AX1430" s="86" t="b">
        <v>0</v>
      </c>
      <c r="AY1430" s="86"/>
      <c r="AZ1430" s="86"/>
      <c r="BA1430" s="86" t="b">
        <v>0</v>
      </c>
      <c r="BB1430" s="86" t="b">
        <v>1</v>
      </c>
      <c r="BC1430" s="86" t="b">
        <v>1</v>
      </c>
      <c r="BD1430" s="86" t="b">
        <v>0</v>
      </c>
      <c r="BE1430" s="86" t="b">
        <v>0</v>
      </c>
      <c r="BF1430" s="86" t="b">
        <v>0</v>
      </c>
      <c r="BG1430" s="86" t="b">
        <v>0</v>
      </c>
      <c r="BH1430" s="96" t="str">
        <f>HYPERLINK("https://pbs.twimg.com/profile_banners/1075113962423902208/1693446988")</f>
        <v>https://pbs.twimg.com/profile_banners/1075113962423902208/1693446988</v>
      </c>
      <c r="BI1430" s="86"/>
      <c r="BJ1430" s="86" t="s">
        <v>29134</v>
      </c>
      <c r="BK1430" s="86" t="b">
        <v>0</v>
      </c>
      <c r="BL1430" s="86"/>
      <c r="BM1430" s="86" t="s">
        <v>66</v>
      </c>
      <c r="BN1430" s="86" t="s">
        <v>29136</v>
      </c>
      <c r="BO1430" s="96" t="str">
        <f>HYPERLINK("https://twitter.com/aguaminalinda")</f>
        <v>https://twitter.com/aguaminalinda</v>
      </c>
      <c r="BP1430" s="2"/>
    </row>
    <row r="1431" spans="1:68" x14ac:dyDescent="0.25">
      <c r="A1431" s="63" t="s">
        <v>1446</v>
      </c>
      <c r="B1431" s="64"/>
      <c r="C1431" s="64"/>
      <c r="D1431" s="65"/>
      <c r="E1431" s="67"/>
      <c r="F1431" s="111" t="str">
        <f>HYPERLINK("https://pbs.twimg.com/profile_images/1636820121187434505/7xd6VMUm_normal.jpg")</f>
        <v>https://pbs.twimg.com/profile_images/1636820121187434505/7xd6VMUm_normal.jpg</v>
      </c>
      <c r="G1431" s="64"/>
      <c r="H1431" s="68"/>
      <c r="I1431" s="69"/>
      <c r="J1431" s="69"/>
      <c r="K1431" s="68" t="s">
        <v>30564</v>
      </c>
      <c r="L1431" s="72"/>
      <c r="M1431" s="73"/>
      <c r="N1431" s="73"/>
      <c r="O1431" s="74"/>
      <c r="P1431" s="75"/>
      <c r="Q1431" s="75"/>
      <c r="R1431" s="102"/>
      <c r="S1431" s="102"/>
      <c r="T1431" s="102"/>
      <c r="U1431" s="102"/>
      <c r="V1431" s="48"/>
      <c r="W1431" s="48"/>
      <c r="X1431" s="48"/>
      <c r="Y1431" s="48"/>
      <c r="Z1431" s="47"/>
      <c r="AA1431" s="70">
        <v>1431</v>
      </c>
      <c r="AB1431" s="70"/>
      <c r="AC1431" s="71"/>
      <c r="AD1431" s="86" t="s">
        <v>25023</v>
      </c>
      <c r="AE1431" s="94" t="s">
        <v>23502</v>
      </c>
      <c r="AF1431" s="86">
        <v>75</v>
      </c>
      <c r="AG1431" s="86">
        <v>7</v>
      </c>
      <c r="AH1431" s="86">
        <v>239</v>
      </c>
      <c r="AI1431" s="86">
        <v>0</v>
      </c>
      <c r="AJ1431" s="86">
        <v>121</v>
      </c>
      <c r="AK1431" s="86">
        <v>132</v>
      </c>
      <c r="AL1431" s="86" t="b">
        <v>0</v>
      </c>
      <c r="AM1431" s="89">
        <v>45002.83388888889</v>
      </c>
      <c r="AN1431" s="86" t="s">
        <v>15388</v>
      </c>
      <c r="AO1431" s="86" t="s">
        <v>27724</v>
      </c>
      <c r="AP1431" s="86"/>
      <c r="AQ1431" s="86"/>
      <c r="AR1431" s="86"/>
      <c r="AS1431" s="86"/>
      <c r="AT1431" s="86"/>
      <c r="AU1431" s="86"/>
      <c r="AV1431" s="86">
        <v>1.6379167540504599E+18</v>
      </c>
      <c r="AW1431" s="86"/>
      <c r="AX1431" s="86" t="b">
        <v>0</v>
      </c>
      <c r="AY1431" s="86"/>
      <c r="AZ1431" s="86"/>
      <c r="BA1431" s="86" t="b">
        <v>0</v>
      </c>
      <c r="BB1431" s="86" t="b">
        <v>1</v>
      </c>
      <c r="BC1431" s="86" t="b">
        <v>1</v>
      </c>
      <c r="BD1431" s="86" t="b">
        <v>0</v>
      </c>
      <c r="BE1431" s="86" t="b">
        <v>1</v>
      </c>
      <c r="BF1431" s="86" t="b">
        <v>0</v>
      </c>
      <c r="BG1431" s="86" t="b">
        <v>0</v>
      </c>
      <c r="BH1431" s="96" t="str">
        <f>HYPERLINK("https://pbs.twimg.com/profile_banners/1636819738461388803/1679083517")</f>
        <v>https://pbs.twimg.com/profile_banners/1636819738461388803/1679083517</v>
      </c>
      <c r="BI1431" s="86"/>
      <c r="BJ1431" s="86" t="s">
        <v>29134</v>
      </c>
      <c r="BK1431" s="86" t="b">
        <v>0</v>
      </c>
      <c r="BL1431" s="86"/>
      <c r="BM1431" s="86" t="s">
        <v>66</v>
      </c>
      <c r="BN1431" s="86" t="s">
        <v>29136</v>
      </c>
      <c r="BO1431" s="96" t="str">
        <f>HYPERLINK("https://twitter.com/empreendertv")</f>
        <v>https://twitter.com/empreendertv</v>
      </c>
      <c r="BP1431" s="2"/>
    </row>
    <row r="1432" spans="1:68" x14ac:dyDescent="0.25">
      <c r="A1432" s="63" t="s">
        <v>1447</v>
      </c>
      <c r="B1432" s="64"/>
      <c r="C1432" s="64"/>
      <c r="D1432" s="65"/>
      <c r="E1432" s="67"/>
      <c r="F1432" s="111" t="str">
        <f>HYPERLINK("https://pbs.twimg.com/profile_images/1412500911511965703/0rLzsG70_normal.jpg")</f>
        <v>https://pbs.twimg.com/profile_images/1412500911511965703/0rLzsG70_normal.jpg</v>
      </c>
      <c r="G1432" s="64"/>
      <c r="H1432" s="68"/>
      <c r="I1432" s="69"/>
      <c r="J1432" s="69"/>
      <c r="K1432" s="68" t="s">
        <v>30565</v>
      </c>
      <c r="L1432" s="72"/>
      <c r="M1432" s="73"/>
      <c r="N1432" s="73"/>
      <c r="O1432" s="74"/>
      <c r="P1432" s="75"/>
      <c r="Q1432" s="75"/>
      <c r="R1432" s="102"/>
      <c r="S1432" s="102"/>
      <c r="T1432" s="102"/>
      <c r="U1432" s="102"/>
      <c r="V1432" s="48"/>
      <c r="W1432" s="48"/>
      <c r="X1432" s="48"/>
      <c r="Y1432" s="48"/>
      <c r="Z1432" s="47"/>
      <c r="AA1432" s="70">
        <v>1432</v>
      </c>
      <c r="AB1432" s="70"/>
      <c r="AC1432" s="71"/>
      <c r="AD1432" s="86" t="s">
        <v>25024</v>
      </c>
      <c r="AE1432" s="94" t="s">
        <v>25799</v>
      </c>
      <c r="AF1432" s="86">
        <v>2966</v>
      </c>
      <c r="AG1432" s="86">
        <v>6</v>
      </c>
      <c r="AH1432" s="86">
        <v>198439</v>
      </c>
      <c r="AI1432" s="86">
        <v>44</v>
      </c>
      <c r="AJ1432" s="86">
        <v>5</v>
      </c>
      <c r="AK1432" s="86">
        <v>38381</v>
      </c>
      <c r="AL1432" s="86" t="b">
        <v>0</v>
      </c>
      <c r="AM1432" s="89">
        <v>40250.617268518516</v>
      </c>
      <c r="AN1432" s="86" t="s">
        <v>26363</v>
      </c>
      <c r="AO1432" s="86" t="s">
        <v>27725</v>
      </c>
      <c r="AP1432" s="96" t="str">
        <f>HYPERLINK("https://t.co/6BWHXPlelE")</f>
        <v>https://t.co/6BWHXPlelE</v>
      </c>
      <c r="AQ1432" s="96" t="str">
        <f>HYPERLINK("https://tnonline.uol.com.br/")</f>
        <v>https://tnonline.uol.com.br/</v>
      </c>
      <c r="AR1432" s="86" t="s">
        <v>28860</v>
      </c>
      <c r="AS1432" s="86"/>
      <c r="AT1432" s="86"/>
      <c r="AU1432" s="86"/>
      <c r="AV1432" s="86"/>
      <c r="AW1432" s="96" t="str">
        <f>HYPERLINK("https://t.co/6BWHXPlelE")</f>
        <v>https://t.co/6BWHXPlelE</v>
      </c>
      <c r="AX1432" s="86" t="b">
        <v>0</v>
      </c>
      <c r="AY1432" s="86"/>
      <c r="AZ1432" s="86"/>
      <c r="BA1432" s="86" t="b">
        <v>0</v>
      </c>
      <c r="BB1432" s="86" t="b">
        <v>1</v>
      </c>
      <c r="BC1432" s="86" t="b">
        <v>0</v>
      </c>
      <c r="BD1432" s="86" t="b">
        <v>0</v>
      </c>
      <c r="BE1432" s="86" t="b">
        <v>0</v>
      </c>
      <c r="BF1432" s="86" t="b">
        <v>0</v>
      </c>
      <c r="BG1432" s="86" t="b">
        <v>0</v>
      </c>
      <c r="BH1432" s="96" t="str">
        <f>HYPERLINK("https://pbs.twimg.com/profile_banners/122684856/1612380506")</f>
        <v>https://pbs.twimg.com/profile_banners/122684856/1612380506</v>
      </c>
      <c r="BI1432" s="86"/>
      <c r="BJ1432" s="86" t="s">
        <v>29135</v>
      </c>
      <c r="BK1432" s="86" t="b">
        <v>0</v>
      </c>
      <c r="BL1432" s="86"/>
      <c r="BM1432" s="86" t="s">
        <v>66</v>
      </c>
      <c r="BN1432" s="86" t="s">
        <v>29136</v>
      </c>
      <c r="BO1432" s="96" t="str">
        <f>HYPERLINK("https://twitter.com/sitetnonline")</f>
        <v>https://twitter.com/sitetnonline</v>
      </c>
      <c r="BP1432" s="2"/>
    </row>
    <row r="1433" spans="1:68" x14ac:dyDescent="0.25">
      <c r="A1433" s="63" t="s">
        <v>1448</v>
      </c>
      <c r="B1433" s="64"/>
      <c r="C1433" s="64"/>
      <c r="D1433" s="65"/>
      <c r="E1433" s="67"/>
      <c r="F1433" s="111" t="str">
        <f>HYPERLINK("https://pbs.twimg.com/profile_images/1641471235803447296/vcFPRlp3_normal.jpg")</f>
        <v>https://pbs.twimg.com/profile_images/1641471235803447296/vcFPRlp3_normal.jpg</v>
      </c>
      <c r="G1433" s="64"/>
      <c r="H1433" s="68"/>
      <c r="I1433" s="69"/>
      <c r="J1433" s="69"/>
      <c r="K1433" s="68" t="s">
        <v>30566</v>
      </c>
      <c r="L1433" s="72"/>
      <c r="M1433" s="73"/>
      <c r="N1433" s="73"/>
      <c r="O1433" s="74"/>
      <c r="P1433" s="75"/>
      <c r="Q1433" s="75"/>
      <c r="R1433" s="102"/>
      <c r="S1433" s="102"/>
      <c r="T1433" s="102"/>
      <c r="U1433" s="102"/>
      <c r="V1433" s="48"/>
      <c r="W1433" s="48"/>
      <c r="X1433" s="48"/>
      <c r="Y1433" s="48"/>
      <c r="Z1433" s="47"/>
      <c r="AA1433" s="70">
        <v>1433</v>
      </c>
      <c r="AB1433" s="70"/>
      <c r="AC1433" s="71"/>
      <c r="AD1433" s="86" t="s">
        <v>1448</v>
      </c>
      <c r="AE1433" s="94" t="s">
        <v>23503</v>
      </c>
      <c r="AF1433" s="86">
        <v>239</v>
      </c>
      <c r="AG1433" s="86">
        <v>14</v>
      </c>
      <c r="AH1433" s="86">
        <v>391</v>
      </c>
      <c r="AI1433" s="86">
        <v>2</v>
      </c>
      <c r="AJ1433" s="86">
        <v>24</v>
      </c>
      <c r="AK1433" s="86">
        <v>299</v>
      </c>
      <c r="AL1433" s="86" t="b">
        <v>0</v>
      </c>
      <c r="AM1433" s="89">
        <v>44165.808148148149</v>
      </c>
      <c r="AN1433" s="86"/>
      <c r="AO1433" s="86" t="s">
        <v>27726</v>
      </c>
      <c r="AP1433" s="96" t="str">
        <f>HYPERLINK("https://t.co/C7o2M1xcwn")</f>
        <v>https://t.co/C7o2M1xcwn</v>
      </c>
      <c r="AQ1433" s="96" t="str">
        <f>HYPERLINK("https://www.campogrande.ms.gov.br/")</f>
        <v>https://www.campogrande.ms.gov.br/</v>
      </c>
      <c r="AR1433" s="86" t="s">
        <v>28861</v>
      </c>
      <c r="AS1433" s="86"/>
      <c r="AT1433" s="86"/>
      <c r="AU1433" s="86"/>
      <c r="AV1433" s="86"/>
      <c r="AW1433" s="96" t="str">
        <f>HYPERLINK("https://t.co/C7o2M1xcwn")</f>
        <v>https://t.co/C7o2M1xcwn</v>
      </c>
      <c r="AX1433" s="86" t="b">
        <v>0</v>
      </c>
      <c r="AY1433" s="86"/>
      <c r="AZ1433" s="86"/>
      <c r="BA1433" s="86" t="b">
        <v>0</v>
      </c>
      <c r="BB1433" s="86" t="b">
        <v>1</v>
      </c>
      <c r="BC1433" s="86" t="b">
        <v>1</v>
      </c>
      <c r="BD1433" s="86" t="b">
        <v>0</v>
      </c>
      <c r="BE1433" s="86" t="b">
        <v>0</v>
      </c>
      <c r="BF1433" s="86" t="b">
        <v>0</v>
      </c>
      <c r="BG1433" s="86" t="b">
        <v>0</v>
      </c>
      <c r="BH1433" s="96" t="str">
        <f>HYPERLINK("https://pbs.twimg.com/profile_banners/1333491825743695872/1681219626")</f>
        <v>https://pbs.twimg.com/profile_banners/1333491825743695872/1681219626</v>
      </c>
      <c r="BI1433" s="86"/>
      <c r="BJ1433" s="86" t="s">
        <v>29134</v>
      </c>
      <c r="BK1433" s="86" t="b">
        <v>0</v>
      </c>
      <c r="BL1433" s="86"/>
      <c r="BM1433" s="86" t="s">
        <v>66</v>
      </c>
      <c r="BN1433" s="86" t="s">
        <v>29136</v>
      </c>
      <c r="BO1433" s="96" t="str">
        <f>HYPERLINK("https://twitter.com/prefcg")</f>
        <v>https://twitter.com/prefcg</v>
      </c>
      <c r="BP1433" s="2"/>
    </row>
    <row r="1434" spans="1:68" x14ac:dyDescent="0.25">
      <c r="A1434" s="63" t="s">
        <v>1449</v>
      </c>
      <c r="B1434" s="64"/>
      <c r="C1434" s="64"/>
      <c r="D1434" s="65"/>
      <c r="E1434" s="67"/>
      <c r="F1434" s="111" t="str">
        <f>HYPERLINK("https://pbs.twimg.com/profile_images/1690551992416899072/jPwUudPO_normal.jpg")</f>
        <v>https://pbs.twimg.com/profile_images/1690551992416899072/jPwUudPO_normal.jpg</v>
      </c>
      <c r="G1434" s="64"/>
      <c r="H1434" s="68"/>
      <c r="I1434" s="69"/>
      <c r="J1434" s="69"/>
      <c r="K1434" s="68" t="s">
        <v>30567</v>
      </c>
      <c r="L1434" s="72"/>
      <c r="M1434" s="73"/>
      <c r="N1434" s="73"/>
      <c r="O1434" s="74"/>
      <c r="P1434" s="75"/>
      <c r="Q1434" s="75"/>
      <c r="R1434" s="102"/>
      <c r="S1434" s="102"/>
      <c r="T1434" s="102"/>
      <c r="U1434" s="102"/>
      <c r="V1434" s="48"/>
      <c r="W1434" s="48"/>
      <c r="X1434" s="48"/>
      <c r="Y1434" s="48"/>
      <c r="Z1434" s="47"/>
      <c r="AA1434" s="70">
        <v>1434</v>
      </c>
      <c r="AB1434" s="70"/>
      <c r="AC1434" s="71"/>
      <c r="AD1434" s="86" t="s">
        <v>25025</v>
      </c>
      <c r="AE1434" s="94" t="s">
        <v>23504</v>
      </c>
      <c r="AF1434" s="86">
        <v>0</v>
      </c>
      <c r="AG1434" s="86">
        <v>8</v>
      </c>
      <c r="AH1434" s="86">
        <v>2</v>
      </c>
      <c r="AI1434" s="86">
        <v>0</v>
      </c>
      <c r="AJ1434" s="86">
        <v>0</v>
      </c>
      <c r="AK1434" s="86">
        <v>1</v>
      </c>
      <c r="AL1434" s="86" t="b">
        <v>0</v>
      </c>
      <c r="AM1434" s="89">
        <v>45151.106099537035</v>
      </c>
      <c r="AN1434" s="86"/>
      <c r="AO1434" s="86" t="s">
        <v>27727</v>
      </c>
      <c r="AP1434" s="96" t="str">
        <f>HYPERLINK("https://t.co/0DQD3IF7hg")</f>
        <v>https://t.co/0DQD3IF7hg</v>
      </c>
      <c r="AQ1434" s="96" t="str">
        <f>HYPERLINK("https://pay.kiwify.com.br/slpJYr6")</f>
        <v>https://pay.kiwify.com.br/slpJYr6</v>
      </c>
      <c r="AR1434" s="86" t="s">
        <v>28862</v>
      </c>
      <c r="AS1434" s="86"/>
      <c r="AT1434" s="86"/>
      <c r="AU1434" s="86"/>
      <c r="AV1434" s="86"/>
      <c r="AW1434" s="96" t="str">
        <f>HYPERLINK("https://t.co/0DQD3IF7hg")</f>
        <v>https://t.co/0DQD3IF7hg</v>
      </c>
      <c r="AX1434" s="86" t="b">
        <v>0</v>
      </c>
      <c r="AY1434" s="86"/>
      <c r="AZ1434" s="86"/>
      <c r="BA1434" s="86" t="b">
        <v>0</v>
      </c>
      <c r="BB1434" s="86" t="b">
        <v>1</v>
      </c>
      <c r="BC1434" s="86" t="b">
        <v>1</v>
      </c>
      <c r="BD1434" s="86" t="b">
        <v>0</v>
      </c>
      <c r="BE1434" s="86" t="b">
        <v>0</v>
      </c>
      <c r="BF1434" s="86" t="b">
        <v>0</v>
      </c>
      <c r="BG1434" s="86" t="b">
        <v>0</v>
      </c>
      <c r="BH1434" s="86"/>
      <c r="BI1434" s="86"/>
      <c r="BJ1434" s="86" t="s">
        <v>29134</v>
      </c>
      <c r="BK1434" s="86" t="b">
        <v>0</v>
      </c>
      <c r="BL1434" s="86"/>
      <c r="BM1434" s="86" t="s">
        <v>66</v>
      </c>
      <c r="BN1434" s="86" t="s">
        <v>29136</v>
      </c>
      <c r="BO1434" s="96" t="str">
        <f>HYPERLINK("https://twitter.com/digitalbussin")</f>
        <v>https://twitter.com/digitalbussin</v>
      </c>
      <c r="BP1434" s="2"/>
    </row>
    <row r="1435" spans="1:68" x14ac:dyDescent="0.25">
      <c r="A1435" s="63" t="s">
        <v>1450</v>
      </c>
      <c r="B1435" s="64"/>
      <c r="C1435" s="64"/>
      <c r="D1435" s="65"/>
      <c r="E1435" s="67"/>
      <c r="F1435" s="111" t="str">
        <f>HYPERLINK("https://pbs.twimg.com/profile_images/1534183094667845634/RntiKf63_normal.jpg")</f>
        <v>https://pbs.twimg.com/profile_images/1534183094667845634/RntiKf63_normal.jpg</v>
      </c>
      <c r="G1435" s="64"/>
      <c r="H1435" s="68"/>
      <c r="I1435" s="69"/>
      <c r="J1435" s="69"/>
      <c r="K1435" s="68" t="s">
        <v>30568</v>
      </c>
      <c r="L1435" s="72"/>
      <c r="M1435" s="73"/>
      <c r="N1435" s="73"/>
      <c r="O1435" s="74"/>
      <c r="P1435" s="75"/>
      <c r="Q1435" s="75"/>
      <c r="R1435" s="102"/>
      <c r="S1435" s="102"/>
      <c r="T1435" s="102"/>
      <c r="U1435" s="102"/>
      <c r="V1435" s="48"/>
      <c r="W1435" s="48"/>
      <c r="X1435" s="48"/>
      <c r="Y1435" s="48"/>
      <c r="Z1435" s="47"/>
      <c r="AA1435" s="70">
        <v>1435</v>
      </c>
      <c r="AB1435" s="70"/>
      <c r="AC1435" s="71"/>
      <c r="AD1435" s="86" t="s">
        <v>25026</v>
      </c>
      <c r="AE1435" s="94" t="s">
        <v>23505</v>
      </c>
      <c r="AF1435" s="86">
        <v>71</v>
      </c>
      <c r="AG1435" s="86">
        <v>5</v>
      </c>
      <c r="AH1435" s="86">
        <v>925</v>
      </c>
      <c r="AI1435" s="86">
        <v>0</v>
      </c>
      <c r="AJ1435" s="86">
        <v>4</v>
      </c>
      <c r="AK1435" s="86">
        <v>0</v>
      </c>
      <c r="AL1435" s="86" t="b">
        <v>0</v>
      </c>
      <c r="AM1435" s="89">
        <v>43886.048148148147</v>
      </c>
      <c r="AN1435" s="86"/>
      <c r="AO1435" s="86" t="s">
        <v>27728</v>
      </c>
      <c r="AP1435" s="96" t="str">
        <f>HYPERLINK("https://t.co/MuyvAEmZRb")</f>
        <v>https://t.co/MuyvAEmZRb</v>
      </c>
      <c r="AQ1435" s="96" t="str">
        <f>HYPERLINK("https://moneyinvest.com.br")</f>
        <v>https://moneyinvest.com.br</v>
      </c>
      <c r="AR1435" s="86" t="s">
        <v>28863</v>
      </c>
      <c r="AS1435" s="86"/>
      <c r="AT1435" s="86"/>
      <c r="AU1435" s="86"/>
      <c r="AV1435" s="86"/>
      <c r="AW1435" s="96" t="str">
        <f>HYPERLINK("https://t.co/MuyvAEmZRb")</f>
        <v>https://t.co/MuyvAEmZRb</v>
      </c>
      <c r="AX1435" s="86" t="b">
        <v>0</v>
      </c>
      <c r="AY1435" s="86"/>
      <c r="AZ1435" s="86"/>
      <c r="BA1435" s="86" t="b">
        <v>0</v>
      </c>
      <c r="BB1435" s="86" t="b">
        <v>1</v>
      </c>
      <c r="BC1435" s="86" t="b">
        <v>1</v>
      </c>
      <c r="BD1435" s="86" t="b">
        <v>0</v>
      </c>
      <c r="BE1435" s="86" t="b">
        <v>0</v>
      </c>
      <c r="BF1435" s="86" t="b">
        <v>0</v>
      </c>
      <c r="BG1435" s="86" t="b">
        <v>0</v>
      </c>
      <c r="BH1435" s="96" t="str">
        <f>HYPERLINK("https://pbs.twimg.com/profile_banners/1232110252071493632/1582597985")</f>
        <v>https://pbs.twimg.com/profile_banners/1232110252071493632/1582597985</v>
      </c>
      <c r="BI1435" s="86"/>
      <c r="BJ1435" s="86" t="s">
        <v>29134</v>
      </c>
      <c r="BK1435" s="86" t="b">
        <v>0</v>
      </c>
      <c r="BL1435" s="86"/>
      <c r="BM1435" s="86" t="s">
        <v>66</v>
      </c>
      <c r="BN1435" s="86" t="s">
        <v>29136</v>
      </c>
      <c r="BO1435" s="96" t="str">
        <f>HYPERLINK("https://twitter.com/moneyiinvest")</f>
        <v>https://twitter.com/moneyiinvest</v>
      </c>
      <c r="BP1435" s="2"/>
    </row>
    <row r="1436" spans="1:68" x14ac:dyDescent="0.25">
      <c r="A1436" s="63" t="s">
        <v>1451</v>
      </c>
      <c r="B1436" s="64"/>
      <c r="C1436" s="64"/>
      <c r="D1436" s="65"/>
      <c r="E1436" s="67"/>
      <c r="F1436" s="111" t="str">
        <f>HYPERLINK("https://pbs.twimg.com/profile_images/1637467694344593408/qReQo7Rd_normal.jpg")</f>
        <v>https://pbs.twimg.com/profile_images/1637467694344593408/qReQo7Rd_normal.jpg</v>
      </c>
      <c r="G1436" s="64"/>
      <c r="H1436" s="68"/>
      <c r="I1436" s="69"/>
      <c r="J1436" s="69"/>
      <c r="K1436" s="68" t="s">
        <v>30569</v>
      </c>
      <c r="L1436" s="72"/>
      <c r="M1436" s="73"/>
      <c r="N1436" s="73"/>
      <c r="O1436" s="74"/>
      <c r="P1436" s="75"/>
      <c r="Q1436" s="75"/>
      <c r="R1436" s="102"/>
      <c r="S1436" s="102"/>
      <c r="T1436" s="102"/>
      <c r="U1436" s="102"/>
      <c r="V1436" s="48"/>
      <c r="W1436" s="48"/>
      <c r="X1436" s="48"/>
      <c r="Y1436" s="48"/>
      <c r="Z1436" s="47"/>
      <c r="AA1436" s="70">
        <v>1436</v>
      </c>
      <c r="AB1436" s="70"/>
      <c r="AC1436" s="71"/>
      <c r="AD1436" s="86" t="s">
        <v>25027</v>
      </c>
      <c r="AE1436" s="94" t="s">
        <v>23506</v>
      </c>
      <c r="AF1436" s="86">
        <v>523</v>
      </c>
      <c r="AG1436" s="86">
        <v>2215</v>
      </c>
      <c r="AH1436" s="86">
        <v>10748</v>
      </c>
      <c r="AI1436" s="86">
        <v>0</v>
      </c>
      <c r="AJ1436" s="86">
        <v>1320</v>
      </c>
      <c r="AK1436" s="86">
        <v>2021</v>
      </c>
      <c r="AL1436" s="86" t="b">
        <v>0</v>
      </c>
      <c r="AM1436" s="89">
        <v>42795.263356481482</v>
      </c>
      <c r="AN1436" s="86" t="s">
        <v>26056</v>
      </c>
      <c r="AO1436" s="86" t="s">
        <v>27729</v>
      </c>
      <c r="AP1436" s="96" t="str">
        <f>HYPERLINK("https://t.co/ORKTghXsmx")</f>
        <v>https://t.co/ORKTghXsmx</v>
      </c>
      <c r="AQ1436" s="96" t="str">
        <f>HYPERLINK("https://www.sisangila.com")</f>
        <v>https://www.sisangila.com</v>
      </c>
      <c r="AR1436" s="86" t="s">
        <v>28864</v>
      </c>
      <c r="AS1436" s="86"/>
      <c r="AT1436" s="86"/>
      <c r="AU1436" s="86"/>
      <c r="AV1436" s="86">
        <v>1.3975903136869399E+18</v>
      </c>
      <c r="AW1436" s="96" t="str">
        <f>HYPERLINK("https://t.co/ORKTghXsmx")</f>
        <v>https://t.co/ORKTghXsmx</v>
      </c>
      <c r="AX1436" s="86" t="b">
        <v>0</v>
      </c>
      <c r="AY1436" s="86"/>
      <c r="AZ1436" s="86"/>
      <c r="BA1436" s="86" t="b">
        <v>1</v>
      </c>
      <c r="BB1436" s="86" t="b">
        <v>1</v>
      </c>
      <c r="BC1436" s="86" t="b">
        <v>0</v>
      </c>
      <c r="BD1436" s="86" t="b">
        <v>0</v>
      </c>
      <c r="BE1436" s="86" t="b">
        <v>0</v>
      </c>
      <c r="BF1436" s="86" t="b">
        <v>0</v>
      </c>
      <c r="BG1436" s="86" t="b">
        <v>0</v>
      </c>
      <c r="BH1436" s="96" t="str">
        <f>HYPERLINK("https://pbs.twimg.com/profile_banners/836823123165134848/1690663129")</f>
        <v>https://pbs.twimg.com/profile_banners/836823123165134848/1690663129</v>
      </c>
      <c r="BI1436" s="86"/>
      <c r="BJ1436" s="86" t="s">
        <v>29134</v>
      </c>
      <c r="BK1436" s="86" t="b">
        <v>0</v>
      </c>
      <c r="BL1436" s="86"/>
      <c r="BM1436" s="86" t="s">
        <v>66</v>
      </c>
      <c r="BN1436" s="86" t="s">
        <v>29136</v>
      </c>
      <c r="BO1436" s="96" t="str">
        <f>HYPERLINK("https://twitter.com/pedroconda87")</f>
        <v>https://twitter.com/pedroconda87</v>
      </c>
      <c r="BP1436" s="2"/>
    </row>
    <row r="1437" spans="1:68" x14ac:dyDescent="0.25">
      <c r="A1437" s="63" t="s">
        <v>1452</v>
      </c>
      <c r="B1437" s="64"/>
      <c r="C1437" s="64"/>
      <c r="D1437" s="65"/>
      <c r="E1437" s="67"/>
      <c r="F1437" s="111" t="str">
        <f>HYPERLINK("https://pbs.twimg.com/profile_images/1647115741512998913/mQf5lyXf_normal.jpg")</f>
        <v>https://pbs.twimg.com/profile_images/1647115741512998913/mQf5lyXf_normal.jpg</v>
      </c>
      <c r="G1437" s="64"/>
      <c r="H1437" s="68"/>
      <c r="I1437" s="69"/>
      <c r="J1437" s="69"/>
      <c r="K1437" s="68" t="s">
        <v>30570</v>
      </c>
      <c r="L1437" s="72"/>
      <c r="M1437" s="73"/>
      <c r="N1437" s="73"/>
      <c r="O1437" s="74"/>
      <c r="P1437" s="75"/>
      <c r="Q1437" s="75"/>
      <c r="R1437" s="102"/>
      <c r="S1437" s="102"/>
      <c r="T1437" s="102"/>
      <c r="U1437" s="102"/>
      <c r="V1437" s="48"/>
      <c r="W1437" s="48"/>
      <c r="X1437" s="48"/>
      <c r="Y1437" s="48"/>
      <c r="Z1437" s="47"/>
      <c r="AA1437" s="70">
        <v>1437</v>
      </c>
      <c r="AB1437" s="70"/>
      <c r="AC1437" s="71"/>
      <c r="AD1437" s="86" t="s">
        <v>25028</v>
      </c>
      <c r="AE1437" s="94" t="s">
        <v>23507</v>
      </c>
      <c r="AF1437" s="86">
        <v>3</v>
      </c>
      <c r="AG1437" s="86">
        <v>2</v>
      </c>
      <c r="AH1437" s="86">
        <v>9</v>
      </c>
      <c r="AI1437" s="86">
        <v>0</v>
      </c>
      <c r="AJ1437" s="86">
        <v>5</v>
      </c>
      <c r="AK1437" s="86">
        <v>5</v>
      </c>
      <c r="AL1437" s="86" t="b">
        <v>0</v>
      </c>
      <c r="AM1437" s="89">
        <v>45018.88989583333</v>
      </c>
      <c r="AN1437" s="86" t="s">
        <v>26364</v>
      </c>
      <c r="AO1437" s="86" t="s">
        <v>27730</v>
      </c>
      <c r="AP1437" s="96" t="str">
        <f>HYPERLINK("https://t.co/tGFuljiMId")</f>
        <v>https://t.co/tGFuljiMId</v>
      </c>
      <c r="AQ1437" s="96" t="str">
        <f>HYPERLINK("http://www.podebem.com")</f>
        <v>http://www.podebem.com</v>
      </c>
      <c r="AR1437" s="86" t="s">
        <v>28865</v>
      </c>
      <c r="AS1437" s="86"/>
      <c r="AT1437" s="86"/>
      <c r="AU1437" s="86"/>
      <c r="AV1437" s="86"/>
      <c r="AW1437" s="96" t="str">
        <f>HYPERLINK("https://t.co/tGFuljiMId")</f>
        <v>https://t.co/tGFuljiMId</v>
      </c>
      <c r="AX1437" s="86" t="b">
        <v>0</v>
      </c>
      <c r="AY1437" s="86"/>
      <c r="AZ1437" s="86"/>
      <c r="BA1437" s="86" t="b">
        <v>0</v>
      </c>
      <c r="BB1437" s="86" t="b">
        <v>1</v>
      </c>
      <c r="BC1437" s="86" t="b">
        <v>1</v>
      </c>
      <c r="BD1437" s="86" t="b">
        <v>0</v>
      </c>
      <c r="BE1437" s="86" t="b">
        <v>0</v>
      </c>
      <c r="BF1437" s="86" t="b">
        <v>0</v>
      </c>
      <c r="BG1437" s="86" t="b">
        <v>0</v>
      </c>
      <c r="BH1437" s="96" t="str">
        <f>HYPERLINK("https://pbs.twimg.com/profile_banners/1642638343199506436/1681538082")</f>
        <v>https://pbs.twimg.com/profile_banners/1642638343199506436/1681538082</v>
      </c>
      <c r="BI1437" s="86"/>
      <c r="BJ1437" s="86" t="s">
        <v>29134</v>
      </c>
      <c r="BK1437" s="86" t="b">
        <v>0</v>
      </c>
      <c r="BL1437" s="86"/>
      <c r="BM1437" s="86" t="s">
        <v>66</v>
      </c>
      <c r="BN1437" s="86" t="s">
        <v>29136</v>
      </c>
      <c r="BO1437" s="96" t="str">
        <f>HYPERLINK("https://twitter.com/_podebem")</f>
        <v>https://twitter.com/_podebem</v>
      </c>
      <c r="BP1437" s="2"/>
    </row>
    <row r="1438" spans="1:68" x14ac:dyDescent="0.25">
      <c r="A1438" s="63" t="s">
        <v>1453</v>
      </c>
      <c r="B1438" s="64"/>
      <c r="C1438" s="64"/>
      <c r="D1438" s="65"/>
      <c r="E1438" s="67"/>
      <c r="F1438" s="111" t="str">
        <f>HYPERLINK("https://pbs.twimg.com/profile_images/1557700165489901568/z5aUw1Im_normal.jpg")</f>
        <v>https://pbs.twimg.com/profile_images/1557700165489901568/z5aUw1Im_normal.jpg</v>
      </c>
      <c r="G1438" s="64"/>
      <c r="H1438" s="68"/>
      <c r="I1438" s="69"/>
      <c r="J1438" s="69"/>
      <c r="K1438" s="68" t="s">
        <v>30571</v>
      </c>
      <c r="L1438" s="72"/>
      <c r="M1438" s="73"/>
      <c r="N1438" s="73"/>
      <c r="O1438" s="74"/>
      <c r="P1438" s="75"/>
      <c r="Q1438" s="75"/>
      <c r="R1438" s="102"/>
      <c r="S1438" s="102"/>
      <c r="T1438" s="102"/>
      <c r="U1438" s="102"/>
      <c r="V1438" s="48"/>
      <c r="W1438" s="48"/>
      <c r="X1438" s="48"/>
      <c r="Y1438" s="48"/>
      <c r="Z1438" s="47"/>
      <c r="AA1438" s="70">
        <v>1438</v>
      </c>
      <c r="AB1438" s="70"/>
      <c r="AC1438" s="71"/>
      <c r="AD1438" s="86" t="s">
        <v>25029</v>
      </c>
      <c r="AE1438" s="94" t="s">
        <v>22648</v>
      </c>
      <c r="AF1438" s="86">
        <v>42</v>
      </c>
      <c r="AG1438" s="86">
        <v>57</v>
      </c>
      <c r="AH1438" s="86">
        <v>1220</v>
      </c>
      <c r="AI1438" s="86">
        <v>0</v>
      </c>
      <c r="AJ1438" s="86">
        <v>22</v>
      </c>
      <c r="AK1438" s="86">
        <v>649</v>
      </c>
      <c r="AL1438" s="86" t="b">
        <v>0</v>
      </c>
      <c r="AM1438" s="89">
        <v>40036.046597222223</v>
      </c>
      <c r="AN1438" s="86" t="s">
        <v>25939</v>
      </c>
      <c r="AO1438" s="86" t="s">
        <v>27731</v>
      </c>
      <c r="AP1438" s="96" t="str">
        <f>HYPERLINK("https://t.co/pjmlLNxwv3")</f>
        <v>https://t.co/pjmlLNxwv3</v>
      </c>
      <c r="AQ1438" s="96" t="str">
        <f>HYPERLINK("https://linktr.ee/luisnamura")</f>
        <v>https://linktr.ee/luisnamura</v>
      </c>
      <c r="AR1438" s="86" t="s">
        <v>28866</v>
      </c>
      <c r="AS1438" s="86"/>
      <c r="AT1438" s="86"/>
      <c r="AU1438" s="86"/>
      <c r="AV1438" s="86"/>
      <c r="AW1438" s="96" t="str">
        <f>HYPERLINK("https://t.co/pjmlLNxwv3")</f>
        <v>https://t.co/pjmlLNxwv3</v>
      </c>
      <c r="AX1438" s="86" t="b">
        <v>0</v>
      </c>
      <c r="AY1438" s="86"/>
      <c r="AZ1438" s="86"/>
      <c r="BA1438" s="86" t="b">
        <v>0</v>
      </c>
      <c r="BB1438" s="86" t="b">
        <v>1</v>
      </c>
      <c r="BC1438" s="86" t="b">
        <v>0</v>
      </c>
      <c r="BD1438" s="86" t="b">
        <v>0</v>
      </c>
      <c r="BE1438" s="86" t="b">
        <v>0</v>
      </c>
      <c r="BF1438" s="86" t="b">
        <v>0</v>
      </c>
      <c r="BG1438" s="86" t="b">
        <v>0</v>
      </c>
      <c r="BH1438" s="96" t="str">
        <f>HYPERLINK("https://pbs.twimg.com/profile_banners/64577864/1660218671")</f>
        <v>https://pbs.twimg.com/profile_banners/64577864/1660218671</v>
      </c>
      <c r="BI1438" s="86"/>
      <c r="BJ1438" s="86" t="s">
        <v>29134</v>
      </c>
      <c r="BK1438" s="86" t="b">
        <v>0</v>
      </c>
      <c r="BL1438" s="86"/>
      <c r="BM1438" s="86" t="s">
        <v>66</v>
      </c>
      <c r="BN1438" s="86" t="s">
        <v>29136</v>
      </c>
      <c r="BO1438" s="96" t="str">
        <f>HYPERLINK("https://twitter.com/luisnamura")</f>
        <v>https://twitter.com/luisnamura</v>
      </c>
      <c r="BP1438" s="2"/>
    </row>
    <row r="1439" spans="1:68" x14ac:dyDescent="0.25">
      <c r="A1439" s="63" t="s">
        <v>1454</v>
      </c>
      <c r="B1439" s="64"/>
      <c r="C1439" s="64"/>
      <c r="D1439" s="65"/>
      <c r="E1439" s="67"/>
      <c r="F1439" s="111" t="str">
        <f>HYPERLINK("https://pbs.twimg.com/profile_images/1634938542341095425/dOVa5lYx_normal.jpg")</f>
        <v>https://pbs.twimg.com/profile_images/1634938542341095425/dOVa5lYx_normal.jpg</v>
      </c>
      <c r="G1439" s="64"/>
      <c r="H1439" s="68"/>
      <c r="I1439" s="69"/>
      <c r="J1439" s="69"/>
      <c r="K1439" s="68" t="s">
        <v>30572</v>
      </c>
      <c r="L1439" s="72"/>
      <c r="M1439" s="73"/>
      <c r="N1439" s="73"/>
      <c r="O1439" s="74"/>
      <c r="P1439" s="75"/>
      <c r="Q1439" s="75"/>
      <c r="R1439" s="102"/>
      <c r="S1439" s="102"/>
      <c r="T1439" s="102"/>
      <c r="U1439" s="102"/>
      <c r="V1439" s="48"/>
      <c r="W1439" s="48"/>
      <c r="X1439" s="48"/>
      <c r="Y1439" s="48"/>
      <c r="Z1439" s="47"/>
      <c r="AA1439" s="70">
        <v>1439</v>
      </c>
      <c r="AB1439" s="70"/>
      <c r="AC1439" s="71"/>
      <c r="AD1439" s="86" t="s">
        <v>25030</v>
      </c>
      <c r="AE1439" s="94" t="s">
        <v>25800</v>
      </c>
      <c r="AF1439" s="86">
        <v>662</v>
      </c>
      <c r="AG1439" s="86">
        <v>566</v>
      </c>
      <c r="AH1439" s="86">
        <v>11039</v>
      </c>
      <c r="AI1439" s="86">
        <v>11</v>
      </c>
      <c r="AJ1439" s="86">
        <v>8699</v>
      </c>
      <c r="AK1439" s="86">
        <v>3975</v>
      </c>
      <c r="AL1439" s="86" t="b">
        <v>0</v>
      </c>
      <c r="AM1439" s="89">
        <v>39894.224664351852</v>
      </c>
      <c r="AN1439" s="86" t="s">
        <v>26365</v>
      </c>
      <c r="AO1439" s="86" t="s">
        <v>27732</v>
      </c>
      <c r="AP1439" s="96" t="str">
        <f>HYPERLINK("https://t.co/QJz19weUFl")</f>
        <v>https://t.co/QJz19weUFl</v>
      </c>
      <c r="AQ1439" s="96" t="str">
        <f>HYPERLINK("http://www.showdoimovel.com")</f>
        <v>http://www.showdoimovel.com</v>
      </c>
      <c r="AR1439" s="86" t="s">
        <v>28867</v>
      </c>
      <c r="AS1439" s="86"/>
      <c r="AT1439" s="86"/>
      <c r="AU1439" s="86"/>
      <c r="AV1439" s="86"/>
      <c r="AW1439" s="96" t="str">
        <f>HYPERLINK("https://t.co/QJz19weUFl")</f>
        <v>https://t.co/QJz19weUFl</v>
      </c>
      <c r="AX1439" s="86" t="b">
        <v>0</v>
      </c>
      <c r="AY1439" s="86"/>
      <c r="AZ1439" s="86"/>
      <c r="BA1439" s="86" t="b">
        <v>0</v>
      </c>
      <c r="BB1439" s="86" t="b">
        <v>1</v>
      </c>
      <c r="BC1439" s="86" t="b">
        <v>0</v>
      </c>
      <c r="BD1439" s="86" t="b">
        <v>0</v>
      </c>
      <c r="BE1439" s="86" t="b">
        <v>0</v>
      </c>
      <c r="BF1439" s="86" t="b">
        <v>0</v>
      </c>
      <c r="BG1439" s="86" t="b">
        <v>0</v>
      </c>
      <c r="BH1439" s="96" t="str">
        <f>HYPERLINK("https://pbs.twimg.com/profile_banners/25785638/1456138166")</f>
        <v>https://pbs.twimg.com/profile_banners/25785638/1456138166</v>
      </c>
      <c r="BI1439" s="86"/>
      <c r="BJ1439" s="86" t="s">
        <v>29134</v>
      </c>
      <c r="BK1439" s="86" t="b">
        <v>0</v>
      </c>
      <c r="BL1439" s="86"/>
      <c r="BM1439" s="86" t="s">
        <v>66</v>
      </c>
      <c r="BN1439" s="86" t="s">
        <v>29136</v>
      </c>
      <c r="BO1439" s="96" t="str">
        <f>HYPERLINK("https://twitter.com/felipegodoy")</f>
        <v>https://twitter.com/felipegodoy</v>
      </c>
      <c r="BP1439" s="2"/>
    </row>
    <row r="1440" spans="1:68" x14ac:dyDescent="0.25">
      <c r="A1440" s="63" t="s">
        <v>1455</v>
      </c>
      <c r="B1440" s="64"/>
      <c r="C1440" s="64"/>
      <c r="D1440" s="65"/>
      <c r="E1440" s="67"/>
      <c r="F1440" s="111" t="str">
        <f>HYPERLINK("https://pbs.twimg.com/profile_images/1674515659215060996/mWKrsRur_normal.jpg")</f>
        <v>https://pbs.twimg.com/profile_images/1674515659215060996/mWKrsRur_normal.jpg</v>
      </c>
      <c r="G1440" s="64"/>
      <c r="H1440" s="68"/>
      <c r="I1440" s="69"/>
      <c r="J1440" s="69"/>
      <c r="K1440" s="68" t="s">
        <v>30573</v>
      </c>
      <c r="L1440" s="72"/>
      <c r="M1440" s="73"/>
      <c r="N1440" s="73"/>
      <c r="O1440" s="74"/>
      <c r="P1440" s="75"/>
      <c r="Q1440" s="75"/>
      <c r="R1440" s="102"/>
      <c r="S1440" s="102"/>
      <c r="T1440" s="102"/>
      <c r="U1440" s="102"/>
      <c r="V1440" s="48"/>
      <c r="W1440" s="48"/>
      <c r="X1440" s="48"/>
      <c r="Y1440" s="48"/>
      <c r="Z1440" s="47"/>
      <c r="AA1440" s="70">
        <v>1440</v>
      </c>
      <c r="AB1440" s="70"/>
      <c r="AC1440" s="71"/>
      <c r="AD1440" s="86" t="s">
        <v>25031</v>
      </c>
      <c r="AE1440" s="94" t="s">
        <v>23508</v>
      </c>
      <c r="AF1440" s="86">
        <v>1</v>
      </c>
      <c r="AG1440" s="86">
        <v>3</v>
      </c>
      <c r="AH1440" s="86">
        <v>3</v>
      </c>
      <c r="AI1440" s="86">
        <v>0</v>
      </c>
      <c r="AJ1440" s="86">
        <v>0</v>
      </c>
      <c r="AK1440" s="86">
        <v>2</v>
      </c>
      <c r="AL1440" s="86" t="b">
        <v>0</v>
      </c>
      <c r="AM1440" s="89">
        <v>45086.644479166665</v>
      </c>
      <c r="AN1440" s="86"/>
      <c r="AO1440" s="86"/>
      <c r="AP1440" s="86"/>
      <c r="AQ1440" s="86"/>
      <c r="AR1440" s="86"/>
      <c r="AS1440" s="86"/>
      <c r="AT1440" s="86"/>
      <c r="AU1440" s="86"/>
      <c r="AV1440" s="86"/>
      <c r="AW1440" s="86"/>
      <c r="AX1440" s="86" t="b">
        <v>0</v>
      </c>
      <c r="AY1440" s="86"/>
      <c r="AZ1440" s="86"/>
      <c r="BA1440" s="86" t="b">
        <v>0</v>
      </c>
      <c r="BB1440" s="86" t="b">
        <v>1</v>
      </c>
      <c r="BC1440" s="86" t="b">
        <v>1</v>
      </c>
      <c r="BD1440" s="86" t="b">
        <v>0</v>
      </c>
      <c r="BE1440" s="86" t="b">
        <v>0</v>
      </c>
      <c r="BF1440" s="86" t="b">
        <v>0</v>
      </c>
      <c r="BG1440" s="86" t="b">
        <v>0</v>
      </c>
      <c r="BH1440" s="96" t="str">
        <f>HYPERLINK("https://pbs.twimg.com/profile_banners/1667191635636109312/1688497187")</f>
        <v>https://pbs.twimg.com/profile_banners/1667191635636109312/1688497187</v>
      </c>
      <c r="BI1440" s="86"/>
      <c r="BJ1440" s="86" t="s">
        <v>29134</v>
      </c>
      <c r="BK1440" s="86" t="b">
        <v>0</v>
      </c>
      <c r="BL1440" s="86"/>
      <c r="BM1440" s="86" t="s">
        <v>66</v>
      </c>
      <c r="BN1440" s="86" t="s">
        <v>29136</v>
      </c>
      <c r="BO1440" s="96" t="str">
        <f>HYPERLINK("https://twitter.com/sofiaresolve")</f>
        <v>https://twitter.com/sofiaresolve</v>
      </c>
      <c r="BP1440" s="2"/>
    </row>
    <row r="1441" spans="1:68" x14ac:dyDescent="0.25">
      <c r="A1441" s="63" t="s">
        <v>1456</v>
      </c>
      <c r="B1441" s="64"/>
      <c r="C1441" s="64"/>
      <c r="D1441" s="65"/>
      <c r="E1441" s="67"/>
      <c r="F1441" s="111" t="str">
        <f>HYPERLINK("https://pbs.twimg.com/profile_images/1638968226687119371/fCmzxcmI_normal.jpg")</f>
        <v>https://pbs.twimg.com/profile_images/1638968226687119371/fCmzxcmI_normal.jpg</v>
      </c>
      <c r="G1441" s="64"/>
      <c r="H1441" s="68"/>
      <c r="I1441" s="69"/>
      <c r="J1441" s="69"/>
      <c r="K1441" s="68" t="s">
        <v>30574</v>
      </c>
      <c r="L1441" s="72"/>
      <c r="M1441" s="73"/>
      <c r="N1441" s="73"/>
      <c r="O1441" s="74"/>
      <c r="P1441" s="75"/>
      <c r="Q1441" s="75"/>
      <c r="R1441" s="102"/>
      <c r="S1441" s="102"/>
      <c r="T1441" s="102"/>
      <c r="U1441" s="102"/>
      <c r="V1441" s="48"/>
      <c r="W1441" s="48"/>
      <c r="X1441" s="48"/>
      <c r="Y1441" s="48"/>
      <c r="Z1441" s="47"/>
      <c r="AA1441" s="70">
        <v>1441</v>
      </c>
      <c r="AB1441" s="70"/>
      <c r="AC1441" s="71"/>
      <c r="AD1441" s="86" t="s">
        <v>25032</v>
      </c>
      <c r="AE1441" s="94" t="s">
        <v>25801</v>
      </c>
      <c r="AF1441" s="86">
        <v>334</v>
      </c>
      <c r="AG1441" s="86">
        <v>264</v>
      </c>
      <c r="AH1441" s="86">
        <v>344</v>
      </c>
      <c r="AI1441" s="86">
        <v>5</v>
      </c>
      <c r="AJ1441" s="86">
        <v>52</v>
      </c>
      <c r="AK1441" s="86">
        <v>207</v>
      </c>
      <c r="AL1441" s="86" t="b">
        <v>0</v>
      </c>
      <c r="AM1441" s="89">
        <v>40735.836747685185</v>
      </c>
      <c r="AN1441" s="86" t="s">
        <v>26366</v>
      </c>
      <c r="AO1441" s="86" t="s">
        <v>27733</v>
      </c>
      <c r="AP1441" s="96" t="str">
        <f>HYPERLINK("https://t.co/QFhPceCvI4")</f>
        <v>https://t.co/QFhPceCvI4</v>
      </c>
      <c r="AQ1441" s="96" t="str">
        <f>HYPERLINK("http://www.aciaanapolis.com.br")</f>
        <v>http://www.aciaanapolis.com.br</v>
      </c>
      <c r="AR1441" s="86" t="s">
        <v>28868</v>
      </c>
      <c r="AS1441" s="86"/>
      <c r="AT1441" s="86"/>
      <c r="AU1441" s="86"/>
      <c r="AV1441" s="86"/>
      <c r="AW1441" s="96" t="str">
        <f>HYPERLINK("https://t.co/QFhPceCvI4")</f>
        <v>https://t.co/QFhPceCvI4</v>
      </c>
      <c r="AX1441" s="86" t="b">
        <v>0</v>
      </c>
      <c r="AY1441" s="86"/>
      <c r="AZ1441" s="86"/>
      <c r="BA1441" s="86" t="b">
        <v>0</v>
      </c>
      <c r="BB1441" s="86" t="b">
        <v>1</v>
      </c>
      <c r="BC1441" s="86" t="b">
        <v>1</v>
      </c>
      <c r="BD1441" s="86" t="b">
        <v>0</v>
      </c>
      <c r="BE1441" s="86" t="b">
        <v>0</v>
      </c>
      <c r="BF1441" s="86" t="b">
        <v>0</v>
      </c>
      <c r="BG1441" s="86" t="b">
        <v>0</v>
      </c>
      <c r="BH1441" s="96" t="str">
        <f>HYPERLINK("https://pbs.twimg.com/profile_banners/333605168/1650301500")</f>
        <v>https://pbs.twimg.com/profile_banners/333605168/1650301500</v>
      </c>
      <c r="BI1441" s="86"/>
      <c r="BJ1441" s="86" t="s">
        <v>29134</v>
      </c>
      <c r="BK1441" s="86" t="b">
        <v>0</v>
      </c>
      <c r="BL1441" s="86"/>
      <c r="BM1441" s="86" t="s">
        <v>66</v>
      </c>
      <c r="BN1441" s="86" t="s">
        <v>29136</v>
      </c>
      <c r="BO1441" s="96" t="str">
        <f>HYPERLINK("https://twitter.com/aciaanapolis")</f>
        <v>https://twitter.com/aciaanapolis</v>
      </c>
      <c r="BP1441" s="2"/>
    </row>
    <row r="1442" spans="1:68" x14ac:dyDescent="0.25">
      <c r="A1442" s="63" t="s">
        <v>1457</v>
      </c>
      <c r="B1442" s="64"/>
      <c r="C1442" s="64"/>
      <c r="D1442" s="65"/>
      <c r="E1442" s="67"/>
      <c r="F1442" s="111" t="str">
        <f>HYPERLINK("https://pbs.twimg.com/profile_images/1448674312748208131/4zN0lm9M_normal.jpg")</f>
        <v>https://pbs.twimg.com/profile_images/1448674312748208131/4zN0lm9M_normal.jpg</v>
      </c>
      <c r="G1442" s="64"/>
      <c r="H1442" s="68"/>
      <c r="I1442" s="69"/>
      <c r="J1442" s="69"/>
      <c r="K1442" s="68" t="s">
        <v>30575</v>
      </c>
      <c r="L1442" s="72"/>
      <c r="M1442" s="73"/>
      <c r="N1442" s="73"/>
      <c r="O1442" s="74"/>
      <c r="P1442" s="75"/>
      <c r="Q1442" s="75"/>
      <c r="R1442" s="102"/>
      <c r="S1442" s="102"/>
      <c r="T1442" s="102"/>
      <c r="U1442" s="102"/>
      <c r="V1442" s="48"/>
      <c r="W1442" s="48"/>
      <c r="X1442" s="48"/>
      <c r="Y1442" s="48"/>
      <c r="Z1442" s="47"/>
      <c r="AA1442" s="70">
        <v>1442</v>
      </c>
      <c r="AB1442" s="70"/>
      <c r="AC1442" s="71"/>
      <c r="AD1442" s="86" t="s">
        <v>25033</v>
      </c>
      <c r="AE1442" s="94" t="s">
        <v>25802</v>
      </c>
      <c r="AF1442" s="86">
        <v>2960</v>
      </c>
      <c r="AG1442" s="86">
        <v>102</v>
      </c>
      <c r="AH1442" s="86">
        <v>4319</v>
      </c>
      <c r="AI1442" s="86">
        <v>0</v>
      </c>
      <c r="AJ1442" s="86">
        <v>3119</v>
      </c>
      <c r="AK1442" s="86">
        <v>854</v>
      </c>
      <c r="AL1442" s="86" t="b">
        <v>0</v>
      </c>
      <c r="AM1442" s="89">
        <v>40090.770891203705</v>
      </c>
      <c r="AN1442" s="86" t="s">
        <v>26017</v>
      </c>
      <c r="AO1442" s="86" t="s">
        <v>27734</v>
      </c>
      <c r="AP1442" s="96" t="str">
        <f>HYPERLINK("https://t.co/CwP5OntUWE")</f>
        <v>https://t.co/CwP5OntUWE</v>
      </c>
      <c r="AQ1442" s="96" t="str">
        <f>HYPERLINK("http://imd.ufrn.br")</f>
        <v>http://imd.ufrn.br</v>
      </c>
      <c r="AR1442" s="86" t="s">
        <v>28869</v>
      </c>
      <c r="AS1442" s="86"/>
      <c r="AT1442" s="86"/>
      <c r="AU1442" s="86"/>
      <c r="AV1442" s="86"/>
      <c r="AW1442" s="96" t="str">
        <f>HYPERLINK("https://t.co/CwP5OntUWE")</f>
        <v>https://t.co/CwP5OntUWE</v>
      </c>
      <c r="AX1442" s="86" t="b">
        <v>0</v>
      </c>
      <c r="AY1442" s="86"/>
      <c r="AZ1442" s="86"/>
      <c r="BA1442" s="86" t="b">
        <v>1</v>
      </c>
      <c r="BB1442" s="86" t="b">
        <v>0</v>
      </c>
      <c r="BC1442" s="86" t="b">
        <v>0</v>
      </c>
      <c r="BD1442" s="86" t="b">
        <v>0</v>
      </c>
      <c r="BE1442" s="86" t="b">
        <v>1</v>
      </c>
      <c r="BF1442" s="86" t="b">
        <v>0</v>
      </c>
      <c r="BG1442" s="86" t="b">
        <v>0</v>
      </c>
      <c r="BH1442" s="96" t="str">
        <f>HYPERLINK("https://pbs.twimg.com/profile_banners/79797156/1634226706")</f>
        <v>https://pbs.twimg.com/profile_banners/79797156/1634226706</v>
      </c>
      <c r="BI1442" s="86"/>
      <c r="BJ1442" s="86" t="s">
        <v>29134</v>
      </c>
      <c r="BK1442" s="86" t="b">
        <v>0</v>
      </c>
      <c r="BL1442" s="86"/>
      <c r="BM1442" s="86" t="s">
        <v>66</v>
      </c>
      <c r="BN1442" s="86" t="s">
        <v>29136</v>
      </c>
      <c r="BO1442" s="96" t="str">
        <f>HYPERLINK("https://twitter.com/metropoledigi")</f>
        <v>https://twitter.com/metropoledigi</v>
      </c>
      <c r="BP1442" s="2"/>
    </row>
    <row r="1443" spans="1:68" x14ac:dyDescent="0.25">
      <c r="A1443" s="63" t="s">
        <v>1458</v>
      </c>
      <c r="B1443" s="64"/>
      <c r="C1443" s="64"/>
      <c r="D1443" s="65"/>
      <c r="E1443" s="67"/>
      <c r="F1443" s="111" t="str">
        <f>HYPERLINK("https://pbs.twimg.com/profile_images/1452373054202470415/g1Lu2V0Z_normal.jpg")</f>
        <v>https://pbs.twimg.com/profile_images/1452373054202470415/g1Lu2V0Z_normal.jpg</v>
      </c>
      <c r="G1443" s="64"/>
      <c r="H1443" s="68"/>
      <c r="I1443" s="69"/>
      <c r="J1443" s="69"/>
      <c r="K1443" s="68" t="s">
        <v>30576</v>
      </c>
      <c r="L1443" s="72"/>
      <c r="M1443" s="73"/>
      <c r="N1443" s="73"/>
      <c r="O1443" s="74"/>
      <c r="P1443" s="75"/>
      <c r="Q1443" s="75"/>
      <c r="R1443" s="102"/>
      <c r="S1443" s="102"/>
      <c r="T1443" s="102"/>
      <c r="U1443" s="102"/>
      <c r="V1443" s="48"/>
      <c r="W1443" s="48"/>
      <c r="X1443" s="48"/>
      <c r="Y1443" s="48"/>
      <c r="Z1443" s="47"/>
      <c r="AA1443" s="70">
        <v>1443</v>
      </c>
      <c r="AB1443" s="70"/>
      <c r="AC1443" s="71"/>
      <c r="AD1443" s="86" t="s">
        <v>25034</v>
      </c>
      <c r="AE1443" s="94" t="s">
        <v>23509</v>
      </c>
      <c r="AF1443" s="86">
        <v>107</v>
      </c>
      <c r="AG1443" s="86">
        <v>1308</v>
      </c>
      <c r="AH1443" s="86">
        <v>937</v>
      </c>
      <c r="AI1443" s="86">
        <v>0</v>
      </c>
      <c r="AJ1443" s="86">
        <v>65</v>
      </c>
      <c r="AK1443" s="86">
        <v>816</v>
      </c>
      <c r="AL1443" s="86" t="b">
        <v>0</v>
      </c>
      <c r="AM1443" s="89">
        <v>44493.857361111113</v>
      </c>
      <c r="AN1443" s="86"/>
      <c r="AO1443" s="86" t="s">
        <v>27735</v>
      </c>
      <c r="AP1443" s="96" t="str">
        <f>HYPERLINK("https://t.co/2RtItVkjLl")</f>
        <v>https://t.co/2RtItVkjLl</v>
      </c>
      <c r="AQ1443" s="96" t="str">
        <f>HYPERLINK("https://linktr.ee/pptnaocompila")</f>
        <v>https://linktr.ee/pptnaocompila</v>
      </c>
      <c r="AR1443" s="86" t="s">
        <v>28870</v>
      </c>
      <c r="AS1443" s="96" t="str">
        <f>HYPERLINK("https://t.co/Qa0x0Tc2RM")</f>
        <v>https://t.co/Qa0x0Tc2RM</v>
      </c>
      <c r="AT1443" s="96" t="str">
        <f>HYPERLINK("https://bit.ly/32YOr6F")</f>
        <v>https://bit.ly/32YOr6F</v>
      </c>
      <c r="AU1443" s="86" t="s">
        <v>29121</v>
      </c>
      <c r="AV1443" s="86">
        <v>1.61314386888253E+18</v>
      </c>
      <c r="AW1443" s="96" t="str">
        <f>HYPERLINK("https://t.co/2RtItVkjLl")</f>
        <v>https://t.co/2RtItVkjLl</v>
      </c>
      <c r="AX1443" s="86" t="b">
        <v>0</v>
      </c>
      <c r="AY1443" s="86"/>
      <c r="AZ1443" s="86"/>
      <c r="BA1443" s="86" t="b">
        <v>0</v>
      </c>
      <c r="BB1443" s="86" t="b">
        <v>1</v>
      </c>
      <c r="BC1443" s="86" t="b">
        <v>1</v>
      </c>
      <c r="BD1443" s="86" t="b">
        <v>0</v>
      </c>
      <c r="BE1443" s="86" t="b">
        <v>0</v>
      </c>
      <c r="BF1443" s="86" t="b">
        <v>0</v>
      </c>
      <c r="BG1443" s="86" t="b">
        <v>0</v>
      </c>
      <c r="BH1443" s="96" t="str">
        <f>HYPERLINK("https://pbs.twimg.com/profile_banners/1452372929556193290/1641507884")</f>
        <v>https://pbs.twimg.com/profile_banners/1452372929556193290/1641507884</v>
      </c>
      <c r="BI1443" s="86"/>
      <c r="BJ1443" s="86" t="s">
        <v>29134</v>
      </c>
      <c r="BK1443" s="86" t="b">
        <v>0</v>
      </c>
      <c r="BL1443" s="86"/>
      <c r="BM1443" s="86" t="s">
        <v>66</v>
      </c>
      <c r="BN1443" s="86" t="s">
        <v>29136</v>
      </c>
      <c r="BO1443" s="96" t="str">
        <f>HYPERLINK("https://twitter.com/pptnaocompila")</f>
        <v>https://twitter.com/pptnaocompila</v>
      </c>
      <c r="BP1443" s="2"/>
    </row>
    <row r="1444" spans="1:68" x14ac:dyDescent="0.25">
      <c r="A1444" s="63" t="s">
        <v>1459</v>
      </c>
      <c r="B1444" s="64"/>
      <c r="C1444" s="64"/>
      <c r="D1444" s="65"/>
      <c r="E1444" s="67"/>
      <c r="F1444" s="111" t="str">
        <f>HYPERLINK("https://pbs.twimg.com/profile_images/1435729578115338241/5k6YmA33_normal.jpg")</f>
        <v>https://pbs.twimg.com/profile_images/1435729578115338241/5k6YmA33_normal.jpg</v>
      </c>
      <c r="G1444" s="64"/>
      <c r="H1444" s="68"/>
      <c r="I1444" s="69"/>
      <c r="J1444" s="69"/>
      <c r="K1444" s="68" t="s">
        <v>30577</v>
      </c>
      <c r="L1444" s="72"/>
      <c r="M1444" s="73"/>
      <c r="N1444" s="73"/>
      <c r="O1444" s="74"/>
      <c r="P1444" s="75"/>
      <c r="Q1444" s="75"/>
      <c r="R1444" s="102"/>
      <c r="S1444" s="102"/>
      <c r="T1444" s="102"/>
      <c r="U1444" s="102"/>
      <c r="V1444" s="48"/>
      <c r="W1444" s="48"/>
      <c r="X1444" s="48"/>
      <c r="Y1444" s="48"/>
      <c r="Z1444" s="47"/>
      <c r="AA1444" s="70">
        <v>1444</v>
      </c>
      <c r="AB1444" s="70"/>
      <c r="AC1444" s="71"/>
      <c r="AD1444" s="86" t="s">
        <v>25035</v>
      </c>
      <c r="AE1444" s="94" t="s">
        <v>22649</v>
      </c>
      <c r="AF1444" s="86">
        <v>7691</v>
      </c>
      <c r="AG1444" s="86">
        <v>110</v>
      </c>
      <c r="AH1444" s="86">
        <v>1183</v>
      </c>
      <c r="AI1444" s="86">
        <v>20</v>
      </c>
      <c r="AJ1444" s="86">
        <v>49</v>
      </c>
      <c r="AK1444" s="86">
        <v>182</v>
      </c>
      <c r="AL1444" s="86" t="b">
        <v>0</v>
      </c>
      <c r="AM1444" s="89">
        <v>40354.156226851854</v>
      </c>
      <c r="AN1444" s="86" t="s">
        <v>15374</v>
      </c>
      <c r="AO1444" s="86" t="s">
        <v>27736</v>
      </c>
      <c r="AP1444" s="96" t="str">
        <f>HYPERLINK("https://t.co/qVHMxdW0WV")</f>
        <v>https://t.co/qVHMxdW0WV</v>
      </c>
      <c r="AQ1444" s="96" t="str">
        <f>HYPERLINK("http://instagram.com/diogenes")</f>
        <v>http://instagram.com/diogenes</v>
      </c>
      <c r="AR1444" s="86" t="s">
        <v>28871</v>
      </c>
      <c r="AS1444" s="86"/>
      <c r="AT1444" s="86"/>
      <c r="AU1444" s="86"/>
      <c r="AV1444" s="86"/>
      <c r="AW1444" s="96" t="str">
        <f>HYPERLINK("https://t.co/qVHMxdW0WV")</f>
        <v>https://t.co/qVHMxdW0WV</v>
      </c>
      <c r="AX1444" s="86" t="b">
        <v>1</v>
      </c>
      <c r="AY1444" s="86"/>
      <c r="AZ1444" s="86"/>
      <c r="BA1444" s="86" t="b">
        <v>1</v>
      </c>
      <c r="BB1444" s="86" t="b">
        <v>1</v>
      </c>
      <c r="BC1444" s="86" t="b">
        <v>1</v>
      </c>
      <c r="BD1444" s="86" t="b">
        <v>0</v>
      </c>
      <c r="BE1444" s="86" t="b">
        <v>0</v>
      </c>
      <c r="BF1444" s="86" t="b">
        <v>0</v>
      </c>
      <c r="BG1444" s="86" t="b">
        <v>0</v>
      </c>
      <c r="BH1444" s="96" t="str">
        <f>HYPERLINK("https://pbs.twimg.com/profile_banners/159346640/1682448121")</f>
        <v>https://pbs.twimg.com/profile_banners/159346640/1682448121</v>
      </c>
      <c r="BI1444" s="86"/>
      <c r="BJ1444" s="86" t="s">
        <v>29134</v>
      </c>
      <c r="BK1444" s="86" t="b">
        <v>0</v>
      </c>
      <c r="BL1444" s="86"/>
      <c r="BM1444" s="86" t="s">
        <v>66</v>
      </c>
      <c r="BN1444" s="86" t="s">
        <v>29136</v>
      </c>
      <c r="BO1444" s="96" t="str">
        <f>HYPERLINK("https://twitter.com/diogenes1608")</f>
        <v>https://twitter.com/diogenes1608</v>
      </c>
      <c r="BP1444" s="2"/>
    </row>
    <row r="1445" spans="1:68" x14ac:dyDescent="0.25">
      <c r="A1445" s="63" t="s">
        <v>1460</v>
      </c>
      <c r="B1445" s="64"/>
      <c r="C1445" s="64"/>
      <c r="D1445" s="65"/>
      <c r="E1445" s="67"/>
      <c r="F1445" s="111" t="str">
        <f>HYPERLINK("https://pbs.twimg.com/profile_images/1676379544654159872/g6Gu6k3O_normal.jpg")</f>
        <v>https://pbs.twimg.com/profile_images/1676379544654159872/g6Gu6k3O_normal.jpg</v>
      </c>
      <c r="G1445" s="64"/>
      <c r="H1445" s="68"/>
      <c r="I1445" s="69"/>
      <c r="J1445" s="69"/>
      <c r="K1445" s="68" t="s">
        <v>30578</v>
      </c>
      <c r="L1445" s="72"/>
      <c r="M1445" s="73"/>
      <c r="N1445" s="73"/>
      <c r="O1445" s="74"/>
      <c r="P1445" s="75"/>
      <c r="Q1445" s="75"/>
      <c r="R1445" s="102"/>
      <c r="S1445" s="102"/>
      <c r="T1445" s="102"/>
      <c r="U1445" s="102"/>
      <c r="V1445" s="48"/>
      <c r="W1445" s="48"/>
      <c r="X1445" s="48"/>
      <c r="Y1445" s="48"/>
      <c r="Z1445" s="47"/>
      <c r="AA1445" s="70">
        <v>1445</v>
      </c>
      <c r="AB1445" s="70"/>
      <c r="AC1445" s="71"/>
      <c r="AD1445" s="86" t="s">
        <v>25036</v>
      </c>
      <c r="AE1445" s="94" t="s">
        <v>22650</v>
      </c>
      <c r="AF1445" s="86">
        <v>141</v>
      </c>
      <c r="AG1445" s="86">
        <v>131</v>
      </c>
      <c r="AH1445" s="86">
        <v>281</v>
      </c>
      <c r="AI1445" s="86">
        <v>0</v>
      </c>
      <c r="AJ1445" s="86">
        <v>5</v>
      </c>
      <c r="AK1445" s="86">
        <v>19</v>
      </c>
      <c r="AL1445" s="86" t="b">
        <v>0</v>
      </c>
      <c r="AM1445" s="89">
        <v>40857.870196759257</v>
      </c>
      <c r="AN1445" s="86" t="s">
        <v>26367</v>
      </c>
      <c r="AO1445" s="86" t="s">
        <v>27737</v>
      </c>
      <c r="AP1445" s="96" t="str">
        <f>HYPERLINK("https://t.co/wRbGbelqPU")</f>
        <v>https://t.co/wRbGbelqPU</v>
      </c>
      <c r="AQ1445" s="96" t="str">
        <f>HYPERLINK("https://linktr.ee/niaviacirs")</f>
        <v>https://linktr.ee/niaviacirs</v>
      </c>
      <c r="AR1445" s="86" t="s">
        <v>28872</v>
      </c>
      <c r="AS1445" s="86"/>
      <c r="AT1445" s="86"/>
      <c r="AU1445" s="86"/>
      <c r="AV1445" s="86"/>
      <c r="AW1445" s="96" t="str">
        <f>HYPERLINK("https://t.co/wRbGbelqPU")</f>
        <v>https://t.co/wRbGbelqPU</v>
      </c>
      <c r="AX1445" s="86" t="b">
        <v>0</v>
      </c>
      <c r="AY1445" s="86"/>
      <c r="AZ1445" s="86"/>
      <c r="BA1445" s="86" t="b">
        <v>0</v>
      </c>
      <c r="BB1445" s="86" t="b">
        <v>1</v>
      </c>
      <c r="BC1445" s="86" t="b">
        <v>0</v>
      </c>
      <c r="BD1445" s="86" t="b">
        <v>0</v>
      </c>
      <c r="BE1445" s="86" t="b">
        <v>0</v>
      </c>
      <c r="BF1445" s="86" t="b">
        <v>0</v>
      </c>
      <c r="BG1445" s="86" t="b">
        <v>0</v>
      </c>
      <c r="BH1445" s="96" t="str">
        <f>HYPERLINK("https://pbs.twimg.com/profile_banners/409504724/1649105391")</f>
        <v>https://pbs.twimg.com/profile_banners/409504724/1649105391</v>
      </c>
      <c r="BI1445" s="86"/>
      <c r="BJ1445" s="86" t="s">
        <v>29134</v>
      </c>
      <c r="BK1445" s="86" t="b">
        <v>0</v>
      </c>
      <c r="BL1445" s="86"/>
      <c r="BM1445" s="86" t="s">
        <v>66</v>
      </c>
      <c r="BN1445" s="86" t="s">
        <v>29136</v>
      </c>
      <c r="BO1445" s="96" t="str">
        <f>HYPERLINK("https://twitter.com/niavitic")</f>
        <v>https://twitter.com/niavitic</v>
      </c>
      <c r="BP1445" s="2"/>
    </row>
    <row r="1446" spans="1:68" x14ac:dyDescent="0.25">
      <c r="A1446" s="63" t="s">
        <v>1819</v>
      </c>
      <c r="B1446" s="64"/>
      <c r="C1446" s="64"/>
      <c r="D1446" s="65"/>
      <c r="E1446" s="67"/>
      <c r="F1446" s="111" t="str">
        <f>HYPERLINK("https://pbs.twimg.com/profile_images/907098139/Marca-ACIRS-Lingua_e_Cultura_Italiana_Negrito_Twitter_normal.jpg")</f>
        <v>https://pbs.twimg.com/profile_images/907098139/Marca-ACIRS-Lingua_e_Cultura_Italiana_Negrito_Twitter_normal.jpg</v>
      </c>
      <c r="G1446" s="64"/>
      <c r="H1446" s="68"/>
      <c r="I1446" s="69"/>
      <c r="J1446" s="69"/>
      <c r="K1446" s="68" t="s">
        <v>30579</v>
      </c>
      <c r="L1446" s="72"/>
      <c r="M1446" s="73"/>
      <c r="N1446" s="73"/>
      <c r="O1446" s="74"/>
      <c r="P1446" s="75"/>
      <c r="Q1446" s="75"/>
      <c r="R1446" s="102"/>
      <c r="S1446" s="102"/>
      <c r="T1446" s="102"/>
      <c r="U1446" s="102"/>
      <c r="V1446" s="48"/>
      <c r="W1446" s="48"/>
      <c r="X1446" s="48"/>
      <c r="Y1446" s="48"/>
      <c r="Z1446" s="47"/>
      <c r="AA1446" s="70">
        <v>1446</v>
      </c>
      <c r="AB1446" s="70"/>
      <c r="AC1446" s="71"/>
      <c r="AD1446" s="86" t="s">
        <v>25037</v>
      </c>
      <c r="AE1446" s="94" t="s">
        <v>25803</v>
      </c>
      <c r="AF1446" s="86">
        <v>289</v>
      </c>
      <c r="AG1446" s="86">
        <v>1</v>
      </c>
      <c r="AH1446" s="86">
        <v>85</v>
      </c>
      <c r="AI1446" s="86">
        <v>7</v>
      </c>
      <c r="AJ1446" s="86">
        <v>0</v>
      </c>
      <c r="AK1446" s="86">
        <v>0</v>
      </c>
      <c r="AL1446" s="86" t="b">
        <v>0</v>
      </c>
      <c r="AM1446" s="89">
        <v>40315.52239583333</v>
      </c>
      <c r="AN1446" s="86" t="s">
        <v>26368</v>
      </c>
      <c r="AO1446" s="86" t="s">
        <v>27738</v>
      </c>
      <c r="AP1446" s="96" t="str">
        <f>HYPERLINK("http://t.co/YYfaNggbCj")</f>
        <v>http://t.co/YYfaNggbCj</v>
      </c>
      <c r="AQ1446" s="96" t="str">
        <f>HYPERLINK("http://www.acirs.org.br")</f>
        <v>http://www.acirs.org.br</v>
      </c>
      <c r="AR1446" s="86" t="s">
        <v>28873</v>
      </c>
      <c r="AS1446" s="86"/>
      <c r="AT1446" s="86"/>
      <c r="AU1446" s="86"/>
      <c r="AV1446" s="86"/>
      <c r="AW1446" s="96" t="str">
        <f>HYPERLINK("http://t.co/YYfaNggbCj")</f>
        <v>http://t.co/YYfaNggbCj</v>
      </c>
      <c r="AX1446" s="86" t="b">
        <v>0</v>
      </c>
      <c r="AY1446" s="86"/>
      <c r="AZ1446" s="86"/>
      <c r="BA1446" s="86" t="b">
        <v>0</v>
      </c>
      <c r="BB1446" s="86" t="b">
        <v>1</v>
      </c>
      <c r="BC1446" s="86" t="b">
        <v>0</v>
      </c>
      <c r="BD1446" s="86" t="b">
        <v>0</v>
      </c>
      <c r="BE1446" s="86" t="b">
        <v>0</v>
      </c>
      <c r="BF1446" s="86" t="b">
        <v>0</v>
      </c>
      <c r="BG1446" s="86" t="b">
        <v>0</v>
      </c>
      <c r="BH1446" s="86"/>
      <c r="BI1446" s="86"/>
      <c r="BJ1446" s="86" t="s">
        <v>29134</v>
      </c>
      <c r="BK1446" s="86" t="b">
        <v>0</v>
      </c>
      <c r="BL1446" s="86"/>
      <c r="BM1446" s="86" t="s">
        <v>65</v>
      </c>
      <c r="BN1446" s="86" t="s">
        <v>29136</v>
      </c>
      <c r="BO1446" s="96" t="str">
        <f>HYPERLINK("https://twitter.com/acirs")</f>
        <v>https://twitter.com/acirs</v>
      </c>
      <c r="BP1446" s="2"/>
    </row>
    <row r="1447" spans="1:68" x14ac:dyDescent="0.25">
      <c r="A1447" s="63" t="s">
        <v>1461</v>
      </c>
      <c r="B1447" s="64"/>
      <c r="C1447" s="64"/>
      <c r="D1447" s="65"/>
      <c r="E1447" s="67"/>
      <c r="F1447" s="111" t="str">
        <f>HYPERLINK("https://pbs.twimg.com/profile_images/1510736998469967875/oaa7P63a_normal.jpg")</f>
        <v>https://pbs.twimg.com/profile_images/1510736998469967875/oaa7P63a_normal.jpg</v>
      </c>
      <c r="G1447" s="64"/>
      <c r="H1447" s="68"/>
      <c r="I1447" s="69"/>
      <c r="J1447" s="69"/>
      <c r="K1447" s="68" t="s">
        <v>30580</v>
      </c>
      <c r="L1447" s="72"/>
      <c r="M1447" s="73"/>
      <c r="N1447" s="73"/>
      <c r="O1447" s="74"/>
      <c r="P1447" s="75"/>
      <c r="Q1447" s="75"/>
      <c r="R1447" s="102"/>
      <c r="S1447" s="102"/>
      <c r="T1447" s="102"/>
      <c r="U1447" s="102"/>
      <c r="V1447" s="48"/>
      <c r="W1447" s="48"/>
      <c r="X1447" s="48"/>
      <c r="Y1447" s="48"/>
      <c r="Z1447" s="47"/>
      <c r="AA1447" s="70">
        <v>1447</v>
      </c>
      <c r="AB1447" s="70"/>
      <c r="AC1447" s="71"/>
      <c r="AD1447" s="86" t="s">
        <v>25038</v>
      </c>
      <c r="AE1447" s="94" t="s">
        <v>23510</v>
      </c>
      <c r="AF1447" s="86">
        <v>0</v>
      </c>
      <c r="AG1447" s="86">
        <v>13</v>
      </c>
      <c r="AH1447" s="86">
        <v>20</v>
      </c>
      <c r="AI1447" s="86">
        <v>0</v>
      </c>
      <c r="AJ1447" s="86">
        <v>21</v>
      </c>
      <c r="AK1447" s="86">
        <v>20</v>
      </c>
      <c r="AL1447" s="86" t="b">
        <v>0</v>
      </c>
      <c r="AM1447" s="89">
        <v>44654.910682870373</v>
      </c>
      <c r="AN1447" s="86" t="s">
        <v>26369</v>
      </c>
      <c r="AO1447" s="86" t="s">
        <v>27739</v>
      </c>
      <c r="AP1447" s="86"/>
      <c r="AQ1447" s="86"/>
      <c r="AR1447" s="86"/>
      <c r="AS1447" s="86"/>
      <c r="AT1447" s="86"/>
      <c r="AU1447" s="86"/>
      <c r="AV1447" s="86"/>
      <c r="AW1447" s="86"/>
      <c r="AX1447" s="86" t="b">
        <v>0</v>
      </c>
      <c r="AY1447" s="86"/>
      <c r="AZ1447" s="86"/>
      <c r="BA1447" s="86" t="b">
        <v>0</v>
      </c>
      <c r="BB1447" s="86" t="b">
        <v>1</v>
      </c>
      <c r="BC1447" s="86" t="b">
        <v>1</v>
      </c>
      <c r="BD1447" s="86" t="b">
        <v>0</v>
      </c>
      <c r="BE1447" s="86" t="b">
        <v>0</v>
      </c>
      <c r="BF1447" s="86" t="b">
        <v>0</v>
      </c>
      <c r="BG1447" s="86" t="b">
        <v>0</v>
      </c>
      <c r="BH1447" s="86"/>
      <c r="BI1447" s="86"/>
      <c r="BJ1447" s="86" t="s">
        <v>29134</v>
      </c>
      <c r="BK1447" s="86" t="b">
        <v>0</v>
      </c>
      <c r="BL1447" s="86"/>
      <c r="BM1447" s="86" t="s">
        <v>66</v>
      </c>
      <c r="BN1447" s="86" t="s">
        <v>29136</v>
      </c>
      <c r="BO1447" s="96" t="str">
        <f>HYPERLINK("https://twitter.com/negimarjr")</f>
        <v>https://twitter.com/negimarjr</v>
      </c>
      <c r="BP1447" s="2"/>
    </row>
    <row r="1448" spans="1:68" x14ac:dyDescent="0.25">
      <c r="A1448" s="63" t="s">
        <v>1462</v>
      </c>
      <c r="B1448" s="64"/>
      <c r="C1448" s="64"/>
      <c r="D1448" s="65"/>
      <c r="E1448" s="67"/>
      <c r="F1448" s="111" t="str">
        <f>HYPERLINK("https://pbs.twimg.com/profile_images/1584144084452737025/jfoNi3sZ_normal.png")</f>
        <v>https://pbs.twimg.com/profile_images/1584144084452737025/jfoNi3sZ_normal.png</v>
      </c>
      <c r="G1448" s="64"/>
      <c r="H1448" s="68"/>
      <c r="I1448" s="69"/>
      <c r="J1448" s="69"/>
      <c r="K1448" s="68" t="s">
        <v>30581</v>
      </c>
      <c r="L1448" s="72"/>
      <c r="M1448" s="73"/>
      <c r="N1448" s="73"/>
      <c r="O1448" s="74"/>
      <c r="P1448" s="75"/>
      <c r="Q1448" s="75"/>
      <c r="R1448" s="102"/>
      <c r="S1448" s="102"/>
      <c r="T1448" s="102"/>
      <c r="U1448" s="102"/>
      <c r="V1448" s="48"/>
      <c r="W1448" s="48"/>
      <c r="X1448" s="48"/>
      <c r="Y1448" s="48"/>
      <c r="Z1448" s="47"/>
      <c r="AA1448" s="70">
        <v>1448</v>
      </c>
      <c r="AB1448" s="70"/>
      <c r="AC1448" s="71"/>
      <c r="AD1448" s="86" t="s">
        <v>25039</v>
      </c>
      <c r="AE1448" s="94" t="s">
        <v>23511</v>
      </c>
      <c r="AF1448" s="86">
        <v>22</v>
      </c>
      <c r="AG1448" s="86">
        <v>28</v>
      </c>
      <c r="AH1448" s="86">
        <v>86</v>
      </c>
      <c r="AI1448" s="86">
        <v>0</v>
      </c>
      <c r="AJ1448" s="86">
        <v>107</v>
      </c>
      <c r="AK1448" s="86">
        <v>81</v>
      </c>
      <c r="AL1448" s="86" t="b">
        <v>0</v>
      </c>
      <c r="AM1448" s="89">
        <v>44792.549571759257</v>
      </c>
      <c r="AN1448" s="86" t="s">
        <v>26370</v>
      </c>
      <c r="AO1448" s="86" t="s">
        <v>27740</v>
      </c>
      <c r="AP1448" s="96" t="str">
        <f>HYPERLINK("https://t.co/EJZsx5FBj9")</f>
        <v>https://t.co/EJZsx5FBj9</v>
      </c>
      <c r="AQ1448" s="96" t="str">
        <f>HYPERLINK("https://www.biscaromaiaadvocacia.com.br/")</f>
        <v>https://www.biscaromaiaadvocacia.com.br/</v>
      </c>
      <c r="AR1448" s="86" t="s">
        <v>28874</v>
      </c>
      <c r="AS1448" s="86"/>
      <c r="AT1448" s="86"/>
      <c r="AU1448" s="86"/>
      <c r="AV1448" s="86"/>
      <c r="AW1448" s="96" t="str">
        <f>HYPERLINK("https://t.co/EJZsx5FBj9")</f>
        <v>https://t.co/EJZsx5FBj9</v>
      </c>
      <c r="AX1448" s="86" t="b">
        <v>0</v>
      </c>
      <c r="AY1448" s="86"/>
      <c r="AZ1448" s="86"/>
      <c r="BA1448" s="86" t="b">
        <v>0</v>
      </c>
      <c r="BB1448" s="86" t="b">
        <v>1</v>
      </c>
      <c r="BC1448" s="86" t="b">
        <v>1</v>
      </c>
      <c r="BD1448" s="86" t="b">
        <v>0</v>
      </c>
      <c r="BE1448" s="86" t="b">
        <v>0</v>
      </c>
      <c r="BF1448" s="86" t="b">
        <v>0</v>
      </c>
      <c r="BG1448" s="86" t="b">
        <v>0</v>
      </c>
      <c r="BH1448" s="96" t="str">
        <f>HYPERLINK("https://pbs.twimg.com/profile_banners/1560615162662465536/1676593580")</f>
        <v>https://pbs.twimg.com/profile_banners/1560615162662465536/1676593580</v>
      </c>
      <c r="BI1448" s="86"/>
      <c r="BJ1448" s="86" t="s">
        <v>29134</v>
      </c>
      <c r="BK1448" s="86" t="b">
        <v>0</v>
      </c>
      <c r="BL1448" s="86"/>
      <c r="BM1448" s="86" t="s">
        <v>66</v>
      </c>
      <c r="BN1448" s="86" t="s">
        <v>29136</v>
      </c>
      <c r="BO1448" s="96" t="str">
        <f>HYPERLINK("https://twitter.com/biscaromaia")</f>
        <v>https://twitter.com/biscaromaia</v>
      </c>
      <c r="BP1448" s="2"/>
    </row>
    <row r="1449" spans="1:68" x14ac:dyDescent="0.25">
      <c r="A1449" s="63" t="s">
        <v>1463</v>
      </c>
      <c r="B1449" s="64"/>
      <c r="C1449" s="64"/>
      <c r="D1449" s="65"/>
      <c r="E1449" s="67"/>
      <c r="F1449" s="111" t="str">
        <f>HYPERLINK("https://pbs.twimg.com/profile_images/1676545355905740800/CWmYR7PR_normal.jpg")</f>
        <v>https://pbs.twimg.com/profile_images/1676545355905740800/CWmYR7PR_normal.jpg</v>
      </c>
      <c r="G1449" s="64"/>
      <c r="H1449" s="68"/>
      <c r="I1449" s="69"/>
      <c r="J1449" s="69"/>
      <c r="K1449" s="68" t="s">
        <v>30582</v>
      </c>
      <c r="L1449" s="72"/>
      <c r="M1449" s="73"/>
      <c r="N1449" s="73"/>
      <c r="O1449" s="74"/>
      <c r="P1449" s="75"/>
      <c r="Q1449" s="75"/>
      <c r="R1449" s="102"/>
      <c r="S1449" s="102"/>
      <c r="T1449" s="102"/>
      <c r="U1449" s="102"/>
      <c r="V1449" s="48"/>
      <c r="W1449" s="48"/>
      <c r="X1449" s="48"/>
      <c r="Y1449" s="48"/>
      <c r="Z1449" s="47"/>
      <c r="AA1449" s="70">
        <v>1449</v>
      </c>
      <c r="AB1449" s="70"/>
      <c r="AC1449" s="71"/>
      <c r="AD1449" s="86" t="s">
        <v>25040</v>
      </c>
      <c r="AE1449" s="94" t="s">
        <v>23512</v>
      </c>
      <c r="AF1449" s="86">
        <v>10</v>
      </c>
      <c r="AG1449" s="86">
        <v>97</v>
      </c>
      <c r="AH1449" s="86">
        <v>260</v>
      </c>
      <c r="AI1449" s="86">
        <v>0</v>
      </c>
      <c r="AJ1449" s="86">
        <v>349</v>
      </c>
      <c r="AK1449" s="86">
        <v>25</v>
      </c>
      <c r="AL1449" s="86" t="b">
        <v>0</v>
      </c>
      <c r="AM1449" s="89">
        <v>45112.454328703701</v>
      </c>
      <c r="AN1449" s="86"/>
      <c r="AO1449" s="86" t="s">
        <v>27741</v>
      </c>
      <c r="AP1449" s="86"/>
      <c r="AQ1449" s="86"/>
      <c r="AR1449" s="86"/>
      <c r="AS1449" s="86"/>
      <c r="AT1449" s="86"/>
      <c r="AU1449" s="86"/>
      <c r="AV1449" s="86">
        <v>1.67666190894915E+18</v>
      </c>
      <c r="AW1449" s="86"/>
      <c r="AX1449" s="86" t="b">
        <v>0</v>
      </c>
      <c r="AY1449" s="86"/>
      <c r="AZ1449" s="86"/>
      <c r="BA1449" s="86" t="b">
        <v>0</v>
      </c>
      <c r="BB1449" s="86" t="b">
        <v>1</v>
      </c>
      <c r="BC1449" s="86" t="b">
        <v>1</v>
      </c>
      <c r="BD1449" s="86" t="b">
        <v>0</v>
      </c>
      <c r="BE1449" s="86" t="b">
        <v>0</v>
      </c>
      <c r="BF1449" s="86" t="b">
        <v>0</v>
      </c>
      <c r="BG1449" s="86" t="b">
        <v>0</v>
      </c>
      <c r="BH1449" s="96" t="str">
        <f>HYPERLINK("https://pbs.twimg.com/profile_banners/1676544011060871168/1688823115")</f>
        <v>https://pbs.twimg.com/profile_banners/1676544011060871168/1688823115</v>
      </c>
      <c r="BI1449" s="86"/>
      <c r="BJ1449" s="86" t="s">
        <v>29134</v>
      </c>
      <c r="BK1449" s="86" t="b">
        <v>0</v>
      </c>
      <c r="BL1449" s="86"/>
      <c r="BM1449" s="86" t="s">
        <v>66</v>
      </c>
      <c r="BN1449" s="86" t="s">
        <v>29136</v>
      </c>
      <c r="BO1449" s="96" t="str">
        <f>HYPERLINK("https://twitter.com/cbcardoso01")</f>
        <v>https://twitter.com/cbcardoso01</v>
      </c>
      <c r="BP1449" s="2"/>
    </row>
    <row r="1450" spans="1:68" x14ac:dyDescent="0.25">
      <c r="A1450" s="63" t="s">
        <v>1464</v>
      </c>
      <c r="B1450" s="64"/>
      <c r="C1450" s="64"/>
      <c r="D1450" s="65"/>
      <c r="E1450" s="67"/>
      <c r="F1450" s="111" t="str">
        <f>HYPERLINK("https://pbs.twimg.com/profile_images/1089837021756121088/lWjVOY5J_normal.jpg")</f>
        <v>https://pbs.twimg.com/profile_images/1089837021756121088/lWjVOY5J_normal.jpg</v>
      </c>
      <c r="G1450" s="64"/>
      <c r="H1450" s="68"/>
      <c r="I1450" s="69"/>
      <c r="J1450" s="69"/>
      <c r="K1450" s="68" t="s">
        <v>30583</v>
      </c>
      <c r="L1450" s="72"/>
      <c r="M1450" s="73"/>
      <c r="N1450" s="73"/>
      <c r="O1450" s="74"/>
      <c r="P1450" s="75"/>
      <c r="Q1450" s="75"/>
      <c r="R1450" s="102"/>
      <c r="S1450" s="102"/>
      <c r="T1450" s="102"/>
      <c r="U1450" s="102"/>
      <c r="V1450" s="48"/>
      <c r="W1450" s="48"/>
      <c r="X1450" s="48"/>
      <c r="Y1450" s="48"/>
      <c r="Z1450" s="47"/>
      <c r="AA1450" s="70">
        <v>1450</v>
      </c>
      <c r="AB1450" s="70"/>
      <c r="AC1450" s="71"/>
      <c r="AD1450" s="86" t="s">
        <v>25041</v>
      </c>
      <c r="AE1450" s="94" t="s">
        <v>23513</v>
      </c>
      <c r="AF1450" s="86">
        <v>109</v>
      </c>
      <c r="AG1450" s="86">
        <v>55</v>
      </c>
      <c r="AH1450" s="86">
        <v>1248</v>
      </c>
      <c r="AI1450" s="86">
        <v>3</v>
      </c>
      <c r="AJ1450" s="86">
        <v>53</v>
      </c>
      <c r="AK1450" s="86">
        <v>728</v>
      </c>
      <c r="AL1450" s="86" t="b">
        <v>0</v>
      </c>
      <c r="AM1450" s="89">
        <v>43493.440000000002</v>
      </c>
      <c r="AN1450" s="86" t="s">
        <v>15235</v>
      </c>
      <c r="AO1450" s="86" t="s">
        <v>27742</v>
      </c>
      <c r="AP1450" s="96" t="str">
        <f>HYPERLINK("https://t.co/pKfnu2wnRO")</f>
        <v>https://t.co/pKfnu2wnRO</v>
      </c>
      <c r="AQ1450" s="96" t="str">
        <f>HYPERLINK("https://www.bi4all.pt/")</f>
        <v>https://www.bi4all.pt/</v>
      </c>
      <c r="AR1450" s="86" t="s">
        <v>28875</v>
      </c>
      <c r="AS1450" s="86"/>
      <c r="AT1450" s="86"/>
      <c r="AU1450" s="86"/>
      <c r="AV1450" s="86"/>
      <c r="AW1450" s="96" t="str">
        <f>HYPERLINK("https://t.co/pKfnu2wnRO")</f>
        <v>https://t.co/pKfnu2wnRO</v>
      </c>
      <c r="AX1450" s="86" t="b">
        <v>0</v>
      </c>
      <c r="AY1450" s="86"/>
      <c r="AZ1450" s="86"/>
      <c r="BA1450" s="86" t="b">
        <v>0</v>
      </c>
      <c r="BB1450" s="86" t="b">
        <v>1</v>
      </c>
      <c r="BC1450" s="86" t="b">
        <v>0</v>
      </c>
      <c r="BD1450" s="86" t="b">
        <v>0</v>
      </c>
      <c r="BE1450" s="86" t="b">
        <v>0</v>
      </c>
      <c r="BF1450" s="86" t="b">
        <v>0</v>
      </c>
      <c r="BG1450" s="86" t="b">
        <v>0</v>
      </c>
      <c r="BH1450" s="96" t="str">
        <f>HYPERLINK("https://pbs.twimg.com/profile_banners/1089833864082661378/1672759696")</f>
        <v>https://pbs.twimg.com/profile_banners/1089833864082661378/1672759696</v>
      </c>
      <c r="BI1450" s="86"/>
      <c r="BJ1450" s="86" t="s">
        <v>29134</v>
      </c>
      <c r="BK1450" s="86" t="b">
        <v>0</v>
      </c>
      <c r="BL1450" s="86"/>
      <c r="BM1450" s="86" t="s">
        <v>66</v>
      </c>
      <c r="BN1450" s="86" t="s">
        <v>29136</v>
      </c>
      <c r="BO1450" s="96" t="str">
        <f>HYPERLINK("https://twitter.com/bi4all_official")</f>
        <v>https://twitter.com/bi4all_official</v>
      </c>
      <c r="BP1450" s="2"/>
    </row>
    <row r="1451" spans="1:68" x14ac:dyDescent="0.25">
      <c r="A1451" s="63" t="s">
        <v>1465</v>
      </c>
      <c r="B1451" s="64"/>
      <c r="C1451" s="64"/>
      <c r="D1451" s="65"/>
      <c r="E1451" s="67"/>
      <c r="F1451" s="111" t="str">
        <f>HYPERLINK("https://pbs.twimg.com/profile_images/1624931053642125312/PvopYSRr_normal.jpg")</f>
        <v>https://pbs.twimg.com/profile_images/1624931053642125312/PvopYSRr_normal.jpg</v>
      </c>
      <c r="G1451" s="64"/>
      <c r="H1451" s="68"/>
      <c r="I1451" s="69"/>
      <c r="J1451" s="69"/>
      <c r="K1451" s="68" t="s">
        <v>30584</v>
      </c>
      <c r="L1451" s="72"/>
      <c r="M1451" s="73"/>
      <c r="N1451" s="73"/>
      <c r="O1451" s="74"/>
      <c r="P1451" s="75"/>
      <c r="Q1451" s="75"/>
      <c r="R1451" s="102"/>
      <c r="S1451" s="102"/>
      <c r="T1451" s="102"/>
      <c r="U1451" s="102"/>
      <c r="V1451" s="48"/>
      <c r="W1451" s="48"/>
      <c r="X1451" s="48"/>
      <c r="Y1451" s="48"/>
      <c r="Z1451" s="47"/>
      <c r="AA1451" s="70">
        <v>1451</v>
      </c>
      <c r="AB1451" s="70"/>
      <c r="AC1451" s="71"/>
      <c r="AD1451" s="86" t="s">
        <v>25042</v>
      </c>
      <c r="AE1451" s="94" t="s">
        <v>22651</v>
      </c>
      <c r="AF1451" s="86">
        <v>35</v>
      </c>
      <c r="AG1451" s="86">
        <v>21</v>
      </c>
      <c r="AH1451" s="86">
        <v>773</v>
      </c>
      <c r="AI1451" s="86">
        <v>0</v>
      </c>
      <c r="AJ1451" s="86">
        <v>238</v>
      </c>
      <c r="AK1451" s="86">
        <v>18</v>
      </c>
      <c r="AL1451" s="86" t="b">
        <v>0</v>
      </c>
      <c r="AM1451" s="89">
        <v>42002.733530092592</v>
      </c>
      <c r="AN1451" s="86" t="s">
        <v>15240</v>
      </c>
      <c r="AO1451" s="86" t="s">
        <v>27743</v>
      </c>
      <c r="AP1451" s="86"/>
      <c r="AQ1451" s="86"/>
      <c r="AR1451" s="86"/>
      <c r="AS1451" s="86"/>
      <c r="AT1451" s="86"/>
      <c r="AU1451" s="86"/>
      <c r="AV1451" s="86"/>
      <c r="AW1451" s="86"/>
      <c r="AX1451" s="86" t="b">
        <v>0</v>
      </c>
      <c r="AY1451" s="86"/>
      <c r="AZ1451" s="86"/>
      <c r="BA1451" s="86" t="b">
        <v>0</v>
      </c>
      <c r="BB1451" s="86" t="b">
        <v>1</v>
      </c>
      <c r="BC1451" s="86" t="b">
        <v>1</v>
      </c>
      <c r="BD1451" s="86" t="b">
        <v>0</v>
      </c>
      <c r="BE1451" s="86" t="b">
        <v>0</v>
      </c>
      <c r="BF1451" s="86" t="b">
        <v>0</v>
      </c>
      <c r="BG1451" s="86" t="b">
        <v>0</v>
      </c>
      <c r="BH1451" s="96" t="str">
        <f>HYPERLINK("https://pbs.twimg.com/profile_banners/2949637559/1669227200")</f>
        <v>https://pbs.twimg.com/profile_banners/2949637559/1669227200</v>
      </c>
      <c r="BI1451" s="86"/>
      <c r="BJ1451" s="86" t="s">
        <v>29134</v>
      </c>
      <c r="BK1451" s="86" t="b">
        <v>0</v>
      </c>
      <c r="BL1451" s="86"/>
      <c r="BM1451" s="86" t="s">
        <v>66</v>
      </c>
      <c r="BN1451" s="86" t="s">
        <v>29136</v>
      </c>
      <c r="BO1451" s="96" t="str">
        <f>HYPERLINK("https://twitter.com/robsonpenha86")</f>
        <v>https://twitter.com/robsonpenha86</v>
      </c>
      <c r="BP1451" s="2"/>
    </row>
    <row r="1452" spans="1:68" x14ac:dyDescent="0.25">
      <c r="A1452" s="63" t="s">
        <v>1466</v>
      </c>
      <c r="B1452" s="64"/>
      <c r="C1452" s="64"/>
      <c r="D1452" s="65"/>
      <c r="E1452" s="67"/>
      <c r="F1452" s="111" t="str">
        <f>HYPERLINK("https://pbs.twimg.com/profile_images/1670504963926007811/O0bwYgox_normal.jpg")</f>
        <v>https://pbs.twimg.com/profile_images/1670504963926007811/O0bwYgox_normal.jpg</v>
      </c>
      <c r="G1452" s="64"/>
      <c r="H1452" s="68"/>
      <c r="I1452" s="69"/>
      <c r="J1452" s="69"/>
      <c r="K1452" s="68" t="s">
        <v>30585</v>
      </c>
      <c r="L1452" s="72"/>
      <c r="M1452" s="73"/>
      <c r="N1452" s="73"/>
      <c r="O1452" s="74"/>
      <c r="P1452" s="75"/>
      <c r="Q1452" s="75"/>
      <c r="R1452" s="102"/>
      <c r="S1452" s="102"/>
      <c r="T1452" s="102"/>
      <c r="U1452" s="102"/>
      <c r="V1452" s="48"/>
      <c r="W1452" s="48"/>
      <c r="X1452" s="48"/>
      <c r="Y1452" s="48"/>
      <c r="Z1452" s="47"/>
      <c r="AA1452" s="70">
        <v>1452</v>
      </c>
      <c r="AB1452" s="70"/>
      <c r="AC1452" s="71"/>
      <c r="AD1452" s="86" t="s">
        <v>25043</v>
      </c>
      <c r="AE1452" s="94" t="s">
        <v>25804</v>
      </c>
      <c r="AF1452" s="86">
        <v>543</v>
      </c>
      <c r="AG1452" s="86">
        <v>297</v>
      </c>
      <c r="AH1452" s="86">
        <v>19539</v>
      </c>
      <c r="AI1452" s="86">
        <v>9</v>
      </c>
      <c r="AJ1452" s="86">
        <v>1758</v>
      </c>
      <c r="AK1452" s="86">
        <v>829</v>
      </c>
      <c r="AL1452" s="86" t="b">
        <v>0</v>
      </c>
      <c r="AM1452" s="89">
        <v>40083.742037037038</v>
      </c>
      <c r="AN1452" s="86" t="s">
        <v>26105</v>
      </c>
      <c r="AO1452" s="86" t="s">
        <v>27744</v>
      </c>
      <c r="AP1452" s="96" t="str">
        <f>HYPERLINK("https://t.co/6lz30PISPz")</f>
        <v>https://t.co/6lz30PISPz</v>
      </c>
      <c r="AQ1452" s="96" t="str">
        <f>HYPERLINK("http://www.instagram.com/1renanlima")</f>
        <v>http://www.instagram.com/1renanlima</v>
      </c>
      <c r="AR1452" s="86" t="s">
        <v>28876</v>
      </c>
      <c r="AS1452" s="86"/>
      <c r="AT1452" s="86"/>
      <c r="AU1452" s="86"/>
      <c r="AV1452" s="86"/>
      <c r="AW1452" s="96" t="str">
        <f>HYPERLINK("https://t.co/6lz30PISPz")</f>
        <v>https://t.co/6lz30PISPz</v>
      </c>
      <c r="AX1452" s="86" t="b">
        <v>0</v>
      </c>
      <c r="AY1452" s="86"/>
      <c r="AZ1452" s="86"/>
      <c r="BA1452" s="86" t="b">
        <v>0</v>
      </c>
      <c r="BB1452" s="86" t="b">
        <v>0</v>
      </c>
      <c r="BC1452" s="86" t="b">
        <v>0</v>
      </c>
      <c r="BD1452" s="86" t="b">
        <v>0</v>
      </c>
      <c r="BE1452" s="86" t="b">
        <v>1</v>
      </c>
      <c r="BF1452" s="86" t="b">
        <v>0</v>
      </c>
      <c r="BG1452" s="86" t="b">
        <v>0</v>
      </c>
      <c r="BH1452" s="96" t="str">
        <f>HYPERLINK("https://pbs.twimg.com/profile_banners/77789383/1526566554")</f>
        <v>https://pbs.twimg.com/profile_banners/77789383/1526566554</v>
      </c>
      <c r="BI1452" s="86"/>
      <c r="BJ1452" s="86" t="s">
        <v>29134</v>
      </c>
      <c r="BK1452" s="86" t="b">
        <v>0</v>
      </c>
      <c r="BL1452" s="86"/>
      <c r="BM1452" s="86" t="s">
        <v>66</v>
      </c>
      <c r="BN1452" s="86" t="s">
        <v>29136</v>
      </c>
      <c r="BO1452" s="96" t="str">
        <f>HYPERLINK("https://twitter.com/renanlimaads")</f>
        <v>https://twitter.com/renanlimaads</v>
      </c>
      <c r="BP1452" s="2"/>
    </row>
    <row r="1453" spans="1:68" x14ac:dyDescent="0.25">
      <c r="A1453" s="63" t="s">
        <v>1467</v>
      </c>
      <c r="B1453" s="64"/>
      <c r="C1453" s="64"/>
      <c r="D1453" s="65"/>
      <c r="E1453" s="67"/>
      <c r="F1453" s="111" t="str">
        <f>HYPERLINK("https://pbs.twimg.com/profile_images/1396145253820903426/_VX1GTKG_normal.jpg")</f>
        <v>https://pbs.twimg.com/profile_images/1396145253820903426/_VX1GTKG_normal.jpg</v>
      </c>
      <c r="G1453" s="64"/>
      <c r="H1453" s="68"/>
      <c r="I1453" s="69"/>
      <c r="J1453" s="69"/>
      <c r="K1453" s="68" t="s">
        <v>30586</v>
      </c>
      <c r="L1453" s="72"/>
      <c r="M1453" s="73"/>
      <c r="N1453" s="73"/>
      <c r="O1453" s="74"/>
      <c r="P1453" s="75"/>
      <c r="Q1453" s="75"/>
      <c r="R1453" s="102"/>
      <c r="S1453" s="102"/>
      <c r="T1453" s="102"/>
      <c r="U1453" s="102"/>
      <c r="V1453" s="48"/>
      <c r="W1453" s="48"/>
      <c r="X1453" s="48"/>
      <c r="Y1453" s="48"/>
      <c r="Z1453" s="47"/>
      <c r="AA1453" s="70">
        <v>1453</v>
      </c>
      <c r="AB1453" s="70"/>
      <c r="AC1453" s="71"/>
      <c r="AD1453" s="86" t="s">
        <v>25044</v>
      </c>
      <c r="AE1453" s="94" t="s">
        <v>25805</v>
      </c>
      <c r="AF1453" s="86">
        <v>470</v>
      </c>
      <c r="AG1453" s="86">
        <v>259</v>
      </c>
      <c r="AH1453" s="86">
        <v>6468</v>
      </c>
      <c r="AI1453" s="86">
        <v>5</v>
      </c>
      <c r="AJ1453" s="86">
        <v>940</v>
      </c>
      <c r="AK1453" s="86">
        <v>528</v>
      </c>
      <c r="AL1453" s="86" t="b">
        <v>0</v>
      </c>
      <c r="AM1453" s="89">
        <v>42254.957951388889</v>
      </c>
      <c r="AN1453" s="86" t="s">
        <v>25886</v>
      </c>
      <c r="AO1453" s="86" t="s">
        <v>27745</v>
      </c>
      <c r="AP1453" s="96" t="str">
        <f>HYPERLINK("https://t.co/3X73bAPI5g")</f>
        <v>https://t.co/3X73bAPI5g</v>
      </c>
      <c r="AQ1453" s="96" t="str">
        <f>HYPERLINK("http://www.jornaldaki.com.br")</f>
        <v>http://www.jornaldaki.com.br</v>
      </c>
      <c r="AR1453" s="86" t="s">
        <v>28877</v>
      </c>
      <c r="AS1453" s="86"/>
      <c r="AT1453" s="86"/>
      <c r="AU1453" s="86"/>
      <c r="AV1453" s="86"/>
      <c r="AW1453" s="96" t="str">
        <f>HYPERLINK("https://t.co/3X73bAPI5g")</f>
        <v>https://t.co/3X73bAPI5g</v>
      </c>
      <c r="AX1453" s="86" t="b">
        <v>0</v>
      </c>
      <c r="AY1453" s="86"/>
      <c r="AZ1453" s="86"/>
      <c r="BA1453" s="86" t="b">
        <v>1</v>
      </c>
      <c r="BB1453" s="86" t="b">
        <v>1</v>
      </c>
      <c r="BC1453" s="86" t="b">
        <v>1</v>
      </c>
      <c r="BD1453" s="86" t="b">
        <v>0</v>
      </c>
      <c r="BE1453" s="86" t="b">
        <v>1</v>
      </c>
      <c r="BF1453" s="86" t="b">
        <v>0</v>
      </c>
      <c r="BG1453" s="86" t="b">
        <v>0</v>
      </c>
      <c r="BH1453" s="96" t="str">
        <f>HYPERLINK("https://pbs.twimg.com/profile_banners/3581596336/1621702134")</f>
        <v>https://pbs.twimg.com/profile_banners/3581596336/1621702134</v>
      </c>
      <c r="BI1453" s="86"/>
      <c r="BJ1453" s="86" t="s">
        <v>29134</v>
      </c>
      <c r="BK1453" s="86" t="b">
        <v>0</v>
      </c>
      <c r="BL1453" s="86"/>
      <c r="BM1453" s="86" t="s">
        <v>66</v>
      </c>
      <c r="BN1453" s="86" t="s">
        <v>29136</v>
      </c>
      <c r="BO1453" s="96" t="str">
        <f>HYPERLINK("https://twitter.com/jornaldaki")</f>
        <v>https://twitter.com/jornaldaki</v>
      </c>
      <c r="BP1453" s="2"/>
    </row>
    <row r="1454" spans="1:68" x14ac:dyDescent="0.25">
      <c r="A1454" s="63" t="s">
        <v>1468</v>
      </c>
      <c r="B1454" s="64"/>
      <c r="C1454" s="64"/>
      <c r="D1454" s="65"/>
      <c r="E1454" s="67"/>
      <c r="F1454" s="111" t="str">
        <f>HYPERLINK("https://pbs.twimg.com/profile_images/1692647715841466371/Eftw87lB_normal.jpg")</f>
        <v>https://pbs.twimg.com/profile_images/1692647715841466371/Eftw87lB_normal.jpg</v>
      </c>
      <c r="G1454" s="64"/>
      <c r="H1454" s="68"/>
      <c r="I1454" s="69"/>
      <c r="J1454" s="69"/>
      <c r="K1454" s="68" t="s">
        <v>30587</v>
      </c>
      <c r="L1454" s="72"/>
      <c r="M1454" s="73"/>
      <c r="N1454" s="73"/>
      <c r="O1454" s="74"/>
      <c r="P1454" s="75"/>
      <c r="Q1454" s="75"/>
      <c r="R1454" s="102"/>
      <c r="S1454" s="102"/>
      <c r="T1454" s="102"/>
      <c r="U1454" s="102"/>
      <c r="V1454" s="48"/>
      <c r="W1454" s="48"/>
      <c r="X1454" s="48"/>
      <c r="Y1454" s="48"/>
      <c r="Z1454" s="47"/>
      <c r="AA1454" s="70">
        <v>1454</v>
      </c>
      <c r="AB1454" s="70"/>
      <c r="AC1454" s="71"/>
      <c r="AD1454" s="86" t="s">
        <v>25045</v>
      </c>
      <c r="AE1454" s="94" t="s">
        <v>23514</v>
      </c>
      <c r="AF1454" s="86">
        <v>12</v>
      </c>
      <c r="AG1454" s="86">
        <v>24</v>
      </c>
      <c r="AH1454" s="86">
        <v>27</v>
      </c>
      <c r="AI1454" s="86">
        <v>0</v>
      </c>
      <c r="AJ1454" s="86">
        <v>12</v>
      </c>
      <c r="AK1454" s="86">
        <v>20</v>
      </c>
      <c r="AL1454" s="86" t="b">
        <v>0</v>
      </c>
      <c r="AM1454" s="89">
        <v>45154.896736111114</v>
      </c>
      <c r="AN1454" s="86"/>
      <c r="AO1454" s="86" t="s">
        <v>27746</v>
      </c>
      <c r="AP1454" s="86"/>
      <c r="AQ1454" s="86"/>
      <c r="AR1454" s="86"/>
      <c r="AS1454" s="86"/>
      <c r="AT1454" s="86"/>
      <c r="AU1454" s="86"/>
      <c r="AV1454" s="86"/>
      <c r="AW1454" s="86"/>
      <c r="AX1454" s="86" t="b">
        <v>0</v>
      </c>
      <c r="AY1454" s="86"/>
      <c r="AZ1454" s="86"/>
      <c r="BA1454" s="86" t="b">
        <v>0</v>
      </c>
      <c r="BB1454" s="86" t="b">
        <v>1</v>
      </c>
      <c r="BC1454" s="86" t="b">
        <v>1</v>
      </c>
      <c r="BD1454" s="86" t="b">
        <v>0</v>
      </c>
      <c r="BE1454" s="86" t="b">
        <v>0</v>
      </c>
      <c r="BF1454" s="86" t="b">
        <v>0</v>
      </c>
      <c r="BG1454" s="86" t="b">
        <v>0</v>
      </c>
      <c r="BH1454" s="96" t="str">
        <f>HYPERLINK("https://pbs.twimg.com/profile_banners/1691925502368595969/1692704373")</f>
        <v>https://pbs.twimg.com/profile_banners/1691925502368595969/1692704373</v>
      </c>
      <c r="BI1454" s="86"/>
      <c r="BJ1454" s="86" t="s">
        <v>29134</v>
      </c>
      <c r="BK1454" s="86" t="b">
        <v>0</v>
      </c>
      <c r="BL1454" s="86"/>
      <c r="BM1454" s="86" t="s">
        <v>66</v>
      </c>
      <c r="BN1454" s="86" t="s">
        <v>29136</v>
      </c>
      <c r="BO1454" s="96" t="str">
        <f>HYPERLINK("https://twitter.com/fatimashaikh73")</f>
        <v>https://twitter.com/fatimashaikh73</v>
      </c>
      <c r="BP1454" s="2"/>
    </row>
    <row r="1455" spans="1:68" x14ac:dyDescent="0.25">
      <c r="A1455" s="63" t="s">
        <v>1469</v>
      </c>
      <c r="B1455" s="64"/>
      <c r="C1455" s="64"/>
      <c r="D1455" s="65"/>
      <c r="E1455" s="67"/>
      <c r="F1455" s="111" t="str">
        <f>HYPERLINK("https://pbs.twimg.com/profile_images/1695765294600364033/5q8tscuz_normal.jpg")</f>
        <v>https://pbs.twimg.com/profile_images/1695765294600364033/5q8tscuz_normal.jpg</v>
      </c>
      <c r="G1455" s="64"/>
      <c r="H1455" s="68"/>
      <c r="I1455" s="69"/>
      <c r="J1455" s="69"/>
      <c r="K1455" s="68" t="s">
        <v>30588</v>
      </c>
      <c r="L1455" s="72"/>
      <c r="M1455" s="73"/>
      <c r="N1455" s="73"/>
      <c r="O1455" s="74"/>
      <c r="P1455" s="75"/>
      <c r="Q1455" s="75"/>
      <c r="R1455" s="102"/>
      <c r="S1455" s="102"/>
      <c r="T1455" s="102"/>
      <c r="U1455" s="102"/>
      <c r="V1455" s="48"/>
      <c r="W1455" s="48"/>
      <c r="X1455" s="48"/>
      <c r="Y1455" s="48"/>
      <c r="Z1455" s="47"/>
      <c r="AA1455" s="70">
        <v>1455</v>
      </c>
      <c r="AB1455" s="70"/>
      <c r="AC1455" s="71"/>
      <c r="AD1455" s="86" t="s">
        <v>25046</v>
      </c>
      <c r="AE1455" s="94" t="s">
        <v>25806</v>
      </c>
      <c r="AF1455" s="86">
        <v>53</v>
      </c>
      <c r="AG1455" s="86">
        <v>122</v>
      </c>
      <c r="AH1455" s="86">
        <v>281</v>
      </c>
      <c r="AI1455" s="86">
        <v>0</v>
      </c>
      <c r="AJ1455" s="86">
        <v>36</v>
      </c>
      <c r="AK1455" s="86">
        <v>15</v>
      </c>
      <c r="AL1455" s="86" t="b">
        <v>0</v>
      </c>
      <c r="AM1455" s="89">
        <v>40039.076388888891</v>
      </c>
      <c r="AN1455" s="86" t="s">
        <v>26371</v>
      </c>
      <c r="AO1455" s="86"/>
      <c r="AP1455" s="86"/>
      <c r="AQ1455" s="86"/>
      <c r="AR1455" s="86"/>
      <c r="AS1455" s="86"/>
      <c r="AT1455" s="86"/>
      <c r="AU1455" s="86"/>
      <c r="AV1455" s="86"/>
      <c r="AW1455" s="86"/>
      <c r="AX1455" s="86" t="b">
        <v>0</v>
      </c>
      <c r="AY1455" s="86"/>
      <c r="AZ1455" s="86"/>
      <c r="BA1455" s="86" t="b">
        <v>0</v>
      </c>
      <c r="BB1455" s="86" t="b">
        <v>1</v>
      </c>
      <c r="BC1455" s="86" t="b">
        <v>0</v>
      </c>
      <c r="BD1455" s="86" t="b">
        <v>0</v>
      </c>
      <c r="BE1455" s="86" t="b">
        <v>0</v>
      </c>
      <c r="BF1455" s="86" t="b">
        <v>0</v>
      </c>
      <c r="BG1455" s="86" t="b">
        <v>0</v>
      </c>
      <c r="BH1455" s="86"/>
      <c r="BI1455" s="86"/>
      <c r="BJ1455" s="86" t="s">
        <v>29134</v>
      </c>
      <c r="BK1455" s="86" t="b">
        <v>0</v>
      </c>
      <c r="BL1455" s="86"/>
      <c r="BM1455" s="86" t="s">
        <v>66</v>
      </c>
      <c r="BN1455" s="86" t="s">
        <v>29136</v>
      </c>
      <c r="BO1455" s="96" t="str">
        <f>HYPERLINK("https://twitter.com/klebyston")</f>
        <v>https://twitter.com/klebyston</v>
      </c>
      <c r="BP1455" s="2"/>
    </row>
    <row r="1456" spans="1:68" x14ac:dyDescent="0.25">
      <c r="A1456" s="63" t="s">
        <v>1470</v>
      </c>
      <c r="B1456" s="64"/>
      <c r="C1456" s="64"/>
      <c r="D1456" s="65"/>
      <c r="E1456" s="67"/>
      <c r="F1456" s="111" t="str">
        <f>HYPERLINK("https://pbs.twimg.com/profile_images/1689208292168368128/89Bhyy5c_normal.jpg")</f>
        <v>https://pbs.twimg.com/profile_images/1689208292168368128/89Bhyy5c_normal.jpg</v>
      </c>
      <c r="G1456" s="64"/>
      <c r="H1456" s="68"/>
      <c r="I1456" s="69"/>
      <c r="J1456" s="69"/>
      <c r="K1456" s="68" t="s">
        <v>30589</v>
      </c>
      <c r="L1456" s="72"/>
      <c r="M1456" s="73"/>
      <c r="N1456" s="73"/>
      <c r="O1456" s="74"/>
      <c r="P1456" s="75"/>
      <c r="Q1456" s="75"/>
      <c r="R1456" s="102"/>
      <c r="S1456" s="102"/>
      <c r="T1456" s="102"/>
      <c r="U1456" s="102"/>
      <c r="V1456" s="48"/>
      <c r="W1456" s="48"/>
      <c r="X1456" s="48"/>
      <c r="Y1456" s="48"/>
      <c r="Z1456" s="47"/>
      <c r="AA1456" s="70">
        <v>1456</v>
      </c>
      <c r="AB1456" s="70"/>
      <c r="AC1456" s="71"/>
      <c r="AD1456" s="86" t="s">
        <v>25047</v>
      </c>
      <c r="AE1456" s="94" t="s">
        <v>23515</v>
      </c>
      <c r="AF1456" s="86">
        <v>15</v>
      </c>
      <c r="AG1456" s="86">
        <v>98</v>
      </c>
      <c r="AH1456" s="86">
        <v>90</v>
      </c>
      <c r="AI1456" s="86">
        <v>0</v>
      </c>
      <c r="AJ1456" s="86">
        <v>22</v>
      </c>
      <c r="AK1456" s="86">
        <v>16</v>
      </c>
      <c r="AL1456" s="86" t="b">
        <v>0</v>
      </c>
      <c r="AM1456" s="89">
        <v>45125.759351851855</v>
      </c>
      <c r="AN1456" s="86" t="s">
        <v>15416</v>
      </c>
      <c r="AO1456" s="86" t="s">
        <v>27747</v>
      </c>
      <c r="AP1456" s="86"/>
      <c r="AQ1456" s="86"/>
      <c r="AR1456" s="86"/>
      <c r="AS1456" s="86"/>
      <c r="AT1456" s="86"/>
      <c r="AU1456" s="86"/>
      <c r="AV1456" s="86"/>
      <c r="AW1456" s="86"/>
      <c r="AX1456" s="86" t="b">
        <v>0</v>
      </c>
      <c r="AY1456" s="86"/>
      <c r="AZ1456" s="86"/>
      <c r="BA1456" s="86" t="b">
        <v>1</v>
      </c>
      <c r="BB1456" s="86" t="b">
        <v>1</v>
      </c>
      <c r="BC1456" s="86" t="b">
        <v>1</v>
      </c>
      <c r="BD1456" s="86" t="b">
        <v>0</v>
      </c>
      <c r="BE1456" s="86" t="b">
        <v>0</v>
      </c>
      <c r="BF1456" s="86" t="b">
        <v>0</v>
      </c>
      <c r="BG1456" s="86" t="b">
        <v>0</v>
      </c>
      <c r="BH1456" s="96" t="str">
        <f>HYPERLINK("https://pbs.twimg.com/profile_banners/1681366516090953733/1691573598")</f>
        <v>https://pbs.twimg.com/profile_banners/1681366516090953733/1691573598</v>
      </c>
      <c r="BI1456" s="86"/>
      <c r="BJ1456" s="86" t="s">
        <v>29134</v>
      </c>
      <c r="BK1456" s="86" t="b">
        <v>0</v>
      </c>
      <c r="BL1456" s="86"/>
      <c r="BM1456" s="86" t="s">
        <v>66</v>
      </c>
      <c r="BN1456" s="86" t="s">
        <v>29136</v>
      </c>
      <c r="BO1456" s="96" t="str">
        <f>HYPERLINK("https://twitter.com/raf_sobrehomem")</f>
        <v>https://twitter.com/raf_sobrehomem</v>
      </c>
      <c r="BP1456" s="2"/>
    </row>
    <row r="1457" spans="1:68" x14ac:dyDescent="0.25">
      <c r="A1457" s="63" t="s">
        <v>1471</v>
      </c>
      <c r="B1457" s="64"/>
      <c r="C1457" s="64"/>
      <c r="D1457" s="65"/>
      <c r="E1457" s="67"/>
      <c r="F1457" s="111" t="str">
        <f>HYPERLINK("https://pbs.twimg.com/profile_images/1676665219941126163/EUobi3V7_normal.jpg")</f>
        <v>https://pbs.twimg.com/profile_images/1676665219941126163/EUobi3V7_normal.jpg</v>
      </c>
      <c r="G1457" s="64"/>
      <c r="H1457" s="68"/>
      <c r="I1457" s="69"/>
      <c r="J1457" s="69"/>
      <c r="K1457" s="68" t="s">
        <v>30590</v>
      </c>
      <c r="L1457" s="72"/>
      <c r="M1457" s="73"/>
      <c r="N1457" s="73"/>
      <c r="O1457" s="74"/>
      <c r="P1457" s="75"/>
      <c r="Q1457" s="75"/>
      <c r="R1457" s="102"/>
      <c r="S1457" s="102"/>
      <c r="T1457" s="102"/>
      <c r="U1457" s="102"/>
      <c r="V1457" s="48"/>
      <c r="W1457" s="48"/>
      <c r="X1457" s="48"/>
      <c r="Y1457" s="48"/>
      <c r="Z1457" s="47"/>
      <c r="AA1457" s="70">
        <v>1457</v>
      </c>
      <c r="AB1457" s="70"/>
      <c r="AC1457" s="71"/>
      <c r="AD1457" s="86" t="s">
        <v>25048</v>
      </c>
      <c r="AE1457" s="94" t="s">
        <v>23516</v>
      </c>
      <c r="AF1457" s="86">
        <v>23</v>
      </c>
      <c r="AG1457" s="86">
        <v>38</v>
      </c>
      <c r="AH1457" s="86">
        <v>623</v>
      </c>
      <c r="AI1457" s="86">
        <v>0</v>
      </c>
      <c r="AJ1457" s="86">
        <v>557</v>
      </c>
      <c r="AK1457" s="86">
        <v>82</v>
      </c>
      <c r="AL1457" s="86" t="b">
        <v>0</v>
      </c>
      <c r="AM1457" s="89">
        <v>45103.47865740741</v>
      </c>
      <c r="AN1457" s="86" t="s">
        <v>26372</v>
      </c>
      <c r="AO1457" s="86" t="s">
        <v>27748</v>
      </c>
      <c r="AP1457" s="96" t="str">
        <f>HYPERLINK("https://t.co/7RVp5bYBJN")</f>
        <v>https://t.co/7RVp5bYBJN</v>
      </c>
      <c r="AQ1457" s="96" t="str">
        <f>HYPERLINK("https://www.aqqia.com/")</f>
        <v>https://www.aqqia.com/</v>
      </c>
      <c r="AR1457" s="86" t="s">
        <v>28878</v>
      </c>
      <c r="AS1457" s="86"/>
      <c r="AT1457" s="86"/>
      <c r="AU1457" s="86"/>
      <c r="AV1457" s="86"/>
      <c r="AW1457" s="96" t="str">
        <f>HYPERLINK("https://t.co/7RVp5bYBJN")</f>
        <v>https://t.co/7RVp5bYBJN</v>
      </c>
      <c r="AX1457" s="86" t="b">
        <v>0</v>
      </c>
      <c r="AY1457" s="86"/>
      <c r="AZ1457" s="86"/>
      <c r="BA1457" s="86" t="b">
        <v>0</v>
      </c>
      <c r="BB1457" s="86" t="b">
        <v>1</v>
      </c>
      <c r="BC1457" s="86" t="b">
        <v>1</v>
      </c>
      <c r="BD1457" s="86" t="b">
        <v>0</v>
      </c>
      <c r="BE1457" s="86" t="b">
        <v>0</v>
      </c>
      <c r="BF1457" s="86" t="b">
        <v>0</v>
      </c>
      <c r="BG1457" s="86" t="b">
        <v>0</v>
      </c>
      <c r="BH1457" s="96" t="str">
        <f>HYPERLINK("https://pbs.twimg.com/profile_banners/1673292254868373505/1688426364")</f>
        <v>https://pbs.twimg.com/profile_banners/1673292254868373505/1688426364</v>
      </c>
      <c r="BI1457" s="86"/>
      <c r="BJ1457" s="86" t="s">
        <v>29134</v>
      </c>
      <c r="BK1457" s="86" t="b">
        <v>0</v>
      </c>
      <c r="BL1457" s="86"/>
      <c r="BM1457" s="86" t="s">
        <v>66</v>
      </c>
      <c r="BN1457" s="86" t="s">
        <v>29136</v>
      </c>
      <c r="BO1457" s="96" t="str">
        <f>HYPERLINK("https://twitter.com/_itsmeantonio")</f>
        <v>https://twitter.com/_itsmeantonio</v>
      </c>
      <c r="BP1457" s="2"/>
    </row>
    <row r="1458" spans="1:68" x14ac:dyDescent="0.25">
      <c r="A1458" s="63" t="s">
        <v>1472</v>
      </c>
      <c r="B1458" s="64"/>
      <c r="C1458" s="64"/>
      <c r="D1458" s="65"/>
      <c r="E1458" s="67"/>
      <c r="F1458" s="111" t="str">
        <f>HYPERLINK("https://pbs.twimg.com/profile_images/1695612578754330625/HOHcJUQn_normal.jpg")</f>
        <v>https://pbs.twimg.com/profile_images/1695612578754330625/HOHcJUQn_normal.jpg</v>
      </c>
      <c r="G1458" s="64"/>
      <c r="H1458" s="68"/>
      <c r="I1458" s="69"/>
      <c r="J1458" s="69"/>
      <c r="K1458" s="68" t="s">
        <v>30591</v>
      </c>
      <c r="L1458" s="72"/>
      <c r="M1458" s="73"/>
      <c r="N1458" s="73"/>
      <c r="O1458" s="74"/>
      <c r="P1458" s="75"/>
      <c r="Q1458" s="75"/>
      <c r="R1458" s="102"/>
      <c r="S1458" s="102"/>
      <c r="T1458" s="102"/>
      <c r="U1458" s="102"/>
      <c r="V1458" s="48"/>
      <c r="W1458" s="48"/>
      <c r="X1458" s="48"/>
      <c r="Y1458" s="48"/>
      <c r="Z1458" s="47"/>
      <c r="AA1458" s="70">
        <v>1458</v>
      </c>
      <c r="AB1458" s="70"/>
      <c r="AC1458" s="71"/>
      <c r="AD1458" s="86" t="s">
        <v>25049</v>
      </c>
      <c r="AE1458" s="94" t="s">
        <v>23517</v>
      </c>
      <c r="AF1458" s="86">
        <v>62</v>
      </c>
      <c r="AG1458" s="86">
        <v>2</v>
      </c>
      <c r="AH1458" s="86">
        <v>199</v>
      </c>
      <c r="AI1458" s="86">
        <v>0</v>
      </c>
      <c r="AJ1458" s="86">
        <v>1</v>
      </c>
      <c r="AK1458" s="86">
        <v>136</v>
      </c>
      <c r="AL1458" s="86" t="b">
        <v>0</v>
      </c>
      <c r="AM1458" s="89">
        <v>45115.649282407408</v>
      </c>
      <c r="AN1458" s="86"/>
      <c r="AO1458" s="86" t="s">
        <v>27749</v>
      </c>
      <c r="AP1458" s="96" t="str">
        <f>HYPERLINK("https://t.co/lwKUiDcNLu")</f>
        <v>https://t.co/lwKUiDcNLu</v>
      </c>
      <c r="AQ1458" s="96" t="str">
        <f>HYPERLINK("https://payment.ticto.app/O43EA0C65")</f>
        <v>https://payment.ticto.app/O43EA0C65</v>
      </c>
      <c r="AR1458" s="86" t="s">
        <v>28879</v>
      </c>
      <c r="AS1458" s="86"/>
      <c r="AT1458" s="86"/>
      <c r="AU1458" s="86"/>
      <c r="AV1458" s="86">
        <v>1.67851138663523E+18</v>
      </c>
      <c r="AW1458" s="96" t="str">
        <f>HYPERLINK("https://t.co/lwKUiDcNLu")</f>
        <v>https://t.co/lwKUiDcNLu</v>
      </c>
      <c r="AX1458" s="86" t="b">
        <v>0</v>
      </c>
      <c r="AY1458" s="86"/>
      <c r="AZ1458" s="86"/>
      <c r="BA1458" s="86" t="b">
        <v>0</v>
      </c>
      <c r="BB1458" s="86" t="b">
        <v>1</v>
      </c>
      <c r="BC1458" s="86" t="b">
        <v>1</v>
      </c>
      <c r="BD1458" s="86" t="b">
        <v>0</v>
      </c>
      <c r="BE1458" s="86" t="b">
        <v>0</v>
      </c>
      <c r="BF1458" s="86" t="b">
        <v>0</v>
      </c>
      <c r="BG1458" s="86" t="b">
        <v>0</v>
      </c>
      <c r="BH1458" s="96" t="str">
        <f>HYPERLINK("https://pbs.twimg.com/profile_banners/1677702660839882757/1693100528")</f>
        <v>https://pbs.twimg.com/profile_banners/1677702660839882757/1693100528</v>
      </c>
      <c r="BI1458" s="86"/>
      <c r="BJ1458" s="86" t="s">
        <v>29134</v>
      </c>
      <c r="BK1458" s="86" t="b">
        <v>0</v>
      </c>
      <c r="BL1458" s="86"/>
      <c r="BM1458" s="86" t="s">
        <v>66</v>
      </c>
      <c r="BN1458" s="86" t="s">
        <v>29136</v>
      </c>
      <c r="BO1458" s="96" t="str">
        <f>HYPERLINK("https://twitter.com/anatolyquest")</f>
        <v>https://twitter.com/anatolyquest</v>
      </c>
      <c r="BP1458" s="2"/>
    </row>
    <row r="1459" spans="1:68" x14ac:dyDescent="0.25">
      <c r="A1459" s="63" t="s">
        <v>1473</v>
      </c>
      <c r="B1459" s="64"/>
      <c r="C1459" s="64"/>
      <c r="D1459" s="65"/>
      <c r="E1459" s="67"/>
      <c r="F1459" s="111" t="str">
        <f>HYPERLINK("https://pbs.twimg.com/profile_images/1598411163708137472/L4lCSC_n_normal.jpg")</f>
        <v>https://pbs.twimg.com/profile_images/1598411163708137472/L4lCSC_n_normal.jpg</v>
      </c>
      <c r="G1459" s="64"/>
      <c r="H1459" s="68"/>
      <c r="I1459" s="69"/>
      <c r="J1459" s="69"/>
      <c r="K1459" s="68" t="s">
        <v>30592</v>
      </c>
      <c r="L1459" s="72"/>
      <c r="M1459" s="73"/>
      <c r="N1459" s="73"/>
      <c r="O1459" s="74"/>
      <c r="P1459" s="75"/>
      <c r="Q1459" s="75"/>
      <c r="R1459" s="102"/>
      <c r="S1459" s="102"/>
      <c r="T1459" s="102"/>
      <c r="U1459" s="102"/>
      <c r="V1459" s="48"/>
      <c r="W1459" s="48"/>
      <c r="X1459" s="48"/>
      <c r="Y1459" s="48"/>
      <c r="Z1459" s="47"/>
      <c r="AA1459" s="70">
        <v>1459</v>
      </c>
      <c r="AB1459" s="70"/>
      <c r="AC1459" s="71"/>
      <c r="AD1459" s="86" t="s">
        <v>25050</v>
      </c>
      <c r="AE1459" s="94" t="s">
        <v>23518</v>
      </c>
      <c r="AF1459" s="86">
        <v>657</v>
      </c>
      <c r="AG1459" s="86">
        <v>8</v>
      </c>
      <c r="AH1459" s="86">
        <v>20875</v>
      </c>
      <c r="AI1459" s="86">
        <v>18</v>
      </c>
      <c r="AJ1459" s="86">
        <v>31</v>
      </c>
      <c r="AK1459" s="86">
        <v>5798</v>
      </c>
      <c r="AL1459" s="86" t="b">
        <v>0</v>
      </c>
      <c r="AM1459" s="89">
        <v>43010.882569444446</v>
      </c>
      <c r="AN1459" s="86" t="s">
        <v>25926</v>
      </c>
      <c r="AO1459" s="86" t="s">
        <v>27750</v>
      </c>
      <c r="AP1459" s="96" t="str">
        <f>HYPERLINK("https://t.co/kC020DObSu")</f>
        <v>https://t.co/kC020DObSu</v>
      </c>
      <c r="AQ1459" s="96" t="str">
        <f>HYPERLINK("http://www.focus.jor.br")</f>
        <v>http://www.focus.jor.br</v>
      </c>
      <c r="AR1459" s="86" t="s">
        <v>28880</v>
      </c>
      <c r="AS1459" s="96" t="str">
        <f>HYPERLINK("https://t.co/zUldQ92xN2")</f>
        <v>https://t.co/zUldQ92xN2</v>
      </c>
      <c r="AT1459" s="96" t="str">
        <f>HYPERLINK("http://linkr.bio/focus.jor")</f>
        <v>http://linkr.bio/focus.jor</v>
      </c>
      <c r="AU1459" s="86" t="s">
        <v>29122</v>
      </c>
      <c r="AV1459" s="86"/>
      <c r="AW1459" s="96" t="str">
        <f>HYPERLINK("https://t.co/kC020DObSu")</f>
        <v>https://t.co/kC020DObSu</v>
      </c>
      <c r="AX1459" s="86" t="b">
        <v>0</v>
      </c>
      <c r="AY1459" s="86"/>
      <c r="AZ1459" s="86"/>
      <c r="BA1459" s="86" t="b">
        <v>0</v>
      </c>
      <c r="BB1459" s="86" t="b">
        <v>1</v>
      </c>
      <c r="BC1459" s="86" t="b">
        <v>1</v>
      </c>
      <c r="BD1459" s="86" t="b">
        <v>0</v>
      </c>
      <c r="BE1459" s="86" t="b">
        <v>0</v>
      </c>
      <c r="BF1459" s="86" t="b">
        <v>0</v>
      </c>
      <c r="BG1459" s="86" t="b">
        <v>0</v>
      </c>
      <c r="BH1459" s="96" t="str">
        <f>HYPERLINK("https://pbs.twimg.com/profile_banners/914960907113046017/1593813101")</f>
        <v>https://pbs.twimg.com/profile_banners/914960907113046017/1593813101</v>
      </c>
      <c r="BI1459" s="86"/>
      <c r="BJ1459" s="86" t="s">
        <v>29134</v>
      </c>
      <c r="BK1459" s="86" t="b">
        <v>0</v>
      </c>
      <c r="BL1459" s="86"/>
      <c r="BM1459" s="86" t="s">
        <v>66</v>
      </c>
      <c r="BN1459" s="86" t="s">
        <v>29136</v>
      </c>
      <c r="BO1459" s="96" t="str">
        <f>HYPERLINK("https://twitter.com/focusjor")</f>
        <v>https://twitter.com/focusjor</v>
      </c>
      <c r="BP1459" s="2"/>
    </row>
    <row r="1460" spans="1:68" x14ac:dyDescent="0.25">
      <c r="A1460" s="63" t="s">
        <v>1820</v>
      </c>
      <c r="B1460" s="64"/>
      <c r="C1460" s="64"/>
      <c r="D1460" s="65"/>
      <c r="E1460" s="67"/>
      <c r="F1460" s="111" t="str">
        <f>HYPERLINK("https://abs.twimg.com/sticky/default_profile_images/default_profile_normal.png")</f>
        <v>https://abs.twimg.com/sticky/default_profile_images/default_profile_normal.png</v>
      </c>
      <c r="G1460" s="64"/>
      <c r="H1460" s="68"/>
      <c r="I1460" s="69"/>
      <c r="J1460" s="69"/>
      <c r="K1460" s="68" t="s">
        <v>30593</v>
      </c>
      <c r="L1460" s="72"/>
      <c r="M1460" s="73"/>
      <c r="N1460" s="73"/>
      <c r="O1460" s="74"/>
      <c r="P1460" s="75"/>
      <c r="Q1460" s="75"/>
      <c r="R1460" s="102"/>
      <c r="S1460" s="102"/>
      <c r="T1460" s="102"/>
      <c r="U1460" s="102"/>
      <c r="V1460" s="48"/>
      <c r="W1460" s="48"/>
      <c r="X1460" s="48"/>
      <c r="Y1460" s="48"/>
      <c r="Z1460" s="47"/>
      <c r="AA1460" s="70">
        <v>1460</v>
      </c>
      <c r="AB1460" s="70"/>
      <c r="AC1460" s="71"/>
      <c r="AD1460" s="86" t="s">
        <v>25051</v>
      </c>
      <c r="AE1460" s="94" t="s">
        <v>25807</v>
      </c>
      <c r="AF1460" s="86">
        <v>53</v>
      </c>
      <c r="AG1460" s="86">
        <v>1</v>
      </c>
      <c r="AH1460" s="86">
        <v>0</v>
      </c>
      <c r="AI1460" s="86">
        <v>1</v>
      </c>
      <c r="AJ1460" s="86">
        <v>0</v>
      </c>
      <c r="AK1460" s="86">
        <v>0</v>
      </c>
      <c r="AL1460" s="86" t="b">
        <v>0</v>
      </c>
      <c r="AM1460" s="89">
        <v>40184.742719907408</v>
      </c>
      <c r="AN1460" s="86"/>
      <c r="AO1460" s="86"/>
      <c r="AP1460" s="86"/>
      <c r="AQ1460" s="86"/>
      <c r="AR1460" s="86"/>
      <c r="AS1460" s="86"/>
      <c r="AT1460" s="86"/>
      <c r="AU1460" s="86"/>
      <c r="AV1460" s="86"/>
      <c r="AW1460" s="86"/>
      <c r="AX1460" s="86" t="b">
        <v>0</v>
      </c>
      <c r="AY1460" s="86"/>
      <c r="AZ1460" s="86"/>
      <c r="BA1460" s="86" t="b">
        <v>0</v>
      </c>
      <c r="BB1460" s="86" t="b">
        <v>1</v>
      </c>
      <c r="BC1460" s="86" t="b">
        <v>1</v>
      </c>
      <c r="BD1460" s="86" t="b">
        <v>1</v>
      </c>
      <c r="BE1460" s="86" t="b">
        <v>0</v>
      </c>
      <c r="BF1460" s="86" t="b">
        <v>0</v>
      </c>
      <c r="BG1460" s="86" t="b">
        <v>0</v>
      </c>
      <c r="BH1460" s="86"/>
      <c r="BI1460" s="86"/>
      <c r="BJ1460" s="86" t="s">
        <v>29134</v>
      </c>
      <c r="BK1460" s="86" t="b">
        <v>0</v>
      </c>
      <c r="BL1460" s="86"/>
      <c r="BM1460" s="86" t="s">
        <v>65</v>
      </c>
      <c r="BN1460" s="86" t="s">
        <v>29136</v>
      </c>
      <c r="BO1460" s="96" t="str">
        <f>HYPERLINK("https://twitter.com/sebraece")</f>
        <v>https://twitter.com/sebraece</v>
      </c>
      <c r="BP1460" s="2"/>
    </row>
    <row r="1461" spans="1:68" x14ac:dyDescent="0.25">
      <c r="A1461" s="63" t="s">
        <v>1474</v>
      </c>
      <c r="B1461" s="64"/>
      <c r="C1461" s="64"/>
      <c r="D1461" s="65"/>
      <c r="E1461" s="67"/>
      <c r="F1461" s="111" t="str">
        <f>HYPERLINK("https://pbs.twimg.com/profile_images/1682403427240800256/IbV1DTP6_normal.jpg")</f>
        <v>https://pbs.twimg.com/profile_images/1682403427240800256/IbV1DTP6_normal.jpg</v>
      </c>
      <c r="G1461" s="64"/>
      <c r="H1461" s="68"/>
      <c r="I1461" s="69"/>
      <c r="J1461" s="69"/>
      <c r="K1461" s="68" t="s">
        <v>30594</v>
      </c>
      <c r="L1461" s="72"/>
      <c r="M1461" s="73"/>
      <c r="N1461" s="73"/>
      <c r="O1461" s="74"/>
      <c r="P1461" s="75"/>
      <c r="Q1461" s="75"/>
      <c r="R1461" s="102"/>
      <c r="S1461" s="102"/>
      <c r="T1461" s="102"/>
      <c r="U1461" s="102"/>
      <c r="V1461" s="48"/>
      <c r="W1461" s="48"/>
      <c r="X1461" s="48"/>
      <c r="Y1461" s="48"/>
      <c r="Z1461" s="47"/>
      <c r="AA1461" s="70">
        <v>1461</v>
      </c>
      <c r="AB1461" s="70"/>
      <c r="AC1461" s="71"/>
      <c r="AD1461" s="86" t="s">
        <v>25052</v>
      </c>
      <c r="AE1461" s="94" t="s">
        <v>23519</v>
      </c>
      <c r="AF1461" s="86">
        <v>3</v>
      </c>
      <c r="AG1461" s="86">
        <v>5</v>
      </c>
      <c r="AH1461" s="86">
        <v>3</v>
      </c>
      <c r="AI1461" s="86">
        <v>0</v>
      </c>
      <c r="AJ1461" s="86">
        <v>5</v>
      </c>
      <c r="AK1461" s="86">
        <v>0</v>
      </c>
      <c r="AL1461" s="86" t="b">
        <v>0</v>
      </c>
      <c r="AM1461" s="89">
        <v>45128.61991898148</v>
      </c>
      <c r="AN1461" s="86"/>
      <c r="AO1461" s="86"/>
      <c r="AP1461" s="86"/>
      <c r="AQ1461" s="86"/>
      <c r="AR1461" s="86"/>
      <c r="AS1461" s="86"/>
      <c r="AT1461" s="86"/>
      <c r="AU1461" s="86"/>
      <c r="AV1461" s="86"/>
      <c r="AW1461" s="86"/>
      <c r="AX1461" s="86" t="b">
        <v>0</v>
      </c>
      <c r="AY1461" s="86"/>
      <c r="AZ1461" s="86"/>
      <c r="BA1461" s="86" t="b">
        <v>0</v>
      </c>
      <c r="BB1461" s="86" t="b">
        <v>1</v>
      </c>
      <c r="BC1461" s="86" t="b">
        <v>1</v>
      </c>
      <c r="BD1461" s="86" t="b">
        <v>0</v>
      </c>
      <c r="BE1461" s="86" t="b">
        <v>0</v>
      </c>
      <c r="BF1461" s="86" t="b">
        <v>0</v>
      </c>
      <c r="BG1461" s="86" t="b">
        <v>0</v>
      </c>
      <c r="BH1461" s="86"/>
      <c r="BI1461" s="86"/>
      <c r="BJ1461" s="86" t="s">
        <v>29134</v>
      </c>
      <c r="BK1461" s="86" t="b">
        <v>0</v>
      </c>
      <c r="BL1461" s="86"/>
      <c r="BM1461" s="86" t="s">
        <v>66</v>
      </c>
      <c r="BN1461" s="86" t="s">
        <v>29136</v>
      </c>
      <c r="BO1461" s="96" t="str">
        <f>HYPERLINK("https://twitter.com/pedroh_mrtns")</f>
        <v>https://twitter.com/pedroh_mrtns</v>
      </c>
      <c r="BP1461" s="2"/>
    </row>
    <row r="1462" spans="1:68" x14ac:dyDescent="0.25">
      <c r="A1462" s="63" t="s">
        <v>1475</v>
      </c>
      <c r="B1462" s="64"/>
      <c r="C1462" s="64"/>
      <c r="D1462" s="65"/>
      <c r="E1462" s="67"/>
      <c r="F1462" s="111" t="str">
        <f>HYPERLINK("https://pbs.twimg.com/profile_images/1649180488781660161/ZSI0kJmM_normal.jpg")</f>
        <v>https://pbs.twimg.com/profile_images/1649180488781660161/ZSI0kJmM_normal.jpg</v>
      </c>
      <c r="G1462" s="64"/>
      <c r="H1462" s="68"/>
      <c r="I1462" s="69"/>
      <c r="J1462" s="69"/>
      <c r="K1462" s="68" t="s">
        <v>30595</v>
      </c>
      <c r="L1462" s="72"/>
      <c r="M1462" s="73"/>
      <c r="N1462" s="73"/>
      <c r="O1462" s="74"/>
      <c r="P1462" s="75"/>
      <c r="Q1462" s="75"/>
      <c r="R1462" s="102"/>
      <c r="S1462" s="102"/>
      <c r="T1462" s="102"/>
      <c r="U1462" s="102"/>
      <c r="V1462" s="48"/>
      <c r="W1462" s="48"/>
      <c r="X1462" s="48"/>
      <c r="Y1462" s="48"/>
      <c r="Z1462" s="47"/>
      <c r="AA1462" s="70">
        <v>1462</v>
      </c>
      <c r="AB1462" s="70"/>
      <c r="AC1462" s="71"/>
      <c r="AD1462" s="86" t="s">
        <v>25053</v>
      </c>
      <c r="AE1462" s="94" t="s">
        <v>25808</v>
      </c>
      <c r="AF1462" s="86">
        <v>35007</v>
      </c>
      <c r="AG1462" s="86">
        <v>296</v>
      </c>
      <c r="AH1462" s="86">
        <v>11187</v>
      </c>
      <c r="AI1462" s="86">
        <v>239</v>
      </c>
      <c r="AJ1462" s="86">
        <v>1</v>
      </c>
      <c r="AK1462" s="86">
        <v>2147</v>
      </c>
      <c r="AL1462" s="86" t="b">
        <v>0</v>
      </c>
      <c r="AM1462" s="89">
        <v>39944.84542824074</v>
      </c>
      <c r="AN1462" s="86"/>
      <c r="AO1462" s="86" t="s">
        <v>27751</v>
      </c>
      <c r="AP1462" s="86"/>
      <c r="AQ1462" s="86"/>
      <c r="AR1462" s="86"/>
      <c r="AS1462" s="86"/>
      <c r="AT1462" s="86"/>
      <c r="AU1462" s="86"/>
      <c r="AV1462" s="86"/>
      <c r="AW1462" s="86"/>
      <c r="AX1462" s="86" t="b">
        <v>0</v>
      </c>
      <c r="AY1462" s="86"/>
      <c r="AZ1462" s="86"/>
      <c r="BA1462" s="86" t="b">
        <v>0</v>
      </c>
      <c r="BB1462" s="86" t="b">
        <v>1</v>
      </c>
      <c r="BC1462" s="86" t="b">
        <v>0</v>
      </c>
      <c r="BD1462" s="86" t="b">
        <v>0</v>
      </c>
      <c r="BE1462" s="86" t="b">
        <v>0</v>
      </c>
      <c r="BF1462" s="86" t="b">
        <v>0</v>
      </c>
      <c r="BG1462" s="86" t="b">
        <v>0</v>
      </c>
      <c r="BH1462" s="96" t="str">
        <f>HYPERLINK("https://pbs.twimg.com/profile_banners/39331175/1682032228")</f>
        <v>https://pbs.twimg.com/profile_banners/39331175/1682032228</v>
      </c>
      <c r="BI1462" s="86"/>
      <c r="BJ1462" s="86" t="s">
        <v>29134</v>
      </c>
      <c r="BK1462" s="86" t="b">
        <v>0</v>
      </c>
      <c r="BL1462" s="86"/>
      <c r="BM1462" s="86" t="s">
        <v>66</v>
      </c>
      <c r="BN1462" s="86" t="s">
        <v>29136</v>
      </c>
      <c r="BO1462" s="96" t="str">
        <f>HYPERLINK("https://twitter.com/icothomaz")</f>
        <v>https://twitter.com/icothomaz</v>
      </c>
      <c r="BP1462" s="2"/>
    </row>
    <row r="1463" spans="1:68" x14ac:dyDescent="0.25">
      <c r="A1463" s="63" t="s">
        <v>1476</v>
      </c>
      <c r="B1463" s="64"/>
      <c r="C1463" s="64"/>
      <c r="D1463" s="65"/>
      <c r="E1463" s="67"/>
      <c r="F1463" s="111" t="str">
        <f>HYPERLINK("https://pbs.twimg.com/profile_images/1700991458420125696/gIWDXAuM_normal.jpg")</f>
        <v>https://pbs.twimg.com/profile_images/1700991458420125696/gIWDXAuM_normal.jpg</v>
      </c>
      <c r="G1463" s="64"/>
      <c r="H1463" s="68"/>
      <c r="I1463" s="69"/>
      <c r="J1463" s="69"/>
      <c r="K1463" s="68" t="s">
        <v>30596</v>
      </c>
      <c r="L1463" s="72"/>
      <c r="M1463" s="73"/>
      <c r="N1463" s="73"/>
      <c r="O1463" s="74"/>
      <c r="P1463" s="75"/>
      <c r="Q1463" s="75"/>
      <c r="R1463" s="102"/>
      <c r="S1463" s="102"/>
      <c r="T1463" s="102"/>
      <c r="U1463" s="102"/>
      <c r="V1463" s="48"/>
      <c r="W1463" s="48"/>
      <c r="X1463" s="48"/>
      <c r="Y1463" s="48"/>
      <c r="Z1463" s="47"/>
      <c r="AA1463" s="70">
        <v>1463</v>
      </c>
      <c r="AB1463" s="70"/>
      <c r="AC1463" s="71"/>
      <c r="AD1463" s="86" t="s">
        <v>25054</v>
      </c>
      <c r="AE1463" s="94" t="s">
        <v>23520</v>
      </c>
      <c r="AF1463" s="86">
        <v>1082</v>
      </c>
      <c r="AG1463" s="86">
        <v>1930</v>
      </c>
      <c r="AH1463" s="86">
        <v>791</v>
      </c>
      <c r="AI1463" s="86">
        <v>0</v>
      </c>
      <c r="AJ1463" s="86">
        <v>447</v>
      </c>
      <c r="AK1463" s="86">
        <v>128</v>
      </c>
      <c r="AL1463" s="86" t="b">
        <v>0</v>
      </c>
      <c r="AM1463" s="89">
        <v>45166.908067129632</v>
      </c>
      <c r="AN1463" s="86" t="s">
        <v>15234</v>
      </c>
      <c r="AO1463" s="86" t="s">
        <v>27752</v>
      </c>
      <c r="AP1463" s="96" t="str">
        <f>HYPERLINK("https://t.co/STI8qDrXuF")</f>
        <v>https://t.co/STI8qDrXuF</v>
      </c>
      <c r="AQ1463" s="96" t="str">
        <f>HYPERLINK("https://95gospel.com.br/")</f>
        <v>https://95gospel.com.br/</v>
      </c>
      <c r="AR1463" s="86" t="s">
        <v>28881</v>
      </c>
      <c r="AS1463" s="86"/>
      <c r="AT1463" s="86"/>
      <c r="AU1463" s="86"/>
      <c r="AV1463" s="86">
        <v>1.6977115863773499E+18</v>
      </c>
      <c r="AW1463" s="96" t="str">
        <f>HYPERLINK("https://t.co/STI8qDrXuF")</f>
        <v>https://t.co/STI8qDrXuF</v>
      </c>
      <c r="AX1463" s="86" t="b">
        <v>0</v>
      </c>
      <c r="AY1463" s="86"/>
      <c r="AZ1463" s="86"/>
      <c r="BA1463" s="86" t="b">
        <v>0</v>
      </c>
      <c r="BB1463" s="86" t="b">
        <v>1</v>
      </c>
      <c r="BC1463" s="86" t="b">
        <v>1</v>
      </c>
      <c r="BD1463" s="86" t="b">
        <v>0</v>
      </c>
      <c r="BE1463" s="86" t="b">
        <v>0</v>
      </c>
      <c r="BF1463" s="86" t="b">
        <v>0</v>
      </c>
      <c r="BG1463" s="86" t="b">
        <v>0</v>
      </c>
      <c r="BH1463" s="96" t="str">
        <f>HYPERLINK("https://pbs.twimg.com/profile_banners/1696278321586155520/1693270181")</f>
        <v>https://pbs.twimg.com/profile_banners/1696278321586155520/1693270181</v>
      </c>
      <c r="BI1463" s="86"/>
      <c r="BJ1463" s="86" t="s">
        <v>29134</v>
      </c>
      <c r="BK1463" s="86" t="b">
        <v>0</v>
      </c>
      <c r="BL1463" s="86"/>
      <c r="BM1463" s="86" t="s">
        <v>66</v>
      </c>
      <c r="BN1463" s="86" t="s">
        <v>29136</v>
      </c>
      <c r="BO1463" s="96" t="str">
        <f>HYPERLINK("https://twitter.com/95gospel_ofc1")</f>
        <v>https://twitter.com/95gospel_ofc1</v>
      </c>
      <c r="BP1463" s="2"/>
    </row>
    <row r="1464" spans="1:68" x14ac:dyDescent="0.25">
      <c r="A1464" s="63" t="s">
        <v>1477</v>
      </c>
      <c r="B1464" s="64"/>
      <c r="C1464" s="64"/>
      <c r="D1464" s="65"/>
      <c r="E1464" s="67"/>
      <c r="F1464" s="111" t="str">
        <f>HYPERLINK("https://pbs.twimg.com/profile_images/1631681288515080198/p0BTX9f__normal.jpg")</f>
        <v>https://pbs.twimg.com/profile_images/1631681288515080198/p0BTX9f__normal.jpg</v>
      </c>
      <c r="G1464" s="64"/>
      <c r="H1464" s="68"/>
      <c r="I1464" s="69"/>
      <c r="J1464" s="69"/>
      <c r="K1464" s="68" t="s">
        <v>30597</v>
      </c>
      <c r="L1464" s="72"/>
      <c r="M1464" s="73"/>
      <c r="N1464" s="73"/>
      <c r="O1464" s="74"/>
      <c r="P1464" s="75"/>
      <c r="Q1464" s="75"/>
      <c r="R1464" s="102"/>
      <c r="S1464" s="102"/>
      <c r="T1464" s="102"/>
      <c r="U1464" s="102"/>
      <c r="V1464" s="48"/>
      <c r="W1464" s="48"/>
      <c r="X1464" s="48"/>
      <c r="Y1464" s="48"/>
      <c r="Z1464" s="47"/>
      <c r="AA1464" s="70">
        <v>1464</v>
      </c>
      <c r="AB1464" s="70"/>
      <c r="AC1464" s="71"/>
      <c r="AD1464" s="86" t="s">
        <v>25055</v>
      </c>
      <c r="AE1464" s="94" t="s">
        <v>23521</v>
      </c>
      <c r="AF1464" s="86">
        <v>0</v>
      </c>
      <c r="AG1464" s="86">
        <v>0</v>
      </c>
      <c r="AH1464" s="86">
        <v>58</v>
      </c>
      <c r="AI1464" s="86">
        <v>0</v>
      </c>
      <c r="AJ1464" s="86">
        <v>0</v>
      </c>
      <c r="AK1464" s="86">
        <v>58</v>
      </c>
      <c r="AL1464" s="86" t="b">
        <v>0</v>
      </c>
      <c r="AM1464" s="89">
        <v>44865.709004629629</v>
      </c>
      <c r="AN1464" s="86"/>
      <c r="AO1464" s="86" t="s">
        <v>27753</v>
      </c>
      <c r="AP1464" s="86"/>
      <c r="AQ1464" s="86"/>
      <c r="AR1464" s="86"/>
      <c r="AS1464" s="86"/>
      <c r="AT1464" s="86"/>
      <c r="AU1464" s="86"/>
      <c r="AV1464" s="86"/>
      <c r="AW1464" s="86"/>
      <c r="AX1464" s="86" t="b">
        <v>0</v>
      </c>
      <c r="AY1464" s="86"/>
      <c r="AZ1464" s="86"/>
      <c r="BA1464" s="86" t="b">
        <v>0</v>
      </c>
      <c r="BB1464" s="86" t="b">
        <v>1</v>
      </c>
      <c r="BC1464" s="86" t="b">
        <v>1</v>
      </c>
      <c r="BD1464" s="86" t="b">
        <v>0</v>
      </c>
      <c r="BE1464" s="86" t="b">
        <v>0</v>
      </c>
      <c r="BF1464" s="86" t="b">
        <v>0</v>
      </c>
      <c r="BG1464" s="86" t="b">
        <v>0</v>
      </c>
      <c r="BH1464" s="96" t="str">
        <f>HYPERLINK("https://pbs.twimg.com/profile_banners/1587127368941969408/1677858110")</f>
        <v>https://pbs.twimg.com/profile_banners/1587127368941969408/1677858110</v>
      </c>
      <c r="BI1464" s="86"/>
      <c r="BJ1464" s="86" t="s">
        <v>29134</v>
      </c>
      <c r="BK1464" s="86" t="b">
        <v>0</v>
      </c>
      <c r="BL1464" s="86"/>
      <c r="BM1464" s="86" t="s">
        <v>66</v>
      </c>
      <c r="BN1464" s="86" t="s">
        <v>29136</v>
      </c>
      <c r="BO1464" s="96" t="str">
        <f>HYPERLINK("https://twitter.com/bphub1")</f>
        <v>https://twitter.com/bphub1</v>
      </c>
      <c r="BP1464" s="2"/>
    </row>
    <row r="1465" spans="1:68" x14ac:dyDescent="0.25">
      <c r="A1465" s="63" t="s">
        <v>1479</v>
      </c>
      <c r="B1465" s="64"/>
      <c r="C1465" s="64"/>
      <c r="D1465" s="65"/>
      <c r="E1465" s="67"/>
      <c r="F1465" s="111" t="str">
        <f>HYPERLINK("https://pbs.twimg.com/profile_images/1609889757487570944/m2t8LPlq_normal.jpg")</f>
        <v>https://pbs.twimg.com/profile_images/1609889757487570944/m2t8LPlq_normal.jpg</v>
      </c>
      <c r="G1465" s="64"/>
      <c r="H1465" s="68"/>
      <c r="I1465" s="69"/>
      <c r="J1465" s="69"/>
      <c r="K1465" s="68" t="s">
        <v>30598</v>
      </c>
      <c r="L1465" s="72"/>
      <c r="M1465" s="73"/>
      <c r="N1465" s="73"/>
      <c r="O1465" s="74"/>
      <c r="P1465" s="75"/>
      <c r="Q1465" s="75"/>
      <c r="R1465" s="102"/>
      <c r="S1465" s="102"/>
      <c r="T1465" s="102"/>
      <c r="U1465" s="102"/>
      <c r="V1465" s="48"/>
      <c r="W1465" s="48"/>
      <c r="X1465" s="48"/>
      <c r="Y1465" s="48"/>
      <c r="Z1465" s="47"/>
      <c r="AA1465" s="70">
        <v>1465</v>
      </c>
      <c r="AB1465" s="70"/>
      <c r="AC1465" s="71"/>
      <c r="AD1465" s="86" t="s">
        <v>25056</v>
      </c>
      <c r="AE1465" s="94" t="s">
        <v>23523</v>
      </c>
      <c r="AF1465" s="86">
        <v>0</v>
      </c>
      <c r="AG1465" s="86">
        <v>4</v>
      </c>
      <c r="AH1465" s="86">
        <v>2</v>
      </c>
      <c r="AI1465" s="86">
        <v>0</v>
      </c>
      <c r="AJ1465" s="86">
        <v>0</v>
      </c>
      <c r="AK1465" s="86">
        <v>0</v>
      </c>
      <c r="AL1465" s="86" t="b">
        <v>0</v>
      </c>
      <c r="AM1465" s="89">
        <v>44928.520428240743</v>
      </c>
      <c r="AN1465" s="86"/>
      <c r="AO1465" s="86"/>
      <c r="AP1465" s="86"/>
      <c r="AQ1465" s="86"/>
      <c r="AR1465" s="86"/>
      <c r="AS1465" s="86"/>
      <c r="AT1465" s="86"/>
      <c r="AU1465" s="86"/>
      <c r="AV1465" s="86"/>
      <c r="AW1465" s="86"/>
      <c r="AX1465" s="86" t="b">
        <v>0</v>
      </c>
      <c r="AY1465" s="86"/>
      <c r="AZ1465" s="86"/>
      <c r="BA1465" s="86" t="b">
        <v>0</v>
      </c>
      <c r="BB1465" s="86" t="b">
        <v>1</v>
      </c>
      <c r="BC1465" s="86" t="b">
        <v>1</v>
      </c>
      <c r="BD1465" s="86" t="b">
        <v>0</v>
      </c>
      <c r="BE1465" s="86" t="b">
        <v>0</v>
      </c>
      <c r="BF1465" s="86" t="b">
        <v>0</v>
      </c>
      <c r="BG1465" s="86" t="b">
        <v>0</v>
      </c>
      <c r="BH1465" s="86"/>
      <c r="BI1465" s="86"/>
      <c r="BJ1465" s="86" t="s">
        <v>29134</v>
      </c>
      <c r="BK1465" s="86" t="b">
        <v>0</v>
      </c>
      <c r="BL1465" s="86"/>
      <c r="BM1465" s="86" t="s">
        <v>66</v>
      </c>
      <c r="BN1465" s="86" t="s">
        <v>29136</v>
      </c>
      <c r="BO1465" s="96" t="str">
        <f>HYPERLINK("https://twitter.com/criacaodesites9")</f>
        <v>https://twitter.com/criacaodesites9</v>
      </c>
      <c r="BP1465" s="2"/>
    </row>
    <row r="1466" spans="1:68" x14ac:dyDescent="0.25">
      <c r="A1466" s="63" t="s">
        <v>1480</v>
      </c>
      <c r="B1466" s="64"/>
      <c r="C1466" s="64"/>
      <c r="D1466" s="65"/>
      <c r="E1466" s="67"/>
      <c r="F1466" s="111" t="str">
        <f>HYPERLINK("https://pbs.twimg.com/profile_images/1685299697764753408/QgtdrUyo_normal.jpg")</f>
        <v>https://pbs.twimg.com/profile_images/1685299697764753408/QgtdrUyo_normal.jpg</v>
      </c>
      <c r="G1466" s="64"/>
      <c r="H1466" s="68"/>
      <c r="I1466" s="69"/>
      <c r="J1466" s="69"/>
      <c r="K1466" s="68" t="s">
        <v>30599</v>
      </c>
      <c r="L1466" s="72"/>
      <c r="M1466" s="73"/>
      <c r="N1466" s="73"/>
      <c r="O1466" s="74"/>
      <c r="P1466" s="75"/>
      <c r="Q1466" s="75"/>
      <c r="R1466" s="102"/>
      <c r="S1466" s="102"/>
      <c r="T1466" s="102"/>
      <c r="U1466" s="102"/>
      <c r="V1466" s="48"/>
      <c r="W1466" s="48"/>
      <c r="X1466" s="48"/>
      <c r="Y1466" s="48"/>
      <c r="Z1466" s="47"/>
      <c r="AA1466" s="70">
        <v>1466</v>
      </c>
      <c r="AB1466" s="70"/>
      <c r="AC1466" s="71"/>
      <c r="AD1466" s="86" t="s">
        <v>25057</v>
      </c>
      <c r="AE1466" s="94" t="s">
        <v>23524</v>
      </c>
      <c r="AF1466" s="86">
        <v>15</v>
      </c>
      <c r="AG1466" s="86">
        <v>92</v>
      </c>
      <c r="AH1466" s="86">
        <v>59</v>
      </c>
      <c r="AI1466" s="86">
        <v>0</v>
      </c>
      <c r="AJ1466" s="86">
        <v>3532</v>
      </c>
      <c r="AK1466" s="86">
        <v>1</v>
      </c>
      <c r="AL1466" s="86" t="b">
        <v>0</v>
      </c>
      <c r="AM1466" s="89">
        <v>44546.491238425922</v>
      </c>
      <c r="AN1466" s="86"/>
      <c r="AO1466" s="86" t="s">
        <v>27754</v>
      </c>
      <c r="AP1466" s="86"/>
      <c r="AQ1466" s="86"/>
      <c r="AR1466" s="86"/>
      <c r="AS1466" s="86"/>
      <c r="AT1466" s="86"/>
      <c r="AU1466" s="86"/>
      <c r="AV1466" s="86"/>
      <c r="AW1466" s="86"/>
      <c r="AX1466" s="86" t="b">
        <v>0</v>
      </c>
      <c r="AY1466" s="86"/>
      <c r="AZ1466" s="86"/>
      <c r="BA1466" s="86" t="b">
        <v>0</v>
      </c>
      <c r="BB1466" s="86" t="b">
        <v>1</v>
      </c>
      <c r="BC1466" s="86" t="b">
        <v>1</v>
      </c>
      <c r="BD1466" s="86" t="b">
        <v>0</v>
      </c>
      <c r="BE1466" s="86" t="b">
        <v>0</v>
      </c>
      <c r="BF1466" s="86" t="b">
        <v>0</v>
      </c>
      <c r="BG1466" s="86" t="b">
        <v>0</v>
      </c>
      <c r="BH1466" s="96" t="str">
        <f>HYPERLINK("https://pbs.twimg.com/profile_banners/1471446743288008706/1690641818")</f>
        <v>https://pbs.twimg.com/profile_banners/1471446743288008706/1690641818</v>
      </c>
      <c r="BI1466" s="86"/>
      <c r="BJ1466" s="86" t="s">
        <v>29134</v>
      </c>
      <c r="BK1466" s="86" t="b">
        <v>0</v>
      </c>
      <c r="BL1466" s="86"/>
      <c r="BM1466" s="86" t="s">
        <v>66</v>
      </c>
      <c r="BN1466" s="86" t="s">
        <v>29136</v>
      </c>
      <c r="BO1466" s="96" t="str">
        <f>HYPERLINK("https://twitter.com/felixjrsilvaco1")</f>
        <v>https://twitter.com/felixjrsilvaco1</v>
      </c>
      <c r="BP1466" s="2"/>
    </row>
    <row r="1467" spans="1:68" x14ac:dyDescent="0.25">
      <c r="A1467" s="63" t="s">
        <v>1481</v>
      </c>
      <c r="B1467" s="64"/>
      <c r="C1467" s="64"/>
      <c r="D1467" s="65"/>
      <c r="E1467" s="67"/>
      <c r="F1467" s="111" t="str">
        <f>HYPERLINK("https://pbs.twimg.com/profile_images/1540347092920664066/XyIN1qIe_normal.jpg")</f>
        <v>https://pbs.twimg.com/profile_images/1540347092920664066/XyIN1qIe_normal.jpg</v>
      </c>
      <c r="G1467" s="64"/>
      <c r="H1467" s="68"/>
      <c r="I1467" s="69"/>
      <c r="J1467" s="69"/>
      <c r="K1467" s="68" t="s">
        <v>30600</v>
      </c>
      <c r="L1467" s="72"/>
      <c r="M1467" s="73"/>
      <c r="N1467" s="73"/>
      <c r="O1467" s="74"/>
      <c r="P1467" s="75"/>
      <c r="Q1467" s="75"/>
      <c r="R1467" s="102"/>
      <c r="S1467" s="102"/>
      <c r="T1467" s="102"/>
      <c r="U1467" s="102"/>
      <c r="V1467" s="48"/>
      <c r="W1467" s="48"/>
      <c r="X1467" s="48"/>
      <c r="Y1467" s="48"/>
      <c r="Z1467" s="47"/>
      <c r="AA1467" s="70">
        <v>1467</v>
      </c>
      <c r="AB1467" s="70"/>
      <c r="AC1467" s="71"/>
      <c r="AD1467" s="86" t="s">
        <v>25058</v>
      </c>
      <c r="AE1467" s="94" t="s">
        <v>23525</v>
      </c>
      <c r="AF1467" s="86">
        <v>19</v>
      </c>
      <c r="AG1467" s="86">
        <v>41</v>
      </c>
      <c r="AH1467" s="86">
        <v>133</v>
      </c>
      <c r="AI1467" s="86">
        <v>0</v>
      </c>
      <c r="AJ1467" s="86">
        <v>117</v>
      </c>
      <c r="AK1467" s="86">
        <v>59</v>
      </c>
      <c r="AL1467" s="86" t="b">
        <v>0</v>
      </c>
      <c r="AM1467" s="89">
        <v>44476.033634259256</v>
      </c>
      <c r="AN1467" s="86" t="s">
        <v>15268</v>
      </c>
      <c r="AO1467" s="86" t="s">
        <v>27755</v>
      </c>
      <c r="AP1467" s="86"/>
      <c r="AQ1467" s="86"/>
      <c r="AR1467" s="86"/>
      <c r="AS1467" s="86"/>
      <c r="AT1467" s="86"/>
      <c r="AU1467" s="86"/>
      <c r="AV1467" s="86"/>
      <c r="AW1467" s="86"/>
      <c r="AX1467" s="86" t="b">
        <v>0</v>
      </c>
      <c r="AY1467" s="86"/>
      <c r="AZ1467" s="86"/>
      <c r="BA1467" s="86" t="b">
        <v>0</v>
      </c>
      <c r="BB1467" s="86" t="b">
        <v>1</v>
      </c>
      <c r="BC1467" s="86" t="b">
        <v>1</v>
      </c>
      <c r="BD1467" s="86" t="b">
        <v>0</v>
      </c>
      <c r="BE1467" s="86" t="b">
        <v>0</v>
      </c>
      <c r="BF1467" s="86" t="b">
        <v>0</v>
      </c>
      <c r="BG1467" s="86" t="b">
        <v>0</v>
      </c>
      <c r="BH1467" s="96" t="str">
        <f>HYPERLINK("https://pbs.twimg.com/profile_banners/1445913802726260739/1658924494")</f>
        <v>https://pbs.twimg.com/profile_banners/1445913802726260739/1658924494</v>
      </c>
      <c r="BI1467" s="86"/>
      <c r="BJ1467" s="86" t="s">
        <v>29134</v>
      </c>
      <c r="BK1467" s="86" t="b">
        <v>0</v>
      </c>
      <c r="BL1467" s="86"/>
      <c r="BM1467" s="86" t="s">
        <v>66</v>
      </c>
      <c r="BN1467" s="86" t="s">
        <v>29136</v>
      </c>
      <c r="BO1467" s="96" t="str">
        <f>HYPERLINK("https://twitter.com/n3coworking")</f>
        <v>https://twitter.com/n3coworking</v>
      </c>
      <c r="BP1467" s="2"/>
    </row>
    <row r="1468" spans="1:68" x14ac:dyDescent="0.25">
      <c r="A1468" s="63" t="s">
        <v>1482</v>
      </c>
      <c r="B1468" s="64"/>
      <c r="C1468" s="64"/>
      <c r="D1468" s="65"/>
      <c r="E1468" s="67"/>
      <c r="F1468" s="111" t="str">
        <f>HYPERLINK("https://pbs.twimg.com/profile_images/1406304529956671495/zFU3lw5W_normal.jpg")</f>
        <v>https://pbs.twimg.com/profile_images/1406304529956671495/zFU3lw5W_normal.jpg</v>
      </c>
      <c r="G1468" s="64"/>
      <c r="H1468" s="68"/>
      <c r="I1468" s="69"/>
      <c r="J1468" s="69"/>
      <c r="K1468" s="68" t="s">
        <v>30601</v>
      </c>
      <c r="L1468" s="72"/>
      <c r="M1468" s="73"/>
      <c r="N1468" s="73"/>
      <c r="O1468" s="74"/>
      <c r="P1468" s="75"/>
      <c r="Q1468" s="75"/>
      <c r="R1468" s="102"/>
      <c r="S1468" s="102"/>
      <c r="T1468" s="102"/>
      <c r="U1468" s="102"/>
      <c r="V1468" s="48"/>
      <c r="W1468" s="48"/>
      <c r="X1468" s="48"/>
      <c r="Y1468" s="48"/>
      <c r="Z1468" s="47"/>
      <c r="AA1468" s="70">
        <v>1468</v>
      </c>
      <c r="AB1468" s="70"/>
      <c r="AC1468" s="71"/>
      <c r="AD1468" s="86" t="s">
        <v>25059</v>
      </c>
      <c r="AE1468" s="94" t="s">
        <v>25809</v>
      </c>
      <c r="AF1468" s="86">
        <v>154</v>
      </c>
      <c r="AG1468" s="86">
        <v>69</v>
      </c>
      <c r="AH1468" s="86">
        <v>556</v>
      </c>
      <c r="AI1468" s="86">
        <v>0</v>
      </c>
      <c r="AJ1468" s="86">
        <v>276</v>
      </c>
      <c r="AK1468" s="86">
        <v>395</v>
      </c>
      <c r="AL1468" s="86" t="b">
        <v>0</v>
      </c>
      <c r="AM1468" s="89">
        <v>41682.465520833335</v>
      </c>
      <c r="AN1468" s="86" t="s">
        <v>15246</v>
      </c>
      <c r="AO1468" s="86" t="s">
        <v>27756</v>
      </c>
      <c r="AP1468" s="96" t="str">
        <f>HYPERLINK("https://t.co/UFp4dw4vYh")</f>
        <v>https://t.co/UFp4dw4vYh</v>
      </c>
      <c r="AQ1468" s="96" t="str">
        <f>HYPERLINK("http://www.erikpenna.com.br")</f>
        <v>http://www.erikpenna.com.br</v>
      </c>
      <c r="AR1468" s="86" t="s">
        <v>28882</v>
      </c>
      <c r="AS1468" s="96" t="str">
        <f>HYPERLINK("https://t.co/UFp4dw4vYh")</f>
        <v>https://t.co/UFp4dw4vYh</v>
      </c>
      <c r="AT1468" s="96" t="str">
        <f>HYPERLINK("http://www.erikpenna.com.br")</f>
        <v>http://www.erikpenna.com.br</v>
      </c>
      <c r="AU1468" s="86" t="s">
        <v>28882</v>
      </c>
      <c r="AV1468" s="86"/>
      <c r="AW1468" s="96" t="str">
        <f>HYPERLINK("https://t.co/UFp4dw4vYh")</f>
        <v>https://t.co/UFp4dw4vYh</v>
      </c>
      <c r="AX1468" s="86" t="b">
        <v>0</v>
      </c>
      <c r="AY1468" s="86"/>
      <c r="AZ1468" s="86"/>
      <c r="BA1468" s="86" t="b">
        <v>0</v>
      </c>
      <c r="BB1468" s="86" t="b">
        <v>1</v>
      </c>
      <c r="BC1468" s="86" t="b">
        <v>0</v>
      </c>
      <c r="BD1468" s="86" t="b">
        <v>0</v>
      </c>
      <c r="BE1468" s="86" t="b">
        <v>0</v>
      </c>
      <c r="BF1468" s="86" t="b">
        <v>0</v>
      </c>
      <c r="BG1468" s="86" t="b">
        <v>0</v>
      </c>
      <c r="BH1468" s="96" t="str">
        <f>HYPERLINK("https://pbs.twimg.com/profile_banners/2340159666/1624124108")</f>
        <v>https://pbs.twimg.com/profile_banners/2340159666/1624124108</v>
      </c>
      <c r="BI1468" s="86"/>
      <c r="BJ1468" s="86" t="s">
        <v>29134</v>
      </c>
      <c r="BK1468" s="86" t="b">
        <v>0</v>
      </c>
      <c r="BL1468" s="86"/>
      <c r="BM1468" s="86" t="s">
        <v>66</v>
      </c>
      <c r="BN1468" s="86" t="s">
        <v>29136</v>
      </c>
      <c r="BO1468" s="96" t="str">
        <f>HYPERLINK("https://twitter.com/erikpenna")</f>
        <v>https://twitter.com/erikpenna</v>
      </c>
      <c r="BP1468" s="2"/>
    </row>
    <row r="1469" spans="1:68" x14ac:dyDescent="0.25">
      <c r="A1469" s="63" t="s">
        <v>1483</v>
      </c>
      <c r="B1469" s="64"/>
      <c r="C1469" s="64"/>
      <c r="D1469" s="65"/>
      <c r="E1469" s="67"/>
      <c r="F1469" s="111" t="str">
        <f>HYPERLINK("https://pbs.twimg.com/profile_images/1644460631628677127/0iUpx2vo_normal.jpg")</f>
        <v>https://pbs.twimg.com/profile_images/1644460631628677127/0iUpx2vo_normal.jpg</v>
      </c>
      <c r="G1469" s="64"/>
      <c r="H1469" s="68"/>
      <c r="I1469" s="69"/>
      <c r="J1469" s="69"/>
      <c r="K1469" s="68" t="s">
        <v>30602</v>
      </c>
      <c r="L1469" s="72"/>
      <c r="M1469" s="73"/>
      <c r="N1469" s="73"/>
      <c r="O1469" s="74"/>
      <c r="P1469" s="75"/>
      <c r="Q1469" s="75"/>
      <c r="R1469" s="102"/>
      <c r="S1469" s="102"/>
      <c r="T1469" s="102"/>
      <c r="U1469" s="102"/>
      <c r="V1469" s="48"/>
      <c r="W1469" s="48"/>
      <c r="X1469" s="48"/>
      <c r="Y1469" s="48"/>
      <c r="Z1469" s="47"/>
      <c r="AA1469" s="70">
        <v>1469</v>
      </c>
      <c r="AB1469" s="70"/>
      <c r="AC1469" s="71"/>
      <c r="AD1469" s="86" t="s">
        <v>25060</v>
      </c>
      <c r="AE1469" s="94" t="s">
        <v>23526</v>
      </c>
      <c r="AF1469" s="86">
        <v>2</v>
      </c>
      <c r="AG1469" s="86">
        <v>10</v>
      </c>
      <c r="AH1469" s="86">
        <v>21</v>
      </c>
      <c r="AI1469" s="86">
        <v>0</v>
      </c>
      <c r="AJ1469" s="86">
        <v>7</v>
      </c>
      <c r="AK1469" s="86">
        <v>21</v>
      </c>
      <c r="AL1469" s="86" t="b">
        <v>0</v>
      </c>
      <c r="AM1469" s="89">
        <v>45022.970949074072</v>
      </c>
      <c r="AN1469" s="86" t="s">
        <v>26373</v>
      </c>
      <c r="AO1469" s="86" t="s">
        <v>27757</v>
      </c>
      <c r="AP1469" s="96" t="str">
        <f>HYPERLINK("https://t.co/NZJZM6G8kn")</f>
        <v>https://t.co/NZJZM6G8kn</v>
      </c>
      <c r="AQ1469" s="96" t="str">
        <f>HYPERLINK("https://www.evovend.com.br/")</f>
        <v>https://www.evovend.com.br/</v>
      </c>
      <c r="AR1469" s="86" t="s">
        <v>28883</v>
      </c>
      <c r="AS1469" s="86"/>
      <c r="AT1469" s="86"/>
      <c r="AU1469" s="86"/>
      <c r="AV1469" s="86"/>
      <c r="AW1469" s="96" t="str">
        <f>HYPERLINK("https://t.co/NZJZM6G8kn")</f>
        <v>https://t.co/NZJZM6G8kn</v>
      </c>
      <c r="AX1469" s="86" t="b">
        <v>0</v>
      </c>
      <c r="AY1469" s="86"/>
      <c r="AZ1469" s="86"/>
      <c r="BA1469" s="86" t="b">
        <v>0</v>
      </c>
      <c r="BB1469" s="86" t="b">
        <v>1</v>
      </c>
      <c r="BC1469" s="86" t="b">
        <v>1</v>
      </c>
      <c r="BD1469" s="86" t="b">
        <v>0</v>
      </c>
      <c r="BE1469" s="86" t="b">
        <v>0</v>
      </c>
      <c r="BF1469" s="86" t="b">
        <v>0</v>
      </c>
      <c r="BG1469" s="86" t="b">
        <v>0</v>
      </c>
      <c r="BH1469" s="96" t="str">
        <f>HYPERLINK("https://pbs.twimg.com/profile_banners/1644117248850771979/1680908651")</f>
        <v>https://pbs.twimg.com/profile_banners/1644117248850771979/1680908651</v>
      </c>
      <c r="BI1469" s="86"/>
      <c r="BJ1469" s="86" t="s">
        <v>29134</v>
      </c>
      <c r="BK1469" s="86" t="b">
        <v>0</v>
      </c>
      <c r="BL1469" s="86"/>
      <c r="BM1469" s="86" t="s">
        <v>66</v>
      </c>
      <c r="BN1469" s="86" t="s">
        <v>29136</v>
      </c>
      <c r="BO1469" s="96" t="str">
        <f>HYPERLINK("https://twitter.com/evovendsho")</f>
        <v>https://twitter.com/evovendsho</v>
      </c>
      <c r="BP1469" s="2"/>
    </row>
    <row r="1470" spans="1:68" x14ac:dyDescent="0.25">
      <c r="A1470" s="63" t="s">
        <v>1484</v>
      </c>
      <c r="B1470" s="64"/>
      <c r="C1470" s="64"/>
      <c r="D1470" s="65"/>
      <c r="E1470" s="67"/>
      <c r="F1470" s="111" t="str">
        <f>HYPERLINK("https://pbs.twimg.com/profile_images/1266166030000427011/-jRXi6eR_normal.jpg")</f>
        <v>https://pbs.twimg.com/profile_images/1266166030000427011/-jRXi6eR_normal.jpg</v>
      </c>
      <c r="G1470" s="64"/>
      <c r="H1470" s="68"/>
      <c r="I1470" s="69"/>
      <c r="J1470" s="69"/>
      <c r="K1470" s="68" t="s">
        <v>30603</v>
      </c>
      <c r="L1470" s="72"/>
      <c r="M1470" s="73"/>
      <c r="N1470" s="73"/>
      <c r="O1470" s="74"/>
      <c r="P1470" s="75"/>
      <c r="Q1470" s="75"/>
      <c r="R1470" s="102"/>
      <c r="S1470" s="102"/>
      <c r="T1470" s="102"/>
      <c r="U1470" s="102"/>
      <c r="V1470" s="48"/>
      <c r="W1470" s="48"/>
      <c r="X1470" s="48"/>
      <c r="Y1470" s="48"/>
      <c r="Z1470" s="47"/>
      <c r="AA1470" s="70">
        <v>1470</v>
      </c>
      <c r="AB1470" s="70"/>
      <c r="AC1470" s="71"/>
      <c r="AD1470" s="86" t="s">
        <v>25061</v>
      </c>
      <c r="AE1470" s="94" t="s">
        <v>23527</v>
      </c>
      <c r="AF1470" s="86">
        <v>2131</v>
      </c>
      <c r="AG1470" s="86">
        <v>3466</v>
      </c>
      <c r="AH1470" s="86">
        <v>4178</v>
      </c>
      <c r="AI1470" s="86">
        <v>0</v>
      </c>
      <c r="AJ1470" s="86">
        <v>9784</v>
      </c>
      <c r="AK1470" s="86">
        <v>183</v>
      </c>
      <c r="AL1470" s="86" t="b">
        <v>0</v>
      </c>
      <c r="AM1470" s="89">
        <v>43442.517974537041</v>
      </c>
      <c r="AN1470" s="86" t="s">
        <v>25926</v>
      </c>
      <c r="AO1470" s="86" t="s">
        <v>27758</v>
      </c>
      <c r="AP1470" s="86"/>
      <c r="AQ1470" s="86"/>
      <c r="AR1470" s="86"/>
      <c r="AS1470" s="86"/>
      <c r="AT1470" s="86"/>
      <c r="AU1470" s="86"/>
      <c r="AV1470" s="86"/>
      <c r="AW1470" s="86"/>
      <c r="AX1470" s="86" t="b">
        <v>0</v>
      </c>
      <c r="AY1470" s="86"/>
      <c r="AZ1470" s="86"/>
      <c r="BA1470" s="86" t="b">
        <v>1</v>
      </c>
      <c r="BB1470" s="86" t="b">
        <v>1</v>
      </c>
      <c r="BC1470" s="86" t="b">
        <v>1</v>
      </c>
      <c r="BD1470" s="86" t="b">
        <v>0</v>
      </c>
      <c r="BE1470" s="86" t="b">
        <v>0</v>
      </c>
      <c r="BF1470" s="86" t="b">
        <v>0</v>
      </c>
      <c r="BG1470" s="86" t="b">
        <v>0</v>
      </c>
      <c r="BH1470" s="86"/>
      <c r="BI1470" s="86"/>
      <c r="BJ1470" s="86" t="s">
        <v>29134</v>
      </c>
      <c r="BK1470" s="86" t="b">
        <v>0</v>
      </c>
      <c r="BL1470" s="86"/>
      <c r="BM1470" s="86" t="s">
        <v>66</v>
      </c>
      <c r="BN1470" s="86" t="s">
        <v>29136</v>
      </c>
      <c r="BO1470" s="96" t="str">
        <f>HYPERLINK("https://twitter.com/feitosaafranio1")</f>
        <v>https://twitter.com/feitosaafranio1</v>
      </c>
      <c r="BP1470" s="2"/>
    </row>
    <row r="1471" spans="1:68" x14ac:dyDescent="0.25">
      <c r="A1471" s="63" t="s">
        <v>1485</v>
      </c>
      <c r="B1471" s="64"/>
      <c r="C1471" s="64"/>
      <c r="D1471" s="65"/>
      <c r="E1471" s="67"/>
      <c r="F1471" s="111" t="str">
        <f>HYPERLINK("https://pbs.twimg.com/profile_images/882492702318788608/4wf94PGZ_normal.jpg")</f>
        <v>https://pbs.twimg.com/profile_images/882492702318788608/4wf94PGZ_normal.jpg</v>
      </c>
      <c r="G1471" s="64"/>
      <c r="H1471" s="68"/>
      <c r="I1471" s="69"/>
      <c r="J1471" s="69"/>
      <c r="K1471" s="68" t="s">
        <v>30604</v>
      </c>
      <c r="L1471" s="72"/>
      <c r="M1471" s="73"/>
      <c r="N1471" s="73"/>
      <c r="O1471" s="74"/>
      <c r="P1471" s="75"/>
      <c r="Q1471" s="75"/>
      <c r="R1471" s="102"/>
      <c r="S1471" s="102"/>
      <c r="T1471" s="102"/>
      <c r="U1471" s="102"/>
      <c r="V1471" s="48"/>
      <c r="W1471" s="48"/>
      <c r="X1471" s="48"/>
      <c r="Y1471" s="48"/>
      <c r="Z1471" s="47"/>
      <c r="AA1471" s="70">
        <v>1471</v>
      </c>
      <c r="AB1471" s="70"/>
      <c r="AC1471" s="71"/>
      <c r="AD1471" s="86" t="s">
        <v>25062</v>
      </c>
      <c r="AE1471" s="94" t="s">
        <v>25810</v>
      </c>
      <c r="AF1471" s="86">
        <v>1036</v>
      </c>
      <c r="AG1471" s="86">
        <v>99</v>
      </c>
      <c r="AH1471" s="86">
        <v>32873</v>
      </c>
      <c r="AI1471" s="86">
        <v>12</v>
      </c>
      <c r="AJ1471" s="86">
        <v>81</v>
      </c>
      <c r="AK1471" s="86">
        <v>6293</v>
      </c>
      <c r="AL1471" s="86" t="b">
        <v>0</v>
      </c>
      <c r="AM1471" s="89">
        <v>40599.869085648148</v>
      </c>
      <c r="AN1471" s="86" t="s">
        <v>26374</v>
      </c>
      <c r="AO1471" s="86" t="s">
        <v>27759</v>
      </c>
      <c r="AP1471" s="96" t="str">
        <f>HYPERLINK("http://t.co/dUfaig28Tn")</f>
        <v>http://t.co/dUfaig28Tn</v>
      </c>
      <c r="AQ1471" s="96" t="str">
        <f>HYPERLINK("http://alagoasnanet.com.br")</f>
        <v>http://alagoasnanet.com.br</v>
      </c>
      <c r="AR1471" s="86" t="s">
        <v>28884</v>
      </c>
      <c r="AS1471" s="86"/>
      <c r="AT1471" s="86"/>
      <c r="AU1471" s="86"/>
      <c r="AV1471" s="86"/>
      <c r="AW1471" s="96" t="str">
        <f>HYPERLINK("http://t.co/dUfaig28Tn")</f>
        <v>http://t.co/dUfaig28Tn</v>
      </c>
      <c r="AX1471" s="86" t="b">
        <v>0</v>
      </c>
      <c r="AY1471" s="86"/>
      <c r="AZ1471" s="86"/>
      <c r="BA1471" s="86" t="b">
        <v>0</v>
      </c>
      <c r="BB1471" s="86" t="b">
        <v>1</v>
      </c>
      <c r="BC1471" s="86" t="b">
        <v>0</v>
      </c>
      <c r="BD1471" s="86" t="b">
        <v>0</v>
      </c>
      <c r="BE1471" s="86" t="b">
        <v>0</v>
      </c>
      <c r="BF1471" s="86" t="b">
        <v>0</v>
      </c>
      <c r="BG1471" s="86" t="b">
        <v>0</v>
      </c>
      <c r="BH1471" s="96" t="str">
        <f>HYPERLINK("https://pbs.twimg.com/profile_banners/257625339/1499237706")</f>
        <v>https://pbs.twimg.com/profile_banners/257625339/1499237706</v>
      </c>
      <c r="BI1471" s="86"/>
      <c r="BJ1471" s="86" t="s">
        <v>29134</v>
      </c>
      <c r="BK1471" s="86" t="b">
        <v>0</v>
      </c>
      <c r="BL1471" s="86"/>
      <c r="BM1471" s="86" t="s">
        <v>66</v>
      </c>
      <c r="BN1471" s="86" t="s">
        <v>29136</v>
      </c>
      <c r="BO1471" s="96" t="str">
        <f>HYPERLINK("https://twitter.com/alnanet")</f>
        <v>https://twitter.com/alnanet</v>
      </c>
      <c r="BP1471" s="2"/>
    </row>
    <row r="1472" spans="1:68" x14ac:dyDescent="0.25">
      <c r="A1472" s="63" t="s">
        <v>1486</v>
      </c>
      <c r="B1472" s="64"/>
      <c r="C1472" s="64"/>
      <c r="D1472" s="65"/>
      <c r="E1472" s="67"/>
      <c r="F1472" s="111" t="str">
        <f>HYPERLINK("https://pbs.twimg.com/profile_images/1568417597841985538/-TFCeIa5_normal.jpg")</f>
        <v>https://pbs.twimg.com/profile_images/1568417597841985538/-TFCeIa5_normal.jpg</v>
      </c>
      <c r="G1472" s="64"/>
      <c r="H1472" s="68"/>
      <c r="I1472" s="69"/>
      <c r="J1472" s="69"/>
      <c r="K1472" s="68" t="s">
        <v>30605</v>
      </c>
      <c r="L1472" s="72"/>
      <c r="M1472" s="73"/>
      <c r="N1472" s="73"/>
      <c r="O1472" s="74"/>
      <c r="P1472" s="75"/>
      <c r="Q1472" s="75"/>
      <c r="R1472" s="102"/>
      <c r="S1472" s="102"/>
      <c r="T1472" s="102"/>
      <c r="U1472" s="102"/>
      <c r="V1472" s="48"/>
      <c r="W1472" s="48"/>
      <c r="X1472" s="48"/>
      <c r="Y1472" s="48"/>
      <c r="Z1472" s="47"/>
      <c r="AA1472" s="70">
        <v>1472</v>
      </c>
      <c r="AB1472" s="70"/>
      <c r="AC1472" s="71"/>
      <c r="AD1472" s="86" t="s">
        <v>25063</v>
      </c>
      <c r="AE1472" s="94" t="s">
        <v>23528</v>
      </c>
      <c r="AF1472" s="86">
        <v>6</v>
      </c>
      <c r="AG1472" s="86">
        <v>7</v>
      </c>
      <c r="AH1472" s="86">
        <v>12</v>
      </c>
      <c r="AI1472" s="86">
        <v>0</v>
      </c>
      <c r="AJ1472" s="86">
        <v>28</v>
      </c>
      <c r="AK1472" s="86">
        <v>7</v>
      </c>
      <c r="AL1472" s="86" t="b">
        <v>0</v>
      </c>
      <c r="AM1472" s="89">
        <v>44814.077256944445</v>
      </c>
      <c r="AN1472" s="86"/>
      <c r="AO1472" s="86" t="s">
        <v>27760</v>
      </c>
      <c r="AP1472" s="96" t="str">
        <f>HYPERLINK("https://t.co/obEfpv6s3U")</f>
        <v>https://t.co/obEfpv6s3U</v>
      </c>
      <c r="AQ1472" s="96" t="str">
        <f>HYPERLINK("http://www.agroatlasbrasil.com")</f>
        <v>http://www.agroatlasbrasil.com</v>
      </c>
      <c r="AR1472" s="86" t="s">
        <v>28885</v>
      </c>
      <c r="AS1472" s="86"/>
      <c r="AT1472" s="86"/>
      <c r="AU1472" s="86"/>
      <c r="AV1472" s="86"/>
      <c r="AW1472" s="96" t="str">
        <f>HYPERLINK("https://t.co/obEfpv6s3U")</f>
        <v>https://t.co/obEfpv6s3U</v>
      </c>
      <c r="AX1472" s="86" t="b">
        <v>1</v>
      </c>
      <c r="AY1472" s="86"/>
      <c r="AZ1472" s="86"/>
      <c r="BA1472" s="86" t="b">
        <v>1</v>
      </c>
      <c r="BB1472" s="86" t="b">
        <v>1</v>
      </c>
      <c r="BC1472" s="86" t="b">
        <v>1</v>
      </c>
      <c r="BD1472" s="86" t="b">
        <v>0</v>
      </c>
      <c r="BE1472" s="86" t="b">
        <v>0</v>
      </c>
      <c r="BF1472" s="86" t="b">
        <v>0</v>
      </c>
      <c r="BG1472" s="86" t="b">
        <v>0</v>
      </c>
      <c r="BH1472" s="86"/>
      <c r="BI1472" s="86"/>
      <c r="BJ1472" s="86" t="s">
        <v>29134</v>
      </c>
      <c r="BK1472" s="86" t="b">
        <v>0</v>
      </c>
      <c r="BL1472" s="86"/>
      <c r="BM1472" s="86" t="s">
        <v>66</v>
      </c>
      <c r="BN1472" s="86" t="s">
        <v>29136</v>
      </c>
      <c r="BO1472" s="96" t="str">
        <f>HYPERLINK("https://twitter.com/welberlsantana")</f>
        <v>https://twitter.com/welberlsantana</v>
      </c>
      <c r="BP1472" s="2"/>
    </row>
    <row r="1473" spans="1:68" x14ac:dyDescent="0.25">
      <c r="A1473" s="63" t="s">
        <v>1487</v>
      </c>
      <c r="B1473" s="64"/>
      <c r="C1473" s="64"/>
      <c r="D1473" s="65"/>
      <c r="E1473" s="67"/>
      <c r="F1473" s="111" t="str">
        <f>HYPERLINK("https://pbs.twimg.com/profile_images/1273074833165897728/HD8bqRZR_normal.jpg")</f>
        <v>https://pbs.twimg.com/profile_images/1273074833165897728/HD8bqRZR_normal.jpg</v>
      </c>
      <c r="G1473" s="64"/>
      <c r="H1473" s="68"/>
      <c r="I1473" s="69"/>
      <c r="J1473" s="69"/>
      <c r="K1473" s="68" t="s">
        <v>30606</v>
      </c>
      <c r="L1473" s="72"/>
      <c r="M1473" s="73"/>
      <c r="N1473" s="73"/>
      <c r="O1473" s="74"/>
      <c r="P1473" s="75"/>
      <c r="Q1473" s="75"/>
      <c r="R1473" s="102"/>
      <c r="S1473" s="102"/>
      <c r="T1473" s="102"/>
      <c r="U1473" s="102"/>
      <c r="V1473" s="48"/>
      <c r="W1473" s="48"/>
      <c r="X1473" s="48"/>
      <c r="Y1473" s="48"/>
      <c r="Z1473" s="47"/>
      <c r="AA1473" s="70">
        <v>1473</v>
      </c>
      <c r="AB1473" s="70"/>
      <c r="AC1473" s="71"/>
      <c r="AD1473" s="86" t="s">
        <v>25064</v>
      </c>
      <c r="AE1473" s="94" t="s">
        <v>25811</v>
      </c>
      <c r="AF1473" s="86">
        <v>1025</v>
      </c>
      <c r="AG1473" s="86">
        <v>653</v>
      </c>
      <c r="AH1473" s="86">
        <v>4956</v>
      </c>
      <c r="AI1473" s="86">
        <v>2</v>
      </c>
      <c r="AJ1473" s="86">
        <v>67</v>
      </c>
      <c r="AK1473" s="86">
        <v>322</v>
      </c>
      <c r="AL1473" s="86" t="b">
        <v>0</v>
      </c>
      <c r="AM1473" s="89">
        <v>40426.514953703707</v>
      </c>
      <c r="AN1473" s="86" t="s">
        <v>15432</v>
      </c>
      <c r="AO1473" s="86" t="s">
        <v>27761</v>
      </c>
      <c r="AP1473" s="96" t="str">
        <f>HYPERLINK("https://t.co/ef5oAaHJCS")</f>
        <v>https://t.co/ef5oAaHJCS</v>
      </c>
      <c r="AQ1473" s="96" t="str">
        <f>HYPERLINK("http://lucianocopias.com.br")</f>
        <v>http://lucianocopias.com.br</v>
      </c>
      <c r="AR1473" s="86" t="s">
        <v>28886</v>
      </c>
      <c r="AS1473" s="86"/>
      <c r="AT1473" s="86"/>
      <c r="AU1473" s="86"/>
      <c r="AV1473" s="86"/>
      <c r="AW1473" s="96" t="str">
        <f>HYPERLINK("https://t.co/ef5oAaHJCS")</f>
        <v>https://t.co/ef5oAaHJCS</v>
      </c>
      <c r="AX1473" s="86" t="b">
        <v>0</v>
      </c>
      <c r="AY1473" s="86"/>
      <c r="AZ1473" s="86"/>
      <c r="BA1473" s="86" t="b">
        <v>1</v>
      </c>
      <c r="BB1473" s="86" t="b">
        <v>1</v>
      </c>
      <c r="BC1473" s="86" t="b">
        <v>0</v>
      </c>
      <c r="BD1473" s="86" t="b">
        <v>0</v>
      </c>
      <c r="BE1473" s="86" t="b">
        <v>0</v>
      </c>
      <c r="BF1473" s="86" t="b">
        <v>0</v>
      </c>
      <c r="BG1473" s="86" t="b">
        <v>0</v>
      </c>
      <c r="BH1473" s="96" t="str">
        <f>HYPERLINK("https://pbs.twimg.com/profile_banners/187153298/1592359173")</f>
        <v>https://pbs.twimg.com/profile_banners/187153298/1592359173</v>
      </c>
      <c r="BI1473" s="86"/>
      <c r="BJ1473" s="86" t="s">
        <v>29134</v>
      </c>
      <c r="BK1473" s="86" t="b">
        <v>0</v>
      </c>
      <c r="BL1473" s="86"/>
      <c r="BM1473" s="86" t="s">
        <v>66</v>
      </c>
      <c r="BN1473" s="86" t="s">
        <v>29136</v>
      </c>
      <c r="BO1473" s="96" t="str">
        <f>HYPERLINK("https://twitter.com/lxerox")</f>
        <v>https://twitter.com/lxerox</v>
      </c>
      <c r="BP1473" s="2"/>
    </row>
    <row r="1474" spans="1:68" x14ac:dyDescent="0.25">
      <c r="A1474" s="63" t="s">
        <v>1488</v>
      </c>
      <c r="B1474" s="64"/>
      <c r="C1474" s="64"/>
      <c r="D1474" s="65"/>
      <c r="E1474" s="67"/>
      <c r="F1474" s="111" t="str">
        <f>HYPERLINK("https://pbs.twimg.com/profile_images/1693045737079132160/59rmIQMa_normal.jpg")</f>
        <v>https://pbs.twimg.com/profile_images/1693045737079132160/59rmIQMa_normal.jpg</v>
      </c>
      <c r="G1474" s="64"/>
      <c r="H1474" s="68"/>
      <c r="I1474" s="69"/>
      <c r="J1474" s="69"/>
      <c r="K1474" s="68" t="s">
        <v>30607</v>
      </c>
      <c r="L1474" s="72"/>
      <c r="M1474" s="73"/>
      <c r="N1474" s="73"/>
      <c r="O1474" s="74"/>
      <c r="P1474" s="75"/>
      <c r="Q1474" s="75"/>
      <c r="R1474" s="102"/>
      <c r="S1474" s="102"/>
      <c r="T1474" s="102"/>
      <c r="U1474" s="102"/>
      <c r="V1474" s="48"/>
      <c r="W1474" s="48"/>
      <c r="X1474" s="48"/>
      <c r="Y1474" s="48"/>
      <c r="Z1474" s="47"/>
      <c r="AA1474" s="70">
        <v>1474</v>
      </c>
      <c r="AB1474" s="70"/>
      <c r="AC1474" s="71"/>
      <c r="AD1474" s="86" t="s">
        <v>25065</v>
      </c>
      <c r="AE1474" s="94" t="s">
        <v>23529</v>
      </c>
      <c r="AF1474" s="86">
        <v>4</v>
      </c>
      <c r="AG1474" s="86">
        <v>34</v>
      </c>
      <c r="AH1474" s="86">
        <v>20</v>
      </c>
      <c r="AI1474" s="86">
        <v>0</v>
      </c>
      <c r="AJ1474" s="86">
        <v>13</v>
      </c>
      <c r="AK1474" s="86">
        <v>0</v>
      </c>
      <c r="AL1474" s="86" t="b">
        <v>0</v>
      </c>
      <c r="AM1474" s="89">
        <v>44747.777048611111</v>
      </c>
      <c r="AN1474" s="86" t="s">
        <v>26375</v>
      </c>
      <c r="AO1474" s="86" t="s">
        <v>27762</v>
      </c>
      <c r="AP1474" s="86"/>
      <c r="AQ1474" s="86"/>
      <c r="AR1474" s="86"/>
      <c r="AS1474" s="86"/>
      <c r="AT1474" s="86"/>
      <c r="AU1474" s="86"/>
      <c r="AV1474" s="86"/>
      <c r="AW1474" s="86"/>
      <c r="AX1474" s="86" t="b">
        <v>0</v>
      </c>
      <c r="AY1474" s="86"/>
      <c r="AZ1474" s="86"/>
      <c r="BA1474" s="86" t="b">
        <v>0</v>
      </c>
      <c r="BB1474" s="86" t="b">
        <v>1</v>
      </c>
      <c r="BC1474" s="86" t="b">
        <v>1</v>
      </c>
      <c r="BD1474" s="86" t="b">
        <v>0</v>
      </c>
      <c r="BE1474" s="86" t="b">
        <v>1</v>
      </c>
      <c r="BF1474" s="86" t="b">
        <v>0</v>
      </c>
      <c r="BG1474" s="86" t="b">
        <v>0</v>
      </c>
      <c r="BH1474" s="96" t="str">
        <f>HYPERLINK("https://pbs.twimg.com/profile_banners/1544390318623260676/1661531586")</f>
        <v>https://pbs.twimg.com/profile_banners/1544390318623260676/1661531586</v>
      </c>
      <c r="BI1474" s="86"/>
      <c r="BJ1474" s="86" t="s">
        <v>29134</v>
      </c>
      <c r="BK1474" s="86" t="b">
        <v>0</v>
      </c>
      <c r="BL1474" s="86"/>
      <c r="BM1474" s="86" t="s">
        <v>66</v>
      </c>
      <c r="BN1474" s="86" t="s">
        <v>29136</v>
      </c>
      <c r="BO1474" s="96" t="str">
        <f>HYPERLINK("https://twitter.com/obernardo_lima")</f>
        <v>https://twitter.com/obernardo_lima</v>
      </c>
      <c r="BP1474" s="2"/>
    </row>
    <row r="1475" spans="1:68" x14ac:dyDescent="0.25">
      <c r="A1475" s="63" t="s">
        <v>1489</v>
      </c>
      <c r="B1475" s="64"/>
      <c r="C1475" s="64"/>
      <c r="D1475" s="65"/>
      <c r="E1475" s="67"/>
      <c r="F1475" s="111" t="str">
        <f>HYPERLINK("https://pbs.twimg.com/profile_images/1705999133968928768/t834vTyy_normal.jpg")</f>
        <v>https://pbs.twimg.com/profile_images/1705999133968928768/t834vTyy_normal.jpg</v>
      </c>
      <c r="G1475" s="64"/>
      <c r="H1475" s="68"/>
      <c r="I1475" s="69"/>
      <c r="J1475" s="69"/>
      <c r="K1475" s="68" t="s">
        <v>30608</v>
      </c>
      <c r="L1475" s="72"/>
      <c r="M1475" s="73"/>
      <c r="N1475" s="73"/>
      <c r="O1475" s="74"/>
      <c r="P1475" s="75"/>
      <c r="Q1475" s="75"/>
      <c r="R1475" s="102"/>
      <c r="S1475" s="102"/>
      <c r="T1475" s="102"/>
      <c r="U1475" s="102"/>
      <c r="V1475" s="48"/>
      <c r="W1475" s="48"/>
      <c r="X1475" s="48"/>
      <c r="Y1475" s="48"/>
      <c r="Z1475" s="47"/>
      <c r="AA1475" s="70">
        <v>1475</v>
      </c>
      <c r="AB1475" s="70"/>
      <c r="AC1475" s="71"/>
      <c r="AD1475" s="86" t="s">
        <v>25066</v>
      </c>
      <c r="AE1475" s="94" t="s">
        <v>23530</v>
      </c>
      <c r="AF1475" s="86">
        <v>22</v>
      </c>
      <c r="AG1475" s="86">
        <v>377</v>
      </c>
      <c r="AH1475" s="86">
        <v>131</v>
      </c>
      <c r="AI1475" s="86">
        <v>0</v>
      </c>
      <c r="AJ1475" s="86">
        <v>34</v>
      </c>
      <c r="AK1475" s="86">
        <v>27</v>
      </c>
      <c r="AL1475" s="86" t="b">
        <v>0</v>
      </c>
      <c r="AM1475" s="89">
        <v>44937.545243055552</v>
      </c>
      <c r="AN1475" s="86" t="s">
        <v>15240</v>
      </c>
      <c r="AO1475" s="86" t="s">
        <v>27763</v>
      </c>
      <c r="AP1475" s="96" t="str">
        <f>HYPERLINK("https://t.co/RJsYagVXRg")</f>
        <v>https://t.co/RJsYagVXRg</v>
      </c>
      <c r="AQ1475" s="96" t="str">
        <f>HYPERLINK("https://bento.me/abnerramos")</f>
        <v>https://bento.me/abnerramos</v>
      </c>
      <c r="AR1475" s="86" t="s">
        <v>28887</v>
      </c>
      <c r="AS1475" s="86"/>
      <c r="AT1475" s="86"/>
      <c r="AU1475" s="86"/>
      <c r="AV1475" s="86">
        <v>1.6135985740041201E+18</v>
      </c>
      <c r="AW1475" s="96" t="str">
        <f>HYPERLINK("https://t.co/RJsYagVXRg")</f>
        <v>https://t.co/RJsYagVXRg</v>
      </c>
      <c r="AX1475" s="86" t="b">
        <v>0</v>
      </c>
      <c r="AY1475" s="86"/>
      <c r="AZ1475" s="86"/>
      <c r="BA1475" s="86" t="b">
        <v>0</v>
      </c>
      <c r="BB1475" s="86" t="b">
        <v>1</v>
      </c>
      <c r="BC1475" s="86" t="b">
        <v>1</v>
      </c>
      <c r="BD1475" s="86" t="b">
        <v>0</v>
      </c>
      <c r="BE1475" s="86" t="b">
        <v>1</v>
      </c>
      <c r="BF1475" s="86" t="b">
        <v>0</v>
      </c>
      <c r="BG1475" s="86" t="b">
        <v>0</v>
      </c>
      <c r="BH1475" s="96" t="str">
        <f>HYPERLINK("https://pbs.twimg.com/profile_banners/1613160011420635146/1695576887")</f>
        <v>https://pbs.twimg.com/profile_banners/1613160011420635146/1695576887</v>
      </c>
      <c r="BI1475" s="86"/>
      <c r="BJ1475" s="86" t="s">
        <v>29134</v>
      </c>
      <c r="BK1475" s="86" t="b">
        <v>0</v>
      </c>
      <c r="BL1475" s="86"/>
      <c r="BM1475" s="86" t="s">
        <v>66</v>
      </c>
      <c r="BN1475" s="86" t="s">
        <v>29136</v>
      </c>
      <c r="BO1475" s="96" t="str">
        <f>HYPERLINK("https://twitter.com/abner_ramos01")</f>
        <v>https://twitter.com/abner_ramos01</v>
      </c>
      <c r="BP1475" s="2"/>
    </row>
    <row r="1476" spans="1:68" x14ac:dyDescent="0.25">
      <c r="A1476" s="63" t="s">
        <v>1490</v>
      </c>
      <c r="B1476" s="64"/>
      <c r="C1476" s="64"/>
      <c r="D1476" s="65"/>
      <c r="E1476" s="67"/>
      <c r="F1476" s="111" t="str">
        <f>HYPERLINK("https://pbs.twimg.com/profile_images/1569164915197214720/SPqx2zdm_normal.jpg")</f>
        <v>https://pbs.twimg.com/profile_images/1569164915197214720/SPqx2zdm_normal.jpg</v>
      </c>
      <c r="G1476" s="64"/>
      <c r="H1476" s="68"/>
      <c r="I1476" s="69"/>
      <c r="J1476" s="69"/>
      <c r="K1476" s="68" t="s">
        <v>30609</v>
      </c>
      <c r="L1476" s="72"/>
      <c r="M1476" s="73"/>
      <c r="N1476" s="73"/>
      <c r="O1476" s="74"/>
      <c r="P1476" s="75"/>
      <c r="Q1476" s="75"/>
      <c r="R1476" s="102"/>
      <c r="S1476" s="102"/>
      <c r="T1476" s="102"/>
      <c r="U1476" s="102"/>
      <c r="V1476" s="48"/>
      <c r="W1476" s="48"/>
      <c r="X1476" s="48"/>
      <c r="Y1476" s="48"/>
      <c r="Z1476" s="47"/>
      <c r="AA1476" s="70">
        <v>1476</v>
      </c>
      <c r="AB1476" s="70"/>
      <c r="AC1476" s="71"/>
      <c r="AD1476" s="86" t="s">
        <v>1490</v>
      </c>
      <c r="AE1476" s="94" t="s">
        <v>23531</v>
      </c>
      <c r="AF1476" s="86">
        <v>282</v>
      </c>
      <c r="AG1476" s="86">
        <v>192</v>
      </c>
      <c r="AH1476" s="86">
        <v>583</v>
      </c>
      <c r="AI1476" s="86">
        <v>4</v>
      </c>
      <c r="AJ1476" s="86">
        <v>2</v>
      </c>
      <c r="AK1476" s="86">
        <v>6</v>
      </c>
      <c r="AL1476" s="86" t="b">
        <v>0</v>
      </c>
      <c r="AM1476" s="89">
        <v>44318.980069444442</v>
      </c>
      <c r="AN1476" s="86" t="s">
        <v>15234</v>
      </c>
      <c r="AO1476" s="86" t="s">
        <v>27764</v>
      </c>
      <c r="AP1476" s="96" t="str">
        <f>HYPERLINK("https://t.co/v7oVxDS4VI")</f>
        <v>https://t.co/v7oVxDS4VI</v>
      </c>
      <c r="AQ1476" s="96" t="str">
        <f>HYPERLINK("https://guiadeti.com.br/")</f>
        <v>https://guiadeti.com.br/</v>
      </c>
      <c r="AR1476" s="86" t="s">
        <v>28888</v>
      </c>
      <c r="AS1476" s="86"/>
      <c r="AT1476" s="86"/>
      <c r="AU1476" s="86"/>
      <c r="AV1476" s="86">
        <v>1.5744311888104E+18</v>
      </c>
      <c r="AW1476" s="96" t="str">
        <f>HYPERLINK("https://t.co/v7oVxDS4VI")</f>
        <v>https://t.co/v7oVxDS4VI</v>
      </c>
      <c r="AX1476" s="86" t="b">
        <v>0</v>
      </c>
      <c r="AY1476" s="86"/>
      <c r="AZ1476" s="86"/>
      <c r="BA1476" s="86" t="b">
        <v>0</v>
      </c>
      <c r="BB1476" s="86" t="b">
        <v>1</v>
      </c>
      <c r="BC1476" s="86" t="b">
        <v>1</v>
      </c>
      <c r="BD1476" s="86" t="b">
        <v>0</v>
      </c>
      <c r="BE1476" s="86" t="b">
        <v>0</v>
      </c>
      <c r="BF1476" s="86" t="b">
        <v>0</v>
      </c>
      <c r="BG1476" s="86" t="b">
        <v>0</v>
      </c>
      <c r="BH1476" s="96" t="str">
        <f>HYPERLINK("https://pbs.twimg.com/profile_banners/1388999527391285253/1663286707")</f>
        <v>https://pbs.twimg.com/profile_banners/1388999527391285253/1663286707</v>
      </c>
      <c r="BI1476" s="86"/>
      <c r="BJ1476" s="86" t="s">
        <v>29134</v>
      </c>
      <c r="BK1476" s="86" t="b">
        <v>0</v>
      </c>
      <c r="BL1476" s="86"/>
      <c r="BM1476" s="86" t="s">
        <v>66</v>
      </c>
      <c r="BN1476" s="86" t="s">
        <v>29136</v>
      </c>
      <c r="BO1476" s="96" t="str">
        <f>HYPERLINK("https://twitter.com/guiadeti")</f>
        <v>https://twitter.com/guiadeti</v>
      </c>
      <c r="BP1476" s="2"/>
    </row>
    <row r="1477" spans="1:68" x14ac:dyDescent="0.25">
      <c r="A1477" s="63" t="s">
        <v>1491</v>
      </c>
      <c r="B1477" s="64"/>
      <c r="C1477" s="64"/>
      <c r="D1477" s="65"/>
      <c r="E1477" s="67"/>
      <c r="F1477" s="111" t="str">
        <f>HYPERLINK("https://pbs.twimg.com/profile_images/1701702748792606720/MgjtC4Dk_normal.jpg")</f>
        <v>https://pbs.twimg.com/profile_images/1701702748792606720/MgjtC4Dk_normal.jpg</v>
      </c>
      <c r="G1477" s="64"/>
      <c r="H1477" s="68"/>
      <c r="I1477" s="69"/>
      <c r="J1477" s="69"/>
      <c r="K1477" s="68" t="s">
        <v>30610</v>
      </c>
      <c r="L1477" s="72"/>
      <c r="M1477" s="73"/>
      <c r="N1477" s="73"/>
      <c r="O1477" s="74"/>
      <c r="P1477" s="75"/>
      <c r="Q1477" s="75"/>
      <c r="R1477" s="102"/>
      <c r="S1477" s="102"/>
      <c r="T1477" s="102"/>
      <c r="U1477" s="102"/>
      <c r="V1477" s="48"/>
      <c r="W1477" s="48"/>
      <c r="X1477" s="48"/>
      <c r="Y1477" s="48"/>
      <c r="Z1477" s="47"/>
      <c r="AA1477" s="70">
        <v>1477</v>
      </c>
      <c r="AB1477" s="70"/>
      <c r="AC1477" s="71"/>
      <c r="AD1477" s="86" t="s">
        <v>25067</v>
      </c>
      <c r="AE1477" s="94" t="s">
        <v>23532</v>
      </c>
      <c r="AF1477" s="86">
        <v>48</v>
      </c>
      <c r="AG1477" s="86">
        <v>1</v>
      </c>
      <c r="AH1477" s="86">
        <v>2094</v>
      </c>
      <c r="AI1477" s="86">
        <v>0</v>
      </c>
      <c r="AJ1477" s="86">
        <v>1241</v>
      </c>
      <c r="AK1477" s="86">
        <v>2</v>
      </c>
      <c r="AL1477" s="86" t="b">
        <v>0</v>
      </c>
      <c r="AM1477" s="89">
        <v>45181.441365740742</v>
      </c>
      <c r="AN1477" s="86" t="s">
        <v>26332</v>
      </c>
      <c r="AO1477" s="86" t="s">
        <v>27765</v>
      </c>
      <c r="AP1477" s="96" t="str">
        <f>HYPERLINK("https://t.co/faPRpHhixe")</f>
        <v>https://t.co/faPRpHhixe</v>
      </c>
      <c r="AQ1477" s="96" t="str">
        <f>HYPERLINK("https://www.instagram.com/westart_projekt_gmbh_/")</f>
        <v>https://www.instagram.com/westart_projekt_gmbh_/</v>
      </c>
      <c r="AR1477" s="86" t="s">
        <v>28889</v>
      </c>
      <c r="AS1477" s="86"/>
      <c r="AT1477" s="86"/>
      <c r="AU1477" s="86"/>
      <c r="AV1477" s="86">
        <v>1.7017051785112801E+18</v>
      </c>
      <c r="AW1477" s="96" t="str">
        <f>HYPERLINK("https://t.co/faPRpHhixe")</f>
        <v>https://t.co/faPRpHhixe</v>
      </c>
      <c r="AX1477" s="86" t="b">
        <v>0</v>
      </c>
      <c r="AY1477" s="86"/>
      <c r="AZ1477" s="86"/>
      <c r="BA1477" s="86" t="b">
        <v>0</v>
      </c>
      <c r="BB1477" s="86" t="b">
        <v>1</v>
      </c>
      <c r="BC1477" s="86" t="b">
        <v>1</v>
      </c>
      <c r="BD1477" s="86" t="b">
        <v>0</v>
      </c>
      <c r="BE1477" s="86" t="b">
        <v>0</v>
      </c>
      <c r="BF1477" s="86" t="b">
        <v>0</v>
      </c>
      <c r="BG1477" s="86" t="b">
        <v>0</v>
      </c>
      <c r="BH1477" s="96" t="str">
        <f>HYPERLINK("https://pbs.twimg.com/profile_banners/1701545044732203008/1694552955")</f>
        <v>https://pbs.twimg.com/profile_banners/1701545044732203008/1694552955</v>
      </c>
      <c r="BI1477" s="86"/>
      <c r="BJ1477" s="86" t="s">
        <v>29134</v>
      </c>
      <c r="BK1477" s="86" t="b">
        <v>0</v>
      </c>
      <c r="BL1477" s="86"/>
      <c r="BM1477" s="86" t="s">
        <v>66</v>
      </c>
      <c r="BN1477" s="86" t="s">
        <v>29136</v>
      </c>
      <c r="BO1477" s="96" t="str">
        <f>HYPERLINK("https://twitter.com/samiratoraman_")</f>
        <v>https://twitter.com/samiratoraman_</v>
      </c>
      <c r="BP1477" s="2"/>
    </row>
    <row r="1478" spans="1:68" x14ac:dyDescent="0.25">
      <c r="A1478" s="63" t="s">
        <v>1492</v>
      </c>
      <c r="B1478" s="64"/>
      <c r="C1478" s="64"/>
      <c r="D1478" s="65"/>
      <c r="E1478" s="67"/>
      <c r="F1478" s="111" t="str">
        <f>HYPERLINK("https://pbs.twimg.com/profile_images/1620916162400862209/JFPzOdNZ_normal.jpg")</f>
        <v>https://pbs.twimg.com/profile_images/1620916162400862209/JFPzOdNZ_normal.jpg</v>
      </c>
      <c r="G1478" s="64"/>
      <c r="H1478" s="68"/>
      <c r="I1478" s="69"/>
      <c r="J1478" s="69"/>
      <c r="K1478" s="68" t="s">
        <v>30611</v>
      </c>
      <c r="L1478" s="72"/>
      <c r="M1478" s="73"/>
      <c r="N1478" s="73"/>
      <c r="O1478" s="74"/>
      <c r="P1478" s="75"/>
      <c r="Q1478" s="75"/>
      <c r="R1478" s="102"/>
      <c r="S1478" s="102"/>
      <c r="T1478" s="102"/>
      <c r="U1478" s="102"/>
      <c r="V1478" s="48"/>
      <c r="W1478" s="48"/>
      <c r="X1478" s="48"/>
      <c r="Y1478" s="48"/>
      <c r="Z1478" s="47"/>
      <c r="AA1478" s="70">
        <v>1478</v>
      </c>
      <c r="AB1478" s="70"/>
      <c r="AC1478" s="71"/>
      <c r="AD1478" s="86" t="s">
        <v>25068</v>
      </c>
      <c r="AE1478" s="94" t="s">
        <v>25812</v>
      </c>
      <c r="AF1478" s="86">
        <v>459</v>
      </c>
      <c r="AG1478" s="86">
        <v>656</v>
      </c>
      <c r="AH1478" s="86">
        <v>3694</v>
      </c>
      <c r="AI1478" s="86">
        <v>0</v>
      </c>
      <c r="AJ1478" s="86">
        <v>1759</v>
      </c>
      <c r="AK1478" s="86">
        <v>174</v>
      </c>
      <c r="AL1478" s="86" t="b">
        <v>0</v>
      </c>
      <c r="AM1478" s="89">
        <v>41753.911574074074</v>
      </c>
      <c r="AN1478" s="86" t="s">
        <v>15240</v>
      </c>
      <c r="AO1478" s="86" t="s">
        <v>27766</v>
      </c>
      <c r="AP1478" s="86"/>
      <c r="AQ1478" s="86"/>
      <c r="AR1478" s="86"/>
      <c r="AS1478" s="86"/>
      <c r="AT1478" s="86"/>
      <c r="AU1478" s="86"/>
      <c r="AV1478" s="86"/>
      <c r="AW1478" s="86"/>
      <c r="AX1478" s="86" t="b">
        <v>0</v>
      </c>
      <c r="AY1478" s="86"/>
      <c r="AZ1478" s="86"/>
      <c r="BA1478" s="86" t="b">
        <v>1</v>
      </c>
      <c r="BB1478" s="86" t="b">
        <v>0</v>
      </c>
      <c r="BC1478" s="86" t="b">
        <v>0</v>
      </c>
      <c r="BD1478" s="86" t="b">
        <v>0</v>
      </c>
      <c r="BE1478" s="86" t="b">
        <v>1</v>
      </c>
      <c r="BF1478" s="86" t="b">
        <v>0</v>
      </c>
      <c r="BG1478" s="86" t="b">
        <v>0</v>
      </c>
      <c r="BH1478" s="96" t="str">
        <f>HYPERLINK("https://pbs.twimg.com/profile_banners/2462283445/1568911855")</f>
        <v>https://pbs.twimg.com/profile_banners/2462283445/1568911855</v>
      </c>
      <c r="BI1478" s="86"/>
      <c r="BJ1478" s="86" t="s">
        <v>29134</v>
      </c>
      <c r="BK1478" s="86" t="b">
        <v>0</v>
      </c>
      <c r="BL1478" s="86"/>
      <c r="BM1478" s="86" t="s">
        <v>66</v>
      </c>
      <c r="BN1478" s="86" t="s">
        <v>29136</v>
      </c>
      <c r="BO1478" s="96" t="str">
        <f>HYPERLINK("https://twitter.com/jraraujjo")</f>
        <v>https://twitter.com/jraraujjo</v>
      </c>
      <c r="BP1478" s="2"/>
    </row>
    <row r="1479" spans="1:68" x14ac:dyDescent="0.25">
      <c r="A1479" s="63" t="s">
        <v>1493</v>
      </c>
      <c r="B1479" s="64"/>
      <c r="C1479" s="64"/>
      <c r="D1479" s="65"/>
      <c r="E1479" s="67"/>
      <c r="F1479" s="111" t="str">
        <f>HYPERLINK("https://pbs.twimg.com/profile_images/1653767613304930304/nVBcoaTS_normal.png")</f>
        <v>https://pbs.twimg.com/profile_images/1653767613304930304/nVBcoaTS_normal.png</v>
      </c>
      <c r="G1479" s="64"/>
      <c r="H1479" s="68"/>
      <c r="I1479" s="69"/>
      <c r="J1479" s="69"/>
      <c r="K1479" s="68" t="s">
        <v>30612</v>
      </c>
      <c r="L1479" s="72"/>
      <c r="M1479" s="73"/>
      <c r="N1479" s="73"/>
      <c r="O1479" s="74"/>
      <c r="P1479" s="75"/>
      <c r="Q1479" s="75"/>
      <c r="R1479" s="102"/>
      <c r="S1479" s="102"/>
      <c r="T1479" s="102"/>
      <c r="U1479" s="102"/>
      <c r="V1479" s="48"/>
      <c r="W1479" s="48"/>
      <c r="X1479" s="48"/>
      <c r="Y1479" s="48"/>
      <c r="Z1479" s="47"/>
      <c r="AA1479" s="70">
        <v>1479</v>
      </c>
      <c r="AB1479" s="70"/>
      <c r="AC1479" s="71"/>
      <c r="AD1479" s="86" t="s">
        <v>25069</v>
      </c>
      <c r="AE1479" s="94" t="s">
        <v>23533</v>
      </c>
      <c r="AF1479" s="86">
        <v>1</v>
      </c>
      <c r="AG1479" s="86">
        <v>2</v>
      </c>
      <c r="AH1479" s="86">
        <v>12</v>
      </c>
      <c r="AI1479" s="86">
        <v>0</v>
      </c>
      <c r="AJ1479" s="86">
        <v>0</v>
      </c>
      <c r="AK1479" s="86">
        <v>12</v>
      </c>
      <c r="AL1479" s="86" t="b">
        <v>0</v>
      </c>
      <c r="AM1479" s="89">
        <v>45043.736261574071</v>
      </c>
      <c r="AN1479" s="86"/>
      <c r="AO1479" s="86" t="s">
        <v>27767</v>
      </c>
      <c r="AP1479" s="86"/>
      <c r="AQ1479" s="86"/>
      <c r="AR1479" s="86"/>
      <c r="AS1479" s="86"/>
      <c r="AT1479" s="86"/>
      <c r="AU1479" s="86"/>
      <c r="AV1479" s="86"/>
      <c r="AW1479" s="86"/>
      <c r="AX1479" s="86" t="b">
        <v>0</v>
      </c>
      <c r="AY1479" s="86"/>
      <c r="AZ1479" s="86"/>
      <c r="BA1479" s="86" t="b">
        <v>0</v>
      </c>
      <c r="BB1479" s="86" t="b">
        <v>1</v>
      </c>
      <c r="BC1479" s="86" t="b">
        <v>1</v>
      </c>
      <c r="BD1479" s="86" t="b">
        <v>0</v>
      </c>
      <c r="BE1479" s="86" t="b">
        <v>0</v>
      </c>
      <c r="BF1479" s="86" t="b">
        <v>0</v>
      </c>
      <c r="BG1479" s="86" t="b">
        <v>0</v>
      </c>
      <c r="BH1479" s="96" t="str">
        <f>HYPERLINK("https://pbs.twimg.com/profile_banners/1651641682968846344/1683123901")</f>
        <v>https://pbs.twimg.com/profile_banners/1651641682968846344/1683123901</v>
      </c>
      <c r="BI1479" s="86"/>
      <c r="BJ1479" s="86" t="s">
        <v>29134</v>
      </c>
      <c r="BK1479" s="86" t="b">
        <v>0</v>
      </c>
      <c r="BL1479" s="86"/>
      <c r="BM1479" s="86" t="s">
        <v>66</v>
      </c>
      <c r="BN1479" s="86" t="s">
        <v>29136</v>
      </c>
      <c r="BO1479" s="96" t="str">
        <f>HYPERLINK("https://twitter.com/economiavalendo")</f>
        <v>https://twitter.com/economiavalendo</v>
      </c>
      <c r="BP1479" s="2"/>
    </row>
    <row r="1480" spans="1:68" x14ac:dyDescent="0.25">
      <c r="A1480" s="63" t="s">
        <v>1494</v>
      </c>
      <c r="B1480" s="64"/>
      <c r="C1480" s="64"/>
      <c r="D1480" s="65"/>
      <c r="E1480" s="67"/>
      <c r="F1480" s="111" t="str">
        <f>HYPERLINK("https://pbs.twimg.com/profile_images/982289693743050752/_I_vXWwK_normal.jpg")</f>
        <v>https://pbs.twimg.com/profile_images/982289693743050752/_I_vXWwK_normal.jpg</v>
      </c>
      <c r="G1480" s="64"/>
      <c r="H1480" s="68"/>
      <c r="I1480" s="69"/>
      <c r="J1480" s="69"/>
      <c r="K1480" s="68" t="s">
        <v>30613</v>
      </c>
      <c r="L1480" s="72"/>
      <c r="M1480" s="73"/>
      <c r="N1480" s="73"/>
      <c r="O1480" s="74"/>
      <c r="P1480" s="75"/>
      <c r="Q1480" s="75"/>
      <c r="R1480" s="102"/>
      <c r="S1480" s="102"/>
      <c r="T1480" s="102"/>
      <c r="U1480" s="102"/>
      <c r="V1480" s="48"/>
      <c r="W1480" s="48"/>
      <c r="X1480" s="48"/>
      <c r="Y1480" s="48"/>
      <c r="Z1480" s="47"/>
      <c r="AA1480" s="70">
        <v>1480</v>
      </c>
      <c r="AB1480" s="70"/>
      <c r="AC1480" s="71"/>
      <c r="AD1480" s="86" t="s">
        <v>25070</v>
      </c>
      <c r="AE1480" s="94" t="s">
        <v>23534</v>
      </c>
      <c r="AF1480" s="86">
        <v>150</v>
      </c>
      <c r="AG1480" s="86">
        <v>312</v>
      </c>
      <c r="AH1480" s="86">
        <v>1299</v>
      </c>
      <c r="AI1480" s="86">
        <v>2</v>
      </c>
      <c r="AJ1480" s="86">
        <v>129</v>
      </c>
      <c r="AK1480" s="86">
        <v>1216</v>
      </c>
      <c r="AL1480" s="86" t="b">
        <v>0</v>
      </c>
      <c r="AM1480" s="89">
        <v>43196.391875000001</v>
      </c>
      <c r="AN1480" s="86" t="s">
        <v>26376</v>
      </c>
      <c r="AO1480" s="86" t="s">
        <v>27768</v>
      </c>
      <c r="AP1480" s="96" t="str">
        <f>HYPERLINK("https://t.co/sgG0Ca9KDK")</f>
        <v>https://t.co/sgG0Ca9KDK</v>
      </c>
      <c r="AQ1480" s="96" t="str">
        <f>HYPERLINK("https://www.ctcv.pt")</f>
        <v>https://www.ctcv.pt</v>
      </c>
      <c r="AR1480" s="86" t="s">
        <v>28890</v>
      </c>
      <c r="AS1480" s="86"/>
      <c r="AT1480" s="86"/>
      <c r="AU1480" s="86"/>
      <c r="AV1480" s="86"/>
      <c r="AW1480" s="96" t="str">
        <f>HYPERLINK("https://t.co/sgG0Ca9KDK")</f>
        <v>https://t.co/sgG0Ca9KDK</v>
      </c>
      <c r="AX1480" s="86" t="b">
        <v>0</v>
      </c>
      <c r="AY1480" s="86"/>
      <c r="AZ1480" s="86"/>
      <c r="BA1480" s="86" t="b">
        <v>1</v>
      </c>
      <c r="BB1480" s="86" t="b">
        <v>1</v>
      </c>
      <c r="BC1480" s="86" t="b">
        <v>0</v>
      </c>
      <c r="BD1480" s="86" t="b">
        <v>0</v>
      </c>
      <c r="BE1480" s="86" t="b">
        <v>1</v>
      </c>
      <c r="BF1480" s="86" t="b">
        <v>0</v>
      </c>
      <c r="BG1480" s="86" t="b">
        <v>0</v>
      </c>
      <c r="BH1480" s="96" t="str">
        <f>HYPERLINK("https://pbs.twimg.com/profile_banners/982187229727436802/1523031213")</f>
        <v>https://pbs.twimg.com/profile_banners/982187229727436802/1523031213</v>
      </c>
      <c r="BI1480" s="86"/>
      <c r="BJ1480" s="86" t="s">
        <v>29134</v>
      </c>
      <c r="BK1480" s="86" t="b">
        <v>0</v>
      </c>
      <c r="BL1480" s="86"/>
      <c r="BM1480" s="86" t="s">
        <v>66</v>
      </c>
      <c r="BN1480" s="86" t="s">
        <v>29136</v>
      </c>
      <c r="BO1480" s="96" t="str">
        <f>HYPERLINK("https://twitter.com/ctcvcoimbra")</f>
        <v>https://twitter.com/ctcvcoimbra</v>
      </c>
      <c r="BP1480" s="2"/>
    </row>
    <row r="1481" spans="1:68" x14ac:dyDescent="0.25">
      <c r="A1481" s="63" t="s">
        <v>1495</v>
      </c>
      <c r="B1481" s="64"/>
      <c r="C1481" s="64"/>
      <c r="D1481" s="65"/>
      <c r="E1481" s="67"/>
      <c r="F1481" s="111" t="str">
        <f>HYPERLINK("https://pbs.twimg.com/profile_images/1396982798989381640/IRSUTOjF_normal.jpg")</f>
        <v>https://pbs.twimg.com/profile_images/1396982798989381640/IRSUTOjF_normal.jpg</v>
      </c>
      <c r="G1481" s="64"/>
      <c r="H1481" s="68"/>
      <c r="I1481" s="69"/>
      <c r="J1481" s="69"/>
      <c r="K1481" s="68" t="s">
        <v>30614</v>
      </c>
      <c r="L1481" s="72"/>
      <c r="M1481" s="73"/>
      <c r="N1481" s="73"/>
      <c r="O1481" s="74"/>
      <c r="P1481" s="75"/>
      <c r="Q1481" s="75"/>
      <c r="R1481" s="102"/>
      <c r="S1481" s="102"/>
      <c r="T1481" s="102"/>
      <c r="U1481" s="102"/>
      <c r="V1481" s="48"/>
      <c r="W1481" s="48"/>
      <c r="X1481" s="48"/>
      <c r="Y1481" s="48"/>
      <c r="Z1481" s="47"/>
      <c r="AA1481" s="70">
        <v>1481</v>
      </c>
      <c r="AB1481" s="70"/>
      <c r="AC1481" s="71"/>
      <c r="AD1481" s="86" t="s">
        <v>25071</v>
      </c>
      <c r="AE1481" s="94" t="s">
        <v>25813</v>
      </c>
      <c r="AF1481" s="86">
        <v>13467</v>
      </c>
      <c r="AG1481" s="86">
        <v>455</v>
      </c>
      <c r="AH1481" s="86">
        <v>95399</v>
      </c>
      <c r="AI1481" s="86">
        <v>66</v>
      </c>
      <c r="AJ1481" s="86">
        <v>1833</v>
      </c>
      <c r="AK1481" s="86">
        <v>63355</v>
      </c>
      <c r="AL1481" s="86" t="b">
        <v>0</v>
      </c>
      <c r="AM1481" s="89">
        <v>40360.835266203707</v>
      </c>
      <c r="AN1481" s="86" t="s">
        <v>26208</v>
      </c>
      <c r="AO1481" s="86" t="s">
        <v>27769</v>
      </c>
      <c r="AP1481" s="96" t="str">
        <f>HYPERLINK("https://t.co/aG95FZED7k")</f>
        <v>https://t.co/aG95FZED7k</v>
      </c>
      <c r="AQ1481" s="96" t="str">
        <f>HYPERLINK("http://www.diariodegoias.com.br")</f>
        <v>http://www.diariodegoias.com.br</v>
      </c>
      <c r="AR1481" s="86" t="s">
        <v>28891</v>
      </c>
      <c r="AS1481" s="96" t="str">
        <f>HYPERLINK("https://t.co/LOHq4fDK2E")</f>
        <v>https://t.co/LOHq4fDK2E</v>
      </c>
      <c r="AT1481" s="96" t="str">
        <f>HYPERLINK("http://diariodegoias.com.br")</f>
        <v>http://diariodegoias.com.br</v>
      </c>
      <c r="AU1481" s="86" t="s">
        <v>28891</v>
      </c>
      <c r="AV1481" s="86"/>
      <c r="AW1481" s="96" t="str">
        <f>HYPERLINK("https://t.co/aG95FZED7k")</f>
        <v>https://t.co/aG95FZED7k</v>
      </c>
      <c r="AX1481" s="86" t="b">
        <v>0</v>
      </c>
      <c r="AY1481" s="86"/>
      <c r="AZ1481" s="86"/>
      <c r="BA1481" s="86" t="b">
        <v>0</v>
      </c>
      <c r="BB1481" s="86" t="b">
        <v>1</v>
      </c>
      <c r="BC1481" s="86" t="b">
        <v>0</v>
      </c>
      <c r="BD1481" s="86" t="b">
        <v>0</v>
      </c>
      <c r="BE1481" s="86" t="b">
        <v>1</v>
      </c>
      <c r="BF1481" s="86" t="b">
        <v>0</v>
      </c>
      <c r="BG1481" s="86" t="b">
        <v>0</v>
      </c>
      <c r="BH1481" s="96" t="str">
        <f>HYPERLINK("https://pbs.twimg.com/profile_banners/161793323/1642502058")</f>
        <v>https://pbs.twimg.com/profile_banners/161793323/1642502058</v>
      </c>
      <c r="BI1481" s="86"/>
      <c r="BJ1481" s="86" t="s">
        <v>29134</v>
      </c>
      <c r="BK1481" s="86" t="b">
        <v>0</v>
      </c>
      <c r="BL1481" s="86"/>
      <c r="BM1481" s="86" t="s">
        <v>66</v>
      </c>
      <c r="BN1481" s="86" t="s">
        <v>29136</v>
      </c>
      <c r="BO1481" s="96" t="str">
        <f>HYPERLINK("https://twitter.com/diariodegoias")</f>
        <v>https://twitter.com/diariodegoias</v>
      </c>
      <c r="BP1481" s="2"/>
    </row>
    <row r="1482" spans="1:68" x14ac:dyDescent="0.25">
      <c r="A1482" s="63" t="s">
        <v>1496</v>
      </c>
      <c r="B1482" s="64"/>
      <c r="C1482" s="64"/>
      <c r="D1482" s="65"/>
      <c r="E1482" s="67"/>
      <c r="F1482" s="111" t="str">
        <f>HYPERLINK("https://pbs.twimg.com/profile_images/1677255166070759427/A4QDFeg9_normal.jpg")</f>
        <v>https://pbs.twimg.com/profile_images/1677255166070759427/A4QDFeg9_normal.jpg</v>
      </c>
      <c r="G1482" s="64"/>
      <c r="H1482" s="68"/>
      <c r="I1482" s="69"/>
      <c r="J1482" s="69"/>
      <c r="K1482" s="68" t="s">
        <v>30615</v>
      </c>
      <c r="L1482" s="72"/>
      <c r="M1482" s="73"/>
      <c r="N1482" s="73"/>
      <c r="O1482" s="74"/>
      <c r="P1482" s="75"/>
      <c r="Q1482" s="75"/>
      <c r="R1482" s="102"/>
      <c r="S1482" s="102"/>
      <c r="T1482" s="102"/>
      <c r="U1482" s="102"/>
      <c r="V1482" s="48"/>
      <c r="W1482" s="48"/>
      <c r="X1482" s="48"/>
      <c r="Y1482" s="48"/>
      <c r="Z1482" s="47"/>
      <c r="AA1482" s="70">
        <v>1482</v>
      </c>
      <c r="AB1482" s="70"/>
      <c r="AC1482" s="71"/>
      <c r="AD1482" s="86" t="s">
        <v>25072</v>
      </c>
      <c r="AE1482" s="94" t="s">
        <v>23535</v>
      </c>
      <c r="AF1482" s="86">
        <v>27</v>
      </c>
      <c r="AG1482" s="86">
        <v>253</v>
      </c>
      <c r="AH1482" s="86">
        <v>51</v>
      </c>
      <c r="AI1482" s="86">
        <v>0</v>
      </c>
      <c r="AJ1482" s="86">
        <v>145</v>
      </c>
      <c r="AK1482" s="86">
        <v>36</v>
      </c>
      <c r="AL1482" s="86" t="b">
        <v>0</v>
      </c>
      <c r="AM1482" s="89">
        <v>45114.413784722223</v>
      </c>
      <c r="AN1482" s="86" t="s">
        <v>15301</v>
      </c>
      <c r="AO1482" s="86"/>
      <c r="AP1482" s="96" t="str">
        <f>HYPERLINK("https://t.co/124ok0JyCm")</f>
        <v>https://t.co/124ok0JyCm</v>
      </c>
      <c r="AQ1482" s="96" t="str">
        <f>HYPERLINK("http://www.institutoilan.org.br")</f>
        <v>http://www.institutoilan.org.br</v>
      </c>
      <c r="AR1482" s="86" t="s">
        <v>28892</v>
      </c>
      <c r="AS1482" s="86"/>
      <c r="AT1482" s="86"/>
      <c r="AU1482" s="86"/>
      <c r="AV1482" s="86"/>
      <c r="AW1482" s="96" t="str">
        <f>HYPERLINK("https://t.co/124ok0JyCm")</f>
        <v>https://t.co/124ok0JyCm</v>
      </c>
      <c r="AX1482" s="86" t="b">
        <v>1</v>
      </c>
      <c r="AY1482" s="86"/>
      <c r="AZ1482" s="86"/>
      <c r="BA1482" s="86" t="b">
        <v>0</v>
      </c>
      <c r="BB1482" s="86" t="b">
        <v>1</v>
      </c>
      <c r="BC1482" s="86" t="b">
        <v>1</v>
      </c>
      <c r="BD1482" s="86" t="b">
        <v>0</v>
      </c>
      <c r="BE1482" s="86" t="b">
        <v>0</v>
      </c>
      <c r="BF1482" s="86" t="b">
        <v>0</v>
      </c>
      <c r="BG1482" s="86" t="b">
        <v>0</v>
      </c>
      <c r="BH1482" s="96" t="str">
        <f>HYPERLINK("https://pbs.twimg.com/profile_banners/1677254958364622850/1690885183")</f>
        <v>https://pbs.twimg.com/profile_banners/1677254958364622850/1690885183</v>
      </c>
      <c r="BI1482" s="86"/>
      <c r="BJ1482" s="86" t="s">
        <v>29134</v>
      </c>
      <c r="BK1482" s="86" t="b">
        <v>0</v>
      </c>
      <c r="BL1482" s="86"/>
      <c r="BM1482" s="86" t="s">
        <v>66</v>
      </c>
      <c r="BN1482" s="86" t="s">
        <v>29136</v>
      </c>
      <c r="BO1482" s="96" t="str">
        <f>HYPERLINK("https://twitter.com/institutoilan")</f>
        <v>https://twitter.com/institutoilan</v>
      </c>
      <c r="BP1482" s="2"/>
    </row>
    <row r="1483" spans="1:68" x14ac:dyDescent="0.25">
      <c r="A1483" s="63" t="s">
        <v>1497</v>
      </c>
      <c r="B1483" s="64"/>
      <c r="C1483" s="64"/>
      <c r="D1483" s="65"/>
      <c r="E1483" s="67"/>
      <c r="F1483" s="111" t="str">
        <f>HYPERLINK("https://pbs.twimg.com/profile_images/1666113491680350208/HSM_Ayi-_normal.jpg")</f>
        <v>https://pbs.twimg.com/profile_images/1666113491680350208/HSM_Ayi-_normal.jpg</v>
      </c>
      <c r="G1483" s="64"/>
      <c r="H1483" s="68"/>
      <c r="I1483" s="69"/>
      <c r="J1483" s="69"/>
      <c r="K1483" s="68" t="s">
        <v>30616</v>
      </c>
      <c r="L1483" s="72"/>
      <c r="M1483" s="73"/>
      <c r="N1483" s="73"/>
      <c r="O1483" s="74"/>
      <c r="P1483" s="75"/>
      <c r="Q1483" s="75"/>
      <c r="R1483" s="102"/>
      <c r="S1483" s="102"/>
      <c r="T1483" s="102"/>
      <c r="U1483" s="102"/>
      <c r="V1483" s="48"/>
      <c r="W1483" s="48"/>
      <c r="X1483" s="48"/>
      <c r="Y1483" s="48"/>
      <c r="Z1483" s="47"/>
      <c r="AA1483" s="70">
        <v>1483</v>
      </c>
      <c r="AB1483" s="70"/>
      <c r="AC1483" s="71"/>
      <c r="AD1483" s="86" t="s">
        <v>25073</v>
      </c>
      <c r="AE1483" s="94" t="s">
        <v>22652</v>
      </c>
      <c r="AF1483" s="86">
        <v>28860</v>
      </c>
      <c r="AG1483" s="86">
        <v>371</v>
      </c>
      <c r="AH1483" s="86">
        <v>6995</v>
      </c>
      <c r="AI1483" s="86">
        <v>280</v>
      </c>
      <c r="AJ1483" s="86">
        <v>862</v>
      </c>
      <c r="AK1483" s="86">
        <v>2694</v>
      </c>
      <c r="AL1483" s="86" t="b">
        <v>0</v>
      </c>
      <c r="AM1483" s="89">
        <v>41939.531817129631</v>
      </c>
      <c r="AN1483" s="86" t="s">
        <v>25970</v>
      </c>
      <c r="AO1483" s="86" t="s">
        <v>27770</v>
      </c>
      <c r="AP1483" s="96" t="str">
        <f>HYPERLINK("https://t.co/6bsv6bgxWo")</f>
        <v>https://t.co/6bsv6bgxWo</v>
      </c>
      <c r="AQ1483" s="96" t="str">
        <f>HYPERLINK("https://www.gov.br/mdic")</f>
        <v>https://www.gov.br/mdic</v>
      </c>
      <c r="AR1483" s="86" t="s">
        <v>28893</v>
      </c>
      <c r="AS1483" s="86"/>
      <c r="AT1483" s="86"/>
      <c r="AU1483" s="86"/>
      <c r="AV1483" s="86"/>
      <c r="AW1483" s="96" t="str">
        <f>HYPERLINK("https://t.co/6bsv6bgxWo")</f>
        <v>https://t.co/6bsv6bgxWo</v>
      </c>
      <c r="AX1483" s="86" t="b">
        <v>0</v>
      </c>
      <c r="AY1483" s="86"/>
      <c r="AZ1483" s="86"/>
      <c r="BA1483" s="86" t="b">
        <v>1</v>
      </c>
      <c r="BB1483" s="86" t="b">
        <v>1</v>
      </c>
      <c r="BC1483" s="86" t="b">
        <v>0</v>
      </c>
      <c r="BD1483" s="86" t="b">
        <v>0</v>
      </c>
      <c r="BE1483" s="86" t="b">
        <v>1</v>
      </c>
      <c r="BF1483" s="86" t="b">
        <v>0</v>
      </c>
      <c r="BG1483" s="86" t="b">
        <v>0</v>
      </c>
      <c r="BH1483" s="96" t="str">
        <f>HYPERLINK("https://pbs.twimg.com/profile_banners/2846625063/1686076266")</f>
        <v>https://pbs.twimg.com/profile_banners/2846625063/1686076266</v>
      </c>
      <c r="BI1483" s="86"/>
      <c r="BJ1483" s="86" t="s">
        <v>29134</v>
      </c>
      <c r="BK1483" s="86" t="b">
        <v>0</v>
      </c>
      <c r="BL1483" s="86"/>
      <c r="BM1483" s="86" t="s">
        <v>66</v>
      </c>
      <c r="BN1483" s="86" t="s">
        <v>29136</v>
      </c>
      <c r="BO1483" s="96" t="str">
        <f>HYPERLINK("https://twitter.com/mdicoficial")</f>
        <v>https://twitter.com/mdicoficial</v>
      </c>
      <c r="BP1483" s="2"/>
    </row>
    <row r="1484" spans="1:68" x14ac:dyDescent="0.25">
      <c r="A1484" s="63" t="s">
        <v>1498</v>
      </c>
      <c r="B1484" s="64"/>
      <c r="C1484" s="64"/>
      <c r="D1484" s="65"/>
      <c r="E1484" s="67"/>
      <c r="F1484" s="111" t="str">
        <f>HYPERLINK("https://pbs.twimg.com/profile_images/1609912024145793024/qkykUymC_normal.jpg")</f>
        <v>https://pbs.twimg.com/profile_images/1609912024145793024/qkykUymC_normal.jpg</v>
      </c>
      <c r="G1484" s="64"/>
      <c r="H1484" s="68"/>
      <c r="I1484" s="69"/>
      <c r="J1484" s="69"/>
      <c r="K1484" s="68" t="s">
        <v>30617</v>
      </c>
      <c r="L1484" s="72"/>
      <c r="M1484" s="73"/>
      <c r="N1484" s="73"/>
      <c r="O1484" s="74"/>
      <c r="P1484" s="75"/>
      <c r="Q1484" s="75"/>
      <c r="R1484" s="102"/>
      <c r="S1484" s="102"/>
      <c r="T1484" s="102"/>
      <c r="U1484" s="102"/>
      <c r="V1484" s="48"/>
      <c r="W1484" s="48"/>
      <c r="X1484" s="48"/>
      <c r="Y1484" s="48"/>
      <c r="Z1484" s="47"/>
      <c r="AA1484" s="70">
        <v>1484</v>
      </c>
      <c r="AB1484" s="70"/>
      <c r="AC1484" s="71"/>
      <c r="AD1484" s="86" t="s">
        <v>25074</v>
      </c>
      <c r="AE1484" s="94" t="s">
        <v>23536</v>
      </c>
      <c r="AF1484" s="86">
        <v>6</v>
      </c>
      <c r="AG1484" s="86">
        <v>8</v>
      </c>
      <c r="AH1484" s="86">
        <v>35</v>
      </c>
      <c r="AI1484" s="86">
        <v>0</v>
      </c>
      <c r="AJ1484" s="86">
        <v>259</v>
      </c>
      <c r="AK1484" s="86">
        <v>18</v>
      </c>
      <c r="AL1484" s="86" t="b">
        <v>0</v>
      </c>
      <c r="AM1484" s="89">
        <v>44761.500057870369</v>
      </c>
      <c r="AN1484" s="86" t="s">
        <v>26377</v>
      </c>
      <c r="AO1484" s="86" t="s">
        <v>27771</v>
      </c>
      <c r="AP1484" s="96" t="str">
        <f>HYPERLINK("https://t.co/4m7Xujh7mO")</f>
        <v>https://t.co/4m7Xujh7mO</v>
      </c>
      <c r="AQ1484" s="96" t="str">
        <f>HYPERLINK("https://conatecontabilidade.com.br/")</f>
        <v>https://conatecontabilidade.com.br/</v>
      </c>
      <c r="AR1484" s="86" t="s">
        <v>28894</v>
      </c>
      <c r="AS1484" s="86"/>
      <c r="AT1484" s="86"/>
      <c r="AU1484" s="86"/>
      <c r="AV1484" s="86"/>
      <c r="AW1484" s="96" t="str">
        <f>HYPERLINK("https://t.co/4m7Xujh7mO")</f>
        <v>https://t.co/4m7Xujh7mO</v>
      </c>
      <c r="AX1484" s="86" t="b">
        <v>0</v>
      </c>
      <c r="AY1484" s="86"/>
      <c r="AZ1484" s="86"/>
      <c r="BA1484" s="86" t="b">
        <v>0</v>
      </c>
      <c r="BB1484" s="86" t="b">
        <v>1</v>
      </c>
      <c r="BC1484" s="86" t="b">
        <v>1</v>
      </c>
      <c r="BD1484" s="86" t="b">
        <v>0</v>
      </c>
      <c r="BE1484" s="86" t="b">
        <v>1</v>
      </c>
      <c r="BF1484" s="86" t="b">
        <v>0</v>
      </c>
      <c r="BG1484" s="86" t="b">
        <v>0</v>
      </c>
      <c r="BH1484" s="96" t="str">
        <f>HYPERLINK("https://pbs.twimg.com/profile_banners/1549362526638448641/1661352026")</f>
        <v>https://pbs.twimg.com/profile_banners/1549362526638448641/1661352026</v>
      </c>
      <c r="BI1484" s="86"/>
      <c r="BJ1484" s="86" t="s">
        <v>29134</v>
      </c>
      <c r="BK1484" s="86" t="b">
        <v>0</v>
      </c>
      <c r="BL1484" s="86"/>
      <c r="BM1484" s="86" t="s">
        <v>66</v>
      </c>
      <c r="BN1484" s="86" t="s">
        <v>29136</v>
      </c>
      <c r="BO1484" s="96" t="str">
        <f>HYPERLINK("https://twitter.com/conatecontabil")</f>
        <v>https://twitter.com/conatecontabil</v>
      </c>
      <c r="BP1484" s="2"/>
    </row>
    <row r="1485" spans="1:68" x14ac:dyDescent="0.25">
      <c r="A1485" s="63" t="s">
        <v>1499</v>
      </c>
      <c r="B1485" s="64"/>
      <c r="C1485" s="64"/>
      <c r="D1485" s="65"/>
      <c r="E1485" s="67"/>
      <c r="F1485" s="111" t="str">
        <f>HYPERLINK("https://pbs.twimg.com/profile_images/1658517726048944151/3nRtB8aX_normal.jpg")</f>
        <v>https://pbs.twimg.com/profile_images/1658517726048944151/3nRtB8aX_normal.jpg</v>
      </c>
      <c r="G1485" s="64"/>
      <c r="H1485" s="68"/>
      <c r="I1485" s="69"/>
      <c r="J1485" s="69"/>
      <c r="K1485" s="68" t="s">
        <v>30618</v>
      </c>
      <c r="L1485" s="72"/>
      <c r="M1485" s="73"/>
      <c r="N1485" s="73"/>
      <c r="O1485" s="74"/>
      <c r="P1485" s="75"/>
      <c r="Q1485" s="75"/>
      <c r="R1485" s="102"/>
      <c r="S1485" s="102"/>
      <c r="T1485" s="102"/>
      <c r="U1485" s="102"/>
      <c r="V1485" s="48"/>
      <c r="W1485" s="48"/>
      <c r="X1485" s="48"/>
      <c r="Y1485" s="48"/>
      <c r="Z1485" s="47"/>
      <c r="AA1485" s="70">
        <v>1485</v>
      </c>
      <c r="AB1485" s="70"/>
      <c r="AC1485" s="71"/>
      <c r="AD1485" s="86" t="s">
        <v>25075</v>
      </c>
      <c r="AE1485" s="94" t="s">
        <v>23537</v>
      </c>
      <c r="AF1485" s="86">
        <v>1</v>
      </c>
      <c r="AG1485" s="86">
        <v>3</v>
      </c>
      <c r="AH1485" s="86">
        <v>13</v>
      </c>
      <c r="AI1485" s="86">
        <v>0</v>
      </c>
      <c r="AJ1485" s="86">
        <v>1</v>
      </c>
      <c r="AK1485" s="86">
        <v>9</v>
      </c>
      <c r="AL1485" s="86" t="b">
        <v>0</v>
      </c>
      <c r="AM1485" s="89">
        <v>45062.708136574074</v>
      </c>
      <c r="AN1485" s="86" t="s">
        <v>26378</v>
      </c>
      <c r="AO1485" s="86" t="s">
        <v>27772</v>
      </c>
      <c r="AP1485" s="96" t="str">
        <f>HYPERLINK("https://t.co/bMaDi1pAIb")</f>
        <v>https://t.co/bMaDi1pAIb</v>
      </c>
      <c r="AQ1485" s="96" t="str">
        <f>HYPERLINK("http://www.unitimobiliaria.com.br")</f>
        <v>http://www.unitimobiliaria.com.br</v>
      </c>
      <c r="AR1485" s="86" t="s">
        <v>28895</v>
      </c>
      <c r="AS1485" s="86"/>
      <c r="AT1485" s="86"/>
      <c r="AU1485" s="86"/>
      <c r="AV1485" s="86"/>
      <c r="AW1485" s="96" t="str">
        <f>HYPERLINK("https://t.co/bMaDi1pAIb")</f>
        <v>https://t.co/bMaDi1pAIb</v>
      </c>
      <c r="AX1485" s="86" t="b">
        <v>0</v>
      </c>
      <c r="AY1485" s="86"/>
      <c r="AZ1485" s="86"/>
      <c r="BA1485" s="86" t="b">
        <v>0</v>
      </c>
      <c r="BB1485" s="86" t="b">
        <v>1</v>
      </c>
      <c r="BC1485" s="86" t="b">
        <v>1</v>
      </c>
      <c r="BD1485" s="86" t="b">
        <v>0</v>
      </c>
      <c r="BE1485" s="86" t="b">
        <v>0</v>
      </c>
      <c r="BF1485" s="86" t="b">
        <v>0</v>
      </c>
      <c r="BG1485" s="86" t="b">
        <v>0</v>
      </c>
      <c r="BH1485" s="86"/>
      <c r="BI1485" s="86"/>
      <c r="BJ1485" s="86" t="s">
        <v>29134</v>
      </c>
      <c r="BK1485" s="86" t="b">
        <v>0</v>
      </c>
      <c r="BL1485" s="86"/>
      <c r="BM1485" s="86" t="s">
        <v>66</v>
      </c>
      <c r="BN1485" s="86" t="s">
        <v>29136</v>
      </c>
      <c r="BO1485" s="96" t="str">
        <f>HYPERLINK("https://twitter.com/alexxberard")</f>
        <v>https://twitter.com/alexxberard</v>
      </c>
      <c r="BP1485" s="2"/>
    </row>
    <row r="1486" spans="1:68" x14ac:dyDescent="0.25">
      <c r="A1486" s="63" t="s">
        <v>1500</v>
      </c>
      <c r="B1486" s="64"/>
      <c r="C1486" s="64"/>
      <c r="D1486" s="65"/>
      <c r="E1486" s="67"/>
      <c r="F1486" s="111" t="str">
        <f>HYPERLINK("https://pbs.twimg.com/profile_images/1674527972466782209/2nHGusZC_normal.jpg")</f>
        <v>https://pbs.twimg.com/profile_images/1674527972466782209/2nHGusZC_normal.jpg</v>
      </c>
      <c r="G1486" s="64"/>
      <c r="H1486" s="68"/>
      <c r="I1486" s="69"/>
      <c r="J1486" s="69"/>
      <c r="K1486" s="68" t="s">
        <v>30619</v>
      </c>
      <c r="L1486" s="72"/>
      <c r="M1486" s="73"/>
      <c r="N1486" s="73"/>
      <c r="O1486" s="74"/>
      <c r="P1486" s="75"/>
      <c r="Q1486" s="75"/>
      <c r="R1486" s="102"/>
      <c r="S1486" s="102"/>
      <c r="T1486" s="102"/>
      <c r="U1486" s="102"/>
      <c r="V1486" s="48"/>
      <c r="W1486" s="48"/>
      <c r="X1486" s="48"/>
      <c r="Y1486" s="48"/>
      <c r="Z1486" s="47"/>
      <c r="AA1486" s="70">
        <v>1486</v>
      </c>
      <c r="AB1486" s="70"/>
      <c r="AC1486" s="71"/>
      <c r="AD1486" s="86" t="s">
        <v>25076</v>
      </c>
      <c r="AE1486" s="94" t="s">
        <v>22653</v>
      </c>
      <c r="AF1486" s="86">
        <v>2542</v>
      </c>
      <c r="AG1486" s="86">
        <v>1199</v>
      </c>
      <c r="AH1486" s="86">
        <v>4484</v>
      </c>
      <c r="AI1486" s="86">
        <v>33</v>
      </c>
      <c r="AJ1486" s="86">
        <v>108</v>
      </c>
      <c r="AK1486" s="86">
        <v>1091</v>
      </c>
      <c r="AL1486" s="86" t="b">
        <v>0</v>
      </c>
      <c r="AM1486" s="89">
        <v>40116.927002314813</v>
      </c>
      <c r="AN1486" s="86" t="s">
        <v>26379</v>
      </c>
      <c r="AO1486" s="86" t="s">
        <v>27773</v>
      </c>
      <c r="AP1486" s="96" t="str">
        <f>HYPERLINK("https://t.co/pJ2AGKvtlb")</f>
        <v>https://t.co/pJ2AGKvtlb</v>
      </c>
      <c r="AQ1486" s="96" t="str">
        <f>HYPERLINK("https://digital.pi.sebrae.com.br/")</f>
        <v>https://digital.pi.sebrae.com.br/</v>
      </c>
      <c r="AR1486" s="86" t="s">
        <v>28896</v>
      </c>
      <c r="AS1486" s="86"/>
      <c r="AT1486" s="86"/>
      <c r="AU1486" s="86"/>
      <c r="AV1486" s="86"/>
      <c r="AW1486" s="96" t="str">
        <f>HYPERLINK("https://t.co/pJ2AGKvtlb")</f>
        <v>https://t.co/pJ2AGKvtlb</v>
      </c>
      <c r="AX1486" s="86" t="b">
        <v>0</v>
      </c>
      <c r="AY1486" s="86"/>
      <c r="AZ1486" s="86"/>
      <c r="BA1486" s="86" t="b">
        <v>0</v>
      </c>
      <c r="BB1486" s="86" t="b">
        <v>1</v>
      </c>
      <c r="BC1486" s="86" t="b">
        <v>0</v>
      </c>
      <c r="BD1486" s="86" t="b">
        <v>0</v>
      </c>
      <c r="BE1486" s="86" t="b">
        <v>0</v>
      </c>
      <c r="BF1486" s="86" t="b">
        <v>0</v>
      </c>
      <c r="BG1486" s="86" t="b">
        <v>0</v>
      </c>
      <c r="BH1486" s="96" t="str">
        <f>HYPERLINK("https://pbs.twimg.com/profile_banners/86407584/1694006019")</f>
        <v>https://pbs.twimg.com/profile_banners/86407584/1694006019</v>
      </c>
      <c r="BI1486" s="86"/>
      <c r="BJ1486" s="86" t="s">
        <v>29134</v>
      </c>
      <c r="BK1486" s="86" t="b">
        <v>0</v>
      </c>
      <c r="BL1486" s="86"/>
      <c r="BM1486" s="86" t="s">
        <v>66</v>
      </c>
      <c r="BN1486" s="86" t="s">
        <v>29136</v>
      </c>
      <c r="BO1486" s="96" t="str">
        <f>HYPERLINK("https://twitter.com/pi_sebrae")</f>
        <v>https://twitter.com/pi_sebrae</v>
      </c>
      <c r="BP1486" s="2"/>
    </row>
    <row r="1487" spans="1:68" x14ac:dyDescent="0.25">
      <c r="A1487" s="63" t="s">
        <v>1501</v>
      </c>
      <c r="B1487" s="64"/>
      <c r="C1487" s="64"/>
      <c r="D1487" s="65"/>
      <c r="E1487" s="67"/>
      <c r="F1487" s="111" t="str">
        <f>HYPERLINK("https://pbs.twimg.com/profile_images/634845517734916096/Oti0MMNG_normal.png")</f>
        <v>https://pbs.twimg.com/profile_images/634845517734916096/Oti0MMNG_normal.png</v>
      </c>
      <c r="G1487" s="64"/>
      <c r="H1487" s="68"/>
      <c r="I1487" s="69"/>
      <c r="J1487" s="69"/>
      <c r="K1487" s="68" t="s">
        <v>30620</v>
      </c>
      <c r="L1487" s="72"/>
      <c r="M1487" s="73"/>
      <c r="N1487" s="73"/>
      <c r="O1487" s="74"/>
      <c r="P1487" s="75"/>
      <c r="Q1487" s="75"/>
      <c r="R1487" s="102"/>
      <c r="S1487" s="102"/>
      <c r="T1487" s="102"/>
      <c r="U1487" s="102"/>
      <c r="V1487" s="48"/>
      <c r="W1487" s="48"/>
      <c r="X1487" s="48"/>
      <c r="Y1487" s="48"/>
      <c r="Z1487" s="47"/>
      <c r="AA1487" s="70">
        <v>1487</v>
      </c>
      <c r="AB1487" s="70"/>
      <c r="AC1487" s="71"/>
      <c r="AD1487" s="86" t="s">
        <v>25077</v>
      </c>
      <c r="AE1487" s="94" t="s">
        <v>25814</v>
      </c>
      <c r="AF1487" s="86">
        <v>31</v>
      </c>
      <c r="AG1487" s="86">
        <v>63</v>
      </c>
      <c r="AH1487" s="86">
        <v>306</v>
      </c>
      <c r="AI1487" s="86">
        <v>1</v>
      </c>
      <c r="AJ1487" s="86">
        <v>1</v>
      </c>
      <c r="AK1487" s="86">
        <v>225</v>
      </c>
      <c r="AL1487" s="86" t="b">
        <v>0</v>
      </c>
      <c r="AM1487" s="89">
        <v>42237.908171296294</v>
      </c>
      <c r="AN1487" s="86" t="s">
        <v>15234</v>
      </c>
      <c r="AO1487" s="86" t="s">
        <v>27774</v>
      </c>
      <c r="AP1487" s="96" t="str">
        <f>HYPERLINK("http://t.co/XZw5ezN0Oe")</f>
        <v>http://t.co/XZw5ezN0Oe</v>
      </c>
      <c r="AQ1487" s="96" t="str">
        <f>HYPERLINK("http://proddigital.com.br/negocio")</f>
        <v>http://proddigital.com.br/negocio</v>
      </c>
      <c r="AR1487" s="86" t="s">
        <v>28897</v>
      </c>
      <c r="AS1487" s="86"/>
      <c r="AT1487" s="86"/>
      <c r="AU1487" s="86"/>
      <c r="AV1487" s="86"/>
      <c r="AW1487" s="96" t="str">
        <f>HYPERLINK("http://t.co/XZw5ezN0Oe")</f>
        <v>http://t.co/XZw5ezN0Oe</v>
      </c>
      <c r="AX1487" s="86" t="b">
        <v>0</v>
      </c>
      <c r="AY1487" s="86"/>
      <c r="AZ1487" s="86"/>
      <c r="BA1487" s="86" t="b">
        <v>0</v>
      </c>
      <c r="BB1487" s="86" t="b">
        <v>1</v>
      </c>
      <c r="BC1487" s="86" t="b">
        <v>0</v>
      </c>
      <c r="BD1487" s="86" t="b">
        <v>0</v>
      </c>
      <c r="BE1487" s="86" t="b">
        <v>0</v>
      </c>
      <c r="BF1487" s="86" t="b">
        <v>0</v>
      </c>
      <c r="BG1487" s="86" t="b">
        <v>0</v>
      </c>
      <c r="BH1487" s="96" t="str">
        <f>HYPERLINK("https://pbs.twimg.com/profile_banners/3434729135/1440194014")</f>
        <v>https://pbs.twimg.com/profile_banners/3434729135/1440194014</v>
      </c>
      <c r="BI1487" s="86"/>
      <c r="BJ1487" s="86" t="s">
        <v>29134</v>
      </c>
      <c r="BK1487" s="86" t="b">
        <v>0</v>
      </c>
      <c r="BL1487" s="86"/>
      <c r="BM1487" s="86" t="s">
        <v>66</v>
      </c>
      <c r="BN1487" s="86" t="s">
        <v>29136</v>
      </c>
      <c r="BO1487" s="96" t="str">
        <f>HYPERLINK("https://twitter.com/pd_negocio")</f>
        <v>https://twitter.com/pd_negocio</v>
      </c>
      <c r="BP1487" s="2"/>
    </row>
    <row r="1488" spans="1:68" x14ac:dyDescent="0.25">
      <c r="A1488" s="63" t="s">
        <v>1502</v>
      </c>
      <c r="B1488" s="64"/>
      <c r="C1488" s="64"/>
      <c r="D1488" s="65"/>
      <c r="E1488" s="67"/>
      <c r="F1488" s="111" t="str">
        <f>HYPERLINK("https://pbs.twimg.com/profile_images/1494327718229381123/6IR7UFhe_normal.jpg")</f>
        <v>https://pbs.twimg.com/profile_images/1494327718229381123/6IR7UFhe_normal.jpg</v>
      </c>
      <c r="G1488" s="64"/>
      <c r="H1488" s="68"/>
      <c r="I1488" s="69"/>
      <c r="J1488" s="69"/>
      <c r="K1488" s="68" t="s">
        <v>30621</v>
      </c>
      <c r="L1488" s="72"/>
      <c r="M1488" s="73"/>
      <c r="N1488" s="73"/>
      <c r="O1488" s="74"/>
      <c r="P1488" s="75"/>
      <c r="Q1488" s="75"/>
      <c r="R1488" s="102"/>
      <c r="S1488" s="102"/>
      <c r="T1488" s="102"/>
      <c r="U1488" s="102"/>
      <c r="V1488" s="48"/>
      <c r="W1488" s="48"/>
      <c r="X1488" s="48"/>
      <c r="Y1488" s="48"/>
      <c r="Z1488" s="47"/>
      <c r="AA1488" s="70">
        <v>1488</v>
      </c>
      <c r="AB1488" s="70"/>
      <c r="AC1488" s="71"/>
      <c r="AD1488" s="86" t="s">
        <v>25078</v>
      </c>
      <c r="AE1488" s="94" t="s">
        <v>23538</v>
      </c>
      <c r="AF1488" s="86">
        <v>6751</v>
      </c>
      <c r="AG1488" s="86">
        <v>332</v>
      </c>
      <c r="AH1488" s="86">
        <v>2201</v>
      </c>
      <c r="AI1488" s="86">
        <v>4</v>
      </c>
      <c r="AJ1488" s="86">
        <v>118</v>
      </c>
      <c r="AK1488" s="86">
        <v>1719</v>
      </c>
      <c r="AL1488" s="86" t="b">
        <v>0</v>
      </c>
      <c r="AM1488" s="89">
        <v>43234.579618055555</v>
      </c>
      <c r="AN1488" s="86" t="s">
        <v>15246</v>
      </c>
      <c r="AO1488" s="86" t="s">
        <v>27775</v>
      </c>
      <c r="AP1488" s="96" t="str">
        <f>HYPERLINK("https://t.co/Lm7dR5pwXc")</f>
        <v>https://t.co/Lm7dR5pwXc</v>
      </c>
      <c r="AQ1488" s="96" t="str">
        <f>HYPERLINK("https://www.grandesconstrucoes.com.br")</f>
        <v>https://www.grandesconstrucoes.com.br</v>
      </c>
      <c r="AR1488" s="86" t="s">
        <v>28898</v>
      </c>
      <c r="AS1488" s="86"/>
      <c r="AT1488" s="86"/>
      <c r="AU1488" s="86"/>
      <c r="AV1488" s="86"/>
      <c r="AW1488" s="96" t="str">
        <f>HYPERLINK("https://t.co/Lm7dR5pwXc")</f>
        <v>https://t.co/Lm7dR5pwXc</v>
      </c>
      <c r="AX1488" s="86" t="b">
        <v>0</v>
      </c>
      <c r="AY1488" s="86"/>
      <c r="AZ1488" s="86"/>
      <c r="BA1488" s="86" t="b">
        <v>0</v>
      </c>
      <c r="BB1488" s="86" t="b">
        <v>1</v>
      </c>
      <c r="BC1488" s="86" t="b">
        <v>1</v>
      </c>
      <c r="BD1488" s="86" t="b">
        <v>0</v>
      </c>
      <c r="BE1488" s="86" t="b">
        <v>0</v>
      </c>
      <c r="BF1488" s="86" t="b">
        <v>0</v>
      </c>
      <c r="BG1488" s="86" t="b">
        <v>0</v>
      </c>
      <c r="BH1488" s="96" t="str">
        <f>HYPERLINK("https://pbs.twimg.com/profile_banners/996026004530434048/1645111898")</f>
        <v>https://pbs.twimg.com/profile_banners/996026004530434048/1645111898</v>
      </c>
      <c r="BI1488" s="86"/>
      <c r="BJ1488" s="86" t="s">
        <v>29134</v>
      </c>
      <c r="BK1488" s="86" t="b">
        <v>0</v>
      </c>
      <c r="BL1488" s="86"/>
      <c r="BM1488" s="86" t="s">
        <v>66</v>
      </c>
      <c r="BN1488" s="86" t="s">
        <v>29136</v>
      </c>
      <c r="BO1488" s="96" t="str">
        <f>HYPERLINK("https://twitter.com/revistagc1")</f>
        <v>https://twitter.com/revistagc1</v>
      </c>
      <c r="BP1488" s="2"/>
    </row>
    <row r="1489" spans="1:68" x14ac:dyDescent="0.25">
      <c r="A1489" s="63" t="s">
        <v>1503</v>
      </c>
      <c r="B1489" s="64"/>
      <c r="C1489" s="64"/>
      <c r="D1489" s="65"/>
      <c r="E1489" s="67"/>
      <c r="F1489" s="111" t="str">
        <f>HYPERLINK("https://pbs.twimg.com/profile_images/1706032745422458880/d8jMoY9P_normal.jpg")</f>
        <v>https://pbs.twimg.com/profile_images/1706032745422458880/d8jMoY9P_normal.jpg</v>
      </c>
      <c r="G1489" s="64"/>
      <c r="H1489" s="68"/>
      <c r="I1489" s="69"/>
      <c r="J1489" s="69"/>
      <c r="K1489" s="68" t="s">
        <v>30622</v>
      </c>
      <c r="L1489" s="72"/>
      <c r="M1489" s="73"/>
      <c r="N1489" s="73"/>
      <c r="O1489" s="74"/>
      <c r="P1489" s="75"/>
      <c r="Q1489" s="75"/>
      <c r="R1489" s="102"/>
      <c r="S1489" s="102"/>
      <c r="T1489" s="102"/>
      <c r="U1489" s="102"/>
      <c r="V1489" s="48"/>
      <c r="W1489" s="48"/>
      <c r="X1489" s="48"/>
      <c r="Y1489" s="48"/>
      <c r="Z1489" s="47"/>
      <c r="AA1489" s="70">
        <v>1489</v>
      </c>
      <c r="AB1489" s="70"/>
      <c r="AC1489" s="71"/>
      <c r="AD1489" s="86" t="s">
        <v>25079</v>
      </c>
      <c r="AE1489" s="94" t="s">
        <v>25815</v>
      </c>
      <c r="AF1489" s="86">
        <v>45987</v>
      </c>
      <c r="AG1489" s="86">
        <v>19431</v>
      </c>
      <c r="AH1489" s="86">
        <v>421400</v>
      </c>
      <c r="AI1489" s="86">
        <v>573</v>
      </c>
      <c r="AJ1489" s="86">
        <v>21353</v>
      </c>
      <c r="AK1489" s="86">
        <v>204147</v>
      </c>
      <c r="AL1489" s="86" t="b">
        <v>0</v>
      </c>
      <c r="AM1489" s="89">
        <v>40297.809074074074</v>
      </c>
      <c r="AN1489" s="86" t="s">
        <v>26380</v>
      </c>
      <c r="AO1489" s="86" t="s">
        <v>27776</v>
      </c>
      <c r="AP1489" s="96" t="str">
        <f>HYPERLINK("https://t.co/kZDCM6TDF2")</f>
        <v>https://t.co/kZDCM6TDF2</v>
      </c>
      <c r="AQ1489" s="96" t="str">
        <f>HYPERLINK("https://www.instagram.com/pabloguzmandice/")</f>
        <v>https://www.instagram.com/pabloguzmandice/</v>
      </c>
      <c r="AR1489" s="86" t="s">
        <v>28899</v>
      </c>
      <c r="AS1489" s="86"/>
      <c r="AT1489" s="86"/>
      <c r="AU1489" s="86"/>
      <c r="AV1489" s="86">
        <v>1.68966687731469E+18</v>
      </c>
      <c r="AW1489" s="96" t="str">
        <f>HYPERLINK("https://t.co/kZDCM6TDF2")</f>
        <v>https://t.co/kZDCM6TDF2</v>
      </c>
      <c r="AX1489" s="86" t="b">
        <v>0</v>
      </c>
      <c r="AY1489" s="86"/>
      <c r="AZ1489" s="86"/>
      <c r="BA1489" s="86" t="b">
        <v>1</v>
      </c>
      <c r="BB1489" s="86" t="b">
        <v>1</v>
      </c>
      <c r="BC1489" s="86" t="b">
        <v>0</v>
      </c>
      <c r="BD1489" s="86" t="b">
        <v>0</v>
      </c>
      <c r="BE1489" s="86" t="b">
        <v>1</v>
      </c>
      <c r="BF1489" s="86" t="b">
        <v>0</v>
      </c>
      <c r="BG1489" s="86" t="b">
        <v>0</v>
      </c>
      <c r="BH1489" s="96" t="str">
        <f>HYPERLINK("https://pbs.twimg.com/profile_banners/138511539/1630543945")</f>
        <v>https://pbs.twimg.com/profile_banners/138511539/1630543945</v>
      </c>
      <c r="BI1489" s="86"/>
      <c r="BJ1489" s="86" t="s">
        <v>29135</v>
      </c>
      <c r="BK1489" s="86" t="b">
        <v>0</v>
      </c>
      <c r="BL1489" s="86"/>
      <c r="BM1489" s="86" t="s">
        <v>66</v>
      </c>
      <c r="BN1489" s="86" t="s">
        <v>29136</v>
      </c>
      <c r="BO1489" s="96" t="str">
        <f>HYPERLINK("https://twitter.com/pabloguzmandice")</f>
        <v>https://twitter.com/pabloguzmandice</v>
      </c>
      <c r="BP1489" s="2"/>
    </row>
    <row r="1490" spans="1:68" x14ac:dyDescent="0.25">
      <c r="A1490" s="63" t="s">
        <v>1821</v>
      </c>
      <c r="B1490" s="64"/>
      <c r="C1490" s="64"/>
      <c r="D1490" s="65"/>
      <c r="E1490" s="67"/>
      <c r="F1490" s="111" t="str">
        <f>HYPERLINK("https://pbs.twimg.com/profile_images/863052198221107200/4sv9Rqcg_normal.jpg")</f>
        <v>https://pbs.twimg.com/profile_images/863052198221107200/4sv9Rqcg_normal.jpg</v>
      </c>
      <c r="G1490" s="64"/>
      <c r="H1490" s="68"/>
      <c r="I1490" s="69"/>
      <c r="J1490" s="69"/>
      <c r="K1490" s="68" t="s">
        <v>30623</v>
      </c>
      <c r="L1490" s="72"/>
      <c r="M1490" s="73"/>
      <c r="N1490" s="73"/>
      <c r="O1490" s="74"/>
      <c r="P1490" s="75"/>
      <c r="Q1490" s="75"/>
      <c r="R1490" s="102"/>
      <c r="S1490" s="102"/>
      <c r="T1490" s="102"/>
      <c r="U1490" s="102"/>
      <c r="V1490" s="48"/>
      <c r="W1490" s="48"/>
      <c r="X1490" s="48"/>
      <c r="Y1490" s="48"/>
      <c r="Z1490" s="47"/>
      <c r="AA1490" s="70">
        <v>1490</v>
      </c>
      <c r="AB1490" s="70"/>
      <c r="AC1490" s="71"/>
      <c r="AD1490" s="86" t="s">
        <v>25080</v>
      </c>
      <c r="AE1490" s="94" t="s">
        <v>25816</v>
      </c>
      <c r="AF1490" s="86">
        <v>318793</v>
      </c>
      <c r="AG1490" s="86">
        <v>885</v>
      </c>
      <c r="AH1490" s="86">
        <v>676226</v>
      </c>
      <c r="AI1490" s="86">
        <v>1594</v>
      </c>
      <c r="AJ1490" s="86">
        <v>311</v>
      </c>
      <c r="AK1490" s="86">
        <v>305685</v>
      </c>
      <c r="AL1490" s="86" t="b">
        <v>0</v>
      </c>
      <c r="AM1490" s="89">
        <v>40253.467916666668</v>
      </c>
      <c r="AN1490" s="86" t="s">
        <v>26381</v>
      </c>
      <c r="AO1490" s="86" t="s">
        <v>27777</v>
      </c>
      <c r="AP1490" s="96" t="str">
        <f>HYPERLINK("https://t.co/wx9tWrpiuo")</f>
        <v>https://t.co/wx9tWrpiuo</v>
      </c>
      <c r="AQ1490" s="96" t="str">
        <f>HYPERLINK("http://www.unionradio.net")</f>
        <v>http://www.unionradio.net</v>
      </c>
      <c r="AR1490" s="86" t="s">
        <v>28900</v>
      </c>
      <c r="AS1490" s="96" t="str">
        <f>HYPERLINK("https://t.co/jrA58z1Vvw")</f>
        <v>https://t.co/jrA58z1Vvw</v>
      </c>
      <c r="AT1490" s="96" t="str">
        <f>HYPERLINK("https://unionradio.net/90-3-fm-radio-player/")</f>
        <v>https://unionradio.net/90-3-fm-radio-player/</v>
      </c>
      <c r="AU1490" s="86" t="s">
        <v>29123</v>
      </c>
      <c r="AV1490" s="86"/>
      <c r="AW1490" s="96" t="str">
        <f>HYPERLINK("https://t.co/wx9tWrpiuo")</f>
        <v>https://t.co/wx9tWrpiuo</v>
      </c>
      <c r="AX1490" s="86" t="b">
        <v>0</v>
      </c>
      <c r="AY1490" s="86"/>
      <c r="AZ1490" s="86"/>
      <c r="BA1490" s="86" t="b">
        <v>1</v>
      </c>
      <c r="BB1490" s="86" t="b">
        <v>0</v>
      </c>
      <c r="BC1490" s="86" t="b">
        <v>0</v>
      </c>
      <c r="BD1490" s="86" t="b">
        <v>0</v>
      </c>
      <c r="BE1490" s="86" t="b">
        <v>1</v>
      </c>
      <c r="BF1490" s="86" t="b">
        <v>0</v>
      </c>
      <c r="BG1490" s="86" t="b">
        <v>0</v>
      </c>
      <c r="BH1490" s="96" t="str">
        <f>HYPERLINK("https://pbs.twimg.com/profile_banners/123530755/1494603896")</f>
        <v>https://pbs.twimg.com/profile_banners/123530755/1494603896</v>
      </c>
      <c r="BI1490" s="86"/>
      <c r="BJ1490" s="86" t="s">
        <v>29134</v>
      </c>
      <c r="BK1490" s="86" t="b">
        <v>0</v>
      </c>
      <c r="BL1490" s="86"/>
      <c r="BM1490" s="86" t="s">
        <v>65</v>
      </c>
      <c r="BN1490" s="86" t="s">
        <v>29136</v>
      </c>
      <c r="BO1490" s="96" t="str">
        <f>HYPERLINK("https://twitter.com/unionradionet")</f>
        <v>https://twitter.com/unionradionet</v>
      </c>
      <c r="BP1490" s="2"/>
    </row>
    <row r="1491" spans="1:68" x14ac:dyDescent="0.25">
      <c r="A1491" s="63" t="s">
        <v>1822</v>
      </c>
      <c r="B1491" s="64"/>
      <c r="C1491" s="64"/>
      <c r="D1491" s="65"/>
      <c r="E1491" s="67"/>
      <c r="F1491" s="111" t="str">
        <f>HYPERLINK("https://pbs.twimg.com/profile_images/1267980065947648000/gKEBO02K_normal.jpg")</f>
        <v>https://pbs.twimg.com/profile_images/1267980065947648000/gKEBO02K_normal.jpg</v>
      </c>
      <c r="G1491" s="64"/>
      <c r="H1491" s="68"/>
      <c r="I1491" s="69"/>
      <c r="J1491" s="69"/>
      <c r="K1491" s="68" t="s">
        <v>30624</v>
      </c>
      <c r="L1491" s="72"/>
      <c r="M1491" s="73"/>
      <c r="N1491" s="73"/>
      <c r="O1491" s="74"/>
      <c r="P1491" s="75"/>
      <c r="Q1491" s="75"/>
      <c r="R1491" s="102"/>
      <c r="S1491" s="102"/>
      <c r="T1491" s="102"/>
      <c r="U1491" s="102"/>
      <c r="V1491" s="48"/>
      <c r="W1491" s="48"/>
      <c r="X1491" s="48"/>
      <c r="Y1491" s="48"/>
      <c r="Z1491" s="47"/>
      <c r="AA1491" s="70">
        <v>1491</v>
      </c>
      <c r="AB1491" s="70"/>
      <c r="AC1491" s="71"/>
      <c r="AD1491" s="86" t="s">
        <v>25081</v>
      </c>
      <c r="AE1491" s="94" t="s">
        <v>25817</v>
      </c>
      <c r="AF1491" s="86">
        <v>272221</v>
      </c>
      <c r="AG1491" s="86">
        <v>1444</v>
      </c>
      <c r="AH1491" s="86">
        <v>29027</v>
      </c>
      <c r="AI1491" s="86">
        <v>709</v>
      </c>
      <c r="AJ1491" s="86">
        <v>5420</v>
      </c>
      <c r="AK1491" s="86">
        <v>11727</v>
      </c>
      <c r="AL1491" s="86" t="b">
        <v>0</v>
      </c>
      <c r="AM1491" s="89">
        <v>41482.666828703703</v>
      </c>
      <c r="AN1491" s="86" t="s">
        <v>26382</v>
      </c>
      <c r="AO1491" s="86" t="s">
        <v>27778</v>
      </c>
      <c r="AP1491" s="96" t="str">
        <f>HYPERLINK("https://t.co/fJM9HpqBkS")</f>
        <v>https://t.co/fJM9HpqBkS</v>
      </c>
      <c r="AQ1491" s="96" t="str">
        <f>HYPERLINK("https://www.youtube.com/channel/UCUxp8kk2rOR5BgIgApuo8aQ")</f>
        <v>https://www.youtube.com/channel/UCUxp8kk2rOR5BgIgApuo8aQ</v>
      </c>
      <c r="AR1491" s="86" t="s">
        <v>28901</v>
      </c>
      <c r="AS1491" s="86"/>
      <c r="AT1491" s="86"/>
      <c r="AU1491" s="86"/>
      <c r="AV1491" s="86"/>
      <c r="AW1491" s="96" t="str">
        <f>HYPERLINK("https://t.co/fJM9HpqBkS")</f>
        <v>https://t.co/fJM9HpqBkS</v>
      </c>
      <c r="AX1491" s="86" t="b">
        <v>0</v>
      </c>
      <c r="AY1491" s="86"/>
      <c r="AZ1491" s="86"/>
      <c r="BA1491" s="86" t="b">
        <v>0</v>
      </c>
      <c r="BB1491" s="86" t="b">
        <v>1</v>
      </c>
      <c r="BC1491" s="86" t="b">
        <v>0</v>
      </c>
      <c r="BD1491" s="86" t="b">
        <v>0</v>
      </c>
      <c r="BE1491" s="86" t="b">
        <v>1</v>
      </c>
      <c r="BF1491" s="86" t="b">
        <v>0</v>
      </c>
      <c r="BG1491" s="86" t="b">
        <v>0</v>
      </c>
      <c r="BH1491" s="96" t="str">
        <f>HYPERLINK("https://pbs.twimg.com/profile_banners/1625795281/1591145030")</f>
        <v>https://pbs.twimg.com/profile_banners/1625795281/1591145030</v>
      </c>
      <c r="BI1491" s="86"/>
      <c r="BJ1491" s="86" t="s">
        <v>29134</v>
      </c>
      <c r="BK1491" s="86" t="b">
        <v>0</v>
      </c>
      <c r="BL1491" s="86"/>
      <c r="BM1491" s="86" t="s">
        <v>65</v>
      </c>
      <c r="BN1491" s="86" t="s">
        <v>29136</v>
      </c>
      <c r="BO1491" s="96" t="str">
        <f>HYPERLINK("https://twitter.com/vladivillegastv")</f>
        <v>https://twitter.com/vladivillegastv</v>
      </c>
      <c r="BP1491" s="2"/>
    </row>
    <row r="1492" spans="1:68" x14ac:dyDescent="0.25">
      <c r="A1492" s="63" t="s">
        <v>1823</v>
      </c>
      <c r="B1492" s="64"/>
      <c r="C1492" s="64"/>
      <c r="D1492" s="65"/>
      <c r="E1492" s="67"/>
      <c r="F1492" s="111" t="str">
        <f>HYPERLINK("https://pbs.twimg.com/profile_images/1221840251443912704/lr4vZzDJ_normal.jpg")</f>
        <v>https://pbs.twimg.com/profile_images/1221840251443912704/lr4vZzDJ_normal.jpg</v>
      </c>
      <c r="G1492" s="64"/>
      <c r="H1492" s="68"/>
      <c r="I1492" s="69"/>
      <c r="J1492" s="69"/>
      <c r="K1492" s="68" t="s">
        <v>30625</v>
      </c>
      <c r="L1492" s="72"/>
      <c r="M1492" s="73"/>
      <c r="N1492" s="73"/>
      <c r="O1492" s="74"/>
      <c r="P1492" s="75"/>
      <c r="Q1492" s="75"/>
      <c r="R1492" s="102"/>
      <c r="S1492" s="102"/>
      <c r="T1492" s="102"/>
      <c r="U1492" s="102"/>
      <c r="V1492" s="48"/>
      <c r="W1492" s="48"/>
      <c r="X1492" s="48"/>
      <c r="Y1492" s="48"/>
      <c r="Z1492" s="47"/>
      <c r="AA1492" s="70">
        <v>1492</v>
      </c>
      <c r="AB1492" s="70"/>
      <c r="AC1492" s="71"/>
      <c r="AD1492" s="86" t="s">
        <v>25082</v>
      </c>
      <c r="AE1492" s="94" t="s">
        <v>25818</v>
      </c>
      <c r="AF1492" s="86">
        <v>1500121</v>
      </c>
      <c r="AG1492" s="86">
        <v>404</v>
      </c>
      <c r="AH1492" s="86">
        <v>67664</v>
      </c>
      <c r="AI1492" s="86">
        <v>5170</v>
      </c>
      <c r="AJ1492" s="86">
        <v>350</v>
      </c>
      <c r="AK1492" s="86">
        <v>600</v>
      </c>
      <c r="AL1492" s="86" t="b">
        <v>0</v>
      </c>
      <c r="AM1492" s="89">
        <v>40079.942754629628</v>
      </c>
      <c r="AN1492" s="86" t="s">
        <v>26383</v>
      </c>
      <c r="AO1492" s="86" t="s">
        <v>27779</v>
      </c>
      <c r="AP1492" s="86"/>
      <c r="AQ1492" s="86"/>
      <c r="AR1492" s="86"/>
      <c r="AS1492" s="86"/>
      <c r="AT1492" s="86"/>
      <c r="AU1492" s="86"/>
      <c r="AV1492" s="86"/>
      <c r="AW1492" s="86"/>
      <c r="AX1492" s="86" t="b">
        <v>1</v>
      </c>
      <c r="AY1492" s="86"/>
      <c r="AZ1492" s="86"/>
      <c r="BA1492" s="86" t="b">
        <v>0</v>
      </c>
      <c r="BB1492" s="86" t="b">
        <v>1</v>
      </c>
      <c r="BC1492" s="86" t="b">
        <v>0</v>
      </c>
      <c r="BD1492" s="86" t="b">
        <v>0</v>
      </c>
      <c r="BE1492" s="86" t="b">
        <v>1</v>
      </c>
      <c r="BF1492" s="86" t="b">
        <v>0</v>
      </c>
      <c r="BG1492" s="86" t="b">
        <v>0</v>
      </c>
      <c r="BH1492" s="86"/>
      <c r="BI1492" s="86"/>
      <c r="BJ1492" s="86" t="s">
        <v>29134</v>
      </c>
      <c r="BK1492" s="86" t="b">
        <v>0</v>
      </c>
      <c r="BL1492" s="86"/>
      <c r="BM1492" s="86" t="s">
        <v>65</v>
      </c>
      <c r="BN1492" s="86" t="s">
        <v>29136</v>
      </c>
      <c r="BO1492" s="96" t="str">
        <f>HYPERLINK("https://twitter.com/luisvicenteleon")</f>
        <v>https://twitter.com/luisvicenteleon</v>
      </c>
      <c r="BP1492" s="2"/>
    </row>
    <row r="1493" spans="1:68" x14ac:dyDescent="0.25">
      <c r="A1493" s="63" t="s">
        <v>1824</v>
      </c>
      <c r="B1493" s="64"/>
      <c r="C1493" s="64"/>
      <c r="D1493" s="65"/>
      <c r="E1493" s="67"/>
      <c r="F1493" s="111" t="str">
        <f>HYPERLINK("https://pbs.twimg.com/profile_images/1696965016715440128/gMHac_Gr_normal.jpg")</f>
        <v>https://pbs.twimg.com/profile_images/1696965016715440128/gMHac_Gr_normal.jpg</v>
      </c>
      <c r="G1493" s="64"/>
      <c r="H1493" s="68"/>
      <c r="I1493" s="69"/>
      <c r="J1493" s="69"/>
      <c r="K1493" s="68" t="s">
        <v>30626</v>
      </c>
      <c r="L1493" s="72"/>
      <c r="M1493" s="73"/>
      <c r="N1493" s="73"/>
      <c r="O1493" s="74"/>
      <c r="P1493" s="75"/>
      <c r="Q1493" s="75"/>
      <c r="R1493" s="102"/>
      <c r="S1493" s="102"/>
      <c r="T1493" s="102"/>
      <c r="U1493" s="102"/>
      <c r="V1493" s="48"/>
      <c r="W1493" s="48"/>
      <c r="X1493" s="48"/>
      <c r="Y1493" s="48"/>
      <c r="Z1493" s="47"/>
      <c r="AA1493" s="70">
        <v>1493</v>
      </c>
      <c r="AB1493" s="70"/>
      <c r="AC1493" s="71"/>
      <c r="AD1493" s="86" t="s">
        <v>25083</v>
      </c>
      <c r="AE1493" s="94" t="s">
        <v>25819</v>
      </c>
      <c r="AF1493" s="86">
        <v>79116</v>
      </c>
      <c r="AG1493" s="86">
        <v>1324</v>
      </c>
      <c r="AH1493" s="86">
        <v>43750</v>
      </c>
      <c r="AI1493" s="86">
        <v>553</v>
      </c>
      <c r="AJ1493" s="86">
        <v>1753</v>
      </c>
      <c r="AK1493" s="86">
        <v>14864</v>
      </c>
      <c r="AL1493" s="86" t="b">
        <v>0</v>
      </c>
      <c r="AM1493" s="89">
        <v>40016.025081018517</v>
      </c>
      <c r="AN1493" s="86" t="s">
        <v>26383</v>
      </c>
      <c r="AO1493" s="86" t="s">
        <v>27780</v>
      </c>
      <c r="AP1493" s="96" t="str">
        <f>HYPERLINK("https://t.co/m7XDa75nTE")</f>
        <v>https://t.co/m7XDa75nTE</v>
      </c>
      <c r="AQ1493" s="96" t="str">
        <f>HYPERLINK("http://www.fedecamaras.org.ve")</f>
        <v>http://www.fedecamaras.org.ve</v>
      </c>
      <c r="AR1493" s="86" t="s">
        <v>28902</v>
      </c>
      <c r="AS1493" s="86"/>
      <c r="AT1493" s="86"/>
      <c r="AU1493" s="86"/>
      <c r="AV1493" s="86">
        <v>1.7045935496420301E+18</v>
      </c>
      <c r="AW1493" s="96" t="str">
        <f>HYPERLINK("https://t.co/m7XDa75nTE")</f>
        <v>https://t.co/m7XDa75nTE</v>
      </c>
      <c r="AX1493" s="86" t="b">
        <v>0</v>
      </c>
      <c r="AY1493" s="86"/>
      <c r="AZ1493" s="86"/>
      <c r="BA1493" s="86" t="b">
        <v>0</v>
      </c>
      <c r="BB1493" s="86" t="b">
        <v>1</v>
      </c>
      <c r="BC1493" s="86" t="b">
        <v>0</v>
      </c>
      <c r="BD1493" s="86" t="b">
        <v>0</v>
      </c>
      <c r="BE1493" s="86" t="b">
        <v>1</v>
      </c>
      <c r="BF1493" s="86" t="b">
        <v>0</v>
      </c>
      <c r="BG1493" s="86" t="b">
        <v>0</v>
      </c>
      <c r="BH1493" s="96" t="str">
        <f>HYPERLINK("https://pbs.twimg.com/profile_banners/58977300/1693422976")</f>
        <v>https://pbs.twimg.com/profile_banners/58977300/1693422976</v>
      </c>
      <c r="BI1493" s="86"/>
      <c r="BJ1493" s="86" t="s">
        <v>29134</v>
      </c>
      <c r="BK1493" s="86" t="b">
        <v>0</v>
      </c>
      <c r="BL1493" s="86"/>
      <c r="BM1493" s="86" t="s">
        <v>65</v>
      </c>
      <c r="BN1493" s="86" t="s">
        <v>29136</v>
      </c>
      <c r="BO1493" s="96" t="str">
        <f>HYPERLINK("https://twitter.com/fedecamaras")</f>
        <v>https://twitter.com/fedecamaras</v>
      </c>
      <c r="BP1493" s="2"/>
    </row>
    <row r="1494" spans="1:68" x14ac:dyDescent="0.25">
      <c r="A1494" s="63" t="s">
        <v>1504</v>
      </c>
      <c r="B1494" s="64"/>
      <c r="C1494" s="64"/>
      <c r="D1494" s="65"/>
      <c r="E1494" s="67"/>
      <c r="F1494" s="111" t="str">
        <f>HYPERLINK("https://pbs.twimg.com/profile_images/1702670407814258688/HCx2YhDV_normal.jpg")</f>
        <v>https://pbs.twimg.com/profile_images/1702670407814258688/HCx2YhDV_normal.jpg</v>
      </c>
      <c r="G1494" s="64"/>
      <c r="H1494" s="68"/>
      <c r="I1494" s="69"/>
      <c r="J1494" s="69"/>
      <c r="K1494" s="68" t="s">
        <v>30627</v>
      </c>
      <c r="L1494" s="72"/>
      <c r="M1494" s="73"/>
      <c r="N1494" s="73"/>
      <c r="O1494" s="74"/>
      <c r="P1494" s="75"/>
      <c r="Q1494" s="75"/>
      <c r="R1494" s="102"/>
      <c r="S1494" s="102"/>
      <c r="T1494" s="102"/>
      <c r="U1494" s="102"/>
      <c r="V1494" s="48"/>
      <c r="W1494" s="48"/>
      <c r="X1494" s="48"/>
      <c r="Y1494" s="48"/>
      <c r="Z1494" s="47"/>
      <c r="AA1494" s="70">
        <v>1494</v>
      </c>
      <c r="AB1494" s="70"/>
      <c r="AC1494" s="71"/>
      <c r="AD1494" s="86" t="s">
        <v>25084</v>
      </c>
      <c r="AE1494" s="94" t="s">
        <v>23539</v>
      </c>
      <c r="AF1494" s="86">
        <v>6003</v>
      </c>
      <c r="AG1494" s="86">
        <v>975</v>
      </c>
      <c r="AH1494" s="86">
        <v>29777</v>
      </c>
      <c r="AI1494" s="86">
        <v>8</v>
      </c>
      <c r="AJ1494" s="86">
        <v>90390</v>
      </c>
      <c r="AK1494" s="86">
        <v>8927</v>
      </c>
      <c r="AL1494" s="86" t="b">
        <v>0</v>
      </c>
      <c r="AM1494" s="89">
        <v>43794.865324074075</v>
      </c>
      <c r="AN1494" s="86"/>
      <c r="AO1494" s="86" t="s">
        <v>27781</v>
      </c>
      <c r="AP1494" s="96" t="str">
        <f>HYPERLINK("https://t.co/zWpDtAEtvn")</f>
        <v>https://t.co/zWpDtAEtvn</v>
      </c>
      <c r="AQ1494" s="96" t="str">
        <f>HYPERLINK("https://instagram.com/san.thosedmar?igshid=OGQ5ZDc2ODk2ZA==")</f>
        <v>https://instagram.com/san.thosedmar?igshid=OGQ5ZDc2ODk2ZA==</v>
      </c>
      <c r="AR1494" s="86" t="s">
        <v>28903</v>
      </c>
      <c r="AS1494" s="86"/>
      <c r="AT1494" s="86"/>
      <c r="AU1494" s="86"/>
      <c r="AV1494" s="86">
        <v>1.6487353104135301E+18</v>
      </c>
      <c r="AW1494" s="96" t="str">
        <f>HYPERLINK("https://t.co/zWpDtAEtvn")</f>
        <v>https://t.co/zWpDtAEtvn</v>
      </c>
      <c r="AX1494" s="86" t="b">
        <v>0</v>
      </c>
      <c r="AY1494" s="86"/>
      <c r="AZ1494" s="86"/>
      <c r="BA1494" s="86" t="b">
        <v>1</v>
      </c>
      <c r="BB1494" s="86" t="b">
        <v>0</v>
      </c>
      <c r="BC1494" s="86" t="b">
        <v>1</v>
      </c>
      <c r="BD1494" s="86" t="b">
        <v>0</v>
      </c>
      <c r="BE1494" s="86" t="b">
        <v>1</v>
      </c>
      <c r="BF1494" s="86" t="b">
        <v>0</v>
      </c>
      <c r="BG1494" s="86" t="b">
        <v>0</v>
      </c>
      <c r="BH1494" s="96" t="str">
        <f>HYPERLINK("https://pbs.twimg.com/profile_banners/1199066689696141314/1694377136")</f>
        <v>https://pbs.twimg.com/profile_banners/1199066689696141314/1694377136</v>
      </c>
      <c r="BI1494" s="86"/>
      <c r="BJ1494" s="86" t="s">
        <v>29134</v>
      </c>
      <c r="BK1494" s="86" t="b">
        <v>0</v>
      </c>
      <c r="BL1494" s="86"/>
      <c r="BM1494" s="86" t="s">
        <v>66</v>
      </c>
      <c r="BN1494" s="86" t="s">
        <v>29136</v>
      </c>
      <c r="BO1494" s="96" t="str">
        <f>HYPERLINK("https://twitter.com/san_thosed")</f>
        <v>https://twitter.com/san_thosed</v>
      </c>
      <c r="BP1494" s="2"/>
    </row>
    <row r="1495" spans="1:68" x14ac:dyDescent="0.25">
      <c r="A1495" s="63" t="s">
        <v>1505</v>
      </c>
      <c r="B1495" s="64"/>
      <c r="C1495" s="64"/>
      <c r="D1495" s="65"/>
      <c r="E1495" s="67"/>
      <c r="F1495" s="111" t="str">
        <f>HYPERLINK("https://pbs.twimg.com/profile_images/1239643530236174336/kipnGr1p_normal.jpg")</f>
        <v>https://pbs.twimg.com/profile_images/1239643530236174336/kipnGr1p_normal.jpg</v>
      </c>
      <c r="G1495" s="64"/>
      <c r="H1495" s="68"/>
      <c r="I1495" s="69"/>
      <c r="J1495" s="69"/>
      <c r="K1495" s="68" t="s">
        <v>30628</v>
      </c>
      <c r="L1495" s="72"/>
      <c r="M1495" s="73"/>
      <c r="N1495" s="73"/>
      <c r="O1495" s="74"/>
      <c r="P1495" s="75"/>
      <c r="Q1495" s="75"/>
      <c r="R1495" s="102"/>
      <c r="S1495" s="102"/>
      <c r="T1495" s="102"/>
      <c r="U1495" s="102"/>
      <c r="V1495" s="48"/>
      <c r="W1495" s="48"/>
      <c r="X1495" s="48"/>
      <c r="Y1495" s="48"/>
      <c r="Z1495" s="47"/>
      <c r="AA1495" s="70">
        <v>1495</v>
      </c>
      <c r="AB1495" s="70"/>
      <c r="AC1495" s="71"/>
      <c r="AD1495" s="86" t="s">
        <v>25085</v>
      </c>
      <c r="AE1495" s="94" t="s">
        <v>23540</v>
      </c>
      <c r="AF1495" s="86">
        <v>15</v>
      </c>
      <c r="AG1495" s="86">
        <v>56</v>
      </c>
      <c r="AH1495" s="86">
        <v>411</v>
      </c>
      <c r="AI1495" s="86">
        <v>0</v>
      </c>
      <c r="AJ1495" s="86">
        <v>39</v>
      </c>
      <c r="AK1495" s="86">
        <v>350</v>
      </c>
      <c r="AL1495" s="86" t="b">
        <v>0</v>
      </c>
      <c r="AM1495" s="89">
        <v>43906.835798611108</v>
      </c>
      <c r="AN1495" s="86"/>
      <c r="AO1495" s="86" t="s">
        <v>27782</v>
      </c>
      <c r="AP1495" s="86"/>
      <c r="AQ1495" s="86"/>
      <c r="AR1495" s="86"/>
      <c r="AS1495" s="96" t="str">
        <f>HYPERLINK("https://t.co/SN1gIqttBQ")</f>
        <v>https://t.co/SN1gIqttBQ</v>
      </c>
      <c r="AT1495" s="96" t="str">
        <f>HYPERLINK("http://www.sobrancelhasdesign.com.br")</f>
        <v>http://www.sobrancelhasdesign.com.br</v>
      </c>
      <c r="AU1495" s="86" t="s">
        <v>29124</v>
      </c>
      <c r="AV1495" s="86"/>
      <c r="AW1495" s="86"/>
      <c r="AX1495" s="86" t="b">
        <v>0</v>
      </c>
      <c r="AY1495" s="86"/>
      <c r="AZ1495" s="86"/>
      <c r="BA1495" s="86" t="b">
        <v>1</v>
      </c>
      <c r="BB1495" s="86" t="b">
        <v>1</v>
      </c>
      <c r="BC1495" s="86" t="b">
        <v>1</v>
      </c>
      <c r="BD1495" s="86" t="b">
        <v>0</v>
      </c>
      <c r="BE1495" s="86" t="b">
        <v>0</v>
      </c>
      <c r="BF1495" s="86" t="b">
        <v>0</v>
      </c>
      <c r="BG1495" s="86" t="b">
        <v>0</v>
      </c>
      <c r="BH1495" s="96" t="str">
        <f>HYPERLINK("https://pbs.twimg.com/profile_banners/1239643445574225927/1584389175")</f>
        <v>https://pbs.twimg.com/profile_banners/1239643445574225927/1584389175</v>
      </c>
      <c r="BI1495" s="86"/>
      <c r="BJ1495" s="86" t="s">
        <v>29134</v>
      </c>
      <c r="BK1495" s="86" t="b">
        <v>0</v>
      </c>
      <c r="BL1495" s="86"/>
      <c r="BM1495" s="86" t="s">
        <v>66</v>
      </c>
      <c r="BN1495" s="86" t="s">
        <v>29136</v>
      </c>
      <c r="BO1495" s="96" t="str">
        <f>HYPERLINK("https://twitter.com/sobrancelhassd")</f>
        <v>https://twitter.com/sobrancelhassd</v>
      </c>
      <c r="BP1495" s="2"/>
    </row>
    <row r="1496" spans="1:68" x14ac:dyDescent="0.25">
      <c r="A1496" s="63" t="s">
        <v>1506</v>
      </c>
      <c r="B1496" s="64"/>
      <c r="C1496" s="64"/>
      <c r="D1496" s="65"/>
      <c r="E1496" s="67"/>
      <c r="F1496" s="111" t="str">
        <f>HYPERLINK("https://pbs.twimg.com/profile_images/1392200038131060738/ASqD2h-R_normal.jpg")</f>
        <v>https://pbs.twimg.com/profile_images/1392200038131060738/ASqD2h-R_normal.jpg</v>
      </c>
      <c r="G1496" s="64"/>
      <c r="H1496" s="68"/>
      <c r="I1496" s="69"/>
      <c r="J1496" s="69"/>
      <c r="K1496" s="68" t="s">
        <v>30629</v>
      </c>
      <c r="L1496" s="72"/>
      <c r="M1496" s="73"/>
      <c r="N1496" s="73"/>
      <c r="O1496" s="74"/>
      <c r="P1496" s="75"/>
      <c r="Q1496" s="75"/>
      <c r="R1496" s="102"/>
      <c r="S1496" s="102"/>
      <c r="T1496" s="102"/>
      <c r="U1496" s="102"/>
      <c r="V1496" s="48"/>
      <c r="W1496" s="48"/>
      <c r="X1496" s="48"/>
      <c r="Y1496" s="48"/>
      <c r="Z1496" s="47"/>
      <c r="AA1496" s="70">
        <v>1496</v>
      </c>
      <c r="AB1496" s="70"/>
      <c r="AC1496" s="71"/>
      <c r="AD1496" s="86" t="s">
        <v>25086</v>
      </c>
      <c r="AE1496" s="94" t="s">
        <v>23541</v>
      </c>
      <c r="AF1496" s="86">
        <v>522</v>
      </c>
      <c r="AG1496" s="86">
        <v>477</v>
      </c>
      <c r="AH1496" s="86">
        <v>5191</v>
      </c>
      <c r="AI1496" s="86">
        <v>4</v>
      </c>
      <c r="AJ1496" s="86">
        <v>5035</v>
      </c>
      <c r="AK1496" s="86">
        <v>833</v>
      </c>
      <c r="AL1496" s="86" t="b">
        <v>0</v>
      </c>
      <c r="AM1496" s="89">
        <v>44327.811238425929</v>
      </c>
      <c r="AN1496" s="86"/>
      <c r="AO1496" s="86" t="s">
        <v>27783</v>
      </c>
      <c r="AP1496" s="86"/>
      <c r="AQ1496" s="86"/>
      <c r="AR1496" s="86"/>
      <c r="AS1496" s="96" t="str">
        <f>HYPERLINK("https://t.co/dG1Bzkjeeo")</f>
        <v>https://t.co/dG1Bzkjeeo</v>
      </c>
      <c r="AT1496" s="96" t="str">
        <f>HYPERLINK("https://www.diplomaciabusiness.com")</f>
        <v>https://www.diplomaciabusiness.com</v>
      </c>
      <c r="AU1496" s="86" t="s">
        <v>8547</v>
      </c>
      <c r="AV1496" s="86"/>
      <c r="AW1496" s="86"/>
      <c r="AX1496" s="86" t="b">
        <v>0</v>
      </c>
      <c r="AY1496" s="86"/>
      <c r="AZ1496" s="86"/>
      <c r="BA1496" s="86" t="b">
        <v>0</v>
      </c>
      <c r="BB1496" s="86" t="b">
        <v>1</v>
      </c>
      <c r="BC1496" s="86" t="b">
        <v>1</v>
      </c>
      <c r="BD1496" s="86" t="b">
        <v>0</v>
      </c>
      <c r="BE1496" s="86" t="b">
        <v>0</v>
      </c>
      <c r="BF1496" s="86" t="b">
        <v>0</v>
      </c>
      <c r="BG1496" s="86" t="b">
        <v>0</v>
      </c>
      <c r="BH1496" s="96" t="str">
        <f>HYPERLINK("https://pbs.twimg.com/profile_banners/1392199462378999811/1632253249")</f>
        <v>https://pbs.twimg.com/profile_banners/1392199462378999811/1632253249</v>
      </c>
      <c r="BI1496" s="86"/>
      <c r="BJ1496" s="86" t="s">
        <v>29134</v>
      </c>
      <c r="BK1496" s="86" t="b">
        <v>0</v>
      </c>
      <c r="BL1496" s="86"/>
      <c r="BM1496" s="86" t="s">
        <v>66</v>
      </c>
      <c r="BN1496" s="86" t="s">
        <v>29136</v>
      </c>
      <c r="BO1496" s="96" t="str">
        <f>HYPERLINK("https://twitter.com/diplomaciabusi1")</f>
        <v>https://twitter.com/diplomaciabusi1</v>
      </c>
      <c r="BP1496" s="2"/>
    </row>
    <row r="1497" spans="1:68" x14ac:dyDescent="0.25">
      <c r="A1497" s="63" t="s">
        <v>1825</v>
      </c>
      <c r="B1497" s="64"/>
      <c r="C1497" s="64"/>
      <c r="D1497" s="65"/>
      <c r="E1497" s="67"/>
      <c r="F1497" s="111" t="str">
        <f>HYPERLINK("https://pbs.twimg.com/profile_images/1587509953425997824/C5aKzsY0_normal.jpg")</f>
        <v>https://pbs.twimg.com/profile_images/1587509953425997824/C5aKzsY0_normal.jpg</v>
      </c>
      <c r="G1497" s="64"/>
      <c r="H1497" s="68"/>
      <c r="I1497" s="69"/>
      <c r="J1497" s="69"/>
      <c r="K1497" s="68" t="s">
        <v>30630</v>
      </c>
      <c r="L1497" s="72"/>
      <c r="M1497" s="73"/>
      <c r="N1497" s="73"/>
      <c r="O1497" s="74"/>
      <c r="P1497" s="75"/>
      <c r="Q1497" s="75"/>
      <c r="R1497" s="102"/>
      <c r="S1497" s="102"/>
      <c r="T1497" s="102"/>
      <c r="U1497" s="102"/>
      <c r="V1497" s="48"/>
      <c r="W1497" s="48"/>
      <c r="X1497" s="48"/>
      <c r="Y1497" s="48"/>
      <c r="Z1497" s="47"/>
      <c r="AA1497" s="70">
        <v>1497</v>
      </c>
      <c r="AB1497" s="70"/>
      <c r="AC1497" s="71"/>
      <c r="AD1497" s="86" t="s">
        <v>25087</v>
      </c>
      <c r="AE1497" s="94" t="s">
        <v>25820</v>
      </c>
      <c r="AF1497" s="86">
        <v>1442786</v>
      </c>
      <c r="AG1497" s="86">
        <v>583</v>
      </c>
      <c r="AH1497" s="86">
        <v>35796</v>
      </c>
      <c r="AI1497" s="86">
        <v>3345</v>
      </c>
      <c r="AJ1497" s="86">
        <v>1919</v>
      </c>
      <c r="AK1497" s="86">
        <v>5506</v>
      </c>
      <c r="AL1497" s="86" t="b">
        <v>0</v>
      </c>
      <c r="AM1497" s="89">
        <v>40070.742696759262</v>
      </c>
      <c r="AN1497" s="86" t="s">
        <v>15246</v>
      </c>
      <c r="AO1497" s="86" t="s">
        <v>27784</v>
      </c>
      <c r="AP1497" s="86"/>
      <c r="AQ1497" s="86"/>
      <c r="AR1497" s="86"/>
      <c r="AS1497" s="86"/>
      <c r="AT1497" s="86"/>
      <c r="AU1497" s="86"/>
      <c r="AV1497" s="86"/>
      <c r="AW1497" s="86"/>
      <c r="AX1497" s="86" t="b">
        <v>1</v>
      </c>
      <c r="AY1497" s="86"/>
      <c r="AZ1497" s="86"/>
      <c r="BA1497" s="86" t="b">
        <v>0</v>
      </c>
      <c r="BB1497" s="86" t="b">
        <v>1</v>
      </c>
      <c r="BC1497" s="86" t="b">
        <v>0</v>
      </c>
      <c r="BD1497" s="86" t="b">
        <v>0</v>
      </c>
      <c r="BE1497" s="86" t="b">
        <v>1</v>
      </c>
      <c r="BF1497" s="86" t="b">
        <v>0</v>
      </c>
      <c r="BG1497" s="86" t="b">
        <v>0</v>
      </c>
      <c r="BH1497" s="96" t="str">
        <f>HYPERLINK("https://pbs.twimg.com/profile_banners/74215006/1667333882")</f>
        <v>https://pbs.twimg.com/profile_banners/74215006/1667333882</v>
      </c>
      <c r="BI1497" s="86"/>
      <c r="BJ1497" s="86" t="s">
        <v>29134</v>
      </c>
      <c r="BK1497" s="86" t="b">
        <v>0</v>
      </c>
      <c r="BL1497" s="86"/>
      <c r="BM1497" s="86" t="s">
        <v>65</v>
      </c>
      <c r="BN1497" s="86" t="s">
        <v>29136</v>
      </c>
      <c r="BO1497" s="96" t="str">
        <f>HYPERLINK("https://twitter.com/geraldoalckmin")</f>
        <v>https://twitter.com/geraldoalckmin</v>
      </c>
      <c r="BP1497" s="2"/>
    </row>
    <row r="1498" spans="1:68" x14ac:dyDescent="0.25">
      <c r="A1498" s="63" t="s">
        <v>1507</v>
      </c>
      <c r="B1498" s="64"/>
      <c r="C1498" s="64"/>
      <c r="D1498" s="65"/>
      <c r="E1498" s="67"/>
      <c r="F1498" s="111" t="str">
        <f>HYPERLINK("https://pbs.twimg.com/profile_images/1316845696058875909/UmEo9HZn_normal.jpg")</f>
        <v>https://pbs.twimg.com/profile_images/1316845696058875909/UmEo9HZn_normal.jpg</v>
      </c>
      <c r="G1498" s="64"/>
      <c r="H1498" s="68"/>
      <c r="I1498" s="69"/>
      <c r="J1498" s="69"/>
      <c r="K1498" s="68" t="s">
        <v>30631</v>
      </c>
      <c r="L1498" s="72"/>
      <c r="M1498" s="73"/>
      <c r="N1498" s="73"/>
      <c r="O1498" s="74"/>
      <c r="P1498" s="75"/>
      <c r="Q1498" s="75"/>
      <c r="R1498" s="102"/>
      <c r="S1498" s="102"/>
      <c r="T1498" s="102"/>
      <c r="U1498" s="102"/>
      <c r="V1498" s="48"/>
      <c r="W1498" s="48"/>
      <c r="X1498" s="48"/>
      <c r="Y1498" s="48"/>
      <c r="Z1498" s="47"/>
      <c r="AA1498" s="70">
        <v>1498</v>
      </c>
      <c r="AB1498" s="70"/>
      <c r="AC1498" s="71"/>
      <c r="AD1498" s="86" t="s">
        <v>25088</v>
      </c>
      <c r="AE1498" s="94" t="s">
        <v>25821</v>
      </c>
      <c r="AF1498" s="86">
        <v>120</v>
      </c>
      <c r="AG1498" s="86">
        <v>162</v>
      </c>
      <c r="AH1498" s="86">
        <v>3649</v>
      </c>
      <c r="AI1498" s="86">
        <v>0</v>
      </c>
      <c r="AJ1498" s="86">
        <v>162</v>
      </c>
      <c r="AK1498" s="86">
        <v>965</v>
      </c>
      <c r="AL1498" s="86" t="b">
        <v>0</v>
      </c>
      <c r="AM1498" s="89">
        <v>40233.589479166665</v>
      </c>
      <c r="AN1498" s="86" t="s">
        <v>26384</v>
      </c>
      <c r="AO1498" s="86" t="s">
        <v>27785</v>
      </c>
      <c r="AP1498" s="96" t="str">
        <f>HYPERLINK("https://t.co/UpSRZIQBhd")</f>
        <v>https://t.co/UpSRZIQBhd</v>
      </c>
      <c r="AQ1498" s="96" t="str">
        <f>HYPERLINK("https://linktr.ee/PIXTVHD")</f>
        <v>https://linktr.ee/PIXTVHD</v>
      </c>
      <c r="AR1498" s="86" t="s">
        <v>28904</v>
      </c>
      <c r="AS1498" s="86"/>
      <c r="AT1498" s="86"/>
      <c r="AU1498" s="86"/>
      <c r="AV1498" s="86"/>
      <c r="AW1498" s="96" t="str">
        <f>HYPERLINK("https://t.co/UpSRZIQBhd")</f>
        <v>https://t.co/UpSRZIQBhd</v>
      </c>
      <c r="AX1498" s="86" t="b">
        <v>0</v>
      </c>
      <c r="AY1498" s="86"/>
      <c r="AZ1498" s="86"/>
      <c r="BA1498" s="86" t="b">
        <v>0</v>
      </c>
      <c r="BB1498" s="86" t="b">
        <v>1</v>
      </c>
      <c r="BC1498" s="86" t="b">
        <v>0</v>
      </c>
      <c r="BD1498" s="86" t="b">
        <v>0</v>
      </c>
      <c r="BE1498" s="86" t="b">
        <v>0</v>
      </c>
      <c r="BF1498" s="86" t="b">
        <v>0</v>
      </c>
      <c r="BG1498" s="86" t="b">
        <v>0</v>
      </c>
      <c r="BH1498" s="96" t="str">
        <f>HYPERLINK("https://pbs.twimg.com/profile_banners/117089350/1648768090")</f>
        <v>https://pbs.twimg.com/profile_banners/117089350/1648768090</v>
      </c>
      <c r="BI1498" s="86"/>
      <c r="BJ1498" s="86" t="s">
        <v>29134</v>
      </c>
      <c r="BK1498" s="86" t="b">
        <v>0</v>
      </c>
      <c r="BL1498" s="86"/>
      <c r="BM1498" s="86" t="s">
        <v>66</v>
      </c>
      <c r="BN1498" s="86" t="s">
        <v>29136</v>
      </c>
      <c r="BO1498" s="96" t="str">
        <f>HYPERLINK("https://twitter.com/pixtvhd")</f>
        <v>https://twitter.com/pixtvhd</v>
      </c>
      <c r="BP1498" s="2"/>
    </row>
    <row r="1499" spans="1:68" x14ac:dyDescent="0.25">
      <c r="A1499" s="63" t="s">
        <v>1508</v>
      </c>
      <c r="B1499" s="64"/>
      <c r="C1499" s="64"/>
      <c r="D1499" s="65"/>
      <c r="E1499" s="67"/>
      <c r="F1499" s="111" t="str">
        <f>HYPERLINK("https://pbs.twimg.com/profile_images/1673901246057422851/0YuRxukL_normal.jpg")</f>
        <v>https://pbs.twimg.com/profile_images/1673901246057422851/0YuRxukL_normal.jpg</v>
      </c>
      <c r="G1499" s="64"/>
      <c r="H1499" s="68"/>
      <c r="I1499" s="69"/>
      <c r="J1499" s="69"/>
      <c r="K1499" s="68" t="s">
        <v>30632</v>
      </c>
      <c r="L1499" s="72"/>
      <c r="M1499" s="73"/>
      <c r="N1499" s="73"/>
      <c r="O1499" s="74"/>
      <c r="P1499" s="75"/>
      <c r="Q1499" s="75"/>
      <c r="R1499" s="102"/>
      <c r="S1499" s="102"/>
      <c r="T1499" s="102"/>
      <c r="U1499" s="102"/>
      <c r="V1499" s="48"/>
      <c r="W1499" s="48"/>
      <c r="X1499" s="48"/>
      <c r="Y1499" s="48"/>
      <c r="Z1499" s="47"/>
      <c r="AA1499" s="70">
        <v>1499</v>
      </c>
      <c r="AB1499" s="70"/>
      <c r="AC1499" s="71"/>
      <c r="AD1499" s="86" t="s">
        <v>25089</v>
      </c>
      <c r="AE1499" s="94" t="s">
        <v>22654</v>
      </c>
      <c r="AF1499" s="86">
        <v>375</v>
      </c>
      <c r="AG1499" s="86">
        <v>2356</v>
      </c>
      <c r="AH1499" s="86">
        <v>12600</v>
      </c>
      <c r="AI1499" s="86">
        <v>2</v>
      </c>
      <c r="AJ1499" s="86">
        <v>15005</v>
      </c>
      <c r="AK1499" s="86">
        <v>515</v>
      </c>
      <c r="AL1499" s="86" t="b">
        <v>0</v>
      </c>
      <c r="AM1499" s="89">
        <v>40478.190763888888</v>
      </c>
      <c r="AN1499" s="86" t="s">
        <v>26385</v>
      </c>
      <c r="AO1499" s="86" t="s">
        <v>27786</v>
      </c>
      <c r="AP1499" s="86"/>
      <c r="AQ1499" s="86"/>
      <c r="AR1499" s="86"/>
      <c r="AS1499" s="86"/>
      <c r="AT1499" s="86"/>
      <c r="AU1499" s="86"/>
      <c r="AV1499" s="86"/>
      <c r="AW1499" s="86"/>
      <c r="AX1499" s="86" t="b">
        <v>0</v>
      </c>
      <c r="AY1499" s="86"/>
      <c r="AZ1499" s="86"/>
      <c r="BA1499" s="86" t="b">
        <v>0</v>
      </c>
      <c r="BB1499" s="86" t="b">
        <v>0</v>
      </c>
      <c r="BC1499" s="86" t="b">
        <v>0</v>
      </c>
      <c r="BD1499" s="86" t="b">
        <v>0</v>
      </c>
      <c r="BE1499" s="86" t="b">
        <v>0</v>
      </c>
      <c r="BF1499" s="86" t="b">
        <v>0</v>
      </c>
      <c r="BG1499" s="86" t="b">
        <v>0</v>
      </c>
      <c r="BH1499" s="96" t="str">
        <f>HYPERLINK("https://pbs.twimg.com/profile_banners/208372570/1687923674")</f>
        <v>https://pbs.twimg.com/profile_banners/208372570/1687923674</v>
      </c>
      <c r="BI1499" s="86"/>
      <c r="BJ1499" s="86" t="s">
        <v>29134</v>
      </c>
      <c r="BK1499" s="86" t="b">
        <v>0</v>
      </c>
      <c r="BL1499" s="86"/>
      <c r="BM1499" s="86" t="s">
        <v>66</v>
      </c>
      <c r="BN1499" s="86" t="s">
        <v>29136</v>
      </c>
      <c r="BO1499" s="96" t="str">
        <f>HYPERLINK("https://twitter.com/brunno_brss")</f>
        <v>https://twitter.com/brunno_brss</v>
      </c>
      <c r="BP1499" s="2"/>
    </row>
    <row r="1500" spans="1:68" x14ac:dyDescent="0.25">
      <c r="A1500" s="63" t="s">
        <v>1509</v>
      </c>
      <c r="B1500" s="64"/>
      <c r="C1500" s="64"/>
      <c r="D1500" s="65"/>
      <c r="E1500" s="67"/>
      <c r="F1500" s="111" t="str">
        <f>HYPERLINK("https://pbs.twimg.com/profile_images/1598315149806403585/9y2WsFhd_normal.jpg")</f>
        <v>https://pbs.twimg.com/profile_images/1598315149806403585/9y2WsFhd_normal.jpg</v>
      </c>
      <c r="G1500" s="64"/>
      <c r="H1500" s="68"/>
      <c r="I1500" s="69"/>
      <c r="J1500" s="69"/>
      <c r="K1500" s="68" t="s">
        <v>30633</v>
      </c>
      <c r="L1500" s="72"/>
      <c r="M1500" s="73"/>
      <c r="N1500" s="73"/>
      <c r="O1500" s="74"/>
      <c r="P1500" s="75"/>
      <c r="Q1500" s="75"/>
      <c r="R1500" s="102"/>
      <c r="S1500" s="102"/>
      <c r="T1500" s="102"/>
      <c r="U1500" s="102"/>
      <c r="V1500" s="48"/>
      <c r="W1500" s="48"/>
      <c r="X1500" s="48"/>
      <c r="Y1500" s="48"/>
      <c r="Z1500" s="47"/>
      <c r="AA1500" s="70">
        <v>1500</v>
      </c>
      <c r="AB1500" s="70"/>
      <c r="AC1500" s="71"/>
      <c r="AD1500" s="86" t="s">
        <v>25090</v>
      </c>
      <c r="AE1500" s="94" t="s">
        <v>25822</v>
      </c>
      <c r="AF1500" s="86">
        <v>975</v>
      </c>
      <c r="AG1500" s="86">
        <v>141</v>
      </c>
      <c r="AH1500" s="86">
        <v>2664</v>
      </c>
      <c r="AI1500" s="86">
        <v>24</v>
      </c>
      <c r="AJ1500" s="86">
        <v>64</v>
      </c>
      <c r="AK1500" s="86">
        <v>487</v>
      </c>
      <c r="AL1500" s="86" t="b">
        <v>0</v>
      </c>
      <c r="AM1500" s="89">
        <v>40092.572025462963</v>
      </c>
      <c r="AN1500" s="86" t="s">
        <v>15374</v>
      </c>
      <c r="AO1500" s="86" t="s">
        <v>27787</v>
      </c>
      <c r="AP1500" s="96" t="str">
        <f>HYPERLINK("https://t.co/LM31nvjOOv")</f>
        <v>https://t.co/LM31nvjOOv</v>
      </c>
      <c r="AQ1500" s="96" t="str">
        <f>HYPERLINK("http://assespro-mg.org.br")</f>
        <v>http://assespro-mg.org.br</v>
      </c>
      <c r="AR1500" s="86" t="s">
        <v>28905</v>
      </c>
      <c r="AS1500" s="86"/>
      <c r="AT1500" s="86"/>
      <c r="AU1500" s="86"/>
      <c r="AV1500" s="86"/>
      <c r="AW1500" s="96" t="str">
        <f>HYPERLINK("https://t.co/LM31nvjOOv")</f>
        <v>https://t.co/LM31nvjOOv</v>
      </c>
      <c r="AX1500" s="86" t="b">
        <v>0</v>
      </c>
      <c r="AY1500" s="86"/>
      <c r="AZ1500" s="86"/>
      <c r="BA1500" s="86" t="b">
        <v>0</v>
      </c>
      <c r="BB1500" s="86" t="b">
        <v>1</v>
      </c>
      <c r="BC1500" s="86" t="b">
        <v>0</v>
      </c>
      <c r="BD1500" s="86" t="b">
        <v>0</v>
      </c>
      <c r="BE1500" s="86" t="b">
        <v>0</v>
      </c>
      <c r="BF1500" s="86" t="b">
        <v>0</v>
      </c>
      <c r="BG1500" s="86" t="b">
        <v>0</v>
      </c>
      <c r="BH1500" s="96" t="str">
        <f>HYPERLINK("https://pbs.twimg.com/profile_banners/80304926/1669903002")</f>
        <v>https://pbs.twimg.com/profile_banners/80304926/1669903002</v>
      </c>
      <c r="BI1500" s="86"/>
      <c r="BJ1500" s="86" t="s">
        <v>29134</v>
      </c>
      <c r="BK1500" s="86" t="b">
        <v>0</v>
      </c>
      <c r="BL1500" s="86"/>
      <c r="BM1500" s="86" t="s">
        <v>66</v>
      </c>
      <c r="BN1500" s="86" t="s">
        <v>29136</v>
      </c>
      <c r="BO1500" s="96" t="str">
        <f>HYPERLINK("https://twitter.com/assespromg")</f>
        <v>https://twitter.com/assespromg</v>
      </c>
      <c r="BP1500" s="2"/>
    </row>
    <row r="1501" spans="1:68" x14ac:dyDescent="0.25">
      <c r="A1501" s="63" t="s">
        <v>1510</v>
      </c>
      <c r="B1501" s="64"/>
      <c r="C1501" s="64"/>
      <c r="D1501" s="65"/>
      <c r="E1501" s="67"/>
      <c r="F1501" s="111" t="str">
        <f>HYPERLINK("https://pbs.twimg.com/profile_images/1659306912788119561/K6nfh0rS_normal.jpg")</f>
        <v>https://pbs.twimg.com/profile_images/1659306912788119561/K6nfh0rS_normal.jpg</v>
      </c>
      <c r="G1501" s="64"/>
      <c r="H1501" s="68"/>
      <c r="I1501" s="69"/>
      <c r="J1501" s="69"/>
      <c r="K1501" s="68" t="s">
        <v>30634</v>
      </c>
      <c r="L1501" s="72"/>
      <c r="M1501" s="73"/>
      <c r="N1501" s="73"/>
      <c r="O1501" s="74"/>
      <c r="P1501" s="75"/>
      <c r="Q1501" s="75"/>
      <c r="R1501" s="102"/>
      <c r="S1501" s="102"/>
      <c r="T1501" s="102"/>
      <c r="U1501" s="102"/>
      <c r="V1501" s="48"/>
      <c r="W1501" s="48"/>
      <c r="X1501" s="48"/>
      <c r="Y1501" s="48"/>
      <c r="Z1501" s="47"/>
      <c r="AA1501" s="70">
        <v>1501</v>
      </c>
      <c r="AB1501" s="70"/>
      <c r="AC1501" s="71"/>
      <c r="AD1501" s="86" t="s">
        <v>25091</v>
      </c>
      <c r="AE1501" s="94" t="s">
        <v>23542</v>
      </c>
      <c r="AF1501" s="86">
        <v>9</v>
      </c>
      <c r="AG1501" s="86">
        <v>91</v>
      </c>
      <c r="AH1501" s="86">
        <v>15</v>
      </c>
      <c r="AI1501" s="86">
        <v>0</v>
      </c>
      <c r="AJ1501" s="86">
        <v>74</v>
      </c>
      <c r="AK1501" s="86">
        <v>9</v>
      </c>
      <c r="AL1501" s="86" t="b">
        <v>0</v>
      </c>
      <c r="AM1501" s="89">
        <v>45064.883449074077</v>
      </c>
      <c r="AN1501" s="86" t="s">
        <v>26386</v>
      </c>
      <c r="AO1501" s="86" t="s">
        <v>27788</v>
      </c>
      <c r="AP1501" s="96" t="str">
        <f>HYPERLINK("https://t.co/4BEqKsfbZ9")</f>
        <v>https://t.co/4BEqKsfbZ9</v>
      </c>
      <c r="AQ1501" s="96" t="str">
        <f>HYPERLINK("https://viravirtual.com.br/")</f>
        <v>https://viravirtual.com.br/</v>
      </c>
      <c r="AR1501" s="86" t="s">
        <v>28906</v>
      </c>
      <c r="AS1501" s="86"/>
      <c r="AT1501" s="86"/>
      <c r="AU1501" s="86"/>
      <c r="AV1501" s="86"/>
      <c r="AW1501" s="96" t="str">
        <f>HYPERLINK("https://t.co/4BEqKsfbZ9")</f>
        <v>https://t.co/4BEqKsfbZ9</v>
      </c>
      <c r="AX1501" s="86" t="b">
        <v>0</v>
      </c>
      <c r="AY1501" s="86"/>
      <c r="AZ1501" s="86"/>
      <c r="BA1501" s="86" t="b">
        <v>0</v>
      </c>
      <c r="BB1501" s="86" t="b">
        <v>1</v>
      </c>
      <c r="BC1501" s="86" t="b">
        <v>1</v>
      </c>
      <c r="BD1501" s="86" t="b">
        <v>0</v>
      </c>
      <c r="BE1501" s="86" t="b">
        <v>0</v>
      </c>
      <c r="BF1501" s="86" t="b">
        <v>0</v>
      </c>
      <c r="BG1501" s="86" t="b">
        <v>0</v>
      </c>
      <c r="BH1501" s="96" t="str">
        <f>HYPERLINK("https://pbs.twimg.com/profile_banners/1659305584905125888/1685190417")</f>
        <v>https://pbs.twimg.com/profile_banners/1659305584905125888/1685190417</v>
      </c>
      <c r="BI1501" s="86"/>
      <c r="BJ1501" s="86" t="s">
        <v>29134</v>
      </c>
      <c r="BK1501" s="86" t="b">
        <v>0</v>
      </c>
      <c r="BL1501" s="86"/>
      <c r="BM1501" s="86" t="s">
        <v>66</v>
      </c>
      <c r="BN1501" s="86" t="s">
        <v>29136</v>
      </c>
      <c r="BO1501" s="96" t="str">
        <f>HYPERLINK("https://twitter.com/viravirtual")</f>
        <v>https://twitter.com/viravirtual</v>
      </c>
      <c r="BP1501" s="2"/>
    </row>
    <row r="1502" spans="1:68" x14ac:dyDescent="0.25">
      <c r="A1502" s="63" t="s">
        <v>1511</v>
      </c>
      <c r="B1502" s="64"/>
      <c r="C1502" s="64"/>
      <c r="D1502" s="65"/>
      <c r="E1502" s="67"/>
      <c r="F1502" s="111" t="str">
        <f>HYPERLINK("https://pbs.twimg.com/profile_images/1660979194396921859/YSQ4sKUQ_normal.jpg")</f>
        <v>https://pbs.twimg.com/profile_images/1660979194396921859/YSQ4sKUQ_normal.jpg</v>
      </c>
      <c r="G1502" s="64"/>
      <c r="H1502" s="68"/>
      <c r="I1502" s="69"/>
      <c r="J1502" s="69"/>
      <c r="K1502" s="68" t="s">
        <v>30635</v>
      </c>
      <c r="L1502" s="72"/>
      <c r="M1502" s="73"/>
      <c r="N1502" s="73"/>
      <c r="O1502" s="74"/>
      <c r="P1502" s="75"/>
      <c r="Q1502" s="75"/>
      <c r="R1502" s="102"/>
      <c r="S1502" s="102"/>
      <c r="T1502" s="102"/>
      <c r="U1502" s="102"/>
      <c r="V1502" s="48"/>
      <c r="W1502" s="48"/>
      <c r="X1502" s="48"/>
      <c r="Y1502" s="48"/>
      <c r="Z1502" s="47"/>
      <c r="AA1502" s="70">
        <v>1502</v>
      </c>
      <c r="AB1502" s="70"/>
      <c r="AC1502" s="71"/>
      <c r="AD1502" s="86" t="s">
        <v>25092</v>
      </c>
      <c r="AE1502" s="94" t="s">
        <v>25823</v>
      </c>
      <c r="AF1502" s="86">
        <v>36238</v>
      </c>
      <c r="AG1502" s="86">
        <v>1301</v>
      </c>
      <c r="AH1502" s="86">
        <v>13671</v>
      </c>
      <c r="AI1502" s="86">
        <v>40</v>
      </c>
      <c r="AJ1502" s="86">
        <v>66</v>
      </c>
      <c r="AK1502" s="86">
        <v>9910</v>
      </c>
      <c r="AL1502" s="86" t="b">
        <v>0</v>
      </c>
      <c r="AM1502" s="89">
        <v>39847.514699074076</v>
      </c>
      <c r="AN1502" s="86" t="s">
        <v>26387</v>
      </c>
      <c r="AO1502" s="86" t="s">
        <v>27789</v>
      </c>
      <c r="AP1502" s="96" t="str">
        <f>HYPERLINK("https://t.co/egdR4rKibg")</f>
        <v>https://t.co/egdR4rKibg</v>
      </c>
      <c r="AQ1502" s="96" t="str">
        <f>HYPERLINK("http://www.cm-moita.pt")</f>
        <v>http://www.cm-moita.pt</v>
      </c>
      <c r="AR1502" s="86" t="s">
        <v>8548</v>
      </c>
      <c r="AS1502" s="86"/>
      <c r="AT1502" s="86"/>
      <c r="AU1502" s="86"/>
      <c r="AV1502" s="86"/>
      <c r="AW1502" s="96" t="str">
        <f>HYPERLINK("https://t.co/egdR4rKibg")</f>
        <v>https://t.co/egdR4rKibg</v>
      </c>
      <c r="AX1502" s="86" t="b">
        <v>0</v>
      </c>
      <c r="AY1502" s="86"/>
      <c r="AZ1502" s="86"/>
      <c r="BA1502" s="86" t="b">
        <v>0</v>
      </c>
      <c r="BB1502" s="86" t="b">
        <v>1</v>
      </c>
      <c r="BC1502" s="86" t="b">
        <v>0</v>
      </c>
      <c r="BD1502" s="86" t="b">
        <v>0</v>
      </c>
      <c r="BE1502" s="86" t="b">
        <v>1</v>
      </c>
      <c r="BF1502" s="86" t="b">
        <v>0</v>
      </c>
      <c r="BG1502" s="86" t="b">
        <v>0</v>
      </c>
      <c r="BH1502" s="96" t="str">
        <f>HYPERLINK("https://pbs.twimg.com/profile_banners/19967197/1441293607")</f>
        <v>https://pbs.twimg.com/profile_banners/19967197/1441293607</v>
      </c>
      <c r="BI1502" s="86"/>
      <c r="BJ1502" s="86" t="s">
        <v>29134</v>
      </c>
      <c r="BK1502" s="86" t="b">
        <v>0</v>
      </c>
      <c r="BL1502" s="86"/>
      <c r="BM1502" s="86" t="s">
        <v>66</v>
      </c>
      <c r="BN1502" s="86" t="s">
        <v>29136</v>
      </c>
      <c r="BO1502" s="96" t="str">
        <f>HYPERLINK("https://twitter.com/cmmoita")</f>
        <v>https://twitter.com/cmmoita</v>
      </c>
      <c r="BP1502" s="2"/>
    </row>
    <row r="1503" spans="1:68" x14ac:dyDescent="0.25">
      <c r="A1503" s="63" t="s">
        <v>1512</v>
      </c>
      <c r="B1503" s="64"/>
      <c r="C1503" s="64"/>
      <c r="D1503" s="65"/>
      <c r="E1503" s="67"/>
      <c r="F1503" s="111" t="str">
        <f>HYPERLINK("https://pbs.twimg.com/profile_images/1619094323529744385/wybTkjmb_normal.jpg")</f>
        <v>https://pbs.twimg.com/profile_images/1619094323529744385/wybTkjmb_normal.jpg</v>
      </c>
      <c r="G1503" s="64"/>
      <c r="H1503" s="68"/>
      <c r="I1503" s="69"/>
      <c r="J1503" s="69"/>
      <c r="K1503" s="68" t="s">
        <v>30636</v>
      </c>
      <c r="L1503" s="72"/>
      <c r="M1503" s="73"/>
      <c r="N1503" s="73"/>
      <c r="O1503" s="74"/>
      <c r="P1503" s="75"/>
      <c r="Q1503" s="75"/>
      <c r="R1503" s="102"/>
      <c r="S1503" s="102"/>
      <c r="T1503" s="102"/>
      <c r="U1503" s="102"/>
      <c r="V1503" s="48"/>
      <c r="W1503" s="48"/>
      <c r="X1503" s="48"/>
      <c r="Y1503" s="48"/>
      <c r="Z1503" s="47"/>
      <c r="AA1503" s="70">
        <v>1503</v>
      </c>
      <c r="AB1503" s="70"/>
      <c r="AC1503" s="71"/>
      <c r="AD1503" s="86" t="s">
        <v>25093</v>
      </c>
      <c r="AE1503" s="94" t="s">
        <v>23543</v>
      </c>
      <c r="AF1503" s="86">
        <v>12</v>
      </c>
      <c r="AG1503" s="86">
        <v>40</v>
      </c>
      <c r="AH1503" s="86">
        <v>89</v>
      </c>
      <c r="AI1503" s="86">
        <v>2</v>
      </c>
      <c r="AJ1503" s="86">
        <v>310</v>
      </c>
      <c r="AK1503" s="86">
        <v>4</v>
      </c>
      <c r="AL1503" s="86" t="b">
        <v>0</v>
      </c>
      <c r="AM1503" s="89">
        <v>44473.751006944447</v>
      </c>
      <c r="AN1503" s="86" t="s">
        <v>15289</v>
      </c>
      <c r="AO1503" s="86" t="s">
        <v>27790</v>
      </c>
      <c r="AP1503" s="96" t="str">
        <f>HYPERLINK("https://t.co/vX5ulBbwu3")</f>
        <v>https://t.co/vX5ulBbwu3</v>
      </c>
      <c r="AQ1503" s="96" t="str">
        <f>HYPERLINK("http://www.eltoncopywriter.com")</f>
        <v>http://www.eltoncopywriter.com</v>
      </c>
      <c r="AR1503" s="86" t="s">
        <v>28907</v>
      </c>
      <c r="AS1503" s="86"/>
      <c r="AT1503" s="86"/>
      <c r="AU1503" s="86"/>
      <c r="AV1503" s="86"/>
      <c r="AW1503" s="96" t="str">
        <f>HYPERLINK("https://t.co/vX5ulBbwu3")</f>
        <v>https://t.co/vX5ulBbwu3</v>
      </c>
      <c r="AX1503" s="86" t="b">
        <v>0</v>
      </c>
      <c r="AY1503" s="86"/>
      <c r="AZ1503" s="86"/>
      <c r="BA1503" s="86" t="b">
        <v>0</v>
      </c>
      <c r="BB1503" s="86" t="b">
        <v>1</v>
      </c>
      <c r="BC1503" s="86" t="b">
        <v>1</v>
      </c>
      <c r="BD1503" s="86" t="b">
        <v>0</v>
      </c>
      <c r="BE1503" s="86" t="b">
        <v>0</v>
      </c>
      <c r="BF1503" s="86" t="b">
        <v>0</v>
      </c>
      <c r="BG1503" s="86" t="b">
        <v>0</v>
      </c>
      <c r="BH1503" s="96" t="str">
        <f>HYPERLINK("https://pbs.twimg.com/profile_banners/1445086359778103314/1674942612")</f>
        <v>https://pbs.twimg.com/profile_banners/1445086359778103314/1674942612</v>
      </c>
      <c r="BI1503" s="86"/>
      <c r="BJ1503" s="86" t="s">
        <v>29134</v>
      </c>
      <c r="BK1503" s="86" t="b">
        <v>0</v>
      </c>
      <c r="BL1503" s="86"/>
      <c r="BM1503" s="86" t="s">
        <v>66</v>
      </c>
      <c r="BN1503" s="86" t="s">
        <v>29136</v>
      </c>
      <c r="BO1503" s="96" t="str">
        <f>HYPERLINK("https://twitter.com/sxocopywriter")</f>
        <v>https://twitter.com/sxocopywriter</v>
      </c>
      <c r="BP1503" s="2"/>
    </row>
    <row r="1504" spans="1:68" x14ac:dyDescent="0.25">
      <c r="A1504" s="63" t="s">
        <v>1513</v>
      </c>
      <c r="B1504" s="64"/>
      <c r="C1504" s="64"/>
      <c r="D1504" s="65"/>
      <c r="E1504" s="67"/>
      <c r="F1504" s="111" t="str">
        <f>HYPERLINK("https://pbs.twimg.com/profile_images/1589225518708162562/HWQxRJwC_normal.jpg")</f>
        <v>https://pbs.twimg.com/profile_images/1589225518708162562/HWQxRJwC_normal.jpg</v>
      </c>
      <c r="G1504" s="64"/>
      <c r="H1504" s="68"/>
      <c r="I1504" s="69"/>
      <c r="J1504" s="69"/>
      <c r="K1504" s="68" t="s">
        <v>30637</v>
      </c>
      <c r="L1504" s="72"/>
      <c r="M1504" s="73"/>
      <c r="N1504" s="73"/>
      <c r="O1504" s="74"/>
      <c r="P1504" s="75"/>
      <c r="Q1504" s="75"/>
      <c r="R1504" s="102"/>
      <c r="S1504" s="102"/>
      <c r="T1504" s="102"/>
      <c r="U1504" s="102"/>
      <c r="V1504" s="48"/>
      <c r="W1504" s="48"/>
      <c r="X1504" s="48"/>
      <c r="Y1504" s="48"/>
      <c r="Z1504" s="47"/>
      <c r="AA1504" s="70">
        <v>1504</v>
      </c>
      <c r="AB1504" s="70"/>
      <c r="AC1504" s="71"/>
      <c r="AD1504" s="86" t="s">
        <v>25094</v>
      </c>
      <c r="AE1504" s="94" t="s">
        <v>22655</v>
      </c>
      <c r="AF1504" s="86">
        <v>3</v>
      </c>
      <c r="AG1504" s="86">
        <v>3</v>
      </c>
      <c r="AH1504" s="86">
        <v>207</v>
      </c>
      <c r="AI1504" s="86">
        <v>0</v>
      </c>
      <c r="AJ1504" s="86">
        <v>308</v>
      </c>
      <c r="AK1504" s="86">
        <v>168</v>
      </c>
      <c r="AL1504" s="86" t="b">
        <v>0</v>
      </c>
      <c r="AM1504" s="89">
        <v>44702.455613425926</v>
      </c>
      <c r="AN1504" s="86"/>
      <c r="AO1504" s="86"/>
      <c r="AP1504" s="86"/>
      <c r="AQ1504" s="86"/>
      <c r="AR1504" s="86"/>
      <c r="AS1504" s="86"/>
      <c r="AT1504" s="86"/>
      <c r="AU1504" s="86"/>
      <c r="AV1504" s="86"/>
      <c r="AW1504" s="86"/>
      <c r="AX1504" s="86" t="b">
        <v>0</v>
      </c>
      <c r="AY1504" s="86"/>
      <c r="AZ1504" s="86"/>
      <c r="BA1504" s="86" t="b">
        <v>0</v>
      </c>
      <c r="BB1504" s="86" t="b">
        <v>1</v>
      </c>
      <c r="BC1504" s="86" t="b">
        <v>1</v>
      </c>
      <c r="BD1504" s="86" t="b">
        <v>0</v>
      </c>
      <c r="BE1504" s="86" t="b">
        <v>0</v>
      </c>
      <c r="BF1504" s="86" t="b">
        <v>0</v>
      </c>
      <c r="BG1504" s="86" t="b">
        <v>0</v>
      </c>
      <c r="BH1504" s="96" t="str">
        <f>HYPERLINK("https://pbs.twimg.com/profile_banners/1527966158950998018/1667735911")</f>
        <v>https://pbs.twimg.com/profile_banners/1527966158950998018/1667735911</v>
      </c>
      <c r="BI1504" s="86"/>
      <c r="BJ1504" s="86" t="s">
        <v>29134</v>
      </c>
      <c r="BK1504" s="86" t="b">
        <v>0</v>
      </c>
      <c r="BL1504" s="86"/>
      <c r="BM1504" s="86" t="s">
        <v>66</v>
      </c>
      <c r="BN1504" s="86" t="s">
        <v>29136</v>
      </c>
      <c r="BO1504" s="96" t="str">
        <f>HYPERLINK("https://twitter.com/santaguedaroma")</f>
        <v>https://twitter.com/santaguedaroma</v>
      </c>
      <c r="BP1504" s="2"/>
    </row>
    <row r="1505" spans="1:68" x14ac:dyDescent="0.25">
      <c r="A1505" s="63" t="s">
        <v>1514</v>
      </c>
      <c r="B1505" s="64"/>
      <c r="C1505" s="64"/>
      <c r="D1505" s="65"/>
      <c r="E1505" s="67"/>
      <c r="F1505" s="111" t="str">
        <f>HYPERLINK("https://pbs.twimg.com/profile_images/804299616/dalmo-com-a-corneta_normal.jpg")</f>
        <v>https://pbs.twimg.com/profile_images/804299616/dalmo-com-a-corneta_normal.jpg</v>
      </c>
      <c r="G1505" s="64"/>
      <c r="H1505" s="68"/>
      <c r="I1505" s="69"/>
      <c r="J1505" s="69"/>
      <c r="K1505" s="68" t="s">
        <v>30638</v>
      </c>
      <c r="L1505" s="72"/>
      <c r="M1505" s="73"/>
      <c r="N1505" s="73"/>
      <c r="O1505" s="74"/>
      <c r="P1505" s="75"/>
      <c r="Q1505" s="75"/>
      <c r="R1505" s="102"/>
      <c r="S1505" s="102"/>
      <c r="T1505" s="102"/>
      <c r="U1505" s="102"/>
      <c r="V1505" s="48"/>
      <c r="W1505" s="48"/>
      <c r="X1505" s="48"/>
      <c r="Y1505" s="48"/>
      <c r="Z1505" s="47"/>
      <c r="AA1505" s="70">
        <v>1505</v>
      </c>
      <c r="AB1505" s="70"/>
      <c r="AC1505" s="71"/>
      <c r="AD1505" s="86" t="s">
        <v>25095</v>
      </c>
      <c r="AE1505" s="94" t="s">
        <v>25824</v>
      </c>
      <c r="AF1505" s="86">
        <v>16575</v>
      </c>
      <c r="AG1505" s="86">
        <v>181</v>
      </c>
      <c r="AH1505" s="86">
        <v>123331</v>
      </c>
      <c r="AI1505" s="86">
        <v>140</v>
      </c>
      <c r="AJ1505" s="86">
        <v>663</v>
      </c>
      <c r="AK1505" s="86">
        <v>41195</v>
      </c>
      <c r="AL1505" s="86" t="b">
        <v>0</v>
      </c>
      <c r="AM1505" s="89">
        <v>39776.796944444446</v>
      </c>
      <c r="AN1505" s="86" t="s">
        <v>26388</v>
      </c>
      <c r="AO1505" s="86" t="s">
        <v>27791</v>
      </c>
      <c r="AP1505" s="96" t="str">
        <f>HYPERLINK("https://t.co/nTLtrvv75q")</f>
        <v>https://t.co/nTLtrvv75q</v>
      </c>
      <c r="AQ1505" s="96" t="str">
        <f>HYPERLINK("http://www.diarinho.net")</f>
        <v>http://www.diarinho.net</v>
      </c>
      <c r="AR1505" s="86" t="s">
        <v>8549</v>
      </c>
      <c r="AS1505" s="86"/>
      <c r="AT1505" s="86"/>
      <c r="AU1505" s="86"/>
      <c r="AV1505" s="86">
        <v>1.7066905047573299E+18</v>
      </c>
      <c r="AW1505" s="96" t="str">
        <f>HYPERLINK("https://t.co/nTLtrvv75q")</f>
        <v>https://t.co/nTLtrvv75q</v>
      </c>
      <c r="AX1505" s="86" t="b">
        <v>1</v>
      </c>
      <c r="AY1505" s="86"/>
      <c r="AZ1505" s="86"/>
      <c r="BA1505" s="86" t="b">
        <v>0</v>
      </c>
      <c r="BB1505" s="86" t="b">
        <v>1</v>
      </c>
      <c r="BC1505" s="86" t="b">
        <v>0</v>
      </c>
      <c r="BD1505" s="86" t="b">
        <v>0</v>
      </c>
      <c r="BE1505" s="86" t="b">
        <v>1</v>
      </c>
      <c r="BF1505" s="86" t="b">
        <v>0</v>
      </c>
      <c r="BG1505" s="86" t="b">
        <v>1</v>
      </c>
      <c r="BH1505" s="96" t="str">
        <f>HYPERLINK("https://pbs.twimg.com/profile_banners/17598409/1678718329")</f>
        <v>https://pbs.twimg.com/profile_banners/17598409/1678718329</v>
      </c>
      <c r="BI1505" s="86" t="s">
        <v>29133</v>
      </c>
      <c r="BJ1505" s="86" t="s">
        <v>29134</v>
      </c>
      <c r="BK1505" s="86" t="b">
        <v>0</v>
      </c>
      <c r="BL1505" s="86"/>
      <c r="BM1505" s="86" t="s">
        <v>66</v>
      </c>
      <c r="BN1505" s="86" t="s">
        <v>29136</v>
      </c>
      <c r="BO1505" s="96" t="str">
        <f>HYPERLINK("https://twitter.com/diarinho")</f>
        <v>https://twitter.com/diarinho</v>
      </c>
      <c r="BP1505" s="2"/>
    </row>
    <row r="1506" spans="1:68" x14ac:dyDescent="0.25">
      <c r="A1506" s="63" t="s">
        <v>1515</v>
      </c>
      <c r="B1506" s="64"/>
      <c r="C1506" s="64"/>
      <c r="D1506" s="65"/>
      <c r="E1506" s="67"/>
      <c r="F1506" s="111" t="str">
        <f>HYPERLINK("https://pbs.twimg.com/profile_images/1567924031994609664/ZBC3Orzl_normal.png")</f>
        <v>https://pbs.twimg.com/profile_images/1567924031994609664/ZBC3Orzl_normal.png</v>
      </c>
      <c r="G1506" s="64"/>
      <c r="H1506" s="68"/>
      <c r="I1506" s="69"/>
      <c r="J1506" s="69"/>
      <c r="K1506" s="68" t="s">
        <v>30639</v>
      </c>
      <c r="L1506" s="72"/>
      <c r="M1506" s="73"/>
      <c r="N1506" s="73"/>
      <c r="O1506" s="74"/>
      <c r="P1506" s="75"/>
      <c r="Q1506" s="75"/>
      <c r="R1506" s="102"/>
      <c r="S1506" s="102"/>
      <c r="T1506" s="102"/>
      <c r="U1506" s="102"/>
      <c r="V1506" s="48"/>
      <c r="W1506" s="48"/>
      <c r="X1506" s="48"/>
      <c r="Y1506" s="48"/>
      <c r="Z1506" s="47"/>
      <c r="AA1506" s="70">
        <v>1506</v>
      </c>
      <c r="AB1506" s="70"/>
      <c r="AC1506" s="71"/>
      <c r="AD1506" s="86" t="s">
        <v>25096</v>
      </c>
      <c r="AE1506" s="94" t="s">
        <v>25825</v>
      </c>
      <c r="AF1506" s="86">
        <v>597</v>
      </c>
      <c r="AG1506" s="86">
        <v>29</v>
      </c>
      <c r="AH1506" s="86">
        <v>1496</v>
      </c>
      <c r="AI1506" s="86">
        <v>7</v>
      </c>
      <c r="AJ1506" s="86">
        <v>41</v>
      </c>
      <c r="AK1506" s="86">
        <v>1115</v>
      </c>
      <c r="AL1506" s="86" t="b">
        <v>0</v>
      </c>
      <c r="AM1506" s="89">
        <v>41715.893877314818</v>
      </c>
      <c r="AN1506" s="86"/>
      <c r="AO1506" s="86"/>
      <c r="AP1506" s="96" t="str">
        <f>HYPERLINK("https://t.co/RhgFuyTBvp")</f>
        <v>https://t.co/RhgFuyTBvp</v>
      </c>
      <c r="AQ1506" s="96" t="str">
        <f>HYPERLINK("http://www.agerio.com.br")</f>
        <v>http://www.agerio.com.br</v>
      </c>
      <c r="AR1506" s="86" t="s">
        <v>28908</v>
      </c>
      <c r="AS1506" s="86"/>
      <c r="AT1506" s="86"/>
      <c r="AU1506" s="86"/>
      <c r="AV1506" s="86"/>
      <c r="AW1506" s="96" t="str">
        <f>HYPERLINK("https://t.co/RhgFuyTBvp")</f>
        <v>https://t.co/RhgFuyTBvp</v>
      </c>
      <c r="AX1506" s="86" t="b">
        <v>0</v>
      </c>
      <c r="AY1506" s="86"/>
      <c r="AZ1506" s="86"/>
      <c r="BA1506" s="86" t="b">
        <v>0</v>
      </c>
      <c r="BB1506" s="86" t="b">
        <v>0</v>
      </c>
      <c r="BC1506" s="86" t="b">
        <v>0</v>
      </c>
      <c r="BD1506" s="86" t="b">
        <v>0</v>
      </c>
      <c r="BE1506" s="86" t="b">
        <v>0</v>
      </c>
      <c r="BF1506" s="86" t="b">
        <v>0</v>
      </c>
      <c r="BG1506" s="86" t="b">
        <v>0</v>
      </c>
      <c r="BH1506" s="96" t="str">
        <f>HYPERLINK("https://pbs.twimg.com/profile_banners/2395121634/1663191941")</f>
        <v>https://pbs.twimg.com/profile_banners/2395121634/1663191941</v>
      </c>
      <c r="BI1506" s="86"/>
      <c r="BJ1506" s="86" t="s">
        <v>29134</v>
      </c>
      <c r="BK1506" s="86" t="b">
        <v>0</v>
      </c>
      <c r="BL1506" s="86"/>
      <c r="BM1506" s="86" t="s">
        <v>66</v>
      </c>
      <c r="BN1506" s="86" t="s">
        <v>29136</v>
      </c>
      <c r="BO1506" s="96" t="str">
        <f>HYPERLINK("https://twitter.com/age_rio")</f>
        <v>https://twitter.com/age_rio</v>
      </c>
      <c r="BP1506" s="2"/>
    </row>
    <row r="1507" spans="1:68" x14ac:dyDescent="0.25">
      <c r="A1507" s="63" t="s">
        <v>1516</v>
      </c>
      <c r="B1507" s="64"/>
      <c r="C1507" s="64"/>
      <c r="D1507" s="65"/>
      <c r="E1507" s="67"/>
      <c r="F1507" s="111" t="str">
        <f>HYPERLINK("https://pbs.twimg.com/profile_images/1643650662599630849/B-X_Dx9A_normal.png")</f>
        <v>https://pbs.twimg.com/profile_images/1643650662599630849/B-X_Dx9A_normal.png</v>
      </c>
      <c r="G1507" s="64"/>
      <c r="H1507" s="68"/>
      <c r="I1507" s="69"/>
      <c r="J1507" s="69"/>
      <c r="K1507" s="68" t="s">
        <v>30640</v>
      </c>
      <c r="L1507" s="72"/>
      <c r="M1507" s="73"/>
      <c r="N1507" s="73"/>
      <c r="O1507" s="74"/>
      <c r="P1507" s="75"/>
      <c r="Q1507" s="75"/>
      <c r="R1507" s="102"/>
      <c r="S1507" s="102"/>
      <c r="T1507" s="102"/>
      <c r="U1507" s="102"/>
      <c r="V1507" s="48"/>
      <c r="W1507" s="48"/>
      <c r="X1507" s="48"/>
      <c r="Y1507" s="48"/>
      <c r="Z1507" s="47"/>
      <c r="AA1507" s="70">
        <v>1507</v>
      </c>
      <c r="AB1507" s="70"/>
      <c r="AC1507" s="71"/>
      <c r="AD1507" s="86" t="s">
        <v>25097</v>
      </c>
      <c r="AE1507" s="94" t="s">
        <v>23544</v>
      </c>
      <c r="AF1507" s="86">
        <v>0</v>
      </c>
      <c r="AG1507" s="86">
        <v>6</v>
      </c>
      <c r="AH1507" s="86">
        <v>100</v>
      </c>
      <c r="AI1507" s="86">
        <v>0</v>
      </c>
      <c r="AJ1507" s="86">
        <v>100</v>
      </c>
      <c r="AK1507" s="86">
        <v>51</v>
      </c>
      <c r="AL1507" s="86" t="b">
        <v>0</v>
      </c>
      <c r="AM1507" s="89">
        <v>45021.683206018519</v>
      </c>
      <c r="AN1507" s="86"/>
      <c r="AO1507" s="86" t="s">
        <v>27792</v>
      </c>
      <c r="AP1507" s="96" t="str">
        <f>HYPERLINK("https://t.co/6gphrjEBQJ")</f>
        <v>https://t.co/6gphrjEBQJ</v>
      </c>
      <c r="AQ1507" s="96" t="str">
        <f>HYPERLINK("http://www.savoa.com.br")</f>
        <v>http://www.savoa.com.br</v>
      </c>
      <c r="AR1507" s="86" t="s">
        <v>28909</v>
      </c>
      <c r="AS1507" s="86"/>
      <c r="AT1507" s="86"/>
      <c r="AU1507" s="86"/>
      <c r="AV1507" s="86"/>
      <c r="AW1507" s="96" t="str">
        <f>HYPERLINK("https://t.co/6gphrjEBQJ")</f>
        <v>https://t.co/6gphrjEBQJ</v>
      </c>
      <c r="AX1507" s="86" t="b">
        <v>0</v>
      </c>
      <c r="AY1507" s="86"/>
      <c r="AZ1507" s="86"/>
      <c r="BA1507" s="86" t="b">
        <v>0</v>
      </c>
      <c r="BB1507" s="86" t="b">
        <v>1</v>
      </c>
      <c r="BC1507" s="86" t="b">
        <v>1</v>
      </c>
      <c r="BD1507" s="86" t="b">
        <v>0</v>
      </c>
      <c r="BE1507" s="86" t="b">
        <v>0</v>
      </c>
      <c r="BF1507" s="86" t="b">
        <v>0</v>
      </c>
      <c r="BG1507" s="86" t="b">
        <v>0</v>
      </c>
      <c r="BH1507" s="96" t="str">
        <f>HYPERLINK("https://pbs.twimg.com/profile_banners/1643650440335089664/1681143955")</f>
        <v>https://pbs.twimg.com/profile_banners/1643650440335089664/1681143955</v>
      </c>
      <c r="BI1507" s="86"/>
      <c r="BJ1507" s="86" t="s">
        <v>29134</v>
      </c>
      <c r="BK1507" s="86" t="b">
        <v>0</v>
      </c>
      <c r="BL1507" s="86"/>
      <c r="BM1507" s="86" t="s">
        <v>66</v>
      </c>
      <c r="BN1507" s="86" t="s">
        <v>29136</v>
      </c>
      <c r="BO1507" s="96" t="str">
        <f>HYPERLINK("https://twitter.com/savoastudio")</f>
        <v>https://twitter.com/savoastudio</v>
      </c>
      <c r="BP1507" s="2"/>
    </row>
    <row r="1508" spans="1:68" x14ac:dyDescent="0.25">
      <c r="A1508" s="63" t="s">
        <v>1517</v>
      </c>
      <c r="B1508" s="64"/>
      <c r="C1508" s="64"/>
      <c r="D1508" s="65"/>
      <c r="E1508" s="67"/>
      <c r="F1508" s="111" t="str">
        <f>HYPERLINK("https://pbs.twimg.com/profile_images/1623428557165805570/qPSeAJyA_normal.jpg")</f>
        <v>https://pbs.twimg.com/profile_images/1623428557165805570/qPSeAJyA_normal.jpg</v>
      </c>
      <c r="G1508" s="64"/>
      <c r="H1508" s="68"/>
      <c r="I1508" s="69"/>
      <c r="J1508" s="69"/>
      <c r="K1508" s="68" t="s">
        <v>30641</v>
      </c>
      <c r="L1508" s="72"/>
      <c r="M1508" s="73"/>
      <c r="N1508" s="73"/>
      <c r="O1508" s="74"/>
      <c r="P1508" s="75"/>
      <c r="Q1508" s="75"/>
      <c r="R1508" s="102"/>
      <c r="S1508" s="102"/>
      <c r="T1508" s="102"/>
      <c r="U1508" s="102"/>
      <c r="V1508" s="48"/>
      <c r="W1508" s="48"/>
      <c r="X1508" s="48"/>
      <c r="Y1508" s="48"/>
      <c r="Z1508" s="47"/>
      <c r="AA1508" s="70">
        <v>1508</v>
      </c>
      <c r="AB1508" s="70"/>
      <c r="AC1508" s="71"/>
      <c r="AD1508" s="86" t="s">
        <v>25098</v>
      </c>
      <c r="AE1508" s="94" t="s">
        <v>22656</v>
      </c>
      <c r="AF1508" s="86">
        <v>15710</v>
      </c>
      <c r="AG1508" s="86">
        <v>1461</v>
      </c>
      <c r="AH1508" s="86">
        <v>4365</v>
      </c>
      <c r="AI1508" s="86">
        <v>293</v>
      </c>
      <c r="AJ1508" s="86">
        <v>683</v>
      </c>
      <c r="AK1508" s="86">
        <v>1349</v>
      </c>
      <c r="AL1508" s="86" t="b">
        <v>0</v>
      </c>
      <c r="AM1508" s="89">
        <v>39976.454074074078</v>
      </c>
      <c r="AN1508" s="86" t="s">
        <v>15425</v>
      </c>
      <c r="AO1508" s="86" t="s">
        <v>27793</v>
      </c>
      <c r="AP1508" s="96" t="str">
        <f>HYPERLINK("https://t.co/yqY465xUfe")</f>
        <v>https://t.co/yqY465xUfe</v>
      </c>
      <c r="AQ1508" s="96" t="str">
        <f>HYPERLINK("https://fas-amazonia.org/")</f>
        <v>https://fas-amazonia.org/</v>
      </c>
      <c r="AR1508" s="86" t="s">
        <v>8550</v>
      </c>
      <c r="AS1508" s="86"/>
      <c r="AT1508" s="86"/>
      <c r="AU1508" s="86"/>
      <c r="AV1508" s="86"/>
      <c r="AW1508" s="96" t="str">
        <f>HYPERLINK("https://t.co/yqY465xUfe")</f>
        <v>https://t.co/yqY465xUfe</v>
      </c>
      <c r="AX1508" s="86" t="b">
        <v>0</v>
      </c>
      <c r="AY1508" s="86"/>
      <c r="AZ1508" s="86"/>
      <c r="BA1508" s="86" t="b">
        <v>0</v>
      </c>
      <c r="BB1508" s="86" t="b">
        <v>1</v>
      </c>
      <c r="BC1508" s="86" t="b">
        <v>0</v>
      </c>
      <c r="BD1508" s="86" t="b">
        <v>0</v>
      </c>
      <c r="BE1508" s="86" t="b">
        <v>1</v>
      </c>
      <c r="BF1508" s="86" t="b">
        <v>0</v>
      </c>
      <c r="BG1508" s="86" t="b">
        <v>0</v>
      </c>
      <c r="BH1508" s="96" t="str">
        <f>HYPERLINK("https://pbs.twimg.com/profile_banners/46627824/1675890507")</f>
        <v>https://pbs.twimg.com/profile_banners/46627824/1675890507</v>
      </c>
      <c r="BI1508" s="86"/>
      <c r="BJ1508" s="86" t="s">
        <v>29134</v>
      </c>
      <c r="BK1508" s="86" t="b">
        <v>0</v>
      </c>
      <c r="BL1508" s="86"/>
      <c r="BM1508" s="86" t="s">
        <v>66</v>
      </c>
      <c r="BN1508" s="86" t="s">
        <v>29136</v>
      </c>
      <c r="BO1508" s="96" t="str">
        <f>HYPERLINK("https://twitter.com/fasamazonia")</f>
        <v>https://twitter.com/fasamazonia</v>
      </c>
      <c r="BP1508" s="2"/>
    </row>
    <row r="1509" spans="1:68" x14ac:dyDescent="0.25">
      <c r="A1509" s="63" t="s">
        <v>1518</v>
      </c>
      <c r="B1509" s="64"/>
      <c r="C1509" s="64"/>
      <c r="D1509" s="65"/>
      <c r="E1509" s="67"/>
      <c r="F1509" s="111" t="str">
        <f>HYPERLINK("https://pbs.twimg.com/profile_images/1674437944973590528/qKnm5o9b_normal.jpg")</f>
        <v>https://pbs.twimg.com/profile_images/1674437944973590528/qKnm5o9b_normal.jpg</v>
      </c>
      <c r="G1509" s="64"/>
      <c r="H1509" s="68"/>
      <c r="I1509" s="69"/>
      <c r="J1509" s="69"/>
      <c r="K1509" s="68" t="s">
        <v>30642</v>
      </c>
      <c r="L1509" s="72"/>
      <c r="M1509" s="73"/>
      <c r="N1509" s="73"/>
      <c r="O1509" s="74"/>
      <c r="P1509" s="75"/>
      <c r="Q1509" s="75"/>
      <c r="R1509" s="102"/>
      <c r="S1509" s="102"/>
      <c r="T1509" s="102"/>
      <c r="U1509" s="102"/>
      <c r="V1509" s="48"/>
      <c r="W1509" s="48"/>
      <c r="X1509" s="48"/>
      <c r="Y1509" s="48"/>
      <c r="Z1509" s="47"/>
      <c r="AA1509" s="70">
        <v>1509</v>
      </c>
      <c r="AB1509" s="70"/>
      <c r="AC1509" s="71"/>
      <c r="AD1509" s="86" t="s">
        <v>25099</v>
      </c>
      <c r="AE1509" s="94" t="s">
        <v>23545</v>
      </c>
      <c r="AF1509" s="86">
        <v>2</v>
      </c>
      <c r="AG1509" s="86">
        <v>14</v>
      </c>
      <c r="AH1509" s="86">
        <v>21</v>
      </c>
      <c r="AI1509" s="86">
        <v>0</v>
      </c>
      <c r="AJ1509" s="86">
        <v>7</v>
      </c>
      <c r="AK1509" s="86">
        <v>8</v>
      </c>
      <c r="AL1509" s="86" t="b">
        <v>0</v>
      </c>
      <c r="AM1509" s="89">
        <v>45106.639756944445</v>
      </c>
      <c r="AN1509" s="86" t="s">
        <v>15234</v>
      </c>
      <c r="AO1509" s="86" t="s">
        <v>27794</v>
      </c>
      <c r="AP1509" s="96" t="str">
        <f>HYPERLINK("https://t.co/CvTuBnEJPF")</f>
        <v>https://t.co/CvTuBnEJPF</v>
      </c>
      <c r="AQ1509" s="96" t="str">
        <f>HYPERLINK("https://yes.technology/pt-BR")</f>
        <v>https://yes.technology/pt-BR</v>
      </c>
      <c r="AR1509" s="86" t="s">
        <v>28910</v>
      </c>
      <c r="AS1509" s="86"/>
      <c r="AT1509" s="86"/>
      <c r="AU1509" s="86"/>
      <c r="AV1509" s="86"/>
      <c r="AW1509" s="96" t="str">
        <f>HYPERLINK("https://t.co/CvTuBnEJPF")</f>
        <v>https://t.co/CvTuBnEJPF</v>
      </c>
      <c r="AX1509" s="86" t="b">
        <v>0</v>
      </c>
      <c r="AY1509" s="86"/>
      <c r="AZ1509" s="86"/>
      <c r="BA1509" s="86" t="b">
        <v>0</v>
      </c>
      <c r="BB1509" s="86" t="b">
        <v>1</v>
      </c>
      <c r="BC1509" s="86" t="b">
        <v>1</v>
      </c>
      <c r="BD1509" s="86" t="b">
        <v>0</v>
      </c>
      <c r="BE1509" s="86" t="b">
        <v>0</v>
      </c>
      <c r="BF1509" s="86" t="b">
        <v>0</v>
      </c>
      <c r="BG1509" s="86" t="b">
        <v>0</v>
      </c>
      <c r="BH1509" s="96" t="str">
        <f>HYPERLINK("https://pbs.twimg.com/profile_banners/1674437744498724864/1688056159")</f>
        <v>https://pbs.twimg.com/profile_banners/1674437744498724864/1688056159</v>
      </c>
      <c r="BI1509" s="86"/>
      <c r="BJ1509" s="86" t="s">
        <v>29134</v>
      </c>
      <c r="BK1509" s="86" t="b">
        <v>0</v>
      </c>
      <c r="BL1509" s="86"/>
      <c r="BM1509" s="86" t="s">
        <v>66</v>
      </c>
      <c r="BN1509" s="86" t="s">
        <v>29136</v>
      </c>
      <c r="BO1509" s="96" t="str">
        <f>HYPERLINK("https://twitter.com/yesecosystem")</f>
        <v>https://twitter.com/yesecosystem</v>
      </c>
      <c r="BP1509" s="2"/>
    </row>
    <row r="1510" spans="1:68" x14ac:dyDescent="0.25">
      <c r="A1510" s="63" t="s">
        <v>1519</v>
      </c>
      <c r="B1510" s="64"/>
      <c r="C1510" s="64"/>
      <c r="D1510" s="65"/>
      <c r="E1510" s="67"/>
      <c r="F1510" s="111" t="str">
        <f>HYPERLINK("https://pbs.twimg.com/profile_images/1697669736987774976/hPYVCLWP_normal.jpg")</f>
        <v>https://pbs.twimg.com/profile_images/1697669736987774976/hPYVCLWP_normal.jpg</v>
      </c>
      <c r="G1510" s="64"/>
      <c r="H1510" s="68"/>
      <c r="I1510" s="69"/>
      <c r="J1510" s="69"/>
      <c r="K1510" s="68" t="s">
        <v>30643</v>
      </c>
      <c r="L1510" s="72"/>
      <c r="M1510" s="73"/>
      <c r="N1510" s="73"/>
      <c r="O1510" s="74"/>
      <c r="P1510" s="75"/>
      <c r="Q1510" s="75"/>
      <c r="R1510" s="102"/>
      <c r="S1510" s="102"/>
      <c r="T1510" s="102"/>
      <c r="U1510" s="102"/>
      <c r="V1510" s="48"/>
      <c r="W1510" s="48"/>
      <c r="X1510" s="48"/>
      <c r="Y1510" s="48"/>
      <c r="Z1510" s="47"/>
      <c r="AA1510" s="70">
        <v>1510</v>
      </c>
      <c r="AB1510" s="70"/>
      <c r="AC1510" s="71"/>
      <c r="AD1510" s="86" t="s">
        <v>25100</v>
      </c>
      <c r="AE1510" s="94" t="s">
        <v>23546</v>
      </c>
      <c r="AF1510" s="86">
        <v>106</v>
      </c>
      <c r="AG1510" s="86">
        <v>105</v>
      </c>
      <c r="AH1510" s="86">
        <v>519</v>
      </c>
      <c r="AI1510" s="86">
        <v>0</v>
      </c>
      <c r="AJ1510" s="86">
        <v>207</v>
      </c>
      <c r="AK1510" s="86">
        <v>27</v>
      </c>
      <c r="AL1510" s="86" t="b">
        <v>0</v>
      </c>
      <c r="AM1510" s="89">
        <v>44311.54614583333</v>
      </c>
      <c r="AN1510" s="86" t="s">
        <v>26389</v>
      </c>
      <c r="AO1510" s="86" t="s">
        <v>27795</v>
      </c>
      <c r="AP1510" s="96" t="str">
        <f>HYPERLINK("https://t.co/sNsrad0c6W")</f>
        <v>https://t.co/sNsrad0c6W</v>
      </c>
      <c r="AQ1510" s="96" t="str">
        <f>HYPERLINK("https://instagram.com/uillian.sales?igshid=YmMyMTA2M2Y=")</f>
        <v>https://instagram.com/uillian.sales?igshid=YmMyMTA2M2Y=</v>
      </c>
      <c r="AR1510" s="86" t="s">
        <v>28911</v>
      </c>
      <c r="AS1510" s="86"/>
      <c r="AT1510" s="86"/>
      <c r="AU1510" s="86"/>
      <c r="AV1510" s="86"/>
      <c r="AW1510" s="96" t="str">
        <f>HYPERLINK("https://t.co/sNsrad0c6W")</f>
        <v>https://t.co/sNsrad0c6W</v>
      </c>
      <c r="AX1510" s="86" t="b">
        <v>0</v>
      </c>
      <c r="AY1510" s="86"/>
      <c r="AZ1510" s="86"/>
      <c r="BA1510" s="86" t="b">
        <v>0</v>
      </c>
      <c r="BB1510" s="86" t="b">
        <v>1</v>
      </c>
      <c r="BC1510" s="86" t="b">
        <v>1</v>
      </c>
      <c r="BD1510" s="86" t="b">
        <v>0</v>
      </c>
      <c r="BE1510" s="86" t="b">
        <v>0</v>
      </c>
      <c r="BF1510" s="86" t="b">
        <v>0</v>
      </c>
      <c r="BG1510" s="86" t="b">
        <v>0</v>
      </c>
      <c r="BH1510" s="96" t="str">
        <f>HYPERLINK("https://pbs.twimg.com/profile_banners/1386305539848740866/1684628884")</f>
        <v>https://pbs.twimg.com/profile_banners/1386305539848740866/1684628884</v>
      </c>
      <c r="BI1510" s="86"/>
      <c r="BJ1510" s="86" t="s">
        <v>29134</v>
      </c>
      <c r="BK1510" s="86" t="b">
        <v>0</v>
      </c>
      <c r="BL1510" s="86"/>
      <c r="BM1510" s="86" t="s">
        <v>66</v>
      </c>
      <c r="BN1510" s="86" t="s">
        <v>29136</v>
      </c>
      <c r="BO1510" s="96" t="str">
        <f>HYPERLINK("https://twitter.com/salesuillian")</f>
        <v>https://twitter.com/salesuillian</v>
      </c>
      <c r="BP1510" s="2"/>
    </row>
    <row r="1511" spans="1:68" x14ac:dyDescent="0.25">
      <c r="A1511" s="63" t="s">
        <v>1520</v>
      </c>
      <c r="B1511" s="64"/>
      <c r="C1511" s="64"/>
      <c r="D1511" s="65"/>
      <c r="E1511" s="67"/>
      <c r="F1511" s="111" t="str">
        <f>HYPERLINK("https://pbs.twimg.com/profile_images/1430339112695914500/WU-hHP28_normal.jpg")</f>
        <v>https://pbs.twimg.com/profile_images/1430339112695914500/WU-hHP28_normal.jpg</v>
      </c>
      <c r="G1511" s="64"/>
      <c r="H1511" s="68"/>
      <c r="I1511" s="69"/>
      <c r="J1511" s="69"/>
      <c r="K1511" s="68" t="s">
        <v>30644</v>
      </c>
      <c r="L1511" s="72"/>
      <c r="M1511" s="73"/>
      <c r="N1511" s="73"/>
      <c r="O1511" s="74"/>
      <c r="P1511" s="75"/>
      <c r="Q1511" s="75"/>
      <c r="R1511" s="102"/>
      <c r="S1511" s="102"/>
      <c r="T1511" s="102"/>
      <c r="U1511" s="102"/>
      <c r="V1511" s="48"/>
      <c r="W1511" s="48"/>
      <c r="X1511" s="48"/>
      <c r="Y1511" s="48"/>
      <c r="Z1511" s="47"/>
      <c r="AA1511" s="70">
        <v>1511</v>
      </c>
      <c r="AB1511" s="70"/>
      <c r="AC1511" s="71"/>
      <c r="AD1511" s="86" t="s">
        <v>25101</v>
      </c>
      <c r="AE1511" s="94" t="s">
        <v>23547</v>
      </c>
      <c r="AF1511" s="86">
        <v>55</v>
      </c>
      <c r="AG1511" s="86">
        <v>1</v>
      </c>
      <c r="AH1511" s="86">
        <v>1444</v>
      </c>
      <c r="AI1511" s="86">
        <v>0</v>
      </c>
      <c r="AJ1511" s="86">
        <v>0</v>
      </c>
      <c r="AK1511" s="86">
        <v>1444</v>
      </c>
      <c r="AL1511" s="86" t="b">
        <v>0</v>
      </c>
      <c r="AM1511" s="89">
        <v>44433.055196759262</v>
      </c>
      <c r="AN1511" s="86"/>
      <c r="AO1511" s="86" t="s">
        <v>27796</v>
      </c>
      <c r="AP1511" s="86"/>
      <c r="AQ1511" s="86"/>
      <c r="AR1511" s="86"/>
      <c r="AS1511" s="86"/>
      <c r="AT1511" s="86"/>
      <c r="AU1511" s="86"/>
      <c r="AV1511" s="86"/>
      <c r="AW1511" s="86"/>
      <c r="AX1511" s="86" t="b">
        <v>0</v>
      </c>
      <c r="AY1511" s="86"/>
      <c r="AZ1511" s="86"/>
      <c r="BA1511" s="86" t="b">
        <v>0</v>
      </c>
      <c r="BB1511" s="86" t="b">
        <v>1</v>
      </c>
      <c r="BC1511" s="86" t="b">
        <v>1</v>
      </c>
      <c r="BD1511" s="86" t="b">
        <v>0</v>
      </c>
      <c r="BE1511" s="86" t="b">
        <v>0</v>
      </c>
      <c r="BF1511" s="86" t="b">
        <v>0</v>
      </c>
      <c r="BG1511" s="86" t="b">
        <v>0</v>
      </c>
      <c r="BH1511" s="86"/>
      <c r="BI1511" s="86"/>
      <c r="BJ1511" s="86" t="s">
        <v>29134</v>
      </c>
      <c r="BK1511" s="86" t="b">
        <v>0</v>
      </c>
      <c r="BL1511" s="86"/>
      <c r="BM1511" s="86" t="s">
        <v>66</v>
      </c>
      <c r="BN1511" s="86" t="s">
        <v>29136</v>
      </c>
      <c r="BO1511" s="96" t="str">
        <f>HYPERLINK("https://twitter.com/ismael_colosi")</f>
        <v>https://twitter.com/ismael_colosi</v>
      </c>
      <c r="BP1511" s="2"/>
    </row>
    <row r="1512" spans="1:68" x14ac:dyDescent="0.25">
      <c r="A1512" s="63" t="s">
        <v>1521</v>
      </c>
      <c r="B1512" s="64"/>
      <c r="C1512" s="64"/>
      <c r="D1512" s="65"/>
      <c r="E1512" s="67"/>
      <c r="F1512" s="111" t="str">
        <f>HYPERLINK("https://pbs.twimg.com/profile_images/1267276895323914241/p64nDPwC_normal.jpg")</f>
        <v>https://pbs.twimg.com/profile_images/1267276895323914241/p64nDPwC_normal.jpg</v>
      </c>
      <c r="G1512" s="64"/>
      <c r="H1512" s="68"/>
      <c r="I1512" s="69"/>
      <c r="J1512" s="69"/>
      <c r="K1512" s="68" t="s">
        <v>30645</v>
      </c>
      <c r="L1512" s="72"/>
      <c r="M1512" s="73"/>
      <c r="N1512" s="73"/>
      <c r="O1512" s="74"/>
      <c r="P1512" s="75"/>
      <c r="Q1512" s="75"/>
      <c r="R1512" s="102"/>
      <c r="S1512" s="102"/>
      <c r="T1512" s="102"/>
      <c r="U1512" s="102"/>
      <c r="V1512" s="48"/>
      <c r="W1512" s="48"/>
      <c r="X1512" s="48"/>
      <c r="Y1512" s="48"/>
      <c r="Z1512" s="47"/>
      <c r="AA1512" s="70">
        <v>1512</v>
      </c>
      <c r="AB1512" s="70"/>
      <c r="AC1512" s="71"/>
      <c r="AD1512" s="86" t="s">
        <v>25102</v>
      </c>
      <c r="AE1512" s="94" t="s">
        <v>23548</v>
      </c>
      <c r="AF1512" s="86">
        <v>75</v>
      </c>
      <c r="AG1512" s="86">
        <v>12</v>
      </c>
      <c r="AH1512" s="86">
        <v>165</v>
      </c>
      <c r="AI1512" s="86">
        <v>0</v>
      </c>
      <c r="AJ1512" s="86">
        <v>30</v>
      </c>
      <c r="AK1512" s="86">
        <v>101</v>
      </c>
      <c r="AL1512" s="86" t="b">
        <v>0</v>
      </c>
      <c r="AM1512" s="89">
        <v>43144.210578703707</v>
      </c>
      <c r="AN1512" s="86" t="s">
        <v>26390</v>
      </c>
      <c r="AO1512" s="86" t="s">
        <v>27797</v>
      </c>
      <c r="AP1512" s="96" t="str">
        <f>HYPERLINK("https://t.co/M4rJnkKP31")</f>
        <v>https://t.co/M4rJnkKP31</v>
      </c>
      <c r="AQ1512" s="96" t="str">
        <f>HYPERLINK("http://www.jfpolitics.com")</f>
        <v>http://www.jfpolitics.com</v>
      </c>
      <c r="AR1512" s="86" t="s">
        <v>8551</v>
      </c>
      <c r="AS1512" s="96" t="str">
        <f>HYPERLINK("https://t.co/Ds4JthOPxu")</f>
        <v>https://t.co/Ds4JthOPxu</v>
      </c>
      <c r="AT1512" s="96" t="str">
        <f>HYPERLINK("http://cutt.ly/unite")</f>
        <v>http://cutt.ly/unite</v>
      </c>
      <c r="AU1512" s="86" t="s">
        <v>29125</v>
      </c>
      <c r="AV1512" s="86">
        <v>1.6988387684619599E+18</v>
      </c>
      <c r="AW1512" s="96" t="str">
        <f>HYPERLINK("https://t.co/M4rJnkKP31")</f>
        <v>https://t.co/M4rJnkKP31</v>
      </c>
      <c r="AX1512" s="86" t="b">
        <v>0</v>
      </c>
      <c r="AY1512" s="86"/>
      <c r="AZ1512" s="86"/>
      <c r="BA1512" s="86" t="b">
        <v>0</v>
      </c>
      <c r="BB1512" s="86" t="b">
        <v>1</v>
      </c>
      <c r="BC1512" s="86" t="b">
        <v>0</v>
      </c>
      <c r="BD1512" s="86" t="b">
        <v>0</v>
      </c>
      <c r="BE1512" s="86" t="b">
        <v>0</v>
      </c>
      <c r="BF1512" s="86" t="b">
        <v>0</v>
      </c>
      <c r="BG1512" s="86" t="b">
        <v>0</v>
      </c>
      <c r="BH1512" s="96" t="str">
        <f>HYPERLINK("https://pbs.twimg.com/profile_banners/963277362916884480/1590977511")</f>
        <v>https://pbs.twimg.com/profile_banners/963277362916884480/1590977511</v>
      </c>
      <c r="BI1512" s="86"/>
      <c r="BJ1512" s="86" t="s">
        <v>29134</v>
      </c>
      <c r="BK1512" s="86" t="b">
        <v>0</v>
      </c>
      <c r="BL1512" s="86"/>
      <c r="BM1512" s="86" t="s">
        <v>66</v>
      </c>
      <c r="BN1512" s="86" t="s">
        <v>29136</v>
      </c>
      <c r="BO1512" s="96" t="str">
        <f>HYPERLINK("https://twitter.com/jfpoliticsunite")</f>
        <v>https://twitter.com/jfpoliticsunite</v>
      </c>
      <c r="BP1512" s="2"/>
    </row>
    <row r="1513" spans="1:68" x14ac:dyDescent="0.25">
      <c r="A1513" s="63" t="s">
        <v>1826</v>
      </c>
      <c r="B1513" s="64"/>
      <c r="C1513" s="64"/>
      <c r="D1513" s="65"/>
      <c r="E1513" s="67"/>
      <c r="F1513" s="111" t="str">
        <f>HYPERLINK("https://pbs.twimg.com/profile_images/1425066559815536642/lp2ogOmt_normal.jpg")</f>
        <v>https://pbs.twimg.com/profile_images/1425066559815536642/lp2ogOmt_normal.jpg</v>
      </c>
      <c r="G1513" s="64"/>
      <c r="H1513" s="68"/>
      <c r="I1513" s="69"/>
      <c r="J1513" s="69"/>
      <c r="K1513" s="68" t="s">
        <v>30646</v>
      </c>
      <c r="L1513" s="72"/>
      <c r="M1513" s="73"/>
      <c r="N1513" s="73"/>
      <c r="O1513" s="74"/>
      <c r="P1513" s="75"/>
      <c r="Q1513" s="75"/>
      <c r="R1513" s="102"/>
      <c r="S1513" s="102"/>
      <c r="T1513" s="102"/>
      <c r="U1513" s="102"/>
      <c r="V1513" s="48"/>
      <c r="W1513" s="48"/>
      <c r="X1513" s="48"/>
      <c r="Y1513" s="48"/>
      <c r="Z1513" s="47"/>
      <c r="AA1513" s="70">
        <v>1513</v>
      </c>
      <c r="AB1513" s="70"/>
      <c r="AC1513" s="71"/>
      <c r="AD1513" s="86" t="s">
        <v>25103</v>
      </c>
      <c r="AE1513" s="94" t="s">
        <v>25826</v>
      </c>
      <c r="AF1513" s="86">
        <v>16</v>
      </c>
      <c r="AG1513" s="86">
        <v>129</v>
      </c>
      <c r="AH1513" s="86">
        <v>2</v>
      </c>
      <c r="AI1513" s="86">
        <v>0</v>
      </c>
      <c r="AJ1513" s="86">
        <v>11</v>
      </c>
      <c r="AK1513" s="86">
        <v>1</v>
      </c>
      <c r="AL1513" s="86" t="b">
        <v>0</v>
      </c>
      <c r="AM1513" s="89">
        <v>44418.50582175926</v>
      </c>
      <c r="AN1513" s="86"/>
      <c r="AO1513" s="86" t="s">
        <v>27798</v>
      </c>
      <c r="AP1513" s="86"/>
      <c r="AQ1513" s="86"/>
      <c r="AR1513" s="86"/>
      <c r="AS1513" s="86"/>
      <c r="AT1513" s="86"/>
      <c r="AU1513" s="86"/>
      <c r="AV1513" s="86">
        <v>1.4250716549552699E+18</v>
      </c>
      <c r="AW1513" s="86"/>
      <c r="AX1513" s="86" t="b">
        <v>0</v>
      </c>
      <c r="AY1513" s="86"/>
      <c r="AZ1513" s="86"/>
      <c r="BA1513" s="86" t="b">
        <v>1</v>
      </c>
      <c r="BB1513" s="86" t="b">
        <v>1</v>
      </c>
      <c r="BC1513" s="86" t="b">
        <v>1</v>
      </c>
      <c r="BD1513" s="86" t="b">
        <v>0</v>
      </c>
      <c r="BE1513" s="86" t="b">
        <v>0</v>
      </c>
      <c r="BF1513" s="86" t="b">
        <v>0</v>
      </c>
      <c r="BG1513" s="86" t="b">
        <v>0</v>
      </c>
      <c r="BH1513" s="96" t="str">
        <f>HYPERLINK("https://pbs.twimg.com/profile_banners/1425066466060144641/1628598201")</f>
        <v>https://pbs.twimg.com/profile_banners/1425066466060144641/1628598201</v>
      </c>
      <c r="BI1513" s="86"/>
      <c r="BJ1513" s="86" t="s">
        <v>29134</v>
      </c>
      <c r="BK1513" s="86" t="b">
        <v>0</v>
      </c>
      <c r="BL1513" s="86"/>
      <c r="BM1513" s="86" t="s">
        <v>65</v>
      </c>
      <c r="BN1513" s="86" t="s">
        <v>29136</v>
      </c>
      <c r="BO1513" s="96" t="str">
        <f>HYPERLINK("https://twitter.com/marxismobr")</f>
        <v>https://twitter.com/marxismobr</v>
      </c>
      <c r="BP1513" s="2"/>
    </row>
    <row r="1514" spans="1:68" x14ac:dyDescent="0.25">
      <c r="A1514" s="63" t="s">
        <v>1827</v>
      </c>
      <c r="B1514" s="64"/>
      <c r="C1514" s="64"/>
      <c r="D1514" s="65"/>
      <c r="E1514" s="67"/>
      <c r="F1514" s="111" t="str">
        <f>HYPERLINK("https://pbs.twimg.com/profile_images/1344247999829041154/0zEspUZr_normal.jpg")</f>
        <v>https://pbs.twimg.com/profile_images/1344247999829041154/0zEspUZr_normal.jpg</v>
      </c>
      <c r="G1514" s="64"/>
      <c r="H1514" s="68"/>
      <c r="I1514" s="69"/>
      <c r="J1514" s="69"/>
      <c r="K1514" s="68" t="s">
        <v>30647</v>
      </c>
      <c r="L1514" s="72"/>
      <c r="M1514" s="73"/>
      <c r="N1514" s="73"/>
      <c r="O1514" s="74"/>
      <c r="P1514" s="75"/>
      <c r="Q1514" s="75"/>
      <c r="R1514" s="102"/>
      <c r="S1514" s="102"/>
      <c r="T1514" s="102"/>
      <c r="U1514" s="102"/>
      <c r="V1514" s="48"/>
      <c r="W1514" s="48"/>
      <c r="X1514" s="48"/>
      <c r="Y1514" s="48"/>
      <c r="Z1514" s="47"/>
      <c r="AA1514" s="70">
        <v>1514</v>
      </c>
      <c r="AB1514" s="70"/>
      <c r="AC1514" s="71"/>
      <c r="AD1514" s="86" t="s">
        <v>25104</v>
      </c>
      <c r="AE1514" s="94" t="s">
        <v>25827</v>
      </c>
      <c r="AF1514" s="86">
        <v>110</v>
      </c>
      <c r="AG1514" s="86">
        <v>79</v>
      </c>
      <c r="AH1514" s="86">
        <v>191</v>
      </c>
      <c r="AI1514" s="86">
        <v>1</v>
      </c>
      <c r="AJ1514" s="86">
        <v>39</v>
      </c>
      <c r="AK1514" s="86">
        <v>0</v>
      </c>
      <c r="AL1514" s="86" t="b">
        <v>0</v>
      </c>
      <c r="AM1514" s="89">
        <v>43095.70684027778</v>
      </c>
      <c r="AN1514" s="86" t="s">
        <v>26127</v>
      </c>
      <c r="AO1514" s="86" t="s">
        <v>27799</v>
      </c>
      <c r="AP1514" s="96" t="str">
        <f>HYPERLINK("https://t.co/02kvGc6ww6")</f>
        <v>https://t.co/02kvGc6ww6</v>
      </c>
      <c r="AQ1514" s="96" t="str">
        <f>HYPERLINK("https://sistemas.uft.edu.br/periodicos/index.php/campo")</f>
        <v>https://sistemas.uft.edu.br/periodicos/index.php/campo</v>
      </c>
      <c r="AR1514" s="86" t="s">
        <v>28912</v>
      </c>
      <c r="AS1514" s="86"/>
      <c r="AT1514" s="86"/>
      <c r="AU1514" s="86"/>
      <c r="AV1514" s="86"/>
      <c r="AW1514" s="96" t="str">
        <f>HYPERLINK("https://t.co/02kvGc6ww6")</f>
        <v>https://t.co/02kvGc6ww6</v>
      </c>
      <c r="AX1514" s="86" t="b">
        <v>0</v>
      </c>
      <c r="AY1514" s="86"/>
      <c r="AZ1514" s="86"/>
      <c r="BA1514" s="86" t="b">
        <v>0</v>
      </c>
      <c r="BB1514" s="86" t="b">
        <v>0</v>
      </c>
      <c r="BC1514" s="86" t="b">
        <v>1</v>
      </c>
      <c r="BD1514" s="86" t="b">
        <v>0</v>
      </c>
      <c r="BE1514" s="86" t="b">
        <v>0</v>
      </c>
      <c r="BF1514" s="86" t="b">
        <v>0</v>
      </c>
      <c r="BG1514" s="86" t="b">
        <v>0</v>
      </c>
      <c r="BH1514" s="96" t="str">
        <f>HYPERLINK("https://pbs.twimg.com/profile_banners/945700195068768261/1609328674")</f>
        <v>https://pbs.twimg.com/profile_banners/945700195068768261/1609328674</v>
      </c>
      <c r="BI1514" s="86"/>
      <c r="BJ1514" s="86" t="s">
        <v>29134</v>
      </c>
      <c r="BK1514" s="86" t="b">
        <v>0</v>
      </c>
      <c r="BL1514" s="86"/>
      <c r="BM1514" s="86" t="s">
        <v>65</v>
      </c>
      <c r="BN1514" s="86" t="s">
        <v>29136</v>
      </c>
      <c r="BO1514" s="96" t="str">
        <f>HYPERLINK("https://twitter.com/rbecampo")</f>
        <v>https://twitter.com/rbecampo</v>
      </c>
      <c r="BP1514" s="2"/>
    </row>
    <row r="1515" spans="1:68" x14ac:dyDescent="0.25">
      <c r="A1515" s="63" t="s">
        <v>1828</v>
      </c>
      <c r="B1515" s="64"/>
      <c r="C1515" s="64"/>
      <c r="D1515" s="65"/>
      <c r="E1515" s="67"/>
      <c r="F1515" s="111" t="str">
        <f>HYPERLINK("https://pbs.twimg.com/profile_images/1508989764271316992/QgrP__eg_normal.jpg")</f>
        <v>https://pbs.twimg.com/profile_images/1508989764271316992/QgrP__eg_normal.jpg</v>
      </c>
      <c r="G1515" s="64"/>
      <c r="H1515" s="68"/>
      <c r="I1515" s="69"/>
      <c r="J1515" s="69"/>
      <c r="K1515" s="68" t="s">
        <v>30648</v>
      </c>
      <c r="L1515" s="72"/>
      <c r="M1515" s="73"/>
      <c r="N1515" s="73"/>
      <c r="O1515" s="74"/>
      <c r="P1515" s="75"/>
      <c r="Q1515" s="75"/>
      <c r="R1515" s="102"/>
      <c r="S1515" s="102"/>
      <c r="T1515" s="102"/>
      <c r="U1515" s="102"/>
      <c r="V1515" s="48"/>
      <c r="W1515" s="48"/>
      <c r="X1515" s="48"/>
      <c r="Y1515" s="48"/>
      <c r="Z1515" s="47"/>
      <c r="AA1515" s="70">
        <v>1515</v>
      </c>
      <c r="AB1515" s="70"/>
      <c r="AC1515" s="71"/>
      <c r="AD1515" s="86" t="s">
        <v>25105</v>
      </c>
      <c r="AE1515" s="94" t="s">
        <v>25828</v>
      </c>
      <c r="AF1515" s="86">
        <v>7</v>
      </c>
      <c r="AG1515" s="86">
        <v>8</v>
      </c>
      <c r="AH1515" s="86">
        <v>3</v>
      </c>
      <c r="AI1515" s="86">
        <v>0</v>
      </c>
      <c r="AJ1515" s="86">
        <v>8</v>
      </c>
      <c r="AK1515" s="86">
        <v>2</v>
      </c>
      <c r="AL1515" s="86" t="b">
        <v>0</v>
      </c>
      <c r="AM1515" s="89">
        <v>44650.089525462965</v>
      </c>
      <c r="AN1515" s="86"/>
      <c r="AO1515" s="86" t="s">
        <v>27800</v>
      </c>
      <c r="AP1515" s="86"/>
      <c r="AQ1515" s="86"/>
      <c r="AR1515" s="86"/>
      <c r="AS1515" s="86"/>
      <c r="AT1515" s="86"/>
      <c r="AU1515" s="86"/>
      <c r="AV1515" s="86"/>
      <c r="AW1515" s="86"/>
      <c r="AX1515" s="86" t="b">
        <v>0</v>
      </c>
      <c r="AY1515" s="86"/>
      <c r="AZ1515" s="86"/>
      <c r="BA1515" s="86" t="b">
        <v>0</v>
      </c>
      <c r="BB1515" s="86" t="b">
        <v>1</v>
      </c>
      <c r="BC1515" s="86" t="b">
        <v>1</v>
      </c>
      <c r="BD1515" s="86" t="b">
        <v>0</v>
      </c>
      <c r="BE1515" s="86" t="b">
        <v>0</v>
      </c>
      <c r="BF1515" s="86" t="b">
        <v>0</v>
      </c>
      <c r="BG1515" s="86" t="b">
        <v>0</v>
      </c>
      <c r="BH1515" s="86"/>
      <c r="BI1515" s="86"/>
      <c r="BJ1515" s="86" t="s">
        <v>29134</v>
      </c>
      <c r="BK1515" s="86" t="b">
        <v>0</v>
      </c>
      <c r="BL1515" s="86"/>
      <c r="BM1515" s="86" t="s">
        <v>65</v>
      </c>
      <c r="BN1515" s="86" t="s">
        <v>29136</v>
      </c>
      <c r="BO1515" s="96" t="str">
        <f>HYPERLINK("https://twitter.com/marx_brasil")</f>
        <v>https://twitter.com/marx_brasil</v>
      </c>
      <c r="BP1515" s="2"/>
    </row>
    <row r="1516" spans="1:68" x14ac:dyDescent="0.25">
      <c r="A1516" s="63" t="s">
        <v>1829</v>
      </c>
      <c r="B1516" s="64"/>
      <c r="C1516" s="64"/>
      <c r="D1516" s="65"/>
      <c r="E1516" s="67"/>
      <c r="F1516" s="111" t="str">
        <f>HYPERLINK("https://pbs.twimg.com/profile_images/1511090122602823686/EhO8dwYm_normal.jpg")</f>
        <v>https://pbs.twimg.com/profile_images/1511090122602823686/EhO8dwYm_normal.jpg</v>
      </c>
      <c r="G1516" s="64"/>
      <c r="H1516" s="68"/>
      <c r="I1516" s="69"/>
      <c r="J1516" s="69"/>
      <c r="K1516" s="68" t="s">
        <v>30649</v>
      </c>
      <c r="L1516" s="72"/>
      <c r="M1516" s="73"/>
      <c r="N1516" s="73"/>
      <c r="O1516" s="74"/>
      <c r="P1516" s="75"/>
      <c r="Q1516" s="75"/>
      <c r="R1516" s="102"/>
      <c r="S1516" s="102"/>
      <c r="T1516" s="102"/>
      <c r="U1516" s="102"/>
      <c r="V1516" s="48"/>
      <c r="W1516" s="48"/>
      <c r="X1516" s="48"/>
      <c r="Y1516" s="48"/>
      <c r="Z1516" s="47"/>
      <c r="AA1516" s="70">
        <v>1516</v>
      </c>
      <c r="AB1516" s="70"/>
      <c r="AC1516" s="71"/>
      <c r="AD1516" s="86" t="s">
        <v>25106</v>
      </c>
      <c r="AE1516" s="94" t="s">
        <v>25829</v>
      </c>
      <c r="AF1516" s="86">
        <v>8888</v>
      </c>
      <c r="AG1516" s="86">
        <v>615</v>
      </c>
      <c r="AH1516" s="86">
        <v>26197</v>
      </c>
      <c r="AI1516" s="86">
        <v>163</v>
      </c>
      <c r="AJ1516" s="86">
        <v>1192</v>
      </c>
      <c r="AK1516" s="86">
        <v>3486</v>
      </c>
      <c r="AL1516" s="86" t="b">
        <v>0</v>
      </c>
      <c r="AM1516" s="89">
        <v>39945.936863425923</v>
      </c>
      <c r="AN1516" s="86" t="s">
        <v>25925</v>
      </c>
      <c r="AO1516" s="86" t="s">
        <v>27801</v>
      </c>
      <c r="AP1516" s="96" t="str">
        <f>HYPERLINK("https://t.co/M3MgX6z04d")</f>
        <v>https://t.co/M3MgX6z04d</v>
      </c>
      <c r="AQ1516" s="96" t="str">
        <f>HYPERLINK("http://www.ufmg.br/radio")</f>
        <v>http://www.ufmg.br/radio</v>
      </c>
      <c r="AR1516" s="86" t="s">
        <v>28913</v>
      </c>
      <c r="AS1516" s="86"/>
      <c r="AT1516" s="86"/>
      <c r="AU1516" s="86"/>
      <c r="AV1516" s="86"/>
      <c r="AW1516" s="96" t="str">
        <f>HYPERLINK("https://t.co/M3MgX6z04d")</f>
        <v>https://t.co/M3MgX6z04d</v>
      </c>
      <c r="AX1516" s="86" t="b">
        <v>0</v>
      </c>
      <c r="AY1516" s="86"/>
      <c r="AZ1516" s="86"/>
      <c r="BA1516" s="86" t="b">
        <v>0</v>
      </c>
      <c r="BB1516" s="86" t="b">
        <v>1</v>
      </c>
      <c r="BC1516" s="86" t="b">
        <v>0</v>
      </c>
      <c r="BD1516" s="86" t="b">
        <v>0</v>
      </c>
      <c r="BE1516" s="86" t="b">
        <v>1</v>
      </c>
      <c r="BF1516" s="86" t="b">
        <v>0</v>
      </c>
      <c r="BG1516" s="86" t="b">
        <v>0</v>
      </c>
      <c r="BH1516" s="96" t="str">
        <f>HYPERLINK("https://pbs.twimg.com/profile_banners/39614127/1408727900")</f>
        <v>https://pbs.twimg.com/profile_banners/39614127/1408727900</v>
      </c>
      <c r="BI1516" s="86"/>
      <c r="BJ1516" s="86" t="s">
        <v>29134</v>
      </c>
      <c r="BK1516" s="86" t="b">
        <v>0</v>
      </c>
      <c r="BL1516" s="86"/>
      <c r="BM1516" s="86" t="s">
        <v>65</v>
      </c>
      <c r="BN1516" s="86" t="s">
        <v>29136</v>
      </c>
      <c r="BO1516" s="96" t="str">
        <f>HYPERLINK("https://twitter.com/ufmgeducativa")</f>
        <v>https://twitter.com/ufmgeducativa</v>
      </c>
      <c r="BP1516" s="2"/>
    </row>
    <row r="1517" spans="1:68" x14ac:dyDescent="0.25">
      <c r="A1517" s="63" t="s">
        <v>1830</v>
      </c>
      <c r="B1517" s="64"/>
      <c r="C1517" s="64"/>
      <c r="D1517" s="65"/>
      <c r="E1517" s="67"/>
      <c r="F1517" s="111" t="str">
        <f>HYPERLINK("https://pbs.twimg.com/profile_images/1674871791867551774/3FkVkw8Q_normal.jpg")</f>
        <v>https://pbs.twimg.com/profile_images/1674871791867551774/3FkVkw8Q_normal.jpg</v>
      </c>
      <c r="G1517" s="64"/>
      <c r="H1517" s="68"/>
      <c r="I1517" s="69"/>
      <c r="J1517" s="69"/>
      <c r="K1517" s="68" t="s">
        <v>30650</v>
      </c>
      <c r="L1517" s="72"/>
      <c r="M1517" s="73"/>
      <c r="N1517" s="73"/>
      <c r="O1517" s="74"/>
      <c r="P1517" s="75"/>
      <c r="Q1517" s="75"/>
      <c r="R1517" s="102"/>
      <c r="S1517" s="102"/>
      <c r="T1517" s="102"/>
      <c r="U1517" s="102"/>
      <c r="V1517" s="48"/>
      <c r="W1517" s="48"/>
      <c r="X1517" s="48"/>
      <c r="Y1517" s="48"/>
      <c r="Z1517" s="47"/>
      <c r="AA1517" s="70">
        <v>1517</v>
      </c>
      <c r="AB1517" s="70"/>
      <c r="AC1517" s="71"/>
      <c r="AD1517" s="86" t="s">
        <v>25107</v>
      </c>
      <c r="AE1517" s="94" t="s">
        <v>25830</v>
      </c>
      <c r="AF1517" s="86">
        <v>73804</v>
      </c>
      <c r="AG1517" s="86">
        <v>20</v>
      </c>
      <c r="AH1517" s="86">
        <v>12803</v>
      </c>
      <c r="AI1517" s="86">
        <v>235</v>
      </c>
      <c r="AJ1517" s="86">
        <v>2981</v>
      </c>
      <c r="AK1517" s="86">
        <v>2245</v>
      </c>
      <c r="AL1517" s="86" t="b">
        <v>0</v>
      </c>
      <c r="AM1517" s="89">
        <v>39907.818414351852</v>
      </c>
      <c r="AN1517" s="86" t="s">
        <v>15234</v>
      </c>
      <c r="AO1517" s="86" t="s">
        <v>27802</v>
      </c>
      <c r="AP1517" s="96" t="str">
        <f>HYPERLINK("https://t.co/rADazbbckO")</f>
        <v>https://t.co/rADazbbckO</v>
      </c>
      <c r="AQ1517" s="96" t="str">
        <f>HYPERLINK("http://www.unisinos.br")</f>
        <v>http://www.unisinos.br</v>
      </c>
      <c r="AR1517" s="86" t="s">
        <v>28914</v>
      </c>
      <c r="AS1517" s="86"/>
      <c r="AT1517" s="86"/>
      <c r="AU1517" s="86"/>
      <c r="AV1517" s="86"/>
      <c r="AW1517" s="96" t="str">
        <f>HYPERLINK("https://t.co/rADazbbckO")</f>
        <v>https://t.co/rADazbbckO</v>
      </c>
      <c r="AX1517" s="86" t="b">
        <v>0</v>
      </c>
      <c r="AY1517" s="86"/>
      <c r="AZ1517" s="86"/>
      <c r="BA1517" s="86" t="b">
        <v>1</v>
      </c>
      <c r="BB1517" s="86" t="b">
        <v>1</v>
      </c>
      <c r="BC1517" s="86" t="b">
        <v>0</v>
      </c>
      <c r="BD1517" s="86" t="b">
        <v>0</v>
      </c>
      <c r="BE1517" s="86" t="b">
        <v>1</v>
      </c>
      <c r="BF1517" s="86" t="b">
        <v>0</v>
      </c>
      <c r="BG1517" s="86" t="b">
        <v>0</v>
      </c>
      <c r="BH1517" s="96" t="str">
        <f>HYPERLINK("https://pbs.twimg.com/profile_banners/28855413/1688155528")</f>
        <v>https://pbs.twimg.com/profile_banners/28855413/1688155528</v>
      </c>
      <c r="BI1517" s="86"/>
      <c r="BJ1517" s="86" t="s">
        <v>29134</v>
      </c>
      <c r="BK1517" s="86" t="b">
        <v>0</v>
      </c>
      <c r="BL1517" s="86"/>
      <c r="BM1517" s="86" t="s">
        <v>65</v>
      </c>
      <c r="BN1517" s="86" t="s">
        <v>29136</v>
      </c>
      <c r="BO1517" s="96" t="str">
        <f>HYPERLINK("https://twitter.com/unisinos")</f>
        <v>https://twitter.com/unisinos</v>
      </c>
      <c r="BP1517" s="2"/>
    </row>
    <row r="1518" spans="1:68" x14ac:dyDescent="0.25">
      <c r="A1518" s="63" t="s">
        <v>1831</v>
      </c>
      <c r="B1518" s="64"/>
      <c r="C1518" s="64"/>
      <c r="D1518" s="65"/>
      <c r="E1518" s="67"/>
      <c r="F1518" s="111" t="str">
        <f>HYPERLINK("https://pbs.twimg.com/profile_images/1410571517323321355/PkvaF9Fk_normal.jpg")</f>
        <v>https://pbs.twimg.com/profile_images/1410571517323321355/PkvaF9Fk_normal.jpg</v>
      </c>
      <c r="G1518" s="64"/>
      <c r="H1518" s="68"/>
      <c r="I1518" s="69"/>
      <c r="J1518" s="69"/>
      <c r="K1518" s="68" t="s">
        <v>30651</v>
      </c>
      <c r="L1518" s="72"/>
      <c r="M1518" s="73"/>
      <c r="N1518" s="73"/>
      <c r="O1518" s="74"/>
      <c r="P1518" s="75"/>
      <c r="Q1518" s="75"/>
      <c r="R1518" s="102"/>
      <c r="S1518" s="102"/>
      <c r="T1518" s="102"/>
      <c r="U1518" s="102"/>
      <c r="V1518" s="48"/>
      <c r="W1518" s="48"/>
      <c r="X1518" s="48"/>
      <c r="Y1518" s="48"/>
      <c r="Z1518" s="47"/>
      <c r="AA1518" s="70">
        <v>1518</v>
      </c>
      <c r="AB1518" s="70"/>
      <c r="AC1518" s="71"/>
      <c r="AD1518" s="86" t="s">
        <v>25108</v>
      </c>
      <c r="AE1518" s="94" t="s">
        <v>25831</v>
      </c>
      <c r="AF1518" s="86">
        <v>55891</v>
      </c>
      <c r="AG1518" s="86">
        <v>1090</v>
      </c>
      <c r="AH1518" s="86">
        <v>29239</v>
      </c>
      <c r="AI1518" s="86">
        <v>133</v>
      </c>
      <c r="AJ1518" s="86">
        <v>7646</v>
      </c>
      <c r="AK1518" s="86">
        <v>15027</v>
      </c>
      <c r="AL1518" s="86" t="b">
        <v>0</v>
      </c>
      <c r="AM1518" s="89">
        <v>41040.819594907407</v>
      </c>
      <c r="AN1518" s="86" t="s">
        <v>25991</v>
      </c>
      <c r="AO1518" s="86" t="s">
        <v>27803</v>
      </c>
      <c r="AP1518" s="96" t="str">
        <f>HYPERLINK("https://t.co/GRQJIpDWNk")</f>
        <v>https://t.co/GRQJIpDWNk</v>
      </c>
      <c r="AQ1518" s="96" t="str">
        <f>HYPERLINK("http://www.ufrgs.br")</f>
        <v>http://www.ufrgs.br</v>
      </c>
      <c r="AR1518" s="86" t="s">
        <v>28915</v>
      </c>
      <c r="AS1518" s="96" t="str">
        <f>HYPERLINK("https://t.co/4ThZ5eywWW")</f>
        <v>https://t.co/4ThZ5eywWW</v>
      </c>
      <c r="AT1518" s="96" t="str">
        <f>HYPERLINK("http://bit.ly/3HCPICB")</f>
        <v>http://bit.ly/3HCPICB</v>
      </c>
      <c r="AU1518" s="86" t="s">
        <v>29126</v>
      </c>
      <c r="AV1518" s="86"/>
      <c r="AW1518" s="96" t="str">
        <f>HYPERLINK("https://t.co/GRQJIpDWNk")</f>
        <v>https://t.co/GRQJIpDWNk</v>
      </c>
      <c r="AX1518" s="86" t="b">
        <v>0</v>
      </c>
      <c r="AY1518" s="86"/>
      <c r="AZ1518" s="86"/>
      <c r="BA1518" s="86" t="b">
        <v>1</v>
      </c>
      <c r="BB1518" s="86" t="b">
        <v>1</v>
      </c>
      <c r="BC1518" s="86" t="b">
        <v>0</v>
      </c>
      <c r="BD1518" s="86" t="b">
        <v>0</v>
      </c>
      <c r="BE1518" s="86" t="b">
        <v>1</v>
      </c>
      <c r="BF1518" s="86" t="b">
        <v>0</v>
      </c>
      <c r="BG1518" s="86" t="b">
        <v>0</v>
      </c>
      <c r="BH1518" s="96" t="str">
        <f>HYPERLINK("https://pbs.twimg.com/profile_banners/577407652/1670946379")</f>
        <v>https://pbs.twimg.com/profile_banners/577407652/1670946379</v>
      </c>
      <c r="BI1518" s="86"/>
      <c r="BJ1518" s="86" t="s">
        <v>29134</v>
      </c>
      <c r="BK1518" s="86" t="b">
        <v>0</v>
      </c>
      <c r="BL1518" s="86"/>
      <c r="BM1518" s="86" t="s">
        <v>65</v>
      </c>
      <c r="BN1518" s="86" t="s">
        <v>29136</v>
      </c>
      <c r="BO1518" s="96" t="str">
        <f>HYPERLINK("https://twitter.com/ufrgsnoticias")</f>
        <v>https://twitter.com/ufrgsnoticias</v>
      </c>
      <c r="BP1518" s="2"/>
    </row>
    <row r="1519" spans="1:68" x14ac:dyDescent="0.25">
      <c r="A1519" s="63" t="s">
        <v>1522</v>
      </c>
      <c r="B1519" s="64"/>
      <c r="C1519" s="64"/>
      <c r="D1519" s="65"/>
      <c r="E1519" s="67"/>
      <c r="F1519" s="111" t="str">
        <f>HYPERLINK("https://pbs.twimg.com/profile_images/1672630927812358144/s8mm4eNU_normal.jpg")</f>
        <v>https://pbs.twimg.com/profile_images/1672630927812358144/s8mm4eNU_normal.jpg</v>
      </c>
      <c r="G1519" s="64"/>
      <c r="H1519" s="68"/>
      <c r="I1519" s="69"/>
      <c r="J1519" s="69"/>
      <c r="K1519" s="68" t="s">
        <v>30652</v>
      </c>
      <c r="L1519" s="72"/>
      <c r="M1519" s="73"/>
      <c r="N1519" s="73"/>
      <c r="O1519" s="74"/>
      <c r="P1519" s="75"/>
      <c r="Q1519" s="75"/>
      <c r="R1519" s="102"/>
      <c r="S1519" s="102"/>
      <c r="T1519" s="102"/>
      <c r="U1519" s="102"/>
      <c r="V1519" s="48"/>
      <c r="W1519" s="48"/>
      <c r="X1519" s="48"/>
      <c r="Y1519" s="48"/>
      <c r="Z1519" s="47"/>
      <c r="AA1519" s="70">
        <v>1519</v>
      </c>
      <c r="AB1519" s="70"/>
      <c r="AC1519" s="71"/>
      <c r="AD1519" s="86" t="s">
        <v>25109</v>
      </c>
      <c r="AE1519" s="94" t="s">
        <v>23549</v>
      </c>
      <c r="AF1519" s="86">
        <v>178</v>
      </c>
      <c r="AG1519" s="86">
        <v>92</v>
      </c>
      <c r="AH1519" s="86">
        <v>26</v>
      </c>
      <c r="AI1519" s="86">
        <v>0</v>
      </c>
      <c r="AJ1519" s="86">
        <v>79</v>
      </c>
      <c r="AK1519" s="86">
        <v>19</v>
      </c>
      <c r="AL1519" s="86" t="b">
        <v>0</v>
      </c>
      <c r="AM1519" s="89">
        <v>44389.721782407411</v>
      </c>
      <c r="AN1519" s="86"/>
      <c r="AO1519" s="86" t="s">
        <v>27804</v>
      </c>
      <c r="AP1519" s="96" t="str">
        <f>HYPERLINK("https://t.co/HuqVNv87mu")</f>
        <v>https://t.co/HuqVNv87mu</v>
      </c>
      <c r="AQ1519" s="96" t="str">
        <f>HYPERLINK("https://carpegiani.com.br")</f>
        <v>https://carpegiani.com.br</v>
      </c>
      <c r="AR1519" s="86" t="s">
        <v>28916</v>
      </c>
      <c r="AS1519" s="86"/>
      <c r="AT1519" s="86"/>
      <c r="AU1519" s="86"/>
      <c r="AV1519" s="86">
        <v>1.52030055877887E+18</v>
      </c>
      <c r="AW1519" s="96" t="str">
        <f>HYPERLINK("https://t.co/HuqVNv87mu")</f>
        <v>https://t.co/HuqVNv87mu</v>
      </c>
      <c r="AX1519" s="86" t="b">
        <v>0</v>
      </c>
      <c r="AY1519" s="86"/>
      <c r="AZ1519" s="86"/>
      <c r="BA1519" s="86" t="b">
        <v>0</v>
      </c>
      <c r="BB1519" s="86" t="b">
        <v>1</v>
      </c>
      <c r="BC1519" s="86" t="b">
        <v>1</v>
      </c>
      <c r="BD1519" s="86" t="b">
        <v>0</v>
      </c>
      <c r="BE1519" s="86" t="b">
        <v>0</v>
      </c>
      <c r="BF1519" s="86" t="b">
        <v>0</v>
      </c>
      <c r="BG1519" s="86" t="b">
        <v>0</v>
      </c>
      <c r="BH1519" s="96" t="str">
        <f>HYPERLINK("https://pbs.twimg.com/profile_banners/1414614200563994626/1690378421")</f>
        <v>https://pbs.twimg.com/profile_banners/1414614200563994626/1690378421</v>
      </c>
      <c r="BI1519" s="86"/>
      <c r="BJ1519" s="86" t="s">
        <v>29134</v>
      </c>
      <c r="BK1519" s="86" t="b">
        <v>0</v>
      </c>
      <c r="BL1519" s="86"/>
      <c r="BM1519" s="86" t="s">
        <v>66</v>
      </c>
      <c r="BN1519" s="86" t="s">
        <v>29136</v>
      </c>
      <c r="BO1519" s="96" t="str">
        <f>HYPERLINK("https://twitter.com/carpegiani_adv")</f>
        <v>https://twitter.com/carpegiani_adv</v>
      </c>
      <c r="BP1519" s="2"/>
    </row>
    <row r="1520" spans="1:68" x14ac:dyDescent="0.25">
      <c r="A1520" s="63" t="s">
        <v>1523</v>
      </c>
      <c r="B1520" s="64"/>
      <c r="C1520" s="64"/>
      <c r="D1520" s="65"/>
      <c r="E1520" s="67"/>
      <c r="F1520" s="111" t="str">
        <f>HYPERLINK("https://pbs.twimg.com/profile_images/1569142769062387715/nAYxPUqg_normal.jpg")</f>
        <v>https://pbs.twimg.com/profile_images/1569142769062387715/nAYxPUqg_normal.jpg</v>
      </c>
      <c r="G1520" s="64"/>
      <c r="H1520" s="68"/>
      <c r="I1520" s="69"/>
      <c r="J1520" s="69"/>
      <c r="K1520" s="68" t="s">
        <v>30653</v>
      </c>
      <c r="L1520" s="72"/>
      <c r="M1520" s="73"/>
      <c r="N1520" s="73"/>
      <c r="O1520" s="74"/>
      <c r="P1520" s="75"/>
      <c r="Q1520" s="75"/>
      <c r="R1520" s="102"/>
      <c r="S1520" s="102"/>
      <c r="T1520" s="102"/>
      <c r="U1520" s="102"/>
      <c r="V1520" s="48"/>
      <c r="W1520" s="48"/>
      <c r="X1520" s="48"/>
      <c r="Y1520" s="48"/>
      <c r="Z1520" s="47"/>
      <c r="AA1520" s="70">
        <v>1520</v>
      </c>
      <c r="AB1520" s="70"/>
      <c r="AC1520" s="71"/>
      <c r="AD1520" s="86" t="s">
        <v>25110</v>
      </c>
      <c r="AE1520" s="94" t="s">
        <v>23550</v>
      </c>
      <c r="AF1520" s="86">
        <v>3818</v>
      </c>
      <c r="AG1520" s="86">
        <v>49</v>
      </c>
      <c r="AH1520" s="86">
        <v>223</v>
      </c>
      <c r="AI1520" s="86">
        <v>0</v>
      </c>
      <c r="AJ1520" s="86">
        <v>72</v>
      </c>
      <c r="AK1520" s="86">
        <v>38</v>
      </c>
      <c r="AL1520" s="86" t="b">
        <v>0</v>
      </c>
      <c r="AM1520" s="89">
        <v>44816.080335648148</v>
      </c>
      <c r="AN1520" s="86"/>
      <c r="AO1520" s="86" t="s">
        <v>27805</v>
      </c>
      <c r="AP1520" s="96" t="str">
        <f>HYPERLINK("https://t.co/moObpWCAWE")</f>
        <v>https://t.co/moObpWCAWE</v>
      </c>
      <c r="AQ1520" s="96" t="str">
        <f>HYPERLINK("https://realizedestinos.blog/instagram-bio/")</f>
        <v>https://realizedestinos.blog/instagram-bio/</v>
      </c>
      <c r="AR1520" s="86" t="s">
        <v>28917</v>
      </c>
      <c r="AS1520" s="86"/>
      <c r="AT1520" s="86"/>
      <c r="AU1520" s="86"/>
      <c r="AV1520" s="86"/>
      <c r="AW1520" s="96" t="str">
        <f>HYPERLINK("https://t.co/moObpWCAWE")</f>
        <v>https://t.co/moObpWCAWE</v>
      </c>
      <c r="AX1520" s="86" t="b">
        <v>1</v>
      </c>
      <c r="AY1520" s="86"/>
      <c r="AZ1520" s="86"/>
      <c r="BA1520" s="86" t="b">
        <v>0</v>
      </c>
      <c r="BB1520" s="86" t="b">
        <v>1</v>
      </c>
      <c r="BC1520" s="86" t="b">
        <v>1</v>
      </c>
      <c r="BD1520" s="86" t="b">
        <v>0</v>
      </c>
      <c r="BE1520" s="86" t="b">
        <v>1</v>
      </c>
      <c r="BF1520" s="86" t="b">
        <v>0</v>
      </c>
      <c r="BG1520" s="86" t="b">
        <v>0</v>
      </c>
      <c r="BH1520" s="96" t="str">
        <f>HYPERLINK("https://pbs.twimg.com/profile_banners/1569142636467949571/1684723090")</f>
        <v>https://pbs.twimg.com/profile_banners/1569142636467949571/1684723090</v>
      </c>
      <c r="BI1520" s="86"/>
      <c r="BJ1520" s="86" t="s">
        <v>29134</v>
      </c>
      <c r="BK1520" s="86" t="b">
        <v>0</v>
      </c>
      <c r="BL1520" s="86"/>
      <c r="BM1520" s="86" t="s">
        <v>66</v>
      </c>
      <c r="BN1520" s="86" t="s">
        <v>29136</v>
      </c>
      <c r="BO1520" s="96" t="str">
        <f>HYPERLINK("https://twitter.com/realizedestinos")</f>
        <v>https://twitter.com/realizedestinos</v>
      </c>
      <c r="BP1520" s="2"/>
    </row>
    <row r="1521" spans="1:68" x14ac:dyDescent="0.25">
      <c r="A1521" s="63" t="s">
        <v>1524</v>
      </c>
      <c r="B1521" s="64"/>
      <c r="C1521" s="64"/>
      <c r="D1521" s="65"/>
      <c r="E1521" s="67"/>
      <c r="F1521" s="111" t="str">
        <f>HYPERLINK("https://pbs.twimg.com/profile_images/2238680074/boqnews_normal.png")</f>
        <v>https://pbs.twimg.com/profile_images/2238680074/boqnews_normal.png</v>
      </c>
      <c r="G1521" s="64"/>
      <c r="H1521" s="68"/>
      <c r="I1521" s="69"/>
      <c r="J1521" s="69"/>
      <c r="K1521" s="68" t="s">
        <v>30654</v>
      </c>
      <c r="L1521" s="72"/>
      <c r="M1521" s="73"/>
      <c r="N1521" s="73"/>
      <c r="O1521" s="74"/>
      <c r="P1521" s="75"/>
      <c r="Q1521" s="75"/>
      <c r="R1521" s="102"/>
      <c r="S1521" s="102"/>
      <c r="T1521" s="102"/>
      <c r="U1521" s="102"/>
      <c r="V1521" s="48"/>
      <c r="W1521" s="48"/>
      <c r="X1521" s="48"/>
      <c r="Y1521" s="48"/>
      <c r="Z1521" s="47"/>
      <c r="AA1521" s="70">
        <v>1521</v>
      </c>
      <c r="AB1521" s="70"/>
      <c r="AC1521" s="71"/>
      <c r="AD1521" s="86" t="s">
        <v>25111</v>
      </c>
      <c r="AE1521" s="94" t="s">
        <v>25832</v>
      </c>
      <c r="AF1521" s="86">
        <v>8192</v>
      </c>
      <c r="AG1521" s="86">
        <v>799</v>
      </c>
      <c r="AH1521" s="86">
        <v>27548</v>
      </c>
      <c r="AI1521" s="86">
        <v>108</v>
      </c>
      <c r="AJ1521" s="86">
        <v>157</v>
      </c>
      <c r="AK1521" s="86">
        <v>5323</v>
      </c>
      <c r="AL1521" s="86" t="b">
        <v>0</v>
      </c>
      <c r="AM1521" s="89">
        <v>39918.604849537034</v>
      </c>
      <c r="AN1521" s="86" t="s">
        <v>15420</v>
      </c>
      <c r="AO1521" s="86" t="s">
        <v>27806</v>
      </c>
      <c r="AP1521" s="96" t="str">
        <f>HYPERLINK("http://t.co/e6yeDdxtFG")</f>
        <v>http://t.co/e6yeDdxtFG</v>
      </c>
      <c r="AQ1521" s="96" t="str">
        <f>HYPERLINK("http://www.boqnews.com")</f>
        <v>http://www.boqnews.com</v>
      </c>
      <c r="AR1521" s="86" t="s">
        <v>8552</v>
      </c>
      <c r="AS1521" s="86"/>
      <c r="AT1521" s="86"/>
      <c r="AU1521" s="86"/>
      <c r="AV1521" s="86"/>
      <c r="AW1521" s="96" t="str">
        <f>HYPERLINK("http://t.co/e6yeDdxtFG")</f>
        <v>http://t.co/e6yeDdxtFG</v>
      </c>
      <c r="AX1521" s="86" t="b">
        <v>0</v>
      </c>
      <c r="AY1521" s="86"/>
      <c r="AZ1521" s="86"/>
      <c r="BA1521" s="86" t="b">
        <v>0</v>
      </c>
      <c r="BB1521" s="86" t="b">
        <v>1</v>
      </c>
      <c r="BC1521" s="86" t="b">
        <v>0</v>
      </c>
      <c r="BD1521" s="86" t="b">
        <v>0</v>
      </c>
      <c r="BE1521" s="86" t="b">
        <v>1</v>
      </c>
      <c r="BF1521" s="86" t="b">
        <v>0</v>
      </c>
      <c r="BG1521" s="86" t="b">
        <v>0</v>
      </c>
      <c r="BH1521" s="96" t="str">
        <f>HYPERLINK("https://pbs.twimg.com/profile_banners/31419983/1495231373")</f>
        <v>https://pbs.twimg.com/profile_banners/31419983/1495231373</v>
      </c>
      <c r="BI1521" s="86"/>
      <c r="BJ1521" s="86" t="s">
        <v>29134</v>
      </c>
      <c r="BK1521" s="86" t="b">
        <v>0</v>
      </c>
      <c r="BL1521" s="86"/>
      <c r="BM1521" s="86" t="s">
        <v>66</v>
      </c>
      <c r="BN1521" s="86" t="s">
        <v>29136</v>
      </c>
      <c r="BO1521" s="96" t="str">
        <f>HYPERLINK("https://twitter.com/boqnews")</f>
        <v>https://twitter.com/boqnews</v>
      </c>
      <c r="BP1521" s="2"/>
    </row>
    <row r="1522" spans="1:68" x14ac:dyDescent="0.25">
      <c r="A1522" s="63" t="s">
        <v>1525</v>
      </c>
      <c r="B1522" s="64"/>
      <c r="C1522" s="64"/>
      <c r="D1522" s="65"/>
      <c r="E1522" s="67"/>
      <c r="F1522" s="111" t="str">
        <f>HYPERLINK("https://pbs.twimg.com/profile_images/1329124810719432704/85ZfOeC1_normal.jpg")</f>
        <v>https://pbs.twimg.com/profile_images/1329124810719432704/85ZfOeC1_normal.jpg</v>
      </c>
      <c r="G1522" s="64"/>
      <c r="H1522" s="68"/>
      <c r="I1522" s="69"/>
      <c r="J1522" s="69"/>
      <c r="K1522" s="68" t="s">
        <v>30655</v>
      </c>
      <c r="L1522" s="72"/>
      <c r="M1522" s="73"/>
      <c r="N1522" s="73"/>
      <c r="O1522" s="74"/>
      <c r="P1522" s="75"/>
      <c r="Q1522" s="75"/>
      <c r="R1522" s="102"/>
      <c r="S1522" s="102"/>
      <c r="T1522" s="102"/>
      <c r="U1522" s="102"/>
      <c r="V1522" s="48"/>
      <c r="W1522" s="48"/>
      <c r="X1522" s="48"/>
      <c r="Y1522" s="48"/>
      <c r="Z1522" s="47"/>
      <c r="AA1522" s="70">
        <v>1522</v>
      </c>
      <c r="AB1522" s="70"/>
      <c r="AC1522" s="71"/>
      <c r="AD1522" s="86" t="s">
        <v>25112</v>
      </c>
      <c r="AE1522" s="94" t="s">
        <v>25833</v>
      </c>
      <c r="AF1522" s="86">
        <v>641</v>
      </c>
      <c r="AG1522" s="86">
        <v>19</v>
      </c>
      <c r="AH1522" s="86">
        <v>7266</v>
      </c>
      <c r="AI1522" s="86">
        <v>6</v>
      </c>
      <c r="AJ1522" s="86">
        <v>85</v>
      </c>
      <c r="AK1522" s="86">
        <v>817</v>
      </c>
      <c r="AL1522" s="86" t="b">
        <v>0</v>
      </c>
      <c r="AM1522" s="89">
        <v>41657.072175925925</v>
      </c>
      <c r="AN1522" s="86" t="s">
        <v>25957</v>
      </c>
      <c r="AO1522" s="86" t="s">
        <v>27807</v>
      </c>
      <c r="AP1522" s="96" t="str">
        <f>HYPERLINK("https://t.co/93umSuSsWT")</f>
        <v>https://t.co/93umSuSsWT</v>
      </c>
      <c r="AQ1522" s="96" t="str">
        <f>HYPERLINK("http://www.mesorregional.com.br")</f>
        <v>http://www.mesorregional.com.br</v>
      </c>
      <c r="AR1522" s="86" t="s">
        <v>28918</v>
      </c>
      <c r="AS1522" s="86"/>
      <c r="AT1522" s="86"/>
      <c r="AU1522" s="86"/>
      <c r="AV1522" s="86"/>
      <c r="AW1522" s="96" t="str">
        <f>HYPERLINK("https://t.co/93umSuSsWT")</f>
        <v>https://t.co/93umSuSsWT</v>
      </c>
      <c r="AX1522" s="86" t="b">
        <v>0</v>
      </c>
      <c r="AY1522" s="86"/>
      <c r="AZ1522" s="86"/>
      <c r="BA1522" s="86" t="b">
        <v>0</v>
      </c>
      <c r="BB1522" s="86" t="b">
        <v>1</v>
      </c>
      <c r="BC1522" s="86" t="b">
        <v>0</v>
      </c>
      <c r="BD1522" s="86" t="b">
        <v>0</v>
      </c>
      <c r="BE1522" s="86" t="b">
        <v>0</v>
      </c>
      <c r="BF1522" s="86" t="b">
        <v>0</v>
      </c>
      <c r="BG1522" s="86" t="b">
        <v>0</v>
      </c>
      <c r="BH1522" s="96" t="str">
        <f>HYPERLINK("https://pbs.twimg.com/profile_banners/2297060792/1586730088")</f>
        <v>https://pbs.twimg.com/profile_banners/2297060792/1586730088</v>
      </c>
      <c r="BI1522" s="86"/>
      <c r="BJ1522" s="86" t="s">
        <v>29134</v>
      </c>
      <c r="BK1522" s="86" t="b">
        <v>0</v>
      </c>
      <c r="BL1522" s="86"/>
      <c r="BM1522" s="86" t="s">
        <v>66</v>
      </c>
      <c r="BN1522" s="86" t="s">
        <v>29136</v>
      </c>
      <c r="BO1522" s="96" t="str">
        <f>HYPERLINK("https://twitter.com/mesorregional")</f>
        <v>https://twitter.com/mesorregional</v>
      </c>
      <c r="BP1522" s="2"/>
    </row>
    <row r="1523" spans="1:68" x14ac:dyDescent="0.25">
      <c r="A1523" s="63" t="s">
        <v>1526</v>
      </c>
      <c r="B1523" s="64"/>
      <c r="C1523" s="64"/>
      <c r="D1523" s="65"/>
      <c r="E1523" s="67"/>
      <c r="F1523" s="111" t="str">
        <f>HYPERLINK("https://pbs.twimg.com/profile_images/1696226597999685632/93Q8AEXM_normal.jpg")</f>
        <v>https://pbs.twimg.com/profile_images/1696226597999685632/93Q8AEXM_normal.jpg</v>
      </c>
      <c r="G1523" s="64"/>
      <c r="H1523" s="68"/>
      <c r="I1523" s="69"/>
      <c r="J1523" s="69"/>
      <c r="K1523" s="68" t="s">
        <v>30656</v>
      </c>
      <c r="L1523" s="72"/>
      <c r="M1523" s="73"/>
      <c r="N1523" s="73"/>
      <c r="O1523" s="74"/>
      <c r="P1523" s="75"/>
      <c r="Q1523" s="75"/>
      <c r="R1523" s="102"/>
      <c r="S1523" s="102"/>
      <c r="T1523" s="102"/>
      <c r="U1523" s="102"/>
      <c r="V1523" s="48"/>
      <c r="W1523" s="48"/>
      <c r="X1523" s="48"/>
      <c r="Y1523" s="48"/>
      <c r="Z1523" s="47"/>
      <c r="AA1523" s="70">
        <v>1523</v>
      </c>
      <c r="AB1523" s="70"/>
      <c r="AC1523" s="71"/>
      <c r="AD1523" s="86" t="s">
        <v>25113</v>
      </c>
      <c r="AE1523" s="94" t="s">
        <v>25834</v>
      </c>
      <c r="AF1523" s="86">
        <v>1685</v>
      </c>
      <c r="AG1523" s="86">
        <v>36</v>
      </c>
      <c r="AH1523" s="86">
        <v>14851</v>
      </c>
      <c r="AI1523" s="86">
        <v>25</v>
      </c>
      <c r="AJ1523" s="86">
        <v>6953</v>
      </c>
      <c r="AK1523" s="86">
        <v>4478</v>
      </c>
      <c r="AL1523" s="86" t="b">
        <v>0</v>
      </c>
      <c r="AM1523" s="89">
        <v>40886.546296296299</v>
      </c>
      <c r="AN1523" s="86" t="s">
        <v>15283</v>
      </c>
      <c r="AO1523" s="86" t="s">
        <v>27808</v>
      </c>
      <c r="AP1523" s="96" t="str">
        <f>HYPERLINK("https://t.co/OTruThaFk2")</f>
        <v>https://t.co/OTruThaFk2</v>
      </c>
      <c r="AQ1523" s="96" t="str">
        <f>HYPERLINK("http://bancadapsdbrs.blogspot.com")</f>
        <v>http://bancadapsdbrs.blogspot.com</v>
      </c>
      <c r="AR1523" s="86" t="s">
        <v>28919</v>
      </c>
      <c r="AS1523" s="86"/>
      <c r="AT1523" s="86"/>
      <c r="AU1523" s="86"/>
      <c r="AV1523" s="86"/>
      <c r="AW1523" s="96" t="str">
        <f>HYPERLINK("https://t.co/OTruThaFk2")</f>
        <v>https://t.co/OTruThaFk2</v>
      </c>
      <c r="AX1523" s="86" t="b">
        <v>0</v>
      </c>
      <c r="AY1523" s="86"/>
      <c r="AZ1523" s="86"/>
      <c r="BA1523" s="86" t="b">
        <v>0</v>
      </c>
      <c r="BB1523" s="86" t="b">
        <v>1</v>
      </c>
      <c r="BC1523" s="86" t="b">
        <v>0</v>
      </c>
      <c r="BD1523" s="86" t="b">
        <v>0</v>
      </c>
      <c r="BE1523" s="86" t="b">
        <v>1</v>
      </c>
      <c r="BF1523" s="86" t="b">
        <v>0</v>
      </c>
      <c r="BG1523" s="86" t="b">
        <v>0</v>
      </c>
      <c r="BH1523" s="96" t="str">
        <f>HYPERLINK("https://pbs.twimg.com/profile_banners/432486705/1693255944")</f>
        <v>https://pbs.twimg.com/profile_banners/432486705/1693255944</v>
      </c>
      <c r="BI1523" s="86"/>
      <c r="BJ1523" s="86" t="s">
        <v>29134</v>
      </c>
      <c r="BK1523" s="86" t="b">
        <v>0</v>
      </c>
      <c r="BL1523" s="86"/>
      <c r="BM1523" s="86" t="s">
        <v>66</v>
      </c>
      <c r="BN1523" s="86" t="s">
        <v>29136</v>
      </c>
      <c r="BO1523" s="96" t="str">
        <f>HYPERLINK("https://twitter.com/bancadapsdbrs")</f>
        <v>https://twitter.com/bancadapsdbrs</v>
      </c>
      <c r="BP1523" s="2"/>
    </row>
    <row r="1524" spans="1:68" x14ac:dyDescent="0.25">
      <c r="A1524" s="63" t="s">
        <v>1527</v>
      </c>
      <c r="B1524" s="64"/>
      <c r="C1524" s="64"/>
      <c r="D1524" s="65"/>
      <c r="E1524" s="67"/>
      <c r="F1524" s="111" t="str">
        <f>HYPERLINK("https://pbs.twimg.com/profile_images/1704487764266225664/sW5ngArm_normal.jpg")</f>
        <v>https://pbs.twimg.com/profile_images/1704487764266225664/sW5ngArm_normal.jpg</v>
      </c>
      <c r="G1524" s="64"/>
      <c r="H1524" s="68"/>
      <c r="I1524" s="69"/>
      <c r="J1524" s="69"/>
      <c r="K1524" s="68" t="s">
        <v>30657</v>
      </c>
      <c r="L1524" s="72"/>
      <c r="M1524" s="73"/>
      <c r="N1524" s="73"/>
      <c r="O1524" s="74"/>
      <c r="P1524" s="75"/>
      <c r="Q1524" s="75"/>
      <c r="R1524" s="102"/>
      <c r="S1524" s="102"/>
      <c r="T1524" s="102"/>
      <c r="U1524" s="102"/>
      <c r="V1524" s="48"/>
      <c r="W1524" s="48"/>
      <c r="X1524" s="48"/>
      <c r="Y1524" s="48"/>
      <c r="Z1524" s="47"/>
      <c r="AA1524" s="70">
        <v>1524</v>
      </c>
      <c r="AB1524" s="70"/>
      <c r="AC1524" s="71"/>
      <c r="AD1524" s="86" t="s">
        <v>25114</v>
      </c>
      <c r="AE1524" s="94" t="s">
        <v>23551</v>
      </c>
      <c r="AF1524" s="86">
        <v>0</v>
      </c>
      <c r="AG1524" s="86">
        <v>6</v>
      </c>
      <c r="AH1524" s="86">
        <v>2</v>
      </c>
      <c r="AI1524" s="86">
        <v>0</v>
      </c>
      <c r="AJ1524" s="86">
        <v>0</v>
      </c>
      <c r="AK1524" s="86">
        <v>2</v>
      </c>
      <c r="AL1524" s="86" t="b">
        <v>0</v>
      </c>
      <c r="AM1524" s="89">
        <v>45189.557534722226</v>
      </c>
      <c r="AN1524" s="86" t="s">
        <v>26391</v>
      </c>
      <c r="AO1524" s="86" t="s">
        <v>27809</v>
      </c>
      <c r="AP1524" s="96" t="str">
        <f>HYPERLINK("https://t.co/EPBkKIfFr3")</f>
        <v>https://t.co/EPBkKIfFr3</v>
      </c>
      <c r="AQ1524" s="96" t="str">
        <f>HYPERLINK("https://www.megatic.pt/")</f>
        <v>https://www.megatic.pt/</v>
      </c>
      <c r="AR1524" s="86" t="s">
        <v>28920</v>
      </c>
      <c r="AS1524" s="86"/>
      <c r="AT1524" s="86"/>
      <c r="AU1524" s="86"/>
      <c r="AV1524" s="86"/>
      <c r="AW1524" s="96" t="str">
        <f>HYPERLINK("https://t.co/EPBkKIfFr3")</f>
        <v>https://t.co/EPBkKIfFr3</v>
      </c>
      <c r="AX1524" s="86" t="b">
        <v>0</v>
      </c>
      <c r="AY1524" s="86"/>
      <c r="AZ1524" s="86"/>
      <c r="BA1524" s="86" t="b">
        <v>0</v>
      </c>
      <c r="BB1524" s="86" t="b">
        <v>1</v>
      </c>
      <c r="BC1524" s="86" t="b">
        <v>1</v>
      </c>
      <c r="BD1524" s="86" t="b">
        <v>0</v>
      </c>
      <c r="BE1524" s="86" t="b">
        <v>0</v>
      </c>
      <c r="BF1524" s="86" t="b">
        <v>0</v>
      </c>
      <c r="BG1524" s="86" t="b">
        <v>0</v>
      </c>
      <c r="BH1524" s="96" t="str">
        <f>HYPERLINK("https://pbs.twimg.com/profile_banners/1704486157373845504/1695216579")</f>
        <v>https://pbs.twimg.com/profile_banners/1704486157373845504/1695216579</v>
      </c>
      <c r="BI1524" s="86"/>
      <c r="BJ1524" s="86" t="s">
        <v>29134</v>
      </c>
      <c r="BK1524" s="86" t="b">
        <v>0</v>
      </c>
      <c r="BL1524" s="86"/>
      <c r="BM1524" s="86" t="s">
        <v>66</v>
      </c>
      <c r="BN1524" s="86" t="s">
        <v>29136</v>
      </c>
      <c r="BO1524" s="96" t="str">
        <f>HYPERLINK("https://twitter.com/megatic_pt")</f>
        <v>https://twitter.com/megatic_pt</v>
      </c>
      <c r="BP1524" s="2"/>
    </row>
    <row r="1525" spans="1:68" x14ac:dyDescent="0.25">
      <c r="A1525" s="63" t="s">
        <v>1528</v>
      </c>
      <c r="B1525" s="64"/>
      <c r="C1525" s="64"/>
      <c r="D1525" s="65"/>
      <c r="E1525" s="67"/>
      <c r="F1525" s="111" t="str">
        <f>HYPERLINK("https://pbs.twimg.com/profile_images/1059235077941587969/JbKzgkUy_normal.jpg")</f>
        <v>https://pbs.twimg.com/profile_images/1059235077941587969/JbKzgkUy_normal.jpg</v>
      </c>
      <c r="G1525" s="64"/>
      <c r="H1525" s="68"/>
      <c r="I1525" s="69"/>
      <c r="J1525" s="69"/>
      <c r="K1525" s="68" t="s">
        <v>30658</v>
      </c>
      <c r="L1525" s="72"/>
      <c r="M1525" s="73"/>
      <c r="N1525" s="73"/>
      <c r="O1525" s="74"/>
      <c r="P1525" s="75"/>
      <c r="Q1525" s="75"/>
      <c r="R1525" s="102"/>
      <c r="S1525" s="102"/>
      <c r="T1525" s="102"/>
      <c r="U1525" s="102"/>
      <c r="V1525" s="48"/>
      <c r="W1525" s="48"/>
      <c r="X1525" s="48"/>
      <c r="Y1525" s="48"/>
      <c r="Z1525" s="47"/>
      <c r="AA1525" s="70">
        <v>1525</v>
      </c>
      <c r="AB1525" s="70"/>
      <c r="AC1525" s="71"/>
      <c r="AD1525" s="86" t="s">
        <v>25115</v>
      </c>
      <c r="AE1525" s="94" t="s">
        <v>25835</v>
      </c>
      <c r="AF1525" s="86">
        <v>19</v>
      </c>
      <c r="AG1525" s="86">
        <v>18</v>
      </c>
      <c r="AH1525" s="86">
        <v>23</v>
      </c>
      <c r="AI1525" s="86">
        <v>0</v>
      </c>
      <c r="AJ1525" s="86">
        <v>12</v>
      </c>
      <c r="AK1525" s="86">
        <v>1</v>
      </c>
      <c r="AL1525" s="86" t="b">
        <v>0</v>
      </c>
      <c r="AM1525" s="89">
        <v>40171.080439814818</v>
      </c>
      <c r="AN1525" s="86" t="s">
        <v>15234</v>
      </c>
      <c r="AO1525" s="86" t="s">
        <v>27810</v>
      </c>
      <c r="AP1525" s="86"/>
      <c r="AQ1525" s="86"/>
      <c r="AR1525" s="86"/>
      <c r="AS1525" s="86"/>
      <c r="AT1525" s="86"/>
      <c r="AU1525" s="86"/>
      <c r="AV1525" s="86"/>
      <c r="AW1525" s="86"/>
      <c r="AX1525" s="86" t="b">
        <v>0</v>
      </c>
      <c r="AY1525" s="86"/>
      <c r="AZ1525" s="86"/>
      <c r="BA1525" s="86" t="b">
        <v>0</v>
      </c>
      <c r="BB1525" s="86" t="b">
        <v>1</v>
      </c>
      <c r="BC1525" s="86" t="b">
        <v>0</v>
      </c>
      <c r="BD1525" s="86" t="b">
        <v>0</v>
      </c>
      <c r="BE1525" s="86" t="b">
        <v>0</v>
      </c>
      <c r="BF1525" s="86" t="b">
        <v>0</v>
      </c>
      <c r="BG1525" s="86" t="b">
        <v>0</v>
      </c>
      <c r="BH1525" s="86"/>
      <c r="BI1525" s="86"/>
      <c r="BJ1525" s="86" t="s">
        <v>29134</v>
      </c>
      <c r="BK1525" s="86" t="b">
        <v>0</v>
      </c>
      <c r="BL1525" s="86"/>
      <c r="BM1525" s="86" t="s">
        <v>66</v>
      </c>
      <c r="BN1525" s="86" t="s">
        <v>29136</v>
      </c>
      <c r="BO1525" s="96" t="str">
        <f>HYPERLINK("https://twitter.com/ph_pires")</f>
        <v>https://twitter.com/ph_pires</v>
      </c>
      <c r="BP1525" s="2"/>
    </row>
    <row r="1526" spans="1:68" x14ac:dyDescent="0.25">
      <c r="A1526" s="63" t="s">
        <v>1529</v>
      </c>
      <c r="B1526" s="64"/>
      <c r="C1526" s="64"/>
      <c r="D1526" s="65"/>
      <c r="E1526" s="67"/>
      <c r="F1526" s="111" t="str">
        <f>HYPERLINK("https://pbs.twimg.com/profile_images/1652853355520172035/kYNmRZC0_normal.jpg")</f>
        <v>https://pbs.twimg.com/profile_images/1652853355520172035/kYNmRZC0_normal.jpg</v>
      </c>
      <c r="G1526" s="64"/>
      <c r="H1526" s="68"/>
      <c r="I1526" s="69"/>
      <c r="J1526" s="69"/>
      <c r="K1526" s="68" t="s">
        <v>30659</v>
      </c>
      <c r="L1526" s="72"/>
      <c r="M1526" s="73"/>
      <c r="N1526" s="73"/>
      <c r="O1526" s="74"/>
      <c r="P1526" s="75"/>
      <c r="Q1526" s="75"/>
      <c r="R1526" s="102"/>
      <c r="S1526" s="102"/>
      <c r="T1526" s="102"/>
      <c r="U1526" s="102"/>
      <c r="V1526" s="48"/>
      <c r="W1526" s="48"/>
      <c r="X1526" s="48"/>
      <c r="Y1526" s="48"/>
      <c r="Z1526" s="47"/>
      <c r="AA1526" s="70">
        <v>1526</v>
      </c>
      <c r="AB1526" s="70"/>
      <c r="AC1526" s="71"/>
      <c r="AD1526" s="86" t="s">
        <v>25116</v>
      </c>
      <c r="AE1526" s="94" t="s">
        <v>23552</v>
      </c>
      <c r="AF1526" s="86">
        <v>3</v>
      </c>
      <c r="AG1526" s="86">
        <v>55</v>
      </c>
      <c r="AH1526" s="86">
        <v>115</v>
      </c>
      <c r="AI1526" s="86">
        <v>0</v>
      </c>
      <c r="AJ1526" s="86">
        <v>111</v>
      </c>
      <c r="AK1526" s="86">
        <v>111</v>
      </c>
      <c r="AL1526" s="86" t="b">
        <v>0</v>
      </c>
      <c r="AM1526" s="89">
        <v>42705.820138888892</v>
      </c>
      <c r="AN1526" s="86" t="s">
        <v>26058</v>
      </c>
      <c r="AO1526" s="86" t="s">
        <v>27811</v>
      </c>
      <c r="AP1526" s="86"/>
      <c r="AQ1526" s="86"/>
      <c r="AR1526" s="86"/>
      <c r="AS1526" s="86"/>
      <c r="AT1526" s="86"/>
      <c r="AU1526" s="86"/>
      <c r="AV1526" s="86"/>
      <c r="AW1526" s="86"/>
      <c r="AX1526" s="86" t="b">
        <v>0</v>
      </c>
      <c r="AY1526" s="86"/>
      <c r="AZ1526" s="86"/>
      <c r="BA1526" s="86" t="b">
        <v>0</v>
      </c>
      <c r="BB1526" s="86" t="b">
        <v>0</v>
      </c>
      <c r="BC1526" s="86" t="b">
        <v>1</v>
      </c>
      <c r="BD1526" s="86" t="b">
        <v>0</v>
      </c>
      <c r="BE1526" s="86" t="b">
        <v>0</v>
      </c>
      <c r="BF1526" s="86" t="b">
        <v>0</v>
      </c>
      <c r="BG1526" s="86" t="b">
        <v>0</v>
      </c>
      <c r="BH1526" s="96" t="str">
        <f>HYPERLINK("https://pbs.twimg.com/profile_banners/804409986944110592/1682483821")</f>
        <v>https://pbs.twimg.com/profile_banners/804409986944110592/1682483821</v>
      </c>
      <c r="BI1526" s="86"/>
      <c r="BJ1526" s="86" t="s">
        <v>29134</v>
      </c>
      <c r="BK1526" s="86" t="b">
        <v>0</v>
      </c>
      <c r="BL1526" s="86"/>
      <c r="BM1526" s="86" t="s">
        <v>66</v>
      </c>
      <c r="BN1526" s="86" t="s">
        <v>29136</v>
      </c>
      <c r="BO1526" s="96" t="str">
        <f>HYPERLINK("https://twitter.com/padraojuridico")</f>
        <v>https://twitter.com/padraojuridico</v>
      </c>
      <c r="BP1526" s="2"/>
    </row>
    <row r="1527" spans="1:68" x14ac:dyDescent="0.25">
      <c r="A1527" s="63" t="s">
        <v>1530</v>
      </c>
      <c r="B1527" s="64"/>
      <c r="C1527" s="64"/>
      <c r="D1527" s="65"/>
      <c r="E1527" s="67"/>
      <c r="F1527" s="111" t="str">
        <f>HYPERLINK("https://pbs.twimg.com/profile_images/1705345879186550784/q28lP8UC_normal.jpg")</f>
        <v>https://pbs.twimg.com/profile_images/1705345879186550784/q28lP8UC_normal.jpg</v>
      </c>
      <c r="G1527" s="64"/>
      <c r="H1527" s="68"/>
      <c r="I1527" s="69"/>
      <c r="J1527" s="69"/>
      <c r="K1527" s="68" t="s">
        <v>30660</v>
      </c>
      <c r="L1527" s="72"/>
      <c r="M1527" s="73"/>
      <c r="N1527" s="73"/>
      <c r="O1527" s="74"/>
      <c r="P1527" s="75"/>
      <c r="Q1527" s="75"/>
      <c r="R1527" s="102"/>
      <c r="S1527" s="102"/>
      <c r="T1527" s="102"/>
      <c r="U1527" s="102"/>
      <c r="V1527" s="48"/>
      <c r="W1527" s="48"/>
      <c r="X1527" s="48"/>
      <c r="Y1527" s="48"/>
      <c r="Z1527" s="47"/>
      <c r="AA1527" s="70">
        <v>1527</v>
      </c>
      <c r="AB1527" s="70"/>
      <c r="AC1527" s="71"/>
      <c r="AD1527" s="86" t="s">
        <v>25117</v>
      </c>
      <c r="AE1527" s="94" t="s">
        <v>23553</v>
      </c>
      <c r="AF1527" s="86">
        <v>338</v>
      </c>
      <c r="AG1527" s="86">
        <v>5001</v>
      </c>
      <c r="AH1527" s="86">
        <v>2545</v>
      </c>
      <c r="AI1527" s="86">
        <v>10</v>
      </c>
      <c r="AJ1527" s="86">
        <v>1298</v>
      </c>
      <c r="AK1527" s="86">
        <v>386</v>
      </c>
      <c r="AL1527" s="86" t="b">
        <v>0</v>
      </c>
      <c r="AM1527" s="89">
        <v>44427.861863425926</v>
      </c>
      <c r="AN1527" s="86" t="s">
        <v>26392</v>
      </c>
      <c r="AO1527" s="86" t="s">
        <v>27812</v>
      </c>
      <c r="AP1527" s="96" t="str">
        <f>HYPERLINK("https://t.co/zp0LvwuYrB")</f>
        <v>https://t.co/zp0LvwuYrB</v>
      </c>
      <c r="AQ1527" s="96" t="str">
        <f>HYPERLINK("https://msha.ke/naadademais/")</f>
        <v>https://msha.ke/naadademais/</v>
      </c>
      <c r="AR1527" s="86" t="s">
        <v>28921</v>
      </c>
      <c r="AS1527" s="86"/>
      <c r="AT1527" s="86"/>
      <c r="AU1527" s="86"/>
      <c r="AV1527" s="86">
        <v>1.5730331723711201E+18</v>
      </c>
      <c r="AW1527" s="96" t="str">
        <f>HYPERLINK("https://t.co/zp0LvwuYrB")</f>
        <v>https://t.co/zp0LvwuYrB</v>
      </c>
      <c r="AX1527" s="86" t="b">
        <v>0</v>
      </c>
      <c r="AY1527" s="86"/>
      <c r="AZ1527" s="86"/>
      <c r="BA1527" s="86" t="b">
        <v>0</v>
      </c>
      <c r="BB1527" s="86" t="b">
        <v>1</v>
      </c>
      <c r="BC1527" s="86" t="b">
        <v>1</v>
      </c>
      <c r="BD1527" s="86" t="b">
        <v>0</v>
      </c>
      <c r="BE1527" s="86" t="b">
        <v>1</v>
      </c>
      <c r="BF1527" s="86" t="b">
        <v>0</v>
      </c>
      <c r="BG1527" s="86" t="b">
        <v>0</v>
      </c>
      <c r="BH1527" s="96" t="str">
        <f>HYPERLINK("https://pbs.twimg.com/profile_banners/1428456939651018767/1687384955")</f>
        <v>https://pbs.twimg.com/profile_banners/1428456939651018767/1687384955</v>
      </c>
      <c r="BI1527" s="86"/>
      <c r="BJ1527" s="86" t="s">
        <v>29134</v>
      </c>
      <c r="BK1527" s="86" t="b">
        <v>0</v>
      </c>
      <c r="BL1527" s="86"/>
      <c r="BM1527" s="86" t="s">
        <v>66</v>
      </c>
      <c r="BN1527" s="86" t="s">
        <v>29136</v>
      </c>
      <c r="BO1527" s="96" t="str">
        <f>HYPERLINK("https://twitter.com/naadademais_")</f>
        <v>https://twitter.com/naadademais_</v>
      </c>
      <c r="BP1527" s="2"/>
    </row>
    <row r="1528" spans="1:68" x14ac:dyDescent="0.25">
      <c r="A1528" s="63" t="s">
        <v>1531</v>
      </c>
      <c r="B1528" s="64"/>
      <c r="C1528" s="64"/>
      <c r="D1528" s="65"/>
      <c r="E1528" s="67"/>
      <c r="F1528" s="111" t="str">
        <f>HYPERLINK("https://pbs.twimg.com/profile_images/1672274021730115584/2i7vRfaK_normal.jpg")</f>
        <v>https://pbs.twimg.com/profile_images/1672274021730115584/2i7vRfaK_normal.jpg</v>
      </c>
      <c r="G1528" s="64"/>
      <c r="H1528" s="68"/>
      <c r="I1528" s="69"/>
      <c r="J1528" s="69"/>
      <c r="K1528" s="68" t="s">
        <v>30661</v>
      </c>
      <c r="L1528" s="72"/>
      <c r="M1528" s="73"/>
      <c r="N1528" s="73"/>
      <c r="O1528" s="74"/>
      <c r="P1528" s="75"/>
      <c r="Q1528" s="75"/>
      <c r="R1528" s="102"/>
      <c r="S1528" s="102"/>
      <c r="T1528" s="102"/>
      <c r="U1528" s="102"/>
      <c r="V1528" s="48"/>
      <c r="W1528" s="48"/>
      <c r="X1528" s="48"/>
      <c r="Y1528" s="48"/>
      <c r="Z1528" s="47"/>
      <c r="AA1528" s="70">
        <v>1528</v>
      </c>
      <c r="AB1528" s="70"/>
      <c r="AC1528" s="71"/>
      <c r="AD1528" s="86" t="s">
        <v>1531</v>
      </c>
      <c r="AE1528" s="94" t="s">
        <v>23554</v>
      </c>
      <c r="AF1528" s="86">
        <v>0</v>
      </c>
      <c r="AG1528" s="86">
        <v>36</v>
      </c>
      <c r="AH1528" s="86">
        <v>10</v>
      </c>
      <c r="AI1528" s="86">
        <v>0</v>
      </c>
      <c r="AJ1528" s="86">
        <v>3</v>
      </c>
      <c r="AK1528" s="86">
        <v>10</v>
      </c>
      <c r="AL1528" s="86" t="b">
        <v>0</v>
      </c>
      <c r="AM1528" s="89">
        <v>45100.668229166666</v>
      </c>
      <c r="AN1528" s="86" t="s">
        <v>15234</v>
      </c>
      <c r="AO1528" s="86" t="s">
        <v>27813</v>
      </c>
      <c r="AP1528" s="96" t="str">
        <f>HYPERLINK("https://t.co/xbw3UCFtHW")</f>
        <v>https://t.co/xbw3UCFtHW</v>
      </c>
      <c r="AQ1528" s="96" t="str">
        <f>HYPERLINK("https://www.instagram.com/hyperdrivebr/")</f>
        <v>https://www.instagram.com/hyperdrivebr/</v>
      </c>
      <c r="AR1528" s="86" t="s">
        <v>28922</v>
      </c>
      <c r="AS1528" s="86"/>
      <c r="AT1528" s="86"/>
      <c r="AU1528" s="86"/>
      <c r="AV1528" s="86"/>
      <c r="AW1528" s="96" t="str">
        <f>HYPERLINK("https://t.co/xbw3UCFtHW")</f>
        <v>https://t.co/xbw3UCFtHW</v>
      </c>
      <c r="AX1528" s="86" t="b">
        <v>0</v>
      </c>
      <c r="AY1528" s="86"/>
      <c r="AZ1528" s="86"/>
      <c r="BA1528" s="86" t="b">
        <v>0</v>
      </c>
      <c r="BB1528" s="86" t="b">
        <v>1</v>
      </c>
      <c r="BC1528" s="86" t="b">
        <v>1</v>
      </c>
      <c r="BD1528" s="86" t="b">
        <v>0</v>
      </c>
      <c r="BE1528" s="86" t="b">
        <v>0</v>
      </c>
      <c r="BF1528" s="86" t="b">
        <v>0</v>
      </c>
      <c r="BG1528" s="86" t="b">
        <v>0</v>
      </c>
      <c r="BH1528" s="96" t="str">
        <f>HYPERLINK("https://pbs.twimg.com/profile_banners/1672273821435404288/1687537155")</f>
        <v>https://pbs.twimg.com/profile_banners/1672273821435404288/1687537155</v>
      </c>
      <c r="BI1528" s="86"/>
      <c r="BJ1528" s="86" t="s">
        <v>29134</v>
      </c>
      <c r="BK1528" s="86" t="b">
        <v>0</v>
      </c>
      <c r="BL1528" s="86"/>
      <c r="BM1528" s="86" t="s">
        <v>66</v>
      </c>
      <c r="BN1528" s="86" t="s">
        <v>29136</v>
      </c>
      <c r="BO1528" s="96" t="str">
        <f>HYPERLINK("https://twitter.com/hyperdrivebr")</f>
        <v>https://twitter.com/hyperdrivebr</v>
      </c>
      <c r="BP1528" s="2"/>
    </row>
    <row r="1529" spans="1:68" x14ac:dyDescent="0.25">
      <c r="A1529" s="63" t="s">
        <v>1532</v>
      </c>
      <c r="B1529" s="64"/>
      <c r="C1529" s="64"/>
      <c r="D1529" s="65"/>
      <c r="E1529" s="67"/>
      <c r="F1529" s="111" t="str">
        <f>HYPERLINK("https://pbs.twimg.com/profile_images/1004352390106177536/6ZAbshF5_normal.jpg")</f>
        <v>https://pbs.twimg.com/profile_images/1004352390106177536/6ZAbshF5_normal.jpg</v>
      </c>
      <c r="G1529" s="64"/>
      <c r="H1529" s="68"/>
      <c r="I1529" s="69"/>
      <c r="J1529" s="69"/>
      <c r="K1529" s="68" t="s">
        <v>30662</v>
      </c>
      <c r="L1529" s="72"/>
      <c r="M1529" s="73"/>
      <c r="N1529" s="73"/>
      <c r="O1529" s="74"/>
      <c r="P1529" s="75"/>
      <c r="Q1529" s="75"/>
      <c r="R1529" s="102"/>
      <c r="S1529" s="102"/>
      <c r="T1529" s="102"/>
      <c r="U1529" s="102"/>
      <c r="V1529" s="48"/>
      <c r="W1529" s="48"/>
      <c r="X1529" s="48"/>
      <c r="Y1529" s="48"/>
      <c r="Z1529" s="47"/>
      <c r="AA1529" s="70">
        <v>1529</v>
      </c>
      <c r="AB1529" s="70"/>
      <c r="AC1529" s="71"/>
      <c r="AD1529" s="86" t="s">
        <v>25118</v>
      </c>
      <c r="AE1529" s="94" t="s">
        <v>25836</v>
      </c>
      <c r="AF1529" s="86">
        <v>783</v>
      </c>
      <c r="AG1529" s="86">
        <v>180</v>
      </c>
      <c r="AH1529" s="86">
        <v>6401</v>
      </c>
      <c r="AI1529" s="86">
        <v>5</v>
      </c>
      <c r="AJ1529" s="86">
        <v>5003</v>
      </c>
      <c r="AK1529" s="86">
        <v>209</v>
      </c>
      <c r="AL1529" s="86" t="b">
        <v>0</v>
      </c>
      <c r="AM1529" s="89">
        <v>40691.865532407406</v>
      </c>
      <c r="AN1529" s="86" t="s">
        <v>15372</v>
      </c>
      <c r="AO1529" s="86" t="s">
        <v>27814</v>
      </c>
      <c r="AP1529" s="86"/>
      <c r="AQ1529" s="86"/>
      <c r="AR1529" s="86"/>
      <c r="AS1529" s="96" t="str">
        <f>HYPERLINK("https://t.co/76bNsfIy9Y")</f>
        <v>https://t.co/76bNsfIy9Y</v>
      </c>
      <c r="AT1529" s="96" t="str">
        <f>HYPERLINK("https://linkbio.co/5061004U7CFXu")</f>
        <v>https://linkbio.co/5061004U7CFXu</v>
      </c>
      <c r="AU1529" s="86" t="s">
        <v>29127</v>
      </c>
      <c r="AV1529" s="86"/>
      <c r="AW1529" s="86"/>
      <c r="AX1529" s="86" t="b">
        <v>0</v>
      </c>
      <c r="AY1529" s="86"/>
      <c r="AZ1529" s="86"/>
      <c r="BA1529" s="86" t="b">
        <v>1</v>
      </c>
      <c r="BB1529" s="86" t="b">
        <v>1</v>
      </c>
      <c r="BC1529" s="86" t="b">
        <v>1</v>
      </c>
      <c r="BD1529" s="86" t="b">
        <v>0</v>
      </c>
      <c r="BE1529" s="86" t="b">
        <v>1</v>
      </c>
      <c r="BF1529" s="86" t="b">
        <v>0</v>
      </c>
      <c r="BG1529" s="86" t="b">
        <v>0</v>
      </c>
      <c r="BH1529" s="96" t="str">
        <f>HYPERLINK("https://pbs.twimg.com/profile_banners/306999332/1354403067")</f>
        <v>https://pbs.twimg.com/profile_banners/306999332/1354403067</v>
      </c>
      <c r="BI1529" s="86"/>
      <c r="BJ1529" s="86" t="s">
        <v>29134</v>
      </c>
      <c r="BK1529" s="86" t="b">
        <v>0</v>
      </c>
      <c r="BL1529" s="86"/>
      <c r="BM1529" s="86" t="s">
        <v>66</v>
      </c>
      <c r="BN1529" s="86" t="s">
        <v>29136</v>
      </c>
      <c r="BO1529" s="96" t="str">
        <f>HYPERLINK("https://twitter.com/irapuabeltrao")</f>
        <v>https://twitter.com/irapuabeltrao</v>
      </c>
      <c r="BP1529" s="2"/>
    </row>
    <row r="1530" spans="1:68" x14ac:dyDescent="0.25">
      <c r="A1530" s="63" t="s">
        <v>1832</v>
      </c>
      <c r="B1530" s="64"/>
      <c r="C1530" s="64"/>
      <c r="D1530" s="65"/>
      <c r="E1530" s="67"/>
      <c r="F1530" s="111" t="str">
        <f>HYPERLINK("https://pbs.twimg.com/profile_images/1404755042750537730/S3rQyPr9_normal.jpg")</f>
        <v>https://pbs.twimg.com/profile_images/1404755042750537730/S3rQyPr9_normal.jpg</v>
      </c>
      <c r="G1530" s="64"/>
      <c r="H1530" s="68"/>
      <c r="I1530" s="69"/>
      <c r="J1530" s="69"/>
      <c r="K1530" s="68" t="s">
        <v>30663</v>
      </c>
      <c r="L1530" s="72"/>
      <c r="M1530" s="73"/>
      <c r="N1530" s="73"/>
      <c r="O1530" s="74"/>
      <c r="P1530" s="75"/>
      <c r="Q1530" s="75"/>
      <c r="R1530" s="102"/>
      <c r="S1530" s="102"/>
      <c r="T1530" s="102"/>
      <c r="U1530" s="102"/>
      <c r="V1530" s="48"/>
      <c r="W1530" s="48"/>
      <c r="X1530" s="48"/>
      <c r="Y1530" s="48"/>
      <c r="Z1530" s="47"/>
      <c r="AA1530" s="70">
        <v>1530</v>
      </c>
      <c r="AB1530" s="70"/>
      <c r="AC1530" s="71"/>
      <c r="AD1530" s="86" t="s">
        <v>25119</v>
      </c>
      <c r="AE1530" s="94" t="s">
        <v>25837</v>
      </c>
      <c r="AF1530" s="86">
        <v>375052</v>
      </c>
      <c r="AG1530" s="86">
        <v>57</v>
      </c>
      <c r="AH1530" s="86">
        <v>9131</v>
      </c>
      <c r="AI1530" s="86">
        <v>993</v>
      </c>
      <c r="AJ1530" s="86">
        <v>2080</v>
      </c>
      <c r="AK1530" s="86">
        <v>4130</v>
      </c>
      <c r="AL1530" s="86" t="b">
        <v>0</v>
      </c>
      <c r="AM1530" s="89">
        <v>39820.488229166665</v>
      </c>
      <c r="AN1530" s="86" t="s">
        <v>15234</v>
      </c>
      <c r="AO1530" s="86" t="s">
        <v>27815</v>
      </c>
      <c r="AP1530" s="96" t="str">
        <f>HYPERLINK("https://t.co/SDsVQSueCO")</f>
        <v>https://t.co/SDsVQSueCO</v>
      </c>
      <c r="AQ1530" s="96" t="str">
        <f>HYPERLINK("https://www.gov.br/receitafederal/pt-br")</f>
        <v>https://www.gov.br/receitafederal/pt-br</v>
      </c>
      <c r="AR1530" s="86" t="s">
        <v>28923</v>
      </c>
      <c r="AS1530" s="86"/>
      <c r="AT1530" s="86"/>
      <c r="AU1530" s="86"/>
      <c r="AV1530" s="86">
        <v>1.69477011704798E+18</v>
      </c>
      <c r="AW1530" s="96" t="str">
        <f>HYPERLINK("https://t.co/SDsVQSueCO")</f>
        <v>https://t.co/SDsVQSueCO</v>
      </c>
      <c r="AX1530" s="86" t="b">
        <v>0</v>
      </c>
      <c r="AY1530" s="86"/>
      <c r="AZ1530" s="86"/>
      <c r="BA1530" s="86" t="b">
        <v>0</v>
      </c>
      <c r="BB1530" s="86" t="b">
        <v>0</v>
      </c>
      <c r="BC1530" s="86" t="b">
        <v>0</v>
      </c>
      <c r="BD1530" s="86" t="b">
        <v>0</v>
      </c>
      <c r="BE1530" s="86" t="b">
        <v>0</v>
      </c>
      <c r="BF1530" s="86" t="b">
        <v>0</v>
      </c>
      <c r="BG1530" s="86" t="b">
        <v>0</v>
      </c>
      <c r="BH1530" s="96" t="str">
        <f>HYPERLINK("https://pbs.twimg.com/profile_banners/18718638/1689627448")</f>
        <v>https://pbs.twimg.com/profile_banners/18718638/1689627448</v>
      </c>
      <c r="BI1530" s="86"/>
      <c r="BJ1530" s="86" t="s">
        <v>29134</v>
      </c>
      <c r="BK1530" s="86" t="b">
        <v>0</v>
      </c>
      <c r="BL1530" s="86"/>
      <c r="BM1530" s="86" t="s">
        <v>65</v>
      </c>
      <c r="BN1530" s="86" t="s">
        <v>29136</v>
      </c>
      <c r="BO1530" s="96" t="str">
        <f>HYPERLINK("https://twitter.com/receitafederal")</f>
        <v>https://twitter.com/receitafederal</v>
      </c>
      <c r="BP1530" s="2"/>
    </row>
    <row r="1531" spans="1:68" x14ac:dyDescent="0.25">
      <c r="A1531" s="63" t="s">
        <v>1533</v>
      </c>
      <c r="B1531" s="64"/>
      <c r="C1531" s="64"/>
      <c r="D1531" s="65"/>
      <c r="E1531" s="67"/>
      <c r="F1531" s="111" t="str">
        <f>HYPERLINK("https://pbs.twimg.com/profile_images/1647218213472595970/VIB9BJRu_normal.jpg")</f>
        <v>https://pbs.twimg.com/profile_images/1647218213472595970/VIB9BJRu_normal.jpg</v>
      </c>
      <c r="G1531" s="64"/>
      <c r="H1531" s="68"/>
      <c r="I1531" s="69"/>
      <c r="J1531" s="69"/>
      <c r="K1531" s="68" t="s">
        <v>30664</v>
      </c>
      <c r="L1531" s="72"/>
      <c r="M1531" s="73"/>
      <c r="N1531" s="73"/>
      <c r="O1531" s="74"/>
      <c r="P1531" s="75"/>
      <c r="Q1531" s="75"/>
      <c r="R1531" s="102"/>
      <c r="S1531" s="102"/>
      <c r="T1531" s="102"/>
      <c r="U1531" s="102"/>
      <c r="V1531" s="48"/>
      <c r="W1531" s="48"/>
      <c r="X1531" s="48"/>
      <c r="Y1531" s="48"/>
      <c r="Z1531" s="47"/>
      <c r="AA1531" s="70">
        <v>1531</v>
      </c>
      <c r="AB1531" s="70"/>
      <c r="AC1531" s="71"/>
      <c r="AD1531" s="86" t="s">
        <v>25120</v>
      </c>
      <c r="AE1531" s="94" t="s">
        <v>25838</v>
      </c>
      <c r="AF1531" s="86">
        <v>4527</v>
      </c>
      <c r="AG1531" s="86">
        <v>4187</v>
      </c>
      <c r="AH1531" s="86">
        <v>42754</v>
      </c>
      <c r="AI1531" s="86">
        <v>21</v>
      </c>
      <c r="AJ1531" s="86">
        <v>404</v>
      </c>
      <c r="AK1531" s="86">
        <v>1474</v>
      </c>
      <c r="AL1531" s="86" t="b">
        <v>0</v>
      </c>
      <c r="AM1531" s="89">
        <v>40140.794444444444</v>
      </c>
      <c r="AN1531" s="86" t="s">
        <v>26393</v>
      </c>
      <c r="AO1531" s="86" t="s">
        <v>27816</v>
      </c>
      <c r="AP1531" s="96" t="str">
        <f>HYPERLINK("https://t.co/XcCxOchnRr")</f>
        <v>https://t.co/XcCxOchnRr</v>
      </c>
      <c r="AQ1531" s="96" t="str">
        <f>HYPERLINK("https://www.facebook.com/Dua80rte-889545321433963/")</f>
        <v>https://www.facebook.com/Dua80rte-889545321433963/</v>
      </c>
      <c r="AR1531" s="86" t="s">
        <v>28924</v>
      </c>
      <c r="AS1531" s="86"/>
      <c r="AT1531" s="86"/>
      <c r="AU1531" s="86"/>
      <c r="AV1531" s="86"/>
      <c r="AW1531" s="96" t="str">
        <f>HYPERLINK("https://t.co/XcCxOchnRr")</f>
        <v>https://t.co/XcCxOchnRr</v>
      </c>
      <c r="AX1531" s="86" t="b">
        <v>0</v>
      </c>
      <c r="AY1531" s="86"/>
      <c r="AZ1531" s="86"/>
      <c r="BA1531" s="86" t="b">
        <v>1</v>
      </c>
      <c r="BB1531" s="86" t="b">
        <v>1</v>
      </c>
      <c r="BC1531" s="86" t="b">
        <v>0</v>
      </c>
      <c r="BD1531" s="86" t="b">
        <v>0</v>
      </c>
      <c r="BE1531" s="86" t="b">
        <v>0</v>
      </c>
      <c r="BF1531" s="86" t="b">
        <v>0</v>
      </c>
      <c r="BG1531" s="86" t="b">
        <v>0</v>
      </c>
      <c r="BH1531" s="96" t="str">
        <f>HYPERLINK("https://pbs.twimg.com/profile_banners/92088399/1681562612")</f>
        <v>https://pbs.twimg.com/profile_banners/92088399/1681562612</v>
      </c>
      <c r="BI1531" s="86"/>
      <c r="BJ1531" s="86" t="s">
        <v>29134</v>
      </c>
      <c r="BK1531" s="86" t="b">
        <v>0</v>
      </c>
      <c r="BL1531" s="86"/>
      <c r="BM1531" s="86" t="s">
        <v>66</v>
      </c>
      <c r="BN1531" s="86" t="s">
        <v>29136</v>
      </c>
      <c r="BO1531" s="96" t="str">
        <f>HYPERLINK("https://twitter.com/dua80rte")</f>
        <v>https://twitter.com/dua80rte</v>
      </c>
      <c r="BP1531" s="2"/>
    </row>
    <row r="1532" spans="1:68" x14ac:dyDescent="0.25">
      <c r="A1532" s="63" t="s">
        <v>1534</v>
      </c>
      <c r="B1532" s="64"/>
      <c r="C1532" s="64"/>
      <c r="D1532" s="65"/>
      <c r="E1532" s="67"/>
      <c r="F1532" s="111" t="str">
        <f>HYPERLINK("https://pbs.twimg.com/profile_images/1695828515264851968/R2ra00D6_normal.jpg")</f>
        <v>https://pbs.twimg.com/profile_images/1695828515264851968/R2ra00D6_normal.jpg</v>
      </c>
      <c r="G1532" s="64"/>
      <c r="H1532" s="68"/>
      <c r="I1532" s="69"/>
      <c r="J1532" s="69"/>
      <c r="K1532" s="68" t="s">
        <v>30665</v>
      </c>
      <c r="L1532" s="72"/>
      <c r="M1532" s="73"/>
      <c r="N1532" s="73"/>
      <c r="O1532" s="74"/>
      <c r="P1532" s="75"/>
      <c r="Q1532" s="75"/>
      <c r="R1532" s="102"/>
      <c r="S1532" s="102"/>
      <c r="T1532" s="102"/>
      <c r="U1532" s="102"/>
      <c r="V1532" s="48"/>
      <c r="W1532" s="48"/>
      <c r="X1532" s="48"/>
      <c r="Y1532" s="48"/>
      <c r="Z1532" s="47"/>
      <c r="AA1532" s="70">
        <v>1532</v>
      </c>
      <c r="AB1532" s="70"/>
      <c r="AC1532" s="71"/>
      <c r="AD1532" s="86" t="s">
        <v>25121</v>
      </c>
      <c r="AE1532" s="94" t="s">
        <v>25839</v>
      </c>
      <c r="AF1532" s="86">
        <v>465</v>
      </c>
      <c r="AG1532" s="86">
        <v>370</v>
      </c>
      <c r="AH1532" s="86">
        <v>2294</v>
      </c>
      <c r="AI1532" s="86">
        <v>46</v>
      </c>
      <c r="AJ1532" s="86">
        <v>11892</v>
      </c>
      <c r="AK1532" s="86">
        <v>334</v>
      </c>
      <c r="AL1532" s="86" t="b">
        <v>0</v>
      </c>
      <c r="AM1532" s="89">
        <v>41084.585289351853</v>
      </c>
      <c r="AN1532" s="86" t="s">
        <v>26394</v>
      </c>
      <c r="AO1532" s="86" t="s">
        <v>27817</v>
      </c>
      <c r="AP1532" s="96" t="str">
        <f>HYPERLINK("https://t.co/of6j1vERkW")</f>
        <v>https://t.co/of6j1vERkW</v>
      </c>
      <c r="AQ1532" s="96" t="str">
        <f>HYPERLINK("https://karytonn.dev/bio")</f>
        <v>https://karytonn.dev/bio</v>
      </c>
      <c r="AR1532" s="86" t="s">
        <v>28925</v>
      </c>
      <c r="AS1532" s="86"/>
      <c r="AT1532" s="86"/>
      <c r="AU1532" s="86"/>
      <c r="AV1532" s="86">
        <v>1.57362003764208E+18</v>
      </c>
      <c r="AW1532" s="96" t="str">
        <f>HYPERLINK("https://t.co/of6j1vERkW")</f>
        <v>https://t.co/of6j1vERkW</v>
      </c>
      <c r="AX1532" s="86" t="b">
        <v>0</v>
      </c>
      <c r="AY1532" s="86"/>
      <c r="AZ1532" s="86"/>
      <c r="BA1532" s="86" t="b">
        <v>1</v>
      </c>
      <c r="BB1532" s="86" t="b">
        <v>0</v>
      </c>
      <c r="BC1532" s="86" t="b">
        <v>0</v>
      </c>
      <c r="BD1532" s="86" t="b">
        <v>0</v>
      </c>
      <c r="BE1532" s="86" t="b">
        <v>1</v>
      </c>
      <c r="BF1532" s="86" t="b">
        <v>0</v>
      </c>
      <c r="BG1532" s="86" t="b">
        <v>0</v>
      </c>
      <c r="BH1532" s="96" t="str">
        <f>HYPERLINK("https://pbs.twimg.com/profile_banners/617150536/1632867832")</f>
        <v>https://pbs.twimg.com/profile_banners/617150536/1632867832</v>
      </c>
      <c r="BI1532" s="86"/>
      <c r="BJ1532" s="86" t="s">
        <v>29134</v>
      </c>
      <c r="BK1532" s="86" t="b">
        <v>0</v>
      </c>
      <c r="BL1532" s="86"/>
      <c r="BM1532" s="86" t="s">
        <v>66</v>
      </c>
      <c r="BN1532" s="86" t="s">
        <v>29136</v>
      </c>
      <c r="BO1532" s="96" t="str">
        <f>HYPERLINK("https://twitter.com/karytonn")</f>
        <v>https://twitter.com/karytonn</v>
      </c>
      <c r="BP1532" s="2"/>
    </row>
    <row r="1533" spans="1:68" x14ac:dyDescent="0.25">
      <c r="A1533" s="63" t="s">
        <v>1833</v>
      </c>
      <c r="B1533" s="64"/>
      <c r="C1533" s="64"/>
      <c r="D1533" s="65"/>
      <c r="E1533" s="67"/>
      <c r="F1533" s="111" t="str">
        <f>HYPERLINK("https://pbs.twimg.com/profile_images/1637799686932164608/cs49ZJsE_normal.jpg")</f>
        <v>https://pbs.twimg.com/profile_images/1637799686932164608/cs49ZJsE_normal.jpg</v>
      </c>
      <c r="G1533" s="64"/>
      <c r="H1533" s="68"/>
      <c r="I1533" s="69"/>
      <c r="J1533" s="69"/>
      <c r="K1533" s="68" t="s">
        <v>30666</v>
      </c>
      <c r="L1533" s="72"/>
      <c r="M1533" s="73"/>
      <c r="N1533" s="73"/>
      <c r="O1533" s="74"/>
      <c r="P1533" s="75"/>
      <c r="Q1533" s="75"/>
      <c r="R1533" s="102"/>
      <c r="S1533" s="102"/>
      <c r="T1533" s="102"/>
      <c r="U1533" s="102"/>
      <c r="V1533" s="48"/>
      <c r="W1533" s="48"/>
      <c r="X1533" s="48"/>
      <c r="Y1533" s="48"/>
      <c r="Z1533" s="47"/>
      <c r="AA1533" s="70">
        <v>1533</v>
      </c>
      <c r="AB1533" s="70"/>
      <c r="AC1533" s="71"/>
      <c r="AD1533" s="86" t="s">
        <v>25122</v>
      </c>
      <c r="AE1533" s="94" t="s">
        <v>25840</v>
      </c>
      <c r="AF1533" s="86">
        <v>7</v>
      </c>
      <c r="AG1533" s="86">
        <v>1</v>
      </c>
      <c r="AH1533" s="86">
        <v>0</v>
      </c>
      <c r="AI1533" s="86">
        <v>0</v>
      </c>
      <c r="AJ1533" s="86">
        <v>0</v>
      </c>
      <c r="AK1533" s="86">
        <v>0</v>
      </c>
      <c r="AL1533" s="86" t="b">
        <v>0</v>
      </c>
      <c r="AM1533" s="89">
        <v>44883.761840277781</v>
      </c>
      <c r="AN1533" s="86" t="s">
        <v>26395</v>
      </c>
      <c r="AO1533" s="86" t="s">
        <v>27818</v>
      </c>
      <c r="AP1533" s="96" t="str">
        <f>HYPERLINK("https://t.co/edubDhJilV")</f>
        <v>https://t.co/edubDhJilV</v>
      </c>
      <c r="AQ1533" s="96" t="str">
        <f>HYPERLINK("http://www.desenvolvimento.go.gov.br")</f>
        <v>http://www.desenvolvimento.go.gov.br</v>
      </c>
      <c r="AR1533" s="86" t="s">
        <v>28926</v>
      </c>
      <c r="AS1533" s="86"/>
      <c r="AT1533" s="86"/>
      <c r="AU1533" s="86"/>
      <c r="AV1533" s="86"/>
      <c r="AW1533" s="96" t="str">
        <f>HYPERLINK("https://t.co/edubDhJilV")</f>
        <v>https://t.co/edubDhJilV</v>
      </c>
      <c r="AX1533" s="86" t="b">
        <v>0</v>
      </c>
      <c r="AY1533" s="86"/>
      <c r="AZ1533" s="86"/>
      <c r="BA1533" s="86" t="b">
        <v>0</v>
      </c>
      <c r="BB1533" s="86" t="b">
        <v>1</v>
      </c>
      <c r="BC1533" s="86" t="b">
        <v>1</v>
      </c>
      <c r="BD1533" s="86" t="b">
        <v>0</v>
      </c>
      <c r="BE1533" s="86" t="b">
        <v>0</v>
      </c>
      <c r="BF1533" s="86" t="b">
        <v>0</v>
      </c>
      <c r="BG1533" s="86" t="b">
        <v>0</v>
      </c>
      <c r="BH1533" s="96" t="str">
        <f>HYPERLINK("https://pbs.twimg.com/profile_banners/1593669540914806784/1679316849")</f>
        <v>https://pbs.twimg.com/profile_banners/1593669540914806784/1679316849</v>
      </c>
      <c r="BI1533" s="86"/>
      <c r="BJ1533" s="86" t="s">
        <v>29134</v>
      </c>
      <c r="BK1533" s="86" t="b">
        <v>0</v>
      </c>
      <c r="BL1533" s="86"/>
      <c r="BM1533" s="86" t="s">
        <v>65</v>
      </c>
      <c r="BN1533" s="86" t="s">
        <v>29136</v>
      </c>
      <c r="BO1533" s="96" t="str">
        <f>HYPERLINK("https://twitter.com/hubgoias")</f>
        <v>https://twitter.com/hubgoias</v>
      </c>
      <c r="BP1533" s="2"/>
    </row>
    <row r="1534" spans="1:68" x14ac:dyDescent="0.25">
      <c r="A1534" s="63" t="s">
        <v>1535</v>
      </c>
      <c r="B1534" s="64"/>
      <c r="C1534" s="64"/>
      <c r="D1534" s="65"/>
      <c r="E1534" s="67"/>
      <c r="F1534" s="111" t="str">
        <f>HYPERLINK("https://pbs.twimg.com/profile_images/1495366264176492546/mqlW4uci_normal.jpg")</f>
        <v>https://pbs.twimg.com/profile_images/1495366264176492546/mqlW4uci_normal.jpg</v>
      </c>
      <c r="G1534" s="64"/>
      <c r="H1534" s="68"/>
      <c r="I1534" s="69"/>
      <c r="J1534" s="69"/>
      <c r="K1534" s="68" t="s">
        <v>30667</v>
      </c>
      <c r="L1534" s="72"/>
      <c r="M1534" s="73"/>
      <c r="N1534" s="73"/>
      <c r="O1534" s="74"/>
      <c r="P1534" s="75"/>
      <c r="Q1534" s="75"/>
      <c r="R1534" s="102"/>
      <c r="S1534" s="102"/>
      <c r="T1534" s="102"/>
      <c r="U1534" s="102"/>
      <c r="V1534" s="48"/>
      <c r="W1534" s="48"/>
      <c r="X1534" s="48"/>
      <c r="Y1534" s="48"/>
      <c r="Z1534" s="47"/>
      <c r="AA1534" s="70">
        <v>1534</v>
      </c>
      <c r="AB1534" s="70"/>
      <c r="AC1534" s="71"/>
      <c r="AD1534" s="86" t="s">
        <v>25123</v>
      </c>
      <c r="AE1534" s="94" t="s">
        <v>23555</v>
      </c>
      <c r="AF1534" s="86">
        <v>15</v>
      </c>
      <c r="AG1534" s="86">
        <v>43</v>
      </c>
      <c r="AH1534" s="86">
        <v>213</v>
      </c>
      <c r="AI1534" s="86">
        <v>0</v>
      </c>
      <c r="AJ1534" s="86">
        <v>39</v>
      </c>
      <c r="AK1534" s="86">
        <v>12</v>
      </c>
      <c r="AL1534" s="86" t="b">
        <v>0</v>
      </c>
      <c r="AM1534" s="89">
        <v>43866.492291666669</v>
      </c>
      <c r="AN1534" s="86" t="s">
        <v>15285</v>
      </c>
      <c r="AO1534" s="86" t="s">
        <v>27819</v>
      </c>
      <c r="AP1534" s="86"/>
      <c r="AQ1534" s="86"/>
      <c r="AR1534" s="86"/>
      <c r="AS1534" s="86"/>
      <c r="AT1534" s="86"/>
      <c r="AU1534" s="86"/>
      <c r="AV1534" s="86"/>
      <c r="AW1534" s="86"/>
      <c r="AX1534" s="86" t="b">
        <v>0</v>
      </c>
      <c r="AY1534" s="86"/>
      <c r="AZ1534" s="86"/>
      <c r="BA1534" s="86" t="b">
        <v>0</v>
      </c>
      <c r="BB1534" s="86" t="b">
        <v>1</v>
      </c>
      <c r="BC1534" s="86" t="b">
        <v>1</v>
      </c>
      <c r="BD1534" s="86" t="b">
        <v>0</v>
      </c>
      <c r="BE1534" s="86" t="b">
        <v>0</v>
      </c>
      <c r="BF1534" s="86" t="b">
        <v>0</v>
      </c>
      <c r="BG1534" s="86" t="b">
        <v>0</v>
      </c>
      <c r="BH1534" s="96" t="str">
        <f>HYPERLINK("https://pbs.twimg.com/profile_banners/1225023438995238913/1675162870")</f>
        <v>https://pbs.twimg.com/profile_banners/1225023438995238913/1675162870</v>
      </c>
      <c r="BI1534" s="86"/>
      <c r="BJ1534" s="86" t="s">
        <v>29134</v>
      </c>
      <c r="BK1534" s="86" t="b">
        <v>0</v>
      </c>
      <c r="BL1534" s="86"/>
      <c r="BM1534" s="86" t="s">
        <v>66</v>
      </c>
      <c r="BN1534" s="86" t="s">
        <v>29136</v>
      </c>
      <c r="BO1534" s="96" t="str">
        <f>HYPERLINK("https://twitter.com/renatapereiraa7")</f>
        <v>https://twitter.com/renatapereiraa7</v>
      </c>
      <c r="BP1534" s="2"/>
    </row>
    <row r="1535" spans="1:68" x14ac:dyDescent="0.25">
      <c r="A1535" s="63" t="s">
        <v>1536</v>
      </c>
      <c r="B1535" s="64"/>
      <c r="C1535" s="64"/>
      <c r="D1535" s="65"/>
      <c r="E1535" s="67"/>
      <c r="F1535" s="111" t="str">
        <f>HYPERLINK("https://pbs.twimg.com/profile_images/1606262565323083777/VnabTkOV_normal.jpg")</f>
        <v>https://pbs.twimg.com/profile_images/1606262565323083777/VnabTkOV_normal.jpg</v>
      </c>
      <c r="G1535" s="64"/>
      <c r="H1535" s="68"/>
      <c r="I1535" s="69"/>
      <c r="J1535" s="69"/>
      <c r="K1535" s="68" t="s">
        <v>30668</v>
      </c>
      <c r="L1535" s="72"/>
      <c r="M1535" s="73"/>
      <c r="N1535" s="73"/>
      <c r="O1535" s="74"/>
      <c r="P1535" s="75"/>
      <c r="Q1535" s="75"/>
      <c r="R1535" s="102"/>
      <c r="S1535" s="102"/>
      <c r="T1535" s="102"/>
      <c r="U1535" s="102"/>
      <c r="V1535" s="48"/>
      <c r="W1535" s="48"/>
      <c r="X1535" s="48"/>
      <c r="Y1535" s="48"/>
      <c r="Z1535" s="47"/>
      <c r="AA1535" s="70">
        <v>1535</v>
      </c>
      <c r="AB1535" s="70"/>
      <c r="AC1535" s="71"/>
      <c r="AD1535" s="86" t="s">
        <v>25124</v>
      </c>
      <c r="AE1535" s="94" t="s">
        <v>23556</v>
      </c>
      <c r="AF1535" s="86">
        <v>2</v>
      </c>
      <c r="AG1535" s="86">
        <v>2</v>
      </c>
      <c r="AH1535" s="86">
        <v>104</v>
      </c>
      <c r="AI1535" s="86">
        <v>0</v>
      </c>
      <c r="AJ1535" s="86">
        <v>0</v>
      </c>
      <c r="AK1535" s="86">
        <v>104</v>
      </c>
      <c r="AL1535" s="86" t="b">
        <v>0</v>
      </c>
      <c r="AM1535" s="89">
        <v>44918.504814814813</v>
      </c>
      <c r="AN1535" s="86"/>
      <c r="AO1535" s="86"/>
      <c r="AP1535" s="86"/>
      <c r="AQ1535" s="86"/>
      <c r="AR1535" s="86"/>
      <c r="AS1535" s="86"/>
      <c r="AT1535" s="86"/>
      <c r="AU1535" s="86"/>
      <c r="AV1535" s="86"/>
      <c r="AW1535" s="86"/>
      <c r="AX1535" s="86" t="b">
        <v>0</v>
      </c>
      <c r="AY1535" s="86"/>
      <c r="AZ1535" s="86"/>
      <c r="BA1535" s="86" t="b">
        <v>0</v>
      </c>
      <c r="BB1535" s="86" t="b">
        <v>1</v>
      </c>
      <c r="BC1535" s="86" t="b">
        <v>1</v>
      </c>
      <c r="BD1535" s="86" t="b">
        <v>0</v>
      </c>
      <c r="BE1535" s="86" t="b">
        <v>0</v>
      </c>
      <c r="BF1535" s="86" t="b">
        <v>0</v>
      </c>
      <c r="BG1535" s="86" t="b">
        <v>0</v>
      </c>
      <c r="BH1535" s="96" t="str">
        <f>HYPERLINK("https://pbs.twimg.com/profile_banners/1606260007481253888/1688403171")</f>
        <v>https://pbs.twimg.com/profile_banners/1606260007481253888/1688403171</v>
      </c>
      <c r="BI1535" s="86"/>
      <c r="BJ1535" s="86" t="s">
        <v>29134</v>
      </c>
      <c r="BK1535" s="86" t="b">
        <v>0</v>
      </c>
      <c r="BL1535" s="86"/>
      <c r="BM1535" s="86" t="s">
        <v>66</v>
      </c>
      <c r="BN1535" s="86" t="s">
        <v>29136</v>
      </c>
      <c r="BO1535" s="96" t="str">
        <f>HYPERLINK("https://twitter.com/drimendes_ofc")</f>
        <v>https://twitter.com/drimendes_ofc</v>
      </c>
      <c r="BP1535" s="2"/>
    </row>
    <row r="1536" spans="1:68" x14ac:dyDescent="0.25">
      <c r="A1536" s="63" t="s">
        <v>1834</v>
      </c>
      <c r="B1536" s="64"/>
      <c r="C1536" s="64"/>
      <c r="D1536" s="65"/>
      <c r="E1536" s="67"/>
      <c r="F1536" s="111" t="str">
        <f>HYPERLINK("https://pbs.twimg.com/profile_images/1493486058599759873/gm3GoPWI_normal.jpg")</f>
        <v>https://pbs.twimg.com/profile_images/1493486058599759873/gm3GoPWI_normal.jpg</v>
      </c>
      <c r="G1536" s="64"/>
      <c r="H1536" s="68"/>
      <c r="I1536" s="69"/>
      <c r="J1536" s="69"/>
      <c r="K1536" s="68" t="s">
        <v>30669</v>
      </c>
      <c r="L1536" s="72"/>
      <c r="M1536" s="73"/>
      <c r="N1536" s="73"/>
      <c r="O1536" s="74"/>
      <c r="P1536" s="75"/>
      <c r="Q1536" s="75"/>
      <c r="R1536" s="102"/>
      <c r="S1536" s="102"/>
      <c r="T1536" s="102"/>
      <c r="U1536" s="102"/>
      <c r="V1536" s="48"/>
      <c r="W1536" s="48"/>
      <c r="X1536" s="48"/>
      <c r="Y1536" s="48"/>
      <c r="Z1536" s="47"/>
      <c r="AA1536" s="70">
        <v>1536</v>
      </c>
      <c r="AB1536" s="70"/>
      <c r="AC1536" s="71"/>
      <c r="AD1536" s="86" t="s">
        <v>25125</v>
      </c>
      <c r="AE1536" s="94" t="s">
        <v>25841</v>
      </c>
      <c r="AF1536" s="86">
        <v>5315</v>
      </c>
      <c r="AG1536" s="86">
        <v>540</v>
      </c>
      <c r="AH1536" s="86">
        <v>6995</v>
      </c>
      <c r="AI1536" s="86">
        <v>199</v>
      </c>
      <c r="AJ1536" s="86">
        <v>4224</v>
      </c>
      <c r="AK1536" s="86">
        <v>1875</v>
      </c>
      <c r="AL1536" s="86" t="b">
        <v>0</v>
      </c>
      <c r="AM1536" s="89">
        <v>40352.465208333335</v>
      </c>
      <c r="AN1536" s="86" t="s">
        <v>26396</v>
      </c>
      <c r="AO1536" s="86" t="s">
        <v>27820</v>
      </c>
      <c r="AP1536" s="96" t="str">
        <f>HYPERLINK("https://t.co/Z9V1vEqzUZ")</f>
        <v>https://t.co/Z9V1vEqzUZ</v>
      </c>
      <c r="AQ1536" s="96" t="str">
        <f>HYPERLINK("http://www.onlyoffice.com")</f>
        <v>http://www.onlyoffice.com</v>
      </c>
      <c r="AR1536" s="86" t="s">
        <v>28927</v>
      </c>
      <c r="AS1536" s="86"/>
      <c r="AT1536" s="86"/>
      <c r="AU1536" s="86"/>
      <c r="AV1536" s="86">
        <v>1.7018651577631601E+18</v>
      </c>
      <c r="AW1536" s="96" t="str">
        <f>HYPERLINK("https://t.co/Z9V1vEqzUZ")</f>
        <v>https://t.co/Z9V1vEqzUZ</v>
      </c>
      <c r="AX1536" s="86" t="b">
        <v>0</v>
      </c>
      <c r="AY1536" s="86"/>
      <c r="AZ1536" s="86"/>
      <c r="BA1536" s="86" t="b">
        <v>1</v>
      </c>
      <c r="BB1536" s="86" t="b">
        <v>1</v>
      </c>
      <c r="BC1536" s="86" t="b">
        <v>0</v>
      </c>
      <c r="BD1536" s="86" t="b">
        <v>0</v>
      </c>
      <c r="BE1536" s="86" t="b">
        <v>1</v>
      </c>
      <c r="BF1536" s="86" t="b">
        <v>0</v>
      </c>
      <c r="BG1536" s="86" t="b">
        <v>0</v>
      </c>
      <c r="BH1536" s="96" t="str">
        <f>HYPERLINK("https://pbs.twimg.com/profile_banners/158701404/1674630969")</f>
        <v>https://pbs.twimg.com/profile_banners/158701404/1674630969</v>
      </c>
      <c r="BI1536" s="86"/>
      <c r="BJ1536" s="86" t="s">
        <v>29134</v>
      </c>
      <c r="BK1536" s="86" t="b">
        <v>0</v>
      </c>
      <c r="BL1536" s="86"/>
      <c r="BM1536" s="86" t="s">
        <v>65</v>
      </c>
      <c r="BN1536" s="86" t="s">
        <v>29136</v>
      </c>
      <c r="BO1536" s="96" t="str">
        <f>HYPERLINK("https://twitter.com/only_office")</f>
        <v>https://twitter.com/only_office</v>
      </c>
      <c r="BP1536" s="2"/>
    </row>
    <row r="1537" spans="1:68" x14ac:dyDescent="0.25">
      <c r="A1537" s="63" t="s">
        <v>1538</v>
      </c>
      <c r="B1537" s="64"/>
      <c r="C1537" s="64"/>
      <c r="D1537" s="65"/>
      <c r="E1537" s="67"/>
      <c r="F1537" s="111" t="str">
        <f>HYPERLINK("https://pbs.twimg.com/profile_images/1645482250723631111/sySy_51x_normal.jpg")</f>
        <v>https://pbs.twimg.com/profile_images/1645482250723631111/sySy_51x_normal.jpg</v>
      </c>
      <c r="G1537" s="64"/>
      <c r="H1537" s="68"/>
      <c r="I1537" s="69"/>
      <c r="J1537" s="69"/>
      <c r="K1537" s="68" t="s">
        <v>30670</v>
      </c>
      <c r="L1537" s="72"/>
      <c r="M1537" s="73"/>
      <c r="N1537" s="73"/>
      <c r="O1537" s="74"/>
      <c r="P1537" s="75"/>
      <c r="Q1537" s="75"/>
      <c r="R1537" s="102"/>
      <c r="S1537" s="102"/>
      <c r="T1537" s="102"/>
      <c r="U1537" s="102"/>
      <c r="V1537" s="48"/>
      <c r="W1537" s="48"/>
      <c r="X1537" s="48"/>
      <c r="Y1537" s="48"/>
      <c r="Z1537" s="47"/>
      <c r="AA1537" s="70">
        <v>1537</v>
      </c>
      <c r="AB1537" s="70"/>
      <c r="AC1537" s="71"/>
      <c r="AD1537" s="86" t="s">
        <v>25126</v>
      </c>
      <c r="AE1537" s="94" t="s">
        <v>25842</v>
      </c>
      <c r="AF1537" s="86">
        <v>150</v>
      </c>
      <c r="AG1537" s="86">
        <v>379</v>
      </c>
      <c r="AH1537" s="86">
        <v>648</v>
      </c>
      <c r="AI1537" s="86">
        <v>1</v>
      </c>
      <c r="AJ1537" s="86">
        <v>757</v>
      </c>
      <c r="AK1537" s="86">
        <v>22</v>
      </c>
      <c r="AL1537" s="86" t="b">
        <v>0</v>
      </c>
      <c r="AM1537" s="89">
        <v>40353.120243055557</v>
      </c>
      <c r="AN1537" s="86" t="s">
        <v>15234</v>
      </c>
      <c r="AO1537" s="86" t="s">
        <v>27821</v>
      </c>
      <c r="AP1537" s="96" t="str">
        <f>HYPERLINK("https://t.co/PTQBQPPvx7")</f>
        <v>https://t.co/PTQBQPPvx7</v>
      </c>
      <c r="AQ1537" s="96" t="str">
        <f>HYPERLINK("https://www.enekapital.com/neto-de-paula")</f>
        <v>https://www.enekapital.com/neto-de-paula</v>
      </c>
      <c r="AR1537" s="86" t="s">
        <v>28928</v>
      </c>
      <c r="AS1537" s="86"/>
      <c r="AT1537" s="86"/>
      <c r="AU1537" s="86"/>
      <c r="AV1537" s="86"/>
      <c r="AW1537" s="96" t="str">
        <f>HYPERLINK("https://t.co/PTQBQPPvx7")</f>
        <v>https://t.co/PTQBQPPvx7</v>
      </c>
      <c r="AX1537" s="86" t="b">
        <v>0</v>
      </c>
      <c r="AY1537" s="86"/>
      <c r="AZ1537" s="86"/>
      <c r="BA1537" s="86" t="b">
        <v>1</v>
      </c>
      <c r="BB1537" s="86" t="b">
        <v>1</v>
      </c>
      <c r="BC1537" s="86" t="b">
        <v>0</v>
      </c>
      <c r="BD1537" s="86" t="b">
        <v>0</v>
      </c>
      <c r="BE1537" s="86" t="b">
        <v>0</v>
      </c>
      <c r="BF1537" s="86" t="b">
        <v>0</v>
      </c>
      <c r="BG1537" s="86" t="b">
        <v>0</v>
      </c>
      <c r="BH1537" s="96" t="str">
        <f>HYPERLINK("https://pbs.twimg.com/profile_banners/158958167/1678396769")</f>
        <v>https://pbs.twimg.com/profile_banners/158958167/1678396769</v>
      </c>
      <c r="BI1537" s="86"/>
      <c r="BJ1537" s="86" t="s">
        <v>29134</v>
      </c>
      <c r="BK1537" s="86" t="b">
        <v>0</v>
      </c>
      <c r="BL1537" s="86"/>
      <c r="BM1537" s="86" t="s">
        <v>66</v>
      </c>
      <c r="BN1537" s="86" t="s">
        <v>29136</v>
      </c>
      <c r="BO1537" s="96" t="str">
        <f>HYPERLINK("https://twitter.com/netodepaulla")</f>
        <v>https://twitter.com/netodepaulla</v>
      </c>
      <c r="BP1537" s="2"/>
    </row>
    <row r="1538" spans="1:68" x14ac:dyDescent="0.25">
      <c r="A1538" s="63" t="s">
        <v>1539</v>
      </c>
      <c r="B1538" s="64"/>
      <c r="C1538" s="64"/>
      <c r="D1538" s="65"/>
      <c r="E1538" s="67"/>
      <c r="F1538" s="111" t="str">
        <f>HYPERLINK("https://pbs.twimg.com/profile_images/1202386938562519042/2wr5acqk_normal.jpg")</f>
        <v>https://pbs.twimg.com/profile_images/1202386938562519042/2wr5acqk_normal.jpg</v>
      </c>
      <c r="G1538" s="64"/>
      <c r="H1538" s="68"/>
      <c r="I1538" s="69"/>
      <c r="J1538" s="69"/>
      <c r="K1538" s="68" t="s">
        <v>30671</v>
      </c>
      <c r="L1538" s="72"/>
      <c r="M1538" s="73"/>
      <c r="N1538" s="73"/>
      <c r="O1538" s="74"/>
      <c r="P1538" s="75"/>
      <c r="Q1538" s="75"/>
      <c r="R1538" s="102"/>
      <c r="S1538" s="102"/>
      <c r="T1538" s="102"/>
      <c r="U1538" s="102"/>
      <c r="V1538" s="48"/>
      <c r="W1538" s="48"/>
      <c r="X1538" s="48"/>
      <c r="Y1538" s="48"/>
      <c r="Z1538" s="47"/>
      <c r="AA1538" s="70">
        <v>1538</v>
      </c>
      <c r="AB1538" s="70"/>
      <c r="AC1538" s="71"/>
      <c r="AD1538" s="86" t="s">
        <v>25127</v>
      </c>
      <c r="AE1538" s="94" t="s">
        <v>25843</v>
      </c>
      <c r="AF1538" s="86">
        <v>2786</v>
      </c>
      <c r="AG1538" s="86">
        <v>220</v>
      </c>
      <c r="AH1538" s="86">
        <v>32469</v>
      </c>
      <c r="AI1538" s="86">
        <v>41</v>
      </c>
      <c r="AJ1538" s="86">
        <v>73</v>
      </c>
      <c r="AK1538" s="86">
        <v>7591</v>
      </c>
      <c r="AL1538" s="86" t="b">
        <v>0</v>
      </c>
      <c r="AM1538" s="89">
        <v>40088.070520833331</v>
      </c>
      <c r="AN1538" s="86" t="s">
        <v>26078</v>
      </c>
      <c r="AO1538" s="86"/>
      <c r="AP1538" s="96" t="str">
        <f>HYPERLINK("https://t.co/jz1o2YmGVe")</f>
        <v>https://t.co/jz1o2YmGVe</v>
      </c>
      <c r="AQ1538" s="96" t="str">
        <f>HYPERLINK("http://www.serranossa.com.br")</f>
        <v>http://www.serranossa.com.br</v>
      </c>
      <c r="AR1538" s="86" t="s">
        <v>28929</v>
      </c>
      <c r="AS1538" s="86"/>
      <c r="AT1538" s="86"/>
      <c r="AU1538" s="86"/>
      <c r="AV1538" s="86"/>
      <c r="AW1538" s="96" t="str">
        <f>HYPERLINK("https://t.co/jz1o2YmGVe")</f>
        <v>https://t.co/jz1o2YmGVe</v>
      </c>
      <c r="AX1538" s="86" t="b">
        <v>0</v>
      </c>
      <c r="AY1538" s="86"/>
      <c r="AZ1538" s="86"/>
      <c r="BA1538" s="86" t="b">
        <v>0</v>
      </c>
      <c r="BB1538" s="86" t="b">
        <v>1</v>
      </c>
      <c r="BC1538" s="86" t="b">
        <v>0</v>
      </c>
      <c r="BD1538" s="86" t="b">
        <v>0</v>
      </c>
      <c r="BE1538" s="86" t="b">
        <v>0</v>
      </c>
      <c r="BF1538" s="86" t="b">
        <v>0</v>
      </c>
      <c r="BG1538" s="86" t="b">
        <v>0</v>
      </c>
      <c r="BH1538" s="96" t="str">
        <f>HYPERLINK("https://pbs.twimg.com/profile_banners/79061885/1603824213")</f>
        <v>https://pbs.twimg.com/profile_banners/79061885/1603824213</v>
      </c>
      <c r="BI1538" s="86"/>
      <c r="BJ1538" s="86" t="s">
        <v>29134</v>
      </c>
      <c r="BK1538" s="86" t="b">
        <v>0</v>
      </c>
      <c r="BL1538" s="86"/>
      <c r="BM1538" s="86" t="s">
        <v>66</v>
      </c>
      <c r="BN1538" s="86" t="s">
        <v>29136</v>
      </c>
      <c r="BO1538" s="96" t="str">
        <f>HYPERLINK("https://twitter.com/serranossa")</f>
        <v>https://twitter.com/serranossa</v>
      </c>
      <c r="BP1538" s="2"/>
    </row>
    <row r="1539" spans="1:68" x14ac:dyDescent="0.25">
      <c r="A1539" s="63" t="s">
        <v>1540</v>
      </c>
      <c r="B1539" s="64"/>
      <c r="C1539" s="64"/>
      <c r="D1539" s="65"/>
      <c r="E1539" s="67"/>
      <c r="F1539" s="111" t="str">
        <f>HYPERLINK("https://pbs.twimg.com/profile_images/1700644174133870592/9vDDJ8Qg_normal.jpg")</f>
        <v>https://pbs.twimg.com/profile_images/1700644174133870592/9vDDJ8Qg_normal.jpg</v>
      </c>
      <c r="G1539" s="64"/>
      <c r="H1539" s="68"/>
      <c r="I1539" s="69"/>
      <c r="J1539" s="69"/>
      <c r="K1539" s="68" t="s">
        <v>30672</v>
      </c>
      <c r="L1539" s="72"/>
      <c r="M1539" s="73"/>
      <c r="N1539" s="73"/>
      <c r="O1539" s="74"/>
      <c r="P1539" s="75"/>
      <c r="Q1539" s="75"/>
      <c r="R1539" s="102"/>
      <c r="S1539" s="102"/>
      <c r="T1539" s="102"/>
      <c r="U1539" s="102"/>
      <c r="V1539" s="48"/>
      <c r="W1539" s="48"/>
      <c r="X1539" s="48"/>
      <c r="Y1539" s="48"/>
      <c r="Z1539" s="47"/>
      <c r="AA1539" s="70">
        <v>1539</v>
      </c>
      <c r="AB1539" s="70"/>
      <c r="AC1539" s="71"/>
      <c r="AD1539" s="86" t="s">
        <v>25128</v>
      </c>
      <c r="AE1539" s="94" t="s">
        <v>23558</v>
      </c>
      <c r="AF1539" s="86">
        <v>1</v>
      </c>
      <c r="AG1539" s="86">
        <v>3</v>
      </c>
      <c r="AH1539" s="86">
        <v>12</v>
      </c>
      <c r="AI1539" s="86">
        <v>0</v>
      </c>
      <c r="AJ1539" s="86">
        <v>4</v>
      </c>
      <c r="AK1539" s="86">
        <v>0</v>
      </c>
      <c r="AL1539" s="86" t="b">
        <v>0</v>
      </c>
      <c r="AM1539" s="89">
        <v>44979.584432870368</v>
      </c>
      <c r="AN1539" s="86"/>
      <c r="AO1539" s="86" t="s">
        <v>27822</v>
      </c>
      <c r="AP1539" s="86"/>
      <c r="AQ1539" s="86"/>
      <c r="AR1539" s="86"/>
      <c r="AS1539" s="96" t="str">
        <f>HYPERLINK("https://t.co/rkkqIENlM3")</f>
        <v>https://t.co/rkkqIENlM3</v>
      </c>
      <c r="AT1539" s="96" t="str">
        <f>HYPERLINK("http://bit.ly/curso-jornada-")</f>
        <v>http://bit.ly/curso-jornada-</v>
      </c>
      <c r="AU1539" s="86" t="s">
        <v>29128</v>
      </c>
      <c r="AV1539" s="86"/>
      <c r="AW1539" s="86"/>
      <c r="AX1539" s="86" t="b">
        <v>0</v>
      </c>
      <c r="AY1539" s="86"/>
      <c r="AZ1539" s="86"/>
      <c r="BA1539" s="86" t="b">
        <v>0</v>
      </c>
      <c r="BB1539" s="86" t="b">
        <v>1</v>
      </c>
      <c r="BC1539" s="86" t="b">
        <v>1</v>
      </c>
      <c r="BD1539" s="86" t="b">
        <v>0</v>
      </c>
      <c r="BE1539" s="86" t="b">
        <v>0</v>
      </c>
      <c r="BF1539" s="86" t="b">
        <v>0</v>
      </c>
      <c r="BG1539" s="86" t="b">
        <v>0</v>
      </c>
      <c r="BH1539" s="96" t="str">
        <f>HYPERLINK("https://pbs.twimg.com/profile_banners/1628394434000715776/1694300143")</f>
        <v>https://pbs.twimg.com/profile_banners/1628394434000715776/1694300143</v>
      </c>
      <c r="BI1539" s="86"/>
      <c r="BJ1539" s="86" t="s">
        <v>29134</v>
      </c>
      <c r="BK1539" s="86" t="b">
        <v>0</v>
      </c>
      <c r="BL1539" s="86"/>
      <c r="BM1539" s="86" t="s">
        <v>66</v>
      </c>
      <c r="BN1539" s="86" t="s">
        <v>29136</v>
      </c>
      <c r="BO1539" s="96" t="str">
        <f>HYPERLINK("https://twitter.com/fatos_pro")</f>
        <v>https://twitter.com/fatos_pro</v>
      </c>
      <c r="BP1539" s="2"/>
    </row>
    <row r="1540" spans="1:68" x14ac:dyDescent="0.25">
      <c r="A1540" s="63" t="s">
        <v>1541</v>
      </c>
      <c r="B1540" s="64"/>
      <c r="C1540" s="64"/>
      <c r="D1540" s="65"/>
      <c r="E1540" s="67"/>
      <c r="F1540" s="111" t="str">
        <f>HYPERLINK("https://pbs.twimg.com/profile_images/1469408781826199560/tC9GxWE3_normal.png")</f>
        <v>https://pbs.twimg.com/profile_images/1469408781826199560/tC9GxWE3_normal.png</v>
      </c>
      <c r="G1540" s="64"/>
      <c r="H1540" s="68"/>
      <c r="I1540" s="69"/>
      <c r="J1540" s="69"/>
      <c r="K1540" s="68" t="s">
        <v>30673</v>
      </c>
      <c r="L1540" s="72"/>
      <c r="M1540" s="73"/>
      <c r="N1540" s="73"/>
      <c r="O1540" s="74"/>
      <c r="P1540" s="75"/>
      <c r="Q1540" s="75"/>
      <c r="R1540" s="102"/>
      <c r="S1540" s="102"/>
      <c r="T1540" s="102"/>
      <c r="U1540" s="102"/>
      <c r="V1540" s="48"/>
      <c r="W1540" s="48"/>
      <c r="X1540" s="48"/>
      <c r="Y1540" s="48"/>
      <c r="Z1540" s="47"/>
      <c r="AA1540" s="70">
        <v>1540</v>
      </c>
      <c r="AB1540" s="70"/>
      <c r="AC1540" s="71"/>
      <c r="AD1540" s="86" t="s">
        <v>25129</v>
      </c>
      <c r="AE1540" s="94" t="s">
        <v>23559</v>
      </c>
      <c r="AF1540" s="86">
        <v>163</v>
      </c>
      <c r="AG1540" s="86">
        <v>59</v>
      </c>
      <c r="AH1540" s="86">
        <v>356</v>
      </c>
      <c r="AI1540" s="86">
        <v>1</v>
      </c>
      <c r="AJ1540" s="86">
        <v>48</v>
      </c>
      <c r="AK1540" s="86">
        <v>334</v>
      </c>
      <c r="AL1540" s="86" t="b">
        <v>0</v>
      </c>
      <c r="AM1540" s="89">
        <v>44358.712488425925</v>
      </c>
      <c r="AN1540" s="86" t="s">
        <v>25893</v>
      </c>
      <c r="AO1540" s="86" t="s">
        <v>27823</v>
      </c>
      <c r="AP1540" s="96" t="str">
        <f>HYPERLINK("https://t.co/ZU7VLEA3Jv")</f>
        <v>https://t.co/ZU7VLEA3Jv</v>
      </c>
      <c r="AQ1540" s="96" t="str">
        <f>HYPERLINK("https://pesquisa-eaesp.fgv.br/")</f>
        <v>https://pesquisa-eaesp.fgv.br/</v>
      </c>
      <c r="AR1540" s="86" t="s">
        <v>28930</v>
      </c>
      <c r="AS1540" s="86"/>
      <c r="AT1540" s="86"/>
      <c r="AU1540" s="86"/>
      <c r="AV1540" s="86"/>
      <c r="AW1540" s="96" t="str">
        <f>HYPERLINK("https://t.co/ZU7VLEA3Jv")</f>
        <v>https://t.co/ZU7VLEA3Jv</v>
      </c>
      <c r="AX1540" s="86" t="b">
        <v>0</v>
      </c>
      <c r="AY1540" s="86"/>
      <c r="AZ1540" s="86"/>
      <c r="BA1540" s="86" t="b">
        <v>0</v>
      </c>
      <c r="BB1540" s="86" t="b">
        <v>1</v>
      </c>
      <c r="BC1540" s="86" t="b">
        <v>1</v>
      </c>
      <c r="BD1540" s="86" t="b">
        <v>0</v>
      </c>
      <c r="BE1540" s="86" t="b">
        <v>0</v>
      </c>
      <c r="BF1540" s="86" t="b">
        <v>0</v>
      </c>
      <c r="BG1540" s="86" t="b">
        <v>0</v>
      </c>
      <c r="BH1540" s="96" t="str">
        <f>HYPERLINK("https://pbs.twimg.com/profile_banners/1403398042074681348/1639168716")</f>
        <v>https://pbs.twimg.com/profile_banners/1403398042074681348/1639168716</v>
      </c>
      <c r="BI1540" s="86"/>
      <c r="BJ1540" s="86" t="s">
        <v>29134</v>
      </c>
      <c r="BK1540" s="86" t="b">
        <v>0</v>
      </c>
      <c r="BL1540" s="86"/>
      <c r="BM1540" s="86" t="s">
        <v>66</v>
      </c>
      <c r="BN1540" s="86" t="s">
        <v>29136</v>
      </c>
      <c r="BO1540" s="96" t="str">
        <f>HYPERLINK("https://twitter.com/fgveaespesquisa")</f>
        <v>https://twitter.com/fgveaespesquisa</v>
      </c>
      <c r="BP1540" s="2"/>
    </row>
    <row r="1541" spans="1:68" x14ac:dyDescent="0.25">
      <c r="A1541" s="63" t="s">
        <v>1542</v>
      </c>
      <c r="B1541" s="64"/>
      <c r="C1541" s="64"/>
      <c r="D1541" s="65"/>
      <c r="E1541" s="67"/>
      <c r="F1541" s="111" t="str">
        <f>HYPERLINK("https://pbs.twimg.com/profile_images/1671289019525656577/FGH0CnRu_normal.jpg")</f>
        <v>https://pbs.twimg.com/profile_images/1671289019525656577/FGH0CnRu_normal.jpg</v>
      </c>
      <c r="G1541" s="64"/>
      <c r="H1541" s="68"/>
      <c r="I1541" s="69"/>
      <c r="J1541" s="69"/>
      <c r="K1541" s="68" t="s">
        <v>30674</v>
      </c>
      <c r="L1541" s="72"/>
      <c r="M1541" s="73"/>
      <c r="N1541" s="73"/>
      <c r="O1541" s="74"/>
      <c r="P1541" s="75"/>
      <c r="Q1541" s="75"/>
      <c r="R1541" s="102"/>
      <c r="S1541" s="102"/>
      <c r="T1541" s="102"/>
      <c r="U1541" s="102"/>
      <c r="V1541" s="48"/>
      <c r="W1541" s="48"/>
      <c r="X1541" s="48"/>
      <c r="Y1541" s="48"/>
      <c r="Z1541" s="47"/>
      <c r="AA1541" s="70">
        <v>1541</v>
      </c>
      <c r="AB1541" s="70"/>
      <c r="AC1541" s="71"/>
      <c r="AD1541" s="86" t="s">
        <v>25130</v>
      </c>
      <c r="AE1541" s="94" t="s">
        <v>23560</v>
      </c>
      <c r="AF1541" s="86">
        <v>110</v>
      </c>
      <c r="AG1541" s="86">
        <v>6</v>
      </c>
      <c r="AH1541" s="86">
        <v>1718</v>
      </c>
      <c r="AI1541" s="86">
        <v>0</v>
      </c>
      <c r="AJ1541" s="86">
        <v>46</v>
      </c>
      <c r="AK1541" s="86">
        <v>1073</v>
      </c>
      <c r="AL1541" s="86" t="b">
        <v>0</v>
      </c>
      <c r="AM1541" s="89">
        <v>43730.57916666667</v>
      </c>
      <c r="AN1541" s="86"/>
      <c r="AO1541" s="86" t="s">
        <v>27824</v>
      </c>
      <c r="AP1541" s="96" t="str">
        <f>HYPERLINK("https://t.co/dZyBFP06mn")</f>
        <v>https://t.co/dZyBFP06mn</v>
      </c>
      <c r="AQ1541" s="96" t="str">
        <f>HYPERLINK("https://linktr.ee/jonpadilha")</f>
        <v>https://linktr.ee/jonpadilha</v>
      </c>
      <c r="AR1541" s="86" t="s">
        <v>28931</v>
      </c>
      <c r="AS1541" s="86"/>
      <c r="AT1541" s="86"/>
      <c r="AU1541" s="86"/>
      <c r="AV1541" s="86">
        <v>1.68134288372975E+18</v>
      </c>
      <c r="AW1541" s="96" t="str">
        <f>HYPERLINK("https://t.co/dZyBFP06mn")</f>
        <v>https://t.co/dZyBFP06mn</v>
      </c>
      <c r="AX1541" s="86" t="b">
        <v>0</v>
      </c>
      <c r="AY1541" s="86"/>
      <c r="AZ1541" s="86"/>
      <c r="BA1541" s="86" t="b">
        <v>0</v>
      </c>
      <c r="BB1541" s="86" t="b">
        <v>1</v>
      </c>
      <c r="BC1541" s="86" t="b">
        <v>1</v>
      </c>
      <c r="BD1541" s="86" t="b">
        <v>0</v>
      </c>
      <c r="BE1541" s="86" t="b">
        <v>0</v>
      </c>
      <c r="BF1541" s="86" t="b">
        <v>0</v>
      </c>
      <c r="BG1541" s="86" t="b">
        <v>0</v>
      </c>
      <c r="BH1541" s="86"/>
      <c r="BI1541" s="86"/>
      <c r="BJ1541" s="86" t="s">
        <v>29134</v>
      </c>
      <c r="BK1541" s="86" t="b">
        <v>0</v>
      </c>
      <c r="BL1541" s="86"/>
      <c r="BM1541" s="86" t="s">
        <v>66</v>
      </c>
      <c r="BN1541" s="86" t="s">
        <v>29136</v>
      </c>
      <c r="BO1541" s="96" t="str">
        <f>HYPERLINK("https://twitter.com/jonpadilha")</f>
        <v>https://twitter.com/jonpadilha</v>
      </c>
      <c r="BP1541" s="2"/>
    </row>
    <row r="1542" spans="1:68" x14ac:dyDescent="0.25">
      <c r="A1542" s="63" t="s">
        <v>1543</v>
      </c>
      <c r="B1542" s="64"/>
      <c r="C1542" s="64"/>
      <c r="D1542" s="65"/>
      <c r="E1542" s="67"/>
      <c r="F1542" s="111" t="str">
        <f>HYPERLINK("https://pbs.twimg.com/profile_images/1679514698977255424/qTdwTK_n_normal.jpg")</f>
        <v>https://pbs.twimg.com/profile_images/1679514698977255424/qTdwTK_n_normal.jpg</v>
      </c>
      <c r="G1542" s="64"/>
      <c r="H1542" s="68"/>
      <c r="I1542" s="69"/>
      <c r="J1542" s="69"/>
      <c r="K1542" s="68" t="s">
        <v>30675</v>
      </c>
      <c r="L1542" s="72"/>
      <c r="M1542" s="73"/>
      <c r="N1542" s="73"/>
      <c r="O1542" s="74"/>
      <c r="P1542" s="75"/>
      <c r="Q1542" s="75"/>
      <c r="R1542" s="102"/>
      <c r="S1542" s="102"/>
      <c r="T1542" s="102"/>
      <c r="U1542" s="102"/>
      <c r="V1542" s="48"/>
      <c r="W1542" s="48"/>
      <c r="X1542" s="48"/>
      <c r="Y1542" s="48"/>
      <c r="Z1542" s="47"/>
      <c r="AA1542" s="70">
        <v>1542</v>
      </c>
      <c r="AB1542" s="70"/>
      <c r="AC1542" s="71"/>
      <c r="AD1542" s="86" t="s">
        <v>25131</v>
      </c>
      <c r="AE1542" s="94" t="s">
        <v>22657</v>
      </c>
      <c r="AF1542" s="86">
        <v>1</v>
      </c>
      <c r="AG1542" s="86">
        <v>17</v>
      </c>
      <c r="AH1542" s="86">
        <v>6</v>
      </c>
      <c r="AI1542" s="86">
        <v>0</v>
      </c>
      <c r="AJ1542" s="86">
        <v>1</v>
      </c>
      <c r="AK1542" s="86">
        <v>2</v>
      </c>
      <c r="AL1542" s="86" t="b">
        <v>0</v>
      </c>
      <c r="AM1542" s="89">
        <v>45120.648946759262</v>
      </c>
      <c r="AN1542" s="86"/>
      <c r="AO1542" s="86"/>
      <c r="AP1542" s="86"/>
      <c r="AQ1542" s="86"/>
      <c r="AR1542" s="86"/>
      <c r="AS1542" s="86"/>
      <c r="AT1542" s="86"/>
      <c r="AU1542" s="86"/>
      <c r="AV1542" s="86"/>
      <c r="AW1542" s="86"/>
      <c r="AX1542" s="86" t="b">
        <v>0</v>
      </c>
      <c r="AY1542" s="86"/>
      <c r="AZ1542" s="86"/>
      <c r="BA1542" s="86" t="b">
        <v>0</v>
      </c>
      <c r="BB1542" s="86" t="b">
        <v>1</v>
      </c>
      <c r="BC1542" s="86" t="b">
        <v>1</v>
      </c>
      <c r="BD1542" s="86" t="b">
        <v>0</v>
      </c>
      <c r="BE1542" s="86" t="b">
        <v>0</v>
      </c>
      <c r="BF1542" s="86" t="b">
        <v>0</v>
      </c>
      <c r="BG1542" s="86" t="b">
        <v>0</v>
      </c>
      <c r="BH1542" s="86"/>
      <c r="BI1542" s="86"/>
      <c r="BJ1542" s="86" t="s">
        <v>29134</v>
      </c>
      <c r="BK1542" s="86" t="b">
        <v>0</v>
      </c>
      <c r="BL1542" s="86"/>
      <c r="BM1542" s="86" t="s">
        <v>66</v>
      </c>
      <c r="BN1542" s="86" t="s">
        <v>29136</v>
      </c>
      <c r="BO1542" s="96" t="str">
        <f>HYPERLINK("https://twitter.com/edsoncontador_")</f>
        <v>https://twitter.com/edsoncontador_</v>
      </c>
      <c r="BP1542" s="2"/>
    </row>
    <row r="1543" spans="1:68" x14ac:dyDescent="0.25">
      <c r="A1543" s="63" t="s">
        <v>1544</v>
      </c>
      <c r="B1543" s="64"/>
      <c r="C1543" s="64"/>
      <c r="D1543" s="65"/>
      <c r="E1543" s="67"/>
      <c r="F1543" s="111" t="str">
        <f>HYPERLINK("https://pbs.twimg.com/profile_images/1656838770069479429/_EW4VQQN_normal.jpg")</f>
        <v>https://pbs.twimg.com/profile_images/1656838770069479429/_EW4VQQN_normal.jpg</v>
      </c>
      <c r="G1543" s="64"/>
      <c r="H1543" s="68"/>
      <c r="I1543" s="69"/>
      <c r="J1543" s="69"/>
      <c r="K1543" s="68" t="s">
        <v>30676</v>
      </c>
      <c r="L1543" s="72"/>
      <c r="M1543" s="73"/>
      <c r="N1543" s="73"/>
      <c r="O1543" s="74"/>
      <c r="P1543" s="75"/>
      <c r="Q1543" s="75"/>
      <c r="R1543" s="102"/>
      <c r="S1543" s="102"/>
      <c r="T1543" s="102"/>
      <c r="U1543" s="102"/>
      <c r="V1543" s="48"/>
      <c r="W1543" s="48"/>
      <c r="X1543" s="48"/>
      <c r="Y1543" s="48"/>
      <c r="Z1543" s="47"/>
      <c r="AA1543" s="70">
        <v>1543</v>
      </c>
      <c r="AB1543" s="70"/>
      <c r="AC1543" s="71"/>
      <c r="AD1543" s="86" t="s">
        <v>25132</v>
      </c>
      <c r="AE1543" s="94" t="s">
        <v>25844</v>
      </c>
      <c r="AF1543" s="86">
        <v>88</v>
      </c>
      <c r="AG1543" s="86">
        <v>247</v>
      </c>
      <c r="AH1543" s="86">
        <v>110</v>
      </c>
      <c r="AI1543" s="86">
        <v>0</v>
      </c>
      <c r="AJ1543" s="86">
        <v>27</v>
      </c>
      <c r="AK1543" s="86">
        <v>2</v>
      </c>
      <c r="AL1543" s="86" t="b">
        <v>0</v>
      </c>
      <c r="AM1543" s="89">
        <v>41422.793298611112</v>
      </c>
      <c r="AN1543" s="86" t="s">
        <v>26397</v>
      </c>
      <c r="AO1543" s="86" t="s">
        <v>27825</v>
      </c>
      <c r="AP1543" s="96" t="str">
        <f>HYPERLINK("https://t.co/kaseCWQSzz")</f>
        <v>https://t.co/kaseCWQSzz</v>
      </c>
      <c r="AQ1543" s="96" t="str">
        <f>HYPERLINK("http://www.tiagoprado.com")</f>
        <v>http://www.tiagoprado.com</v>
      </c>
      <c r="AR1543" s="86" t="s">
        <v>28932</v>
      </c>
      <c r="AS1543" s="86"/>
      <c r="AT1543" s="86"/>
      <c r="AU1543" s="86"/>
      <c r="AV1543" s="86"/>
      <c r="AW1543" s="96" t="str">
        <f>HYPERLINK("https://t.co/kaseCWQSzz")</f>
        <v>https://t.co/kaseCWQSzz</v>
      </c>
      <c r="AX1543" s="86" t="b">
        <v>0</v>
      </c>
      <c r="AY1543" s="86"/>
      <c r="AZ1543" s="86"/>
      <c r="BA1543" s="86" t="b">
        <v>0</v>
      </c>
      <c r="BB1543" s="86" t="b">
        <v>1</v>
      </c>
      <c r="BC1543" s="86" t="b">
        <v>0</v>
      </c>
      <c r="BD1543" s="86" t="b">
        <v>0</v>
      </c>
      <c r="BE1543" s="86" t="b">
        <v>0</v>
      </c>
      <c r="BF1543" s="86" t="b">
        <v>0</v>
      </c>
      <c r="BG1543" s="86" t="b">
        <v>0</v>
      </c>
      <c r="BH1543" s="96" t="str">
        <f>HYPERLINK("https://pbs.twimg.com/profile_banners/1465443572/1683856131")</f>
        <v>https://pbs.twimg.com/profile_banners/1465443572/1683856131</v>
      </c>
      <c r="BI1543" s="86"/>
      <c r="BJ1543" s="86" t="s">
        <v>29134</v>
      </c>
      <c r="BK1543" s="86" t="b">
        <v>0</v>
      </c>
      <c r="BL1543" s="86"/>
      <c r="BM1543" s="86" t="s">
        <v>66</v>
      </c>
      <c r="BN1543" s="86" t="s">
        <v>29136</v>
      </c>
      <c r="BO1543" s="96" t="str">
        <f>HYPERLINK("https://twitter.com/tiagopradoofc")</f>
        <v>https://twitter.com/tiagopradoofc</v>
      </c>
      <c r="BP1543" s="2"/>
    </row>
    <row r="1544" spans="1:68" x14ac:dyDescent="0.25">
      <c r="A1544" s="63" t="s">
        <v>1545</v>
      </c>
      <c r="B1544" s="64"/>
      <c r="C1544" s="64"/>
      <c r="D1544" s="65"/>
      <c r="E1544" s="67"/>
      <c r="F1544" s="111" t="str">
        <f>HYPERLINK("https://pbs.twimg.com/profile_images/1599773878154297345/NMJ7f6_Z_normal.jpg")</f>
        <v>https://pbs.twimg.com/profile_images/1599773878154297345/NMJ7f6_Z_normal.jpg</v>
      </c>
      <c r="G1544" s="64"/>
      <c r="H1544" s="68"/>
      <c r="I1544" s="69"/>
      <c r="J1544" s="69"/>
      <c r="K1544" s="68" t="s">
        <v>30677</v>
      </c>
      <c r="L1544" s="72"/>
      <c r="M1544" s="73"/>
      <c r="N1544" s="73"/>
      <c r="O1544" s="74"/>
      <c r="P1544" s="75"/>
      <c r="Q1544" s="75"/>
      <c r="R1544" s="102"/>
      <c r="S1544" s="102"/>
      <c r="T1544" s="102"/>
      <c r="U1544" s="102"/>
      <c r="V1544" s="48"/>
      <c r="W1544" s="48"/>
      <c r="X1544" s="48"/>
      <c r="Y1544" s="48"/>
      <c r="Z1544" s="47"/>
      <c r="AA1544" s="70">
        <v>1544</v>
      </c>
      <c r="AB1544" s="70"/>
      <c r="AC1544" s="71"/>
      <c r="AD1544" s="86" t="s">
        <v>25133</v>
      </c>
      <c r="AE1544" s="94" t="s">
        <v>22658</v>
      </c>
      <c r="AF1544" s="86">
        <v>0</v>
      </c>
      <c r="AG1544" s="86">
        <v>3</v>
      </c>
      <c r="AH1544" s="86">
        <v>14</v>
      </c>
      <c r="AI1544" s="86">
        <v>0</v>
      </c>
      <c r="AJ1544" s="86">
        <v>1</v>
      </c>
      <c r="AK1544" s="86">
        <v>3</v>
      </c>
      <c r="AL1544" s="86" t="b">
        <v>0</v>
      </c>
      <c r="AM1544" s="89">
        <v>44900.606354166666</v>
      </c>
      <c r="AN1544" s="86"/>
      <c r="AO1544" s="86"/>
      <c r="AP1544" s="86"/>
      <c r="AQ1544" s="86"/>
      <c r="AR1544" s="86"/>
      <c r="AS1544" s="86"/>
      <c r="AT1544" s="86"/>
      <c r="AU1544" s="86"/>
      <c r="AV1544" s="86"/>
      <c r="AW1544" s="86"/>
      <c r="AX1544" s="86" t="b">
        <v>0</v>
      </c>
      <c r="AY1544" s="86"/>
      <c r="AZ1544" s="86"/>
      <c r="BA1544" s="86" t="b">
        <v>0</v>
      </c>
      <c r="BB1544" s="86" t="b">
        <v>1</v>
      </c>
      <c r="BC1544" s="86" t="b">
        <v>1</v>
      </c>
      <c r="BD1544" s="86" t="b">
        <v>0</v>
      </c>
      <c r="BE1544" s="86" t="b">
        <v>0</v>
      </c>
      <c r="BF1544" s="86" t="b">
        <v>0</v>
      </c>
      <c r="BG1544" s="86" t="b">
        <v>0</v>
      </c>
      <c r="BH1544" s="86"/>
      <c r="BI1544" s="86"/>
      <c r="BJ1544" s="86" t="s">
        <v>29134</v>
      </c>
      <c r="BK1544" s="86" t="b">
        <v>0</v>
      </c>
      <c r="BL1544" s="86"/>
      <c r="BM1544" s="86" t="s">
        <v>66</v>
      </c>
      <c r="BN1544" s="86" t="s">
        <v>29136</v>
      </c>
      <c r="BO1544" s="96" t="str">
        <f>HYPERLINK("https://twitter.com/drivethrua")</f>
        <v>https://twitter.com/drivethrua</v>
      </c>
      <c r="BP1544" s="2"/>
    </row>
    <row r="1545" spans="1:68" x14ac:dyDescent="0.25">
      <c r="A1545" s="63" t="s">
        <v>1546</v>
      </c>
      <c r="B1545" s="64"/>
      <c r="C1545" s="64"/>
      <c r="D1545" s="65"/>
      <c r="E1545" s="67"/>
      <c r="F1545" s="111" t="str">
        <f>HYPERLINK("https://pbs.twimg.com/profile_images/1679102332519297024/zDXtfzMA_normal.jpg")</f>
        <v>https://pbs.twimg.com/profile_images/1679102332519297024/zDXtfzMA_normal.jpg</v>
      </c>
      <c r="G1545" s="64"/>
      <c r="H1545" s="68"/>
      <c r="I1545" s="69"/>
      <c r="J1545" s="69"/>
      <c r="K1545" s="68" t="s">
        <v>30678</v>
      </c>
      <c r="L1545" s="72"/>
      <c r="M1545" s="73"/>
      <c r="N1545" s="73"/>
      <c r="O1545" s="74"/>
      <c r="P1545" s="75"/>
      <c r="Q1545" s="75"/>
      <c r="R1545" s="102"/>
      <c r="S1545" s="102"/>
      <c r="T1545" s="102"/>
      <c r="U1545" s="102"/>
      <c r="V1545" s="48"/>
      <c r="W1545" s="48"/>
      <c r="X1545" s="48"/>
      <c r="Y1545" s="48"/>
      <c r="Z1545" s="47"/>
      <c r="AA1545" s="70">
        <v>1545</v>
      </c>
      <c r="AB1545" s="70"/>
      <c r="AC1545" s="71"/>
      <c r="AD1545" s="86" t="s">
        <v>25134</v>
      </c>
      <c r="AE1545" s="94" t="s">
        <v>23561</v>
      </c>
      <c r="AF1545" s="86">
        <v>1</v>
      </c>
      <c r="AG1545" s="86">
        <v>9</v>
      </c>
      <c r="AH1545" s="86">
        <v>29</v>
      </c>
      <c r="AI1545" s="86">
        <v>0</v>
      </c>
      <c r="AJ1545" s="86">
        <v>7</v>
      </c>
      <c r="AK1545" s="86">
        <v>3</v>
      </c>
      <c r="AL1545" s="86" t="b">
        <v>0</v>
      </c>
      <c r="AM1545" s="89">
        <v>43953.892094907409</v>
      </c>
      <c r="AN1545" s="86"/>
      <c r="AO1545" s="86" t="s">
        <v>27826</v>
      </c>
      <c r="AP1545" s="86"/>
      <c r="AQ1545" s="86"/>
      <c r="AR1545" s="86"/>
      <c r="AS1545" s="86"/>
      <c r="AT1545" s="86"/>
      <c r="AU1545" s="86"/>
      <c r="AV1545" s="86"/>
      <c r="AW1545" s="86"/>
      <c r="AX1545" s="86" t="b">
        <v>0</v>
      </c>
      <c r="AY1545" s="86"/>
      <c r="AZ1545" s="86"/>
      <c r="BA1545" s="86" t="b">
        <v>0</v>
      </c>
      <c r="BB1545" s="86" t="b">
        <v>1</v>
      </c>
      <c r="BC1545" s="86" t="b">
        <v>1</v>
      </c>
      <c r="BD1545" s="86" t="b">
        <v>0</v>
      </c>
      <c r="BE1545" s="86" t="b">
        <v>0</v>
      </c>
      <c r="BF1545" s="86" t="b">
        <v>0</v>
      </c>
      <c r="BG1545" s="86" t="b">
        <v>0</v>
      </c>
      <c r="BH1545" s="86"/>
      <c r="BI1545" s="86"/>
      <c r="BJ1545" s="86" t="s">
        <v>29134</v>
      </c>
      <c r="BK1545" s="86" t="b">
        <v>0</v>
      </c>
      <c r="BL1545" s="86"/>
      <c r="BM1545" s="86" t="s">
        <v>66</v>
      </c>
      <c r="BN1545" s="86" t="s">
        <v>29136</v>
      </c>
      <c r="BO1545" s="96" t="str">
        <f>HYPERLINK("https://twitter.com/dionedealmeida1")</f>
        <v>https://twitter.com/dionedealmeida1</v>
      </c>
      <c r="BP1545" s="2"/>
    </row>
    <row r="1546" spans="1:68" x14ac:dyDescent="0.25">
      <c r="A1546" s="63" t="s">
        <v>1547</v>
      </c>
      <c r="B1546" s="64"/>
      <c r="C1546" s="64"/>
      <c r="D1546" s="65"/>
      <c r="E1546" s="67"/>
      <c r="F1546" s="111" t="str">
        <f>HYPERLINK("https://pbs.twimg.com/profile_images/1694399469654085632/GX-Zr_6R_normal.jpg")</f>
        <v>https://pbs.twimg.com/profile_images/1694399469654085632/GX-Zr_6R_normal.jpg</v>
      </c>
      <c r="G1546" s="64"/>
      <c r="H1546" s="68"/>
      <c r="I1546" s="69"/>
      <c r="J1546" s="69"/>
      <c r="K1546" s="68" t="s">
        <v>30679</v>
      </c>
      <c r="L1546" s="72"/>
      <c r="M1546" s="73"/>
      <c r="N1546" s="73"/>
      <c r="O1546" s="74"/>
      <c r="P1546" s="75"/>
      <c r="Q1546" s="75"/>
      <c r="R1546" s="102"/>
      <c r="S1546" s="102"/>
      <c r="T1546" s="102"/>
      <c r="U1546" s="102"/>
      <c r="V1546" s="48"/>
      <c r="W1546" s="48"/>
      <c r="X1546" s="48"/>
      <c r="Y1546" s="48"/>
      <c r="Z1546" s="47"/>
      <c r="AA1546" s="70">
        <v>1546</v>
      </c>
      <c r="AB1546" s="70"/>
      <c r="AC1546" s="71"/>
      <c r="AD1546" s="86" t="s">
        <v>25135</v>
      </c>
      <c r="AE1546" s="94" t="s">
        <v>23562</v>
      </c>
      <c r="AF1546" s="86">
        <v>59</v>
      </c>
      <c r="AG1546" s="86">
        <v>30</v>
      </c>
      <c r="AH1546" s="86">
        <v>251</v>
      </c>
      <c r="AI1546" s="86">
        <v>0</v>
      </c>
      <c r="AJ1546" s="86">
        <v>6</v>
      </c>
      <c r="AK1546" s="86">
        <v>250</v>
      </c>
      <c r="AL1546" s="86" t="b">
        <v>0</v>
      </c>
      <c r="AM1546" s="89">
        <v>45096.572939814818</v>
      </c>
      <c r="AN1546" s="86" t="s">
        <v>15372</v>
      </c>
      <c r="AO1546" s="86" t="s">
        <v>27827</v>
      </c>
      <c r="AP1546" s="96" t="str">
        <f>HYPERLINK("https://t.co/ZkbLX1qQvG")</f>
        <v>https://t.co/ZkbLX1qQvG</v>
      </c>
      <c r="AQ1546" s="96" t="str">
        <f>HYPERLINK("http://www.instagram.com/diempcefetrj")</f>
        <v>http://www.instagram.com/diempcefetrj</v>
      </c>
      <c r="AR1546" s="86" t="s">
        <v>28933</v>
      </c>
      <c r="AS1546" s="86"/>
      <c r="AT1546" s="86"/>
      <c r="AU1546" s="86"/>
      <c r="AV1546" s="86"/>
      <c r="AW1546" s="96" t="str">
        <f>HYPERLINK("https://t.co/ZkbLX1qQvG")</f>
        <v>https://t.co/ZkbLX1qQvG</v>
      </c>
      <c r="AX1546" s="86" t="b">
        <v>0</v>
      </c>
      <c r="AY1546" s="86"/>
      <c r="AZ1546" s="86"/>
      <c r="BA1546" s="86" t="b">
        <v>0</v>
      </c>
      <c r="BB1546" s="86" t="b">
        <v>1</v>
      </c>
      <c r="BC1546" s="86" t="b">
        <v>1</v>
      </c>
      <c r="BD1546" s="86" t="b">
        <v>0</v>
      </c>
      <c r="BE1546" s="86" t="b">
        <v>0</v>
      </c>
      <c r="BF1546" s="86" t="b">
        <v>0</v>
      </c>
      <c r="BG1546" s="86" t="b">
        <v>0</v>
      </c>
      <c r="BH1546" s="96" t="str">
        <f>HYPERLINK("https://pbs.twimg.com/profile_banners/1670789745775894530/1687453117")</f>
        <v>https://pbs.twimg.com/profile_banners/1670789745775894530/1687453117</v>
      </c>
      <c r="BI1546" s="86"/>
      <c r="BJ1546" s="86" t="s">
        <v>29134</v>
      </c>
      <c r="BK1546" s="86" t="b">
        <v>0</v>
      </c>
      <c r="BL1546" s="86"/>
      <c r="BM1546" s="86" t="s">
        <v>66</v>
      </c>
      <c r="BN1546" s="86" t="s">
        <v>29136</v>
      </c>
      <c r="BO1546" s="96" t="str">
        <f>HYPERLINK("https://twitter.com/diempcefetrj")</f>
        <v>https://twitter.com/diempcefetrj</v>
      </c>
      <c r="BP1546" s="2"/>
    </row>
    <row r="1547" spans="1:68" x14ac:dyDescent="0.25">
      <c r="A1547" s="63" t="s">
        <v>1548</v>
      </c>
      <c r="B1547" s="64"/>
      <c r="C1547" s="64"/>
      <c r="D1547" s="65"/>
      <c r="E1547" s="67"/>
      <c r="F1547" s="111" t="str">
        <f>HYPERLINK("https://pbs.twimg.com/profile_images/1668374097351303169/F_CPsZHQ_normal.png")</f>
        <v>https://pbs.twimg.com/profile_images/1668374097351303169/F_CPsZHQ_normal.png</v>
      </c>
      <c r="G1547" s="64"/>
      <c r="H1547" s="68"/>
      <c r="I1547" s="69"/>
      <c r="J1547" s="69"/>
      <c r="K1547" s="68" t="s">
        <v>30680</v>
      </c>
      <c r="L1547" s="72"/>
      <c r="M1547" s="73"/>
      <c r="N1547" s="73"/>
      <c r="O1547" s="74"/>
      <c r="P1547" s="75"/>
      <c r="Q1547" s="75"/>
      <c r="R1547" s="102"/>
      <c r="S1547" s="102"/>
      <c r="T1547" s="102"/>
      <c r="U1547" s="102"/>
      <c r="V1547" s="48"/>
      <c r="W1547" s="48"/>
      <c r="X1547" s="48"/>
      <c r="Y1547" s="48"/>
      <c r="Z1547" s="47"/>
      <c r="AA1547" s="70">
        <v>1547</v>
      </c>
      <c r="AB1547" s="70"/>
      <c r="AC1547" s="71"/>
      <c r="AD1547" s="86" t="s">
        <v>25136</v>
      </c>
      <c r="AE1547" s="94" t="s">
        <v>23563</v>
      </c>
      <c r="AF1547" s="86">
        <v>4</v>
      </c>
      <c r="AG1547" s="86">
        <v>57</v>
      </c>
      <c r="AH1547" s="86">
        <v>161</v>
      </c>
      <c r="AI1547" s="86">
        <v>1</v>
      </c>
      <c r="AJ1547" s="86">
        <v>108</v>
      </c>
      <c r="AK1547" s="86">
        <v>149</v>
      </c>
      <c r="AL1547" s="86" t="b">
        <v>0</v>
      </c>
      <c r="AM1547" s="89">
        <v>45087.666400462964</v>
      </c>
      <c r="AN1547" s="86"/>
      <c r="AO1547" s="86" t="s">
        <v>27828</v>
      </c>
      <c r="AP1547" s="96" t="str">
        <f>HYPERLINK("https://t.co/nTPkpFEgp5")</f>
        <v>https://t.co/nTPkpFEgp5</v>
      </c>
      <c r="AQ1547" s="96" t="str">
        <f>HYPERLINK("https://linktr.ee/PodMais")</f>
        <v>https://linktr.ee/PodMais</v>
      </c>
      <c r="AR1547" s="86" t="s">
        <v>28934</v>
      </c>
      <c r="AS1547" s="86"/>
      <c r="AT1547" s="86"/>
      <c r="AU1547" s="86"/>
      <c r="AV1547" s="86"/>
      <c r="AW1547" s="96" t="str">
        <f>HYPERLINK("https://t.co/nTPkpFEgp5")</f>
        <v>https://t.co/nTPkpFEgp5</v>
      </c>
      <c r="AX1547" s="86" t="b">
        <v>0</v>
      </c>
      <c r="AY1547" s="86"/>
      <c r="AZ1547" s="86"/>
      <c r="BA1547" s="86" t="b">
        <v>0</v>
      </c>
      <c r="BB1547" s="86" t="b">
        <v>1</v>
      </c>
      <c r="BC1547" s="86" t="b">
        <v>1</v>
      </c>
      <c r="BD1547" s="86" t="b">
        <v>0</v>
      </c>
      <c r="BE1547" s="86" t="b">
        <v>0</v>
      </c>
      <c r="BF1547" s="86" t="b">
        <v>0</v>
      </c>
      <c r="BG1547" s="86" t="b">
        <v>0</v>
      </c>
      <c r="BH1547" s="96" t="str">
        <f>HYPERLINK("https://pbs.twimg.com/profile_banners/1667561948173484032/1686606856")</f>
        <v>https://pbs.twimg.com/profile_banners/1667561948173484032/1686606856</v>
      </c>
      <c r="BI1547" s="86"/>
      <c r="BJ1547" s="86" t="s">
        <v>29134</v>
      </c>
      <c r="BK1547" s="86" t="b">
        <v>0</v>
      </c>
      <c r="BL1547" s="86"/>
      <c r="BM1547" s="86" t="s">
        <v>66</v>
      </c>
      <c r="BN1547" s="86" t="s">
        <v>29136</v>
      </c>
      <c r="BO1547" s="96" t="str">
        <f>HYPERLINK("https://twitter.com/opodmais")</f>
        <v>https://twitter.com/opodmais</v>
      </c>
      <c r="BP1547" s="2"/>
    </row>
    <row r="1548" spans="1:68" x14ac:dyDescent="0.25">
      <c r="A1548" s="63" t="s">
        <v>1549</v>
      </c>
      <c r="B1548" s="64"/>
      <c r="C1548" s="64"/>
      <c r="D1548" s="65"/>
      <c r="E1548" s="67"/>
      <c r="F1548" s="111" t="str">
        <f>HYPERLINK("https://pbs.twimg.com/profile_images/1534966778039783434/1Wb7jCkl_normal.jpg")</f>
        <v>https://pbs.twimg.com/profile_images/1534966778039783434/1Wb7jCkl_normal.jpg</v>
      </c>
      <c r="G1548" s="64"/>
      <c r="H1548" s="68"/>
      <c r="I1548" s="69"/>
      <c r="J1548" s="69"/>
      <c r="K1548" s="68" t="s">
        <v>30681</v>
      </c>
      <c r="L1548" s="72"/>
      <c r="M1548" s="73"/>
      <c r="N1548" s="73"/>
      <c r="O1548" s="74"/>
      <c r="P1548" s="75"/>
      <c r="Q1548" s="75"/>
      <c r="R1548" s="102"/>
      <c r="S1548" s="102"/>
      <c r="T1548" s="102"/>
      <c r="U1548" s="102"/>
      <c r="V1548" s="48"/>
      <c r="W1548" s="48"/>
      <c r="X1548" s="48"/>
      <c r="Y1548" s="48"/>
      <c r="Z1548" s="47"/>
      <c r="AA1548" s="70">
        <v>1548</v>
      </c>
      <c r="AB1548" s="70"/>
      <c r="AC1548" s="71"/>
      <c r="AD1548" s="86" t="s">
        <v>25137</v>
      </c>
      <c r="AE1548" s="94" t="s">
        <v>25845</v>
      </c>
      <c r="AF1548" s="86">
        <v>12963</v>
      </c>
      <c r="AG1548" s="86">
        <v>775</v>
      </c>
      <c r="AH1548" s="86">
        <v>9841</v>
      </c>
      <c r="AI1548" s="86">
        <v>111</v>
      </c>
      <c r="AJ1548" s="86">
        <v>4314</v>
      </c>
      <c r="AK1548" s="86">
        <v>6929</v>
      </c>
      <c r="AL1548" s="86" t="b">
        <v>0</v>
      </c>
      <c r="AM1548" s="89">
        <v>41465.555625000001</v>
      </c>
      <c r="AN1548" s="86" t="s">
        <v>26398</v>
      </c>
      <c r="AO1548" s="86" t="s">
        <v>27829</v>
      </c>
      <c r="AP1548" s="96" t="str">
        <f>HYPERLINK("https://t.co/nXY4eAQt4H")</f>
        <v>https://t.co/nXY4eAQt4H</v>
      </c>
      <c r="AQ1548" s="96" t="str">
        <f>HYPERLINK("https://gov.br/enap")</f>
        <v>https://gov.br/enap</v>
      </c>
      <c r="AR1548" s="86" t="s">
        <v>28935</v>
      </c>
      <c r="AS1548" s="86"/>
      <c r="AT1548" s="86"/>
      <c r="AU1548" s="86"/>
      <c r="AV1548" s="86"/>
      <c r="AW1548" s="96" t="str">
        <f>HYPERLINK("https://t.co/nXY4eAQt4H")</f>
        <v>https://t.co/nXY4eAQt4H</v>
      </c>
      <c r="AX1548" s="86" t="b">
        <v>0</v>
      </c>
      <c r="AY1548" s="86"/>
      <c r="AZ1548" s="86"/>
      <c r="BA1548" s="86" t="b">
        <v>0</v>
      </c>
      <c r="BB1548" s="86" t="b">
        <v>1</v>
      </c>
      <c r="BC1548" s="86" t="b">
        <v>0</v>
      </c>
      <c r="BD1548" s="86" t="b">
        <v>0</v>
      </c>
      <c r="BE1548" s="86" t="b">
        <v>0</v>
      </c>
      <c r="BF1548" s="86" t="b">
        <v>0</v>
      </c>
      <c r="BG1548" s="86" t="b">
        <v>0</v>
      </c>
      <c r="BH1548" s="96" t="str">
        <f>HYPERLINK("https://pbs.twimg.com/profile_banners/1583124007/1683838862")</f>
        <v>https://pbs.twimg.com/profile_banners/1583124007/1683838862</v>
      </c>
      <c r="BI1548" s="86"/>
      <c r="BJ1548" s="86" t="s">
        <v>29134</v>
      </c>
      <c r="BK1548" s="86" t="b">
        <v>0</v>
      </c>
      <c r="BL1548" s="86"/>
      <c r="BM1548" s="86" t="s">
        <v>66</v>
      </c>
      <c r="BN1548" s="86" t="s">
        <v>29136</v>
      </c>
      <c r="BO1548" s="96" t="str">
        <f>HYPERLINK("https://twitter.com/enapgovbr")</f>
        <v>https://twitter.com/enapgovbr</v>
      </c>
      <c r="BP1548" s="2"/>
    </row>
    <row r="1549" spans="1:68" x14ac:dyDescent="0.25">
      <c r="A1549" s="63" t="s">
        <v>1550</v>
      </c>
      <c r="B1549" s="64"/>
      <c r="C1549" s="64"/>
      <c r="D1549" s="65"/>
      <c r="E1549" s="67"/>
      <c r="F1549" s="111" t="str">
        <f>HYPERLINK("https://pbs.twimg.com/profile_images/1660624747418251265/o28eepza_normal.jpg")</f>
        <v>https://pbs.twimg.com/profile_images/1660624747418251265/o28eepza_normal.jpg</v>
      </c>
      <c r="G1549" s="64"/>
      <c r="H1549" s="68"/>
      <c r="I1549" s="69"/>
      <c r="J1549" s="69"/>
      <c r="K1549" s="68" t="s">
        <v>30682</v>
      </c>
      <c r="L1549" s="72"/>
      <c r="M1549" s="73"/>
      <c r="N1549" s="73"/>
      <c r="O1549" s="74"/>
      <c r="P1549" s="75"/>
      <c r="Q1549" s="75"/>
      <c r="R1549" s="102"/>
      <c r="S1549" s="102"/>
      <c r="T1549" s="102"/>
      <c r="U1549" s="102"/>
      <c r="V1549" s="48"/>
      <c r="W1549" s="48"/>
      <c r="X1549" s="48"/>
      <c r="Y1549" s="48"/>
      <c r="Z1549" s="47"/>
      <c r="AA1549" s="70">
        <v>1549</v>
      </c>
      <c r="AB1549" s="70"/>
      <c r="AC1549" s="71"/>
      <c r="AD1549" s="86" t="s">
        <v>25138</v>
      </c>
      <c r="AE1549" s="94" t="s">
        <v>23564</v>
      </c>
      <c r="AF1549" s="86">
        <v>1617</v>
      </c>
      <c r="AG1549" s="86">
        <v>145</v>
      </c>
      <c r="AH1549" s="86">
        <v>5510</v>
      </c>
      <c r="AI1549" s="86">
        <v>8</v>
      </c>
      <c r="AJ1549" s="86">
        <v>330</v>
      </c>
      <c r="AK1549" s="86">
        <v>2271</v>
      </c>
      <c r="AL1549" s="86" t="b">
        <v>0</v>
      </c>
      <c r="AM1549" s="89">
        <v>44105.69326388889</v>
      </c>
      <c r="AN1549" s="86" t="s">
        <v>26399</v>
      </c>
      <c r="AO1549" s="86" t="s">
        <v>27830</v>
      </c>
      <c r="AP1549" s="96" t="str">
        <f>HYPERLINK("https://t.co/AWvR2qk19c")</f>
        <v>https://t.co/AWvR2qk19c</v>
      </c>
      <c r="AQ1549" s="96" t="str">
        <f>HYPERLINK("https://linktr.ee/sccsbt")</f>
        <v>https://linktr.ee/sccsbt</v>
      </c>
      <c r="AR1549" s="86" t="s">
        <v>28936</v>
      </c>
      <c r="AS1549" s="86"/>
      <c r="AT1549" s="86"/>
      <c r="AU1549" s="86"/>
      <c r="AV1549" s="86"/>
      <c r="AW1549" s="96" t="str">
        <f>HYPERLINK("https://t.co/AWvR2qk19c")</f>
        <v>https://t.co/AWvR2qk19c</v>
      </c>
      <c r="AX1549" s="86" t="b">
        <v>0</v>
      </c>
      <c r="AY1549" s="86"/>
      <c r="AZ1549" s="86"/>
      <c r="BA1549" s="86" t="b">
        <v>0</v>
      </c>
      <c r="BB1549" s="86" t="b">
        <v>1</v>
      </c>
      <c r="BC1549" s="86" t="b">
        <v>1</v>
      </c>
      <c r="BD1549" s="86" t="b">
        <v>0</v>
      </c>
      <c r="BE1549" s="86" t="b">
        <v>0</v>
      </c>
      <c r="BF1549" s="86" t="b">
        <v>0</v>
      </c>
      <c r="BG1549" s="86" t="b">
        <v>0</v>
      </c>
      <c r="BH1549" s="96" t="str">
        <f>HYPERLINK("https://pbs.twimg.com/profile_banners/1311706651150503936/1684758769")</f>
        <v>https://pbs.twimg.com/profile_banners/1311706651150503936/1684758769</v>
      </c>
      <c r="BI1549" s="86"/>
      <c r="BJ1549" s="86" t="s">
        <v>29134</v>
      </c>
      <c r="BK1549" s="86" t="b">
        <v>0</v>
      </c>
      <c r="BL1549" s="86"/>
      <c r="BM1549" s="86" t="s">
        <v>66</v>
      </c>
      <c r="BN1549" s="86" t="s">
        <v>29136</v>
      </c>
      <c r="BO1549" s="96" t="str">
        <f>HYPERLINK("https://twitter.com/sccsbtoficial")</f>
        <v>https://twitter.com/sccsbtoficial</v>
      </c>
      <c r="BP1549" s="2"/>
    </row>
    <row r="1550" spans="1:68" x14ac:dyDescent="0.25">
      <c r="A1550" s="63" t="s">
        <v>1551</v>
      </c>
      <c r="B1550" s="64"/>
      <c r="C1550" s="64"/>
      <c r="D1550" s="65"/>
      <c r="E1550" s="67"/>
      <c r="F1550" s="111" t="str">
        <f>HYPERLINK("https://pbs.twimg.com/profile_images/1682355836998279168/1CBJITIk_normal.jpg")</f>
        <v>https://pbs.twimg.com/profile_images/1682355836998279168/1CBJITIk_normal.jpg</v>
      </c>
      <c r="G1550" s="64"/>
      <c r="H1550" s="68"/>
      <c r="I1550" s="69"/>
      <c r="J1550" s="69"/>
      <c r="K1550" s="68" t="s">
        <v>30683</v>
      </c>
      <c r="L1550" s="72"/>
      <c r="M1550" s="73"/>
      <c r="N1550" s="73"/>
      <c r="O1550" s="74"/>
      <c r="P1550" s="75"/>
      <c r="Q1550" s="75"/>
      <c r="R1550" s="102"/>
      <c r="S1550" s="102"/>
      <c r="T1550" s="102"/>
      <c r="U1550" s="102"/>
      <c r="V1550" s="48"/>
      <c r="W1550" s="48"/>
      <c r="X1550" s="48"/>
      <c r="Y1550" s="48"/>
      <c r="Z1550" s="47"/>
      <c r="AA1550" s="70">
        <v>1550</v>
      </c>
      <c r="AB1550" s="70"/>
      <c r="AC1550" s="71"/>
      <c r="AD1550" s="86" t="s">
        <v>1551</v>
      </c>
      <c r="AE1550" s="94" t="s">
        <v>23565</v>
      </c>
      <c r="AF1550" s="86">
        <v>11</v>
      </c>
      <c r="AG1550" s="86">
        <v>6</v>
      </c>
      <c r="AH1550" s="86">
        <v>623</v>
      </c>
      <c r="AI1550" s="86">
        <v>0</v>
      </c>
      <c r="AJ1550" s="86">
        <v>404</v>
      </c>
      <c r="AK1550" s="86">
        <v>213</v>
      </c>
      <c r="AL1550" s="86" t="b">
        <v>0</v>
      </c>
      <c r="AM1550" s="89">
        <v>45092.103055555555</v>
      </c>
      <c r="AN1550" s="86" t="s">
        <v>15234</v>
      </c>
      <c r="AO1550" s="86" t="s">
        <v>27831</v>
      </c>
      <c r="AP1550" s="96" t="str">
        <f>HYPERLINK("https://t.co/BjszqFpJZk")</f>
        <v>https://t.co/BjszqFpJZk</v>
      </c>
      <c r="AQ1550" s="96" t="str">
        <f>HYPERLINK("https://payfast.greenn.com.br/redirect/32767/?a_id=303625")</f>
        <v>https://payfast.greenn.com.br/redirect/32767/?a_id=303625</v>
      </c>
      <c r="AR1550" s="86" t="s">
        <v>28937</v>
      </c>
      <c r="AS1550" s="86"/>
      <c r="AT1550" s="86"/>
      <c r="AU1550" s="86"/>
      <c r="AV1550" s="86"/>
      <c r="AW1550" s="96" t="str">
        <f>HYPERLINK("https://t.co/BjszqFpJZk")</f>
        <v>https://t.co/BjszqFpJZk</v>
      </c>
      <c r="AX1550" s="86" t="b">
        <v>0</v>
      </c>
      <c r="AY1550" s="86"/>
      <c r="AZ1550" s="86"/>
      <c r="BA1550" s="86" t="b">
        <v>0</v>
      </c>
      <c r="BB1550" s="86" t="b">
        <v>1</v>
      </c>
      <c r="BC1550" s="86" t="b">
        <v>1</v>
      </c>
      <c r="BD1550" s="86" t="b">
        <v>0</v>
      </c>
      <c r="BE1550" s="86" t="b">
        <v>0</v>
      </c>
      <c r="BF1550" s="86" t="b">
        <v>0</v>
      </c>
      <c r="BG1550" s="86" t="b">
        <v>0</v>
      </c>
      <c r="BH1550" s="86"/>
      <c r="BI1550" s="86"/>
      <c r="BJ1550" s="86" t="s">
        <v>29134</v>
      </c>
      <c r="BK1550" s="86" t="b">
        <v>0</v>
      </c>
      <c r="BL1550" s="86"/>
      <c r="BM1550" s="86" t="s">
        <v>66</v>
      </c>
      <c r="BN1550" s="86" t="s">
        <v>29136</v>
      </c>
      <c r="BO1550" s="96" t="str">
        <f>HYPERLINK("https://twitter.com/shortsdoraiam")</f>
        <v>https://twitter.com/shortsdoraiam</v>
      </c>
      <c r="BP1550" s="2"/>
    </row>
    <row r="1551" spans="1:68" x14ac:dyDescent="0.25">
      <c r="A1551" s="63" t="s">
        <v>1552</v>
      </c>
      <c r="B1551" s="64"/>
      <c r="C1551" s="64"/>
      <c r="D1551" s="65"/>
      <c r="E1551" s="67"/>
      <c r="F1551" s="111" t="str">
        <f>HYPERLINK("https://pbs.twimg.com/profile_images/1675132868509548545/mmUaCGuZ_normal.jpg")</f>
        <v>https://pbs.twimg.com/profile_images/1675132868509548545/mmUaCGuZ_normal.jpg</v>
      </c>
      <c r="G1551" s="64"/>
      <c r="H1551" s="68"/>
      <c r="I1551" s="69"/>
      <c r="J1551" s="69"/>
      <c r="K1551" s="68" t="s">
        <v>30684</v>
      </c>
      <c r="L1551" s="72"/>
      <c r="M1551" s="73"/>
      <c r="N1551" s="73"/>
      <c r="O1551" s="74"/>
      <c r="P1551" s="75"/>
      <c r="Q1551" s="75"/>
      <c r="R1551" s="102"/>
      <c r="S1551" s="102"/>
      <c r="T1551" s="102"/>
      <c r="U1551" s="102"/>
      <c r="V1551" s="48"/>
      <c r="W1551" s="48"/>
      <c r="X1551" s="48"/>
      <c r="Y1551" s="48"/>
      <c r="Z1551" s="47"/>
      <c r="AA1551" s="70">
        <v>1551</v>
      </c>
      <c r="AB1551" s="70"/>
      <c r="AC1551" s="71"/>
      <c r="AD1551" s="86" t="s">
        <v>25139</v>
      </c>
      <c r="AE1551" s="94" t="s">
        <v>23566</v>
      </c>
      <c r="AF1551" s="86">
        <v>3</v>
      </c>
      <c r="AG1551" s="86">
        <v>74</v>
      </c>
      <c r="AH1551" s="86">
        <v>212</v>
      </c>
      <c r="AI1551" s="86">
        <v>0</v>
      </c>
      <c r="AJ1551" s="86">
        <v>35</v>
      </c>
      <c r="AK1551" s="86">
        <v>211</v>
      </c>
      <c r="AL1551" s="86" t="b">
        <v>0</v>
      </c>
      <c r="AM1551" s="89">
        <v>45108.551122685189</v>
      </c>
      <c r="AN1551" s="86" t="s">
        <v>15378</v>
      </c>
      <c r="AO1551" s="86" t="s">
        <v>27832</v>
      </c>
      <c r="AP1551" s="96" t="str">
        <f>HYPERLINK("https://t.co/Pkpd07wydM")</f>
        <v>https://t.co/Pkpd07wydM</v>
      </c>
      <c r="AQ1551" s="96" t="str">
        <f>HYPERLINK("https://www.clinicawashingtonamancio.com/")</f>
        <v>https://www.clinicawashingtonamancio.com/</v>
      </c>
      <c r="AR1551" s="86" t="s">
        <v>8557</v>
      </c>
      <c r="AS1551" s="86"/>
      <c r="AT1551" s="86"/>
      <c r="AU1551" s="86"/>
      <c r="AV1551" s="86"/>
      <c r="AW1551" s="96" t="str">
        <f>HYPERLINK("https://t.co/Pkpd07wydM")</f>
        <v>https://t.co/Pkpd07wydM</v>
      </c>
      <c r="AX1551" s="86" t="b">
        <v>0</v>
      </c>
      <c r="AY1551" s="86"/>
      <c r="AZ1551" s="86"/>
      <c r="BA1551" s="86" t="b">
        <v>0</v>
      </c>
      <c r="BB1551" s="86" t="b">
        <v>1</v>
      </c>
      <c r="BC1551" s="86" t="b">
        <v>1</v>
      </c>
      <c r="BD1551" s="86" t="b">
        <v>0</v>
      </c>
      <c r="BE1551" s="86" t="b">
        <v>0</v>
      </c>
      <c r="BF1551" s="86" t="b">
        <v>0</v>
      </c>
      <c r="BG1551" s="86" t="b">
        <v>0</v>
      </c>
      <c r="BH1551" s="96" t="str">
        <f>HYPERLINK("https://pbs.twimg.com/profile_banners/1675130387658407938/1688217931")</f>
        <v>https://pbs.twimg.com/profile_banners/1675130387658407938/1688217931</v>
      </c>
      <c r="BI1551" s="86"/>
      <c r="BJ1551" s="86" t="s">
        <v>29134</v>
      </c>
      <c r="BK1551" s="86" t="b">
        <v>0</v>
      </c>
      <c r="BL1551" s="86"/>
      <c r="BM1551" s="86" t="s">
        <v>66</v>
      </c>
      <c r="BN1551" s="86" t="s">
        <v>29136</v>
      </c>
      <c r="BO1551" s="96" t="str">
        <f>HYPERLINK("https://twitter.com/marcia23403")</f>
        <v>https://twitter.com/marcia23403</v>
      </c>
      <c r="BP1551" s="2"/>
    </row>
    <row r="1552" spans="1:68" x14ac:dyDescent="0.25">
      <c r="A1552" s="63" t="s">
        <v>1553</v>
      </c>
      <c r="B1552" s="64"/>
      <c r="C1552" s="64"/>
      <c r="D1552" s="65"/>
      <c r="E1552" s="67"/>
      <c r="F1552" s="111" t="str">
        <f>HYPERLINK("https://pbs.twimg.com/profile_images/1701323346267267072/-kQ-K7DI_normal.jpg")</f>
        <v>https://pbs.twimg.com/profile_images/1701323346267267072/-kQ-K7DI_normal.jpg</v>
      </c>
      <c r="G1552" s="64"/>
      <c r="H1552" s="68"/>
      <c r="I1552" s="69"/>
      <c r="J1552" s="69"/>
      <c r="K1552" s="68" t="s">
        <v>30685</v>
      </c>
      <c r="L1552" s="72"/>
      <c r="M1552" s="73"/>
      <c r="N1552" s="73"/>
      <c r="O1552" s="74"/>
      <c r="P1552" s="75"/>
      <c r="Q1552" s="75"/>
      <c r="R1552" s="102"/>
      <c r="S1552" s="102"/>
      <c r="T1552" s="102"/>
      <c r="U1552" s="102"/>
      <c r="V1552" s="48"/>
      <c r="W1552" s="48"/>
      <c r="X1552" s="48"/>
      <c r="Y1552" s="48"/>
      <c r="Z1552" s="47"/>
      <c r="AA1552" s="70">
        <v>1552</v>
      </c>
      <c r="AB1552" s="70"/>
      <c r="AC1552" s="71"/>
      <c r="AD1552" s="86" t="s">
        <v>25140</v>
      </c>
      <c r="AE1552" s="94" t="s">
        <v>23567</v>
      </c>
      <c r="AF1552" s="86">
        <v>37</v>
      </c>
      <c r="AG1552" s="86">
        <v>145</v>
      </c>
      <c r="AH1552" s="86">
        <v>524</v>
      </c>
      <c r="AI1552" s="86">
        <v>1</v>
      </c>
      <c r="AJ1552" s="86">
        <v>370</v>
      </c>
      <c r="AK1552" s="86">
        <v>52</v>
      </c>
      <c r="AL1552" s="86" t="b">
        <v>0</v>
      </c>
      <c r="AM1552" s="89">
        <v>43199.624710648146</v>
      </c>
      <c r="AN1552" s="86" t="s">
        <v>15257</v>
      </c>
      <c r="AO1552" s="86" t="s">
        <v>27833</v>
      </c>
      <c r="AP1552" s="96" t="str">
        <f>HYPERLINK("https://t.co/9EJBUikKqu")</f>
        <v>https://t.co/9EJBUikKqu</v>
      </c>
      <c r="AQ1552" s="96" t="str">
        <f>HYPERLINK("http://instagram.com/fatorleo")</f>
        <v>http://instagram.com/fatorleo</v>
      </c>
      <c r="AR1552" s="86" t="s">
        <v>28938</v>
      </c>
      <c r="AS1552" s="86"/>
      <c r="AT1552" s="86"/>
      <c r="AU1552" s="86"/>
      <c r="AV1552" s="86">
        <v>1.49550592456749E+18</v>
      </c>
      <c r="AW1552" s="96" t="str">
        <f>HYPERLINK("https://t.co/9EJBUikKqu")</f>
        <v>https://t.co/9EJBUikKqu</v>
      </c>
      <c r="AX1552" s="86" t="b">
        <v>0</v>
      </c>
      <c r="AY1552" s="86"/>
      <c r="AZ1552" s="86"/>
      <c r="BA1552" s="86" t="b">
        <v>1</v>
      </c>
      <c r="BB1552" s="86" t="b">
        <v>0</v>
      </c>
      <c r="BC1552" s="86" t="b">
        <v>1</v>
      </c>
      <c r="BD1552" s="86" t="b">
        <v>0</v>
      </c>
      <c r="BE1552" s="86" t="b">
        <v>0</v>
      </c>
      <c r="BF1552" s="86" t="b">
        <v>0</v>
      </c>
      <c r="BG1552" s="86" t="b">
        <v>0</v>
      </c>
      <c r="BH1552" s="96" t="str">
        <f>HYPERLINK("https://pbs.twimg.com/profile_banners/983358771928977408/1681997570")</f>
        <v>https://pbs.twimg.com/profile_banners/983358771928977408/1681997570</v>
      </c>
      <c r="BI1552" s="86"/>
      <c r="BJ1552" s="86" t="s">
        <v>29134</v>
      </c>
      <c r="BK1552" s="86" t="b">
        <v>0</v>
      </c>
      <c r="BL1552" s="86"/>
      <c r="BM1552" s="86" t="s">
        <v>66</v>
      </c>
      <c r="BN1552" s="86" t="s">
        <v>29136</v>
      </c>
      <c r="BO1552" s="96" t="str">
        <f>HYPERLINK("https://twitter.com/fatorleo")</f>
        <v>https://twitter.com/fatorleo</v>
      </c>
      <c r="BP1552" s="2"/>
    </row>
    <row r="1553" spans="1:68" x14ac:dyDescent="0.25">
      <c r="A1553" s="63" t="s">
        <v>1554</v>
      </c>
      <c r="B1553" s="64"/>
      <c r="C1553" s="64"/>
      <c r="D1553" s="65"/>
      <c r="E1553" s="67"/>
      <c r="F1553" s="111" t="str">
        <f>HYPERLINK("https://pbs.twimg.com/profile_images/1688187790708678656/FSeMnhR5_normal.jpg")</f>
        <v>https://pbs.twimg.com/profile_images/1688187790708678656/FSeMnhR5_normal.jpg</v>
      </c>
      <c r="G1553" s="64"/>
      <c r="H1553" s="68"/>
      <c r="I1553" s="69"/>
      <c r="J1553" s="69"/>
      <c r="K1553" s="68" t="s">
        <v>30686</v>
      </c>
      <c r="L1553" s="72"/>
      <c r="M1553" s="73"/>
      <c r="N1553" s="73"/>
      <c r="O1553" s="74"/>
      <c r="P1553" s="75"/>
      <c r="Q1553" s="75"/>
      <c r="R1553" s="102"/>
      <c r="S1553" s="102"/>
      <c r="T1553" s="102"/>
      <c r="U1553" s="102"/>
      <c r="V1553" s="48"/>
      <c r="W1553" s="48"/>
      <c r="X1553" s="48"/>
      <c r="Y1553" s="48"/>
      <c r="Z1553" s="47"/>
      <c r="AA1553" s="70">
        <v>1553</v>
      </c>
      <c r="AB1553" s="70"/>
      <c r="AC1553" s="71"/>
      <c r="AD1553" s="86" t="s">
        <v>25141</v>
      </c>
      <c r="AE1553" s="94" t="s">
        <v>23568</v>
      </c>
      <c r="AF1553" s="86">
        <v>4</v>
      </c>
      <c r="AG1553" s="86">
        <v>28</v>
      </c>
      <c r="AH1553" s="86">
        <v>28</v>
      </c>
      <c r="AI1553" s="86">
        <v>0</v>
      </c>
      <c r="AJ1553" s="86">
        <v>21</v>
      </c>
      <c r="AK1553" s="86">
        <v>23</v>
      </c>
      <c r="AL1553" s="86" t="b">
        <v>0</v>
      </c>
      <c r="AM1553" s="89">
        <v>45138.01295138889</v>
      </c>
      <c r="AN1553" s="86"/>
      <c r="AO1553" s="86" t="s">
        <v>27834</v>
      </c>
      <c r="AP1553" s="96" t="str">
        <f>HYPERLINK("https://t.co/CgdYlx1v2p")</f>
        <v>https://t.co/CgdYlx1v2p</v>
      </c>
      <c r="AQ1553" s="96" t="str">
        <f>HYPERLINK("https://linktr.ee/cortesrato")</f>
        <v>https://linktr.ee/cortesrato</v>
      </c>
      <c r="AR1553" s="86" t="s">
        <v>28939</v>
      </c>
      <c r="AS1553" s="86"/>
      <c r="AT1553" s="86"/>
      <c r="AU1553" s="86"/>
      <c r="AV1553" s="86"/>
      <c r="AW1553" s="96" t="str">
        <f>HYPERLINK("https://t.co/CgdYlx1v2p")</f>
        <v>https://t.co/CgdYlx1v2p</v>
      </c>
      <c r="AX1553" s="86" t="b">
        <v>0</v>
      </c>
      <c r="AY1553" s="86"/>
      <c r="AZ1553" s="86"/>
      <c r="BA1553" s="86" t="b">
        <v>0</v>
      </c>
      <c r="BB1553" s="86" t="b">
        <v>1</v>
      </c>
      <c r="BC1553" s="86" t="b">
        <v>1</v>
      </c>
      <c r="BD1553" s="86" t="b">
        <v>0</v>
      </c>
      <c r="BE1553" s="86" t="b">
        <v>0</v>
      </c>
      <c r="BF1553" s="86" t="b">
        <v>0</v>
      </c>
      <c r="BG1553" s="86" t="b">
        <v>0</v>
      </c>
      <c r="BH1553" s="86"/>
      <c r="BI1553" s="86"/>
      <c r="BJ1553" s="86" t="s">
        <v>29134</v>
      </c>
      <c r="BK1553" s="86" t="b">
        <v>0</v>
      </c>
      <c r="BL1553" s="86"/>
      <c r="BM1553" s="86" t="s">
        <v>66</v>
      </c>
      <c r="BN1553" s="86" t="s">
        <v>29136</v>
      </c>
      <c r="BO1553" s="96" t="str">
        <f>HYPERLINK("https://twitter.com/cortesrato")</f>
        <v>https://twitter.com/cortesrato</v>
      </c>
      <c r="BP1553" s="2"/>
    </row>
    <row r="1554" spans="1:68" x14ac:dyDescent="0.25">
      <c r="A1554" s="63" t="s">
        <v>1555</v>
      </c>
      <c r="B1554" s="64"/>
      <c r="C1554" s="64"/>
      <c r="D1554" s="65"/>
      <c r="E1554" s="67"/>
      <c r="F1554" s="111" t="str">
        <f>HYPERLINK("https://pbs.twimg.com/profile_images/1641890814782590990/W6oGK9te_normal.jpg")</f>
        <v>https://pbs.twimg.com/profile_images/1641890814782590990/W6oGK9te_normal.jpg</v>
      </c>
      <c r="G1554" s="64"/>
      <c r="H1554" s="68"/>
      <c r="I1554" s="69"/>
      <c r="J1554" s="69"/>
      <c r="K1554" s="68" t="s">
        <v>30687</v>
      </c>
      <c r="L1554" s="72"/>
      <c r="M1554" s="73"/>
      <c r="N1554" s="73"/>
      <c r="O1554" s="74"/>
      <c r="P1554" s="75"/>
      <c r="Q1554" s="75"/>
      <c r="R1554" s="102"/>
      <c r="S1554" s="102"/>
      <c r="T1554" s="102"/>
      <c r="U1554" s="102"/>
      <c r="V1554" s="48"/>
      <c r="W1554" s="48"/>
      <c r="X1554" s="48"/>
      <c r="Y1554" s="48"/>
      <c r="Z1554" s="47"/>
      <c r="AA1554" s="70">
        <v>1554</v>
      </c>
      <c r="AB1554" s="70"/>
      <c r="AC1554" s="71"/>
      <c r="AD1554" s="86" t="s">
        <v>25142</v>
      </c>
      <c r="AE1554" s="94" t="s">
        <v>25846</v>
      </c>
      <c r="AF1554" s="86">
        <v>1749</v>
      </c>
      <c r="AG1554" s="86">
        <v>207</v>
      </c>
      <c r="AH1554" s="86">
        <v>11515</v>
      </c>
      <c r="AI1554" s="86">
        <v>12</v>
      </c>
      <c r="AJ1554" s="86">
        <v>951</v>
      </c>
      <c r="AK1554" s="86">
        <v>4816</v>
      </c>
      <c r="AL1554" s="86" t="b">
        <v>0</v>
      </c>
      <c r="AM1554" s="89">
        <v>41018.79142361111</v>
      </c>
      <c r="AN1554" s="86"/>
      <c r="AO1554" s="86" t="s">
        <v>27835</v>
      </c>
      <c r="AP1554" s="96" t="str">
        <f>HYPERLINK("https://t.co/fW3eHy24UJ")</f>
        <v>https://t.co/fW3eHy24UJ</v>
      </c>
      <c r="AQ1554" s="96" t="str">
        <f>HYPERLINK("http://www.sistemafaemg.org.br")</f>
        <v>http://www.sistemafaemg.org.br</v>
      </c>
      <c r="AR1554" s="86" t="s">
        <v>28940</v>
      </c>
      <c r="AS1554" s="86"/>
      <c r="AT1554" s="86"/>
      <c r="AU1554" s="86"/>
      <c r="AV1554" s="86"/>
      <c r="AW1554" s="96" t="str">
        <f>HYPERLINK("https://t.co/fW3eHy24UJ")</f>
        <v>https://t.co/fW3eHy24UJ</v>
      </c>
      <c r="AX1554" s="86" t="b">
        <v>0</v>
      </c>
      <c r="AY1554" s="86"/>
      <c r="AZ1554" s="86"/>
      <c r="BA1554" s="86" t="b">
        <v>0</v>
      </c>
      <c r="BB1554" s="86" t="b">
        <v>1</v>
      </c>
      <c r="BC1554" s="86" t="b">
        <v>0</v>
      </c>
      <c r="BD1554" s="86" t="b">
        <v>0</v>
      </c>
      <c r="BE1554" s="86" t="b">
        <v>0</v>
      </c>
      <c r="BF1554" s="86" t="b">
        <v>0</v>
      </c>
      <c r="BG1554" s="86" t="b">
        <v>0</v>
      </c>
      <c r="BH1554" s="96" t="str">
        <f>HYPERLINK("https://pbs.twimg.com/profile_banners/557963849/1680292251")</f>
        <v>https://pbs.twimg.com/profile_banners/557963849/1680292251</v>
      </c>
      <c r="BI1554" s="86"/>
      <c r="BJ1554" s="86" t="s">
        <v>29134</v>
      </c>
      <c r="BK1554" s="86" t="b">
        <v>0</v>
      </c>
      <c r="BL1554" s="86"/>
      <c r="BM1554" s="86" t="s">
        <v>66</v>
      </c>
      <c r="BN1554" s="86" t="s">
        <v>29136</v>
      </c>
      <c r="BO1554" s="96" t="str">
        <f>HYPERLINK("https://twitter.com/sistemafaemg")</f>
        <v>https://twitter.com/sistemafaemg</v>
      </c>
      <c r="BP1554" s="2"/>
    </row>
    <row r="1555" spans="1:68" x14ac:dyDescent="0.25">
      <c r="A1555" s="63" t="s">
        <v>1556</v>
      </c>
      <c r="B1555" s="64"/>
      <c r="C1555" s="64"/>
      <c r="D1555" s="65"/>
      <c r="E1555" s="67"/>
      <c r="F1555" s="111" t="str">
        <f>HYPERLINK("https://pbs.twimg.com/profile_images/1704513916016246784/IJ8R_ix5_normal.jpg")</f>
        <v>https://pbs.twimg.com/profile_images/1704513916016246784/IJ8R_ix5_normal.jpg</v>
      </c>
      <c r="G1555" s="64"/>
      <c r="H1555" s="68"/>
      <c r="I1555" s="69"/>
      <c r="J1555" s="69"/>
      <c r="K1555" s="68" t="s">
        <v>30688</v>
      </c>
      <c r="L1555" s="72"/>
      <c r="M1555" s="73"/>
      <c r="N1555" s="73"/>
      <c r="O1555" s="74"/>
      <c r="P1555" s="75"/>
      <c r="Q1555" s="75"/>
      <c r="R1555" s="102"/>
      <c r="S1555" s="102"/>
      <c r="T1555" s="102"/>
      <c r="U1555" s="102"/>
      <c r="V1555" s="48"/>
      <c r="W1555" s="48"/>
      <c r="X1555" s="48"/>
      <c r="Y1555" s="48"/>
      <c r="Z1555" s="47"/>
      <c r="AA1555" s="70">
        <v>1555</v>
      </c>
      <c r="AB1555" s="70"/>
      <c r="AC1555" s="71"/>
      <c r="AD1555" s="86" t="s">
        <v>25143</v>
      </c>
      <c r="AE1555" s="94" t="s">
        <v>23569</v>
      </c>
      <c r="AF1555" s="86">
        <v>2</v>
      </c>
      <c r="AG1555" s="86">
        <v>4</v>
      </c>
      <c r="AH1555" s="86">
        <v>8</v>
      </c>
      <c r="AI1555" s="86">
        <v>0</v>
      </c>
      <c r="AJ1555" s="86">
        <v>45</v>
      </c>
      <c r="AK1555" s="86">
        <v>6</v>
      </c>
      <c r="AL1555" s="86" t="b">
        <v>0</v>
      </c>
      <c r="AM1555" s="89">
        <v>44436.039351851854</v>
      </c>
      <c r="AN1555" s="86" t="s">
        <v>26400</v>
      </c>
      <c r="AO1555" s="86" t="s">
        <v>27836</v>
      </c>
      <c r="AP1555" s="96" t="str">
        <f>HYPERLINK("https://t.co/4AabBpPqxe")</f>
        <v>https://t.co/4AabBpPqxe</v>
      </c>
      <c r="AQ1555" s="96" t="str">
        <f>HYPERLINK("https://wa.link/j43nja")</f>
        <v>https://wa.link/j43nja</v>
      </c>
      <c r="AR1555" s="86" t="s">
        <v>28941</v>
      </c>
      <c r="AS1555" s="86"/>
      <c r="AT1555" s="86"/>
      <c r="AU1555" s="86"/>
      <c r="AV1555" s="86"/>
      <c r="AW1555" s="96" t="str">
        <f>HYPERLINK("https://t.co/4AabBpPqxe")</f>
        <v>https://t.co/4AabBpPqxe</v>
      </c>
      <c r="AX1555" s="86" t="b">
        <v>0</v>
      </c>
      <c r="AY1555" s="86"/>
      <c r="AZ1555" s="86"/>
      <c r="BA1555" s="86" t="b">
        <v>0</v>
      </c>
      <c r="BB1555" s="86" t="b">
        <v>1</v>
      </c>
      <c r="BC1555" s="86" t="b">
        <v>1</v>
      </c>
      <c r="BD1555" s="86" t="b">
        <v>0</v>
      </c>
      <c r="BE1555" s="86" t="b">
        <v>0</v>
      </c>
      <c r="BF1555" s="86" t="b">
        <v>0</v>
      </c>
      <c r="BG1555" s="86" t="b">
        <v>0</v>
      </c>
      <c r="BH1555" s="96" t="str">
        <f>HYPERLINK("https://pbs.twimg.com/profile_banners/1431420336805924867/1692428563")</f>
        <v>https://pbs.twimg.com/profile_banners/1431420336805924867/1692428563</v>
      </c>
      <c r="BI1555" s="86"/>
      <c r="BJ1555" s="86" t="s">
        <v>29134</v>
      </c>
      <c r="BK1555" s="86" t="b">
        <v>0</v>
      </c>
      <c r="BL1555" s="86"/>
      <c r="BM1555" s="86" t="s">
        <v>66</v>
      </c>
      <c r="BN1555" s="86" t="s">
        <v>29136</v>
      </c>
      <c r="BO1555" s="96" t="str">
        <f>HYPERLINK("https://twitter.com/mdali86465915")</f>
        <v>https://twitter.com/mdali86465915</v>
      </c>
      <c r="BP1555" s="2"/>
    </row>
    <row r="1556" spans="1:68" x14ac:dyDescent="0.25">
      <c r="A1556" s="63" t="s">
        <v>1557</v>
      </c>
      <c r="B1556" s="64"/>
      <c r="C1556" s="64"/>
      <c r="D1556" s="65"/>
      <c r="E1556" s="67"/>
      <c r="F1556" s="111" t="str">
        <f>HYPERLINK("https://pbs.twimg.com/profile_images/1638159924294303744/HbIuTmzU_normal.jpg")</f>
        <v>https://pbs.twimg.com/profile_images/1638159924294303744/HbIuTmzU_normal.jpg</v>
      </c>
      <c r="G1556" s="64"/>
      <c r="H1556" s="68"/>
      <c r="I1556" s="69"/>
      <c r="J1556" s="69"/>
      <c r="K1556" s="68" t="s">
        <v>30689</v>
      </c>
      <c r="L1556" s="72"/>
      <c r="M1556" s="73"/>
      <c r="N1556" s="73"/>
      <c r="O1556" s="74"/>
      <c r="P1556" s="75"/>
      <c r="Q1556" s="75"/>
      <c r="R1556" s="102"/>
      <c r="S1556" s="102"/>
      <c r="T1556" s="102"/>
      <c r="U1556" s="102"/>
      <c r="V1556" s="48"/>
      <c r="W1556" s="48"/>
      <c r="X1556" s="48"/>
      <c r="Y1556" s="48"/>
      <c r="Z1556" s="47"/>
      <c r="AA1556" s="70">
        <v>1556</v>
      </c>
      <c r="AB1556" s="70"/>
      <c r="AC1556" s="71"/>
      <c r="AD1556" s="86" t="s">
        <v>25144</v>
      </c>
      <c r="AE1556" s="94" t="s">
        <v>23570</v>
      </c>
      <c r="AF1556" s="86">
        <v>148</v>
      </c>
      <c r="AG1556" s="86">
        <v>67</v>
      </c>
      <c r="AH1556" s="86">
        <v>6051</v>
      </c>
      <c r="AI1556" s="86">
        <v>2</v>
      </c>
      <c r="AJ1556" s="86">
        <v>12</v>
      </c>
      <c r="AK1556" s="86">
        <v>5876</v>
      </c>
      <c r="AL1556" s="86" t="b">
        <v>0</v>
      </c>
      <c r="AM1556" s="89">
        <v>44733.83252314815</v>
      </c>
      <c r="AN1556" s="86" t="s">
        <v>26401</v>
      </c>
      <c r="AO1556" s="86" t="s">
        <v>27837</v>
      </c>
      <c r="AP1556" s="96" t="str">
        <f>HYPERLINK("https://t.co/fVnvdrR5za")</f>
        <v>https://t.co/fVnvdrR5za</v>
      </c>
      <c r="AQ1556" s="96" t="str">
        <f>HYPERLINK("https://www.portalnews.com.br/")</f>
        <v>https://www.portalnews.com.br/</v>
      </c>
      <c r="AR1556" s="86" t="s">
        <v>28942</v>
      </c>
      <c r="AS1556" s="86"/>
      <c r="AT1556" s="86"/>
      <c r="AU1556" s="86"/>
      <c r="AV1556" s="86"/>
      <c r="AW1556" s="96" t="str">
        <f>HYPERLINK("https://t.co/fVnvdrR5za")</f>
        <v>https://t.co/fVnvdrR5za</v>
      </c>
      <c r="AX1556" s="86" t="b">
        <v>0</v>
      </c>
      <c r="AY1556" s="86"/>
      <c r="AZ1556" s="86"/>
      <c r="BA1556" s="86" t="b">
        <v>0</v>
      </c>
      <c r="BB1556" s="86" t="b">
        <v>1</v>
      </c>
      <c r="BC1556" s="86" t="b">
        <v>1</v>
      </c>
      <c r="BD1556" s="86" t="b">
        <v>0</v>
      </c>
      <c r="BE1556" s="86" t="b">
        <v>0</v>
      </c>
      <c r="BF1556" s="86" t="b">
        <v>0</v>
      </c>
      <c r="BG1556" s="86" t="b">
        <v>0</v>
      </c>
      <c r="BH1556" s="96" t="str">
        <f>HYPERLINK("https://pbs.twimg.com/profile_banners/1539336947604258817/1679425917")</f>
        <v>https://pbs.twimg.com/profile_banners/1539336947604258817/1679425917</v>
      </c>
      <c r="BI1556" s="86"/>
      <c r="BJ1556" s="86" t="s">
        <v>29134</v>
      </c>
      <c r="BK1556" s="86" t="b">
        <v>0</v>
      </c>
      <c r="BL1556" s="86"/>
      <c r="BM1556" s="86" t="s">
        <v>66</v>
      </c>
      <c r="BN1556" s="86" t="s">
        <v>29136</v>
      </c>
      <c r="BO1556" s="96" t="str">
        <f>HYPERLINK("https://twitter.com/moginewsonline")</f>
        <v>https://twitter.com/moginewsonline</v>
      </c>
      <c r="BP1556" s="2"/>
    </row>
    <row r="1557" spans="1:68" x14ac:dyDescent="0.25">
      <c r="A1557" s="63" t="s">
        <v>1558</v>
      </c>
      <c r="B1557" s="64"/>
      <c r="C1557" s="64"/>
      <c r="D1557" s="65"/>
      <c r="E1557" s="67"/>
      <c r="F1557" s="111" t="str">
        <f>HYPERLINK("https://pbs.twimg.com/profile_images/1349169776350928897/sT7YYA8T_normal.jpg")</f>
        <v>https://pbs.twimg.com/profile_images/1349169776350928897/sT7YYA8T_normal.jpg</v>
      </c>
      <c r="G1557" s="64"/>
      <c r="H1557" s="68"/>
      <c r="I1557" s="69"/>
      <c r="J1557" s="69"/>
      <c r="K1557" s="68" t="s">
        <v>30690</v>
      </c>
      <c r="L1557" s="72"/>
      <c r="M1557" s="73"/>
      <c r="N1557" s="73"/>
      <c r="O1557" s="74"/>
      <c r="P1557" s="75"/>
      <c r="Q1557" s="75"/>
      <c r="R1557" s="102"/>
      <c r="S1557" s="102"/>
      <c r="T1557" s="102"/>
      <c r="U1557" s="102"/>
      <c r="V1557" s="48"/>
      <c r="W1557" s="48"/>
      <c r="X1557" s="48"/>
      <c r="Y1557" s="48"/>
      <c r="Z1557" s="47"/>
      <c r="AA1557" s="70">
        <v>1557</v>
      </c>
      <c r="AB1557" s="70"/>
      <c r="AC1557" s="71"/>
      <c r="AD1557" s="86" t="s">
        <v>25145</v>
      </c>
      <c r="AE1557" s="94" t="s">
        <v>25847</v>
      </c>
      <c r="AF1557" s="86">
        <v>16</v>
      </c>
      <c r="AG1557" s="86">
        <v>124</v>
      </c>
      <c r="AH1557" s="86">
        <v>1288</v>
      </c>
      <c r="AI1557" s="86">
        <v>0</v>
      </c>
      <c r="AJ1557" s="86">
        <v>46</v>
      </c>
      <c r="AK1557" s="86">
        <v>925</v>
      </c>
      <c r="AL1557" s="86" t="b">
        <v>0</v>
      </c>
      <c r="AM1557" s="89">
        <v>40473.717152777775</v>
      </c>
      <c r="AN1557" s="86" t="s">
        <v>26402</v>
      </c>
      <c r="AO1557" s="86" t="s">
        <v>27838</v>
      </c>
      <c r="AP1557" s="96" t="str">
        <f>HYPERLINK("https://t.co/2xP9lLam8Y")</f>
        <v>https://t.co/2xP9lLam8Y</v>
      </c>
      <c r="AQ1557" s="96" t="str">
        <f>HYPERLINK("https://tradewebbrasil.com.br/")</f>
        <v>https://tradewebbrasil.com.br/</v>
      </c>
      <c r="AR1557" s="86" t="s">
        <v>28943</v>
      </c>
      <c r="AS1557" s="96" t="str">
        <f>HYPERLINK("https://t.co/29Lpr25YPo")</f>
        <v>https://t.co/29Lpr25YPo</v>
      </c>
      <c r="AT1557" s="96" t="str">
        <f>HYPERLINK("https://tradewebbrasil.com.br")</f>
        <v>https://tradewebbrasil.com.br</v>
      </c>
      <c r="AU1557" s="86" t="s">
        <v>28943</v>
      </c>
      <c r="AV1557" s="86"/>
      <c r="AW1557" s="96" t="str">
        <f>HYPERLINK("https://t.co/2xP9lLam8Y")</f>
        <v>https://t.co/2xP9lLam8Y</v>
      </c>
      <c r="AX1557" s="86" t="b">
        <v>0</v>
      </c>
      <c r="AY1557" s="86"/>
      <c r="AZ1557" s="86"/>
      <c r="BA1557" s="86" t="b">
        <v>0</v>
      </c>
      <c r="BB1557" s="86" t="b">
        <v>1</v>
      </c>
      <c r="BC1557" s="86" t="b">
        <v>1</v>
      </c>
      <c r="BD1557" s="86" t="b">
        <v>0</v>
      </c>
      <c r="BE1557" s="86" t="b">
        <v>0</v>
      </c>
      <c r="BF1557" s="86" t="b">
        <v>0</v>
      </c>
      <c r="BG1557" s="86" t="b">
        <v>0</v>
      </c>
      <c r="BH1557" s="96" t="str">
        <f>HYPERLINK("https://pbs.twimg.com/profile_banners/206288600/1647567119")</f>
        <v>https://pbs.twimg.com/profile_banners/206288600/1647567119</v>
      </c>
      <c r="BI1557" s="86"/>
      <c r="BJ1557" s="86" t="s">
        <v>29134</v>
      </c>
      <c r="BK1557" s="86" t="b">
        <v>0</v>
      </c>
      <c r="BL1557" s="86"/>
      <c r="BM1557" s="86" t="s">
        <v>66</v>
      </c>
      <c r="BN1557" s="86" t="s">
        <v>29136</v>
      </c>
      <c r="BO1557" s="96" t="str">
        <f>HYPERLINK("https://twitter.com/tradewebbrasil")</f>
        <v>https://twitter.com/tradewebbrasil</v>
      </c>
      <c r="BP1557" s="2"/>
    </row>
    <row r="1558" spans="1:68" x14ac:dyDescent="0.25">
      <c r="A1558" s="63" t="s">
        <v>1559</v>
      </c>
      <c r="B1558" s="64"/>
      <c r="C1558" s="64"/>
      <c r="D1558" s="65"/>
      <c r="E1558" s="67"/>
      <c r="F1558" s="111" t="str">
        <f>HYPERLINK("https://pbs.twimg.com/profile_images/1277626636767301637/6CwbB-f6_normal.jpg")</f>
        <v>https://pbs.twimg.com/profile_images/1277626636767301637/6CwbB-f6_normal.jpg</v>
      </c>
      <c r="G1558" s="64"/>
      <c r="H1558" s="68"/>
      <c r="I1558" s="69"/>
      <c r="J1558" s="69"/>
      <c r="K1558" s="68" t="s">
        <v>30691</v>
      </c>
      <c r="L1558" s="72"/>
      <c r="M1558" s="73"/>
      <c r="N1558" s="73"/>
      <c r="O1558" s="74"/>
      <c r="P1558" s="75"/>
      <c r="Q1558" s="75"/>
      <c r="R1558" s="102"/>
      <c r="S1558" s="102"/>
      <c r="T1558" s="102"/>
      <c r="U1558" s="102"/>
      <c r="V1558" s="48"/>
      <c r="W1558" s="48"/>
      <c r="X1558" s="48"/>
      <c r="Y1558" s="48"/>
      <c r="Z1558" s="47"/>
      <c r="AA1558" s="70">
        <v>1558</v>
      </c>
      <c r="AB1558" s="70"/>
      <c r="AC1558" s="71"/>
      <c r="AD1558" s="86" t="s">
        <v>25146</v>
      </c>
      <c r="AE1558" s="94" t="s">
        <v>23571</v>
      </c>
      <c r="AF1558" s="86">
        <v>747</v>
      </c>
      <c r="AG1558" s="86">
        <v>992</v>
      </c>
      <c r="AH1558" s="86">
        <v>2865</v>
      </c>
      <c r="AI1558" s="86">
        <v>12</v>
      </c>
      <c r="AJ1558" s="86">
        <v>162</v>
      </c>
      <c r="AK1558" s="86">
        <v>1465</v>
      </c>
      <c r="AL1558" s="86" t="b">
        <v>0</v>
      </c>
      <c r="AM1558" s="89">
        <v>44011.645891203705</v>
      </c>
      <c r="AN1558" s="86" t="s">
        <v>15246</v>
      </c>
      <c r="AO1558" s="86" t="s">
        <v>27839</v>
      </c>
      <c r="AP1558" s="96" t="str">
        <f>HYPERLINK("https://t.co/Lca7VYggEi")</f>
        <v>https://t.co/Lca7VYggEi</v>
      </c>
      <c r="AQ1558" s="96" t="str">
        <f>HYPERLINK("https://www.brasilmineral.com.br/")</f>
        <v>https://www.brasilmineral.com.br/</v>
      </c>
      <c r="AR1558" s="86" t="s">
        <v>28944</v>
      </c>
      <c r="AS1558" s="86"/>
      <c r="AT1558" s="86"/>
      <c r="AU1558" s="86"/>
      <c r="AV1558" s="86">
        <v>1.70676297187824E+18</v>
      </c>
      <c r="AW1558" s="96" t="str">
        <f>HYPERLINK("https://t.co/Lca7VYggEi")</f>
        <v>https://t.co/Lca7VYggEi</v>
      </c>
      <c r="AX1558" s="86" t="b">
        <v>0</v>
      </c>
      <c r="AY1558" s="86"/>
      <c r="AZ1558" s="86"/>
      <c r="BA1558" s="86" t="b">
        <v>0</v>
      </c>
      <c r="BB1558" s="86" t="b">
        <v>1</v>
      </c>
      <c r="BC1558" s="86" t="b">
        <v>1</v>
      </c>
      <c r="BD1558" s="86" t="b">
        <v>0</v>
      </c>
      <c r="BE1558" s="86" t="b">
        <v>0</v>
      </c>
      <c r="BF1558" s="86" t="b">
        <v>0</v>
      </c>
      <c r="BG1558" s="86" t="b">
        <v>0</v>
      </c>
      <c r="BH1558" s="96" t="str">
        <f>HYPERLINK("https://pbs.twimg.com/profile_banners/1277625335182434304/1593556257")</f>
        <v>https://pbs.twimg.com/profile_banners/1277625335182434304/1593556257</v>
      </c>
      <c r="BI1558" s="86"/>
      <c r="BJ1558" s="86" t="s">
        <v>29134</v>
      </c>
      <c r="BK1558" s="86" t="b">
        <v>0</v>
      </c>
      <c r="BL1558" s="86"/>
      <c r="BM1558" s="86" t="s">
        <v>66</v>
      </c>
      <c r="BN1558" s="86" t="s">
        <v>29136</v>
      </c>
      <c r="BO1558" s="96" t="str">
        <f>HYPERLINK("https://twitter.com/brazilmineral")</f>
        <v>https://twitter.com/brazilmineral</v>
      </c>
      <c r="BP1558" s="2"/>
    </row>
    <row r="1559" spans="1:68" x14ac:dyDescent="0.25">
      <c r="A1559" s="63" t="s">
        <v>1560</v>
      </c>
      <c r="B1559" s="64"/>
      <c r="C1559" s="64"/>
      <c r="D1559" s="65"/>
      <c r="E1559" s="67"/>
      <c r="F1559" s="111" t="str">
        <f>HYPERLINK("https://pbs.twimg.com/profile_images/1688541088745656320/wph9j5z3_normal.jpg")</f>
        <v>https://pbs.twimg.com/profile_images/1688541088745656320/wph9j5z3_normal.jpg</v>
      </c>
      <c r="G1559" s="64"/>
      <c r="H1559" s="68"/>
      <c r="I1559" s="69"/>
      <c r="J1559" s="69"/>
      <c r="K1559" s="68" t="s">
        <v>30692</v>
      </c>
      <c r="L1559" s="72"/>
      <c r="M1559" s="73"/>
      <c r="N1559" s="73"/>
      <c r="O1559" s="74"/>
      <c r="P1559" s="75"/>
      <c r="Q1559" s="75"/>
      <c r="R1559" s="102"/>
      <c r="S1559" s="102"/>
      <c r="T1559" s="102"/>
      <c r="U1559" s="102"/>
      <c r="V1559" s="48"/>
      <c r="W1559" s="48"/>
      <c r="X1559" s="48"/>
      <c r="Y1559" s="48"/>
      <c r="Z1559" s="47"/>
      <c r="AA1559" s="70">
        <v>1559</v>
      </c>
      <c r="AB1559" s="70"/>
      <c r="AC1559" s="71"/>
      <c r="AD1559" s="86" t="s">
        <v>25147</v>
      </c>
      <c r="AE1559" s="94" t="s">
        <v>22659</v>
      </c>
      <c r="AF1559" s="86">
        <v>33</v>
      </c>
      <c r="AG1559" s="86">
        <v>155</v>
      </c>
      <c r="AH1559" s="86">
        <v>294</v>
      </c>
      <c r="AI1559" s="86">
        <v>0</v>
      </c>
      <c r="AJ1559" s="86">
        <v>53</v>
      </c>
      <c r="AK1559" s="86">
        <v>224</v>
      </c>
      <c r="AL1559" s="86" t="b">
        <v>0</v>
      </c>
      <c r="AM1559" s="89">
        <v>43096.521261574075</v>
      </c>
      <c r="AN1559" s="86" t="s">
        <v>15253</v>
      </c>
      <c r="AO1559" s="86" t="s">
        <v>27840</v>
      </c>
      <c r="AP1559" s="96" t="str">
        <f>HYPERLINK("https://t.co/y4yQLNQs10")</f>
        <v>https://t.co/y4yQLNQs10</v>
      </c>
      <c r="AQ1559" s="96" t="str">
        <f>HYPERLINK("https://oworld.com.br")</f>
        <v>https://oworld.com.br</v>
      </c>
      <c r="AR1559" s="86" t="s">
        <v>28945</v>
      </c>
      <c r="AS1559" s="86"/>
      <c r="AT1559" s="86"/>
      <c r="AU1559" s="86"/>
      <c r="AV1559" s="86"/>
      <c r="AW1559" s="96" t="str">
        <f>HYPERLINK("https://t.co/y4yQLNQs10")</f>
        <v>https://t.co/y4yQLNQs10</v>
      </c>
      <c r="AX1559" s="86" t="b">
        <v>0</v>
      </c>
      <c r="AY1559" s="86"/>
      <c r="AZ1559" s="86"/>
      <c r="BA1559" s="86" t="b">
        <v>1</v>
      </c>
      <c r="BB1559" s="86" t="b">
        <v>1</v>
      </c>
      <c r="BC1559" s="86" t="b">
        <v>1</v>
      </c>
      <c r="BD1559" s="86" t="b">
        <v>0</v>
      </c>
      <c r="BE1559" s="86" t="b">
        <v>0</v>
      </c>
      <c r="BF1559" s="86" t="b">
        <v>0</v>
      </c>
      <c r="BG1559" s="86" t="b">
        <v>0</v>
      </c>
      <c r="BH1559" s="96" t="str">
        <f>HYPERLINK("https://pbs.twimg.com/profile_banners/945995329651998721/1691414545")</f>
        <v>https://pbs.twimg.com/profile_banners/945995329651998721/1691414545</v>
      </c>
      <c r="BI1559" s="86"/>
      <c r="BJ1559" s="86" t="s">
        <v>29134</v>
      </c>
      <c r="BK1559" s="86" t="b">
        <v>0</v>
      </c>
      <c r="BL1559" s="86"/>
      <c r="BM1559" s="86" t="s">
        <v>66</v>
      </c>
      <c r="BN1559" s="86" t="s">
        <v>29136</v>
      </c>
      <c r="BO1559" s="96" t="str">
        <f>HYPERLINK("https://twitter.com/oworldreal")</f>
        <v>https://twitter.com/oworldreal</v>
      </c>
      <c r="BP1559" s="2"/>
    </row>
    <row r="1560" spans="1:68" x14ac:dyDescent="0.25">
      <c r="A1560" s="63" t="s">
        <v>1561</v>
      </c>
      <c r="B1560" s="64"/>
      <c r="C1560" s="64"/>
      <c r="D1560" s="65"/>
      <c r="E1560" s="67"/>
      <c r="F1560" s="111" t="str">
        <f>HYPERLINK("https://pbs.twimg.com/profile_images/1652731893891080194/UqRRbnJ-_normal.jpg")</f>
        <v>https://pbs.twimg.com/profile_images/1652731893891080194/UqRRbnJ-_normal.jpg</v>
      </c>
      <c r="G1560" s="64"/>
      <c r="H1560" s="68"/>
      <c r="I1560" s="69"/>
      <c r="J1560" s="69"/>
      <c r="K1560" s="68" t="s">
        <v>30693</v>
      </c>
      <c r="L1560" s="72"/>
      <c r="M1560" s="73"/>
      <c r="N1560" s="73"/>
      <c r="O1560" s="74"/>
      <c r="P1560" s="75"/>
      <c r="Q1560" s="75"/>
      <c r="R1560" s="102"/>
      <c r="S1560" s="102"/>
      <c r="T1560" s="102"/>
      <c r="U1560" s="102"/>
      <c r="V1560" s="48"/>
      <c r="W1560" s="48"/>
      <c r="X1560" s="48"/>
      <c r="Y1560" s="48"/>
      <c r="Z1560" s="47"/>
      <c r="AA1560" s="70">
        <v>1560</v>
      </c>
      <c r="AB1560" s="70"/>
      <c r="AC1560" s="71"/>
      <c r="AD1560" s="86" t="s">
        <v>25148</v>
      </c>
      <c r="AE1560" s="94" t="s">
        <v>23572</v>
      </c>
      <c r="AF1560" s="86">
        <v>29</v>
      </c>
      <c r="AG1560" s="86">
        <v>0</v>
      </c>
      <c r="AH1560" s="86">
        <v>127</v>
      </c>
      <c r="AI1560" s="86">
        <v>0</v>
      </c>
      <c r="AJ1560" s="86">
        <v>6</v>
      </c>
      <c r="AK1560" s="86">
        <v>127</v>
      </c>
      <c r="AL1560" s="86" t="b">
        <v>0</v>
      </c>
      <c r="AM1560" s="89">
        <v>45046.740659722222</v>
      </c>
      <c r="AN1560" s="86" t="s">
        <v>15285</v>
      </c>
      <c r="AO1560" s="86" t="s">
        <v>27841</v>
      </c>
      <c r="AP1560" s="96" t="str">
        <f>HYPERLINK("https://t.co/C4fIxPDgNZ")</f>
        <v>https://t.co/C4fIxPDgNZ</v>
      </c>
      <c r="AQ1560" s="96" t="str">
        <f>HYPERLINK("http://logosofia.org.br")</f>
        <v>http://logosofia.org.br</v>
      </c>
      <c r="AR1560" s="86" t="s">
        <v>28946</v>
      </c>
      <c r="AS1560" s="86"/>
      <c r="AT1560" s="86"/>
      <c r="AU1560" s="86"/>
      <c r="AV1560" s="86"/>
      <c r="AW1560" s="96" t="str">
        <f>HYPERLINK("https://t.co/C4fIxPDgNZ")</f>
        <v>https://t.co/C4fIxPDgNZ</v>
      </c>
      <c r="AX1560" s="86" t="b">
        <v>0</v>
      </c>
      <c r="AY1560" s="86"/>
      <c r="AZ1560" s="86"/>
      <c r="BA1560" s="86" t="b">
        <v>0</v>
      </c>
      <c r="BB1560" s="86" t="b">
        <v>1</v>
      </c>
      <c r="BC1560" s="86" t="b">
        <v>1</v>
      </c>
      <c r="BD1560" s="86" t="b">
        <v>0</v>
      </c>
      <c r="BE1560" s="86" t="b">
        <v>0</v>
      </c>
      <c r="BF1560" s="86" t="b">
        <v>0</v>
      </c>
      <c r="BG1560" s="86" t="b">
        <v>0</v>
      </c>
      <c r="BH1560" s="96" t="str">
        <f>HYPERLINK("https://pbs.twimg.com/profile_banners/1652730883533598722/1682877141")</f>
        <v>https://pbs.twimg.com/profile_banners/1652730883533598722/1682877141</v>
      </c>
      <c r="BI1560" s="86"/>
      <c r="BJ1560" s="86" t="s">
        <v>29134</v>
      </c>
      <c r="BK1560" s="86" t="b">
        <v>0</v>
      </c>
      <c r="BL1560" s="86"/>
      <c r="BM1560" s="86" t="s">
        <v>66</v>
      </c>
      <c r="BN1560" s="86" t="s">
        <v>29136</v>
      </c>
      <c r="BO1560" s="96" t="str">
        <f>HYPERLINK("https://twitter.com/fl_floripa")</f>
        <v>https://twitter.com/fl_floripa</v>
      </c>
      <c r="BP1560" s="2"/>
    </row>
    <row r="1561" spans="1:68" x14ac:dyDescent="0.25">
      <c r="A1561" s="63" t="s">
        <v>1562</v>
      </c>
      <c r="B1561" s="64"/>
      <c r="C1561" s="64"/>
      <c r="D1561" s="65"/>
      <c r="E1561" s="67"/>
      <c r="F1561" s="111" t="str">
        <f>HYPERLINK("https://pbs.twimg.com/profile_images/1640340323837657089/gZoTvpb0_normal.jpg")</f>
        <v>https://pbs.twimg.com/profile_images/1640340323837657089/gZoTvpb0_normal.jpg</v>
      </c>
      <c r="G1561" s="64"/>
      <c r="H1561" s="68"/>
      <c r="I1561" s="69"/>
      <c r="J1561" s="69"/>
      <c r="K1561" s="68" t="s">
        <v>30694</v>
      </c>
      <c r="L1561" s="72"/>
      <c r="M1561" s="73"/>
      <c r="N1561" s="73"/>
      <c r="O1561" s="74"/>
      <c r="P1561" s="75"/>
      <c r="Q1561" s="75"/>
      <c r="R1561" s="102"/>
      <c r="S1561" s="102"/>
      <c r="T1561" s="102"/>
      <c r="U1561" s="102"/>
      <c r="V1561" s="48"/>
      <c r="W1561" s="48"/>
      <c r="X1561" s="48"/>
      <c r="Y1561" s="48"/>
      <c r="Z1561" s="47"/>
      <c r="AA1561" s="70">
        <v>1561</v>
      </c>
      <c r="AB1561" s="70"/>
      <c r="AC1561" s="71"/>
      <c r="AD1561" s="86" t="s">
        <v>25149</v>
      </c>
      <c r="AE1561" s="94" t="s">
        <v>22660</v>
      </c>
      <c r="AF1561" s="86">
        <v>1</v>
      </c>
      <c r="AG1561" s="86">
        <v>3</v>
      </c>
      <c r="AH1561" s="86">
        <v>138</v>
      </c>
      <c r="AI1561" s="86">
        <v>0</v>
      </c>
      <c r="AJ1561" s="86">
        <v>0</v>
      </c>
      <c r="AK1561" s="86">
        <v>65</v>
      </c>
      <c r="AL1561" s="86" t="b">
        <v>0</v>
      </c>
      <c r="AM1561" s="89">
        <v>45012.546712962961</v>
      </c>
      <c r="AN1561" s="86" t="s">
        <v>26403</v>
      </c>
      <c r="AO1561" s="86" t="s">
        <v>27842</v>
      </c>
      <c r="AP1561" s="86"/>
      <c r="AQ1561" s="86"/>
      <c r="AR1561" s="86"/>
      <c r="AS1561" s="86"/>
      <c r="AT1561" s="86"/>
      <c r="AU1561" s="86"/>
      <c r="AV1561" s="86"/>
      <c r="AW1561" s="86"/>
      <c r="AX1561" s="86" t="b">
        <v>0</v>
      </c>
      <c r="AY1561" s="86"/>
      <c r="AZ1561" s="86"/>
      <c r="BA1561" s="86" t="b">
        <v>0</v>
      </c>
      <c r="BB1561" s="86" t="b">
        <v>1</v>
      </c>
      <c r="BC1561" s="86" t="b">
        <v>1</v>
      </c>
      <c r="BD1561" s="86" t="b">
        <v>0</v>
      </c>
      <c r="BE1561" s="86" t="b">
        <v>0</v>
      </c>
      <c r="BF1561" s="86" t="b">
        <v>0</v>
      </c>
      <c r="BG1561" s="86" t="b">
        <v>0</v>
      </c>
      <c r="BH1561" s="96" t="str">
        <f>HYPERLINK("https://pbs.twimg.com/profile_banners/1640339605365874690/1679922584")</f>
        <v>https://pbs.twimg.com/profile_banners/1640339605365874690/1679922584</v>
      </c>
      <c r="BI1561" s="86"/>
      <c r="BJ1561" s="86" t="s">
        <v>29134</v>
      </c>
      <c r="BK1561" s="86" t="b">
        <v>0</v>
      </c>
      <c r="BL1561" s="86"/>
      <c r="BM1561" s="86" t="s">
        <v>66</v>
      </c>
      <c r="BN1561" s="86" t="s">
        <v>29136</v>
      </c>
      <c r="BO1561" s="96" t="str">
        <f>HYPERLINK("https://twitter.com/aroldogueiros")</f>
        <v>https://twitter.com/aroldogueiros</v>
      </c>
      <c r="BP1561" s="2"/>
    </row>
    <row r="1562" spans="1:68" x14ac:dyDescent="0.25">
      <c r="A1562" s="63" t="s">
        <v>1563</v>
      </c>
      <c r="B1562" s="64"/>
      <c r="C1562" s="64"/>
      <c r="D1562" s="65"/>
      <c r="E1562" s="67"/>
      <c r="F1562" s="111" t="str">
        <f>HYPERLINK("https://pbs.twimg.com/profile_images/1438314498885050368/iPJBkUlM_normal.jpg")</f>
        <v>https://pbs.twimg.com/profile_images/1438314498885050368/iPJBkUlM_normal.jpg</v>
      </c>
      <c r="G1562" s="64"/>
      <c r="H1562" s="68"/>
      <c r="I1562" s="69"/>
      <c r="J1562" s="69"/>
      <c r="K1562" s="68" t="s">
        <v>30695</v>
      </c>
      <c r="L1562" s="72"/>
      <c r="M1562" s="73"/>
      <c r="N1562" s="73"/>
      <c r="O1562" s="74"/>
      <c r="P1562" s="75"/>
      <c r="Q1562" s="75"/>
      <c r="R1562" s="102"/>
      <c r="S1562" s="102"/>
      <c r="T1562" s="102"/>
      <c r="U1562" s="102"/>
      <c r="V1562" s="48"/>
      <c r="W1562" s="48"/>
      <c r="X1562" s="48"/>
      <c r="Y1562" s="48"/>
      <c r="Z1562" s="47"/>
      <c r="AA1562" s="70">
        <v>1562</v>
      </c>
      <c r="AB1562" s="70"/>
      <c r="AC1562" s="71"/>
      <c r="AD1562" s="86" t="s">
        <v>25150</v>
      </c>
      <c r="AE1562" s="94" t="s">
        <v>23573</v>
      </c>
      <c r="AF1562" s="86">
        <v>48</v>
      </c>
      <c r="AG1562" s="86">
        <v>96</v>
      </c>
      <c r="AH1562" s="86">
        <v>639</v>
      </c>
      <c r="AI1562" s="86">
        <v>0</v>
      </c>
      <c r="AJ1562" s="86">
        <v>33</v>
      </c>
      <c r="AK1562" s="86">
        <v>130</v>
      </c>
      <c r="AL1562" s="86" t="b">
        <v>0</v>
      </c>
      <c r="AM1562" s="89">
        <v>44335.509120370371</v>
      </c>
      <c r="AN1562" s="86"/>
      <c r="AO1562" s="86" t="s">
        <v>27843</v>
      </c>
      <c r="AP1562" s="96" t="str">
        <f>HYPERLINK("https://t.co/ZVPmGO6wFf")</f>
        <v>https://t.co/ZVPmGO6wFf</v>
      </c>
      <c r="AQ1562" s="96" t="str">
        <f>HYPERLINK("https://www.belemnegocios.com/")</f>
        <v>https://www.belemnegocios.com/</v>
      </c>
      <c r="AR1562" s="86" t="s">
        <v>8558</v>
      </c>
      <c r="AS1562" s="86"/>
      <c r="AT1562" s="86"/>
      <c r="AU1562" s="86"/>
      <c r="AV1562" s="86"/>
      <c r="AW1562" s="96" t="str">
        <f>HYPERLINK("https://t.co/ZVPmGO6wFf")</f>
        <v>https://t.co/ZVPmGO6wFf</v>
      </c>
      <c r="AX1562" s="86" t="b">
        <v>0</v>
      </c>
      <c r="AY1562" s="86"/>
      <c r="AZ1562" s="86"/>
      <c r="BA1562" s="86" t="b">
        <v>0</v>
      </c>
      <c r="BB1562" s="86" t="b">
        <v>1</v>
      </c>
      <c r="BC1562" s="86" t="b">
        <v>1</v>
      </c>
      <c r="BD1562" s="86" t="b">
        <v>0</v>
      </c>
      <c r="BE1562" s="86" t="b">
        <v>0</v>
      </c>
      <c r="BF1562" s="86" t="b">
        <v>0</v>
      </c>
      <c r="BG1562" s="86" t="b">
        <v>0</v>
      </c>
      <c r="BH1562" s="96" t="str">
        <f>HYPERLINK("https://pbs.twimg.com/profile_banners/1394989418906259458/1689792829")</f>
        <v>https://pbs.twimg.com/profile_banners/1394989418906259458/1689792829</v>
      </c>
      <c r="BI1562" s="86"/>
      <c r="BJ1562" s="86" t="s">
        <v>29134</v>
      </c>
      <c r="BK1562" s="86" t="b">
        <v>0</v>
      </c>
      <c r="BL1562" s="86"/>
      <c r="BM1562" s="86" t="s">
        <v>66</v>
      </c>
      <c r="BN1562" s="86" t="s">
        <v>29136</v>
      </c>
      <c r="BO1562" s="96" t="str">
        <f>HYPERLINK("https://twitter.com/negociosbelem")</f>
        <v>https://twitter.com/negociosbelem</v>
      </c>
      <c r="BP1562" s="2"/>
    </row>
    <row r="1563" spans="1:68" x14ac:dyDescent="0.25">
      <c r="A1563" s="63" t="s">
        <v>1564</v>
      </c>
      <c r="B1563" s="64"/>
      <c r="C1563" s="64"/>
      <c r="D1563" s="65"/>
      <c r="E1563" s="67"/>
      <c r="F1563" s="111" t="str">
        <f>HYPERLINK("https://pbs.twimg.com/profile_images/1641838739235258368/gTnW4-Xi_normal.jpg")</f>
        <v>https://pbs.twimg.com/profile_images/1641838739235258368/gTnW4-Xi_normal.jpg</v>
      </c>
      <c r="G1563" s="64"/>
      <c r="H1563" s="68"/>
      <c r="I1563" s="69"/>
      <c r="J1563" s="69"/>
      <c r="K1563" s="68" t="s">
        <v>30696</v>
      </c>
      <c r="L1563" s="72"/>
      <c r="M1563" s="73"/>
      <c r="N1563" s="73"/>
      <c r="O1563" s="74"/>
      <c r="P1563" s="75"/>
      <c r="Q1563" s="75"/>
      <c r="R1563" s="102"/>
      <c r="S1563" s="102"/>
      <c r="T1563" s="102"/>
      <c r="U1563" s="102"/>
      <c r="V1563" s="48"/>
      <c r="W1563" s="48"/>
      <c r="X1563" s="48"/>
      <c r="Y1563" s="48"/>
      <c r="Z1563" s="47"/>
      <c r="AA1563" s="70">
        <v>1563</v>
      </c>
      <c r="AB1563" s="70"/>
      <c r="AC1563" s="71"/>
      <c r="AD1563" s="86" t="s">
        <v>25151</v>
      </c>
      <c r="AE1563" s="94" t="s">
        <v>23574</v>
      </c>
      <c r="AF1563" s="86">
        <v>112</v>
      </c>
      <c r="AG1563" s="86">
        <v>421</v>
      </c>
      <c r="AH1563" s="86">
        <v>1536</v>
      </c>
      <c r="AI1563" s="86">
        <v>0</v>
      </c>
      <c r="AJ1563" s="86">
        <v>643</v>
      </c>
      <c r="AK1563" s="86">
        <v>305</v>
      </c>
      <c r="AL1563" s="86" t="b">
        <v>0</v>
      </c>
      <c r="AM1563" s="89">
        <v>43049.871655092589</v>
      </c>
      <c r="AN1563" s="86" t="s">
        <v>26404</v>
      </c>
      <c r="AO1563" s="86" t="s">
        <v>27844</v>
      </c>
      <c r="AP1563" s="96" t="str">
        <f>HYPERLINK("https://t.co/snA2rLjuIa")</f>
        <v>https://t.co/snA2rLjuIa</v>
      </c>
      <c r="AQ1563" s="96" t="str">
        <f>HYPERLINK("http://www.soypymes.com")</f>
        <v>http://www.soypymes.com</v>
      </c>
      <c r="AR1563" s="86" t="s">
        <v>28947</v>
      </c>
      <c r="AS1563" s="86"/>
      <c r="AT1563" s="86"/>
      <c r="AU1563" s="86"/>
      <c r="AV1563" s="86">
        <v>1.4138073703214999E+18</v>
      </c>
      <c r="AW1563" s="96" t="str">
        <f>HYPERLINK("https://t.co/snA2rLjuIa")</f>
        <v>https://t.co/snA2rLjuIa</v>
      </c>
      <c r="AX1563" s="86" t="b">
        <v>0</v>
      </c>
      <c r="AY1563" s="86"/>
      <c r="AZ1563" s="86"/>
      <c r="BA1563" s="86" t="b">
        <v>0</v>
      </c>
      <c r="BB1563" s="86" t="b">
        <v>1</v>
      </c>
      <c r="BC1563" s="86" t="b">
        <v>1</v>
      </c>
      <c r="BD1563" s="86" t="b">
        <v>0</v>
      </c>
      <c r="BE1563" s="86" t="b">
        <v>1</v>
      </c>
      <c r="BF1563" s="86" t="b">
        <v>0</v>
      </c>
      <c r="BG1563" s="86" t="b">
        <v>0</v>
      </c>
      <c r="BH1563" s="96" t="str">
        <f>HYPERLINK("https://pbs.twimg.com/profile_banners/929090079552876545/1679803104")</f>
        <v>https://pbs.twimg.com/profile_banners/929090079552876545/1679803104</v>
      </c>
      <c r="BI1563" s="86"/>
      <c r="BJ1563" s="86" t="s">
        <v>29134</v>
      </c>
      <c r="BK1563" s="86" t="b">
        <v>0</v>
      </c>
      <c r="BL1563" s="86"/>
      <c r="BM1563" s="86" t="s">
        <v>66</v>
      </c>
      <c r="BN1563" s="86" t="s">
        <v>29136</v>
      </c>
      <c r="BO1563" s="96" t="str">
        <f>HYPERLINK("https://twitter.com/adrigomezconsul")</f>
        <v>https://twitter.com/adrigomezconsul</v>
      </c>
      <c r="BP1563" s="2"/>
    </row>
    <row r="1564" spans="1:68" x14ac:dyDescent="0.25">
      <c r="A1564" s="63" t="s">
        <v>1565</v>
      </c>
      <c r="B1564" s="64"/>
      <c r="C1564" s="64"/>
      <c r="D1564" s="65"/>
      <c r="E1564" s="67"/>
      <c r="F1564" s="111" t="str">
        <f>HYPERLINK("https://pbs.twimg.com/profile_images/1650840619957272576/rogzJWpR_normal.jpg")</f>
        <v>https://pbs.twimg.com/profile_images/1650840619957272576/rogzJWpR_normal.jpg</v>
      </c>
      <c r="G1564" s="64"/>
      <c r="H1564" s="68"/>
      <c r="I1564" s="69"/>
      <c r="J1564" s="69"/>
      <c r="K1564" s="68" t="s">
        <v>30697</v>
      </c>
      <c r="L1564" s="72"/>
      <c r="M1564" s="73"/>
      <c r="N1564" s="73"/>
      <c r="O1564" s="74"/>
      <c r="P1564" s="75"/>
      <c r="Q1564" s="75"/>
      <c r="R1564" s="102"/>
      <c r="S1564" s="102"/>
      <c r="T1564" s="102"/>
      <c r="U1564" s="102"/>
      <c r="V1564" s="48"/>
      <c r="W1564" s="48"/>
      <c r="X1564" s="48"/>
      <c r="Y1564" s="48"/>
      <c r="Z1564" s="47"/>
      <c r="AA1564" s="70">
        <v>1564</v>
      </c>
      <c r="AB1564" s="70"/>
      <c r="AC1564" s="71"/>
      <c r="AD1564" s="86" t="s">
        <v>25152</v>
      </c>
      <c r="AE1564" s="94" t="s">
        <v>25848</v>
      </c>
      <c r="AF1564" s="86">
        <v>244</v>
      </c>
      <c r="AG1564" s="86">
        <v>307</v>
      </c>
      <c r="AH1564" s="86">
        <v>4778</v>
      </c>
      <c r="AI1564" s="86">
        <v>0</v>
      </c>
      <c r="AJ1564" s="86">
        <v>412</v>
      </c>
      <c r="AK1564" s="86">
        <v>3560</v>
      </c>
      <c r="AL1564" s="86" t="b">
        <v>0</v>
      </c>
      <c r="AM1564" s="89">
        <v>39897.86577546296</v>
      </c>
      <c r="AN1564" s="86" t="s">
        <v>25942</v>
      </c>
      <c r="AO1564" s="86" t="s">
        <v>27845</v>
      </c>
      <c r="AP1564" s="96" t="str">
        <f>HYPERLINK("https://t.co/XFRUgNgQFs")</f>
        <v>https://t.co/XFRUgNgQFs</v>
      </c>
      <c r="AQ1564" s="96" t="str">
        <f>HYPERLINK("https://liderdeelite.com")</f>
        <v>https://liderdeelite.com</v>
      </c>
      <c r="AR1564" s="86" t="s">
        <v>28948</v>
      </c>
      <c r="AS1564" s="86"/>
      <c r="AT1564" s="86"/>
      <c r="AU1564" s="86"/>
      <c r="AV1564" s="86"/>
      <c r="AW1564" s="96" t="str">
        <f>HYPERLINK("https://t.co/XFRUgNgQFs")</f>
        <v>https://t.co/XFRUgNgQFs</v>
      </c>
      <c r="AX1564" s="86" t="b">
        <v>0</v>
      </c>
      <c r="AY1564" s="86"/>
      <c r="AZ1564" s="86"/>
      <c r="BA1564" s="86" t="b">
        <v>0</v>
      </c>
      <c r="BB1564" s="86" t="b">
        <v>1</v>
      </c>
      <c r="BC1564" s="86" t="b">
        <v>0</v>
      </c>
      <c r="BD1564" s="86" t="b">
        <v>0</v>
      </c>
      <c r="BE1564" s="86" t="b">
        <v>1</v>
      </c>
      <c r="BF1564" s="86" t="b">
        <v>0</v>
      </c>
      <c r="BG1564" s="86" t="b">
        <v>0</v>
      </c>
      <c r="BH1564" s="96" t="str">
        <f>HYPERLINK("https://pbs.twimg.com/profile_banners/26586891/1692399227")</f>
        <v>https://pbs.twimg.com/profile_banners/26586891/1692399227</v>
      </c>
      <c r="BI1564" s="86"/>
      <c r="BJ1564" s="86" t="s">
        <v>29134</v>
      </c>
      <c r="BK1564" s="86" t="b">
        <v>0</v>
      </c>
      <c r="BL1564" s="86"/>
      <c r="BM1564" s="86" t="s">
        <v>66</v>
      </c>
      <c r="BN1564" s="86" t="s">
        <v>29136</v>
      </c>
      <c r="BO1564" s="96" t="str">
        <f>HYPERLINK("https://twitter.com/carloshoyoslde")</f>
        <v>https://twitter.com/carloshoyoslde</v>
      </c>
      <c r="BP1564" s="2"/>
    </row>
    <row r="1565" spans="1:68" x14ac:dyDescent="0.25">
      <c r="A1565" s="63" t="s">
        <v>1566</v>
      </c>
      <c r="B1565" s="64"/>
      <c r="C1565" s="64"/>
      <c r="D1565" s="65"/>
      <c r="E1565" s="67"/>
      <c r="F1565" s="111" t="str">
        <f>HYPERLINK("https://pbs.twimg.com/profile_images/1671971934941093909/bSp2OVZE_normal.jpg")</f>
        <v>https://pbs.twimg.com/profile_images/1671971934941093909/bSp2OVZE_normal.jpg</v>
      </c>
      <c r="G1565" s="64"/>
      <c r="H1565" s="68"/>
      <c r="I1565" s="69"/>
      <c r="J1565" s="69"/>
      <c r="K1565" s="68" t="s">
        <v>30698</v>
      </c>
      <c r="L1565" s="72"/>
      <c r="M1565" s="73"/>
      <c r="N1565" s="73"/>
      <c r="O1565" s="74"/>
      <c r="P1565" s="75"/>
      <c r="Q1565" s="75"/>
      <c r="R1565" s="102"/>
      <c r="S1565" s="102"/>
      <c r="T1565" s="102"/>
      <c r="U1565" s="102"/>
      <c r="V1565" s="48"/>
      <c r="W1565" s="48"/>
      <c r="X1565" s="48"/>
      <c r="Y1565" s="48"/>
      <c r="Z1565" s="47"/>
      <c r="AA1565" s="70">
        <v>1565</v>
      </c>
      <c r="AB1565" s="70"/>
      <c r="AC1565" s="71"/>
      <c r="AD1565" s="86" t="s">
        <v>25153</v>
      </c>
      <c r="AE1565" s="94" t="s">
        <v>23575</v>
      </c>
      <c r="AF1565" s="86">
        <v>26</v>
      </c>
      <c r="AG1565" s="86">
        <v>9</v>
      </c>
      <c r="AH1565" s="86">
        <v>382</v>
      </c>
      <c r="AI1565" s="86">
        <v>0</v>
      </c>
      <c r="AJ1565" s="86">
        <v>47</v>
      </c>
      <c r="AK1565" s="86">
        <v>362</v>
      </c>
      <c r="AL1565" s="86" t="b">
        <v>0</v>
      </c>
      <c r="AM1565" s="89">
        <v>44957.605231481481</v>
      </c>
      <c r="AN1565" s="86"/>
      <c r="AO1565" s="86" t="s">
        <v>27846</v>
      </c>
      <c r="AP1565" s="86"/>
      <c r="AQ1565" s="86"/>
      <c r="AR1565" s="86"/>
      <c r="AS1565" s="86"/>
      <c r="AT1565" s="86"/>
      <c r="AU1565" s="86"/>
      <c r="AV1565" s="86"/>
      <c r="AW1565" s="86"/>
      <c r="AX1565" s="86" t="b">
        <v>0</v>
      </c>
      <c r="AY1565" s="86"/>
      <c r="AZ1565" s="86"/>
      <c r="BA1565" s="86" t="b">
        <v>0</v>
      </c>
      <c r="BB1565" s="86" t="b">
        <v>1</v>
      </c>
      <c r="BC1565" s="86" t="b">
        <v>1</v>
      </c>
      <c r="BD1565" s="86" t="b">
        <v>0</v>
      </c>
      <c r="BE1565" s="86" t="b">
        <v>0</v>
      </c>
      <c r="BF1565" s="86" t="b">
        <v>0</v>
      </c>
      <c r="BG1565" s="86" t="b">
        <v>0</v>
      </c>
      <c r="BH1565" s="96" t="str">
        <f>HYPERLINK("https://pbs.twimg.com/profile_banners/1620429378206240774/1675175897")</f>
        <v>https://pbs.twimg.com/profile_banners/1620429378206240774/1675175897</v>
      </c>
      <c r="BI1565" s="86"/>
      <c r="BJ1565" s="86" t="s">
        <v>29134</v>
      </c>
      <c r="BK1565" s="86" t="b">
        <v>0</v>
      </c>
      <c r="BL1565" s="86"/>
      <c r="BM1565" s="86" t="s">
        <v>66</v>
      </c>
      <c r="BN1565" s="86" t="s">
        <v>29136</v>
      </c>
      <c r="BO1565" s="96" t="str">
        <f>HYPERLINK("https://twitter.com/galerapod")</f>
        <v>https://twitter.com/galerapod</v>
      </c>
      <c r="BP1565" s="2"/>
    </row>
    <row r="1566" spans="1:68" x14ac:dyDescent="0.25">
      <c r="A1566" s="63" t="s">
        <v>1835</v>
      </c>
      <c r="B1566" s="64"/>
      <c r="C1566" s="64"/>
      <c r="D1566" s="65"/>
      <c r="E1566" s="67"/>
      <c r="F1566" s="111" t="str">
        <f>HYPERLINK("https://pbs.twimg.com/profile_images/1179970683599835136/jbrzjaF-_normal.jpg")</f>
        <v>https://pbs.twimg.com/profile_images/1179970683599835136/jbrzjaF-_normal.jpg</v>
      </c>
      <c r="G1566" s="64"/>
      <c r="H1566" s="68"/>
      <c r="I1566" s="69"/>
      <c r="J1566" s="69"/>
      <c r="K1566" s="68" t="s">
        <v>30699</v>
      </c>
      <c r="L1566" s="72"/>
      <c r="M1566" s="73"/>
      <c r="N1566" s="73"/>
      <c r="O1566" s="74"/>
      <c r="P1566" s="75"/>
      <c r="Q1566" s="75"/>
      <c r="R1566" s="102"/>
      <c r="S1566" s="102"/>
      <c r="T1566" s="102"/>
      <c r="U1566" s="102"/>
      <c r="V1566" s="48"/>
      <c r="W1566" s="48"/>
      <c r="X1566" s="48"/>
      <c r="Y1566" s="48"/>
      <c r="Z1566" s="47"/>
      <c r="AA1566" s="70">
        <v>1566</v>
      </c>
      <c r="AB1566" s="70"/>
      <c r="AC1566" s="71"/>
      <c r="AD1566" s="86" t="s">
        <v>25154</v>
      </c>
      <c r="AE1566" s="94" t="s">
        <v>25849</v>
      </c>
      <c r="AF1566" s="86">
        <v>18</v>
      </c>
      <c r="AG1566" s="86">
        <v>0</v>
      </c>
      <c r="AH1566" s="86">
        <v>29</v>
      </c>
      <c r="AI1566" s="86">
        <v>1</v>
      </c>
      <c r="AJ1566" s="86">
        <v>0</v>
      </c>
      <c r="AK1566" s="86">
        <v>0</v>
      </c>
      <c r="AL1566" s="86" t="b">
        <v>0</v>
      </c>
      <c r="AM1566" s="89">
        <v>39983.831712962965</v>
      </c>
      <c r="AN1566" s="86" t="s">
        <v>26405</v>
      </c>
      <c r="AO1566" s="86"/>
      <c r="AP1566" s="96" t="str">
        <f>HYPERLINK("http://t.co/O12XlfuS87")</f>
        <v>http://t.co/O12XlfuS87</v>
      </c>
      <c r="AQ1566" s="96" t="str">
        <f>HYPERLINK("https://twitter.com/sidneisilva")</f>
        <v>https://twitter.com/sidneisilva</v>
      </c>
      <c r="AR1566" s="86" t="s">
        <v>28949</v>
      </c>
      <c r="AS1566" s="86"/>
      <c r="AT1566" s="86"/>
      <c r="AU1566" s="86"/>
      <c r="AV1566" s="86"/>
      <c r="AW1566" s="96" t="str">
        <f>HYPERLINK("http://t.co/O12XlfuS87")</f>
        <v>http://t.co/O12XlfuS87</v>
      </c>
      <c r="AX1566" s="86" t="b">
        <v>0</v>
      </c>
      <c r="AY1566" s="86"/>
      <c r="AZ1566" s="86"/>
      <c r="BA1566" s="86" t="b">
        <v>0</v>
      </c>
      <c r="BB1566" s="86" t="b">
        <v>1</v>
      </c>
      <c r="BC1566" s="86" t="b">
        <v>0</v>
      </c>
      <c r="BD1566" s="86" t="b">
        <v>0</v>
      </c>
      <c r="BE1566" s="86" t="b">
        <v>0</v>
      </c>
      <c r="BF1566" s="86" t="b">
        <v>0</v>
      </c>
      <c r="BG1566" s="86" t="b">
        <v>0</v>
      </c>
      <c r="BH1566" s="96" t="str">
        <f>HYPERLINK("https://pbs.twimg.com/profile_banners/48809868/1570161908")</f>
        <v>https://pbs.twimg.com/profile_banners/48809868/1570161908</v>
      </c>
      <c r="BI1566" s="86"/>
      <c r="BJ1566" s="86" t="s">
        <v>29134</v>
      </c>
      <c r="BK1566" s="86" t="b">
        <v>0</v>
      </c>
      <c r="BL1566" s="86"/>
      <c r="BM1566" s="86" t="s">
        <v>65</v>
      </c>
      <c r="BN1566" s="86" t="s">
        <v>29136</v>
      </c>
      <c r="BO1566" s="96" t="str">
        <f>HYPERLINK("https://twitter.com/sidneisilva")</f>
        <v>https://twitter.com/sidneisilva</v>
      </c>
      <c r="BP1566" s="2"/>
    </row>
    <row r="1567" spans="1:68" x14ac:dyDescent="0.25">
      <c r="A1567" s="63" t="s">
        <v>1567</v>
      </c>
      <c r="B1567" s="64"/>
      <c r="C1567" s="64"/>
      <c r="D1567" s="65"/>
      <c r="E1567" s="67"/>
      <c r="F1567" s="111" t="str">
        <f>HYPERLINK("https://pbs.twimg.com/profile_images/1638826126826172416/ecqPvQiR_normal.jpg")</f>
        <v>https://pbs.twimg.com/profile_images/1638826126826172416/ecqPvQiR_normal.jpg</v>
      </c>
      <c r="G1567" s="64"/>
      <c r="H1567" s="68"/>
      <c r="I1567" s="69"/>
      <c r="J1567" s="69"/>
      <c r="K1567" s="68" t="s">
        <v>30700</v>
      </c>
      <c r="L1567" s="72"/>
      <c r="M1567" s="73"/>
      <c r="N1567" s="73"/>
      <c r="O1567" s="74"/>
      <c r="P1567" s="75"/>
      <c r="Q1567" s="75"/>
      <c r="R1567" s="102"/>
      <c r="S1567" s="102"/>
      <c r="T1567" s="102"/>
      <c r="U1567" s="102"/>
      <c r="V1567" s="48"/>
      <c r="W1567" s="48"/>
      <c r="X1567" s="48"/>
      <c r="Y1567" s="48"/>
      <c r="Z1567" s="47"/>
      <c r="AA1567" s="70">
        <v>1567</v>
      </c>
      <c r="AB1567" s="70"/>
      <c r="AC1567" s="71"/>
      <c r="AD1567" s="86" t="s">
        <v>25155</v>
      </c>
      <c r="AE1567" s="94" t="s">
        <v>23576</v>
      </c>
      <c r="AF1567" s="86">
        <v>8</v>
      </c>
      <c r="AG1567" s="86">
        <v>7</v>
      </c>
      <c r="AH1567" s="86">
        <v>104</v>
      </c>
      <c r="AI1567" s="86">
        <v>0</v>
      </c>
      <c r="AJ1567" s="86">
        <v>198</v>
      </c>
      <c r="AK1567" s="86">
        <v>98</v>
      </c>
      <c r="AL1567" s="86" t="b">
        <v>0</v>
      </c>
      <c r="AM1567" s="89">
        <v>45008.368321759262</v>
      </c>
      <c r="AN1567" s="86" t="s">
        <v>26406</v>
      </c>
      <c r="AO1567" s="86" t="s">
        <v>27847</v>
      </c>
      <c r="AP1567" s="96" t="str">
        <f>HYPERLINK("https://t.co/IfWbD0bOmw")</f>
        <v>https://t.co/IfWbD0bOmw</v>
      </c>
      <c r="AQ1567" s="96" t="str">
        <f>HYPERLINK("http://www.radeondigital.com")</f>
        <v>http://www.radeondigital.com</v>
      </c>
      <c r="AR1567" s="86" t="s">
        <v>28950</v>
      </c>
      <c r="AS1567" s="86"/>
      <c r="AT1567" s="86"/>
      <c r="AU1567" s="86"/>
      <c r="AV1567" s="86"/>
      <c r="AW1567" s="96" t="str">
        <f>HYPERLINK("https://t.co/IfWbD0bOmw")</f>
        <v>https://t.co/IfWbD0bOmw</v>
      </c>
      <c r="AX1567" s="86" t="b">
        <v>0</v>
      </c>
      <c r="AY1567" s="86"/>
      <c r="AZ1567" s="86"/>
      <c r="BA1567" s="86" t="b">
        <v>0</v>
      </c>
      <c r="BB1567" s="86" t="b">
        <v>1</v>
      </c>
      <c r="BC1567" s="86" t="b">
        <v>1</v>
      </c>
      <c r="BD1567" s="86" t="b">
        <v>0</v>
      </c>
      <c r="BE1567" s="86" t="b">
        <v>0</v>
      </c>
      <c r="BF1567" s="86" t="b">
        <v>0</v>
      </c>
      <c r="BG1567" s="86" t="b">
        <v>0</v>
      </c>
      <c r="BH1567" s="96" t="str">
        <f>HYPERLINK("https://pbs.twimg.com/profile_banners/1638825273004269568/1679561595")</f>
        <v>https://pbs.twimg.com/profile_banners/1638825273004269568/1679561595</v>
      </c>
      <c r="BI1567" s="86"/>
      <c r="BJ1567" s="86" t="s">
        <v>29134</v>
      </c>
      <c r="BK1567" s="86" t="b">
        <v>0</v>
      </c>
      <c r="BL1567" s="86"/>
      <c r="BM1567" s="86" t="s">
        <v>66</v>
      </c>
      <c r="BN1567" s="86" t="s">
        <v>29136</v>
      </c>
      <c r="BO1567" s="96" t="str">
        <f>HYPERLINK("https://twitter.com/radeon87449")</f>
        <v>https://twitter.com/radeon87449</v>
      </c>
      <c r="BP1567" s="2"/>
    </row>
    <row r="1568" spans="1:68" x14ac:dyDescent="0.25">
      <c r="A1568" s="63" t="s">
        <v>1568</v>
      </c>
      <c r="B1568" s="64"/>
      <c r="C1568" s="64"/>
      <c r="D1568" s="65"/>
      <c r="E1568" s="67"/>
      <c r="F1568" s="111" t="str">
        <f>HYPERLINK("https://pbs.twimg.com/profile_images/1587543700649005065/jV-CIiQo_normal.jpg")</f>
        <v>https://pbs.twimg.com/profile_images/1587543700649005065/jV-CIiQo_normal.jpg</v>
      </c>
      <c r="G1568" s="64"/>
      <c r="H1568" s="68"/>
      <c r="I1568" s="69"/>
      <c r="J1568" s="69"/>
      <c r="K1568" s="68" t="s">
        <v>30701</v>
      </c>
      <c r="L1568" s="72"/>
      <c r="M1568" s="73"/>
      <c r="N1568" s="73"/>
      <c r="O1568" s="74"/>
      <c r="P1568" s="75"/>
      <c r="Q1568" s="75"/>
      <c r="R1568" s="102"/>
      <c r="S1568" s="102"/>
      <c r="T1568" s="102"/>
      <c r="U1568" s="102"/>
      <c r="V1568" s="48"/>
      <c r="W1568" s="48"/>
      <c r="X1568" s="48"/>
      <c r="Y1568" s="48"/>
      <c r="Z1568" s="47"/>
      <c r="AA1568" s="70">
        <v>1568</v>
      </c>
      <c r="AB1568" s="70"/>
      <c r="AC1568" s="71"/>
      <c r="AD1568" s="86" t="s">
        <v>25156</v>
      </c>
      <c r="AE1568" s="94" t="s">
        <v>22661</v>
      </c>
      <c r="AF1568" s="86">
        <v>2255</v>
      </c>
      <c r="AG1568" s="86">
        <v>251</v>
      </c>
      <c r="AH1568" s="86">
        <v>10654</v>
      </c>
      <c r="AI1568" s="86">
        <v>18</v>
      </c>
      <c r="AJ1568" s="86">
        <v>1191</v>
      </c>
      <c r="AK1568" s="86">
        <v>3052</v>
      </c>
      <c r="AL1568" s="86" t="b">
        <v>0</v>
      </c>
      <c r="AM1568" s="89">
        <v>44046.964212962965</v>
      </c>
      <c r="AN1568" s="86" t="s">
        <v>26407</v>
      </c>
      <c r="AO1568" s="86" t="s">
        <v>27848</v>
      </c>
      <c r="AP1568" s="96" t="str">
        <f>HYPERLINK("https://t.co/TPc9ZPsgL3")</f>
        <v>https://t.co/TPc9ZPsgL3</v>
      </c>
      <c r="AQ1568" s="96" t="str">
        <f>HYPERLINK("https://linktr.ee/tapajosdefato")</f>
        <v>https://linktr.ee/tapajosdefato</v>
      </c>
      <c r="AR1568" s="86" t="s">
        <v>28951</v>
      </c>
      <c r="AS1568" s="86"/>
      <c r="AT1568" s="86"/>
      <c r="AU1568" s="86"/>
      <c r="AV1568" s="86">
        <v>1.6306827233743201E+18</v>
      </c>
      <c r="AW1568" s="96" t="str">
        <f>HYPERLINK("https://t.co/TPc9ZPsgL3")</f>
        <v>https://t.co/TPc9ZPsgL3</v>
      </c>
      <c r="AX1568" s="86" t="b">
        <v>0</v>
      </c>
      <c r="AY1568" s="86"/>
      <c r="AZ1568" s="86"/>
      <c r="BA1568" s="86" t="b">
        <v>0</v>
      </c>
      <c r="BB1568" s="86" t="b">
        <v>1</v>
      </c>
      <c r="BC1568" s="86" t="b">
        <v>1</v>
      </c>
      <c r="BD1568" s="86" t="b">
        <v>0</v>
      </c>
      <c r="BE1568" s="86" t="b">
        <v>0</v>
      </c>
      <c r="BF1568" s="86" t="b">
        <v>0</v>
      </c>
      <c r="BG1568" s="86" t="b">
        <v>0</v>
      </c>
      <c r="BH1568" s="96" t="str">
        <f>HYPERLINK("https://pbs.twimg.com/profile_banners/1290424255310696449/1660185564")</f>
        <v>https://pbs.twimg.com/profile_banners/1290424255310696449/1660185564</v>
      </c>
      <c r="BI1568" s="86"/>
      <c r="BJ1568" s="86" t="s">
        <v>29134</v>
      </c>
      <c r="BK1568" s="86" t="b">
        <v>0</v>
      </c>
      <c r="BL1568" s="86"/>
      <c r="BM1568" s="86" t="s">
        <v>66</v>
      </c>
      <c r="BN1568" s="86" t="s">
        <v>29136</v>
      </c>
      <c r="BO1568" s="96" t="str">
        <f>HYPERLINK("https://twitter.com/tapajosdefato")</f>
        <v>https://twitter.com/tapajosdefato</v>
      </c>
      <c r="BP1568" s="2"/>
    </row>
    <row r="1569" spans="1:68" x14ac:dyDescent="0.25">
      <c r="A1569" s="63" t="s">
        <v>1569</v>
      </c>
      <c r="B1569" s="64"/>
      <c r="C1569" s="64"/>
      <c r="D1569" s="65"/>
      <c r="E1569" s="67"/>
      <c r="F1569" s="111" t="str">
        <f>HYPERLINK("https://pbs.twimg.com/profile_images/1078657518941978625/JXXBdgVR_normal.jpg")</f>
        <v>https://pbs.twimg.com/profile_images/1078657518941978625/JXXBdgVR_normal.jpg</v>
      </c>
      <c r="G1569" s="64"/>
      <c r="H1569" s="68"/>
      <c r="I1569" s="69"/>
      <c r="J1569" s="69"/>
      <c r="K1569" s="68" t="s">
        <v>30702</v>
      </c>
      <c r="L1569" s="72"/>
      <c r="M1569" s="73"/>
      <c r="N1569" s="73"/>
      <c r="O1569" s="74"/>
      <c r="P1569" s="75"/>
      <c r="Q1569" s="75"/>
      <c r="R1569" s="102"/>
      <c r="S1569" s="102"/>
      <c r="T1569" s="102"/>
      <c r="U1569" s="102"/>
      <c r="V1569" s="48"/>
      <c r="W1569" s="48"/>
      <c r="X1569" s="48"/>
      <c r="Y1569" s="48"/>
      <c r="Z1569" s="47"/>
      <c r="AA1569" s="70">
        <v>1569</v>
      </c>
      <c r="AB1569" s="70"/>
      <c r="AC1569" s="71"/>
      <c r="AD1569" s="86" t="s">
        <v>8559</v>
      </c>
      <c r="AE1569" s="94" t="s">
        <v>25850</v>
      </c>
      <c r="AF1569" s="86">
        <v>314</v>
      </c>
      <c r="AG1569" s="86">
        <v>300</v>
      </c>
      <c r="AH1569" s="86">
        <v>21793</v>
      </c>
      <c r="AI1569" s="86">
        <v>8</v>
      </c>
      <c r="AJ1569" s="86">
        <v>4</v>
      </c>
      <c r="AK1569" s="86">
        <v>15139</v>
      </c>
      <c r="AL1569" s="86" t="b">
        <v>0</v>
      </c>
      <c r="AM1569" s="89">
        <v>41472.050844907404</v>
      </c>
      <c r="AN1569" s="86" t="s">
        <v>25990</v>
      </c>
      <c r="AO1569" s="86" t="s">
        <v>27849</v>
      </c>
      <c r="AP1569" s="96" t="str">
        <f>HYPERLINK("https://t.co/zJFhpPqd4j")</f>
        <v>https://t.co/zJFhpPqd4j</v>
      </c>
      <c r="AQ1569" s="96" t="str">
        <f>HYPERLINK("http://www.folhageral.com")</f>
        <v>http://www.folhageral.com</v>
      </c>
      <c r="AR1569" s="86" t="s">
        <v>8559</v>
      </c>
      <c r="AS1569" s="86"/>
      <c r="AT1569" s="86"/>
      <c r="AU1569" s="86"/>
      <c r="AV1569" s="86"/>
      <c r="AW1569" s="96" t="str">
        <f>HYPERLINK("https://t.co/zJFhpPqd4j")</f>
        <v>https://t.co/zJFhpPqd4j</v>
      </c>
      <c r="AX1569" s="86" t="b">
        <v>0</v>
      </c>
      <c r="AY1569" s="86"/>
      <c r="AZ1569" s="86"/>
      <c r="BA1569" s="86" t="b">
        <v>0</v>
      </c>
      <c r="BB1569" s="86" t="b">
        <v>1</v>
      </c>
      <c r="BC1569" s="86" t="b">
        <v>0</v>
      </c>
      <c r="BD1569" s="86" t="b">
        <v>0</v>
      </c>
      <c r="BE1569" s="86" t="b">
        <v>1</v>
      </c>
      <c r="BF1569" s="86" t="b">
        <v>0</v>
      </c>
      <c r="BG1569" s="86" t="b">
        <v>0</v>
      </c>
      <c r="BH1569" s="96" t="str">
        <f>HYPERLINK("https://pbs.twimg.com/profile_banners/1599687301/1630430348")</f>
        <v>https://pbs.twimg.com/profile_banners/1599687301/1630430348</v>
      </c>
      <c r="BI1569" s="86"/>
      <c r="BJ1569" s="86" t="s">
        <v>29134</v>
      </c>
      <c r="BK1569" s="86" t="b">
        <v>0</v>
      </c>
      <c r="BL1569" s="86"/>
      <c r="BM1569" s="86" t="s">
        <v>66</v>
      </c>
      <c r="BN1569" s="86" t="s">
        <v>29136</v>
      </c>
      <c r="BO1569" s="96" t="str">
        <f>HYPERLINK("https://twitter.com/folhageral")</f>
        <v>https://twitter.com/folhageral</v>
      </c>
      <c r="BP1569" s="2"/>
    </row>
    <row r="1570" spans="1:68" x14ac:dyDescent="0.25">
      <c r="A1570" s="63" t="s">
        <v>1570</v>
      </c>
      <c r="B1570" s="64"/>
      <c r="C1570" s="64"/>
      <c r="D1570" s="65"/>
      <c r="E1570" s="67"/>
      <c r="F1570" s="111" t="str">
        <f>HYPERLINK("https://pbs.twimg.com/profile_images/1453429121464340481/7eqmsspV_normal.jpg")</f>
        <v>https://pbs.twimg.com/profile_images/1453429121464340481/7eqmsspV_normal.jpg</v>
      </c>
      <c r="G1570" s="64"/>
      <c r="H1570" s="68"/>
      <c r="I1570" s="69"/>
      <c r="J1570" s="69"/>
      <c r="K1570" s="68" t="s">
        <v>30703</v>
      </c>
      <c r="L1570" s="72"/>
      <c r="M1570" s="73"/>
      <c r="N1570" s="73"/>
      <c r="O1570" s="74"/>
      <c r="P1570" s="75"/>
      <c r="Q1570" s="75"/>
      <c r="R1570" s="102"/>
      <c r="S1570" s="102"/>
      <c r="T1570" s="102"/>
      <c r="U1570" s="102"/>
      <c r="V1570" s="48"/>
      <c r="W1570" s="48"/>
      <c r="X1570" s="48"/>
      <c r="Y1570" s="48"/>
      <c r="Z1570" s="47"/>
      <c r="AA1570" s="70">
        <v>1570</v>
      </c>
      <c r="AB1570" s="70"/>
      <c r="AC1570" s="71"/>
      <c r="AD1570" s="86" t="s">
        <v>25157</v>
      </c>
      <c r="AE1570" s="94" t="s">
        <v>25851</v>
      </c>
      <c r="AF1570" s="86">
        <v>337</v>
      </c>
      <c r="AG1570" s="86">
        <v>589</v>
      </c>
      <c r="AH1570" s="86">
        <v>98059</v>
      </c>
      <c r="AI1570" s="86">
        <v>18</v>
      </c>
      <c r="AJ1570" s="86">
        <v>2545</v>
      </c>
      <c r="AK1570" s="86">
        <v>66</v>
      </c>
      <c r="AL1570" s="86" t="b">
        <v>0</v>
      </c>
      <c r="AM1570" s="89">
        <v>40230.82508101852</v>
      </c>
      <c r="AN1570" s="86" t="s">
        <v>26408</v>
      </c>
      <c r="AO1570" s="86" t="s">
        <v>27850</v>
      </c>
      <c r="AP1570" s="96" t="str">
        <f>HYPERLINK("https://t.co/5BE3OIItct")</f>
        <v>https://t.co/5BE3OIItct</v>
      </c>
      <c r="AQ1570" s="96" t="str">
        <f>HYPERLINK("https://fjur.adv.br/")</f>
        <v>https://fjur.adv.br/</v>
      </c>
      <c r="AR1570" s="86" t="s">
        <v>28952</v>
      </c>
      <c r="AS1570" s="86"/>
      <c r="AT1570" s="86"/>
      <c r="AU1570" s="86"/>
      <c r="AV1570" s="86">
        <v>1.32230525484371E+18</v>
      </c>
      <c r="AW1570" s="96" t="str">
        <f>HYPERLINK("https://t.co/5BE3OIItct")</f>
        <v>https://t.co/5BE3OIItct</v>
      </c>
      <c r="AX1570" s="86" t="b">
        <v>0</v>
      </c>
      <c r="AY1570" s="86"/>
      <c r="AZ1570" s="86"/>
      <c r="BA1570" s="86" t="b">
        <v>0</v>
      </c>
      <c r="BB1570" s="86" t="b">
        <v>1</v>
      </c>
      <c r="BC1570" s="86" t="b">
        <v>0</v>
      </c>
      <c r="BD1570" s="86" t="b">
        <v>0</v>
      </c>
      <c r="BE1570" s="86" t="b">
        <v>0</v>
      </c>
      <c r="BF1570" s="86" t="b">
        <v>0</v>
      </c>
      <c r="BG1570" s="86" t="b">
        <v>0</v>
      </c>
      <c r="BH1570" s="96" t="str">
        <f>HYPERLINK("https://pbs.twimg.com/profile_banners/116257567/1632168203")</f>
        <v>https://pbs.twimg.com/profile_banners/116257567/1632168203</v>
      </c>
      <c r="BI1570" s="86"/>
      <c r="BJ1570" s="86" t="s">
        <v>29134</v>
      </c>
      <c r="BK1570" s="86" t="b">
        <v>0</v>
      </c>
      <c r="BL1570" s="86"/>
      <c r="BM1570" s="86" t="s">
        <v>66</v>
      </c>
      <c r="BN1570" s="86" t="s">
        <v>29136</v>
      </c>
      <c r="BO1570" s="96" t="str">
        <f>HYPERLINK("https://twitter.com/filipeschitino")</f>
        <v>https://twitter.com/filipeschitino</v>
      </c>
      <c r="BP1570" s="2"/>
    </row>
    <row r="1571" spans="1:68" x14ac:dyDescent="0.25">
      <c r="A1571" s="63" t="s">
        <v>1571</v>
      </c>
      <c r="B1571" s="64"/>
      <c r="C1571" s="64"/>
      <c r="D1571" s="65"/>
      <c r="E1571" s="67"/>
      <c r="F1571" s="111" t="str">
        <f>HYPERLINK("https://pbs.twimg.com/profile_images/1689806998534045696/RivwnOLa_normal.jpg")</f>
        <v>https://pbs.twimg.com/profile_images/1689806998534045696/RivwnOLa_normal.jpg</v>
      </c>
      <c r="G1571" s="64"/>
      <c r="H1571" s="68"/>
      <c r="I1571" s="69"/>
      <c r="J1571" s="69"/>
      <c r="K1571" s="68" t="s">
        <v>30704</v>
      </c>
      <c r="L1571" s="72"/>
      <c r="M1571" s="73"/>
      <c r="N1571" s="73"/>
      <c r="O1571" s="74"/>
      <c r="P1571" s="75"/>
      <c r="Q1571" s="75"/>
      <c r="R1571" s="102"/>
      <c r="S1571" s="102"/>
      <c r="T1571" s="102"/>
      <c r="U1571" s="102"/>
      <c r="V1571" s="48"/>
      <c r="W1571" s="48"/>
      <c r="X1571" s="48"/>
      <c r="Y1571" s="48"/>
      <c r="Z1571" s="47"/>
      <c r="AA1571" s="70">
        <v>1571</v>
      </c>
      <c r="AB1571" s="70"/>
      <c r="AC1571" s="71"/>
      <c r="AD1571" s="86" t="s">
        <v>25158</v>
      </c>
      <c r="AE1571" s="94" t="s">
        <v>23577</v>
      </c>
      <c r="AF1571" s="86">
        <v>1</v>
      </c>
      <c r="AG1571" s="86">
        <v>13</v>
      </c>
      <c r="AH1571" s="86">
        <v>22</v>
      </c>
      <c r="AI1571" s="86">
        <v>0</v>
      </c>
      <c r="AJ1571" s="86">
        <v>59</v>
      </c>
      <c r="AK1571" s="86">
        <v>3</v>
      </c>
      <c r="AL1571" s="86" t="b">
        <v>0</v>
      </c>
      <c r="AM1571" s="89">
        <v>45149.041076388887</v>
      </c>
      <c r="AN1571" s="86" t="s">
        <v>15234</v>
      </c>
      <c r="AO1571" s="86" t="s">
        <v>27851</v>
      </c>
      <c r="AP1571" s="96" t="str">
        <f>HYPERLINK("https://t.co/LfBvNkMAU9")</f>
        <v>https://t.co/LfBvNkMAU9</v>
      </c>
      <c r="AQ1571" s="96" t="str">
        <f>HYPERLINK("https://linktr.ee/zhenniaqueiroz")</f>
        <v>https://linktr.ee/zhenniaqueiroz</v>
      </c>
      <c r="AR1571" s="86" t="s">
        <v>28953</v>
      </c>
      <c r="AS1571" s="86"/>
      <c r="AT1571" s="86"/>
      <c r="AU1571" s="86"/>
      <c r="AV1571" s="86"/>
      <c r="AW1571" s="96" t="str">
        <f>HYPERLINK("https://t.co/LfBvNkMAU9")</f>
        <v>https://t.co/LfBvNkMAU9</v>
      </c>
      <c r="AX1571" s="86" t="b">
        <v>0</v>
      </c>
      <c r="AY1571" s="86"/>
      <c r="AZ1571" s="86"/>
      <c r="BA1571" s="86" t="b">
        <v>0</v>
      </c>
      <c r="BB1571" s="86" t="b">
        <v>1</v>
      </c>
      <c r="BC1571" s="86" t="b">
        <v>1</v>
      </c>
      <c r="BD1571" s="86" t="b">
        <v>0</v>
      </c>
      <c r="BE1571" s="86" t="b">
        <v>0</v>
      </c>
      <c r="BF1571" s="86" t="b">
        <v>0</v>
      </c>
      <c r="BG1571" s="86" t="b">
        <v>0</v>
      </c>
      <c r="BH1571" s="96" t="str">
        <f>HYPERLINK("https://pbs.twimg.com/profile_banners/1689803387057971200/1691718685")</f>
        <v>https://pbs.twimg.com/profile_banners/1689803387057971200/1691718685</v>
      </c>
      <c r="BI1571" s="86"/>
      <c r="BJ1571" s="86" t="s">
        <v>29134</v>
      </c>
      <c r="BK1571" s="86" t="b">
        <v>0</v>
      </c>
      <c r="BL1571" s="86"/>
      <c r="BM1571" s="86" t="s">
        <v>66</v>
      </c>
      <c r="BN1571" s="86" t="s">
        <v>29136</v>
      </c>
      <c r="BO1571" s="96" t="str">
        <f>HYPERLINK("https://twitter.com/_zhenniq")</f>
        <v>https://twitter.com/_zhenniq</v>
      </c>
      <c r="BP1571" s="2"/>
    </row>
    <row r="1572" spans="1:68" x14ac:dyDescent="0.25">
      <c r="A1572" s="63" t="s">
        <v>1572</v>
      </c>
      <c r="B1572" s="64"/>
      <c r="C1572" s="64"/>
      <c r="D1572" s="65"/>
      <c r="E1572" s="67"/>
      <c r="F1572" s="111" t="str">
        <f>HYPERLINK("https://pbs.twimg.com/profile_images/1483877344100200455/7KDbLIMp_normal.jpg")</f>
        <v>https://pbs.twimg.com/profile_images/1483877344100200455/7KDbLIMp_normal.jpg</v>
      </c>
      <c r="G1572" s="64"/>
      <c r="H1572" s="68"/>
      <c r="I1572" s="69"/>
      <c r="J1572" s="69"/>
      <c r="K1572" s="68" t="s">
        <v>30705</v>
      </c>
      <c r="L1572" s="72"/>
      <c r="M1572" s="73"/>
      <c r="N1572" s="73"/>
      <c r="O1572" s="74"/>
      <c r="P1572" s="75"/>
      <c r="Q1572" s="75"/>
      <c r="R1572" s="102"/>
      <c r="S1572" s="102"/>
      <c r="T1572" s="102"/>
      <c r="U1572" s="102"/>
      <c r="V1572" s="48"/>
      <c r="W1572" s="48"/>
      <c r="X1572" s="48"/>
      <c r="Y1572" s="48"/>
      <c r="Z1572" s="47"/>
      <c r="AA1572" s="70">
        <v>1572</v>
      </c>
      <c r="AB1572" s="70"/>
      <c r="AC1572" s="71"/>
      <c r="AD1572" s="86" t="s">
        <v>25159</v>
      </c>
      <c r="AE1572" s="94" t="s">
        <v>25852</v>
      </c>
      <c r="AF1572" s="86">
        <v>71</v>
      </c>
      <c r="AG1572" s="86">
        <v>272</v>
      </c>
      <c r="AH1572" s="86">
        <v>625</v>
      </c>
      <c r="AI1572" s="86">
        <v>0</v>
      </c>
      <c r="AJ1572" s="86">
        <v>7</v>
      </c>
      <c r="AK1572" s="86">
        <v>414</v>
      </c>
      <c r="AL1572" s="86" t="b">
        <v>0</v>
      </c>
      <c r="AM1572" s="89">
        <v>41430.960069444445</v>
      </c>
      <c r="AN1572" s="86" t="s">
        <v>25942</v>
      </c>
      <c r="AO1572" s="86" t="s">
        <v>27852</v>
      </c>
      <c r="AP1572" s="96" t="str">
        <f>HYPERLINK("https://t.co/BgYnVlNteS")</f>
        <v>https://t.co/BgYnVlNteS</v>
      </c>
      <c r="AQ1572" s="96" t="str">
        <f>HYPERLINK("http://www.kentech.com.br")</f>
        <v>http://www.kentech.com.br</v>
      </c>
      <c r="AR1572" s="86" t="s">
        <v>28954</v>
      </c>
      <c r="AS1572" s="86"/>
      <c r="AT1572" s="86"/>
      <c r="AU1572" s="86"/>
      <c r="AV1572" s="86"/>
      <c r="AW1572" s="96" t="str">
        <f>HYPERLINK("https://t.co/BgYnVlNteS")</f>
        <v>https://t.co/BgYnVlNteS</v>
      </c>
      <c r="AX1572" s="86" t="b">
        <v>0</v>
      </c>
      <c r="AY1572" s="86"/>
      <c r="AZ1572" s="86"/>
      <c r="BA1572" s="86" t="b">
        <v>0</v>
      </c>
      <c r="BB1572" s="86" t="b">
        <v>1</v>
      </c>
      <c r="BC1572" s="86" t="b">
        <v>1</v>
      </c>
      <c r="BD1572" s="86" t="b">
        <v>0</v>
      </c>
      <c r="BE1572" s="86" t="b">
        <v>0</v>
      </c>
      <c r="BF1572" s="86" t="b">
        <v>0</v>
      </c>
      <c r="BG1572" s="86" t="b">
        <v>0</v>
      </c>
      <c r="BH1572" s="96" t="str">
        <f>HYPERLINK("https://pbs.twimg.com/profile_banners/1486263151/1420568038")</f>
        <v>https://pbs.twimg.com/profile_banners/1486263151/1420568038</v>
      </c>
      <c r="BI1572" s="86"/>
      <c r="BJ1572" s="86" t="s">
        <v>29134</v>
      </c>
      <c r="BK1572" s="86" t="b">
        <v>0</v>
      </c>
      <c r="BL1572" s="86"/>
      <c r="BM1572" s="86" t="s">
        <v>66</v>
      </c>
      <c r="BN1572" s="86" t="s">
        <v>29136</v>
      </c>
      <c r="BO1572" s="96" t="str">
        <f>HYPERLINK("https://twitter.com/kentechbr")</f>
        <v>https://twitter.com/kentechbr</v>
      </c>
      <c r="BP1572" s="2"/>
    </row>
    <row r="1573" spans="1:68" x14ac:dyDescent="0.25">
      <c r="A1573" s="63" t="s">
        <v>1573</v>
      </c>
      <c r="B1573" s="64"/>
      <c r="C1573" s="64"/>
      <c r="D1573" s="65"/>
      <c r="E1573" s="67"/>
      <c r="F1573" s="111" t="str">
        <f>HYPERLINK("https://pbs.twimg.com/profile_images/645581102384566272/z8L0A6u3_normal.jpg")</f>
        <v>https://pbs.twimg.com/profile_images/645581102384566272/z8L0A6u3_normal.jpg</v>
      </c>
      <c r="G1573" s="64"/>
      <c r="H1573" s="68"/>
      <c r="I1573" s="69"/>
      <c r="J1573" s="69"/>
      <c r="K1573" s="68" t="s">
        <v>30706</v>
      </c>
      <c r="L1573" s="72"/>
      <c r="M1573" s="73"/>
      <c r="N1573" s="73"/>
      <c r="O1573" s="74"/>
      <c r="P1573" s="75"/>
      <c r="Q1573" s="75"/>
      <c r="R1573" s="102"/>
      <c r="S1573" s="102"/>
      <c r="T1573" s="102"/>
      <c r="U1573" s="102"/>
      <c r="V1573" s="48"/>
      <c r="W1573" s="48"/>
      <c r="X1573" s="48"/>
      <c r="Y1573" s="48"/>
      <c r="Z1573" s="47"/>
      <c r="AA1573" s="70">
        <v>1573</v>
      </c>
      <c r="AB1573" s="70"/>
      <c r="AC1573" s="71"/>
      <c r="AD1573" s="86" t="s">
        <v>25160</v>
      </c>
      <c r="AE1573" s="94" t="s">
        <v>25853</v>
      </c>
      <c r="AF1573" s="86">
        <v>179</v>
      </c>
      <c r="AG1573" s="86">
        <v>180</v>
      </c>
      <c r="AH1573" s="86">
        <v>2659</v>
      </c>
      <c r="AI1573" s="86">
        <v>1</v>
      </c>
      <c r="AJ1573" s="86">
        <v>235</v>
      </c>
      <c r="AK1573" s="86">
        <v>967</v>
      </c>
      <c r="AL1573" s="86" t="b">
        <v>0</v>
      </c>
      <c r="AM1573" s="89">
        <v>40026.793124999997</v>
      </c>
      <c r="AN1573" s="86" t="s">
        <v>15378</v>
      </c>
      <c r="AO1573" s="86" t="s">
        <v>27853</v>
      </c>
      <c r="AP1573" s="96" t="str">
        <f>HYPERLINK("https://t.co/fhyk0gfGId")</f>
        <v>https://t.co/fhyk0gfGId</v>
      </c>
      <c r="AQ1573" s="96" t="str">
        <f>HYPERLINK("http://www.negocioefetivo.com.br")</f>
        <v>http://www.negocioefetivo.com.br</v>
      </c>
      <c r="AR1573" s="86" t="s">
        <v>28955</v>
      </c>
      <c r="AS1573" s="86"/>
      <c r="AT1573" s="86"/>
      <c r="AU1573" s="86"/>
      <c r="AV1573" s="86"/>
      <c r="AW1573" s="96" t="str">
        <f>HYPERLINK("https://t.co/fhyk0gfGId")</f>
        <v>https://t.co/fhyk0gfGId</v>
      </c>
      <c r="AX1573" s="86" t="b">
        <v>0</v>
      </c>
      <c r="AY1573" s="86"/>
      <c r="AZ1573" s="86"/>
      <c r="BA1573" s="86" t="b">
        <v>0</v>
      </c>
      <c r="BB1573" s="86" t="b">
        <v>1</v>
      </c>
      <c r="BC1573" s="86" t="b">
        <v>0</v>
      </c>
      <c r="BD1573" s="86" t="b">
        <v>0</v>
      </c>
      <c r="BE1573" s="86" t="b">
        <v>0</v>
      </c>
      <c r="BF1573" s="86" t="b">
        <v>0</v>
      </c>
      <c r="BG1573" s="86" t="b">
        <v>0</v>
      </c>
      <c r="BH1573" s="96" t="str">
        <f>HYPERLINK("https://pbs.twimg.com/profile_banners/62095109/1640781599")</f>
        <v>https://pbs.twimg.com/profile_banners/62095109/1640781599</v>
      </c>
      <c r="BI1573" s="86"/>
      <c r="BJ1573" s="86" t="s">
        <v>29134</v>
      </c>
      <c r="BK1573" s="86" t="b">
        <v>0</v>
      </c>
      <c r="BL1573" s="86"/>
      <c r="BM1573" s="86" t="s">
        <v>66</v>
      </c>
      <c r="BN1573" s="86" t="s">
        <v>29136</v>
      </c>
      <c r="BO1573" s="96" t="str">
        <f>HYPERLINK("https://twitter.com/cidorodrigues")</f>
        <v>https://twitter.com/cidorodrigues</v>
      </c>
      <c r="BP1573" s="2"/>
    </row>
    <row r="1574" spans="1:68" x14ac:dyDescent="0.25">
      <c r="A1574" s="63" t="s">
        <v>1574</v>
      </c>
      <c r="B1574" s="64"/>
      <c r="C1574" s="64"/>
      <c r="D1574" s="65"/>
      <c r="E1574" s="67"/>
      <c r="F1574" s="111" t="str">
        <f>HYPERLINK("https://pbs.twimg.com/profile_images/1406282412871630856/W89Wdi2l_normal.jpg")</f>
        <v>https://pbs.twimg.com/profile_images/1406282412871630856/W89Wdi2l_normal.jpg</v>
      </c>
      <c r="G1574" s="64"/>
      <c r="H1574" s="68"/>
      <c r="I1574" s="69"/>
      <c r="J1574" s="69"/>
      <c r="K1574" s="68" t="s">
        <v>30707</v>
      </c>
      <c r="L1574" s="72"/>
      <c r="M1574" s="73"/>
      <c r="N1574" s="73"/>
      <c r="O1574" s="74"/>
      <c r="P1574" s="75"/>
      <c r="Q1574" s="75"/>
      <c r="R1574" s="102"/>
      <c r="S1574" s="102"/>
      <c r="T1574" s="102"/>
      <c r="U1574" s="102"/>
      <c r="V1574" s="48"/>
      <c r="W1574" s="48"/>
      <c r="X1574" s="48"/>
      <c r="Y1574" s="48"/>
      <c r="Z1574" s="47"/>
      <c r="AA1574" s="70">
        <v>1574</v>
      </c>
      <c r="AB1574" s="70"/>
      <c r="AC1574" s="71"/>
      <c r="AD1574" s="86" t="s">
        <v>25161</v>
      </c>
      <c r="AE1574" s="94" t="s">
        <v>25854</v>
      </c>
      <c r="AF1574" s="86">
        <v>1354</v>
      </c>
      <c r="AG1574" s="86">
        <v>244</v>
      </c>
      <c r="AH1574" s="86">
        <v>77105</v>
      </c>
      <c r="AI1574" s="86">
        <v>90</v>
      </c>
      <c r="AJ1574" s="86">
        <v>2674</v>
      </c>
      <c r="AK1574" s="86">
        <v>26879</v>
      </c>
      <c r="AL1574" s="86" t="b">
        <v>0</v>
      </c>
      <c r="AM1574" s="89">
        <v>39991.906307870369</v>
      </c>
      <c r="AN1574" s="86" t="s">
        <v>26409</v>
      </c>
      <c r="AO1574" s="86" t="s">
        <v>27854</v>
      </c>
      <c r="AP1574" s="96" t="str">
        <f>HYPERLINK("https://t.co/UNT4T7kxly")</f>
        <v>https://t.co/UNT4T7kxly</v>
      </c>
      <c r="AQ1574" s="96" t="str">
        <f>HYPERLINK("http://professorrafaelporcari.com")</f>
        <v>http://professorrafaelporcari.com</v>
      </c>
      <c r="AR1574" s="86" t="s">
        <v>28956</v>
      </c>
      <c r="AS1574" s="86"/>
      <c r="AT1574" s="86"/>
      <c r="AU1574" s="86"/>
      <c r="AV1574" s="86">
        <v>1.69898900135155E+18</v>
      </c>
      <c r="AW1574" s="96" t="str">
        <f>HYPERLINK("https://t.co/UNT4T7kxly")</f>
        <v>https://t.co/UNT4T7kxly</v>
      </c>
      <c r="AX1574" s="86" t="b">
        <v>0</v>
      </c>
      <c r="AY1574" s="86"/>
      <c r="AZ1574" s="86"/>
      <c r="BA1574" s="86" t="b">
        <v>1</v>
      </c>
      <c r="BB1574" s="86" t="b">
        <v>1</v>
      </c>
      <c r="BC1574" s="86" t="b">
        <v>0</v>
      </c>
      <c r="BD1574" s="86" t="b">
        <v>0</v>
      </c>
      <c r="BE1574" s="86" t="b">
        <v>1</v>
      </c>
      <c r="BF1574" s="86" t="b">
        <v>0</v>
      </c>
      <c r="BG1574" s="86" t="b">
        <v>0</v>
      </c>
      <c r="BH1574" s="96" t="str">
        <f>HYPERLINK("https://pbs.twimg.com/profile_banners/51565827/1691784725")</f>
        <v>https://pbs.twimg.com/profile_banners/51565827/1691784725</v>
      </c>
      <c r="BI1574" s="86"/>
      <c r="BJ1574" s="86" t="s">
        <v>29134</v>
      </c>
      <c r="BK1574" s="86" t="b">
        <v>0</v>
      </c>
      <c r="BL1574" s="86"/>
      <c r="BM1574" s="86" t="s">
        <v>66</v>
      </c>
      <c r="BN1574" s="86" t="s">
        <v>29136</v>
      </c>
      <c r="BO1574" s="96" t="str">
        <f>HYPERLINK("https://twitter.com/rafaelporcari")</f>
        <v>https://twitter.com/rafaelporcari</v>
      </c>
      <c r="BP1574" s="2"/>
    </row>
    <row r="1575" spans="1:68" x14ac:dyDescent="0.25">
      <c r="A1575" s="63" t="s">
        <v>1575</v>
      </c>
      <c r="B1575" s="64"/>
      <c r="C1575" s="64"/>
      <c r="D1575" s="65"/>
      <c r="E1575" s="67"/>
      <c r="F1575" s="111" t="str">
        <f>HYPERLINK("https://pbs.twimg.com/profile_images/1577020692184301587/YW6XkdWF_normal.jpg")</f>
        <v>https://pbs.twimg.com/profile_images/1577020692184301587/YW6XkdWF_normal.jpg</v>
      </c>
      <c r="G1575" s="64"/>
      <c r="H1575" s="68"/>
      <c r="I1575" s="69"/>
      <c r="J1575" s="69"/>
      <c r="K1575" s="68" t="s">
        <v>30708</v>
      </c>
      <c r="L1575" s="72"/>
      <c r="M1575" s="73"/>
      <c r="N1575" s="73"/>
      <c r="O1575" s="74"/>
      <c r="P1575" s="75"/>
      <c r="Q1575" s="75"/>
      <c r="R1575" s="102"/>
      <c r="S1575" s="102"/>
      <c r="T1575" s="102"/>
      <c r="U1575" s="102"/>
      <c r="V1575" s="48"/>
      <c r="W1575" s="48"/>
      <c r="X1575" s="48"/>
      <c r="Y1575" s="48"/>
      <c r="Z1575" s="47"/>
      <c r="AA1575" s="70">
        <v>1575</v>
      </c>
      <c r="AB1575" s="70"/>
      <c r="AC1575" s="71"/>
      <c r="AD1575" s="86" t="s">
        <v>25162</v>
      </c>
      <c r="AE1575" s="94" t="s">
        <v>23578</v>
      </c>
      <c r="AF1575" s="86">
        <v>19</v>
      </c>
      <c r="AG1575" s="86">
        <v>0</v>
      </c>
      <c r="AH1575" s="86">
        <v>497</v>
      </c>
      <c r="AI1575" s="86">
        <v>0</v>
      </c>
      <c r="AJ1575" s="86">
        <v>5</v>
      </c>
      <c r="AK1575" s="86">
        <v>493</v>
      </c>
      <c r="AL1575" s="86" t="b">
        <v>0</v>
      </c>
      <c r="AM1575" s="89">
        <v>44054.259259259263</v>
      </c>
      <c r="AN1575" s="86"/>
      <c r="AO1575" s="86" t="s">
        <v>27855</v>
      </c>
      <c r="AP1575" s="96" t="str">
        <f>HYPERLINK("https://t.co/nzu6PhKPfx")</f>
        <v>https://t.co/nzu6PhKPfx</v>
      </c>
      <c r="AQ1575" s="96" t="str">
        <f>HYPERLINK("https://linktr.ee/studiomadehits")</f>
        <v>https://linktr.ee/studiomadehits</v>
      </c>
      <c r="AR1575" s="86" t="s">
        <v>28957</v>
      </c>
      <c r="AS1575" s="86"/>
      <c r="AT1575" s="86"/>
      <c r="AU1575" s="86"/>
      <c r="AV1575" s="86"/>
      <c r="AW1575" s="96" t="str">
        <f>HYPERLINK("https://t.co/nzu6PhKPfx")</f>
        <v>https://t.co/nzu6PhKPfx</v>
      </c>
      <c r="AX1575" s="86" t="b">
        <v>0</v>
      </c>
      <c r="AY1575" s="86"/>
      <c r="AZ1575" s="86"/>
      <c r="BA1575" s="86" t="b">
        <v>0</v>
      </c>
      <c r="BB1575" s="86" t="b">
        <v>1</v>
      </c>
      <c r="BC1575" s="86" t="b">
        <v>1</v>
      </c>
      <c r="BD1575" s="86" t="b">
        <v>0</v>
      </c>
      <c r="BE1575" s="86" t="b">
        <v>0</v>
      </c>
      <c r="BF1575" s="86" t="b">
        <v>0</v>
      </c>
      <c r="BG1575" s="86" t="b">
        <v>0</v>
      </c>
      <c r="BH1575" s="96" t="str">
        <f>HYPERLINK("https://pbs.twimg.com/profile_banners/1293067913453338625/1664826009")</f>
        <v>https://pbs.twimg.com/profile_banners/1293067913453338625/1664826009</v>
      </c>
      <c r="BI1575" s="86"/>
      <c r="BJ1575" s="86" t="s">
        <v>29134</v>
      </c>
      <c r="BK1575" s="86" t="b">
        <v>0</v>
      </c>
      <c r="BL1575" s="86"/>
      <c r="BM1575" s="86" t="s">
        <v>66</v>
      </c>
      <c r="BN1575" s="86" t="s">
        <v>29136</v>
      </c>
      <c r="BO1575" s="96" t="str">
        <f>HYPERLINK("https://twitter.com/made_hits")</f>
        <v>https://twitter.com/made_hits</v>
      </c>
      <c r="BP1575" s="2"/>
    </row>
    <row r="1576" spans="1:68" x14ac:dyDescent="0.25">
      <c r="A1576" s="63" t="s">
        <v>1576</v>
      </c>
      <c r="B1576" s="64"/>
      <c r="C1576" s="64"/>
      <c r="D1576" s="65"/>
      <c r="E1576" s="67"/>
      <c r="F1576" s="111" t="str">
        <f>HYPERLINK("https://pbs.twimg.com/profile_images/1691170171849785344/R61GsjyZ_normal.jpg")</f>
        <v>https://pbs.twimg.com/profile_images/1691170171849785344/R61GsjyZ_normal.jpg</v>
      </c>
      <c r="G1576" s="64"/>
      <c r="H1576" s="68"/>
      <c r="I1576" s="69"/>
      <c r="J1576" s="69"/>
      <c r="K1576" s="68" t="s">
        <v>30709</v>
      </c>
      <c r="L1576" s="72"/>
      <c r="M1576" s="73"/>
      <c r="N1576" s="73"/>
      <c r="O1576" s="74"/>
      <c r="P1576" s="75"/>
      <c r="Q1576" s="75"/>
      <c r="R1576" s="102"/>
      <c r="S1576" s="102"/>
      <c r="T1576" s="102"/>
      <c r="U1576" s="102"/>
      <c r="V1576" s="48"/>
      <c r="W1576" s="48"/>
      <c r="X1576" s="48"/>
      <c r="Y1576" s="48"/>
      <c r="Z1576" s="47"/>
      <c r="AA1576" s="70">
        <v>1576</v>
      </c>
      <c r="AB1576" s="70"/>
      <c r="AC1576" s="71"/>
      <c r="AD1576" s="86" t="s">
        <v>25163</v>
      </c>
      <c r="AE1576" s="94" t="s">
        <v>22662</v>
      </c>
      <c r="AF1576" s="86">
        <v>2</v>
      </c>
      <c r="AG1576" s="86">
        <v>0</v>
      </c>
      <c r="AH1576" s="86">
        <v>80</v>
      </c>
      <c r="AI1576" s="86">
        <v>0</v>
      </c>
      <c r="AJ1576" s="86">
        <v>5</v>
      </c>
      <c r="AK1576" s="86">
        <v>21</v>
      </c>
      <c r="AL1576" s="86" t="b">
        <v>0</v>
      </c>
      <c r="AM1576" s="89">
        <v>45152.80846064815</v>
      </c>
      <c r="AN1576" s="86"/>
      <c r="AO1576" s="86" t="s">
        <v>27856</v>
      </c>
      <c r="AP1576" s="86"/>
      <c r="AQ1576" s="86"/>
      <c r="AR1576" s="86"/>
      <c r="AS1576" s="86"/>
      <c r="AT1576" s="86"/>
      <c r="AU1576" s="86"/>
      <c r="AV1576" s="86"/>
      <c r="AW1576" s="86"/>
      <c r="AX1576" s="86" t="b">
        <v>0</v>
      </c>
      <c r="AY1576" s="86"/>
      <c r="AZ1576" s="86"/>
      <c r="BA1576" s="86" t="b">
        <v>0</v>
      </c>
      <c r="BB1576" s="86" t="b">
        <v>1</v>
      </c>
      <c r="BC1576" s="86" t="b">
        <v>1</v>
      </c>
      <c r="BD1576" s="86" t="b">
        <v>0</v>
      </c>
      <c r="BE1576" s="86" t="b">
        <v>0</v>
      </c>
      <c r="BF1576" s="86" t="b">
        <v>0</v>
      </c>
      <c r="BG1576" s="86" t="b">
        <v>0</v>
      </c>
      <c r="BH1576" s="96" t="str">
        <f>HYPERLINK("https://pbs.twimg.com/profile_banners/1691168827336269824/1692041847")</f>
        <v>https://pbs.twimg.com/profile_banners/1691168827336269824/1692041847</v>
      </c>
      <c r="BI1576" s="86"/>
      <c r="BJ1576" s="86" t="s">
        <v>29134</v>
      </c>
      <c r="BK1576" s="86" t="b">
        <v>0</v>
      </c>
      <c r="BL1576" s="86"/>
      <c r="BM1576" s="86" t="s">
        <v>66</v>
      </c>
      <c r="BN1576" s="86" t="s">
        <v>29136</v>
      </c>
      <c r="BO1576" s="96" t="str">
        <f>HYPERLINK("https://twitter.com/certificad95001")</f>
        <v>https://twitter.com/certificad95001</v>
      </c>
      <c r="BP1576" s="2"/>
    </row>
    <row r="1577" spans="1:68" x14ac:dyDescent="0.25">
      <c r="A1577" s="63" t="s">
        <v>1577</v>
      </c>
      <c r="B1577" s="64"/>
      <c r="C1577" s="64"/>
      <c r="D1577" s="65"/>
      <c r="E1577" s="67"/>
      <c r="F1577" s="111" t="str">
        <f>HYPERLINK("https://abs.twimg.com/sticky/default_profile_images/default_profile_normal.png")</f>
        <v>https://abs.twimg.com/sticky/default_profile_images/default_profile_normal.png</v>
      </c>
      <c r="G1577" s="64"/>
      <c r="H1577" s="68"/>
      <c r="I1577" s="69"/>
      <c r="J1577" s="69"/>
      <c r="K1577" s="68" t="s">
        <v>30710</v>
      </c>
      <c r="L1577" s="72"/>
      <c r="M1577" s="73"/>
      <c r="N1577" s="73"/>
      <c r="O1577" s="74"/>
      <c r="P1577" s="75"/>
      <c r="Q1577" s="75"/>
      <c r="R1577" s="102"/>
      <c r="S1577" s="102"/>
      <c r="T1577" s="102"/>
      <c r="U1577" s="102"/>
      <c r="V1577" s="48"/>
      <c r="W1577" s="48"/>
      <c r="X1577" s="48"/>
      <c r="Y1577" s="48"/>
      <c r="Z1577" s="47"/>
      <c r="AA1577" s="70">
        <v>1577</v>
      </c>
      <c r="AB1577" s="70"/>
      <c r="AC1577" s="71"/>
      <c r="AD1577" s="86" t="s">
        <v>25164</v>
      </c>
      <c r="AE1577" s="94" t="s">
        <v>23579</v>
      </c>
      <c r="AF1577" s="86">
        <v>3</v>
      </c>
      <c r="AG1577" s="86">
        <v>149</v>
      </c>
      <c r="AH1577" s="86">
        <v>140</v>
      </c>
      <c r="AI1577" s="86">
        <v>0</v>
      </c>
      <c r="AJ1577" s="86">
        <v>276</v>
      </c>
      <c r="AK1577" s="86">
        <v>9</v>
      </c>
      <c r="AL1577" s="86" t="b">
        <v>0</v>
      </c>
      <c r="AM1577" s="89">
        <v>43901.152638888889</v>
      </c>
      <c r="AN1577" s="86"/>
      <c r="AO1577" s="96" t="str">
        <f>HYPERLINK("https://t.co/EGwgoygYJr")</f>
        <v>https://t.co/EGwgoygYJr</v>
      </c>
      <c r="AP1577" s="86"/>
      <c r="AQ1577" s="86"/>
      <c r="AR1577" s="86"/>
      <c r="AS1577" s="96" t="str">
        <f>HYPERLINK("https://t.co/EGwgoygYJr")</f>
        <v>https://t.co/EGwgoygYJr</v>
      </c>
      <c r="AT1577" s="96" t="str">
        <f>HYPERLINK("https://r.upland.me/vnZ2")</f>
        <v>https://r.upland.me/vnZ2</v>
      </c>
      <c r="AU1577" s="86" t="s">
        <v>29129</v>
      </c>
      <c r="AV1577" s="86"/>
      <c r="AW1577" s="86"/>
      <c r="AX1577" s="86" t="b">
        <v>0</v>
      </c>
      <c r="AY1577" s="86"/>
      <c r="AZ1577" s="86"/>
      <c r="BA1577" s="86" t="b">
        <v>0</v>
      </c>
      <c r="BB1577" s="86" t="b">
        <v>1</v>
      </c>
      <c r="BC1577" s="86" t="b">
        <v>1</v>
      </c>
      <c r="BD1577" s="86" t="b">
        <v>1</v>
      </c>
      <c r="BE1577" s="86" t="b">
        <v>0</v>
      </c>
      <c r="BF1577" s="86" t="b">
        <v>0</v>
      </c>
      <c r="BG1577" s="86" t="b">
        <v>0</v>
      </c>
      <c r="BH1577" s="86"/>
      <c r="BI1577" s="86"/>
      <c r="BJ1577" s="86" t="s">
        <v>29134</v>
      </c>
      <c r="BK1577" s="86" t="b">
        <v>0</v>
      </c>
      <c r="BL1577" s="86"/>
      <c r="BM1577" s="86" t="s">
        <v>66</v>
      </c>
      <c r="BN1577" s="86" t="s">
        <v>29136</v>
      </c>
      <c r="BO1577" s="96" t="str">
        <f>HYPERLINK("https://twitter.com/andrbragagonal1")</f>
        <v>https://twitter.com/andrbragagonal1</v>
      </c>
      <c r="BP1577" s="2"/>
    </row>
    <row r="1578" spans="1:68" x14ac:dyDescent="0.25">
      <c r="A1578" s="63" t="s">
        <v>1578</v>
      </c>
      <c r="B1578" s="64"/>
      <c r="C1578" s="64"/>
      <c r="D1578" s="65"/>
      <c r="E1578" s="67"/>
      <c r="F1578" s="111" t="str">
        <f>HYPERLINK("https://pbs.twimg.com/profile_images/1428794169607208966/0DhywrO-_normal.jpg")</f>
        <v>https://pbs.twimg.com/profile_images/1428794169607208966/0DhywrO-_normal.jpg</v>
      </c>
      <c r="G1578" s="64"/>
      <c r="H1578" s="68"/>
      <c r="I1578" s="69"/>
      <c r="J1578" s="69"/>
      <c r="K1578" s="68" t="s">
        <v>30711</v>
      </c>
      <c r="L1578" s="72"/>
      <c r="M1578" s="73"/>
      <c r="N1578" s="73"/>
      <c r="O1578" s="74"/>
      <c r="P1578" s="75"/>
      <c r="Q1578" s="75"/>
      <c r="R1578" s="102"/>
      <c r="S1578" s="102"/>
      <c r="T1578" s="102"/>
      <c r="U1578" s="102"/>
      <c r="V1578" s="48"/>
      <c r="W1578" s="48"/>
      <c r="X1578" s="48"/>
      <c r="Y1578" s="48"/>
      <c r="Z1578" s="47"/>
      <c r="AA1578" s="70">
        <v>1578</v>
      </c>
      <c r="AB1578" s="70"/>
      <c r="AC1578" s="71"/>
      <c r="AD1578" s="86" t="s">
        <v>25165</v>
      </c>
      <c r="AE1578" s="94" t="s">
        <v>25855</v>
      </c>
      <c r="AF1578" s="86">
        <v>1082</v>
      </c>
      <c r="AG1578" s="86">
        <v>2405</v>
      </c>
      <c r="AH1578" s="86">
        <v>40174</v>
      </c>
      <c r="AI1578" s="86">
        <v>29</v>
      </c>
      <c r="AJ1578" s="86">
        <v>19065</v>
      </c>
      <c r="AK1578" s="86">
        <v>3229</v>
      </c>
      <c r="AL1578" s="86" t="b">
        <v>0</v>
      </c>
      <c r="AM1578" s="89">
        <v>39907.728622685187</v>
      </c>
      <c r="AN1578" s="86"/>
      <c r="AO1578" s="86" t="s">
        <v>27857</v>
      </c>
      <c r="AP1578" s="96" t="str">
        <f>HYPERLINK("https://t.co/UDFrxers3G")</f>
        <v>https://t.co/UDFrxers3G</v>
      </c>
      <c r="AQ1578" s="96" t="str">
        <f>HYPERLINK("http://www.meadiciona.com/robbson")</f>
        <v>http://www.meadiciona.com/robbson</v>
      </c>
      <c r="AR1578" s="86" t="s">
        <v>28958</v>
      </c>
      <c r="AS1578" s="86"/>
      <c r="AT1578" s="86"/>
      <c r="AU1578" s="86"/>
      <c r="AV1578" s="86">
        <v>1.66739209684672E+18</v>
      </c>
      <c r="AW1578" s="96" t="str">
        <f>HYPERLINK("https://t.co/UDFrxers3G")</f>
        <v>https://t.co/UDFrxers3G</v>
      </c>
      <c r="AX1578" s="86" t="b">
        <v>0</v>
      </c>
      <c r="AY1578" s="86"/>
      <c r="AZ1578" s="86"/>
      <c r="BA1578" s="86" t="b">
        <v>0</v>
      </c>
      <c r="BB1578" s="86" t="b">
        <v>1</v>
      </c>
      <c r="BC1578" s="86" t="b">
        <v>0</v>
      </c>
      <c r="BD1578" s="86" t="b">
        <v>0</v>
      </c>
      <c r="BE1578" s="86" t="b">
        <v>1</v>
      </c>
      <c r="BF1578" s="86" t="b">
        <v>0</v>
      </c>
      <c r="BG1578" s="86" t="b">
        <v>0</v>
      </c>
      <c r="BH1578" s="96" t="str">
        <f>HYPERLINK("https://pbs.twimg.com/profile_banners/28832811/1476622033")</f>
        <v>https://pbs.twimg.com/profile_banners/28832811/1476622033</v>
      </c>
      <c r="BI1578" s="86"/>
      <c r="BJ1578" s="86" t="s">
        <v>29134</v>
      </c>
      <c r="BK1578" s="86" t="b">
        <v>0</v>
      </c>
      <c r="BL1578" s="86"/>
      <c r="BM1578" s="86" t="s">
        <v>66</v>
      </c>
      <c r="BN1578" s="86" t="s">
        <v>29136</v>
      </c>
      <c r="BO1578" s="96" t="str">
        <f>HYPERLINK("https://twitter.com/robbson")</f>
        <v>https://twitter.com/robbson</v>
      </c>
      <c r="BP1578" s="2"/>
    </row>
    <row r="1579" spans="1:68" x14ac:dyDescent="0.25">
      <c r="A1579" s="63" t="s">
        <v>1579</v>
      </c>
      <c r="B1579" s="64"/>
      <c r="C1579" s="64"/>
      <c r="D1579" s="65"/>
      <c r="E1579" s="67"/>
      <c r="F1579" s="111" t="str">
        <f>HYPERLINK("https://pbs.twimg.com/profile_images/1569319871032315906/dbb-o1Xn_normal.jpg")</f>
        <v>https://pbs.twimg.com/profile_images/1569319871032315906/dbb-o1Xn_normal.jpg</v>
      </c>
      <c r="G1579" s="64"/>
      <c r="H1579" s="68"/>
      <c r="I1579" s="69"/>
      <c r="J1579" s="69"/>
      <c r="K1579" s="68" t="s">
        <v>30712</v>
      </c>
      <c r="L1579" s="72"/>
      <c r="M1579" s="73"/>
      <c r="N1579" s="73"/>
      <c r="O1579" s="74"/>
      <c r="P1579" s="75"/>
      <c r="Q1579" s="75"/>
      <c r="R1579" s="102"/>
      <c r="S1579" s="102"/>
      <c r="T1579" s="102"/>
      <c r="U1579" s="102"/>
      <c r="V1579" s="48"/>
      <c r="W1579" s="48"/>
      <c r="X1579" s="48"/>
      <c r="Y1579" s="48"/>
      <c r="Z1579" s="47"/>
      <c r="AA1579" s="70">
        <v>1579</v>
      </c>
      <c r="AB1579" s="70"/>
      <c r="AC1579" s="71"/>
      <c r="AD1579" s="86" t="s">
        <v>25166</v>
      </c>
      <c r="AE1579" s="94" t="s">
        <v>25856</v>
      </c>
      <c r="AF1579" s="86">
        <v>361</v>
      </c>
      <c r="AG1579" s="86">
        <v>444</v>
      </c>
      <c r="AH1579" s="86">
        <v>647</v>
      </c>
      <c r="AI1579" s="86">
        <v>4</v>
      </c>
      <c r="AJ1579" s="86">
        <v>13</v>
      </c>
      <c r="AK1579" s="86">
        <v>56</v>
      </c>
      <c r="AL1579" s="86" t="b">
        <v>0</v>
      </c>
      <c r="AM1579" s="89">
        <v>39989.857453703706</v>
      </c>
      <c r="AN1579" s="86" t="s">
        <v>15417</v>
      </c>
      <c r="AO1579" s="86" t="s">
        <v>27858</v>
      </c>
      <c r="AP1579" s="96" t="str">
        <f>HYPERLINK("https://t.co/a154JjZRHl")</f>
        <v>https://t.co/a154JjZRHl</v>
      </c>
      <c r="AQ1579" s="96" t="str">
        <f>HYPERLINK("https://growthmentoring.com.br/")</f>
        <v>https://growthmentoring.com.br/</v>
      </c>
      <c r="AR1579" s="86" t="s">
        <v>28959</v>
      </c>
      <c r="AS1579" s="86"/>
      <c r="AT1579" s="86"/>
      <c r="AU1579" s="86"/>
      <c r="AV1579" s="86"/>
      <c r="AW1579" s="96" t="str">
        <f>HYPERLINK("https://t.co/a154JjZRHl")</f>
        <v>https://t.co/a154JjZRHl</v>
      </c>
      <c r="AX1579" s="86" t="b">
        <v>0</v>
      </c>
      <c r="AY1579" s="86"/>
      <c r="AZ1579" s="86"/>
      <c r="BA1579" s="86" t="b">
        <v>0</v>
      </c>
      <c r="BB1579" s="86" t="b">
        <v>1</v>
      </c>
      <c r="BC1579" s="86" t="b">
        <v>0</v>
      </c>
      <c r="BD1579" s="86" t="b">
        <v>0</v>
      </c>
      <c r="BE1579" s="86" t="b">
        <v>0</v>
      </c>
      <c r="BF1579" s="86" t="b">
        <v>0</v>
      </c>
      <c r="BG1579" s="86" t="b">
        <v>0</v>
      </c>
      <c r="BH1579" s="96" t="str">
        <f>HYPERLINK("https://pbs.twimg.com/profile_banners/50761016/1662990242")</f>
        <v>https://pbs.twimg.com/profile_banners/50761016/1662990242</v>
      </c>
      <c r="BI1579" s="86"/>
      <c r="BJ1579" s="86" t="s">
        <v>29134</v>
      </c>
      <c r="BK1579" s="86" t="b">
        <v>0</v>
      </c>
      <c r="BL1579" s="86"/>
      <c r="BM1579" s="86" t="s">
        <v>66</v>
      </c>
      <c r="BN1579" s="86" t="s">
        <v>29136</v>
      </c>
      <c r="BO1579" s="96" t="str">
        <f>HYPERLINK("https://twitter.com/vaniacolunista")</f>
        <v>https://twitter.com/vaniacolunista</v>
      </c>
      <c r="BP1579" s="2"/>
    </row>
    <row r="1580" spans="1:68" x14ac:dyDescent="0.25">
      <c r="A1580" s="63" t="s">
        <v>1581</v>
      </c>
      <c r="B1580" s="64"/>
      <c r="C1580" s="64"/>
      <c r="D1580" s="65"/>
      <c r="E1580" s="67"/>
      <c r="F1580" s="111" t="str">
        <f>HYPERLINK("https://pbs.twimg.com/profile_images/1563213943795073024/dRcH4FQd_normal.jpg")</f>
        <v>https://pbs.twimg.com/profile_images/1563213943795073024/dRcH4FQd_normal.jpg</v>
      </c>
      <c r="G1580" s="64"/>
      <c r="H1580" s="68"/>
      <c r="I1580" s="69"/>
      <c r="J1580" s="69"/>
      <c r="K1580" s="68" t="s">
        <v>30713</v>
      </c>
      <c r="L1580" s="72"/>
      <c r="M1580" s="73"/>
      <c r="N1580" s="73"/>
      <c r="O1580" s="74"/>
      <c r="P1580" s="75"/>
      <c r="Q1580" s="75"/>
      <c r="R1580" s="102"/>
      <c r="S1580" s="102"/>
      <c r="T1580" s="102"/>
      <c r="U1580" s="102"/>
      <c r="V1580" s="48"/>
      <c r="W1580" s="48"/>
      <c r="X1580" s="48"/>
      <c r="Y1580" s="48"/>
      <c r="Z1580" s="47"/>
      <c r="AA1580" s="70">
        <v>1580</v>
      </c>
      <c r="AB1580" s="70"/>
      <c r="AC1580" s="71"/>
      <c r="AD1580" s="86" t="s">
        <v>25167</v>
      </c>
      <c r="AE1580" s="94" t="s">
        <v>22664</v>
      </c>
      <c r="AF1580" s="86">
        <v>61</v>
      </c>
      <c r="AG1580" s="86">
        <v>231</v>
      </c>
      <c r="AH1580" s="86">
        <v>29526</v>
      </c>
      <c r="AI1580" s="86">
        <v>0</v>
      </c>
      <c r="AJ1580" s="86">
        <v>64394</v>
      </c>
      <c r="AK1580" s="86">
        <v>60</v>
      </c>
      <c r="AL1580" s="86" t="b">
        <v>0</v>
      </c>
      <c r="AM1580" s="89">
        <v>44258.608715277776</v>
      </c>
      <c r="AN1580" s="86"/>
      <c r="AO1580" s="86" t="s">
        <v>27859</v>
      </c>
      <c r="AP1580" s="86"/>
      <c r="AQ1580" s="86"/>
      <c r="AR1580" s="86"/>
      <c r="AS1580" s="86"/>
      <c r="AT1580" s="86"/>
      <c r="AU1580" s="86"/>
      <c r="AV1580" s="86"/>
      <c r="AW1580" s="86"/>
      <c r="AX1580" s="86" t="b">
        <v>0</v>
      </c>
      <c r="AY1580" s="86"/>
      <c r="AZ1580" s="86"/>
      <c r="BA1580" s="86" t="b">
        <v>0</v>
      </c>
      <c r="BB1580" s="86" t="b">
        <v>1</v>
      </c>
      <c r="BC1580" s="86" t="b">
        <v>1</v>
      </c>
      <c r="BD1580" s="86" t="b">
        <v>0</v>
      </c>
      <c r="BE1580" s="86" t="b">
        <v>1</v>
      </c>
      <c r="BF1580" s="86" t="b">
        <v>0</v>
      </c>
      <c r="BG1580" s="86" t="b">
        <v>0</v>
      </c>
      <c r="BH1580" s="96" t="str">
        <f>HYPERLINK("https://pbs.twimg.com/profile_banners/1367121679701471244/1683423235")</f>
        <v>https://pbs.twimg.com/profile_banners/1367121679701471244/1683423235</v>
      </c>
      <c r="BI1580" s="86"/>
      <c r="BJ1580" s="86" t="s">
        <v>29134</v>
      </c>
      <c r="BK1580" s="86" t="b">
        <v>0</v>
      </c>
      <c r="BL1580" s="86"/>
      <c r="BM1580" s="86" t="s">
        <v>66</v>
      </c>
      <c r="BN1580" s="86" t="s">
        <v>29136</v>
      </c>
      <c r="BO1580" s="96" t="str">
        <f>HYPERLINK("https://twitter.com/mendes62071219")</f>
        <v>https://twitter.com/mendes62071219</v>
      </c>
      <c r="BP1580" s="2"/>
    </row>
    <row r="1581" spans="1:68" x14ac:dyDescent="0.25">
      <c r="A1581" s="63" t="s">
        <v>1582</v>
      </c>
      <c r="B1581" s="64"/>
      <c r="C1581" s="64"/>
      <c r="D1581" s="65"/>
      <c r="E1581" s="67"/>
      <c r="F1581" s="111" t="str">
        <f>HYPERLINK("https://pbs.twimg.com/profile_images/1648016597800435713/DvriTA3X_normal.jpg")</f>
        <v>https://pbs.twimg.com/profile_images/1648016597800435713/DvriTA3X_normal.jpg</v>
      </c>
      <c r="G1581" s="64"/>
      <c r="H1581" s="68"/>
      <c r="I1581" s="69"/>
      <c r="J1581" s="69"/>
      <c r="K1581" s="68" t="s">
        <v>30714</v>
      </c>
      <c r="L1581" s="72"/>
      <c r="M1581" s="73"/>
      <c r="N1581" s="73"/>
      <c r="O1581" s="74"/>
      <c r="P1581" s="75"/>
      <c r="Q1581" s="75"/>
      <c r="R1581" s="102"/>
      <c r="S1581" s="102"/>
      <c r="T1581" s="102"/>
      <c r="U1581" s="102"/>
      <c r="V1581" s="48"/>
      <c r="W1581" s="48"/>
      <c r="X1581" s="48"/>
      <c r="Y1581" s="48"/>
      <c r="Z1581" s="47"/>
      <c r="AA1581" s="70">
        <v>1581</v>
      </c>
      <c r="AB1581" s="70"/>
      <c r="AC1581" s="71"/>
      <c r="AD1581" s="86" t="s">
        <v>25168</v>
      </c>
      <c r="AE1581" s="94" t="s">
        <v>25857</v>
      </c>
      <c r="AF1581" s="86">
        <v>81</v>
      </c>
      <c r="AG1581" s="86">
        <v>373</v>
      </c>
      <c r="AH1581" s="86">
        <v>46</v>
      </c>
      <c r="AI1581" s="86">
        <v>0</v>
      </c>
      <c r="AJ1581" s="86">
        <v>447</v>
      </c>
      <c r="AK1581" s="86">
        <v>12</v>
      </c>
      <c r="AL1581" s="86" t="b">
        <v>0</v>
      </c>
      <c r="AM1581" s="89">
        <v>40713.983344907407</v>
      </c>
      <c r="AN1581" s="86" t="s">
        <v>15283</v>
      </c>
      <c r="AO1581" s="86"/>
      <c r="AP1581" s="86"/>
      <c r="AQ1581" s="86"/>
      <c r="AR1581" s="86"/>
      <c r="AS1581" s="86"/>
      <c r="AT1581" s="86"/>
      <c r="AU1581" s="86"/>
      <c r="AV1581" s="86"/>
      <c r="AW1581" s="86"/>
      <c r="AX1581" s="86" t="b">
        <v>0</v>
      </c>
      <c r="AY1581" s="86"/>
      <c r="AZ1581" s="86"/>
      <c r="BA1581" s="86" t="b">
        <v>0</v>
      </c>
      <c r="BB1581" s="86" t="b">
        <v>1</v>
      </c>
      <c r="BC1581" s="86" t="b">
        <v>1</v>
      </c>
      <c r="BD1581" s="86" t="b">
        <v>0</v>
      </c>
      <c r="BE1581" s="86" t="b">
        <v>0</v>
      </c>
      <c r="BF1581" s="86" t="b">
        <v>0</v>
      </c>
      <c r="BG1581" s="86" t="b">
        <v>0</v>
      </c>
      <c r="BH1581" s="96" t="str">
        <f>HYPERLINK("https://pbs.twimg.com/profile_banners/320462847/1651925546")</f>
        <v>https://pbs.twimg.com/profile_banners/320462847/1651925546</v>
      </c>
      <c r="BI1581" s="86"/>
      <c r="BJ1581" s="86" t="s">
        <v>29134</v>
      </c>
      <c r="BK1581" s="86" t="b">
        <v>0</v>
      </c>
      <c r="BL1581" s="86"/>
      <c r="BM1581" s="86" t="s">
        <v>66</v>
      </c>
      <c r="BN1581" s="86" t="s">
        <v>29136</v>
      </c>
      <c r="BO1581" s="96" t="str">
        <f>HYPERLINK("https://twitter.com/jrhopf")</f>
        <v>https://twitter.com/jrhopf</v>
      </c>
      <c r="BP1581" s="2"/>
    </row>
    <row r="1582" spans="1:68" x14ac:dyDescent="0.25">
      <c r="A1582" s="63" t="s">
        <v>1583</v>
      </c>
      <c r="B1582" s="64"/>
      <c r="C1582" s="64"/>
      <c r="D1582" s="65"/>
      <c r="E1582" s="67"/>
      <c r="F1582" s="111" t="str">
        <f>HYPERLINK("https://pbs.twimg.com/profile_images/1705078919391563776/Sak7_XSG_normal.jpg")</f>
        <v>https://pbs.twimg.com/profile_images/1705078919391563776/Sak7_XSG_normal.jpg</v>
      </c>
      <c r="G1582" s="64"/>
      <c r="H1582" s="68"/>
      <c r="I1582" s="69"/>
      <c r="J1582" s="69"/>
      <c r="K1582" s="68" t="s">
        <v>30715</v>
      </c>
      <c r="L1582" s="72"/>
      <c r="M1582" s="73"/>
      <c r="N1582" s="73"/>
      <c r="O1582" s="74"/>
      <c r="P1582" s="75"/>
      <c r="Q1582" s="75"/>
      <c r="R1582" s="102"/>
      <c r="S1582" s="102"/>
      <c r="T1582" s="102"/>
      <c r="U1582" s="102"/>
      <c r="V1582" s="48"/>
      <c r="W1582" s="48"/>
      <c r="X1582" s="48"/>
      <c r="Y1582" s="48"/>
      <c r="Z1582" s="47"/>
      <c r="AA1582" s="70">
        <v>1582</v>
      </c>
      <c r="AB1582" s="70"/>
      <c r="AC1582" s="71"/>
      <c r="AD1582" s="86" t="s">
        <v>25169</v>
      </c>
      <c r="AE1582" s="94" t="s">
        <v>25858</v>
      </c>
      <c r="AF1582" s="86">
        <v>33</v>
      </c>
      <c r="AG1582" s="86">
        <v>328</v>
      </c>
      <c r="AH1582" s="86">
        <v>1105</v>
      </c>
      <c r="AI1582" s="86">
        <v>0</v>
      </c>
      <c r="AJ1582" s="86">
        <v>177</v>
      </c>
      <c r="AK1582" s="86">
        <v>135</v>
      </c>
      <c r="AL1582" s="86" t="b">
        <v>0</v>
      </c>
      <c r="AM1582" s="89">
        <v>41896.654247685183</v>
      </c>
      <c r="AN1582" s="86" t="s">
        <v>25884</v>
      </c>
      <c r="AO1582" s="86" t="s">
        <v>27860</v>
      </c>
      <c r="AP1582" s="96" t="str">
        <f>HYPERLINK("https://t.co/umtarxoiyd")</f>
        <v>https://t.co/umtarxoiyd</v>
      </c>
      <c r="AQ1582" s="96" t="str">
        <f>HYPERLINK("http://www.labecastore.com.br")</f>
        <v>http://www.labecastore.com.br</v>
      </c>
      <c r="AR1582" s="86" t="s">
        <v>28960</v>
      </c>
      <c r="AS1582" s="86"/>
      <c r="AT1582" s="86"/>
      <c r="AU1582" s="86"/>
      <c r="AV1582" s="86"/>
      <c r="AW1582" s="96" t="str">
        <f>HYPERLINK("https://t.co/umtarxoiyd")</f>
        <v>https://t.co/umtarxoiyd</v>
      </c>
      <c r="AX1582" s="86" t="b">
        <v>0</v>
      </c>
      <c r="AY1582" s="86"/>
      <c r="AZ1582" s="86"/>
      <c r="BA1582" s="86" t="b">
        <v>1</v>
      </c>
      <c r="BB1582" s="86" t="b">
        <v>0</v>
      </c>
      <c r="BC1582" s="86" t="b">
        <v>0</v>
      </c>
      <c r="BD1582" s="86" t="b">
        <v>0</v>
      </c>
      <c r="BE1582" s="86" t="b">
        <v>0</v>
      </c>
      <c r="BF1582" s="86" t="b">
        <v>0</v>
      </c>
      <c r="BG1582" s="86" t="b">
        <v>0</v>
      </c>
      <c r="BH1582" s="96" t="str">
        <f>HYPERLINK("https://pbs.twimg.com/profile_banners/2809645026/1608270797")</f>
        <v>https://pbs.twimg.com/profile_banners/2809645026/1608270797</v>
      </c>
      <c r="BI1582" s="86"/>
      <c r="BJ1582" s="86" t="s">
        <v>29134</v>
      </c>
      <c r="BK1582" s="86" t="b">
        <v>0</v>
      </c>
      <c r="BL1582" s="86"/>
      <c r="BM1582" s="86" t="s">
        <v>66</v>
      </c>
      <c r="BN1582" s="86" t="s">
        <v>29136</v>
      </c>
      <c r="BO1582" s="96" t="str">
        <f>HYPERLINK("https://twitter.com/adilsonp10")</f>
        <v>https://twitter.com/adilsonp10</v>
      </c>
      <c r="BP1582" s="2"/>
    </row>
    <row r="1583" spans="1:68" x14ac:dyDescent="0.25">
      <c r="A1583" s="63" t="s">
        <v>1584</v>
      </c>
      <c r="B1583" s="64"/>
      <c r="C1583" s="64"/>
      <c r="D1583" s="65"/>
      <c r="E1583" s="67"/>
      <c r="F1583" s="111" t="str">
        <f>HYPERLINK("https://pbs.twimg.com/profile_images/1523328012233625604/Estgo6qL_normal.jpg")</f>
        <v>https://pbs.twimg.com/profile_images/1523328012233625604/Estgo6qL_normal.jpg</v>
      </c>
      <c r="G1583" s="64"/>
      <c r="H1583" s="68"/>
      <c r="I1583" s="69"/>
      <c r="J1583" s="69"/>
      <c r="K1583" s="68" t="s">
        <v>30716</v>
      </c>
      <c r="L1583" s="72"/>
      <c r="M1583" s="73"/>
      <c r="N1583" s="73"/>
      <c r="O1583" s="74"/>
      <c r="P1583" s="75"/>
      <c r="Q1583" s="75"/>
      <c r="R1583" s="102"/>
      <c r="S1583" s="102"/>
      <c r="T1583" s="102"/>
      <c r="U1583" s="102"/>
      <c r="V1583" s="48"/>
      <c r="W1583" s="48"/>
      <c r="X1583" s="48"/>
      <c r="Y1583" s="48"/>
      <c r="Z1583" s="47"/>
      <c r="AA1583" s="70">
        <v>1583</v>
      </c>
      <c r="AB1583" s="70"/>
      <c r="AC1583" s="71"/>
      <c r="AD1583" s="86" t="s">
        <v>25170</v>
      </c>
      <c r="AE1583" s="94" t="s">
        <v>23580</v>
      </c>
      <c r="AF1583" s="86">
        <v>406</v>
      </c>
      <c r="AG1583" s="86">
        <v>494</v>
      </c>
      <c r="AH1583" s="86">
        <v>1600</v>
      </c>
      <c r="AI1583" s="86">
        <v>0</v>
      </c>
      <c r="AJ1583" s="86">
        <v>3566</v>
      </c>
      <c r="AK1583" s="86">
        <v>136</v>
      </c>
      <c r="AL1583" s="86" t="b">
        <v>0</v>
      </c>
      <c r="AM1583" s="89">
        <v>44087.145752314813</v>
      </c>
      <c r="AN1583" s="86" t="s">
        <v>15276</v>
      </c>
      <c r="AO1583" s="86" t="s">
        <v>27861</v>
      </c>
      <c r="AP1583" s="96" t="str">
        <f>HYPERLINK("https://t.co/bjUf7GLvqT")</f>
        <v>https://t.co/bjUf7GLvqT</v>
      </c>
      <c r="AQ1583" s="96" t="str">
        <f>HYPERLINK("https://youtube.com/c/AndradePlay")</f>
        <v>https://youtube.com/c/AndradePlay</v>
      </c>
      <c r="AR1583" s="86" t="s">
        <v>28961</v>
      </c>
      <c r="AS1583" s="86"/>
      <c r="AT1583" s="86"/>
      <c r="AU1583" s="86"/>
      <c r="AV1583" s="86">
        <v>1.6062783052958899E+18</v>
      </c>
      <c r="AW1583" s="96" t="str">
        <f>HYPERLINK("https://t.co/bjUf7GLvqT")</f>
        <v>https://t.co/bjUf7GLvqT</v>
      </c>
      <c r="AX1583" s="86" t="b">
        <v>0</v>
      </c>
      <c r="AY1583" s="86"/>
      <c r="AZ1583" s="86"/>
      <c r="BA1583" s="86" t="b">
        <v>1</v>
      </c>
      <c r="BB1583" s="86" t="b">
        <v>0</v>
      </c>
      <c r="BC1583" s="86" t="b">
        <v>1</v>
      </c>
      <c r="BD1583" s="86" t="b">
        <v>0</v>
      </c>
      <c r="BE1583" s="86" t="b">
        <v>1</v>
      </c>
      <c r="BF1583" s="86" t="b">
        <v>0</v>
      </c>
      <c r="BG1583" s="86" t="b">
        <v>0</v>
      </c>
      <c r="BH1583" s="86"/>
      <c r="BI1583" s="86"/>
      <c r="BJ1583" s="86" t="s">
        <v>29134</v>
      </c>
      <c r="BK1583" s="86" t="b">
        <v>0</v>
      </c>
      <c r="BL1583" s="86"/>
      <c r="BM1583" s="86" t="s">
        <v>66</v>
      </c>
      <c r="BN1583" s="86" t="s">
        <v>29136</v>
      </c>
      <c r="BO1583" s="96" t="str">
        <f>HYPERLINK("https://twitter.com/andradegui19_")</f>
        <v>https://twitter.com/andradegui19_</v>
      </c>
      <c r="BP1583" s="2"/>
    </row>
    <row r="1584" spans="1:68" x14ac:dyDescent="0.25">
      <c r="A1584" s="63" t="s">
        <v>1586</v>
      </c>
      <c r="B1584" s="64"/>
      <c r="C1584" s="64"/>
      <c r="D1584" s="65"/>
      <c r="E1584" s="67"/>
      <c r="F1584" s="111" t="str">
        <f>HYPERLINK("https://pbs.twimg.com/profile_images/1297877005644582912/RHlYwGJG_normal.jpg")</f>
        <v>https://pbs.twimg.com/profile_images/1297877005644582912/RHlYwGJG_normal.jpg</v>
      </c>
      <c r="G1584" s="64"/>
      <c r="H1584" s="68"/>
      <c r="I1584" s="69"/>
      <c r="J1584" s="69"/>
      <c r="K1584" s="68" t="s">
        <v>30717</v>
      </c>
      <c r="L1584" s="72"/>
      <c r="M1584" s="73"/>
      <c r="N1584" s="73"/>
      <c r="O1584" s="74"/>
      <c r="P1584" s="75"/>
      <c r="Q1584" s="75"/>
      <c r="R1584" s="102"/>
      <c r="S1584" s="102"/>
      <c r="T1584" s="102"/>
      <c r="U1584" s="102"/>
      <c r="V1584" s="48"/>
      <c r="W1584" s="48"/>
      <c r="X1584" s="48"/>
      <c r="Y1584" s="48"/>
      <c r="Z1584" s="47"/>
      <c r="AA1584" s="70">
        <v>1584</v>
      </c>
      <c r="AB1584" s="70"/>
      <c r="AC1584" s="71"/>
      <c r="AD1584" s="86" t="s">
        <v>25171</v>
      </c>
      <c r="AE1584" s="94" t="s">
        <v>25859</v>
      </c>
      <c r="AF1584" s="86">
        <v>1779</v>
      </c>
      <c r="AG1584" s="86">
        <v>502</v>
      </c>
      <c r="AH1584" s="86">
        <v>45848</v>
      </c>
      <c r="AI1584" s="86">
        <v>12</v>
      </c>
      <c r="AJ1584" s="86">
        <v>37</v>
      </c>
      <c r="AK1584" s="86">
        <v>32953</v>
      </c>
      <c r="AL1584" s="86" t="b">
        <v>0</v>
      </c>
      <c r="AM1584" s="89">
        <v>40239.534386574072</v>
      </c>
      <c r="AN1584" s="86" t="s">
        <v>26410</v>
      </c>
      <c r="AO1584" s="86" t="s">
        <v>27862</v>
      </c>
      <c r="AP1584" s="96" t="str">
        <f>HYPERLINK("https://t.co/JKol0Vx7aI")</f>
        <v>https://t.co/JKol0Vx7aI</v>
      </c>
      <c r="AQ1584" s="96" t="str">
        <f>HYPERLINK("http://www.correiodeminas.com.br")</f>
        <v>http://www.correiodeminas.com.br</v>
      </c>
      <c r="AR1584" s="86" t="s">
        <v>28962</v>
      </c>
      <c r="AS1584" s="86"/>
      <c r="AT1584" s="86"/>
      <c r="AU1584" s="86"/>
      <c r="AV1584" s="86"/>
      <c r="AW1584" s="96" t="str">
        <f>HYPERLINK("https://t.co/JKol0Vx7aI")</f>
        <v>https://t.co/JKol0Vx7aI</v>
      </c>
      <c r="AX1584" s="86" t="b">
        <v>0</v>
      </c>
      <c r="AY1584" s="86"/>
      <c r="AZ1584" s="86"/>
      <c r="BA1584" s="86" t="b">
        <v>0</v>
      </c>
      <c r="BB1584" s="86" t="b">
        <v>1</v>
      </c>
      <c r="BC1584" s="86" t="b">
        <v>0</v>
      </c>
      <c r="BD1584" s="86" t="b">
        <v>0</v>
      </c>
      <c r="BE1584" s="86" t="b">
        <v>1</v>
      </c>
      <c r="BF1584" s="86" t="b">
        <v>0</v>
      </c>
      <c r="BG1584" s="86" t="b">
        <v>0</v>
      </c>
      <c r="BH1584" s="96" t="str">
        <f>HYPERLINK("https://pbs.twimg.com/profile_banners/119024617/1644316510")</f>
        <v>https://pbs.twimg.com/profile_banners/119024617/1644316510</v>
      </c>
      <c r="BI1584" s="86"/>
      <c r="BJ1584" s="86" t="s">
        <v>29134</v>
      </c>
      <c r="BK1584" s="86" t="b">
        <v>0</v>
      </c>
      <c r="BL1584" s="86"/>
      <c r="BM1584" s="86" t="s">
        <v>66</v>
      </c>
      <c r="BN1584" s="86" t="s">
        <v>29136</v>
      </c>
      <c r="BO1584" s="96" t="str">
        <f>HYPERLINK("https://twitter.com/correiodeminas")</f>
        <v>https://twitter.com/correiodeminas</v>
      </c>
      <c r="BP1584" s="2"/>
    </row>
    <row r="1585" spans="1:68" x14ac:dyDescent="0.25">
      <c r="A1585" s="63" t="s">
        <v>1587</v>
      </c>
      <c r="B1585" s="64"/>
      <c r="C1585" s="64"/>
      <c r="D1585" s="65"/>
      <c r="E1585" s="67"/>
      <c r="F1585" s="111" t="str">
        <f>HYPERLINK("https://pbs.twimg.com/profile_images/1276235770613948417/e9H3CqAo_normal.jpg")</f>
        <v>https://pbs.twimg.com/profile_images/1276235770613948417/e9H3CqAo_normal.jpg</v>
      </c>
      <c r="G1585" s="64"/>
      <c r="H1585" s="68"/>
      <c r="I1585" s="69"/>
      <c r="J1585" s="69"/>
      <c r="K1585" s="68" t="s">
        <v>30718</v>
      </c>
      <c r="L1585" s="72"/>
      <c r="M1585" s="73"/>
      <c r="N1585" s="73"/>
      <c r="O1585" s="74"/>
      <c r="P1585" s="75"/>
      <c r="Q1585" s="75"/>
      <c r="R1585" s="102"/>
      <c r="S1585" s="102"/>
      <c r="T1585" s="102"/>
      <c r="U1585" s="102"/>
      <c r="V1585" s="48"/>
      <c r="W1585" s="48"/>
      <c r="X1585" s="48"/>
      <c r="Y1585" s="48"/>
      <c r="Z1585" s="47"/>
      <c r="AA1585" s="70">
        <v>1585</v>
      </c>
      <c r="AB1585" s="70"/>
      <c r="AC1585" s="71"/>
      <c r="AD1585" s="86" t="s">
        <v>25172</v>
      </c>
      <c r="AE1585" s="94" t="s">
        <v>22665</v>
      </c>
      <c r="AF1585" s="86">
        <v>16345</v>
      </c>
      <c r="AG1585" s="86">
        <v>690</v>
      </c>
      <c r="AH1585" s="86">
        <v>1814</v>
      </c>
      <c r="AI1585" s="86">
        <v>500</v>
      </c>
      <c r="AJ1585" s="86">
        <v>961</v>
      </c>
      <c r="AK1585" s="86">
        <v>121</v>
      </c>
      <c r="AL1585" s="86" t="b">
        <v>0</v>
      </c>
      <c r="AM1585" s="89">
        <v>39636.784930555557</v>
      </c>
      <c r="AN1585" s="86" t="s">
        <v>26411</v>
      </c>
      <c r="AO1585" s="86" t="s">
        <v>27863</v>
      </c>
      <c r="AP1585" s="96" t="str">
        <f>HYPERLINK("https://t.co/PReE5GK5GO")</f>
        <v>https://t.co/PReE5GK5GO</v>
      </c>
      <c r="AQ1585" s="96" t="str">
        <f>HYPERLINK("https://www.linkedin.com/in/romero/")</f>
        <v>https://www.linkedin.com/in/romero/</v>
      </c>
      <c r="AR1585" s="86" t="s">
        <v>28963</v>
      </c>
      <c r="AS1585" s="86"/>
      <c r="AT1585" s="86"/>
      <c r="AU1585" s="86"/>
      <c r="AV1585" s="86"/>
      <c r="AW1585" s="96" t="str">
        <f>HYPERLINK("https://t.co/PReE5GK5GO")</f>
        <v>https://t.co/PReE5GK5GO</v>
      </c>
      <c r="AX1585" s="86" t="b">
        <v>0</v>
      </c>
      <c r="AY1585" s="86"/>
      <c r="AZ1585" s="86"/>
      <c r="BA1585" s="86" t="b">
        <v>0</v>
      </c>
      <c r="BB1585" s="86" t="b">
        <v>1</v>
      </c>
      <c r="BC1585" s="86" t="b">
        <v>0</v>
      </c>
      <c r="BD1585" s="86" t="b">
        <v>0</v>
      </c>
      <c r="BE1585" s="86" t="b">
        <v>1</v>
      </c>
      <c r="BF1585" s="86" t="b">
        <v>0</v>
      </c>
      <c r="BG1585" s="86" t="b">
        <v>0</v>
      </c>
      <c r="BH1585" s="96" t="str">
        <f>HYPERLINK("https://pbs.twimg.com/profile_banners/15345052/1593113619")</f>
        <v>https://pbs.twimg.com/profile_banners/15345052/1593113619</v>
      </c>
      <c r="BI1585" s="86"/>
      <c r="BJ1585" s="86" t="s">
        <v>29134</v>
      </c>
      <c r="BK1585" s="86" t="b">
        <v>0</v>
      </c>
      <c r="BL1585" s="86"/>
      <c r="BM1585" s="86" t="s">
        <v>66</v>
      </c>
      <c r="BN1585" s="86" t="s">
        <v>29136</v>
      </c>
      <c r="BO1585" s="96" t="str">
        <f>HYPERLINK("https://twitter.com/romerorodrigues")</f>
        <v>https://twitter.com/romerorodrigues</v>
      </c>
      <c r="BP1585" s="2"/>
    </row>
    <row r="1586" spans="1:68" x14ac:dyDescent="0.25">
      <c r="A1586" s="63" t="s">
        <v>1588</v>
      </c>
      <c r="B1586" s="64"/>
      <c r="C1586" s="64"/>
      <c r="D1586" s="65"/>
      <c r="E1586" s="67"/>
      <c r="F1586" s="111" t="str">
        <f>HYPERLINK("https://pbs.twimg.com/profile_images/1633661924737970176/e6NVXUR3_normal.jpg")</f>
        <v>https://pbs.twimg.com/profile_images/1633661924737970176/e6NVXUR3_normal.jpg</v>
      </c>
      <c r="G1586" s="64"/>
      <c r="H1586" s="68"/>
      <c r="I1586" s="69"/>
      <c r="J1586" s="69"/>
      <c r="K1586" s="68" t="s">
        <v>30719</v>
      </c>
      <c r="L1586" s="72"/>
      <c r="M1586" s="73"/>
      <c r="N1586" s="73"/>
      <c r="O1586" s="74"/>
      <c r="P1586" s="75"/>
      <c r="Q1586" s="75"/>
      <c r="R1586" s="102"/>
      <c r="S1586" s="102"/>
      <c r="T1586" s="102"/>
      <c r="U1586" s="102"/>
      <c r="V1586" s="48"/>
      <c r="W1586" s="48"/>
      <c r="X1586" s="48"/>
      <c r="Y1586" s="48"/>
      <c r="Z1586" s="47"/>
      <c r="AA1586" s="70">
        <v>1586</v>
      </c>
      <c r="AB1586" s="70"/>
      <c r="AC1586" s="71"/>
      <c r="AD1586" s="86" t="s">
        <v>25173</v>
      </c>
      <c r="AE1586" s="94" t="s">
        <v>23581</v>
      </c>
      <c r="AF1586" s="86">
        <v>7</v>
      </c>
      <c r="AG1586" s="86">
        <v>28</v>
      </c>
      <c r="AH1586" s="86">
        <v>92</v>
      </c>
      <c r="AI1586" s="86">
        <v>0</v>
      </c>
      <c r="AJ1586" s="86">
        <v>66</v>
      </c>
      <c r="AK1586" s="86">
        <v>22</v>
      </c>
      <c r="AL1586" s="86" t="b">
        <v>0</v>
      </c>
      <c r="AM1586" s="89">
        <v>44994.065740740742</v>
      </c>
      <c r="AN1586" s="86" t="s">
        <v>15246</v>
      </c>
      <c r="AO1586" s="86" t="s">
        <v>27864</v>
      </c>
      <c r="AP1586" s="96" t="str">
        <f>HYPERLINK("https://t.co/4K39Udvach")</f>
        <v>https://t.co/4K39Udvach</v>
      </c>
      <c r="AQ1586" s="96" t="str">
        <f>HYPERLINK("http://bizgroup.com.br")</f>
        <v>http://bizgroup.com.br</v>
      </c>
      <c r="AR1586" s="86" t="s">
        <v>28964</v>
      </c>
      <c r="AS1586" s="86"/>
      <c r="AT1586" s="86"/>
      <c r="AU1586" s="86"/>
      <c r="AV1586" s="86"/>
      <c r="AW1586" s="96" t="str">
        <f>HYPERLINK("https://t.co/4K39Udvach")</f>
        <v>https://t.co/4K39Udvach</v>
      </c>
      <c r="AX1586" s="86" t="b">
        <v>0</v>
      </c>
      <c r="AY1586" s="86"/>
      <c r="AZ1586" s="86"/>
      <c r="BA1586" s="86" t="b">
        <v>1</v>
      </c>
      <c r="BB1586" s="86" t="b">
        <v>1</v>
      </c>
      <c r="BC1586" s="86" t="b">
        <v>1</v>
      </c>
      <c r="BD1586" s="86" t="b">
        <v>0</v>
      </c>
      <c r="BE1586" s="86" t="b">
        <v>0</v>
      </c>
      <c r="BF1586" s="86" t="b">
        <v>0</v>
      </c>
      <c r="BG1586" s="86" t="b">
        <v>0</v>
      </c>
      <c r="BH1586" s="96" t="str">
        <f>HYPERLINK("https://pbs.twimg.com/profile_banners/1633642356225220609/1678386580")</f>
        <v>https://pbs.twimg.com/profile_banners/1633642356225220609/1678386580</v>
      </c>
      <c r="BI1586" s="86"/>
      <c r="BJ1586" s="86" t="s">
        <v>29134</v>
      </c>
      <c r="BK1586" s="86" t="b">
        <v>0</v>
      </c>
      <c r="BL1586" s="86"/>
      <c r="BM1586" s="86" t="s">
        <v>66</v>
      </c>
      <c r="BN1586" s="86" t="s">
        <v>29136</v>
      </c>
      <c r="BO1586" s="96" t="str">
        <f>HYPERLINK("https://twitter.com/marcioitshow")</f>
        <v>https://twitter.com/marcioitshow</v>
      </c>
      <c r="BP1586" s="2"/>
    </row>
    <row r="1587" spans="1:68" x14ac:dyDescent="0.25">
      <c r="A1587" s="63" t="s">
        <v>1836</v>
      </c>
      <c r="B1587" s="64"/>
      <c r="C1587" s="64"/>
      <c r="D1587" s="65"/>
      <c r="E1587" s="67"/>
      <c r="F1587" s="111" t="str">
        <f>HYPERLINK("https://pbs.twimg.com/profile_images/1636380849997479943/Mfrr05yf_normal.jpg")</f>
        <v>https://pbs.twimg.com/profile_images/1636380849997479943/Mfrr05yf_normal.jpg</v>
      </c>
      <c r="G1587" s="64"/>
      <c r="H1587" s="68"/>
      <c r="I1587" s="69"/>
      <c r="J1587" s="69"/>
      <c r="K1587" s="68" t="s">
        <v>30720</v>
      </c>
      <c r="L1587" s="72"/>
      <c r="M1587" s="73"/>
      <c r="N1587" s="73"/>
      <c r="O1587" s="74"/>
      <c r="P1587" s="75"/>
      <c r="Q1587" s="75"/>
      <c r="R1587" s="102"/>
      <c r="S1587" s="102"/>
      <c r="T1587" s="102"/>
      <c r="U1587" s="102"/>
      <c r="V1587" s="48"/>
      <c r="W1587" s="48"/>
      <c r="X1587" s="48"/>
      <c r="Y1587" s="48"/>
      <c r="Z1587" s="47"/>
      <c r="AA1587" s="70">
        <v>1587</v>
      </c>
      <c r="AB1587" s="70"/>
      <c r="AC1587" s="71"/>
      <c r="AD1587" s="86" t="s">
        <v>25174</v>
      </c>
      <c r="AE1587" s="94" t="s">
        <v>25860</v>
      </c>
      <c r="AF1587" s="86">
        <v>26</v>
      </c>
      <c r="AG1587" s="86">
        <v>25</v>
      </c>
      <c r="AH1587" s="86">
        <v>549</v>
      </c>
      <c r="AI1587" s="86">
        <v>0</v>
      </c>
      <c r="AJ1587" s="86">
        <v>15</v>
      </c>
      <c r="AK1587" s="86">
        <v>22</v>
      </c>
      <c r="AL1587" s="86" t="b">
        <v>0</v>
      </c>
      <c r="AM1587" s="89">
        <v>44956.79787037037</v>
      </c>
      <c r="AN1587" s="86" t="s">
        <v>26412</v>
      </c>
      <c r="AO1587" s="86" t="s">
        <v>27865</v>
      </c>
      <c r="AP1587" s="96" t="str">
        <f>HYPERLINK("https://t.co/QbJ3j7Iyw3")</f>
        <v>https://t.co/QbJ3j7Iyw3</v>
      </c>
      <c r="AQ1587" s="96" t="str">
        <f>HYPERLINK("http://www.itshow.com.br")</f>
        <v>http://www.itshow.com.br</v>
      </c>
      <c r="AR1587" s="86" t="s">
        <v>28965</v>
      </c>
      <c r="AS1587" s="86"/>
      <c r="AT1587" s="86"/>
      <c r="AU1587" s="86"/>
      <c r="AV1587" s="86"/>
      <c r="AW1587" s="96" t="str">
        <f>HYPERLINK("https://t.co/QbJ3j7Iyw3")</f>
        <v>https://t.co/QbJ3j7Iyw3</v>
      </c>
      <c r="AX1587" s="86" t="b">
        <v>1</v>
      </c>
      <c r="AY1587" s="86"/>
      <c r="AZ1587" s="86"/>
      <c r="BA1587" s="86" t="b">
        <v>0</v>
      </c>
      <c r="BB1587" s="86" t="b">
        <v>1</v>
      </c>
      <c r="BC1587" s="86" t="b">
        <v>1</v>
      </c>
      <c r="BD1587" s="86" t="b">
        <v>0</v>
      </c>
      <c r="BE1587" s="86" t="b">
        <v>0</v>
      </c>
      <c r="BF1587" s="86" t="b">
        <v>0</v>
      </c>
      <c r="BG1587" s="86" t="b">
        <v>0</v>
      </c>
      <c r="BH1587" s="96" t="str">
        <f>HYPERLINK("https://pbs.twimg.com/profile_banners/1620136979701579776/1678291339")</f>
        <v>https://pbs.twimg.com/profile_banners/1620136979701579776/1678291339</v>
      </c>
      <c r="BI1587" s="86"/>
      <c r="BJ1587" s="86" t="s">
        <v>29134</v>
      </c>
      <c r="BK1587" s="86" t="b">
        <v>0</v>
      </c>
      <c r="BL1587" s="86"/>
      <c r="BM1587" s="86" t="s">
        <v>65</v>
      </c>
      <c r="BN1587" s="86" t="s">
        <v>29136</v>
      </c>
      <c r="BO1587" s="96" t="str">
        <f>HYPERLINK("https://twitter.com/portalitshow")</f>
        <v>https://twitter.com/portalitshow</v>
      </c>
      <c r="BP1587" s="2"/>
    </row>
    <row r="1588" spans="1:68" x14ac:dyDescent="0.25">
      <c r="A1588" s="63" t="s">
        <v>1589</v>
      </c>
      <c r="B1588" s="64"/>
      <c r="C1588" s="64"/>
      <c r="D1588" s="65"/>
      <c r="E1588" s="67"/>
      <c r="F1588" s="111" t="str">
        <f>HYPERLINK("https://pbs.twimg.com/profile_images/1617809628120682496/UBFQIbHa_normal.jpg")</f>
        <v>https://pbs.twimg.com/profile_images/1617809628120682496/UBFQIbHa_normal.jpg</v>
      </c>
      <c r="G1588" s="64"/>
      <c r="H1588" s="68"/>
      <c r="I1588" s="69"/>
      <c r="J1588" s="69"/>
      <c r="K1588" s="68" t="s">
        <v>30721</v>
      </c>
      <c r="L1588" s="72"/>
      <c r="M1588" s="73"/>
      <c r="N1588" s="73"/>
      <c r="O1588" s="74"/>
      <c r="P1588" s="75"/>
      <c r="Q1588" s="75"/>
      <c r="R1588" s="102"/>
      <c r="S1588" s="102"/>
      <c r="T1588" s="102"/>
      <c r="U1588" s="102"/>
      <c r="V1588" s="48"/>
      <c r="W1588" s="48"/>
      <c r="X1588" s="48"/>
      <c r="Y1588" s="48"/>
      <c r="Z1588" s="47"/>
      <c r="AA1588" s="70">
        <v>1588</v>
      </c>
      <c r="AB1588" s="70"/>
      <c r="AC1588" s="71"/>
      <c r="AD1588" s="86" t="s">
        <v>25175</v>
      </c>
      <c r="AE1588" s="94" t="s">
        <v>25861</v>
      </c>
      <c r="AF1588" s="86">
        <v>91</v>
      </c>
      <c r="AG1588" s="86">
        <v>370</v>
      </c>
      <c r="AH1588" s="86">
        <v>1649</v>
      </c>
      <c r="AI1588" s="86">
        <v>2</v>
      </c>
      <c r="AJ1588" s="86">
        <v>42</v>
      </c>
      <c r="AK1588" s="86">
        <v>251</v>
      </c>
      <c r="AL1588" s="86" t="b">
        <v>0</v>
      </c>
      <c r="AM1588" s="89">
        <v>40446.725960648146</v>
      </c>
      <c r="AN1588" s="86" t="s">
        <v>15246</v>
      </c>
      <c r="AO1588" s="86" t="s">
        <v>27866</v>
      </c>
      <c r="AP1588" s="96" t="str">
        <f>HYPERLINK("https://t.co/jUl7TEnZeh")</f>
        <v>https://t.co/jUl7TEnZeh</v>
      </c>
      <c r="AQ1588" s="96" t="str">
        <f>HYPERLINK("http://juheinakarina.com")</f>
        <v>http://juheinakarina.com</v>
      </c>
      <c r="AR1588" s="86" t="s">
        <v>28966</v>
      </c>
      <c r="AS1588" s="86"/>
      <c r="AT1588" s="86"/>
      <c r="AU1588" s="86"/>
      <c r="AV1588" s="86"/>
      <c r="AW1588" s="96" t="str">
        <f>HYPERLINK("https://t.co/jUl7TEnZeh")</f>
        <v>https://t.co/jUl7TEnZeh</v>
      </c>
      <c r="AX1588" s="86" t="b">
        <v>0</v>
      </c>
      <c r="AY1588" s="86"/>
      <c r="AZ1588" s="86"/>
      <c r="BA1588" s="86" t="b">
        <v>0</v>
      </c>
      <c r="BB1588" s="86" t="b">
        <v>1</v>
      </c>
      <c r="BC1588" s="86" t="b">
        <v>1</v>
      </c>
      <c r="BD1588" s="86" t="b">
        <v>0</v>
      </c>
      <c r="BE1588" s="86" t="b">
        <v>1</v>
      </c>
      <c r="BF1588" s="86" t="b">
        <v>0</v>
      </c>
      <c r="BG1588" s="86" t="b">
        <v>0</v>
      </c>
      <c r="BH1588" s="96" t="str">
        <f>HYPERLINK("https://pbs.twimg.com/profile_banners/195049669/1395622327")</f>
        <v>https://pbs.twimg.com/profile_banners/195049669/1395622327</v>
      </c>
      <c r="BI1588" s="86"/>
      <c r="BJ1588" s="86" t="s">
        <v>29134</v>
      </c>
      <c r="BK1588" s="86" t="b">
        <v>0</v>
      </c>
      <c r="BL1588" s="86"/>
      <c r="BM1588" s="86" t="s">
        <v>66</v>
      </c>
      <c r="BN1588" s="86" t="s">
        <v>29136</v>
      </c>
      <c r="BO1588" s="96" t="str">
        <f>HYPERLINK("https://twitter.com/juheinakarina")</f>
        <v>https://twitter.com/juheinakarina</v>
      </c>
      <c r="BP1588" s="2"/>
    </row>
    <row r="1589" spans="1:68" x14ac:dyDescent="0.25">
      <c r="A1589" s="63" t="s">
        <v>1590</v>
      </c>
      <c r="B1589" s="64"/>
      <c r="C1589" s="64"/>
      <c r="D1589" s="65"/>
      <c r="E1589" s="67"/>
      <c r="F1589" s="111" t="str">
        <f>HYPERLINK("https://pbs.twimg.com/profile_images/1378894578485501957/b3z1CVaH_normal.jpg")</f>
        <v>https://pbs.twimg.com/profile_images/1378894578485501957/b3z1CVaH_normal.jpg</v>
      </c>
      <c r="G1589" s="64"/>
      <c r="H1589" s="68"/>
      <c r="I1589" s="69"/>
      <c r="J1589" s="69"/>
      <c r="K1589" s="68" t="s">
        <v>30722</v>
      </c>
      <c r="L1589" s="72"/>
      <c r="M1589" s="73"/>
      <c r="N1589" s="73"/>
      <c r="O1589" s="74"/>
      <c r="P1589" s="75"/>
      <c r="Q1589" s="75"/>
      <c r="R1589" s="102"/>
      <c r="S1589" s="102"/>
      <c r="T1589" s="102"/>
      <c r="U1589" s="102"/>
      <c r="V1589" s="48"/>
      <c r="W1589" s="48"/>
      <c r="X1589" s="48"/>
      <c r="Y1589" s="48"/>
      <c r="Z1589" s="47"/>
      <c r="AA1589" s="70">
        <v>1589</v>
      </c>
      <c r="AB1589" s="70"/>
      <c r="AC1589" s="71"/>
      <c r="AD1589" s="86" t="s">
        <v>1590</v>
      </c>
      <c r="AE1589" s="94" t="s">
        <v>23582</v>
      </c>
      <c r="AF1589" s="86">
        <v>13</v>
      </c>
      <c r="AG1589" s="86">
        <v>212</v>
      </c>
      <c r="AH1589" s="86">
        <v>518</v>
      </c>
      <c r="AI1589" s="86">
        <v>0</v>
      </c>
      <c r="AJ1589" s="86">
        <v>1827</v>
      </c>
      <c r="AK1589" s="86">
        <v>10</v>
      </c>
      <c r="AL1589" s="86" t="b">
        <v>0</v>
      </c>
      <c r="AM1589" s="89">
        <v>44290.900636574072</v>
      </c>
      <c r="AN1589" s="86"/>
      <c r="AO1589" s="86" t="s">
        <v>1590</v>
      </c>
      <c r="AP1589" s="86"/>
      <c r="AQ1589" s="86"/>
      <c r="AR1589" s="86"/>
      <c r="AS1589" s="86"/>
      <c r="AT1589" s="86"/>
      <c r="AU1589" s="86"/>
      <c r="AV1589" s="86"/>
      <c r="AW1589" s="86"/>
      <c r="AX1589" s="86" t="b">
        <v>0</v>
      </c>
      <c r="AY1589" s="86"/>
      <c r="AZ1589" s="86"/>
      <c r="BA1589" s="86" t="b">
        <v>0</v>
      </c>
      <c r="BB1589" s="86" t="b">
        <v>1</v>
      </c>
      <c r="BC1589" s="86" t="b">
        <v>1</v>
      </c>
      <c r="BD1589" s="86" t="b">
        <v>0</v>
      </c>
      <c r="BE1589" s="86" t="b">
        <v>0</v>
      </c>
      <c r="BF1589" s="86" t="b">
        <v>0</v>
      </c>
      <c r="BG1589" s="86" t="b">
        <v>0</v>
      </c>
      <c r="BH1589" s="86"/>
      <c r="BI1589" s="86"/>
      <c r="BJ1589" s="86" t="s">
        <v>29134</v>
      </c>
      <c r="BK1589" s="86" t="b">
        <v>0</v>
      </c>
      <c r="BL1589" s="86"/>
      <c r="BM1589" s="86" t="s">
        <v>66</v>
      </c>
      <c r="BN1589" s="86" t="s">
        <v>29136</v>
      </c>
      <c r="BO1589" s="96" t="str">
        <f>HYPERLINK("https://twitter.com/ricardosousapro")</f>
        <v>https://twitter.com/ricardosousapro</v>
      </c>
      <c r="BP1589" s="2"/>
    </row>
    <row r="1590" spans="1:68" x14ac:dyDescent="0.25">
      <c r="A1590" s="63" t="s">
        <v>1591</v>
      </c>
      <c r="B1590" s="64"/>
      <c r="C1590" s="64"/>
      <c r="D1590" s="65"/>
      <c r="E1590" s="67"/>
      <c r="F1590" s="111" t="str">
        <f>HYPERLINK("https://pbs.twimg.com/profile_images/1680003701820334080/ln89U63Q_normal.jpg")</f>
        <v>https://pbs.twimg.com/profile_images/1680003701820334080/ln89U63Q_normal.jpg</v>
      </c>
      <c r="G1590" s="64"/>
      <c r="H1590" s="68"/>
      <c r="I1590" s="69"/>
      <c r="J1590" s="69"/>
      <c r="K1590" s="68" t="s">
        <v>30723</v>
      </c>
      <c r="L1590" s="72"/>
      <c r="M1590" s="73"/>
      <c r="N1590" s="73"/>
      <c r="O1590" s="74"/>
      <c r="P1590" s="75"/>
      <c r="Q1590" s="75"/>
      <c r="R1590" s="102"/>
      <c r="S1590" s="102"/>
      <c r="T1590" s="102"/>
      <c r="U1590" s="102"/>
      <c r="V1590" s="48"/>
      <c r="W1590" s="48"/>
      <c r="X1590" s="48"/>
      <c r="Y1590" s="48"/>
      <c r="Z1590" s="47"/>
      <c r="AA1590" s="70">
        <v>1590</v>
      </c>
      <c r="AB1590" s="70"/>
      <c r="AC1590" s="71"/>
      <c r="AD1590" s="86" t="s">
        <v>25176</v>
      </c>
      <c r="AE1590" s="94" t="s">
        <v>23583</v>
      </c>
      <c r="AF1590" s="86">
        <v>0</v>
      </c>
      <c r="AG1590" s="86">
        <v>1</v>
      </c>
      <c r="AH1590" s="86">
        <v>4</v>
      </c>
      <c r="AI1590" s="86">
        <v>0</v>
      </c>
      <c r="AJ1590" s="86">
        <v>0</v>
      </c>
      <c r="AK1590" s="86">
        <v>2</v>
      </c>
      <c r="AL1590" s="86" t="b">
        <v>0</v>
      </c>
      <c r="AM1590" s="89">
        <v>44737.075266203705</v>
      </c>
      <c r="AN1590" s="86"/>
      <c r="AO1590" s="96" t="str">
        <f>HYPERLINK("https://t.co/aXfWlb173G")</f>
        <v>https://t.co/aXfWlb173G</v>
      </c>
      <c r="AP1590" s="96" t="str">
        <f>HYPERLINK("https://t.co/aXfWlb173G")</f>
        <v>https://t.co/aXfWlb173G</v>
      </c>
      <c r="AQ1590" s="96" t="str">
        <f>HYPERLINK("https://linkr.bio/Silva.0788")</f>
        <v>https://linkr.bio/Silva.0788</v>
      </c>
      <c r="AR1590" s="86" t="s">
        <v>28967</v>
      </c>
      <c r="AS1590" s="96" t="str">
        <f>HYPERLINK("https://t.co/aXfWlb173G")</f>
        <v>https://t.co/aXfWlb173G</v>
      </c>
      <c r="AT1590" s="96" t="str">
        <f>HYPERLINK("https://linkr.bio/Silva.0788")</f>
        <v>https://linkr.bio/Silva.0788</v>
      </c>
      <c r="AU1590" s="86" t="s">
        <v>28967</v>
      </c>
      <c r="AV1590" s="86"/>
      <c r="AW1590" s="96" t="str">
        <f>HYPERLINK("https://t.co/aXfWlb173G")</f>
        <v>https://t.co/aXfWlb173G</v>
      </c>
      <c r="AX1590" s="86" t="b">
        <v>0</v>
      </c>
      <c r="AY1590" s="86"/>
      <c r="AZ1590" s="86"/>
      <c r="BA1590" s="86" t="b">
        <v>0</v>
      </c>
      <c r="BB1590" s="86" t="b">
        <v>1</v>
      </c>
      <c r="BC1590" s="86" t="b">
        <v>1</v>
      </c>
      <c r="BD1590" s="86" t="b">
        <v>0</v>
      </c>
      <c r="BE1590" s="86" t="b">
        <v>0</v>
      </c>
      <c r="BF1590" s="86" t="b">
        <v>0</v>
      </c>
      <c r="BG1590" s="86" t="b">
        <v>0</v>
      </c>
      <c r="BH1590" s="96" t="str">
        <f>HYPERLINK("https://pbs.twimg.com/profile_banners/1540512039151566850/1689379069")</f>
        <v>https://pbs.twimg.com/profile_banners/1540512039151566850/1689379069</v>
      </c>
      <c r="BI1590" s="86"/>
      <c r="BJ1590" s="86" t="s">
        <v>29134</v>
      </c>
      <c r="BK1590" s="86" t="b">
        <v>0</v>
      </c>
      <c r="BL1590" s="86"/>
      <c r="BM1590" s="86" t="s">
        <v>66</v>
      </c>
      <c r="BN1590" s="86" t="s">
        <v>29136</v>
      </c>
      <c r="BO1590" s="96" t="str">
        <f>HYPERLINK("https://twitter.com/lob_mau")</f>
        <v>https://twitter.com/lob_mau</v>
      </c>
      <c r="BP1590" s="2"/>
    </row>
    <row r="1591" spans="1:68" x14ac:dyDescent="0.25">
      <c r="A1591" s="63" t="s">
        <v>1592</v>
      </c>
      <c r="B1591" s="64"/>
      <c r="C1591" s="64"/>
      <c r="D1591" s="65"/>
      <c r="E1591" s="67"/>
      <c r="F1591" s="111" t="str">
        <f>HYPERLINK("https://pbs.twimg.com/profile_images/1676754090452287488/kji7bd7V_normal.jpg")</f>
        <v>https://pbs.twimg.com/profile_images/1676754090452287488/kji7bd7V_normal.jpg</v>
      </c>
      <c r="G1591" s="64"/>
      <c r="H1591" s="68"/>
      <c r="I1591" s="69"/>
      <c r="J1591" s="69"/>
      <c r="K1591" s="68" t="s">
        <v>30724</v>
      </c>
      <c r="L1591" s="72"/>
      <c r="M1591" s="73"/>
      <c r="N1591" s="73"/>
      <c r="O1591" s="74"/>
      <c r="P1591" s="75"/>
      <c r="Q1591" s="75"/>
      <c r="R1591" s="102"/>
      <c r="S1591" s="102"/>
      <c r="T1591" s="102"/>
      <c r="U1591" s="102"/>
      <c r="V1591" s="48"/>
      <c r="W1591" s="48"/>
      <c r="X1591" s="48"/>
      <c r="Y1591" s="48"/>
      <c r="Z1591" s="47"/>
      <c r="AA1591" s="70">
        <v>1591</v>
      </c>
      <c r="AB1591" s="70"/>
      <c r="AC1591" s="71"/>
      <c r="AD1591" s="86" t="s">
        <v>25177</v>
      </c>
      <c r="AE1591" s="94" t="s">
        <v>23584</v>
      </c>
      <c r="AF1591" s="86">
        <v>0</v>
      </c>
      <c r="AG1591" s="86">
        <v>17</v>
      </c>
      <c r="AH1591" s="86">
        <v>22</v>
      </c>
      <c r="AI1591" s="86">
        <v>0</v>
      </c>
      <c r="AJ1591" s="86">
        <v>3</v>
      </c>
      <c r="AK1591" s="86">
        <v>3</v>
      </c>
      <c r="AL1591" s="86" t="b">
        <v>0</v>
      </c>
      <c r="AM1591" s="89">
        <v>45113.025266203702</v>
      </c>
      <c r="AN1591" s="86"/>
      <c r="AO1591" s="86" t="s">
        <v>27867</v>
      </c>
      <c r="AP1591" s="86"/>
      <c r="AQ1591" s="86"/>
      <c r="AR1591" s="86"/>
      <c r="AS1591" s="86"/>
      <c r="AT1591" s="86"/>
      <c r="AU1591" s="86"/>
      <c r="AV1591" s="86"/>
      <c r="AW1591" s="86"/>
      <c r="AX1591" s="86" t="b">
        <v>0</v>
      </c>
      <c r="AY1591" s="86"/>
      <c r="AZ1591" s="86"/>
      <c r="BA1591" s="86" t="b">
        <v>0</v>
      </c>
      <c r="BB1591" s="86" t="b">
        <v>1</v>
      </c>
      <c r="BC1591" s="86" t="b">
        <v>1</v>
      </c>
      <c r="BD1591" s="86" t="b">
        <v>0</v>
      </c>
      <c r="BE1591" s="86" t="b">
        <v>0</v>
      </c>
      <c r="BF1591" s="86" t="b">
        <v>0</v>
      </c>
      <c r="BG1591" s="86" t="b">
        <v>0</v>
      </c>
      <c r="BH1591" s="96" t="str">
        <f>HYPERLINK("https://pbs.twimg.com/profile_banners/1676751777851375616/1688729671")</f>
        <v>https://pbs.twimg.com/profile_banners/1676751777851375616/1688729671</v>
      </c>
      <c r="BI1591" s="86"/>
      <c r="BJ1591" s="86" t="s">
        <v>29134</v>
      </c>
      <c r="BK1591" s="86" t="b">
        <v>0</v>
      </c>
      <c r="BL1591" s="86"/>
      <c r="BM1591" s="86" t="s">
        <v>66</v>
      </c>
      <c r="BN1591" s="86" t="s">
        <v>29136</v>
      </c>
      <c r="BO1591" s="96" t="str">
        <f>HYPERLINK("https://twitter.com/djpinvestimento")</f>
        <v>https://twitter.com/djpinvestimento</v>
      </c>
      <c r="BP1591" s="2"/>
    </row>
    <row r="1592" spans="1:68" x14ac:dyDescent="0.25">
      <c r="A1592" s="63" t="s">
        <v>1593</v>
      </c>
      <c r="B1592" s="64"/>
      <c r="C1592" s="64"/>
      <c r="D1592" s="65"/>
      <c r="E1592" s="67"/>
      <c r="F1592" s="111" t="str">
        <f>HYPERLINK("https://pbs.twimg.com/profile_images/1607908371058892801/NY8P2zcb_normal.jpg")</f>
        <v>https://pbs.twimg.com/profile_images/1607908371058892801/NY8P2zcb_normal.jpg</v>
      </c>
      <c r="G1592" s="64"/>
      <c r="H1592" s="68"/>
      <c r="I1592" s="69"/>
      <c r="J1592" s="69"/>
      <c r="K1592" s="68" t="s">
        <v>30725</v>
      </c>
      <c r="L1592" s="72"/>
      <c r="M1592" s="73"/>
      <c r="N1592" s="73"/>
      <c r="O1592" s="74"/>
      <c r="P1592" s="75"/>
      <c r="Q1592" s="75"/>
      <c r="R1592" s="102"/>
      <c r="S1592" s="102"/>
      <c r="T1592" s="102"/>
      <c r="U1592" s="102"/>
      <c r="V1592" s="48"/>
      <c r="W1592" s="48"/>
      <c r="X1592" s="48"/>
      <c r="Y1592" s="48"/>
      <c r="Z1592" s="47"/>
      <c r="AA1592" s="70">
        <v>1592</v>
      </c>
      <c r="AB1592" s="70"/>
      <c r="AC1592" s="71"/>
      <c r="AD1592" s="86" t="s">
        <v>25178</v>
      </c>
      <c r="AE1592" s="94" t="s">
        <v>23585</v>
      </c>
      <c r="AF1592" s="86">
        <v>9</v>
      </c>
      <c r="AG1592" s="86">
        <v>74</v>
      </c>
      <c r="AH1592" s="86">
        <v>43</v>
      </c>
      <c r="AI1592" s="86">
        <v>1</v>
      </c>
      <c r="AJ1592" s="86">
        <v>296</v>
      </c>
      <c r="AK1592" s="86">
        <v>30</v>
      </c>
      <c r="AL1592" s="86" t="b">
        <v>0</v>
      </c>
      <c r="AM1592" s="89">
        <v>44835.076643518521</v>
      </c>
      <c r="AN1592" s="86" t="s">
        <v>26413</v>
      </c>
      <c r="AO1592" s="86" t="s">
        <v>27868</v>
      </c>
      <c r="AP1592" s="86"/>
      <c r="AQ1592" s="86"/>
      <c r="AR1592" s="86"/>
      <c r="AS1592" s="86"/>
      <c r="AT1592" s="86"/>
      <c r="AU1592" s="86"/>
      <c r="AV1592" s="86"/>
      <c r="AW1592" s="86"/>
      <c r="AX1592" s="86" t="b">
        <v>0</v>
      </c>
      <c r="AY1592" s="86"/>
      <c r="AZ1592" s="86"/>
      <c r="BA1592" s="86" t="b">
        <v>0</v>
      </c>
      <c r="BB1592" s="86" t="b">
        <v>1</v>
      </c>
      <c r="BC1592" s="86" t="b">
        <v>1</v>
      </c>
      <c r="BD1592" s="86" t="b">
        <v>0</v>
      </c>
      <c r="BE1592" s="86" t="b">
        <v>0</v>
      </c>
      <c r="BF1592" s="86" t="b">
        <v>0</v>
      </c>
      <c r="BG1592" s="86" t="b">
        <v>0</v>
      </c>
      <c r="BH1592" s="96" t="str">
        <f>HYPERLINK("https://pbs.twimg.com/profile_banners/1576026578437431302/1666396881")</f>
        <v>https://pbs.twimg.com/profile_banners/1576026578437431302/1666396881</v>
      </c>
      <c r="BI1592" s="86"/>
      <c r="BJ1592" s="86" t="s">
        <v>29134</v>
      </c>
      <c r="BK1592" s="86" t="b">
        <v>0</v>
      </c>
      <c r="BL1592" s="86"/>
      <c r="BM1592" s="86" t="s">
        <v>66</v>
      </c>
      <c r="BN1592" s="86" t="s">
        <v>29136</v>
      </c>
      <c r="BO1592" s="96" t="str">
        <f>HYPERLINK("https://twitter.com/srgioro66037268")</f>
        <v>https://twitter.com/srgioro66037268</v>
      </c>
      <c r="BP1592" s="2"/>
    </row>
    <row r="1593" spans="1:68" x14ac:dyDescent="0.25">
      <c r="A1593" s="63" t="s">
        <v>1595</v>
      </c>
      <c r="B1593" s="64"/>
      <c r="C1593" s="64"/>
      <c r="D1593" s="65"/>
      <c r="E1593" s="67"/>
      <c r="F1593" s="111" t="str">
        <f>HYPERLINK("https://pbs.twimg.com/profile_images/1691815575909986304/qGtxTEf6_normal.jpg")</f>
        <v>https://pbs.twimg.com/profile_images/1691815575909986304/qGtxTEf6_normal.jpg</v>
      </c>
      <c r="G1593" s="64"/>
      <c r="H1593" s="68"/>
      <c r="I1593" s="69"/>
      <c r="J1593" s="69"/>
      <c r="K1593" s="68" t="s">
        <v>30726</v>
      </c>
      <c r="L1593" s="72"/>
      <c r="M1593" s="73"/>
      <c r="N1593" s="73"/>
      <c r="O1593" s="74"/>
      <c r="P1593" s="75"/>
      <c r="Q1593" s="75"/>
      <c r="R1593" s="102"/>
      <c r="S1593" s="102"/>
      <c r="T1593" s="102"/>
      <c r="U1593" s="102"/>
      <c r="V1593" s="48"/>
      <c r="W1593" s="48"/>
      <c r="X1593" s="48"/>
      <c r="Y1593" s="48"/>
      <c r="Z1593" s="47"/>
      <c r="AA1593" s="70">
        <v>1593</v>
      </c>
      <c r="AB1593" s="70"/>
      <c r="AC1593" s="71"/>
      <c r="AD1593" s="86" t="s">
        <v>25179</v>
      </c>
      <c r="AE1593" s="94" t="s">
        <v>22666</v>
      </c>
      <c r="AF1593" s="86">
        <v>191</v>
      </c>
      <c r="AG1593" s="86">
        <v>0</v>
      </c>
      <c r="AH1593" s="86">
        <v>832</v>
      </c>
      <c r="AI1593" s="86">
        <v>3</v>
      </c>
      <c r="AJ1593" s="86">
        <v>3</v>
      </c>
      <c r="AK1593" s="86">
        <v>484</v>
      </c>
      <c r="AL1593" s="86" t="b">
        <v>0</v>
      </c>
      <c r="AM1593" s="89">
        <v>40633.516736111109</v>
      </c>
      <c r="AN1593" s="86" t="s">
        <v>26414</v>
      </c>
      <c r="AO1593" s="86" t="s">
        <v>27869</v>
      </c>
      <c r="AP1593" s="96" t="str">
        <f>HYPERLINK("https://t.co/GefmmfvNfC")</f>
        <v>https://t.co/GefmmfvNfC</v>
      </c>
      <c r="AQ1593" s="96" t="str">
        <f>HYPERLINK("https://www.contasonline.com.br")</f>
        <v>https://www.contasonline.com.br</v>
      </c>
      <c r="AR1593" s="86" t="s">
        <v>28968</v>
      </c>
      <c r="AS1593" s="86"/>
      <c r="AT1593" s="86"/>
      <c r="AU1593" s="86"/>
      <c r="AV1593" s="86"/>
      <c r="AW1593" s="96" t="str">
        <f>HYPERLINK("https://t.co/GefmmfvNfC")</f>
        <v>https://t.co/GefmmfvNfC</v>
      </c>
      <c r="AX1593" s="86" t="b">
        <v>0</v>
      </c>
      <c r="AY1593" s="86"/>
      <c r="AZ1593" s="86"/>
      <c r="BA1593" s="86" t="b">
        <v>0</v>
      </c>
      <c r="BB1593" s="86" t="b">
        <v>0</v>
      </c>
      <c r="BC1593" s="86" t="b">
        <v>0</v>
      </c>
      <c r="BD1593" s="86" t="b">
        <v>0</v>
      </c>
      <c r="BE1593" s="86" t="b">
        <v>0</v>
      </c>
      <c r="BF1593" s="86" t="b">
        <v>0</v>
      </c>
      <c r="BG1593" s="86" t="b">
        <v>0</v>
      </c>
      <c r="BH1593" s="96" t="str">
        <f>HYPERLINK("https://pbs.twimg.com/profile_banners/274989938/1692195242")</f>
        <v>https://pbs.twimg.com/profile_banners/274989938/1692195242</v>
      </c>
      <c r="BI1593" s="86"/>
      <c r="BJ1593" s="86" t="s">
        <v>29134</v>
      </c>
      <c r="BK1593" s="86" t="b">
        <v>0</v>
      </c>
      <c r="BL1593" s="86"/>
      <c r="BM1593" s="86" t="s">
        <v>66</v>
      </c>
      <c r="BN1593" s="86" t="s">
        <v>29136</v>
      </c>
      <c r="BO1593" s="96" t="str">
        <f>HYPERLINK("https://twitter.com/contas_online")</f>
        <v>https://twitter.com/contas_online</v>
      </c>
      <c r="BP1593" s="2"/>
    </row>
    <row r="1594" spans="1:68" x14ac:dyDescent="0.25">
      <c r="A1594" s="63" t="s">
        <v>1596</v>
      </c>
      <c r="B1594" s="64"/>
      <c r="C1594" s="64"/>
      <c r="D1594" s="65"/>
      <c r="E1594" s="67"/>
      <c r="F1594" s="111" t="str">
        <f>HYPERLINK("https://pbs.twimg.com/profile_images/1611408269574029321/iBiICMYs_normal.jpg")</f>
        <v>https://pbs.twimg.com/profile_images/1611408269574029321/iBiICMYs_normal.jpg</v>
      </c>
      <c r="G1594" s="64"/>
      <c r="H1594" s="68"/>
      <c r="I1594" s="69"/>
      <c r="J1594" s="69"/>
      <c r="K1594" s="68" t="s">
        <v>30727</v>
      </c>
      <c r="L1594" s="72"/>
      <c r="M1594" s="73"/>
      <c r="N1594" s="73"/>
      <c r="O1594" s="74"/>
      <c r="P1594" s="75"/>
      <c r="Q1594" s="75"/>
      <c r="R1594" s="102"/>
      <c r="S1594" s="102"/>
      <c r="T1594" s="102"/>
      <c r="U1594" s="102"/>
      <c r="V1594" s="48"/>
      <c r="W1594" s="48"/>
      <c r="X1594" s="48"/>
      <c r="Y1594" s="48"/>
      <c r="Z1594" s="47"/>
      <c r="AA1594" s="70">
        <v>1594</v>
      </c>
      <c r="AB1594" s="70"/>
      <c r="AC1594" s="71"/>
      <c r="AD1594" s="86" t="s">
        <v>25180</v>
      </c>
      <c r="AE1594" s="94" t="s">
        <v>23586</v>
      </c>
      <c r="AF1594" s="86">
        <v>1</v>
      </c>
      <c r="AG1594" s="86">
        <v>34</v>
      </c>
      <c r="AH1594" s="86">
        <v>20</v>
      </c>
      <c r="AI1594" s="86">
        <v>0</v>
      </c>
      <c r="AJ1594" s="86">
        <v>0</v>
      </c>
      <c r="AK1594" s="86">
        <v>19</v>
      </c>
      <c r="AL1594" s="86" t="b">
        <v>0</v>
      </c>
      <c r="AM1594" s="89">
        <v>44866.43550925926</v>
      </c>
      <c r="AN1594" s="86" t="s">
        <v>26415</v>
      </c>
      <c r="AO1594" s="86" t="s">
        <v>27870</v>
      </c>
      <c r="AP1594" s="96" t="str">
        <f>HYPERLINK("https://t.co/TCNoR3pmiD")</f>
        <v>https://t.co/TCNoR3pmiD</v>
      </c>
      <c r="AQ1594" s="96" t="str">
        <f>HYPERLINK("https://www.riseclub.com.br/franquia/")</f>
        <v>https://www.riseclub.com.br/franquia/</v>
      </c>
      <c r="AR1594" s="86" t="s">
        <v>28969</v>
      </c>
      <c r="AS1594" s="86"/>
      <c r="AT1594" s="86"/>
      <c r="AU1594" s="86"/>
      <c r="AV1594" s="86">
        <v>1.6934246662101199E+18</v>
      </c>
      <c r="AW1594" s="96" t="str">
        <f>HYPERLINK("https://t.co/TCNoR3pmiD")</f>
        <v>https://t.co/TCNoR3pmiD</v>
      </c>
      <c r="AX1594" s="86" t="b">
        <v>0</v>
      </c>
      <c r="AY1594" s="86"/>
      <c r="AZ1594" s="86"/>
      <c r="BA1594" s="86" t="b">
        <v>0</v>
      </c>
      <c r="BB1594" s="86" t="b">
        <v>1</v>
      </c>
      <c r="BC1594" s="86" t="b">
        <v>1</v>
      </c>
      <c r="BD1594" s="86" t="b">
        <v>0</v>
      </c>
      <c r="BE1594" s="86" t="b">
        <v>0</v>
      </c>
      <c r="BF1594" s="86" t="b">
        <v>0</v>
      </c>
      <c r="BG1594" s="86" t="b">
        <v>0</v>
      </c>
      <c r="BH1594" s="96" t="str">
        <f>HYPERLINK("https://pbs.twimg.com/profile_banners/1587390645471166464/1667337229")</f>
        <v>https://pbs.twimg.com/profile_banners/1587390645471166464/1667337229</v>
      </c>
      <c r="BI1594" s="86"/>
      <c r="BJ1594" s="86" t="s">
        <v>29134</v>
      </c>
      <c r="BK1594" s="86" t="b">
        <v>0</v>
      </c>
      <c r="BL1594" s="86"/>
      <c r="BM1594" s="86" t="s">
        <v>66</v>
      </c>
      <c r="BN1594" s="86" t="s">
        <v>29136</v>
      </c>
      <c r="BO1594" s="96" t="str">
        <f>HYPERLINK("https://twitter.com/risecluboficial")</f>
        <v>https://twitter.com/risecluboficial</v>
      </c>
      <c r="BP1594" s="2"/>
    </row>
    <row r="1595" spans="1:68" x14ac:dyDescent="0.25">
      <c r="A1595" s="63" t="s">
        <v>1597</v>
      </c>
      <c r="B1595" s="64"/>
      <c r="C1595" s="64"/>
      <c r="D1595" s="65"/>
      <c r="E1595" s="67"/>
      <c r="F1595" s="111" t="str">
        <f>HYPERLINK("https://pbs.twimg.com/profile_images/1675893506735308800/8QGHzPKZ_normal.jpg")</f>
        <v>https://pbs.twimg.com/profile_images/1675893506735308800/8QGHzPKZ_normal.jpg</v>
      </c>
      <c r="G1595" s="64"/>
      <c r="H1595" s="68"/>
      <c r="I1595" s="69"/>
      <c r="J1595" s="69"/>
      <c r="K1595" s="68" t="s">
        <v>30728</v>
      </c>
      <c r="L1595" s="72"/>
      <c r="M1595" s="73"/>
      <c r="N1595" s="73"/>
      <c r="O1595" s="74"/>
      <c r="P1595" s="75"/>
      <c r="Q1595" s="75"/>
      <c r="R1595" s="102"/>
      <c r="S1595" s="102"/>
      <c r="T1595" s="102"/>
      <c r="U1595" s="102"/>
      <c r="V1595" s="48"/>
      <c r="W1595" s="48"/>
      <c r="X1595" s="48"/>
      <c r="Y1595" s="48"/>
      <c r="Z1595" s="47"/>
      <c r="AA1595" s="70">
        <v>1595</v>
      </c>
      <c r="AB1595" s="70"/>
      <c r="AC1595" s="71"/>
      <c r="AD1595" s="86" t="s">
        <v>25181</v>
      </c>
      <c r="AE1595" s="94" t="s">
        <v>23587</v>
      </c>
      <c r="AF1595" s="86">
        <v>48</v>
      </c>
      <c r="AG1595" s="86">
        <v>460</v>
      </c>
      <c r="AH1595" s="86">
        <v>61</v>
      </c>
      <c r="AI1595" s="86">
        <v>2</v>
      </c>
      <c r="AJ1595" s="86">
        <v>2750</v>
      </c>
      <c r="AK1595" s="86">
        <v>12</v>
      </c>
      <c r="AL1595" s="86" t="b">
        <v>0</v>
      </c>
      <c r="AM1595" s="89">
        <v>44401.090844907405</v>
      </c>
      <c r="AN1595" s="86" t="s">
        <v>26416</v>
      </c>
      <c r="AO1595" s="86" t="s">
        <v>27871</v>
      </c>
      <c r="AP1595" s="96" t="str">
        <f>HYPERLINK("https://t.co/Q8uobpeup8")</f>
        <v>https://t.co/Q8uobpeup8</v>
      </c>
      <c r="AQ1595" s="96" t="str">
        <f>HYPERLINK("http://radiopalermo.com.br")</f>
        <v>http://radiopalermo.com.br</v>
      </c>
      <c r="AR1595" s="86" t="s">
        <v>28970</v>
      </c>
      <c r="AS1595" s="86"/>
      <c r="AT1595" s="86"/>
      <c r="AU1595" s="86"/>
      <c r="AV1595" s="86"/>
      <c r="AW1595" s="96" t="str">
        <f>HYPERLINK("https://t.co/Q8uobpeup8")</f>
        <v>https://t.co/Q8uobpeup8</v>
      </c>
      <c r="AX1595" s="86" t="b">
        <v>0</v>
      </c>
      <c r="AY1595" s="86"/>
      <c r="AZ1595" s="86"/>
      <c r="BA1595" s="86" t="b">
        <v>0</v>
      </c>
      <c r="BB1595" s="86" t="b">
        <v>1</v>
      </c>
      <c r="BC1595" s="86" t="b">
        <v>1</v>
      </c>
      <c r="BD1595" s="86" t="b">
        <v>0</v>
      </c>
      <c r="BE1595" s="86" t="b">
        <v>0</v>
      </c>
      <c r="BF1595" s="86" t="b">
        <v>0</v>
      </c>
      <c r="BG1595" s="86" t="b">
        <v>0</v>
      </c>
      <c r="BH1595" s="96" t="str">
        <f>HYPERLINK("https://pbs.twimg.com/profile_banners/1418755468432969733/1688399124")</f>
        <v>https://pbs.twimg.com/profile_banners/1418755468432969733/1688399124</v>
      </c>
      <c r="BI1595" s="86"/>
      <c r="BJ1595" s="86" t="s">
        <v>29134</v>
      </c>
      <c r="BK1595" s="86" t="b">
        <v>0</v>
      </c>
      <c r="BL1595" s="86"/>
      <c r="BM1595" s="86" t="s">
        <v>66</v>
      </c>
      <c r="BN1595" s="86" t="s">
        <v>29136</v>
      </c>
      <c r="BO1595" s="96" t="str">
        <f>HYPERLINK("https://twitter.com/claudiopalerm13")</f>
        <v>https://twitter.com/claudiopalerm13</v>
      </c>
      <c r="BP1595" s="2"/>
    </row>
    <row r="1596" spans="1:68" x14ac:dyDescent="0.25">
      <c r="A1596" s="63" t="s">
        <v>1598</v>
      </c>
      <c r="B1596" s="64"/>
      <c r="C1596" s="64"/>
      <c r="D1596" s="65"/>
      <c r="E1596" s="67"/>
      <c r="F1596" s="111" t="str">
        <f>HYPERLINK("https://pbs.twimg.com/profile_images/1703423668515143680/xXKbDc7S_normal.jpg")</f>
        <v>https://pbs.twimg.com/profile_images/1703423668515143680/xXKbDc7S_normal.jpg</v>
      </c>
      <c r="G1596" s="64"/>
      <c r="H1596" s="68"/>
      <c r="I1596" s="69"/>
      <c r="J1596" s="69"/>
      <c r="K1596" s="68" t="s">
        <v>30729</v>
      </c>
      <c r="L1596" s="72"/>
      <c r="M1596" s="73"/>
      <c r="N1596" s="73"/>
      <c r="O1596" s="74"/>
      <c r="P1596" s="75"/>
      <c r="Q1596" s="75"/>
      <c r="R1596" s="102"/>
      <c r="S1596" s="102"/>
      <c r="T1596" s="102"/>
      <c r="U1596" s="102"/>
      <c r="V1596" s="48"/>
      <c r="W1596" s="48"/>
      <c r="X1596" s="48"/>
      <c r="Y1596" s="48"/>
      <c r="Z1596" s="47"/>
      <c r="AA1596" s="70">
        <v>1596</v>
      </c>
      <c r="AB1596" s="70"/>
      <c r="AC1596" s="71"/>
      <c r="AD1596" s="86" t="s">
        <v>25182</v>
      </c>
      <c r="AE1596" s="94" t="s">
        <v>23588</v>
      </c>
      <c r="AF1596" s="86">
        <v>4078</v>
      </c>
      <c r="AG1596" s="86">
        <v>4652</v>
      </c>
      <c r="AH1596" s="86">
        <v>7161</v>
      </c>
      <c r="AI1596" s="86">
        <v>3</v>
      </c>
      <c r="AJ1596" s="86">
        <v>17793</v>
      </c>
      <c r="AK1596" s="86">
        <v>1548</v>
      </c>
      <c r="AL1596" s="86" t="b">
        <v>0</v>
      </c>
      <c r="AM1596" s="89">
        <v>44473.701516203706</v>
      </c>
      <c r="AN1596" s="86" t="s">
        <v>25913</v>
      </c>
      <c r="AO1596" s="86" t="s">
        <v>27872</v>
      </c>
      <c r="AP1596" s="86"/>
      <c r="AQ1596" s="86"/>
      <c r="AR1596" s="86"/>
      <c r="AS1596" s="86"/>
      <c r="AT1596" s="86"/>
      <c r="AU1596" s="86"/>
      <c r="AV1596" s="86">
        <v>1.70342368663041E+18</v>
      </c>
      <c r="AW1596" s="86"/>
      <c r="AX1596" s="86" t="b">
        <v>0</v>
      </c>
      <c r="AY1596" s="86"/>
      <c r="AZ1596" s="86"/>
      <c r="BA1596" s="86" t="b">
        <v>0</v>
      </c>
      <c r="BB1596" s="86" t="b">
        <v>0</v>
      </c>
      <c r="BC1596" s="86" t="b">
        <v>1</v>
      </c>
      <c r="BD1596" s="86" t="b">
        <v>0</v>
      </c>
      <c r="BE1596" s="86" t="b">
        <v>0</v>
      </c>
      <c r="BF1596" s="86" t="b">
        <v>0</v>
      </c>
      <c r="BG1596" s="86" t="b">
        <v>0</v>
      </c>
      <c r="BH1596" s="96" t="str">
        <f>HYPERLINK("https://pbs.twimg.com/profile_banners/1445068607046701069/1683487190")</f>
        <v>https://pbs.twimg.com/profile_banners/1445068607046701069/1683487190</v>
      </c>
      <c r="BI1596" s="86"/>
      <c r="BJ1596" s="86" t="s">
        <v>29134</v>
      </c>
      <c r="BK1596" s="86" t="b">
        <v>0</v>
      </c>
      <c r="BL1596" s="86"/>
      <c r="BM1596" s="86" t="s">
        <v>66</v>
      </c>
      <c r="BN1596" s="86" t="s">
        <v>29136</v>
      </c>
      <c r="BO1596" s="96" t="str">
        <f>HYPERLINK("https://twitter.com/helenanenachic")</f>
        <v>https://twitter.com/helenanenachic</v>
      </c>
      <c r="BP1596" s="2"/>
    </row>
    <row r="1597" spans="1:68" x14ac:dyDescent="0.25">
      <c r="A1597" s="63" t="s">
        <v>1599</v>
      </c>
      <c r="B1597" s="64"/>
      <c r="C1597" s="64"/>
      <c r="D1597" s="65"/>
      <c r="E1597" s="67"/>
      <c r="F1597" s="111" t="str">
        <f>HYPERLINK("https://pbs.twimg.com/profile_images/1664333604762136576/_UkuqoDj_normal.jpg")</f>
        <v>https://pbs.twimg.com/profile_images/1664333604762136576/_UkuqoDj_normal.jpg</v>
      </c>
      <c r="G1597" s="64"/>
      <c r="H1597" s="68"/>
      <c r="I1597" s="69"/>
      <c r="J1597" s="69"/>
      <c r="K1597" s="68" t="s">
        <v>30730</v>
      </c>
      <c r="L1597" s="72"/>
      <c r="M1597" s="73"/>
      <c r="N1597" s="73"/>
      <c r="O1597" s="74"/>
      <c r="P1597" s="75"/>
      <c r="Q1597" s="75"/>
      <c r="R1597" s="102"/>
      <c r="S1597" s="102"/>
      <c r="T1597" s="102"/>
      <c r="U1597" s="102"/>
      <c r="V1597" s="48"/>
      <c r="W1597" s="48"/>
      <c r="X1597" s="48"/>
      <c r="Y1597" s="48"/>
      <c r="Z1597" s="47"/>
      <c r="AA1597" s="70">
        <v>1597</v>
      </c>
      <c r="AB1597" s="70"/>
      <c r="AC1597" s="71"/>
      <c r="AD1597" s="86" t="s">
        <v>25183</v>
      </c>
      <c r="AE1597" s="94" t="s">
        <v>23589</v>
      </c>
      <c r="AF1597" s="86">
        <v>0</v>
      </c>
      <c r="AG1597" s="86">
        <v>0</v>
      </c>
      <c r="AH1597" s="86">
        <v>11</v>
      </c>
      <c r="AI1597" s="86">
        <v>0</v>
      </c>
      <c r="AJ1597" s="86">
        <v>0</v>
      </c>
      <c r="AK1597" s="86">
        <v>11</v>
      </c>
      <c r="AL1597" s="86" t="b">
        <v>0</v>
      </c>
      <c r="AM1597" s="89">
        <v>45078.754988425928</v>
      </c>
      <c r="AN1597" s="86" t="s">
        <v>26417</v>
      </c>
      <c r="AO1597" s="86" t="s">
        <v>27873</v>
      </c>
      <c r="AP1597" s="96" t="str">
        <f>HYPERLINK("https://t.co/RCAdAWILp6")</f>
        <v>https://t.co/RCAdAWILp6</v>
      </c>
      <c r="AQ1597" s="96" t="str">
        <f>HYPERLINK("https://linktr.ee/portopublicidade")</f>
        <v>https://linktr.ee/portopublicidade</v>
      </c>
      <c r="AR1597" s="86" t="s">
        <v>28971</v>
      </c>
      <c r="AS1597" s="86"/>
      <c r="AT1597" s="86"/>
      <c r="AU1597" s="86"/>
      <c r="AV1597" s="86"/>
      <c r="AW1597" s="96" t="str">
        <f>HYPERLINK("https://t.co/RCAdAWILp6")</f>
        <v>https://t.co/RCAdAWILp6</v>
      </c>
      <c r="AX1597" s="86" t="b">
        <v>0</v>
      </c>
      <c r="AY1597" s="86"/>
      <c r="AZ1597" s="86"/>
      <c r="BA1597" s="86" t="b">
        <v>0</v>
      </c>
      <c r="BB1597" s="86" t="b">
        <v>1</v>
      </c>
      <c r="BC1597" s="86" t="b">
        <v>1</v>
      </c>
      <c r="BD1597" s="86" t="b">
        <v>0</v>
      </c>
      <c r="BE1597" s="86" t="b">
        <v>0</v>
      </c>
      <c r="BF1597" s="86" t="b">
        <v>0</v>
      </c>
      <c r="BG1597" s="86" t="b">
        <v>0</v>
      </c>
      <c r="BH1597" s="96" t="str">
        <f>HYPERLINK("https://pbs.twimg.com/profile_banners/1664332709349433352/1685643045")</f>
        <v>https://pbs.twimg.com/profile_banners/1664332709349433352/1685643045</v>
      </c>
      <c r="BI1597" s="86"/>
      <c r="BJ1597" s="86" t="s">
        <v>29134</v>
      </c>
      <c r="BK1597" s="86" t="b">
        <v>0</v>
      </c>
      <c r="BL1597" s="86"/>
      <c r="BM1597" s="86" t="s">
        <v>66</v>
      </c>
      <c r="BN1597" s="86" t="s">
        <v>29136</v>
      </c>
      <c r="BO1597" s="96" t="str">
        <f>HYPERLINK("https://twitter.com/portopublicidad")</f>
        <v>https://twitter.com/portopublicidad</v>
      </c>
      <c r="BP1597" s="2"/>
    </row>
    <row r="1598" spans="1:68" x14ac:dyDescent="0.25">
      <c r="A1598" s="63" t="s">
        <v>1600</v>
      </c>
      <c r="B1598" s="64"/>
      <c r="C1598" s="64"/>
      <c r="D1598" s="65"/>
      <c r="E1598" s="67"/>
      <c r="F1598" s="111" t="str">
        <f>HYPERLINK("https://pbs.twimg.com/profile_images/1252333649548148737/tsuJ5rGh_normal.jpg")</f>
        <v>https://pbs.twimg.com/profile_images/1252333649548148737/tsuJ5rGh_normal.jpg</v>
      </c>
      <c r="G1598" s="64"/>
      <c r="H1598" s="68"/>
      <c r="I1598" s="69"/>
      <c r="J1598" s="69"/>
      <c r="K1598" s="68" t="s">
        <v>30731</v>
      </c>
      <c r="L1598" s="72"/>
      <c r="M1598" s="73"/>
      <c r="N1598" s="73"/>
      <c r="O1598" s="74"/>
      <c r="P1598" s="75"/>
      <c r="Q1598" s="75"/>
      <c r="R1598" s="102"/>
      <c r="S1598" s="102"/>
      <c r="T1598" s="102"/>
      <c r="U1598" s="102"/>
      <c r="V1598" s="48"/>
      <c r="W1598" s="48"/>
      <c r="X1598" s="48"/>
      <c r="Y1598" s="48"/>
      <c r="Z1598" s="47"/>
      <c r="AA1598" s="70">
        <v>1598</v>
      </c>
      <c r="AB1598" s="70"/>
      <c r="AC1598" s="71"/>
      <c r="AD1598" s="86" t="s">
        <v>25184</v>
      </c>
      <c r="AE1598" s="94" t="s">
        <v>25862</v>
      </c>
      <c r="AF1598" s="86">
        <v>207340</v>
      </c>
      <c r="AG1598" s="86">
        <v>52</v>
      </c>
      <c r="AH1598" s="86">
        <v>79200</v>
      </c>
      <c r="AI1598" s="86">
        <v>873</v>
      </c>
      <c r="AJ1598" s="86">
        <v>376</v>
      </c>
      <c r="AK1598" s="86">
        <v>19295</v>
      </c>
      <c r="AL1598" s="86" t="b">
        <v>0</v>
      </c>
      <c r="AM1598" s="89">
        <v>40263.910069444442</v>
      </c>
      <c r="AN1598" s="86"/>
      <c r="AO1598" s="86" t="s">
        <v>27874</v>
      </c>
      <c r="AP1598" s="96" t="str">
        <f>HYPERLINK("https://t.co/U46woxd8rn")</f>
        <v>https://t.co/U46woxd8rn</v>
      </c>
      <c r="AQ1598" s="96" t="str">
        <f>HYPERLINK("http://instagram.com/jornalismotvcultura")</f>
        <v>http://instagram.com/jornalismotvcultura</v>
      </c>
      <c r="AR1598" s="86" t="s">
        <v>28972</v>
      </c>
      <c r="AS1598" s="86"/>
      <c r="AT1598" s="86"/>
      <c r="AU1598" s="86"/>
      <c r="AV1598" s="86">
        <v>1.7070474462645901E+18</v>
      </c>
      <c r="AW1598" s="96" t="str">
        <f>HYPERLINK("https://t.co/U46woxd8rn")</f>
        <v>https://t.co/U46woxd8rn</v>
      </c>
      <c r="AX1598" s="86" t="b">
        <v>1</v>
      </c>
      <c r="AY1598" s="86"/>
      <c r="AZ1598" s="86"/>
      <c r="BA1598" s="86" t="b">
        <v>0</v>
      </c>
      <c r="BB1598" s="86" t="b">
        <v>1</v>
      </c>
      <c r="BC1598" s="86" t="b">
        <v>0</v>
      </c>
      <c r="BD1598" s="86" t="b">
        <v>0</v>
      </c>
      <c r="BE1598" s="86" t="b">
        <v>1</v>
      </c>
      <c r="BF1598" s="86" t="b">
        <v>0</v>
      </c>
      <c r="BG1598" s="86" t="b">
        <v>0</v>
      </c>
      <c r="BH1598" s="96" t="str">
        <f>HYPERLINK("https://pbs.twimg.com/profile_banners/126750296/1668448744")</f>
        <v>https://pbs.twimg.com/profile_banners/126750296/1668448744</v>
      </c>
      <c r="BI1598" s="86"/>
      <c r="BJ1598" s="86" t="s">
        <v>29134</v>
      </c>
      <c r="BK1598" s="86" t="b">
        <v>0</v>
      </c>
      <c r="BL1598" s="86"/>
      <c r="BM1598" s="86" t="s">
        <v>66</v>
      </c>
      <c r="BN1598" s="86" t="s">
        <v>29136</v>
      </c>
      <c r="BO1598" s="96" t="str">
        <f>HYPERLINK("https://twitter.com/jornal_cultura")</f>
        <v>https://twitter.com/jornal_cultura</v>
      </c>
      <c r="BP1598" s="2"/>
    </row>
    <row r="1599" spans="1:68" x14ac:dyDescent="0.25">
      <c r="A1599" s="63" t="s">
        <v>1601</v>
      </c>
      <c r="B1599" s="64"/>
      <c r="C1599" s="64"/>
      <c r="D1599" s="65"/>
      <c r="E1599" s="67"/>
      <c r="F1599" s="111" t="str">
        <f>HYPERLINK("https://pbs.twimg.com/profile_images/1665180114898829317/Mjy8kjRZ_normal.jpg")</f>
        <v>https://pbs.twimg.com/profile_images/1665180114898829317/Mjy8kjRZ_normal.jpg</v>
      </c>
      <c r="G1599" s="64"/>
      <c r="H1599" s="68"/>
      <c r="I1599" s="69"/>
      <c r="J1599" s="69"/>
      <c r="K1599" s="68" t="s">
        <v>30732</v>
      </c>
      <c r="L1599" s="72"/>
      <c r="M1599" s="73"/>
      <c r="N1599" s="73"/>
      <c r="O1599" s="74"/>
      <c r="P1599" s="75"/>
      <c r="Q1599" s="75"/>
      <c r="R1599" s="102"/>
      <c r="S1599" s="102"/>
      <c r="T1599" s="102"/>
      <c r="U1599" s="102"/>
      <c r="V1599" s="48"/>
      <c r="W1599" s="48"/>
      <c r="X1599" s="48"/>
      <c r="Y1599" s="48"/>
      <c r="Z1599" s="47"/>
      <c r="AA1599" s="70">
        <v>1599</v>
      </c>
      <c r="AB1599" s="70"/>
      <c r="AC1599" s="71"/>
      <c r="AD1599" s="86" t="s">
        <v>25185</v>
      </c>
      <c r="AE1599" s="94" t="s">
        <v>23590</v>
      </c>
      <c r="AF1599" s="86">
        <v>81</v>
      </c>
      <c r="AG1599" s="86">
        <v>105</v>
      </c>
      <c r="AH1599" s="86">
        <v>944</v>
      </c>
      <c r="AI1599" s="86">
        <v>0</v>
      </c>
      <c r="AJ1599" s="86">
        <v>110</v>
      </c>
      <c r="AK1599" s="86">
        <v>933</v>
      </c>
      <c r="AL1599" s="86" t="b">
        <v>0</v>
      </c>
      <c r="AM1599" s="89">
        <v>43596.763067129628</v>
      </c>
      <c r="AN1599" s="86" t="s">
        <v>15246</v>
      </c>
      <c r="AO1599" s="86" t="s">
        <v>27875</v>
      </c>
      <c r="AP1599" s="96" t="str">
        <f>HYPERLINK("https://t.co/AIKiB2cdkL")</f>
        <v>https://t.co/AIKiB2cdkL</v>
      </c>
      <c r="AQ1599" s="96" t="str">
        <f>HYPERLINK("https://www.apostilasopcao.com.br/?afiliado=13686")</f>
        <v>https://www.apostilasopcao.com.br/?afiliado=13686</v>
      </c>
      <c r="AR1599" s="86" t="s">
        <v>28973</v>
      </c>
      <c r="AS1599" s="86"/>
      <c r="AT1599" s="86"/>
      <c r="AU1599" s="86"/>
      <c r="AV1599" s="86"/>
      <c r="AW1599" s="96" t="str">
        <f>HYPERLINK("https://t.co/AIKiB2cdkL")</f>
        <v>https://t.co/AIKiB2cdkL</v>
      </c>
      <c r="AX1599" s="86" t="b">
        <v>0</v>
      </c>
      <c r="AY1599" s="86"/>
      <c r="AZ1599" s="86"/>
      <c r="BA1599" s="86" t="b">
        <v>1</v>
      </c>
      <c r="BB1599" s="86" t="b">
        <v>1</v>
      </c>
      <c r="BC1599" s="86" t="b">
        <v>1</v>
      </c>
      <c r="BD1599" s="86" t="b">
        <v>0</v>
      </c>
      <c r="BE1599" s="86" t="b">
        <v>0</v>
      </c>
      <c r="BF1599" s="86" t="b">
        <v>0</v>
      </c>
      <c r="BG1599" s="86" t="b">
        <v>0</v>
      </c>
      <c r="BH1599" s="96" t="str">
        <f>HYPERLINK("https://pbs.twimg.com/profile_banners/1127276892955074562/1685887832")</f>
        <v>https://pbs.twimg.com/profile_banners/1127276892955074562/1685887832</v>
      </c>
      <c r="BI1599" s="86"/>
      <c r="BJ1599" s="86" t="s">
        <v>29134</v>
      </c>
      <c r="BK1599" s="86" t="b">
        <v>0</v>
      </c>
      <c r="BL1599" s="86"/>
      <c r="BM1599" s="86" t="s">
        <v>66</v>
      </c>
      <c r="BN1599" s="86" t="s">
        <v>29136</v>
      </c>
      <c r="BO1599" s="96" t="str">
        <f>HYPERLINK("https://twitter.com/apostilac")</f>
        <v>https://twitter.com/apostilac</v>
      </c>
      <c r="BP1599" s="2"/>
    </row>
    <row r="1600" spans="1:68" x14ac:dyDescent="0.25">
      <c r="A1600" s="63" t="s">
        <v>1602</v>
      </c>
      <c r="B1600" s="64"/>
      <c r="C1600" s="64"/>
      <c r="D1600" s="65"/>
      <c r="E1600" s="67"/>
      <c r="F1600" s="111" t="str">
        <f>HYPERLINK("https://pbs.twimg.com/profile_images/1625179926197415936/qSJmiKhx_normal.jpg")</f>
        <v>https://pbs.twimg.com/profile_images/1625179926197415936/qSJmiKhx_normal.jpg</v>
      </c>
      <c r="G1600" s="64"/>
      <c r="H1600" s="68"/>
      <c r="I1600" s="69"/>
      <c r="J1600" s="69"/>
      <c r="K1600" s="68" t="s">
        <v>30733</v>
      </c>
      <c r="L1600" s="72"/>
      <c r="M1600" s="73"/>
      <c r="N1600" s="73"/>
      <c r="O1600" s="74"/>
      <c r="P1600" s="75"/>
      <c r="Q1600" s="75"/>
      <c r="R1600" s="102"/>
      <c r="S1600" s="102"/>
      <c r="T1600" s="102"/>
      <c r="U1600" s="102"/>
      <c r="V1600" s="48"/>
      <c r="W1600" s="48"/>
      <c r="X1600" s="48"/>
      <c r="Y1600" s="48"/>
      <c r="Z1600" s="47"/>
      <c r="AA1600" s="70">
        <v>1600</v>
      </c>
      <c r="AB1600" s="70"/>
      <c r="AC1600" s="71"/>
      <c r="AD1600" s="86" t="s">
        <v>25186</v>
      </c>
      <c r="AE1600" s="94" t="s">
        <v>25863</v>
      </c>
      <c r="AF1600" s="86">
        <v>2647</v>
      </c>
      <c r="AG1600" s="86">
        <v>10</v>
      </c>
      <c r="AH1600" s="86">
        <v>4868</v>
      </c>
      <c r="AI1600" s="86">
        <v>18</v>
      </c>
      <c r="AJ1600" s="86">
        <v>195</v>
      </c>
      <c r="AK1600" s="86">
        <v>2111</v>
      </c>
      <c r="AL1600" s="86" t="b">
        <v>0</v>
      </c>
      <c r="AM1600" s="89">
        <v>40476.672650462962</v>
      </c>
      <c r="AN1600" s="86" t="s">
        <v>15234</v>
      </c>
      <c r="AO1600" s="86" t="s">
        <v>27876</v>
      </c>
      <c r="AP1600" s="96" t="str">
        <f>HYPERLINK("https://t.co/JZqGbD8JYb")</f>
        <v>https://t.co/JZqGbD8JYb</v>
      </c>
      <c r="AQ1600" s="96" t="str">
        <f>HYPERLINK("http://www.lide.com.br")</f>
        <v>http://www.lide.com.br</v>
      </c>
      <c r="AR1600" s="86" t="s">
        <v>28974</v>
      </c>
      <c r="AS1600" s="86"/>
      <c r="AT1600" s="86"/>
      <c r="AU1600" s="86"/>
      <c r="AV1600" s="86">
        <v>1.67162585201297E+18</v>
      </c>
      <c r="AW1600" s="96" t="str">
        <f>HYPERLINK("https://t.co/JZqGbD8JYb")</f>
        <v>https://t.co/JZqGbD8JYb</v>
      </c>
      <c r="AX1600" s="86" t="b">
        <v>0</v>
      </c>
      <c r="AY1600" s="86"/>
      <c r="AZ1600" s="86"/>
      <c r="BA1600" s="86" t="b">
        <v>0</v>
      </c>
      <c r="BB1600" s="86" t="b">
        <v>1</v>
      </c>
      <c r="BC1600" s="86" t="b">
        <v>0</v>
      </c>
      <c r="BD1600" s="86" t="b">
        <v>0</v>
      </c>
      <c r="BE1600" s="86" t="b">
        <v>0</v>
      </c>
      <c r="BF1600" s="86" t="b">
        <v>0</v>
      </c>
      <c r="BG1600" s="86" t="b">
        <v>0</v>
      </c>
      <c r="BH1600" s="96" t="str">
        <f>HYPERLINK("https://pbs.twimg.com/profile_banners/207577470/1676309906")</f>
        <v>https://pbs.twimg.com/profile_banners/207577470/1676309906</v>
      </c>
      <c r="BI1600" s="86"/>
      <c r="BJ1600" s="86" t="s">
        <v>29134</v>
      </c>
      <c r="BK1600" s="86" t="b">
        <v>0</v>
      </c>
      <c r="BL1600" s="86"/>
      <c r="BM1600" s="86" t="s">
        <v>66</v>
      </c>
      <c r="BN1600" s="86" t="s">
        <v>29136</v>
      </c>
      <c r="BO1600" s="96" t="str">
        <f>HYPERLINK("https://twitter.com/lideglobal")</f>
        <v>https://twitter.com/lideglobal</v>
      </c>
      <c r="BP1600" s="2"/>
    </row>
    <row r="1601" spans="1:68" x14ac:dyDescent="0.25">
      <c r="A1601" s="63" t="s">
        <v>1837</v>
      </c>
      <c r="B1601" s="64"/>
      <c r="C1601" s="64"/>
      <c r="D1601" s="65"/>
      <c r="E1601" s="67"/>
      <c r="F1601" s="111" t="str">
        <f>HYPERLINK("https://pbs.twimg.com/profile_images/1697563469845782528/OYi1Kq_P_normal.jpg")</f>
        <v>https://pbs.twimg.com/profile_images/1697563469845782528/OYi1Kq_P_normal.jpg</v>
      </c>
      <c r="G1601" s="64"/>
      <c r="H1601" s="68"/>
      <c r="I1601" s="69"/>
      <c r="J1601" s="69"/>
      <c r="K1601" s="68" t="s">
        <v>30734</v>
      </c>
      <c r="L1601" s="72"/>
      <c r="M1601" s="73"/>
      <c r="N1601" s="73"/>
      <c r="O1601" s="74"/>
      <c r="P1601" s="75"/>
      <c r="Q1601" s="75"/>
      <c r="R1601" s="102"/>
      <c r="S1601" s="102"/>
      <c r="T1601" s="102"/>
      <c r="U1601" s="102"/>
      <c r="V1601" s="48"/>
      <c r="W1601" s="48"/>
      <c r="X1601" s="48"/>
      <c r="Y1601" s="48"/>
      <c r="Z1601" s="47"/>
      <c r="AA1601" s="70">
        <v>1601</v>
      </c>
      <c r="AB1601" s="70"/>
      <c r="AC1601" s="71"/>
      <c r="AD1601" s="86" t="s">
        <v>25187</v>
      </c>
      <c r="AE1601" s="94" t="s">
        <v>25864</v>
      </c>
      <c r="AF1601" s="86">
        <v>13879</v>
      </c>
      <c r="AG1601" s="86">
        <v>74</v>
      </c>
      <c r="AH1601" s="86">
        <v>6497</v>
      </c>
      <c r="AI1601" s="86">
        <v>95</v>
      </c>
      <c r="AJ1601" s="86">
        <v>2031</v>
      </c>
      <c r="AK1601" s="86">
        <v>1098</v>
      </c>
      <c r="AL1601" s="86" t="b">
        <v>0</v>
      </c>
      <c r="AM1601" s="89">
        <v>39893.97215277778</v>
      </c>
      <c r="AN1601" s="86" t="s">
        <v>15234</v>
      </c>
      <c r="AO1601" s="86" t="s">
        <v>27877</v>
      </c>
      <c r="AP1601" s="96" t="str">
        <f>HYPERLINK("https://t.co/bLuA3XKpHC")</f>
        <v>https://t.co/bLuA3XKpHC</v>
      </c>
      <c r="AQ1601" s="96" t="str">
        <f>HYPERLINK("https://www.polishop.com.br/?utm_source=twitter&amp;utm_medium=organico&amp;utm_campaign=12042023_abril")</f>
        <v>https://www.polishop.com.br/?utm_source=twitter&amp;utm_medium=organico&amp;utm_campaign=12042023_abril</v>
      </c>
      <c r="AR1601" s="86" t="s">
        <v>28975</v>
      </c>
      <c r="AS1601" s="86"/>
      <c r="AT1601" s="86"/>
      <c r="AU1601" s="86"/>
      <c r="AV1601" s="86"/>
      <c r="AW1601" s="96" t="str">
        <f>HYPERLINK("https://t.co/bLuA3XKpHC")</f>
        <v>https://t.co/bLuA3XKpHC</v>
      </c>
      <c r="AX1601" s="86" t="b">
        <v>0</v>
      </c>
      <c r="AY1601" s="86"/>
      <c r="AZ1601" s="86"/>
      <c r="BA1601" s="86" t="b">
        <v>1</v>
      </c>
      <c r="BB1601" s="86" t="b">
        <v>1</v>
      </c>
      <c r="BC1601" s="86" t="b">
        <v>0</v>
      </c>
      <c r="BD1601" s="86" t="b">
        <v>0</v>
      </c>
      <c r="BE1601" s="86" t="b">
        <v>1</v>
      </c>
      <c r="BF1601" s="86" t="b">
        <v>0</v>
      </c>
      <c r="BG1601" s="86" t="b">
        <v>0</v>
      </c>
      <c r="BH1601" s="96" t="str">
        <f>HYPERLINK("https://pbs.twimg.com/profile_banners/25745126/1693565646")</f>
        <v>https://pbs.twimg.com/profile_banners/25745126/1693565646</v>
      </c>
      <c r="BI1601" s="86"/>
      <c r="BJ1601" s="86" t="s">
        <v>29134</v>
      </c>
      <c r="BK1601" s="86" t="b">
        <v>0</v>
      </c>
      <c r="BL1601" s="86"/>
      <c r="BM1601" s="86" t="s">
        <v>65</v>
      </c>
      <c r="BN1601" s="86" t="s">
        <v>29136</v>
      </c>
      <c r="BO1601" s="96" t="str">
        <f>HYPERLINK("https://twitter.com/polishop")</f>
        <v>https://twitter.com/polishop</v>
      </c>
      <c r="BP1601" s="2"/>
    </row>
    <row r="1602" spans="1:68" x14ac:dyDescent="0.25">
      <c r="A1602" s="63" t="s">
        <v>1603</v>
      </c>
      <c r="B1602" s="64"/>
      <c r="C1602" s="64"/>
      <c r="D1602" s="65"/>
      <c r="E1602" s="67"/>
      <c r="F1602" s="111" t="str">
        <f>HYPERLINK("https://pbs.twimg.com/profile_images/1224658452829569029/IeynBZUs_normal.jpg")</f>
        <v>https://pbs.twimg.com/profile_images/1224658452829569029/IeynBZUs_normal.jpg</v>
      </c>
      <c r="G1602" s="64"/>
      <c r="H1602" s="68"/>
      <c r="I1602" s="69"/>
      <c r="J1602" s="69"/>
      <c r="K1602" s="68" t="s">
        <v>30735</v>
      </c>
      <c r="L1602" s="72"/>
      <c r="M1602" s="73"/>
      <c r="N1602" s="73"/>
      <c r="O1602" s="74"/>
      <c r="P1602" s="75"/>
      <c r="Q1602" s="75"/>
      <c r="R1602" s="102"/>
      <c r="S1602" s="102"/>
      <c r="T1602" s="102"/>
      <c r="U1602" s="102"/>
      <c r="V1602" s="48"/>
      <c r="W1602" s="48"/>
      <c r="X1602" s="48"/>
      <c r="Y1602" s="48"/>
      <c r="Z1602" s="47"/>
      <c r="AA1602" s="70">
        <v>1602</v>
      </c>
      <c r="AB1602" s="70"/>
      <c r="AC1602" s="71"/>
      <c r="AD1602" s="86" t="s">
        <v>25188</v>
      </c>
      <c r="AE1602" s="94" t="s">
        <v>25865</v>
      </c>
      <c r="AF1602" s="86">
        <v>414</v>
      </c>
      <c r="AG1602" s="86">
        <v>459</v>
      </c>
      <c r="AH1602" s="86">
        <v>7022</v>
      </c>
      <c r="AI1602" s="86">
        <v>0</v>
      </c>
      <c r="AJ1602" s="86">
        <v>3</v>
      </c>
      <c r="AK1602" s="86">
        <v>6096</v>
      </c>
      <c r="AL1602" s="86" t="b">
        <v>0</v>
      </c>
      <c r="AM1602" s="89">
        <v>40106.602303240739</v>
      </c>
      <c r="AN1602" s="86" t="s">
        <v>26418</v>
      </c>
      <c r="AO1602" s="86" t="s">
        <v>27878</v>
      </c>
      <c r="AP1602" s="96" t="str">
        <f>HYPERLINK("https://t.co/15Gd0Ndh8r")</f>
        <v>https://t.co/15Gd0Ndh8r</v>
      </c>
      <c r="AQ1602" s="96" t="str">
        <f>HYPERLINK("http://www.funep.com.br/")</f>
        <v>http://www.funep.com.br/</v>
      </c>
      <c r="AR1602" s="86" t="s">
        <v>28976</v>
      </c>
      <c r="AS1602" s="86"/>
      <c r="AT1602" s="86"/>
      <c r="AU1602" s="86"/>
      <c r="AV1602" s="86"/>
      <c r="AW1602" s="96" t="str">
        <f>HYPERLINK("https://t.co/15Gd0Ndh8r")</f>
        <v>https://t.co/15Gd0Ndh8r</v>
      </c>
      <c r="AX1602" s="86" t="b">
        <v>0</v>
      </c>
      <c r="AY1602" s="86"/>
      <c r="AZ1602" s="86"/>
      <c r="BA1602" s="86" t="b">
        <v>1</v>
      </c>
      <c r="BB1602" s="86" t="b">
        <v>1</v>
      </c>
      <c r="BC1602" s="86" t="b">
        <v>0</v>
      </c>
      <c r="BD1602" s="86" t="b">
        <v>0</v>
      </c>
      <c r="BE1602" s="86" t="b">
        <v>0</v>
      </c>
      <c r="BF1602" s="86" t="b">
        <v>0</v>
      </c>
      <c r="BG1602" s="86" t="b">
        <v>0</v>
      </c>
      <c r="BH1602" s="96" t="str">
        <f>HYPERLINK("https://pbs.twimg.com/profile_banners/83854705/1610654889")</f>
        <v>https://pbs.twimg.com/profile_banners/83854705/1610654889</v>
      </c>
      <c r="BI1602" s="86"/>
      <c r="BJ1602" s="86" t="s">
        <v>29134</v>
      </c>
      <c r="BK1602" s="86" t="b">
        <v>0</v>
      </c>
      <c r="BL1602" s="86"/>
      <c r="BM1602" s="86" t="s">
        <v>66</v>
      </c>
      <c r="BN1602" s="86" t="s">
        <v>29136</v>
      </c>
      <c r="BO1602" s="96" t="str">
        <f>HYPERLINK("https://twitter.com/funep")</f>
        <v>https://twitter.com/funep</v>
      </c>
      <c r="BP1602" s="2"/>
    </row>
    <row r="1603" spans="1:68" x14ac:dyDescent="0.25">
      <c r="A1603" s="63" t="s">
        <v>1604</v>
      </c>
      <c r="B1603" s="64"/>
      <c r="C1603" s="64"/>
      <c r="D1603" s="65"/>
      <c r="E1603" s="67"/>
      <c r="F1603" s="111" t="str">
        <f>HYPERLINK("https://pbs.twimg.com/profile_images/1464721027355885570/qf3QdN5S_normal.jpg")</f>
        <v>https://pbs.twimg.com/profile_images/1464721027355885570/qf3QdN5S_normal.jpg</v>
      </c>
      <c r="G1603" s="64"/>
      <c r="H1603" s="68"/>
      <c r="I1603" s="69"/>
      <c r="J1603" s="69"/>
      <c r="K1603" s="68" t="s">
        <v>30736</v>
      </c>
      <c r="L1603" s="72"/>
      <c r="M1603" s="73"/>
      <c r="N1603" s="73"/>
      <c r="O1603" s="74"/>
      <c r="P1603" s="75"/>
      <c r="Q1603" s="75"/>
      <c r="R1603" s="102"/>
      <c r="S1603" s="102"/>
      <c r="T1603" s="102"/>
      <c r="U1603" s="102"/>
      <c r="V1603" s="48"/>
      <c r="W1603" s="48"/>
      <c r="X1603" s="48"/>
      <c r="Y1603" s="48"/>
      <c r="Z1603" s="47"/>
      <c r="AA1603" s="70">
        <v>1603</v>
      </c>
      <c r="AB1603" s="70"/>
      <c r="AC1603" s="71"/>
      <c r="AD1603" s="86" t="s">
        <v>25189</v>
      </c>
      <c r="AE1603" s="94" t="s">
        <v>23591</v>
      </c>
      <c r="AF1603" s="86">
        <v>38</v>
      </c>
      <c r="AG1603" s="86">
        <v>211</v>
      </c>
      <c r="AH1603" s="86">
        <v>2069</v>
      </c>
      <c r="AI1603" s="86">
        <v>0</v>
      </c>
      <c r="AJ1603" s="86">
        <v>811</v>
      </c>
      <c r="AK1603" s="86">
        <v>318</v>
      </c>
      <c r="AL1603" s="86" t="b">
        <v>0</v>
      </c>
      <c r="AM1603" s="89">
        <v>42873.660902777781</v>
      </c>
      <c r="AN1603" s="86" t="s">
        <v>15234</v>
      </c>
      <c r="AO1603" s="86" t="s">
        <v>27879</v>
      </c>
      <c r="AP1603" s="96" t="str">
        <f>HYPERLINK("https://t.co/1TVltpLECC")</f>
        <v>https://t.co/1TVltpLECC</v>
      </c>
      <c r="AQ1603" s="96" t="str">
        <f>HYPERLINK("https://www.magazinevoce.com.br/magazinesmottalu/")</f>
        <v>https://www.magazinevoce.com.br/magazinesmottalu/</v>
      </c>
      <c r="AR1603" s="86" t="s">
        <v>28977</v>
      </c>
      <c r="AS1603" s="86"/>
      <c r="AT1603" s="86"/>
      <c r="AU1603" s="86"/>
      <c r="AV1603" s="86"/>
      <c r="AW1603" s="96" t="str">
        <f>HYPERLINK("https://t.co/1TVltpLECC")</f>
        <v>https://t.co/1TVltpLECC</v>
      </c>
      <c r="AX1603" s="86" t="b">
        <v>0</v>
      </c>
      <c r="AY1603" s="86"/>
      <c r="AZ1603" s="86"/>
      <c r="BA1603" s="86" t="b">
        <v>1</v>
      </c>
      <c r="BB1603" s="86" t="b">
        <v>1</v>
      </c>
      <c r="BC1603" s="86" t="b">
        <v>1</v>
      </c>
      <c r="BD1603" s="86" t="b">
        <v>0</v>
      </c>
      <c r="BE1603" s="86" t="b">
        <v>0</v>
      </c>
      <c r="BF1603" s="86" t="b">
        <v>0</v>
      </c>
      <c r="BG1603" s="86" t="b">
        <v>0</v>
      </c>
      <c r="BH1603" s="96" t="str">
        <f>HYPERLINK("https://pbs.twimg.com/profile_banners/865233440173682688/1648044761")</f>
        <v>https://pbs.twimg.com/profile_banners/865233440173682688/1648044761</v>
      </c>
      <c r="BI1603" s="86"/>
      <c r="BJ1603" s="86" t="s">
        <v>29134</v>
      </c>
      <c r="BK1603" s="86" t="b">
        <v>0</v>
      </c>
      <c r="BL1603" s="86"/>
      <c r="BM1603" s="86" t="s">
        <v>66</v>
      </c>
      <c r="BN1603" s="86" t="s">
        <v>29136</v>
      </c>
      <c r="BO1603" s="96" t="str">
        <f>HYPERLINK("https://twitter.com/erikasmotta")</f>
        <v>https://twitter.com/erikasmotta</v>
      </c>
      <c r="BP1603" s="2"/>
    </row>
    <row r="1604" spans="1:68" x14ac:dyDescent="0.25">
      <c r="A1604" s="63" t="s">
        <v>1605</v>
      </c>
      <c r="B1604" s="64"/>
      <c r="C1604" s="64"/>
      <c r="D1604" s="65"/>
      <c r="E1604" s="67"/>
      <c r="F1604" s="111" t="str">
        <f>HYPERLINK("https://pbs.twimg.com/profile_images/1087763209854038017/NW_ZZdsf_normal.jpg")</f>
        <v>https://pbs.twimg.com/profile_images/1087763209854038017/NW_ZZdsf_normal.jpg</v>
      </c>
      <c r="G1604" s="64"/>
      <c r="H1604" s="68"/>
      <c r="I1604" s="69"/>
      <c r="J1604" s="69"/>
      <c r="K1604" s="68" t="s">
        <v>30737</v>
      </c>
      <c r="L1604" s="72"/>
      <c r="M1604" s="73"/>
      <c r="N1604" s="73"/>
      <c r="O1604" s="74"/>
      <c r="P1604" s="75"/>
      <c r="Q1604" s="75"/>
      <c r="R1604" s="102"/>
      <c r="S1604" s="102"/>
      <c r="T1604" s="102"/>
      <c r="U1604" s="102"/>
      <c r="V1604" s="48"/>
      <c r="W1604" s="48"/>
      <c r="X1604" s="48"/>
      <c r="Y1604" s="48"/>
      <c r="Z1604" s="47"/>
      <c r="AA1604" s="70">
        <v>1604</v>
      </c>
      <c r="AB1604" s="70"/>
      <c r="AC1604" s="71"/>
      <c r="AD1604" s="86" t="s">
        <v>25190</v>
      </c>
      <c r="AE1604" s="94" t="s">
        <v>23592</v>
      </c>
      <c r="AF1604" s="86">
        <v>61</v>
      </c>
      <c r="AG1604" s="86">
        <v>102</v>
      </c>
      <c r="AH1604" s="86">
        <v>6532</v>
      </c>
      <c r="AI1604" s="86">
        <v>3</v>
      </c>
      <c r="AJ1604" s="86">
        <v>1819</v>
      </c>
      <c r="AK1604" s="86">
        <v>792</v>
      </c>
      <c r="AL1604" s="86" t="b">
        <v>0</v>
      </c>
      <c r="AM1604" s="89">
        <v>43487.725474537037</v>
      </c>
      <c r="AN1604" s="86" t="s">
        <v>15256</v>
      </c>
      <c r="AO1604" s="86" t="s">
        <v>27880</v>
      </c>
      <c r="AP1604" s="96" t="str">
        <f>HYPERLINK("https://t.co/QmHFrHaRZa")</f>
        <v>https://t.co/QmHFrHaRZa</v>
      </c>
      <c r="AQ1604" s="96" t="str">
        <f>HYPERLINK("https://culturaalternativa.com.br")</f>
        <v>https://culturaalternativa.com.br</v>
      </c>
      <c r="AR1604" s="86" t="s">
        <v>28978</v>
      </c>
      <c r="AS1604" s="86"/>
      <c r="AT1604" s="86"/>
      <c r="AU1604" s="86"/>
      <c r="AV1604" s="86"/>
      <c r="AW1604" s="96" t="str">
        <f>HYPERLINK("https://t.co/QmHFrHaRZa")</f>
        <v>https://t.co/QmHFrHaRZa</v>
      </c>
      <c r="AX1604" s="86" t="b">
        <v>0</v>
      </c>
      <c r="AY1604" s="86"/>
      <c r="AZ1604" s="86"/>
      <c r="BA1604" s="86" t="b">
        <v>1</v>
      </c>
      <c r="BB1604" s="86" t="b">
        <v>1</v>
      </c>
      <c r="BC1604" s="86" t="b">
        <v>1</v>
      </c>
      <c r="BD1604" s="86" t="b">
        <v>0</v>
      </c>
      <c r="BE1604" s="86" t="b">
        <v>0</v>
      </c>
      <c r="BF1604" s="86" t="b">
        <v>0</v>
      </c>
      <c r="BG1604" s="86" t="b">
        <v>0</v>
      </c>
      <c r="BH1604" s="96" t="str">
        <f>HYPERLINK("https://pbs.twimg.com/profile_banners/1087762990731051008/1682511903")</f>
        <v>https://pbs.twimg.com/profile_banners/1087762990731051008/1682511903</v>
      </c>
      <c r="BI1604" s="86"/>
      <c r="BJ1604" s="86" t="s">
        <v>29134</v>
      </c>
      <c r="BK1604" s="86" t="b">
        <v>0</v>
      </c>
      <c r="BL1604" s="86"/>
      <c r="BM1604" s="86" t="s">
        <v>66</v>
      </c>
      <c r="BN1604" s="86" t="s">
        <v>29136</v>
      </c>
      <c r="BO1604" s="96" t="str">
        <f>HYPERLINK("https://twitter.com/culturaalterna5")</f>
        <v>https://twitter.com/culturaalterna5</v>
      </c>
      <c r="BP1604" s="2"/>
    </row>
    <row r="1605" spans="1:68" x14ac:dyDescent="0.25">
      <c r="A1605" s="63" t="s">
        <v>1606</v>
      </c>
      <c r="B1605" s="64"/>
      <c r="C1605" s="64"/>
      <c r="D1605" s="65"/>
      <c r="E1605" s="67"/>
      <c r="F1605" s="111" t="str">
        <f>HYPERLINK("https://pbs.twimg.com/profile_images/1698656581921980416/V_itaCxJ_normal.jpg")</f>
        <v>https://pbs.twimg.com/profile_images/1698656581921980416/V_itaCxJ_normal.jpg</v>
      </c>
      <c r="G1605" s="64"/>
      <c r="H1605" s="68"/>
      <c r="I1605" s="69"/>
      <c r="J1605" s="69"/>
      <c r="K1605" s="68" t="s">
        <v>30738</v>
      </c>
      <c r="L1605" s="72"/>
      <c r="M1605" s="73"/>
      <c r="N1605" s="73"/>
      <c r="O1605" s="74"/>
      <c r="P1605" s="75"/>
      <c r="Q1605" s="75"/>
      <c r="R1605" s="102"/>
      <c r="S1605" s="102"/>
      <c r="T1605" s="102"/>
      <c r="U1605" s="102"/>
      <c r="V1605" s="48"/>
      <c r="W1605" s="48"/>
      <c r="X1605" s="48"/>
      <c r="Y1605" s="48"/>
      <c r="Z1605" s="47"/>
      <c r="AA1605" s="70">
        <v>1605</v>
      </c>
      <c r="AB1605" s="70"/>
      <c r="AC1605" s="71"/>
      <c r="AD1605" s="86" t="s">
        <v>25191</v>
      </c>
      <c r="AE1605" s="94" t="s">
        <v>23593</v>
      </c>
      <c r="AF1605" s="86">
        <v>0</v>
      </c>
      <c r="AG1605" s="86">
        <v>1</v>
      </c>
      <c r="AH1605" s="86">
        <v>1</v>
      </c>
      <c r="AI1605" s="86">
        <v>0</v>
      </c>
      <c r="AJ1605" s="86">
        <v>0</v>
      </c>
      <c r="AK1605" s="86">
        <v>1</v>
      </c>
      <c r="AL1605" s="86" t="b">
        <v>0</v>
      </c>
      <c r="AM1605" s="89">
        <v>45173.469224537039</v>
      </c>
      <c r="AN1605" s="86"/>
      <c r="AO1605" s="86" t="s">
        <v>27881</v>
      </c>
      <c r="AP1605" s="86"/>
      <c r="AQ1605" s="86"/>
      <c r="AR1605" s="86"/>
      <c r="AS1605" s="86"/>
      <c r="AT1605" s="86"/>
      <c r="AU1605" s="86"/>
      <c r="AV1605" s="86"/>
      <c r="AW1605" s="86"/>
      <c r="AX1605" s="86" t="b">
        <v>0</v>
      </c>
      <c r="AY1605" s="86"/>
      <c r="AZ1605" s="86"/>
      <c r="BA1605" s="86" t="b">
        <v>0</v>
      </c>
      <c r="BB1605" s="86" t="b">
        <v>1</v>
      </c>
      <c r="BC1605" s="86" t="b">
        <v>1</v>
      </c>
      <c r="BD1605" s="86" t="b">
        <v>0</v>
      </c>
      <c r="BE1605" s="86" t="b">
        <v>0</v>
      </c>
      <c r="BF1605" s="86" t="b">
        <v>0</v>
      </c>
      <c r="BG1605" s="86" t="b">
        <v>0</v>
      </c>
      <c r="BH1605" s="96" t="str">
        <f>HYPERLINK("https://pbs.twimg.com/profile_banners/1698655884031746048/1693826473")</f>
        <v>https://pbs.twimg.com/profile_banners/1698655884031746048/1693826473</v>
      </c>
      <c r="BI1605" s="86"/>
      <c r="BJ1605" s="86" t="s">
        <v>29134</v>
      </c>
      <c r="BK1605" s="86" t="b">
        <v>0</v>
      </c>
      <c r="BL1605" s="86"/>
      <c r="BM1605" s="86" t="s">
        <v>66</v>
      </c>
      <c r="BN1605" s="86" t="s">
        <v>29136</v>
      </c>
      <c r="BO1605" s="96" t="str">
        <f>HYPERLINK("https://twitter.com/onegotk")</f>
        <v>https://twitter.com/onegotk</v>
      </c>
      <c r="BP1605" s="2"/>
    </row>
    <row r="1606" spans="1:68" x14ac:dyDescent="0.25">
      <c r="A1606" s="63" t="s">
        <v>1607</v>
      </c>
      <c r="B1606" s="64"/>
      <c r="C1606" s="64"/>
      <c r="D1606" s="65"/>
      <c r="E1606" s="67"/>
      <c r="F1606" s="111" t="str">
        <f>HYPERLINK("https://pbs.twimg.com/profile_images/1595827158391332864/XSck7bft_normal.jpg")</f>
        <v>https://pbs.twimg.com/profile_images/1595827158391332864/XSck7bft_normal.jpg</v>
      </c>
      <c r="G1606" s="64"/>
      <c r="H1606" s="68"/>
      <c r="I1606" s="69"/>
      <c r="J1606" s="69"/>
      <c r="K1606" s="68" t="s">
        <v>30739</v>
      </c>
      <c r="L1606" s="72"/>
      <c r="M1606" s="73"/>
      <c r="N1606" s="73"/>
      <c r="O1606" s="74"/>
      <c r="P1606" s="75"/>
      <c r="Q1606" s="75"/>
      <c r="R1606" s="102"/>
      <c r="S1606" s="102"/>
      <c r="T1606" s="102"/>
      <c r="U1606" s="102"/>
      <c r="V1606" s="48"/>
      <c r="W1606" s="48"/>
      <c r="X1606" s="48"/>
      <c r="Y1606" s="48"/>
      <c r="Z1606" s="47"/>
      <c r="AA1606" s="70">
        <v>1606</v>
      </c>
      <c r="AB1606" s="70"/>
      <c r="AC1606" s="71"/>
      <c r="AD1606" s="86" t="s">
        <v>25192</v>
      </c>
      <c r="AE1606" s="94" t="s">
        <v>23594</v>
      </c>
      <c r="AF1606" s="86">
        <v>911</v>
      </c>
      <c r="AG1606" s="86">
        <v>3452</v>
      </c>
      <c r="AH1606" s="86">
        <v>630</v>
      </c>
      <c r="AI1606" s="86">
        <v>0</v>
      </c>
      <c r="AJ1606" s="86">
        <v>927</v>
      </c>
      <c r="AK1606" s="86">
        <v>373</v>
      </c>
      <c r="AL1606" s="86" t="b">
        <v>0</v>
      </c>
      <c r="AM1606" s="89">
        <v>44887.675266203703</v>
      </c>
      <c r="AN1606" s="86" t="s">
        <v>15242</v>
      </c>
      <c r="AO1606" s="86" t="s">
        <v>27882</v>
      </c>
      <c r="AP1606" s="96" t="str">
        <f>HYPERLINK("https://t.co/2tbMn9Evo7")</f>
        <v>https://t.co/2tbMn9Evo7</v>
      </c>
      <c r="AQ1606" s="96" t="str">
        <f>HYPERLINK("http://instagram.com/hucdiass/")</f>
        <v>http://instagram.com/hucdiass/</v>
      </c>
      <c r="AR1606" s="86" t="s">
        <v>28979</v>
      </c>
      <c r="AS1606" s="86"/>
      <c r="AT1606" s="86"/>
      <c r="AU1606" s="86"/>
      <c r="AV1606" s="86">
        <v>1.6794769876755E+18</v>
      </c>
      <c r="AW1606" s="96" t="str">
        <f>HYPERLINK("https://t.co/2tbMn9Evo7")</f>
        <v>https://t.co/2tbMn9Evo7</v>
      </c>
      <c r="AX1606" s="86" t="b">
        <v>0</v>
      </c>
      <c r="AY1606" s="86"/>
      <c r="AZ1606" s="86"/>
      <c r="BA1606" s="86" t="b">
        <v>1</v>
      </c>
      <c r="BB1606" s="86" t="b">
        <v>1</v>
      </c>
      <c r="BC1606" s="86" t="b">
        <v>1</v>
      </c>
      <c r="BD1606" s="86" t="b">
        <v>0</v>
      </c>
      <c r="BE1606" s="86" t="b">
        <v>1</v>
      </c>
      <c r="BF1606" s="86" t="b">
        <v>0</v>
      </c>
      <c r="BG1606" s="86" t="b">
        <v>0</v>
      </c>
      <c r="BH1606" s="96" t="str">
        <f>HYPERLINK("https://pbs.twimg.com/profile_banners/1595087416360157184/1690233008")</f>
        <v>https://pbs.twimg.com/profile_banners/1595087416360157184/1690233008</v>
      </c>
      <c r="BI1606" s="86"/>
      <c r="BJ1606" s="86" t="s">
        <v>29134</v>
      </c>
      <c r="BK1606" s="86" t="b">
        <v>0</v>
      </c>
      <c r="BL1606" s="86"/>
      <c r="BM1606" s="86" t="s">
        <v>66</v>
      </c>
      <c r="BN1606" s="86" t="s">
        <v>29136</v>
      </c>
      <c r="BO1606" s="96" t="str">
        <f>HYPERLINK("https://twitter.com/hdiasboss")</f>
        <v>https://twitter.com/hdiasboss</v>
      </c>
      <c r="BP1606" s="2"/>
    </row>
    <row r="1607" spans="1:68" x14ac:dyDescent="0.25">
      <c r="A1607" s="63" t="s">
        <v>1608</v>
      </c>
      <c r="B1607" s="64"/>
      <c r="C1607" s="64"/>
      <c r="D1607" s="65"/>
      <c r="E1607" s="67"/>
      <c r="F1607" s="111" t="str">
        <f>HYPERLINK("https://pbs.twimg.com/profile_images/1683672020431540225/Q9LsCFJc_normal.jpg")</f>
        <v>https://pbs.twimg.com/profile_images/1683672020431540225/Q9LsCFJc_normal.jpg</v>
      </c>
      <c r="G1607" s="64"/>
      <c r="H1607" s="68"/>
      <c r="I1607" s="69"/>
      <c r="J1607" s="69"/>
      <c r="K1607" s="68" t="s">
        <v>30740</v>
      </c>
      <c r="L1607" s="72"/>
      <c r="M1607" s="73"/>
      <c r="N1607" s="73"/>
      <c r="O1607" s="74"/>
      <c r="P1607" s="75"/>
      <c r="Q1607" s="75"/>
      <c r="R1607" s="102"/>
      <c r="S1607" s="102"/>
      <c r="T1607" s="102"/>
      <c r="U1607" s="102"/>
      <c r="V1607" s="48"/>
      <c r="W1607" s="48"/>
      <c r="X1607" s="48"/>
      <c r="Y1607" s="48"/>
      <c r="Z1607" s="47"/>
      <c r="AA1607" s="70">
        <v>1607</v>
      </c>
      <c r="AB1607" s="70"/>
      <c r="AC1607" s="71"/>
      <c r="AD1607" s="86" t="s">
        <v>25193</v>
      </c>
      <c r="AE1607" s="94" t="s">
        <v>23595</v>
      </c>
      <c r="AF1607" s="86">
        <v>1</v>
      </c>
      <c r="AG1607" s="86">
        <v>11</v>
      </c>
      <c r="AH1607" s="86">
        <v>76</v>
      </c>
      <c r="AI1607" s="86">
        <v>0</v>
      </c>
      <c r="AJ1607" s="86">
        <v>33</v>
      </c>
      <c r="AK1607" s="86">
        <v>42</v>
      </c>
      <c r="AL1607" s="86" t="b">
        <v>0</v>
      </c>
      <c r="AM1607" s="89">
        <v>43978.672893518517</v>
      </c>
      <c r="AN1607" s="86" t="s">
        <v>15246</v>
      </c>
      <c r="AO1607" s="86" t="s">
        <v>27883</v>
      </c>
      <c r="AP1607" s="86"/>
      <c r="AQ1607" s="86"/>
      <c r="AR1607" s="86"/>
      <c r="AS1607" s="86"/>
      <c r="AT1607" s="86"/>
      <c r="AU1607" s="86"/>
      <c r="AV1607" s="86"/>
      <c r="AW1607" s="86"/>
      <c r="AX1607" s="86" t="b">
        <v>0</v>
      </c>
      <c r="AY1607" s="86"/>
      <c r="AZ1607" s="86"/>
      <c r="BA1607" s="86" t="b">
        <v>1</v>
      </c>
      <c r="BB1607" s="86" t="b">
        <v>1</v>
      </c>
      <c r="BC1607" s="86" t="b">
        <v>1</v>
      </c>
      <c r="BD1607" s="86" t="b">
        <v>0</v>
      </c>
      <c r="BE1607" s="86" t="b">
        <v>0</v>
      </c>
      <c r="BF1607" s="86" t="b">
        <v>0</v>
      </c>
      <c r="BG1607" s="86" t="b">
        <v>0</v>
      </c>
      <c r="BH1607" s="96" t="str">
        <f>HYPERLINK("https://pbs.twimg.com/profile_banners/1265676312456433665/1590596029")</f>
        <v>https://pbs.twimg.com/profile_banners/1265676312456433665/1590596029</v>
      </c>
      <c r="BI1607" s="86"/>
      <c r="BJ1607" s="86" t="s">
        <v>29134</v>
      </c>
      <c r="BK1607" s="86" t="b">
        <v>0</v>
      </c>
      <c r="BL1607" s="86"/>
      <c r="BM1607" s="86" t="s">
        <v>66</v>
      </c>
      <c r="BN1607" s="86" t="s">
        <v>29136</v>
      </c>
      <c r="BO1607" s="96" t="str">
        <f>HYPERLINK("https://twitter.com/luisfab85147320")</f>
        <v>https://twitter.com/luisfab85147320</v>
      </c>
      <c r="BP1607" s="2"/>
    </row>
    <row r="1608" spans="1:68" x14ac:dyDescent="0.25">
      <c r="A1608" s="63" t="s">
        <v>1609</v>
      </c>
      <c r="B1608" s="64"/>
      <c r="C1608" s="64"/>
      <c r="D1608" s="65"/>
      <c r="E1608" s="67"/>
      <c r="F1608" s="111" t="str">
        <f>HYPERLINK("https://pbs.twimg.com/profile_images/1451537163829534727/1CbGoUVp_normal.jpg")</f>
        <v>https://pbs.twimg.com/profile_images/1451537163829534727/1CbGoUVp_normal.jpg</v>
      </c>
      <c r="G1608" s="64"/>
      <c r="H1608" s="68"/>
      <c r="I1608" s="69"/>
      <c r="J1608" s="69"/>
      <c r="K1608" s="68" t="s">
        <v>30741</v>
      </c>
      <c r="L1608" s="72"/>
      <c r="M1608" s="73"/>
      <c r="N1608" s="73"/>
      <c r="O1608" s="74"/>
      <c r="P1608" s="75"/>
      <c r="Q1608" s="75"/>
      <c r="R1608" s="102"/>
      <c r="S1608" s="102"/>
      <c r="T1608" s="102"/>
      <c r="U1608" s="102"/>
      <c r="V1608" s="48"/>
      <c r="W1608" s="48"/>
      <c r="X1608" s="48"/>
      <c r="Y1608" s="48"/>
      <c r="Z1608" s="47"/>
      <c r="AA1608" s="70">
        <v>1608</v>
      </c>
      <c r="AB1608" s="70"/>
      <c r="AC1608" s="71"/>
      <c r="AD1608" s="86" t="s">
        <v>25194</v>
      </c>
      <c r="AE1608" s="94" t="s">
        <v>22667</v>
      </c>
      <c r="AF1608" s="86">
        <v>33602</v>
      </c>
      <c r="AG1608" s="86">
        <v>405</v>
      </c>
      <c r="AH1608" s="86">
        <v>16308</v>
      </c>
      <c r="AI1608" s="86">
        <v>356</v>
      </c>
      <c r="AJ1608" s="86">
        <v>2159</v>
      </c>
      <c r="AK1608" s="86">
        <v>4095</v>
      </c>
      <c r="AL1608" s="86" t="b">
        <v>0</v>
      </c>
      <c r="AM1608" s="89">
        <v>39965.782685185186</v>
      </c>
      <c r="AN1608" s="86" t="s">
        <v>15256</v>
      </c>
      <c r="AO1608" s="86" t="s">
        <v>27884</v>
      </c>
      <c r="AP1608" s="96" t="str">
        <f>HYPERLINK("https://t.co/xSqkW3s7UK")</f>
        <v>https://t.co/xSqkW3s7UK</v>
      </c>
      <c r="AQ1608" s="96" t="str">
        <f>HYPERLINK("http://www.apexbrasil.com.br")</f>
        <v>http://www.apexbrasil.com.br</v>
      </c>
      <c r="AR1608" s="86" t="s">
        <v>28980</v>
      </c>
      <c r="AS1608" s="96" t="str">
        <f>HYPERLINK("https://t.co/LVgNy7J5Bh")</f>
        <v>https://t.co/LVgNy7J5Bh</v>
      </c>
      <c r="AT1608" s="96" t="str">
        <f>HYPERLINK("http://goo.gl/XCJuwS")</f>
        <v>http://goo.gl/XCJuwS</v>
      </c>
      <c r="AU1608" s="86" t="s">
        <v>29130</v>
      </c>
      <c r="AV1608" s="86">
        <v>1.58717660194656E+18</v>
      </c>
      <c r="AW1608" s="96" t="str">
        <f>HYPERLINK("https://t.co/xSqkW3s7UK")</f>
        <v>https://t.co/xSqkW3s7UK</v>
      </c>
      <c r="AX1608" s="86" t="b">
        <v>0</v>
      </c>
      <c r="AY1608" s="86"/>
      <c r="AZ1608" s="86"/>
      <c r="BA1608" s="86" t="b">
        <v>0</v>
      </c>
      <c r="BB1608" s="86" t="b">
        <v>1</v>
      </c>
      <c r="BC1608" s="86" t="b">
        <v>0</v>
      </c>
      <c r="BD1608" s="86" t="b">
        <v>0</v>
      </c>
      <c r="BE1608" s="86" t="b">
        <v>1</v>
      </c>
      <c r="BF1608" s="86" t="b">
        <v>0</v>
      </c>
      <c r="BG1608" s="86" t="b">
        <v>0</v>
      </c>
      <c r="BH1608" s="96" t="str">
        <f>HYPERLINK("https://pbs.twimg.com/profile_banners/43942831/1672869038")</f>
        <v>https://pbs.twimg.com/profile_banners/43942831/1672869038</v>
      </c>
      <c r="BI1608" s="86"/>
      <c r="BJ1608" s="86" t="s">
        <v>29134</v>
      </c>
      <c r="BK1608" s="86" t="b">
        <v>0</v>
      </c>
      <c r="BL1608" s="86"/>
      <c r="BM1608" s="86" t="s">
        <v>66</v>
      </c>
      <c r="BN1608" s="86" t="s">
        <v>29136</v>
      </c>
      <c r="BO1608" s="96" t="str">
        <f>HYPERLINK("https://twitter.com/apexbrasil")</f>
        <v>https://twitter.com/apexbrasil</v>
      </c>
      <c r="BP1608" s="2"/>
    </row>
    <row r="1609" spans="1:68" x14ac:dyDescent="0.25">
      <c r="A1609" s="63" t="s">
        <v>1610</v>
      </c>
      <c r="B1609" s="64"/>
      <c r="C1609" s="64"/>
      <c r="D1609" s="65"/>
      <c r="E1609" s="67"/>
      <c r="F1609" s="111" t="str">
        <f>HYPERLINK("https://pbs.twimg.com/profile_images/1098641906685349890/5ldrTyZQ_normal.jpg")</f>
        <v>https://pbs.twimg.com/profile_images/1098641906685349890/5ldrTyZQ_normal.jpg</v>
      </c>
      <c r="G1609" s="64"/>
      <c r="H1609" s="68"/>
      <c r="I1609" s="69"/>
      <c r="J1609" s="69"/>
      <c r="K1609" s="68" t="s">
        <v>30742</v>
      </c>
      <c r="L1609" s="72"/>
      <c r="M1609" s="73"/>
      <c r="N1609" s="73"/>
      <c r="O1609" s="74"/>
      <c r="P1609" s="75"/>
      <c r="Q1609" s="75"/>
      <c r="R1609" s="102"/>
      <c r="S1609" s="102"/>
      <c r="T1609" s="102"/>
      <c r="U1609" s="102"/>
      <c r="V1609" s="48"/>
      <c r="W1609" s="48"/>
      <c r="X1609" s="48"/>
      <c r="Y1609" s="48"/>
      <c r="Z1609" s="47"/>
      <c r="AA1609" s="70">
        <v>1609</v>
      </c>
      <c r="AB1609" s="70"/>
      <c r="AC1609" s="71"/>
      <c r="AD1609" s="86" t="s">
        <v>25195</v>
      </c>
      <c r="AE1609" s="94" t="s">
        <v>23596</v>
      </c>
      <c r="AF1609" s="86">
        <v>84</v>
      </c>
      <c r="AG1609" s="86">
        <v>198</v>
      </c>
      <c r="AH1609" s="86">
        <v>9028</v>
      </c>
      <c r="AI1609" s="86">
        <v>0</v>
      </c>
      <c r="AJ1609" s="86">
        <v>1428</v>
      </c>
      <c r="AK1609" s="86">
        <v>226</v>
      </c>
      <c r="AL1609" s="86" t="b">
        <v>0</v>
      </c>
      <c r="AM1609" s="89">
        <v>43517.744930555556</v>
      </c>
      <c r="AN1609" s="86" t="s">
        <v>26419</v>
      </c>
      <c r="AO1609" s="86" t="s">
        <v>27885</v>
      </c>
      <c r="AP1609" s="96" t="str">
        <f>HYPERLINK("https://t.co/OFXWlLoj0H")</f>
        <v>https://t.co/OFXWlLoj0H</v>
      </c>
      <c r="AQ1609" s="96" t="str">
        <f>HYPERLINK("https://www.linkedin.com/in/divya-batane/")</f>
        <v>https://www.linkedin.com/in/divya-batane/</v>
      </c>
      <c r="AR1609" s="86" t="s">
        <v>28981</v>
      </c>
      <c r="AS1609" s="86"/>
      <c r="AT1609" s="86"/>
      <c r="AU1609" s="86"/>
      <c r="AV1609" s="86"/>
      <c r="AW1609" s="96" t="str">
        <f>HYPERLINK("https://t.co/OFXWlLoj0H")</f>
        <v>https://t.co/OFXWlLoj0H</v>
      </c>
      <c r="AX1609" s="86" t="b">
        <v>0</v>
      </c>
      <c r="AY1609" s="86"/>
      <c r="AZ1609" s="86"/>
      <c r="BA1609" s="86" t="b">
        <v>1</v>
      </c>
      <c r="BB1609" s="86" t="b">
        <v>0</v>
      </c>
      <c r="BC1609" s="86" t="b">
        <v>0</v>
      </c>
      <c r="BD1609" s="86" t="b">
        <v>0</v>
      </c>
      <c r="BE1609" s="86" t="b">
        <v>1</v>
      </c>
      <c r="BF1609" s="86" t="b">
        <v>0</v>
      </c>
      <c r="BG1609" s="86" t="b">
        <v>0</v>
      </c>
      <c r="BH1609" s="96" t="str">
        <f>HYPERLINK("https://pbs.twimg.com/profile_banners/1098641678704001025/1559929188")</f>
        <v>https://pbs.twimg.com/profile_banners/1098641678704001025/1559929188</v>
      </c>
      <c r="BI1609" s="86"/>
      <c r="BJ1609" s="86" t="s">
        <v>29134</v>
      </c>
      <c r="BK1609" s="86" t="b">
        <v>0</v>
      </c>
      <c r="BL1609" s="86"/>
      <c r="BM1609" s="86" t="s">
        <v>66</v>
      </c>
      <c r="BN1609" s="86" t="s">
        <v>29136</v>
      </c>
      <c r="BO1609" s="96" t="str">
        <f>HYPERLINK("https://twitter.com/divyab_nyc")</f>
        <v>https://twitter.com/divyab_nyc</v>
      </c>
      <c r="BP1609" s="2"/>
    </row>
    <row r="1610" spans="1:68" x14ac:dyDescent="0.25">
      <c r="A1610" s="63" t="s">
        <v>1611</v>
      </c>
      <c r="B1610" s="64"/>
      <c r="C1610" s="64"/>
      <c r="D1610" s="65"/>
      <c r="E1610" s="67"/>
      <c r="F1610" s="111" t="str">
        <f>HYPERLINK("https://pbs.twimg.com/profile_images/1452992366219042817/rFb_K77u_normal.jpg")</f>
        <v>https://pbs.twimg.com/profile_images/1452992366219042817/rFb_K77u_normal.jpg</v>
      </c>
      <c r="G1610" s="64"/>
      <c r="H1610" s="68"/>
      <c r="I1610" s="69"/>
      <c r="J1610" s="69"/>
      <c r="K1610" s="68" t="s">
        <v>30743</v>
      </c>
      <c r="L1610" s="72"/>
      <c r="M1610" s="73"/>
      <c r="N1610" s="73"/>
      <c r="O1610" s="74"/>
      <c r="P1610" s="75"/>
      <c r="Q1610" s="75"/>
      <c r="R1610" s="102"/>
      <c r="S1610" s="102"/>
      <c r="T1610" s="102"/>
      <c r="U1610" s="102"/>
      <c r="V1610" s="48"/>
      <c r="W1610" s="48"/>
      <c r="X1610" s="48"/>
      <c r="Y1610" s="48"/>
      <c r="Z1610" s="47"/>
      <c r="AA1610" s="70">
        <v>1610</v>
      </c>
      <c r="AB1610" s="70"/>
      <c r="AC1610" s="71"/>
      <c r="AD1610" s="86" t="s">
        <v>25196</v>
      </c>
      <c r="AE1610" s="94" t="s">
        <v>23597</v>
      </c>
      <c r="AF1610" s="86">
        <v>12</v>
      </c>
      <c r="AG1610" s="86">
        <v>21</v>
      </c>
      <c r="AH1610" s="86">
        <v>133</v>
      </c>
      <c r="AI1610" s="86">
        <v>0</v>
      </c>
      <c r="AJ1610" s="86">
        <v>74</v>
      </c>
      <c r="AK1610" s="86">
        <v>67</v>
      </c>
      <c r="AL1610" s="86" t="b">
        <v>0</v>
      </c>
      <c r="AM1610" s="89">
        <v>44495.56653935185</v>
      </c>
      <c r="AN1610" s="86"/>
      <c r="AO1610" s="86"/>
      <c r="AP1610" s="86"/>
      <c r="AQ1610" s="86"/>
      <c r="AR1610" s="86"/>
      <c r="AS1610" s="86"/>
      <c r="AT1610" s="86"/>
      <c r="AU1610" s="86"/>
      <c r="AV1610" s="86"/>
      <c r="AW1610" s="86"/>
      <c r="AX1610" s="86" t="b">
        <v>0</v>
      </c>
      <c r="AY1610" s="86"/>
      <c r="AZ1610" s="86"/>
      <c r="BA1610" s="86" t="b">
        <v>0</v>
      </c>
      <c r="BB1610" s="86" t="b">
        <v>1</v>
      </c>
      <c r="BC1610" s="86" t="b">
        <v>1</v>
      </c>
      <c r="BD1610" s="86" t="b">
        <v>0</v>
      </c>
      <c r="BE1610" s="86" t="b">
        <v>1</v>
      </c>
      <c r="BF1610" s="86" t="b">
        <v>0</v>
      </c>
      <c r="BG1610" s="86" t="b">
        <v>0</v>
      </c>
      <c r="BH1610" s="96" t="str">
        <f>HYPERLINK("https://pbs.twimg.com/profile_banners/1452992283616366607/1648042872")</f>
        <v>https://pbs.twimg.com/profile_banners/1452992283616366607/1648042872</v>
      </c>
      <c r="BI1610" s="86"/>
      <c r="BJ1610" s="86" t="s">
        <v>29134</v>
      </c>
      <c r="BK1610" s="86" t="b">
        <v>0</v>
      </c>
      <c r="BL1610" s="86"/>
      <c r="BM1610" s="86" t="s">
        <v>66</v>
      </c>
      <c r="BN1610" s="86" t="s">
        <v>29136</v>
      </c>
      <c r="BO1610" s="96" t="str">
        <f>HYPERLINK("https://twitter.com/pretonidacio")</f>
        <v>https://twitter.com/pretonidacio</v>
      </c>
      <c r="BP1610" s="2"/>
    </row>
    <row r="1611" spans="1:68" x14ac:dyDescent="0.25">
      <c r="A1611" s="63" t="s">
        <v>1612</v>
      </c>
      <c r="B1611" s="64"/>
      <c r="C1611" s="64"/>
      <c r="D1611" s="65"/>
      <c r="E1611" s="67"/>
      <c r="F1611" s="111" t="str">
        <f>HYPERLINK("https://pbs.twimg.com/profile_images/1652403768175075329/SeG60vIW_normal.jpg")</f>
        <v>https://pbs.twimg.com/profile_images/1652403768175075329/SeG60vIW_normal.jpg</v>
      </c>
      <c r="G1611" s="64"/>
      <c r="H1611" s="68"/>
      <c r="I1611" s="69"/>
      <c r="J1611" s="69"/>
      <c r="K1611" s="68" t="s">
        <v>30744</v>
      </c>
      <c r="L1611" s="72"/>
      <c r="M1611" s="73"/>
      <c r="N1611" s="73"/>
      <c r="O1611" s="74"/>
      <c r="P1611" s="75"/>
      <c r="Q1611" s="75"/>
      <c r="R1611" s="102"/>
      <c r="S1611" s="102"/>
      <c r="T1611" s="102"/>
      <c r="U1611" s="102"/>
      <c r="V1611" s="48"/>
      <c r="W1611" s="48"/>
      <c r="X1611" s="48"/>
      <c r="Y1611" s="48"/>
      <c r="Z1611" s="47"/>
      <c r="AA1611" s="70">
        <v>1611</v>
      </c>
      <c r="AB1611" s="70"/>
      <c r="AC1611" s="71"/>
      <c r="AD1611" s="86" t="s">
        <v>25197</v>
      </c>
      <c r="AE1611" s="94" t="s">
        <v>25866</v>
      </c>
      <c r="AF1611" s="86">
        <v>840</v>
      </c>
      <c r="AG1611" s="86">
        <v>840</v>
      </c>
      <c r="AH1611" s="86">
        <v>6335</v>
      </c>
      <c r="AI1611" s="86">
        <v>5</v>
      </c>
      <c r="AJ1611" s="86">
        <v>171</v>
      </c>
      <c r="AK1611" s="86">
        <v>372</v>
      </c>
      <c r="AL1611" s="86" t="b">
        <v>0</v>
      </c>
      <c r="AM1611" s="89">
        <v>40526.71671296296</v>
      </c>
      <c r="AN1611" s="86" t="s">
        <v>15234</v>
      </c>
      <c r="AO1611" s="86" t="s">
        <v>27886</v>
      </c>
      <c r="AP1611" s="96" t="str">
        <f>HYPERLINK("https://t.co/5z3X5tFWzB")</f>
        <v>https://t.co/5z3X5tFWzB</v>
      </c>
      <c r="AQ1611" s="96" t="str">
        <f>HYPERLINK("https://linkfly.to/ronaldojdamaceno")</f>
        <v>https://linkfly.to/ronaldojdamaceno</v>
      </c>
      <c r="AR1611" s="86" t="s">
        <v>28982</v>
      </c>
      <c r="AS1611" s="86"/>
      <c r="AT1611" s="86"/>
      <c r="AU1611" s="86"/>
      <c r="AV1611" s="86"/>
      <c r="AW1611" s="96" t="str">
        <f>HYPERLINK("https://t.co/5z3X5tFWzB")</f>
        <v>https://t.co/5z3X5tFWzB</v>
      </c>
      <c r="AX1611" s="86" t="b">
        <v>0</v>
      </c>
      <c r="AY1611" s="86"/>
      <c r="AZ1611" s="86"/>
      <c r="BA1611" s="86" t="b">
        <v>0</v>
      </c>
      <c r="BB1611" s="86" t="b">
        <v>1</v>
      </c>
      <c r="BC1611" s="86" t="b">
        <v>0</v>
      </c>
      <c r="BD1611" s="86" t="b">
        <v>0</v>
      </c>
      <c r="BE1611" s="86" t="b">
        <v>0</v>
      </c>
      <c r="BF1611" s="86" t="b">
        <v>0</v>
      </c>
      <c r="BG1611" s="86" t="b">
        <v>0</v>
      </c>
      <c r="BH1611" s="96" t="str">
        <f>HYPERLINK("https://pbs.twimg.com/profile_banners/226626305/1663373479")</f>
        <v>https://pbs.twimg.com/profile_banners/226626305/1663373479</v>
      </c>
      <c r="BI1611" s="86"/>
      <c r="BJ1611" s="86" t="s">
        <v>29134</v>
      </c>
      <c r="BK1611" s="86" t="b">
        <v>0</v>
      </c>
      <c r="BL1611" s="86"/>
      <c r="BM1611" s="86" t="s">
        <v>66</v>
      </c>
      <c r="BN1611" s="86" t="s">
        <v>29136</v>
      </c>
      <c r="BO1611" s="96" t="str">
        <f>HYPERLINK("https://twitter.com/rdconsultoria")</f>
        <v>https://twitter.com/rdconsultoria</v>
      </c>
      <c r="BP1611" s="2"/>
    </row>
    <row r="1612" spans="1:68" x14ac:dyDescent="0.25">
      <c r="A1612" s="63" t="s">
        <v>1838</v>
      </c>
      <c r="B1612" s="64"/>
      <c r="C1612" s="64"/>
      <c r="D1612" s="65"/>
      <c r="E1612" s="67"/>
      <c r="F1612" s="111" t="str">
        <f>HYPERLINK("https://pbs.twimg.com/profile_images/1607174823976878081/gP2pysee_normal.jpg")</f>
        <v>https://pbs.twimg.com/profile_images/1607174823976878081/gP2pysee_normal.jpg</v>
      </c>
      <c r="G1612" s="64"/>
      <c r="H1612" s="68"/>
      <c r="I1612" s="69"/>
      <c r="J1612" s="69"/>
      <c r="K1612" s="68" t="s">
        <v>30745</v>
      </c>
      <c r="L1612" s="72"/>
      <c r="M1612" s="73"/>
      <c r="N1612" s="73"/>
      <c r="O1612" s="74"/>
      <c r="P1612" s="75"/>
      <c r="Q1612" s="75"/>
      <c r="R1612" s="102"/>
      <c r="S1612" s="102"/>
      <c r="T1612" s="102"/>
      <c r="U1612" s="102"/>
      <c r="V1612" s="48"/>
      <c r="W1612" s="48"/>
      <c r="X1612" s="48"/>
      <c r="Y1612" s="48"/>
      <c r="Z1612" s="47"/>
      <c r="AA1612" s="70">
        <v>1612</v>
      </c>
      <c r="AB1612" s="70"/>
      <c r="AC1612" s="71"/>
      <c r="AD1612" s="86" t="s">
        <v>25198</v>
      </c>
      <c r="AE1612" s="94" t="s">
        <v>25867</v>
      </c>
      <c r="AF1612" s="86">
        <v>910</v>
      </c>
      <c r="AG1612" s="86">
        <v>1111</v>
      </c>
      <c r="AH1612" s="86">
        <v>13451</v>
      </c>
      <c r="AI1612" s="86">
        <v>7</v>
      </c>
      <c r="AJ1612" s="86">
        <v>1159</v>
      </c>
      <c r="AK1612" s="86">
        <v>5305</v>
      </c>
      <c r="AL1612" s="86" t="b">
        <v>0</v>
      </c>
      <c r="AM1612" s="89">
        <v>40727.642627314817</v>
      </c>
      <c r="AN1612" s="86" t="s">
        <v>15378</v>
      </c>
      <c r="AO1612" s="86" t="s">
        <v>27887</v>
      </c>
      <c r="AP1612" s="96" t="str">
        <f>HYPERLINK("https://t.co/WNJ4NTaFyx")</f>
        <v>https://t.co/WNJ4NTaFyx</v>
      </c>
      <c r="AQ1612" s="96" t="str">
        <f>HYPERLINK("https://guiacorporativo.com.br")</f>
        <v>https://guiacorporativo.com.br</v>
      </c>
      <c r="AR1612" s="86" t="s">
        <v>28983</v>
      </c>
      <c r="AS1612" s="86"/>
      <c r="AT1612" s="86"/>
      <c r="AU1612" s="86"/>
      <c r="AV1612" s="86"/>
      <c r="AW1612" s="96" t="str">
        <f>HYPERLINK("https://t.co/WNJ4NTaFyx")</f>
        <v>https://t.co/WNJ4NTaFyx</v>
      </c>
      <c r="AX1612" s="86" t="b">
        <v>0</v>
      </c>
      <c r="AY1612" s="86"/>
      <c r="AZ1612" s="86"/>
      <c r="BA1612" s="86" t="b">
        <v>1</v>
      </c>
      <c r="BB1612" s="86" t="b">
        <v>1</v>
      </c>
      <c r="BC1612" s="86" t="b">
        <v>0</v>
      </c>
      <c r="BD1612" s="86" t="b">
        <v>0</v>
      </c>
      <c r="BE1612" s="86" t="b">
        <v>1</v>
      </c>
      <c r="BF1612" s="86" t="b">
        <v>0</v>
      </c>
      <c r="BG1612" s="86" t="b">
        <v>0</v>
      </c>
      <c r="BH1612" s="96" t="str">
        <f>HYPERLINK("https://pbs.twimg.com/profile_banners/328536799/1621211079")</f>
        <v>https://pbs.twimg.com/profile_banners/328536799/1621211079</v>
      </c>
      <c r="BI1612" s="86"/>
      <c r="BJ1612" s="86" t="s">
        <v>29134</v>
      </c>
      <c r="BK1612" s="86" t="b">
        <v>0</v>
      </c>
      <c r="BL1612" s="86"/>
      <c r="BM1612" s="86" t="s">
        <v>65</v>
      </c>
      <c r="BN1612" s="86" t="s">
        <v>29136</v>
      </c>
      <c r="BO1612" s="96" t="str">
        <f>HYPERLINK("https://twitter.com/tucco_oficial")</f>
        <v>https://twitter.com/tucco_oficial</v>
      </c>
      <c r="BP1612" s="2"/>
    </row>
    <row r="1613" spans="1:68" x14ac:dyDescent="0.25">
      <c r="A1613" s="63" t="s">
        <v>1613</v>
      </c>
      <c r="B1613" s="64"/>
      <c r="C1613" s="64"/>
      <c r="D1613" s="65"/>
      <c r="E1613" s="67"/>
      <c r="F1613" s="111" t="str">
        <f>HYPERLINK("https://pbs.twimg.com/profile_images/1681002308144857088/KLHbH6_v_normal.jpg")</f>
        <v>https://pbs.twimg.com/profile_images/1681002308144857088/KLHbH6_v_normal.jpg</v>
      </c>
      <c r="G1613" s="64"/>
      <c r="H1613" s="68"/>
      <c r="I1613" s="69"/>
      <c r="J1613" s="69"/>
      <c r="K1613" s="68" t="s">
        <v>30746</v>
      </c>
      <c r="L1613" s="72"/>
      <c r="M1613" s="73"/>
      <c r="N1613" s="73"/>
      <c r="O1613" s="74"/>
      <c r="P1613" s="75"/>
      <c r="Q1613" s="75"/>
      <c r="R1613" s="102"/>
      <c r="S1613" s="102"/>
      <c r="T1613" s="102"/>
      <c r="U1613" s="102"/>
      <c r="V1613" s="48"/>
      <c r="W1613" s="48"/>
      <c r="X1613" s="48"/>
      <c r="Y1613" s="48"/>
      <c r="Z1613" s="47"/>
      <c r="AA1613" s="70">
        <v>1613</v>
      </c>
      <c r="AB1613" s="70"/>
      <c r="AC1613" s="71"/>
      <c r="AD1613" s="86" t="s">
        <v>25199</v>
      </c>
      <c r="AE1613" s="94" t="s">
        <v>23598</v>
      </c>
      <c r="AF1613" s="86">
        <v>8</v>
      </c>
      <c r="AG1613" s="86">
        <v>32</v>
      </c>
      <c r="AH1613" s="86">
        <v>11</v>
      </c>
      <c r="AI1613" s="86">
        <v>0</v>
      </c>
      <c r="AJ1613" s="86">
        <v>5</v>
      </c>
      <c r="AK1613" s="86">
        <v>9</v>
      </c>
      <c r="AL1613" s="86" t="b">
        <v>0</v>
      </c>
      <c r="AM1613" s="89">
        <v>44506.642881944441</v>
      </c>
      <c r="AN1613" s="86" t="s">
        <v>25926</v>
      </c>
      <c r="AO1613" s="86" t="s">
        <v>27888</v>
      </c>
      <c r="AP1613" s="96" t="str">
        <f>HYPERLINK("https://t.co/iu3Xx7wEcS")</f>
        <v>https://t.co/iu3Xx7wEcS</v>
      </c>
      <c r="AQ1613" s="96" t="str">
        <f>HYPERLINK("https://planetcoworking.com.br/")</f>
        <v>https://planetcoworking.com.br/</v>
      </c>
      <c r="AR1613" s="86" t="s">
        <v>28984</v>
      </c>
      <c r="AS1613" s="86"/>
      <c r="AT1613" s="86"/>
      <c r="AU1613" s="86"/>
      <c r="AV1613" s="86"/>
      <c r="AW1613" s="96" t="str">
        <f>HYPERLINK("https://t.co/iu3Xx7wEcS")</f>
        <v>https://t.co/iu3Xx7wEcS</v>
      </c>
      <c r="AX1613" s="86" t="b">
        <v>0</v>
      </c>
      <c r="AY1613" s="86"/>
      <c r="AZ1613" s="86"/>
      <c r="BA1613" s="86" t="b">
        <v>0</v>
      </c>
      <c r="BB1613" s="86" t="b">
        <v>1</v>
      </c>
      <c r="BC1613" s="86" t="b">
        <v>1</v>
      </c>
      <c r="BD1613" s="86" t="b">
        <v>0</v>
      </c>
      <c r="BE1613" s="86" t="b">
        <v>0</v>
      </c>
      <c r="BF1613" s="86" t="b">
        <v>0</v>
      </c>
      <c r="BG1613" s="86" t="b">
        <v>0</v>
      </c>
      <c r="BH1613" s="96" t="str">
        <f>HYPERLINK("https://pbs.twimg.com/profile_banners/1457005716661800967/1689687530")</f>
        <v>https://pbs.twimg.com/profile_banners/1457005716661800967/1689687530</v>
      </c>
      <c r="BI1613" s="86"/>
      <c r="BJ1613" s="86" t="s">
        <v>29134</v>
      </c>
      <c r="BK1613" s="86" t="b">
        <v>0</v>
      </c>
      <c r="BL1613" s="86"/>
      <c r="BM1613" s="86" t="s">
        <v>66</v>
      </c>
      <c r="BN1613" s="86" t="s">
        <v>29136</v>
      </c>
      <c r="BO1613" s="96" t="str">
        <f>HYPERLINK("https://twitter.com/fortalezaplanet")</f>
        <v>https://twitter.com/fortalezaplanet</v>
      </c>
      <c r="BP1613" s="2"/>
    </row>
    <row r="1614" spans="1:68" x14ac:dyDescent="0.25">
      <c r="A1614" s="63" t="s">
        <v>1614</v>
      </c>
      <c r="B1614" s="64"/>
      <c r="C1614" s="64"/>
      <c r="D1614" s="65"/>
      <c r="E1614" s="67"/>
      <c r="F1614" s="111" t="str">
        <f>HYPERLINK("https://pbs.twimg.com/profile_images/1697379076715974656/jwwNQpy3_normal.jpg")</f>
        <v>https://pbs.twimg.com/profile_images/1697379076715974656/jwwNQpy3_normal.jpg</v>
      </c>
      <c r="G1614" s="64"/>
      <c r="H1614" s="68"/>
      <c r="I1614" s="69"/>
      <c r="J1614" s="69"/>
      <c r="K1614" s="68" t="s">
        <v>30747</v>
      </c>
      <c r="L1614" s="72"/>
      <c r="M1614" s="73"/>
      <c r="N1614" s="73"/>
      <c r="O1614" s="74"/>
      <c r="P1614" s="75"/>
      <c r="Q1614" s="75"/>
      <c r="R1614" s="102"/>
      <c r="S1614" s="102"/>
      <c r="T1614" s="102"/>
      <c r="U1614" s="102"/>
      <c r="V1614" s="48"/>
      <c r="W1614" s="48"/>
      <c r="X1614" s="48"/>
      <c r="Y1614" s="48"/>
      <c r="Z1614" s="47"/>
      <c r="AA1614" s="70">
        <v>1614</v>
      </c>
      <c r="AB1614" s="70"/>
      <c r="AC1614" s="71"/>
      <c r="AD1614" s="86" t="s">
        <v>25200</v>
      </c>
      <c r="AE1614" s="94" t="s">
        <v>23599</v>
      </c>
      <c r="AF1614" s="86">
        <v>4</v>
      </c>
      <c r="AG1614" s="86">
        <v>31</v>
      </c>
      <c r="AH1614" s="86">
        <v>14</v>
      </c>
      <c r="AI1614" s="86">
        <v>0</v>
      </c>
      <c r="AJ1614" s="86">
        <v>4</v>
      </c>
      <c r="AK1614" s="86">
        <v>11</v>
      </c>
      <c r="AL1614" s="86" t="b">
        <v>0</v>
      </c>
      <c r="AM1614" s="89">
        <v>45166.867418981485</v>
      </c>
      <c r="AN1614" s="86"/>
      <c r="AO1614" s="86" t="s">
        <v>27889</v>
      </c>
      <c r="AP1614" s="96" t="str">
        <f>HYPERLINK("https://t.co/EUJIQzu5Ip")</f>
        <v>https://t.co/EUJIQzu5Ip</v>
      </c>
      <c r="AQ1614" s="96" t="str">
        <f>HYPERLINK("https://youtube.com/@danyelzin_anjs?si=HETvA3BGtyq7fTnx")</f>
        <v>https://youtube.com/@danyelzin_anjs?si=HETvA3BGtyq7fTnx</v>
      </c>
      <c r="AR1614" s="86" t="s">
        <v>28985</v>
      </c>
      <c r="AS1614" s="86"/>
      <c r="AT1614" s="86"/>
      <c r="AU1614" s="86"/>
      <c r="AV1614" s="86"/>
      <c r="AW1614" s="96" t="str">
        <f>HYPERLINK("https://t.co/EUJIQzu5Ip")</f>
        <v>https://t.co/EUJIQzu5Ip</v>
      </c>
      <c r="AX1614" s="86" t="b">
        <v>0</v>
      </c>
      <c r="AY1614" s="86"/>
      <c r="AZ1614" s="86"/>
      <c r="BA1614" s="86" t="b">
        <v>0</v>
      </c>
      <c r="BB1614" s="86" t="b">
        <v>1</v>
      </c>
      <c r="BC1614" s="86" t="b">
        <v>1</v>
      </c>
      <c r="BD1614" s="86" t="b">
        <v>0</v>
      </c>
      <c r="BE1614" s="86" t="b">
        <v>0</v>
      </c>
      <c r="BF1614" s="86" t="b">
        <v>0</v>
      </c>
      <c r="BG1614" s="86" t="b">
        <v>0</v>
      </c>
      <c r="BH1614" s="96" t="str">
        <f>HYPERLINK("https://pbs.twimg.com/profile_banners/1696263219214508032/1693259355")</f>
        <v>https://pbs.twimg.com/profile_banners/1696263219214508032/1693259355</v>
      </c>
      <c r="BI1614" s="86"/>
      <c r="BJ1614" s="86" t="s">
        <v>29134</v>
      </c>
      <c r="BK1614" s="86" t="b">
        <v>0</v>
      </c>
      <c r="BL1614" s="86"/>
      <c r="BM1614" s="86" t="s">
        <v>66</v>
      </c>
      <c r="BN1614" s="86" t="s">
        <v>29136</v>
      </c>
      <c r="BO1614" s="96" t="str">
        <f>HYPERLINK("https://twitter.com/danyelzin_anjs")</f>
        <v>https://twitter.com/danyelzin_anjs</v>
      </c>
      <c r="BP1614" s="2"/>
    </row>
    <row r="1615" spans="1:68" x14ac:dyDescent="0.25">
      <c r="A1615" s="63" t="s">
        <v>1615</v>
      </c>
      <c r="B1615" s="64"/>
      <c r="C1615" s="64"/>
      <c r="D1615" s="65"/>
      <c r="E1615" s="67"/>
      <c r="F1615" s="111" t="str">
        <f>HYPERLINK("https://pbs.twimg.com/profile_images/1678521999541538816/1zrUJVrw_normal.jpg")</f>
        <v>https://pbs.twimg.com/profile_images/1678521999541538816/1zrUJVrw_normal.jpg</v>
      </c>
      <c r="G1615" s="64"/>
      <c r="H1615" s="68"/>
      <c r="I1615" s="69"/>
      <c r="J1615" s="69"/>
      <c r="K1615" s="68" t="s">
        <v>30748</v>
      </c>
      <c r="L1615" s="72"/>
      <c r="M1615" s="73"/>
      <c r="N1615" s="73"/>
      <c r="O1615" s="74"/>
      <c r="P1615" s="75"/>
      <c r="Q1615" s="75"/>
      <c r="R1615" s="102"/>
      <c r="S1615" s="102"/>
      <c r="T1615" s="102"/>
      <c r="U1615" s="102"/>
      <c r="V1615" s="48"/>
      <c r="W1615" s="48"/>
      <c r="X1615" s="48"/>
      <c r="Y1615" s="48"/>
      <c r="Z1615" s="47"/>
      <c r="AA1615" s="70">
        <v>1615</v>
      </c>
      <c r="AB1615" s="70"/>
      <c r="AC1615" s="71"/>
      <c r="AD1615" s="86" t="s">
        <v>25201</v>
      </c>
      <c r="AE1615" s="94" t="s">
        <v>23600</v>
      </c>
      <c r="AF1615" s="86">
        <v>0</v>
      </c>
      <c r="AG1615" s="86">
        <v>2</v>
      </c>
      <c r="AH1615" s="86">
        <v>34</v>
      </c>
      <c r="AI1615" s="86">
        <v>0</v>
      </c>
      <c r="AJ1615" s="86">
        <v>0</v>
      </c>
      <c r="AK1615" s="86">
        <v>34</v>
      </c>
      <c r="AL1615" s="86" t="b">
        <v>0</v>
      </c>
      <c r="AM1615" s="89">
        <v>45117.904421296298</v>
      </c>
      <c r="AN1615" s="86"/>
      <c r="AO1615" s="86" t="s">
        <v>27890</v>
      </c>
      <c r="AP1615" s="96" t="str">
        <f>HYPERLINK("https://t.co/34vH3TfNfs")</f>
        <v>https://t.co/34vH3TfNfs</v>
      </c>
      <c r="AQ1615" s="96" t="str">
        <f>HYPERLINK("https://youtube.com/@Dinero601?feature=shareb")</f>
        <v>https://youtube.com/@Dinero601?feature=shareb</v>
      </c>
      <c r="AR1615" s="86" t="s">
        <v>28986</v>
      </c>
      <c r="AS1615" s="86"/>
      <c r="AT1615" s="86"/>
      <c r="AU1615" s="86"/>
      <c r="AV1615" s="86"/>
      <c r="AW1615" s="96" t="str">
        <f>HYPERLINK("https://t.co/34vH3TfNfs")</f>
        <v>https://t.co/34vH3TfNfs</v>
      </c>
      <c r="AX1615" s="86" t="b">
        <v>0</v>
      </c>
      <c r="AY1615" s="86"/>
      <c r="AZ1615" s="86"/>
      <c r="BA1615" s="86" t="b">
        <v>0</v>
      </c>
      <c r="BB1615" s="86" t="b">
        <v>1</v>
      </c>
      <c r="BC1615" s="86" t="b">
        <v>1</v>
      </c>
      <c r="BD1615" s="86" t="b">
        <v>0</v>
      </c>
      <c r="BE1615" s="86" t="b">
        <v>0</v>
      </c>
      <c r="BF1615" s="86" t="b">
        <v>0</v>
      </c>
      <c r="BG1615" s="86" t="b">
        <v>0</v>
      </c>
      <c r="BH1615" s="96" t="str">
        <f>HYPERLINK("https://pbs.twimg.com/profile_banners/1678519996102897664/1689025817")</f>
        <v>https://pbs.twimg.com/profile_banners/1678519996102897664/1689025817</v>
      </c>
      <c r="BI1615" s="86"/>
      <c r="BJ1615" s="86" t="s">
        <v>29134</v>
      </c>
      <c r="BK1615" s="86" t="b">
        <v>0</v>
      </c>
      <c r="BL1615" s="86"/>
      <c r="BM1615" s="86" t="s">
        <v>66</v>
      </c>
      <c r="BN1615" s="86" t="s">
        <v>29136</v>
      </c>
      <c r="BO1615" s="96" t="str">
        <f>HYPERLINK("https://twitter.com/dinero_enaccion")</f>
        <v>https://twitter.com/dinero_enaccion</v>
      </c>
      <c r="BP1615" s="2"/>
    </row>
    <row r="1616" spans="1:68" x14ac:dyDescent="0.25">
      <c r="A1616" s="63" t="s">
        <v>1616</v>
      </c>
      <c r="B1616" s="64"/>
      <c r="C1616" s="64"/>
      <c r="D1616" s="65"/>
      <c r="E1616" s="67"/>
      <c r="F1616" s="111" t="str">
        <f>HYPERLINK("https://pbs.twimg.com/profile_images/1673295473463918596/vrgOEURs_normal.jpg")</f>
        <v>https://pbs.twimg.com/profile_images/1673295473463918596/vrgOEURs_normal.jpg</v>
      </c>
      <c r="G1616" s="64"/>
      <c r="H1616" s="68"/>
      <c r="I1616" s="69"/>
      <c r="J1616" s="69"/>
      <c r="K1616" s="68" t="s">
        <v>30749</v>
      </c>
      <c r="L1616" s="72"/>
      <c r="M1616" s="73"/>
      <c r="N1616" s="73"/>
      <c r="O1616" s="74"/>
      <c r="P1616" s="75"/>
      <c r="Q1616" s="75"/>
      <c r="R1616" s="102"/>
      <c r="S1616" s="102"/>
      <c r="T1616" s="102"/>
      <c r="U1616" s="102"/>
      <c r="V1616" s="48"/>
      <c r="W1616" s="48"/>
      <c r="X1616" s="48"/>
      <c r="Y1616" s="48"/>
      <c r="Z1616" s="47"/>
      <c r="AA1616" s="70">
        <v>1616</v>
      </c>
      <c r="AB1616" s="70"/>
      <c r="AC1616" s="71"/>
      <c r="AD1616" s="86" t="s">
        <v>25202</v>
      </c>
      <c r="AE1616" s="94" t="s">
        <v>23601</v>
      </c>
      <c r="AF1616" s="86">
        <v>216</v>
      </c>
      <c r="AG1616" s="86">
        <v>160</v>
      </c>
      <c r="AH1616" s="86">
        <v>626</v>
      </c>
      <c r="AI1616" s="86">
        <v>0</v>
      </c>
      <c r="AJ1616" s="86">
        <v>710</v>
      </c>
      <c r="AK1616" s="86">
        <v>319</v>
      </c>
      <c r="AL1616" s="86" t="b">
        <v>0</v>
      </c>
      <c r="AM1616" s="89">
        <v>44861.585335648146</v>
      </c>
      <c r="AN1616" s="86" t="s">
        <v>25966</v>
      </c>
      <c r="AO1616" s="86" t="s">
        <v>27891</v>
      </c>
      <c r="AP1616" s="96" t="str">
        <f>HYPERLINK("https://t.co/wCli68cQpR")</f>
        <v>https://t.co/wCli68cQpR</v>
      </c>
      <c r="AQ1616" s="96" t="str">
        <f>HYPERLINK("http://www.secti.ba.gov.br")</f>
        <v>http://www.secti.ba.gov.br</v>
      </c>
      <c r="AR1616" s="86" t="s">
        <v>28987</v>
      </c>
      <c r="AS1616" s="86"/>
      <c r="AT1616" s="86"/>
      <c r="AU1616" s="86"/>
      <c r="AV1616" s="86"/>
      <c r="AW1616" s="96" t="str">
        <f>HYPERLINK("https://t.co/wCli68cQpR")</f>
        <v>https://t.co/wCli68cQpR</v>
      </c>
      <c r="AX1616" s="86" t="b">
        <v>0</v>
      </c>
      <c r="AY1616" s="86"/>
      <c r="AZ1616" s="86"/>
      <c r="BA1616" s="86" t="b">
        <v>0</v>
      </c>
      <c r="BB1616" s="86" t="b">
        <v>1</v>
      </c>
      <c r="BC1616" s="86" t="b">
        <v>1</v>
      </c>
      <c r="BD1616" s="86" t="b">
        <v>0</v>
      </c>
      <c r="BE1616" s="86" t="b">
        <v>0</v>
      </c>
      <c r="BF1616" s="86" t="b">
        <v>0</v>
      </c>
      <c r="BG1616" s="86" t="b">
        <v>0</v>
      </c>
      <c r="BH1616" s="96" t="str">
        <f>HYPERLINK("https://pbs.twimg.com/profile_banners/1585632860865974274/1690485964")</f>
        <v>https://pbs.twimg.com/profile_banners/1585632860865974274/1690485964</v>
      </c>
      <c r="BI1616" s="86"/>
      <c r="BJ1616" s="86" t="s">
        <v>29134</v>
      </c>
      <c r="BK1616" s="86" t="b">
        <v>0</v>
      </c>
      <c r="BL1616" s="86"/>
      <c r="BM1616" s="86" t="s">
        <v>66</v>
      </c>
      <c r="BN1616" s="86" t="s">
        <v>29136</v>
      </c>
      <c r="BO1616" s="96" t="str">
        <f>HYPERLINK("https://twitter.com/sectibahia")</f>
        <v>https://twitter.com/sectibahia</v>
      </c>
      <c r="BP1616" s="2"/>
    </row>
    <row r="1617" spans="1:68" x14ac:dyDescent="0.25">
      <c r="A1617" s="77" t="s">
        <v>1617</v>
      </c>
      <c r="B1617" s="78"/>
      <c r="C1617" s="78"/>
      <c r="D1617" s="79"/>
      <c r="E1617" s="81"/>
      <c r="F1617" s="112" t="str">
        <f>HYPERLINK("https://pbs.twimg.com/profile_images/3471211795/cf1cb8272ecfc3e11e722dc05a8a5297_normal.png")</f>
        <v>https://pbs.twimg.com/profile_images/3471211795/cf1cb8272ecfc3e11e722dc05a8a5297_normal.png</v>
      </c>
      <c r="G1617" s="78"/>
      <c r="H1617" s="82"/>
      <c r="I1617" s="83"/>
      <c r="J1617" s="83"/>
      <c r="K1617" s="82" t="s">
        <v>30750</v>
      </c>
      <c r="L1617" s="103"/>
      <c r="M1617" s="104"/>
      <c r="N1617" s="104"/>
      <c r="O1617" s="105"/>
      <c r="P1617" s="106"/>
      <c r="Q1617" s="106"/>
      <c r="R1617" s="107"/>
      <c r="S1617" s="107"/>
      <c r="T1617" s="107"/>
      <c r="U1617" s="107"/>
      <c r="V1617" s="108"/>
      <c r="W1617" s="108"/>
      <c r="X1617" s="108"/>
      <c r="Y1617" s="108"/>
      <c r="Z1617" s="109"/>
      <c r="AA1617" s="110">
        <v>1617</v>
      </c>
      <c r="AB1617" s="110"/>
      <c r="AC1617" s="85"/>
      <c r="AD1617" s="86" t="s">
        <v>25203</v>
      </c>
      <c r="AE1617" s="94" t="s">
        <v>25868</v>
      </c>
      <c r="AF1617" s="86">
        <v>6777</v>
      </c>
      <c r="AG1617" s="86">
        <v>877</v>
      </c>
      <c r="AH1617" s="86">
        <v>23821</v>
      </c>
      <c r="AI1617" s="86">
        <v>32</v>
      </c>
      <c r="AJ1617" s="86">
        <v>58</v>
      </c>
      <c r="AK1617" s="86">
        <v>15130</v>
      </c>
      <c r="AL1617" s="86" t="b">
        <v>0</v>
      </c>
      <c r="AM1617" s="89">
        <v>40474.06145833333</v>
      </c>
      <c r="AN1617" s="86" t="s">
        <v>25957</v>
      </c>
      <c r="AO1617" s="86" t="s">
        <v>27892</v>
      </c>
      <c r="AP1617" s="96" t="str">
        <f>HYPERLINK("http://t.co/XLXYRQM8vR")</f>
        <v>http://t.co/XLXYRQM8vR</v>
      </c>
      <c r="AQ1617" s="96" t="str">
        <f>HYPERLINK("http://www.jornaldeblumenau.com.br")</f>
        <v>http://www.jornaldeblumenau.com.br</v>
      </c>
      <c r="AR1617" s="86" t="s">
        <v>28988</v>
      </c>
      <c r="AS1617" s="86"/>
      <c r="AT1617" s="86"/>
      <c r="AU1617" s="86"/>
      <c r="AV1617" s="86">
        <v>1.06346608184991E+18</v>
      </c>
      <c r="AW1617" s="96" t="str">
        <f>HYPERLINK("http://t.co/XLXYRQM8vR")</f>
        <v>http://t.co/XLXYRQM8vR</v>
      </c>
      <c r="AX1617" s="86" t="b">
        <v>0</v>
      </c>
      <c r="AY1617" s="86"/>
      <c r="AZ1617" s="86"/>
      <c r="BA1617" s="86" t="b">
        <v>0</v>
      </c>
      <c r="BB1617" s="86" t="b">
        <v>1</v>
      </c>
      <c r="BC1617" s="86" t="b">
        <v>0</v>
      </c>
      <c r="BD1617" s="86" t="b">
        <v>0</v>
      </c>
      <c r="BE1617" s="86" t="b">
        <v>0</v>
      </c>
      <c r="BF1617" s="86" t="b">
        <v>0</v>
      </c>
      <c r="BG1617" s="86" t="b">
        <v>0</v>
      </c>
      <c r="BH1617" s="96" t="str">
        <f>HYPERLINK("https://pbs.twimg.com/profile_banners/206473907/1364998618")</f>
        <v>https://pbs.twimg.com/profile_banners/206473907/1364998618</v>
      </c>
      <c r="BI1617" s="86"/>
      <c r="BJ1617" s="86" t="s">
        <v>29134</v>
      </c>
      <c r="BK1617" s="86" t="b">
        <v>0</v>
      </c>
      <c r="BL1617" s="86"/>
      <c r="BM1617" s="86" t="s">
        <v>66</v>
      </c>
      <c r="BN1617" s="86" t="s">
        <v>29136</v>
      </c>
      <c r="BO1617" s="96" t="str">
        <f>HYPERLINK("https://twitter.com/jornal_blumenau")</f>
        <v>https://twitter.com/jornal_blumenau</v>
      </c>
      <c r="BP1617" s="2"/>
    </row>
    <row r="1618" spans="1:68" x14ac:dyDescent="0.25">
      <c r="A1618" s="63" t="s">
        <v>23606</v>
      </c>
      <c r="B1618" s="64"/>
      <c r="C1618" s="64"/>
      <c r="D1618" s="65"/>
      <c r="E1618" s="67"/>
      <c r="F1618" s="111" t="str">
        <f>HYPERLINK("https://pbs.twimg.com/profile_images/1636447798097747974/P670M6Nd_normal.jpg")</f>
        <v>https://pbs.twimg.com/profile_images/1636447798097747974/P670M6Nd_normal.jpg</v>
      </c>
      <c r="G1618" s="64" t="s">
        <v>51</v>
      </c>
      <c r="H1618" s="68"/>
      <c r="I1618" s="69"/>
      <c r="J1618" s="69"/>
      <c r="K1618" s="68" t="s">
        <v>30751</v>
      </c>
      <c r="L1618" s="72"/>
      <c r="M1618" s="73"/>
      <c r="N1618" s="73"/>
      <c r="O1618" s="74"/>
      <c r="P1618" s="75"/>
      <c r="Q1618" s="75"/>
      <c r="R1618" s="102"/>
      <c r="S1618" s="102"/>
      <c r="T1618" s="102"/>
      <c r="U1618" s="102"/>
      <c r="V1618" s="48"/>
      <c r="W1618" s="48"/>
      <c r="X1618" s="48"/>
      <c r="Y1618" s="48"/>
      <c r="Z1618" s="47"/>
      <c r="AA1618" s="70">
        <v>1618</v>
      </c>
      <c r="AB1618" s="70"/>
      <c r="AC1618" s="71"/>
      <c r="AD1618" s="86" t="s">
        <v>25204</v>
      </c>
      <c r="AE1618" s="94" t="s">
        <v>25869</v>
      </c>
      <c r="AF1618" s="86">
        <v>1179</v>
      </c>
      <c r="AG1618" s="86">
        <v>312</v>
      </c>
      <c r="AH1618" s="86">
        <v>4983</v>
      </c>
      <c r="AI1618" s="86">
        <v>11</v>
      </c>
      <c r="AJ1618" s="86">
        <v>485</v>
      </c>
      <c r="AK1618" s="86">
        <v>4035</v>
      </c>
      <c r="AL1618" s="86" t="b">
        <v>0</v>
      </c>
      <c r="AM1618" s="89">
        <v>40315.547592592593</v>
      </c>
      <c r="AN1618" s="86" t="s">
        <v>26038</v>
      </c>
      <c r="AO1618" s="86" t="s">
        <v>27893</v>
      </c>
      <c r="AP1618" s="96" t="str">
        <f>HYPERLINK("https://t.co/BEhzVKAUdI")</f>
        <v>https://t.co/BEhzVKAUdI</v>
      </c>
      <c r="AQ1618" s="96" t="str">
        <f>HYPERLINK("http://www.ocbes.coop.br")</f>
        <v>http://www.ocbes.coop.br</v>
      </c>
      <c r="AR1618" s="86" t="s">
        <v>28989</v>
      </c>
      <c r="AS1618" s="86"/>
      <c r="AT1618" s="86"/>
      <c r="AU1618" s="86"/>
      <c r="AV1618" s="86">
        <v>1.6461446391691699E+18</v>
      </c>
      <c r="AW1618" s="96" t="str">
        <f>HYPERLINK("https://t.co/BEhzVKAUdI")</f>
        <v>https://t.co/BEhzVKAUdI</v>
      </c>
      <c r="AX1618" s="86" t="b">
        <v>0</v>
      </c>
      <c r="AY1618" s="86"/>
      <c r="AZ1618" s="86"/>
      <c r="BA1618" s="86" t="b">
        <v>0</v>
      </c>
      <c r="BB1618" s="86" t="b">
        <v>1</v>
      </c>
      <c r="BC1618" s="86" t="b">
        <v>0</v>
      </c>
      <c r="BD1618" s="86" t="b">
        <v>0</v>
      </c>
      <c r="BE1618" s="86" t="b">
        <v>0</v>
      </c>
      <c r="BF1618" s="86" t="b">
        <v>0</v>
      </c>
      <c r="BG1618" s="86" t="b">
        <v>0</v>
      </c>
      <c r="BH1618" s="96" t="str">
        <f>HYPERLINK("https://pbs.twimg.com/profile_banners/144844087/1678994534")</f>
        <v>https://pbs.twimg.com/profile_banners/144844087/1678994534</v>
      </c>
      <c r="BI1618" s="86"/>
      <c r="BJ1618" s="86" t="s">
        <v>29134</v>
      </c>
      <c r="BK1618" s="86" t="b">
        <v>0</v>
      </c>
      <c r="BL1618" s="86"/>
      <c r="BM1618" s="86" t="s">
        <v>66</v>
      </c>
      <c r="BN1618" s="86" t="s">
        <v>29136</v>
      </c>
      <c r="BO1618" s="96" t="str">
        <f>HYPERLINK("https://twitter.com/sistemaocbes")</f>
        <v>https://twitter.com/sistemaocbes</v>
      </c>
      <c r="BP1618" s="2"/>
    </row>
    <row r="1619" spans="1:68" x14ac:dyDescent="0.25">
      <c r="A1619" s="63" t="s">
        <v>23602</v>
      </c>
      <c r="B1619" s="64"/>
      <c r="C1619" s="64"/>
      <c r="D1619" s="65"/>
      <c r="E1619" s="67"/>
      <c r="F1619" s="111" t="str">
        <f>HYPERLINK("https://pbs.twimg.com/profile_images/1684427209874755584/qrvPqdHf_normal.jpg")</f>
        <v>https://pbs.twimg.com/profile_images/1684427209874755584/qrvPqdHf_normal.jpg</v>
      </c>
      <c r="G1619" s="64" t="s">
        <v>51</v>
      </c>
      <c r="H1619" s="68"/>
      <c r="I1619" s="69"/>
      <c r="J1619" s="69"/>
      <c r="K1619" s="68" t="s">
        <v>30752</v>
      </c>
      <c r="L1619" s="72"/>
      <c r="M1619" s="73"/>
      <c r="N1619" s="73"/>
      <c r="O1619" s="74"/>
      <c r="P1619" s="75"/>
      <c r="Q1619" s="75"/>
      <c r="R1619" s="102"/>
      <c r="S1619" s="102"/>
      <c r="T1619" s="102"/>
      <c r="U1619" s="102"/>
      <c r="V1619" s="48"/>
      <c r="W1619" s="48"/>
      <c r="X1619" s="48"/>
      <c r="Y1619" s="48"/>
      <c r="Z1619" s="47"/>
      <c r="AA1619" s="70">
        <v>1619</v>
      </c>
      <c r="AB1619" s="70"/>
      <c r="AC1619" s="71"/>
      <c r="AD1619" s="86" t="s">
        <v>25205</v>
      </c>
      <c r="AE1619" s="94" t="s">
        <v>25870</v>
      </c>
      <c r="AF1619" s="86">
        <v>151</v>
      </c>
      <c r="AG1619" s="86">
        <v>687</v>
      </c>
      <c r="AH1619" s="86">
        <v>3546</v>
      </c>
      <c r="AI1619" s="86">
        <v>2</v>
      </c>
      <c r="AJ1619" s="86">
        <v>11257</v>
      </c>
      <c r="AK1619" s="86">
        <v>155</v>
      </c>
      <c r="AL1619" s="86" t="b">
        <v>0</v>
      </c>
      <c r="AM1619" s="89">
        <v>42909.951249999998</v>
      </c>
      <c r="AN1619" s="86" t="s">
        <v>26420</v>
      </c>
      <c r="AO1619" s="86"/>
      <c r="AP1619" s="96" t="str">
        <f>HYPERLINK("https://t.co/NApFhAWGB2")</f>
        <v>https://t.co/NApFhAWGB2</v>
      </c>
      <c r="AQ1619" s="96" t="str">
        <f>HYPERLINK("https://enzomitagens.neocities.org/")</f>
        <v>https://enzomitagens.neocities.org/</v>
      </c>
      <c r="AR1619" s="86" t="s">
        <v>28990</v>
      </c>
      <c r="AS1619" s="86"/>
      <c r="AT1619" s="86"/>
      <c r="AU1619" s="86"/>
      <c r="AV1619" s="86">
        <v>1.5478061193843999E+18</v>
      </c>
      <c r="AW1619" s="96" t="str">
        <f>HYPERLINK("https://t.co/NApFhAWGB2")</f>
        <v>https://t.co/NApFhAWGB2</v>
      </c>
      <c r="AX1619" s="86" t="b">
        <v>0</v>
      </c>
      <c r="AY1619" s="86"/>
      <c r="AZ1619" s="86"/>
      <c r="BA1619" s="86" t="b">
        <v>1</v>
      </c>
      <c r="BB1619" s="86" t="b">
        <v>0</v>
      </c>
      <c r="BC1619" s="86" t="b">
        <v>1</v>
      </c>
      <c r="BD1619" s="86" t="b">
        <v>0</v>
      </c>
      <c r="BE1619" s="86" t="b">
        <v>1</v>
      </c>
      <c r="BF1619" s="86" t="b">
        <v>0</v>
      </c>
      <c r="BG1619" s="86" t="b">
        <v>0</v>
      </c>
      <c r="BH1619" s="96" t="str">
        <f>HYPERLINK("https://pbs.twimg.com/profile_banners/878384622312321025/1683572546")</f>
        <v>https://pbs.twimg.com/profile_banners/878384622312321025/1683572546</v>
      </c>
      <c r="BI1619" s="86"/>
      <c r="BJ1619" s="86" t="s">
        <v>29134</v>
      </c>
      <c r="BK1619" s="86" t="b">
        <v>0</v>
      </c>
      <c r="BL1619" s="86"/>
      <c r="BM1619" s="86" t="s">
        <v>66</v>
      </c>
      <c r="BN1619" s="86" t="s">
        <v>29136</v>
      </c>
      <c r="BO1619" s="96" t="str">
        <f>HYPERLINK("https://twitter.com/opoderosomeme")</f>
        <v>https://twitter.com/opoderosomeme</v>
      </c>
      <c r="BP1619" s="2"/>
    </row>
    <row r="1620" spans="1:68" x14ac:dyDescent="0.25">
      <c r="A1620" s="63" t="s">
        <v>23603</v>
      </c>
      <c r="B1620" s="64"/>
      <c r="C1620" s="64"/>
      <c r="D1620" s="65"/>
      <c r="E1620" s="67"/>
      <c r="F1620" s="111" t="str">
        <f>HYPERLINK("https://pbs.twimg.com/profile_images/1656656122604933120/Ja2hWMBK_normal.jpg")</f>
        <v>https://pbs.twimg.com/profile_images/1656656122604933120/Ja2hWMBK_normal.jpg</v>
      </c>
      <c r="G1620" s="64" t="s">
        <v>51</v>
      </c>
      <c r="H1620" s="68"/>
      <c r="I1620" s="69"/>
      <c r="J1620" s="69"/>
      <c r="K1620" s="68" t="s">
        <v>30753</v>
      </c>
      <c r="L1620" s="72"/>
      <c r="M1620" s="73"/>
      <c r="N1620" s="73"/>
      <c r="O1620" s="74"/>
      <c r="P1620" s="75"/>
      <c r="Q1620" s="75"/>
      <c r="R1620" s="102"/>
      <c r="S1620" s="102"/>
      <c r="T1620" s="102"/>
      <c r="U1620" s="102"/>
      <c r="V1620" s="48"/>
      <c r="W1620" s="48"/>
      <c r="X1620" s="48"/>
      <c r="Y1620" s="48"/>
      <c r="Z1620" s="47"/>
      <c r="AA1620" s="70">
        <v>1620</v>
      </c>
      <c r="AB1620" s="70"/>
      <c r="AC1620" s="71"/>
      <c r="AD1620" s="86" t="s">
        <v>25206</v>
      </c>
      <c r="AE1620" s="94" t="s">
        <v>25871</v>
      </c>
      <c r="AF1620" s="86">
        <v>3504</v>
      </c>
      <c r="AG1620" s="86">
        <v>3617</v>
      </c>
      <c r="AH1620" s="86">
        <v>20231</v>
      </c>
      <c r="AI1620" s="86">
        <v>2</v>
      </c>
      <c r="AJ1620" s="86">
        <v>13176</v>
      </c>
      <c r="AK1620" s="86">
        <v>575</v>
      </c>
      <c r="AL1620" s="86" t="b">
        <v>0</v>
      </c>
      <c r="AM1620" s="89">
        <v>44881.79346064815</v>
      </c>
      <c r="AN1620" s="86"/>
      <c r="AO1620" s="86" t="s">
        <v>27894</v>
      </c>
      <c r="AP1620" s="86"/>
      <c r="AQ1620" s="86"/>
      <c r="AR1620" s="86"/>
      <c r="AS1620" s="86"/>
      <c r="AT1620" s="86"/>
      <c r="AU1620" s="86"/>
      <c r="AV1620" s="86"/>
      <c r="AW1620" s="86"/>
      <c r="AX1620" s="86" t="b">
        <v>0</v>
      </c>
      <c r="AY1620" s="86"/>
      <c r="AZ1620" s="86"/>
      <c r="BA1620" s="86" t="b">
        <v>0</v>
      </c>
      <c r="BB1620" s="86" t="b">
        <v>1</v>
      </c>
      <c r="BC1620" s="86" t="b">
        <v>1</v>
      </c>
      <c r="BD1620" s="86" t="b">
        <v>0</v>
      </c>
      <c r="BE1620" s="86" t="b">
        <v>1</v>
      </c>
      <c r="BF1620" s="86" t="b">
        <v>0</v>
      </c>
      <c r="BG1620" s="86" t="b">
        <v>0</v>
      </c>
      <c r="BH1620" s="96" t="str">
        <f>HYPERLINK("https://pbs.twimg.com/profile_banners/1592956093373812736/1673086075")</f>
        <v>https://pbs.twimg.com/profile_banners/1592956093373812736/1673086075</v>
      </c>
      <c r="BI1620" s="86"/>
      <c r="BJ1620" s="86" t="s">
        <v>29134</v>
      </c>
      <c r="BK1620" s="86" t="b">
        <v>0</v>
      </c>
      <c r="BL1620" s="86"/>
      <c r="BM1620" s="86" t="s">
        <v>66</v>
      </c>
      <c r="BN1620" s="86" t="s">
        <v>29136</v>
      </c>
      <c r="BO1620" s="96" t="str">
        <f>HYPERLINK("https://twitter.com/rosangelajaspe5")</f>
        <v>https://twitter.com/rosangelajaspe5</v>
      </c>
      <c r="BP1620" s="2"/>
    </row>
    <row r="1621" spans="1:68" x14ac:dyDescent="0.25">
      <c r="A1621" s="63" t="s">
        <v>8591</v>
      </c>
      <c r="B1621" s="64"/>
      <c r="C1621" s="64"/>
      <c r="D1621" s="65"/>
      <c r="E1621" s="67"/>
      <c r="F1621" s="111" t="str">
        <f>HYPERLINK("https://pbs.twimg.com/profile_images/1662171855602499600/Cr5cQe0z_normal.jpg")</f>
        <v>https://pbs.twimg.com/profile_images/1662171855602499600/Cr5cQe0z_normal.jpg</v>
      </c>
      <c r="G1621" s="64" t="s">
        <v>51</v>
      </c>
      <c r="H1621" s="68"/>
      <c r="I1621" s="69"/>
      <c r="J1621" s="69"/>
      <c r="K1621" s="68" t="s">
        <v>30754</v>
      </c>
      <c r="L1621" s="72"/>
      <c r="M1621" s="73"/>
      <c r="N1621" s="73"/>
      <c r="O1621" s="74"/>
      <c r="P1621" s="75"/>
      <c r="Q1621" s="75"/>
      <c r="R1621" s="102"/>
      <c r="S1621" s="102"/>
      <c r="T1621" s="102"/>
      <c r="U1621" s="102"/>
      <c r="V1621" s="48"/>
      <c r="W1621" s="48"/>
      <c r="X1621" s="48"/>
      <c r="Y1621" s="48"/>
      <c r="Z1621" s="47"/>
      <c r="AA1621" s="70">
        <v>1621</v>
      </c>
      <c r="AB1621" s="70"/>
      <c r="AC1621" s="71"/>
      <c r="AD1621" s="86" t="s">
        <v>25207</v>
      </c>
      <c r="AE1621" s="94" t="s">
        <v>25872</v>
      </c>
      <c r="AF1621" s="86">
        <v>9</v>
      </c>
      <c r="AG1621" s="86">
        <v>41</v>
      </c>
      <c r="AH1621" s="86">
        <v>7</v>
      </c>
      <c r="AI1621" s="86">
        <v>0</v>
      </c>
      <c r="AJ1621" s="86">
        <v>0</v>
      </c>
      <c r="AK1621" s="86">
        <v>0</v>
      </c>
      <c r="AL1621" s="86" t="b">
        <v>0</v>
      </c>
      <c r="AM1621" s="89">
        <v>44979.880057870374</v>
      </c>
      <c r="AN1621" s="86"/>
      <c r="AO1621" s="86" t="s">
        <v>27895</v>
      </c>
      <c r="AP1621" s="86"/>
      <c r="AQ1621" s="86"/>
      <c r="AR1621" s="86"/>
      <c r="AS1621" s="86"/>
      <c r="AT1621" s="86"/>
      <c r="AU1621" s="86"/>
      <c r="AV1621" s="86"/>
      <c r="AW1621" s="86"/>
      <c r="AX1621" s="86" t="b">
        <v>0</v>
      </c>
      <c r="AY1621" s="86"/>
      <c r="AZ1621" s="86"/>
      <c r="BA1621" s="86" t="b">
        <v>0</v>
      </c>
      <c r="BB1621" s="86" t="b">
        <v>1</v>
      </c>
      <c r="BC1621" s="86" t="b">
        <v>1</v>
      </c>
      <c r="BD1621" s="86" t="b">
        <v>0</v>
      </c>
      <c r="BE1621" s="86" t="b">
        <v>0</v>
      </c>
      <c r="BF1621" s="86" t="b">
        <v>0</v>
      </c>
      <c r="BG1621" s="86" t="b">
        <v>0</v>
      </c>
      <c r="BH1621" s="96" t="str">
        <f>HYPERLINK("https://pbs.twimg.com/profile_banners/1628501646543134730/1685127590")</f>
        <v>https://pbs.twimg.com/profile_banners/1628501646543134730/1685127590</v>
      </c>
      <c r="BI1621" s="86"/>
      <c r="BJ1621" s="86" t="s">
        <v>29134</v>
      </c>
      <c r="BK1621" s="86" t="b">
        <v>0</v>
      </c>
      <c r="BL1621" s="86"/>
      <c r="BM1621" s="86" t="s">
        <v>65</v>
      </c>
      <c r="BN1621" s="86" t="s">
        <v>29136</v>
      </c>
      <c r="BO1621" s="96" t="str">
        <f>HYPERLINK("https://twitter.com/cienetecgovpb")</f>
        <v>https://twitter.com/cienetecgovpb</v>
      </c>
      <c r="BP1621" s="2"/>
    </row>
    <row r="1622" spans="1:68" x14ac:dyDescent="0.25">
      <c r="A1622" s="63" t="s">
        <v>8578</v>
      </c>
      <c r="B1622" s="64"/>
      <c r="C1622" s="64"/>
      <c r="D1622" s="65"/>
      <c r="E1622" s="67"/>
      <c r="F1622" s="111" t="str">
        <f>HYPERLINK("https://pbs.twimg.com/profile_images/996190956641816576/pmS7RgQI_normal.jpg")</f>
        <v>https://pbs.twimg.com/profile_images/996190956641816576/pmS7RgQI_normal.jpg</v>
      </c>
      <c r="G1622" s="64" t="s">
        <v>51</v>
      </c>
      <c r="H1622" s="68"/>
      <c r="I1622" s="69"/>
      <c r="J1622" s="69"/>
      <c r="K1622" s="68" t="s">
        <v>30755</v>
      </c>
      <c r="L1622" s="72"/>
      <c r="M1622" s="73"/>
      <c r="N1622" s="73"/>
      <c r="O1622" s="74"/>
      <c r="P1622" s="75"/>
      <c r="Q1622" s="75"/>
      <c r="R1622" s="102"/>
      <c r="S1622" s="102"/>
      <c r="T1622" s="102"/>
      <c r="U1622" s="102"/>
      <c r="V1622" s="48"/>
      <c r="W1622" s="48"/>
      <c r="X1622" s="48"/>
      <c r="Y1622" s="48"/>
      <c r="Z1622" s="47"/>
      <c r="AA1622" s="70">
        <v>1622</v>
      </c>
      <c r="AB1622" s="70"/>
      <c r="AC1622" s="71"/>
      <c r="AD1622" s="86" t="s">
        <v>25208</v>
      </c>
      <c r="AE1622" s="94" t="s">
        <v>25873</v>
      </c>
      <c r="AF1622" s="86">
        <v>2785</v>
      </c>
      <c r="AG1622" s="86">
        <v>160</v>
      </c>
      <c r="AH1622" s="86">
        <v>12424</v>
      </c>
      <c r="AI1622" s="86">
        <v>24</v>
      </c>
      <c r="AJ1622" s="86">
        <v>54</v>
      </c>
      <c r="AK1622" s="86">
        <v>3645</v>
      </c>
      <c r="AL1622" s="86" t="b">
        <v>0</v>
      </c>
      <c r="AM1622" s="89">
        <v>40956.031423611108</v>
      </c>
      <c r="AN1622" s="86" t="s">
        <v>26421</v>
      </c>
      <c r="AO1622" s="86" t="s">
        <v>27896</v>
      </c>
      <c r="AP1622" s="96" t="str">
        <f>HYPERLINK("https://t.co/hseuxpgZrO")</f>
        <v>https://t.co/hseuxpgZrO</v>
      </c>
      <c r="AQ1622" s="96" t="str">
        <f>HYPERLINK("http://informeblumenau.com")</f>
        <v>http://informeblumenau.com</v>
      </c>
      <c r="AR1622" s="86" t="s">
        <v>8447</v>
      </c>
      <c r="AS1622" s="86"/>
      <c r="AT1622" s="86"/>
      <c r="AU1622" s="86"/>
      <c r="AV1622" s="86"/>
      <c r="AW1622" s="96" t="str">
        <f>HYPERLINK("https://t.co/hseuxpgZrO")</f>
        <v>https://t.co/hseuxpgZrO</v>
      </c>
      <c r="AX1622" s="86" t="b">
        <v>0</v>
      </c>
      <c r="AY1622" s="86"/>
      <c r="AZ1622" s="86"/>
      <c r="BA1622" s="86" t="b">
        <v>0</v>
      </c>
      <c r="BB1622" s="86" t="b">
        <v>1</v>
      </c>
      <c r="BC1622" s="86" t="b">
        <v>1</v>
      </c>
      <c r="BD1622" s="86" t="b">
        <v>0</v>
      </c>
      <c r="BE1622" s="86" t="b">
        <v>1</v>
      </c>
      <c r="BF1622" s="86" t="b">
        <v>0</v>
      </c>
      <c r="BG1622" s="86" t="b">
        <v>0</v>
      </c>
      <c r="BH1622" s="96" t="str">
        <f>HYPERLINK("https://pbs.twimg.com/profile_banners/494539258/1595339513")</f>
        <v>https://pbs.twimg.com/profile_banners/494539258/1595339513</v>
      </c>
      <c r="BI1622" s="86"/>
      <c r="BJ1622" s="86" t="s">
        <v>29134</v>
      </c>
      <c r="BK1622" s="86" t="b">
        <v>0</v>
      </c>
      <c r="BL1622" s="86"/>
      <c r="BM1622" s="86" t="s">
        <v>65</v>
      </c>
      <c r="BN1622" s="86" t="s">
        <v>29136</v>
      </c>
      <c r="BO1622" s="96" t="str">
        <f>HYPERLINK("https://twitter.com/informeblu")</f>
        <v>https://twitter.com/informeblu</v>
      </c>
      <c r="BP1622" s="2"/>
    </row>
    <row r="1623" spans="1:68" x14ac:dyDescent="0.25">
      <c r="A1623" s="63" t="s">
        <v>8577</v>
      </c>
      <c r="B1623" s="64"/>
      <c r="C1623" s="64"/>
      <c r="D1623" s="65"/>
      <c r="E1623" s="67"/>
      <c r="F1623" s="111" t="str">
        <f>HYPERLINK("https://pbs.twimg.com/profile_images/1687073566540402688/aznHU5Dt_normal.jpg")</f>
        <v>https://pbs.twimg.com/profile_images/1687073566540402688/aznHU5Dt_normal.jpg</v>
      </c>
      <c r="G1623" s="64" t="s">
        <v>51</v>
      </c>
      <c r="H1623" s="68"/>
      <c r="I1623" s="69"/>
      <c r="J1623" s="69"/>
      <c r="K1623" s="68" t="s">
        <v>30756</v>
      </c>
      <c r="L1623" s="72"/>
      <c r="M1623" s="73"/>
      <c r="N1623" s="73"/>
      <c r="O1623" s="74"/>
      <c r="P1623" s="75"/>
      <c r="Q1623" s="75"/>
      <c r="R1623" s="102"/>
      <c r="S1623" s="102"/>
      <c r="T1623" s="102"/>
      <c r="U1623" s="102"/>
      <c r="V1623" s="48"/>
      <c r="W1623" s="48"/>
      <c r="X1623" s="48"/>
      <c r="Y1623" s="48"/>
      <c r="Z1623" s="47"/>
      <c r="AA1623" s="70">
        <v>1623</v>
      </c>
      <c r="AB1623" s="70"/>
      <c r="AC1623" s="71"/>
      <c r="AD1623" s="86" t="s">
        <v>25209</v>
      </c>
      <c r="AE1623" s="94" t="s">
        <v>25874</v>
      </c>
      <c r="AF1623" s="86">
        <v>219477</v>
      </c>
      <c r="AG1623" s="86">
        <v>133</v>
      </c>
      <c r="AH1623" s="86">
        <v>144393</v>
      </c>
      <c r="AI1623" s="86">
        <v>208</v>
      </c>
      <c r="AJ1623" s="86">
        <v>5853</v>
      </c>
      <c r="AK1623" s="86">
        <v>73555</v>
      </c>
      <c r="AL1623" s="86" t="b">
        <v>0</v>
      </c>
      <c r="AM1623" s="89">
        <v>39996.624861111108</v>
      </c>
      <c r="AN1623" s="86" t="s">
        <v>26422</v>
      </c>
      <c r="AO1623" s="86" t="s">
        <v>27897</v>
      </c>
      <c r="AP1623" s="96" t="str">
        <f>HYPERLINK("https://t.co/WTdBFHoKDq")</f>
        <v>https://t.co/WTdBFHoKDq</v>
      </c>
      <c r="AQ1623" s="96" t="str">
        <f>HYPERLINK("http://www.ma.gov.br")</f>
        <v>http://www.ma.gov.br</v>
      </c>
      <c r="AR1623" s="86" t="s">
        <v>28991</v>
      </c>
      <c r="AS1623" s="96" t="str">
        <f>HYPERLINK("https://t.co/K8pMPHU0tt")</f>
        <v>https://t.co/K8pMPHU0tt</v>
      </c>
      <c r="AT1623" s="96" t="str">
        <f>HYPERLINK("http://t.me/GovernoMA")</f>
        <v>http://t.me/GovernoMA</v>
      </c>
      <c r="AU1623" s="86" t="s">
        <v>29131</v>
      </c>
      <c r="AV1623" s="86">
        <v>1.6644205743182799E+18</v>
      </c>
      <c r="AW1623" s="96" t="str">
        <f>HYPERLINK("https://t.co/WTdBFHoKDq")</f>
        <v>https://t.co/WTdBFHoKDq</v>
      </c>
      <c r="AX1623" s="86" t="b">
        <v>0</v>
      </c>
      <c r="AY1623" s="86"/>
      <c r="AZ1623" s="86"/>
      <c r="BA1623" s="86" t="b">
        <v>1</v>
      </c>
      <c r="BB1623" s="86" t="b">
        <v>0</v>
      </c>
      <c r="BC1623" s="86" t="b">
        <v>0</v>
      </c>
      <c r="BD1623" s="86" t="b">
        <v>0</v>
      </c>
      <c r="BE1623" s="86" t="b">
        <v>1</v>
      </c>
      <c r="BF1623" s="86" t="b">
        <v>0</v>
      </c>
      <c r="BG1623" s="86" t="b">
        <v>0</v>
      </c>
      <c r="BH1623" s="96" t="str">
        <f>HYPERLINK("https://pbs.twimg.com/profile_banners/53085255/1691679158")</f>
        <v>https://pbs.twimg.com/profile_banners/53085255/1691679158</v>
      </c>
      <c r="BI1623" s="86"/>
      <c r="BJ1623" s="86" t="s">
        <v>29134</v>
      </c>
      <c r="BK1623" s="86" t="b">
        <v>0</v>
      </c>
      <c r="BL1623" s="86"/>
      <c r="BM1623" s="86" t="s">
        <v>65</v>
      </c>
      <c r="BN1623" s="86" t="s">
        <v>29136</v>
      </c>
      <c r="BO1623" s="96" t="str">
        <f>HYPERLINK("https://twitter.com/governoma")</f>
        <v>https://twitter.com/governoma</v>
      </c>
      <c r="BP1623" s="2"/>
    </row>
    <row r="1624" spans="1:68" x14ac:dyDescent="0.25">
      <c r="A1624" s="63" t="s">
        <v>8581</v>
      </c>
      <c r="B1624" s="64"/>
      <c r="C1624" s="64"/>
      <c r="D1624" s="65"/>
      <c r="E1624" s="67"/>
      <c r="F1624" s="111" t="str">
        <f>HYPERLINK("https://pbs.twimg.com/profile_images/1585643583260225542/9A6VPaUJ_normal.jpg")</f>
        <v>https://pbs.twimg.com/profile_images/1585643583260225542/9A6VPaUJ_normal.jpg</v>
      </c>
      <c r="G1624" s="64" t="s">
        <v>51</v>
      </c>
      <c r="H1624" s="68"/>
      <c r="I1624" s="69"/>
      <c r="J1624" s="69"/>
      <c r="K1624" s="68" t="s">
        <v>30757</v>
      </c>
      <c r="L1624" s="72"/>
      <c r="M1624" s="73"/>
      <c r="N1624" s="73"/>
      <c r="O1624" s="74"/>
      <c r="P1624" s="75"/>
      <c r="Q1624" s="75"/>
      <c r="R1624" s="102"/>
      <c r="S1624" s="102"/>
      <c r="T1624" s="102"/>
      <c r="U1624" s="102"/>
      <c r="V1624" s="48"/>
      <c r="W1624" s="48"/>
      <c r="X1624" s="48"/>
      <c r="Y1624" s="48"/>
      <c r="Z1624" s="47"/>
      <c r="AA1624" s="70">
        <v>1624</v>
      </c>
      <c r="AB1624" s="70"/>
      <c r="AC1624" s="71"/>
      <c r="AD1624" s="86" t="s">
        <v>25210</v>
      </c>
      <c r="AE1624" s="94" t="s">
        <v>25875</v>
      </c>
      <c r="AF1624" s="86">
        <v>31</v>
      </c>
      <c r="AG1624" s="86">
        <v>251</v>
      </c>
      <c r="AH1624" s="86">
        <v>4189</v>
      </c>
      <c r="AI1624" s="86">
        <v>0</v>
      </c>
      <c r="AJ1624" s="86">
        <v>12364</v>
      </c>
      <c r="AK1624" s="86">
        <v>168</v>
      </c>
      <c r="AL1624" s="86" t="b">
        <v>0</v>
      </c>
      <c r="AM1624" s="89">
        <v>43446.757118055553</v>
      </c>
      <c r="AN1624" s="86" t="s">
        <v>26423</v>
      </c>
      <c r="AO1624" s="86" t="s">
        <v>27898</v>
      </c>
      <c r="AP1624" s="86"/>
      <c r="AQ1624" s="86"/>
      <c r="AR1624" s="86"/>
      <c r="AS1624" s="86"/>
      <c r="AT1624" s="86"/>
      <c r="AU1624" s="86"/>
      <c r="AV1624" s="86"/>
      <c r="AW1624" s="86"/>
      <c r="AX1624" s="86" t="b">
        <v>0</v>
      </c>
      <c r="AY1624" s="86"/>
      <c r="AZ1624" s="86"/>
      <c r="BA1624" s="86" t="b">
        <v>0</v>
      </c>
      <c r="BB1624" s="86" t="b">
        <v>0</v>
      </c>
      <c r="BC1624" s="86" t="b">
        <v>1</v>
      </c>
      <c r="BD1624" s="86" t="b">
        <v>0</v>
      </c>
      <c r="BE1624" s="86" t="b">
        <v>1</v>
      </c>
      <c r="BF1624" s="86" t="b">
        <v>0</v>
      </c>
      <c r="BG1624" s="86" t="b">
        <v>1</v>
      </c>
      <c r="BH1624" s="96" t="str">
        <f>HYPERLINK("https://pbs.twimg.com/profile_banners/1072916557368578049/1666882265")</f>
        <v>https://pbs.twimg.com/profile_banners/1072916557368578049/1666882265</v>
      </c>
      <c r="BI1624" s="86"/>
      <c r="BJ1624" s="86" t="s">
        <v>29134</v>
      </c>
      <c r="BK1624" s="86" t="b">
        <v>0</v>
      </c>
      <c r="BL1624" s="86"/>
      <c r="BM1624" s="86" t="s">
        <v>65</v>
      </c>
      <c r="BN1624" s="86" t="s">
        <v>29136</v>
      </c>
      <c r="BO1624" s="96" t="str">
        <f>HYPERLINK("https://twitter.com/minyeeboy")</f>
        <v>https://twitter.com/minyeeboy</v>
      </c>
      <c r="BP1624" s="2"/>
    </row>
    <row r="1625" spans="1:68" x14ac:dyDescent="0.25">
      <c r="A1625" s="63" t="s">
        <v>23604</v>
      </c>
      <c r="B1625" s="64"/>
      <c r="C1625" s="64"/>
      <c r="D1625" s="65"/>
      <c r="E1625" s="67"/>
      <c r="F1625" s="111" t="str">
        <f>HYPERLINK("https://pbs.twimg.com/profile_images/1699794499139219456/AEFjZ8Ta_normal.jpg")</f>
        <v>https://pbs.twimg.com/profile_images/1699794499139219456/AEFjZ8Ta_normal.jpg</v>
      </c>
      <c r="G1625" s="64" t="s">
        <v>51</v>
      </c>
      <c r="H1625" s="68"/>
      <c r="I1625" s="69"/>
      <c r="J1625" s="69"/>
      <c r="K1625" s="68" t="s">
        <v>30758</v>
      </c>
      <c r="L1625" s="72"/>
      <c r="M1625" s="73"/>
      <c r="N1625" s="73"/>
      <c r="O1625" s="74"/>
      <c r="P1625" s="75"/>
      <c r="Q1625" s="75"/>
      <c r="R1625" s="102"/>
      <c r="S1625" s="102"/>
      <c r="T1625" s="102"/>
      <c r="U1625" s="102"/>
      <c r="V1625" s="48"/>
      <c r="W1625" s="48"/>
      <c r="X1625" s="48"/>
      <c r="Y1625" s="48"/>
      <c r="Z1625" s="47"/>
      <c r="AA1625" s="70">
        <v>1625</v>
      </c>
      <c r="AB1625" s="70"/>
      <c r="AC1625" s="71"/>
      <c r="AD1625" s="86" t="s">
        <v>25211</v>
      </c>
      <c r="AE1625" s="94" t="s">
        <v>25876</v>
      </c>
      <c r="AF1625" s="86">
        <v>35159</v>
      </c>
      <c r="AG1625" s="86">
        <v>1056</v>
      </c>
      <c r="AH1625" s="86">
        <v>44727</v>
      </c>
      <c r="AI1625" s="86">
        <v>37</v>
      </c>
      <c r="AJ1625" s="86">
        <v>109630</v>
      </c>
      <c r="AK1625" s="86">
        <v>8151</v>
      </c>
      <c r="AL1625" s="86" t="b">
        <v>0</v>
      </c>
      <c r="AM1625" s="89">
        <v>42113.031331018516</v>
      </c>
      <c r="AN1625" s="86"/>
      <c r="AO1625" s="86" t="s">
        <v>27899</v>
      </c>
      <c r="AP1625" s="96" t="str">
        <f>HYPERLINK("https://t.co/1WQONDLtPM")</f>
        <v>https://t.co/1WQONDLtPM</v>
      </c>
      <c r="AQ1625" s="96" t="str">
        <f>HYPERLINK("https://linktr.ee/FelipeCamarao")</f>
        <v>https://linktr.ee/FelipeCamarao</v>
      </c>
      <c r="AR1625" s="86" t="s">
        <v>28992</v>
      </c>
      <c r="AS1625" s="86"/>
      <c r="AT1625" s="86"/>
      <c r="AU1625" s="86"/>
      <c r="AV1625" s="86"/>
      <c r="AW1625" s="96" t="str">
        <f>HYPERLINK("https://t.co/1WQONDLtPM")</f>
        <v>https://t.co/1WQONDLtPM</v>
      </c>
      <c r="AX1625" s="86" t="b">
        <v>0</v>
      </c>
      <c r="AY1625" s="86"/>
      <c r="AZ1625" s="86"/>
      <c r="BA1625" s="86" t="b">
        <v>0</v>
      </c>
      <c r="BB1625" s="86" t="b">
        <v>1</v>
      </c>
      <c r="BC1625" s="86" t="b">
        <v>1</v>
      </c>
      <c r="BD1625" s="86" t="b">
        <v>0</v>
      </c>
      <c r="BE1625" s="86" t="b">
        <v>0</v>
      </c>
      <c r="BF1625" s="86" t="b">
        <v>0</v>
      </c>
      <c r="BG1625" s="86" t="b">
        <v>0</v>
      </c>
      <c r="BH1625" s="96" t="str">
        <f>HYPERLINK("https://pbs.twimg.com/profile_banners/3181396187/1679928063")</f>
        <v>https://pbs.twimg.com/profile_banners/3181396187/1679928063</v>
      </c>
      <c r="BI1625" s="86"/>
      <c r="BJ1625" s="86" t="s">
        <v>29134</v>
      </c>
      <c r="BK1625" s="86" t="b">
        <v>0</v>
      </c>
      <c r="BL1625" s="86"/>
      <c r="BM1625" s="86" t="s">
        <v>65</v>
      </c>
      <c r="BN1625" s="86" t="s">
        <v>29136</v>
      </c>
      <c r="BO1625" s="96" t="str">
        <f>HYPERLINK("https://twitter.com/felipeccamarao")</f>
        <v>https://twitter.com/felipeccamarao</v>
      </c>
      <c r="BP1625" s="2"/>
    </row>
    <row r="1626" spans="1:68" x14ac:dyDescent="0.25">
      <c r="A1626" s="63" t="s">
        <v>8586</v>
      </c>
      <c r="B1626" s="64"/>
      <c r="C1626" s="64"/>
      <c r="D1626" s="65"/>
      <c r="E1626" s="67"/>
      <c r="F1626" s="111" t="str">
        <f>HYPERLINK("https://pbs.twimg.com/profile_images/1692771171656183808/KemKkrZ1_normal.jpg")</f>
        <v>https://pbs.twimg.com/profile_images/1692771171656183808/KemKkrZ1_normal.jpg</v>
      </c>
      <c r="G1626" s="64" t="s">
        <v>51</v>
      </c>
      <c r="H1626" s="68"/>
      <c r="I1626" s="69"/>
      <c r="J1626" s="69"/>
      <c r="K1626" s="68" t="s">
        <v>30759</v>
      </c>
      <c r="L1626" s="72"/>
      <c r="M1626" s="73"/>
      <c r="N1626" s="73"/>
      <c r="O1626" s="74"/>
      <c r="P1626" s="75"/>
      <c r="Q1626" s="75"/>
      <c r="R1626" s="102"/>
      <c r="S1626" s="102"/>
      <c r="T1626" s="102"/>
      <c r="U1626" s="102"/>
      <c r="V1626" s="48"/>
      <c r="W1626" s="48"/>
      <c r="X1626" s="48"/>
      <c r="Y1626" s="48"/>
      <c r="Z1626" s="47"/>
      <c r="AA1626" s="70">
        <v>1626</v>
      </c>
      <c r="AB1626" s="70"/>
      <c r="AC1626" s="71"/>
      <c r="AD1626" s="86" t="s">
        <v>25212</v>
      </c>
      <c r="AE1626" s="94" t="s">
        <v>25877</v>
      </c>
      <c r="AF1626" s="86">
        <v>1507</v>
      </c>
      <c r="AG1626" s="86">
        <v>397</v>
      </c>
      <c r="AH1626" s="86">
        <v>24148</v>
      </c>
      <c r="AI1626" s="86">
        <v>2</v>
      </c>
      <c r="AJ1626" s="86">
        <v>36783</v>
      </c>
      <c r="AK1626" s="86">
        <v>1755</v>
      </c>
      <c r="AL1626" s="86" t="b">
        <v>0</v>
      </c>
      <c r="AM1626" s="89">
        <v>40448.804837962962</v>
      </c>
      <c r="AN1626" s="86"/>
      <c r="AO1626" s="86" t="s">
        <v>27900</v>
      </c>
      <c r="AP1626" s="86"/>
      <c r="AQ1626" s="86"/>
      <c r="AR1626" s="86"/>
      <c r="AS1626" s="86"/>
      <c r="AT1626" s="86"/>
      <c r="AU1626" s="86"/>
      <c r="AV1626" s="86">
        <v>1.66482198859295E+18</v>
      </c>
      <c r="AW1626" s="86"/>
      <c r="AX1626" s="86" t="b">
        <v>0</v>
      </c>
      <c r="AY1626" s="86"/>
      <c r="AZ1626" s="86"/>
      <c r="BA1626" s="86" t="b">
        <v>0</v>
      </c>
      <c r="BB1626" s="86" t="b">
        <v>0</v>
      </c>
      <c r="BC1626" s="86" t="b">
        <v>0</v>
      </c>
      <c r="BD1626" s="86" t="b">
        <v>0</v>
      </c>
      <c r="BE1626" s="86" t="b">
        <v>1</v>
      </c>
      <c r="BF1626" s="86" t="b">
        <v>0</v>
      </c>
      <c r="BG1626" s="86" t="b">
        <v>0</v>
      </c>
      <c r="BH1626" s="96" t="str">
        <f>HYPERLINK("https://pbs.twimg.com/profile_banners/195863790/1691790949")</f>
        <v>https://pbs.twimg.com/profile_banners/195863790/1691790949</v>
      </c>
      <c r="BI1626" s="86"/>
      <c r="BJ1626" s="86" t="s">
        <v>29134</v>
      </c>
      <c r="BK1626" s="86" t="b">
        <v>0</v>
      </c>
      <c r="BL1626" s="86"/>
      <c r="BM1626" s="86" t="s">
        <v>65</v>
      </c>
      <c r="BN1626" s="86" t="s">
        <v>29136</v>
      </c>
      <c r="BO1626" s="96" t="str">
        <f>HYPERLINK("https://twitter.com/nanamnese")</f>
        <v>https://twitter.com/nanamnese</v>
      </c>
      <c r="BP1626" s="2"/>
    </row>
    <row r="1627" spans="1:68" x14ac:dyDescent="0.25">
      <c r="A1627" s="77" t="s">
        <v>23605</v>
      </c>
      <c r="B1627" s="78"/>
      <c r="C1627" s="78"/>
      <c r="D1627" s="79"/>
      <c r="E1627" s="81"/>
      <c r="F1627" s="112" t="str">
        <f>HYPERLINK("https://pbs.twimg.com/profile_images/1405579504735686658/zXm02upu_normal.jpg")</f>
        <v>https://pbs.twimg.com/profile_images/1405579504735686658/zXm02upu_normal.jpg</v>
      </c>
      <c r="G1627" s="78" t="s">
        <v>51</v>
      </c>
      <c r="H1627" s="82"/>
      <c r="I1627" s="83"/>
      <c r="J1627" s="83"/>
      <c r="K1627" s="82" t="s">
        <v>30760</v>
      </c>
      <c r="L1627" s="103"/>
      <c r="M1627" s="104"/>
      <c r="N1627" s="104"/>
      <c r="O1627" s="105"/>
      <c r="P1627" s="106"/>
      <c r="Q1627" s="106"/>
      <c r="R1627" s="107"/>
      <c r="S1627" s="107"/>
      <c r="T1627" s="107"/>
      <c r="U1627" s="107"/>
      <c r="V1627" s="108"/>
      <c r="W1627" s="108"/>
      <c r="X1627" s="108"/>
      <c r="Y1627" s="108"/>
      <c r="Z1627" s="109"/>
      <c r="AA1627" s="110">
        <v>1627</v>
      </c>
      <c r="AB1627" s="110"/>
      <c r="AC1627" s="85"/>
      <c r="AD1627" s="86" t="s">
        <v>25213</v>
      </c>
      <c r="AE1627" s="94" t="s">
        <v>25878</v>
      </c>
      <c r="AF1627" s="86">
        <v>143</v>
      </c>
      <c r="AG1627" s="86">
        <v>41</v>
      </c>
      <c r="AH1627" s="86">
        <v>909</v>
      </c>
      <c r="AI1627" s="86">
        <v>2</v>
      </c>
      <c r="AJ1627" s="86">
        <v>9</v>
      </c>
      <c r="AK1627" s="86">
        <v>52</v>
      </c>
      <c r="AL1627" s="86" t="b">
        <v>0</v>
      </c>
      <c r="AM1627" s="89">
        <v>40618.829317129632</v>
      </c>
      <c r="AN1627" s="86" t="s">
        <v>26424</v>
      </c>
      <c r="AO1627" s="86" t="s">
        <v>27901</v>
      </c>
      <c r="AP1627" s="96" t="str">
        <f>HYPERLINK("http://t.co/i3APALcfl4")</f>
        <v>http://t.co/i3APALcfl4</v>
      </c>
      <c r="AQ1627" s="96" t="str">
        <f>HYPERLINK("http://extensaoesag.blogspot.com")</f>
        <v>http://extensaoesag.blogspot.com</v>
      </c>
      <c r="AR1627" s="86" t="s">
        <v>28993</v>
      </c>
      <c r="AS1627" s="86"/>
      <c r="AT1627" s="86"/>
      <c r="AU1627" s="86"/>
      <c r="AV1627" s="86"/>
      <c r="AW1627" s="96" t="str">
        <f>HYPERLINK("http://t.co/i3APALcfl4")</f>
        <v>http://t.co/i3APALcfl4</v>
      </c>
      <c r="AX1627" s="86" t="b">
        <v>0</v>
      </c>
      <c r="AY1627" s="86"/>
      <c r="AZ1627" s="86"/>
      <c r="BA1627" s="86" t="b">
        <v>0</v>
      </c>
      <c r="BB1627" s="86" t="b">
        <v>1</v>
      </c>
      <c r="BC1627" s="86" t="b">
        <v>0</v>
      </c>
      <c r="BD1627" s="86" t="b">
        <v>0</v>
      </c>
      <c r="BE1627" s="86" t="b">
        <v>0</v>
      </c>
      <c r="BF1627" s="86" t="b">
        <v>0</v>
      </c>
      <c r="BG1627" s="86" t="b">
        <v>0</v>
      </c>
      <c r="BH1627" s="96" t="str">
        <f>HYPERLINK("https://pbs.twimg.com/profile_banners/267352197/1628890066")</f>
        <v>https://pbs.twimg.com/profile_banners/267352197/1628890066</v>
      </c>
      <c r="BI1627" s="86"/>
      <c r="BJ1627" s="86" t="s">
        <v>29134</v>
      </c>
      <c r="BK1627" s="86" t="b">
        <v>0</v>
      </c>
      <c r="BL1627" s="86"/>
      <c r="BM1627" s="86" t="s">
        <v>65</v>
      </c>
      <c r="BN1627" s="86" t="s">
        <v>29136</v>
      </c>
      <c r="BO1627" s="96" t="str">
        <f>HYPERLINK("https://twitter.com/extensaoesag")</f>
        <v>https://twitter.com/extensaoesag</v>
      </c>
      <c r="BP1627"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627" xr:uid="{00000000-0002-0000-0100-000000000000}"/>
    <dataValidation allowBlank="1" errorTitle="Invalid Vertex Visibility" error="You have entered an unrecognized vertex visibility.  Try selecting from the drop-down list instead." sqref="BP3" xr:uid="{00000000-0002-0000-0100-000001000000}"/>
    <dataValidation allowBlank="1" showErrorMessage="1" sqref="BP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627"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627"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627"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627"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627" xr:uid="{00000000-0002-0000-0100-000007000000}"/>
    <dataValidation allowBlank="1" showInputMessage="1" errorTitle="Invalid Vertex Image Key" promptTitle="Vertex Tooltip" prompt="Enter optional text that will pop up when the mouse is hovered over the vertex." sqref="K3:K1627"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627"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627"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627" xr:uid="{00000000-0002-0000-0100-00000B000000}"/>
    <dataValidation allowBlank="1" showInputMessage="1" promptTitle="Vertex Label Fill Color" prompt="To select an optional fill color for the Label shape, right-click and select Select Color on the right-click menu." sqref="I3:I1627" xr:uid="{00000000-0002-0000-0100-00000C000000}"/>
    <dataValidation allowBlank="1" showInputMessage="1" errorTitle="Invalid Vertex Image Key" promptTitle="Vertex Image File" prompt="Enter the path to an image file.  Hover over the column header for examples." sqref="F3:F1627" xr:uid="{00000000-0002-0000-0100-00000D000000}"/>
    <dataValidation allowBlank="1" showInputMessage="1" promptTitle="Vertex Color" prompt="To select an optional vertex color, right-click and select Select Color on the right-click menu." sqref="B3:B1627"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627"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627"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627"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627" xr:uid="{00000000-0002-0000-0100-000012000000}">
      <formula1>ValidVertexLabelPositions</formula1>
    </dataValidation>
    <dataValidation allowBlank="1" showInputMessage="1" showErrorMessage="1" promptTitle="Vertex Name" prompt="Enter the name of the vertex." sqref="A3:A1627"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bestFit="1" customWidth="1"/>
    <col min="2" max="2" width="16.85546875" bestFit="1" customWidth="1"/>
    <col min="4" max="5" width="9.140625" customWidth="1"/>
  </cols>
  <sheetData>
    <row r="1" spans="1:1" x14ac:dyDescent="0.25">
      <c r="A1" t="s">
        <v>49</v>
      </c>
    </row>
    <row r="2" spans="1:1" ht="15" customHeight="1" x14ac:dyDescent="0.25"/>
    <row r="3" spans="1:1" ht="15" customHeight="1" x14ac:dyDescent="0.25">
      <c r="A3" s="29" t="s">
        <v>50</v>
      </c>
    </row>
    <row r="21" spans="4:4" x14ac:dyDescent="0.2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24" s="7" customFormat="1" ht="30" customHeight="1" x14ac:dyDescent="0.25">
      <c r="A2" s="10" t="s">
        <v>144</v>
      </c>
      <c r="B2" s="7" t="s">
        <v>21</v>
      </c>
      <c r="C2" s="7" t="s">
        <v>20</v>
      </c>
      <c r="D2" s="7" t="s">
        <v>11</v>
      </c>
      <c r="E2" s="7" t="s">
        <v>145</v>
      </c>
      <c r="F2" s="7" t="s">
        <v>46</v>
      </c>
      <c r="G2" s="7" t="s">
        <v>167</v>
      </c>
      <c r="H2" s="7" t="s">
        <v>168</v>
      </c>
      <c r="I2" s="7" t="s">
        <v>12</v>
      </c>
      <c r="J2" s="7" t="s">
        <v>166</v>
      </c>
      <c r="K2" s="7" t="s">
        <v>146</v>
      </c>
      <c r="L2" s="7" t="s">
        <v>148</v>
      </c>
      <c r="M2" s="7" t="s">
        <v>149</v>
      </c>
      <c r="N2" s="7" t="s">
        <v>150</v>
      </c>
      <c r="O2" s="7" t="s">
        <v>151</v>
      </c>
      <c r="P2" s="7" t="s">
        <v>170</v>
      </c>
      <c r="Q2" s="7" t="s">
        <v>171</v>
      </c>
      <c r="R2" s="7" t="s">
        <v>152</v>
      </c>
      <c r="S2" s="7" t="s">
        <v>153</v>
      </c>
      <c r="T2" s="7" t="s">
        <v>154</v>
      </c>
      <c r="U2" s="7" t="s">
        <v>155</v>
      </c>
      <c r="V2" s="7" t="s">
        <v>156</v>
      </c>
      <c r="W2" s="7" t="s">
        <v>157</v>
      </c>
      <c r="X2" s="7" t="s">
        <v>158</v>
      </c>
    </row>
    <row r="3" spans="1:24" x14ac:dyDescent="0.25">
      <c r="A3" s="11"/>
      <c r="B3" s="12"/>
      <c r="C3" s="12"/>
      <c r="D3" s="12"/>
      <c r="E3" s="12"/>
      <c r="F3" s="13"/>
      <c r="G3" s="61"/>
      <c r="H3" s="61"/>
      <c r="I3" s="49"/>
      <c r="J3" s="49"/>
      <c r="K3" s="44"/>
      <c r="L3" s="44"/>
      <c r="M3" s="44"/>
      <c r="N3" s="44"/>
      <c r="O3" s="44"/>
      <c r="P3" s="44"/>
      <c r="Q3" s="44"/>
      <c r="R3" s="44"/>
      <c r="S3" s="44"/>
      <c r="T3" s="44"/>
      <c r="U3" s="44"/>
      <c r="V3" s="44"/>
      <c r="W3" s="45"/>
      <c r="X3" s="45"/>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75"/>
  <sheetViews>
    <sheetView tabSelected="1" topLeftCell="A10" workbookViewId="0">
      <selection activeCell="B32" sqref="B3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7" t="s">
        <v>162</v>
      </c>
      <c r="B1" s="7" t="s">
        <v>17</v>
      </c>
      <c r="D1" t="s">
        <v>79</v>
      </c>
      <c r="E1" t="s">
        <v>80</v>
      </c>
      <c r="F1" s="33" t="s">
        <v>86</v>
      </c>
      <c r="G1" s="34" t="s">
        <v>87</v>
      </c>
      <c r="H1" s="33" t="s">
        <v>92</v>
      </c>
      <c r="I1" s="34" t="s">
        <v>93</v>
      </c>
      <c r="J1" s="33" t="s">
        <v>98</v>
      </c>
      <c r="K1" s="34" t="s">
        <v>99</v>
      </c>
      <c r="L1" s="33" t="s">
        <v>104</v>
      </c>
      <c r="M1" s="34" t="s">
        <v>105</v>
      </c>
      <c r="N1" s="33" t="s">
        <v>110</v>
      </c>
      <c r="O1" s="34" t="s">
        <v>111</v>
      </c>
      <c r="P1" s="34" t="s">
        <v>138</v>
      </c>
      <c r="Q1" s="34" t="s">
        <v>139</v>
      </c>
      <c r="R1" s="33" t="s">
        <v>116</v>
      </c>
      <c r="S1" s="33" t="s">
        <v>117</v>
      </c>
      <c r="T1" s="33" t="s">
        <v>122</v>
      </c>
      <c r="U1" s="34" t="s">
        <v>123</v>
      </c>
      <c r="W1" t="s">
        <v>127</v>
      </c>
      <c r="X1" t="s">
        <v>17</v>
      </c>
    </row>
    <row r="2" spans="1:24" ht="15.75" thickTop="1" x14ac:dyDescent="0.25">
      <c r="A2" s="32" t="s">
        <v>30764</v>
      </c>
      <c r="B2" s="32" t="s">
        <v>30763</v>
      </c>
      <c r="D2" s="30">
        <f>MIN(Vertices[Degree])</f>
        <v>0</v>
      </c>
      <c r="E2">
        <f>COUNTIF(Vertices[Degree], "&gt;= " &amp; D2) - COUNTIF(Vertices[Degree], "&gt;=" &amp; D3)</f>
        <v>0</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0</v>
      </c>
      <c r="L2" s="35">
        <f>MIN(Vertices[Closeness Centrality])</f>
        <v>0</v>
      </c>
      <c r="M2" s="36">
        <f>COUNTIF(Vertices[Closeness Centrality], "&gt;= " &amp; L2) - COUNTIF(Vertices[Closeness Centrality], "&gt;=" &amp; L3)</f>
        <v>0</v>
      </c>
      <c r="N2" s="35">
        <f>MIN(Vertices[Eigenvector Centrality])</f>
        <v>0</v>
      </c>
      <c r="O2" s="36">
        <f>COUNTIF(Vertices[Eigenvector Centrality], "&gt;= " &amp; N2) - COUNTIF(Vertices[Eigenvector Centrality], "&gt;=" &amp; N3)</f>
        <v>0</v>
      </c>
      <c r="P2" s="35">
        <f>MIN(Vertices[PageRank])</f>
        <v>0</v>
      </c>
      <c r="Q2" s="36">
        <f>COUNTIF(Vertices[PageRank], "&gt;= " &amp; P2) - COUNTIF(Vertices[PageRank], "&gt;=" &amp; P3)</f>
        <v>0</v>
      </c>
      <c r="R2" s="35">
        <f>MIN(Vertices[Clustering Coefficient])</f>
        <v>0</v>
      </c>
      <c r="S2" s="41">
        <f>COUNTIF(Vertices[Clustering Coefficient], "&gt;= " &amp; R2) - COUNTIF(Vertices[Clustering Coefficient], "&gt;=" &amp; R3)</f>
        <v>0</v>
      </c>
      <c r="T2" s="35" t="e">
        <f ca="1">MIN(INDIRECT(DynamicFilterSourceColumnRange))</f>
        <v>#REF!</v>
      </c>
      <c r="U2" s="36" t="e">
        <f t="shared" ref="U2:U25" ca="1" si="0">COUNTIF(INDIRECT(DynamicFilterSourceColumnRange), "&gt;= " &amp; T2) - COUNTIF(INDIRECT(DynamicFilterSourceColumnRange), "&gt;=" &amp; T3)</f>
        <v>#REF!</v>
      </c>
      <c r="W2" t="s">
        <v>124</v>
      </c>
      <c r="X2">
        <f>ROWS(HistogramBins[Degree Bin]) - 1</f>
        <v>34</v>
      </c>
    </row>
    <row r="3" spans="1:24" x14ac:dyDescent="0.25">
      <c r="A3" s="113"/>
      <c r="B3" s="113"/>
      <c r="D3" s="30">
        <f t="shared" ref="D3:D35" si="1">D2+($D$36-$D$2)/BinDivisor</f>
        <v>0</v>
      </c>
      <c r="E3">
        <f>COUNTIF(Vertices[Degree], "&gt;= " &amp; D3) - COUNTIF(Vertices[Degree], "&gt;=" &amp; D4)</f>
        <v>0</v>
      </c>
      <c r="F3" s="37">
        <f t="shared" ref="F3:F35" si="2">F2+($F$36-$F$2)/BinDivisor</f>
        <v>0</v>
      </c>
      <c r="G3" s="38">
        <f>COUNTIF(Vertices[In-Degree], "&gt;= " &amp; F3) - COUNTIF(Vertices[In-Degree], "&gt;=" &amp; F4)</f>
        <v>0</v>
      </c>
      <c r="H3" s="37">
        <f t="shared" ref="H3:H35" si="3">H2+($H$36-$H$2)/BinDivisor</f>
        <v>0</v>
      </c>
      <c r="I3" s="38">
        <f>COUNTIF(Vertices[Out-Degree], "&gt;= " &amp; H3) - COUNTIF(Vertices[Out-Degree], "&gt;=" &amp; H4)</f>
        <v>0</v>
      </c>
      <c r="J3" s="37">
        <f t="shared" ref="J3:J35" si="4">J2+($J$36-$J$2)/BinDivisor</f>
        <v>0</v>
      </c>
      <c r="K3" s="38">
        <f>COUNTIF(Vertices[Betweenness Centrality], "&gt;= " &amp; J3) - COUNTIF(Vertices[Betweenness Centrality], "&gt;=" &amp; J4)</f>
        <v>0</v>
      </c>
      <c r="L3" s="37">
        <f t="shared" ref="L3:L35" si="5">L2+($L$36-$L$2)/BinDivisor</f>
        <v>0</v>
      </c>
      <c r="M3" s="38">
        <f>COUNTIF(Vertices[Closeness Centrality], "&gt;= " &amp; L3) - COUNTIF(Vertices[Closeness Centrality], "&gt;=" &amp; L4)</f>
        <v>0</v>
      </c>
      <c r="N3" s="37">
        <f t="shared" ref="N3:N35" si="6">N2+($N$36-$N$2)/BinDivisor</f>
        <v>0</v>
      </c>
      <c r="O3" s="38">
        <f>COUNTIF(Vertices[Eigenvector Centrality], "&gt;= " &amp; N3) - COUNTIF(Vertices[Eigenvector Centrality], "&gt;=" &amp; N4)</f>
        <v>0</v>
      </c>
      <c r="P3" s="37">
        <f t="shared" ref="P3:P35" si="7">P2+($P$36-$P$2)/BinDivisor</f>
        <v>0</v>
      </c>
      <c r="Q3" s="38">
        <f>COUNTIF(Vertices[PageRank], "&gt;= " &amp; P3) - COUNTIF(Vertices[PageRank], "&gt;=" &amp; P4)</f>
        <v>0</v>
      </c>
      <c r="R3" s="37">
        <f t="shared" ref="R3:R35" si="8">R2+($R$36-$R$2)/BinDivisor</f>
        <v>0</v>
      </c>
      <c r="S3" s="42">
        <f>COUNTIF(Vertices[Clustering Coefficient], "&gt;= " &amp; R3) - COUNTIF(Vertices[Clustering Coefficient], "&gt;=" &amp; R4)</f>
        <v>0</v>
      </c>
      <c r="T3" s="37" t="e">
        <f t="shared" ref="T3:T35" ca="1" si="9">T2+($T$36-$T$2)/BinDivisor</f>
        <v>#REF!</v>
      </c>
      <c r="U3" s="38" t="e">
        <f t="shared" ca="1" si="0"/>
        <v>#REF!</v>
      </c>
      <c r="W3" t="s">
        <v>125</v>
      </c>
      <c r="X3" t="s">
        <v>85</v>
      </c>
    </row>
    <row r="4" spans="1:24" x14ac:dyDescent="0.25">
      <c r="A4" s="32" t="s">
        <v>146</v>
      </c>
      <c r="B4" s="32">
        <v>1625</v>
      </c>
      <c r="D4" s="30">
        <f t="shared" si="1"/>
        <v>0</v>
      </c>
      <c r="E4">
        <f>COUNTIF(Vertices[Degree], "&gt;= " &amp; D4) - COUNTIF(Vertices[Degree], "&gt;=" &amp; D5)</f>
        <v>0</v>
      </c>
      <c r="F4" s="35">
        <f t="shared" si="2"/>
        <v>0</v>
      </c>
      <c r="G4" s="36">
        <f>COUNTIF(Vertices[In-Degree], "&gt;= " &amp; F4) - COUNTIF(Vertices[In-Degree], "&gt;=" &amp; F5)</f>
        <v>0</v>
      </c>
      <c r="H4" s="35">
        <f t="shared" si="3"/>
        <v>0</v>
      </c>
      <c r="I4" s="36">
        <f>COUNTIF(Vertices[Out-Degree], "&gt;= " &amp; H4) - COUNTIF(Vertices[Out-Degree], "&gt;=" &amp; H5)</f>
        <v>0</v>
      </c>
      <c r="J4" s="35">
        <f t="shared" si="4"/>
        <v>0</v>
      </c>
      <c r="K4" s="36">
        <f>COUNTIF(Vertices[Betweenness Centrality], "&gt;= " &amp; J4) - COUNTIF(Vertices[Betweenness Centrality], "&gt;=" &amp; J5)</f>
        <v>0</v>
      </c>
      <c r="L4" s="35">
        <f t="shared" si="5"/>
        <v>0</v>
      </c>
      <c r="M4" s="36">
        <f>COUNTIF(Vertices[Closeness Centrality], "&gt;= " &amp; L4) - COUNTIF(Vertices[Closeness Centrality], "&gt;=" &amp; L5)</f>
        <v>0</v>
      </c>
      <c r="N4" s="35">
        <f t="shared" si="6"/>
        <v>0</v>
      </c>
      <c r="O4" s="36">
        <f>COUNTIF(Vertices[Eigenvector Centrality], "&gt;= " &amp; N4) - COUNTIF(Vertices[Eigenvector Centrality], "&gt;=" &amp; N5)</f>
        <v>0</v>
      </c>
      <c r="P4" s="35">
        <f t="shared" si="7"/>
        <v>0</v>
      </c>
      <c r="Q4" s="36">
        <f>COUNTIF(Vertices[PageRank], "&gt;= " &amp; P4) - COUNTIF(Vertices[PageRank], "&gt;=" &amp; P5)</f>
        <v>0</v>
      </c>
      <c r="R4" s="35">
        <f t="shared" si="8"/>
        <v>0</v>
      </c>
      <c r="S4" s="41">
        <f>COUNTIF(Vertices[Clustering Coefficient], "&gt;= " &amp; R4) - COUNTIF(Vertices[Clustering Coefficient], "&gt;=" &amp; R5)</f>
        <v>0</v>
      </c>
      <c r="T4" s="35" t="e">
        <f t="shared" ca="1" si="9"/>
        <v>#REF!</v>
      </c>
      <c r="U4" s="36" t="e">
        <f t="shared" ca="1" si="0"/>
        <v>#REF!</v>
      </c>
      <c r="W4" t="s">
        <v>126</v>
      </c>
      <c r="X4" t="s">
        <v>128</v>
      </c>
    </row>
    <row r="5" spans="1:24" x14ac:dyDescent="0.25">
      <c r="A5" s="113"/>
      <c r="B5" s="113"/>
      <c r="D5" s="30">
        <f t="shared" si="1"/>
        <v>0</v>
      </c>
      <c r="E5">
        <f>COUNTIF(Vertices[Degree], "&gt;= " &amp; D5) - COUNTIF(Vertices[Degree], "&gt;=" &amp; D6)</f>
        <v>0</v>
      </c>
      <c r="F5" s="37">
        <f t="shared" si="2"/>
        <v>0</v>
      </c>
      <c r="G5" s="38">
        <f>COUNTIF(Vertices[In-Degree], "&gt;= " &amp; F5) - COUNTIF(Vertices[In-Degree], "&gt;=" &amp; F6)</f>
        <v>0</v>
      </c>
      <c r="H5" s="37">
        <f t="shared" si="3"/>
        <v>0</v>
      </c>
      <c r="I5" s="38">
        <f>COUNTIF(Vertices[Out-Degree], "&gt;= " &amp; H5) - COUNTIF(Vertices[Out-Degree], "&gt;=" &amp; H6)</f>
        <v>0</v>
      </c>
      <c r="J5" s="37">
        <f t="shared" si="4"/>
        <v>0</v>
      </c>
      <c r="K5" s="38">
        <f>COUNTIF(Vertices[Betweenness Centrality], "&gt;= " &amp; J5) - COUNTIF(Vertices[Betweenness Centrality], "&gt;=" &amp; J6)</f>
        <v>0</v>
      </c>
      <c r="L5" s="37">
        <f t="shared" si="5"/>
        <v>0</v>
      </c>
      <c r="M5" s="38">
        <f>COUNTIF(Vertices[Closeness Centrality], "&gt;= " &amp; L5) - COUNTIF(Vertices[Closeness Centrality], "&gt;=" &amp; L6)</f>
        <v>0</v>
      </c>
      <c r="N5" s="37">
        <f t="shared" si="6"/>
        <v>0</v>
      </c>
      <c r="O5" s="38">
        <f>COUNTIF(Vertices[Eigenvector Centrality], "&gt;= " &amp; N5) - COUNTIF(Vertices[Eigenvector Centrality], "&gt;=" &amp; N6)</f>
        <v>0</v>
      </c>
      <c r="P5" s="37">
        <f t="shared" si="7"/>
        <v>0</v>
      </c>
      <c r="Q5" s="38">
        <f>COUNTIF(Vertices[PageRank], "&gt;= " &amp; P5) - COUNTIF(Vertices[PageRank], "&gt;=" &amp; P6)</f>
        <v>0</v>
      </c>
      <c r="R5" s="37">
        <f t="shared" si="8"/>
        <v>0</v>
      </c>
      <c r="S5" s="42">
        <f>COUNTIF(Vertices[Clustering Coefficient], "&gt;= " &amp; R5) - COUNTIF(Vertices[Clustering Coefficient], "&gt;=" &amp; R6)</f>
        <v>0</v>
      </c>
      <c r="T5" s="37" t="e">
        <f t="shared" ca="1" si="9"/>
        <v>#REF!</v>
      </c>
      <c r="U5" s="38" t="e">
        <f t="shared" ca="1" si="0"/>
        <v>#REF!</v>
      </c>
    </row>
    <row r="6" spans="1:24" x14ac:dyDescent="0.25">
      <c r="A6" s="32" t="s">
        <v>148</v>
      </c>
      <c r="B6" s="32">
        <v>1111</v>
      </c>
      <c r="D6" s="30">
        <f t="shared" si="1"/>
        <v>0</v>
      </c>
      <c r="E6">
        <f>COUNTIF(Vertices[Degree], "&gt;= " &amp; D6) - COUNTIF(Vertices[Degree], "&gt;=" &amp; D7)</f>
        <v>0</v>
      </c>
      <c r="F6" s="35">
        <f t="shared" si="2"/>
        <v>0</v>
      </c>
      <c r="G6" s="36">
        <f>COUNTIF(Vertices[In-Degree], "&gt;= " &amp; F6) - COUNTIF(Vertices[In-Degree], "&gt;=" &amp; F7)</f>
        <v>0</v>
      </c>
      <c r="H6" s="35">
        <f t="shared" si="3"/>
        <v>0</v>
      </c>
      <c r="I6" s="36">
        <f>COUNTIF(Vertices[Out-Degree], "&gt;= " &amp; H6) - COUNTIF(Vertices[Out-Degree], "&gt;=" &amp; H7)</f>
        <v>0</v>
      </c>
      <c r="J6" s="35">
        <f t="shared" si="4"/>
        <v>0</v>
      </c>
      <c r="K6" s="36">
        <f>COUNTIF(Vertices[Betweenness Centrality], "&gt;= " &amp; J6) - COUNTIF(Vertices[Betweenness Centrality], "&gt;=" &amp; J7)</f>
        <v>0</v>
      </c>
      <c r="L6" s="35">
        <f t="shared" si="5"/>
        <v>0</v>
      </c>
      <c r="M6" s="36">
        <f>COUNTIF(Vertices[Closeness Centrality], "&gt;= " &amp; L6) - COUNTIF(Vertices[Closeness Centrality], "&gt;=" &amp; L7)</f>
        <v>0</v>
      </c>
      <c r="N6" s="35">
        <f t="shared" si="6"/>
        <v>0</v>
      </c>
      <c r="O6" s="36">
        <f>COUNTIF(Vertices[Eigenvector Centrality], "&gt;= " &amp; N6) - COUNTIF(Vertices[Eigenvector Centrality], "&gt;=" &amp; N7)</f>
        <v>0</v>
      </c>
      <c r="P6" s="35">
        <f t="shared" si="7"/>
        <v>0</v>
      </c>
      <c r="Q6" s="36">
        <f>COUNTIF(Vertices[PageRank], "&gt;= " &amp; P6) - COUNTIF(Vertices[PageRank], "&gt;=" &amp; P7)</f>
        <v>0</v>
      </c>
      <c r="R6" s="35">
        <f t="shared" si="8"/>
        <v>0</v>
      </c>
      <c r="S6" s="41">
        <f>COUNTIF(Vertices[Clustering Coefficient], "&gt;= " &amp; R6) - COUNTIF(Vertices[Clustering Coefficient], "&gt;=" &amp; R7)</f>
        <v>0</v>
      </c>
      <c r="T6" s="35" t="e">
        <f t="shared" ca="1" si="9"/>
        <v>#REF!</v>
      </c>
      <c r="U6" s="36" t="e">
        <f t="shared" ca="1" si="0"/>
        <v>#REF!</v>
      </c>
    </row>
    <row r="7" spans="1:24" x14ac:dyDescent="0.25">
      <c r="A7" s="32" t="s">
        <v>149</v>
      </c>
      <c r="B7" s="32">
        <v>3072</v>
      </c>
      <c r="D7" s="30">
        <f t="shared" si="1"/>
        <v>0</v>
      </c>
      <c r="E7">
        <f>COUNTIF(Vertices[Degree], "&gt;= " &amp; D7) - COUNTIF(Vertices[Degree], "&gt;=" &amp; D8)</f>
        <v>0</v>
      </c>
      <c r="F7" s="37">
        <f t="shared" si="2"/>
        <v>0</v>
      </c>
      <c r="G7" s="38">
        <f>COUNTIF(Vertices[In-Degree], "&gt;= " &amp; F7) - COUNTIF(Vertices[In-Degree], "&gt;=" &amp; F8)</f>
        <v>0</v>
      </c>
      <c r="H7" s="37">
        <f t="shared" si="3"/>
        <v>0</v>
      </c>
      <c r="I7" s="38">
        <f>COUNTIF(Vertices[Out-Degree], "&gt;= " &amp; H7) - COUNTIF(Vertices[Out-Degree], "&gt;=" &amp; H8)</f>
        <v>0</v>
      </c>
      <c r="J7" s="37">
        <f t="shared" si="4"/>
        <v>0</v>
      </c>
      <c r="K7" s="38">
        <f>COUNTIF(Vertices[Betweenness Centrality], "&gt;= " &amp; J7) - COUNTIF(Vertices[Betweenness Centrality], "&gt;=" &amp; J8)</f>
        <v>0</v>
      </c>
      <c r="L7" s="37">
        <f t="shared" si="5"/>
        <v>0</v>
      </c>
      <c r="M7" s="38">
        <f>COUNTIF(Vertices[Closeness Centrality], "&gt;= " &amp; L7) - COUNTIF(Vertices[Closeness Centrality], "&gt;=" &amp; L8)</f>
        <v>0</v>
      </c>
      <c r="N7" s="37">
        <f t="shared" si="6"/>
        <v>0</v>
      </c>
      <c r="O7" s="38">
        <f>COUNTIF(Vertices[Eigenvector Centrality], "&gt;= " &amp; N7) - COUNTIF(Vertices[Eigenvector Centrality], "&gt;=" &amp; N8)</f>
        <v>0</v>
      </c>
      <c r="P7" s="37">
        <f t="shared" si="7"/>
        <v>0</v>
      </c>
      <c r="Q7" s="38">
        <f>COUNTIF(Vertices[PageRank], "&gt;= " &amp; P7) - COUNTIF(Vertices[PageRank], "&gt;=" &amp; P8)</f>
        <v>0</v>
      </c>
      <c r="R7" s="37">
        <f t="shared" si="8"/>
        <v>0</v>
      </c>
      <c r="S7" s="42">
        <f>COUNTIF(Vertices[Clustering Coefficient], "&gt;= " &amp; R7) - COUNTIF(Vertices[Clustering Coefficient], "&gt;=" &amp; R8)</f>
        <v>0</v>
      </c>
      <c r="T7" s="37" t="e">
        <f t="shared" ca="1" si="9"/>
        <v>#REF!</v>
      </c>
      <c r="U7" s="38" t="e">
        <f t="shared" ca="1" si="0"/>
        <v>#REF!</v>
      </c>
    </row>
    <row r="8" spans="1:24" x14ac:dyDescent="0.25">
      <c r="A8" s="32" t="s">
        <v>150</v>
      </c>
      <c r="B8" s="32">
        <v>4183</v>
      </c>
      <c r="D8" s="30">
        <f t="shared" si="1"/>
        <v>0</v>
      </c>
      <c r="E8">
        <f>COUNTIF(Vertices[Degree], "&gt;= " &amp; D8) - COUNTIF(Vertices[Degree], "&gt;=" &amp; D9)</f>
        <v>0</v>
      </c>
      <c r="F8" s="35">
        <f t="shared" si="2"/>
        <v>0</v>
      </c>
      <c r="G8" s="36">
        <f>COUNTIF(Vertices[In-Degree], "&gt;= " &amp; F8) - COUNTIF(Vertices[In-Degree], "&gt;=" &amp; F9)</f>
        <v>0</v>
      </c>
      <c r="H8" s="35">
        <f t="shared" si="3"/>
        <v>0</v>
      </c>
      <c r="I8" s="36">
        <f>COUNTIF(Vertices[Out-Degree], "&gt;= " &amp; H8) - COUNTIF(Vertices[Out-Degree], "&gt;=" &amp; H9)</f>
        <v>0</v>
      </c>
      <c r="J8" s="35">
        <f t="shared" si="4"/>
        <v>0</v>
      </c>
      <c r="K8" s="36">
        <f>COUNTIF(Vertices[Betweenness Centrality], "&gt;= " &amp; J8) - COUNTIF(Vertices[Betweenness Centrality], "&gt;=" &amp; J9)</f>
        <v>0</v>
      </c>
      <c r="L8" s="35">
        <f t="shared" si="5"/>
        <v>0</v>
      </c>
      <c r="M8" s="36">
        <f>COUNTIF(Vertices[Closeness Centrality], "&gt;= " &amp; L8) - COUNTIF(Vertices[Closeness Centrality], "&gt;=" &amp; L9)</f>
        <v>0</v>
      </c>
      <c r="N8" s="35">
        <f t="shared" si="6"/>
        <v>0</v>
      </c>
      <c r="O8" s="36">
        <f>COUNTIF(Vertices[Eigenvector Centrality], "&gt;= " &amp; N8) - COUNTIF(Vertices[Eigenvector Centrality], "&gt;=" &amp; N9)</f>
        <v>0</v>
      </c>
      <c r="P8" s="35">
        <f t="shared" si="7"/>
        <v>0</v>
      </c>
      <c r="Q8" s="36">
        <f>COUNTIF(Vertices[PageRank], "&gt;= " &amp; P8) - COUNTIF(Vertices[PageRank], "&gt;=" &amp; P9)</f>
        <v>0</v>
      </c>
      <c r="R8" s="35">
        <f t="shared" si="8"/>
        <v>0</v>
      </c>
      <c r="S8" s="41">
        <f>COUNTIF(Vertices[Clustering Coefficient], "&gt;= " &amp; R8) - COUNTIF(Vertices[Clustering Coefficient], "&gt;=" &amp; R9)</f>
        <v>0</v>
      </c>
      <c r="T8" s="35" t="e">
        <f t="shared" ca="1" si="9"/>
        <v>#REF!</v>
      </c>
      <c r="U8" s="36" t="e">
        <f t="shared" ca="1" si="0"/>
        <v>#REF!</v>
      </c>
    </row>
    <row r="9" spans="1:24" x14ac:dyDescent="0.25">
      <c r="A9" s="113"/>
      <c r="B9" s="113"/>
      <c r="D9" s="30">
        <f t="shared" si="1"/>
        <v>0</v>
      </c>
      <c r="E9">
        <f>COUNTIF(Vertices[Degree], "&gt;= " &amp; D9) - COUNTIF(Vertices[Degree], "&gt;=" &amp; D10)</f>
        <v>0</v>
      </c>
      <c r="F9" s="37">
        <f t="shared" si="2"/>
        <v>0</v>
      </c>
      <c r="G9" s="38">
        <f>COUNTIF(Vertices[In-Degree], "&gt;= " &amp; F9) - COUNTIF(Vertices[In-Degree], "&gt;=" &amp; F10)</f>
        <v>0</v>
      </c>
      <c r="H9" s="37">
        <f t="shared" si="3"/>
        <v>0</v>
      </c>
      <c r="I9" s="38">
        <f>COUNTIF(Vertices[Out-Degree], "&gt;= " &amp; H9) - COUNTIF(Vertices[Out-Degree], "&gt;=" &amp; H10)</f>
        <v>0</v>
      </c>
      <c r="J9" s="37">
        <f t="shared" si="4"/>
        <v>0</v>
      </c>
      <c r="K9" s="38">
        <f>COUNTIF(Vertices[Betweenness Centrality], "&gt;= " &amp; J9) - COUNTIF(Vertices[Betweenness Centrality], "&gt;=" &amp; J10)</f>
        <v>0</v>
      </c>
      <c r="L9" s="37">
        <f t="shared" si="5"/>
        <v>0</v>
      </c>
      <c r="M9" s="38">
        <f>COUNTIF(Vertices[Closeness Centrality], "&gt;= " &amp; L9) - COUNTIF(Vertices[Closeness Centrality], "&gt;=" &amp; L10)</f>
        <v>0</v>
      </c>
      <c r="N9" s="37">
        <f t="shared" si="6"/>
        <v>0</v>
      </c>
      <c r="O9" s="38">
        <f>COUNTIF(Vertices[Eigenvector Centrality], "&gt;= " &amp; N9) - COUNTIF(Vertices[Eigenvector Centrality], "&gt;=" &amp; N10)</f>
        <v>0</v>
      </c>
      <c r="P9" s="37">
        <f t="shared" si="7"/>
        <v>0</v>
      </c>
      <c r="Q9" s="38">
        <f>COUNTIF(Vertices[PageRank], "&gt;= " &amp; P9) - COUNTIF(Vertices[PageRank], "&gt;=" &amp; P10)</f>
        <v>0</v>
      </c>
      <c r="R9" s="37">
        <f t="shared" si="8"/>
        <v>0</v>
      </c>
      <c r="S9" s="42">
        <f>COUNTIF(Vertices[Clustering Coefficient], "&gt;= " &amp; R9) - COUNTIF(Vertices[Clustering Coefficient], "&gt;=" &amp; R10)</f>
        <v>0</v>
      </c>
      <c r="T9" s="37" t="e">
        <f t="shared" ca="1" si="9"/>
        <v>#REF!</v>
      </c>
      <c r="U9" s="38" t="e">
        <f t="shared" ca="1" si="0"/>
        <v>#REF!</v>
      </c>
    </row>
    <row r="10" spans="1:24" x14ac:dyDescent="0.25">
      <c r="A10" s="32" t="s">
        <v>151</v>
      </c>
      <c r="B10" s="32">
        <v>3736</v>
      </c>
      <c r="D10" s="30">
        <f t="shared" si="1"/>
        <v>0</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0</v>
      </c>
      <c r="K10" s="36">
        <f>COUNTIF(Vertices[Betweenness Centrality], "&gt;= " &amp; J10) - COUNTIF(Vertices[Betweenness Centrality], "&gt;=" &amp; J11)</f>
        <v>0</v>
      </c>
      <c r="L10" s="35">
        <f t="shared" si="5"/>
        <v>0</v>
      </c>
      <c r="M10" s="36">
        <f>COUNTIF(Vertices[Closeness Centrality], "&gt;= " &amp; L10) - COUNTIF(Vertices[Closeness Centrality], "&gt;=" &amp; L11)</f>
        <v>0</v>
      </c>
      <c r="N10" s="35">
        <f t="shared" si="6"/>
        <v>0</v>
      </c>
      <c r="O10" s="36">
        <f>COUNTIF(Vertices[Eigenvector Centrality], "&gt;= " &amp; N10) - COUNTIF(Vertices[Eigenvector Centrality], "&gt;=" &amp; N11)</f>
        <v>0</v>
      </c>
      <c r="P10" s="35">
        <f t="shared" si="7"/>
        <v>0</v>
      </c>
      <c r="Q10" s="36">
        <f>COUNTIF(Vertices[PageRank], "&gt;= " &amp; P10) - COUNTIF(Vertices[PageRank], "&gt;=" &amp; P11)</f>
        <v>0</v>
      </c>
      <c r="R10" s="35">
        <f t="shared" si="8"/>
        <v>0</v>
      </c>
      <c r="S10" s="41">
        <f>COUNTIF(Vertices[Clustering Coefficient], "&gt;= " &amp; R10) - COUNTIF(Vertices[Clustering Coefficient], "&gt;=" &amp; R11)</f>
        <v>0</v>
      </c>
      <c r="T10" s="35" t="e">
        <f t="shared" ca="1" si="9"/>
        <v>#REF!</v>
      </c>
      <c r="U10" s="36" t="e">
        <f t="shared" ca="1" si="0"/>
        <v>#REF!</v>
      </c>
    </row>
    <row r="11" spans="1:24" x14ac:dyDescent="0.25">
      <c r="A11" s="113"/>
      <c r="B11" s="113"/>
      <c r="D11" s="30">
        <f t="shared" si="1"/>
        <v>0</v>
      </c>
      <c r="E11">
        <f>COUNTIF(Vertices[Degree], "&gt;= " &amp; D11) - COUNTIF(Vertices[Degree], "&gt;=" &amp; D12)</f>
        <v>0</v>
      </c>
      <c r="F11" s="37">
        <f t="shared" si="2"/>
        <v>0</v>
      </c>
      <c r="G11" s="38">
        <f>COUNTIF(Vertices[In-Degree], "&gt;= " &amp; F11) - COUNTIF(Vertices[In-Degree], "&gt;=" &amp; F12)</f>
        <v>0</v>
      </c>
      <c r="H11" s="37">
        <f t="shared" si="3"/>
        <v>0</v>
      </c>
      <c r="I11" s="38">
        <f>COUNTIF(Vertices[Out-Degree], "&gt;= " &amp; H11) - COUNTIF(Vertices[Out-Degree], "&gt;=" &amp; H12)</f>
        <v>0</v>
      </c>
      <c r="J11" s="37">
        <f t="shared" si="4"/>
        <v>0</v>
      </c>
      <c r="K11" s="38">
        <f>COUNTIF(Vertices[Betweenness Centrality], "&gt;= " &amp; J11) - COUNTIF(Vertices[Betweenness Centrality], "&gt;=" &amp; J12)</f>
        <v>0</v>
      </c>
      <c r="L11" s="37">
        <f t="shared" si="5"/>
        <v>0</v>
      </c>
      <c r="M11" s="38">
        <f>COUNTIF(Vertices[Closeness Centrality], "&gt;= " &amp; L11) - COUNTIF(Vertices[Closeness Centrality], "&gt;=" &amp; L12)</f>
        <v>0</v>
      </c>
      <c r="N11" s="37">
        <f t="shared" si="6"/>
        <v>0</v>
      </c>
      <c r="O11" s="38">
        <f>COUNTIF(Vertices[Eigenvector Centrality], "&gt;= " &amp; N11) - COUNTIF(Vertices[Eigenvector Centrality], "&gt;=" &amp; N12)</f>
        <v>0</v>
      </c>
      <c r="P11" s="37">
        <f t="shared" si="7"/>
        <v>0</v>
      </c>
      <c r="Q11" s="38">
        <f>COUNTIF(Vertices[PageRank], "&gt;= " &amp; P11) - COUNTIF(Vertices[PageRank], "&gt;=" &amp; P12)</f>
        <v>0</v>
      </c>
      <c r="R11" s="37">
        <f t="shared" si="8"/>
        <v>0</v>
      </c>
      <c r="S11" s="42">
        <f>COUNTIF(Vertices[Clustering Coefficient], "&gt;= " &amp; R11) - COUNTIF(Vertices[Clustering Coefficient], "&gt;=" &amp; R12)</f>
        <v>0</v>
      </c>
      <c r="T11" s="37" t="e">
        <f t="shared" ca="1" si="9"/>
        <v>#REF!</v>
      </c>
      <c r="U11" s="38" t="e">
        <f t="shared" ca="1" si="0"/>
        <v>#REF!</v>
      </c>
    </row>
    <row r="12" spans="1:24" x14ac:dyDescent="0.25">
      <c r="A12" s="32" t="s">
        <v>170</v>
      </c>
      <c r="B12" s="32">
        <v>3.0487804878048782E-3</v>
      </c>
      <c r="D12" s="30">
        <f t="shared" si="1"/>
        <v>0</v>
      </c>
      <c r="E12">
        <f>COUNTIF(Vertices[Degree], "&gt;= " &amp; D12) - COUNTIF(Vertices[Degree], "&gt;=" &amp; D13)</f>
        <v>0</v>
      </c>
      <c r="F12" s="35">
        <f t="shared" si="2"/>
        <v>0</v>
      </c>
      <c r="G12" s="36">
        <f>COUNTIF(Vertices[In-Degree], "&gt;= " &amp; F12) - COUNTIF(Vertices[In-Degree], "&gt;=" &amp; F13)</f>
        <v>0</v>
      </c>
      <c r="H12" s="35">
        <f t="shared" si="3"/>
        <v>0</v>
      </c>
      <c r="I12" s="36">
        <f>COUNTIF(Vertices[Out-Degree], "&gt;= " &amp; H12) - COUNTIF(Vertices[Out-Degree], "&gt;=" &amp; H13)</f>
        <v>0</v>
      </c>
      <c r="J12" s="35">
        <f t="shared" si="4"/>
        <v>0</v>
      </c>
      <c r="K12" s="36">
        <f>COUNTIF(Vertices[Betweenness Centrality], "&gt;= " &amp; J12) - COUNTIF(Vertices[Betweenness Centrality], "&gt;=" &amp; J13)</f>
        <v>0</v>
      </c>
      <c r="L12" s="35">
        <f t="shared" si="5"/>
        <v>0</v>
      </c>
      <c r="M12" s="36">
        <f>COUNTIF(Vertices[Closeness Centrality], "&gt;= " &amp; L12) - COUNTIF(Vertices[Closeness Centrality], "&gt;=" &amp; L13)</f>
        <v>0</v>
      </c>
      <c r="N12" s="35">
        <f t="shared" si="6"/>
        <v>0</v>
      </c>
      <c r="O12" s="36">
        <f>COUNTIF(Vertices[Eigenvector Centrality], "&gt;= " &amp; N12) - COUNTIF(Vertices[Eigenvector Centrality], "&gt;=" &amp; N13)</f>
        <v>0</v>
      </c>
      <c r="P12" s="35">
        <f t="shared" si="7"/>
        <v>0</v>
      </c>
      <c r="Q12" s="36">
        <f>COUNTIF(Vertices[PageRank], "&gt;= " &amp; P12) - COUNTIF(Vertices[PageRank], "&gt;=" &amp; P13)</f>
        <v>0</v>
      </c>
      <c r="R12" s="35">
        <f t="shared" si="8"/>
        <v>0</v>
      </c>
      <c r="S12" s="41">
        <f>COUNTIF(Vertices[Clustering Coefficient], "&gt;= " &amp; R12) - COUNTIF(Vertices[Clustering Coefficient], "&gt;=" &amp; R13)</f>
        <v>0</v>
      </c>
      <c r="T12" s="35" t="e">
        <f t="shared" ca="1" si="9"/>
        <v>#REF!</v>
      </c>
      <c r="U12" s="36" t="e">
        <f t="shared" ca="1" si="0"/>
        <v>#REF!</v>
      </c>
    </row>
    <row r="13" spans="1:24" x14ac:dyDescent="0.25">
      <c r="A13" s="32" t="s">
        <v>171</v>
      </c>
      <c r="B13" s="32">
        <v>6.0790273556231003E-3</v>
      </c>
      <c r="D13" s="30">
        <f t="shared" si="1"/>
        <v>0</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0</v>
      </c>
      <c r="K13" s="38">
        <f>COUNTIF(Vertices[Betweenness Centrality], "&gt;= " &amp; J13) - COUNTIF(Vertices[Betweenness Centrality], "&gt;=" &amp; J14)</f>
        <v>0</v>
      </c>
      <c r="L13" s="37">
        <f t="shared" si="5"/>
        <v>0</v>
      </c>
      <c r="M13" s="38">
        <f>COUNTIF(Vertices[Closeness Centrality], "&gt;= " &amp; L13) - COUNTIF(Vertices[Closeness Centrality], "&gt;=" &amp; L14)</f>
        <v>0</v>
      </c>
      <c r="N13" s="37">
        <f t="shared" si="6"/>
        <v>0</v>
      </c>
      <c r="O13" s="38">
        <f>COUNTIF(Vertices[Eigenvector Centrality], "&gt;= " &amp; N13) - COUNTIF(Vertices[Eigenvector Centrality], "&gt;=" &amp; N14)</f>
        <v>0</v>
      </c>
      <c r="P13" s="37">
        <f t="shared" si="7"/>
        <v>0</v>
      </c>
      <c r="Q13" s="38">
        <f>COUNTIF(Vertices[PageRank], "&gt;= " &amp; P13) - COUNTIF(Vertices[PageRank], "&gt;=" &amp; P14)</f>
        <v>0</v>
      </c>
      <c r="R13" s="37">
        <f t="shared" si="8"/>
        <v>0</v>
      </c>
      <c r="S13" s="42">
        <f>COUNTIF(Vertices[Clustering Coefficient], "&gt;= " &amp; R13) - COUNTIF(Vertices[Clustering Coefficient], "&gt;=" &amp; R14)</f>
        <v>0</v>
      </c>
      <c r="T13" s="37" t="e">
        <f t="shared" ca="1" si="9"/>
        <v>#REF!</v>
      </c>
      <c r="U13" s="38" t="e">
        <f t="shared" ca="1" si="0"/>
        <v>#REF!</v>
      </c>
    </row>
    <row r="14" spans="1:24" x14ac:dyDescent="0.25">
      <c r="A14" s="113"/>
      <c r="B14" s="113"/>
      <c r="D14" s="30">
        <f t="shared" si="1"/>
        <v>0</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0</v>
      </c>
      <c r="K14" s="36">
        <f>COUNTIF(Vertices[Betweenness Centrality], "&gt;= " &amp; J14) - COUNTIF(Vertices[Betweenness Centrality], "&gt;=" &amp; J15)</f>
        <v>0</v>
      </c>
      <c r="L14" s="35">
        <f t="shared" si="5"/>
        <v>0</v>
      </c>
      <c r="M14" s="36">
        <f>COUNTIF(Vertices[Closeness Centrality], "&gt;= " &amp; L14) - COUNTIF(Vertices[Closeness Centrality], "&gt;=" &amp; L15)</f>
        <v>0</v>
      </c>
      <c r="N14" s="35">
        <f t="shared" si="6"/>
        <v>0</v>
      </c>
      <c r="O14" s="36">
        <f>COUNTIF(Vertices[Eigenvector Centrality], "&gt;= " &amp; N14) - COUNTIF(Vertices[Eigenvector Centrality], "&gt;=" &amp; N15)</f>
        <v>0</v>
      </c>
      <c r="P14" s="35">
        <f t="shared" si="7"/>
        <v>0</v>
      </c>
      <c r="Q14" s="36">
        <f>COUNTIF(Vertices[PageRank], "&gt;= " &amp; P14) - COUNTIF(Vertices[PageRank], "&gt;=" &amp; P15)</f>
        <v>0</v>
      </c>
      <c r="R14" s="35">
        <f t="shared" si="8"/>
        <v>0</v>
      </c>
      <c r="S14" s="41">
        <f>COUNTIF(Vertices[Clustering Coefficient], "&gt;= " &amp; R14) - COUNTIF(Vertices[Clustering Coefficient], "&gt;=" &amp; R15)</f>
        <v>0</v>
      </c>
      <c r="T14" s="35" t="e">
        <f t="shared" ca="1" si="9"/>
        <v>#REF!</v>
      </c>
      <c r="U14" s="36" t="e">
        <f t="shared" ca="1" si="0"/>
        <v>#REF!</v>
      </c>
    </row>
    <row r="15" spans="1:24" x14ac:dyDescent="0.25">
      <c r="A15" s="32" t="s">
        <v>152</v>
      </c>
      <c r="B15" s="32">
        <v>1305</v>
      </c>
      <c r="D15" s="30">
        <f t="shared" si="1"/>
        <v>0</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0</v>
      </c>
      <c r="K15" s="38">
        <f>COUNTIF(Vertices[Betweenness Centrality], "&gt;= " &amp; J15) - COUNTIF(Vertices[Betweenness Centrality], "&gt;=" &amp; J16)</f>
        <v>0</v>
      </c>
      <c r="L15" s="37">
        <f t="shared" si="5"/>
        <v>0</v>
      </c>
      <c r="M15" s="38">
        <f>COUNTIF(Vertices[Closeness Centrality], "&gt;= " &amp; L15) - COUNTIF(Vertices[Closeness Centrality], "&gt;=" &amp; L16)</f>
        <v>0</v>
      </c>
      <c r="N15" s="37">
        <f t="shared" si="6"/>
        <v>0</v>
      </c>
      <c r="O15" s="38">
        <f>COUNTIF(Vertices[Eigenvector Centrality], "&gt;= " &amp; N15) - COUNTIF(Vertices[Eigenvector Centrality], "&gt;=" &amp; N16)</f>
        <v>0</v>
      </c>
      <c r="P15" s="37">
        <f t="shared" si="7"/>
        <v>0</v>
      </c>
      <c r="Q15" s="38">
        <f>COUNTIF(Vertices[PageRank], "&gt;= " &amp; P15) - COUNTIF(Vertices[PageRank], "&gt;=" &amp; P16)</f>
        <v>0</v>
      </c>
      <c r="R15" s="37">
        <f t="shared" si="8"/>
        <v>0</v>
      </c>
      <c r="S15" s="42">
        <f>COUNTIF(Vertices[Clustering Coefficient], "&gt;= " &amp; R15) - COUNTIF(Vertices[Clustering Coefficient], "&gt;=" &amp; R16)</f>
        <v>0</v>
      </c>
      <c r="T15" s="37" t="e">
        <f t="shared" ca="1" si="9"/>
        <v>#REF!</v>
      </c>
      <c r="U15" s="38" t="e">
        <f t="shared" ca="1" si="0"/>
        <v>#REF!</v>
      </c>
    </row>
    <row r="16" spans="1:24" x14ac:dyDescent="0.25">
      <c r="A16" s="32" t="s">
        <v>153</v>
      </c>
      <c r="B16" s="32">
        <v>1175</v>
      </c>
      <c r="D16" s="30">
        <f t="shared" si="1"/>
        <v>0</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0</v>
      </c>
      <c r="K16" s="36">
        <f>COUNTIF(Vertices[Betweenness Centrality], "&gt;= " &amp; J16) - COUNTIF(Vertices[Betweenness Centrality], "&gt;=" &amp; J17)</f>
        <v>0</v>
      </c>
      <c r="L16" s="35">
        <f t="shared" si="5"/>
        <v>0</v>
      </c>
      <c r="M16" s="36">
        <f>COUNTIF(Vertices[Closeness Centrality], "&gt;= " &amp; L16) - COUNTIF(Vertices[Closeness Centrality], "&gt;=" &amp; L17)</f>
        <v>0</v>
      </c>
      <c r="N16" s="35">
        <f t="shared" si="6"/>
        <v>0</v>
      </c>
      <c r="O16" s="36">
        <f>COUNTIF(Vertices[Eigenvector Centrality], "&gt;= " &amp; N16) - COUNTIF(Vertices[Eigenvector Centrality], "&gt;=" &amp; N17)</f>
        <v>0</v>
      </c>
      <c r="P16" s="35">
        <f t="shared" si="7"/>
        <v>0</v>
      </c>
      <c r="Q16" s="36">
        <f>COUNTIF(Vertices[PageRank], "&gt;= " &amp; P16) - COUNTIF(Vertices[PageRank], "&gt;=" &amp; P17)</f>
        <v>0</v>
      </c>
      <c r="R16" s="35">
        <f t="shared" si="8"/>
        <v>0</v>
      </c>
      <c r="S16" s="41">
        <f>COUNTIF(Vertices[Clustering Coefficient], "&gt;= " &amp; R16) - COUNTIF(Vertices[Clustering Coefficient], "&gt;=" &amp; R17)</f>
        <v>0</v>
      </c>
      <c r="T16" s="35" t="e">
        <f t="shared" ca="1" si="9"/>
        <v>#REF!</v>
      </c>
      <c r="U16" s="36" t="e">
        <f t="shared" ca="1" si="0"/>
        <v>#REF!</v>
      </c>
    </row>
    <row r="17" spans="1:21" x14ac:dyDescent="0.25">
      <c r="A17" s="32" t="s">
        <v>154</v>
      </c>
      <c r="B17" s="32">
        <v>53</v>
      </c>
      <c r="D17" s="30">
        <f t="shared" si="1"/>
        <v>0</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0</v>
      </c>
      <c r="K17" s="38">
        <f>COUNTIF(Vertices[Betweenness Centrality], "&gt;= " &amp; J17) - COUNTIF(Vertices[Betweenness Centrality], "&gt;=" &amp; J18)</f>
        <v>0</v>
      </c>
      <c r="L17" s="37">
        <f t="shared" si="5"/>
        <v>0</v>
      </c>
      <c r="M17" s="38">
        <f>COUNTIF(Vertices[Closeness Centrality], "&gt;= " &amp; L17) - COUNTIF(Vertices[Closeness Centrality], "&gt;=" &amp; L18)</f>
        <v>0</v>
      </c>
      <c r="N17" s="37">
        <f t="shared" si="6"/>
        <v>0</v>
      </c>
      <c r="O17" s="38">
        <f>COUNTIF(Vertices[Eigenvector Centrality], "&gt;= " &amp; N17) - COUNTIF(Vertices[Eigenvector Centrality], "&gt;=" &amp; N18)</f>
        <v>0</v>
      </c>
      <c r="P17" s="37">
        <f t="shared" si="7"/>
        <v>0</v>
      </c>
      <c r="Q17" s="38">
        <f>COUNTIF(Vertices[PageRank], "&gt;= " &amp; P17) - COUNTIF(Vertices[PageRank], "&gt;=" &amp; P18)</f>
        <v>0</v>
      </c>
      <c r="R17" s="37">
        <f t="shared" si="8"/>
        <v>0</v>
      </c>
      <c r="S17" s="42">
        <f>COUNTIF(Vertices[Clustering Coefficient], "&gt;= " &amp; R17) - COUNTIF(Vertices[Clustering Coefficient], "&gt;=" &amp; R18)</f>
        <v>0</v>
      </c>
      <c r="T17" s="37" t="e">
        <f t="shared" ca="1" si="9"/>
        <v>#REF!</v>
      </c>
      <c r="U17" s="38" t="e">
        <f t="shared" ca="1" si="0"/>
        <v>#REF!</v>
      </c>
    </row>
    <row r="18" spans="1:21" x14ac:dyDescent="0.25">
      <c r="A18" s="32" t="s">
        <v>155</v>
      </c>
      <c r="B18" s="32">
        <v>421</v>
      </c>
      <c r="D18" s="30">
        <f t="shared" si="1"/>
        <v>0</v>
      </c>
      <c r="E18">
        <f>COUNTIF(Vertices[Degree], "&gt;= " &amp; D18) - COUNTIF(Vertices[Degree], "&gt;=" &amp; D19)</f>
        <v>0</v>
      </c>
      <c r="F18" s="35">
        <f t="shared" si="2"/>
        <v>0</v>
      </c>
      <c r="G18" s="36">
        <f>COUNTIF(Vertices[In-Degree], "&gt;= " &amp; F18) - COUNTIF(Vertices[In-Degree], "&gt;=" &amp; F19)</f>
        <v>0</v>
      </c>
      <c r="H18" s="35">
        <f t="shared" si="3"/>
        <v>0</v>
      </c>
      <c r="I18" s="36">
        <f>COUNTIF(Vertices[Out-Degree], "&gt;= " &amp; H18) - COUNTIF(Vertices[Out-Degree], "&gt;=" &amp; H19)</f>
        <v>0</v>
      </c>
      <c r="J18" s="35">
        <f t="shared" si="4"/>
        <v>0</v>
      </c>
      <c r="K18" s="36">
        <f>COUNTIF(Vertices[Betweenness Centrality], "&gt;= " &amp; J18) - COUNTIF(Vertices[Betweenness Centrality], "&gt;=" &amp; J19)</f>
        <v>0</v>
      </c>
      <c r="L18" s="35">
        <f t="shared" si="5"/>
        <v>0</v>
      </c>
      <c r="M18" s="36">
        <f>COUNTIF(Vertices[Closeness Centrality], "&gt;= " &amp; L18) - COUNTIF(Vertices[Closeness Centrality], "&gt;=" &amp; L19)</f>
        <v>0</v>
      </c>
      <c r="N18" s="35">
        <f t="shared" si="6"/>
        <v>0</v>
      </c>
      <c r="O18" s="36">
        <f>COUNTIF(Vertices[Eigenvector Centrality], "&gt;= " &amp; N18) - COUNTIF(Vertices[Eigenvector Centrality], "&gt;=" &amp; N19)</f>
        <v>0</v>
      </c>
      <c r="P18" s="35">
        <f t="shared" si="7"/>
        <v>0</v>
      </c>
      <c r="Q18" s="36">
        <f>COUNTIF(Vertices[PageRank], "&gt;= " &amp; P18) - COUNTIF(Vertices[PageRank], "&gt;=" &amp; P19)</f>
        <v>0</v>
      </c>
      <c r="R18" s="35">
        <f t="shared" si="8"/>
        <v>0</v>
      </c>
      <c r="S18" s="41">
        <f>COUNTIF(Vertices[Clustering Coefficient], "&gt;= " &amp; R18) - COUNTIF(Vertices[Clustering Coefficient], "&gt;=" &amp; R19)</f>
        <v>0</v>
      </c>
      <c r="T18" s="35" t="e">
        <f t="shared" ca="1" si="9"/>
        <v>#REF!</v>
      </c>
      <c r="U18" s="36" t="e">
        <f t="shared" ca="1" si="0"/>
        <v>#REF!</v>
      </c>
    </row>
    <row r="19" spans="1:21" x14ac:dyDescent="0.25">
      <c r="A19" s="113"/>
      <c r="B19" s="113"/>
      <c r="D19" s="30">
        <f t="shared" si="1"/>
        <v>0</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0</v>
      </c>
      <c r="K19" s="38">
        <f>COUNTIF(Vertices[Betweenness Centrality], "&gt;= " &amp; J19) - COUNTIF(Vertices[Betweenness Centrality], "&gt;=" &amp; J20)</f>
        <v>0</v>
      </c>
      <c r="L19" s="37">
        <f t="shared" si="5"/>
        <v>0</v>
      </c>
      <c r="M19" s="38">
        <f>COUNTIF(Vertices[Closeness Centrality], "&gt;= " &amp; L19) - COUNTIF(Vertices[Closeness Centrality], "&gt;=" &amp; L20)</f>
        <v>0</v>
      </c>
      <c r="N19" s="37">
        <f t="shared" si="6"/>
        <v>0</v>
      </c>
      <c r="O19" s="38">
        <f>COUNTIF(Vertices[Eigenvector Centrality], "&gt;= " &amp; N19) - COUNTIF(Vertices[Eigenvector Centrality], "&gt;=" &amp; N20)</f>
        <v>0</v>
      </c>
      <c r="P19" s="37">
        <f t="shared" si="7"/>
        <v>0</v>
      </c>
      <c r="Q19" s="38">
        <f>COUNTIF(Vertices[PageRank], "&gt;= " &amp; P19) - COUNTIF(Vertices[PageRank], "&gt;=" &amp; P20)</f>
        <v>0</v>
      </c>
      <c r="R19" s="37">
        <f t="shared" si="8"/>
        <v>0</v>
      </c>
      <c r="S19" s="42">
        <f>COUNTIF(Vertices[Clustering Coefficient], "&gt;= " &amp; R19) - COUNTIF(Vertices[Clustering Coefficient], "&gt;=" &amp; R20)</f>
        <v>0</v>
      </c>
      <c r="T19" s="37" t="e">
        <f t="shared" ca="1" si="9"/>
        <v>#REF!</v>
      </c>
      <c r="U19" s="38" t="e">
        <f t="shared" ca="1" si="0"/>
        <v>#REF!</v>
      </c>
    </row>
    <row r="20" spans="1:21" x14ac:dyDescent="0.25">
      <c r="A20" s="32" t="s">
        <v>156</v>
      </c>
      <c r="B20" s="32">
        <v>6</v>
      </c>
      <c r="D20" s="30">
        <f t="shared" si="1"/>
        <v>0</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0</v>
      </c>
      <c r="K20" s="36">
        <f>COUNTIF(Vertices[Betweenness Centrality], "&gt;= " &amp; J20) - COUNTIF(Vertices[Betweenness Centrality], "&gt;=" &amp; J21)</f>
        <v>0</v>
      </c>
      <c r="L20" s="35">
        <f t="shared" si="5"/>
        <v>0</v>
      </c>
      <c r="M20" s="36">
        <f>COUNTIF(Vertices[Closeness Centrality], "&gt;= " &amp; L20) - COUNTIF(Vertices[Closeness Centrality], "&gt;=" &amp; L21)</f>
        <v>0</v>
      </c>
      <c r="N20" s="35">
        <f t="shared" si="6"/>
        <v>0</v>
      </c>
      <c r="O20" s="36">
        <f>COUNTIF(Vertices[Eigenvector Centrality], "&gt;= " &amp; N20) - COUNTIF(Vertices[Eigenvector Centrality], "&gt;=" &amp; N21)</f>
        <v>0</v>
      </c>
      <c r="P20" s="35">
        <f t="shared" si="7"/>
        <v>0</v>
      </c>
      <c r="Q20" s="36">
        <f>COUNTIF(Vertices[PageRank], "&gt;= " &amp; P20) - COUNTIF(Vertices[PageRank], "&gt;=" &amp; P21)</f>
        <v>0</v>
      </c>
      <c r="R20" s="35">
        <f t="shared" si="8"/>
        <v>0</v>
      </c>
      <c r="S20" s="41">
        <f>COUNTIF(Vertices[Clustering Coefficient], "&gt;= " &amp; R20) - COUNTIF(Vertices[Clustering Coefficient], "&gt;=" &amp; R21)</f>
        <v>0</v>
      </c>
      <c r="T20" s="35" t="e">
        <f t="shared" ca="1" si="9"/>
        <v>#REF!</v>
      </c>
      <c r="U20" s="36" t="e">
        <f t="shared" ca="1" si="0"/>
        <v>#REF!</v>
      </c>
    </row>
    <row r="21" spans="1:21" x14ac:dyDescent="0.25">
      <c r="A21" s="32" t="s">
        <v>157</v>
      </c>
      <c r="B21" s="32">
        <v>1.8750199999999999</v>
      </c>
      <c r="D21" s="30">
        <f t="shared" si="1"/>
        <v>0</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0</v>
      </c>
      <c r="K21" s="38">
        <f>COUNTIF(Vertices[Betweenness Centrality], "&gt;= " &amp; J21) - COUNTIF(Vertices[Betweenness Centrality], "&gt;=" &amp; J22)</f>
        <v>0</v>
      </c>
      <c r="L21" s="37">
        <f t="shared" si="5"/>
        <v>0</v>
      </c>
      <c r="M21" s="38">
        <f>COUNTIF(Vertices[Closeness Centrality], "&gt;= " &amp; L21) - COUNTIF(Vertices[Closeness Centrality], "&gt;=" &amp; L22)</f>
        <v>0</v>
      </c>
      <c r="N21" s="37">
        <f t="shared" si="6"/>
        <v>0</v>
      </c>
      <c r="O21" s="38">
        <f>COUNTIF(Vertices[Eigenvector Centrality], "&gt;= " &amp; N21) - COUNTIF(Vertices[Eigenvector Centrality], "&gt;=" &amp; N22)</f>
        <v>0</v>
      </c>
      <c r="P21" s="37">
        <f t="shared" si="7"/>
        <v>0</v>
      </c>
      <c r="Q21" s="38">
        <f>COUNTIF(Vertices[PageRank], "&gt;= " &amp; P21) - COUNTIF(Vertices[PageRank], "&gt;=" &amp; P22)</f>
        <v>0</v>
      </c>
      <c r="R21" s="37">
        <f t="shared" si="8"/>
        <v>0</v>
      </c>
      <c r="S21" s="42">
        <f>COUNTIF(Vertices[Clustering Coefficient], "&gt;= " &amp; R21) - COUNTIF(Vertices[Clustering Coefficient], "&gt;=" &amp; R22)</f>
        <v>0</v>
      </c>
      <c r="T21" s="37" t="e">
        <f t="shared" ca="1" si="9"/>
        <v>#REF!</v>
      </c>
      <c r="U21" s="38" t="e">
        <f t="shared" ca="1" si="0"/>
        <v>#REF!</v>
      </c>
    </row>
    <row r="22" spans="1:21" x14ac:dyDescent="0.25">
      <c r="A22" s="113"/>
      <c r="B22" s="113"/>
      <c r="D22" s="30">
        <f t="shared" si="1"/>
        <v>0</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0</v>
      </c>
      <c r="K22" s="36">
        <f>COUNTIF(Vertices[Betweenness Centrality], "&gt;= " &amp; J22) - COUNTIF(Vertices[Betweenness Centrality], "&gt;=" &amp; J23)</f>
        <v>0</v>
      </c>
      <c r="L22" s="35">
        <f t="shared" si="5"/>
        <v>0</v>
      </c>
      <c r="M22" s="36">
        <f>COUNTIF(Vertices[Closeness Centrality], "&gt;= " &amp; L22) - COUNTIF(Vertices[Closeness Centrality], "&gt;=" &amp; L23)</f>
        <v>0</v>
      </c>
      <c r="N22" s="35">
        <f t="shared" si="6"/>
        <v>0</v>
      </c>
      <c r="O22" s="36">
        <f>COUNTIF(Vertices[Eigenvector Centrality], "&gt;= " &amp; N22) - COUNTIF(Vertices[Eigenvector Centrality], "&gt;=" &amp; N23)</f>
        <v>0</v>
      </c>
      <c r="P22" s="35">
        <f t="shared" si="7"/>
        <v>0</v>
      </c>
      <c r="Q22" s="36">
        <f>COUNTIF(Vertices[PageRank], "&gt;= " &amp; P22) - COUNTIF(Vertices[PageRank], "&gt;=" &amp; P23)</f>
        <v>0</v>
      </c>
      <c r="R22" s="35">
        <f t="shared" si="8"/>
        <v>0</v>
      </c>
      <c r="S22" s="41">
        <f>COUNTIF(Vertices[Clustering Coefficient], "&gt;= " &amp; R22) - COUNTIF(Vertices[Clustering Coefficient], "&gt;=" &amp; R23)</f>
        <v>0</v>
      </c>
      <c r="T22" s="35" t="e">
        <f t="shared" ca="1" si="9"/>
        <v>#REF!</v>
      </c>
      <c r="U22" s="36" t="e">
        <f t="shared" ca="1" si="0"/>
        <v>#REF!</v>
      </c>
    </row>
    <row r="23" spans="1:21" x14ac:dyDescent="0.25">
      <c r="A23" s="32" t="s">
        <v>158</v>
      </c>
      <c r="B23" s="32">
        <v>1.2466843501326259E-4</v>
      </c>
      <c r="D23" s="30">
        <f t="shared" si="1"/>
        <v>0</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0</v>
      </c>
      <c r="K23" s="38">
        <f>COUNTIF(Vertices[Betweenness Centrality], "&gt;= " &amp; J23) - COUNTIF(Vertices[Betweenness Centrality], "&gt;=" &amp; J24)</f>
        <v>0</v>
      </c>
      <c r="L23" s="37">
        <f t="shared" si="5"/>
        <v>0</v>
      </c>
      <c r="M23" s="38">
        <f>COUNTIF(Vertices[Closeness Centrality], "&gt;= " &amp; L23) - COUNTIF(Vertices[Closeness Centrality], "&gt;=" &amp; L24)</f>
        <v>0</v>
      </c>
      <c r="N23" s="37">
        <f t="shared" si="6"/>
        <v>0</v>
      </c>
      <c r="O23" s="38">
        <f>COUNTIF(Vertices[Eigenvector Centrality], "&gt;= " &amp; N23) - COUNTIF(Vertices[Eigenvector Centrality], "&gt;=" &amp; N24)</f>
        <v>0</v>
      </c>
      <c r="P23" s="37">
        <f t="shared" si="7"/>
        <v>0</v>
      </c>
      <c r="Q23" s="38">
        <f>COUNTIF(Vertices[PageRank], "&gt;= " &amp; P23) - COUNTIF(Vertices[PageRank], "&gt;=" &amp; P24)</f>
        <v>0</v>
      </c>
      <c r="R23" s="37">
        <f t="shared" si="8"/>
        <v>0</v>
      </c>
      <c r="S23" s="42">
        <f>COUNTIF(Vertices[Clustering Coefficient], "&gt;= " &amp; R23) - COUNTIF(Vertices[Clustering Coefficient], "&gt;=" &amp; R24)</f>
        <v>0</v>
      </c>
      <c r="T23" s="37" t="e">
        <f t="shared" ca="1" si="9"/>
        <v>#REF!</v>
      </c>
      <c r="U23" s="38" t="e">
        <f t="shared" ca="1" si="0"/>
        <v>#REF!</v>
      </c>
    </row>
    <row r="24" spans="1:21" x14ac:dyDescent="0.25">
      <c r="A24" s="32" t="s">
        <v>30765</v>
      </c>
      <c r="B24" s="32" t="s">
        <v>30781</v>
      </c>
      <c r="D24" s="30">
        <f t="shared" si="1"/>
        <v>0</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0</v>
      </c>
      <c r="K24" s="36">
        <f>COUNTIF(Vertices[Betweenness Centrality], "&gt;= " &amp; J24) - COUNTIF(Vertices[Betweenness Centrality], "&gt;=" &amp; J25)</f>
        <v>0</v>
      </c>
      <c r="L24" s="35">
        <f t="shared" si="5"/>
        <v>0</v>
      </c>
      <c r="M24" s="36">
        <f>COUNTIF(Vertices[Closeness Centrality], "&gt;= " &amp; L24) - COUNTIF(Vertices[Closeness Centrality], "&gt;=" &amp; L25)</f>
        <v>0</v>
      </c>
      <c r="N24" s="35">
        <f t="shared" si="6"/>
        <v>0</v>
      </c>
      <c r="O24" s="36">
        <f>COUNTIF(Vertices[Eigenvector Centrality], "&gt;= " &amp; N24) - COUNTIF(Vertices[Eigenvector Centrality], "&gt;=" &amp; N25)</f>
        <v>0</v>
      </c>
      <c r="P24" s="35">
        <f t="shared" si="7"/>
        <v>0</v>
      </c>
      <c r="Q24" s="36">
        <f>COUNTIF(Vertices[PageRank], "&gt;= " &amp; P24) - COUNTIF(Vertices[PageRank], "&gt;=" &amp; P25)</f>
        <v>0</v>
      </c>
      <c r="R24" s="35">
        <f t="shared" si="8"/>
        <v>0</v>
      </c>
      <c r="S24" s="41">
        <f>COUNTIF(Vertices[Clustering Coefficient], "&gt;= " &amp; R24) - COUNTIF(Vertices[Clustering Coefficient], "&gt;=" &amp; R25)</f>
        <v>0</v>
      </c>
      <c r="T24" s="35" t="e">
        <f t="shared" ca="1" si="9"/>
        <v>#REF!</v>
      </c>
      <c r="U24" s="36" t="e">
        <f t="shared" ca="1" si="0"/>
        <v>#REF!</v>
      </c>
    </row>
    <row r="25" spans="1:21" x14ac:dyDescent="0.25">
      <c r="A25" s="113"/>
      <c r="B25" s="113"/>
      <c r="D25" s="30">
        <f t="shared" si="1"/>
        <v>0</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0</v>
      </c>
      <c r="K25" s="38">
        <f>COUNTIF(Vertices[Betweenness Centrality], "&gt;= " &amp; J25) - COUNTIF(Vertices[Betweenness Centrality], "&gt;=" &amp; J26)</f>
        <v>0</v>
      </c>
      <c r="L25" s="37">
        <f t="shared" si="5"/>
        <v>0</v>
      </c>
      <c r="M25" s="38">
        <f>COUNTIF(Vertices[Closeness Centrality], "&gt;= " &amp; L25) - COUNTIF(Vertices[Closeness Centrality], "&gt;=" &amp; L26)</f>
        <v>0</v>
      </c>
      <c r="N25" s="37">
        <f t="shared" si="6"/>
        <v>0</v>
      </c>
      <c r="O25" s="38">
        <f>COUNTIF(Vertices[Eigenvector Centrality], "&gt;= " &amp; N25) - COUNTIF(Vertices[Eigenvector Centrality], "&gt;=" &amp; N26)</f>
        <v>0</v>
      </c>
      <c r="P25" s="37">
        <f t="shared" si="7"/>
        <v>0</v>
      </c>
      <c r="Q25" s="38">
        <f>COUNTIF(Vertices[PageRank], "&gt;= " &amp; P25) - COUNTIF(Vertices[PageRank], "&gt;=" &amp; P26)</f>
        <v>0</v>
      </c>
      <c r="R25" s="37">
        <f t="shared" si="8"/>
        <v>0</v>
      </c>
      <c r="S25" s="42">
        <f>COUNTIF(Vertices[Clustering Coefficient], "&gt;= " &amp; R25) - COUNTIF(Vertices[Clustering Coefficient], "&gt;=" &amp; R26)</f>
        <v>0</v>
      </c>
      <c r="T25" s="37" t="e">
        <f t="shared" ca="1" si="9"/>
        <v>#REF!</v>
      </c>
      <c r="U25" s="38" t="e">
        <f t="shared" ca="1" si="0"/>
        <v>#REF!</v>
      </c>
    </row>
    <row r="26" spans="1:21" x14ac:dyDescent="0.25">
      <c r="A26" s="32" t="s">
        <v>30766</v>
      </c>
      <c r="B26" s="32" t="s">
        <v>30782</v>
      </c>
      <c r="D26" s="30">
        <f t="shared" si="1"/>
        <v>0</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0</v>
      </c>
      <c r="K26" s="36">
        <f>COUNTIF(Vertices[Betweenness Centrality], "&gt;= " &amp; J26) - COUNTIF(Vertices[Betweenness Centrality], "&gt;=" &amp; J27)</f>
        <v>0</v>
      </c>
      <c r="L26" s="35">
        <f t="shared" si="5"/>
        <v>0</v>
      </c>
      <c r="M26" s="36">
        <f>COUNTIF(Vertices[Closeness Centrality], "&gt;= " &amp; L26) - COUNTIF(Vertices[Closeness Centrality], "&gt;=" &amp; L27)</f>
        <v>0</v>
      </c>
      <c r="N26" s="35">
        <f t="shared" si="6"/>
        <v>0</v>
      </c>
      <c r="O26" s="36">
        <f>COUNTIF(Vertices[Eigenvector Centrality], "&gt;= " &amp; N26) - COUNTIF(Vertices[Eigenvector Centrality], "&gt;=" &amp; N27)</f>
        <v>0</v>
      </c>
      <c r="P26" s="35">
        <f t="shared" si="7"/>
        <v>0</v>
      </c>
      <c r="Q26" s="36">
        <f>COUNTIF(Vertices[PageRank], "&gt;= " &amp; P26) - COUNTIF(Vertices[PageRank], "&gt;=" &amp; P27)</f>
        <v>0</v>
      </c>
      <c r="R26" s="35">
        <f t="shared" si="8"/>
        <v>0</v>
      </c>
      <c r="S26" s="41">
        <f>COUNTIF(Vertices[Clustering Coefficient], "&gt;= " &amp; R26) - COUNTIF(Vertices[Clustering Coefficient], "&gt;=" &amp; R27)</f>
        <v>0</v>
      </c>
      <c r="T26" s="35" t="e">
        <f t="shared" ca="1" si="9"/>
        <v>#REF!</v>
      </c>
      <c r="U26" s="36" t="e">
        <f t="shared" ref="U26:U35" ca="1" si="10">COUNTIF(INDIRECT(DynamicFilterSourceColumnRange), "&gt;= " &amp; T26) - COUNTIF(INDIRECT(DynamicFilterSourceColumnRange), "&gt;=" &amp; T27)</f>
        <v>#REF!</v>
      </c>
    </row>
    <row r="27" spans="1:21" x14ac:dyDescent="0.25">
      <c r="A27" s="113"/>
      <c r="B27" s="113"/>
      <c r="D27" s="30">
        <f t="shared" si="1"/>
        <v>0</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0</v>
      </c>
      <c r="K27" s="38">
        <f>COUNTIF(Vertices[Betweenness Centrality], "&gt;= " &amp; J27) - COUNTIF(Vertices[Betweenness Centrality], "&gt;=" &amp; J28)</f>
        <v>0</v>
      </c>
      <c r="L27" s="37">
        <f t="shared" si="5"/>
        <v>0</v>
      </c>
      <c r="M27" s="38">
        <f>COUNTIF(Vertices[Closeness Centrality], "&gt;= " &amp; L27) - COUNTIF(Vertices[Closeness Centrality], "&gt;=" &amp; L28)</f>
        <v>0</v>
      </c>
      <c r="N27" s="37">
        <f t="shared" si="6"/>
        <v>0</v>
      </c>
      <c r="O27" s="38">
        <f>COUNTIF(Vertices[Eigenvector Centrality], "&gt;= " &amp; N27) - COUNTIF(Vertices[Eigenvector Centrality], "&gt;=" &amp; N28)</f>
        <v>0</v>
      </c>
      <c r="P27" s="37">
        <f t="shared" si="7"/>
        <v>0</v>
      </c>
      <c r="Q27" s="38">
        <f>COUNTIF(Vertices[PageRank], "&gt;= " &amp; P27) - COUNTIF(Vertices[PageRank], "&gt;=" &amp; P28)</f>
        <v>0</v>
      </c>
      <c r="R27" s="37">
        <f t="shared" si="8"/>
        <v>0</v>
      </c>
      <c r="S27" s="42">
        <f>COUNTIF(Vertices[Clustering Coefficient], "&gt;= " &amp; R27) - COUNTIF(Vertices[Clustering Coefficient], "&gt;=" &amp; R28)</f>
        <v>0</v>
      </c>
      <c r="T27" s="37" t="e">
        <f t="shared" ca="1" si="9"/>
        <v>#REF!</v>
      </c>
      <c r="U27" s="38" t="e">
        <f t="shared" ca="1" si="10"/>
        <v>#REF!</v>
      </c>
    </row>
    <row r="28" spans="1:21" x14ac:dyDescent="0.25">
      <c r="A28" s="32" t="s">
        <v>30767</v>
      </c>
      <c r="B28" s="32" t="s">
        <v>85</v>
      </c>
      <c r="D28" s="30">
        <f t="shared" si="1"/>
        <v>0</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0</v>
      </c>
      <c r="K28" s="36">
        <f>COUNTIF(Vertices[Betweenness Centrality], "&gt;= " &amp; J28) - COUNTIF(Vertices[Betweenness Centrality], "&gt;=" &amp; J29)</f>
        <v>0</v>
      </c>
      <c r="L28" s="35">
        <f t="shared" si="5"/>
        <v>0</v>
      </c>
      <c r="M28" s="36">
        <f>COUNTIF(Vertices[Closeness Centrality], "&gt;= " &amp; L28) - COUNTIF(Vertices[Closeness Centrality], "&gt;=" &amp; L29)</f>
        <v>0</v>
      </c>
      <c r="N28" s="35">
        <f t="shared" si="6"/>
        <v>0</v>
      </c>
      <c r="O28" s="36">
        <f>COUNTIF(Vertices[Eigenvector Centrality], "&gt;= " &amp; N28) - COUNTIF(Vertices[Eigenvector Centrality], "&gt;=" &amp; N29)</f>
        <v>0</v>
      </c>
      <c r="P28" s="35">
        <f t="shared" si="7"/>
        <v>0</v>
      </c>
      <c r="Q28" s="36">
        <f>COUNTIF(Vertices[PageRank], "&gt;= " &amp; P28) - COUNTIF(Vertices[PageRank], "&gt;=" &amp; P29)</f>
        <v>0</v>
      </c>
      <c r="R28" s="35">
        <f t="shared" si="8"/>
        <v>0</v>
      </c>
      <c r="S28" s="41">
        <f>COUNTIF(Vertices[Clustering Coefficient], "&gt;= " &amp; R28) - COUNTIF(Vertices[Clustering Coefficient], "&gt;=" &amp; R29)</f>
        <v>0</v>
      </c>
      <c r="T28" s="35" t="e">
        <f t="shared" ca="1" si="9"/>
        <v>#REF!</v>
      </c>
      <c r="U28" s="36" t="e">
        <f t="shared" ca="1" si="10"/>
        <v>#REF!</v>
      </c>
    </row>
    <row r="29" spans="1:21" x14ac:dyDescent="0.25">
      <c r="A29" s="32" t="s">
        <v>30768</v>
      </c>
      <c r="B29" s="32" t="s">
        <v>85</v>
      </c>
      <c r="D29" s="30">
        <f t="shared" si="1"/>
        <v>0</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0</v>
      </c>
      <c r="K29" s="38">
        <f>COUNTIF(Vertices[Betweenness Centrality], "&gt;= " &amp; J29) - COUNTIF(Vertices[Betweenness Centrality], "&gt;=" &amp; J30)</f>
        <v>0</v>
      </c>
      <c r="L29" s="37">
        <f t="shared" si="5"/>
        <v>0</v>
      </c>
      <c r="M29" s="38">
        <f>COUNTIF(Vertices[Closeness Centrality], "&gt;= " &amp; L29) - COUNTIF(Vertices[Closeness Centrality], "&gt;=" &amp; L30)</f>
        <v>0</v>
      </c>
      <c r="N29" s="37">
        <f t="shared" si="6"/>
        <v>0</v>
      </c>
      <c r="O29" s="38">
        <f>COUNTIF(Vertices[Eigenvector Centrality], "&gt;= " &amp; N29) - COUNTIF(Vertices[Eigenvector Centrality], "&gt;=" &amp; N30)</f>
        <v>0</v>
      </c>
      <c r="P29" s="37">
        <f t="shared" si="7"/>
        <v>0</v>
      </c>
      <c r="Q29" s="38">
        <f>COUNTIF(Vertices[PageRank], "&gt;= " &amp; P29) - COUNTIF(Vertices[PageRank], "&gt;=" &amp; P30)</f>
        <v>0</v>
      </c>
      <c r="R29" s="37">
        <f t="shared" si="8"/>
        <v>0</v>
      </c>
      <c r="S29" s="42">
        <f>COUNTIF(Vertices[Clustering Coefficient], "&gt;= " &amp; R29) - COUNTIF(Vertices[Clustering Coefficient], "&gt;=" &amp; R30)</f>
        <v>0</v>
      </c>
      <c r="T29" s="37" t="e">
        <f t="shared" ca="1" si="9"/>
        <v>#REF!</v>
      </c>
      <c r="U29" s="38" t="e">
        <f t="shared" ca="1" si="10"/>
        <v>#REF!</v>
      </c>
    </row>
    <row r="30" spans="1:21" x14ac:dyDescent="0.25">
      <c r="A30" s="113"/>
      <c r="B30" s="113"/>
      <c r="D30" s="30">
        <f t="shared" si="1"/>
        <v>0</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0</v>
      </c>
      <c r="K30" s="36">
        <f>COUNTIF(Vertices[Betweenness Centrality], "&gt;= " &amp; J30) - COUNTIF(Vertices[Betweenness Centrality], "&gt;=" &amp; J31)</f>
        <v>0</v>
      </c>
      <c r="L30" s="35">
        <f t="shared" si="5"/>
        <v>0</v>
      </c>
      <c r="M30" s="36">
        <f>COUNTIF(Vertices[Closeness Centrality], "&gt;= " &amp; L30) - COUNTIF(Vertices[Closeness Centrality], "&gt;=" &amp; L31)</f>
        <v>0</v>
      </c>
      <c r="N30" s="35">
        <f t="shared" si="6"/>
        <v>0</v>
      </c>
      <c r="O30" s="36">
        <f>COUNTIF(Vertices[Eigenvector Centrality], "&gt;= " &amp; N30) - COUNTIF(Vertices[Eigenvector Centrality], "&gt;=" &amp; N31)</f>
        <v>0</v>
      </c>
      <c r="P30" s="35">
        <f t="shared" si="7"/>
        <v>0</v>
      </c>
      <c r="Q30" s="36">
        <f>COUNTIF(Vertices[PageRank], "&gt;= " &amp; P30) - COUNTIF(Vertices[PageRank], "&gt;=" &amp; P31)</f>
        <v>0</v>
      </c>
      <c r="R30" s="35">
        <f t="shared" si="8"/>
        <v>0</v>
      </c>
      <c r="S30" s="41">
        <f>COUNTIF(Vertices[Clustering Coefficient], "&gt;= " &amp; R30) - COUNTIF(Vertices[Clustering Coefficient], "&gt;=" &amp; R31)</f>
        <v>0</v>
      </c>
      <c r="T30" s="35" t="e">
        <f t="shared" ca="1" si="9"/>
        <v>#REF!</v>
      </c>
      <c r="U30" s="36" t="e">
        <f t="shared" ca="1" si="10"/>
        <v>#REF!</v>
      </c>
    </row>
    <row r="31" spans="1:21" x14ac:dyDescent="0.25">
      <c r="A31" s="32" t="s">
        <v>30769</v>
      </c>
      <c r="B31" s="32" t="s">
        <v>30783</v>
      </c>
      <c r="D31" s="30">
        <f t="shared" si="1"/>
        <v>0</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0</v>
      </c>
      <c r="K31" s="38">
        <f>COUNTIF(Vertices[Betweenness Centrality], "&gt;= " &amp; J31) - COUNTIF(Vertices[Betweenness Centrality], "&gt;=" &amp; J32)</f>
        <v>0</v>
      </c>
      <c r="L31" s="37">
        <f t="shared" si="5"/>
        <v>0</v>
      </c>
      <c r="M31" s="38">
        <f>COUNTIF(Vertices[Closeness Centrality], "&gt;= " &amp; L31) - COUNTIF(Vertices[Closeness Centrality], "&gt;=" &amp; L32)</f>
        <v>0</v>
      </c>
      <c r="N31" s="37">
        <f t="shared" si="6"/>
        <v>0</v>
      </c>
      <c r="O31" s="38">
        <f>COUNTIF(Vertices[Eigenvector Centrality], "&gt;= " &amp; N31) - COUNTIF(Vertices[Eigenvector Centrality], "&gt;=" &amp; N32)</f>
        <v>0</v>
      </c>
      <c r="P31" s="37">
        <f t="shared" si="7"/>
        <v>0</v>
      </c>
      <c r="Q31" s="38">
        <f>COUNTIF(Vertices[PageRank], "&gt;= " &amp; P31) - COUNTIF(Vertices[PageRank], "&gt;=" &amp; P32)</f>
        <v>0</v>
      </c>
      <c r="R31" s="37">
        <f t="shared" si="8"/>
        <v>0</v>
      </c>
      <c r="S31" s="42">
        <f>COUNTIF(Vertices[Clustering Coefficient], "&gt;= " &amp; R31) - COUNTIF(Vertices[Clustering Coefficient], "&gt;=" &amp; R32)</f>
        <v>0</v>
      </c>
      <c r="T31" s="37" t="e">
        <f t="shared" ca="1" si="9"/>
        <v>#REF!</v>
      </c>
      <c r="U31" s="38" t="e">
        <f t="shared" ca="1" si="10"/>
        <v>#REF!</v>
      </c>
    </row>
    <row r="32" spans="1:21" x14ac:dyDescent="0.25">
      <c r="A32" s="32" t="s">
        <v>30770</v>
      </c>
      <c r="B32" s="32" t="s">
        <v>30784</v>
      </c>
      <c r="D32" s="30">
        <f t="shared" si="1"/>
        <v>0</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0</v>
      </c>
      <c r="K32" s="36">
        <f>COUNTIF(Vertices[Betweenness Centrality], "&gt;= " &amp; J32) - COUNTIF(Vertices[Betweenness Centrality], "&gt;=" &amp; J33)</f>
        <v>0</v>
      </c>
      <c r="L32" s="35">
        <f t="shared" si="5"/>
        <v>0</v>
      </c>
      <c r="M32" s="36">
        <f>COUNTIF(Vertices[Closeness Centrality], "&gt;= " &amp; L32) - COUNTIF(Vertices[Closeness Centrality], "&gt;=" &amp; L33)</f>
        <v>0</v>
      </c>
      <c r="N32" s="35">
        <f t="shared" si="6"/>
        <v>0</v>
      </c>
      <c r="O32" s="36">
        <f>COUNTIF(Vertices[Eigenvector Centrality], "&gt;= " &amp; N32) - COUNTIF(Vertices[Eigenvector Centrality], "&gt;=" &amp; N33)</f>
        <v>0</v>
      </c>
      <c r="P32" s="35">
        <f t="shared" si="7"/>
        <v>0</v>
      </c>
      <c r="Q32" s="36">
        <f>COUNTIF(Vertices[PageRank], "&gt;= " &amp; P32) - COUNTIF(Vertices[PageRank], "&gt;=" &amp; P33)</f>
        <v>0</v>
      </c>
      <c r="R32" s="35">
        <f t="shared" si="8"/>
        <v>0</v>
      </c>
      <c r="S32" s="41">
        <f>COUNTIF(Vertices[Clustering Coefficient], "&gt;= " &amp; R32) - COUNTIF(Vertices[Clustering Coefficient], "&gt;=" &amp; R33)</f>
        <v>0</v>
      </c>
      <c r="T32" s="35" t="e">
        <f t="shared" ca="1" si="9"/>
        <v>#REF!</v>
      </c>
      <c r="U32" s="36" t="e">
        <f t="shared" ca="1" si="10"/>
        <v>#REF!</v>
      </c>
    </row>
    <row r="33" spans="1:21" x14ac:dyDescent="0.25">
      <c r="A33" s="32" t="s">
        <v>30771</v>
      </c>
      <c r="B33" s="32" t="s">
        <v>30785</v>
      </c>
      <c r="D33" s="30">
        <f t="shared" si="1"/>
        <v>0</v>
      </c>
      <c r="E33">
        <f>COUNTIF(Vertices[Degree], "&gt;= " &amp; D33) - COUNTIF(Vertices[Degree], "&gt;=" &amp; D34)</f>
        <v>0</v>
      </c>
      <c r="F33" s="37">
        <f t="shared" si="2"/>
        <v>0</v>
      </c>
      <c r="G33" s="38">
        <f>COUNTIF(Vertices[In-Degree], "&gt;= " &amp; F33) - COUNTIF(Vertices[In-Degree], "&gt;=" &amp; F34)</f>
        <v>0</v>
      </c>
      <c r="H33" s="37">
        <f t="shared" si="3"/>
        <v>0</v>
      </c>
      <c r="I33" s="38">
        <f>COUNTIF(Vertices[Out-Degree], "&gt;= " &amp; H33) - COUNTIF(Vertices[Out-Degree], "&gt;=" &amp; H34)</f>
        <v>0</v>
      </c>
      <c r="J33" s="37">
        <f t="shared" si="4"/>
        <v>0</v>
      </c>
      <c r="K33" s="38">
        <f>COUNTIF(Vertices[Betweenness Centrality], "&gt;= " &amp; J33) - COUNTIF(Vertices[Betweenness Centrality], "&gt;=" &amp; J34)</f>
        <v>0</v>
      </c>
      <c r="L33" s="37">
        <f t="shared" si="5"/>
        <v>0</v>
      </c>
      <c r="M33" s="38">
        <f>COUNTIF(Vertices[Closeness Centrality], "&gt;= " &amp; L33) - COUNTIF(Vertices[Closeness Centrality], "&gt;=" &amp; L34)</f>
        <v>0</v>
      </c>
      <c r="N33" s="37">
        <f t="shared" si="6"/>
        <v>0</v>
      </c>
      <c r="O33" s="38">
        <f>COUNTIF(Vertices[Eigenvector Centrality], "&gt;= " &amp; N33) - COUNTIF(Vertices[Eigenvector Centrality], "&gt;=" &amp; N34)</f>
        <v>0</v>
      </c>
      <c r="P33" s="37">
        <f t="shared" si="7"/>
        <v>0</v>
      </c>
      <c r="Q33" s="38">
        <f>COUNTIF(Vertices[PageRank], "&gt;= " &amp; P33) - COUNTIF(Vertices[PageRank], "&gt;=" &amp; P34)</f>
        <v>0</v>
      </c>
      <c r="R33" s="37">
        <f t="shared" si="8"/>
        <v>0</v>
      </c>
      <c r="S33" s="42">
        <f>COUNTIF(Vertices[Clustering Coefficient], "&gt;= " &amp; R33) - COUNTIF(Vertices[Clustering Coefficient], "&gt;=" &amp; R34)</f>
        <v>0</v>
      </c>
      <c r="T33" s="37" t="e">
        <f t="shared" ca="1" si="9"/>
        <v>#REF!</v>
      </c>
      <c r="U33" s="38" t="e">
        <f t="shared" ca="1" si="10"/>
        <v>#REF!</v>
      </c>
    </row>
    <row r="34" spans="1:21" x14ac:dyDescent="0.25">
      <c r="A34" s="32" t="s">
        <v>30772</v>
      </c>
      <c r="B34" s="32" t="s">
        <v>85</v>
      </c>
      <c r="D34" s="30">
        <f t="shared" si="1"/>
        <v>0</v>
      </c>
      <c r="E34">
        <f>COUNTIF(Vertices[Degree], "&gt;= " &amp; D34) - COUNTIF(Vertices[Degree], "&gt;=" &amp; D35)</f>
        <v>0</v>
      </c>
      <c r="F34" s="35">
        <f t="shared" si="2"/>
        <v>0</v>
      </c>
      <c r="G34" s="36">
        <f>COUNTIF(Vertices[In-Degree], "&gt;= " &amp; F34) - COUNTIF(Vertices[In-Degree], "&gt;=" &amp; F35)</f>
        <v>0</v>
      </c>
      <c r="H34" s="35">
        <f t="shared" si="3"/>
        <v>0</v>
      </c>
      <c r="I34" s="36">
        <f>COUNTIF(Vertices[Out-Degree], "&gt;= " &amp; H34) - COUNTIF(Vertices[Out-Degree], "&gt;=" &amp; H35)</f>
        <v>0</v>
      </c>
      <c r="J34" s="35">
        <f t="shared" si="4"/>
        <v>0</v>
      </c>
      <c r="K34" s="36">
        <f>COUNTIF(Vertices[Betweenness Centrality], "&gt;= " &amp; J34) - COUNTIF(Vertices[Betweenness Centrality], "&gt;=" &amp; J35)</f>
        <v>0</v>
      </c>
      <c r="L34" s="35">
        <f t="shared" si="5"/>
        <v>0</v>
      </c>
      <c r="M34" s="36">
        <f>COUNTIF(Vertices[Closeness Centrality], "&gt;= " &amp; L34) - COUNTIF(Vertices[Closeness Centrality], "&gt;=" &amp; L35)</f>
        <v>0</v>
      </c>
      <c r="N34" s="35">
        <f t="shared" si="6"/>
        <v>0</v>
      </c>
      <c r="O34" s="36">
        <f>COUNTIF(Vertices[Eigenvector Centrality], "&gt;= " &amp; N34) - COUNTIF(Vertices[Eigenvector Centrality], "&gt;=" &amp; N35)</f>
        <v>0</v>
      </c>
      <c r="P34" s="35">
        <f t="shared" si="7"/>
        <v>0</v>
      </c>
      <c r="Q34" s="36">
        <f>COUNTIF(Vertices[PageRank], "&gt;= " &amp; P34) - COUNTIF(Vertices[PageRank], "&gt;=" &amp; P35)</f>
        <v>0</v>
      </c>
      <c r="R34" s="35">
        <f t="shared" si="8"/>
        <v>0</v>
      </c>
      <c r="S34" s="41">
        <f>COUNTIF(Vertices[Clustering Coefficient], "&gt;= " &amp; R34) - COUNTIF(Vertices[Clustering Coefficient], "&gt;=" &amp; R35)</f>
        <v>0</v>
      </c>
      <c r="T34" s="35" t="e">
        <f t="shared" ca="1" si="9"/>
        <v>#REF!</v>
      </c>
      <c r="U34" s="36" t="e">
        <f t="shared" ca="1" si="10"/>
        <v>#REF!</v>
      </c>
    </row>
    <row r="35" spans="1:21" x14ac:dyDescent="0.25">
      <c r="A35" s="32" t="s">
        <v>30773</v>
      </c>
      <c r="B35" s="32" t="s">
        <v>85</v>
      </c>
      <c r="D35" s="30">
        <f t="shared" si="1"/>
        <v>0</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0</v>
      </c>
      <c r="K35" s="38">
        <f>COUNTIF(Vertices[Betweenness Centrality], "&gt;= " &amp; J35) - COUNTIF(Vertices[Betweenness Centrality], "&gt;=" &amp; J36)</f>
        <v>0</v>
      </c>
      <c r="L35" s="37">
        <f t="shared" si="5"/>
        <v>0</v>
      </c>
      <c r="M35" s="38">
        <f>COUNTIF(Vertices[Closeness Centrality], "&gt;= " &amp; L35) - COUNTIF(Vertices[Closeness Centrality], "&gt;=" &amp; L36)</f>
        <v>0</v>
      </c>
      <c r="N35" s="37">
        <f t="shared" si="6"/>
        <v>0</v>
      </c>
      <c r="O35" s="38">
        <f>COUNTIF(Vertices[Eigenvector Centrality], "&gt;= " &amp; N35) - COUNTIF(Vertices[Eigenvector Centrality], "&gt;=" &amp; N36)</f>
        <v>0</v>
      </c>
      <c r="P35" s="37">
        <f t="shared" si="7"/>
        <v>0</v>
      </c>
      <c r="Q35" s="38">
        <f>COUNTIF(Vertices[PageRank], "&gt;= " &amp; P35) - COUNTIF(Vertices[PageRank], "&gt;=" &amp; P36)</f>
        <v>0</v>
      </c>
      <c r="R35" s="37">
        <f t="shared" si="8"/>
        <v>0</v>
      </c>
      <c r="S35" s="42">
        <f>COUNTIF(Vertices[Clustering Coefficient], "&gt;= " &amp; R35) - COUNTIF(Vertices[Clustering Coefficient], "&gt;=" &amp; R36)</f>
        <v>0</v>
      </c>
      <c r="T35" s="37" t="e">
        <f t="shared" ca="1" si="9"/>
        <v>#REF!</v>
      </c>
      <c r="U35" s="38" t="e">
        <f t="shared" ca="1" si="10"/>
        <v>#REF!</v>
      </c>
    </row>
    <row r="36" spans="1:21" x14ac:dyDescent="0.25">
      <c r="A36" s="32" t="s">
        <v>30774</v>
      </c>
      <c r="B36" s="32" t="s">
        <v>85</v>
      </c>
      <c r="D36" s="30">
        <f>MAX(Vertices[Degree])</f>
        <v>0</v>
      </c>
      <c r="E36">
        <f>COUNTIF(Vertices[Degree], "&gt;= " &amp; D36) - COUNTIF(Vertices[Degree], "&gt;=" &amp;#REF!)</f>
        <v>0</v>
      </c>
      <c r="F36" s="39">
        <f>MAX(Vertices[In-Degree])</f>
        <v>0</v>
      </c>
      <c r="G36" s="40">
        <f>COUNTIF(Vertices[In-Degree], "&gt;= " &amp; F36) - COUNTIF(Vertices[In-Degree], "&gt;=" &amp;#REF!)</f>
        <v>0</v>
      </c>
      <c r="H36" s="39">
        <f>MAX(Vertices[Out-Degree])</f>
        <v>0</v>
      </c>
      <c r="I36" s="40">
        <f>COUNTIF(Vertices[Out-Degree], "&gt;= " &amp; H36) - COUNTIF(Vertices[Out-Degree], "&gt;=" &amp;#REF!)</f>
        <v>0</v>
      </c>
      <c r="J36" s="39">
        <f>MAX(Vertices[Betweenness Centrality])</f>
        <v>0</v>
      </c>
      <c r="K36" s="40">
        <f>COUNTIF(Vertices[Betweenness Centrality], "&gt;= " &amp; J36) - COUNTIF(Vertices[Betweenness Centrality], "&gt;=" &amp;#REF!)</f>
        <v>0</v>
      </c>
      <c r="L36" s="39">
        <f>MAX(Vertices[Closeness Centrality])</f>
        <v>0</v>
      </c>
      <c r="M36" s="40">
        <f>COUNTIF(Vertices[Closeness Centrality], "&gt;= " &amp; L36) - COUNTIF(Vertices[Closeness Centrality], "&gt;=" &amp;#REF!)</f>
        <v>0</v>
      </c>
      <c r="N36" s="39">
        <f>MAX(Vertices[Eigenvector Centrality])</f>
        <v>0</v>
      </c>
      <c r="O36" s="40">
        <f>COUNTIF(Vertices[Eigenvector Centrality], "&gt;= " &amp; N36) - COUNTIF(Vertices[Eigenvector Centrality], "&gt;=" &amp;#REF!)</f>
        <v>0</v>
      </c>
      <c r="P36" s="39">
        <f>MAX(Vertices[PageRank])</f>
        <v>0</v>
      </c>
      <c r="Q36" s="40">
        <f>COUNTIF(Vertices[PageRank], "&gt;= " &amp; P36) - COUNTIF(Vertices[PageRank], "&gt;=" &amp;#REF!)</f>
        <v>0</v>
      </c>
      <c r="R36" s="39">
        <f>MAX(Vertices[Clustering Coefficient])</f>
        <v>0</v>
      </c>
      <c r="S36" s="43">
        <f>COUNTIF(Vertices[Clustering Coefficient], "&gt;= " &amp; R36) - COUNTIF(Vertices[Clustering Coefficient], "&gt;=" &amp;#REF!)</f>
        <v>0</v>
      </c>
      <c r="T36" s="39" t="e">
        <f ca="1">MAX(INDIRECT(DynamicFilterSourceColumnRange))</f>
        <v>#REF!</v>
      </c>
      <c r="U36" s="40" t="e">
        <f ca="1">COUNTIF(INDIRECT(DynamicFilterSourceColumnRange), "&gt;= " &amp; T36) - COUNTIF(INDIRECT(DynamicFilterSourceColumnRange), "&gt;=" &amp;#REF!)</f>
        <v>#REF!</v>
      </c>
    </row>
    <row r="37" spans="1:21" x14ac:dyDescent="0.25">
      <c r="A37" s="32" t="s">
        <v>30775</v>
      </c>
      <c r="B37" s="32" t="s">
        <v>85</v>
      </c>
    </row>
    <row r="38" spans="1:21" x14ac:dyDescent="0.25">
      <c r="A38" s="32" t="s">
        <v>30776</v>
      </c>
      <c r="B38" s="32" t="s">
        <v>85</v>
      </c>
    </row>
    <row r="39" spans="1:21" x14ac:dyDescent="0.25">
      <c r="A39" s="32" t="s">
        <v>30777</v>
      </c>
      <c r="B39" s="32" t="s">
        <v>85</v>
      </c>
    </row>
    <row r="40" spans="1:21" x14ac:dyDescent="0.25">
      <c r="A40" s="32" t="s">
        <v>21</v>
      </c>
      <c r="B40" s="32" t="s">
        <v>85</v>
      </c>
    </row>
    <row r="41" spans="1:21" x14ac:dyDescent="0.25">
      <c r="A41" s="32" t="s">
        <v>30778</v>
      </c>
      <c r="B41" s="32" t="s">
        <v>85</v>
      </c>
    </row>
    <row r="42" spans="1:21" x14ac:dyDescent="0.25">
      <c r="A42" s="32" t="s">
        <v>30779</v>
      </c>
      <c r="B42" s="32" t="s">
        <v>85</v>
      </c>
    </row>
    <row r="43" spans="1:21" x14ac:dyDescent="0.25">
      <c r="A43" s="32" t="s">
        <v>30780</v>
      </c>
      <c r="B43" s="32" t="s">
        <v>85</v>
      </c>
    </row>
    <row r="60" spans="1:2" x14ac:dyDescent="0.25">
      <c r="A60" t="s">
        <v>163</v>
      </c>
      <c r="B60" t="s">
        <v>17</v>
      </c>
    </row>
    <row r="61" spans="1:2" x14ac:dyDescent="0.25">
      <c r="A61" s="31"/>
      <c r="B61" s="31"/>
    </row>
    <row r="74" spans="1:2" x14ac:dyDescent="0.25">
      <c r="A74" s="31" t="s">
        <v>81</v>
      </c>
      <c r="B74" s="44" t="str">
        <f>IF(COUNT(Vertices[Degree])&gt;0, D2, NoMetricMessage)</f>
        <v>Not Available</v>
      </c>
    </row>
    <row r="75" spans="1:2" x14ac:dyDescent="0.25">
      <c r="A75" s="31" t="s">
        <v>82</v>
      </c>
      <c r="B75" s="44" t="str">
        <f>IF(COUNT(Vertices[Degree])&gt;0, D36, NoMetricMessage)</f>
        <v>Not Available</v>
      </c>
    </row>
    <row r="76" spans="1:2" x14ac:dyDescent="0.25">
      <c r="A76" s="31" t="s">
        <v>83</v>
      </c>
      <c r="B76" s="45" t="str">
        <f>IFERROR(AVERAGE(Vertices[Degree]),NoMetricMessage)</f>
        <v>Not Available</v>
      </c>
    </row>
    <row r="77" spans="1:2" x14ac:dyDescent="0.25">
      <c r="A77" s="31" t="s">
        <v>84</v>
      </c>
      <c r="B77" s="45" t="str">
        <f>IFERROR(MEDIAN(Vertices[Degree]),NoMetricMessage)</f>
        <v>Not Available</v>
      </c>
    </row>
    <row r="88" spans="1:2" x14ac:dyDescent="0.25">
      <c r="A88" s="31" t="s">
        <v>88</v>
      </c>
      <c r="B88" s="44" t="str">
        <f>IF(COUNT(Vertices[In-Degree])&gt;0, F2, NoMetricMessage)</f>
        <v>Not Available</v>
      </c>
    </row>
    <row r="89" spans="1:2" x14ac:dyDescent="0.25">
      <c r="A89" s="31" t="s">
        <v>89</v>
      </c>
      <c r="B89" s="44" t="str">
        <f>IF(COUNT(Vertices[In-Degree])&gt;0, F36, NoMetricMessage)</f>
        <v>Not Available</v>
      </c>
    </row>
    <row r="90" spans="1:2" x14ac:dyDescent="0.25">
      <c r="A90" s="31" t="s">
        <v>90</v>
      </c>
      <c r="B90" s="45" t="str">
        <f>IFERROR(AVERAGE(Vertices[In-Degree]),NoMetricMessage)</f>
        <v>Not Available</v>
      </c>
    </row>
    <row r="91" spans="1:2" x14ac:dyDescent="0.25">
      <c r="A91" s="31" t="s">
        <v>91</v>
      </c>
      <c r="B91" s="45" t="str">
        <f>IFERROR(MEDIAN(Vertices[In-Degree]),NoMetricMessage)</f>
        <v>Not Available</v>
      </c>
    </row>
    <row r="102" spans="1:2" x14ac:dyDescent="0.25">
      <c r="A102" s="31" t="s">
        <v>94</v>
      </c>
      <c r="B102" s="44" t="str">
        <f>IF(COUNT(Vertices[Out-Degree])&gt;0, H2, NoMetricMessage)</f>
        <v>Not Available</v>
      </c>
    </row>
    <row r="103" spans="1:2" x14ac:dyDescent="0.25">
      <c r="A103" s="31" t="s">
        <v>95</v>
      </c>
      <c r="B103" s="44" t="str">
        <f>IF(COUNT(Vertices[Out-Degree])&gt;0, H36, NoMetricMessage)</f>
        <v>Not Available</v>
      </c>
    </row>
    <row r="104" spans="1:2" x14ac:dyDescent="0.25">
      <c r="A104" s="31" t="s">
        <v>96</v>
      </c>
      <c r="B104" s="45" t="str">
        <f>IFERROR(AVERAGE(Vertices[Out-Degree]),NoMetricMessage)</f>
        <v>Not Available</v>
      </c>
    </row>
    <row r="105" spans="1:2" x14ac:dyDescent="0.25">
      <c r="A105" s="31" t="s">
        <v>97</v>
      </c>
      <c r="B105" s="45" t="str">
        <f>IFERROR(MEDIAN(Vertices[Out-Degree]),NoMetricMessage)</f>
        <v>Not Available</v>
      </c>
    </row>
    <row r="116" spans="1:2" x14ac:dyDescent="0.25">
      <c r="A116" s="31" t="s">
        <v>100</v>
      </c>
      <c r="B116" s="45" t="str">
        <f>IF(COUNT(Vertices[Betweenness Centrality])&gt;0, J2, NoMetricMessage)</f>
        <v>Not Available</v>
      </c>
    </row>
    <row r="117" spans="1:2" x14ac:dyDescent="0.25">
      <c r="A117" s="31" t="s">
        <v>101</v>
      </c>
      <c r="B117" s="45" t="str">
        <f>IF(COUNT(Vertices[Betweenness Centrality])&gt;0, J36, NoMetricMessage)</f>
        <v>Not Available</v>
      </c>
    </row>
    <row r="118" spans="1:2" x14ac:dyDescent="0.25">
      <c r="A118" s="31" t="s">
        <v>102</v>
      </c>
      <c r="B118" s="45" t="str">
        <f>IFERROR(AVERAGE(Vertices[Betweenness Centrality]),NoMetricMessage)</f>
        <v>Not Available</v>
      </c>
    </row>
    <row r="119" spans="1:2" x14ac:dyDescent="0.25">
      <c r="A119" s="31" t="s">
        <v>103</v>
      </c>
      <c r="B119" s="45" t="str">
        <f>IFERROR(MEDIAN(Vertices[Betweenness Centrality]),NoMetricMessage)</f>
        <v>Not Available</v>
      </c>
    </row>
    <row r="130" spans="1:2" x14ac:dyDescent="0.25">
      <c r="A130" s="31" t="s">
        <v>106</v>
      </c>
      <c r="B130" s="45" t="str">
        <f>IF(COUNT(Vertices[Closeness Centrality])&gt;0, L2, NoMetricMessage)</f>
        <v>Not Available</v>
      </c>
    </row>
    <row r="131" spans="1:2" x14ac:dyDescent="0.25">
      <c r="A131" s="31" t="s">
        <v>107</v>
      </c>
      <c r="B131" s="45" t="str">
        <f>IF(COUNT(Vertices[Closeness Centrality])&gt;0, L36, NoMetricMessage)</f>
        <v>Not Available</v>
      </c>
    </row>
    <row r="132" spans="1:2" x14ac:dyDescent="0.25">
      <c r="A132" s="31" t="s">
        <v>108</v>
      </c>
      <c r="B132" s="45" t="str">
        <f>IFERROR(AVERAGE(Vertices[Closeness Centrality]),NoMetricMessage)</f>
        <v>Not Available</v>
      </c>
    </row>
    <row r="133" spans="1:2" x14ac:dyDescent="0.25">
      <c r="A133" s="31" t="s">
        <v>109</v>
      </c>
      <c r="B133" s="45" t="str">
        <f>IFERROR(MEDIAN(Vertices[Closeness Centrality]),NoMetricMessage)</f>
        <v>Not Available</v>
      </c>
    </row>
    <row r="144" spans="1:2" x14ac:dyDescent="0.25">
      <c r="A144" s="31" t="s">
        <v>112</v>
      </c>
      <c r="B144" s="45" t="str">
        <f>IF(COUNT(Vertices[Eigenvector Centrality])&gt;0, N2, NoMetricMessage)</f>
        <v>Not Available</v>
      </c>
    </row>
    <row r="145" spans="1:2" x14ac:dyDescent="0.25">
      <c r="A145" s="31" t="s">
        <v>113</v>
      </c>
      <c r="B145" s="45" t="str">
        <f>IF(COUNT(Vertices[Eigenvector Centrality])&gt;0, N36, NoMetricMessage)</f>
        <v>Not Available</v>
      </c>
    </row>
    <row r="146" spans="1:2" x14ac:dyDescent="0.25">
      <c r="A146" s="31" t="s">
        <v>114</v>
      </c>
      <c r="B146" s="45" t="str">
        <f>IFERROR(AVERAGE(Vertices[Eigenvector Centrality]),NoMetricMessage)</f>
        <v>Not Available</v>
      </c>
    </row>
    <row r="147" spans="1:2" x14ac:dyDescent="0.25">
      <c r="A147" s="31" t="s">
        <v>115</v>
      </c>
      <c r="B147" s="45" t="str">
        <f>IFERROR(MEDIAN(Vertices[Eigenvector Centrality]),NoMetricMessage)</f>
        <v>Not Available</v>
      </c>
    </row>
    <row r="158" spans="1:2" x14ac:dyDescent="0.25">
      <c r="A158" s="31" t="s">
        <v>140</v>
      </c>
      <c r="B158" s="45" t="str">
        <f>IF(COUNT(Vertices[PageRank])&gt;0, P2, NoMetricMessage)</f>
        <v>Not Available</v>
      </c>
    </row>
    <row r="159" spans="1:2" x14ac:dyDescent="0.25">
      <c r="A159" s="31" t="s">
        <v>141</v>
      </c>
      <c r="B159" s="45" t="str">
        <f>IF(COUNT(Vertices[PageRank])&gt;0, P36, NoMetricMessage)</f>
        <v>Not Available</v>
      </c>
    </row>
    <row r="160" spans="1:2" x14ac:dyDescent="0.25">
      <c r="A160" s="31" t="s">
        <v>142</v>
      </c>
      <c r="B160" s="45" t="str">
        <f>IFERROR(AVERAGE(Vertices[PageRank]),NoMetricMessage)</f>
        <v>Not Available</v>
      </c>
    </row>
    <row r="161" spans="1:2" x14ac:dyDescent="0.25">
      <c r="A161" s="31" t="s">
        <v>143</v>
      </c>
      <c r="B161" s="45" t="str">
        <f>IFERROR(MEDIAN(Vertices[PageRank]),NoMetricMessage)</f>
        <v>Not Available</v>
      </c>
    </row>
    <row r="172" spans="1:2" x14ac:dyDescent="0.25">
      <c r="A172" s="31" t="s">
        <v>118</v>
      </c>
      <c r="B172" s="45" t="str">
        <f>IF(COUNT(Vertices[Clustering Coefficient])&gt;0, R2, NoMetricMessage)</f>
        <v>Not Available</v>
      </c>
    </row>
    <row r="173" spans="1:2" x14ac:dyDescent="0.25">
      <c r="A173" s="31" t="s">
        <v>119</v>
      </c>
      <c r="B173" s="45" t="str">
        <f>IF(COUNT(Vertices[Clustering Coefficient])&gt;0, R36, NoMetricMessage)</f>
        <v>Not Available</v>
      </c>
    </row>
    <row r="174" spans="1:2" x14ac:dyDescent="0.25">
      <c r="A174" s="31" t="s">
        <v>120</v>
      </c>
      <c r="B174" s="45" t="str">
        <f>IFERROR(AVERAGE(Vertices[Clustering Coefficient]),NoMetricMessage)</f>
        <v>Not Available</v>
      </c>
    </row>
    <row r="175" spans="1:2" x14ac:dyDescent="0.25">
      <c r="A175" s="31" t="s">
        <v>121</v>
      </c>
      <c r="B175" s="45"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3" customFormat="1" ht="36" customHeight="1" x14ac:dyDescent="0.25">
      <c r="A1" s="4" t="s">
        <v>6</v>
      </c>
      <c r="B1" s="4" t="s">
        <v>131</v>
      </c>
      <c r="C1" s="3" t="s">
        <v>7</v>
      </c>
      <c r="D1" s="3" t="s">
        <v>9</v>
      </c>
      <c r="E1" s="3" t="s">
        <v>164</v>
      </c>
      <c r="F1" s="4" t="s">
        <v>169</v>
      </c>
      <c r="G1" s="3" t="s">
        <v>14</v>
      </c>
      <c r="H1" s="3" t="s">
        <v>67</v>
      </c>
      <c r="J1" s="3" t="s">
        <v>18</v>
      </c>
      <c r="K1" s="3" t="s">
        <v>17</v>
      </c>
      <c r="M1" s="3" t="s">
        <v>22</v>
      </c>
      <c r="N1" s="3" t="s">
        <v>23</v>
      </c>
      <c r="O1" s="3" t="s">
        <v>24</v>
      </c>
      <c r="P1" s="3"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30763</v>
      </c>
    </row>
    <row r="4" spans="1:18" x14ac:dyDescent="0.25">
      <c r="A4" s="1" t="s">
        <v>53</v>
      </c>
      <c r="B4" s="1" t="s">
        <v>134</v>
      </c>
      <c r="C4" t="s">
        <v>53</v>
      </c>
      <c r="D4" t="s">
        <v>57</v>
      </c>
      <c r="E4" t="s">
        <v>57</v>
      </c>
      <c r="F4" s="1" t="s">
        <v>53</v>
      </c>
      <c r="G4">
        <v>0</v>
      </c>
      <c r="H4" t="s">
        <v>69</v>
      </c>
      <c r="J4" t="s">
        <v>78</v>
      </c>
    </row>
    <row r="5" spans="1:18" ht="409.5" x14ac:dyDescent="0.25">
      <c r="A5">
        <v>1</v>
      </c>
      <c r="B5" s="1" t="s">
        <v>135</v>
      </c>
      <c r="C5" t="s">
        <v>51</v>
      </c>
      <c r="D5" t="s">
        <v>58</v>
      </c>
      <c r="E5" t="s">
        <v>58</v>
      </c>
      <c r="F5">
        <v>1</v>
      </c>
      <c r="G5">
        <v>1</v>
      </c>
      <c r="H5" t="s">
        <v>70</v>
      </c>
      <c r="J5" t="s">
        <v>172</v>
      </c>
      <c r="K5" s="7" t="s">
        <v>30792</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ht="409.5" x14ac:dyDescent="0.25">
      <c r="A8"/>
      <c r="B8">
        <v>2</v>
      </c>
      <c r="C8">
        <v>2</v>
      </c>
      <c r="D8" t="s">
        <v>61</v>
      </c>
      <c r="E8" t="s">
        <v>61</v>
      </c>
      <c r="H8" t="s">
        <v>73</v>
      </c>
      <c r="J8" t="s">
        <v>176</v>
      </c>
      <c r="K8" s="7" t="s">
        <v>30762</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53D0C-C4EC-4791-9347-BFA6116074D9}">
  <dimension ref="A1:B7"/>
  <sheetViews>
    <sheetView workbookViewId="0"/>
  </sheetViews>
  <sheetFormatPr defaultRowHeight="15" x14ac:dyDescent="0.25"/>
  <cols>
    <col min="1" max="1" width="6.5703125" bestFit="1" customWidth="1"/>
    <col min="2" max="2" width="8.42578125" bestFit="1" customWidth="1"/>
  </cols>
  <sheetData>
    <row r="1" spans="1:2" ht="15" customHeight="1" x14ac:dyDescent="0.25">
      <c r="A1" s="7" t="s">
        <v>30786</v>
      </c>
      <c r="B1" s="7" t="s">
        <v>17</v>
      </c>
    </row>
    <row r="2" spans="1:2" x14ac:dyDescent="0.25">
      <c r="A2" s="86" t="s">
        <v>30787</v>
      </c>
      <c r="B2" s="86"/>
    </row>
    <row r="3" spans="1:2" x14ac:dyDescent="0.25">
      <c r="A3" s="87" t="s">
        <v>30788</v>
      </c>
      <c r="B3" s="86"/>
    </row>
    <row r="4" spans="1:2" x14ac:dyDescent="0.25">
      <c r="A4" s="87" t="s">
        <v>30789</v>
      </c>
      <c r="B4" s="86"/>
    </row>
    <row r="5" spans="1:2" x14ac:dyDescent="0.25">
      <c r="A5" s="87" t="s">
        <v>30790</v>
      </c>
      <c r="B5" s="86"/>
    </row>
    <row r="6" spans="1:2" x14ac:dyDescent="0.25">
      <c r="A6" s="87" t="s">
        <v>30791</v>
      </c>
      <c r="B6" s="86"/>
    </row>
    <row r="7" spans="1:2" x14ac:dyDescent="0.25">
      <c r="A7" s="87" t="s">
        <v>23626</v>
      </c>
      <c r="B7" s="86"/>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985AC1EC-6F16-4416-B96C-6990C6D691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Export Options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Mauricio Fernandes</cp:lastModifiedBy>
  <dcterms:created xsi:type="dcterms:W3CDTF">2008-01-30T00:41:58Z</dcterms:created>
  <dcterms:modified xsi:type="dcterms:W3CDTF">2023-09-28T01:29:56Z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